
<file path=[Content_Types].xml><?xml version="1.0" encoding="utf-8"?>
<Types xmlns="http://schemas.openxmlformats.org/package/2006/content-types">
  <Default ContentType="application/vnd.openxmlformats-officedocument.spreadsheetml.printerSettings" Extension="bin"/>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spreadsheetml.connections+xml" PartName="/xl/connections.xml"/>
  <Override ContentType="application/vnd.ms-excel.controlproperties+xml" PartName="/xl/ctrlProps/ctrlProp1.xml"/>
  <Override ContentType="application/vnd.ms-excel.controlproperties+xml" PartName="/xl/ctrlProps/ctrlProp2.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drawing+xml" PartName="/xl/drawings/drawing5.xml"/>
  <Override ContentType="application/vnd.openxmlformats-officedocument.spreadsheetml.externalLink+xml" PartName="/xl/externalLinks/externalLink1.xml"/>
  <Override ContentType="application/vnd.openxmlformats-officedocument.spreadsheetml.externalLink+xml" PartName="/xl/externalLinks/externalLink10.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spreadsheetml.externalLink+xml" PartName="/xl/externalLinks/externalLink4.xml"/>
  <Override ContentType="application/vnd.openxmlformats-officedocument.spreadsheetml.externalLink+xml" PartName="/xl/externalLinks/externalLink5.xml"/>
  <Override ContentType="application/vnd.openxmlformats-officedocument.spreadsheetml.externalLink+xml" PartName="/xl/externalLinks/externalLink6.xml"/>
  <Override ContentType="application/vnd.openxmlformats-officedocument.spreadsheetml.externalLink+xml" PartName="/xl/externalLinks/externalLink7.xml"/>
  <Override ContentType="application/vnd.openxmlformats-officedocument.spreadsheetml.externalLink+xml" PartName="/xl/externalLinks/externalLink8.xml"/>
  <Override ContentType="application/vnd.openxmlformats-officedocument.spreadsheetml.externalLink+xml" PartName="/xl/externalLinks/externalLink9.xml"/>
  <Override ContentType="application/vnd.openxmlformats-officedocument.spreadsheetml.queryTable+xml" PartName="/xl/queryTables/queryTable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openxmlformats-officedocument.spreadsheetml.volatileDependencies+xml" PartName="/xl/volatileDependencies.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bookViews>
    <workbookView xWindow="45" yWindow="135" windowWidth="15240" windowHeight="9090" tabRatio="941"/>
  </bookViews>
  <sheets>
    <sheet name="ImportantDisclosures" sheetId="40" r:id="rId1"/>
    <sheet name="SheetVisibilityStatus" sheetId="44" state="veryHidden" r:id="rId2"/>
    <sheet name="CircularReferenceAlert" sheetId="43" r:id="rId3"/>
    <sheet name="Cover" sheetId="1" state="veryHidden" r:id="rId4"/>
    <sheet name="IS" sheetId="2" state="veryHidden" r:id="rId5"/>
    <sheet name="BS and CFS" sheetId="3" state="veryHidden" r:id="rId6"/>
    <sheet name="Guidance" sheetId="5" state="veryHidden" r:id="rId7"/>
    <sheet name="Retail" sheetId="7" state="veryHidden" r:id="rId8"/>
    <sheet name="PBM" sheetId="6" state="veryHidden" r:id="rId9"/>
    <sheet name="Debt" sheetId="8" state="veryHidden" r:id="rId10"/>
    <sheet name="Key Inputs and Scenarios" sheetId="9" state="veryHidden" r:id="rId11"/>
    <sheet name="IndexInformation" sheetId="41" state="veryHidden" r:id="rId12"/>
    <sheet name="ModPubIndex" sheetId="42" state="veryHidden" r:id="rId13"/>
    <sheet name="MW-Cache" sheetId="19" state="veryHidden" r:id="rId14"/>
  </sheets>
  <externalReferences>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s>
  <definedNames>
    <definedName name="__ASM2">{9}</definedName>
    <definedName name="__FDS_HYPERLINK_TOGGLE_STATE__" hidden="1">"ON"</definedName>
    <definedName name="__FDS_UNIQUE_RANGE_ID_GENERATOR_COUNTER">1</definedName>
    <definedName name="_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0.210959&amp;VAR:V=12.695783&amp;VAR:V0=13.047982&amp;VAR:V1=11.531567&amp;VAR:Y0=2011&amp;VAR:Y1=2012&amp;VAR:P=1279.204993&amp;VAR:DATE=20110318&amp;VAR:THRESH=-|-|","-|-|-|-|-"}</definedName>
    <definedName name="_10__FDSAUDITLINK__" hidden="1">{"fdsup://directions/FAT%20Viewer?VAR:TM=NTMA&amp;VAR:PCT=0.402740&amp;VAR:Y0=2010&amp;VAR:Y1=2011&amp;VAR:V0=13.409862&amp;VAR:V1=11.621548&amp;VAR:V=12.281152&amp;VAR:AUDIT_ID=00000117&amp;VAR:DATE=20100806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Aggregates&amp;VAR:MEASURE=PE_MEAN&amp;VAR:CALC_MODE=PORTFOLIO&amp;VAR:CHGPERIOD=NA&amp;VAR:FQLFORMULA=FMA_PE&amp;VAR:CURRENCY=USD&amp;VAR:P=1","121.641914&amp;VAR:THRESH=||||||&amp;VAR:null=.html"}</definedName>
    <definedName name="_100__FDSAUDITLINK__" hidden="1">{"fdsup://directions/FAT%20Viewer?VAR:TM=NTMA&amp;VAR:PCT=0.128415&amp;VAR:Y0=2008&amp;VAR:Y1=2009&amp;VAR:V0=11.356012&amp;VAR:V1=10.045893&amp;VAR:V=10.196961&amp;VAR:AUDIT_ID=00000117&amp;VAR:DATE=20081114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Aggregates&amp;VAR:MEASURE=PE_MEAN&amp;VAR:CALC_MODE=PORTFOLIO&amp;VAR:CHGPERIOD=NA&amp;VAR:FQLFORMULA=FMA_PE&amp;VAR:CURRENCY=USD&amp;VAR:P=8","73.291209&amp;VAR:THRESH=||||||&amp;VAR:null=.html"}</definedName>
    <definedName name="_1000__FDSAUDITLINK__" hidden="1">{"fdsup://directions/FAT Viewer?action=UPDATE&amp;creator=factset&amp;DYN_ARGS=TRUE&amp;DOC_NAME=FAT:FQL_AUDITING_CLIENT_TEMPLATE.FAT&amp;display_string=Audit&amp;VAR:KEY=LKDSHOXEJE&amp;VAR:QUERY=RkZfUkRfRVhQKENBTCwyMDA4LCwsLFVTRCk=&amp;WINDOW=FIRST_POPUP&amp;HEIGHT=450&amp;WIDTH=450&amp;START_MA","XIMIZED=FALSE&amp;VAR:CALENDAR=US&amp;VAR:SYMBOL=MRK&amp;VAR:INDEX=0"}</definedName>
    <definedName name="_1001__FDSAUDITLINK__" hidden="1">{"fdsup://directions/FAT Viewer?action=UPDATE&amp;creator=factset&amp;DYN_ARGS=TRUE&amp;DOC_NAME=FAT:FQL_AUDITING_CLIENT_TEMPLATE.FAT&amp;display_string=Audit&amp;VAR:KEY=TILQDMTSFA&amp;VAR:QUERY=RkZfUkRfRVhQKENBTCwyMDA3LCwsLFVTRCk=&amp;WINDOW=FIRST_POPUP&amp;HEIGHT=450&amp;WIDTH=450&amp;START_MA","XIMIZED=FALSE&amp;VAR:CALENDAR=US&amp;VAR:SYMBOL=MRK&amp;VAR:INDEX=0"}</definedName>
    <definedName name="_1002__FDSAUDITLINK__" hidden="1">{"fdsup://directions/FAT Viewer?action=UPDATE&amp;creator=factset&amp;DYN_ARGS=TRUE&amp;DOC_NAME=FAT:FQL_AUDITING_CLIENT_TEMPLATE.FAT&amp;display_string=Audit&amp;VAR:KEY=JCJYXWPCFK&amp;VAR:QUERY=RkZfUkRfRVhQKENBTCwyMDA4LCwsLFVTRCk=&amp;WINDOW=FIRST_POPUP&amp;HEIGHT=450&amp;WIDTH=450&amp;START_MA","XIMIZED=FALSE&amp;VAR:CALENDAR=US&amp;VAR:SYMBOL=PFE&amp;VAR:INDEX=0"}</definedName>
    <definedName name="_1003__FDSAUDITLINK__" hidden="1">{"fdsup://directions/FAT Viewer?action=UPDATE&amp;creator=factset&amp;DYN_ARGS=TRUE&amp;DOC_NAME=FAT:FQL_AUDITING_CLIENT_TEMPLATE.FAT&amp;display_string=Audit&amp;VAR:KEY=VABOBMLSTS&amp;VAR:QUERY=RkZfUkRfRVhQKENBTCwyMDA3LCwsLFVTRCk=&amp;WINDOW=FIRST_POPUP&amp;HEIGHT=450&amp;WIDTH=450&amp;START_MA","XIMIZED=FALSE&amp;VAR:CALENDAR=US&amp;VAR:SYMBOL=PFE&amp;VAR:INDEX=0"}</definedName>
    <definedName name="_1004__FDSAUDITLINK__" hidden="1">{"fdsup://directions/FAT Viewer?action=UPDATE&amp;creator=factset&amp;DYN_ARGS=TRUE&amp;DOC_NAME=FAT:FQL_AUDITING_CLIENT_TEMPLATE.FAT&amp;display_string=Audit&amp;VAR:KEY=DIVKNITAZM&amp;VAR:QUERY=RkZfUkRfRVhQKENBTCwyMDA4LCwsLFVTRCk=&amp;WINDOW=FIRST_POPUP&amp;HEIGHT=450&amp;WIDTH=450&amp;START_MA","XIMIZED=FALSE&amp;VAR:CALENDAR=US&amp;VAR:SYMBOL=WYE&amp;VAR:INDEX=0"}</definedName>
    <definedName name="_1005__FDSAUDITLINK__" hidden="1">{"fdsup://directions/FAT Viewer?action=UPDATE&amp;creator=factset&amp;DYN_ARGS=TRUE&amp;DOC_NAME=FAT:FQL_AUDITING_CLIENT_TEMPLATE.FAT&amp;display_string=Audit&amp;VAR:KEY=HCLYRIPKVQ&amp;VAR:QUERY=RkZfUkRfRVhQKENBTCwyMDA3LCwsLFVTRCk=&amp;WINDOW=FIRST_POPUP&amp;HEIGHT=450&amp;WIDTH=450&amp;START_MA","XIMIZED=FALSE&amp;VAR:CALENDAR=US&amp;VAR:SYMBOL=WYE&amp;VAR:INDEX=0"}</definedName>
    <definedName name="_1006__FDSAUDITLINK__" hidden="1">{"fdsup://directions/FAT Viewer?action=UPDATE&amp;creator=factset&amp;DYN_ARGS=TRUE&amp;DOC_NAME=FAT:FQL_AUDITING_CLIENT_TEMPLATE.FAT&amp;display_string=Audit&amp;VAR:KEY=XKJURUPUXI&amp;VAR:QUERY=RkZfUkRfRVhQKENBTCwyMDA4LCwsLFVTRCk=&amp;WINDOW=FIRST_POPUP&amp;HEIGHT=450&amp;WIDTH=450&amp;START_MA","XIMIZED=FALSE&amp;VAR:CALENDAR=US&amp;VAR:SYMBOL=BIIB&amp;VAR:INDEX=0"}</definedName>
    <definedName name="_1007__FDSAUDITLINK__" hidden="1">{"fdsup://directions/FAT Viewer?action=UPDATE&amp;creator=factset&amp;DYN_ARGS=TRUE&amp;DOC_NAME=FAT:FQL_AUDITING_CLIENT_TEMPLATE.FAT&amp;display_string=Audit&amp;VAR:KEY=DWTCTGDURW&amp;VAR:QUERY=RkZfUkRfRVhQKENBTCwyMDA3LCwsLFVTRCk=&amp;WINDOW=FIRST_POPUP&amp;HEIGHT=450&amp;WIDTH=450&amp;START_MA","XIMIZED=FALSE&amp;VAR:CALENDAR=US&amp;VAR:SYMBOL=BIIB&amp;VAR:INDEX=0"}</definedName>
    <definedName name="_1008__FDSAUDITLINK__" hidden="1">{"fdsup://directions/FAT Viewer?action=UPDATE&amp;creator=factset&amp;DYN_ARGS=TRUE&amp;DOC_NAME=FAT:FQL_AUDITING_CLIENT_TEMPLATE.FAT&amp;display_string=Audit&amp;VAR:KEY=ZKDQPGHSNO&amp;VAR:QUERY=RkZfUkRfRVhQKENBTCwyMDA4LCwsLFVTRCk=&amp;WINDOW=FIRST_POPUP&amp;HEIGHT=450&amp;WIDTH=450&amp;START_MA","XIMIZED=FALSE&amp;VAR:CALENDAR=US&amp;VAR:SYMBOL=707752&amp;VAR:INDEX=0"}</definedName>
    <definedName name="_1009__FDSAUDITLINK__" hidden="1">{"fdsup://directions/FAT Viewer?action=UPDATE&amp;creator=factset&amp;DYN_ARGS=TRUE&amp;DOC_NAME=FAT:FQL_AUDITING_CLIENT_TEMPLATE.FAT&amp;display_string=Audit&amp;VAR:KEY=HKJQHCVUFC&amp;VAR:QUERY=RkZfUkRfRVhQKENBTCwyMDA3LCwsLFVTRCk=&amp;WINDOW=FIRST_POPUP&amp;HEIGHT=450&amp;WIDTH=450&amp;START_MA","XIMIZED=FALSE&amp;VAR:CALENDAR=US&amp;VAR:SYMBOL=707752&amp;VAR:INDEX=0"}</definedName>
    <definedName name="_101__FDSAUDITLINK__" hidden="1">{"fdsup://directions/FAT%20Viewer?VAR:TM=NTMA&amp;VAR:PCT=0.147541&amp;VAR:Y0=2008&amp;VAR:Y1=2009&amp;VAR:V0=11.860899&amp;VAR:V1=10.486725&amp;VAR:V=10.669100&amp;VAR:AUDIT_ID=00000117&amp;VAR:DATE=20081107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Aggregates&amp;VAR:MEASURE=PE_MEAN&amp;VAR:CALC_MODE=PORTFOLIO&amp;VAR:CHGPERIOD=NA&amp;VAR:FQLFORMULA=FMA_PE&amp;VAR:CURRENCY=USD&amp;VAR:P=9","30.992881&amp;VAR:THRESH=||||||&amp;VAR:null=.html"}</definedName>
    <definedName name="_1010__FDSAUDITLINK__" hidden="1">{"fdsup://directions/FAT Viewer?action=UPDATE&amp;creator=factset&amp;DYN_ARGS=TRUE&amp;DOC_NAME=FAT:FQL_AUDITING_CLIENT_TEMPLATE.FAT&amp;display_string=Audit&amp;VAR:KEY=XSPCXOXWFG&amp;VAR:QUERY=RkZfUkRfRVhQKENBTCwyMDA4LCwsLFVTRCk=&amp;WINDOW=FIRST_POPUP&amp;HEIGHT=450&amp;WIDTH=450&amp;START_MA","XIMIZED=FALSE&amp;VAR:CALENDAR=US&amp;VAR:SYMBOL=630720&amp;VAR:INDEX=0"}</definedName>
    <definedName name="_1011__FDSAUDITLINK__" hidden="1">{"fdsup://directions/FAT Viewer?action=UPDATE&amp;creator=factset&amp;DYN_ARGS=TRUE&amp;DOC_NAME=FAT:FQL_AUDITING_CLIENT_TEMPLATE.FAT&amp;display_string=Audit&amp;VAR:KEY=BEDORSJANQ&amp;VAR:QUERY=RkZfUkRfRVhQKENBTCwyMDA3LCwsLFVTRCk=&amp;WINDOW=FIRST_POPUP&amp;HEIGHT=450&amp;WIDTH=450&amp;START_MA","XIMIZED=FALSE&amp;VAR:CALENDAR=US&amp;VAR:SYMBOL=630720&amp;VAR:INDEX=0"}</definedName>
    <definedName name="_1012__FDSAUDITLINK__" hidden="1">{"fdsup://directions/FAT Viewer?action=UPDATE&amp;creator=factset&amp;DYN_ARGS=TRUE&amp;DOC_NAME=FAT:FQL_AUDITING_CLIENT_TEMPLATE.FAT&amp;display_string=Audit&amp;VAR:KEY=ZEPGFQJADE&amp;VAR:QUERY=RkZfUkRfRVhQKENBTCwyMDA4LCwsLFVTRCk=&amp;WINDOW=FIRST_POPUP&amp;HEIGHT=450&amp;WIDTH=450&amp;START_MA","XIMIZED=FALSE&amp;VAR:CALENDAR=US&amp;VAR:SYMBOL=698538&amp;VAR:INDEX=0"}</definedName>
    <definedName name="_1013__FDSAUDITLINK__" hidden="1">{"fdsup://directions/FAT Viewer?action=UPDATE&amp;creator=factset&amp;DYN_ARGS=TRUE&amp;DOC_NAME=FAT:FQL_AUDITING_CLIENT_TEMPLATE.FAT&amp;display_string=Audit&amp;VAR:KEY=HALOFQXSVO&amp;VAR:QUERY=RkZfUkRfRVhQKENBTCwyMDA3LCwsLFVTRCk=&amp;WINDOW=FIRST_POPUP&amp;HEIGHT=450&amp;WIDTH=450&amp;START_MA","XIMIZED=FALSE&amp;VAR:CALENDAR=US&amp;VAR:SYMBOL=698538&amp;VAR:INDEX=0"}</definedName>
    <definedName name="_1014__FDSAUDITLINK__" hidden="1">{"fdsup://directions/FAT Viewer?action=UPDATE&amp;creator=factset&amp;DYN_ARGS=TRUE&amp;DOC_NAME=FAT:FQL_AUDITING_CLIENT_TEMPLATE.FAT&amp;display_string=Audit&amp;VAR:KEY=BURSXUHEJK&amp;VAR:QUERY=RkZfUkRfRVhQKENBTCwyMDA4LCwsLFVTRCk=&amp;WINDOW=FIRST_POPUP&amp;HEIGHT=450&amp;WIDTH=450&amp;START_MA","XIMIZED=FALSE&amp;VAR:CALENDAR=US&amp;VAR:SYMBOL=B0J7D9&amp;VAR:INDEX=0"}</definedName>
    <definedName name="_1015__FDSAUDITLINK__" hidden="1">{"fdsup://directions/FAT Viewer?action=UPDATE&amp;creator=factset&amp;DYN_ARGS=TRUE&amp;DOC_NAME=FAT:FQL_AUDITING_CLIENT_TEMPLATE.FAT&amp;display_string=Audit&amp;VAR:KEY=LABKHYRYVS&amp;VAR:QUERY=RkZfUkRfRVhQKENBTCwyMDA3LCwsLFVTRCk=&amp;WINDOW=FIRST_POPUP&amp;HEIGHT=450&amp;WIDTH=450&amp;START_MA","XIMIZED=FALSE&amp;VAR:CALENDAR=US&amp;VAR:SYMBOL=B0J7D9&amp;VAR:INDEX=0"}</definedName>
    <definedName name="_1016__FDSAUDITLINK__" hidden="1">{"fdsup://directions/FAT Viewer?action=UPDATE&amp;creator=factset&amp;DYN_ARGS=TRUE&amp;DOC_NAME=FAT:FQL_AUDITING_CLIENT_TEMPLATE.FAT&amp;display_string=Audit&amp;VAR:KEY=XQBYHAHMJE&amp;VAR:QUERY=RkZfUkRfRVhQKENBTCwyMDA4LCwsLFVTRCk=&amp;WINDOW=FIRST_POPUP&amp;HEIGHT=450&amp;WIDTH=450&amp;START_MA","XIMIZED=FALSE&amp;VAR:CALENDAR=US&amp;VAR:SYMBOL=AMGN&amp;VAR:INDEX=0"}</definedName>
    <definedName name="_1017__FDSAUDITLINK__" hidden="1">{"fdsup://directions/FAT Viewer?action=UPDATE&amp;creator=factset&amp;DYN_ARGS=TRUE&amp;DOC_NAME=FAT:FQL_AUDITING_CLIENT_TEMPLATE.FAT&amp;display_string=Audit&amp;VAR:KEY=RWVUPEFUXW&amp;VAR:QUERY=RkZfUkRfRVhQKENBTCwyMDA3LCwsLFVTRCk=&amp;WINDOW=FIRST_POPUP&amp;HEIGHT=450&amp;WIDTH=450&amp;START_MA","XIMIZED=FALSE&amp;VAR:CALENDAR=US&amp;VAR:SYMBOL=AMGN&amp;VAR:INDEX=0"}</definedName>
    <definedName name="_1018__FDSAUDITLINK__" hidden="1">{"fdsup://directions/FAT Viewer?action=UPDATE&amp;creator=factset&amp;DYN_ARGS=TRUE&amp;DOC_NAME=FAT:FQL_AUDITING_CLIENT_TEMPLATE.FAT&amp;display_string=Audit&amp;VAR:KEY=HUJQRCJEBE&amp;VAR:QUERY=RkZfUkRfRVhQKENBTCwyMDA4LCwsLFVTRCk=&amp;WINDOW=FIRST_POPUP&amp;HEIGHT=450&amp;WIDTH=450&amp;START_MA","XIMIZED=FALSE&amp;VAR:CALENDAR=US&amp;VAR:SYMBOL=ABT&amp;VAR:INDEX=0"}</definedName>
    <definedName name="_1019__FDSAUDITLINK__" hidden="1">{"fdsup://directions/FAT Viewer?action=UPDATE&amp;creator=factset&amp;DYN_ARGS=TRUE&amp;DOC_NAME=FAT:FQL_AUDITING_CLIENT_TEMPLATE.FAT&amp;display_string=Audit&amp;VAR:KEY=BYVWXYRQNK&amp;VAR:QUERY=RkZfUkRfRVhQKENBTCwyMDA3LCwsLFVTRCk=&amp;WINDOW=FIRST_POPUP&amp;HEIGHT=450&amp;WIDTH=450&amp;START_MA","XIMIZED=FALSE&amp;VAR:CALENDAR=US&amp;VAR:SYMBOL=ABT&amp;VAR:INDEX=0"}</definedName>
    <definedName name="_102__FDSAUDITLINK__" hidden="1">{"fdsup://directions/FAT%20Viewer?VAR:TM=NTMA&amp;VAR:PCT=0.166667&amp;VAR:Y0=2008&amp;VAR:Y1=2009&amp;VAR:V0=12.235438&amp;VAR:V1=10.699897&amp;VAR:V=10.928483&amp;VAR:AUDIT_ID=00000117&amp;VAR:DATE=20081031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Aggregates&amp;VAR:MEASURE=PE_MEAN&amp;VAR:CALC_MODE=PORTFOLIO&amp;VAR:CHGPERIOD=NA&amp;VAR:FQLFORMULA=FMA_PE&amp;VAR:CURRENCY=USD&amp;VAR:P=9","68.753800&amp;VAR:THRESH=||||||&amp;VAR:null=.html"}</definedName>
    <definedName name="_1020__FDSAUDITLINK__" hidden="1">{"fdsup://directions/FAT Viewer?action=UPDATE&amp;creator=factset&amp;DYN_ARGS=TRUE&amp;DOC_NAME=FAT:FQL_AUDITING_CLIENT_TEMPLATE.FAT&amp;display_string=Audit&amp;VAR:KEY=ZUPYRQFSRU&amp;VAR:QUERY=RkZfUkRfRVhQKENBTCwyMDA4LCwsLFVTRCk=&amp;WINDOW=FIRST_POPUP&amp;HEIGHT=450&amp;WIDTH=450&amp;START_MA","XIMIZED=FALSE&amp;VAR:CALENDAR=US&amp;VAR:SYMBOL=687044&amp;VAR:INDEX=0"}</definedName>
    <definedName name="_1021__FDSAUDITLINK__" hidden="1">{"fdsup://directions/FAT Viewer?action=UPDATE&amp;creator=factset&amp;DYN_ARGS=TRUE&amp;DOC_NAME=FAT:FQL_AUDITING_CLIENT_TEMPLATE.FAT&amp;display_string=Audit&amp;VAR:KEY=ZMRALSXARE&amp;VAR:QUERY=RkZfUkRfRVhQKENBTCwyMDA3LCwsLFVTRCk=&amp;WINDOW=FIRST_POPUP&amp;HEIGHT=450&amp;WIDTH=450&amp;START_MA","XIMIZED=FALSE&amp;VAR:CALENDAR=US&amp;VAR:SYMBOL=687044&amp;VAR:INDEX=0"}</definedName>
    <definedName name="_1022__FDSAUDITLINK__" hidden="1">{"fdsup://directions/FAT Viewer?action=UPDATE&amp;creator=factset&amp;DYN_ARGS=TRUE&amp;DOC_NAME=FAT:FQL_AUDITING_CLIENT_TEMPLATE.FAT&amp;display_string=Audit&amp;VAR:KEY=ZMZYLSXEVK&amp;VAR:QUERY=RkZfUkRfRVhQKENBTCwyMDA4LCwsLFVTRCk=&amp;WINDOW=FIRST_POPUP&amp;HEIGHT=450&amp;WIDTH=450&amp;START_MA","XIMIZED=FALSE&amp;VAR:CALENDAR=US&amp;VAR:SYMBOL=BMY&amp;VAR:INDEX=0"}</definedName>
    <definedName name="_1023__FDSAUDITLINK__" hidden="1">{"fdsup://directions/FAT Viewer?action=UPDATE&amp;creator=factset&amp;DYN_ARGS=TRUE&amp;DOC_NAME=FAT:FQL_AUDITING_CLIENT_TEMPLATE.FAT&amp;display_string=Audit&amp;VAR:KEY=RENSXGJCBC&amp;VAR:QUERY=RkZfUkRfRVhQKENBTCwyMDA3LCwsLFVTRCk=&amp;WINDOW=FIRST_POPUP&amp;HEIGHT=450&amp;WIDTH=450&amp;START_MA","XIMIZED=FALSE&amp;VAR:CALENDAR=US&amp;VAR:SYMBOL=BMY&amp;VAR:INDEX=0"}</definedName>
    <definedName name="_1024__FDSAUDITLINK__" hidden="1">{"fdsup://directions/FAT Viewer?action=UPDATE&amp;creator=factset&amp;DYN_ARGS=TRUE&amp;DOC_NAME=FAT:FQL_AUDITING_CLIENT_TEMPLATE.FAT&amp;display_string=Audit&amp;VAR:KEY=BSNATUHMFQ&amp;VAR:QUERY=RkZfUkRfRVhQKENBTCwyMDA4LCwsLFVTRCk=&amp;WINDOW=FIRST_POPUP&amp;HEIGHT=450&amp;WIDTH=450&amp;START_MA","XIMIZED=FALSE&amp;VAR:CALENDAR=US&amp;VAR:SYMBOL=LLY&amp;VAR:INDEX=0"}</definedName>
    <definedName name="_1025__FDSAUDITLINK__" hidden="1">{"fdsup://directions/FAT Viewer?action=UPDATE&amp;creator=factset&amp;DYN_ARGS=TRUE&amp;DOC_NAME=FAT:FQL_AUDITING_CLIENT_TEMPLATE.FAT&amp;display_string=Audit&amp;VAR:KEY=DOHSHEVKPM&amp;VAR:QUERY=RkZfUkRfRVhQKENBTCwyMDA3LCwsLFVTRCk=&amp;WINDOW=FIRST_POPUP&amp;HEIGHT=450&amp;WIDTH=450&amp;START_MA","XIMIZED=FALSE&amp;VAR:CALENDAR=US&amp;VAR:SYMBOL=LLY&amp;VAR:INDEX=0"}</definedName>
    <definedName name="_1026__FDSAUDITLINK__" hidden="1">{"fdsup://directions/FAT Viewer?action=UPDATE&amp;creator=factset&amp;DYN_ARGS=TRUE&amp;DOC_NAME=FAT:FQL_AUDITING_CLIENT_TEMPLATE.FAT&amp;display_string=Audit&amp;VAR:KEY=JKHWTOZSRO&amp;VAR:QUERY=RkZfUkRfRVhQKENBTCwyMDA4LCwsLFVTRCk=&amp;WINDOW=FIRST_POPUP&amp;HEIGHT=450&amp;WIDTH=450&amp;START_MA","XIMIZED=FALSE&amp;VAR:CALENDAR=US&amp;VAR:SYMBOL=506921&amp;VAR:INDEX=0"}</definedName>
    <definedName name="_1027__FDSAUDITLINK__" hidden="1">{"fdsup://directions/FAT Viewer?action=UPDATE&amp;creator=factset&amp;DYN_ARGS=TRUE&amp;DOC_NAME=FAT:FQL_AUDITING_CLIENT_TEMPLATE.FAT&amp;display_string=Audit&amp;VAR:KEY=RCZEJWXODC&amp;VAR:QUERY=RkZfUkRfRVhQKENBTCwyMDA3LCwsLFVTRCk=&amp;WINDOW=FIRST_POPUP&amp;HEIGHT=450&amp;WIDTH=450&amp;START_MA","XIMIZED=FALSE&amp;VAR:CALENDAR=US&amp;VAR:SYMBOL=506921&amp;VAR:INDEX=0"}</definedName>
    <definedName name="_1028__FDSAUDITLINK__" hidden="1">{"fdsup://directions/FAT Viewer?action=UPDATE&amp;creator=factset&amp;DYN_ARGS=TRUE&amp;DOC_NAME=FAT:FQL_AUDITING_CLIENT_TEMPLATE.FAT&amp;display_string=Audit&amp;VAR:KEY=NGTOJGBUXY&amp;VAR:QUERY=RkZfUkRfRVhQKENBTCwyMDA4LCwsLFVTRCk=&amp;WINDOW=FIRST_POPUP&amp;HEIGHT=450&amp;WIDTH=450&amp;START_MA","XIMIZED=FALSE&amp;VAR:CALENDAR=US&amp;VAR:SYMBOL=567173&amp;VAR:INDEX=0"}</definedName>
    <definedName name="_1029__FDSAUDITLINK__" hidden="1">{"fdsup://directions/FAT Viewer?action=UPDATE&amp;creator=factset&amp;DYN_ARGS=TRUE&amp;DOC_NAME=FAT:FQL_AUDITING_CLIENT_TEMPLATE.FAT&amp;display_string=Audit&amp;VAR:KEY=RAZEFOLQPC&amp;VAR:QUERY=RkZfUkRfRVhQKENBTCwyMDA3LCwsLFVTRCk=&amp;WINDOW=FIRST_POPUP&amp;HEIGHT=450&amp;WIDTH=450&amp;START_MA","XIMIZED=FALSE&amp;VAR:CALENDAR=US&amp;VAR:SYMBOL=567173&amp;VAR:INDEX=0"}</definedName>
    <definedName name="_103__FDSAUDITLINK__" hidden="1">{"fdsup://directions/FAT%20Viewer?VAR:TM=NTMA&amp;VAR:PCT=0.185792&amp;VAR:Y0=2008&amp;VAR:Y1=2009&amp;VAR:V0=11.002497&amp;VAR:V1=9.431371&amp;VAR:V=9.688411&amp;VAR:AUDIT_ID=00000117&amp;VAR:DATE=20081024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Aggregates&amp;VAR:MEASURE=PE_MEAN&amp;VAR:CALC_MODE=PORTFOLIO&amp;VAR:CHGPERIOD=NA&amp;VAR:FQLFORMULA=FMA_PE&amp;VAR:CURRENCY=USD&amp;VAR:P=876",".769600&amp;VAR:THRESH=||||||&amp;VAR:null=.html"}</definedName>
    <definedName name="_1030__FDSAUDITLINK__" hidden="1">{"fdsup://directions/FAT Viewer?action=UPDATE&amp;creator=factset&amp;DYN_ARGS=TRUE&amp;DOC_NAME=FAT:FQL_AUDITING_CLIENT_TEMPLATE.FAT&amp;display_string=Audit&amp;VAR:KEY=XKRABGFMPG&amp;VAR:QUERY=RkZfUkRfRVhQKENBTCwyMDA4LCwsLFVTRCk=&amp;WINDOW=FIRST_POPUP&amp;HEIGHT=450&amp;WIDTH=450&amp;START_MA","XIMIZED=FALSE&amp;VAR:CALENDAR=US&amp;VAR:SYMBOL=JNJ&amp;VAR:INDEX=0"}</definedName>
    <definedName name="_1031__FDSAUDITLINK__" hidden="1">{"fdsup://directions/FAT Viewer?action=UPDATE&amp;creator=factset&amp;DYN_ARGS=TRUE&amp;DOC_NAME=FAT:FQL_AUDITING_CLIENT_TEMPLATE.FAT&amp;display_string=Audit&amp;VAR:KEY=LCJKLSDCRQ&amp;VAR:QUERY=RkZfUkRfRVhQKENBTCwyMDA3LCwsLFVTRCk=&amp;WINDOW=FIRST_POPUP&amp;HEIGHT=450&amp;WIDTH=450&amp;START_MA","XIMIZED=FALSE&amp;VAR:CALENDAR=US&amp;VAR:SYMBOL=JNJ&amp;VAR:INDEX=0"}</definedName>
    <definedName name="_1032__FDSAUDITLINK__" hidden="1">{"fdsup://directions/FAT Viewer?action=UPDATE&amp;creator=factset&amp;DYN_ARGS=TRUE&amp;DOC_NAME=FAT:FQL_AUDITING_CLIENT_TEMPLATE.FAT&amp;display_string=Audit&amp;VAR:KEY=LMTQHUVWVA&amp;VAR:QUERY=RkZfUkRfRVhQKENBTCwyMDA4LCwsLFVTRCk=&amp;WINDOW=FIRST_POPUP&amp;HEIGHT=450&amp;WIDTH=450&amp;START_MA","XIMIZED=FALSE&amp;VAR:CALENDAR=US&amp;VAR:SYMBOL=710306&amp;VAR:INDEX=0"}</definedName>
    <definedName name="_1033__FDSAUDITLINK__" hidden="1">{"fdsup://directions/FAT Viewer?action=UPDATE&amp;creator=factset&amp;DYN_ARGS=TRUE&amp;DOC_NAME=FAT:FQL_AUDITING_CLIENT_TEMPLATE.FAT&amp;display_string=Audit&amp;VAR:KEY=VYTORQNKTW&amp;VAR:QUERY=RkZfUkRfRVhQKENBTCwyMDA3LCwsLFVTRCk=&amp;WINDOW=FIRST_POPUP&amp;HEIGHT=450&amp;WIDTH=450&amp;START_MA","XIMIZED=FALSE&amp;VAR:CALENDAR=US&amp;VAR:SYMBOL=710306&amp;VAR:INDEX=0"}</definedName>
    <definedName name="_1034__FDSAUDITLINK__" hidden="1">{"fdsup://directions/FAT Viewer?action=UPDATE&amp;creator=factset&amp;DYN_ARGS=TRUE&amp;DOC_NAME=FAT:FQL_AUDITING_CLIENT_TEMPLATE.FAT&amp;display_string=Audit&amp;VAR:KEY=RAFAPGJURW&amp;VAR:QUERY=RkZfUkRfRVhQKENBTCwyMDA4LCwsLFVTRCk=&amp;WINDOW=FIRST_POPUP&amp;HEIGHT=450&amp;WIDTH=450&amp;START_MA","XIMIZED=FALSE&amp;VAR:CALENDAR=US&amp;VAR:SYMBOL=711038&amp;VAR:INDEX=0"}</definedName>
    <definedName name="_1035__FDSAUDITLINK__" hidden="1">{"fdsup://directions/FAT Viewer?action=UPDATE&amp;creator=factset&amp;DYN_ARGS=TRUE&amp;DOC_NAME=FAT:FQL_AUDITING_CLIENT_TEMPLATE.FAT&amp;display_string=Audit&amp;VAR:KEY=LKDSHOXEJE&amp;VAR:QUERY=RkZfUkRfRVhQKENBTCwyMDA4LCwsLFVTRCk=&amp;WINDOW=FIRST_POPUP&amp;HEIGHT=450&amp;WIDTH=450&amp;START_MA","XIMIZED=FALSE&amp;VAR:CALENDAR=US&amp;VAR:SYMBOL=MRK&amp;VAR:INDEX=0"}</definedName>
    <definedName name="_1036__FDSAUDITLINK__" hidden="1">{"fdsup://directions/FAT Viewer?action=UPDATE&amp;creator=factset&amp;DYN_ARGS=TRUE&amp;DOC_NAME=FAT:FQL_AUDITING_CLIENT_TEMPLATE.FAT&amp;display_string=Audit&amp;VAR:KEY=TILQDMTSFA&amp;VAR:QUERY=RkZfUkRfRVhQKENBTCwyMDA3LCwsLFVTRCk=&amp;WINDOW=FIRST_POPUP&amp;HEIGHT=450&amp;WIDTH=450&amp;START_MA","XIMIZED=FALSE&amp;VAR:CALENDAR=US&amp;VAR:SYMBOL=MRK&amp;VAR:INDEX=0"}</definedName>
    <definedName name="_1037__FDSAUDITLINK__" hidden="1">{"fdsup://directions/FAT Viewer?action=UPDATE&amp;creator=factset&amp;DYN_ARGS=TRUE&amp;DOC_NAME=FAT:FQL_AUDITING_CLIENT_TEMPLATE.FAT&amp;display_string=Audit&amp;VAR:KEY=JCJYXWPCFK&amp;VAR:QUERY=RkZfUkRfRVhQKENBTCwyMDA4LCwsLFVTRCk=&amp;WINDOW=FIRST_POPUP&amp;HEIGHT=450&amp;WIDTH=450&amp;START_MA","XIMIZED=FALSE&amp;VAR:CALENDAR=US&amp;VAR:SYMBOL=PFE&amp;VAR:INDEX=0"}</definedName>
    <definedName name="_1038__FDSAUDITLINK__" hidden="1">{"fdsup://directions/FAT Viewer?action=UPDATE&amp;creator=factset&amp;DYN_ARGS=TRUE&amp;DOC_NAME=FAT:FQL_AUDITING_CLIENT_TEMPLATE.FAT&amp;display_string=Audit&amp;VAR:KEY=VABOBMLSTS&amp;VAR:QUERY=RkZfUkRfRVhQKENBTCwyMDA3LCwsLFVTRCk=&amp;WINDOW=FIRST_POPUP&amp;HEIGHT=450&amp;WIDTH=450&amp;START_MA","XIMIZED=FALSE&amp;VAR:CALENDAR=US&amp;VAR:SYMBOL=PFE&amp;VAR:INDEX=0"}</definedName>
    <definedName name="_1039__FDSAUDITLINK__" hidden="1">{"fdsup://directions/FAT Viewer?action=UPDATE&amp;creator=factset&amp;DYN_ARGS=TRUE&amp;DOC_NAME=FAT:FQL_AUDITING_CLIENT_TEMPLATE.FAT&amp;display_string=Audit&amp;VAR:KEY=LULOLUFSZY&amp;VAR:QUERY=RkZfUkRfRVhQKENBTCwzOTgxMywsLCwp&amp;WINDOW=FIRST_POPUP&amp;HEIGHT=450&amp;WIDTH=450&amp;START_MAXIMI","ZED=FALSE&amp;VAR:CALENDAR=US&amp;VAR:SYMBOL=DNA&amp;VAR:INDEX=0"}</definedName>
    <definedName name="_104__FDSAUDITLINK__" hidden="1">{"fdsup://directions/FAT%20Viewer?VAR:TM=NTMA&amp;VAR:PCT=0.204918&amp;VAR:Y0=2008&amp;VAR:Y1=2009&amp;VAR:V0=11.652285&amp;VAR:V1=9.759586&amp;VAR:V=10.095620&amp;VAR:AUDIT_ID=00000117&amp;VAR:DATE=20081017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Aggregates&amp;VAR:MEASURE=PE_MEAN&amp;VAR:CALC_MODE=PORTFOLIO&amp;VAR:CHGPERIOD=NA&amp;VAR:FQLFORMULA=FMA_PE&amp;VAR:CURRENCY=USD&amp;VAR:P=94","0.552000&amp;VAR:THRESH=||||||&amp;VAR:null=.html"}</definedName>
    <definedName name="_1040__FDSAUDITLINK__" hidden="1">{"fdsup://directions/FAT Viewer?action=UPDATE&amp;creator=factset&amp;DYN_ARGS=TRUE&amp;DOC_NAME=FAT:FQL_AUDITING_CLIENT_TEMPLATE.FAT&amp;display_string=Audit&amp;VAR:KEY=JQXWLKRQJO&amp;VAR:QUERY=RkZfUkRfRVhQKENBTCwzOTQ0NywsLCwp&amp;WINDOW=FIRST_POPUP&amp;HEIGHT=450&amp;WIDTH=450&amp;START_MAXIMI","ZED=FALSE&amp;VAR:CALENDAR=US&amp;VAR:SYMBOL=DNA&amp;VAR:INDEX=0"}</definedName>
    <definedName name="_1041__FDSAUDITLINK__" hidden="1">{"fdsup://directions/FAT Viewer?action=UPDATE&amp;creator=factset&amp;DYN_ARGS=TRUE&amp;DOC_NAME=FAT:FQL_AUDITING_CLIENT_TEMPLATE.FAT&amp;display_string=Audit&amp;VAR:KEY=HYXWNYRITG&amp;VAR:QUERY=RkZfUkRfRVhQKENBTCwzOTA4MiwsLCwp&amp;WINDOW=FIRST_POPUP&amp;HEIGHT=450&amp;WIDTH=450&amp;START_MAXIMI","ZED=FALSE&amp;VAR:CALENDAR=US&amp;VAR:SYMBOL=DNA&amp;VAR:INDEX=0"}</definedName>
    <definedName name="_1042__FDSAUDITLINK__" hidden="1">{"fdsup://directions/FAT Viewer?action=UPDATE&amp;creator=factset&amp;DYN_ARGS=TRUE&amp;DOC_NAME=FAT:FQL_AUDITING_CLIENT_TEMPLATE.FAT&amp;display_string=Audit&amp;VAR:KEY=FWHQNGDGJY&amp;VAR:QUERY=RkZfUkRfRVhQKENBTCwzODcxNywsLCwp&amp;WINDOW=FIRST_POPUP&amp;HEIGHT=450&amp;WIDTH=450&amp;START_MAXIMI","ZED=FALSE&amp;VAR:CALENDAR=US&amp;VAR:SYMBOL=DNA&amp;VAR:INDEX=0"}</definedName>
    <definedName name="_1043__FDSAUDITLINK__" hidden="1">{"fdsup://directions/FAT Viewer?action=UPDATE&amp;creator=factset&amp;DYN_ARGS=TRUE&amp;DOC_NAME=FAT:FQL_AUDITING_CLIENT_TEMPLATE.FAT&amp;display_string=Audit&amp;VAR:KEY=RQTWDYPOXG&amp;VAR:QUERY=RkZfUkRfRVhQKENBTCwzODM1MiwsLCwp&amp;WINDOW=FIRST_POPUP&amp;HEIGHT=450&amp;WIDTH=450&amp;START_MAXIMI","ZED=FALSE&amp;VAR:CALENDAR=US&amp;VAR:SYMBOL=DNA&amp;VAR:INDEX=0"}</definedName>
    <definedName name="_1044__FDSAUDITLINK__" hidden="1">{"fdsup://directions/FAT Viewer?action=UPDATE&amp;creator=factset&amp;DYN_ARGS=TRUE&amp;DOC_NAME=FAT:FQL_AUDITING_CLIENT_TEMPLATE.FAT&amp;display_string=Audit&amp;VAR:KEY=ZWNOBEDCJI&amp;VAR:QUERY=RkZfUkRfRVhQKENBTCwzOTgxMywsLCwp&amp;WINDOW=FIRST_POPUP&amp;HEIGHT=450&amp;WIDTH=450&amp;START_MAXIMI","ZED=FALSE&amp;VAR:CALENDAR=US&amp;VAR:SYMBOL=SGP&amp;VAR:INDEX=0"}</definedName>
    <definedName name="_1045__FDSAUDITLINK__" hidden="1">{"fdsup://directions/FAT Viewer?action=UPDATE&amp;creator=factset&amp;DYN_ARGS=TRUE&amp;DOC_NAME=FAT:FQL_AUDITING_CLIENT_TEMPLATE.FAT&amp;display_string=Audit&amp;VAR:KEY=VERKZCBWNO&amp;VAR:QUERY=RkZfUkRfRVhQKENBTCwzOTQ0NywsLCwp&amp;WINDOW=FIRST_POPUP&amp;HEIGHT=450&amp;WIDTH=450&amp;START_MAXIMI","ZED=FALSE&amp;VAR:CALENDAR=US&amp;VAR:SYMBOL=SGP&amp;VAR:INDEX=0"}</definedName>
    <definedName name="_1046__FDSAUDITLINK__" hidden="1">{"fdsup://directions/FAT Viewer?action=UPDATE&amp;creator=factset&amp;DYN_ARGS=TRUE&amp;DOC_NAME=FAT:FQL_AUDITING_CLIENT_TEMPLATE.FAT&amp;display_string=Audit&amp;VAR:KEY=VGVGPSRCRG&amp;VAR:QUERY=RkZfUkRfRVhQKENBTCwzOTA4MiwsLCwp&amp;WINDOW=FIRST_POPUP&amp;HEIGHT=450&amp;WIDTH=450&amp;START_MAXIMI","ZED=FALSE&amp;VAR:CALENDAR=US&amp;VAR:SYMBOL=SGP&amp;VAR:INDEX=0"}</definedName>
    <definedName name="_1047__FDSAUDITLINK__" hidden="1">{"fdsup://directions/FAT Viewer?action=UPDATE&amp;creator=factset&amp;DYN_ARGS=TRUE&amp;DOC_NAME=FAT:FQL_AUDITING_CLIENT_TEMPLATE.FAT&amp;display_string=Audit&amp;VAR:KEY=DQBAJYBAFW&amp;VAR:QUERY=RkZfUkRfRVhQKENBTCwzODcxNywsLCwp&amp;WINDOW=FIRST_POPUP&amp;HEIGHT=450&amp;WIDTH=450&amp;START_MAXIMI","ZED=FALSE&amp;VAR:CALENDAR=US&amp;VAR:SYMBOL=SGP&amp;VAR:INDEX=0"}</definedName>
    <definedName name="_1048__FDSAUDITLINK__" hidden="1">{"fdsup://directions/FAT Viewer?action=UPDATE&amp;creator=factset&amp;DYN_ARGS=TRUE&amp;DOC_NAME=FAT:FQL_AUDITING_CLIENT_TEMPLATE.FAT&amp;display_string=Audit&amp;VAR:KEY=HSTURMXUFQ&amp;VAR:QUERY=RkZfUkRfRVhQKENBTCwzODM1MiwsLCwp&amp;WINDOW=FIRST_POPUP&amp;HEIGHT=450&amp;WIDTH=450&amp;START_MAXIMI","ZED=FALSE&amp;VAR:CALENDAR=US&amp;VAR:SYMBOL=SGP&amp;VAR:INDEX=0"}</definedName>
    <definedName name="_1049__FDSAUDITLINK__" hidden="1">{"fdsup://directions/FAT Viewer?action=UPDATE&amp;creator=factset&amp;DYN_ARGS=TRUE&amp;DOC_NAME=FAT:FQL_AUDITING_CLIENT_TEMPLATE.FAT&amp;display_string=Audit&amp;VAR:KEY=PAJYJYJAHE&amp;VAR:QUERY=RkZfUkRfRVhQKENBTCwzOTgxMywsLCwp&amp;WINDOW=FIRST_POPUP&amp;HEIGHT=450&amp;WIDTH=450&amp;START_MAXIMI","ZED=FALSE&amp;VAR:CALENDAR=US&amp;VAR:SYMBOL=WYE&amp;VAR:INDEX=0"}</definedName>
    <definedName name="_105__FDSAUDITLINK__" hidden="1">{"fdsup://directions/FAT%20Viewer?VAR:TM=NTMA&amp;VAR:PCT=0.224044&amp;VAR:Y0=2008&amp;VAR:Y1=2009&amp;VAR:V0=10.975668&amp;VAR:V1=9.104337&amp;VAR:V=9.465926&amp;VAR:AUDIT_ID=00000117&amp;VAR:DATE=20081010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Aggregates&amp;VAR:MEASURE=PE_MEAN&amp;VAR:CALC_MODE=PORTFOLIO&amp;VAR:CHGPERIOD=NA&amp;VAR:FQLFORMULA=FMA_PE&amp;VAR:CURRENCY=USD&amp;VAR:P=899",".216300&amp;VAR:THRESH=||||||&amp;VAR:null=.html"}</definedName>
    <definedName name="_1050__FDSAUDITLINK__" hidden="1">{"fdsup://directions/FAT Viewer?action=UPDATE&amp;creator=factset&amp;DYN_ARGS=TRUE&amp;DOC_NAME=FAT:FQL_AUDITING_CLIENT_TEMPLATE.FAT&amp;display_string=Audit&amp;VAR:KEY=NYXURMTONW&amp;VAR:QUERY=RkZfUkRfRVhQKENBTCwzOTQ0NywsLCwp&amp;WINDOW=FIRST_POPUP&amp;HEIGHT=450&amp;WIDTH=450&amp;START_MAXIMI","ZED=FALSE&amp;VAR:CALENDAR=US&amp;VAR:SYMBOL=WYE&amp;VAR:INDEX=0"}</definedName>
    <definedName name="_1051__FDSAUDITLINK__" hidden="1">{"fdsup://directions/FAT Viewer?action=UPDATE&amp;creator=factset&amp;DYN_ARGS=TRUE&amp;DOC_NAME=FAT:FQL_AUDITING_CLIENT_TEMPLATE.FAT&amp;display_string=Audit&amp;VAR:KEY=XWTYLUVGBU&amp;VAR:QUERY=RkZfUkRfRVhQKENBTCwzOTA4MiwsLCwp&amp;WINDOW=FIRST_POPUP&amp;HEIGHT=450&amp;WIDTH=450&amp;START_MAXIMI","ZED=FALSE&amp;VAR:CALENDAR=US&amp;VAR:SYMBOL=WYE&amp;VAR:INDEX=0"}</definedName>
    <definedName name="_1052__FDSAUDITLINK__" hidden="1">{"fdsup://directions/FAT Viewer?action=UPDATE&amp;creator=factset&amp;DYN_ARGS=TRUE&amp;DOC_NAME=FAT:FQL_AUDITING_CLIENT_TEMPLATE.FAT&amp;display_string=Audit&amp;VAR:KEY=DGDCHUBYVS&amp;VAR:QUERY=RkZfUkRfRVhQKENBTCwzODcxNywsLCwp&amp;WINDOW=FIRST_POPUP&amp;HEIGHT=450&amp;WIDTH=450&amp;START_MAXIMI","ZED=FALSE&amp;VAR:CALENDAR=US&amp;VAR:SYMBOL=WYE&amp;VAR:INDEX=0"}</definedName>
    <definedName name="_1053__FDSAUDITLINK__" hidden="1">{"fdsup://directions/FAT Viewer?action=UPDATE&amp;creator=factset&amp;DYN_ARGS=TRUE&amp;DOC_NAME=FAT:FQL_AUDITING_CLIENT_TEMPLATE.FAT&amp;display_string=Audit&amp;VAR:KEY=HKXMFCNQRG&amp;VAR:QUERY=RkZfUkRfRVhQKENBTCwzODM1MiwsLCwp&amp;WINDOW=FIRST_POPUP&amp;HEIGHT=450&amp;WIDTH=450&amp;START_MAXIMI","ZED=FALSE&amp;VAR:CALENDAR=US&amp;VAR:SYMBOL=WYE&amp;VAR:INDEX=0"}</definedName>
    <definedName name="_1054__FDSAUDITLINK__" hidden="1">{"fdsup://directions/FAT Viewer?action=UPDATE&amp;creator=factset&amp;DYN_ARGS=TRUE&amp;DOC_NAME=FAT:FQL_AUDITING_CLIENT_TEMPLATE.FAT&amp;display_string=Audit&amp;VAR:KEY=FADGZQHEFC&amp;VAR:QUERY=RkZfUkRfRVhQKENBTCw0MDU0MywsLCxVU0Qp&amp;WINDOW=FIRST_POPUP&amp;HEIGHT=450&amp;WIDTH=450&amp;START_MA","XIMIZED=FALSE&amp;VAR:CALENDAR=US&amp;VAR:SYMBOL=BIIB&amp;VAR:INDEX=0"}</definedName>
    <definedName name="_1055__FDSAUDITLINK__" hidden="1">{"fdsup://directions/FAT Viewer?action=UPDATE&amp;creator=factset&amp;DYN_ARGS=TRUE&amp;DOC_NAME=FAT:FQL_AUDITING_CLIENT_TEMPLATE.FAT&amp;display_string=Audit&amp;VAR:KEY=NSPUJGFSHI&amp;VAR:QUERY=RkZfUkRfRVhQKENBTCw0MDU0MywsLCxVU0Qp&amp;WINDOW=FIRST_POPUP&amp;HEIGHT=450&amp;WIDTH=450&amp;START_MA","XIMIZED=FALSE&amp;VAR:CALENDAR=US&amp;VAR:SYMBOL=707752&amp;VAR:INDEX=0"}</definedName>
    <definedName name="_1056__FDSAUDITLINK__" hidden="1">{"fdsup://directions/FAT Viewer?action=UPDATE&amp;creator=factset&amp;DYN_ARGS=TRUE&amp;DOC_NAME=FAT:FQL_AUDITING_CLIENT_TEMPLATE.FAT&amp;display_string=Audit&amp;VAR:KEY=PWJMJAPQXA&amp;VAR:QUERY=RkZfUkRfRVhQKENBTCw0MDU0MywsLCxVU0Qp&amp;WINDOW=FIRST_POPUP&amp;HEIGHT=450&amp;WIDTH=450&amp;START_MA","XIMIZED=FALSE&amp;VAR:CALENDAR=US&amp;VAR:SYMBOL=630720&amp;VAR:INDEX=0"}</definedName>
    <definedName name="_1057__FDSAUDITLINK__" hidden="1">{"fdsup://directions/FAT Viewer?action=UPDATE&amp;creator=factset&amp;DYN_ARGS=TRUE&amp;DOC_NAME=FAT:FQL_AUDITING_CLIENT_TEMPLATE.FAT&amp;display_string=Audit&amp;VAR:KEY=TQDGRYXUPO&amp;VAR:QUERY=RkZfUkRfRVhQKENBTCw0MDU0MywsLCxVU0Qp&amp;WINDOW=FIRST_POPUP&amp;HEIGHT=450&amp;WIDTH=450&amp;START_MA","XIMIZED=FALSE&amp;VAR:CALENDAR=US&amp;VAR:SYMBOL=698538&amp;VAR:INDEX=0"}</definedName>
    <definedName name="_1058__FDSAUDITLINK__" hidden="1">{"fdsup://directions/FAT Viewer?action=UPDATE&amp;creator=factset&amp;DYN_ARGS=TRUE&amp;DOC_NAME=FAT:FQL_AUDITING_CLIENT_TEMPLATE.FAT&amp;display_string=Audit&amp;VAR:KEY=LCNIRKJOVO&amp;VAR:QUERY=RkZfUkRfRVhQKENBTCw0MDU0MywsLCxVU0Qp&amp;WINDOW=FIRST_POPUP&amp;HEIGHT=450&amp;WIDTH=450&amp;START_MA","XIMIZED=FALSE&amp;VAR:CALENDAR=US&amp;VAR:SYMBOL=474184&amp;VAR:INDEX=0"}</definedName>
    <definedName name="_1059__FDSAUDITLINK__" hidden="1">{"fdsup://directions/FAT Viewer?action=UPDATE&amp;creator=factset&amp;DYN_ARGS=TRUE&amp;DOC_NAME=FAT:FQL_AUDITING_CLIENT_TEMPLATE.FAT&amp;display_string=Audit&amp;VAR:KEY=JAPATOHCPG&amp;VAR:QUERY=RkZfUkRfRVhQKENBTCw0MDU0MywsLCxVU0Qp&amp;WINDOW=FIRST_POPUP&amp;HEIGHT=450&amp;WIDTH=450&amp;START_MA","XIMIZED=FALSE&amp;VAR:CALENDAR=US&amp;VAR:SYMBOL=B0J7D9&amp;VAR:INDEX=0"}</definedName>
    <definedName name="_106__FDSAUDITLINK__" hidden="1">{"fdsup://directions/FAT%20Viewer?VAR:TM=NTMA&amp;VAR:PCT=0.243169&amp;VAR:Y0=2008&amp;VAR:Y1=2009&amp;VAR:V0=13.204147&amp;VAR:V1=10.858740&amp;VAR:V=11.348939&amp;VAR:AUDIT_ID=00000117&amp;VAR:DATE=20081003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Aggregates&amp;VAR:MEASURE=PE_MEAN&amp;VAR:CALC_MODE=PORTFOLIO&amp;VAR:CHGPERIOD=NA&amp;VAR:FQLFORMULA=FMA_PE&amp;VAR:CURRENCY=USD&amp;VAR:P=1","099.233800&amp;VAR:THRESH=||||||&amp;VAR:null=.html"}</definedName>
    <definedName name="_1060__FDSAUDITLINK__" hidden="1">{"fdsup://directions/FAT Viewer?action=UPDATE&amp;creator=factset&amp;DYN_ARGS=TRUE&amp;DOC_NAME=FAT:FQL_AUDITING_CLIENT_TEMPLATE.FAT&amp;display_string=Audit&amp;VAR:KEY=ZURSDKXMDW&amp;VAR:QUERY=RkZfUkRfRVhQKENBTCw0MDU0MywsLCxVU0Qp&amp;WINDOW=FIRST_POPUP&amp;HEIGHT=450&amp;WIDTH=450&amp;START_MA","XIMIZED=FALSE&amp;VAR:CALENDAR=US&amp;VAR:SYMBOL=AMGN&amp;VAR:INDEX=0"}</definedName>
    <definedName name="_1061__FDSAUDITLINK__" hidden="1">{"fdsup://directions/FAT Viewer?action=UPDATE&amp;creator=factset&amp;DYN_ARGS=TRUE&amp;DOC_NAME=FAT:FQL_AUDITING_CLIENT_TEMPLATE.FAT&amp;display_string=Audit&amp;VAR:KEY=JWREDEZOBE&amp;VAR:QUERY=RkZfUkRfRVhQKENBTCw0MDU0MywsLCxVU0Qp&amp;WINDOW=FIRST_POPUP&amp;HEIGHT=450&amp;WIDTH=450&amp;START_MA","XIMIZED=FALSE&amp;VAR:CALENDAR=US&amp;VAR:SYMBOL=ABT&amp;VAR:INDEX=0"}</definedName>
    <definedName name="_1062__FDSAUDITLINK__" hidden="1">{"fdsup://directions/FAT Viewer?action=UPDATE&amp;creator=factset&amp;DYN_ARGS=TRUE&amp;DOC_NAME=FAT:FQL_AUDITING_CLIENT_TEMPLATE.FAT&amp;display_string=Audit&amp;VAR:KEY=FMHOHWFCHA&amp;VAR:QUERY=RkZfUkRfRVhQKENBTCw0MDU0MywsLCxVU0Qp&amp;WINDOW=FIRST_POPUP&amp;HEIGHT=450&amp;WIDTH=450&amp;START_MA","XIMIZED=FALSE&amp;VAR:CALENDAR=US&amp;VAR:SYMBOL=687044&amp;VAR:INDEX=0"}</definedName>
    <definedName name="_1063__FDSAUDITLINK__" hidden="1">{"fdsup://directions/FAT Viewer?action=UPDATE&amp;creator=factset&amp;DYN_ARGS=TRUE&amp;DOC_NAME=FAT:FQL_AUDITING_CLIENT_TEMPLATE.FAT&amp;display_string=Audit&amp;VAR:KEY=BCRMHOHMDU&amp;VAR:QUERY=RkZfUkRfRVhQKENBTCw0MDU0MywsLCxVU0Qp&amp;WINDOW=FIRST_POPUP&amp;HEIGHT=450&amp;WIDTH=450&amp;START_MA","XIMIZED=FALSE&amp;VAR:CALENDAR=US&amp;VAR:SYMBOL=BMY&amp;VAR:INDEX=0"}</definedName>
    <definedName name="_1064__FDSAUDITLINK__" hidden="1">{"fdsup://directions/FAT Viewer?action=UPDATE&amp;creator=factset&amp;DYN_ARGS=TRUE&amp;DOC_NAME=FAT:FQL_AUDITING_CLIENT_TEMPLATE.FAT&amp;display_string=Audit&amp;VAR:KEY=RWHALYVQFE&amp;VAR:QUERY=RkZfUkRfRVhQKENBTCw0MDU0MywsLCxVU0Qp&amp;WINDOW=FIRST_POPUP&amp;HEIGHT=450&amp;WIDTH=450&amp;START_MA","XIMIZED=FALSE&amp;VAR:CALENDAR=US&amp;VAR:SYMBOL=LLY&amp;VAR:INDEX=0"}</definedName>
    <definedName name="_1065__FDSAUDITLINK__" hidden="1">{"fdsup://directions/FAT Viewer?action=UPDATE&amp;creator=factset&amp;DYN_ARGS=TRUE&amp;DOC_NAME=FAT:FQL_AUDITING_CLIENT_TEMPLATE.FAT&amp;display_string=Audit&amp;VAR:KEY=BOXSLUFEFY&amp;VAR:QUERY=RkZfUkRfRVhQKENBTCw0MDU0MywsLCxVU0Qp&amp;WINDOW=FIRST_POPUP&amp;HEIGHT=450&amp;WIDTH=450&amp;START_MA","XIMIZED=FALSE&amp;VAR:CALENDAR=US&amp;VAR:SYMBOL=506921&amp;VAR:INDEX=0"}</definedName>
    <definedName name="_1066__FDSAUDITLINK__" hidden="1">{"fdsup://directions/FAT Viewer?action=UPDATE&amp;creator=factset&amp;DYN_ARGS=TRUE&amp;DOC_NAME=FAT:FQL_AUDITING_CLIENT_TEMPLATE.FAT&amp;display_string=Audit&amp;VAR:KEY=BKNWZCJIZG&amp;VAR:QUERY=RkZfUkRfRVhQKENBTCw0MDU0MywsLCxVU0Qp&amp;WINDOW=FIRST_POPUP&amp;HEIGHT=450&amp;WIDTH=450&amp;START_MA","XIMIZED=FALSE&amp;VAR:CALENDAR=US&amp;VAR:SYMBOL=567173&amp;VAR:INDEX=0"}</definedName>
    <definedName name="_1067__FDSAUDITLINK__" hidden="1">{"fdsup://directions/FAT Viewer?action=UPDATE&amp;creator=factset&amp;DYN_ARGS=TRUE&amp;DOC_NAME=FAT:FQL_AUDITING_CLIENT_TEMPLATE.FAT&amp;display_string=Audit&amp;VAR:KEY=ZUTEDGBCXY&amp;VAR:QUERY=RkZfUkRfRVhQKENBTCw0MDU0MywsLCxVU0Qp&amp;WINDOW=FIRST_POPUP&amp;HEIGHT=450&amp;WIDTH=450&amp;START_MA","XIMIZED=FALSE&amp;VAR:CALENDAR=US&amp;VAR:SYMBOL=JNJ&amp;VAR:INDEX=0"}</definedName>
    <definedName name="_1068__FDSAUDITLINK__" hidden="1">{"fdsup://directions/FAT Viewer?action=UPDATE&amp;creator=factset&amp;DYN_ARGS=TRUE&amp;DOC_NAME=FAT:FQL_AUDITING_CLIENT_TEMPLATE.FAT&amp;display_string=Audit&amp;VAR:KEY=TYHWTQXSJO&amp;VAR:QUERY=RkZfUkRfRVhQKENBTCw0MDU0MywsLCxVU0Qp&amp;WINDOW=FIRST_POPUP&amp;HEIGHT=450&amp;WIDTH=450&amp;START_MA","XIMIZED=FALSE&amp;VAR:CALENDAR=US&amp;VAR:SYMBOL=710306&amp;VAR:INDEX=0"}</definedName>
    <definedName name="_1069__FDSAUDITLINK__" hidden="1">{"fdsup://directions/FAT Viewer?action=UPDATE&amp;creator=factset&amp;DYN_ARGS=TRUE&amp;DOC_NAME=FAT:FQL_AUDITING_CLIENT_TEMPLATE.FAT&amp;display_string=Audit&amp;VAR:KEY=BSFYPUHUXG&amp;VAR:QUERY=RkZfUkRfRVhQKENBTCw0MDU0MywsLCxVU0Qp&amp;WINDOW=FIRST_POPUP&amp;HEIGHT=450&amp;WIDTH=450&amp;START_MA","XIMIZED=FALSE&amp;VAR:CALENDAR=US&amp;VAR:SYMBOL=711038&amp;VAR:INDEX=0"}</definedName>
    <definedName name="_107__FDSAUDITLINK__" hidden="1">{"fdsup://directions/FAT%20Viewer?VAR:TM=NTMA&amp;VAR:PCT=0.262295&amp;VAR:Y0=2008&amp;VAR:Y1=2009&amp;VAR:V0=14.580833&amp;VAR:V1=11.794031&amp;VAR:V=12.416493&amp;VAR:AUDIT_ID=00000117&amp;VAR:DATE=20080926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Aggregates&amp;VAR:MEASURE=PE_MEAN&amp;VAR:CALC_MODE=PORTFOLIO&amp;VAR:CHGPERIOD=NA&amp;VAR:FQLFORMULA=FMA_PE&amp;VAR:CURRENCY=USD&amp;VAR:P=1","213.012800&amp;VAR:THRESH=||||||&amp;VAR:null=.html"}</definedName>
    <definedName name="_1070__FDSAUDITLINK__" hidden="1">{"fdsup://directions/FAT Viewer?action=UPDATE&amp;creator=factset&amp;DYN_ARGS=TRUE&amp;DOC_NAME=FAT:FQL_AUDITING_CLIENT_TEMPLATE.FAT&amp;display_string=Audit&amp;VAR:KEY=BQXQNYHAZC&amp;VAR:QUERY=RkZfUkRfRVhQKENBTCw0MDU0MywsLCxVU0Qp&amp;WINDOW=FIRST_POPUP&amp;HEIGHT=450&amp;WIDTH=450&amp;START_MA","XIMIZED=FALSE&amp;VAR:CALENDAR=US&amp;VAR:SYMBOL=MRK&amp;VAR:INDEX=0"}</definedName>
    <definedName name="_1071__FDSAUDITLINK__" hidden="1">{"fdsup://directions/FAT Viewer?action=UPDATE&amp;creator=factset&amp;DYN_ARGS=TRUE&amp;DOC_NAME=FAT:FQL_AUDITING_CLIENT_TEMPLATE.FAT&amp;display_string=Audit&amp;VAR:KEY=XSXQHYLMVQ&amp;VAR:QUERY=RkZfUkRfRVhQKENBTCw0MDU0MywsLCwp&amp;WINDOW=FIRST_POPUP&amp;HEIGHT=450&amp;WIDTH=450&amp;START_MAXIMI","ZED=FALSE&amp;VAR:CALENDAR=US&amp;VAR:SYMBOL=BIIB&amp;VAR:INDEX=0"}</definedName>
    <definedName name="_1072__FDSAUDITLINK__" hidden="1">{"fdsup://directions/FAT Viewer?action=UPDATE&amp;creator=factset&amp;DYN_ARGS=TRUE&amp;DOC_NAME=FAT:FQL_AUDITING_CLIENT_TEMPLATE.FAT&amp;display_string=Audit&amp;VAR:KEY=LAJWREJCRQ&amp;VAR:QUERY=RkZfUkRfRVhQKENBTCw0MDE3OCwsLCwp&amp;WINDOW=FIRST_POPUP&amp;HEIGHT=450&amp;WIDTH=450&amp;START_MAXIMI","ZED=FALSE&amp;VAR:CALENDAR=US&amp;VAR:SYMBOL=BIIB&amp;VAR:INDEX=0"}</definedName>
    <definedName name="_1073__FDSAUDITLINK__" hidden="1">{"fdsup://directions/FAT Viewer?action=UPDATE&amp;creator=factset&amp;DYN_ARGS=TRUE&amp;DOC_NAME=FAT:FQL_AUDITING_CLIENT_TEMPLATE.FAT&amp;display_string=Audit&amp;VAR:KEY=TIJGJEBYTI&amp;VAR:QUERY=RkZfUkRfRVhQKENBTCwzOTgxMywsLCwp&amp;WINDOW=FIRST_POPUP&amp;HEIGHT=450&amp;WIDTH=450&amp;START_MAXIMI","ZED=FALSE&amp;VAR:CALENDAR=US&amp;VAR:SYMBOL=BIIB&amp;VAR:INDEX=0"}</definedName>
    <definedName name="_1074__FDSAUDITLINK__" hidden="1">{"fdsup://directions/FAT Viewer?action=UPDATE&amp;creator=factset&amp;DYN_ARGS=TRUE&amp;DOC_NAME=FAT:FQL_AUDITING_CLIENT_TEMPLATE.FAT&amp;display_string=Audit&amp;VAR:KEY=PODEFWZGFS&amp;VAR:QUERY=RkZfUkRfRVhQKENBTCwzOTQ0NywsLCwp&amp;WINDOW=FIRST_POPUP&amp;HEIGHT=450&amp;WIDTH=450&amp;START_MAXIMI","ZED=FALSE&amp;VAR:CALENDAR=US&amp;VAR:SYMBOL=BIIB&amp;VAR:INDEX=0"}</definedName>
    <definedName name="_1075__FDSAUDITLINK__" hidden="1">{"fdsup://directions/FAT Viewer?action=UPDATE&amp;creator=factset&amp;DYN_ARGS=TRUE&amp;DOC_NAME=FAT:FQL_AUDITING_CLIENT_TEMPLATE.FAT&amp;display_string=Audit&amp;VAR:KEY=HQFYRGDOJS&amp;VAR:QUERY=RkZfUkRfRVhQKENBTCwzOTA4MiwsLCwp&amp;WINDOW=FIRST_POPUP&amp;HEIGHT=450&amp;WIDTH=450&amp;START_MAXIMI","ZED=FALSE&amp;VAR:CALENDAR=US&amp;VAR:SYMBOL=BIIB&amp;VAR:INDEX=0"}</definedName>
    <definedName name="_1076__FDSAUDITLINK__" hidden="1">{"fdsup://directions/FAT Viewer?action=UPDATE&amp;creator=factset&amp;DYN_ARGS=TRUE&amp;DOC_NAME=FAT:FQL_AUDITING_CLIENT_TEMPLATE.FAT&amp;display_string=Audit&amp;VAR:KEY=BWLKBKRSNC&amp;VAR:QUERY=RkZfUkRfRVhQKENBTCwzODcxNywsLCwp&amp;WINDOW=FIRST_POPUP&amp;HEIGHT=450&amp;WIDTH=450&amp;START_MAXIMI","ZED=FALSE&amp;VAR:CALENDAR=US&amp;VAR:SYMBOL=BIIB&amp;VAR:INDEX=0"}</definedName>
    <definedName name="_1077__FDSAUDITLINK__" hidden="1">{"fdsup://directions/FAT Viewer?action=UPDATE&amp;creator=factset&amp;DYN_ARGS=TRUE&amp;DOC_NAME=FAT:FQL_AUDITING_CLIENT_TEMPLATE.FAT&amp;display_string=Audit&amp;VAR:KEY=NCJCPSJUJA&amp;VAR:QUERY=RkZfUkRfRVhQKENBTCwzODM1MiwsLCwp&amp;WINDOW=FIRST_POPUP&amp;HEIGHT=450&amp;WIDTH=450&amp;START_MAXIMI","ZED=FALSE&amp;VAR:CALENDAR=US&amp;VAR:SYMBOL=BIIB&amp;VAR:INDEX=0"}</definedName>
    <definedName name="_1078__FDSAUDITLINK__" hidden="1">{"fdsup://directions/FAT Viewer?action=UPDATE&amp;creator=factset&amp;DYN_ARGS=TRUE&amp;DOC_NAME=FAT:FQL_AUDITING_CLIENT_TEMPLATE.FAT&amp;display_string=Audit&amp;VAR:KEY=ROHGXITIHS&amp;VAR:QUERY=RkZfUkRfRVhQKENBTCw0MDU0MywsLCwp&amp;WINDOW=FIRST_POPUP&amp;HEIGHT=450&amp;WIDTH=450&amp;START_MAXIMI","ZED=FALSE&amp;VAR:CALENDAR=US&amp;VAR:SYMBOL=707752&amp;VAR:INDEX=0"}</definedName>
    <definedName name="_1079__FDSAUDITLINK__" hidden="1">{"fdsup://directions/FAT Viewer?action=UPDATE&amp;creator=factset&amp;DYN_ARGS=TRUE&amp;DOC_NAME=FAT:FQL_AUDITING_CLIENT_TEMPLATE.FAT&amp;display_string=Audit&amp;VAR:KEY=ZCPYBCXOHU&amp;VAR:QUERY=RkZfUkRfRVhQKENBTCw0MDE3OCwsLCwp&amp;WINDOW=FIRST_POPUP&amp;HEIGHT=450&amp;WIDTH=450&amp;START_MAXIMI","ZED=FALSE&amp;VAR:CALENDAR=US&amp;VAR:SYMBOL=707752&amp;VAR:INDEX=0"}</definedName>
    <definedName name="_108__FDSAUDITLINK__" hidden="1">{"fdsup://directions/FAT%20Viewer?VAR:TM=NTMA&amp;VAR:PCT=0.281421&amp;VAR:Y0=2008&amp;VAR:Y1=2009&amp;VAR:V0=14.902310&amp;VAR:V1=11.990616&amp;VAR:V=12.688288&amp;VAR:AUDIT_ID=00000117&amp;VAR:DATE=20080919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Aggregates&amp;VAR:MEASURE=PE_MEAN&amp;VAR:CALC_MODE=PORTFOLIO&amp;VAR:CHGPERIOD=NA&amp;VAR:FQLFORMULA=FMA_PE&amp;VAR:CURRENCY=USD&amp;VAR:P=1","255.075200&amp;VAR:THRESH=||||||&amp;VAR:null=.html"}</definedName>
    <definedName name="_1080__FDSAUDITLINK__" hidden="1">{"fdsup://directions/FAT Viewer?action=UPDATE&amp;creator=factset&amp;DYN_ARGS=TRUE&amp;DOC_NAME=FAT:FQL_AUDITING_CLIENT_TEMPLATE.FAT&amp;display_string=Audit&amp;VAR:KEY=RUHOZGXETS&amp;VAR:QUERY=RkZfUkRfRVhQKENBTCwzOTgxMywsLCwp&amp;WINDOW=FIRST_POPUP&amp;HEIGHT=450&amp;WIDTH=450&amp;START_MAXIMI","ZED=FALSE&amp;VAR:CALENDAR=US&amp;VAR:SYMBOL=707752&amp;VAR:INDEX=0"}</definedName>
    <definedName name="_1081__FDSAUDITLINK__" hidden="1">{"fdsup://directions/FAT Viewer?action=UPDATE&amp;creator=factset&amp;DYN_ARGS=TRUE&amp;DOC_NAME=FAT:FQL_AUDITING_CLIENT_TEMPLATE.FAT&amp;display_string=Audit&amp;VAR:KEY=BQVALCNUXY&amp;VAR:QUERY=RkZfUkRfRVhQKENBTCwzOTQ0NywsLCwp&amp;WINDOW=FIRST_POPUP&amp;HEIGHT=450&amp;WIDTH=450&amp;START_MAXIMI","ZED=FALSE&amp;VAR:CALENDAR=US&amp;VAR:SYMBOL=707752&amp;VAR:INDEX=0"}</definedName>
    <definedName name="_1082__FDSAUDITLINK__" hidden="1">{"fdsup://directions/FAT Viewer?action=UPDATE&amp;creator=factset&amp;DYN_ARGS=TRUE&amp;DOC_NAME=FAT:FQL_AUDITING_CLIENT_TEMPLATE.FAT&amp;display_string=Audit&amp;VAR:KEY=XODONILQRS&amp;VAR:QUERY=RkZfUkRfRVhQKENBTCw0MDU0MywsLCwp&amp;WINDOW=FIRST_POPUP&amp;HEIGHT=450&amp;WIDTH=450&amp;START_MAXIMI","ZED=FALSE&amp;VAR:CALENDAR=US&amp;VAR:SYMBOL=630720&amp;VAR:INDEX=0"}</definedName>
    <definedName name="_1083__FDSAUDITLINK__" hidden="1">{"fdsup://directions/FAT Viewer?action=UPDATE&amp;creator=factset&amp;DYN_ARGS=TRUE&amp;DOC_NAME=FAT:FQL_AUDITING_CLIENT_TEMPLATE.FAT&amp;display_string=Audit&amp;VAR:KEY=FQTINILKPY&amp;VAR:QUERY=RkZfUkRfRVhQKENBTCw0MDE3OCwsLCwp&amp;WINDOW=FIRST_POPUP&amp;HEIGHT=450&amp;WIDTH=450&amp;START_MAXIMI","ZED=FALSE&amp;VAR:CALENDAR=US&amp;VAR:SYMBOL=630720&amp;VAR:INDEX=0"}</definedName>
    <definedName name="_1084__FDSAUDITLINK__" hidden="1">{"fdsup://directions/FAT Viewer?action=UPDATE&amp;creator=factset&amp;DYN_ARGS=TRUE&amp;DOC_NAME=FAT:FQL_AUDITING_CLIENT_TEMPLATE.FAT&amp;display_string=Audit&amp;VAR:KEY=VSZYNWJGTA&amp;VAR:QUERY=RkZfUkRfRVhQKENBTCwzOTgxMywsLCwp&amp;WINDOW=FIRST_POPUP&amp;HEIGHT=450&amp;WIDTH=450&amp;START_MAXIMI","ZED=FALSE&amp;VAR:CALENDAR=US&amp;VAR:SYMBOL=630720&amp;VAR:INDEX=0"}</definedName>
    <definedName name="_1085__FDSAUDITLINK__" hidden="1">{"fdsup://directions/FAT Viewer?action=UPDATE&amp;creator=factset&amp;DYN_ARGS=TRUE&amp;DOC_NAME=FAT:FQL_AUDITING_CLIENT_TEMPLATE.FAT&amp;display_string=Audit&amp;VAR:KEY=VYJCJQLQHW&amp;VAR:QUERY=RkZfUkRfRVhQKENBTCwzOTQ0NywsLCwp&amp;WINDOW=FIRST_POPUP&amp;HEIGHT=450&amp;WIDTH=450&amp;START_MAXIMI","ZED=FALSE&amp;VAR:CALENDAR=US&amp;VAR:SYMBOL=630720&amp;VAR:INDEX=0"}</definedName>
    <definedName name="_1086__FDSAUDITLINK__" hidden="1">{"fdsup://directions/FAT Viewer?action=UPDATE&amp;creator=factset&amp;DYN_ARGS=TRUE&amp;DOC_NAME=FAT:FQL_AUDITING_CLIENT_TEMPLATE.FAT&amp;display_string=Audit&amp;VAR:KEY=TUBQTARIDK&amp;VAR:QUERY=RkZfUkRfRVhQKENBTCwzOTA4MiwsLCwp&amp;WINDOW=FIRST_POPUP&amp;HEIGHT=450&amp;WIDTH=450&amp;START_MAXIMI","ZED=FALSE&amp;VAR:CALENDAR=US&amp;VAR:SYMBOL=630720&amp;VAR:INDEX=0"}</definedName>
    <definedName name="_1087__FDSAUDITLINK__" hidden="1">{"fdsup://directions/FAT Viewer?action=UPDATE&amp;creator=factset&amp;DYN_ARGS=TRUE&amp;DOC_NAME=FAT:FQL_AUDITING_CLIENT_TEMPLATE.FAT&amp;display_string=Audit&amp;VAR:KEY=TEDCLSDYNM&amp;VAR:QUERY=RkZfUkRfRVhQKENBTCwzODcxNywsLCwp&amp;WINDOW=FIRST_POPUP&amp;HEIGHT=450&amp;WIDTH=450&amp;START_MAXIMI","ZED=FALSE&amp;VAR:CALENDAR=US&amp;VAR:SYMBOL=630720&amp;VAR:INDEX=0"}</definedName>
    <definedName name="_1088__FDSAUDITLINK__" hidden="1">{"fdsup://directions/FAT Viewer?action=UPDATE&amp;creator=factset&amp;DYN_ARGS=TRUE&amp;DOC_NAME=FAT:FQL_AUDITING_CLIENT_TEMPLATE.FAT&amp;display_string=Audit&amp;VAR:KEY=HWBSXSJUJE&amp;VAR:QUERY=RkZfUkRfRVhQKENBTCwzODM1MiwsLCwp&amp;WINDOW=FIRST_POPUP&amp;HEIGHT=450&amp;WIDTH=450&amp;START_MAXIMI","ZED=FALSE&amp;VAR:CALENDAR=US&amp;VAR:SYMBOL=630720&amp;VAR:INDEX=0"}</definedName>
    <definedName name="_1089__FDSAUDITLINK__" hidden="1">{"fdsup://directions/FAT Viewer?action=UPDATE&amp;creator=factset&amp;DYN_ARGS=TRUE&amp;DOC_NAME=FAT:FQL_AUDITING_CLIENT_TEMPLATE.FAT&amp;display_string=Audit&amp;VAR:KEY=NOFYHOLEJE&amp;VAR:QUERY=RkZfUkRfRVhQKENBTCwzNzk4NiwsLCwp&amp;WINDOW=FIRST_POPUP&amp;HEIGHT=450&amp;WIDTH=450&amp;START_MAXIMI","ZED=FALSE&amp;VAR:CALENDAR=US&amp;VAR:SYMBOL=630720&amp;VAR:INDEX=0"}</definedName>
    <definedName name="_109__FDSAUDITLINK__" hidden="1">{"fdsup://directions/FAT%20Viewer?VAR:TM=NTMA&amp;VAR:PCT=0.300546&amp;VAR:Y0=2008&amp;VAR:Y1=2009&amp;VAR:V0=14.947059&amp;VAR:V1=11.880196&amp;VAR:V=12.660954&amp;VAR:AUDIT_ID=00000117&amp;VAR:DATE=20080912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Aggregates&amp;VAR:MEASURE=PE_MEAN&amp;VAR:CALC_MODE=PORTFOLIO&amp;VAR:CHGPERIOD=NA&amp;VAR:FQLFORMULA=FMA_PE&amp;VAR:CURRENCY=USD&amp;VAR:P=1","251.700900&amp;VAR:THRESH=||||||&amp;VAR:null=.html"}</definedName>
    <definedName name="_1090__FDSAUDITLINK__" hidden="1">{"fdsup://directions/FAT Viewer?action=UPDATE&amp;creator=factset&amp;DYN_ARGS=TRUE&amp;DOC_NAME=FAT:FQL_AUDITING_CLIENT_TEMPLATE.FAT&amp;display_string=Audit&amp;VAR:KEY=HMDKDGFUVI&amp;VAR:QUERY=RkZfUkRfRVhQKENBTCw0MDU0MywsLCwp&amp;WINDOW=FIRST_POPUP&amp;HEIGHT=450&amp;WIDTH=450&amp;START_MAXIMI","ZED=FALSE&amp;VAR:CALENDAR=US&amp;VAR:SYMBOL=698538&amp;VAR:INDEX=0"}</definedName>
    <definedName name="_1091__FDSAUDITLINK__" hidden="1">{"fdsup://directions/FAT Viewer?action=UPDATE&amp;creator=factset&amp;DYN_ARGS=TRUE&amp;DOC_NAME=FAT:FQL_AUDITING_CLIENT_TEMPLATE.FAT&amp;display_string=Audit&amp;VAR:KEY=XEFUVIRUFI&amp;VAR:QUERY=RkZfUkRfRVhQKENBTCw0MDE3OCwsLCwp&amp;WINDOW=FIRST_POPUP&amp;HEIGHT=450&amp;WIDTH=450&amp;START_MAXIMI","ZED=FALSE&amp;VAR:CALENDAR=US&amp;VAR:SYMBOL=698538&amp;VAR:INDEX=0"}</definedName>
    <definedName name="_1092__FDSAUDITLINK__" hidden="1">{"fdsup://directions/FAT Viewer?action=UPDATE&amp;creator=factset&amp;DYN_ARGS=TRUE&amp;DOC_NAME=FAT:FQL_AUDITING_CLIENT_TEMPLATE.FAT&amp;display_string=Audit&amp;VAR:KEY=HYTMLEDUVS&amp;VAR:QUERY=RkZfUkRfRVhQKENBTCwzOTgxMywsLCwp&amp;WINDOW=FIRST_POPUP&amp;HEIGHT=450&amp;WIDTH=450&amp;START_MAXIMI","ZED=FALSE&amp;VAR:CALENDAR=US&amp;VAR:SYMBOL=698538&amp;VAR:INDEX=0"}</definedName>
    <definedName name="_1093__FDSAUDITLINK__" hidden="1">{"fdsup://directions/FAT Viewer?action=UPDATE&amp;creator=factset&amp;DYN_ARGS=TRUE&amp;DOC_NAME=FAT:FQL_AUDITING_CLIENT_TEMPLATE.FAT&amp;display_string=Audit&amp;VAR:KEY=DSRAFCZODS&amp;VAR:QUERY=RkZfUkRfRVhQKENBTCwzOTQ0NywsLCwp&amp;WINDOW=FIRST_POPUP&amp;HEIGHT=450&amp;WIDTH=450&amp;START_MAXIMI","ZED=FALSE&amp;VAR:CALENDAR=US&amp;VAR:SYMBOL=698538&amp;VAR:INDEX=0"}</definedName>
    <definedName name="_1094__FDSAUDITLINK__" hidden="1">{"fdsup://directions/FAT Viewer?action=UPDATE&amp;creator=factset&amp;DYN_ARGS=TRUE&amp;DOC_NAME=FAT:FQL_AUDITING_CLIENT_TEMPLATE.FAT&amp;display_string=Audit&amp;VAR:KEY=FODYBQZGBW&amp;VAR:QUERY=RkZfUkRfRVhQKENBTCwzOTA4MiwsLCwp&amp;WINDOW=FIRST_POPUP&amp;HEIGHT=450&amp;WIDTH=450&amp;START_MAXIMI","ZED=FALSE&amp;VAR:CALENDAR=US&amp;VAR:SYMBOL=698538&amp;VAR:INDEX=0"}</definedName>
    <definedName name="_1095__FDSAUDITLINK__" hidden="1">{"fdsup://directions/FAT Viewer?action=UPDATE&amp;creator=factset&amp;DYN_ARGS=TRUE&amp;DOC_NAME=FAT:FQL_AUDITING_CLIENT_TEMPLATE.FAT&amp;display_string=Audit&amp;VAR:KEY=LMDOJUJATK&amp;VAR:QUERY=RkZfUkRfRVhQKENBTCwzODcxNywsLCwp&amp;WINDOW=FIRST_POPUP&amp;HEIGHT=450&amp;WIDTH=450&amp;START_MAXIMI","ZED=FALSE&amp;VAR:CALENDAR=US&amp;VAR:SYMBOL=698538&amp;VAR:INDEX=0"}</definedName>
    <definedName name="_1096__FDSAUDITLINK__" hidden="1">{"fdsup://directions/FAT Viewer?action=UPDATE&amp;creator=factset&amp;DYN_ARGS=TRUE&amp;DOC_NAME=FAT:FQL_AUDITING_CLIENT_TEMPLATE.FAT&amp;display_string=Audit&amp;VAR:KEY=BCDOVGLIHM&amp;VAR:QUERY=RkZfUkRfRVhQKENBTCwzODM1MiwsLCwp&amp;WINDOW=FIRST_POPUP&amp;HEIGHT=450&amp;WIDTH=450&amp;START_MAXIMI","ZED=FALSE&amp;VAR:CALENDAR=US&amp;VAR:SYMBOL=698538&amp;VAR:INDEX=0"}</definedName>
    <definedName name="_1097__FDSAUDITLINK__" hidden="1">{"fdsup://directions/FAT Viewer?action=UPDATE&amp;creator=factset&amp;DYN_ARGS=TRUE&amp;DOC_NAME=FAT:FQL_AUDITING_CLIENT_TEMPLATE.FAT&amp;display_string=Audit&amp;VAR:KEY=VAVSHGNKLS&amp;VAR:QUERY=RkZfUkRfRVhQKENBTCwzNzk4NiwsLCwp&amp;WINDOW=FIRST_POPUP&amp;HEIGHT=450&amp;WIDTH=450&amp;START_MAXIMI","ZED=FALSE&amp;VAR:CALENDAR=US&amp;VAR:SYMBOL=698538&amp;VAR:INDEX=0"}</definedName>
    <definedName name="_1098__FDSAUDITLINK__" hidden="1">{"fdsup://directions/FAT Viewer?action=UPDATE&amp;creator=factset&amp;DYN_ARGS=TRUE&amp;DOC_NAME=FAT:FQL_AUDITING_CLIENT_TEMPLATE.FAT&amp;display_string=Audit&amp;VAR:KEY=BIZIJKTURI&amp;VAR:QUERY=RkZfUkRfRVhQKENBTCw0MDU0MywsLCwp&amp;WINDOW=FIRST_POPUP&amp;HEIGHT=450&amp;WIDTH=450&amp;START_MAXIMI","ZED=FALSE&amp;VAR:CALENDAR=US&amp;VAR:SYMBOL=474184&amp;VAR:INDEX=0"}</definedName>
    <definedName name="_1099__FDSAUDITLINK__" hidden="1">{"fdsup://directions/FAT Viewer?action=UPDATE&amp;creator=factset&amp;DYN_ARGS=TRUE&amp;DOC_NAME=FAT:FQL_AUDITING_CLIENT_TEMPLATE.FAT&amp;display_string=Audit&amp;VAR:KEY=BCFCJCDITY&amp;VAR:QUERY=RkZfUkRfRVhQKENBTCw0MDE3OCwsLCwp&amp;WINDOW=FIRST_POPUP&amp;HEIGHT=450&amp;WIDTH=450&amp;START_MAXIMI","ZED=FALSE&amp;VAR:CALENDAR=US&amp;VAR:SYMBOL=474184&amp;VAR:INDEX=0"}</definedName>
    <definedName name="_11__FDSAUDITLINK__" hidden="1">{"fdsup://directions/FAT%20Viewer?VAR:TM=NTMA&amp;VAR:PCT=0.421918&amp;VAR:Y0=2010&amp;VAR:Y1=2011&amp;VAR:V0=13.175007&amp;VAR:V1=11.421184&amp;VAR:V=12.100822&amp;VAR:AUDIT_ID=00000117&amp;VAR:DATE=20100730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Aggregates&amp;VAR:MEASURE=PE_MEAN&amp;VAR:CALC_MODE=PORTFOLIO&amp;VAR:CHGPERIOD=NA&amp;VAR:FQLFORMULA=FMA_PE&amp;VAR:CURRENCY=USD&amp;VAR:P=1","101.597352&amp;VAR:THRESH=||||||&amp;VAR:null=.html"}</definedName>
    <definedName name="_110__FDSAUDITLINK__" hidden="1">{"fdsup://directions/FAT%20Viewer?VAR:TM=NTMA&amp;VAR:PCT=0.319672&amp;VAR:Y0=2008&amp;VAR:Y1=2009&amp;VAR:V0=14.877785&amp;VAR:V1=11.766944&amp;VAR:V=12.609798&amp;VAR:AUDIT_ID=00000117&amp;VAR:DATE=20080905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Aggregates&amp;VAR:MEASURE=PE_MEAN&amp;VAR:CALC_MODE=PORTFOLIO&amp;VAR:CHGPERIOD=NA&amp;VAR:FQLFORMULA=FMA_PE&amp;VAR:CURRENCY=USD&amp;VAR:P=1","242.314300&amp;VAR:THRESH=||||||&amp;VAR:null=.html"}</definedName>
    <definedName name="_1100__FDSAUDITLINK__" hidden="1">{"fdsup://directions/FAT Viewer?action=UPDATE&amp;creator=factset&amp;DYN_ARGS=TRUE&amp;DOC_NAME=FAT:FQL_AUDITING_CLIENT_TEMPLATE.FAT&amp;display_string=Audit&amp;VAR:KEY=RUVIBOLGPQ&amp;VAR:QUERY=RkZfUkRfRVhQKENBTCw0MDU0MywsLCwp&amp;WINDOW=FIRST_POPUP&amp;HEIGHT=450&amp;WIDTH=450&amp;START_MAXIMI","ZED=FALSE&amp;VAR:CALENDAR=US&amp;VAR:SYMBOL=B0J7D9&amp;VAR:INDEX=0"}</definedName>
    <definedName name="_1101__FDSAUDITLINK__" hidden="1">{"fdsup://directions/FAT Viewer?action=UPDATE&amp;creator=factset&amp;DYN_ARGS=TRUE&amp;DOC_NAME=FAT:FQL_AUDITING_CLIENT_TEMPLATE.FAT&amp;display_string=Audit&amp;VAR:KEY=DQXADMHEVC&amp;VAR:QUERY=RkZfUkRfRVhQKENBTCw0MDE3OCwsLCxKUFkp&amp;WINDOW=FIRST_POPUP&amp;HEIGHT=450&amp;WIDTH=450&amp;START_MA","XIMIZED=FALSE&amp;VAR:CALENDAR=US&amp;VAR:SYMBOL=B0J7D9&amp;VAR:INDEX=0"}</definedName>
    <definedName name="_1102__FDSAUDITLINK__" hidden="1">{"fdsup://directions/FAT Viewer?action=UPDATE&amp;creator=factset&amp;DYN_ARGS=TRUE&amp;DOC_NAME=FAT:FQL_AUDITING_CLIENT_TEMPLATE.FAT&amp;display_string=Audit&amp;VAR:KEY=TOLORIHYHO&amp;VAR:QUERY=RkZfUkRfRVhQKENBTCwzOTgxMywsLCxKUFkp&amp;WINDOW=FIRST_POPUP&amp;HEIGHT=450&amp;WIDTH=450&amp;START_MA","XIMIZED=FALSE&amp;VAR:CALENDAR=US&amp;VAR:SYMBOL=B0J7D9&amp;VAR:INDEX=0"}</definedName>
    <definedName name="_1103__FDSAUDITLINK__" hidden="1">{"fdsup://directions/FAT Viewer?action=UPDATE&amp;creator=factset&amp;DYN_ARGS=TRUE&amp;DOC_NAME=FAT:FQL_AUDITING_CLIENT_TEMPLATE.FAT&amp;display_string=Audit&amp;VAR:KEY=JOZMPGZMJM&amp;VAR:QUERY=RkZfUkRfRVhQKENBTCwzOTQ0NywsLCxKUFkp&amp;WINDOW=FIRST_POPUP&amp;HEIGHT=450&amp;WIDTH=450&amp;START_MA","XIMIZED=FALSE&amp;VAR:CALENDAR=US&amp;VAR:SYMBOL=B0J7D9&amp;VAR:INDEX=0"}</definedName>
    <definedName name="_1104__FDSAUDITLINK__" hidden="1">{"fdsup://directions/FAT Viewer?action=UPDATE&amp;creator=factset&amp;DYN_ARGS=TRUE&amp;DOC_NAME=FAT:FQL_AUDITING_CLIENT_TEMPLATE.FAT&amp;display_string=Audit&amp;VAR:KEY=NABIRCXULI&amp;VAR:QUERY=RkZfUkRfRVhQKENBTCwzOTA4MiwsLCxKUFkp&amp;WINDOW=FIRST_POPUP&amp;HEIGHT=450&amp;WIDTH=450&amp;START_MA","XIMIZED=FALSE&amp;VAR:CALENDAR=US&amp;VAR:SYMBOL=B0J7D9&amp;VAR:INDEX=0"}</definedName>
    <definedName name="_1105__FDSAUDITLINK__" hidden="1">{"fdsup://directions/FAT Viewer?action=UPDATE&amp;creator=factset&amp;DYN_ARGS=TRUE&amp;DOC_NAME=FAT:FQL_AUDITING_CLIENT_TEMPLATE.FAT&amp;display_string=Audit&amp;VAR:KEY=PKNSHOFKFO&amp;VAR:QUERY=RkZfUkRfRVhQKENBTCwzODcxNywsLCxKUFkp&amp;WINDOW=FIRST_POPUP&amp;HEIGHT=450&amp;WIDTH=450&amp;START_MA","XIMIZED=FALSE&amp;VAR:CALENDAR=US&amp;VAR:SYMBOL=B0J7D9&amp;VAR:INDEX=0"}</definedName>
    <definedName name="_1106__FDSAUDITLINK__" hidden="1">{"fdsup://directions/FAT Viewer?action=UPDATE&amp;creator=factset&amp;DYN_ARGS=TRUE&amp;DOC_NAME=FAT:FQL_AUDITING_CLIENT_TEMPLATE.FAT&amp;display_string=Audit&amp;VAR:KEY=TEXUHKRIJS&amp;VAR:QUERY=RkZfUkRfRVhQKENBTCwzODM1MiwsLCxKUFkp&amp;WINDOW=FIRST_POPUP&amp;HEIGHT=450&amp;WIDTH=450&amp;START_MA","XIMIZED=FALSE&amp;VAR:CALENDAR=US&amp;VAR:SYMBOL=B0J7D9&amp;VAR:INDEX=0"}</definedName>
    <definedName name="_1107__FDSAUDITLINK__" hidden="1">{"fdsup://directions/FAT Viewer?action=UPDATE&amp;creator=factset&amp;DYN_ARGS=TRUE&amp;DOC_NAME=FAT:FQL_AUDITING_CLIENT_TEMPLATE.FAT&amp;display_string=Audit&amp;VAR:KEY=BMDYTORIHY&amp;VAR:QUERY=RkZfUkRfRVhQKENBTCwzNzk4NiwsLCxKUFkp&amp;WINDOW=FIRST_POPUP&amp;HEIGHT=450&amp;WIDTH=450&amp;START_MA","XIMIZED=FALSE&amp;VAR:CALENDAR=US&amp;VAR:SYMBOL=B0J7D9&amp;VAR:INDEX=0"}</definedName>
    <definedName name="_1108__FDSAUDITLINK__" hidden="1">{"fdsup://directions/FAT Viewer?action=UPDATE&amp;creator=factset&amp;DYN_ARGS=TRUE&amp;DOC_NAME=FAT:FQL_AUDITING_CLIENT_TEMPLATE.FAT&amp;display_string=Audit&amp;VAR:KEY=ZSZUFATADA&amp;VAR:QUERY=RkZfUkRfRVhQKENBTCw0MDU0MywsLCwp&amp;WINDOW=FIRST_POPUP&amp;HEIGHT=450&amp;WIDTH=450&amp;START_MAXIMI","ZED=FALSE&amp;VAR:CALENDAR=US&amp;VAR:SYMBOL=AMGN&amp;VAR:INDEX=0"}</definedName>
    <definedName name="_1109__FDSAUDITLINK__" hidden="1">{"fdsup://directions/FAT Viewer?action=UPDATE&amp;creator=factset&amp;DYN_ARGS=TRUE&amp;DOC_NAME=FAT:FQL_AUDITING_CLIENT_TEMPLATE.FAT&amp;display_string=Audit&amp;VAR:KEY=NETMBUPAPS&amp;VAR:QUERY=RkZfUkRfRVhQKENBTCw0MDE3OCwsLCwp&amp;WINDOW=FIRST_POPUP&amp;HEIGHT=450&amp;WIDTH=450&amp;START_MAXIMI","ZED=FALSE&amp;VAR:CALENDAR=US&amp;VAR:SYMBOL=AMGN&amp;VAR:INDEX=0"}</definedName>
    <definedName name="_111__FDSAUDITLINK__" hidden="1">{"fdsup://directions/FAT%20Viewer?VAR:TM=NTMA&amp;VAR:PCT=0.338798&amp;VAR:Y0=2008&amp;VAR:Y1=2009&amp;VAR:V0=15.296804&amp;VAR:V1=12.113071&amp;VAR:V=13.032013&amp;VAR:AUDIT_ID=00000117&amp;VAR:DATE=20080829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Aggregates&amp;VAR:MEASURE=PE_MEAN&amp;VAR:CALC_MODE=PORTFOLIO&amp;VAR:CHGPERIOD=NA&amp;VAR:FQLFORMULA=FMA_PE&amp;VAR:CURRENCY=USD&amp;VAR:P=1","282.828000&amp;VAR:THRESH=||||||&amp;VAR:null=.html"}</definedName>
    <definedName name="_1110__FDSAUDITLINK__" hidden="1">{"fdsup://directions/FAT Viewer?action=UPDATE&amp;creator=factset&amp;DYN_ARGS=TRUE&amp;DOC_NAME=FAT:FQL_AUDITING_CLIENT_TEMPLATE.FAT&amp;display_string=Audit&amp;VAR:KEY=BWFKBKBAJS&amp;VAR:QUERY=RkZfUkRfRVhQKENBTCwzOTgxMywsLCwp&amp;WINDOW=FIRST_POPUP&amp;HEIGHT=450&amp;WIDTH=450&amp;START_MAXIMI","ZED=FALSE&amp;VAR:CALENDAR=US&amp;VAR:SYMBOL=AMGN&amp;VAR:INDEX=0"}</definedName>
    <definedName name="_1111__FDSAUDITLINK__" hidden="1">{"fdsup://directions/FAT Viewer?action=UPDATE&amp;creator=factset&amp;DYN_ARGS=TRUE&amp;DOC_NAME=FAT:FQL_AUDITING_CLIENT_TEMPLATE.FAT&amp;display_string=Audit&amp;VAR:KEY=JGFKDSPYPQ&amp;VAR:QUERY=RkZfUkRfRVhQKENBTCwzOTQ0NywsLCwp&amp;WINDOW=FIRST_POPUP&amp;HEIGHT=450&amp;WIDTH=450&amp;START_MAXIMI","ZED=FALSE&amp;VAR:CALENDAR=US&amp;VAR:SYMBOL=AMGN&amp;VAR:INDEX=0"}</definedName>
    <definedName name="_1112__FDSAUDITLINK__" hidden="1">{"fdsup://directions/FAT Viewer?action=UPDATE&amp;creator=factset&amp;DYN_ARGS=TRUE&amp;DOC_NAME=FAT:FQL_AUDITING_CLIENT_TEMPLATE.FAT&amp;display_string=Audit&amp;VAR:KEY=PITSZWZGJQ&amp;VAR:QUERY=RkZfUkRfRVhQKENBTCwzOTA4MiwsLCwp&amp;WINDOW=FIRST_POPUP&amp;HEIGHT=450&amp;WIDTH=450&amp;START_MAXIMI","ZED=FALSE&amp;VAR:CALENDAR=US&amp;VAR:SYMBOL=AMGN&amp;VAR:INDEX=0"}</definedName>
    <definedName name="_1113__FDSAUDITLINK__" hidden="1">{"fdsup://directions/FAT Viewer?action=UPDATE&amp;creator=factset&amp;DYN_ARGS=TRUE&amp;DOC_NAME=FAT:FQL_AUDITING_CLIENT_TEMPLATE.FAT&amp;display_string=Audit&amp;VAR:KEY=HKBWVOJSHI&amp;VAR:QUERY=RkZfUkRfRVhQKENBTCwzODcxNywsLCwp&amp;WINDOW=FIRST_POPUP&amp;HEIGHT=450&amp;WIDTH=450&amp;START_MAXIMI","ZED=FALSE&amp;VAR:CALENDAR=US&amp;VAR:SYMBOL=AMGN&amp;VAR:INDEX=0"}</definedName>
    <definedName name="_1114__FDSAUDITLINK__" hidden="1">{"fdsup://directions/FAT Viewer?action=UPDATE&amp;creator=factset&amp;DYN_ARGS=TRUE&amp;DOC_NAME=FAT:FQL_AUDITING_CLIENT_TEMPLATE.FAT&amp;display_string=Audit&amp;VAR:KEY=TUHABOXUJS&amp;VAR:QUERY=RkZfUkRfRVhQKENBTCwzODM1MiwsLCwp&amp;WINDOW=FIRST_POPUP&amp;HEIGHT=450&amp;WIDTH=450&amp;START_MAXIMI","ZED=FALSE&amp;VAR:CALENDAR=US&amp;VAR:SYMBOL=AMGN&amp;VAR:INDEX=0"}</definedName>
    <definedName name="_1115__FDSAUDITLINK__" hidden="1">{"fdsup://directions/FAT Viewer?action=UPDATE&amp;creator=factset&amp;DYN_ARGS=TRUE&amp;DOC_NAME=FAT:FQL_AUDITING_CLIENT_TEMPLATE.FAT&amp;display_string=Audit&amp;VAR:KEY=LIRCBIRMZO&amp;VAR:QUERY=RkZfUkRfRVhQKENBTCw0MDU0MywsLCwp&amp;WINDOW=FIRST_POPUP&amp;HEIGHT=450&amp;WIDTH=450&amp;START_MAXIMI","ZED=FALSE&amp;VAR:CALENDAR=US&amp;VAR:SYMBOL=ABT&amp;VAR:INDEX=0"}</definedName>
    <definedName name="_1116__FDSAUDITLINK__" hidden="1">{"fdsup://directions/FAT Viewer?action=UPDATE&amp;creator=factset&amp;DYN_ARGS=TRUE&amp;DOC_NAME=FAT:FQL_AUDITING_CLIENT_TEMPLATE.FAT&amp;display_string=Audit&amp;VAR:KEY=FKDMVIHOJW&amp;VAR:QUERY=RkZfUkRfRVhQKENBTCw0MDE3OCwsLCwp&amp;WINDOW=FIRST_POPUP&amp;HEIGHT=450&amp;WIDTH=450&amp;START_MAXIMI","ZED=FALSE&amp;VAR:CALENDAR=US&amp;VAR:SYMBOL=ABT&amp;VAR:INDEX=0"}</definedName>
    <definedName name="_1117__FDSAUDITLINK__" hidden="1">{"fdsup://directions/FAT Viewer?action=UPDATE&amp;creator=factset&amp;DYN_ARGS=TRUE&amp;DOC_NAME=FAT:FQL_AUDITING_CLIENT_TEMPLATE.FAT&amp;display_string=Audit&amp;VAR:KEY=DEROHMZOBS&amp;VAR:QUERY=RkZfUkRfRVhQKENBTCwzOTgxMywsLCwp&amp;WINDOW=FIRST_POPUP&amp;HEIGHT=450&amp;WIDTH=450&amp;START_MAXIMI","ZED=FALSE&amp;VAR:CALENDAR=US&amp;VAR:SYMBOL=ABT&amp;VAR:INDEX=0"}</definedName>
    <definedName name="_1118__FDSAUDITLINK__" hidden="1">{"fdsup://directions/FAT Viewer?action=UPDATE&amp;creator=factset&amp;DYN_ARGS=TRUE&amp;DOC_NAME=FAT:FQL_AUDITING_CLIENT_TEMPLATE.FAT&amp;display_string=Audit&amp;VAR:KEY=FSDQDMTKFI&amp;VAR:QUERY=RkZfUkRfRVhQKENBTCwzOTQ0NywsLCwp&amp;WINDOW=FIRST_POPUP&amp;HEIGHT=450&amp;WIDTH=450&amp;START_MAXIMI","ZED=FALSE&amp;VAR:CALENDAR=US&amp;VAR:SYMBOL=ABT&amp;VAR:INDEX=0"}</definedName>
    <definedName name="_1119__FDSAUDITLINK__" hidden="1">{"fdsup://directions/FAT Viewer?action=UPDATE&amp;creator=factset&amp;DYN_ARGS=TRUE&amp;DOC_NAME=FAT:FQL_AUDITING_CLIENT_TEMPLATE.FAT&amp;display_string=Audit&amp;VAR:KEY=DKXQFUXYNQ&amp;VAR:QUERY=RkZfUkRfRVhQKENBTCwzOTA4MiwsLCwp&amp;WINDOW=FIRST_POPUP&amp;HEIGHT=450&amp;WIDTH=450&amp;START_MAXIMI","ZED=FALSE&amp;VAR:CALENDAR=US&amp;VAR:SYMBOL=ABT&amp;VAR:INDEX=0"}</definedName>
    <definedName name="_112__FDSAUDITLINK__" hidden="1">{"fdsup://directions/FAT%20Viewer?VAR:TM=NTMA&amp;VAR:PCT=0.357923&amp;VAR:Y0=2008&amp;VAR:Y1=2009&amp;VAR:V0=15.350265&amp;VAR:V1=12.196554&amp;VAR:V=13.164619&amp;VAR:AUDIT_ID=00000117&amp;VAR:DATE=20080822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Aggregates&amp;VAR:MEASURE=PE_MEAN&amp;VAR:CALC_MODE=PORTFOLIO&amp;VAR:CHGPERIOD=NA&amp;VAR:FQLFORMULA=FMA_PE&amp;VAR:CURRENCY=USD&amp;VAR:P=1","292.195900&amp;VAR:THRESH=||||||&amp;VAR:null=.html"}</definedName>
    <definedName name="_1120__FDSAUDITLINK__" hidden="1">{"fdsup://directions/FAT Viewer?action=UPDATE&amp;creator=factset&amp;DYN_ARGS=TRUE&amp;DOC_NAME=FAT:FQL_AUDITING_CLIENT_TEMPLATE.FAT&amp;display_string=Audit&amp;VAR:KEY=DCTAJGPGHM&amp;VAR:QUERY=RkZfUkRfRVhQKENBTCwzODcxNywsLCwp&amp;WINDOW=FIRST_POPUP&amp;HEIGHT=450&amp;WIDTH=450&amp;START_MAXIMI","ZED=FALSE&amp;VAR:CALENDAR=US&amp;VAR:SYMBOL=ABT&amp;VAR:INDEX=0"}</definedName>
    <definedName name="_1121__FDSAUDITLINK__" hidden="1">{"fdsup://directions/FAT Viewer?action=UPDATE&amp;creator=factset&amp;DYN_ARGS=TRUE&amp;DOC_NAME=FAT:FQL_AUDITING_CLIENT_TEMPLATE.FAT&amp;display_string=Audit&amp;VAR:KEY=DWROLQJYRO&amp;VAR:QUERY=RkZfUkRfRVhQKENBTCwzODM1MiwsLCwp&amp;WINDOW=FIRST_POPUP&amp;HEIGHT=450&amp;WIDTH=450&amp;START_MAXIMI","ZED=FALSE&amp;VAR:CALENDAR=US&amp;VAR:SYMBOL=ABT&amp;VAR:INDEX=0"}</definedName>
    <definedName name="_1122__FDSAUDITLINK__" hidden="1">{"fdsup://directions/FAT Viewer?action=UPDATE&amp;creator=factset&amp;DYN_ARGS=TRUE&amp;DOC_NAME=FAT:FQL_AUDITING_CLIENT_TEMPLATE.FAT&amp;display_string=Audit&amp;VAR:KEY=JOTAHWPUXS&amp;VAR:QUERY=RkZfUkRfRVhQKENBTCw0MDU0MywsLCwp&amp;WINDOW=FIRST_POPUP&amp;HEIGHT=450&amp;WIDTH=450&amp;START_MAXIMI","ZED=FALSE&amp;VAR:CALENDAR=US&amp;VAR:SYMBOL=687044&amp;VAR:INDEX=0"}</definedName>
    <definedName name="_1123__FDSAUDITLINK__" hidden="1">{"fdsup://directions/FAT Viewer?action=UPDATE&amp;creator=factset&amp;DYN_ARGS=TRUE&amp;DOC_NAME=FAT:FQL_AUDITING_CLIENT_TEMPLATE.FAT&amp;display_string=Audit&amp;VAR:KEY=JSFKTSLWZU&amp;VAR:QUERY=RkZfUkRfRVhQKENBTCw0MDE3OCwsLCwp&amp;WINDOW=FIRST_POPUP&amp;HEIGHT=450&amp;WIDTH=450&amp;START_MAXIMI","ZED=FALSE&amp;VAR:CALENDAR=US&amp;VAR:SYMBOL=687044&amp;VAR:INDEX=0"}</definedName>
    <definedName name="_1124__FDSAUDITLINK__" hidden="1">{"fdsup://directions/FAT Viewer?action=UPDATE&amp;creator=factset&amp;DYN_ARGS=TRUE&amp;DOC_NAME=FAT:FQL_AUDITING_CLIENT_TEMPLATE.FAT&amp;display_string=Audit&amp;VAR:KEY=BWLSXWFQJQ&amp;VAR:QUERY=RkZfUkRfRVhQKENBTCwzOTgxMywsLCwp&amp;WINDOW=FIRST_POPUP&amp;HEIGHT=450&amp;WIDTH=450&amp;START_MAXIMI","ZED=FALSE&amp;VAR:CALENDAR=US&amp;VAR:SYMBOL=687044&amp;VAR:INDEX=0"}</definedName>
    <definedName name="_1125__FDSAUDITLINK__" hidden="1">{"fdsup://directions/FAT Viewer?action=UPDATE&amp;creator=factset&amp;DYN_ARGS=TRUE&amp;DOC_NAME=FAT:FQL_AUDITING_CLIENT_TEMPLATE.FAT&amp;display_string=Audit&amp;VAR:KEY=RSBIBMVATE&amp;VAR:QUERY=RkZfUkRfRVhQKENBTCwzOTQ0NywsLCwp&amp;WINDOW=FIRST_POPUP&amp;HEIGHT=450&amp;WIDTH=450&amp;START_MAXIMI","ZED=FALSE&amp;VAR:CALENDAR=US&amp;VAR:SYMBOL=687044&amp;VAR:INDEX=0"}</definedName>
    <definedName name="_1126__FDSAUDITLINK__" hidden="1">{"fdsup://directions/FAT Viewer?action=UPDATE&amp;creator=factset&amp;DYN_ARGS=TRUE&amp;DOC_NAME=FAT:FQL_AUDITING_CLIENT_TEMPLATE.FAT&amp;display_string=Audit&amp;VAR:KEY=BMBQFCROBS&amp;VAR:QUERY=RkZfUkRfRVhQKENBTCwzOTA4MiwsLCwp&amp;WINDOW=FIRST_POPUP&amp;HEIGHT=450&amp;WIDTH=450&amp;START_MAXIMI","ZED=FALSE&amp;VAR:CALENDAR=US&amp;VAR:SYMBOL=687044&amp;VAR:INDEX=0"}</definedName>
    <definedName name="_1127__FDSAUDITLINK__" hidden="1">{"fdsup://directions/FAT Viewer?action=UPDATE&amp;creator=factset&amp;DYN_ARGS=TRUE&amp;DOC_NAME=FAT:FQL_AUDITING_CLIENT_TEMPLATE.FAT&amp;display_string=Audit&amp;VAR:KEY=PSVODMRWBK&amp;VAR:QUERY=RkZfUkRfRVhQKENBTCwzODcxNywsLCwp&amp;WINDOW=FIRST_POPUP&amp;HEIGHT=450&amp;WIDTH=450&amp;START_MAXIMI","ZED=FALSE&amp;VAR:CALENDAR=US&amp;VAR:SYMBOL=687044&amp;VAR:INDEX=0"}</definedName>
    <definedName name="_1128__FDSAUDITLINK__" hidden="1">{"fdsup://directions/FAT Viewer?action=UPDATE&amp;creator=factset&amp;DYN_ARGS=TRUE&amp;DOC_NAME=FAT:FQL_AUDITING_CLIENT_TEMPLATE.FAT&amp;display_string=Audit&amp;VAR:KEY=XETOTYBIDC&amp;VAR:QUERY=RkZfUkRfRVhQKENBTCwzODM1MiwsLCwp&amp;WINDOW=FIRST_POPUP&amp;HEIGHT=450&amp;WIDTH=450&amp;START_MAXIMI","ZED=FALSE&amp;VAR:CALENDAR=US&amp;VAR:SYMBOL=687044&amp;VAR:INDEX=0"}</definedName>
    <definedName name="_1129__FDSAUDITLINK__" hidden="1">{"fdsup://directions/FAT Viewer?action=UPDATE&amp;creator=factset&amp;DYN_ARGS=TRUE&amp;DOC_NAME=FAT:FQL_AUDITING_CLIENT_TEMPLATE.FAT&amp;display_string=Audit&amp;VAR:KEY=ZYDGDSXIPY&amp;VAR:QUERY=RkZfUkRfRVhQKENBTCwzNzk4NiwsLCwp&amp;WINDOW=FIRST_POPUP&amp;HEIGHT=450&amp;WIDTH=450&amp;START_MAXIMI","ZED=FALSE&amp;VAR:CALENDAR=US&amp;VAR:SYMBOL=687044&amp;VAR:INDEX=0"}</definedName>
    <definedName name="_113__FDSAUDITLINK__" hidden="1">{"fdsup://directions/FAT%20Viewer?VAR:TM=NTMA&amp;VAR:PCT=0.377049&amp;VAR:Y0=2008&amp;VAR:Y1=2009&amp;VAR:V0=15.340875&amp;VAR:V1=12.229587&amp;VAR:V=13.242212&amp;VAR:AUDIT_ID=00000117&amp;VAR:DATE=20080815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Aggregates&amp;VAR:MEASURE=PE_MEAN&amp;VAR:CALC_MODE=PORTFOLIO&amp;VAR:CHGPERIOD=NA&amp;VAR:FQLFORMULA=FMA_PE&amp;VAR:CURRENCY=USD&amp;VAR:P=1","298.199600&amp;VAR:THRESH=||||||&amp;VAR:null=.html"}</definedName>
    <definedName name="_1130__FDSAUDITLINK__" hidden="1">{"fdsup://directions/FAT Viewer?action=UPDATE&amp;creator=factset&amp;DYN_ARGS=TRUE&amp;DOC_NAME=FAT:FQL_AUDITING_CLIENT_TEMPLATE.FAT&amp;display_string=Audit&amp;VAR:KEY=RQPKHUZILY&amp;VAR:QUERY=RkZfUkRfRVhQKENBTCw0MDU0MywsLCwp&amp;WINDOW=FIRST_POPUP&amp;HEIGHT=450&amp;WIDTH=450&amp;START_MAXIMI","ZED=FALSE&amp;VAR:CALENDAR=US&amp;VAR:SYMBOL=BMY&amp;VAR:INDEX=0"}</definedName>
    <definedName name="_1131__FDSAUDITLINK__" hidden="1">{"fdsup://directions/FAT Viewer?action=UPDATE&amp;creator=factset&amp;DYN_ARGS=TRUE&amp;DOC_NAME=FAT:FQL_AUDITING_CLIENT_TEMPLATE.FAT&amp;display_string=Audit&amp;VAR:KEY=ZKHEPOXWFO&amp;VAR:QUERY=RkZfUkRfRVhQKENBTCw0MDE3OCwsLCwp&amp;WINDOW=FIRST_POPUP&amp;HEIGHT=450&amp;WIDTH=450&amp;START_MAXIMI","ZED=FALSE&amp;VAR:CALENDAR=US&amp;VAR:SYMBOL=BMY&amp;VAR:INDEX=0"}</definedName>
    <definedName name="_1132__FDSAUDITLINK__" hidden="1">{"fdsup://directions/FAT Viewer?action=UPDATE&amp;creator=factset&amp;DYN_ARGS=TRUE&amp;DOC_NAME=FAT:FQL_AUDITING_CLIENT_TEMPLATE.FAT&amp;display_string=Audit&amp;VAR:KEY=NWVSBKDCPE&amp;VAR:QUERY=RkZfUkRfRVhQKENBTCwzOTgxMywsLCwp&amp;WINDOW=FIRST_POPUP&amp;HEIGHT=450&amp;WIDTH=450&amp;START_MAXIMI","ZED=FALSE&amp;VAR:CALENDAR=US&amp;VAR:SYMBOL=BMY&amp;VAR:INDEX=0"}</definedName>
    <definedName name="_1133__FDSAUDITLINK__" hidden="1">{"fdsup://directions/FAT Viewer?action=UPDATE&amp;creator=factset&amp;DYN_ARGS=TRUE&amp;DOC_NAME=FAT:FQL_AUDITING_CLIENT_TEMPLATE.FAT&amp;display_string=Audit&amp;VAR:KEY=RSXSPYNOFE&amp;VAR:QUERY=RkZfUkRfRVhQKENBTCwzOTQ0NywsLCwp&amp;WINDOW=FIRST_POPUP&amp;HEIGHT=450&amp;WIDTH=450&amp;START_MAXIMI","ZED=FALSE&amp;VAR:CALENDAR=US&amp;VAR:SYMBOL=BMY&amp;VAR:INDEX=0"}</definedName>
    <definedName name="_1134__FDSAUDITLINK__" hidden="1">{"fdsup://directions/FAT Viewer?action=UPDATE&amp;creator=factset&amp;DYN_ARGS=TRUE&amp;DOC_NAME=FAT:FQL_AUDITING_CLIENT_TEMPLATE.FAT&amp;display_string=Audit&amp;VAR:KEY=LKDOVYBADY&amp;VAR:QUERY=RkZfUkRfRVhQKENBTCwzOTA4MiwsLCwp&amp;WINDOW=FIRST_POPUP&amp;HEIGHT=450&amp;WIDTH=450&amp;START_MAXIMI","ZED=FALSE&amp;VAR:CALENDAR=US&amp;VAR:SYMBOL=BMY&amp;VAR:INDEX=0"}</definedName>
    <definedName name="_1135__FDSAUDITLINK__" hidden="1">{"fdsup://directions/FAT Viewer?action=UPDATE&amp;creator=factset&amp;DYN_ARGS=TRUE&amp;DOC_NAME=FAT:FQL_AUDITING_CLIENT_TEMPLATE.FAT&amp;display_string=Audit&amp;VAR:KEY=LQFUHMHSHG&amp;VAR:QUERY=RkZfUkRfRVhQKENBTCwzODcxNywsLCwp&amp;WINDOW=FIRST_POPUP&amp;HEIGHT=450&amp;WIDTH=450&amp;START_MAXIMI","ZED=FALSE&amp;VAR:CALENDAR=US&amp;VAR:SYMBOL=BMY&amp;VAR:INDEX=0"}</definedName>
    <definedName name="_1136__FDSAUDITLINK__" hidden="1">{"fdsup://directions/FAT Viewer?action=UPDATE&amp;creator=factset&amp;DYN_ARGS=TRUE&amp;DOC_NAME=FAT:FQL_AUDITING_CLIENT_TEMPLATE.FAT&amp;display_string=Audit&amp;VAR:KEY=FQBKHMBUDK&amp;VAR:QUERY=RkZfUkRfRVhQKENBTCwzODM1MiwsLCwp&amp;WINDOW=FIRST_POPUP&amp;HEIGHT=450&amp;WIDTH=450&amp;START_MAXIMI","ZED=FALSE&amp;VAR:CALENDAR=US&amp;VAR:SYMBOL=BMY&amp;VAR:INDEX=0"}</definedName>
    <definedName name="_1137__FDSAUDITLINK__" hidden="1">{"fdsup://directions/FAT Viewer?action=UPDATE&amp;creator=factset&amp;DYN_ARGS=TRUE&amp;DOC_NAME=FAT:FQL_AUDITING_CLIENT_TEMPLATE.FAT&amp;display_string=Audit&amp;VAR:KEY=BOHSRQTWRY&amp;VAR:QUERY=RkZfUkRfRVhQKENBTCw0MDU0MywsLCwp&amp;WINDOW=FIRST_POPUP&amp;HEIGHT=450&amp;WIDTH=450&amp;START_MAXIMI","ZED=FALSE&amp;VAR:CALENDAR=US&amp;VAR:SYMBOL=LLY&amp;VAR:INDEX=0"}</definedName>
    <definedName name="_1138__FDSAUDITLINK__" hidden="1">{"fdsup://directions/FAT Viewer?action=UPDATE&amp;creator=factset&amp;DYN_ARGS=TRUE&amp;DOC_NAME=FAT:FQL_AUDITING_CLIENT_TEMPLATE.FAT&amp;display_string=Audit&amp;VAR:KEY=BEDERGXQVO&amp;VAR:QUERY=RkZfUkRfRVhQKENBTCw0MDE3OCwsLCwp&amp;WINDOW=FIRST_POPUP&amp;HEIGHT=450&amp;WIDTH=450&amp;START_MAXIMI","ZED=FALSE&amp;VAR:CALENDAR=US&amp;VAR:SYMBOL=LLY&amp;VAR:INDEX=0"}</definedName>
    <definedName name="_1139__FDSAUDITLINK__" hidden="1">{"fdsup://directions/FAT Viewer?action=UPDATE&amp;creator=factset&amp;DYN_ARGS=TRUE&amp;DOC_NAME=FAT:FQL_AUDITING_CLIENT_TEMPLATE.FAT&amp;display_string=Audit&amp;VAR:KEY=RCRMLCNWPG&amp;VAR:QUERY=RkZfUkRfRVhQKENBTCwzOTgxMywsLCwp&amp;WINDOW=FIRST_POPUP&amp;HEIGHT=450&amp;WIDTH=450&amp;START_MAXIMI","ZED=FALSE&amp;VAR:CALENDAR=US&amp;VAR:SYMBOL=LLY&amp;VAR:INDEX=0"}</definedName>
    <definedName name="_114__FDSAUDITLINK__" hidden="1">{"fdsup://directions/FAT%20Viewer?VAR:TM=NTMA&amp;VAR:PCT=0.396175&amp;VAR:Y0=2008&amp;VAR:Y1=2009&amp;VAR:V0=15.205429&amp;VAR:V1=12.154830&amp;VAR:V=13.204349&amp;VAR:AUDIT_ID=00000117&amp;VAR:DATE=20080808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Aggregates&amp;VAR:MEASURE=PE_MEAN&amp;VAR:CALC_MODE=PORTFOLIO&amp;VAR:CHGPERIOD=NA&amp;VAR:FQLFORMULA=FMA_PE&amp;VAR:CURRENCY=USD&amp;VAR:P=1","296.322100&amp;VAR:THRESH=||||||&amp;VAR:null=.html"}</definedName>
    <definedName name="_1140__FDSAUDITLINK__" hidden="1">{"fdsup://directions/FAT Viewer?action=UPDATE&amp;creator=factset&amp;DYN_ARGS=TRUE&amp;DOC_NAME=FAT:FQL_AUDITING_CLIENT_TEMPLATE.FAT&amp;display_string=Audit&amp;VAR:KEY=HEPKDCHMJW&amp;VAR:QUERY=RkZfUkRfRVhQKENBTCwzOTQ0NywsLCwp&amp;WINDOW=FIRST_POPUP&amp;HEIGHT=450&amp;WIDTH=450&amp;START_MAXIMI","ZED=FALSE&amp;VAR:CALENDAR=US&amp;VAR:SYMBOL=LLY&amp;VAR:INDEX=0"}</definedName>
    <definedName name="_1141__FDSAUDITLINK__" hidden="1">{"fdsup://directions/FAT Viewer?action=UPDATE&amp;creator=factset&amp;DYN_ARGS=TRUE&amp;DOC_NAME=FAT:FQL_AUDITING_CLIENT_TEMPLATE.FAT&amp;display_string=Audit&amp;VAR:KEY=FENANCDSZW&amp;VAR:QUERY=RkZfUkRfRVhQKENBTCwzOTA4MiwsLCwp&amp;WINDOW=FIRST_POPUP&amp;HEIGHT=450&amp;WIDTH=450&amp;START_MAXIMI","ZED=FALSE&amp;VAR:CALENDAR=US&amp;VAR:SYMBOL=LLY&amp;VAR:INDEX=0"}</definedName>
    <definedName name="_1142__FDSAUDITLINK__" hidden="1">{"fdsup://directions/FAT Viewer?action=UPDATE&amp;creator=factset&amp;DYN_ARGS=TRUE&amp;DOC_NAME=FAT:FQL_AUDITING_CLIENT_TEMPLATE.FAT&amp;display_string=Audit&amp;VAR:KEY=BUFUPIJOPY&amp;VAR:QUERY=RkZfUkRfRVhQKENBTCwzODcxNywsLCwp&amp;WINDOW=FIRST_POPUP&amp;HEIGHT=450&amp;WIDTH=450&amp;START_MAXIMI","ZED=FALSE&amp;VAR:CALENDAR=US&amp;VAR:SYMBOL=LLY&amp;VAR:INDEX=0"}</definedName>
    <definedName name="_1143__FDSAUDITLINK__" hidden="1">{"fdsup://directions/FAT Viewer?action=UPDATE&amp;creator=factset&amp;DYN_ARGS=TRUE&amp;DOC_NAME=FAT:FQL_AUDITING_CLIENT_TEMPLATE.FAT&amp;display_string=Audit&amp;VAR:KEY=FITARQDYHC&amp;VAR:QUERY=RkZfUkRfRVhQKENBTCwzODM1MiwsLCwp&amp;WINDOW=FIRST_POPUP&amp;HEIGHT=450&amp;WIDTH=450&amp;START_MAXIMI","ZED=FALSE&amp;VAR:CALENDAR=US&amp;VAR:SYMBOL=LLY&amp;VAR:INDEX=0"}</definedName>
    <definedName name="_1144__FDSAUDITLINK__" hidden="1">{"fdsup://directions/FAT Viewer?action=UPDATE&amp;creator=factset&amp;DYN_ARGS=TRUE&amp;DOC_NAME=FAT:FQL_AUDITING_CLIENT_TEMPLATE.FAT&amp;display_string=Audit&amp;VAR:KEY=HCLIXKLATC&amp;VAR:QUERY=RkZfUkRfRVhQKENBTCw0MDU0MywsLCwp&amp;WINDOW=FIRST_POPUP&amp;HEIGHT=450&amp;WIDTH=450&amp;START_MAXIMI","ZED=FALSE&amp;VAR:CALENDAR=US&amp;VAR:SYMBOL=506921&amp;VAR:INDEX=0"}</definedName>
    <definedName name="_1145__FDSAUDITLINK__" hidden="1">{"fdsup://directions/FAT Viewer?action=UPDATE&amp;creator=factset&amp;DYN_ARGS=TRUE&amp;DOC_NAME=FAT:FQL_AUDITING_CLIENT_TEMPLATE.FAT&amp;display_string=Audit&amp;VAR:KEY=ZSRUDMXUFC&amp;VAR:QUERY=RkZfUkRfRVhQKENBTCw0MDE3OCwsLCwp&amp;WINDOW=FIRST_POPUP&amp;HEIGHT=450&amp;WIDTH=450&amp;START_MAXIMI","ZED=FALSE&amp;VAR:CALENDAR=US&amp;VAR:SYMBOL=506921&amp;VAR:INDEX=0"}</definedName>
    <definedName name="_1146__FDSAUDITLINK__" hidden="1">{"fdsup://directions/FAT Viewer?action=UPDATE&amp;creator=factset&amp;DYN_ARGS=TRUE&amp;DOC_NAME=FAT:FQL_AUDITING_CLIENT_TEMPLATE.FAT&amp;display_string=Audit&amp;VAR:KEY=RAHQNINYXK&amp;VAR:QUERY=RkZfUkRfRVhQKENBTCwzOTgxMywsLCwp&amp;WINDOW=FIRST_POPUP&amp;HEIGHT=450&amp;WIDTH=450&amp;START_MAXIMI","ZED=FALSE&amp;VAR:CALENDAR=US&amp;VAR:SYMBOL=506921&amp;VAR:INDEX=0"}</definedName>
    <definedName name="_1147__FDSAUDITLINK__" hidden="1">{"fdsup://directions/FAT Viewer?action=UPDATE&amp;creator=factset&amp;DYN_ARGS=TRUE&amp;DOC_NAME=FAT:FQL_AUDITING_CLIENT_TEMPLATE.FAT&amp;display_string=Audit&amp;VAR:KEY=RWDWLABEJW&amp;VAR:QUERY=RkZfUkRfRVhQKENBTCwzOTQ0NywsLCwp&amp;WINDOW=FIRST_POPUP&amp;HEIGHT=450&amp;WIDTH=450&amp;START_MAXIMI","ZED=FALSE&amp;VAR:CALENDAR=US&amp;VAR:SYMBOL=506921&amp;VAR:INDEX=0"}</definedName>
    <definedName name="_1148__FDSAUDITLINK__" hidden="1">{"fdsup://directions/FAT Viewer?action=UPDATE&amp;creator=factset&amp;DYN_ARGS=TRUE&amp;DOC_NAME=FAT:FQL_AUDITING_CLIENT_TEMPLATE.FAT&amp;display_string=Audit&amp;VAR:KEY=FGJCBIHEHA&amp;VAR:QUERY=RkZfUkRfRVhQKENBTCwzOTA4MiwsLCwp&amp;WINDOW=FIRST_POPUP&amp;HEIGHT=450&amp;WIDTH=450&amp;START_MAXIMI","ZED=FALSE&amp;VAR:CALENDAR=US&amp;VAR:SYMBOL=506921&amp;VAR:INDEX=0"}</definedName>
    <definedName name="_1149__FDSAUDITLINK__" hidden="1">{"fdsup://directions/FAT Viewer?action=UPDATE&amp;creator=factset&amp;DYN_ARGS=TRUE&amp;DOC_NAME=FAT:FQL_AUDITING_CLIENT_TEMPLATE.FAT&amp;display_string=Audit&amp;VAR:KEY=BYZCRITIBW&amp;VAR:QUERY=RkZfUkRfRVhQKENBTCwzODcxNywsLCwp&amp;WINDOW=FIRST_POPUP&amp;HEIGHT=450&amp;WIDTH=450&amp;START_MAXIMI","ZED=FALSE&amp;VAR:CALENDAR=US&amp;VAR:SYMBOL=506921&amp;VAR:INDEX=0"}</definedName>
    <definedName name="_115__FDSAUDITLINK__" hidden="1">{"fdsup://directions/FAT%20Viewer?VAR:TM=NTMA&amp;VAR:PCT=0.415301&amp;VAR:Y0=2008&amp;VAR:Y1=2009&amp;VAR:V0=14.518974&amp;VAR:V1=11.753660&amp;VAR:V=12.763218&amp;VAR:AUDIT_ID=00000117&amp;VAR:DATE=20080801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Aggregates&amp;VAR:MEASURE=PE_MEAN&amp;VAR:CALC_MODE=PORTFOLIO&amp;VAR:CHGPERIOD=NA&amp;VAR:FQLFORMULA=FMA_PE&amp;VAR:CURRENCY=USD&amp;VAR:P=1","260.313800&amp;VAR:THRESH=||||||&amp;VAR:null=.html"}</definedName>
    <definedName name="_1150__FDSAUDITLINK__" hidden="1">{"fdsup://directions/FAT Viewer?action=UPDATE&amp;creator=factset&amp;DYN_ARGS=TRUE&amp;DOC_NAME=FAT:FQL_AUDITING_CLIENT_TEMPLATE.FAT&amp;display_string=Audit&amp;VAR:KEY=FINCFGZWNE&amp;VAR:QUERY=RkZfUkRfRVhQKENBTCw0MDU0MywsLCwp&amp;WINDOW=FIRST_POPUP&amp;HEIGHT=450&amp;WIDTH=450&amp;START_MAXIMI","ZED=FALSE&amp;VAR:CALENDAR=US&amp;VAR:SYMBOL=567173&amp;VAR:INDEX=0"}</definedName>
    <definedName name="_1151__FDSAUDITLINK__" hidden="1">{"fdsup://directions/FAT Viewer?action=UPDATE&amp;creator=factset&amp;DYN_ARGS=TRUE&amp;DOC_NAME=FAT:FQL_AUDITING_CLIENT_TEMPLATE.FAT&amp;display_string=Audit&amp;VAR:KEY=XKDWJCVMXO&amp;VAR:QUERY=RkZfUkRfRVhQKENBTCw0MDE3OCwsLCwp&amp;WINDOW=FIRST_POPUP&amp;HEIGHT=450&amp;WIDTH=450&amp;START_MAXIMI","ZED=FALSE&amp;VAR:CALENDAR=US&amp;VAR:SYMBOL=567173&amp;VAR:INDEX=0"}</definedName>
    <definedName name="_1152__FDSAUDITLINK__" hidden="1">{"fdsup://directions/FAT Viewer?action=UPDATE&amp;creator=factset&amp;DYN_ARGS=TRUE&amp;DOC_NAME=FAT:FQL_AUDITING_CLIENT_TEMPLATE.FAT&amp;display_string=Audit&amp;VAR:KEY=PGJGJQBYXO&amp;VAR:QUERY=RkZfUkRfRVhQKENBTCwzOTgxMywsLCwp&amp;WINDOW=FIRST_POPUP&amp;HEIGHT=450&amp;WIDTH=450&amp;START_MAXIMI","ZED=FALSE&amp;VAR:CALENDAR=US&amp;VAR:SYMBOL=567173&amp;VAR:INDEX=0"}</definedName>
    <definedName name="_1153__FDSAUDITLINK__" hidden="1">{"fdsup://directions/FAT Viewer?action=UPDATE&amp;creator=factset&amp;DYN_ARGS=TRUE&amp;DOC_NAME=FAT:FQL_AUDITING_CLIENT_TEMPLATE.FAT&amp;display_string=Audit&amp;VAR:KEY=RWLEDIBETI&amp;VAR:QUERY=RkZfUkRfRVhQKENBTCwzOTQ0NywsLCwp&amp;WINDOW=FIRST_POPUP&amp;HEIGHT=450&amp;WIDTH=450&amp;START_MAXIMI","ZED=FALSE&amp;VAR:CALENDAR=US&amp;VAR:SYMBOL=567173&amp;VAR:INDEX=0"}</definedName>
    <definedName name="_1154__FDSAUDITLINK__" hidden="1">{"fdsup://directions/FAT Viewer?action=UPDATE&amp;creator=factset&amp;DYN_ARGS=TRUE&amp;DOC_NAME=FAT:FQL_AUDITING_CLIENT_TEMPLATE.FAT&amp;display_string=Audit&amp;VAR:KEY=VWPMVGBIVA&amp;VAR:QUERY=RkZfUkRfRVhQKENBTCwzOTA4MiwsLCwp&amp;WINDOW=FIRST_POPUP&amp;HEIGHT=450&amp;WIDTH=450&amp;START_MAXIMI","ZED=FALSE&amp;VAR:CALENDAR=US&amp;VAR:SYMBOL=567173&amp;VAR:INDEX=0"}</definedName>
    <definedName name="_1155__FDSAUDITLINK__" hidden="1">{"fdsup://directions/FAT Viewer?action=UPDATE&amp;creator=factset&amp;DYN_ARGS=TRUE&amp;DOC_NAME=FAT:FQL_AUDITING_CLIENT_TEMPLATE.FAT&amp;display_string=Audit&amp;VAR:KEY=ZGNEJWTYPU&amp;VAR:QUERY=RkZfUkRfRVhQKENBTCwzODcxNywsLCwp&amp;WINDOW=FIRST_POPUP&amp;HEIGHT=450&amp;WIDTH=450&amp;START_MAXIMI","ZED=FALSE&amp;VAR:CALENDAR=US&amp;VAR:SYMBOL=567173&amp;VAR:INDEX=0"}</definedName>
    <definedName name="_1156__FDSAUDITLINK__" hidden="1">{"fdsup://directions/FAT Viewer?action=UPDATE&amp;creator=factset&amp;DYN_ARGS=TRUE&amp;DOC_NAME=FAT:FQL_AUDITING_CLIENT_TEMPLATE.FAT&amp;display_string=Audit&amp;VAR:KEY=LGVSXMXGRE&amp;VAR:QUERY=RkZfUkRfRVhQKENBTCw0MDU0MywsLCwp&amp;WINDOW=FIRST_POPUP&amp;HEIGHT=450&amp;WIDTH=450&amp;START_MAXIMI","ZED=FALSE&amp;VAR:CALENDAR=US&amp;VAR:SYMBOL=JNJ&amp;VAR:INDEX=0"}</definedName>
    <definedName name="_1157__FDSAUDITLINK__" hidden="1">{"fdsup://directions/FAT Viewer?action=UPDATE&amp;creator=factset&amp;DYN_ARGS=TRUE&amp;DOC_NAME=FAT:FQL_AUDITING_CLIENT_TEMPLATE.FAT&amp;display_string=Audit&amp;VAR:KEY=HIHGTUVWJM&amp;VAR:QUERY=RkZfUkRfRVhQKENBTCw0MDE3OCwsLCwp&amp;WINDOW=FIRST_POPUP&amp;HEIGHT=450&amp;WIDTH=450&amp;START_MAXIMI","ZED=FALSE&amp;VAR:CALENDAR=US&amp;VAR:SYMBOL=JNJ&amp;VAR:INDEX=0"}</definedName>
    <definedName name="_1158__FDSAUDITLINK__" hidden="1">{"fdsup://directions/FAT Viewer?action=UPDATE&amp;creator=factset&amp;DYN_ARGS=TRUE&amp;DOC_NAME=FAT:FQL_AUDITING_CLIENT_TEMPLATE.FAT&amp;display_string=Audit&amp;VAR:KEY=NQLIFKBKPW&amp;VAR:QUERY=RkZfUkRfRVhQKENBTCwzOTgxMywsLCwp&amp;WINDOW=FIRST_POPUP&amp;HEIGHT=450&amp;WIDTH=450&amp;START_MAXIMI","ZED=FALSE&amp;VAR:CALENDAR=US&amp;VAR:SYMBOL=JNJ&amp;VAR:INDEX=0"}</definedName>
    <definedName name="_1159__FDSAUDITLINK__" hidden="1">{"fdsup://directions/FAT Viewer?action=UPDATE&amp;creator=factset&amp;DYN_ARGS=TRUE&amp;DOC_NAME=FAT:FQL_AUDITING_CLIENT_TEMPLATE.FAT&amp;display_string=Audit&amp;VAR:KEY=FYLUREVORG&amp;VAR:QUERY=RkZfUkRfRVhQKENBTCwzOTQ0NywsLCwp&amp;WINDOW=FIRST_POPUP&amp;HEIGHT=450&amp;WIDTH=450&amp;START_MAXIMI","ZED=FALSE&amp;VAR:CALENDAR=US&amp;VAR:SYMBOL=JNJ&amp;VAR:INDEX=0"}</definedName>
    <definedName name="_116__FDSAUDITLINK__" hidden="1">{"fdsup://directions/FAT%20Viewer?VAR:TM=NTMA&amp;VAR:PCT=0.434426&amp;VAR:Y0=2008&amp;VAR:Y1=2009&amp;VAR:V0=14.306991&amp;VAR:V1=11.694990&amp;VAR:V=12.702452&amp;VAR:AUDIT_ID=00000117&amp;VAR:DATE=20080725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Aggregates&amp;VAR:MEASURE=PE_MEAN&amp;VAR:CALC_MODE=PORTFOLIO&amp;VAR:CHGPERIOD=NA&amp;VAR:FQLFORMULA=FMA_PE&amp;VAR:CURRENCY=USD&amp;VAR:P=1","257.763900&amp;VAR:THRESH=||||||&amp;VAR:null=.html"}</definedName>
    <definedName name="_1160__FDSAUDITLINK__" hidden="1">{"fdsup://directions/FAT Viewer?action=UPDATE&amp;creator=factset&amp;DYN_ARGS=TRUE&amp;DOC_NAME=FAT:FQL_AUDITING_CLIENT_TEMPLATE.FAT&amp;display_string=Audit&amp;VAR:KEY=BUPWHWVEFO&amp;VAR:QUERY=RkZfUkRfRVhQKENBTCwzOTA4MiwsLCwp&amp;WINDOW=FIRST_POPUP&amp;HEIGHT=450&amp;WIDTH=450&amp;START_MAXIMI","ZED=FALSE&amp;VAR:CALENDAR=US&amp;VAR:SYMBOL=JNJ&amp;VAR:INDEX=0"}</definedName>
    <definedName name="_1161__FDSAUDITLINK__" hidden="1">{"fdsup://directions/FAT Viewer?action=UPDATE&amp;creator=factset&amp;DYN_ARGS=TRUE&amp;DOC_NAME=FAT:FQL_AUDITING_CLIENT_TEMPLATE.FAT&amp;display_string=Audit&amp;VAR:KEY=BIZGFAZSLE&amp;VAR:QUERY=RkZfUkRfRVhQKENBTCwzODcxNywsLCwp&amp;WINDOW=FIRST_POPUP&amp;HEIGHT=450&amp;WIDTH=450&amp;START_MAXIMI","ZED=FALSE&amp;VAR:CALENDAR=US&amp;VAR:SYMBOL=JNJ&amp;VAR:INDEX=0"}</definedName>
    <definedName name="_1162__FDSAUDITLINK__" hidden="1">{"fdsup://directions/FAT Viewer?action=UPDATE&amp;creator=factset&amp;DYN_ARGS=TRUE&amp;DOC_NAME=FAT:FQL_AUDITING_CLIENT_TEMPLATE.FAT&amp;display_string=Audit&amp;VAR:KEY=FQZEXGVUHG&amp;VAR:QUERY=RkZfUkRfRVhQKENBTCwzODM1MiwsLCwp&amp;WINDOW=FIRST_POPUP&amp;HEIGHT=450&amp;WIDTH=450&amp;START_MAXIMI","ZED=FALSE&amp;VAR:CALENDAR=US&amp;VAR:SYMBOL=JNJ&amp;VAR:INDEX=0"}</definedName>
    <definedName name="_1163__FDSAUDITLINK__" hidden="1">{"fdsup://directions/FAT Viewer?action=UPDATE&amp;creator=factset&amp;DYN_ARGS=TRUE&amp;DOC_NAME=FAT:FQL_AUDITING_CLIENT_TEMPLATE.FAT&amp;display_string=Audit&amp;VAR:KEY=LEFUXOTGLS&amp;VAR:QUERY=RkZfUkRfRVhQKENBTCw0MDU0MywsLCwp&amp;WINDOW=FIRST_POPUP&amp;HEIGHT=450&amp;WIDTH=450&amp;START_MAXIMI","ZED=FALSE&amp;VAR:CALENDAR=US&amp;VAR:SYMBOL=710306&amp;VAR:INDEX=0"}</definedName>
    <definedName name="_1164__FDSAUDITLINK__" hidden="1">{"fdsup://directions/FAT Viewer?action=UPDATE&amp;creator=factset&amp;DYN_ARGS=TRUE&amp;DOC_NAME=FAT:FQL_AUDITING_CLIENT_TEMPLATE.FAT&amp;display_string=Audit&amp;VAR:KEY=XUVINAFIPU&amp;VAR:QUERY=RkZfUkRfRVhQKENBTCw0MDE3OCwsLCwp&amp;WINDOW=FIRST_POPUP&amp;HEIGHT=450&amp;WIDTH=450&amp;START_MAXIMI","ZED=FALSE&amp;VAR:CALENDAR=US&amp;VAR:SYMBOL=710306&amp;VAR:INDEX=0"}</definedName>
    <definedName name="_1165__FDSAUDITLINK__" hidden="1">{"fdsup://directions/FAT Viewer?action=UPDATE&amp;creator=factset&amp;DYN_ARGS=TRUE&amp;DOC_NAME=FAT:FQL_AUDITING_CLIENT_TEMPLATE.FAT&amp;display_string=Audit&amp;VAR:KEY=HKXWJMJSZQ&amp;VAR:QUERY=RkZfUkRfRVhQKENBTCwzOTgxMywsLCwp&amp;WINDOW=FIRST_POPUP&amp;HEIGHT=450&amp;WIDTH=450&amp;START_MAXIMI","ZED=FALSE&amp;VAR:CALENDAR=US&amp;VAR:SYMBOL=710306&amp;VAR:INDEX=0"}</definedName>
    <definedName name="_1166__FDSAUDITLINK__" hidden="1">{"fdsup://directions/FAT Viewer?action=UPDATE&amp;creator=factset&amp;DYN_ARGS=TRUE&amp;DOC_NAME=FAT:FQL_AUDITING_CLIENT_TEMPLATE.FAT&amp;display_string=Audit&amp;VAR:KEY=JONIRWROFI&amp;VAR:QUERY=RkZfUkRfRVhQKENBTCwzOTQ0NywsLCwp&amp;WINDOW=FIRST_POPUP&amp;HEIGHT=450&amp;WIDTH=450&amp;START_MAXIMI","ZED=FALSE&amp;VAR:CALENDAR=US&amp;VAR:SYMBOL=710306&amp;VAR:INDEX=0"}</definedName>
    <definedName name="_1167__FDSAUDITLINK__" hidden="1">{"fdsup://directions/FAT Viewer?action=UPDATE&amp;creator=factset&amp;DYN_ARGS=TRUE&amp;DOC_NAME=FAT:FQL_AUDITING_CLIENT_TEMPLATE.FAT&amp;display_string=Audit&amp;VAR:KEY=BAPYPCNOVG&amp;VAR:QUERY=RkZfUkRfRVhQKENBTCwzOTA4MiwsLCwp&amp;WINDOW=FIRST_POPUP&amp;HEIGHT=450&amp;WIDTH=450&amp;START_MAXIMI","ZED=FALSE&amp;VAR:CALENDAR=US&amp;VAR:SYMBOL=710306&amp;VAR:INDEX=0"}</definedName>
    <definedName name="_1168__FDSAUDITLINK__" hidden="1">{"fdsup://directions/FAT Viewer?action=UPDATE&amp;creator=factset&amp;DYN_ARGS=TRUE&amp;DOC_NAME=FAT:FQL_AUDITING_CLIENT_TEMPLATE.FAT&amp;display_string=Audit&amp;VAR:KEY=VKXURALSNK&amp;VAR:QUERY=RkZfUkRfRVhQKENBTCwzODcxNywsLCwp&amp;WINDOW=FIRST_POPUP&amp;HEIGHT=450&amp;WIDTH=450&amp;START_MAXIMI","ZED=FALSE&amp;VAR:CALENDAR=US&amp;VAR:SYMBOL=710306&amp;VAR:INDEX=0"}</definedName>
    <definedName name="_1169__FDSAUDITLINK__" hidden="1">{"fdsup://directions/FAT Viewer?action=UPDATE&amp;creator=factset&amp;DYN_ARGS=TRUE&amp;DOC_NAME=FAT:FQL_AUDITING_CLIENT_TEMPLATE.FAT&amp;display_string=Audit&amp;VAR:KEY=BUHEBCVYDU&amp;VAR:QUERY=RkZfUkRfRVhQKENBTCw0MDU0MywsLCwp&amp;WINDOW=FIRST_POPUP&amp;HEIGHT=450&amp;WIDTH=450&amp;START_MAXIMI","ZED=FALSE&amp;VAR:CALENDAR=US&amp;VAR:SYMBOL=711038&amp;VAR:INDEX=0"}</definedName>
    <definedName name="_117__FDSAUDITLINK__" hidden="1">{"fdsup://directions/FAT%20Viewer?VAR:TM=NTMA&amp;VAR:PCT=0.453552&amp;VAR:Y0=2008&amp;VAR:Y1=2009&amp;VAR:V0=14.183054&amp;VAR:V1=11.657250&amp;VAR:V=12.681555&amp;VAR:AUDIT_ID=00000117&amp;VAR:DATE=20080718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Aggregates&amp;VAR:MEASURE=PE_MEAN&amp;VAR:CALC_MODE=PORTFOLIO&amp;VAR:CHGPERIOD=NA&amp;VAR:FQLFORMULA=FMA_PE&amp;VAR:CURRENCY=USD&amp;VAR:P=1","260.682400&amp;VAR:THRESH=||||||&amp;VAR:null=.html"}</definedName>
    <definedName name="_1170__FDSAUDITLINK__" hidden="1">{"fdsup://directions/FAT Viewer?action=UPDATE&amp;creator=factset&amp;DYN_ARGS=TRUE&amp;DOC_NAME=FAT:FQL_AUDITING_CLIENT_TEMPLATE.FAT&amp;display_string=Audit&amp;VAR:KEY=HATKVKBWZI&amp;VAR:QUERY=RkZfUkRfRVhQKENBTCw0MDE3OCwsLCwp&amp;WINDOW=FIRST_POPUP&amp;HEIGHT=450&amp;WIDTH=450&amp;START_MAXIMI","ZED=FALSE&amp;VAR:CALENDAR=US&amp;VAR:SYMBOL=711038&amp;VAR:INDEX=0"}</definedName>
    <definedName name="_1171__FDSAUDITLINK__" hidden="1">{"fdsup://directions/FAT Viewer?action=UPDATE&amp;creator=factset&amp;DYN_ARGS=TRUE&amp;DOC_NAME=FAT:FQL_AUDITING_CLIENT_TEMPLATE.FAT&amp;display_string=Audit&amp;VAR:KEY=XUXGPIZETA&amp;VAR:QUERY=RkZfUkRfRVhQKENBTCwzOTgxMywsLCwp&amp;WINDOW=FIRST_POPUP&amp;HEIGHT=450&amp;WIDTH=450&amp;START_MAXIMI","ZED=FALSE&amp;VAR:CALENDAR=US&amp;VAR:SYMBOL=711038&amp;VAR:INDEX=0"}</definedName>
    <definedName name="_1172__FDSAUDITLINK__" hidden="1">{"fdsup://directions/FAT Viewer?action=UPDATE&amp;creator=factset&amp;DYN_ARGS=TRUE&amp;DOC_NAME=FAT:FQL_AUDITING_CLIENT_TEMPLATE.FAT&amp;display_string=Audit&amp;VAR:KEY=LULOLUFSZY&amp;VAR:QUERY=RkZfUkRfRVhQKENBTCwzOTgxMywsLCwp&amp;WINDOW=FIRST_POPUP&amp;HEIGHT=450&amp;WIDTH=450&amp;START_MAXIMI","ZED=FALSE&amp;VAR:CALENDAR=US&amp;VAR:SYMBOL=DNA&amp;VAR:INDEX=0"}</definedName>
    <definedName name="_1173__FDSAUDITLINK__" hidden="1">{"fdsup://directions/FAT Viewer?action=UPDATE&amp;creator=factset&amp;DYN_ARGS=TRUE&amp;DOC_NAME=FAT:FQL_AUDITING_CLIENT_TEMPLATE.FAT&amp;display_string=Audit&amp;VAR:KEY=JQXWLKRQJO&amp;VAR:QUERY=RkZfUkRfRVhQKENBTCwzOTQ0NywsLCwp&amp;WINDOW=FIRST_POPUP&amp;HEIGHT=450&amp;WIDTH=450&amp;START_MAXIMI","ZED=FALSE&amp;VAR:CALENDAR=US&amp;VAR:SYMBOL=DNA&amp;VAR:INDEX=0"}</definedName>
    <definedName name="_1174__FDSAUDITLINK__" hidden="1">{"fdsup://directions/FAT Viewer?action=UPDATE&amp;creator=factset&amp;DYN_ARGS=TRUE&amp;DOC_NAME=FAT:FQL_AUDITING_CLIENT_TEMPLATE.FAT&amp;display_string=Audit&amp;VAR:KEY=HYXWNYRITG&amp;VAR:QUERY=RkZfUkRfRVhQKENBTCwzOTA4MiwsLCwp&amp;WINDOW=FIRST_POPUP&amp;HEIGHT=450&amp;WIDTH=450&amp;START_MAXIMI","ZED=FALSE&amp;VAR:CALENDAR=US&amp;VAR:SYMBOL=DNA&amp;VAR:INDEX=0"}</definedName>
    <definedName name="_1175__FDSAUDITLINK__" hidden="1">{"fdsup://directions/FAT Viewer?action=UPDATE&amp;creator=factset&amp;DYN_ARGS=TRUE&amp;DOC_NAME=FAT:FQL_AUDITING_CLIENT_TEMPLATE.FAT&amp;display_string=Audit&amp;VAR:KEY=FWHQNGDGJY&amp;VAR:QUERY=RkZfUkRfRVhQKENBTCwzODcxNywsLCwp&amp;WINDOW=FIRST_POPUP&amp;HEIGHT=450&amp;WIDTH=450&amp;START_MAXIMI","ZED=FALSE&amp;VAR:CALENDAR=US&amp;VAR:SYMBOL=DNA&amp;VAR:INDEX=0"}</definedName>
    <definedName name="_1176__FDSAUDITLINK__" hidden="1">{"fdsup://directions/FAT Viewer?action=UPDATE&amp;creator=factset&amp;DYN_ARGS=TRUE&amp;DOC_NAME=FAT:FQL_AUDITING_CLIENT_TEMPLATE.FAT&amp;display_string=Audit&amp;VAR:KEY=RQTWDYPOXG&amp;VAR:QUERY=RkZfUkRfRVhQKENBTCwzODM1MiwsLCwp&amp;WINDOW=FIRST_POPUP&amp;HEIGHT=450&amp;WIDTH=450&amp;START_MAXIMI","ZED=FALSE&amp;VAR:CALENDAR=US&amp;VAR:SYMBOL=DNA&amp;VAR:INDEX=0"}</definedName>
    <definedName name="_1177__FDSAUDITLINK__" hidden="1">{"fdsup://directions/FAT Viewer?action=UPDATE&amp;creator=factset&amp;DYN_ARGS=TRUE&amp;DOC_NAME=FAT:FQL_AUDITING_CLIENT_TEMPLATE.FAT&amp;display_string=Audit&amp;VAR:KEY=JGLQLQPQDK&amp;VAR:QUERY=RkZfUkRfRVhQKENBTCw0MDU0MywsLCwp&amp;WINDOW=FIRST_POPUP&amp;HEIGHT=450&amp;WIDTH=450&amp;START_MAXIMI","ZED=FALSE&amp;VAR:CALENDAR=US&amp;VAR:SYMBOL=MRK&amp;VAR:INDEX=0"}</definedName>
    <definedName name="_1178__FDSAUDITLINK__" hidden="1">{"fdsup://directions/FAT Viewer?action=UPDATE&amp;creator=factset&amp;DYN_ARGS=TRUE&amp;DOC_NAME=FAT:FQL_AUDITING_CLIENT_TEMPLATE.FAT&amp;display_string=Audit&amp;VAR:KEY=XMHMROTSFU&amp;VAR:QUERY=RkZfUkRfRVhQKENBTCw0MDE3OCwsLCxVU0Qp&amp;WINDOW=FIRST_POPUP&amp;HEIGHT=450&amp;WIDTH=450&amp;START_MA","XIMIZED=FALSE&amp;VAR:CALENDAR=US&amp;VAR:SYMBOL=MRK&amp;VAR:INDEX=0"}</definedName>
    <definedName name="_1179__FDSAUDITLINK__" hidden="1">{"fdsup://directions/FAT Viewer?action=UPDATE&amp;creator=factset&amp;DYN_ARGS=TRUE&amp;DOC_NAME=FAT:FQL_AUDITING_CLIENT_TEMPLATE.FAT&amp;display_string=Audit&amp;VAR:KEY=BMVWPEJELU&amp;VAR:QUERY=RkZfUkRfRVhQKENBTCwzOTgxMywsLCwp&amp;WINDOW=FIRST_POPUP&amp;HEIGHT=450&amp;WIDTH=450&amp;START_MAXIMI","ZED=FALSE&amp;VAR:CALENDAR=US&amp;VAR:SYMBOL=MRK&amp;VAR:INDEX=0"}</definedName>
    <definedName name="_118__FDSAUDITLINK__" hidden="1">{"fdsup://directions/FAT%20Viewer?VAR:TM=NTMA&amp;VAR:PCT=0.472678&amp;VAR:Y0=2008&amp;VAR:Y1=2009&amp;VAR:V0=13.758374&amp;VAR:V1=11.381942&amp;VAR:V=12.393821&amp;VAR:AUDIT_ID=00000117&amp;VAR:DATE=20080711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Aggregates&amp;VAR:MEASURE=PE_MEAN&amp;VAR:CALC_MODE=PORTFOLIO&amp;VAR:CHGPERIOD=NA&amp;VAR:FQLFORMULA=FMA_PE&amp;VAR:CURRENCY=USD&amp;VAR:P=1","239.489600&amp;VAR:THRESH=||||||&amp;VAR:null=.html"}</definedName>
    <definedName name="_1180__FDSAUDITLINK__" hidden="1">{"fdsup://directions/FAT Viewer?action=UPDATE&amp;creator=factset&amp;DYN_ARGS=TRUE&amp;DOC_NAME=FAT:FQL_AUDITING_CLIENT_TEMPLATE.FAT&amp;display_string=Audit&amp;VAR:KEY=ZWNOBEDCJI&amp;VAR:QUERY=RkZfUkRfRVhQKENBTCwzOTgxMywsLCwp&amp;WINDOW=FIRST_POPUP&amp;HEIGHT=450&amp;WIDTH=450&amp;START_MAXIMI","ZED=FALSE&amp;VAR:CALENDAR=US&amp;VAR:SYMBOL=SGP&amp;VAR:INDEX=0"}</definedName>
    <definedName name="_1181__FDSAUDITLINK__" hidden="1">{"fdsup://directions/FAT Viewer?action=UPDATE&amp;creator=factset&amp;DYN_ARGS=TRUE&amp;DOC_NAME=FAT:FQL_AUDITING_CLIENT_TEMPLATE.FAT&amp;display_string=Audit&amp;VAR:KEY=LSNMLEBONA&amp;VAR:QUERY=RkZfUkRfRVhQKENBTCwzOTQ0NywsLCwp&amp;WINDOW=FIRST_POPUP&amp;HEIGHT=450&amp;WIDTH=450&amp;START_MAXIMI","ZED=FALSE&amp;VAR:CALENDAR=US&amp;VAR:SYMBOL=MRK&amp;VAR:INDEX=0"}</definedName>
    <definedName name="_1182__FDSAUDITLINK__" hidden="1">{"fdsup://directions/FAT Viewer?action=UPDATE&amp;creator=factset&amp;DYN_ARGS=TRUE&amp;DOC_NAME=FAT:FQL_AUDITING_CLIENT_TEMPLATE.FAT&amp;display_string=Audit&amp;VAR:KEY=VERKZCBWNO&amp;VAR:QUERY=RkZfUkRfRVhQKENBTCwzOTQ0NywsLCwp&amp;WINDOW=FIRST_POPUP&amp;HEIGHT=450&amp;WIDTH=450&amp;START_MAXIMI","ZED=FALSE&amp;VAR:CALENDAR=US&amp;VAR:SYMBOL=SGP&amp;VAR:INDEX=0"}</definedName>
    <definedName name="_1183__FDSAUDITLINK__" hidden="1">{"fdsup://directions/FAT Viewer?action=UPDATE&amp;creator=factset&amp;DYN_ARGS=TRUE&amp;DOC_NAME=FAT:FQL_AUDITING_CLIENT_TEMPLATE.FAT&amp;display_string=Audit&amp;VAR:KEY=NMHYXIZERM&amp;VAR:QUERY=RkZfUkRfRVhQKENBTCwzOTA4MiwsLCwp&amp;WINDOW=FIRST_POPUP&amp;HEIGHT=450&amp;WIDTH=450&amp;START_MAXIMI","ZED=FALSE&amp;VAR:CALENDAR=US&amp;VAR:SYMBOL=MRK&amp;VAR:INDEX=0"}</definedName>
    <definedName name="_1184__FDSAUDITLINK__" hidden="1">{"fdsup://directions/FAT Viewer?action=UPDATE&amp;creator=factset&amp;DYN_ARGS=TRUE&amp;DOC_NAME=FAT:FQL_AUDITING_CLIENT_TEMPLATE.FAT&amp;display_string=Audit&amp;VAR:KEY=VGVGPSRCRG&amp;VAR:QUERY=RkZfUkRfRVhQKENBTCwzOTA4MiwsLCwp&amp;WINDOW=FIRST_POPUP&amp;HEIGHT=450&amp;WIDTH=450&amp;START_MAXIMI","ZED=FALSE&amp;VAR:CALENDAR=US&amp;VAR:SYMBOL=SGP&amp;VAR:INDEX=0"}</definedName>
    <definedName name="_1185__FDSAUDITLINK__" hidden="1">{"fdsup://directions/FAT Viewer?action=UPDATE&amp;creator=factset&amp;DYN_ARGS=TRUE&amp;DOC_NAME=FAT:FQL_AUDITING_CLIENT_TEMPLATE.FAT&amp;display_string=Audit&amp;VAR:KEY=HIHQXGPWVE&amp;VAR:QUERY=RkZfUkRfRVhQKENBTCwzODcxNywsLCwp&amp;WINDOW=FIRST_POPUP&amp;HEIGHT=450&amp;WIDTH=450&amp;START_MAXIMI","ZED=FALSE&amp;VAR:CALENDAR=US&amp;VAR:SYMBOL=MRK&amp;VAR:INDEX=0"}</definedName>
    <definedName name="_1186__FDSAUDITLINK__" hidden="1">{"fdsup://directions/FAT Viewer?action=UPDATE&amp;creator=factset&amp;DYN_ARGS=TRUE&amp;DOC_NAME=FAT:FQL_AUDITING_CLIENT_TEMPLATE.FAT&amp;display_string=Audit&amp;VAR:KEY=DQBAJYBAFW&amp;VAR:QUERY=RkZfUkRfRVhQKENBTCwzODcxNywsLCwp&amp;WINDOW=FIRST_POPUP&amp;HEIGHT=450&amp;WIDTH=450&amp;START_MAXIMI","ZED=FALSE&amp;VAR:CALENDAR=US&amp;VAR:SYMBOL=SGP&amp;VAR:INDEX=0"}</definedName>
    <definedName name="_1187__FDSAUDITLINK__" hidden="1">{"fdsup://directions/FAT Viewer?action=UPDATE&amp;creator=factset&amp;DYN_ARGS=TRUE&amp;DOC_NAME=FAT:FQL_AUDITING_CLIENT_TEMPLATE.FAT&amp;display_string=Audit&amp;VAR:KEY=BILIDIROZO&amp;VAR:QUERY=RkZfUkRfRVhQKENBTCwzODM1MiwsLCwp&amp;WINDOW=FIRST_POPUP&amp;HEIGHT=450&amp;WIDTH=450&amp;START_MAXIMI","ZED=FALSE&amp;VAR:CALENDAR=US&amp;VAR:SYMBOL=MRK&amp;VAR:INDEX=0"}</definedName>
    <definedName name="_1188__FDSAUDITLINK__" hidden="1">{"fdsup://directions/FAT Viewer?action=UPDATE&amp;creator=factset&amp;DYN_ARGS=TRUE&amp;DOC_NAME=FAT:FQL_AUDITING_CLIENT_TEMPLATE.FAT&amp;display_string=Audit&amp;VAR:KEY=HSTURMXUFQ&amp;VAR:QUERY=RkZfUkRfRVhQKENBTCwzODM1MiwsLCwp&amp;WINDOW=FIRST_POPUP&amp;HEIGHT=450&amp;WIDTH=450&amp;START_MAXIMI","ZED=FALSE&amp;VAR:CALENDAR=US&amp;VAR:SYMBOL=SGP&amp;VAR:INDEX=0"}</definedName>
    <definedName name="_1189__FDSAUDITLINK__" hidden="1">{"fdsup://directions/FAT Viewer?action=UPDATE&amp;creator=factset&amp;DYN_ARGS=TRUE&amp;DOC_NAME=FAT:FQL_AUDITING_CLIENT_TEMPLATE.FAT&amp;display_string=Audit&amp;VAR:KEY=RULMZELIXK&amp;VAR:QUERY=RkZfUkRfRVhQKENBTCw0MDU0MywsLCwp&amp;WINDOW=FIRST_POPUP&amp;HEIGHT=450&amp;WIDTH=450&amp;START_MAXIMI","ZED=FALSE&amp;VAR:CALENDAR=US&amp;VAR:SYMBOL=PFE&amp;VAR:INDEX=0"}</definedName>
    <definedName name="_119__FDSAUDITLINK__" hidden="1">{"fdsup://directions/FAT%20Viewer?VAR:TM=NTMA&amp;VAR:PCT=0.494536&amp;VAR:Y0=2008&amp;VAR:Y1=2009&amp;VAR:V0=13.893942&amp;VAR:V1=11.579941&amp;VAR:V=12.619314&amp;VAR:AUDIT_ID=00000117&amp;VAR:DATE=20080703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Aggregates&amp;VAR:MEASURE=PE_MEAN&amp;VAR:CALC_MODE=PORTFOLIO&amp;VAR:CHGPERIOD=NA&amp;VAR:FQLFORMULA=FMA_PE&amp;VAR:CURRENCY=USD&amp;VAR:P=1","262.897200&amp;VAR:THRESH=||||||&amp;VAR:null=.html"}</definedName>
    <definedName name="_1190__FDSAUDITLINK__" hidden="1">{"fdsup://directions/FAT Viewer?action=UPDATE&amp;creator=factset&amp;DYN_ARGS=TRUE&amp;DOC_NAME=FAT:FQL_AUDITING_CLIENT_TEMPLATE.FAT&amp;display_string=Audit&amp;VAR:KEY=XADITGJORE&amp;VAR:QUERY=RkZfUkRfRVhQKENBTCw0MDE3OCwsLCxVU0Qp&amp;WINDOW=FIRST_POPUP&amp;HEIGHT=450&amp;WIDTH=450&amp;START_MA","XIMIZED=FALSE&amp;VAR:CALENDAR=US&amp;VAR:SYMBOL=PFE&amp;VAR:INDEX=0"}</definedName>
    <definedName name="_1191__FDSAUDITLINK__" hidden="1">{"fdsup://directions/FAT Viewer?action=UPDATE&amp;creator=factset&amp;DYN_ARGS=TRUE&amp;DOC_NAME=FAT:FQL_AUDITING_CLIENT_TEMPLATE.FAT&amp;display_string=Audit&amp;VAR:KEY=XAFSTKHGNY&amp;VAR:QUERY=RkZfUkRfRVhQKENBTCwzOTgxMywsLCwp&amp;WINDOW=FIRST_POPUP&amp;HEIGHT=450&amp;WIDTH=450&amp;START_MAXIMI","ZED=FALSE&amp;VAR:CALENDAR=US&amp;VAR:SYMBOL=PFE&amp;VAR:INDEX=0"}</definedName>
    <definedName name="_1192__FDSAUDITLINK__" hidden="1">{"fdsup://directions/FAT Viewer?action=UPDATE&amp;creator=factset&amp;DYN_ARGS=TRUE&amp;DOC_NAME=FAT:FQL_AUDITING_CLIENT_TEMPLATE.FAT&amp;display_string=Audit&amp;VAR:KEY=PAJYJYJAHE&amp;VAR:QUERY=RkZfUkRfRVhQKENBTCwzOTgxMywsLCwp&amp;WINDOW=FIRST_POPUP&amp;HEIGHT=450&amp;WIDTH=450&amp;START_MAXIMI","ZED=FALSE&amp;VAR:CALENDAR=US&amp;VAR:SYMBOL=WYE&amp;VAR:INDEX=0"}</definedName>
    <definedName name="_1193__FDSAUDITLINK__" hidden="1">{"fdsup://directions/FAT Viewer?action=UPDATE&amp;creator=factset&amp;DYN_ARGS=TRUE&amp;DOC_NAME=FAT:FQL_AUDITING_CLIENT_TEMPLATE.FAT&amp;display_string=Audit&amp;VAR:KEY=TEDKTITIXA&amp;VAR:QUERY=RkZfUkRfRVhQKENBTCwzOTQ0NywsLCwp&amp;WINDOW=FIRST_POPUP&amp;HEIGHT=450&amp;WIDTH=450&amp;START_MAXIMI","ZED=FALSE&amp;VAR:CALENDAR=US&amp;VAR:SYMBOL=PFE&amp;VAR:INDEX=0"}</definedName>
    <definedName name="_1194__FDSAUDITLINK__" hidden="1">{"fdsup://directions/FAT Viewer?action=UPDATE&amp;creator=factset&amp;DYN_ARGS=TRUE&amp;DOC_NAME=FAT:FQL_AUDITING_CLIENT_TEMPLATE.FAT&amp;display_string=Audit&amp;VAR:KEY=NYXURMTONW&amp;VAR:QUERY=RkZfUkRfRVhQKENBTCwzOTQ0NywsLCwp&amp;WINDOW=FIRST_POPUP&amp;HEIGHT=450&amp;WIDTH=450&amp;START_MAXIMI","ZED=FALSE&amp;VAR:CALENDAR=US&amp;VAR:SYMBOL=WYE&amp;VAR:INDEX=0"}</definedName>
    <definedName name="_1195__FDSAUDITLINK__" hidden="1">{"fdsup://directions/FAT Viewer?action=UPDATE&amp;creator=factset&amp;DYN_ARGS=TRUE&amp;DOC_NAME=FAT:FQL_AUDITING_CLIENT_TEMPLATE.FAT&amp;display_string=Audit&amp;VAR:KEY=VOPUPSJQLI&amp;VAR:QUERY=RkZfUkRfRVhQKENBTCwzOTA4MiwsLCwp&amp;WINDOW=FIRST_POPUP&amp;HEIGHT=450&amp;WIDTH=450&amp;START_MAXIMI","ZED=FALSE&amp;VAR:CALENDAR=US&amp;VAR:SYMBOL=PFE&amp;VAR:INDEX=0"}</definedName>
    <definedName name="_1196__FDSAUDITLINK__" hidden="1">{"fdsup://directions/FAT Viewer?action=UPDATE&amp;creator=factset&amp;DYN_ARGS=TRUE&amp;DOC_NAME=FAT:FQL_AUDITING_CLIENT_TEMPLATE.FAT&amp;display_string=Audit&amp;VAR:KEY=XWTYLUVGBU&amp;VAR:QUERY=RkZfUkRfRVhQKENBTCwzOTA4MiwsLCwp&amp;WINDOW=FIRST_POPUP&amp;HEIGHT=450&amp;WIDTH=450&amp;START_MAXIMI","ZED=FALSE&amp;VAR:CALENDAR=US&amp;VAR:SYMBOL=WYE&amp;VAR:INDEX=0"}</definedName>
    <definedName name="_1197__FDSAUDITLINK__" hidden="1">{"fdsup://directions/FAT Viewer?action=UPDATE&amp;creator=factset&amp;DYN_ARGS=TRUE&amp;DOC_NAME=FAT:FQL_AUDITING_CLIENT_TEMPLATE.FAT&amp;display_string=Audit&amp;VAR:KEY=DUZANORCZM&amp;VAR:QUERY=RkZfUkRfRVhQKENBTCwzODcxNywsLCwp&amp;WINDOW=FIRST_POPUP&amp;HEIGHT=450&amp;WIDTH=450&amp;START_MAXIMI","ZED=FALSE&amp;VAR:CALENDAR=US&amp;VAR:SYMBOL=PFE&amp;VAR:INDEX=0"}</definedName>
    <definedName name="_1198__FDSAUDITLINK__" hidden="1">{"fdsup://directions/FAT Viewer?action=UPDATE&amp;creator=factset&amp;DYN_ARGS=TRUE&amp;DOC_NAME=FAT:FQL_AUDITING_CLIENT_TEMPLATE.FAT&amp;display_string=Audit&amp;VAR:KEY=DGDCHUBYVS&amp;VAR:QUERY=RkZfUkRfRVhQKENBTCwzODcxNywsLCwp&amp;WINDOW=FIRST_POPUP&amp;HEIGHT=450&amp;WIDTH=450&amp;START_MAXIMI","ZED=FALSE&amp;VAR:CALENDAR=US&amp;VAR:SYMBOL=WYE&amp;VAR:INDEX=0"}</definedName>
    <definedName name="_1199__FDSAUDITLINK__" hidden="1">{"fdsup://directions/FAT Viewer?action=UPDATE&amp;creator=factset&amp;DYN_ARGS=TRUE&amp;DOC_NAME=FAT:FQL_AUDITING_CLIENT_TEMPLATE.FAT&amp;display_string=Audit&amp;VAR:KEY=BETMVWVSBG&amp;VAR:QUERY=RkZfUkRfRVhQKENBTCwzODM1MiwsLCwp&amp;WINDOW=FIRST_POPUP&amp;HEIGHT=450&amp;WIDTH=450&amp;START_MAXIMI","ZED=FALSE&amp;VAR:CALENDAR=US&amp;VAR:SYMBOL=PFE&amp;VAR:INDEX=0"}</definedName>
    <definedName name="_12__FDSAUDITLINK__" hidden="1">{"fdsup://directions/FAT%20Viewer?VAR:TM=NTMA&amp;VAR:PCT=0.441096&amp;VAR:Y0=2010&amp;VAR:Y1=2011&amp;VAR:V0=13.240406&amp;VAR:V1=11.424023&amp;VAR:V=12.159835&amp;VAR:AUDIT_ID=00000117&amp;VAR:DATE=20100723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Aggregates&amp;VAR:MEASURE=PE_MEAN&amp;VAR:CALC_MODE=PORTFOLIO&amp;VAR:CHGPERIOD=NA&amp;VAR:FQLFORMULA=FMA_PE&amp;VAR:CURRENCY=USD&amp;VAR:P=1","102.658226&amp;VAR:THRESH=||||||&amp;VAR:null=.html"}</definedName>
    <definedName name="_120__FDSAUDITLINK__" hidden="1">{"fdsup://directions/FAT%20Viewer?VAR:TM=NTMA&amp;VAR:PCT=0.510929&amp;VAR:Y0=2008&amp;VAR:Y1=2009&amp;VAR:V0=14.002363&amp;VAR:V1=11.638854&amp;VAR:V=12.737342&amp;VAR:AUDIT_ID=00000117&amp;VAR:DATE=20080627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Aggregates&amp;VAR:MEASURE=PE_MEAN&amp;VAR:CALC_MODE=PORTFOLIO&amp;VAR:CHGPERIOD=NA&amp;VAR:FQLFORMULA=FMA_PE&amp;VAR:CURRENCY=USD&amp;VAR:P=1","278.375400&amp;VAR:THRESH=||||||&amp;VAR:null=.html"}</definedName>
    <definedName name="_1200__FDSAUDITLINK__" hidden="1">{"fdsup://directions/FAT Viewer?action=UPDATE&amp;creator=factset&amp;DYN_ARGS=TRUE&amp;DOC_NAME=FAT:FQL_AUDITING_CLIENT_TEMPLATE.FAT&amp;display_string=Audit&amp;VAR:KEY=HKXMFCNQRG&amp;VAR:QUERY=RkZfUkRfRVhQKENBTCwzODM1MiwsLCwp&amp;WINDOW=FIRST_POPUP&amp;HEIGHT=450&amp;WIDTH=450&amp;START_MAXIMI","ZED=FALSE&amp;VAR:CALENDAR=US&amp;VAR:SYMBOL=WYE&amp;VAR:INDEX=0"}</definedName>
    <definedName name="_1201__FDSAUDITLINK__" hidden="1">{"fdsup://Directions/FactSet Auditing Viewer?action=AUDIT_VALUE&amp;DB=129&amp;ID1=36871040&amp;VALUEID=01001&amp;SDATE=200804&amp;PERIODTYPE=QTR_STD&amp;SCFT=3&amp;window=popup_no_bar&amp;width=385&amp;height=120&amp;START_MAXIMIZED=FALSE&amp;creator=factset&amp;display_string=Audit"}</definedName>
    <definedName name="_1202__FDSAUDITLINK__" hidden="1">{"fdsup://Directions/FactSet Auditing Viewer?action=AUDIT_VALUE&amp;DB=129&amp;ID1=36871040&amp;VALUEID=01001&amp;SDATE=200803&amp;PERIODTYPE=QTR_STD&amp;SCFT=3&amp;window=popup_no_bar&amp;width=385&amp;height=120&amp;START_MAXIMIZED=FALSE&amp;creator=factset&amp;display_string=Audit"}</definedName>
    <definedName name="_1203__FDSAUDITLINK__" hidden="1">{"fdsup://Directions/FactSet Auditing Viewer?action=AUDIT_VALUE&amp;DB=129&amp;ID1=36871040&amp;VALUEID=01001&amp;SDATE=200802&amp;PERIODTYPE=QTR_STD&amp;SCFT=3&amp;window=popup_no_bar&amp;width=385&amp;height=120&amp;START_MAXIMIZED=FALSE&amp;creator=factset&amp;display_string=Audit"}</definedName>
    <definedName name="_1204__FDSAUDITLINK__" hidden="1">{"fdsup://Directions/FactSet Auditing Viewer?action=AUDIT_VALUE&amp;DB=129&amp;ID1=36871040&amp;VALUEID=01001&amp;SDATE=200801&amp;PERIODTYPE=QTR_STD&amp;SCFT=3&amp;window=popup_no_bar&amp;width=385&amp;height=120&amp;START_MAXIMIZED=FALSE&amp;creator=factset&amp;display_string=Audit"}</definedName>
    <definedName name="_1205__FDSAUDITLINK__" hidden="1">{"fdsup://Directions/FactSet Auditing Viewer?action=AUDIT_VALUE&amp;DB=129&amp;ID1=36871040&amp;VALUEID=01001&amp;SDATE=200704&amp;PERIODTYPE=QTR_STD&amp;SCFT=3&amp;window=popup_no_bar&amp;width=385&amp;height=120&amp;START_MAXIMIZED=FALSE&amp;creator=factset&amp;display_string=Audit"}</definedName>
    <definedName name="_1206__FDSAUDITLINK__" hidden="1">{"fdsup://Directions/FactSet Auditing Viewer?action=AUDIT_VALUE&amp;DB=129&amp;ID1=36871040&amp;VALUEID=01001&amp;SDATE=200703&amp;PERIODTYPE=QTR_STD&amp;SCFT=3&amp;window=popup_no_bar&amp;width=385&amp;height=120&amp;START_MAXIMIZED=FALSE&amp;creator=factset&amp;display_string=Audit"}</definedName>
    <definedName name="_1207__FDSAUDITLINK__" hidden="1">{"fdsup://Directions/FactSet Auditing Viewer?action=AUDIT_VALUE&amp;DB=129&amp;ID1=36871040&amp;VALUEID=01001&amp;SDATE=200702&amp;PERIODTYPE=QTR_STD&amp;SCFT=3&amp;window=popup_no_bar&amp;width=385&amp;height=120&amp;START_MAXIMIZED=FALSE&amp;creator=factset&amp;display_string=Audit"}</definedName>
    <definedName name="_1208__FDSAUDITLINK__" hidden="1">{"fdsup://Directions/FactSet Auditing Viewer?action=AUDIT_VALUE&amp;DB=129&amp;ID1=36871040&amp;VALUEID=01001&amp;SDATE=200701&amp;PERIODTYPE=QTR_STD&amp;SCFT=3&amp;window=popup_no_bar&amp;width=385&amp;height=120&amp;START_MAXIMIZED=FALSE&amp;creator=factset&amp;display_string=Audit"}</definedName>
    <definedName name="_1209__FDSAUDITLINK__" hidden="1">{"fdsup://Directions/FactSet Auditing Viewer?action=AUDIT_VALUE&amp;DB=129&amp;ID1=98302410&amp;VALUEID=01001&amp;SDATE=200902&amp;PERIODTYPE=QTR_STD&amp;SCFT=3&amp;window=popup_no_bar&amp;width=385&amp;height=120&amp;START_MAXIMIZED=FALSE&amp;creator=factset&amp;display_string=Audit"}</definedName>
    <definedName name="_121__FDSAUDITLINK__" hidden="1">{"fdsup://directions/FAT%20Viewer?VAR:TM=NTMA&amp;VAR:PCT=0.530055&amp;VAR:Y0=2008&amp;VAR:Y1=2009&amp;VAR:V0=14.385699&amp;VAR:V1=12.055146&amp;VAR:V=13.187582&amp;VAR:AUDIT_ID=00000117&amp;VAR:DATE=20080620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Aggregates&amp;VAR:MEASURE=PE_MEAN&amp;VAR:CALC_MODE=PORTFOLIO&amp;VAR:CHGPERIOD=NA&amp;VAR:FQLFORMULA=FMA_PE&amp;VAR:CURRENCY=USD&amp;VAR:P=1","317.925900&amp;VAR:THRESH=||||||&amp;VAR:null=.html"}</definedName>
    <definedName name="_1210__FDSAUDITLINK__" hidden="1">{"fdsup://Directions/FactSet Auditing Viewer?action=AUDIT_VALUE&amp;DB=129&amp;ID1=98302410&amp;VALUEID=01001&amp;SDATE=200901&amp;PERIODTYPE=QTR_STD&amp;SCFT=3&amp;window=popup_no_bar&amp;width=385&amp;height=120&amp;START_MAXIMIZED=FALSE&amp;creator=factset&amp;display_string=Audit"}</definedName>
    <definedName name="_1211__FDSAUDITLINK__" hidden="1">{"fdsup://Directions/FactSet Auditing Viewer?action=AUDIT_VALUE&amp;DB=129&amp;ID1=98302410&amp;VALUEID=01001&amp;SDATE=200804&amp;PERIODTYPE=QTR_STD&amp;SCFT=3&amp;window=popup_no_bar&amp;width=385&amp;height=120&amp;START_MAXIMIZED=FALSE&amp;creator=factset&amp;display_string=Audit"}</definedName>
    <definedName name="_1212__FDSAUDITLINK__" hidden="1">{"fdsup://Directions/FactSet Auditing Viewer?action=AUDIT_VALUE&amp;DB=129&amp;ID1=98302410&amp;VALUEID=01001&amp;SDATE=200803&amp;PERIODTYPE=QTR_STD&amp;SCFT=3&amp;window=popup_no_bar&amp;width=385&amp;height=120&amp;START_MAXIMIZED=FALSE&amp;creator=factset&amp;display_string=Audit"}</definedName>
    <definedName name="_1213__FDSAUDITLINK__" hidden="1">{"fdsup://Directions/FactSet Auditing Viewer?action=AUDIT_VALUE&amp;DB=129&amp;ID1=98302410&amp;VALUEID=01001&amp;SDATE=200802&amp;PERIODTYPE=QTR_STD&amp;SCFT=3&amp;window=popup_no_bar&amp;width=385&amp;height=120&amp;START_MAXIMIZED=FALSE&amp;creator=factset&amp;display_string=Audit"}</definedName>
    <definedName name="_1214__FDSAUDITLINK__" hidden="1">{"fdsup://Directions/FactSet Auditing Viewer?action=AUDIT_VALUE&amp;DB=129&amp;ID1=98302410&amp;VALUEID=01001&amp;SDATE=200801&amp;PERIODTYPE=QTR_STD&amp;SCFT=3&amp;window=popup_no_bar&amp;width=385&amp;height=120&amp;START_MAXIMIZED=FALSE&amp;creator=factset&amp;display_string=Audit"}</definedName>
    <definedName name="_1215__FDSAUDITLINK__" hidden="1">{"fdsup://Directions/FactSet Auditing Viewer?action=AUDIT_VALUE&amp;DB=129&amp;ID1=98302410&amp;VALUEID=01001&amp;SDATE=200704&amp;PERIODTYPE=QTR_STD&amp;SCFT=3&amp;window=popup_no_bar&amp;width=385&amp;height=120&amp;START_MAXIMIZED=FALSE&amp;creator=factset&amp;display_string=Audit"}</definedName>
    <definedName name="_1216__FDSAUDITLINK__" hidden="1">{"fdsup://Directions/FactSet Auditing Viewer?action=AUDIT_VALUE&amp;DB=129&amp;ID1=98302410&amp;VALUEID=01001&amp;SDATE=200703&amp;PERIODTYPE=QTR_STD&amp;SCFT=3&amp;window=popup_no_bar&amp;width=385&amp;height=120&amp;START_MAXIMIZED=FALSE&amp;creator=factset&amp;display_string=Audit"}</definedName>
    <definedName name="_1217__FDSAUDITLINK__" hidden="1">{"fdsup://Directions/FactSet Auditing Viewer?action=AUDIT_VALUE&amp;DB=129&amp;ID1=80660510&amp;VALUEID=01001&amp;SDATE=200903&amp;PERIODTYPE=QTR_STD&amp;SCFT=3&amp;window=popup_no_bar&amp;width=385&amp;height=120&amp;START_MAXIMIZED=FALSE&amp;creator=factset&amp;display_string=Audit"}</definedName>
    <definedName name="_1218__FDSAUDITLINK__" hidden="1">{"fdsup://Directions/FactSet Auditing Viewer?action=AUDIT_VALUE&amp;DB=129&amp;ID1=80660510&amp;VALUEID=01001&amp;SDATE=200902&amp;PERIODTYPE=QTR_STD&amp;SCFT=3&amp;window=popup_no_bar&amp;width=385&amp;height=120&amp;START_MAXIMIZED=FALSE&amp;creator=factset&amp;display_string=Audit"}</definedName>
    <definedName name="_1219__FDSAUDITLINK__" hidden="1">{"fdsup://Directions/FactSet Auditing Viewer?action=AUDIT_VALUE&amp;DB=129&amp;ID1=80660510&amp;VALUEID=01001&amp;SDATE=200804&amp;PERIODTYPE=QTR_STD&amp;SCFT=3&amp;window=popup_no_bar&amp;width=385&amp;height=120&amp;START_MAXIMIZED=FALSE&amp;creator=factset&amp;display_string=Audit"}</definedName>
    <definedName name="_122__FDSAUDITLINK__" hidden="1">{"fdsup://directions/FAT%20Viewer?VAR:TM=NTMA&amp;VAR:PCT=0.549180&amp;VAR:Y0=2008&amp;VAR:Y1=2009&amp;VAR:V0=14.785577&amp;VAR:V1=12.406878&amp;VAR:V=13.609285&amp;VAR:AUDIT_ID=00000117&amp;VAR:DATE=20080613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Aggregates&amp;VAR:MEASURE=PE_MEAN&amp;VAR:CALC_MODE=PORTFOLIO&amp;VAR:CHGPERIOD=NA&amp;VAR:FQLFORMULA=FMA_PE&amp;VAR:CURRENCY=USD&amp;VAR:P=1","360.029000&amp;VAR:THRESH=||||||&amp;VAR:null=.html"}</definedName>
    <definedName name="_1220__FDSAUDITLINK__" hidden="1">{"fdsup://Directions/FactSet Auditing Viewer?action=AUDIT_VALUE&amp;DB=129&amp;ID1=80660510&amp;VALUEID=01001&amp;SDATE=200803&amp;PERIODTYPE=QTR_STD&amp;SCFT=3&amp;window=popup_no_bar&amp;width=385&amp;height=120&amp;START_MAXIMIZED=FALSE&amp;creator=factset&amp;display_string=Audit"}</definedName>
    <definedName name="_1221__FDSAUDITLINK__" hidden="1">{"fdsup://Directions/FactSet Auditing Viewer?action=AUDIT_VALUE&amp;DB=129&amp;ID1=80660510&amp;VALUEID=01001&amp;SDATE=200802&amp;PERIODTYPE=QTR_STD&amp;SCFT=3&amp;window=popup_no_bar&amp;width=385&amp;height=120&amp;START_MAXIMIZED=FALSE&amp;creator=factset&amp;display_string=Audit"}</definedName>
    <definedName name="_1222__FDSAUDITLINK__" hidden="1">{"fdsup://Directions/FactSet Auditing Viewer?action=AUDIT_VALUE&amp;DB=129&amp;ID1=80660510&amp;VALUEID=01001&amp;SDATE=200801&amp;PERIODTYPE=QTR_STD&amp;SCFT=3&amp;window=popup_no_bar&amp;width=385&amp;height=120&amp;START_MAXIMIZED=FALSE&amp;creator=factset&amp;display_string=Audit"}</definedName>
    <definedName name="_1223__FDSAUDITLINK__" hidden="1">{"fdsup://Directions/FactSet Auditing Viewer?action=AUDIT_VALUE&amp;DB=129&amp;ID1=80660510&amp;VALUEID=01001&amp;SDATE=200704&amp;PERIODTYPE=QTR_STD&amp;SCFT=3&amp;window=popup_no_bar&amp;width=385&amp;height=120&amp;START_MAXIMIZED=FALSE&amp;creator=factset&amp;display_string=Audit"}</definedName>
    <definedName name="_1224__FDSAUDITLINK__" hidden="1">{"fdsup://directions/FAT Viewer?action=UPDATE&amp;creator=factset&amp;DYN_ARGS=TRUE&amp;DOC_NAME=FAT:FQL_AUDITING_CLIENT_TEMPLATE.FAT&amp;display_string=Audit&amp;VAR:KEY=VKRQTKFUBW&amp;VAR:QUERY=RkZfU0FMRVMoQ0FMLDM5ODEzLCwsLCk=&amp;WINDOW=FIRST_POPUP&amp;HEIGHT=450&amp;WIDTH=450&amp;START_MAXIMI","ZED=FALSE&amp;VAR:CALENDAR=US&amp;VAR:SYMBOL=DNA&amp;VAR:INDEX=0"}</definedName>
    <definedName name="_1225__FDSAUDITLINK__" hidden="1">{"fdsup://directions/FAT Viewer?action=UPDATE&amp;creator=factset&amp;DYN_ARGS=TRUE&amp;DOC_NAME=FAT:FQL_AUDITING_CLIENT_TEMPLATE.FAT&amp;display_string=Audit&amp;VAR:KEY=XEDCREVYZS&amp;VAR:QUERY=RkZfU0FMRVMoQ0FMLDM5NDQ3LCwsLCk=&amp;WINDOW=FIRST_POPUP&amp;HEIGHT=450&amp;WIDTH=450&amp;START_MAXIMI","ZED=FALSE&amp;VAR:CALENDAR=US&amp;VAR:SYMBOL=DNA&amp;VAR:INDEX=0"}</definedName>
    <definedName name="_1226__FDSAUDITLINK__" hidden="1">{"fdsup://directions/FAT Viewer?action=UPDATE&amp;creator=factset&amp;DYN_ARGS=TRUE&amp;DOC_NAME=FAT:FQL_AUDITING_CLIENT_TEMPLATE.FAT&amp;display_string=Audit&amp;VAR:KEY=TOXMHYNEDQ&amp;VAR:QUERY=RkZfU0FMRVMoQ0FMLDM5MDgyLCwsLCk=&amp;WINDOW=FIRST_POPUP&amp;HEIGHT=450&amp;WIDTH=450&amp;START_MAXIMI","ZED=FALSE&amp;VAR:CALENDAR=US&amp;VAR:SYMBOL=DNA&amp;VAR:INDEX=0"}</definedName>
    <definedName name="_1227__FDSAUDITLINK__" hidden="1">{"fdsup://directions/FAT Viewer?action=UPDATE&amp;creator=factset&amp;DYN_ARGS=TRUE&amp;DOC_NAME=FAT:FQL_AUDITING_CLIENT_TEMPLATE.FAT&amp;display_string=Audit&amp;VAR:KEY=BKHAJUZULG&amp;VAR:QUERY=RkZfU0FMRVMoQ0FMLDM4NzE3LCwsLCk=&amp;WINDOW=FIRST_POPUP&amp;HEIGHT=450&amp;WIDTH=450&amp;START_MAXIMI","ZED=FALSE&amp;VAR:CALENDAR=US&amp;VAR:SYMBOL=DNA&amp;VAR:INDEX=0"}</definedName>
    <definedName name="_1228__FDSAUDITLINK__" hidden="1">{"fdsup://directions/FAT Viewer?action=UPDATE&amp;creator=factset&amp;DYN_ARGS=TRUE&amp;DOC_NAME=FAT:FQL_AUDITING_CLIENT_TEMPLATE.FAT&amp;display_string=Audit&amp;VAR:KEY=JYZKZGDIFI&amp;VAR:QUERY=RkZfU0FMRVMoQ0FMLDM4MzUyLCwsLCk=&amp;WINDOW=FIRST_POPUP&amp;HEIGHT=450&amp;WIDTH=450&amp;START_MAXIMI","ZED=FALSE&amp;VAR:CALENDAR=US&amp;VAR:SYMBOL=DNA&amp;VAR:INDEX=0"}</definedName>
    <definedName name="_1229__FDSAUDITLINK__" hidden="1">{"fdsup://directions/FAT Viewer?action=UPDATE&amp;creator=factset&amp;DYN_ARGS=TRUE&amp;DOC_NAME=FAT:FQL_AUDITING_CLIENT_TEMPLATE.FAT&amp;display_string=Audit&amp;VAR:KEY=HONSVQVETW&amp;VAR:QUERY=RkZfU0FMRVMoQ0FMLDM5ODEzLCwsLCk=&amp;WINDOW=FIRST_POPUP&amp;HEIGHT=450&amp;WIDTH=450&amp;START_MAXIMI","ZED=FALSE&amp;VAR:CALENDAR=US&amp;VAR:SYMBOL=SGP&amp;VAR:INDEX=0"}</definedName>
    <definedName name="_123__FDSAUDITLINK__" hidden="1">{"fdsup://directions/FAT%20Viewer?VAR:TM=NTMA&amp;VAR:PCT=0.568306&amp;VAR:Y0=2008&amp;VAR:Y1=2009&amp;VAR:V0=14.697715&amp;VAR:V1=12.379170&amp;VAR:V=13.598246&amp;VAR:AUDIT_ID=00000117&amp;VAR:DATE=20080606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Aggregates&amp;VAR:MEASURE=PE_MEAN&amp;VAR:CALC_MODE=PORTFOLIO&amp;VAR:CHGPERIOD=NA&amp;VAR:FQLFORMULA=FMA_PE&amp;VAR:CURRENCY=USD&amp;VAR:P=1","360.678300&amp;VAR:THRESH=||||||&amp;VAR:null=.html"}</definedName>
    <definedName name="_1230__FDSAUDITLINK__" hidden="1">{"fdsup://directions/FAT Viewer?action=UPDATE&amp;creator=factset&amp;DYN_ARGS=TRUE&amp;DOC_NAME=FAT:FQL_AUDITING_CLIENT_TEMPLATE.FAT&amp;display_string=Audit&amp;VAR:KEY=DGFOTSZMDS&amp;VAR:QUERY=RkZfU0FMRVMoQ0FMLDM5NDQ3LCwsLCk=&amp;WINDOW=FIRST_POPUP&amp;HEIGHT=450&amp;WIDTH=450&amp;START_MAXIMI","ZED=FALSE&amp;VAR:CALENDAR=US&amp;VAR:SYMBOL=SGP&amp;VAR:INDEX=0"}</definedName>
    <definedName name="_1231__FDSAUDITLINK__" hidden="1">{"fdsup://directions/FAT Viewer?action=UPDATE&amp;creator=factset&amp;DYN_ARGS=TRUE&amp;DOC_NAME=FAT:FQL_AUDITING_CLIENT_TEMPLATE.FAT&amp;display_string=Audit&amp;VAR:KEY=RMFKNYHWPS&amp;VAR:QUERY=RkZfU0FMRVMoQ0FMLDM5MDgyLCwsLCk=&amp;WINDOW=FIRST_POPUP&amp;HEIGHT=450&amp;WIDTH=450&amp;START_MAXIMI","ZED=FALSE&amp;VAR:CALENDAR=US&amp;VAR:SYMBOL=SGP&amp;VAR:INDEX=0"}</definedName>
    <definedName name="_1232__FDSAUDITLINK__" hidden="1">{"fdsup://directions/FAT Viewer?action=UPDATE&amp;creator=factset&amp;DYN_ARGS=TRUE&amp;DOC_NAME=FAT:FQL_AUDITING_CLIENT_TEMPLATE.FAT&amp;display_string=Audit&amp;VAR:KEY=DKZQFGPGZY&amp;VAR:QUERY=RkZfU0FMRVMoQ0FMLDM4NzE3LCwsLCk=&amp;WINDOW=FIRST_POPUP&amp;HEIGHT=450&amp;WIDTH=450&amp;START_MAXIMI","ZED=FALSE&amp;VAR:CALENDAR=US&amp;VAR:SYMBOL=SGP&amp;VAR:INDEX=0"}</definedName>
    <definedName name="_1233__FDSAUDITLINK__" hidden="1">{"fdsup://directions/FAT Viewer?action=UPDATE&amp;creator=factset&amp;DYN_ARGS=TRUE&amp;DOC_NAME=FAT:FQL_AUDITING_CLIENT_TEMPLATE.FAT&amp;display_string=Audit&amp;VAR:KEY=BSFAVMVYRK&amp;VAR:QUERY=RkZfU0FMRVMoQ0FMLDM4MzUyLCwsLCk=&amp;WINDOW=FIRST_POPUP&amp;HEIGHT=450&amp;WIDTH=450&amp;START_MAXIMI","ZED=FALSE&amp;VAR:CALENDAR=US&amp;VAR:SYMBOL=SGP&amp;VAR:INDEX=0"}</definedName>
    <definedName name="_1234__FDSAUDITLINK__" hidden="1">{"fdsup://directions/FAT Viewer?action=UPDATE&amp;creator=factset&amp;DYN_ARGS=TRUE&amp;DOC_NAME=FAT:FQL_AUDITING_CLIENT_TEMPLATE.FAT&amp;display_string=Audit&amp;VAR:KEY=VQLSXQNWTQ&amp;VAR:QUERY=RkZfU0FMRVMoQ0FMLDM5ODEzLCwsLCk=&amp;WINDOW=FIRST_POPUP&amp;HEIGHT=450&amp;WIDTH=450&amp;START_MAXIMI","ZED=FALSE&amp;VAR:CALENDAR=US&amp;VAR:SYMBOL=WYE&amp;VAR:INDEX=0"}</definedName>
    <definedName name="_1235__FDSAUDITLINK__" hidden="1">{"fdsup://directions/FAT Viewer?action=UPDATE&amp;creator=factset&amp;DYN_ARGS=TRUE&amp;DOC_NAME=FAT:FQL_AUDITING_CLIENT_TEMPLATE.FAT&amp;display_string=Audit&amp;VAR:KEY=LYBCHAXYFU&amp;VAR:QUERY=RkZfU0FMRVMoQ0FMLDM5NDQ3LCwsLCk=&amp;WINDOW=FIRST_POPUP&amp;HEIGHT=450&amp;WIDTH=450&amp;START_MAXIMI","ZED=FALSE&amp;VAR:CALENDAR=US&amp;VAR:SYMBOL=WYE&amp;VAR:INDEX=0"}</definedName>
    <definedName name="_1236__FDSAUDITLINK__" hidden="1">{"fdsup://directions/FAT Viewer?action=UPDATE&amp;creator=factset&amp;DYN_ARGS=TRUE&amp;DOC_NAME=FAT:FQL_AUDITING_CLIENT_TEMPLATE.FAT&amp;display_string=Audit&amp;VAR:KEY=VEPGFILCPM&amp;VAR:QUERY=RkZfU0FMRVMoQ0FMLDM5MDgyLCwsLCk=&amp;WINDOW=FIRST_POPUP&amp;HEIGHT=450&amp;WIDTH=450&amp;START_MAXIMI","ZED=FALSE&amp;VAR:CALENDAR=US&amp;VAR:SYMBOL=WYE&amp;VAR:INDEX=0"}</definedName>
    <definedName name="_1237__FDSAUDITLINK__" hidden="1">{"fdsup://directions/FAT Viewer?action=UPDATE&amp;creator=factset&amp;DYN_ARGS=TRUE&amp;DOC_NAME=FAT:FQL_AUDITING_CLIENT_TEMPLATE.FAT&amp;display_string=Audit&amp;VAR:KEY=LIHSTKLYLI&amp;VAR:QUERY=RkZfU0FMRVMoQ0FMLDM4NzE3LCwsLCk=&amp;WINDOW=FIRST_POPUP&amp;HEIGHT=450&amp;WIDTH=450&amp;START_MAXIMI","ZED=FALSE&amp;VAR:CALENDAR=US&amp;VAR:SYMBOL=WYE&amp;VAR:INDEX=0"}</definedName>
    <definedName name="_1238__FDSAUDITLINK__" hidden="1">{"fdsup://directions/FAT Viewer?action=UPDATE&amp;creator=factset&amp;DYN_ARGS=TRUE&amp;DOC_NAME=FAT:FQL_AUDITING_CLIENT_TEMPLATE.FAT&amp;display_string=Audit&amp;VAR:KEY=ZIFWJMBGTI&amp;VAR:QUERY=RkZfU0FMRVMoQ0FMLDM4MzUyLCwsLCk=&amp;WINDOW=FIRST_POPUP&amp;HEIGHT=450&amp;WIDTH=450&amp;START_MAXIMI","ZED=FALSE&amp;VAR:CALENDAR=US&amp;VAR:SYMBOL=WYE&amp;VAR:INDEX=0"}</definedName>
    <definedName name="_1239__FDSAUDITLINK__" hidden="1">{"fdsup://directions/FAT Viewer?action=UPDATE&amp;creator=factset&amp;DYN_ARGS=TRUE&amp;DOC_NAME=FAT:FQL_AUDITING_CLIENT_TEMPLATE.FAT&amp;display_string=Audit&amp;VAR:KEY=PSFYRIZWZC&amp;VAR:QUERY=RkZfU0FMRVMoQ0FMLDQwNTQzLCwsLFVTRCk=&amp;WINDOW=FIRST_POPUP&amp;HEIGHT=450&amp;WIDTH=450&amp;START_MA","XIMIZED=FALSE&amp;VAR:CALENDAR=US&amp;VAR:SYMBOL=BIIB&amp;VAR:INDEX=0"}</definedName>
    <definedName name="_124__FDSAUDITLINK__" hidden="1">{"fdsup://directions/FAT%20Viewer?VAR:TM=NTMA&amp;VAR:PCT=0.587432&amp;VAR:Y0=2008&amp;VAR:Y1=2009&amp;VAR:V0=15.139003&amp;VAR:V1=12.739188&amp;VAR:V=14.047253&amp;VAR:AUDIT_ID=00000117&amp;VAR:DATE=20080530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Aggregates&amp;VAR:MEASURE=PE_MEAN&amp;VAR:CALC_MODE=PORTFOLIO&amp;VAR:CHGPERIOD=NA&amp;VAR:FQLFORMULA=FMA_PE&amp;VAR:CURRENCY=USD&amp;VAR:P=1","400.376700&amp;VAR:THRESH=||||||&amp;VAR:null=.html"}</definedName>
    <definedName name="_1240__FDSAUDITLINK__" hidden="1">{"fdsup://directions/FAT Viewer?action=UPDATE&amp;creator=factset&amp;DYN_ARGS=TRUE&amp;DOC_NAME=FAT:FQL_AUDITING_CLIENT_TEMPLATE.FAT&amp;display_string=Audit&amp;VAR:KEY=FULAJKBUXO&amp;VAR:QUERY=RkZfU0FMRVMoQ0FMLDQwNTQzLCwsLFVTRCk=&amp;WINDOW=FIRST_POPUP&amp;HEIGHT=450&amp;WIDTH=450&amp;START_MA","XIMIZED=FALSE&amp;VAR:CALENDAR=US&amp;VAR:SYMBOL=707752&amp;VAR:INDEX=0"}</definedName>
    <definedName name="_1241__FDSAUDITLINK__" hidden="1">{"fdsup://directions/FAT Viewer?action=UPDATE&amp;creator=factset&amp;DYN_ARGS=TRUE&amp;DOC_NAME=FAT:FQL_AUDITING_CLIENT_TEMPLATE.FAT&amp;display_string=Audit&amp;VAR:KEY=RIBWDWRERQ&amp;VAR:QUERY=RkZfU0FMRVMoQ0FMLDQwNTQzLCwsLFVTRCk=&amp;WINDOW=FIRST_POPUP&amp;HEIGHT=450&amp;WIDTH=450&amp;START_MA","XIMIZED=FALSE&amp;VAR:CALENDAR=US&amp;VAR:SYMBOL=630720&amp;VAR:INDEX=0"}</definedName>
    <definedName name="_1242__FDSAUDITLINK__" hidden="1">{"fdsup://directions/FAT Viewer?action=UPDATE&amp;creator=factset&amp;DYN_ARGS=TRUE&amp;DOC_NAME=FAT:FQL_AUDITING_CLIENT_TEMPLATE.FAT&amp;display_string=Audit&amp;VAR:KEY=HGDSFIHCJA&amp;VAR:QUERY=RkZfU0FMRVMoQ0FMLDQwNTQzLCwsLFVTRCk=&amp;WINDOW=FIRST_POPUP&amp;HEIGHT=450&amp;WIDTH=450&amp;START_MA","XIMIZED=FALSE&amp;VAR:CALENDAR=US&amp;VAR:SYMBOL=698538&amp;VAR:INDEX=0"}</definedName>
    <definedName name="_1243__FDSAUDITLINK__" hidden="1">{"fdsup://directions/FAT Viewer?action=UPDATE&amp;creator=factset&amp;DYN_ARGS=TRUE&amp;DOC_NAME=FAT:FQL_AUDITING_CLIENT_TEMPLATE.FAT&amp;display_string=Audit&amp;VAR:KEY=BQFYVIHSFI&amp;VAR:QUERY=RkZfU0FMRVMoQ0FMLDQwNTQzLCwsLFVTRCk=&amp;WINDOW=FIRST_POPUP&amp;HEIGHT=450&amp;WIDTH=450&amp;START_MA","XIMIZED=FALSE&amp;VAR:CALENDAR=US&amp;VAR:SYMBOL=474184&amp;VAR:INDEX=0"}</definedName>
    <definedName name="_1244__FDSAUDITLINK__" hidden="1">{"fdsup://directions/FAT Viewer?action=UPDATE&amp;creator=factset&amp;DYN_ARGS=TRUE&amp;DOC_NAME=FAT:FQL_AUDITING_CLIENT_TEMPLATE.FAT&amp;display_string=Audit&amp;VAR:KEY=FOZCTETIXS&amp;VAR:QUERY=RkZfU0FMRVMoQ0FMLDQwNTQzLCwsLFVTRCk=&amp;WINDOW=FIRST_POPUP&amp;HEIGHT=450&amp;WIDTH=450&amp;START_MA","XIMIZED=FALSE&amp;VAR:CALENDAR=US&amp;VAR:SYMBOL=B0J7D9&amp;VAR:INDEX=0"}</definedName>
    <definedName name="_1245__FDSAUDITLINK__" hidden="1">{"fdsup://directions/FAT Viewer?action=UPDATE&amp;creator=factset&amp;DYN_ARGS=TRUE&amp;DOC_NAME=FAT:FQL_AUDITING_CLIENT_TEMPLATE.FAT&amp;display_string=Audit&amp;VAR:KEY=XWNMHODIRY&amp;VAR:QUERY=RkZfU0FMRVMoQ0FMLDQwNTQzLCwsLFVTRCk=&amp;WINDOW=FIRST_POPUP&amp;HEIGHT=450&amp;WIDTH=450&amp;START_MA","XIMIZED=FALSE&amp;VAR:CALENDAR=US&amp;VAR:SYMBOL=AMGN&amp;VAR:INDEX=0"}</definedName>
    <definedName name="_1246__FDSAUDITLINK__" hidden="1">{"fdsup://directions/FAT Viewer?action=UPDATE&amp;creator=factset&amp;DYN_ARGS=TRUE&amp;DOC_NAME=FAT:FQL_AUDITING_CLIENT_TEMPLATE.FAT&amp;display_string=Audit&amp;VAR:KEY=PWBYBYZGVC&amp;VAR:QUERY=RkZfU0FMRVMoQ0FMLDQwNTQzLCwsLFVTRCk=&amp;WINDOW=FIRST_POPUP&amp;HEIGHT=450&amp;WIDTH=450&amp;START_MA","XIMIZED=FALSE&amp;VAR:CALENDAR=US&amp;VAR:SYMBOL=ABT&amp;VAR:INDEX=0"}</definedName>
    <definedName name="_1247__FDSAUDITLINK__" hidden="1">{"fdsup://directions/FAT Viewer?action=UPDATE&amp;creator=factset&amp;DYN_ARGS=TRUE&amp;DOC_NAME=FAT:FQL_AUDITING_CLIENT_TEMPLATE.FAT&amp;display_string=Audit&amp;VAR:KEY=HMVWDILITS&amp;VAR:QUERY=RkZfU0FMRVMoQ0FMLDQwNTQzLCwsLFVTRCk=&amp;WINDOW=FIRST_POPUP&amp;HEIGHT=450&amp;WIDTH=450&amp;START_MA","XIMIZED=FALSE&amp;VAR:CALENDAR=US&amp;VAR:SYMBOL=687044&amp;VAR:INDEX=0"}</definedName>
    <definedName name="_1248__FDSAUDITLINK__" hidden="1">{"fdsup://directions/FAT Viewer?action=UPDATE&amp;creator=factset&amp;DYN_ARGS=TRUE&amp;DOC_NAME=FAT:FQL_AUDITING_CLIENT_TEMPLATE.FAT&amp;display_string=Audit&amp;VAR:KEY=DARUTYDUXC&amp;VAR:QUERY=RkZfU0FMRVMoQ0FMLDQwNTQzLCwsLFVTRCk=&amp;WINDOW=FIRST_POPUP&amp;HEIGHT=450&amp;WIDTH=450&amp;START_MA","XIMIZED=FALSE&amp;VAR:CALENDAR=US&amp;VAR:SYMBOL=BMY&amp;VAR:INDEX=0"}</definedName>
    <definedName name="_1249__FDSAUDITLINK__" hidden="1">{"fdsup://directions/FAT Viewer?action=UPDATE&amp;creator=factset&amp;DYN_ARGS=TRUE&amp;DOC_NAME=FAT:FQL_AUDITING_CLIENT_TEMPLATE.FAT&amp;display_string=Audit&amp;VAR:KEY=POPKTAPQJQ&amp;VAR:QUERY=RkZfU0FMRVMoQ0FMLDQwNTQzLCwsLFVTRCk=&amp;WINDOW=FIRST_POPUP&amp;HEIGHT=450&amp;WIDTH=450&amp;START_MA","XIMIZED=FALSE&amp;VAR:CALENDAR=US&amp;VAR:SYMBOL=LLY&amp;VAR:INDEX=0"}</definedName>
    <definedName name="_125__FDSAUDITLINK__" hidden="1">{"fdsup://directions/FAT%20Viewer?VAR:TM=NTMA&amp;VAR:PCT=0.606557&amp;VAR:Y0=2008&amp;VAR:Y1=2009&amp;VAR:V0=14.881182&amp;VAR:V1=12.504257&amp;VAR:V=13.845675&amp;VAR:AUDIT_ID=00000117&amp;VAR:DATE=20080523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Aggregates&amp;VAR:MEASURE=PE_MEAN&amp;VAR:CALC_MODE=PORTFOLIO&amp;VAR:CHGPERIOD=NA&amp;VAR:FQLFORMULA=FMA_PE&amp;VAR:CURRENCY=USD&amp;VAR:P=1","375.931900&amp;VAR:THRESH=||||||&amp;VAR:null=.html"}</definedName>
    <definedName name="_1250__FDSAUDITLINK__" hidden="1">{"fdsup://directions/FAT Viewer?action=UPDATE&amp;creator=factset&amp;DYN_ARGS=TRUE&amp;DOC_NAME=FAT:FQL_AUDITING_CLIENT_TEMPLATE.FAT&amp;display_string=Audit&amp;VAR:KEY=XOJCXURYNY&amp;VAR:QUERY=RkZfU0FMRVMoQ0FMLDQwNTQzLCwsLFVTRCk=&amp;WINDOW=FIRST_POPUP&amp;HEIGHT=450&amp;WIDTH=450&amp;START_MA","XIMIZED=FALSE&amp;VAR:CALENDAR=US&amp;VAR:SYMBOL=506921&amp;VAR:INDEX=0"}</definedName>
    <definedName name="_1251__FDSAUDITLINK__" hidden="1">{"fdsup://directions/FAT Viewer?action=UPDATE&amp;creator=factset&amp;DYN_ARGS=TRUE&amp;DOC_NAME=FAT:FQL_AUDITING_CLIENT_TEMPLATE.FAT&amp;display_string=Audit&amp;VAR:KEY=VSPKTEVIFI&amp;VAR:QUERY=RkZfU0FMRVMoQ0FMLDQwNTQzLCwsLFVTRCk=&amp;WINDOW=FIRST_POPUP&amp;HEIGHT=450&amp;WIDTH=450&amp;START_MA","XIMIZED=FALSE&amp;VAR:CALENDAR=US&amp;VAR:SYMBOL=567173&amp;VAR:INDEX=0"}</definedName>
    <definedName name="_1252__FDSAUDITLINK__" hidden="1">{"fdsup://directions/FAT Viewer?action=UPDATE&amp;creator=factset&amp;DYN_ARGS=TRUE&amp;DOC_NAME=FAT:FQL_AUDITING_CLIENT_TEMPLATE.FAT&amp;display_string=Audit&amp;VAR:KEY=BCLQRKPMJI&amp;VAR:QUERY=RkZfU0FMRVMoQ0FMLDQwNTQzLCwsLFVTRCk=&amp;WINDOW=FIRST_POPUP&amp;HEIGHT=450&amp;WIDTH=450&amp;START_MA","XIMIZED=FALSE&amp;VAR:CALENDAR=US&amp;VAR:SYMBOL=JNJ&amp;VAR:INDEX=0"}</definedName>
    <definedName name="_1253__FDSAUDITLINK__" hidden="1">{"fdsup://directions/FAT Viewer?action=UPDATE&amp;creator=factset&amp;DYN_ARGS=TRUE&amp;DOC_NAME=FAT:FQL_AUDITING_CLIENT_TEMPLATE.FAT&amp;display_string=Audit&amp;VAR:KEY=VIFKZADUDQ&amp;VAR:QUERY=RkZfU0FMRVMoQ0FMLDQwNTQzLCwsLFVTRCk=&amp;WINDOW=FIRST_POPUP&amp;HEIGHT=450&amp;WIDTH=450&amp;START_MA","XIMIZED=FALSE&amp;VAR:CALENDAR=US&amp;VAR:SYMBOL=710306&amp;VAR:INDEX=0"}</definedName>
    <definedName name="_1254__FDSAUDITLINK__" hidden="1">{"fdsup://directions/FAT Viewer?action=UPDATE&amp;creator=factset&amp;DYN_ARGS=TRUE&amp;DOC_NAME=FAT:FQL_AUDITING_CLIENT_TEMPLATE.FAT&amp;display_string=Audit&amp;VAR:KEY=LUZWFQNOTG&amp;VAR:QUERY=RkZfU0FMRVMoQ0FMLDQwNTQzLCwsLFVTRCk=&amp;WINDOW=FIRST_POPUP&amp;HEIGHT=450&amp;WIDTH=450&amp;START_MA","XIMIZED=FALSE&amp;VAR:CALENDAR=US&amp;VAR:SYMBOL=711038&amp;VAR:INDEX=0"}</definedName>
    <definedName name="_1255__FDSAUDITLINK__" hidden="1">{"fdsup://directions/FAT Viewer?action=UPDATE&amp;creator=factset&amp;DYN_ARGS=TRUE&amp;DOC_NAME=FAT:FQL_AUDITING_CLIENT_TEMPLATE.FAT&amp;display_string=Audit&amp;VAR:KEY=DMDIZURKRI&amp;VAR:QUERY=RkZfU0FMRVMoQ0FMLDQwNTQzLCwsLFVTRCk=&amp;WINDOW=FIRST_POPUP&amp;HEIGHT=450&amp;WIDTH=450&amp;START_MA","XIMIZED=FALSE&amp;VAR:CALENDAR=US&amp;VAR:SYMBOL=MRK&amp;VAR:INDEX=0"}</definedName>
    <definedName name="_1256__FDSAUDITLINK__" hidden="1">{"fdsup://directions/FAT Viewer?action=UPDATE&amp;creator=factset&amp;DYN_ARGS=TRUE&amp;DOC_NAME=FAT:FQL_AUDITING_CLIENT_TEMPLATE.FAT&amp;display_string=Audit&amp;VAR:KEY=HGVYHKXCNO&amp;VAR:QUERY=RkZfU0FMRVMoQ0FMLDQwNTQzLCwsLFVTRCk=&amp;WINDOW=FIRST_POPUP&amp;HEIGHT=450&amp;WIDTH=450&amp;START_MA","XIMIZED=FALSE&amp;VAR:CALENDAR=US&amp;VAR:SYMBOL=PFE&amp;VAR:INDEX=0"}</definedName>
    <definedName name="_1257__FDSAUDITLINK__" hidden="1">{"fdsup://directions/FAT Viewer?action=UPDATE&amp;creator=factset&amp;DYN_ARGS=TRUE&amp;DOC_NAME=FAT:FQL_AUDITING_CLIENT_TEMPLATE.FAT&amp;display_string=Audit&amp;VAR:KEY=PYFKPQPOHY&amp;VAR:QUERY=RkZfU0FMRVMoQ0FMLDQwNTQzLCwsLCk=&amp;WINDOW=FIRST_POPUP&amp;HEIGHT=450&amp;WIDTH=450&amp;START_MAXIMI","ZED=FALSE&amp;VAR:CALENDAR=US&amp;VAR:SYMBOL=BIIB&amp;VAR:INDEX=0"}</definedName>
    <definedName name="_1258__FDSAUDITLINK__" hidden="1">{"fdsup://directions/FAT Viewer?action=UPDATE&amp;creator=factset&amp;DYN_ARGS=TRUE&amp;DOC_NAME=FAT:FQL_AUDITING_CLIENT_TEMPLATE.FAT&amp;display_string=Audit&amp;VAR:KEY=ZQLUZKTERW&amp;VAR:QUERY=RkZfU0FMRVMoQ0FMLDQwMTc4LCwsLCk=&amp;WINDOW=FIRST_POPUP&amp;HEIGHT=450&amp;WIDTH=450&amp;START_MAXIMI","ZED=FALSE&amp;VAR:CALENDAR=US&amp;VAR:SYMBOL=BIIB&amp;VAR:INDEX=0"}</definedName>
    <definedName name="_1259__FDSAUDITLINK__" hidden="1">{"fdsup://directions/FAT Viewer?action=UPDATE&amp;creator=factset&amp;DYN_ARGS=TRUE&amp;DOC_NAME=FAT:FQL_AUDITING_CLIENT_TEMPLATE.FAT&amp;display_string=Audit&amp;VAR:KEY=XOLSHCXGBA&amp;VAR:QUERY=RkZfU0FMRVMoQ0FMLDM5ODEzLCwsLCk=&amp;WINDOW=FIRST_POPUP&amp;HEIGHT=450&amp;WIDTH=450&amp;START_MAXIMI","ZED=FALSE&amp;VAR:CALENDAR=US&amp;VAR:SYMBOL=BIIB&amp;VAR:INDEX=0"}</definedName>
    <definedName name="_126__FDSAUDITLINK__" hidden="1">{"fdsup://directions/FAT%20Viewer?VAR:TM=NTMA&amp;VAR:PCT=0.625683&amp;VAR:Y0=2008&amp;VAR:Y1=2009&amp;VAR:V0=15.374222&amp;VAR:V1=12.951777&amp;VAR:V=14.368289&amp;VAR:AUDIT_ID=00000117&amp;VAR:DATE=20080516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Aggregates&amp;VAR:MEASURE=PE_MEAN&amp;VAR:CALC_MODE=PORTFOLIO&amp;VAR:CHGPERIOD=NA&amp;VAR:FQLFORMULA=FMA_PE&amp;VAR:CURRENCY=USD&amp;VAR:P=1","425.346600&amp;VAR:THRESH=||||||&amp;VAR:null=.html"}</definedName>
    <definedName name="_1260__FDSAUDITLINK__" hidden="1">{"fdsup://directions/FAT Viewer?action=UPDATE&amp;creator=factset&amp;DYN_ARGS=TRUE&amp;DOC_NAME=FAT:FQL_AUDITING_CLIENT_TEMPLATE.FAT&amp;display_string=Audit&amp;VAR:KEY=LYPQBETAZS&amp;VAR:QUERY=RkZfU0FMRVMoQ0FMLDM5NDQ3LCwsLCk=&amp;WINDOW=FIRST_POPUP&amp;HEIGHT=450&amp;WIDTH=450&amp;START_MAXIMI","ZED=FALSE&amp;VAR:CALENDAR=US&amp;VAR:SYMBOL=BIIB&amp;VAR:INDEX=0"}</definedName>
    <definedName name="_1261__FDSAUDITLINK__" hidden="1">{"fdsup://directions/FAT Viewer?action=UPDATE&amp;creator=factset&amp;DYN_ARGS=TRUE&amp;DOC_NAME=FAT:FQL_AUDITING_CLIENT_TEMPLATE.FAT&amp;display_string=Audit&amp;VAR:KEY=ZELAFGHURE&amp;VAR:QUERY=RkZfU0FMRVMoQ0FMLDM5MDgyLCwsLCk=&amp;WINDOW=FIRST_POPUP&amp;HEIGHT=450&amp;WIDTH=450&amp;START_MAXIMI","ZED=FALSE&amp;VAR:CALENDAR=US&amp;VAR:SYMBOL=BIIB&amp;VAR:INDEX=0"}</definedName>
    <definedName name="_1262__FDSAUDITLINK__" hidden="1">{"fdsup://directions/FAT Viewer?action=UPDATE&amp;creator=factset&amp;DYN_ARGS=TRUE&amp;DOC_NAME=FAT:FQL_AUDITING_CLIENT_TEMPLATE.FAT&amp;display_string=Audit&amp;VAR:KEY=JEJEDARGZU&amp;VAR:QUERY=RkZfU0FMRVMoQ0FMLDM4NzE3LCwsLCk=&amp;WINDOW=FIRST_POPUP&amp;HEIGHT=450&amp;WIDTH=450&amp;START_MAXIMI","ZED=FALSE&amp;VAR:CALENDAR=US&amp;VAR:SYMBOL=BIIB&amp;VAR:INDEX=0"}</definedName>
    <definedName name="_1263__FDSAUDITLINK__" hidden="1">{"fdsup://directions/FAT Viewer?action=UPDATE&amp;creator=factset&amp;DYN_ARGS=TRUE&amp;DOC_NAME=FAT:FQL_AUDITING_CLIENT_TEMPLATE.FAT&amp;display_string=Audit&amp;VAR:KEY=BGRMFOVODW&amp;VAR:QUERY=RkZfU0FMRVMoQ0FMLDM4MzUyLCwsLCk=&amp;WINDOW=FIRST_POPUP&amp;HEIGHT=450&amp;WIDTH=450&amp;START_MAXIMI","ZED=FALSE&amp;VAR:CALENDAR=US&amp;VAR:SYMBOL=BIIB&amp;VAR:INDEX=0"}</definedName>
    <definedName name="_1264__FDSAUDITLINK__" hidden="1">{"fdsup://directions/FAT Viewer?action=UPDATE&amp;creator=factset&amp;DYN_ARGS=TRUE&amp;DOC_NAME=FAT:FQL_AUDITING_CLIENT_TEMPLATE.FAT&amp;display_string=Audit&amp;VAR:KEY=PWBSNCLCBA&amp;VAR:QUERY=RkZfU0FMRVMoQ0FMLDQwNTQzLCwsLCk=&amp;WINDOW=FIRST_POPUP&amp;HEIGHT=450&amp;WIDTH=450&amp;START_MAXIMI","ZED=FALSE&amp;VAR:CALENDAR=US&amp;VAR:SYMBOL=707752&amp;VAR:INDEX=0"}</definedName>
    <definedName name="_1265__FDSAUDITLINK__" hidden="1">{"fdsup://directions/FAT Viewer?action=UPDATE&amp;creator=factset&amp;DYN_ARGS=TRUE&amp;DOC_NAME=FAT:FQL_AUDITING_CLIENT_TEMPLATE.FAT&amp;display_string=Audit&amp;VAR:KEY=LUHEVWHCDE&amp;VAR:QUERY=RkZfU0FMRVMoQ0FMLDQwMTc4LCwsLCk=&amp;WINDOW=FIRST_POPUP&amp;HEIGHT=450&amp;WIDTH=450&amp;START_MAXIMI","ZED=FALSE&amp;VAR:CALENDAR=US&amp;VAR:SYMBOL=707752&amp;VAR:INDEX=0"}</definedName>
    <definedName name="_1266__FDSAUDITLINK__" hidden="1">{"fdsup://directions/FAT Viewer?action=UPDATE&amp;creator=factset&amp;DYN_ARGS=TRUE&amp;DOC_NAME=FAT:FQL_AUDITING_CLIENT_TEMPLATE.FAT&amp;display_string=Audit&amp;VAR:KEY=JWVKFOHATC&amp;VAR:QUERY=RkZfU0FMRVMoQ0FMLDM5ODEzLCwsLCk=&amp;WINDOW=FIRST_POPUP&amp;HEIGHT=450&amp;WIDTH=450&amp;START_MAXIMI","ZED=FALSE&amp;VAR:CALENDAR=US&amp;VAR:SYMBOL=707752&amp;VAR:INDEX=0"}</definedName>
    <definedName name="_1267__FDSAUDITLINK__" hidden="1">{"fdsup://directions/FAT Viewer?action=UPDATE&amp;creator=factset&amp;DYN_ARGS=TRUE&amp;DOC_NAME=FAT:FQL_AUDITING_CLIENT_TEMPLATE.FAT&amp;display_string=Audit&amp;VAR:KEY=VWHYNKZKRG&amp;VAR:QUERY=RkZfU0FMRVMoQ0FMLDM5NDQ3LCwsLCk=&amp;WINDOW=FIRST_POPUP&amp;HEIGHT=450&amp;WIDTH=450&amp;START_MAXIMI","ZED=FALSE&amp;VAR:CALENDAR=US&amp;VAR:SYMBOL=707752&amp;VAR:INDEX=0"}</definedName>
    <definedName name="_1268__FDSAUDITLINK__" hidden="1">{"fdsup://directions/FAT Viewer?action=UPDATE&amp;creator=factset&amp;DYN_ARGS=TRUE&amp;DOC_NAME=FAT:FQL_AUDITING_CLIENT_TEMPLATE.FAT&amp;display_string=Audit&amp;VAR:KEY=XQPUJIHOVS&amp;VAR:QUERY=RkZfU0FMRVMoQ0FMLDQwNTQzLCwsLCk=&amp;WINDOW=FIRST_POPUP&amp;HEIGHT=450&amp;WIDTH=450&amp;START_MAXIMI","ZED=FALSE&amp;VAR:CALENDAR=US&amp;VAR:SYMBOL=630720&amp;VAR:INDEX=0"}</definedName>
    <definedName name="_1269__FDSAUDITLINK__" hidden="1">{"fdsup://directions/FAT Viewer?action=UPDATE&amp;creator=factset&amp;DYN_ARGS=TRUE&amp;DOC_NAME=FAT:FQL_AUDITING_CLIENT_TEMPLATE.FAT&amp;display_string=Audit&amp;VAR:KEY=ZEHGRSXYRY&amp;VAR:QUERY=RkZfU0FMRVMoQ0FMLDQwMTc4LCwsLCk=&amp;WINDOW=FIRST_POPUP&amp;HEIGHT=450&amp;WIDTH=450&amp;START_MAXIMI","ZED=FALSE&amp;VAR:CALENDAR=US&amp;VAR:SYMBOL=630720&amp;VAR:INDEX=0"}</definedName>
    <definedName name="_127__FDSAUDITLINK__" hidden="1">{"fdsup://directions/FAT%20Viewer?VAR:TM=NTMA&amp;VAR:PCT=0.644809&amp;VAR:Y0=2008&amp;VAR:Y1=2009&amp;VAR:V0=15.003694&amp;VAR:V1=12.661254&amp;VAR:V=14.078545&amp;VAR:AUDIT_ID=00000117&amp;VAR:DATE=20080509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Aggregates&amp;VAR:MEASURE=PE_MEAN&amp;VAR:CALC_MODE=PORTFOLIO&amp;VAR:CHGPERIOD=NA&amp;VAR:FQLFORMULA=FMA_PE&amp;VAR:CURRENCY=USD&amp;VAR:P=1","388.281000&amp;VAR:THRESH=||||||&amp;VAR:null=.html"}</definedName>
    <definedName name="_1270__FDSAUDITLINK__" hidden="1">{"fdsup://directions/FAT Viewer?action=UPDATE&amp;creator=factset&amp;DYN_ARGS=TRUE&amp;DOC_NAME=FAT:FQL_AUDITING_CLIENT_TEMPLATE.FAT&amp;display_string=Audit&amp;VAR:KEY=HADCZKLKPY&amp;VAR:QUERY=RkZfU0FMRVMoQ0FMLDM5ODEzLCwsLCk=&amp;WINDOW=FIRST_POPUP&amp;HEIGHT=450&amp;WIDTH=450&amp;START_MAXIMI","ZED=FALSE&amp;VAR:CALENDAR=US&amp;VAR:SYMBOL=630720&amp;VAR:INDEX=0"}</definedName>
    <definedName name="_1271__FDSAUDITLINK__" hidden="1">{"fdsup://directions/FAT Viewer?action=UPDATE&amp;creator=factset&amp;DYN_ARGS=TRUE&amp;DOC_NAME=FAT:FQL_AUDITING_CLIENT_TEMPLATE.FAT&amp;display_string=Audit&amp;VAR:KEY=RYPORYFIJI&amp;VAR:QUERY=RkZfU0FMRVMoQ0FMLDM5NDQ3LCwsLCk=&amp;WINDOW=FIRST_POPUP&amp;HEIGHT=450&amp;WIDTH=450&amp;START_MAXIMI","ZED=FALSE&amp;VAR:CALENDAR=US&amp;VAR:SYMBOL=630720&amp;VAR:INDEX=0"}</definedName>
    <definedName name="_1272__FDSAUDITLINK__" hidden="1">{"fdsup://directions/FAT Viewer?action=UPDATE&amp;creator=factset&amp;DYN_ARGS=TRUE&amp;DOC_NAME=FAT:FQL_AUDITING_CLIENT_TEMPLATE.FAT&amp;display_string=Audit&amp;VAR:KEY=XOXAFQPQBU&amp;VAR:QUERY=RkZfU0FMRVMoQ0FMLDM5MDgyLCwsLCk=&amp;WINDOW=FIRST_POPUP&amp;HEIGHT=450&amp;WIDTH=450&amp;START_MAXIMI","ZED=FALSE&amp;VAR:CALENDAR=US&amp;VAR:SYMBOL=630720&amp;VAR:INDEX=0"}</definedName>
    <definedName name="_1273__FDSAUDITLINK__" hidden="1">{"fdsup://directions/FAT Viewer?action=UPDATE&amp;creator=factset&amp;DYN_ARGS=TRUE&amp;DOC_NAME=FAT:FQL_AUDITING_CLIENT_TEMPLATE.FAT&amp;display_string=Audit&amp;VAR:KEY=RWPCRWLQPE&amp;VAR:QUERY=RkZfU0FMRVMoQ0FMLDM4NzE3LCwsLCk=&amp;WINDOW=FIRST_POPUP&amp;HEIGHT=450&amp;WIDTH=450&amp;START_MAXIMI","ZED=FALSE&amp;VAR:CALENDAR=US&amp;VAR:SYMBOL=630720&amp;VAR:INDEX=0"}</definedName>
    <definedName name="_1274__FDSAUDITLINK__" hidden="1">{"fdsup://directions/FAT Viewer?action=UPDATE&amp;creator=factset&amp;DYN_ARGS=TRUE&amp;DOC_NAME=FAT:FQL_AUDITING_CLIENT_TEMPLATE.FAT&amp;display_string=Audit&amp;VAR:KEY=HMVSNIBYDY&amp;VAR:QUERY=RkZfU0FMRVMoQ0FMLDM4MzUyLCwsLCk=&amp;WINDOW=FIRST_POPUP&amp;HEIGHT=450&amp;WIDTH=450&amp;START_MAXIMI","ZED=FALSE&amp;VAR:CALENDAR=US&amp;VAR:SYMBOL=630720&amp;VAR:INDEX=0"}</definedName>
    <definedName name="_1275__FDSAUDITLINK__" hidden="1">{"fdsup://directions/FAT Viewer?action=UPDATE&amp;creator=factset&amp;DYN_ARGS=TRUE&amp;DOC_NAME=FAT:FQL_AUDITING_CLIENT_TEMPLATE.FAT&amp;display_string=Audit&amp;VAR:KEY=FMVKVUFQTO&amp;VAR:QUERY=RkZfU0FMRVMoQ0FMLDM3OTg2LCwsLCk=&amp;WINDOW=FIRST_POPUP&amp;HEIGHT=450&amp;WIDTH=450&amp;START_MAXIMI","ZED=FALSE&amp;VAR:CALENDAR=US&amp;VAR:SYMBOL=630720&amp;VAR:INDEX=0"}</definedName>
    <definedName name="_1276__FDSAUDITLINK__" hidden="1">{"fdsup://directions/FAT Viewer?action=UPDATE&amp;creator=factset&amp;DYN_ARGS=TRUE&amp;DOC_NAME=FAT:FQL_AUDITING_CLIENT_TEMPLATE.FAT&amp;display_string=Audit&amp;VAR:KEY=RWZSTULEFE&amp;VAR:QUERY=RkZfU0FMRVMoQ0FMLDQwNTQzLCwsLCk=&amp;WINDOW=FIRST_POPUP&amp;HEIGHT=450&amp;WIDTH=450&amp;START_MAXIMI","ZED=FALSE&amp;VAR:CALENDAR=US&amp;VAR:SYMBOL=698538&amp;VAR:INDEX=0"}</definedName>
    <definedName name="_1277__FDSAUDITLINK__" hidden="1">{"fdsup://directions/FAT Viewer?action=UPDATE&amp;creator=factset&amp;DYN_ARGS=TRUE&amp;DOC_NAME=FAT:FQL_AUDITING_CLIENT_TEMPLATE.FAT&amp;display_string=Audit&amp;VAR:KEY=XENCRATKNY&amp;VAR:QUERY=RkZfU0FMRVMoQ0FMLDQwMTc4LCwsLCk=&amp;WINDOW=FIRST_POPUP&amp;HEIGHT=450&amp;WIDTH=450&amp;START_MAXIMI","ZED=FALSE&amp;VAR:CALENDAR=US&amp;VAR:SYMBOL=698538&amp;VAR:INDEX=0"}</definedName>
    <definedName name="_1278__FDSAUDITLINK__" hidden="1">{"fdsup://directions/FAT Viewer?action=UPDATE&amp;creator=factset&amp;DYN_ARGS=TRUE&amp;DOC_NAME=FAT:FQL_AUDITING_CLIENT_TEMPLATE.FAT&amp;display_string=Audit&amp;VAR:KEY=DGVCLOXWNQ&amp;VAR:QUERY=RkZfU0FMRVMoQ0FMLDM5ODEzLCwsLCk=&amp;WINDOW=FIRST_POPUP&amp;HEIGHT=450&amp;WIDTH=450&amp;START_MAXIMI","ZED=FALSE&amp;VAR:CALENDAR=US&amp;VAR:SYMBOL=698538&amp;VAR:INDEX=0"}</definedName>
    <definedName name="_1279__FDSAUDITLINK__" hidden="1">{"fdsup://directions/FAT Viewer?action=UPDATE&amp;creator=factset&amp;DYN_ARGS=TRUE&amp;DOC_NAME=FAT:FQL_AUDITING_CLIENT_TEMPLATE.FAT&amp;display_string=Audit&amp;VAR:KEY=NGFQXAXQVY&amp;VAR:QUERY=RkZfU0FMRVMoQ0FMLDM5NDQ3LCwsLCk=&amp;WINDOW=FIRST_POPUP&amp;HEIGHT=450&amp;WIDTH=450&amp;START_MAXIMI","ZED=FALSE&amp;VAR:CALENDAR=US&amp;VAR:SYMBOL=698538&amp;VAR:INDEX=0"}</definedName>
    <definedName name="_128__FDSAUDITLINK__" hidden="1">{"fdsup://directions/FAT%20Viewer?VAR:TM=NTMA&amp;VAR:PCT=0.663934&amp;VAR:Y0=2008&amp;VAR:Y1=2009&amp;VAR:V0=15.210963&amp;VAR:V1=12.898484&amp;VAR:V=14.346570&amp;VAR:AUDIT_ID=00000117&amp;VAR:DATE=20080502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Aggregates&amp;VAR:MEASURE=PE_MEAN&amp;VAR:CALC_MODE=PORTFOLIO&amp;VAR:CHGPERIOD=NA&amp;VAR:FQLFORMULA=FMA_PE&amp;VAR:CURRENCY=USD&amp;VAR:P=1","413.897500&amp;VAR:THRESH=||||||&amp;VAR:null=.html"}</definedName>
    <definedName name="_1280__FDSAUDITLINK__" hidden="1">{"fdsup://directions/FAT Viewer?action=UPDATE&amp;creator=factset&amp;DYN_ARGS=TRUE&amp;DOC_NAME=FAT:FQL_AUDITING_CLIENT_TEMPLATE.FAT&amp;display_string=Audit&amp;VAR:KEY=RYLYJAFOJG&amp;VAR:QUERY=RkZfU0FMRVMoQ0FMLDM5MDgyLCwsLCk=&amp;WINDOW=FIRST_POPUP&amp;HEIGHT=450&amp;WIDTH=450&amp;START_MAXIMI","ZED=FALSE&amp;VAR:CALENDAR=US&amp;VAR:SYMBOL=698538&amp;VAR:INDEX=0"}</definedName>
    <definedName name="_1281__FDSAUDITLINK__" hidden="1">{"fdsup://directions/FAT Viewer?action=UPDATE&amp;creator=factset&amp;DYN_ARGS=TRUE&amp;DOC_NAME=FAT:FQL_AUDITING_CLIENT_TEMPLATE.FAT&amp;display_string=Audit&amp;VAR:KEY=VSLYLYVYLU&amp;VAR:QUERY=RkZfU0FMRVMoQ0FMLDM4NzE3LCwsLCk=&amp;WINDOW=FIRST_POPUP&amp;HEIGHT=450&amp;WIDTH=450&amp;START_MAXIMI","ZED=FALSE&amp;VAR:CALENDAR=US&amp;VAR:SYMBOL=698538&amp;VAR:INDEX=0"}</definedName>
    <definedName name="_1282__FDSAUDITLINK__" hidden="1">{"fdsup://directions/FAT Viewer?action=UPDATE&amp;creator=factset&amp;DYN_ARGS=TRUE&amp;DOC_NAME=FAT:FQL_AUDITING_CLIENT_TEMPLATE.FAT&amp;display_string=Audit&amp;VAR:KEY=ZQTYLIBWXM&amp;VAR:QUERY=RkZfU0FMRVMoQ0FMLDM4MzUyLCwsLCk=&amp;WINDOW=FIRST_POPUP&amp;HEIGHT=450&amp;WIDTH=450&amp;START_MAXIMI","ZED=FALSE&amp;VAR:CALENDAR=US&amp;VAR:SYMBOL=698538&amp;VAR:INDEX=0"}</definedName>
    <definedName name="_1283__FDSAUDITLINK__" hidden="1">{"fdsup://directions/FAT Viewer?action=UPDATE&amp;creator=factset&amp;DYN_ARGS=TRUE&amp;DOC_NAME=FAT:FQL_AUDITING_CLIENT_TEMPLATE.FAT&amp;display_string=Audit&amp;VAR:KEY=ZITUFQLYRU&amp;VAR:QUERY=RkZfU0FMRVMoQ0FMLDM3OTg2LCwsLCk=&amp;WINDOW=FIRST_POPUP&amp;HEIGHT=450&amp;WIDTH=450&amp;START_MAXIMI","ZED=FALSE&amp;VAR:CALENDAR=US&amp;VAR:SYMBOL=698538&amp;VAR:INDEX=0"}</definedName>
    <definedName name="_1284__FDSAUDITLINK__" hidden="1">{"fdsup://directions/FAT Viewer?action=UPDATE&amp;creator=factset&amp;DYN_ARGS=TRUE&amp;DOC_NAME=FAT:FQL_AUDITING_CLIENT_TEMPLATE.FAT&amp;display_string=Audit&amp;VAR:KEY=XOBSPCJCDY&amp;VAR:QUERY=RkZfU0FMRVMoQ0FMLDQwNTQzLCwsLCk=&amp;WINDOW=FIRST_POPUP&amp;HEIGHT=450&amp;WIDTH=450&amp;START_MAXIMI","ZED=FALSE&amp;VAR:CALENDAR=US&amp;VAR:SYMBOL=474184&amp;VAR:INDEX=0"}</definedName>
    <definedName name="_1285__FDSAUDITLINK__" hidden="1">{"fdsup://directions/FAT Viewer?action=UPDATE&amp;creator=factset&amp;DYN_ARGS=TRUE&amp;DOC_NAME=FAT:FQL_AUDITING_CLIENT_TEMPLATE.FAT&amp;display_string=Audit&amp;VAR:KEY=BWJQJSRKZK&amp;VAR:QUERY=RkZfU0FMRVMoQ0FMLDQwMTc4LCwsLCk=&amp;WINDOW=FIRST_POPUP&amp;HEIGHT=450&amp;WIDTH=450&amp;START_MAXIMI","ZED=FALSE&amp;VAR:CALENDAR=US&amp;VAR:SYMBOL=474184&amp;VAR:INDEX=0"}</definedName>
    <definedName name="_1286__FDSAUDITLINK__" hidden="1">{"fdsup://directions/FAT Viewer?action=UPDATE&amp;creator=factset&amp;DYN_ARGS=TRUE&amp;DOC_NAME=FAT:FQL_AUDITING_CLIENT_TEMPLATE.FAT&amp;display_string=Audit&amp;VAR:KEY=ROPONUVCBK&amp;VAR:QUERY=RkZfU0FMRVMoQ0FMLDQwNTQzLCwsLCk=&amp;WINDOW=FIRST_POPUP&amp;HEIGHT=450&amp;WIDTH=450&amp;START_MAXIMI","ZED=FALSE&amp;VAR:CALENDAR=US&amp;VAR:SYMBOL=B0J7D9&amp;VAR:INDEX=0"}</definedName>
    <definedName name="_1287__FDSAUDITLINK__" hidden="1">{"fdsup://directions/FAT Viewer?action=UPDATE&amp;creator=factset&amp;DYN_ARGS=TRUE&amp;DOC_NAME=FAT:FQL_AUDITING_CLIENT_TEMPLATE.FAT&amp;display_string=Audit&amp;VAR:KEY=VIFIZWXYVO&amp;VAR:QUERY=RkZfU0FMRVMoQ0FMLDQwMTc4LCwsLCk=&amp;WINDOW=FIRST_POPUP&amp;HEIGHT=450&amp;WIDTH=450&amp;START_MAXIMI","ZED=FALSE&amp;VAR:CALENDAR=US&amp;VAR:SYMBOL=B0J7D9&amp;VAR:INDEX=0"}</definedName>
    <definedName name="_1288__FDSAUDITLINK__" hidden="1">{"fdsup://directions/FAT Viewer?action=UPDATE&amp;creator=factset&amp;DYN_ARGS=TRUE&amp;DOC_NAME=FAT:FQL_AUDITING_CLIENT_TEMPLATE.FAT&amp;display_string=Audit&amp;VAR:KEY=TYZOXMTCDS&amp;VAR:QUERY=RkZfU0FMRVMoQ0FMLDM5ODEzLCwsLCk=&amp;WINDOW=FIRST_POPUP&amp;HEIGHT=450&amp;WIDTH=450&amp;START_MAXIMI","ZED=FALSE&amp;VAR:CALENDAR=US&amp;VAR:SYMBOL=B0J7D9&amp;VAR:INDEX=0"}</definedName>
    <definedName name="_1289__FDSAUDITLINK__" hidden="1">{"fdsup://directions/FAT Viewer?action=UPDATE&amp;creator=factset&amp;DYN_ARGS=TRUE&amp;DOC_NAME=FAT:FQL_AUDITING_CLIENT_TEMPLATE.FAT&amp;display_string=Audit&amp;VAR:KEY=RCLWNAZUVM&amp;VAR:QUERY=RkZfU0FMRVMoQ0FMLDM5NDQ3LCwsLCk=&amp;WINDOW=FIRST_POPUP&amp;HEIGHT=450&amp;WIDTH=450&amp;START_MAXIMI","ZED=FALSE&amp;VAR:CALENDAR=US&amp;VAR:SYMBOL=B0J7D9&amp;VAR:INDEX=0"}</definedName>
    <definedName name="_129__FDSAUDITLINK__" hidden="1">{"fdsup://directions/FAT%20Viewer?VAR:TM=NTMA&amp;VAR:PCT=0.683060&amp;VAR:Y0=2008&amp;VAR:Y1=2009&amp;VAR:V0=15.032156&amp;VAR:V1=12.737471&amp;VAR:V=14.220218&amp;VAR:AUDIT_ID=00000117&amp;VAR:DATE=20080425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Aggregates&amp;VAR:MEASURE=PE_MEAN&amp;VAR:CALC_MODE=PORTFOLIO&amp;VAR:CHGPERIOD=NA&amp;VAR:FQLFORMULA=FMA_PE&amp;VAR:CURRENCY=USD&amp;VAR:P=1","397.843500&amp;VAR:THRESH=||||||&amp;VAR:null=.html"}</definedName>
    <definedName name="_1290__FDSAUDITLINK__" hidden="1">{"fdsup://directions/FAT Viewer?action=UPDATE&amp;creator=factset&amp;DYN_ARGS=TRUE&amp;DOC_NAME=FAT:FQL_AUDITING_CLIENT_TEMPLATE.FAT&amp;display_string=Audit&amp;VAR:KEY=VYFIHMHMZI&amp;VAR:QUERY=RkZfU0FMRVMoQ0FMLDM5MDgyLCwsLCk=&amp;WINDOW=FIRST_POPUP&amp;HEIGHT=450&amp;WIDTH=450&amp;START_MAXIMI","ZED=FALSE&amp;VAR:CALENDAR=US&amp;VAR:SYMBOL=B0J7D9&amp;VAR:INDEX=0"}</definedName>
    <definedName name="_1291__FDSAUDITLINK__" hidden="1">{"fdsup://directions/FAT Viewer?action=UPDATE&amp;creator=factset&amp;DYN_ARGS=TRUE&amp;DOC_NAME=FAT:FQL_AUDITING_CLIENT_TEMPLATE.FAT&amp;display_string=Audit&amp;VAR:KEY=RATYXOVERC&amp;VAR:QUERY=RkZfU0FMRVMoQ0FMLDM4NzE3LCwsLCk=&amp;WINDOW=FIRST_POPUP&amp;HEIGHT=450&amp;WIDTH=450&amp;START_MAXIMI","ZED=FALSE&amp;VAR:CALENDAR=US&amp;VAR:SYMBOL=B0J7D9&amp;VAR:INDEX=0"}</definedName>
    <definedName name="_1292__FDSAUDITLINK__" hidden="1">{"fdsup://directions/FAT Viewer?action=UPDATE&amp;creator=factset&amp;DYN_ARGS=TRUE&amp;DOC_NAME=FAT:FQL_AUDITING_CLIENT_TEMPLATE.FAT&amp;display_string=Audit&amp;VAR:KEY=HEROTQBOTS&amp;VAR:QUERY=RkZfU0FMRVMoQ0FMLDM4MzUyLCwsLCk=&amp;WINDOW=FIRST_POPUP&amp;HEIGHT=450&amp;WIDTH=450&amp;START_MAXIMI","ZED=FALSE&amp;VAR:CALENDAR=US&amp;VAR:SYMBOL=B0J7D9&amp;VAR:INDEX=0"}</definedName>
    <definedName name="_1293__FDSAUDITLINK__" hidden="1">{"fdsup://directions/FAT Viewer?action=UPDATE&amp;creator=factset&amp;DYN_ARGS=TRUE&amp;DOC_NAME=FAT:FQL_AUDITING_CLIENT_TEMPLATE.FAT&amp;display_string=Audit&amp;VAR:KEY=JAZQJETKLY&amp;VAR:QUERY=RkZfU0FMRVMoQ0FMLDM3OTg2LCwsLCk=&amp;WINDOW=FIRST_POPUP&amp;HEIGHT=450&amp;WIDTH=450&amp;START_MAXIMI","ZED=FALSE&amp;VAR:CALENDAR=US&amp;VAR:SYMBOL=B0J7D9&amp;VAR:INDEX=0"}</definedName>
    <definedName name="_1294__FDSAUDITLINK__" hidden="1">{"fdsup://directions/FAT Viewer?action=UPDATE&amp;creator=factset&amp;DYN_ARGS=TRUE&amp;DOC_NAME=FAT:FQL_AUDITING_CLIENT_TEMPLATE.FAT&amp;display_string=Audit&amp;VAR:KEY=NIXKXSZYJO&amp;VAR:QUERY=RkZfU0FMRVMoQ0FMLDQwNTQzLCwsLCk=&amp;WINDOW=FIRST_POPUP&amp;HEIGHT=450&amp;WIDTH=450&amp;START_MAXIMI","ZED=FALSE&amp;VAR:CALENDAR=US&amp;VAR:SYMBOL=AMGN&amp;VAR:INDEX=0"}</definedName>
    <definedName name="_1295__FDSAUDITLINK__" hidden="1">{"fdsup://directions/FAT Viewer?action=UPDATE&amp;creator=factset&amp;DYN_ARGS=TRUE&amp;DOC_NAME=FAT:FQL_AUDITING_CLIENT_TEMPLATE.FAT&amp;display_string=Audit&amp;VAR:KEY=PSHENMBWRU&amp;VAR:QUERY=RkZfU0FMRVMoQ0FMLDQwMTc4LCwsLCk=&amp;WINDOW=FIRST_POPUP&amp;HEIGHT=450&amp;WIDTH=450&amp;START_MAXIMI","ZED=FALSE&amp;VAR:CALENDAR=US&amp;VAR:SYMBOL=AMGN&amp;VAR:INDEX=0"}</definedName>
    <definedName name="_1296__FDSAUDITLINK__" hidden="1">{"fdsup://directions/FAT Viewer?action=UPDATE&amp;creator=factset&amp;DYN_ARGS=TRUE&amp;DOC_NAME=FAT:FQL_AUDITING_CLIENT_TEMPLATE.FAT&amp;display_string=Audit&amp;VAR:KEY=HAHEZKBKHG&amp;VAR:QUERY=RkZfU0FMRVMoQ0FMLDM5ODEzLCwsLCk=&amp;WINDOW=FIRST_POPUP&amp;HEIGHT=450&amp;WIDTH=450&amp;START_MAXIMI","ZED=FALSE&amp;VAR:CALENDAR=US&amp;VAR:SYMBOL=AMGN&amp;VAR:INDEX=0"}</definedName>
    <definedName name="_1297__FDSAUDITLINK__" hidden="1">{"fdsup://directions/FAT Viewer?action=UPDATE&amp;creator=factset&amp;DYN_ARGS=TRUE&amp;DOC_NAME=FAT:FQL_AUDITING_CLIENT_TEMPLATE.FAT&amp;display_string=Audit&amp;VAR:KEY=PGJOVCLGBS&amp;VAR:QUERY=RkZfU0FMRVMoQ0FMLDM5NDQ3LCwsLCk=&amp;WINDOW=FIRST_POPUP&amp;HEIGHT=450&amp;WIDTH=450&amp;START_MAXIMI","ZED=FALSE&amp;VAR:CALENDAR=US&amp;VAR:SYMBOL=AMGN&amp;VAR:INDEX=0"}</definedName>
    <definedName name="_1298__FDSAUDITLINK__" hidden="1">{"fdsup://directions/FAT Viewer?action=UPDATE&amp;creator=factset&amp;DYN_ARGS=TRUE&amp;DOC_NAME=FAT:FQL_AUDITING_CLIENT_TEMPLATE.FAT&amp;display_string=Audit&amp;VAR:KEY=FYXGXAXURW&amp;VAR:QUERY=RkZfU0FMRVMoQ0FMLDM5MDgyLCwsLCk=&amp;WINDOW=FIRST_POPUP&amp;HEIGHT=450&amp;WIDTH=450&amp;START_MAXIMI","ZED=FALSE&amp;VAR:CALENDAR=US&amp;VAR:SYMBOL=AMGN&amp;VAR:INDEX=0"}</definedName>
    <definedName name="_1299__FDSAUDITLINK__" hidden="1">{"fdsup://directions/FAT Viewer?action=UPDATE&amp;creator=factset&amp;DYN_ARGS=TRUE&amp;DOC_NAME=FAT:FQL_AUDITING_CLIENT_TEMPLATE.FAT&amp;display_string=Audit&amp;VAR:KEY=VADUDGDYFA&amp;VAR:QUERY=RkZfU0FMRVMoQ0FMLDM4NzE3LCwsLCk=&amp;WINDOW=FIRST_POPUP&amp;HEIGHT=450&amp;WIDTH=450&amp;START_MAXIMI","ZED=FALSE&amp;VAR:CALENDAR=US&amp;VAR:SYMBOL=AMGN&amp;VAR:INDEX=0"}</definedName>
    <definedName name="_13__FDSAUDITLINK__" hidden="1">{"fdsup://directions/FAT%20Viewer?VAR:TM=NTMA&amp;VAR:PCT=0.460274&amp;VAR:Y0=2010&amp;VAR:Y1=2011&amp;VAR:V0=12.879478&amp;VAR:V1=11.037963&amp;VAR:V=11.815547&amp;VAR:AUDIT_ID=00000117&amp;VAR:DATE=20100716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Aggregates&amp;VAR:MEASURE=PE_MEAN&amp;VAR:CALC_MODE=PORTFOLIO&amp;VAR:CHGPERIOD=NA&amp;VAR:FQLFORMULA=FMA_PE&amp;VAR:CURRENCY=USD&amp;VAR:P=1","064.877415&amp;VAR:THRESH=||||||&amp;VAR:null=.html"}</definedName>
    <definedName name="_130__FDSAUDITLINK__" hidden="1">{"fdsup://directions/FAT%20Viewer?VAR:TM=NTMA&amp;VAR:PCT=0.702186&amp;VAR:Y0=2008&amp;VAR:Y1=2009&amp;VAR:V0=14.800800&amp;VAR:V1=12.646816&amp;VAR:V=14.086298&amp;VAR:AUDIT_ID=00000117&amp;VAR:DATE=20080418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Aggregates&amp;VAR:MEASURE=PE_MEAN&amp;VAR:CALC_MODE=PORTFOLIO&amp;VAR:CHGPERIOD=NA&amp;VAR:FQLFORMULA=FMA_PE&amp;VAR:CURRENCY=USD&amp;VAR:P=1","390.331500&amp;VAR:THRESH=||||||&amp;VAR:null=.html"}</definedName>
    <definedName name="_1300__FDSAUDITLINK__" hidden="1">{"fdsup://directions/FAT Viewer?action=UPDATE&amp;creator=factset&amp;DYN_ARGS=TRUE&amp;DOC_NAME=FAT:FQL_AUDITING_CLIENT_TEMPLATE.FAT&amp;display_string=Audit&amp;VAR:KEY=FKDOZAJURW&amp;VAR:QUERY=RkZfU0FMRVMoQ0FMLDM4MzUyLCwsLCk=&amp;WINDOW=FIRST_POPUP&amp;HEIGHT=450&amp;WIDTH=450&amp;START_MAXIMI","ZED=FALSE&amp;VAR:CALENDAR=US&amp;VAR:SYMBOL=AMGN&amp;VAR:INDEX=0"}</definedName>
    <definedName name="_1301__FDSAUDITLINK__" hidden="1">{"fdsup://directions/FAT Viewer?action=UPDATE&amp;creator=factset&amp;DYN_ARGS=TRUE&amp;DOC_NAME=FAT:FQL_AUDITING_CLIENT_TEMPLATE.FAT&amp;display_string=Audit&amp;VAR:KEY=LULCDIVYJK&amp;VAR:QUERY=RkZfU0FMRVMoQ0FMLDQwNTQzLCwsLCk=&amp;WINDOW=FIRST_POPUP&amp;HEIGHT=450&amp;WIDTH=450&amp;START_MAXIMI","ZED=FALSE&amp;VAR:CALENDAR=US&amp;VAR:SYMBOL=ABT&amp;VAR:INDEX=0"}</definedName>
    <definedName name="_1302__FDSAUDITLINK__" hidden="1">{"fdsup://directions/FAT Viewer?action=UPDATE&amp;creator=factset&amp;DYN_ARGS=TRUE&amp;DOC_NAME=FAT:FQL_AUDITING_CLIENT_TEMPLATE.FAT&amp;display_string=Audit&amp;VAR:KEY=XIHAFGFYLU&amp;VAR:QUERY=RkZfU0FMRVMoQ0FMLDQwMTc4LCwsLCk=&amp;WINDOW=FIRST_POPUP&amp;HEIGHT=450&amp;WIDTH=450&amp;START_MAXIMI","ZED=FALSE&amp;VAR:CALENDAR=US&amp;VAR:SYMBOL=ABT&amp;VAR:INDEX=0"}</definedName>
    <definedName name="_1303__FDSAUDITLINK__" hidden="1">{"fdsup://directions/FAT Viewer?action=UPDATE&amp;creator=factset&amp;DYN_ARGS=TRUE&amp;DOC_NAME=FAT:FQL_AUDITING_CLIENT_TEMPLATE.FAT&amp;display_string=Audit&amp;VAR:KEY=FAFWNGJOZC&amp;VAR:QUERY=RkZfU0FMRVMoQ0FMLDM5ODEzLCwsLCk=&amp;WINDOW=FIRST_POPUP&amp;HEIGHT=450&amp;WIDTH=450&amp;START_MAXIMI","ZED=FALSE&amp;VAR:CALENDAR=US&amp;VAR:SYMBOL=ABT&amp;VAR:INDEX=0"}</definedName>
    <definedName name="_1304__FDSAUDITLINK__" hidden="1">{"fdsup://directions/FAT Viewer?action=UPDATE&amp;creator=factset&amp;DYN_ARGS=TRUE&amp;DOC_NAME=FAT:FQL_AUDITING_CLIENT_TEMPLATE.FAT&amp;display_string=Audit&amp;VAR:KEY=VOVAHWRMBQ&amp;VAR:QUERY=RkZfU0FMRVMoQ0FMLDM5NDQ3LCwsLCk=&amp;WINDOW=FIRST_POPUP&amp;HEIGHT=450&amp;WIDTH=450&amp;START_MAXIMI","ZED=FALSE&amp;VAR:CALENDAR=US&amp;VAR:SYMBOL=ABT&amp;VAR:INDEX=0"}</definedName>
    <definedName name="_1305__FDSAUDITLINK__" hidden="1">{"fdsup://directions/FAT Viewer?action=UPDATE&amp;creator=factset&amp;DYN_ARGS=TRUE&amp;DOC_NAME=FAT:FQL_AUDITING_CLIENT_TEMPLATE.FAT&amp;display_string=Audit&amp;VAR:KEY=JIZSHKHCLG&amp;VAR:QUERY=RkZfU0FMRVMoQ0FMLDM5MDgyLCwsLCk=&amp;WINDOW=FIRST_POPUP&amp;HEIGHT=450&amp;WIDTH=450&amp;START_MAXIMI","ZED=FALSE&amp;VAR:CALENDAR=US&amp;VAR:SYMBOL=ABT&amp;VAR:INDEX=0"}</definedName>
    <definedName name="_1306__FDSAUDITLINK__" hidden="1">{"fdsup://directions/FAT Viewer?action=UPDATE&amp;creator=factset&amp;DYN_ARGS=TRUE&amp;DOC_NAME=FAT:FQL_AUDITING_CLIENT_TEMPLATE.FAT&amp;display_string=Audit&amp;VAR:KEY=HGLONMHIHO&amp;VAR:QUERY=RkZfU0FMRVMoQ0FMLDM4NzE3LCwsLCk=&amp;WINDOW=FIRST_POPUP&amp;HEIGHT=450&amp;WIDTH=450&amp;START_MAXIMI","ZED=FALSE&amp;VAR:CALENDAR=US&amp;VAR:SYMBOL=ABT&amp;VAR:INDEX=0"}</definedName>
    <definedName name="_1307__FDSAUDITLINK__" hidden="1">{"fdsup://directions/FAT Viewer?action=UPDATE&amp;creator=factset&amp;DYN_ARGS=TRUE&amp;DOC_NAME=FAT:FQL_AUDITING_CLIENT_TEMPLATE.FAT&amp;display_string=Audit&amp;VAR:KEY=PMFYHUFOJW&amp;VAR:QUERY=RkZfU0FMRVMoQ0FMLDM4MzUyLCwsLCk=&amp;WINDOW=FIRST_POPUP&amp;HEIGHT=450&amp;WIDTH=450&amp;START_MAXIMI","ZED=FALSE&amp;VAR:CALENDAR=US&amp;VAR:SYMBOL=ABT&amp;VAR:INDEX=0"}</definedName>
    <definedName name="_1308__FDSAUDITLINK__" hidden="1">{"fdsup://directions/FAT Viewer?action=UPDATE&amp;creator=factset&amp;DYN_ARGS=TRUE&amp;DOC_NAME=FAT:FQL_AUDITING_CLIENT_TEMPLATE.FAT&amp;display_string=Audit&amp;VAR:KEY=FGVODQPWLQ&amp;VAR:QUERY=RkZfU0FMRVMoQ0FMLDQwNTQzLCwsLCk=&amp;WINDOW=FIRST_POPUP&amp;HEIGHT=450&amp;WIDTH=450&amp;START_MAXIMI","ZED=FALSE&amp;VAR:CALENDAR=US&amp;VAR:SYMBOL=687044&amp;VAR:INDEX=0"}</definedName>
    <definedName name="_1309__FDSAUDITLINK__" hidden="1">{"fdsup://directions/FAT Viewer?action=UPDATE&amp;creator=factset&amp;DYN_ARGS=TRUE&amp;DOC_NAME=FAT:FQL_AUDITING_CLIENT_TEMPLATE.FAT&amp;display_string=Audit&amp;VAR:KEY=NGJYDUXCVO&amp;VAR:QUERY=RkZfU0FMRVMoQ0FMLDQwMTc4LCwsLCk=&amp;WINDOW=FIRST_POPUP&amp;HEIGHT=450&amp;WIDTH=450&amp;START_MAXIMI","ZED=FALSE&amp;VAR:CALENDAR=US&amp;VAR:SYMBOL=687044&amp;VAR:INDEX=0"}</definedName>
    <definedName name="_131__FDSAUDITLINK__" hidden="1">{"fdsup://directions/FAT%20Viewer?VAR:TM=NTMA&amp;VAR:PCT=0.721311&amp;VAR:Y0=2008&amp;VAR:Y1=2009&amp;VAR:V0=14.019117&amp;VAR:V1=12.071342&amp;VAR:V=13.415835&amp;VAR:AUDIT_ID=00000117&amp;VAR:DATE=20080411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Aggregates&amp;VAR:MEASURE=PE_MEAN&amp;VAR:CALC_MODE=PORTFOLIO&amp;VAR:CHGPERIOD=NA&amp;VAR:FQLFORMULA=FMA_PE&amp;VAR:CURRENCY=USD&amp;VAR:P=1","332.827000&amp;VAR:THRESH=||||||&amp;VAR:null=.html"}</definedName>
    <definedName name="_1310__FDSAUDITLINK__" hidden="1">{"fdsup://directions/FAT Viewer?action=UPDATE&amp;creator=factset&amp;DYN_ARGS=TRUE&amp;DOC_NAME=FAT:FQL_AUDITING_CLIENT_TEMPLATE.FAT&amp;display_string=Audit&amp;VAR:KEY=NWVWHILSTA&amp;VAR:QUERY=RkZfU0FMRVMoQ0FMLDM5ODEzLCwsLCk=&amp;WINDOW=FIRST_POPUP&amp;HEIGHT=450&amp;WIDTH=450&amp;START_MAXIMI","ZED=FALSE&amp;VAR:CALENDAR=US&amp;VAR:SYMBOL=687044&amp;VAR:INDEX=0"}</definedName>
    <definedName name="_1311__FDSAUDITLINK__" hidden="1">{"fdsup://directions/FAT Viewer?action=UPDATE&amp;creator=factset&amp;DYN_ARGS=TRUE&amp;DOC_NAME=FAT:FQL_AUDITING_CLIENT_TEMPLATE.FAT&amp;display_string=Audit&amp;VAR:KEY=LANUXGTUJE&amp;VAR:QUERY=RkZfU0FMRVMoQ0FMLDM5NDQ3LCwsLCk=&amp;WINDOW=FIRST_POPUP&amp;HEIGHT=450&amp;WIDTH=450&amp;START_MAXIMI","ZED=FALSE&amp;VAR:CALENDAR=US&amp;VAR:SYMBOL=687044&amp;VAR:INDEX=0"}</definedName>
    <definedName name="_1312__FDSAUDITLINK__" hidden="1">{"fdsup://directions/FAT Viewer?action=UPDATE&amp;creator=factset&amp;DYN_ARGS=TRUE&amp;DOC_NAME=FAT:FQL_AUDITING_CLIENT_TEMPLATE.FAT&amp;display_string=Audit&amp;VAR:KEY=VMNWLAFAZG&amp;VAR:QUERY=RkZfU0FMRVMoQ0FMLDM5MDgyLCwsLCk=&amp;WINDOW=FIRST_POPUP&amp;HEIGHT=450&amp;WIDTH=450&amp;START_MAXIMI","ZED=FALSE&amp;VAR:CALENDAR=US&amp;VAR:SYMBOL=687044&amp;VAR:INDEX=0"}</definedName>
    <definedName name="_1313__FDSAUDITLINK__" hidden="1">{"fdsup://directions/FAT Viewer?action=UPDATE&amp;creator=factset&amp;DYN_ARGS=TRUE&amp;DOC_NAME=FAT:FQL_AUDITING_CLIENT_TEMPLATE.FAT&amp;display_string=Audit&amp;VAR:KEY=VUHEZEHYDS&amp;VAR:QUERY=RkZfU0FMRVMoQ0FMLDM4NzE3LCwsLCk=&amp;WINDOW=FIRST_POPUP&amp;HEIGHT=450&amp;WIDTH=450&amp;START_MAXIMI","ZED=FALSE&amp;VAR:CALENDAR=US&amp;VAR:SYMBOL=687044&amp;VAR:INDEX=0"}</definedName>
    <definedName name="_1314__FDSAUDITLINK__" hidden="1">{"fdsup://directions/FAT Viewer?action=UPDATE&amp;creator=factset&amp;DYN_ARGS=TRUE&amp;DOC_NAME=FAT:FQL_AUDITING_CLIENT_TEMPLATE.FAT&amp;display_string=Audit&amp;VAR:KEY=VEBOPIBOXG&amp;VAR:QUERY=RkZfU0FMRVMoQ0FMLDM4MzUyLCwsLCk=&amp;WINDOW=FIRST_POPUP&amp;HEIGHT=450&amp;WIDTH=450&amp;START_MAXIMI","ZED=FALSE&amp;VAR:CALENDAR=US&amp;VAR:SYMBOL=687044&amp;VAR:INDEX=0"}</definedName>
    <definedName name="_1315__FDSAUDITLINK__" hidden="1">{"fdsup://directions/FAT Viewer?action=UPDATE&amp;creator=factset&amp;DYN_ARGS=TRUE&amp;DOC_NAME=FAT:FQL_AUDITING_CLIENT_TEMPLATE.FAT&amp;display_string=Audit&amp;VAR:KEY=TWJGRYHSBC&amp;VAR:QUERY=RkZfU0FMRVMoQ0FMLDM3OTg2LCwsLCk=&amp;WINDOW=FIRST_POPUP&amp;HEIGHT=450&amp;WIDTH=450&amp;START_MAXIMI","ZED=FALSE&amp;VAR:CALENDAR=US&amp;VAR:SYMBOL=687044&amp;VAR:INDEX=0"}</definedName>
    <definedName name="_1316__FDSAUDITLINK__" hidden="1">{"fdsup://directions/FAT Viewer?action=UPDATE&amp;creator=factset&amp;DYN_ARGS=TRUE&amp;DOC_NAME=FAT:FQL_AUDITING_CLIENT_TEMPLATE.FAT&amp;display_string=Audit&amp;VAR:KEY=NMJKXQRIPK&amp;VAR:QUERY=RkZfU0FMRVMoQ0FMLDQwNTQzLCwsLCk=&amp;WINDOW=FIRST_POPUP&amp;HEIGHT=450&amp;WIDTH=450&amp;START_MAXIMI","ZED=FALSE&amp;VAR:CALENDAR=US&amp;VAR:SYMBOL=BMY&amp;VAR:INDEX=0"}</definedName>
    <definedName name="_1317__FDSAUDITLINK__" hidden="1">{"fdsup://directions/FAT Viewer?action=UPDATE&amp;creator=factset&amp;DYN_ARGS=TRUE&amp;DOC_NAME=FAT:FQL_AUDITING_CLIENT_TEMPLATE.FAT&amp;display_string=Audit&amp;VAR:KEY=BUJIHQJYLA&amp;VAR:QUERY=RkZfU0FMRVMoQ0FMLDQwMTc4LCwsLCk=&amp;WINDOW=FIRST_POPUP&amp;HEIGHT=450&amp;WIDTH=450&amp;START_MAXIMI","ZED=FALSE&amp;VAR:CALENDAR=US&amp;VAR:SYMBOL=BMY&amp;VAR:INDEX=0"}</definedName>
    <definedName name="_1318__FDSAUDITLINK__" hidden="1">{"fdsup://directions/FAT Viewer?action=UPDATE&amp;creator=factset&amp;DYN_ARGS=TRUE&amp;DOC_NAME=FAT:FQL_AUDITING_CLIENT_TEMPLATE.FAT&amp;display_string=Audit&amp;VAR:KEY=JIDAXAJARK&amp;VAR:QUERY=RkZfU0FMRVMoQ0FMLDM5ODEzLCwsLCk=&amp;WINDOW=FIRST_POPUP&amp;HEIGHT=450&amp;WIDTH=450&amp;START_MAXIMI","ZED=FALSE&amp;VAR:CALENDAR=US&amp;VAR:SYMBOL=BMY&amp;VAR:INDEX=0"}</definedName>
    <definedName name="_1319__FDSAUDITLINK__" hidden="1">{"fdsup://directions/FAT Viewer?action=UPDATE&amp;creator=factset&amp;DYN_ARGS=TRUE&amp;DOC_NAME=FAT:FQL_AUDITING_CLIENT_TEMPLATE.FAT&amp;display_string=Audit&amp;VAR:KEY=FGNGDYBWJI&amp;VAR:QUERY=RkZfU0FMRVMoQ0FMLDM5NDQ3LCwsLCk=&amp;WINDOW=FIRST_POPUP&amp;HEIGHT=450&amp;WIDTH=450&amp;START_MAXIMI","ZED=FALSE&amp;VAR:CALENDAR=US&amp;VAR:SYMBOL=BMY&amp;VAR:INDEX=0"}</definedName>
    <definedName name="_132__FDSAUDITLINK__" hidden="1">{"fdsup://directions/FAT%20Viewer?VAR:TM=NTMA&amp;VAR:PCT=0.740437&amp;VAR:Y0=2008&amp;VAR:Y1=2009&amp;VAR:V0=14.367662&amp;VAR:V1=12.403610&amp;VAR:V=13.800456&amp;VAR:AUDIT_ID=00000117&amp;VAR:DATE=20080404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Aggregates&amp;VAR:MEASURE=PE_MEAN&amp;VAR:CALC_MODE=PORTFOLIO&amp;VAR:CHGPERIOD=NA&amp;VAR:FQLFORMULA=FMA_PE&amp;VAR:CURRENCY=USD&amp;VAR:P=1","370.400000&amp;VAR:THRESH=||||||&amp;VAR:null=.html"}</definedName>
    <definedName name="_1320__FDSAUDITLINK__" hidden="1">{"fdsup://directions/FAT Viewer?action=UPDATE&amp;creator=factset&amp;DYN_ARGS=TRUE&amp;DOC_NAME=FAT:FQL_AUDITING_CLIENT_TEMPLATE.FAT&amp;display_string=Audit&amp;VAR:KEY=ZEPMHOTKTQ&amp;VAR:QUERY=RkZfU0FMRVMoQ0FMLDM5MDgyLCwsLCk=&amp;WINDOW=FIRST_POPUP&amp;HEIGHT=450&amp;WIDTH=450&amp;START_MAXIMI","ZED=FALSE&amp;VAR:CALENDAR=US&amp;VAR:SYMBOL=BMY&amp;VAR:INDEX=0"}</definedName>
    <definedName name="_1321__FDSAUDITLINK__" hidden="1">{"fdsup://directions/FAT Viewer?action=UPDATE&amp;creator=factset&amp;DYN_ARGS=TRUE&amp;DOC_NAME=FAT:FQL_AUDITING_CLIENT_TEMPLATE.FAT&amp;display_string=Audit&amp;VAR:KEY=ZSRUVKHGFO&amp;VAR:QUERY=RkZfU0FMRVMoQ0FMLDM4NzE3LCwsLCk=&amp;WINDOW=FIRST_POPUP&amp;HEIGHT=450&amp;WIDTH=450&amp;START_MAXIMI","ZED=FALSE&amp;VAR:CALENDAR=US&amp;VAR:SYMBOL=BMY&amp;VAR:INDEX=0"}</definedName>
    <definedName name="_1322__FDSAUDITLINK__" hidden="1">{"fdsup://directions/FAT Viewer?action=UPDATE&amp;creator=factset&amp;DYN_ARGS=TRUE&amp;DOC_NAME=FAT:FQL_AUDITING_CLIENT_TEMPLATE.FAT&amp;display_string=Audit&amp;VAR:KEY=LWZIXAXMJY&amp;VAR:QUERY=RkZfU0FMRVMoQ0FMLDM4MzUyLCwsLCk=&amp;WINDOW=FIRST_POPUP&amp;HEIGHT=450&amp;WIDTH=450&amp;START_MAXIMI","ZED=FALSE&amp;VAR:CALENDAR=US&amp;VAR:SYMBOL=BMY&amp;VAR:INDEX=0"}</definedName>
    <definedName name="_1323__FDSAUDITLINK__" hidden="1">{"fdsup://directions/FAT Viewer?action=UPDATE&amp;creator=factset&amp;DYN_ARGS=TRUE&amp;DOC_NAME=FAT:FQL_AUDITING_CLIENT_TEMPLATE.FAT&amp;display_string=Audit&amp;VAR:KEY=HGVUFQHQXY&amp;VAR:QUERY=RkZfU0FMRVMoQ0FMLDQwNTQzLCwsLCk=&amp;WINDOW=FIRST_POPUP&amp;HEIGHT=450&amp;WIDTH=450&amp;START_MAXIMI","ZED=FALSE&amp;VAR:CALENDAR=US&amp;VAR:SYMBOL=LLY&amp;VAR:INDEX=0"}</definedName>
    <definedName name="_1324__FDSAUDITLINK__" hidden="1">{"fdsup://directions/FAT Viewer?action=UPDATE&amp;creator=factset&amp;DYN_ARGS=TRUE&amp;DOC_NAME=FAT:FQL_AUDITING_CLIENT_TEMPLATE.FAT&amp;display_string=Audit&amp;VAR:KEY=BENYXWZQPA&amp;VAR:QUERY=RkZfU0FMRVMoQ0FMLDQwMTc4LCwsLCk=&amp;WINDOW=FIRST_POPUP&amp;HEIGHT=450&amp;WIDTH=450&amp;START_MAXIMI","ZED=FALSE&amp;VAR:CALENDAR=US&amp;VAR:SYMBOL=LLY&amp;VAR:INDEX=0"}</definedName>
    <definedName name="_1325__FDSAUDITLINK__" hidden="1">{"fdsup://directions/FAT Viewer?action=UPDATE&amp;creator=factset&amp;DYN_ARGS=TRUE&amp;DOC_NAME=FAT:FQL_AUDITING_CLIENT_TEMPLATE.FAT&amp;display_string=Audit&amp;VAR:KEY=TCDILENEJI&amp;VAR:QUERY=RkZfU0FMRVMoQ0FMLDM5ODEzLCwsLCk=&amp;WINDOW=FIRST_POPUP&amp;HEIGHT=450&amp;WIDTH=450&amp;START_MAXIMI","ZED=FALSE&amp;VAR:CALENDAR=US&amp;VAR:SYMBOL=LLY&amp;VAR:INDEX=0"}</definedName>
    <definedName name="_1326__FDSAUDITLINK__" hidden="1">{"fdsup://directions/FAT Viewer?action=UPDATE&amp;creator=factset&amp;DYN_ARGS=TRUE&amp;DOC_NAME=FAT:FQL_AUDITING_CLIENT_TEMPLATE.FAT&amp;display_string=Audit&amp;VAR:KEY=ZMZGTAHWVI&amp;VAR:QUERY=RkZfU0FMRVMoQ0FMLDM5NDQ3LCwsLCk=&amp;WINDOW=FIRST_POPUP&amp;HEIGHT=450&amp;WIDTH=450&amp;START_MAXIMI","ZED=FALSE&amp;VAR:CALENDAR=US&amp;VAR:SYMBOL=LLY&amp;VAR:INDEX=0"}</definedName>
    <definedName name="_1327__FDSAUDITLINK__" hidden="1">{"fdsup://directions/FAT Viewer?action=UPDATE&amp;creator=factset&amp;DYN_ARGS=TRUE&amp;DOC_NAME=FAT:FQL_AUDITING_CLIENT_TEMPLATE.FAT&amp;display_string=Audit&amp;VAR:KEY=VGZWFCPGLW&amp;VAR:QUERY=RkZfU0FMRVMoQ0FMLDM5MDgyLCwsLCk=&amp;WINDOW=FIRST_POPUP&amp;HEIGHT=450&amp;WIDTH=450&amp;START_MAXIMI","ZED=FALSE&amp;VAR:CALENDAR=US&amp;VAR:SYMBOL=LLY&amp;VAR:INDEX=0"}</definedName>
    <definedName name="_1328__FDSAUDITLINK__" hidden="1">{"fdsup://directions/FAT Viewer?action=UPDATE&amp;creator=factset&amp;DYN_ARGS=TRUE&amp;DOC_NAME=FAT:FQL_AUDITING_CLIENT_TEMPLATE.FAT&amp;display_string=Audit&amp;VAR:KEY=NMLWPYZODY&amp;VAR:QUERY=RkZfU0FMRVMoQ0FMLDM4NzE3LCwsLCk=&amp;WINDOW=FIRST_POPUP&amp;HEIGHT=450&amp;WIDTH=450&amp;START_MAXIMI","ZED=FALSE&amp;VAR:CALENDAR=US&amp;VAR:SYMBOL=LLY&amp;VAR:INDEX=0"}</definedName>
    <definedName name="_1329__FDSAUDITLINK__" hidden="1">{"fdsup://directions/FAT Viewer?action=UPDATE&amp;creator=factset&amp;DYN_ARGS=TRUE&amp;DOC_NAME=FAT:FQL_AUDITING_CLIENT_TEMPLATE.FAT&amp;display_string=Audit&amp;VAR:KEY=XERCTWXSFY&amp;VAR:QUERY=RkZfU0FMRVMoQ0FMLDM4MzUyLCwsLCk=&amp;WINDOW=FIRST_POPUP&amp;HEIGHT=450&amp;WIDTH=450&amp;START_MAXIMI","ZED=FALSE&amp;VAR:CALENDAR=US&amp;VAR:SYMBOL=LLY&amp;VAR:INDEX=0"}</definedName>
    <definedName name="_133__FDSAUDITLINK__" hidden="1">{"fdsup://directions/FAT%20Viewer?VAR:TM=NTMA&amp;VAR:PCT=0.759563&amp;VAR:Y0=2008&amp;VAR:Y1=2009&amp;VAR:V0=13.659499&amp;VAR:V1=11.898924&amp;VAR:V=13.190252&amp;VAR:AUDIT_ID=00000117&amp;VAR:DATE=20080328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Aggregates&amp;VAR:MEASURE=PE_MEAN&amp;VAR:CALC_MODE=PORTFOLIO&amp;VAR:CHGPERIOD=NA&amp;VAR:FQLFORMULA=FMA_PE&amp;VAR:CURRENCY=USD&amp;VAR:P=1","315.216200&amp;VAR:THRESH=||||||&amp;VAR:null=.html"}</definedName>
    <definedName name="_1330__FDSAUDITLINK__" hidden="1">{"fdsup://directions/FAT Viewer?action=UPDATE&amp;creator=factset&amp;DYN_ARGS=TRUE&amp;DOC_NAME=FAT:FQL_AUDITING_CLIENT_TEMPLATE.FAT&amp;display_string=Audit&amp;VAR:KEY=TYREZSHMJS&amp;VAR:QUERY=RkZfU0FMRVMoQ0FMLDQwNTQzLCwsLCk=&amp;WINDOW=FIRST_POPUP&amp;HEIGHT=450&amp;WIDTH=450&amp;START_MAXIMI","ZED=FALSE&amp;VAR:CALENDAR=US&amp;VAR:SYMBOL=506921&amp;VAR:INDEX=0"}</definedName>
    <definedName name="_1331__FDSAUDITLINK__" hidden="1">{"fdsup://directions/FAT Viewer?action=UPDATE&amp;creator=factset&amp;DYN_ARGS=TRUE&amp;DOC_NAME=FAT:FQL_AUDITING_CLIENT_TEMPLATE.FAT&amp;display_string=Audit&amp;VAR:KEY=VUTOPCHQXG&amp;VAR:QUERY=RkZfU0FMRVMoQ0FMLDQwMTc4LCwsLCk=&amp;WINDOW=FIRST_POPUP&amp;HEIGHT=450&amp;WIDTH=450&amp;START_MAXIMI","ZED=FALSE&amp;VAR:CALENDAR=US&amp;VAR:SYMBOL=506921&amp;VAR:INDEX=0"}</definedName>
    <definedName name="_1332__FDSAUDITLINK__" hidden="1">{"fdsup://directions/FAT Viewer?action=UPDATE&amp;creator=factset&amp;DYN_ARGS=TRUE&amp;DOC_NAME=FAT:FQL_AUDITING_CLIENT_TEMPLATE.FAT&amp;display_string=Audit&amp;VAR:KEY=DSVIFSTIRS&amp;VAR:QUERY=RkZfU0FMRVMoQ0FMLDM5ODEzLCwsLCk=&amp;WINDOW=FIRST_POPUP&amp;HEIGHT=450&amp;WIDTH=450&amp;START_MAXIMI","ZED=FALSE&amp;VAR:CALENDAR=US&amp;VAR:SYMBOL=506921&amp;VAR:INDEX=0"}</definedName>
    <definedName name="_1333__FDSAUDITLINK__" hidden="1">{"fdsup://directions/FAT Viewer?action=UPDATE&amp;creator=factset&amp;DYN_ARGS=TRUE&amp;DOC_NAME=FAT:FQL_AUDITING_CLIENT_TEMPLATE.FAT&amp;display_string=Audit&amp;VAR:KEY=VGFMRYZUDQ&amp;VAR:QUERY=RkZfU0FMRVMoQ0FMLDM5NDQ3LCwsLCk=&amp;WINDOW=FIRST_POPUP&amp;HEIGHT=450&amp;WIDTH=450&amp;START_MAXIMI","ZED=FALSE&amp;VAR:CALENDAR=US&amp;VAR:SYMBOL=506921&amp;VAR:INDEX=0"}</definedName>
    <definedName name="_1334__FDSAUDITLINK__" hidden="1">{"fdsup://directions/FAT Viewer?action=UPDATE&amp;creator=factset&amp;DYN_ARGS=TRUE&amp;DOC_NAME=FAT:FQL_AUDITING_CLIENT_TEMPLATE.FAT&amp;display_string=Audit&amp;VAR:KEY=PYPMDAJYFY&amp;VAR:QUERY=RkZfU0FMRVMoQ0FMLDM5MDgyLCwsLCk=&amp;WINDOW=FIRST_POPUP&amp;HEIGHT=450&amp;WIDTH=450&amp;START_MAXIMI","ZED=FALSE&amp;VAR:CALENDAR=US&amp;VAR:SYMBOL=506921&amp;VAR:INDEX=0"}</definedName>
    <definedName name="_1335__FDSAUDITLINK__" hidden="1">{"fdsup://directions/FAT Viewer?action=UPDATE&amp;creator=factset&amp;DYN_ARGS=TRUE&amp;DOC_NAME=FAT:FQL_AUDITING_CLIENT_TEMPLATE.FAT&amp;display_string=Audit&amp;VAR:KEY=FGLEFQPUNK&amp;VAR:QUERY=RkZfU0FMRVMoQ0FMLDM4NzE3LCwsLCk=&amp;WINDOW=FIRST_POPUP&amp;HEIGHT=450&amp;WIDTH=450&amp;START_MAXIMI","ZED=FALSE&amp;VAR:CALENDAR=US&amp;VAR:SYMBOL=506921&amp;VAR:INDEX=0"}</definedName>
    <definedName name="_1336__FDSAUDITLINK__" hidden="1">{"fdsup://directions/FAT Viewer?action=UPDATE&amp;creator=factset&amp;DYN_ARGS=TRUE&amp;DOC_NAME=FAT:FQL_AUDITING_CLIENT_TEMPLATE.FAT&amp;display_string=Audit&amp;VAR:KEY=NKROBUBURI&amp;VAR:QUERY=RkZfU0FMRVMoQ0FMLDQwNTQzLCwsLCk=&amp;WINDOW=FIRST_POPUP&amp;HEIGHT=450&amp;WIDTH=450&amp;START_MAXIMI","ZED=FALSE&amp;VAR:CALENDAR=US&amp;VAR:SYMBOL=567173&amp;VAR:INDEX=0"}</definedName>
    <definedName name="_1337__FDSAUDITLINK__" hidden="1">{"fdsup://directions/FAT Viewer?action=UPDATE&amp;creator=factset&amp;DYN_ARGS=TRUE&amp;DOC_NAME=FAT:FQL_AUDITING_CLIENT_TEMPLATE.FAT&amp;display_string=Audit&amp;VAR:KEY=FUZMZEJUJU&amp;VAR:QUERY=RkZfU0FMRVMoQ0FMLDQwMTc4LCwsLCk=&amp;WINDOW=FIRST_POPUP&amp;HEIGHT=450&amp;WIDTH=450&amp;START_MAXIMI","ZED=FALSE&amp;VAR:CALENDAR=US&amp;VAR:SYMBOL=567173&amp;VAR:INDEX=0"}</definedName>
    <definedName name="_1338__FDSAUDITLINK__" hidden="1">{"fdsup://directions/FAT Viewer?action=UPDATE&amp;creator=factset&amp;DYN_ARGS=TRUE&amp;DOC_NAME=FAT:FQL_AUDITING_CLIENT_TEMPLATE.FAT&amp;display_string=Audit&amp;VAR:KEY=DQJIRINKTK&amp;VAR:QUERY=RkZfU0FMRVMoQ0FMLDM5ODEzLCwsLCk=&amp;WINDOW=FIRST_POPUP&amp;HEIGHT=450&amp;WIDTH=450&amp;START_MAXIMI","ZED=FALSE&amp;VAR:CALENDAR=US&amp;VAR:SYMBOL=567173&amp;VAR:INDEX=0"}</definedName>
    <definedName name="_1339__FDSAUDITLINK__" hidden="1">{"fdsup://directions/FAT Viewer?action=UPDATE&amp;creator=factset&amp;DYN_ARGS=TRUE&amp;DOC_NAME=FAT:FQL_AUDITING_CLIENT_TEMPLATE.FAT&amp;display_string=Audit&amp;VAR:KEY=XUVOBOTILK&amp;VAR:QUERY=RkZfU0FMRVMoQ0FMLDM5NDQ3LCwsLCk=&amp;WINDOW=FIRST_POPUP&amp;HEIGHT=450&amp;WIDTH=450&amp;START_MAXIMI","ZED=FALSE&amp;VAR:CALENDAR=US&amp;VAR:SYMBOL=567173&amp;VAR:INDEX=0"}</definedName>
    <definedName name="_134__FDSAUDITLINK__" hidden="1">{"fdsup://directions/FAT%20Viewer?VAR:TM=NTMA&amp;VAR:PCT=0.781421&amp;VAR:Y0=2008&amp;VAR:Y1=2009&amp;VAR:V0=13.689228&amp;VAR:V1=11.994122&amp;VAR:V=13.279021&amp;VAR:AUDIT_ID=00000117&amp;VAR:DATE=20080320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Aggregates&amp;VAR:MEASURE=PE_MEAN&amp;VAR:CALC_MODE=PORTFOLIO&amp;VAR:CHGPERIOD=NA&amp;VAR:FQLFORMULA=FMA_PE&amp;VAR:CURRENCY=USD&amp;VAR:P=1","329.508400&amp;VAR:THRESH=||||||&amp;VAR:null=.html"}</definedName>
    <definedName name="_1340__FDSAUDITLINK__" hidden="1">{"fdsup://directions/FAT Viewer?action=UPDATE&amp;creator=factset&amp;DYN_ARGS=TRUE&amp;DOC_NAME=FAT:FQL_AUDITING_CLIENT_TEMPLATE.FAT&amp;display_string=Audit&amp;VAR:KEY=TUNGLUVQJS&amp;VAR:QUERY=RkZfU0FMRVMoQ0FMLDM5MDgyLCwsLCk=&amp;WINDOW=FIRST_POPUP&amp;HEIGHT=450&amp;WIDTH=450&amp;START_MAXIMI","ZED=FALSE&amp;VAR:CALENDAR=US&amp;VAR:SYMBOL=567173&amp;VAR:INDEX=0"}</definedName>
    <definedName name="_1341__FDSAUDITLINK__" hidden="1">{"fdsup://directions/FAT Viewer?action=UPDATE&amp;creator=factset&amp;DYN_ARGS=TRUE&amp;DOC_NAME=FAT:FQL_AUDITING_CLIENT_TEMPLATE.FAT&amp;display_string=Audit&amp;VAR:KEY=ZCZKRMREJQ&amp;VAR:QUERY=RkZfU0FMRVMoQ0FMLDM4NzE3LCwsLCk=&amp;WINDOW=FIRST_POPUP&amp;HEIGHT=450&amp;WIDTH=450&amp;START_MAXIMI","ZED=FALSE&amp;VAR:CALENDAR=US&amp;VAR:SYMBOL=567173&amp;VAR:INDEX=0"}</definedName>
    <definedName name="_1342__FDSAUDITLINK__" hidden="1">{"fdsup://directions/FAT Viewer?action=UPDATE&amp;creator=factset&amp;DYN_ARGS=TRUE&amp;DOC_NAME=FAT:FQL_AUDITING_CLIENT_TEMPLATE.FAT&amp;display_string=Audit&amp;VAR:KEY=XEFEFEVSXG&amp;VAR:QUERY=RkZfU0FMRVMoQ0FMLDQwNTQzLCwsLCk=&amp;WINDOW=FIRST_POPUP&amp;HEIGHT=450&amp;WIDTH=450&amp;START_MAXIMI","ZED=FALSE&amp;VAR:CALENDAR=US&amp;VAR:SYMBOL=JNJ&amp;VAR:INDEX=0"}</definedName>
    <definedName name="_1343__FDSAUDITLINK__" hidden="1">{"fdsup://directions/FAT Viewer?action=UPDATE&amp;creator=factset&amp;DYN_ARGS=TRUE&amp;DOC_NAME=FAT:FQL_AUDITING_CLIENT_TEMPLATE.FAT&amp;display_string=Audit&amp;VAR:KEY=LULOTKLGHM&amp;VAR:QUERY=RkZfU0FMRVMoQ0FMLDQwMTc4LCwsLCk=&amp;WINDOW=FIRST_POPUP&amp;HEIGHT=450&amp;WIDTH=450&amp;START_MAXIMI","ZED=FALSE&amp;VAR:CALENDAR=US&amp;VAR:SYMBOL=JNJ&amp;VAR:INDEX=0"}</definedName>
    <definedName name="_1344__FDSAUDITLINK__" hidden="1">{"fdsup://directions/FAT Viewer?action=UPDATE&amp;creator=factset&amp;DYN_ARGS=TRUE&amp;DOC_NAME=FAT:FQL_AUDITING_CLIENT_TEMPLATE.FAT&amp;display_string=Audit&amp;VAR:KEY=TARITKLKZA&amp;VAR:QUERY=RkZfU0FMRVMoQ0FMLDM5ODEzLCwsLCk=&amp;WINDOW=FIRST_POPUP&amp;HEIGHT=450&amp;WIDTH=450&amp;START_MAXIMI","ZED=FALSE&amp;VAR:CALENDAR=US&amp;VAR:SYMBOL=JNJ&amp;VAR:INDEX=0"}</definedName>
    <definedName name="_1345__FDSAUDITLINK__" hidden="1">{"fdsup://directions/FAT Viewer?action=UPDATE&amp;creator=factset&amp;DYN_ARGS=TRUE&amp;DOC_NAME=FAT:FQL_AUDITING_CLIENT_TEMPLATE.FAT&amp;display_string=Audit&amp;VAR:KEY=NSBWVCLYDE&amp;VAR:QUERY=RkZfU0FMRVMoQ0FMLDM5NDQ3LCwsLCk=&amp;WINDOW=FIRST_POPUP&amp;HEIGHT=450&amp;WIDTH=450&amp;START_MAXIMI","ZED=FALSE&amp;VAR:CALENDAR=US&amp;VAR:SYMBOL=JNJ&amp;VAR:INDEX=0"}</definedName>
    <definedName name="_1346__FDSAUDITLINK__" hidden="1">{"fdsup://directions/FAT Viewer?action=UPDATE&amp;creator=factset&amp;DYN_ARGS=TRUE&amp;DOC_NAME=FAT:FQL_AUDITING_CLIENT_TEMPLATE.FAT&amp;display_string=Audit&amp;VAR:KEY=VCFODGNGBS&amp;VAR:QUERY=RkZfU0FMRVMoQ0FMLDM5MDgyLCwsLCk=&amp;WINDOW=FIRST_POPUP&amp;HEIGHT=450&amp;WIDTH=450&amp;START_MAXIMI","ZED=FALSE&amp;VAR:CALENDAR=US&amp;VAR:SYMBOL=JNJ&amp;VAR:INDEX=0"}</definedName>
    <definedName name="_1347__FDSAUDITLINK__" hidden="1">{"fdsup://directions/FAT Viewer?action=UPDATE&amp;creator=factset&amp;DYN_ARGS=TRUE&amp;DOC_NAME=FAT:FQL_AUDITING_CLIENT_TEMPLATE.FAT&amp;display_string=Audit&amp;VAR:KEY=FMJMDKHKDK&amp;VAR:QUERY=RkZfU0FMRVMoQ0FMLDM4NzE3LCwsLCk=&amp;WINDOW=FIRST_POPUP&amp;HEIGHT=450&amp;WIDTH=450&amp;START_MAXIMI","ZED=FALSE&amp;VAR:CALENDAR=US&amp;VAR:SYMBOL=JNJ&amp;VAR:INDEX=0"}</definedName>
    <definedName name="_1348__FDSAUDITLINK__" hidden="1">{"fdsup://directions/FAT Viewer?action=UPDATE&amp;creator=factset&amp;DYN_ARGS=TRUE&amp;DOC_NAME=FAT:FQL_AUDITING_CLIENT_TEMPLATE.FAT&amp;display_string=Audit&amp;VAR:KEY=ZWTENCPKDC&amp;VAR:QUERY=RkZfU0FMRVMoQ0FMLDM4MzUyLCwsLCk=&amp;WINDOW=FIRST_POPUP&amp;HEIGHT=450&amp;WIDTH=450&amp;START_MAXIMI","ZED=FALSE&amp;VAR:CALENDAR=US&amp;VAR:SYMBOL=JNJ&amp;VAR:INDEX=0"}</definedName>
    <definedName name="_1349__FDSAUDITLINK__" hidden="1">{"fdsup://directions/FAT Viewer?action=UPDATE&amp;creator=factset&amp;DYN_ARGS=TRUE&amp;DOC_NAME=FAT:FQL_AUDITING_CLIENT_TEMPLATE.FAT&amp;display_string=Audit&amp;VAR:KEY=JUHUDIVEVG&amp;VAR:QUERY=RkZfU0FMRVMoQ0FMLDQwNTQzLCwsLCk=&amp;WINDOW=FIRST_POPUP&amp;HEIGHT=450&amp;WIDTH=450&amp;START_MAXIMI","ZED=FALSE&amp;VAR:CALENDAR=US&amp;VAR:SYMBOL=710306&amp;VAR:INDEX=0"}</definedName>
    <definedName name="_135__FDSAUDITLINK__" hidden="1">{"fdsup://directions/FAT%20Viewer?VAR:TM=NTMA&amp;VAR:PCT=0.797814&amp;VAR:Y0=2008&amp;VAR:Y1=2009&amp;VAR:V0=13.221457&amp;VAR:V1=11.598812&amp;VAR:V=12.857772&amp;VAR:AUDIT_ID=00000117&amp;VAR:DATE=20080314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Aggregates&amp;VAR:MEASURE=PE_MEAN&amp;VAR:CALC_MODE=PORTFOLIO&amp;VAR:CHGPERIOD=NA&amp;VAR:FQLFORMULA=FMA_PE&amp;VAR:CURRENCY=USD&amp;VAR:P=1","288.139800&amp;VAR:THRESH=||||||&amp;VAR:null=.html"}</definedName>
    <definedName name="_1350__FDSAUDITLINK__" hidden="1">{"fdsup://directions/FAT Viewer?action=UPDATE&amp;creator=factset&amp;DYN_ARGS=TRUE&amp;DOC_NAME=FAT:FQL_AUDITING_CLIENT_TEMPLATE.FAT&amp;display_string=Audit&amp;VAR:KEY=DOFYDCPMFC&amp;VAR:QUERY=RkZfU0FMRVMoQ0FMLDQwMTc4LCwsLCk=&amp;WINDOW=FIRST_POPUP&amp;HEIGHT=450&amp;WIDTH=450&amp;START_MAXIMI","ZED=FALSE&amp;VAR:CALENDAR=US&amp;VAR:SYMBOL=710306&amp;VAR:INDEX=0"}</definedName>
    <definedName name="_1351__FDSAUDITLINK__" hidden="1">{"fdsup://directions/FAT Viewer?action=UPDATE&amp;creator=factset&amp;DYN_ARGS=TRUE&amp;DOC_NAME=FAT:FQL_AUDITING_CLIENT_TEMPLATE.FAT&amp;display_string=Audit&amp;VAR:KEY=FEDEFEXKTO&amp;VAR:QUERY=RkZfU0FMRVMoQ0FMLDM5ODEzLCwsLCk=&amp;WINDOW=FIRST_POPUP&amp;HEIGHT=450&amp;WIDTH=450&amp;START_MAXIMI","ZED=FALSE&amp;VAR:CALENDAR=US&amp;VAR:SYMBOL=710306&amp;VAR:INDEX=0"}</definedName>
    <definedName name="_1352__FDSAUDITLINK__" hidden="1">{"fdsup://directions/FAT Viewer?action=UPDATE&amp;creator=factset&amp;DYN_ARGS=TRUE&amp;DOC_NAME=FAT:FQL_AUDITING_CLIENT_TEMPLATE.FAT&amp;display_string=Audit&amp;VAR:KEY=LMVERYPEZG&amp;VAR:QUERY=RkZfU0FMRVMoQ0FMLDM5NDQ3LCwsLCk=&amp;WINDOW=FIRST_POPUP&amp;HEIGHT=450&amp;WIDTH=450&amp;START_MAXIMI","ZED=FALSE&amp;VAR:CALENDAR=US&amp;VAR:SYMBOL=710306&amp;VAR:INDEX=0"}</definedName>
    <definedName name="_1353__FDSAUDITLINK__" hidden="1">{"fdsup://directions/FAT Viewer?action=UPDATE&amp;creator=factset&amp;DYN_ARGS=TRUE&amp;DOC_NAME=FAT:FQL_AUDITING_CLIENT_TEMPLATE.FAT&amp;display_string=Audit&amp;VAR:KEY=XQLOLCJYLW&amp;VAR:QUERY=RkZfU0FMRVMoQ0FMLDM5MDgyLCwsLCk=&amp;WINDOW=FIRST_POPUP&amp;HEIGHT=450&amp;WIDTH=450&amp;START_MAXIMI","ZED=FALSE&amp;VAR:CALENDAR=US&amp;VAR:SYMBOL=710306&amp;VAR:INDEX=0"}</definedName>
    <definedName name="_1354__FDSAUDITLINK__" hidden="1">{"fdsup://directions/FAT Viewer?action=UPDATE&amp;creator=factset&amp;DYN_ARGS=TRUE&amp;DOC_NAME=FAT:FQL_AUDITING_CLIENT_TEMPLATE.FAT&amp;display_string=Audit&amp;VAR:KEY=JIVKRKVAXY&amp;VAR:QUERY=RkZfU0FMRVMoQ0FMLDM4NzE3LCwsLCk=&amp;WINDOW=FIRST_POPUP&amp;HEIGHT=450&amp;WIDTH=450&amp;START_MAXIMI","ZED=FALSE&amp;VAR:CALENDAR=US&amp;VAR:SYMBOL=710306&amp;VAR:INDEX=0"}</definedName>
    <definedName name="_1355__FDSAUDITLINK__" hidden="1">{"fdsup://directions/FAT Viewer?action=UPDATE&amp;creator=factset&amp;DYN_ARGS=TRUE&amp;DOC_NAME=FAT:FQL_AUDITING_CLIENT_TEMPLATE.FAT&amp;display_string=Audit&amp;VAR:KEY=HGBYRMPCTI&amp;VAR:QUERY=RkZfU0FMRVMoQ0FMLDQwNTQzLCwsLCk=&amp;WINDOW=FIRST_POPUP&amp;HEIGHT=450&amp;WIDTH=450&amp;START_MAXIMI","ZED=FALSE&amp;VAR:CALENDAR=US&amp;VAR:SYMBOL=711038&amp;VAR:INDEX=0"}</definedName>
    <definedName name="_1356__FDSAUDITLINK__" hidden="1">{"fdsup://directions/FAT Viewer?action=UPDATE&amp;creator=factset&amp;DYN_ARGS=TRUE&amp;DOC_NAME=FAT:FQL_AUDITING_CLIENT_TEMPLATE.FAT&amp;display_string=Audit&amp;VAR:KEY=DQVIXUTIHC&amp;VAR:QUERY=RkZfU0FMRVMoQ0FMLDQwMTc4LCwsLFVTRCk=&amp;WINDOW=FIRST_POPUP&amp;HEIGHT=450&amp;WIDTH=450&amp;START_MA","XIMIZED=FALSE&amp;VAR:CALENDAR=US&amp;VAR:SYMBOL=711038&amp;VAR:INDEX=0"}</definedName>
    <definedName name="_1357__FDSAUDITLINK__" hidden="1">{"fdsup://directions/FAT Viewer?action=UPDATE&amp;creator=factset&amp;DYN_ARGS=TRUE&amp;DOC_NAME=FAT:FQL_AUDITING_CLIENT_TEMPLATE.FAT&amp;display_string=Audit&amp;VAR:KEY=LANIXUPWJS&amp;VAR:QUERY=RkZfU0FMRVMoQ0FMLDM5ODEzLCwsLFVTRCk=&amp;WINDOW=FIRST_POPUP&amp;HEIGHT=450&amp;WIDTH=450&amp;START_MA","XIMIZED=FALSE&amp;VAR:CALENDAR=US&amp;VAR:SYMBOL=711038&amp;VAR:INDEX=0"}</definedName>
    <definedName name="_1358__FDSAUDITLINK__" hidden="1">{"fdsup://directions/FAT Viewer?action=UPDATE&amp;creator=factset&amp;DYN_ARGS=TRUE&amp;DOC_NAME=FAT:FQL_AUDITING_CLIENT_TEMPLATE.FAT&amp;display_string=Audit&amp;VAR:KEY=VKRQTKFUBW&amp;VAR:QUERY=RkZfU0FMRVMoQ0FMLDM5ODEzLCwsLCk=&amp;WINDOW=FIRST_POPUP&amp;HEIGHT=450&amp;WIDTH=450&amp;START_MAXIMI","ZED=FALSE&amp;VAR:CALENDAR=US&amp;VAR:SYMBOL=DNA&amp;VAR:INDEX=0"}</definedName>
    <definedName name="_1359__FDSAUDITLINK__" hidden="1">{"fdsup://directions/FAT Viewer?action=UPDATE&amp;creator=factset&amp;DYN_ARGS=TRUE&amp;DOC_NAME=FAT:FQL_AUDITING_CLIENT_TEMPLATE.FAT&amp;display_string=Audit&amp;VAR:KEY=XEDCREVYZS&amp;VAR:QUERY=RkZfU0FMRVMoQ0FMLDM5NDQ3LCwsLCk=&amp;WINDOW=FIRST_POPUP&amp;HEIGHT=450&amp;WIDTH=450&amp;START_MAXIMI","ZED=FALSE&amp;VAR:CALENDAR=US&amp;VAR:SYMBOL=DNA&amp;VAR:INDEX=0"}</definedName>
    <definedName name="_136__FDSAUDITLINK__" hidden="1">{"fdsup://directions/FAT%20Viewer?VAR:TM=NTMA&amp;VAR:PCT=0.816940&amp;VAR:Y0=2008&amp;VAR:Y1=2009&amp;VAR:V0=13.172765&amp;VAR:V1=11.624458&amp;VAR:V=12.859225&amp;VAR:AUDIT_ID=00000117&amp;VAR:DATE=20080307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Aggregates&amp;VAR:MEASURE=PE_MEAN&amp;VAR:CALC_MODE=PORTFOLIO&amp;VAR:CHGPERIOD=NA&amp;VAR:FQLFORMULA=FMA_PE&amp;VAR:CURRENCY=USD&amp;VAR:P=1","293.372200&amp;VAR:THRESH=||||||&amp;VAR:null=.html"}</definedName>
    <definedName name="_1360__FDSAUDITLINK__" hidden="1">{"fdsup://directions/FAT Viewer?action=UPDATE&amp;creator=factset&amp;DYN_ARGS=TRUE&amp;DOC_NAME=FAT:FQL_AUDITING_CLIENT_TEMPLATE.FAT&amp;display_string=Audit&amp;VAR:KEY=TOXMHYNEDQ&amp;VAR:QUERY=RkZfU0FMRVMoQ0FMLDM5MDgyLCwsLCk=&amp;WINDOW=FIRST_POPUP&amp;HEIGHT=450&amp;WIDTH=450&amp;START_MAXIMI","ZED=FALSE&amp;VAR:CALENDAR=US&amp;VAR:SYMBOL=DNA&amp;VAR:INDEX=0"}</definedName>
    <definedName name="_1361__FDSAUDITLINK__" hidden="1">{"fdsup://directions/FAT Viewer?action=UPDATE&amp;creator=factset&amp;DYN_ARGS=TRUE&amp;DOC_NAME=FAT:FQL_AUDITING_CLIENT_TEMPLATE.FAT&amp;display_string=Audit&amp;VAR:KEY=BKHAJUZULG&amp;VAR:QUERY=RkZfU0FMRVMoQ0FMLDM4NzE3LCwsLCk=&amp;WINDOW=FIRST_POPUP&amp;HEIGHT=450&amp;WIDTH=450&amp;START_MAXIMI","ZED=FALSE&amp;VAR:CALENDAR=US&amp;VAR:SYMBOL=DNA&amp;VAR:INDEX=0"}</definedName>
    <definedName name="_1362__FDSAUDITLINK__" hidden="1">{"fdsup://directions/FAT Viewer?action=UPDATE&amp;creator=factset&amp;DYN_ARGS=TRUE&amp;DOC_NAME=FAT:FQL_AUDITING_CLIENT_TEMPLATE.FAT&amp;display_string=Audit&amp;VAR:KEY=JYZKZGDIFI&amp;VAR:QUERY=RkZfU0FMRVMoQ0FMLDM4MzUyLCwsLCk=&amp;WINDOW=FIRST_POPUP&amp;HEIGHT=450&amp;WIDTH=450&amp;START_MAXIMI","ZED=FALSE&amp;VAR:CALENDAR=US&amp;VAR:SYMBOL=DNA&amp;VAR:INDEX=0"}</definedName>
    <definedName name="_1363__FDSAUDITLINK__" hidden="1">{"fdsup://directions/FAT Viewer?action=UPDATE&amp;creator=factset&amp;DYN_ARGS=TRUE&amp;DOC_NAME=FAT:FQL_AUDITING_CLIENT_TEMPLATE.FAT&amp;display_string=Audit&amp;VAR:KEY=RYVUVAXUDS&amp;VAR:QUERY=RkZfU0FMRVMoQ0FMLDQwNTQzLCwsLCk=&amp;WINDOW=FIRST_POPUP&amp;HEIGHT=450&amp;WIDTH=450&amp;START_MAXIMI","ZED=FALSE&amp;VAR:CALENDAR=US&amp;VAR:SYMBOL=MRK&amp;VAR:INDEX=0"}</definedName>
    <definedName name="_1364__FDSAUDITLINK__" hidden="1">{"fdsup://directions/FAT Viewer?action=UPDATE&amp;creator=factset&amp;DYN_ARGS=TRUE&amp;DOC_NAME=FAT:FQL_AUDITING_CLIENT_TEMPLATE.FAT&amp;display_string=Audit&amp;VAR:KEY=NITGVAHEXK&amp;VAR:QUERY=RkZfU0FMRVMoQ0FMLDQwMTc4LCwsLFVTRCk=&amp;WINDOW=FIRST_POPUP&amp;HEIGHT=450&amp;WIDTH=450&amp;START_MA","XIMIZED=FALSE&amp;VAR:CALENDAR=US&amp;VAR:SYMBOL=MRK&amp;VAR:INDEX=0"}</definedName>
    <definedName name="_1365__FDSAUDITLINK__" hidden="1">{"fdsup://directions/FAT Viewer?action=UPDATE&amp;creator=factset&amp;DYN_ARGS=TRUE&amp;DOC_NAME=FAT:FQL_AUDITING_CLIENT_TEMPLATE.FAT&amp;display_string=Audit&amp;VAR:KEY=PYDALOBCHY&amp;VAR:QUERY=RkZfU0FMRVMoQ0FMLDM5ODEzLCwsLFVTRCk=&amp;WINDOW=FIRST_POPUP&amp;HEIGHT=450&amp;WIDTH=450&amp;START_MA","XIMIZED=FALSE&amp;VAR:CALENDAR=US&amp;VAR:SYMBOL=MRK&amp;VAR:INDEX=0"}</definedName>
    <definedName name="_1366__FDSAUDITLINK__" hidden="1">{"fdsup://directions/FAT Viewer?action=UPDATE&amp;creator=factset&amp;DYN_ARGS=TRUE&amp;DOC_NAME=FAT:FQL_AUDITING_CLIENT_TEMPLATE.FAT&amp;display_string=Audit&amp;VAR:KEY=HONSVQVETW&amp;VAR:QUERY=RkZfU0FMRVMoQ0FMLDM5ODEzLCwsLCk=&amp;WINDOW=FIRST_POPUP&amp;HEIGHT=450&amp;WIDTH=450&amp;START_MAXIMI","ZED=FALSE&amp;VAR:CALENDAR=US&amp;VAR:SYMBOL=SGP&amp;VAR:INDEX=0"}</definedName>
    <definedName name="_1367__FDSAUDITLINK__" hidden="1">{"fdsup://directions/FAT Viewer?action=UPDATE&amp;creator=factset&amp;DYN_ARGS=TRUE&amp;DOC_NAME=FAT:FQL_AUDITING_CLIENT_TEMPLATE.FAT&amp;display_string=Audit&amp;VAR:KEY=DIFWLOFKHK&amp;VAR:QUERY=RkZfU0FMRVMoQ0FMLDM5NDQ3LCwsLFVTRCk=&amp;WINDOW=FIRST_POPUP&amp;HEIGHT=450&amp;WIDTH=450&amp;START_MA","XIMIZED=FALSE&amp;VAR:CALENDAR=US&amp;VAR:SYMBOL=MRK&amp;VAR:INDEX=0"}</definedName>
    <definedName name="_1368__FDSAUDITLINK__" hidden="1">{"fdsup://directions/FAT Viewer?action=UPDATE&amp;creator=factset&amp;DYN_ARGS=TRUE&amp;DOC_NAME=FAT:FQL_AUDITING_CLIENT_TEMPLATE.FAT&amp;display_string=Audit&amp;VAR:KEY=DGFOTSZMDS&amp;VAR:QUERY=RkZfU0FMRVMoQ0FMLDM5NDQ3LCwsLCk=&amp;WINDOW=FIRST_POPUP&amp;HEIGHT=450&amp;WIDTH=450&amp;START_MAXIMI","ZED=FALSE&amp;VAR:CALENDAR=US&amp;VAR:SYMBOL=SGP&amp;VAR:INDEX=0"}</definedName>
    <definedName name="_1369__FDSAUDITLINK__" hidden="1">{"fdsup://directions/FAT Viewer?action=UPDATE&amp;creator=factset&amp;DYN_ARGS=TRUE&amp;DOC_NAME=FAT:FQL_AUDITING_CLIENT_TEMPLATE.FAT&amp;display_string=Audit&amp;VAR:KEY=HEPGNYVUHS&amp;VAR:QUERY=RkZfU0FMRVMoQ0FMLDM5MDgyLCwsLFVTRCk=&amp;WINDOW=FIRST_POPUP&amp;HEIGHT=450&amp;WIDTH=450&amp;START_MA","XIMIZED=FALSE&amp;VAR:CALENDAR=US&amp;VAR:SYMBOL=MRK&amp;VAR:INDEX=0"}</definedName>
    <definedName name="_137__FDSAUDITLINK__" hidden="1">{"fdsup://directions/FAT%20Viewer?VAR:TM=NTMA&amp;VAR:PCT=0.836066&amp;VAR:Y0=2008&amp;VAR:Y1=2009&amp;VAR:V0=13.540415&amp;VAR:V1=11.966412&amp;VAR:V=13.254604&amp;VAR:AUDIT_ID=00000117&amp;VAR:DATE=20080229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Aggregates&amp;VAR:MEASURE=PE_MEAN&amp;VAR:CALC_MODE=PORTFOLIO&amp;VAR:CHGPERIOD=NA&amp;VAR:FQLFORMULA=FMA_PE&amp;VAR:CURRENCY=USD&amp;VAR:P=1","330.632900&amp;VAR:THRESH=||||||&amp;VAR:null=.html"}</definedName>
    <definedName name="_1370__FDSAUDITLINK__" hidden="1">{"fdsup://directions/FAT Viewer?action=UPDATE&amp;creator=factset&amp;DYN_ARGS=TRUE&amp;DOC_NAME=FAT:FQL_AUDITING_CLIENT_TEMPLATE.FAT&amp;display_string=Audit&amp;VAR:KEY=RMFKNYHWPS&amp;VAR:QUERY=RkZfU0FMRVMoQ0FMLDM5MDgyLCwsLCk=&amp;WINDOW=FIRST_POPUP&amp;HEIGHT=450&amp;WIDTH=450&amp;START_MAXIMI","ZED=FALSE&amp;VAR:CALENDAR=US&amp;VAR:SYMBOL=SGP&amp;VAR:INDEX=0"}</definedName>
    <definedName name="_1371__FDSAUDITLINK__" hidden="1">{"fdsup://directions/FAT Viewer?action=UPDATE&amp;creator=factset&amp;DYN_ARGS=TRUE&amp;DOC_NAME=FAT:FQL_AUDITING_CLIENT_TEMPLATE.FAT&amp;display_string=Audit&amp;VAR:KEY=LARWVSDIPK&amp;VAR:QUERY=RkZfU0FMRVMoQ0FMLDM4NzE3LCwsLFVTRCk=&amp;WINDOW=FIRST_POPUP&amp;HEIGHT=450&amp;WIDTH=450&amp;START_MA","XIMIZED=FALSE&amp;VAR:CALENDAR=US&amp;VAR:SYMBOL=MRK&amp;VAR:INDEX=0"}</definedName>
    <definedName name="_1372__FDSAUDITLINK__" hidden="1">{"fdsup://directions/FAT Viewer?action=UPDATE&amp;creator=factset&amp;DYN_ARGS=TRUE&amp;DOC_NAME=FAT:FQL_AUDITING_CLIENT_TEMPLATE.FAT&amp;display_string=Audit&amp;VAR:KEY=DKZQFGPGZY&amp;VAR:QUERY=RkZfU0FMRVMoQ0FMLDM4NzE3LCwsLCk=&amp;WINDOW=FIRST_POPUP&amp;HEIGHT=450&amp;WIDTH=450&amp;START_MAXIMI","ZED=FALSE&amp;VAR:CALENDAR=US&amp;VAR:SYMBOL=SGP&amp;VAR:INDEX=0"}</definedName>
    <definedName name="_1373__FDSAUDITLINK__" hidden="1">{"fdsup://directions/FAT Viewer?action=UPDATE&amp;creator=factset&amp;DYN_ARGS=TRUE&amp;DOC_NAME=FAT:FQL_AUDITING_CLIENT_TEMPLATE.FAT&amp;display_string=Audit&amp;VAR:KEY=XINIZQTOTW&amp;VAR:QUERY=RkZfU0FMRVMoQ0FMLDM4MzUyLCwsLFVTRCk=&amp;WINDOW=FIRST_POPUP&amp;HEIGHT=450&amp;WIDTH=450&amp;START_MA","XIMIZED=FALSE&amp;VAR:CALENDAR=US&amp;VAR:SYMBOL=MRK&amp;VAR:INDEX=0"}</definedName>
    <definedName name="_1374__FDSAUDITLINK__" hidden="1">{"fdsup://directions/FAT Viewer?action=UPDATE&amp;creator=factset&amp;DYN_ARGS=TRUE&amp;DOC_NAME=FAT:FQL_AUDITING_CLIENT_TEMPLATE.FAT&amp;display_string=Audit&amp;VAR:KEY=BSFAVMVYRK&amp;VAR:QUERY=RkZfU0FMRVMoQ0FMLDM4MzUyLCwsLCk=&amp;WINDOW=FIRST_POPUP&amp;HEIGHT=450&amp;WIDTH=450&amp;START_MAXIMI","ZED=FALSE&amp;VAR:CALENDAR=US&amp;VAR:SYMBOL=SGP&amp;VAR:INDEX=0"}</definedName>
    <definedName name="_1375__FDSAUDITLINK__" hidden="1">{"fdsup://directions/FAT Viewer?action=UPDATE&amp;creator=factset&amp;DYN_ARGS=TRUE&amp;DOC_NAME=FAT:FQL_AUDITING_CLIENT_TEMPLATE.FAT&amp;display_string=Audit&amp;VAR:KEY=LGHWFEBQFK&amp;VAR:QUERY=RkZfU0FMRVMoQ0FMLDQwNTQzLCwsLCk=&amp;WINDOW=FIRST_POPUP&amp;HEIGHT=450&amp;WIDTH=450&amp;START_MAXIMI","ZED=FALSE&amp;VAR:CALENDAR=US&amp;VAR:SYMBOL=PFE&amp;VAR:INDEX=0"}</definedName>
    <definedName name="_1376__FDSAUDITLINK__" hidden="1">{"fdsup://directions/FAT Viewer?action=UPDATE&amp;creator=factset&amp;DYN_ARGS=TRUE&amp;DOC_NAME=FAT:FQL_AUDITING_CLIENT_TEMPLATE.FAT&amp;display_string=Audit&amp;VAR:KEY=VUBGPEPQXE&amp;VAR:QUERY=RkZfU0FMRVMoQ0FMLDQwMTc4LCwsLFVTRCk=&amp;WINDOW=FIRST_POPUP&amp;HEIGHT=450&amp;WIDTH=450&amp;START_MA","XIMIZED=FALSE&amp;VAR:CALENDAR=US&amp;VAR:SYMBOL=PFE&amp;VAR:INDEX=0"}</definedName>
    <definedName name="_1377__FDSAUDITLINK__" hidden="1">{"fdsup://directions/FAT Viewer?action=UPDATE&amp;creator=factset&amp;DYN_ARGS=TRUE&amp;DOC_NAME=FAT:FQL_AUDITING_CLIENT_TEMPLATE.FAT&amp;display_string=Audit&amp;VAR:KEY=TALIFCXGLY&amp;VAR:QUERY=RkZfU0FMRVMoQ0FMLDM5ODEzLCwsLFVTRCk=&amp;WINDOW=FIRST_POPUP&amp;HEIGHT=450&amp;WIDTH=450&amp;START_MA","XIMIZED=FALSE&amp;VAR:CALENDAR=US&amp;VAR:SYMBOL=PFE&amp;VAR:INDEX=0"}</definedName>
    <definedName name="_1378__FDSAUDITLINK__" hidden="1">{"fdsup://directions/FAT Viewer?action=UPDATE&amp;creator=factset&amp;DYN_ARGS=TRUE&amp;DOC_NAME=FAT:FQL_AUDITING_CLIENT_TEMPLATE.FAT&amp;display_string=Audit&amp;VAR:KEY=VQLSXQNWTQ&amp;VAR:QUERY=RkZfU0FMRVMoQ0FMLDM5ODEzLCwsLCk=&amp;WINDOW=FIRST_POPUP&amp;HEIGHT=450&amp;WIDTH=450&amp;START_MAXIMI","ZED=FALSE&amp;VAR:CALENDAR=US&amp;VAR:SYMBOL=WYE&amp;VAR:INDEX=0"}</definedName>
    <definedName name="_1379__FDSAUDITLINK__" hidden="1">{"fdsup://directions/FAT Viewer?action=UPDATE&amp;creator=factset&amp;DYN_ARGS=TRUE&amp;DOC_NAME=FAT:FQL_AUDITING_CLIENT_TEMPLATE.FAT&amp;display_string=Audit&amp;VAR:KEY=XGZEZUPELA&amp;VAR:QUERY=RkZfU0FMRVMoQ0FMLDM5NDQ3LCwsLFVTRCk=&amp;WINDOW=FIRST_POPUP&amp;HEIGHT=450&amp;WIDTH=450&amp;START_MA","XIMIZED=FALSE&amp;VAR:CALENDAR=US&amp;VAR:SYMBOL=PFE&amp;VAR:INDEX=0"}</definedName>
    <definedName name="_138__FDSAUDITLINK__" hidden="1">{"fdsup://directions/FAT%20Viewer?VAR:TM=NTMA&amp;VAR:PCT=0.855191&amp;VAR:Y0=2008&amp;VAR:Y1=2009&amp;VAR:V0=13.635471&amp;VAR:V1=12.096137&amp;VAR:V=13.388742&amp;VAR:AUDIT_ID=00000117&amp;VAR:DATE=20080222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Aggregates&amp;VAR:MEASURE=PE_MEAN&amp;VAR:CALC_MODE=PORTFOLIO&amp;VAR:CHGPERIOD=NA&amp;VAR:FQLFORMULA=FMA_PE&amp;VAR:CURRENCY=USD&amp;VAR:P=1","353.112200&amp;VAR:THRESH=||||||&amp;VAR:null=.html"}</definedName>
    <definedName name="_1380__FDSAUDITLINK__" hidden="1">{"fdsup://directions/FAT Viewer?action=UPDATE&amp;creator=factset&amp;DYN_ARGS=TRUE&amp;DOC_NAME=FAT:FQL_AUDITING_CLIENT_TEMPLATE.FAT&amp;display_string=Audit&amp;VAR:KEY=LYBCHAXYFU&amp;VAR:QUERY=RkZfU0FMRVMoQ0FMLDM5NDQ3LCwsLCk=&amp;WINDOW=FIRST_POPUP&amp;HEIGHT=450&amp;WIDTH=450&amp;START_MAXIMI","ZED=FALSE&amp;VAR:CALENDAR=US&amp;VAR:SYMBOL=WYE&amp;VAR:INDEX=0"}</definedName>
    <definedName name="_1381__FDSAUDITLINK__" hidden="1">{"fdsup://directions/FAT Viewer?action=UPDATE&amp;creator=factset&amp;DYN_ARGS=TRUE&amp;DOC_NAME=FAT:FQL_AUDITING_CLIENT_TEMPLATE.FAT&amp;display_string=Audit&amp;VAR:KEY=VCRKNMRSXU&amp;VAR:QUERY=RkZfU0FMRVMoQ0FMLDM5MDgyLCwsLFVTRCk=&amp;WINDOW=FIRST_POPUP&amp;HEIGHT=450&amp;WIDTH=450&amp;START_MA","XIMIZED=FALSE&amp;VAR:CALENDAR=US&amp;VAR:SYMBOL=PFE&amp;VAR:INDEX=0"}</definedName>
    <definedName name="_1382__FDSAUDITLINK__" hidden="1">{"fdsup://directions/FAT Viewer?action=UPDATE&amp;creator=factset&amp;DYN_ARGS=TRUE&amp;DOC_NAME=FAT:FQL_AUDITING_CLIENT_TEMPLATE.FAT&amp;display_string=Audit&amp;VAR:KEY=VEPGFILCPM&amp;VAR:QUERY=RkZfU0FMRVMoQ0FMLDM5MDgyLCwsLCk=&amp;WINDOW=FIRST_POPUP&amp;HEIGHT=450&amp;WIDTH=450&amp;START_MAXIMI","ZED=FALSE&amp;VAR:CALENDAR=US&amp;VAR:SYMBOL=WYE&amp;VAR:INDEX=0"}</definedName>
    <definedName name="_1383__FDSAUDITLINK__" hidden="1">{"fdsup://directions/FAT Viewer?action=UPDATE&amp;creator=factset&amp;DYN_ARGS=TRUE&amp;DOC_NAME=FAT:FQL_AUDITING_CLIENT_TEMPLATE.FAT&amp;display_string=Audit&amp;VAR:KEY=XSFMPONEVU&amp;VAR:QUERY=RkZfU0FMRVMoQ0FMLDM4NzE3LCwsLFVTRCk=&amp;WINDOW=FIRST_POPUP&amp;HEIGHT=450&amp;WIDTH=450&amp;START_MA","XIMIZED=FALSE&amp;VAR:CALENDAR=US&amp;VAR:SYMBOL=PFE&amp;VAR:INDEX=0"}</definedName>
    <definedName name="_1384__FDSAUDITLINK__" hidden="1">{"fdsup://directions/FAT Viewer?action=UPDATE&amp;creator=factset&amp;DYN_ARGS=TRUE&amp;DOC_NAME=FAT:FQL_AUDITING_CLIENT_TEMPLATE.FAT&amp;display_string=Audit&amp;VAR:KEY=LIHSTKLYLI&amp;VAR:QUERY=RkZfU0FMRVMoQ0FMLDM4NzE3LCwsLCk=&amp;WINDOW=FIRST_POPUP&amp;HEIGHT=450&amp;WIDTH=450&amp;START_MAXIMI","ZED=FALSE&amp;VAR:CALENDAR=US&amp;VAR:SYMBOL=WYE&amp;VAR:INDEX=0"}</definedName>
    <definedName name="_1385__FDSAUDITLINK__" hidden="1">{"fdsup://directions/FAT Viewer?action=UPDATE&amp;creator=factset&amp;DYN_ARGS=TRUE&amp;DOC_NAME=FAT:FQL_AUDITING_CLIENT_TEMPLATE.FAT&amp;display_string=Audit&amp;VAR:KEY=ZQNSHKVOTE&amp;VAR:QUERY=RkZfU0FMRVMoQ0FMLDM4MzUyLCwsLFVTRCk=&amp;WINDOW=FIRST_POPUP&amp;HEIGHT=450&amp;WIDTH=450&amp;START_MA","XIMIZED=FALSE&amp;VAR:CALENDAR=US&amp;VAR:SYMBOL=PFE&amp;VAR:INDEX=0"}</definedName>
    <definedName name="_1386__FDSAUDITLINK__" hidden="1">{"fdsup://directions/FAT Viewer?action=UPDATE&amp;creator=factset&amp;DYN_ARGS=TRUE&amp;DOC_NAME=FAT:FQL_AUDITING_CLIENT_TEMPLATE.FAT&amp;display_string=Audit&amp;VAR:KEY=ZIFWJMBGTI&amp;VAR:QUERY=RkZfU0FMRVMoQ0FMLDM4MzUyLCwsLCk=&amp;WINDOW=FIRST_POPUP&amp;HEIGHT=450&amp;WIDTH=450&amp;START_MAXIMI","ZED=FALSE&amp;VAR:CALENDAR=US&amp;VAR:SYMBOL=WYE&amp;VAR:INDEX=0"}</definedName>
    <definedName name="_1387__FDSAUDITLINK__" hidden="1">{"fdsup://directions/FAT Viewer?action=UPDATE&amp;creator=factset&amp;DYN_ARGS=TRUE&amp;DOC_NAME=FAT:FQL_AUDITING_CLIENT_TEMPLATE.FAT&amp;display_string=Audit&amp;VAR:KEY=DIVKNITAZM&amp;VAR:QUERY=RkZfUkRfRVhQKENBTCwyMDA4LCwsLFVTRCk=&amp;WINDOW=FIRST_POPUP&amp;HEIGHT=450&amp;WIDTH=450&amp;START_MA","XIMIZED=FALSE&amp;VAR:CALENDAR=US&amp;VAR:SYMBOL=WYE&amp;VAR:INDEX=0"}</definedName>
    <definedName name="_1388__FDSAUDITLINK__" hidden="1">{"fdsup://directions/FAT Viewer?action=UPDATE&amp;creator=factset&amp;DYN_ARGS=TRUE&amp;DOC_NAME=FAT:FQL_AUDITING_CLIENT_TEMPLATE.FAT&amp;display_string=Audit&amp;VAR:KEY=HCLYRIPKVQ&amp;VAR:QUERY=RkZfUkRfRVhQKENBTCwyMDA3LCwsLFVTRCk=&amp;WINDOW=FIRST_POPUP&amp;HEIGHT=450&amp;WIDTH=450&amp;START_MA","XIMIZED=FALSE&amp;VAR:CALENDAR=US&amp;VAR:SYMBOL=WYE&amp;VAR:INDEX=0"}</definedName>
    <definedName name="_1389__FDSAUDITLINK__" hidden="1">{"fdsup://directions/FAT Viewer?action=UPDATE&amp;creator=factset&amp;DYN_ARGS=TRUE&amp;DOC_NAME=FAT:FQL_AUDITING_CLIENT_TEMPLATE.FAT&amp;display_string=Audit&amp;VAR:KEY=XKJURUPUXI&amp;VAR:QUERY=RkZfUkRfRVhQKENBTCwyMDA4LCwsLFVTRCk=&amp;WINDOW=FIRST_POPUP&amp;HEIGHT=450&amp;WIDTH=450&amp;START_MA","XIMIZED=FALSE&amp;VAR:CALENDAR=US&amp;VAR:SYMBOL=BIIB&amp;VAR:INDEX=0"}</definedName>
    <definedName name="_139__FDSAUDITLINK__" hidden="1">{"fdsup://directions/FAT%20Viewer?VAR:TM=NTMA&amp;VAR:PCT=0.874317&amp;VAR:Y0=2008&amp;VAR:Y1=2009&amp;VAR:V0=13.575324&amp;VAR:V1=12.040771&amp;VAR:V=13.361305&amp;VAR:AUDIT_ID=00000117&amp;VAR:DATE=20080215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Aggregates&amp;VAR:MEASURE=PE_MEAN&amp;VAR:CALC_MODE=PORTFOLIO&amp;VAR:CHGPERIOD=NA&amp;VAR:FQLFORMULA=FMA_PE&amp;VAR:CURRENCY=USD&amp;VAR:P=1","349.994800&amp;VAR:THRESH=||||||&amp;VAR:null=.html"}</definedName>
    <definedName name="_1390__FDSAUDITLINK__" hidden="1">{"fdsup://directions/FAT Viewer?action=UPDATE&amp;creator=factset&amp;DYN_ARGS=TRUE&amp;DOC_NAME=FAT:FQL_AUDITING_CLIENT_TEMPLATE.FAT&amp;display_string=Audit&amp;VAR:KEY=DWTCTGDURW&amp;VAR:QUERY=RkZfUkRfRVhQKENBTCwyMDA3LCwsLFVTRCk=&amp;WINDOW=FIRST_POPUP&amp;HEIGHT=450&amp;WIDTH=450&amp;START_MA","XIMIZED=FALSE&amp;VAR:CALENDAR=US&amp;VAR:SYMBOL=BIIB&amp;VAR:INDEX=0"}</definedName>
    <definedName name="_1391__FDSAUDITLINK__" hidden="1">{"fdsup://directions/FAT Viewer?action=UPDATE&amp;creator=factset&amp;DYN_ARGS=TRUE&amp;DOC_NAME=FAT:FQL_AUDITING_CLIENT_TEMPLATE.FAT&amp;display_string=Audit&amp;VAR:KEY=ZKDQPGHSNO&amp;VAR:QUERY=RkZfUkRfRVhQKENBTCwyMDA4LCwsLFVTRCk=&amp;WINDOW=FIRST_POPUP&amp;HEIGHT=450&amp;WIDTH=450&amp;START_MA","XIMIZED=FALSE&amp;VAR:CALENDAR=US&amp;VAR:SYMBOL=707752&amp;VAR:INDEX=0"}</definedName>
    <definedName name="_1392__FDSAUDITLINK__" hidden="1">{"fdsup://directions/FAT Viewer?action=UPDATE&amp;creator=factset&amp;DYN_ARGS=TRUE&amp;DOC_NAME=FAT:FQL_AUDITING_CLIENT_TEMPLATE.FAT&amp;display_string=Audit&amp;VAR:KEY=HKJQHCVUFC&amp;VAR:QUERY=RkZfUkRfRVhQKENBTCwyMDA3LCwsLFVTRCk=&amp;WINDOW=FIRST_POPUP&amp;HEIGHT=450&amp;WIDTH=450&amp;START_MA","XIMIZED=FALSE&amp;VAR:CALENDAR=US&amp;VAR:SYMBOL=707752&amp;VAR:INDEX=0"}</definedName>
    <definedName name="_1393__FDSAUDITLINK__" hidden="1">{"fdsup://directions/FAT Viewer?action=UPDATE&amp;creator=factset&amp;DYN_ARGS=TRUE&amp;DOC_NAME=FAT:FQL_AUDITING_CLIENT_TEMPLATE.FAT&amp;display_string=Audit&amp;VAR:KEY=XSPCXOXWFG&amp;VAR:QUERY=RkZfUkRfRVhQKENBTCwyMDA4LCwsLFVTRCk=&amp;WINDOW=FIRST_POPUP&amp;HEIGHT=450&amp;WIDTH=450&amp;START_MA","XIMIZED=FALSE&amp;VAR:CALENDAR=US&amp;VAR:SYMBOL=630720&amp;VAR:INDEX=0"}</definedName>
    <definedName name="_1394__FDSAUDITLINK__" hidden="1">{"fdsup://directions/FAT Viewer?action=UPDATE&amp;creator=factset&amp;DYN_ARGS=TRUE&amp;DOC_NAME=FAT:FQL_AUDITING_CLIENT_TEMPLATE.FAT&amp;display_string=Audit&amp;VAR:KEY=BEDORSJANQ&amp;VAR:QUERY=RkZfUkRfRVhQKENBTCwyMDA3LCwsLFVTRCk=&amp;WINDOW=FIRST_POPUP&amp;HEIGHT=450&amp;WIDTH=450&amp;START_MA","XIMIZED=FALSE&amp;VAR:CALENDAR=US&amp;VAR:SYMBOL=630720&amp;VAR:INDEX=0"}</definedName>
    <definedName name="_1395__FDSAUDITLINK__" hidden="1">{"fdsup://directions/FAT Viewer?action=UPDATE&amp;creator=factset&amp;DYN_ARGS=TRUE&amp;DOC_NAME=FAT:FQL_AUDITING_CLIENT_TEMPLATE.FAT&amp;display_string=Audit&amp;VAR:KEY=ZEPGFQJADE&amp;VAR:QUERY=RkZfUkRfRVhQKENBTCwyMDA4LCwsLFVTRCk=&amp;WINDOW=FIRST_POPUP&amp;HEIGHT=450&amp;WIDTH=450&amp;START_MA","XIMIZED=FALSE&amp;VAR:CALENDAR=US&amp;VAR:SYMBOL=698538&amp;VAR:INDEX=0"}</definedName>
    <definedName name="_1396__FDSAUDITLINK__" hidden="1">{"fdsup://directions/FAT Viewer?action=UPDATE&amp;creator=factset&amp;DYN_ARGS=TRUE&amp;DOC_NAME=FAT:FQL_AUDITING_CLIENT_TEMPLATE.FAT&amp;display_string=Audit&amp;VAR:KEY=HALOFQXSVO&amp;VAR:QUERY=RkZfUkRfRVhQKENBTCwyMDA3LCwsLFVTRCk=&amp;WINDOW=FIRST_POPUP&amp;HEIGHT=450&amp;WIDTH=450&amp;START_MA","XIMIZED=FALSE&amp;VAR:CALENDAR=US&amp;VAR:SYMBOL=698538&amp;VAR:INDEX=0"}</definedName>
    <definedName name="_1397__FDSAUDITLINK__" hidden="1">{"fdsup://directions/FAT Viewer?action=UPDATE&amp;creator=factset&amp;DYN_ARGS=TRUE&amp;DOC_NAME=FAT:FQL_AUDITING_CLIENT_TEMPLATE.FAT&amp;display_string=Audit&amp;VAR:KEY=BURSXUHEJK&amp;VAR:QUERY=RkZfUkRfRVhQKENBTCwyMDA4LCwsLFVTRCk=&amp;WINDOW=FIRST_POPUP&amp;HEIGHT=450&amp;WIDTH=450&amp;START_MA","XIMIZED=FALSE&amp;VAR:CALENDAR=US&amp;VAR:SYMBOL=B0J7D9&amp;VAR:INDEX=0"}</definedName>
    <definedName name="_1398__FDSAUDITLINK__" hidden="1">{"fdsup://directions/FAT Viewer?action=UPDATE&amp;creator=factset&amp;DYN_ARGS=TRUE&amp;DOC_NAME=FAT:FQL_AUDITING_CLIENT_TEMPLATE.FAT&amp;display_string=Audit&amp;VAR:KEY=LABKHYRYVS&amp;VAR:QUERY=RkZfUkRfRVhQKENBTCwyMDA3LCwsLFVTRCk=&amp;WINDOW=FIRST_POPUP&amp;HEIGHT=450&amp;WIDTH=450&amp;START_MA","XIMIZED=FALSE&amp;VAR:CALENDAR=US&amp;VAR:SYMBOL=B0J7D9&amp;VAR:INDEX=0"}</definedName>
    <definedName name="_1399__FDSAUDITLINK__" hidden="1">{"fdsup://directions/FAT Viewer?action=UPDATE&amp;creator=factset&amp;DYN_ARGS=TRUE&amp;DOC_NAME=FAT:FQL_AUDITING_CLIENT_TEMPLATE.FAT&amp;display_string=Audit&amp;VAR:KEY=XQBYHAHMJE&amp;VAR:QUERY=RkZfUkRfRVhQKENBTCwyMDA4LCwsLFVTRCk=&amp;WINDOW=FIRST_POPUP&amp;HEIGHT=450&amp;WIDTH=450&amp;START_MA","XIMIZED=FALSE&amp;VAR:CALENDAR=US&amp;VAR:SYMBOL=AMGN&amp;VAR:INDEX=0"}</definedName>
    <definedName name="_14__FDSAUDITLINK__" hidden="1">{"fdsup://directions/FAT%20Viewer?VAR:TM=NTMA&amp;VAR:PCT=0.479452&amp;VAR:Y0=2010&amp;VAR:Y1=2011&amp;VAR:V0=13.130149&amp;VAR:V1=11.166496&amp;VAR:V=12.029019&amp;VAR:AUDIT_ID=00000117&amp;VAR:DATE=20100709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Aggregates&amp;VAR:MEASURE=PE_MEAN&amp;VAR:CALC_MODE=PORTFOLIO&amp;VAR:CHGPERIOD=NA&amp;VAR:FQLFORMULA=FMA_PE&amp;VAR:CURRENCY=USD&amp;VAR:P=1","077.957709&amp;VAR:THRESH=||||||&amp;VAR:null=.html"}</definedName>
    <definedName name="_140__FDSAUDITLINK__" hidden="1">{"fdsup://directions/FAT%20Viewer?VAR:TM=NTMA&amp;VAR:PCT=0.893443&amp;VAR:Y0=2008&amp;VAR:Y1=2009&amp;VAR:V0=13.354003&amp;VAR:V1=11.868813&amp;VAR:V=13.178285&amp;VAR:AUDIT_ID=00000117&amp;VAR:DATE=20080208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Aggregates&amp;VAR:MEASURE=PE_MEAN&amp;VAR:CALC_MODE=PORTFOLIO&amp;VAR:CHGPERIOD=NA&amp;VAR:FQLFORMULA=FMA_PE&amp;VAR:CURRENCY=USD&amp;VAR:P=1","331.294000&amp;VAR:THRESH=||||||&amp;VAR:null=.html"}</definedName>
    <definedName name="_1400__FDSAUDITLINK__" hidden="1">{"fdsup://directions/FAT Viewer?action=UPDATE&amp;creator=factset&amp;DYN_ARGS=TRUE&amp;DOC_NAME=FAT:FQL_AUDITING_CLIENT_TEMPLATE.FAT&amp;display_string=Audit&amp;VAR:KEY=RWVUPEFUXW&amp;VAR:QUERY=RkZfUkRfRVhQKENBTCwyMDA3LCwsLFVTRCk=&amp;WINDOW=FIRST_POPUP&amp;HEIGHT=450&amp;WIDTH=450&amp;START_MA","XIMIZED=FALSE&amp;VAR:CALENDAR=US&amp;VAR:SYMBOL=AMGN&amp;VAR:INDEX=0"}</definedName>
    <definedName name="_1401__FDSAUDITLINK__" hidden="1">{"fdsup://directions/FAT Viewer?action=UPDATE&amp;creator=factset&amp;DYN_ARGS=TRUE&amp;DOC_NAME=FAT:FQL_AUDITING_CLIENT_TEMPLATE.FAT&amp;display_string=Audit&amp;VAR:KEY=HUJQRCJEBE&amp;VAR:QUERY=RkZfUkRfRVhQKENBTCwyMDA4LCwsLFVTRCk=&amp;WINDOW=FIRST_POPUP&amp;HEIGHT=450&amp;WIDTH=450&amp;START_MA","XIMIZED=FALSE&amp;VAR:CALENDAR=US&amp;VAR:SYMBOL=ABT&amp;VAR:INDEX=0"}</definedName>
    <definedName name="_1402__FDSAUDITLINK__" hidden="1">{"fdsup://directions/FAT Viewer?action=UPDATE&amp;creator=factset&amp;DYN_ARGS=TRUE&amp;DOC_NAME=FAT:FQL_AUDITING_CLIENT_TEMPLATE.FAT&amp;display_string=Audit&amp;VAR:KEY=BYVWXYRQNK&amp;VAR:QUERY=RkZfUkRfRVhQKENBTCwyMDA3LCwsLFVTRCk=&amp;WINDOW=FIRST_POPUP&amp;HEIGHT=450&amp;WIDTH=450&amp;START_MA","XIMIZED=FALSE&amp;VAR:CALENDAR=US&amp;VAR:SYMBOL=ABT&amp;VAR:INDEX=0"}</definedName>
    <definedName name="_1403__FDSAUDITLINK__" hidden="1">{"fdsup://directions/FAT Viewer?action=UPDATE&amp;creator=factset&amp;DYN_ARGS=TRUE&amp;DOC_NAME=FAT:FQL_AUDITING_CLIENT_TEMPLATE.FAT&amp;display_string=Audit&amp;VAR:KEY=ZUPYRQFSRU&amp;VAR:QUERY=RkZfUkRfRVhQKENBTCwyMDA4LCwsLFVTRCk=&amp;WINDOW=FIRST_POPUP&amp;HEIGHT=450&amp;WIDTH=450&amp;START_MA","XIMIZED=FALSE&amp;VAR:CALENDAR=US&amp;VAR:SYMBOL=687044&amp;VAR:INDEX=0"}</definedName>
    <definedName name="_1404__FDSAUDITLINK__" hidden="1">{"fdsup://directions/FAT Viewer?action=UPDATE&amp;creator=factset&amp;DYN_ARGS=TRUE&amp;DOC_NAME=FAT:FQL_AUDITING_CLIENT_TEMPLATE.FAT&amp;display_string=Audit&amp;VAR:KEY=ZMRALSXARE&amp;VAR:QUERY=RkZfUkRfRVhQKENBTCwyMDA3LCwsLFVTRCk=&amp;WINDOW=FIRST_POPUP&amp;HEIGHT=450&amp;WIDTH=450&amp;START_MA","XIMIZED=FALSE&amp;VAR:CALENDAR=US&amp;VAR:SYMBOL=687044&amp;VAR:INDEX=0"}</definedName>
    <definedName name="_1405__FDSAUDITLINK__" hidden="1">{"fdsup://directions/FAT Viewer?action=UPDATE&amp;creator=factset&amp;DYN_ARGS=TRUE&amp;DOC_NAME=FAT:FQL_AUDITING_CLIENT_TEMPLATE.FAT&amp;display_string=Audit&amp;VAR:KEY=ZMZYLSXEVK&amp;VAR:QUERY=RkZfUkRfRVhQKENBTCwyMDA4LCwsLFVTRCk=&amp;WINDOW=FIRST_POPUP&amp;HEIGHT=450&amp;WIDTH=450&amp;START_MA","XIMIZED=FALSE&amp;VAR:CALENDAR=US&amp;VAR:SYMBOL=BMY&amp;VAR:INDEX=0"}</definedName>
    <definedName name="_1406__FDSAUDITLINK__" hidden="1">{"fdsup://directions/FAT Viewer?action=UPDATE&amp;creator=factset&amp;DYN_ARGS=TRUE&amp;DOC_NAME=FAT:FQL_AUDITING_CLIENT_TEMPLATE.FAT&amp;display_string=Audit&amp;VAR:KEY=RENSXGJCBC&amp;VAR:QUERY=RkZfUkRfRVhQKENBTCwyMDA3LCwsLFVTRCk=&amp;WINDOW=FIRST_POPUP&amp;HEIGHT=450&amp;WIDTH=450&amp;START_MA","XIMIZED=FALSE&amp;VAR:CALENDAR=US&amp;VAR:SYMBOL=BMY&amp;VAR:INDEX=0"}</definedName>
    <definedName name="_1407__FDSAUDITLINK__" hidden="1">{"fdsup://directions/FAT Viewer?action=UPDATE&amp;creator=factset&amp;DYN_ARGS=TRUE&amp;DOC_NAME=FAT:FQL_AUDITING_CLIENT_TEMPLATE.FAT&amp;display_string=Audit&amp;VAR:KEY=BSNATUHMFQ&amp;VAR:QUERY=RkZfUkRfRVhQKENBTCwyMDA4LCwsLFVTRCk=&amp;WINDOW=FIRST_POPUP&amp;HEIGHT=450&amp;WIDTH=450&amp;START_MA","XIMIZED=FALSE&amp;VAR:CALENDAR=US&amp;VAR:SYMBOL=LLY&amp;VAR:INDEX=0"}</definedName>
    <definedName name="_1408__FDSAUDITLINK__" hidden="1">{"fdsup://directions/FAT Viewer?action=UPDATE&amp;creator=factset&amp;DYN_ARGS=TRUE&amp;DOC_NAME=FAT:FQL_AUDITING_CLIENT_TEMPLATE.FAT&amp;display_string=Audit&amp;VAR:KEY=DOHSHEVKPM&amp;VAR:QUERY=RkZfUkRfRVhQKENBTCwyMDA3LCwsLFVTRCk=&amp;WINDOW=FIRST_POPUP&amp;HEIGHT=450&amp;WIDTH=450&amp;START_MA","XIMIZED=FALSE&amp;VAR:CALENDAR=US&amp;VAR:SYMBOL=LLY&amp;VAR:INDEX=0"}</definedName>
    <definedName name="_1409__FDSAUDITLINK__" hidden="1">{"fdsup://directions/FAT Viewer?action=UPDATE&amp;creator=factset&amp;DYN_ARGS=TRUE&amp;DOC_NAME=FAT:FQL_AUDITING_CLIENT_TEMPLATE.FAT&amp;display_string=Audit&amp;VAR:KEY=JKHWTOZSRO&amp;VAR:QUERY=RkZfUkRfRVhQKENBTCwyMDA4LCwsLFVTRCk=&amp;WINDOW=FIRST_POPUP&amp;HEIGHT=450&amp;WIDTH=450&amp;START_MA","XIMIZED=FALSE&amp;VAR:CALENDAR=US&amp;VAR:SYMBOL=506921&amp;VAR:INDEX=0"}</definedName>
    <definedName name="_141__FDSAUDITLINK__" hidden="1">{"fdsup://directions/FAT%20Viewer?VAR:TM=NTMA&amp;VAR:PCT=0.912568&amp;VAR:Y0=2008&amp;VAR:Y1=2009&amp;VAR:V0=13.939578&amp;VAR:V1=12.405948&amp;VAR:V=13.790525&amp;VAR:AUDIT_ID=00000117&amp;VAR:DATE=20080201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Aggregates&amp;VAR:MEASURE=PE_MEAN&amp;VAR:CALC_MODE=PORTFOLIO&amp;VAR:CHGPERIOD=NA&amp;VAR:FQLFORMULA=FMA_PE&amp;VAR:CURRENCY=USD&amp;VAR:P=1","395.415200&amp;VAR:THRESH=||||||&amp;VAR:null=.html"}</definedName>
    <definedName name="_1410__FDSAUDITLINK__" hidden="1">{"fdsup://directions/FAT Viewer?action=UPDATE&amp;creator=factset&amp;DYN_ARGS=TRUE&amp;DOC_NAME=FAT:FQL_AUDITING_CLIENT_TEMPLATE.FAT&amp;display_string=Audit&amp;VAR:KEY=RCZEJWXODC&amp;VAR:QUERY=RkZfUkRfRVhQKENBTCwyMDA3LCwsLFVTRCk=&amp;WINDOW=FIRST_POPUP&amp;HEIGHT=450&amp;WIDTH=450&amp;START_MA","XIMIZED=FALSE&amp;VAR:CALENDAR=US&amp;VAR:SYMBOL=506921&amp;VAR:INDEX=0"}</definedName>
    <definedName name="_1411__FDSAUDITLINK__" hidden="1">{"fdsup://directions/FAT Viewer?action=UPDATE&amp;creator=factset&amp;DYN_ARGS=TRUE&amp;DOC_NAME=FAT:FQL_AUDITING_CLIENT_TEMPLATE.FAT&amp;display_string=Audit&amp;VAR:KEY=NGTOJGBUXY&amp;VAR:QUERY=RkZfUkRfRVhQKENBTCwyMDA4LCwsLFVTRCk=&amp;WINDOW=FIRST_POPUP&amp;HEIGHT=450&amp;WIDTH=450&amp;START_MA","XIMIZED=FALSE&amp;VAR:CALENDAR=US&amp;VAR:SYMBOL=567173&amp;VAR:INDEX=0"}</definedName>
    <definedName name="_1412__FDSAUDITLINK__" hidden="1">{"fdsup://directions/FAT Viewer?action=UPDATE&amp;creator=factset&amp;DYN_ARGS=TRUE&amp;DOC_NAME=FAT:FQL_AUDITING_CLIENT_TEMPLATE.FAT&amp;display_string=Audit&amp;VAR:KEY=RAZEFOLQPC&amp;VAR:QUERY=RkZfUkRfRVhQKENBTCwyMDA3LCwsLFVTRCk=&amp;WINDOW=FIRST_POPUP&amp;HEIGHT=450&amp;WIDTH=450&amp;START_MA","XIMIZED=FALSE&amp;VAR:CALENDAR=US&amp;VAR:SYMBOL=567173&amp;VAR:INDEX=0"}</definedName>
    <definedName name="_1413__FDSAUDITLINK__" hidden="1">{"fdsup://directions/FAT Viewer?action=UPDATE&amp;creator=factset&amp;DYN_ARGS=TRUE&amp;DOC_NAME=FAT:FQL_AUDITING_CLIENT_TEMPLATE.FAT&amp;display_string=Audit&amp;VAR:KEY=XKRABGFMPG&amp;VAR:QUERY=RkZfUkRfRVhQKENBTCwyMDA4LCwsLFVTRCk=&amp;WINDOW=FIRST_POPUP&amp;HEIGHT=450&amp;WIDTH=450&amp;START_MA","XIMIZED=FALSE&amp;VAR:CALENDAR=US&amp;VAR:SYMBOL=JNJ&amp;VAR:INDEX=0"}</definedName>
    <definedName name="_1414__FDSAUDITLINK__" hidden="1">{"fdsup://directions/FAT Viewer?action=UPDATE&amp;creator=factset&amp;DYN_ARGS=TRUE&amp;DOC_NAME=FAT:FQL_AUDITING_CLIENT_TEMPLATE.FAT&amp;display_string=Audit&amp;VAR:KEY=LCJKLSDCRQ&amp;VAR:QUERY=RkZfUkRfRVhQKENBTCwyMDA3LCwsLFVTRCk=&amp;WINDOW=FIRST_POPUP&amp;HEIGHT=450&amp;WIDTH=450&amp;START_MA","XIMIZED=FALSE&amp;VAR:CALENDAR=US&amp;VAR:SYMBOL=JNJ&amp;VAR:INDEX=0"}</definedName>
    <definedName name="_1415__FDSAUDITLINK__" hidden="1">{"fdsup://directions/FAT Viewer?action=UPDATE&amp;creator=factset&amp;DYN_ARGS=TRUE&amp;DOC_NAME=FAT:FQL_AUDITING_CLIENT_TEMPLATE.FAT&amp;display_string=Audit&amp;VAR:KEY=LMTQHUVWVA&amp;VAR:QUERY=RkZfUkRfRVhQKENBTCwyMDA4LCwsLFVTRCk=&amp;WINDOW=FIRST_POPUP&amp;HEIGHT=450&amp;WIDTH=450&amp;START_MA","XIMIZED=FALSE&amp;VAR:CALENDAR=US&amp;VAR:SYMBOL=710306&amp;VAR:INDEX=0"}</definedName>
    <definedName name="_1416__FDSAUDITLINK__" hidden="1">{"fdsup://directions/FAT Viewer?action=UPDATE&amp;creator=factset&amp;DYN_ARGS=TRUE&amp;DOC_NAME=FAT:FQL_AUDITING_CLIENT_TEMPLATE.FAT&amp;display_string=Audit&amp;VAR:KEY=VYTORQNKTW&amp;VAR:QUERY=RkZfUkRfRVhQKENBTCwyMDA3LCwsLFVTRCk=&amp;WINDOW=FIRST_POPUP&amp;HEIGHT=450&amp;WIDTH=450&amp;START_MA","XIMIZED=FALSE&amp;VAR:CALENDAR=US&amp;VAR:SYMBOL=710306&amp;VAR:INDEX=0"}</definedName>
    <definedName name="_1417__FDSAUDITLINK__" hidden="1">{"fdsup://directions/FAT Viewer?action=UPDATE&amp;creator=factset&amp;DYN_ARGS=TRUE&amp;DOC_NAME=FAT:FQL_AUDITING_CLIENT_TEMPLATE.FAT&amp;display_string=Audit&amp;VAR:KEY=RAFAPGJURW&amp;VAR:QUERY=RkZfUkRfRVhQKENBTCwyMDA4LCwsLFVTRCk=&amp;WINDOW=FIRST_POPUP&amp;HEIGHT=450&amp;WIDTH=450&amp;START_MA","XIMIZED=FALSE&amp;VAR:CALENDAR=US&amp;VAR:SYMBOL=711038&amp;VAR:INDEX=0"}</definedName>
    <definedName name="_1418__FDSAUDITLINK__" hidden="1">{"fdsup://directions/FAT Viewer?action=UPDATE&amp;creator=factset&amp;DYN_ARGS=TRUE&amp;DOC_NAME=FAT:FQL_AUDITING_CLIENT_TEMPLATE.FAT&amp;display_string=Audit&amp;VAR:KEY=LKDSHOXEJE&amp;VAR:QUERY=RkZfUkRfRVhQKENBTCwyMDA4LCwsLFVTRCk=&amp;WINDOW=FIRST_POPUP&amp;HEIGHT=450&amp;WIDTH=450&amp;START_MA","XIMIZED=FALSE&amp;VAR:CALENDAR=US&amp;VAR:SYMBOL=MRK&amp;VAR:INDEX=0"}</definedName>
    <definedName name="_1419__FDSAUDITLINK__" hidden="1">{"fdsup://directions/FAT Viewer?action=UPDATE&amp;creator=factset&amp;DYN_ARGS=TRUE&amp;DOC_NAME=FAT:FQL_AUDITING_CLIENT_TEMPLATE.FAT&amp;display_string=Audit&amp;VAR:KEY=TILQDMTSFA&amp;VAR:QUERY=RkZfUkRfRVhQKENBTCwyMDA3LCwsLFVTRCk=&amp;WINDOW=FIRST_POPUP&amp;HEIGHT=450&amp;WIDTH=450&amp;START_MA","XIMIZED=FALSE&amp;VAR:CALENDAR=US&amp;VAR:SYMBOL=MRK&amp;VAR:INDEX=0"}</definedName>
    <definedName name="_142__FDSAUDITLINK__" hidden="1">{"fdsup://directions/FAT%20Viewer?VAR:TM=NTMA&amp;VAR:PCT=0.931694&amp;VAR:Y0=2008&amp;VAR:Y1=2009&amp;VAR:V0=13.223797&amp;VAR:V1=11.769711&amp;VAR:V=13.113137&amp;VAR:AUDIT_ID=00000117&amp;VAR:DATE=20080125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Aggregates&amp;VAR:MEASURE=PE_MEAN&amp;VAR:CALC_MODE=PORTFOLIO&amp;VAR:CHGPERIOD=NA&amp;VAR:FQLFORMULA=FMA_PE&amp;VAR:CURRENCY=USD&amp;VAR:P=1","330.605200&amp;VAR:THRESH=||||||&amp;VAR:null=.html"}</definedName>
    <definedName name="_1420__FDSAUDITLINK__" hidden="1">{"fdsup://directions/FAT Viewer?action=UPDATE&amp;creator=factset&amp;DYN_ARGS=TRUE&amp;DOC_NAME=FAT:FQL_AUDITING_CLIENT_TEMPLATE.FAT&amp;display_string=Audit&amp;VAR:KEY=JCJYXWPCFK&amp;VAR:QUERY=RkZfUkRfRVhQKENBTCwyMDA4LCwsLFVTRCk=&amp;WINDOW=FIRST_POPUP&amp;HEIGHT=450&amp;WIDTH=450&amp;START_MA","XIMIZED=FALSE&amp;VAR:CALENDAR=US&amp;VAR:SYMBOL=PFE&amp;VAR:INDEX=0"}</definedName>
    <definedName name="_1421__FDSAUDITLINK__" hidden="1">{"fdsup://directions/FAT Viewer?action=UPDATE&amp;creator=factset&amp;DYN_ARGS=TRUE&amp;DOC_NAME=FAT:FQL_AUDITING_CLIENT_TEMPLATE.FAT&amp;display_string=Audit&amp;VAR:KEY=VABOBMLSTS&amp;VAR:QUERY=RkZfUkRfRVhQKENBTCwyMDA3LCwsLFVTRCk=&amp;WINDOW=FIRST_POPUP&amp;HEIGHT=450&amp;WIDTH=450&amp;START_MA","XIMIZED=FALSE&amp;VAR:CALENDAR=US&amp;VAR:SYMBOL=PFE&amp;VAR:INDEX=0"}</definedName>
    <definedName name="_1422__FDSAUDITLINK__" hidden="1">{"fdsup://directions/FAT Viewer?action=UPDATE&amp;creator=factset&amp;DYN_ARGS=TRUE&amp;DOC_NAME=FAT:FQL_AUDITING_CLIENT_TEMPLATE.FAT&amp;display_string=Audit&amp;VAR:KEY=DIVKNITAZM&amp;VAR:QUERY=RkZfUkRfRVhQKENBTCwyMDA4LCwsLFVTRCk=&amp;WINDOW=FIRST_POPUP&amp;HEIGHT=450&amp;WIDTH=450&amp;START_MA","XIMIZED=FALSE&amp;VAR:CALENDAR=US&amp;VAR:SYMBOL=WYE&amp;VAR:INDEX=0"}</definedName>
    <definedName name="_1423__FDSAUDITLINK__" hidden="1">{"fdsup://directions/FAT Viewer?action=UPDATE&amp;creator=factset&amp;DYN_ARGS=TRUE&amp;DOC_NAME=FAT:FQL_AUDITING_CLIENT_TEMPLATE.FAT&amp;display_string=Audit&amp;VAR:KEY=HCLYRIPKVQ&amp;VAR:QUERY=RkZfUkRfRVhQKENBTCwyMDA3LCwsLFVTRCk=&amp;WINDOW=FIRST_POPUP&amp;HEIGHT=450&amp;WIDTH=450&amp;START_MA","XIMIZED=FALSE&amp;VAR:CALENDAR=US&amp;VAR:SYMBOL=WYE&amp;VAR:INDEX=0"}</definedName>
    <definedName name="_1424__FDSAUDITLINK__" hidden="1">{"fdsup://directions/FAT Viewer?action=UPDATE&amp;creator=factset&amp;DYN_ARGS=TRUE&amp;DOC_NAME=FAT:FQL_AUDITING_CLIENT_TEMPLATE.FAT&amp;display_string=Audit&amp;VAR:KEY=XKJURUPUXI&amp;VAR:QUERY=RkZfUkRfRVhQKENBTCwyMDA4LCwsLFVTRCk=&amp;WINDOW=FIRST_POPUP&amp;HEIGHT=450&amp;WIDTH=450&amp;START_MA","XIMIZED=FALSE&amp;VAR:CALENDAR=US&amp;VAR:SYMBOL=BIIB&amp;VAR:INDEX=0"}</definedName>
    <definedName name="_1425__FDSAUDITLINK__" hidden="1">{"fdsup://directions/FAT Viewer?action=UPDATE&amp;creator=factset&amp;DYN_ARGS=TRUE&amp;DOC_NAME=FAT:FQL_AUDITING_CLIENT_TEMPLATE.FAT&amp;display_string=Audit&amp;VAR:KEY=DWTCTGDURW&amp;VAR:QUERY=RkZfUkRfRVhQKENBTCwyMDA3LCwsLFVTRCk=&amp;WINDOW=FIRST_POPUP&amp;HEIGHT=450&amp;WIDTH=450&amp;START_MA","XIMIZED=FALSE&amp;VAR:CALENDAR=US&amp;VAR:SYMBOL=BIIB&amp;VAR:INDEX=0"}</definedName>
    <definedName name="_1426__FDSAUDITLINK__" hidden="1">{"fdsup://directions/FAT Viewer?action=UPDATE&amp;creator=factset&amp;DYN_ARGS=TRUE&amp;DOC_NAME=FAT:FQL_AUDITING_CLIENT_TEMPLATE.FAT&amp;display_string=Audit&amp;VAR:KEY=ZKDQPGHSNO&amp;VAR:QUERY=RkZfUkRfRVhQKENBTCwyMDA4LCwsLFVTRCk=&amp;WINDOW=FIRST_POPUP&amp;HEIGHT=450&amp;WIDTH=450&amp;START_MA","XIMIZED=FALSE&amp;VAR:CALENDAR=US&amp;VAR:SYMBOL=707752&amp;VAR:INDEX=0"}</definedName>
    <definedName name="_1427__FDSAUDITLINK__" hidden="1">{"fdsup://directions/FAT Viewer?action=UPDATE&amp;creator=factset&amp;DYN_ARGS=TRUE&amp;DOC_NAME=FAT:FQL_AUDITING_CLIENT_TEMPLATE.FAT&amp;display_string=Audit&amp;VAR:KEY=HKJQHCVUFC&amp;VAR:QUERY=RkZfUkRfRVhQKENBTCwyMDA3LCwsLFVTRCk=&amp;WINDOW=FIRST_POPUP&amp;HEIGHT=450&amp;WIDTH=450&amp;START_MA","XIMIZED=FALSE&amp;VAR:CALENDAR=US&amp;VAR:SYMBOL=707752&amp;VAR:INDEX=0"}</definedName>
    <definedName name="_1428__FDSAUDITLINK__" hidden="1">{"fdsup://directions/FAT Viewer?action=UPDATE&amp;creator=factset&amp;DYN_ARGS=TRUE&amp;DOC_NAME=FAT:FQL_AUDITING_CLIENT_TEMPLATE.FAT&amp;display_string=Audit&amp;VAR:KEY=XSPCXOXWFG&amp;VAR:QUERY=RkZfUkRfRVhQKENBTCwyMDA4LCwsLFVTRCk=&amp;WINDOW=FIRST_POPUP&amp;HEIGHT=450&amp;WIDTH=450&amp;START_MA","XIMIZED=FALSE&amp;VAR:CALENDAR=US&amp;VAR:SYMBOL=630720&amp;VAR:INDEX=0"}</definedName>
    <definedName name="_1429__FDSAUDITLINK__" hidden="1">{"fdsup://directions/FAT Viewer?action=UPDATE&amp;creator=factset&amp;DYN_ARGS=TRUE&amp;DOC_NAME=FAT:FQL_AUDITING_CLIENT_TEMPLATE.FAT&amp;display_string=Audit&amp;VAR:KEY=BEDORSJANQ&amp;VAR:QUERY=RkZfUkRfRVhQKENBTCwyMDA3LCwsLFVTRCk=&amp;WINDOW=FIRST_POPUP&amp;HEIGHT=450&amp;WIDTH=450&amp;START_MA","XIMIZED=FALSE&amp;VAR:CALENDAR=US&amp;VAR:SYMBOL=630720&amp;VAR:INDEX=0"}</definedName>
    <definedName name="_143__FDSAUDITLINK__" hidden="1">{"fdsup://directions/FAT%20Viewer?VAR:TM=NTMA&amp;VAR:PCT=0.950820&amp;VAR:Y0=2008&amp;VAR:Y1=2009&amp;VAR:V0=13.101782&amp;VAR:V1=11.657414&amp;VAR:V=13.022430&amp;VAR:AUDIT_ID=00000117&amp;VAR:DATE=20080118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Aggregates&amp;VAR:MEASURE=PE_MEAN&amp;VAR:CALC_MODE=PORTFOLIO&amp;VAR:CHGPERIOD=NA&amp;VAR:FQLFORMULA=FMA_PE&amp;VAR:CURRENCY=USD&amp;VAR:P=1","325.189300&amp;VAR:THRESH=||||||&amp;VAR:null=.html"}</definedName>
    <definedName name="_1430__FDSAUDITLINK__" hidden="1">{"fdsup://directions/FAT Viewer?action=UPDATE&amp;creator=factset&amp;DYN_ARGS=TRUE&amp;DOC_NAME=FAT:FQL_AUDITING_CLIENT_TEMPLATE.FAT&amp;display_string=Audit&amp;VAR:KEY=ZEPGFQJADE&amp;VAR:QUERY=RkZfUkRfRVhQKENBTCwyMDA4LCwsLFVTRCk=&amp;WINDOW=FIRST_POPUP&amp;HEIGHT=450&amp;WIDTH=450&amp;START_MA","XIMIZED=FALSE&amp;VAR:CALENDAR=US&amp;VAR:SYMBOL=698538&amp;VAR:INDEX=0"}</definedName>
    <definedName name="_1431__FDSAUDITLINK__" hidden="1">{"fdsup://directions/FAT Viewer?action=UPDATE&amp;creator=factset&amp;DYN_ARGS=TRUE&amp;DOC_NAME=FAT:FQL_AUDITING_CLIENT_TEMPLATE.FAT&amp;display_string=Audit&amp;VAR:KEY=HALOFQXSVO&amp;VAR:QUERY=RkZfUkRfRVhQKENBTCwyMDA3LCwsLFVTRCk=&amp;WINDOW=FIRST_POPUP&amp;HEIGHT=450&amp;WIDTH=450&amp;START_MA","XIMIZED=FALSE&amp;VAR:CALENDAR=US&amp;VAR:SYMBOL=698538&amp;VAR:INDEX=0"}</definedName>
    <definedName name="_1432__FDSAUDITLINK__" hidden="1">{"fdsup://directions/FAT Viewer?action=UPDATE&amp;creator=factset&amp;DYN_ARGS=TRUE&amp;DOC_NAME=FAT:FQL_AUDITING_CLIENT_TEMPLATE.FAT&amp;display_string=Audit&amp;VAR:KEY=BURSXUHEJK&amp;VAR:QUERY=RkZfUkRfRVhQKENBTCwyMDA4LCwsLFVTRCk=&amp;WINDOW=FIRST_POPUP&amp;HEIGHT=450&amp;WIDTH=450&amp;START_MA","XIMIZED=FALSE&amp;VAR:CALENDAR=US&amp;VAR:SYMBOL=B0J7D9&amp;VAR:INDEX=0"}</definedName>
    <definedName name="_1433__FDSAUDITLINK__" hidden="1">{"fdsup://directions/FAT Viewer?action=UPDATE&amp;creator=factset&amp;DYN_ARGS=TRUE&amp;DOC_NAME=FAT:FQL_AUDITING_CLIENT_TEMPLATE.FAT&amp;display_string=Audit&amp;VAR:KEY=LABKHYRYVS&amp;VAR:QUERY=RkZfUkRfRVhQKENBTCwyMDA3LCwsLFVTRCk=&amp;WINDOW=FIRST_POPUP&amp;HEIGHT=450&amp;WIDTH=450&amp;START_MA","XIMIZED=FALSE&amp;VAR:CALENDAR=US&amp;VAR:SYMBOL=B0J7D9&amp;VAR:INDEX=0"}</definedName>
    <definedName name="_1434__FDSAUDITLINK__" hidden="1">{"fdsup://directions/FAT Viewer?action=UPDATE&amp;creator=factset&amp;DYN_ARGS=TRUE&amp;DOC_NAME=FAT:FQL_AUDITING_CLIENT_TEMPLATE.FAT&amp;display_string=Audit&amp;VAR:KEY=XQBYHAHMJE&amp;VAR:QUERY=RkZfUkRfRVhQKENBTCwyMDA4LCwsLFVTRCk=&amp;WINDOW=FIRST_POPUP&amp;HEIGHT=450&amp;WIDTH=450&amp;START_MA","XIMIZED=FALSE&amp;VAR:CALENDAR=US&amp;VAR:SYMBOL=AMGN&amp;VAR:INDEX=0"}</definedName>
    <definedName name="_1435__FDSAUDITLINK__" hidden="1">{"fdsup://directions/FAT Viewer?action=UPDATE&amp;creator=factset&amp;DYN_ARGS=TRUE&amp;DOC_NAME=FAT:FQL_AUDITING_CLIENT_TEMPLATE.FAT&amp;display_string=Audit&amp;VAR:KEY=RWVUPEFUXW&amp;VAR:QUERY=RkZfUkRfRVhQKENBTCwyMDA3LCwsLFVTRCk=&amp;WINDOW=FIRST_POPUP&amp;HEIGHT=450&amp;WIDTH=450&amp;START_MA","XIMIZED=FALSE&amp;VAR:CALENDAR=US&amp;VAR:SYMBOL=AMGN&amp;VAR:INDEX=0"}</definedName>
    <definedName name="_1436__FDSAUDITLINK__" hidden="1">{"fdsup://directions/FAT Viewer?action=UPDATE&amp;creator=factset&amp;DYN_ARGS=TRUE&amp;DOC_NAME=FAT:FQL_AUDITING_CLIENT_TEMPLATE.FAT&amp;display_string=Audit&amp;VAR:KEY=HUJQRCJEBE&amp;VAR:QUERY=RkZfUkRfRVhQKENBTCwyMDA4LCwsLFVTRCk=&amp;WINDOW=FIRST_POPUP&amp;HEIGHT=450&amp;WIDTH=450&amp;START_MA","XIMIZED=FALSE&amp;VAR:CALENDAR=US&amp;VAR:SYMBOL=ABT&amp;VAR:INDEX=0"}</definedName>
    <definedName name="_1437__FDSAUDITLINK__" hidden="1">{"fdsup://directions/FAT Viewer?action=UPDATE&amp;creator=factset&amp;DYN_ARGS=TRUE&amp;DOC_NAME=FAT:FQL_AUDITING_CLIENT_TEMPLATE.FAT&amp;display_string=Audit&amp;VAR:KEY=BYVWXYRQNK&amp;VAR:QUERY=RkZfUkRfRVhQKENBTCwyMDA3LCwsLFVTRCk=&amp;WINDOW=FIRST_POPUP&amp;HEIGHT=450&amp;WIDTH=450&amp;START_MA","XIMIZED=FALSE&amp;VAR:CALENDAR=US&amp;VAR:SYMBOL=ABT&amp;VAR:INDEX=0"}</definedName>
    <definedName name="_1438__FDSAUDITLINK__" hidden="1">{"fdsup://directions/FAT Viewer?action=UPDATE&amp;creator=factset&amp;DYN_ARGS=TRUE&amp;DOC_NAME=FAT:FQL_AUDITING_CLIENT_TEMPLATE.FAT&amp;display_string=Audit&amp;VAR:KEY=ZUPYRQFSRU&amp;VAR:QUERY=RkZfUkRfRVhQKENBTCwyMDA4LCwsLFVTRCk=&amp;WINDOW=FIRST_POPUP&amp;HEIGHT=450&amp;WIDTH=450&amp;START_MA","XIMIZED=FALSE&amp;VAR:CALENDAR=US&amp;VAR:SYMBOL=687044&amp;VAR:INDEX=0"}</definedName>
    <definedName name="_1439__FDSAUDITLINK__" hidden="1">{"fdsup://directions/FAT Viewer?action=UPDATE&amp;creator=factset&amp;DYN_ARGS=TRUE&amp;DOC_NAME=FAT:FQL_AUDITING_CLIENT_TEMPLATE.FAT&amp;display_string=Audit&amp;VAR:KEY=ZMRALSXARE&amp;VAR:QUERY=RkZfUkRfRVhQKENBTCwyMDA3LCwsLFVTRCk=&amp;WINDOW=FIRST_POPUP&amp;HEIGHT=450&amp;WIDTH=450&amp;START_MA","XIMIZED=FALSE&amp;VAR:CALENDAR=US&amp;VAR:SYMBOL=687044&amp;VAR:INDEX=0"}</definedName>
    <definedName name="_144__FDSAUDITLINK__" hidden="1">{"fdsup://directions/FAT%20Viewer?VAR:TM=NTMA&amp;VAR:PCT=0.969945&amp;VAR:Y0=2008&amp;VAR:Y1=2009&amp;VAR:V0=13.707218&amp;VAR:V1=12.247907&amp;VAR:V=13.658308&amp;VAR:AUDIT_ID=00000117&amp;VAR:DATE=20080111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Aggregates&amp;VAR:MEASURE=PE_MEAN&amp;VAR:CALC_MODE=PORTFOLIO&amp;VAR:CHGPERIOD=NA&amp;VAR:FQLFORMULA=FMA_PE&amp;VAR:CURRENCY=USD&amp;VAR:P=1","401.016200&amp;VAR:THRESH=||||||&amp;VAR:null=.html"}</definedName>
    <definedName name="_1440__FDSAUDITLINK__" hidden="1">{"fdsup://directions/FAT Viewer?action=UPDATE&amp;creator=factset&amp;DYN_ARGS=TRUE&amp;DOC_NAME=FAT:FQL_AUDITING_CLIENT_TEMPLATE.FAT&amp;display_string=Audit&amp;VAR:KEY=ZMZYLSXEVK&amp;VAR:QUERY=RkZfUkRfRVhQKENBTCwyMDA4LCwsLFVTRCk=&amp;WINDOW=FIRST_POPUP&amp;HEIGHT=450&amp;WIDTH=450&amp;START_MA","XIMIZED=FALSE&amp;VAR:CALENDAR=US&amp;VAR:SYMBOL=BMY&amp;VAR:INDEX=0"}</definedName>
    <definedName name="_1441__FDSAUDITLINK__" hidden="1">{"fdsup://directions/FAT Viewer?action=UPDATE&amp;creator=factset&amp;DYN_ARGS=TRUE&amp;DOC_NAME=FAT:FQL_AUDITING_CLIENT_TEMPLATE.FAT&amp;display_string=Audit&amp;VAR:KEY=RENSXGJCBC&amp;VAR:QUERY=RkZfUkRfRVhQKENBTCwyMDA3LCwsLFVTRCk=&amp;WINDOW=FIRST_POPUP&amp;HEIGHT=450&amp;WIDTH=450&amp;START_MA","XIMIZED=FALSE&amp;VAR:CALENDAR=US&amp;VAR:SYMBOL=BMY&amp;VAR:INDEX=0"}</definedName>
    <definedName name="_1442__FDSAUDITLINK__" hidden="1">{"fdsup://directions/FAT Viewer?action=UPDATE&amp;creator=factset&amp;DYN_ARGS=TRUE&amp;DOC_NAME=FAT:FQL_AUDITING_CLIENT_TEMPLATE.FAT&amp;display_string=Audit&amp;VAR:KEY=BSNATUHMFQ&amp;VAR:QUERY=RkZfUkRfRVhQKENBTCwyMDA4LCwsLFVTRCk=&amp;WINDOW=FIRST_POPUP&amp;HEIGHT=450&amp;WIDTH=450&amp;START_MA","XIMIZED=FALSE&amp;VAR:CALENDAR=US&amp;VAR:SYMBOL=LLY&amp;VAR:INDEX=0"}</definedName>
    <definedName name="_1443__FDSAUDITLINK__" hidden="1">{"fdsup://directions/FAT Viewer?action=UPDATE&amp;creator=factset&amp;DYN_ARGS=TRUE&amp;DOC_NAME=FAT:FQL_AUDITING_CLIENT_TEMPLATE.FAT&amp;display_string=Audit&amp;VAR:KEY=DOHSHEVKPM&amp;VAR:QUERY=RkZfUkRfRVhQKENBTCwyMDA3LCwsLFVTRCk=&amp;WINDOW=FIRST_POPUP&amp;HEIGHT=450&amp;WIDTH=450&amp;START_MA","XIMIZED=FALSE&amp;VAR:CALENDAR=US&amp;VAR:SYMBOL=LLY&amp;VAR:INDEX=0"}</definedName>
    <definedName name="_1444__FDSAUDITLINK__" hidden="1">{"fdsup://directions/FAT Viewer?action=UPDATE&amp;creator=factset&amp;DYN_ARGS=TRUE&amp;DOC_NAME=FAT:FQL_AUDITING_CLIENT_TEMPLATE.FAT&amp;display_string=Audit&amp;VAR:KEY=JKHWTOZSRO&amp;VAR:QUERY=RkZfUkRfRVhQKENBTCwyMDA4LCwsLFVTRCk=&amp;WINDOW=FIRST_POPUP&amp;HEIGHT=450&amp;WIDTH=450&amp;START_MA","XIMIZED=FALSE&amp;VAR:CALENDAR=US&amp;VAR:SYMBOL=506921&amp;VAR:INDEX=0"}</definedName>
    <definedName name="_1445__FDSAUDITLINK__" hidden="1">{"fdsup://directions/FAT Viewer?action=UPDATE&amp;creator=factset&amp;DYN_ARGS=TRUE&amp;DOC_NAME=FAT:FQL_AUDITING_CLIENT_TEMPLATE.FAT&amp;display_string=Audit&amp;VAR:KEY=RCZEJWXODC&amp;VAR:QUERY=RkZfUkRfRVhQKENBTCwyMDA3LCwsLFVTRCk=&amp;WINDOW=FIRST_POPUP&amp;HEIGHT=450&amp;WIDTH=450&amp;START_MA","XIMIZED=FALSE&amp;VAR:CALENDAR=US&amp;VAR:SYMBOL=506921&amp;VAR:INDEX=0"}</definedName>
    <definedName name="_1446__FDSAUDITLINK__" hidden="1">{"fdsup://directions/FAT Viewer?action=UPDATE&amp;creator=factset&amp;DYN_ARGS=TRUE&amp;DOC_NAME=FAT:FQL_AUDITING_CLIENT_TEMPLATE.FAT&amp;display_string=Audit&amp;VAR:KEY=NGTOJGBUXY&amp;VAR:QUERY=RkZfUkRfRVhQKENBTCwyMDA4LCwsLFVTRCk=&amp;WINDOW=FIRST_POPUP&amp;HEIGHT=450&amp;WIDTH=450&amp;START_MA","XIMIZED=FALSE&amp;VAR:CALENDAR=US&amp;VAR:SYMBOL=567173&amp;VAR:INDEX=0"}</definedName>
    <definedName name="_1447__FDSAUDITLINK__" hidden="1">{"fdsup://directions/FAT Viewer?action=UPDATE&amp;creator=factset&amp;DYN_ARGS=TRUE&amp;DOC_NAME=FAT:FQL_AUDITING_CLIENT_TEMPLATE.FAT&amp;display_string=Audit&amp;VAR:KEY=RAZEFOLQPC&amp;VAR:QUERY=RkZfUkRfRVhQKENBTCwyMDA3LCwsLFVTRCk=&amp;WINDOW=FIRST_POPUP&amp;HEIGHT=450&amp;WIDTH=450&amp;START_MA","XIMIZED=FALSE&amp;VAR:CALENDAR=US&amp;VAR:SYMBOL=567173&amp;VAR:INDEX=0"}</definedName>
    <definedName name="_1448__FDSAUDITLINK__" hidden="1">{"fdsup://directions/FAT Viewer?action=UPDATE&amp;creator=factset&amp;DYN_ARGS=TRUE&amp;DOC_NAME=FAT:FQL_AUDITING_CLIENT_TEMPLATE.FAT&amp;display_string=Audit&amp;VAR:KEY=XKRABGFMPG&amp;VAR:QUERY=RkZfUkRfRVhQKENBTCwyMDA4LCwsLFVTRCk=&amp;WINDOW=FIRST_POPUP&amp;HEIGHT=450&amp;WIDTH=450&amp;START_MA","XIMIZED=FALSE&amp;VAR:CALENDAR=US&amp;VAR:SYMBOL=JNJ&amp;VAR:INDEX=0"}</definedName>
    <definedName name="_1449__FDSAUDITLINK__" hidden="1">{"fdsup://directions/FAT Viewer?action=UPDATE&amp;creator=factset&amp;DYN_ARGS=TRUE&amp;DOC_NAME=FAT:FQL_AUDITING_CLIENT_TEMPLATE.FAT&amp;display_string=Audit&amp;VAR:KEY=LCJKLSDCRQ&amp;VAR:QUERY=RkZfUkRfRVhQKENBTCwyMDA3LCwsLFVTRCk=&amp;WINDOW=FIRST_POPUP&amp;HEIGHT=450&amp;WIDTH=450&amp;START_MA","XIMIZED=FALSE&amp;VAR:CALENDAR=US&amp;VAR:SYMBOL=JNJ&amp;VAR:INDEX=0"}</definedName>
    <definedName name="_145__FDSAUDITLINK__" hidden="1">{"fdsup://directions/FAT%20Viewer?VAR:TM=NTMA&amp;VAR:PCT=0.989071&amp;VAR:Y0=2008&amp;VAR:Y1=2009&amp;VAR:V0=13.805444&amp;VAR:V1=12.299928&amp;VAR:V=13.787001&amp;VAR:AUDIT_ID=00000117&amp;VAR:DATE=20080104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Aggregates&amp;VAR:MEASURE=PE_MEAN&amp;VAR:CALC_MODE=PORTFOLIO&amp;VAR:CHGPERIOD=NA&amp;VAR:FQLFORMULA=FMA_PE&amp;VAR:CURRENCY=USD&amp;VAR:P=1","411.629800&amp;VAR:THRESH=||||||&amp;VAR:null=.html"}</definedName>
    <definedName name="_1450__FDSAUDITLINK__" hidden="1">{"fdsup://directions/FAT Viewer?action=UPDATE&amp;creator=factset&amp;DYN_ARGS=TRUE&amp;DOC_NAME=FAT:FQL_AUDITING_CLIENT_TEMPLATE.FAT&amp;display_string=Audit&amp;VAR:KEY=LMTQHUVWVA&amp;VAR:QUERY=RkZfUkRfRVhQKENBTCwyMDA4LCwsLFVTRCk=&amp;WINDOW=FIRST_POPUP&amp;HEIGHT=450&amp;WIDTH=450&amp;START_MA","XIMIZED=FALSE&amp;VAR:CALENDAR=US&amp;VAR:SYMBOL=710306&amp;VAR:INDEX=0"}</definedName>
    <definedName name="_1451__FDSAUDITLINK__" hidden="1">{"fdsup://directions/FAT Viewer?action=UPDATE&amp;creator=factset&amp;DYN_ARGS=TRUE&amp;DOC_NAME=FAT:FQL_AUDITING_CLIENT_TEMPLATE.FAT&amp;display_string=Audit&amp;VAR:KEY=VYTORQNKTW&amp;VAR:QUERY=RkZfUkRfRVhQKENBTCwyMDA3LCwsLFVTRCk=&amp;WINDOW=FIRST_POPUP&amp;HEIGHT=450&amp;WIDTH=450&amp;START_MA","XIMIZED=FALSE&amp;VAR:CALENDAR=US&amp;VAR:SYMBOL=710306&amp;VAR:INDEX=0"}</definedName>
    <definedName name="_1452__FDSAUDITLINK__" hidden="1">{"fdsup://directions/FAT Viewer?action=UPDATE&amp;creator=factset&amp;DYN_ARGS=TRUE&amp;DOC_NAME=FAT:FQL_AUDITING_CLIENT_TEMPLATE.FAT&amp;display_string=Audit&amp;VAR:KEY=RAFAPGJURW&amp;VAR:QUERY=RkZfUkRfRVhQKENBTCwyMDA4LCwsLFVTRCk=&amp;WINDOW=FIRST_POPUP&amp;HEIGHT=450&amp;WIDTH=450&amp;START_MA","XIMIZED=FALSE&amp;VAR:CALENDAR=US&amp;VAR:SYMBOL=711038&amp;VAR:INDEX=0"}</definedName>
    <definedName name="_1453__FDSAUDITLINK__" hidden="1">{"fdsup://directions/FAT Viewer?action=UPDATE&amp;creator=factset&amp;DYN_ARGS=TRUE&amp;DOC_NAME=FAT:FQL_AUDITING_CLIENT_TEMPLATE.FAT&amp;display_string=Audit&amp;VAR:KEY=LKDSHOXEJE&amp;VAR:QUERY=RkZfUkRfRVhQKENBTCwyMDA4LCwsLFVTRCk=&amp;WINDOW=FIRST_POPUP&amp;HEIGHT=450&amp;WIDTH=450&amp;START_MA","XIMIZED=FALSE&amp;VAR:CALENDAR=US&amp;VAR:SYMBOL=MRK&amp;VAR:INDEX=0"}</definedName>
    <definedName name="_1454__FDSAUDITLINK__" hidden="1">{"fdsup://directions/FAT Viewer?action=UPDATE&amp;creator=factset&amp;DYN_ARGS=TRUE&amp;DOC_NAME=FAT:FQL_AUDITING_CLIENT_TEMPLATE.FAT&amp;display_string=Audit&amp;VAR:KEY=TILQDMTSFA&amp;VAR:QUERY=RkZfUkRfRVhQKENBTCwyMDA3LCwsLFVTRCk=&amp;WINDOW=FIRST_POPUP&amp;HEIGHT=450&amp;WIDTH=450&amp;START_MA","XIMIZED=FALSE&amp;VAR:CALENDAR=US&amp;VAR:SYMBOL=MRK&amp;VAR:INDEX=0"}</definedName>
    <definedName name="_1455__FDSAUDITLINK__" hidden="1">{"fdsup://directions/FAT Viewer?action=UPDATE&amp;creator=factset&amp;DYN_ARGS=TRUE&amp;DOC_NAME=FAT:FQL_AUDITING_CLIENT_TEMPLATE.FAT&amp;display_string=Audit&amp;VAR:KEY=JCJYXWPCFK&amp;VAR:QUERY=RkZfUkRfRVhQKENBTCwyMDA4LCwsLFVTRCk=&amp;WINDOW=FIRST_POPUP&amp;HEIGHT=450&amp;WIDTH=450&amp;START_MA","XIMIZED=FALSE&amp;VAR:CALENDAR=US&amp;VAR:SYMBOL=PFE&amp;VAR:INDEX=0"}</definedName>
    <definedName name="_1456__FDSAUDITLINK__" hidden="1">{"fdsup://directions/FAT Viewer?action=UPDATE&amp;creator=factset&amp;DYN_ARGS=TRUE&amp;DOC_NAME=FAT:FQL_AUDITING_CLIENT_TEMPLATE.FAT&amp;display_string=Audit&amp;VAR:KEY=VABOBMLSTS&amp;VAR:QUERY=RkZfUkRfRVhQKENBTCwyMDA3LCwsLFVTRCk=&amp;WINDOW=FIRST_POPUP&amp;HEIGHT=450&amp;WIDTH=450&amp;START_MA","XIMIZED=FALSE&amp;VAR:CALENDAR=US&amp;VAR:SYMBOL=PFE&amp;VAR:INDEX=0"}</definedName>
    <definedName name="_1457__FDSAUDITLINK__" hidden="1">{"fdsup://directions/FAT Viewer?action=UPDATE&amp;creator=factset&amp;DYN_ARGS=TRUE&amp;DOC_NAME=FAT:FQL_AUDITING_CLIENT_TEMPLATE.FAT&amp;display_string=Audit&amp;VAR:KEY=LULOLUFSZY&amp;VAR:QUERY=RkZfUkRfRVhQKENBTCwzOTgxMywsLCwp&amp;WINDOW=FIRST_POPUP&amp;HEIGHT=450&amp;WIDTH=450&amp;START_MAXIMI","ZED=FALSE&amp;VAR:CALENDAR=US&amp;VAR:SYMBOL=DNA&amp;VAR:INDEX=0"}</definedName>
    <definedName name="_1458__FDSAUDITLINK__" hidden="1">{"fdsup://directions/FAT Viewer?action=UPDATE&amp;creator=factset&amp;DYN_ARGS=TRUE&amp;DOC_NAME=FAT:FQL_AUDITING_CLIENT_TEMPLATE.FAT&amp;display_string=Audit&amp;VAR:KEY=JQXWLKRQJO&amp;VAR:QUERY=RkZfUkRfRVhQKENBTCwzOTQ0NywsLCwp&amp;WINDOW=FIRST_POPUP&amp;HEIGHT=450&amp;WIDTH=450&amp;START_MAXIMI","ZED=FALSE&amp;VAR:CALENDAR=US&amp;VAR:SYMBOL=DNA&amp;VAR:INDEX=0"}</definedName>
    <definedName name="_1459__FDSAUDITLINK__" hidden="1">{"fdsup://directions/FAT Viewer?action=UPDATE&amp;creator=factset&amp;DYN_ARGS=TRUE&amp;DOC_NAME=FAT:FQL_AUDITING_CLIENT_TEMPLATE.FAT&amp;display_string=Audit&amp;VAR:KEY=HYXWNYRITG&amp;VAR:QUERY=RkZfUkRfRVhQKENBTCwzOTA4MiwsLCwp&amp;WINDOW=FIRST_POPUP&amp;HEIGHT=450&amp;WIDTH=450&amp;START_MAXIMI","ZED=FALSE&amp;VAR:CALENDAR=US&amp;VAR:SYMBOL=DNA&amp;VAR:INDEX=0"}</definedName>
    <definedName name="_146__FDSAUDITLINK__" hidden="1">{"fdsup://directions/FAT%20Viewer?VAR:TM=NTMA&amp;VAR:PCT=0.008219&amp;VAR:Y0=2007&amp;VAR:Y1=2008&amp;VAR:V0=16.745897&amp;VAR:V1=14.430927&amp;VAR:V=14.447342&amp;VAR:AUDIT_ID=00000117&amp;VAR:DATE=20071228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Aggregates&amp;VAR:MEASURE=PE_MEAN&amp;VAR:CALC_MODE=PORTFOLIO&amp;VAR:CHGPERIOD=NA&amp;VAR:FQLFORMULA=FMA_PE&amp;VAR:CURRENCY=USD&amp;VAR:P=1","478.487700&amp;VAR:THRESH=||||||&amp;VAR:null=.html"}</definedName>
    <definedName name="_1460__FDSAUDITLINK__" hidden="1">{"fdsup://directions/FAT Viewer?action=UPDATE&amp;creator=factset&amp;DYN_ARGS=TRUE&amp;DOC_NAME=FAT:FQL_AUDITING_CLIENT_TEMPLATE.FAT&amp;display_string=Audit&amp;VAR:KEY=FWHQNGDGJY&amp;VAR:QUERY=RkZfUkRfRVhQKENBTCwzODcxNywsLCwp&amp;WINDOW=FIRST_POPUP&amp;HEIGHT=450&amp;WIDTH=450&amp;START_MAXIMI","ZED=FALSE&amp;VAR:CALENDAR=US&amp;VAR:SYMBOL=DNA&amp;VAR:INDEX=0"}</definedName>
    <definedName name="_1461__FDSAUDITLINK__" hidden="1">{"fdsup://directions/FAT Viewer?action=UPDATE&amp;creator=factset&amp;DYN_ARGS=TRUE&amp;DOC_NAME=FAT:FQL_AUDITING_CLIENT_TEMPLATE.FAT&amp;display_string=Audit&amp;VAR:KEY=RQTWDYPOXG&amp;VAR:QUERY=RkZfUkRfRVhQKENBTCwzODM1MiwsLCwp&amp;WINDOW=FIRST_POPUP&amp;HEIGHT=450&amp;WIDTH=450&amp;START_MAXIMI","ZED=FALSE&amp;VAR:CALENDAR=US&amp;VAR:SYMBOL=DNA&amp;VAR:INDEX=0"}</definedName>
    <definedName name="_1462__FDSAUDITLINK__" hidden="1">{"fdsup://directions/FAT Viewer?action=UPDATE&amp;creator=factset&amp;DYN_ARGS=TRUE&amp;DOC_NAME=FAT:FQL_AUDITING_CLIENT_TEMPLATE.FAT&amp;display_string=Audit&amp;VAR:KEY=ZWNOBEDCJI&amp;VAR:QUERY=RkZfUkRfRVhQKENBTCwzOTgxMywsLCwp&amp;WINDOW=FIRST_POPUP&amp;HEIGHT=450&amp;WIDTH=450&amp;START_MAXIMI","ZED=FALSE&amp;VAR:CALENDAR=US&amp;VAR:SYMBOL=SGP&amp;VAR:INDEX=0"}</definedName>
    <definedName name="_1463__FDSAUDITLINK__" hidden="1">{"fdsup://directions/FAT Viewer?action=UPDATE&amp;creator=factset&amp;DYN_ARGS=TRUE&amp;DOC_NAME=FAT:FQL_AUDITING_CLIENT_TEMPLATE.FAT&amp;display_string=Audit&amp;VAR:KEY=VERKZCBWNO&amp;VAR:QUERY=RkZfUkRfRVhQKENBTCwzOTQ0NywsLCwp&amp;WINDOW=FIRST_POPUP&amp;HEIGHT=450&amp;WIDTH=450&amp;START_MAXIMI","ZED=FALSE&amp;VAR:CALENDAR=US&amp;VAR:SYMBOL=SGP&amp;VAR:INDEX=0"}</definedName>
    <definedName name="_1464__FDSAUDITLINK__" hidden="1">{"fdsup://directions/FAT Viewer?action=UPDATE&amp;creator=factset&amp;DYN_ARGS=TRUE&amp;DOC_NAME=FAT:FQL_AUDITING_CLIENT_TEMPLATE.FAT&amp;display_string=Audit&amp;VAR:KEY=VGVGPSRCRG&amp;VAR:QUERY=RkZfUkRfRVhQKENBTCwzOTA4MiwsLCwp&amp;WINDOW=FIRST_POPUP&amp;HEIGHT=450&amp;WIDTH=450&amp;START_MAXIMI","ZED=FALSE&amp;VAR:CALENDAR=US&amp;VAR:SYMBOL=SGP&amp;VAR:INDEX=0"}</definedName>
    <definedName name="_1465__FDSAUDITLINK__" hidden="1">{"fdsup://directions/FAT Viewer?action=UPDATE&amp;creator=factset&amp;DYN_ARGS=TRUE&amp;DOC_NAME=FAT:FQL_AUDITING_CLIENT_TEMPLATE.FAT&amp;display_string=Audit&amp;VAR:KEY=DQBAJYBAFW&amp;VAR:QUERY=RkZfUkRfRVhQKENBTCwzODcxNywsLCwp&amp;WINDOW=FIRST_POPUP&amp;HEIGHT=450&amp;WIDTH=450&amp;START_MAXIMI","ZED=FALSE&amp;VAR:CALENDAR=US&amp;VAR:SYMBOL=SGP&amp;VAR:INDEX=0"}</definedName>
    <definedName name="_1466__FDSAUDITLINK__" hidden="1">{"fdsup://directions/FAT Viewer?action=UPDATE&amp;creator=factset&amp;DYN_ARGS=TRUE&amp;DOC_NAME=FAT:FQL_AUDITING_CLIENT_TEMPLATE.FAT&amp;display_string=Audit&amp;VAR:KEY=HSTURMXUFQ&amp;VAR:QUERY=RkZfUkRfRVhQKENBTCwzODM1MiwsLCwp&amp;WINDOW=FIRST_POPUP&amp;HEIGHT=450&amp;WIDTH=450&amp;START_MAXIMI","ZED=FALSE&amp;VAR:CALENDAR=US&amp;VAR:SYMBOL=SGP&amp;VAR:INDEX=0"}</definedName>
    <definedName name="_1467__FDSAUDITLINK__" hidden="1">{"fdsup://directions/FAT Viewer?action=UPDATE&amp;creator=factset&amp;DYN_ARGS=TRUE&amp;DOC_NAME=FAT:FQL_AUDITING_CLIENT_TEMPLATE.FAT&amp;display_string=Audit&amp;VAR:KEY=PAJYJYJAHE&amp;VAR:QUERY=RkZfUkRfRVhQKENBTCwzOTgxMywsLCwp&amp;WINDOW=FIRST_POPUP&amp;HEIGHT=450&amp;WIDTH=450&amp;START_MAXIMI","ZED=FALSE&amp;VAR:CALENDAR=US&amp;VAR:SYMBOL=WYE&amp;VAR:INDEX=0"}</definedName>
    <definedName name="_1468__FDSAUDITLINK__" hidden="1">{"fdsup://directions/FAT Viewer?action=UPDATE&amp;creator=factset&amp;DYN_ARGS=TRUE&amp;DOC_NAME=FAT:FQL_AUDITING_CLIENT_TEMPLATE.FAT&amp;display_string=Audit&amp;VAR:KEY=NYXURMTONW&amp;VAR:QUERY=RkZfUkRfRVhQKENBTCwzOTQ0NywsLCwp&amp;WINDOW=FIRST_POPUP&amp;HEIGHT=450&amp;WIDTH=450&amp;START_MAXIMI","ZED=FALSE&amp;VAR:CALENDAR=US&amp;VAR:SYMBOL=WYE&amp;VAR:INDEX=0"}</definedName>
    <definedName name="_1469__FDSAUDITLINK__" hidden="1">{"fdsup://directions/FAT Viewer?action=UPDATE&amp;creator=factset&amp;DYN_ARGS=TRUE&amp;DOC_NAME=FAT:FQL_AUDITING_CLIENT_TEMPLATE.FAT&amp;display_string=Audit&amp;VAR:KEY=XWTYLUVGBU&amp;VAR:QUERY=RkZfUkRfRVhQKENBTCwzOTA4MiwsLCwp&amp;WINDOW=FIRST_POPUP&amp;HEIGHT=450&amp;WIDTH=450&amp;START_MAXIMI","ZED=FALSE&amp;VAR:CALENDAR=US&amp;VAR:SYMBOL=WYE&amp;VAR:INDEX=0"}</definedName>
    <definedName name="_147__FDSAUDITLINK__" hidden="1">{"fdsup://directions/FAT%20Viewer?VAR:TM=NTMA&amp;VAR:PCT=0.027397&amp;VAR:Y0=2007&amp;VAR:Y1=2008&amp;VAR:V0=16.764110&amp;VAR:V1=14.472994&amp;VAR:V=14.527389&amp;VAR:AUDIT_ID=00000117&amp;VAR:DATE=20071221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Aggregates&amp;VAR:MEASURE=PE_MEAN&amp;VAR:CALC_MODE=PORTFOLIO&amp;VAR:CHGPERIOD=NA&amp;VAR:FQLFORMULA=FMA_PE&amp;VAR:CURRENCY=USD&amp;VAR:P=1","484.462600&amp;VAR:THRESH=||||||&amp;VAR:null=.html"}</definedName>
    <definedName name="_1470__FDSAUDITLINK__" hidden="1">{"fdsup://directions/FAT Viewer?action=UPDATE&amp;creator=factset&amp;DYN_ARGS=TRUE&amp;DOC_NAME=FAT:FQL_AUDITING_CLIENT_TEMPLATE.FAT&amp;display_string=Audit&amp;VAR:KEY=DGDCHUBYVS&amp;VAR:QUERY=RkZfUkRfRVhQKENBTCwzODcxNywsLCwp&amp;WINDOW=FIRST_POPUP&amp;HEIGHT=450&amp;WIDTH=450&amp;START_MAXIMI","ZED=FALSE&amp;VAR:CALENDAR=US&amp;VAR:SYMBOL=WYE&amp;VAR:INDEX=0"}</definedName>
    <definedName name="_1471__FDSAUDITLINK__" hidden="1">{"fdsup://directions/FAT Viewer?action=UPDATE&amp;creator=factset&amp;DYN_ARGS=TRUE&amp;DOC_NAME=FAT:FQL_AUDITING_CLIENT_TEMPLATE.FAT&amp;display_string=Audit&amp;VAR:KEY=HKXMFCNQRG&amp;VAR:QUERY=RkZfUkRfRVhQKENBTCwzODM1MiwsLCwp&amp;WINDOW=FIRST_POPUP&amp;HEIGHT=450&amp;WIDTH=450&amp;START_MAXIMI","ZED=FALSE&amp;VAR:CALENDAR=US&amp;VAR:SYMBOL=WYE&amp;VAR:INDEX=0"}</definedName>
    <definedName name="_1472__FDSAUDITLINK__" hidden="1">{"fdsup://directions/FAT Viewer?action=UPDATE&amp;creator=factset&amp;DYN_ARGS=TRUE&amp;DOC_NAME=FAT:FQL_AUDITING_CLIENT_TEMPLATE.FAT&amp;display_string=Audit&amp;VAR:KEY=FADGZQHEFC&amp;VAR:QUERY=RkZfUkRfRVhQKENBTCw0MDU0MywsLCxVU0Qp&amp;WINDOW=FIRST_POPUP&amp;HEIGHT=450&amp;WIDTH=450&amp;START_MA","XIMIZED=FALSE&amp;VAR:CALENDAR=US&amp;VAR:SYMBOL=BIIB&amp;VAR:INDEX=0"}</definedName>
    <definedName name="_1473__FDSAUDITLINK__" hidden="1">{"fdsup://directions/FAT Viewer?action=UPDATE&amp;creator=factset&amp;DYN_ARGS=TRUE&amp;DOC_NAME=FAT:FQL_AUDITING_CLIENT_TEMPLATE.FAT&amp;display_string=Audit&amp;VAR:KEY=NSPUJGFSHI&amp;VAR:QUERY=RkZfUkRfRVhQKENBTCw0MDU0MywsLCxVU0Qp&amp;WINDOW=FIRST_POPUP&amp;HEIGHT=450&amp;WIDTH=450&amp;START_MA","XIMIZED=FALSE&amp;VAR:CALENDAR=US&amp;VAR:SYMBOL=707752&amp;VAR:INDEX=0"}</definedName>
    <definedName name="_1474__FDSAUDITLINK__" hidden="1">{"fdsup://directions/FAT Viewer?action=UPDATE&amp;creator=factset&amp;DYN_ARGS=TRUE&amp;DOC_NAME=FAT:FQL_AUDITING_CLIENT_TEMPLATE.FAT&amp;display_string=Audit&amp;VAR:KEY=PWJMJAPQXA&amp;VAR:QUERY=RkZfUkRfRVhQKENBTCw0MDU0MywsLCxVU0Qp&amp;WINDOW=FIRST_POPUP&amp;HEIGHT=450&amp;WIDTH=450&amp;START_MA","XIMIZED=FALSE&amp;VAR:CALENDAR=US&amp;VAR:SYMBOL=630720&amp;VAR:INDEX=0"}</definedName>
    <definedName name="_1475__FDSAUDITLINK__" hidden="1">{"fdsup://directions/FAT Viewer?action=UPDATE&amp;creator=factset&amp;DYN_ARGS=TRUE&amp;DOC_NAME=FAT:FQL_AUDITING_CLIENT_TEMPLATE.FAT&amp;display_string=Audit&amp;VAR:KEY=TQDGRYXUPO&amp;VAR:QUERY=RkZfUkRfRVhQKENBTCw0MDU0MywsLCxVU0Qp&amp;WINDOW=FIRST_POPUP&amp;HEIGHT=450&amp;WIDTH=450&amp;START_MA","XIMIZED=FALSE&amp;VAR:CALENDAR=US&amp;VAR:SYMBOL=698538&amp;VAR:INDEX=0"}</definedName>
    <definedName name="_1476__FDSAUDITLINK__" hidden="1">{"fdsup://directions/FAT Viewer?action=UPDATE&amp;creator=factset&amp;DYN_ARGS=TRUE&amp;DOC_NAME=FAT:FQL_AUDITING_CLIENT_TEMPLATE.FAT&amp;display_string=Audit&amp;VAR:KEY=LCNIRKJOVO&amp;VAR:QUERY=RkZfUkRfRVhQKENBTCw0MDU0MywsLCxVU0Qp&amp;WINDOW=FIRST_POPUP&amp;HEIGHT=450&amp;WIDTH=450&amp;START_MA","XIMIZED=FALSE&amp;VAR:CALENDAR=US&amp;VAR:SYMBOL=474184&amp;VAR:INDEX=0"}</definedName>
    <definedName name="_1477__FDSAUDITLINK__" hidden="1">{"fdsup://directions/FAT Viewer?action=UPDATE&amp;creator=factset&amp;DYN_ARGS=TRUE&amp;DOC_NAME=FAT:FQL_AUDITING_CLIENT_TEMPLATE.FAT&amp;display_string=Audit&amp;VAR:KEY=JAPATOHCPG&amp;VAR:QUERY=RkZfUkRfRVhQKENBTCw0MDU0MywsLCxVU0Qp&amp;WINDOW=FIRST_POPUP&amp;HEIGHT=450&amp;WIDTH=450&amp;START_MA","XIMIZED=FALSE&amp;VAR:CALENDAR=US&amp;VAR:SYMBOL=B0J7D9&amp;VAR:INDEX=0"}</definedName>
    <definedName name="_1478__FDSAUDITLINK__" hidden="1">{"fdsup://directions/FAT Viewer?action=UPDATE&amp;creator=factset&amp;DYN_ARGS=TRUE&amp;DOC_NAME=FAT:FQL_AUDITING_CLIENT_TEMPLATE.FAT&amp;display_string=Audit&amp;VAR:KEY=ZURSDKXMDW&amp;VAR:QUERY=RkZfUkRfRVhQKENBTCw0MDU0MywsLCxVU0Qp&amp;WINDOW=FIRST_POPUP&amp;HEIGHT=450&amp;WIDTH=450&amp;START_MA","XIMIZED=FALSE&amp;VAR:CALENDAR=US&amp;VAR:SYMBOL=AMGN&amp;VAR:INDEX=0"}</definedName>
    <definedName name="_1479__FDSAUDITLINK__" hidden="1">{"fdsup://directions/FAT Viewer?action=UPDATE&amp;creator=factset&amp;DYN_ARGS=TRUE&amp;DOC_NAME=FAT:FQL_AUDITING_CLIENT_TEMPLATE.FAT&amp;display_string=Audit&amp;VAR:KEY=JWREDEZOBE&amp;VAR:QUERY=RkZfUkRfRVhQKENBTCw0MDU0MywsLCxVU0Qp&amp;WINDOW=FIRST_POPUP&amp;HEIGHT=450&amp;WIDTH=450&amp;START_MA","XIMIZED=FALSE&amp;VAR:CALENDAR=US&amp;VAR:SYMBOL=ABT&amp;VAR:INDEX=0"}</definedName>
    <definedName name="_148__FDSAUDITLINK__" hidden="1">{"fdsup://directions/FAT%20Viewer?VAR:TM=NTMA&amp;VAR:PCT=0.046575&amp;VAR:Y0=2007&amp;VAR:Y1=2008&amp;VAR:V0=16.391975&amp;VAR:V1=14.285416&amp;VAR:V=14.371436&amp;VAR:AUDIT_ID=00000117&amp;VAR:DATE=20071214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Aggregates&amp;VAR:MEASURE=PE_MEAN&amp;VAR:CALC_MODE=PORTFOLIO&amp;VAR:CHGPERIOD=NA&amp;VAR:FQLFORMULA=FMA_PE&amp;VAR:CURRENCY=USD&amp;VAR:P=1","467.952000&amp;VAR:THRESH=||||||&amp;VAR:null=.html"}</definedName>
    <definedName name="_1480__FDSAUDITLINK__" hidden="1">{"fdsup://directions/FAT Viewer?action=UPDATE&amp;creator=factset&amp;DYN_ARGS=TRUE&amp;DOC_NAME=FAT:FQL_AUDITING_CLIENT_TEMPLATE.FAT&amp;display_string=Audit&amp;VAR:KEY=FMHOHWFCHA&amp;VAR:QUERY=RkZfUkRfRVhQKENBTCw0MDU0MywsLCxVU0Qp&amp;WINDOW=FIRST_POPUP&amp;HEIGHT=450&amp;WIDTH=450&amp;START_MA","XIMIZED=FALSE&amp;VAR:CALENDAR=US&amp;VAR:SYMBOL=687044&amp;VAR:INDEX=0"}</definedName>
    <definedName name="_1481__FDSAUDITLINK__" hidden="1">{"fdsup://directions/FAT Viewer?action=UPDATE&amp;creator=factset&amp;DYN_ARGS=TRUE&amp;DOC_NAME=FAT:FQL_AUDITING_CLIENT_TEMPLATE.FAT&amp;display_string=Audit&amp;VAR:KEY=BCRMHOHMDU&amp;VAR:QUERY=RkZfUkRfRVhQKENBTCw0MDU0MywsLCxVU0Qp&amp;WINDOW=FIRST_POPUP&amp;HEIGHT=450&amp;WIDTH=450&amp;START_MA","XIMIZED=FALSE&amp;VAR:CALENDAR=US&amp;VAR:SYMBOL=BMY&amp;VAR:INDEX=0"}</definedName>
    <definedName name="_1482__FDSAUDITLINK__" hidden="1">{"fdsup://directions/FAT Viewer?action=UPDATE&amp;creator=factset&amp;DYN_ARGS=TRUE&amp;DOC_NAME=FAT:FQL_AUDITING_CLIENT_TEMPLATE.FAT&amp;display_string=Audit&amp;VAR:KEY=RWHALYVQFE&amp;VAR:QUERY=RkZfUkRfRVhQKENBTCw0MDU0MywsLCxVU0Qp&amp;WINDOW=FIRST_POPUP&amp;HEIGHT=450&amp;WIDTH=450&amp;START_MA","XIMIZED=FALSE&amp;VAR:CALENDAR=US&amp;VAR:SYMBOL=LLY&amp;VAR:INDEX=0"}</definedName>
    <definedName name="_1483__FDSAUDITLINK__" hidden="1">{"fdsup://directions/FAT Viewer?action=UPDATE&amp;creator=factset&amp;DYN_ARGS=TRUE&amp;DOC_NAME=FAT:FQL_AUDITING_CLIENT_TEMPLATE.FAT&amp;display_string=Audit&amp;VAR:KEY=BOXSLUFEFY&amp;VAR:QUERY=RkZfUkRfRVhQKENBTCw0MDU0MywsLCxVU0Qp&amp;WINDOW=FIRST_POPUP&amp;HEIGHT=450&amp;WIDTH=450&amp;START_MA","XIMIZED=FALSE&amp;VAR:CALENDAR=US&amp;VAR:SYMBOL=506921&amp;VAR:INDEX=0"}</definedName>
    <definedName name="_1484__FDSAUDITLINK__" hidden="1">{"fdsup://directions/FAT Viewer?action=UPDATE&amp;creator=factset&amp;DYN_ARGS=TRUE&amp;DOC_NAME=FAT:FQL_AUDITING_CLIENT_TEMPLATE.FAT&amp;display_string=Audit&amp;VAR:KEY=BKNWZCJIZG&amp;VAR:QUERY=RkZfUkRfRVhQKENBTCw0MDU0MywsLCxVU0Qp&amp;WINDOW=FIRST_POPUP&amp;HEIGHT=450&amp;WIDTH=450&amp;START_MA","XIMIZED=FALSE&amp;VAR:CALENDAR=US&amp;VAR:SYMBOL=567173&amp;VAR:INDEX=0"}</definedName>
    <definedName name="_1485__FDSAUDITLINK__" hidden="1">{"fdsup://directions/FAT Viewer?action=UPDATE&amp;creator=factset&amp;DYN_ARGS=TRUE&amp;DOC_NAME=FAT:FQL_AUDITING_CLIENT_TEMPLATE.FAT&amp;display_string=Audit&amp;VAR:KEY=ZUTEDGBCXY&amp;VAR:QUERY=RkZfUkRfRVhQKENBTCw0MDU0MywsLCxVU0Qp&amp;WINDOW=FIRST_POPUP&amp;HEIGHT=450&amp;WIDTH=450&amp;START_MA","XIMIZED=FALSE&amp;VAR:CALENDAR=US&amp;VAR:SYMBOL=JNJ&amp;VAR:INDEX=0"}</definedName>
    <definedName name="_1486__FDSAUDITLINK__" hidden="1">{"fdsup://directions/FAT Viewer?action=UPDATE&amp;creator=factset&amp;DYN_ARGS=TRUE&amp;DOC_NAME=FAT:FQL_AUDITING_CLIENT_TEMPLATE.FAT&amp;display_string=Audit&amp;VAR:KEY=TYHWTQXSJO&amp;VAR:QUERY=RkZfUkRfRVhQKENBTCw0MDU0MywsLCxVU0Qp&amp;WINDOW=FIRST_POPUP&amp;HEIGHT=450&amp;WIDTH=450&amp;START_MA","XIMIZED=FALSE&amp;VAR:CALENDAR=US&amp;VAR:SYMBOL=710306&amp;VAR:INDEX=0"}</definedName>
    <definedName name="_1487__FDSAUDITLINK__" hidden="1">{"fdsup://directions/FAT Viewer?action=UPDATE&amp;creator=factset&amp;DYN_ARGS=TRUE&amp;DOC_NAME=FAT:FQL_AUDITING_CLIENT_TEMPLATE.FAT&amp;display_string=Audit&amp;VAR:KEY=BSFYPUHUXG&amp;VAR:QUERY=RkZfUkRfRVhQKENBTCw0MDU0MywsLCxVU0Qp&amp;WINDOW=FIRST_POPUP&amp;HEIGHT=450&amp;WIDTH=450&amp;START_MA","XIMIZED=FALSE&amp;VAR:CALENDAR=US&amp;VAR:SYMBOL=711038&amp;VAR:INDEX=0"}</definedName>
    <definedName name="_1488__FDSAUDITLINK__" hidden="1">{"fdsup://directions/FAT Viewer?action=UPDATE&amp;creator=factset&amp;DYN_ARGS=TRUE&amp;DOC_NAME=FAT:FQL_AUDITING_CLIENT_TEMPLATE.FAT&amp;display_string=Audit&amp;VAR:KEY=BQXQNYHAZC&amp;VAR:QUERY=RkZfUkRfRVhQKENBTCw0MDU0MywsLCxVU0Qp&amp;WINDOW=FIRST_POPUP&amp;HEIGHT=450&amp;WIDTH=450&amp;START_MA","XIMIZED=FALSE&amp;VAR:CALENDAR=US&amp;VAR:SYMBOL=MRK&amp;VAR:INDEX=0"}</definedName>
    <definedName name="_1489__FDSAUDITLINK__" hidden="1">{"fdsup://directions/FAT Viewer?action=UPDATE&amp;creator=factset&amp;DYN_ARGS=TRUE&amp;DOC_NAME=FAT:FQL_AUDITING_CLIENT_TEMPLATE.FAT&amp;display_string=Audit&amp;VAR:KEY=XSXQHYLMVQ&amp;VAR:QUERY=RkZfUkRfRVhQKENBTCw0MDU0MywsLCwp&amp;WINDOW=FIRST_POPUP&amp;HEIGHT=450&amp;WIDTH=450&amp;START_MAXIMI","ZED=FALSE&amp;VAR:CALENDAR=US&amp;VAR:SYMBOL=BIIB&amp;VAR:INDEX=0"}</definedName>
    <definedName name="_149__FDSAUDITLINK__" hidden="1">{"fdsup://directions/FAT%20Viewer?VAR:TM=NTMA&amp;VAR:PCT=0.065753&amp;VAR:Y0=2007&amp;VAR:Y1=2008&amp;VAR:V0=16.722126&amp;VAR:V1=14.504838&amp;VAR:V=14.632413&amp;VAR:AUDIT_ID=00000117&amp;VAR:DATE=20071207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Aggregates&amp;VAR:MEASURE=PE_MEAN&amp;VAR:CALC_MODE=PORTFOLIO&amp;VAR:CHGPERIOD=NA&amp;VAR:FQLFORMULA=FMA_PE&amp;VAR:CURRENCY=USD&amp;VAR:P=1","504.659500&amp;VAR:THRESH=||||||&amp;VAR:null=.html"}</definedName>
    <definedName name="_1490__FDSAUDITLINK__" hidden="1">{"fdsup://directions/FAT Viewer?action=UPDATE&amp;creator=factset&amp;DYN_ARGS=TRUE&amp;DOC_NAME=FAT:FQL_AUDITING_CLIENT_TEMPLATE.FAT&amp;display_string=Audit&amp;VAR:KEY=LAJWREJCRQ&amp;VAR:QUERY=RkZfUkRfRVhQKENBTCw0MDE3OCwsLCwp&amp;WINDOW=FIRST_POPUP&amp;HEIGHT=450&amp;WIDTH=450&amp;START_MAXIMI","ZED=FALSE&amp;VAR:CALENDAR=US&amp;VAR:SYMBOL=BIIB&amp;VAR:INDEX=0"}</definedName>
    <definedName name="_1491__FDSAUDITLINK__" hidden="1">{"fdsup://directions/FAT Viewer?action=UPDATE&amp;creator=factset&amp;DYN_ARGS=TRUE&amp;DOC_NAME=FAT:FQL_AUDITING_CLIENT_TEMPLATE.FAT&amp;display_string=Audit&amp;VAR:KEY=TIJGJEBYTI&amp;VAR:QUERY=RkZfUkRfRVhQKENBTCwzOTgxMywsLCwp&amp;WINDOW=FIRST_POPUP&amp;HEIGHT=450&amp;WIDTH=450&amp;START_MAXIMI","ZED=FALSE&amp;VAR:CALENDAR=US&amp;VAR:SYMBOL=BIIB&amp;VAR:INDEX=0"}</definedName>
    <definedName name="_1492__FDSAUDITLINK__" hidden="1">{"fdsup://directions/FAT Viewer?action=UPDATE&amp;creator=factset&amp;DYN_ARGS=TRUE&amp;DOC_NAME=FAT:FQL_AUDITING_CLIENT_TEMPLATE.FAT&amp;display_string=Audit&amp;VAR:KEY=PODEFWZGFS&amp;VAR:QUERY=RkZfUkRfRVhQKENBTCwzOTQ0NywsLCwp&amp;WINDOW=FIRST_POPUP&amp;HEIGHT=450&amp;WIDTH=450&amp;START_MAXIMI","ZED=FALSE&amp;VAR:CALENDAR=US&amp;VAR:SYMBOL=BIIB&amp;VAR:INDEX=0"}</definedName>
    <definedName name="_1493__FDSAUDITLINK__" hidden="1">{"fdsup://directions/FAT Viewer?action=UPDATE&amp;creator=factset&amp;DYN_ARGS=TRUE&amp;DOC_NAME=FAT:FQL_AUDITING_CLIENT_TEMPLATE.FAT&amp;display_string=Audit&amp;VAR:KEY=HQFYRGDOJS&amp;VAR:QUERY=RkZfUkRfRVhQKENBTCwzOTA4MiwsLCwp&amp;WINDOW=FIRST_POPUP&amp;HEIGHT=450&amp;WIDTH=450&amp;START_MAXIMI","ZED=FALSE&amp;VAR:CALENDAR=US&amp;VAR:SYMBOL=BIIB&amp;VAR:INDEX=0"}</definedName>
    <definedName name="_1494__FDSAUDITLINK__" hidden="1">{"fdsup://directions/FAT Viewer?action=UPDATE&amp;creator=factset&amp;DYN_ARGS=TRUE&amp;DOC_NAME=FAT:FQL_AUDITING_CLIENT_TEMPLATE.FAT&amp;display_string=Audit&amp;VAR:KEY=BWLKBKRSNC&amp;VAR:QUERY=RkZfUkRfRVhQKENBTCwzODcxNywsLCwp&amp;WINDOW=FIRST_POPUP&amp;HEIGHT=450&amp;WIDTH=450&amp;START_MAXIMI","ZED=FALSE&amp;VAR:CALENDAR=US&amp;VAR:SYMBOL=BIIB&amp;VAR:INDEX=0"}</definedName>
    <definedName name="_1495__FDSAUDITLINK__" hidden="1">{"fdsup://directions/FAT Viewer?action=UPDATE&amp;creator=factset&amp;DYN_ARGS=TRUE&amp;DOC_NAME=FAT:FQL_AUDITING_CLIENT_TEMPLATE.FAT&amp;display_string=Audit&amp;VAR:KEY=NCJCPSJUJA&amp;VAR:QUERY=RkZfUkRfRVhQKENBTCwzODM1MiwsLCwp&amp;WINDOW=FIRST_POPUP&amp;HEIGHT=450&amp;WIDTH=450&amp;START_MAXIMI","ZED=FALSE&amp;VAR:CALENDAR=US&amp;VAR:SYMBOL=BIIB&amp;VAR:INDEX=0"}</definedName>
    <definedName name="_1496__FDSAUDITLINK__" hidden="1">{"fdsup://directions/FAT Viewer?action=UPDATE&amp;creator=factset&amp;DYN_ARGS=TRUE&amp;DOC_NAME=FAT:FQL_AUDITING_CLIENT_TEMPLATE.FAT&amp;display_string=Audit&amp;VAR:KEY=ROHGXITIHS&amp;VAR:QUERY=RkZfUkRfRVhQKENBTCw0MDU0MywsLCwp&amp;WINDOW=FIRST_POPUP&amp;HEIGHT=450&amp;WIDTH=450&amp;START_MAXIMI","ZED=FALSE&amp;VAR:CALENDAR=US&amp;VAR:SYMBOL=707752&amp;VAR:INDEX=0"}</definedName>
    <definedName name="_1497__FDSAUDITLINK__" hidden="1">{"fdsup://directions/FAT Viewer?action=UPDATE&amp;creator=factset&amp;DYN_ARGS=TRUE&amp;DOC_NAME=FAT:FQL_AUDITING_CLIENT_TEMPLATE.FAT&amp;display_string=Audit&amp;VAR:KEY=ZCPYBCXOHU&amp;VAR:QUERY=RkZfUkRfRVhQKENBTCw0MDE3OCwsLCwp&amp;WINDOW=FIRST_POPUP&amp;HEIGHT=450&amp;WIDTH=450&amp;START_MAXIMI","ZED=FALSE&amp;VAR:CALENDAR=US&amp;VAR:SYMBOL=707752&amp;VAR:INDEX=0"}</definedName>
    <definedName name="_1498__FDSAUDITLINK__" hidden="1">{"fdsup://directions/FAT Viewer?action=UPDATE&amp;creator=factset&amp;DYN_ARGS=TRUE&amp;DOC_NAME=FAT:FQL_AUDITING_CLIENT_TEMPLATE.FAT&amp;display_string=Audit&amp;VAR:KEY=RUHOZGXETS&amp;VAR:QUERY=RkZfUkRfRVhQKENBTCwzOTgxMywsLCwp&amp;WINDOW=FIRST_POPUP&amp;HEIGHT=450&amp;WIDTH=450&amp;START_MAXIMI","ZED=FALSE&amp;VAR:CALENDAR=US&amp;VAR:SYMBOL=707752&amp;VAR:INDEX=0"}</definedName>
    <definedName name="_1499__FDSAUDITLINK__" hidden="1">{"fdsup://directions/FAT Viewer?action=UPDATE&amp;creator=factset&amp;DYN_ARGS=TRUE&amp;DOC_NAME=FAT:FQL_AUDITING_CLIENT_TEMPLATE.FAT&amp;display_string=Audit&amp;VAR:KEY=BQVALCNUXY&amp;VAR:QUERY=RkZfUkRfRVhQKENBTCwzOTQ0NywsLCwp&amp;WINDOW=FIRST_POPUP&amp;HEIGHT=450&amp;WIDTH=450&amp;START_MAXIMI","ZED=FALSE&amp;VAR:CALENDAR=US&amp;VAR:SYMBOL=707752&amp;VAR:INDEX=0"}</definedName>
    <definedName name="_15__FDSAUDITLINK__" hidden="1">{"fdsup://directions/FAT%20Viewer?VAR:TM=NTMA&amp;VAR:PCT=0.498630&amp;VAR:Y0=2010&amp;VAR:Y1=2011&amp;VAR:V0=12.433186&amp;VAR:V1=10.558830&amp;VAR:V=11.417057&amp;VAR:AUDIT_ID=00000117&amp;VAR:DATE=20100702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Aggregates&amp;VAR:MEASURE=PE_MEAN&amp;VAR:CALC_MODE=PORTFOLIO&amp;VAR:CHGPERIOD=NA&amp;VAR:FQLFORMULA=FMA_PE&amp;VAR:CURRENCY=USD&amp;VAR:P=1","022.582975&amp;VAR:THRESH=||||||&amp;VAR:null=.html"}</definedName>
    <definedName name="_150__FDSAUDITLINK__" hidden="1">{"fdsup://directions/FAT%20Viewer?VAR:TM=NTMA&amp;VAR:PCT=0.084932&amp;VAR:Y0=2007&amp;VAR:Y1=2008&amp;VAR:V0=16.375660&amp;VAR:V1=14.225454&amp;VAR:V=14.385884&amp;VAR:AUDIT_ID=00000117&amp;VAR:DATE=20071130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Aggregates&amp;VAR:MEASURE=PE_MEAN&amp;VAR:CALC_MODE=PORTFOLIO&amp;VAR:CHGPERIOD=NA&amp;VAR:FQLFORMULA=FMA_PE&amp;VAR:CURRENCY=USD&amp;VAR:P=1","481.143200&amp;VAR:THRESH=||||||&amp;VAR:null=.html"}</definedName>
    <definedName name="_1500__FDSAUDITLINK__" hidden="1">{"fdsup://directions/FAT Viewer?action=UPDATE&amp;creator=factset&amp;DYN_ARGS=TRUE&amp;DOC_NAME=FAT:FQL_AUDITING_CLIENT_TEMPLATE.FAT&amp;display_string=Audit&amp;VAR:KEY=XODONILQRS&amp;VAR:QUERY=RkZfUkRfRVhQKENBTCw0MDU0MywsLCwp&amp;WINDOW=FIRST_POPUP&amp;HEIGHT=450&amp;WIDTH=450&amp;START_MAXIMI","ZED=FALSE&amp;VAR:CALENDAR=US&amp;VAR:SYMBOL=630720&amp;VAR:INDEX=0"}</definedName>
    <definedName name="_1501__FDSAUDITLINK__" hidden="1">{"fdsup://directions/FAT Viewer?action=UPDATE&amp;creator=factset&amp;DYN_ARGS=TRUE&amp;DOC_NAME=FAT:FQL_AUDITING_CLIENT_TEMPLATE.FAT&amp;display_string=Audit&amp;VAR:KEY=FQTINILKPY&amp;VAR:QUERY=RkZfUkRfRVhQKENBTCw0MDE3OCwsLCwp&amp;WINDOW=FIRST_POPUP&amp;HEIGHT=450&amp;WIDTH=450&amp;START_MAXIMI","ZED=FALSE&amp;VAR:CALENDAR=US&amp;VAR:SYMBOL=630720&amp;VAR:INDEX=0"}</definedName>
    <definedName name="_1502__FDSAUDITLINK__" hidden="1">{"fdsup://directions/FAT Viewer?action=UPDATE&amp;creator=factset&amp;DYN_ARGS=TRUE&amp;DOC_NAME=FAT:FQL_AUDITING_CLIENT_TEMPLATE.FAT&amp;display_string=Audit&amp;VAR:KEY=VSZYNWJGTA&amp;VAR:QUERY=RkZfUkRfRVhQKENBTCwzOTgxMywsLCwp&amp;WINDOW=FIRST_POPUP&amp;HEIGHT=450&amp;WIDTH=450&amp;START_MAXIMI","ZED=FALSE&amp;VAR:CALENDAR=US&amp;VAR:SYMBOL=630720&amp;VAR:INDEX=0"}</definedName>
    <definedName name="_1503__FDSAUDITLINK__" hidden="1">{"fdsup://directions/FAT Viewer?action=UPDATE&amp;creator=factset&amp;DYN_ARGS=TRUE&amp;DOC_NAME=FAT:FQL_AUDITING_CLIENT_TEMPLATE.FAT&amp;display_string=Audit&amp;VAR:KEY=VYJCJQLQHW&amp;VAR:QUERY=RkZfUkRfRVhQKENBTCwzOTQ0NywsLCwp&amp;WINDOW=FIRST_POPUP&amp;HEIGHT=450&amp;WIDTH=450&amp;START_MAXIMI","ZED=FALSE&amp;VAR:CALENDAR=US&amp;VAR:SYMBOL=630720&amp;VAR:INDEX=0"}</definedName>
    <definedName name="_1504__FDSAUDITLINK__" hidden="1">{"fdsup://directions/FAT Viewer?action=UPDATE&amp;creator=factset&amp;DYN_ARGS=TRUE&amp;DOC_NAME=FAT:FQL_AUDITING_CLIENT_TEMPLATE.FAT&amp;display_string=Audit&amp;VAR:KEY=TUBQTARIDK&amp;VAR:QUERY=RkZfUkRfRVhQKENBTCwzOTA4MiwsLCwp&amp;WINDOW=FIRST_POPUP&amp;HEIGHT=450&amp;WIDTH=450&amp;START_MAXIMI","ZED=FALSE&amp;VAR:CALENDAR=US&amp;VAR:SYMBOL=630720&amp;VAR:INDEX=0"}</definedName>
    <definedName name="_1505__FDSAUDITLINK__" hidden="1">{"fdsup://directions/FAT Viewer?action=UPDATE&amp;creator=factset&amp;DYN_ARGS=TRUE&amp;DOC_NAME=FAT:FQL_AUDITING_CLIENT_TEMPLATE.FAT&amp;display_string=Audit&amp;VAR:KEY=TEDCLSDYNM&amp;VAR:QUERY=RkZfUkRfRVhQKENBTCwzODcxNywsLCwp&amp;WINDOW=FIRST_POPUP&amp;HEIGHT=450&amp;WIDTH=450&amp;START_MAXIMI","ZED=FALSE&amp;VAR:CALENDAR=US&amp;VAR:SYMBOL=630720&amp;VAR:INDEX=0"}</definedName>
    <definedName name="_1506__FDSAUDITLINK__" hidden="1">{"fdsup://directions/FAT Viewer?action=UPDATE&amp;creator=factset&amp;DYN_ARGS=TRUE&amp;DOC_NAME=FAT:FQL_AUDITING_CLIENT_TEMPLATE.FAT&amp;display_string=Audit&amp;VAR:KEY=HWBSXSJUJE&amp;VAR:QUERY=RkZfUkRfRVhQKENBTCwzODM1MiwsLCwp&amp;WINDOW=FIRST_POPUP&amp;HEIGHT=450&amp;WIDTH=450&amp;START_MAXIMI","ZED=FALSE&amp;VAR:CALENDAR=US&amp;VAR:SYMBOL=630720&amp;VAR:INDEX=0"}</definedName>
    <definedName name="_1507__FDSAUDITLINK__" hidden="1">{"fdsup://directions/FAT Viewer?action=UPDATE&amp;creator=factset&amp;DYN_ARGS=TRUE&amp;DOC_NAME=FAT:FQL_AUDITING_CLIENT_TEMPLATE.FAT&amp;display_string=Audit&amp;VAR:KEY=NOFYHOLEJE&amp;VAR:QUERY=RkZfUkRfRVhQKENBTCwzNzk4NiwsLCwp&amp;WINDOW=FIRST_POPUP&amp;HEIGHT=450&amp;WIDTH=450&amp;START_MAXIMI","ZED=FALSE&amp;VAR:CALENDAR=US&amp;VAR:SYMBOL=630720&amp;VAR:INDEX=0"}</definedName>
    <definedName name="_1508__FDSAUDITLINK__" hidden="1">{"fdsup://directions/FAT Viewer?action=UPDATE&amp;creator=factset&amp;DYN_ARGS=TRUE&amp;DOC_NAME=FAT:FQL_AUDITING_CLIENT_TEMPLATE.FAT&amp;display_string=Audit&amp;VAR:KEY=HMDKDGFUVI&amp;VAR:QUERY=RkZfUkRfRVhQKENBTCw0MDU0MywsLCwp&amp;WINDOW=FIRST_POPUP&amp;HEIGHT=450&amp;WIDTH=450&amp;START_MAXIMI","ZED=FALSE&amp;VAR:CALENDAR=US&amp;VAR:SYMBOL=698538&amp;VAR:INDEX=0"}</definedName>
    <definedName name="_1509__FDSAUDITLINK__" hidden="1">{"fdsup://directions/FAT Viewer?action=UPDATE&amp;creator=factset&amp;DYN_ARGS=TRUE&amp;DOC_NAME=FAT:FQL_AUDITING_CLIENT_TEMPLATE.FAT&amp;display_string=Audit&amp;VAR:KEY=XEFUVIRUFI&amp;VAR:QUERY=RkZfUkRfRVhQKENBTCw0MDE3OCwsLCwp&amp;WINDOW=FIRST_POPUP&amp;HEIGHT=450&amp;WIDTH=450&amp;START_MAXIMI","ZED=FALSE&amp;VAR:CALENDAR=US&amp;VAR:SYMBOL=698538&amp;VAR:INDEX=0"}</definedName>
    <definedName name="_151__FDSAUDITLINK__" hidden="1">{"fdsup://directions/FAT%20Viewer?VAR:TM=NTMA&amp;VAR:PCT=0.104110&amp;VAR:Y0=2007&amp;VAR:Y1=2008&amp;VAR:V0=15.846854&amp;VAR:V1=13.809117&amp;VAR:V=13.996493&amp;VAR:AUDIT_ID=00000117&amp;VAR:DATE=20071123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Aggregates&amp;VAR:MEASURE=PE_MEAN&amp;VAR:CALC_MODE=PORTFOLIO&amp;VAR:CHGPERIOD=NA&amp;VAR:FQLFORMULA=FMA_PE&amp;VAR:CURRENCY=USD&amp;VAR:P=1","440.700700&amp;VAR:THRESH=||||||&amp;VAR:null=.html"}</definedName>
    <definedName name="_1510__FDSAUDITLINK__" hidden="1">{"fdsup://directions/FAT Viewer?action=UPDATE&amp;creator=factset&amp;DYN_ARGS=TRUE&amp;DOC_NAME=FAT:FQL_AUDITING_CLIENT_TEMPLATE.FAT&amp;display_string=Audit&amp;VAR:KEY=HYTMLEDUVS&amp;VAR:QUERY=RkZfUkRfRVhQKENBTCwzOTgxMywsLCwp&amp;WINDOW=FIRST_POPUP&amp;HEIGHT=450&amp;WIDTH=450&amp;START_MAXIMI","ZED=FALSE&amp;VAR:CALENDAR=US&amp;VAR:SYMBOL=698538&amp;VAR:INDEX=0"}</definedName>
    <definedName name="_1511__FDSAUDITLINK__" hidden="1">{"fdsup://directions/FAT Viewer?action=UPDATE&amp;creator=factset&amp;DYN_ARGS=TRUE&amp;DOC_NAME=FAT:FQL_AUDITING_CLIENT_TEMPLATE.FAT&amp;display_string=Audit&amp;VAR:KEY=DSRAFCZODS&amp;VAR:QUERY=RkZfUkRfRVhQKENBTCwzOTQ0NywsLCwp&amp;WINDOW=FIRST_POPUP&amp;HEIGHT=450&amp;WIDTH=450&amp;START_MAXIMI","ZED=FALSE&amp;VAR:CALENDAR=US&amp;VAR:SYMBOL=698538&amp;VAR:INDEX=0"}</definedName>
    <definedName name="_1512__FDSAUDITLINK__" hidden="1">{"fdsup://directions/FAT Viewer?action=UPDATE&amp;creator=factset&amp;DYN_ARGS=TRUE&amp;DOC_NAME=FAT:FQL_AUDITING_CLIENT_TEMPLATE.FAT&amp;display_string=Audit&amp;VAR:KEY=FODYBQZGBW&amp;VAR:QUERY=RkZfUkRfRVhQKENBTCwzOTA4MiwsLCwp&amp;WINDOW=FIRST_POPUP&amp;HEIGHT=450&amp;WIDTH=450&amp;START_MAXIMI","ZED=FALSE&amp;VAR:CALENDAR=US&amp;VAR:SYMBOL=698538&amp;VAR:INDEX=0"}</definedName>
    <definedName name="_1513__FDSAUDITLINK__" hidden="1">{"fdsup://directions/FAT Viewer?action=UPDATE&amp;creator=factset&amp;DYN_ARGS=TRUE&amp;DOC_NAME=FAT:FQL_AUDITING_CLIENT_TEMPLATE.FAT&amp;display_string=Audit&amp;VAR:KEY=LMDOJUJATK&amp;VAR:QUERY=RkZfUkRfRVhQKENBTCwzODcxNywsLCwp&amp;WINDOW=FIRST_POPUP&amp;HEIGHT=450&amp;WIDTH=450&amp;START_MAXIMI","ZED=FALSE&amp;VAR:CALENDAR=US&amp;VAR:SYMBOL=698538&amp;VAR:INDEX=0"}</definedName>
    <definedName name="_1514__FDSAUDITLINK__" hidden="1">{"fdsup://directions/FAT Viewer?action=UPDATE&amp;creator=factset&amp;DYN_ARGS=TRUE&amp;DOC_NAME=FAT:FQL_AUDITING_CLIENT_TEMPLATE.FAT&amp;display_string=Audit&amp;VAR:KEY=BCDOVGLIHM&amp;VAR:QUERY=RkZfUkRfRVhQKENBTCwzODM1MiwsLCwp&amp;WINDOW=FIRST_POPUP&amp;HEIGHT=450&amp;WIDTH=450&amp;START_MAXIMI","ZED=FALSE&amp;VAR:CALENDAR=US&amp;VAR:SYMBOL=698538&amp;VAR:INDEX=0"}</definedName>
    <definedName name="_1515__FDSAUDITLINK__" hidden="1">{"fdsup://directions/FAT Viewer?action=UPDATE&amp;creator=factset&amp;DYN_ARGS=TRUE&amp;DOC_NAME=FAT:FQL_AUDITING_CLIENT_TEMPLATE.FAT&amp;display_string=Audit&amp;VAR:KEY=VAVSHGNKLS&amp;VAR:QUERY=RkZfUkRfRVhQKENBTCwzNzk4NiwsLCwp&amp;WINDOW=FIRST_POPUP&amp;HEIGHT=450&amp;WIDTH=450&amp;START_MAXIMI","ZED=FALSE&amp;VAR:CALENDAR=US&amp;VAR:SYMBOL=698538&amp;VAR:INDEX=0"}</definedName>
    <definedName name="_1516__FDSAUDITLINK__" hidden="1">{"fdsup://directions/FAT Viewer?action=UPDATE&amp;creator=factset&amp;DYN_ARGS=TRUE&amp;DOC_NAME=FAT:FQL_AUDITING_CLIENT_TEMPLATE.FAT&amp;display_string=Audit&amp;VAR:KEY=BIZIJKTURI&amp;VAR:QUERY=RkZfUkRfRVhQKENBTCw0MDU0MywsLCwp&amp;WINDOW=FIRST_POPUP&amp;HEIGHT=450&amp;WIDTH=450&amp;START_MAXIMI","ZED=FALSE&amp;VAR:CALENDAR=US&amp;VAR:SYMBOL=474184&amp;VAR:INDEX=0"}</definedName>
    <definedName name="_1517__FDSAUDITLINK__" hidden="1">{"fdsup://directions/FAT Viewer?action=UPDATE&amp;creator=factset&amp;DYN_ARGS=TRUE&amp;DOC_NAME=FAT:FQL_AUDITING_CLIENT_TEMPLATE.FAT&amp;display_string=Audit&amp;VAR:KEY=BCFCJCDITY&amp;VAR:QUERY=RkZfUkRfRVhQKENBTCw0MDE3OCwsLCwp&amp;WINDOW=FIRST_POPUP&amp;HEIGHT=450&amp;WIDTH=450&amp;START_MAXIMI","ZED=FALSE&amp;VAR:CALENDAR=US&amp;VAR:SYMBOL=474184&amp;VAR:INDEX=0"}</definedName>
    <definedName name="_1518__FDSAUDITLINK__" hidden="1">{"fdsup://directions/FAT Viewer?action=UPDATE&amp;creator=factset&amp;DYN_ARGS=TRUE&amp;DOC_NAME=FAT:FQL_AUDITING_CLIENT_TEMPLATE.FAT&amp;display_string=Audit&amp;VAR:KEY=RUVIBOLGPQ&amp;VAR:QUERY=RkZfUkRfRVhQKENBTCw0MDU0MywsLCwp&amp;WINDOW=FIRST_POPUP&amp;HEIGHT=450&amp;WIDTH=450&amp;START_MAXIMI","ZED=FALSE&amp;VAR:CALENDAR=US&amp;VAR:SYMBOL=B0J7D9&amp;VAR:INDEX=0"}</definedName>
    <definedName name="_1519__FDSAUDITLINK__" hidden="1">{"fdsup://directions/FAT Viewer?action=UPDATE&amp;creator=factset&amp;DYN_ARGS=TRUE&amp;DOC_NAME=FAT:FQL_AUDITING_CLIENT_TEMPLATE.FAT&amp;display_string=Audit&amp;VAR:KEY=DQXADMHEVC&amp;VAR:QUERY=RkZfUkRfRVhQKENBTCw0MDE3OCwsLCxKUFkp&amp;WINDOW=FIRST_POPUP&amp;HEIGHT=450&amp;WIDTH=450&amp;START_MA","XIMIZED=FALSE&amp;VAR:CALENDAR=US&amp;VAR:SYMBOL=B0J7D9&amp;VAR:INDEX=0"}</definedName>
    <definedName name="_152__FDSAUDITLINK__" hidden="1">{"fdsup://directions/FAT%20Viewer?VAR:TM=NTMA&amp;VAR:PCT=0.123288&amp;VAR:Y0=2007&amp;VAR:Y1=2008&amp;VAR:V0=15.948479&amp;VAR:V1=13.909364&amp;VAR:V=14.132130&amp;VAR:AUDIT_ID=00000117&amp;VAR:DATE=20071116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Aggregates&amp;VAR:MEASURE=PE_MEAN&amp;VAR:CALC_MODE=PORTFOLIO&amp;VAR:CHGPERIOD=NA&amp;VAR:FQLFORMULA=FMA_PE&amp;VAR:CURRENCY=USD&amp;VAR:P=1","458.739300&amp;VAR:THRESH=||||||&amp;VAR:null=.html"}</definedName>
    <definedName name="_1520__FDSAUDITLINK__" hidden="1">{"fdsup://directions/FAT Viewer?action=UPDATE&amp;creator=factset&amp;DYN_ARGS=TRUE&amp;DOC_NAME=FAT:FQL_AUDITING_CLIENT_TEMPLATE.FAT&amp;display_string=Audit&amp;VAR:KEY=TOLORIHYHO&amp;VAR:QUERY=RkZfUkRfRVhQKENBTCwzOTgxMywsLCxKUFkp&amp;WINDOW=FIRST_POPUP&amp;HEIGHT=450&amp;WIDTH=450&amp;START_MA","XIMIZED=FALSE&amp;VAR:CALENDAR=US&amp;VAR:SYMBOL=B0J7D9&amp;VAR:INDEX=0"}</definedName>
    <definedName name="_1521__FDSAUDITLINK__" hidden="1">{"fdsup://directions/FAT Viewer?action=UPDATE&amp;creator=factset&amp;DYN_ARGS=TRUE&amp;DOC_NAME=FAT:FQL_AUDITING_CLIENT_TEMPLATE.FAT&amp;display_string=Audit&amp;VAR:KEY=JOZMPGZMJM&amp;VAR:QUERY=RkZfUkRfRVhQKENBTCwzOTQ0NywsLCxKUFkp&amp;WINDOW=FIRST_POPUP&amp;HEIGHT=450&amp;WIDTH=450&amp;START_MA","XIMIZED=FALSE&amp;VAR:CALENDAR=US&amp;VAR:SYMBOL=B0J7D9&amp;VAR:INDEX=0"}</definedName>
    <definedName name="_1522__FDSAUDITLINK__" hidden="1">{"fdsup://directions/FAT Viewer?action=UPDATE&amp;creator=factset&amp;DYN_ARGS=TRUE&amp;DOC_NAME=FAT:FQL_AUDITING_CLIENT_TEMPLATE.FAT&amp;display_string=Audit&amp;VAR:KEY=NABIRCXULI&amp;VAR:QUERY=RkZfUkRfRVhQKENBTCwzOTA4MiwsLCxKUFkp&amp;WINDOW=FIRST_POPUP&amp;HEIGHT=450&amp;WIDTH=450&amp;START_MA","XIMIZED=FALSE&amp;VAR:CALENDAR=US&amp;VAR:SYMBOL=B0J7D9&amp;VAR:INDEX=0"}</definedName>
    <definedName name="_1523__FDSAUDITLINK__" hidden="1">{"fdsup://directions/FAT Viewer?action=UPDATE&amp;creator=factset&amp;DYN_ARGS=TRUE&amp;DOC_NAME=FAT:FQL_AUDITING_CLIENT_TEMPLATE.FAT&amp;display_string=Audit&amp;VAR:KEY=PKNSHOFKFO&amp;VAR:QUERY=RkZfUkRfRVhQKENBTCwzODcxNywsLCxKUFkp&amp;WINDOW=FIRST_POPUP&amp;HEIGHT=450&amp;WIDTH=450&amp;START_MA","XIMIZED=FALSE&amp;VAR:CALENDAR=US&amp;VAR:SYMBOL=B0J7D9&amp;VAR:INDEX=0"}</definedName>
    <definedName name="_1524__FDSAUDITLINK__" hidden="1">{"fdsup://directions/FAT Viewer?action=UPDATE&amp;creator=factset&amp;DYN_ARGS=TRUE&amp;DOC_NAME=FAT:FQL_AUDITING_CLIENT_TEMPLATE.FAT&amp;display_string=Audit&amp;VAR:KEY=TEXUHKRIJS&amp;VAR:QUERY=RkZfUkRfRVhQKENBTCwzODM1MiwsLCxKUFkp&amp;WINDOW=FIRST_POPUP&amp;HEIGHT=450&amp;WIDTH=450&amp;START_MA","XIMIZED=FALSE&amp;VAR:CALENDAR=US&amp;VAR:SYMBOL=B0J7D9&amp;VAR:INDEX=0"}</definedName>
    <definedName name="_1525__FDSAUDITLINK__" hidden="1">{"fdsup://directions/FAT Viewer?action=UPDATE&amp;creator=factset&amp;DYN_ARGS=TRUE&amp;DOC_NAME=FAT:FQL_AUDITING_CLIENT_TEMPLATE.FAT&amp;display_string=Audit&amp;VAR:KEY=BMDYTORIHY&amp;VAR:QUERY=RkZfUkRfRVhQKENBTCwzNzk4NiwsLCxKUFkp&amp;WINDOW=FIRST_POPUP&amp;HEIGHT=450&amp;WIDTH=450&amp;START_MA","XIMIZED=FALSE&amp;VAR:CALENDAR=US&amp;VAR:SYMBOL=B0J7D9&amp;VAR:INDEX=0"}</definedName>
    <definedName name="_1526__FDSAUDITLINK__" hidden="1">{"fdsup://directions/FAT Viewer?action=UPDATE&amp;creator=factset&amp;DYN_ARGS=TRUE&amp;DOC_NAME=FAT:FQL_AUDITING_CLIENT_TEMPLATE.FAT&amp;display_string=Audit&amp;VAR:KEY=ZSZUFATADA&amp;VAR:QUERY=RkZfUkRfRVhQKENBTCw0MDU0MywsLCwp&amp;WINDOW=FIRST_POPUP&amp;HEIGHT=450&amp;WIDTH=450&amp;START_MAXIMI","ZED=FALSE&amp;VAR:CALENDAR=US&amp;VAR:SYMBOL=AMGN&amp;VAR:INDEX=0"}</definedName>
    <definedName name="_1527__FDSAUDITLINK__" hidden="1">{"fdsup://directions/FAT Viewer?action=UPDATE&amp;creator=factset&amp;DYN_ARGS=TRUE&amp;DOC_NAME=FAT:FQL_AUDITING_CLIENT_TEMPLATE.FAT&amp;display_string=Audit&amp;VAR:KEY=NETMBUPAPS&amp;VAR:QUERY=RkZfUkRfRVhQKENBTCw0MDE3OCwsLCwp&amp;WINDOW=FIRST_POPUP&amp;HEIGHT=450&amp;WIDTH=450&amp;START_MAXIMI","ZED=FALSE&amp;VAR:CALENDAR=US&amp;VAR:SYMBOL=AMGN&amp;VAR:INDEX=0"}</definedName>
    <definedName name="_1528__FDSAUDITLINK__" hidden="1">{"fdsup://directions/FAT Viewer?action=UPDATE&amp;creator=factset&amp;DYN_ARGS=TRUE&amp;DOC_NAME=FAT:FQL_AUDITING_CLIENT_TEMPLATE.FAT&amp;display_string=Audit&amp;VAR:KEY=BWFKBKBAJS&amp;VAR:QUERY=RkZfUkRfRVhQKENBTCwzOTgxMywsLCwp&amp;WINDOW=FIRST_POPUP&amp;HEIGHT=450&amp;WIDTH=450&amp;START_MAXIMI","ZED=FALSE&amp;VAR:CALENDAR=US&amp;VAR:SYMBOL=AMGN&amp;VAR:INDEX=0"}</definedName>
    <definedName name="_1529__FDSAUDITLINK__" hidden="1">{"fdsup://directions/FAT Viewer?action=UPDATE&amp;creator=factset&amp;DYN_ARGS=TRUE&amp;DOC_NAME=FAT:FQL_AUDITING_CLIENT_TEMPLATE.FAT&amp;display_string=Audit&amp;VAR:KEY=JGFKDSPYPQ&amp;VAR:QUERY=RkZfUkRfRVhQKENBTCwzOTQ0NywsLCwp&amp;WINDOW=FIRST_POPUP&amp;HEIGHT=450&amp;WIDTH=450&amp;START_MAXIMI","ZED=FALSE&amp;VAR:CALENDAR=US&amp;VAR:SYMBOL=AMGN&amp;VAR:INDEX=0"}</definedName>
    <definedName name="_153__FDSAUDITLINK__" hidden="1">{"fdsup://directions/FAT%20Viewer?VAR:TM=NTMA&amp;VAR:PCT=0.142466&amp;VAR:Y0=2007&amp;VAR:Y1=2008&amp;VAR:V0=15.816878&amp;VAR:V1=13.820716&amp;VAR:V=14.073760&amp;VAR:AUDIT_ID=00000117&amp;VAR:DATE=20071109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Aggregates&amp;VAR:MEASURE=PE_MEAN&amp;VAR:CALC_MODE=PORTFOLIO&amp;VAR:CHGPERIOD=NA&amp;VAR:FQLFORMULA=FMA_PE&amp;VAR:CURRENCY=USD&amp;VAR:P=1","453.696300&amp;VAR:THRESH=||||||&amp;VAR:null=.html"}</definedName>
    <definedName name="_1530__FDSAUDITLINK__" hidden="1">{"fdsup://directions/FAT Viewer?action=UPDATE&amp;creator=factset&amp;DYN_ARGS=TRUE&amp;DOC_NAME=FAT:FQL_AUDITING_CLIENT_TEMPLATE.FAT&amp;display_string=Audit&amp;VAR:KEY=PITSZWZGJQ&amp;VAR:QUERY=RkZfUkRfRVhQKENBTCwzOTA4MiwsLCwp&amp;WINDOW=FIRST_POPUP&amp;HEIGHT=450&amp;WIDTH=450&amp;START_MAXIMI","ZED=FALSE&amp;VAR:CALENDAR=US&amp;VAR:SYMBOL=AMGN&amp;VAR:INDEX=0"}</definedName>
    <definedName name="_1531__FDSAUDITLINK__" hidden="1">{"fdsup://directions/FAT Viewer?action=UPDATE&amp;creator=factset&amp;DYN_ARGS=TRUE&amp;DOC_NAME=FAT:FQL_AUDITING_CLIENT_TEMPLATE.FAT&amp;display_string=Audit&amp;VAR:KEY=HKBWVOJSHI&amp;VAR:QUERY=RkZfUkRfRVhQKENBTCwzODcxNywsLCwp&amp;WINDOW=FIRST_POPUP&amp;HEIGHT=450&amp;WIDTH=450&amp;START_MAXIMI","ZED=FALSE&amp;VAR:CALENDAR=US&amp;VAR:SYMBOL=AMGN&amp;VAR:INDEX=0"}</definedName>
    <definedName name="_1532__FDSAUDITLINK__" hidden="1">{"fdsup://directions/FAT Viewer?action=UPDATE&amp;creator=factset&amp;DYN_ARGS=TRUE&amp;DOC_NAME=FAT:FQL_AUDITING_CLIENT_TEMPLATE.FAT&amp;display_string=Audit&amp;VAR:KEY=TUHABOXUJS&amp;VAR:QUERY=RkZfUkRfRVhQKENBTCwzODM1MiwsLCwp&amp;WINDOW=FIRST_POPUP&amp;HEIGHT=450&amp;WIDTH=450&amp;START_MAXIMI","ZED=FALSE&amp;VAR:CALENDAR=US&amp;VAR:SYMBOL=AMGN&amp;VAR:INDEX=0"}</definedName>
    <definedName name="_1533__FDSAUDITLINK__" hidden="1">{"fdsup://directions/FAT Viewer?action=UPDATE&amp;creator=factset&amp;DYN_ARGS=TRUE&amp;DOC_NAME=FAT:FQL_AUDITING_CLIENT_TEMPLATE.FAT&amp;display_string=Audit&amp;VAR:KEY=LIRCBIRMZO&amp;VAR:QUERY=RkZfUkRfRVhQKENBTCw0MDU0MywsLCwp&amp;WINDOW=FIRST_POPUP&amp;HEIGHT=450&amp;WIDTH=450&amp;START_MAXIMI","ZED=FALSE&amp;VAR:CALENDAR=US&amp;VAR:SYMBOL=ABT&amp;VAR:INDEX=0"}</definedName>
    <definedName name="_1534__FDSAUDITLINK__" hidden="1">{"fdsup://directions/FAT Viewer?action=UPDATE&amp;creator=factset&amp;DYN_ARGS=TRUE&amp;DOC_NAME=FAT:FQL_AUDITING_CLIENT_TEMPLATE.FAT&amp;display_string=Audit&amp;VAR:KEY=FKDMVIHOJW&amp;VAR:QUERY=RkZfUkRfRVhQKENBTCw0MDE3OCwsLCwp&amp;WINDOW=FIRST_POPUP&amp;HEIGHT=450&amp;WIDTH=450&amp;START_MAXIMI","ZED=FALSE&amp;VAR:CALENDAR=US&amp;VAR:SYMBOL=ABT&amp;VAR:INDEX=0"}</definedName>
    <definedName name="_1535__FDSAUDITLINK__" hidden="1">{"fdsup://directions/FAT Viewer?action=UPDATE&amp;creator=factset&amp;DYN_ARGS=TRUE&amp;DOC_NAME=FAT:FQL_AUDITING_CLIENT_TEMPLATE.FAT&amp;display_string=Audit&amp;VAR:KEY=DEROHMZOBS&amp;VAR:QUERY=RkZfUkRfRVhQKENBTCwzOTgxMywsLCwp&amp;WINDOW=FIRST_POPUP&amp;HEIGHT=450&amp;WIDTH=450&amp;START_MAXIMI","ZED=FALSE&amp;VAR:CALENDAR=US&amp;VAR:SYMBOL=ABT&amp;VAR:INDEX=0"}</definedName>
    <definedName name="_1536__FDSAUDITLINK__" hidden="1">{"fdsup://directions/FAT Viewer?action=UPDATE&amp;creator=factset&amp;DYN_ARGS=TRUE&amp;DOC_NAME=FAT:FQL_AUDITING_CLIENT_TEMPLATE.FAT&amp;display_string=Audit&amp;VAR:KEY=FSDQDMTKFI&amp;VAR:QUERY=RkZfUkRfRVhQKENBTCwzOTQ0NywsLCwp&amp;WINDOW=FIRST_POPUP&amp;HEIGHT=450&amp;WIDTH=450&amp;START_MAXIMI","ZED=FALSE&amp;VAR:CALENDAR=US&amp;VAR:SYMBOL=ABT&amp;VAR:INDEX=0"}</definedName>
    <definedName name="_1537__FDSAUDITLINK__" hidden="1">{"fdsup://directions/FAT Viewer?action=UPDATE&amp;creator=factset&amp;DYN_ARGS=TRUE&amp;DOC_NAME=FAT:FQL_AUDITING_CLIENT_TEMPLATE.FAT&amp;display_string=Audit&amp;VAR:KEY=DKXQFUXYNQ&amp;VAR:QUERY=RkZfUkRfRVhQKENBTCwzOTA4MiwsLCwp&amp;WINDOW=FIRST_POPUP&amp;HEIGHT=450&amp;WIDTH=450&amp;START_MAXIMI","ZED=FALSE&amp;VAR:CALENDAR=US&amp;VAR:SYMBOL=ABT&amp;VAR:INDEX=0"}</definedName>
    <definedName name="_1538__FDSAUDITLINK__" hidden="1">{"fdsup://directions/FAT Viewer?action=UPDATE&amp;creator=factset&amp;DYN_ARGS=TRUE&amp;DOC_NAME=FAT:FQL_AUDITING_CLIENT_TEMPLATE.FAT&amp;display_string=Audit&amp;VAR:KEY=DCTAJGPGHM&amp;VAR:QUERY=RkZfUkRfRVhQKENBTCwzODcxNywsLCwp&amp;WINDOW=FIRST_POPUP&amp;HEIGHT=450&amp;WIDTH=450&amp;START_MAXIMI","ZED=FALSE&amp;VAR:CALENDAR=US&amp;VAR:SYMBOL=ABT&amp;VAR:INDEX=0"}</definedName>
    <definedName name="_1539__FDSAUDITLINK__" hidden="1">{"fdsup://directions/FAT Viewer?action=UPDATE&amp;creator=factset&amp;DYN_ARGS=TRUE&amp;DOC_NAME=FAT:FQL_AUDITING_CLIENT_TEMPLATE.FAT&amp;display_string=Audit&amp;VAR:KEY=DWROLQJYRO&amp;VAR:QUERY=RkZfUkRfRVhQKENBTCwzODM1MiwsLCwp&amp;WINDOW=FIRST_POPUP&amp;HEIGHT=450&amp;WIDTH=450&amp;START_MAXIMI","ZED=FALSE&amp;VAR:CALENDAR=US&amp;VAR:SYMBOL=ABT&amp;VAR:INDEX=0"}</definedName>
    <definedName name="_154__FDSAUDITLINK__" hidden="1">{"fdsup://directions/FAT%20Viewer?VAR:TM=NTMA&amp;VAR:PCT=0.161644&amp;VAR:Y0=2007&amp;VAR:Y1=2008&amp;VAR:V0=16.182796&amp;VAR:V1=14.339024&amp;VAR:V=14.608057&amp;VAR:AUDIT_ID=00000117&amp;VAR:DATE=20071102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Aggregates&amp;VAR:MEASURE=PE_MEAN&amp;VAR:CALC_MODE=PORTFOLIO&amp;VAR:CHGPERIOD=NA&amp;VAR:FQLFORMULA=FMA_PE&amp;VAR:CURRENCY=USD&amp;VAR:P=1","509.651700&amp;VAR:THRESH=||||||&amp;VAR:null=.html"}</definedName>
    <definedName name="_1540__FDSAUDITLINK__" hidden="1">{"fdsup://directions/FAT Viewer?action=UPDATE&amp;creator=factset&amp;DYN_ARGS=TRUE&amp;DOC_NAME=FAT:FQL_AUDITING_CLIENT_TEMPLATE.FAT&amp;display_string=Audit&amp;VAR:KEY=JOTAHWPUXS&amp;VAR:QUERY=RkZfUkRfRVhQKENBTCw0MDU0MywsLCwp&amp;WINDOW=FIRST_POPUP&amp;HEIGHT=450&amp;WIDTH=450&amp;START_MAXIMI","ZED=FALSE&amp;VAR:CALENDAR=US&amp;VAR:SYMBOL=687044&amp;VAR:INDEX=0"}</definedName>
    <definedName name="_1541__FDSAUDITLINK__" hidden="1">{"fdsup://directions/FAT Viewer?action=UPDATE&amp;creator=factset&amp;DYN_ARGS=TRUE&amp;DOC_NAME=FAT:FQL_AUDITING_CLIENT_TEMPLATE.FAT&amp;display_string=Audit&amp;VAR:KEY=JSFKTSLWZU&amp;VAR:QUERY=RkZfUkRfRVhQKENBTCw0MDE3OCwsLCwp&amp;WINDOW=FIRST_POPUP&amp;HEIGHT=450&amp;WIDTH=450&amp;START_MAXIMI","ZED=FALSE&amp;VAR:CALENDAR=US&amp;VAR:SYMBOL=687044&amp;VAR:INDEX=0"}</definedName>
    <definedName name="_1542__FDSAUDITLINK__" hidden="1">{"fdsup://directions/FAT Viewer?action=UPDATE&amp;creator=factset&amp;DYN_ARGS=TRUE&amp;DOC_NAME=FAT:FQL_AUDITING_CLIENT_TEMPLATE.FAT&amp;display_string=Audit&amp;VAR:KEY=BWLSXWFQJQ&amp;VAR:QUERY=RkZfUkRfRVhQKENBTCwzOTgxMywsLCwp&amp;WINDOW=FIRST_POPUP&amp;HEIGHT=450&amp;WIDTH=450&amp;START_MAXIMI","ZED=FALSE&amp;VAR:CALENDAR=US&amp;VAR:SYMBOL=687044&amp;VAR:INDEX=0"}</definedName>
    <definedName name="_1543__FDSAUDITLINK__" hidden="1">{"fdsup://directions/FAT Viewer?action=UPDATE&amp;creator=factset&amp;DYN_ARGS=TRUE&amp;DOC_NAME=FAT:FQL_AUDITING_CLIENT_TEMPLATE.FAT&amp;display_string=Audit&amp;VAR:KEY=RSBIBMVATE&amp;VAR:QUERY=RkZfUkRfRVhQKENBTCwzOTQ0NywsLCwp&amp;WINDOW=FIRST_POPUP&amp;HEIGHT=450&amp;WIDTH=450&amp;START_MAXIMI","ZED=FALSE&amp;VAR:CALENDAR=US&amp;VAR:SYMBOL=687044&amp;VAR:INDEX=0"}</definedName>
    <definedName name="_1544__FDSAUDITLINK__" hidden="1">{"fdsup://directions/FAT Viewer?action=UPDATE&amp;creator=factset&amp;DYN_ARGS=TRUE&amp;DOC_NAME=FAT:FQL_AUDITING_CLIENT_TEMPLATE.FAT&amp;display_string=Audit&amp;VAR:KEY=BMBQFCROBS&amp;VAR:QUERY=RkZfUkRfRVhQKENBTCwzOTA4MiwsLCwp&amp;WINDOW=FIRST_POPUP&amp;HEIGHT=450&amp;WIDTH=450&amp;START_MAXIMI","ZED=FALSE&amp;VAR:CALENDAR=US&amp;VAR:SYMBOL=687044&amp;VAR:INDEX=0"}</definedName>
    <definedName name="_1545__FDSAUDITLINK__" hidden="1">{"fdsup://directions/FAT Viewer?action=UPDATE&amp;creator=factset&amp;DYN_ARGS=TRUE&amp;DOC_NAME=FAT:FQL_AUDITING_CLIENT_TEMPLATE.FAT&amp;display_string=Audit&amp;VAR:KEY=PSVODMRWBK&amp;VAR:QUERY=RkZfUkRfRVhQKENBTCwzODcxNywsLCwp&amp;WINDOW=FIRST_POPUP&amp;HEIGHT=450&amp;WIDTH=450&amp;START_MAXIMI","ZED=FALSE&amp;VAR:CALENDAR=US&amp;VAR:SYMBOL=687044&amp;VAR:INDEX=0"}</definedName>
    <definedName name="_1546__FDSAUDITLINK__" hidden="1">{"fdsup://directions/FAT Viewer?action=UPDATE&amp;creator=factset&amp;DYN_ARGS=TRUE&amp;DOC_NAME=FAT:FQL_AUDITING_CLIENT_TEMPLATE.FAT&amp;display_string=Audit&amp;VAR:KEY=XETOTYBIDC&amp;VAR:QUERY=RkZfUkRfRVhQKENBTCwzODM1MiwsLCwp&amp;WINDOW=FIRST_POPUP&amp;HEIGHT=450&amp;WIDTH=450&amp;START_MAXIMI","ZED=FALSE&amp;VAR:CALENDAR=US&amp;VAR:SYMBOL=687044&amp;VAR:INDEX=0"}</definedName>
    <definedName name="_1547__FDSAUDITLINK__" hidden="1">{"fdsup://directions/FAT Viewer?action=UPDATE&amp;creator=factset&amp;DYN_ARGS=TRUE&amp;DOC_NAME=FAT:FQL_AUDITING_CLIENT_TEMPLATE.FAT&amp;display_string=Audit&amp;VAR:KEY=ZYDGDSXIPY&amp;VAR:QUERY=RkZfUkRfRVhQKENBTCwzNzk4NiwsLCwp&amp;WINDOW=FIRST_POPUP&amp;HEIGHT=450&amp;WIDTH=450&amp;START_MAXIMI","ZED=FALSE&amp;VAR:CALENDAR=US&amp;VAR:SYMBOL=687044&amp;VAR:INDEX=0"}</definedName>
    <definedName name="_1548__FDSAUDITLINK__" hidden="1">{"fdsup://directions/FAT Viewer?action=UPDATE&amp;creator=factset&amp;DYN_ARGS=TRUE&amp;DOC_NAME=FAT:FQL_AUDITING_CLIENT_TEMPLATE.FAT&amp;display_string=Audit&amp;VAR:KEY=RQPKHUZILY&amp;VAR:QUERY=RkZfUkRfRVhQKENBTCw0MDU0MywsLCwp&amp;WINDOW=FIRST_POPUP&amp;HEIGHT=450&amp;WIDTH=450&amp;START_MAXIMI","ZED=FALSE&amp;VAR:CALENDAR=US&amp;VAR:SYMBOL=BMY&amp;VAR:INDEX=0"}</definedName>
    <definedName name="_1549__FDSAUDITLINK__" hidden="1">{"fdsup://directions/FAT Viewer?action=UPDATE&amp;creator=factset&amp;DYN_ARGS=TRUE&amp;DOC_NAME=FAT:FQL_AUDITING_CLIENT_TEMPLATE.FAT&amp;display_string=Audit&amp;VAR:KEY=ZKHEPOXWFO&amp;VAR:QUERY=RkZfUkRfRVhQKENBTCw0MDE3OCwsLCwp&amp;WINDOW=FIRST_POPUP&amp;HEIGHT=450&amp;WIDTH=450&amp;START_MAXIMI","ZED=FALSE&amp;VAR:CALENDAR=US&amp;VAR:SYMBOL=BMY&amp;VAR:INDEX=0"}</definedName>
    <definedName name="_155__FDSAUDITLINK__" hidden="1">{"fdsup://directions/FAT%20Viewer?VAR:TM=NTMA&amp;VAR:PCT=0.180822&amp;VAR:Y0=2007&amp;VAR:Y1=2008&amp;VAR:V0=16.437965&amp;VAR:V1=14.574603&amp;VAR:V=14.879597&amp;VAR:AUDIT_ID=00000117&amp;VAR:DATE=20071026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Aggregates&amp;VAR:MEASURE=PE_MEAN&amp;VAR:CALC_MODE=PORTFOLIO&amp;VAR:CHGPERIOD=NA&amp;VAR:FQLFORMULA=FMA_PE&amp;VAR:CURRENCY=USD&amp;VAR:P=1","535.277500&amp;VAR:THRESH=||||||&amp;VAR:null=.html"}</definedName>
    <definedName name="_1550__FDSAUDITLINK__" hidden="1">{"fdsup://directions/FAT Viewer?action=UPDATE&amp;creator=factset&amp;DYN_ARGS=TRUE&amp;DOC_NAME=FAT:FQL_AUDITING_CLIENT_TEMPLATE.FAT&amp;display_string=Audit&amp;VAR:KEY=NWVSBKDCPE&amp;VAR:QUERY=RkZfUkRfRVhQKENBTCwzOTgxMywsLCwp&amp;WINDOW=FIRST_POPUP&amp;HEIGHT=450&amp;WIDTH=450&amp;START_MAXIMI","ZED=FALSE&amp;VAR:CALENDAR=US&amp;VAR:SYMBOL=BMY&amp;VAR:INDEX=0"}</definedName>
    <definedName name="_1551__FDSAUDITLINK__" hidden="1">{"fdsup://directions/FAT Viewer?action=UPDATE&amp;creator=factset&amp;DYN_ARGS=TRUE&amp;DOC_NAME=FAT:FQL_AUDITING_CLIENT_TEMPLATE.FAT&amp;display_string=Audit&amp;VAR:KEY=RSXSPYNOFE&amp;VAR:QUERY=RkZfUkRfRVhQKENBTCwzOTQ0NywsLCwp&amp;WINDOW=FIRST_POPUP&amp;HEIGHT=450&amp;WIDTH=450&amp;START_MAXIMI","ZED=FALSE&amp;VAR:CALENDAR=US&amp;VAR:SYMBOL=BMY&amp;VAR:INDEX=0"}</definedName>
    <definedName name="_1552__FDSAUDITLINK__" hidden="1">{"fdsup://directions/FAT Viewer?action=UPDATE&amp;creator=factset&amp;DYN_ARGS=TRUE&amp;DOC_NAME=FAT:FQL_AUDITING_CLIENT_TEMPLATE.FAT&amp;display_string=Audit&amp;VAR:KEY=LKDOVYBADY&amp;VAR:QUERY=RkZfUkRfRVhQKENBTCwzOTA4MiwsLCwp&amp;WINDOW=FIRST_POPUP&amp;HEIGHT=450&amp;WIDTH=450&amp;START_MAXIMI","ZED=FALSE&amp;VAR:CALENDAR=US&amp;VAR:SYMBOL=BMY&amp;VAR:INDEX=0"}</definedName>
    <definedName name="_1553__FDSAUDITLINK__" hidden="1">{"fdsup://directions/FAT Viewer?action=UPDATE&amp;creator=factset&amp;DYN_ARGS=TRUE&amp;DOC_NAME=FAT:FQL_AUDITING_CLIENT_TEMPLATE.FAT&amp;display_string=Audit&amp;VAR:KEY=LQFUHMHSHG&amp;VAR:QUERY=RkZfUkRfRVhQKENBTCwzODcxNywsLCwp&amp;WINDOW=FIRST_POPUP&amp;HEIGHT=450&amp;WIDTH=450&amp;START_MAXIMI","ZED=FALSE&amp;VAR:CALENDAR=US&amp;VAR:SYMBOL=BMY&amp;VAR:INDEX=0"}</definedName>
    <definedName name="_1554__FDSAUDITLINK__" hidden="1">{"fdsup://directions/FAT Viewer?action=UPDATE&amp;creator=factset&amp;DYN_ARGS=TRUE&amp;DOC_NAME=FAT:FQL_AUDITING_CLIENT_TEMPLATE.FAT&amp;display_string=Audit&amp;VAR:KEY=FQBKHMBUDK&amp;VAR:QUERY=RkZfUkRfRVhQKENBTCwzODM1MiwsLCwp&amp;WINDOW=FIRST_POPUP&amp;HEIGHT=450&amp;WIDTH=450&amp;START_MAXIMI","ZED=FALSE&amp;VAR:CALENDAR=US&amp;VAR:SYMBOL=BMY&amp;VAR:INDEX=0"}</definedName>
    <definedName name="_1555__FDSAUDITLINK__" hidden="1">{"fdsup://directions/FAT Viewer?action=UPDATE&amp;creator=factset&amp;DYN_ARGS=TRUE&amp;DOC_NAME=FAT:FQL_AUDITING_CLIENT_TEMPLATE.FAT&amp;display_string=Audit&amp;VAR:KEY=BOHSRQTWRY&amp;VAR:QUERY=RkZfUkRfRVhQKENBTCw0MDU0MywsLCwp&amp;WINDOW=FIRST_POPUP&amp;HEIGHT=450&amp;WIDTH=450&amp;START_MAXIMI","ZED=FALSE&amp;VAR:CALENDAR=US&amp;VAR:SYMBOL=LLY&amp;VAR:INDEX=0"}</definedName>
    <definedName name="_1556__FDSAUDITLINK__" hidden="1">{"fdsup://directions/FAT Viewer?action=UPDATE&amp;creator=factset&amp;DYN_ARGS=TRUE&amp;DOC_NAME=FAT:FQL_AUDITING_CLIENT_TEMPLATE.FAT&amp;display_string=Audit&amp;VAR:KEY=BEDERGXQVO&amp;VAR:QUERY=RkZfUkRfRVhQKENBTCw0MDE3OCwsLCwp&amp;WINDOW=FIRST_POPUP&amp;HEIGHT=450&amp;WIDTH=450&amp;START_MAXIMI","ZED=FALSE&amp;VAR:CALENDAR=US&amp;VAR:SYMBOL=LLY&amp;VAR:INDEX=0"}</definedName>
    <definedName name="_1557__FDSAUDITLINK__" hidden="1">{"fdsup://directions/FAT Viewer?action=UPDATE&amp;creator=factset&amp;DYN_ARGS=TRUE&amp;DOC_NAME=FAT:FQL_AUDITING_CLIENT_TEMPLATE.FAT&amp;display_string=Audit&amp;VAR:KEY=RCRMLCNWPG&amp;VAR:QUERY=RkZfUkRfRVhQKENBTCwzOTgxMywsLCwp&amp;WINDOW=FIRST_POPUP&amp;HEIGHT=450&amp;WIDTH=450&amp;START_MAXIMI","ZED=FALSE&amp;VAR:CALENDAR=US&amp;VAR:SYMBOL=LLY&amp;VAR:INDEX=0"}</definedName>
    <definedName name="_1558__FDSAUDITLINK__" hidden="1">{"fdsup://directions/FAT Viewer?action=UPDATE&amp;creator=factset&amp;DYN_ARGS=TRUE&amp;DOC_NAME=FAT:FQL_AUDITING_CLIENT_TEMPLATE.FAT&amp;display_string=Audit&amp;VAR:KEY=HEPKDCHMJW&amp;VAR:QUERY=RkZfUkRfRVhQKENBTCwzOTQ0NywsLCwp&amp;WINDOW=FIRST_POPUP&amp;HEIGHT=450&amp;WIDTH=450&amp;START_MAXIMI","ZED=FALSE&amp;VAR:CALENDAR=US&amp;VAR:SYMBOL=LLY&amp;VAR:INDEX=0"}</definedName>
    <definedName name="_1559__FDSAUDITLINK__" hidden="1">{"fdsup://directions/FAT Viewer?action=UPDATE&amp;creator=factset&amp;DYN_ARGS=TRUE&amp;DOC_NAME=FAT:FQL_AUDITING_CLIENT_TEMPLATE.FAT&amp;display_string=Audit&amp;VAR:KEY=FENANCDSZW&amp;VAR:QUERY=RkZfUkRfRVhQKENBTCwzOTA4MiwsLCwp&amp;WINDOW=FIRST_POPUP&amp;HEIGHT=450&amp;WIDTH=450&amp;START_MAXIMI","ZED=FALSE&amp;VAR:CALENDAR=US&amp;VAR:SYMBOL=LLY&amp;VAR:INDEX=0"}</definedName>
    <definedName name="_156__FDSAUDITLINK__" hidden="1">{"fdsup://directions/FAT%20Viewer?VAR:TM=NTMA&amp;VAR:PCT=0.200000&amp;VAR:Y0=2007&amp;VAR:Y1=2008&amp;VAR:V0=16.030287&amp;VAR:V1=14.241964&amp;VAR:V=14.566980&amp;VAR:AUDIT_ID=00000117&amp;VAR:DATE=20071019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Aggregates&amp;VAR:MEASURE=PE_MEAN&amp;VAR:CALC_MODE=PORTFOLIO&amp;VAR:CHGPERIOD=NA&amp;VAR:FQLFORMULA=FMA_PE&amp;VAR:CURRENCY=USD&amp;VAR:P=1","500.631000&amp;VAR:THRESH=||||||&amp;VAR:null=.html"}</definedName>
    <definedName name="_1560__FDSAUDITLINK__" hidden="1">{"fdsup://directions/FAT Viewer?action=UPDATE&amp;creator=factset&amp;DYN_ARGS=TRUE&amp;DOC_NAME=FAT:FQL_AUDITING_CLIENT_TEMPLATE.FAT&amp;display_string=Audit&amp;VAR:KEY=BUFUPIJOPY&amp;VAR:QUERY=RkZfUkRfRVhQKENBTCwzODcxNywsLCwp&amp;WINDOW=FIRST_POPUP&amp;HEIGHT=450&amp;WIDTH=450&amp;START_MAXIMI","ZED=FALSE&amp;VAR:CALENDAR=US&amp;VAR:SYMBOL=LLY&amp;VAR:INDEX=0"}</definedName>
    <definedName name="_1561__FDSAUDITLINK__" hidden="1">{"fdsup://directions/FAT Viewer?action=UPDATE&amp;creator=factset&amp;DYN_ARGS=TRUE&amp;DOC_NAME=FAT:FQL_AUDITING_CLIENT_TEMPLATE.FAT&amp;display_string=Audit&amp;VAR:KEY=FITARQDYHC&amp;VAR:QUERY=RkZfUkRfRVhQKENBTCwzODM1MiwsLCwp&amp;WINDOW=FIRST_POPUP&amp;HEIGHT=450&amp;WIDTH=450&amp;START_MAXIMI","ZED=FALSE&amp;VAR:CALENDAR=US&amp;VAR:SYMBOL=LLY&amp;VAR:INDEX=0"}</definedName>
    <definedName name="_1562__FDSAUDITLINK__" hidden="1">{"fdsup://directions/FAT Viewer?action=UPDATE&amp;creator=factset&amp;DYN_ARGS=TRUE&amp;DOC_NAME=FAT:FQL_AUDITING_CLIENT_TEMPLATE.FAT&amp;display_string=Audit&amp;VAR:KEY=HCLIXKLATC&amp;VAR:QUERY=RkZfUkRfRVhQKENBTCw0MDU0MywsLCwp&amp;WINDOW=FIRST_POPUP&amp;HEIGHT=450&amp;WIDTH=450&amp;START_MAXIMI","ZED=FALSE&amp;VAR:CALENDAR=US&amp;VAR:SYMBOL=506921&amp;VAR:INDEX=0"}</definedName>
    <definedName name="_1563__FDSAUDITLINK__" hidden="1">{"fdsup://directions/FAT Viewer?action=UPDATE&amp;creator=factset&amp;DYN_ARGS=TRUE&amp;DOC_NAME=FAT:FQL_AUDITING_CLIENT_TEMPLATE.FAT&amp;display_string=Audit&amp;VAR:KEY=ZSRUDMXUFC&amp;VAR:QUERY=RkZfUkRfRVhQKENBTCw0MDE3OCwsLCwp&amp;WINDOW=FIRST_POPUP&amp;HEIGHT=450&amp;WIDTH=450&amp;START_MAXIMI","ZED=FALSE&amp;VAR:CALENDAR=US&amp;VAR:SYMBOL=506921&amp;VAR:INDEX=0"}</definedName>
    <definedName name="_1564__FDSAUDITLINK__" hidden="1">{"fdsup://directions/FAT Viewer?action=UPDATE&amp;creator=factset&amp;DYN_ARGS=TRUE&amp;DOC_NAME=FAT:FQL_AUDITING_CLIENT_TEMPLATE.FAT&amp;display_string=Audit&amp;VAR:KEY=RAHQNINYXK&amp;VAR:QUERY=RkZfUkRfRVhQKENBTCwzOTgxMywsLCwp&amp;WINDOW=FIRST_POPUP&amp;HEIGHT=450&amp;WIDTH=450&amp;START_MAXIMI","ZED=FALSE&amp;VAR:CALENDAR=US&amp;VAR:SYMBOL=506921&amp;VAR:INDEX=0"}</definedName>
    <definedName name="_1565__FDSAUDITLINK__" hidden="1">{"fdsup://directions/FAT Viewer?action=UPDATE&amp;creator=factset&amp;DYN_ARGS=TRUE&amp;DOC_NAME=FAT:FQL_AUDITING_CLIENT_TEMPLATE.FAT&amp;display_string=Audit&amp;VAR:KEY=RWDWLABEJW&amp;VAR:QUERY=RkZfUkRfRVhQKENBTCwzOTQ0NywsLCwp&amp;WINDOW=FIRST_POPUP&amp;HEIGHT=450&amp;WIDTH=450&amp;START_MAXIMI","ZED=FALSE&amp;VAR:CALENDAR=US&amp;VAR:SYMBOL=506921&amp;VAR:INDEX=0"}</definedName>
    <definedName name="_1566__FDSAUDITLINK__" hidden="1">{"fdsup://directions/FAT Viewer?action=UPDATE&amp;creator=factset&amp;DYN_ARGS=TRUE&amp;DOC_NAME=FAT:FQL_AUDITING_CLIENT_TEMPLATE.FAT&amp;display_string=Audit&amp;VAR:KEY=FGJCBIHEHA&amp;VAR:QUERY=RkZfUkRfRVhQKENBTCwzOTA4MiwsLCwp&amp;WINDOW=FIRST_POPUP&amp;HEIGHT=450&amp;WIDTH=450&amp;START_MAXIMI","ZED=FALSE&amp;VAR:CALENDAR=US&amp;VAR:SYMBOL=506921&amp;VAR:INDEX=0"}</definedName>
    <definedName name="_1567__FDSAUDITLINK__" hidden="1">{"fdsup://directions/FAT Viewer?action=UPDATE&amp;creator=factset&amp;DYN_ARGS=TRUE&amp;DOC_NAME=FAT:FQL_AUDITING_CLIENT_TEMPLATE.FAT&amp;display_string=Audit&amp;VAR:KEY=BYZCRITIBW&amp;VAR:QUERY=RkZfUkRfRVhQKENBTCwzODcxNywsLCwp&amp;WINDOW=FIRST_POPUP&amp;HEIGHT=450&amp;WIDTH=450&amp;START_MAXIMI","ZED=FALSE&amp;VAR:CALENDAR=US&amp;VAR:SYMBOL=506921&amp;VAR:INDEX=0"}</definedName>
    <definedName name="_1568__FDSAUDITLINK__" hidden="1">{"fdsup://directions/FAT Viewer?action=UPDATE&amp;creator=factset&amp;DYN_ARGS=TRUE&amp;DOC_NAME=FAT:FQL_AUDITING_CLIENT_TEMPLATE.FAT&amp;display_string=Audit&amp;VAR:KEY=FINCFGZWNE&amp;VAR:QUERY=RkZfUkRfRVhQKENBTCw0MDU0MywsLCwp&amp;WINDOW=FIRST_POPUP&amp;HEIGHT=450&amp;WIDTH=450&amp;START_MAXIMI","ZED=FALSE&amp;VAR:CALENDAR=US&amp;VAR:SYMBOL=567173&amp;VAR:INDEX=0"}</definedName>
    <definedName name="_1569__FDSAUDITLINK__" hidden="1">{"fdsup://directions/FAT Viewer?action=UPDATE&amp;creator=factset&amp;DYN_ARGS=TRUE&amp;DOC_NAME=FAT:FQL_AUDITING_CLIENT_TEMPLATE.FAT&amp;display_string=Audit&amp;VAR:KEY=XKDWJCVMXO&amp;VAR:QUERY=RkZfUkRfRVhQKENBTCw0MDE3OCwsLCwp&amp;WINDOW=FIRST_POPUP&amp;HEIGHT=450&amp;WIDTH=450&amp;START_MAXIMI","ZED=FALSE&amp;VAR:CALENDAR=US&amp;VAR:SYMBOL=567173&amp;VAR:INDEX=0"}</definedName>
    <definedName name="_157__FDSAUDITLINK__" hidden="1">{"fdsup://directions/FAT%20Viewer?VAR:TM=NTMA&amp;VAR:PCT=0.219178&amp;VAR:Y0=2007&amp;VAR:Y1=2008&amp;VAR:V0=16.650010&amp;VAR:V1=14.782745&amp;VAR:V=15.155267&amp;VAR:AUDIT_ID=00000117&amp;VAR:DATE=20071012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Aggregates&amp;VAR:MEASURE=PE_MEAN&amp;VAR:CALC_MODE=PORTFOLIO&amp;VAR:CHGPERIOD=NA&amp;VAR:FQLFORMULA=FMA_PE&amp;VAR:CURRENCY=USD&amp;VAR:P=1","561.800700&amp;VAR:THRESH=||||||&amp;VAR:null=.html"}</definedName>
    <definedName name="_1570__FDSAUDITLINK__" hidden="1">{"fdsup://directions/FAT Viewer?action=UPDATE&amp;creator=factset&amp;DYN_ARGS=TRUE&amp;DOC_NAME=FAT:FQL_AUDITING_CLIENT_TEMPLATE.FAT&amp;display_string=Audit&amp;VAR:KEY=PGJGJQBYXO&amp;VAR:QUERY=RkZfUkRfRVhQKENBTCwzOTgxMywsLCwp&amp;WINDOW=FIRST_POPUP&amp;HEIGHT=450&amp;WIDTH=450&amp;START_MAXIMI","ZED=FALSE&amp;VAR:CALENDAR=US&amp;VAR:SYMBOL=567173&amp;VAR:INDEX=0"}</definedName>
    <definedName name="_1571__FDSAUDITLINK__" hidden="1">{"fdsup://directions/FAT Viewer?action=UPDATE&amp;creator=factset&amp;DYN_ARGS=TRUE&amp;DOC_NAME=FAT:FQL_AUDITING_CLIENT_TEMPLATE.FAT&amp;display_string=Audit&amp;VAR:KEY=RWLEDIBETI&amp;VAR:QUERY=RkZfUkRfRVhQKENBTCwzOTQ0NywsLCwp&amp;WINDOW=FIRST_POPUP&amp;HEIGHT=450&amp;WIDTH=450&amp;START_MAXIMI","ZED=FALSE&amp;VAR:CALENDAR=US&amp;VAR:SYMBOL=567173&amp;VAR:INDEX=0"}</definedName>
    <definedName name="_1572__FDSAUDITLINK__" hidden="1">{"fdsup://directions/FAT Viewer?action=UPDATE&amp;creator=factset&amp;DYN_ARGS=TRUE&amp;DOC_NAME=FAT:FQL_AUDITING_CLIENT_TEMPLATE.FAT&amp;display_string=Audit&amp;VAR:KEY=VWPMVGBIVA&amp;VAR:QUERY=RkZfUkRfRVhQKENBTCwzOTA4MiwsLCwp&amp;WINDOW=FIRST_POPUP&amp;HEIGHT=450&amp;WIDTH=450&amp;START_MAXIMI","ZED=FALSE&amp;VAR:CALENDAR=US&amp;VAR:SYMBOL=567173&amp;VAR:INDEX=0"}</definedName>
    <definedName name="_1573__FDSAUDITLINK__" hidden="1">{"fdsup://directions/FAT Viewer?action=UPDATE&amp;creator=factset&amp;DYN_ARGS=TRUE&amp;DOC_NAME=FAT:FQL_AUDITING_CLIENT_TEMPLATE.FAT&amp;display_string=Audit&amp;VAR:KEY=ZGNEJWTYPU&amp;VAR:QUERY=RkZfUkRfRVhQKENBTCwzODcxNywsLCwp&amp;WINDOW=FIRST_POPUP&amp;HEIGHT=450&amp;WIDTH=450&amp;START_MAXIMI","ZED=FALSE&amp;VAR:CALENDAR=US&amp;VAR:SYMBOL=567173&amp;VAR:INDEX=0"}</definedName>
    <definedName name="_1574__FDSAUDITLINK__" hidden="1">{"fdsup://directions/FAT Viewer?action=UPDATE&amp;creator=factset&amp;DYN_ARGS=TRUE&amp;DOC_NAME=FAT:FQL_AUDITING_CLIENT_TEMPLATE.FAT&amp;display_string=Audit&amp;VAR:KEY=LGVSXMXGRE&amp;VAR:QUERY=RkZfUkRfRVhQKENBTCw0MDU0MywsLCwp&amp;WINDOW=FIRST_POPUP&amp;HEIGHT=450&amp;WIDTH=450&amp;START_MAXIMI","ZED=FALSE&amp;VAR:CALENDAR=US&amp;VAR:SYMBOL=JNJ&amp;VAR:INDEX=0"}</definedName>
    <definedName name="_1575__FDSAUDITLINK__" hidden="1">{"fdsup://directions/FAT Viewer?action=UPDATE&amp;creator=factset&amp;DYN_ARGS=TRUE&amp;DOC_NAME=FAT:FQL_AUDITING_CLIENT_TEMPLATE.FAT&amp;display_string=Audit&amp;VAR:KEY=HIHGTUVWJM&amp;VAR:QUERY=RkZfUkRfRVhQKENBTCw0MDE3OCwsLCwp&amp;WINDOW=FIRST_POPUP&amp;HEIGHT=450&amp;WIDTH=450&amp;START_MAXIMI","ZED=FALSE&amp;VAR:CALENDAR=US&amp;VAR:SYMBOL=JNJ&amp;VAR:INDEX=0"}</definedName>
    <definedName name="_1576__FDSAUDITLINK__" hidden="1">{"fdsup://directions/FAT Viewer?action=UPDATE&amp;creator=factset&amp;DYN_ARGS=TRUE&amp;DOC_NAME=FAT:FQL_AUDITING_CLIENT_TEMPLATE.FAT&amp;display_string=Audit&amp;VAR:KEY=NQLIFKBKPW&amp;VAR:QUERY=RkZfUkRfRVhQKENBTCwzOTgxMywsLCwp&amp;WINDOW=FIRST_POPUP&amp;HEIGHT=450&amp;WIDTH=450&amp;START_MAXIMI","ZED=FALSE&amp;VAR:CALENDAR=US&amp;VAR:SYMBOL=JNJ&amp;VAR:INDEX=0"}</definedName>
    <definedName name="_1577__FDSAUDITLINK__" hidden="1">{"fdsup://directions/FAT Viewer?action=UPDATE&amp;creator=factset&amp;DYN_ARGS=TRUE&amp;DOC_NAME=FAT:FQL_AUDITING_CLIENT_TEMPLATE.FAT&amp;display_string=Audit&amp;VAR:KEY=FYLUREVORG&amp;VAR:QUERY=RkZfUkRfRVhQKENBTCwzOTQ0NywsLCwp&amp;WINDOW=FIRST_POPUP&amp;HEIGHT=450&amp;WIDTH=450&amp;START_MAXIMI","ZED=FALSE&amp;VAR:CALENDAR=US&amp;VAR:SYMBOL=JNJ&amp;VAR:INDEX=0"}</definedName>
    <definedName name="_1578__FDSAUDITLINK__" hidden="1">{"fdsup://directions/FAT Viewer?action=UPDATE&amp;creator=factset&amp;DYN_ARGS=TRUE&amp;DOC_NAME=FAT:FQL_AUDITING_CLIENT_TEMPLATE.FAT&amp;display_string=Audit&amp;VAR:KEY=BUPWHWVEFO&amp;VAR:QUERY=RkZfUkRfRVhQKENBTCwzOTA4MiwsLCwp&amp;WINDOW=FIRST_POPUP&amp;HEIGHT=450&amp;WIDTH=450&amp;START_MAXIMI","ZED=FALSE&amp;VAR:CALENDAR=US&amp;VAR:SYMBOL=JNJ&amp;VAR:INDEX=0"}</definedName>
    <definedName name="_1579__FDSAUDITLINK__" hidden="1">{"fdsup://directions/FAT Viewer?action=UPDATE&amp;creator=factset&amp;DYN_ARGS=TRUE&amp;DOC_NAME=FAT:FQL_AUDITING_CLIENT_TEMPLATE.FAT&amp;display_string=Audit&amp;VAR:KEY=BIZGFAZSLE&amp;VAR:QUERY=RkZfUkRfRVhQKENBTCwzODcxNywsLCwp&amp;WINDOW=FIRST_POPUP&amp;HEIGHT=450&amp;WIDTH=450&amp;START_MAXIMI","ZED=FALSE&amp;VAR:CALENDAR=US&amp;VAR:SYMBOL=JNJ&amp;VAR:INDEX=0"}</definedName>
    <definedName name="_158__FDSAUDITLINK__" hidden="1">{"fdsup://directions/FAT%20Viewer?VAR:TM=NTMA&amp;VAR:PCT=0.238356&amp;VAR:Y0=2007&amp;VAR:Y1=2008&amp;VAR:V0=16.543629&amp;VAR:V1=14.733152&amp;VAR:V=15.127758&amp;VAR:AUDIT_ID=00000117&amp;VAR:DATE=20071005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Aggregates&amp;VAR:MEASURE=PE_MEAN&amp;VAR:CALC_MODE=PORTFOLIO&amp;VAR:CHGPERIOD=NA&amp;VAR:FQLFORMULA=FMA_PE&amp;VAR:CURRENCY=USD&amp;VAR:P=1","557.593100&amp;VAR:THRESH=||||||&amp;VAR:null=.html"}</definedName>
    <definedName name="_1580__FDSAUDITLINK__" hidden="1">{"fdsup://directions/FAT Viewer?action=UPDATE&amp;creator=factset&amp;DYN_ARGS=TRUE&amp;DOC_NAME=FAT:FQL_AUDITING_CLIENT_TEMPLATE.FAT&amp;display_string=Audit&amp;VAR:KEY=FQZEXGVUHG&amp;VAR:QUERY=RkZfUkRfRVhQKENBTCwzODM1MiwsLCwp&amp;WINDOW=FIRST_POPUP&amp;HEIGHT=450&amp;WIDTH=450&amp;START_MAXIMI","ZED=FALSE&amp;VAR:CALENDAR=US&amp;VAR:SYMBOL=JNJ&amp;VAR:INDEX=0"}</definedName>
    <definedName name="_1581__FDSAUDITLINK__" hidden="1">{"fdsup://directions/FAT Viewer?action=UPDATE&amp;creator=factset&amp;DYN_ARGS=TRUE&amp;DOC_NAME=FAT:FQL_AUDITING_CLIENT_TEMPLATE.FAT&amp;display_string=Audit&amp;VAR:KEY=LEFUXOTGLS&amp;VAR:QUERY=RkZfUkRfRVhQKENBTCw0MDU0MywsLCwp&amp;WINDOW=FIRST_POPUP&amp;HEIGHT=450&amp;WIDTH=450&amp;START_MAXIMI","ZED=FALSE&amp;VAR:CALENDAR=US&amp;VAR:SYMBOL=710306&amp;VAR:INDEX=0"}</definedName>
    <definedName name="_1582__FDSAUDITLINK__" hidden="1">{"fdsup://directions/FAT Viewer?action=UPDATE&amp;creator=factset&amp;DYN_ARGS=TRUE&amp;DOC_NAME=FAT:FQL_AUDITING_CLIENT_TEMPLATE.FAT&amp;display_string=Audit&amp;VAR:KEY=XUVINAFIPU&amp;VAR:QUERY=RkZfUkRfRVhQKENBTCw0MDE3OCwsLCwp&amp;WINDOW=FIRST_POPUP&amp;HEIGHT=450&amp;WIDTH=450&amp;START_MAXIMI","ZED=FALSE&amp;VAR:CALENDAR=US&amp;VAR:SYMBOL=710306&amp;VAR:INDEX=0"}</definedName>
    <definedName name="_1583__FDSAUDITLINK__" hidden="1">{"fdsup://directions/FAT Viewer?action=UPDATE&amp;creator=factset&amp;DYN_ARGS=TRUE&amp;DOC_NAME=FAT:FQL_AUDITING_CLIENT_TEMPLATE.FAT&amp;display_string=Audit&amp;VAR:KEY=HKXWJMJSZQ&amp;VAR:QUERY=RkZfUkRfRVhQKENBTCwzOTgxMywsLCwp&amp;WINDOW=FIRST_POPUP&amp;HEIGHT=450&amp;WIDTH=450&amp;START_MAXIMI","ZED=FALSE&amp;VAR:CALENDAR=US&amp;VAR:SYMBOL=710306&amp;VAR:INDEX=0"}</definedName>
    <definedName name="_1584__FDSAUDITLINK__" hidden="1">{"fdsup://directions/FAT Viewer?action=UPDATE&amp;creator=factset&amp;DYN_ARGS=TRUE&amp;DOC_NAME=FAT:FQL_AUDITING_CLIENT_TEMPLATE.FAT&amp;display_string=Audit&amp;VAR:KEY=JONIRWROFI&amp;VAR:QUERY=RkZfUkRfRVhQKENBTCwzOTQ0NywsLCwp&amp;WINDOW=FIRST_POPUP&amp;HEIGHT=450&amp;WIDTH=450&amp;START_MAXIMI","ZED=FALSE&amp;VAR:CALENDAR=US&amp;VAR:SYMBOL=710306&amp;VAR:INDEX=0"}</definedName>
    <definedName name="_1585__FDSAUDITLINK__" hidden="1">{"fdsup://directions/FAT Viewer?action=UPDATE&amp;creator=factset&amp;DYN_ARGS=TRUE&amp;DOC_NAME=FAT:FQL_AUDITING_CLIENT_TEMPLATE.FAT&amp;display_string=Audit&amp;VAR:KEY=BAPYPCNOVG&amp;VAR:QUERY=RkZfUkRfRVhQKENBTCwzOTA4MiwsLCwp&amp;WINDOW=FIRST_POPUP&amp;HEIGHT=450&amp;WIDTH=450&amp;START_MAXIMI","ZED=FALSE&amp;VAR:CALENDAR=US&amp;VAR:SYMBOL=710306&amp;VAR:INDEX=0"}</definedName>
    <definedName name="_1586__FDSAUDITLINK__" hidden="1">{"fdsup://directions/FAT Viewer?action=UPDATE&amp;creator=factset&amp;DYN_ARGS=TRUE&amp;DOC_NAME=FAT:FQL_AUDITING_CLIENT_TEMPLATE.FAT&amp;display_string=Audit&amp;VAR:KEY=VKXURALSNK&amp;VAR:QUERY=RkZfUkRfRVhQKENBTCwzODcxNywsLCwp&amp;WINDOW=FIRST_POPUP&amp;HEIGHT=450&amp;WIDTH=450&amp;START_MAXIMI","ZED=FALSE&amp;VAR:CALENDAR=US&amp;VAR:SYMBOL=710306&amp;VAR:INDEX=0"}</definedName>
    <definedName name="_1587__FDSAUDITLINK__" hidden="1">{"fdsup://directions/FAT Viewer?action=UPDATE&amp;creator=factset&amp;DYN_ARGS=TRUE&amp;DOC_NAME=FAT:FQL_AUDITING_CLIENT_TEMPLATE.FAT&amp;display_string=Audit&amp;VAR:KEY=BUHEBCVYDU&amp;VAR:QUERY=RkZfUkRfRVhQKENBTCw0MDU0MywsLCwp&amp;WINDOW=FIRST_POPUP&amp;HEIGHT=450&amp;WIDTH=450&amp;START_MAXIMI","ZED=FALSE&amp;VAR:CALENDAR=US&amp;VAR:SYMBOL=711038&amp;VAR:INDEX=0"}</definedName>
    <definedName name="_1588__FDSAUDITLINK__" hidden="1">{"fdsup://directions/FAT Viewer?action=UPDATE&amp;creator=factset&amp;DYN_ARGS=TRUE&amp;DOC_NAME=FAT:FQL_AUDITING_CLIENT_TEMPLATE.FAT&amp;display_string=Audit&amp;VAR:KEY=HATKVKBWZI&amp;VAR:QUERY=RkZfUkRfRVhQKENBTCw0MDE3OCwsLCwp&amp;WINDOW=FIRST_POPUP&amp;HEIGHT=450&amp;WIDTH=450&amp;START_MAXIMI","ZED=FALSE&amp;VAR:CALENDAR=US&amp;VAR:SYMBOL=711038&amp;VAR:INDEX=0"}</definedName>
    <definedName name="_1589__FDSAUDITLINK__" hidden="1">{"fdsup://directions/FAT Viewer?action=UPDATE&amp;creator=factset&amp;DYN_ARGS=TRUE&amp;DOC_NAME=FAT:FQL_AUDITING_CLIENT_TEMPLATE.FAT&amp;display_string=Audit&amp;VAR:KEY=XUXGPIZETA&amp;VAR:QUERY=RkZfUkRfRVhQKENBTCwzOTgxMywsLCwp&amp;WINDOW=FIRST_POPUP&amp;HEIGHT=450&amp;WIDTH=450&amp;START_MAXIMI","ZED=FALSE&amp;VAR:CALENDAR=US&amp;VAR:SYMBOL=711038&amp;VAR:INDEX=0"}</definedName>
    <definedName name="_159__FDSAUDITLINK__" hidden="1">{"fdsup://directions/FAT%20Viewer?VAR:TM=NTMA&amp;VAR:PCT=0.257534&amp;VAR:Y0=2007&amp;VAR:Y1=2008&amp;VAR:V0=16.091827&amp;VAR:V1=14.419194&amp;VAR:V=14.815796&amp;VAR:AUDIT_ID=00000117&amp;VAR:DATE=20070928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Aggregates&amp;VAR:MEASURE=PE_MEAN&amp;VAR:CALC_MODE=PORTFOLIO&amp;VAR:CHGPERIOD=NA&amp;VAR:FQLFORMULA=FMA_PE&amp;VAR:CURRENCY=USD&amp;VAR:P=1","526.746700&amp;VAR:THRESH=||||||&amp;VAR:null=.html"}</definedName>
    <definedName name="_1590__FDSAUDITLINK__" hidden="1">{"fdsup://directions/FAT Viewer?action=UPDATE&amp;creator=factset&amp;DYN_ARGS=TRUE&amp;DOC_NAME=FAT:FQL_AUDITING_CLIENT_TEMPLATE.FAT&amp;display_string=Audit&amp;VAR:KEY=LULOLUFSZY&amp;VAR:QUERY=RkZfUkRfRVhQKENBTCwzOTgxMywsLCwp&amp;WINDOW=FIRST_POPUP&amp;HEIGHT=450&amp;WIDTH=450&amp;START_MAXIMI","ZED=FALSE&amp;VAR:CALENDAR=US&amp;VAR:SYMBOL=DNA&amp;VAR:INDEX=0"}</definedName>
    <definedName name="_1591__FDSAUDITLINK__" hidden="1">{"fdsup://directions/FAT Viewer?action=UPDATE&amp;creator=factset&amp;DYN_ARGS=TRUE&amp;DOC_NAME=FAT:FQL_AUDITING_CLIENT_TEMPLATE.FAT&amp;display_string=Audit&amp;VAR:KEY=JQXWLKRQJO&amp;VAR:QUERY=RkZfUkRfRVhQKENBTCwzOTQ0NywsLCwp&amp;WINDOW=FIRST_POPUP&amp;HEIGHT=450&amp;WIDTH=450&amp;START_MAXIMI","ZED=FALSE&amp;VAR:CALENDAR=US&amp;VAR:SYMBOL=DNA&amp;VAR:INDEX=0"}</definedName>
    <definedName name="_1592__FDSAUDITLINK__" hidden="1">{"fdsup://directions/FAT Viewer?action=UPDATE&amp;creator=factset&amp;DYN_ARGS=TRUE&amp;DOC_NAME=FAT:FQL_AUDITING_CLIENT_TEMPLATE.FAT&amp;display_string=Audit&amp;VAR:KEY=HYXWNYRITG&amp;VAR:QUERY=RkZfUkRfRVhQKENBTCwzOTA4MiwsLCwp&amp;WINDOW=FIRST_POPUP&amp;HEIGHT=450&amp;WIDTH=450&amp;START_MAXIMI","ZED=FALSE&amp;VAR:CALENDAR=US&amp;VAR:SYMBOL=DNA&amp;VAR:INDEX=0"}</definedName>
    <definedName name="_1593__FDSAUDITLINK__" hidden="1">{"fdsup://directions/FAT Viewer?action=UPDATE&amp;creator=factset&amp;DYN_ARGS=TRUE&amp;DOC_NAME=FAT:FQL_AUDITING_CLIENT_TEMPLATE.FAT&amp;display_string=Audit&amp;VAR:KEY=FWHQNGDGJY&amp;VAR:QUERY=RkZfUkRfRVhQKENBTCwzODcxNywsLCwp&amp;WINDOW=FIRST_POPUP&amp;HEIGHT=450&amp;WIDTH=450&amp;START_MAXIMI","ZED=FALSE&amp;VAR:CALENDAR=US&amp;VAR:SYMBOL=DNA&amp;VAR:INDEX=0"}</definedName>
    <definedName name="_1594__FDSAUDITLINK__" hidden="1">{"fdsup://directions/FAT Viewer?action=UPDATE&amp;creator=factset&amp;DYN_ARGS=TRUE&amp;DOC_NAME=FAT:FQL_AUDITING_CLIENT_TEMPLATE.FAT&amp;display_string=Audit&amp;VAR:KEY=RQTWDYPOXG&amp;VAR:QUERY=RkZfUkRfRVhQKENBTCwzODM1MiwsLCwp&amp;WINDOW=FIRST_POPUP&amp;HEIGHT=450&amp;WIDTH=450&amp;START_MAXIMI","ZED=FALSE&amp;VAR:CALENDAR=US&amp;VAR:SYMBOL=DNA&amp;VAR:INDEX=0"}</definedName>
    <definedName name="_1595__FDSAUDITLINK__" hidden="1">{"fdsup://directions/FAT Viewer?action=UPDATE&amp;creator=factset&amp;DYN_ARGS=TRUE&amp;DOC_NAME=FAT:FQL_AUDITING_CLIENT_TEMPLATE.FAT&amp;display_string=Audit&amp;VAR:KEY=JGLQLQPQDK&amp;VAR:QUERY=RkZfUkRfRVhQKENBTCw0MDU0MywsLCwp&amp;WINDOW=FIRST_POPUP&amp;HEIGHT=450&amp;WIDTH=450&amp;START_MAXIMI","ZED=FALSE&amp;VAR:CALENDAR=US&amp;VAR:SYMBOL=MRK&amp;VAR:INDEX=0"}</definedName>
    <definedName name="_1596__FDSAUDITLINK__" hidden="1">{"fdsup://directions/FAT Viewer?action=UPDATE&amp;creator=factset&amp;DYN_ARGS=TRUE&amp;DOC_NAME=FAT:FQL_AUDITING_CLIENT_TEMPLATE.FAT&amp;display_string=Audit&amp;VAR:KEY=XMHMROTSFU&amp;VAR:QUERY=RkZfUkRfRVhQKENBTCw0MDE3OCwsLCxVU0Qp&amp;WINDOW=FIRST_POPUP&amp;HEIGHT=450&amp;WIDTH=450&amp;START_MA","XIMIZED=FALSE&amp;VAR:CALENDAR=US&amp;VAR:SYMBOL=MRK&amp;VAR:INDEX=0"}</definedName>
    <definedName name="_1597__FDSAUDITLINK__" hidden="1">{"fdsup://directions/FAT Viewer?action=UPDATE&amp;creator=factset&amp;DYN_ARGS=TRUE&amp;DOC_NAME=FAT:FQL_AUDITING_CLIENT_TEMPLATE.FAT&amp;display_string=Audit&amp;VAR:KEY=BMVWPEJELU&amp;VAR:QUERY=RkZfUkRfRVhQKENBTCwzOTgxMywsLCwp&amp;WINDOW=FIRST_POPUP&amp;HEIGHT=450&amp;WIDTH=450&amp;START_MAXIMI","ZED=FALSE&amp;VAR:CALENDAR=US&amp;VAR:SYMBOL=MRK&amp;VAR:INDEX=0"}</definedName>
    <definedName name="_1598__FDSAUDITLINK__" hidden="1">{"fdsup://directions/FAT Viewer?action=UPDATE&amp;creator=factset&amp;DYN_ARGS=TRUE&amp;DOC_NAME=FAT:FQL_AUDITING_CLIENT_TEMPLATE.FAT&amp;display_string=Audit&amp;VAR:KEY=ZWNOBEDCJI&amp;VAR:QUERY=RkZfUkRfRVhQKENBTCwzOTgxMywsLCwp&amp;WINDOW=FIRST_POPUP&amp;HEIGHT=450&amp;WIDTH=450&amp;START_MAXIMI","ZED=FALSE&amp;VAR:CALENDAR=US&amp;VAR:SYMBOL=SGP&amp;VAR:INDEX=0"}</definedName>
    <definedName name="_1599__FDSAUDITLINK__" hidden="1">{"fdsup://directions/FAT Viewer?action=UPDATE&amp;creator=factset&amp;DYN_ARGS=TRUE&amp;DOC_NAME=FAT:FQL_AUDITING_CLIENT_TEMPLATE.FAT&amp;display_string=Audit&amp;VAR:KEY=LSNMLEBONA&amp;VAR:QUERY=RkZfUkRfRVhQKENBTCwzOTQ0NywsLCwp&amp;WINDOW=FIRST_POPUP&amp;HEIGHT=450&amp;WIDTH=450&amp;START_MAXIMI","ZED=FALSE&amp;VAR:CALENDAR=US&amp;VAR:SYMBOL=MRK&amp;VAR:INDEX=0"}</definedName>
    <definedName name="_16__FDSAUDITLINK__" hidden="1">{"fdsup://directions/FAT%20Viewer?VAR:TM=NTMA&amp;VAR:PCT=0.517808&amp;VAR:Y0=2010&amp;VAR:Y1=2011&amp;VAR:V0=13.097696&amp;VAR:V1=11.139990&amp;VAR:V=12.074516&amp;VAR:AUDIT_ID=00000117&amp;VAR:DATE=20100625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Aggregates&amp;VAR:MEASURE=PE_MEAN&amp;VAR:CALC_MODE=PORTFOLIO&amp;VAR:CHGPERIOD=NA&amp;VAR:FQLFORMULA=FMA_PE&amp;VAR:CURRENCY=USD&amp;VAR:P=1","076.764638&amp;VAR:THRESH=||||||&amp;VAR:null=.html"}</definedName>
    <definedName name="_160__FDSAUDITLINK__" hidden="1">{"fdsup://directions/FAT%20Viewer?VAR:TM=NTMA&amp;VAR:PCT=0.276712&amp;VAR:Y0=2007&amp;VAR:Y1=2008&amp;VAR:V0=16.058249&amp;VAR:V1=14.408971&amp;VAR:V=14.830453&amp;VAR:AUDIT_ID=00000117&amp;VAR:DATE=20070921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Aggregates&amp;VAR:MEASURE=PE_MEAN&amp;VAR:CALC_MODE=PORTFOLIO&amp;VAR:CHGPERIOD=NA&amp;VAR:FQLFORMULA=FMA_PE&amp;VAR:CURRENCY=USD&amp;VAR:P=1","525.749000&amp;VAR:THRESH=||||||&amp;VAR:null=.html"}</definedName>
    <definedName name="_1600__FDSAUDITLINK__" hidden="1">{"fdsup://directions/FAT Viewer?action=UPDATE&amp;creator=factset&amp;DYN_ARGS=TRUE&amp;DOC_NAME=FAT:FQL_AUDITING_CLIENT_TEMPLATE.FAT&amp;display_string=Audit&amp;VAR:KEY=VERKZCBWNO&amp;VAR:QUERY=RkZfUkRfRVhQKENBTCwzOTQ0NywsLCwp&amp;WINDOW=FIRST_POPUP&amp;HEIGHT=450&amp;WIDTH=450&amp;START_MAXIMI","ZED=FALSE&amp;VAR:CALENDAR=US&amp;VAR:SYMBOL=SGP&amp;VAR:INDEX=0"}</definedName>
    <definedName name="_1601__FDSAUDITLINK__" hidden="1">{"fdsup://directions/FAT Viewer?action=UPDATE&amp;creator=factset&amp;DYN_ARGS=TRUE&amp;DOC_NAME=FAT:FQL_AUDITING_CLIENT_TEMPLATE.FAT&amp;display_string=Audit&amp;VAR:KEY=NMHYXIZERM&amp;VAR:QUERY=RkZfUkRfRVhQKENBTCwzOTA4MiwsLCwp&amp;WINDOW=FIRST_POPUP&amp;HEIGHT=450&amp;WIDTH=450&amp;START_MAXIMI","ZED=FALSE&amp;VAR:CALENDAR=US&amp;VAR:SYMBOL=MRK&amp;VAR:INDEX=0"}</definedName>
    <definedName name="_1602__FDSAUDITLINK__" hidden="1">{"fdsup://directions/FAT Viewer?action=UPDATE&amp;creator=factset&amp;DYN_ARGS=TRUE&amp;DOC_NAME=FAT:FQL_AUDITING_CLIENT_TEMPLATE.FAT&amp;display_string=Audit&amp;VAR:KEY=VGVGPSRCRG&amp;VAR:QUERY=RkZfUkRfRVhQKENBTCwzOTA4MiwsLCwp&amp;WINDOW=FIRST_POPUP&amp;HEIGHT=450&amp;WIDTH=450&amp;START_MAXIMI","ZED=FALSE&amp;VAR:CALENDAR=US&amp;VAR:SYMBOL=SGP&amp;VAR:INDEX=0"}</definedName>
    <definedName name="_1603__FDSAUDITLINK__" hidden="1">{"fdsup://directions/FAT Viewer?action=UPDATE&amp;creator=factset&amp;DYN_ARGS=TRUE&amp;DOC_NAME=FAT:FQL_AUDITING_CLIENT_TEMPLATE.FAT&amp;display_string=Audit&amp;VAR:KEY=HIHQXGPWVE&amp;VAR:QUERY=RkZfUkRfRVhQKENBTCwzODcxNywsLCwp&amp;WINDOW=FIRST_POPUP&amp;HEIGHT=450&amp;WIDTH=450&amp;START_MAXIMI","ZED=FALSE&amp;VAR:CALENDAR=US&amp;VAR:SYMBOL=MRK&amp;VAR:INDEX=0"}</definedName>
    <definedName name="_1604__FDSAUDITLINK__" hidden="1">{"fdsup://directions/FAT Viewer?action=UPDATE&amp;creator=factset&amp;DYN_ARGS=TRUE&amp;DOC_NAME=FAT:FQL_AUDITING_CLIENT_TEMPLATE.FAT&amp;display_string=Audit&amp;VAR:KEY=DQBAJYBAFW&amp;VAR:QUERY=RkZfUkRfRVhQKENBTCwzODcxNywsLCwp&amp;WINDOW=FIRST_POPUP&amp;HEIGHT=450&amp;WIDTH=450&amp;START_MAXIMI","ZED=FALSE&amp;VAR:CALENDAR=US&amp;VAR:SYMBOL=SGP&amp;VAR:INDEX=0"}</definedName>
    <definedName name="_1605__FDSAUDITLINK__" hidden="1">{"fdsup://directions/FAT Viewer?action=UPDATE&amp;creator=factset&amp;DYN_ARGS=TRUE&amp;DOC_NAME=FAT:FQL_AUDITING_CLIENT_TEMPLATE.FAT&amp;display_string=Audit&amp;VAR:KEY=BILIDIROZO&amp;VAR:QUERY=RkZfUkRfRVhQKENBTCwzODM1MiwsLCwp&amp;WINDOW=FIRST_POPUP&amp;HEIGHT=450&amp;WIDTH=450&amp;START_MAXIMI","ZED=FALSE&amp;VAR:CALENDAR=US&amp;VAR:SYMBOL=MRK&amp;VAR:INDEX=0"}</definedName>
    <definedName name="_1606__FDSAUDITLINK__" hidden="1">{"fdsup://directions/FAT Viewer?action=UPDATE&amp;creator=factset&amp;DYN_ARGS=TRUE&amp;DOC_NAME=FAT:FQL_AUDITING_CLIENT_TEMPLATE.FAT&amp;display_string=Audit&amp;VAR:KEY=HSTURMXUFQ&amp;VAR:QUERY=RkZfUkRfRVhQKENBTCwzODM1MiwsLCwp&amp;WINDOW=FIRST_POPUP&amp;HEIGHT=450&amp;WIDTH=450&amp;START_MAXIMI","ZED=FALSE&amp;VAR:CALENDAR=US&amp;VAR:SYMBOL=SGP&amp;VAR:INDEX=0"}</definedName>
    <definedName name="_1607__FDSAUDITLINK__" hidden="1">{"fdsup://directions/FAT Viewer?action=UPDATE&amp;creator=factset&amp;DYN_ARGS=TRUE&amp;DOC_NAME=FAT:FQL_AUDITING_CLIENT_TEMPLATE.FAT&amp;display_string=Audit&amp;VAR:KEY=RULMZELIXK&amp;VAR:QUERY=RkZfUkRfRVhQKENBTCw0MDU0MywsLCwp&amp;WINDOW=FIRST_POPUP&amp;HEIGHT=450&amp;WIDTH=450&amp;START_MAXIMI","ZED=FALSE&amp;VAR:CALENDAR=US&amp;VAR:SYMBOL=PFE&amp;VAR:INDEX=0"}</definedName>
    <definedName name="_1608__FDSAUDITLINK__" hidden="1">{"fdsup://directions/FAT Viewer?action=UPDATE&amp;creator=factset&amp;DYN_ARGS=TRUE&amp;DOC_NAME=FAT:FQL_AUDITING_CLIENT_TEMPLATE.FAT&amp;display_string=Audit&amp;VAR:KEY=XADITGJORE&amp;VAR:QUERY=RkZfUkRfRVhQKENBTCw0MDE3OCwsLCxVU0Qp&amp;WINDOW=FIRST_POPUP&amp;HEIGHT=450&amp;WIDTH=450&amp;START_MA","XIMIZED=FALSE&amp;VAR:CALENDAR=US&amp;VAR:SYMBOL=PFE&amp;VAR:INDEX=0"}</definedName>
    <definedName name="_1609__FDSAUDITLINK__" hidden="1">{"fdsup://directions/FAT Viewer?action=UPDATE&amp;creator=factset&amp;DYN_ARGS=TRUE&amp;DOC_NAME=FAT:FQL_AUDITING_CLIENT_TEMPLATE.FAT&amp;display_string=Audit&amp;VAR:KEY=XAFSTKHGNY&amp;VAR:QUERY=RkZfUkRfRVhQKENBTCwzOTgxMywsLCwp&amp;WINDOW=FIRST_POPUP&amp;HEIGHT=450&amp;WIDTH=450&amp;START_MAXIMI","ZED=FALSE&amp;VAR:CALENDAR=US&amp;VAR:SYMBOL=PFE&amp;VAR:INDEX=0"}</definedName>
    <definedName name="_161__FDSAUDITLINK__" hidden="1">{"fdsup://directions/FAT%20Viewer?VAR:TM=NTMA&amp;VAR:PCT=0.295890&amp;VAR:Y0=2007&amp;VAR:Y1=2008&amp;VAR:V0=15.593051&amp;VAR:V1=13.999429&amp;VAR:V=14.435976&amp;VAR:AUDIT_ID=00000117&amp;VAR:DATE=20070914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Aggregates&amp;VAR:MEASURE=PE_MEAN&amp;VAR:CALC_MODE=PORTFOLIO&amp;VAR:CHGPERIOD=NA&amp;VAR:FQLFORMULA=FMA_PE&amp;VAR:CURRENCY=USD&amp;VAR:P=1","484.254300&amp;VAR:THRESH=||||||&amp;VAR:null=.html"}</definedName>
    <definedName name="_1610__FDSAUDITLINK__" hidden="1">{"fdsup://directions/FAT Viewer?action=UPDATE&amp;creator=factset&amp;DYN_ARGS=TRUE&amp;DOC_NAME=FAT:FQL_AUDITING_CLIENT_TEMPLATE.FAT&amp;display_string=Audit&amp;VAR:KEY=PAJYJYJAHE&amp;VAR:QUERY=RkZfUkRfRVhQKENBTCwzOTgxMywsLCwp&amp;WINDOW=FIRST_POPUP&amp;HEIGHT=450&amp;WIDTH=450&amp;START_MAXIMI","ZED=FALSE&amp;VAR:CALENDAR=US&amp;VAR:SYMBOL=WYE&amp;VAR:INDEX=0"}</definedName>
    <definedName name="_1611__FDSAUDITLINK__" hidden="1">{"fdsup://directions/FAT Viewer?action=UPDATE&amp;creator=factset&amp;DYN_ARGS=TRUE&amp;DOC_NAME=FAT:FQL_AUDITING_CLIENT_TEMPLATE.FAT&amp;display_string=Audit&amp;VAR:KEY=TEDKTITIXA&amp;VAR:QUERY=RkZfUkRfRVhQKENBTCwzOTQ0NywsLCwp&amp;WINDOW=FIRST_POPUP&amp;HEIGHT=450&amp;WIDTH=450&amp;START_MAXIMI","ZED=FALSE&amp;VAR:CALENDAR=US&amp;VAR:SYMBOL=PFE&amp;VAR:INDEX=0"}</definedName>
    <definedName name="_1612__FDSAUDITLINK__" hidden="1">{"fdsup://directions/FAT Viewer?action=UPDATE&amp;creator=factset&amp;DYN_ARGS=TRUE&amp;DOC_NAME=FAT:FQL_AUDITING_CLIENT_TEMPLATE.FAT&amp;display_string=Audit&amp;VAR:KEY=NYXURMTONW&amp;VAR:QUERY=RkZfUkRfRVhQKENBTCwzOTQ0NywsLCwp&amp;WINDOW=FIRST_POPUP&amp;HEIGHT=450&amp;WIDTH=450&amp;START_MAXIMI","ZED=FALSE&amp;VAR:CALENDAR=US&amp;VAR:SYMBOL=WYE&amp;VAR:INDEX=0"}</definedName>
    <definedName name="_1613__FDSAUDITLINK__" hidden="1">{"fdsup://directions/FAT Viewer?action=UPDATE&amp;creator=factset&amp;DYN_ARGS=TRUE&amp;DOC_NAME=FAT:FQL_AUDITING_CLIENT_TEMPLATE.FAT&amp;display_string=Audit&amp;VAR:KEY=VOPUPSJQLI&amp;VAR:QUERY=RkZfUkRfRVhQKENBTCwzOTA4MiwsLCwp&amp;WINDOW=FIRST_POPUP&amp;HEIGHT=450&amp;WIDTH=450&amp;START_MAXIMI","ZED=FALSE&amp;VAR:CALENDAR=US&amp;VAR:SYMBOL=PFE&amp;VAR:INDEX=0"}</definedName>
    <definedName name="_1614__FDSAUDITLINK__" hidden="1">{"fdsup://directions/FAT Viewer?action=UPDATE&amp;creator=factset&amp;DYN_ARGS=TRUE&amp;DOC_NAME=FAT:FQL_AUDITING_CLIENT_TEMPLATE.FAT&amp;display_string=Audit&amp;VAR:KEY=XWTYLUVGBU&amp;VAR:QUERY=RkZfUkRfRVhQKENBTCwzOTA4MiwsLCwp&amp;WINDOW=FIRST_POPUP&amp;HEIGHT=450&amp;WIDTH=450&amp;START_MAXIMI","ZED=FALSE&amp;VAR:CALENDAR=US&amp;VAR:SYMBOL=WYE&amp;VAR:INDEX=0"}</definedName>
    <definedName name="_1615__FDSAUDITLINK__" hidden="1">{"fdsup://directions/FAT Viewer?action=UPDATE&amp;creator=factset&amp;DYN_ARGS=TRUE&amp;DOC_NAME=FAT:FQL_AUDITING_CLIENT_TEMPLATE.FAT&amp;display_string=Audit&amp;VAR:KEY=DUZANORCZM&amp;VAR:QUERY=RkZfUkRfRVhQKENBTCwzODcxNywsLCwp&amp;WINDOW=FIRST_POPUP&amp;HEIGHT=450&amp;WIDTH=450&amp;START_MAXIMI","ZED=FALSE&amp;VAR:CALENDAR=US&amp;VAR:SYMBOL=PFE&amp;VAR:INDEX=0"}</definedName>
    <definedName name="_1616__FDSAUDITLINK__" hidden="1">{"fdsup://directions/FAT Viewer?action=UPDATE&amp;creator=factset&amp;DYN_ARGS=TRUE&amp;DOC_NAME=FAT:FQL_AUDITING_CLIENT_TEMPLATE.FAT&amp;display_string=Audit&amp;VAR:KEY=DGDCHUBYVS&amp;VAR:QUERY=RkZfUkRfRVhQKENBTCwzODcxNywsLCwp&amp;WINDOW=FIRST_POPUP&amp;HEIGHT=450&amp;WIDTH=450&amp;START_MAXIMI","ZED=FALSE&amp;VAR:CALENDAR=US&amp;VAR:SYMBOL=WYE&amp;VAR:INDEX=0"}</definedName>
    <definedName name="_1617__FDSAUDITLINK__" hidden="1">{"fdsup://directions/FAT Viewer?action=UPDATE&amp;creator=factset&amp;DYN_ARGS=TRUE&amp;DOC_NAME=FAT:FQL_AUDITING_CLIENT_TEMPLATE.FAT&amp;display_string=Audit&amp;VAR:KEY=BETMVWVSBG&amp;VAR:QUERY=RkZfUkRfRVhQKENBTCwzODM1MiwsLCwp&amp;WINDOW=FIRST_POPUP&amp;HEIGHT=450&amp;WIDTH=450&amp;START_MAXIMI","ZED=FALSE&amp;VAR:CALENDAR=US&amp;VAR:SYMBOL=PFE&amp;VAR:INDEX=0"}</definedName>
    <definedName name="_1618__FDSAUDITLINK__" hidden="1">{"fdsup://directions/FAT Viewer?action=UPDATE&amp;creator=factset&amp;DYN_ARGS=TRUE&amp;DOC_NAME=FAT:FQL_AUDITING_CLIENT_TEMPLATE.FAT&amp;display_string=Audit&amp;VAR:KEY=HKXMFCNQRG&amp;VAR:QUERY=RkZfUkRfRVhQKENBTCwzODM1MiwsLCwp&amp;WINDOW=FIRST_POPUP&amp;HEIGHT=450&amp;WIDTH=450&amp;START_MAXIMI","ZED=FALSE&amp;VAR:CALENDAR=US&amp;VAR:SYMBOL=WYE&amp;VAR:INDEX=0"}</definedName>
    <definedName name="_1619__FDSAUDITLINK__" hidden="1">{"fdsup://Directions/FactSet Auditing Viewer?action=AUDIT_VALUE&amp;DB=129&amp;ID1=36871040&amp;VALUEID=01001&amp;SDATE=200804&amp;PERIODTYPE=QTR_STD&amp;SCFT=3&amp;window=popup_no_bar&amp;width=385&amp;height=120&amp;START_MAXIMIZED=FALSE&amp;creator=factset&amp;display_string=Audit"}</definedName>
    <definedName name="_162__FDSAUDITLINK__" hidden="1">{"fdsup://directions/FAT%20Viewer?VAR:TM=NTMA&amp;VAR:PCT=0.315068&amp;VAR:Y0=2007&amp;VAR:Y1=2008&amp;VAR:V0=15.237577&amp;VAR:V1=13.681131&amp;VAR:V=14.136069&amp;VAR:AUDIT_ID=00000117&amp;VAR:DATE=20070907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Aggregates&amp;VAR:MEASURE=PE_MEAN&amp;VAR:CALC_MODE=PORTFOLIO&amp;VAR:CHGPERIOD=NA&amp;VAR:FQLFORMULA=FMA_PE&amp;VAR:CURRENCY=USD&amp;VAR:P=1","453.552600&amp;VAR:THRESH=||||||&amp;VAR:null=.html"}</definedName>
    <definedName name="_1620__FDSAUDITLINK__" hidden="1">{"fdsup://Directions/FactSet Auditing Viewer?action=AUDIT_VALUE&amp;DB=129&amp;ID1=36871040&amp;VALUEID=01001&amp;SDATE=200803&amp;PERIODTYPE=QTR_STD&amp;SCFT=3&amp;window=popup_no_bar&amp;width=385&amp;height=120&amp;START_MAXIMIZED=FALSE&amp;creator=factset&amp;display_string=Audit"}</definedName>
    <definedName name="_1621__FDSAUDITLINK__" hidden="1">{"fdsup://Directions/FactSet Auditing Viewer?action=AUDIT_VALUE&amp;DB=129&amp;ID1=36871040&amp;VALUEID=01001&amp;SDATE=200802&amp;PERIODTYPE=QTR_STD&amp;SCFT=3&amp;window=popup_no_bar&amp;width=385&amp;height=120&amp;START_MAXIMIZED=FALSE&amp;creator=factset&amp;display_string=Audit"}</definedName>
    <definedName name="_1622__FDSAUDITLINK__" hidden="1">{"fdsup://Directions/FactSet Auditing Viewer?action=AUDIT_VALUE&amp;DB=129&amp;ID1=36871040&amp;VALUEID=01001&amp;SDATE=200801&amp;PERIODTYPE=QTR_STD&amp;SCFT=3&amp;window=popup_no_bar&amp;width=385&amp;height=120&amp;START_MAXIMIZED=FALSE&amp;creator=factset&amp;display_string=Audit"}</definedName>
    <definedName name="_1623__FDSAUDITLINK__" hidden="1">{"fdsup://Directions/FactSet Auditing Viewer?action=AUDIT_VALUE&amp;DB=129&amp;ID1=36871040&amp;VALUEID=01001&amp;SDATE=200704&amp;PERIODTYPE=QTR_STD&amp;SCFT=3&amp;window=popup_no_bar&amp;width=385&amp;height=120&amp;START_MAXIMIZED=FALSE&amp;creator=factset&amp;display_string=Audit"}</definedName>
    <definedName name="_1624__FDSAUDITLINK__" hidden="1">{"fdsup://Directions/FactSet Auditing Viewer?action=AUDIT_VALUE&amp;DB=129&amp;ID1=36871040&amp;VALUEID=01001&amp;SDATE=200703&amp;PERIODTYPE=QTR_STD&amp;SCFT=3&amp;window=popup_no_bar&amp;width=385&amp;height=120&amp;START_MAXIMIZED=FALSE&amp;creator=factset&amp;display_string=Audit"}</definedName>
    <definedName name="_1625__FDSAUDITLINK__" hidden="1">{"fdsup://Directions/FactSet Auditing Viewer?action=AUDIT_VALUE&amp;DB=129&amp;ID1=36871040&amp;VALUEID=01001&amp;SDATE=200702&amp;PERIODTYPE=QTR_STD&amp;SCFT=3&amp;window=popup_no_bar&amp;width=385&amp;height=120&amp;START_MAXIMIZED=FALSE&amp;creator=factset&amp;display_string=Audit"}</definedName>
    <definedName name="_1626__FDSAUDITLINK__" hidden="1">{"fdsup://Directions/FactSet Auditing Viewer?action=AUDIT_VALUE&amp;DB=129&amp;ID1=36871040&amp;VALUEID=01001&amp;SDATE=200701&amp;PERIODTYPE=QTR_STD&amp;SCFT=3&amp;window=popup_no_bar&amp;width=385&amp;height=120&amp;START_MAXIMIZED=FALSE&amp;creator=factset&amp;display_string=Audit"}</definedName>
    <definedName name="_1627__FDSAUDITLINK__" hidden="1">{"fdsup://Directions/FactSet Auditing Viewer?action=AUDIT_VALUE&amp;DB=129&amp;ID1=98302410&amp;VALUEID=01001&amp;SDATE=200902&amp;PERIODTYPE=QTR_STD&amp;SCFT=3&amp;window=popup_no_bar&amp;width=385&amp;height=120&amp;START_MAXIMIZED=FALSE&amp;creator=factset&amp;display_string=Audit"}</definedName>
    <definedName name="_1628__FDSAUDITLINK__" hidden="1">{"fdsup://Directions/FactSet Auditing Viewer?action=AUDIT_VALUE&amp;DB=129&amp;ID1=98302410&amp;VALUEID=01001&amp;SDATE=200901&amp;PERIODTYPE=QTR_STD&amp;SCFT=3&amp;window=popup_no_bar&amp;width=385&amp;height=120&amp;START_MAXIMIZED=FALSE&amp;creator=factset&amp;display_string=Audit"}</definedName>
    <definedName name="_1629__FDSAUDITLINK__" hidden="1">{"fdsup://Directions/FactSet Auditing Viewer?action=AUDIT_VALUE&amp;DB=129&amp;ID1=98302410&amp;VALUEID=01001&amp;SDATE=200804&amp;PERIODTYPE=QTR_STD&amp;SCFT=3&amp;window=popup_no_bar&amp;width=385&amp;height=120&amp;START_MAXIMIZED=FALSE&amp;creator=factset&amp;display_string=Audit"}</definedName>
    <definedName name="_163__FDSAUDITLINK__" hidden="1">{"fdsup://directions/FAT%20Viewer?VAR:TM=NTMA&amp;VAR:PCT=0.334247&amp;VAR:Y0=2007&amp;VAR:Y1=2008&amp;VAR:V0=15.436054&amp;VAR:V1=13.856543&amp;VAR:V=14.347250&amp;VAR:AUDIT_ID=00000117&amp;VAR:DATE=20070831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Aggregates&amp;VAR:MEASURE=PE_MEAN&amp;VAR:CALC_MODE=PORTFOLIO&amp;VAR:CHGPERIOD=NA&amp;VAR:FQLFORMULA=FMA_PE&amp;VAR:CURRENCY=USD&amp;VAR:P=1","473.987900&amp;VAR:THRESH=||||||&amp;VAR:null=.html"}</definedName>
    <definedName name="_1630__FDSAUDITLINK__" hidden="1">{"fdsup://Directions/FactSet Auditing Viewer?action=AUDIT_VALUE&amp;DB=129&amp;ID1=98302410&amp;VALUEID=01001&amp;SDATE=200803&amp;PERIODTYPE=QTR_STD&amp;SCFT=3&amp;window=popup_no_bar&amp;width=385&amp;height=120&amp;START_MAXIMIZED=FALSE&amp;creator=factset&amp;display_string=Audit"}</definedName>
    <definedName name="_1631__FDSAUDITLINK__" hidden="1">{"fdsup://Directions/FactSet Auditing Viewer?action=AUDIT_VALUE&amp;DB=129&amp;ID1=98302410&amp;VALUEID=01001&amp;SDATE=200802&amp;PERIODTYPE=QTR_STD&amp;SCFT=3&amp;window=popup_no_bar&amp;width=385&amp;height=120&amp;START_MAXIMIZED=FALSE&amp;creator=factset&amp;display_string=Audit"}</definedName>
    <definedName name="_1632__FDSAUDITLINK__" hidden="1">{"fdsup://Directions/FactSet Auditing Viewer?action=AUDIT_VALUE&amp;DB=129&amp;ID1=98302410&amp;VALUEID=01001&amp;SDATE=200801&amp;PERIODTYPE=QTR_STD&amp;SCFT=3&amp;window=popup_no_bar&amp;width=385&amp;height=120&amp;START_MAXIMIZED=FALSE&amp;creator=factset&amp;display_string=Audit"}</definedName>
    <definedName name="_1633__FDSAUDITLINK__" hidden="1">{"fdsup://Directions/FactSet Auditing Viewer?action=AUDIT_VALUE&amp;DB=129&amp;ID1=98302410&amp;VALUEID=01001&amp;SDATE=200704&amp;PERIODTYPE=QTR_STD&amp;SCFT=3&amp;window=popup_no_bar&amp;width=385&amp;height=120&amp;START_MAXIMIZED=FALSE&amp;creator=factset&amp;display_string=Audit"}</definedName>
    <definedName name="_1634__FDSAUDITLINK__" hidden="1">{"fdsup://Directions/FactSet Auditing Viewer?action=AUDIT_VALUE&amp;DB=129&amp;ID1=98302410&amp;VALUEID=01001&amp;SDATE=200703&amp;PERIODTYPE=QTR_STD&amp;SCFT=3&amp;window=popup_no_bar&amp;width=385&amp;height=120&amp;START_MAXIMIZED=FALSE&amp;creator=factset&amp;display_string=Audit"}</definedName>
    <definedName name="_1635__FDSAUDITLINK__" hidden="1">{"fdsup://Directions/FactSet Auditing Viewer?action=AUDIT_VALUE&amp;DB=129&amp;ID1=80660510&amp;VALUEID=01001&amp;SDATE=200903&amp;PERIODTYPE=QTR_STD&amp;SCFT=3&amp;window=popup_no_bar&amp;width=385&amp;height=120&amp;START_MAXIMIZED=FALSE&amp;creator=factset&amp;display_string=Audit"}</definedName>
    <definedName name="_1636__FDSAUDITLINK__" hidden="1">{"fdsup://Directions/FactSet Auditing Viewer?action=AUDIT_VALUE&amp;DB=129&amp;ID1=80660510&amp;VALUEID=01001&amp;SDATE=200902&amp;PERIODTYPE=QTR_STD&amp;SCFT=3&amp;window=popup_no_bar&amp;width=385&amp;height=120&amp;START_MAXIMIZED=FALSE&amp;creator=factset&amp;display_string=Audit"}</definedName>
    <definedName name="_1637__FDSAUDITLINK__" hidden="1">{"fdsup://Directions/FactSet Auditing Viewer?action=AUDIT_VALUE&amp;DB=129&amp;ID1=80660510&amp;VALUEID=01001&amp;SDATE=200804&amp;PERIODTYPE=QTR_STD&amp;SCFT=3&amp;window=popup_no_bar&amp;width=385&amp;height=120&amp;START_MAXIMIZED=FALSE&amp;creator=factset&amp;display_string=Audit"}</definedName>
    <definedName name="_1638__FDSAUDITLINK__" hidden="1">{"fdsup://Directions/FactSet Auditing Viewer?action=AUDIT_VALUE&amp;DB=129&amp;ID1=80660510&amp;VALUEID=01001&amp;SDATE=200803&amp;PERIODTYPE=QTR_STD&amp;SCFT=3&amp;window=popup_no_bar&amp;width=385&amp;height=120&amp;START_MAXIMIZED=FALSE&amp;creator=factset&amp;display_string=Audit"}</definedName>
    <definedName name="_1639__FDSAUDITLINK__" hidden="1">{"fdsup://Directions/FactSet Auditing Viewer?action=AUDIT_VALUE&amp;DB=129&amp;ID1=80660510&amp;VALUEID=01001&amp;SDATE=200802&amp;PERIODTYPE=QTR_STD&amp;SCFT=3&amp;window=popup_no_bar&amp;width=385&amp;height=120&amp;START_MAXIMIZED=FALSE&amp;creator=factset&amp;display_string=Audit"}</definedName>
    <definedName name="_164__FDSAUDITLINK__" hidden="1">{"fdsup://directions/FAT%20Viewer?VAR:TM=NTMA&amp;VAR:PCT=0.353425&amp;VAR:Y0=2007&amp;VAR:Y1=2008&amp;VAR:V0=15.478256&amp;VAR:V1=13.902472&amp;VAR:V=14.421365&amp;VAR:AUDIT_ID=00000117&amp;VAR:DATE=20070824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Aggregates&amp;VAR:MEASURE=PE_MEAN&amp;VAR:CALC_MODE=PORTFOLIO&amp;VAR:CHGPERIOD=NA&amp;VAR:FQLFORMULA=FMA_PE&amp;VAR:CURRENCY=USD&amp;VAR:P=1","479.366100&amp;VAR:THRESH=||||||&amp;VAR:null=.html"}</definedName>
    <definedName name="_1640__FDSAUDITLINK__" hidden="1">{"fdsup://Directions/FactSet Auditing Viewer?action=AUDIT_VALUE&amp;DB=129&amp;ID1=80660510&amp;VALUEID=01001&amp;SDATE=200801&amp;PERIODTYPE=QTR_STD&amp;SCFT=3&amp;window=popup_no_bar&amp;width=385&amp;height=120&amp;START_MAXIMIZED=FALSE&amp;creator=factset&amp;display_string=Audit"}</definedName>
    <definedName name="_1641__FDSAUDITLINK__" hidden="1">{"fdsup://Directions/FactSet Auditing Viewer?action=AUDIT_VALUE&amp;DB=129&amp;ID1=80660510&amp;VALUEID=01001&amp;SDATE=200704&amp;PERIODTYPE=QTR_STD&amp;SCFT=3&amp;window=popup_no_bar&amp;width=385&amp;height=120&amp;START_MAXIMIZED=FALSE&amp;creator=factset&amp;display_string=Audit"}</definedName>
    <definedName name="_1642__FDSAUDITLINK__" hidden="1">{"fdsup://directions/FAT Viewer?action=UPDATE&amp;creator=factset&amp;DYN_ARGS=TRUE&amp;DOC_NAME=FAT:FQL_AUDITING_CLIENT_TEMPLATE.FAT&amp;display_string=Audit&amp;VAR:KEY=VKRQTKFUBW&amp;VAR:QUERY=RkZfU0FMRVMoQ0FMLDM5ODEzLCwsLCk=&amp;WINDOW=FIRST_POPUP&amp;HEIGHT=450&amp;WIDTH=450&amp;START_MAXIMI","ZED=FALSE&amp;VAR:CALENDAR=US&amp;VAR:SYMBOL=DNA&amp;VAR:INDEX=0"}</definedName>
    <definedName name="_1643__FDSAUDITLINK__" hidden="1">{"fdsup://directions/FAT Viewer?action=UPDATE&amp;creator=factset&amp;DYN_ARGS=TRUE&amp;DOC_NAME=FAT:FQL_AUDITING_CLIENT_TEMPLATE.FAT&amp;display_string=Audit&amp;VAR:KEY=XEDCREVYZS&amp;VAR:QUERY=RkZfU0FMRVMoQ0FMLDM5NDQ3LCwsLCk=&amp;WINDOW=FIRST_POPUP&amp;HEIGHT=450&amp;WIDTH=450&amp;START_MAXIMI","ZED=FALSE&amp;VAR:CALENDAR=US&amp;VAR:SYMBOL=DNA&amp;VAR:INDEX=0"}</definedName>
    <definedName name="_1644__FDSAUDITLINK__" hidden="1">{"fdsup://directions/FAT Viewer?action=UPDATE&amp;creator=factset&amp;DYN_ARGS=TRUE&amp;DOC_NAME=FAT:FQL_AUDITING_CLIENT_TEMPLATE.FAT&amp;display_string=Audit&amp;VAR:KEY=TOXMHYNEDQ&amp;VAR:QUERY=RkZfU0FMRVMoQ0FMLDM5MDgyLCwsLCk=&amp;WINDOW=FIRST_POPUP&amp;HEIGHT=450&amp;WIDTH=450&amp;START_MAXIMI","ZED=FALSE&amp;VAR:CALENDAR=US&amp;VAR:SYMBOL=DNA&amp;VAR:INDEX=0"}</definedName>
    <definedName name="_1645__FDSAUDITLINK__" hidden="1">{"fdsup://directions/FAT Viewer?action=UPDATE&amp;creator=factset&amp;DYN_ARGS=TRUE&amp;DOC_NAME=FAT:FQL_AUDITING_CLIENT_TEMPLATE.FAT&amp;display_string=Audit&amp;VAR:KEY=BKHAJUZULG&amp;VAR:QUERY=RkZfU0FMRVMoQ0FMLDM4NzE3LCwsLCk=&amp;WINDOW=FIRST_POPUP&amp;HEIGHT=450&amp;WIDTH=450&amp;START_MAXIMI","ZED=FALSE&amp;VAR:CALENDAR=US&amp;VAR:SYMBOL=DNA&amp;VAR:INDEX=0"}</definedName>
    <definedName name="_1646__FDSAUDITLINK__" hidden="1">{"fdsup://directions/FAT Viewer?action=UPDATE&amp;creator=factset&amp;DYN_ARGS=TRUE&amp;DOC_NAME=FAT:FQL_AUDITING_CLIENT_TEMPLATE.FAT&amp;display_string=Audit&amp;VAR:KEY=JYZKZGDIFI&amp;VAR:QUERY=RkZfU0FMRVMoQ0FMLDM4MzUyLCwsLCk=&amp;WINDOW=FIRST_POPUP&amp;HEIGHT=450&amp;WIDTH=450&amp;START_MAXIMI","ZED=FALSE&amp;VAR:CALENDAR=US&amp;VAR:SYMBOL=DNA&amp;VAR:INDEX=0"}</definedName>
    <definedName name="_1647__FDSAUDITLINK__" hidden="1">{"fdsup://directions/FAT Viewer?action=UPDATE&amp;creator=factset&amp;DYN_ARGS=TRUE&amp;DOC_NAME=FAT:FQL_AUDITING_CLIENT_TEMPLATE.FAT&amp;display_string=Audit&amp;VAR:KEY=HONSVQVETW&amp;VAR:QUERY=RkZfU0FMRVMoQ0FMLDM5ODEzLCwsLCk=&amp;WINDOW=FIRST_POPUP&amp;HEIGHT=450&amp;WIDTH=450&amp;START_MAXIMI","ZED=FALSE&amp;VAR:CALENDAR=US&amp;VAR:SYMBOL=SGP&amp;VAR:INDEX=0"}</definedName>
    <definedName name="_1648__FDSAUDITLINK__" hidden="1">{"fdsup://directions/FAT Viewer?action=UPDATE&amp;creator=factset&amp;DYN_ARGS=TRUE&amp;DOC_NAME=FAT:FQL_AUDITING_CLIENT_TEMPLATE.FAT&amp;display_string=Audit&amp;VAR:KEY=DGFOTSZMDS&amp;VAR:QUERY=RkZfU0FMRVMoQ0FMLDM5NDQ3LCwsLCk=&amp;WINDOW=FIRST_POPUP&amp;HEIGHT=450&amp;WIDTH=450&amp;START_MAXIMI","ZED=FALSE&amp;VAR:CALENDAR=US&amp;VAR:SYMBOL=SGP&amp;VAR:INDEX=0"}</definedName>
    <definedName name="_1649__FDSAUDITLINK__" hidden="1">{"fdsup://directions/FAT Viewer?action=UPDATE&amp;creator=factset&amp;DYN_ARGS=TRUE&amp;DOC_NAME=FAT:FQL_AUDITING_CLIENT_TEMPLATE.FAT&amp;display_string=Audit&amp;VAR:KEY=RMFKNYHWPS&amp;VAR:QUERY=RkZfU0FMRVMoQ0FMLDM5MDgyLCwsLCk=&amp;WINDOW=FIRST_POPUP&amp;HEIGHT=450&amp;WIDTH=450&amp;START_MAXIMI","ZED=FALSE&amp;VAR:CALENDAR=US&amp;VAR:SYMBOL=SGP&amp;VAR:INDEX=0"}</definedName>
    <definedName name="_165__FDSAUDITLINK__" hidden="1">{"fdsup://directions/FAT%20Viewer?VAR:TM=NTMA&amp;VAR:PCT=0.372603&amp;VAR:Y0=2007&amp;VAR:Y1=2008&amp;VAR:V0=15.125785&amp;VAR:V1=13.583673&amp;VAR:V=14.120063&amp;VAR:AUDIT_ID=00000117&amp;VAR:DATE=20070817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Aggregates&amp;VAR:MEASURE=PE_MEAN&amp;VAR:CALC_MODE=PORTFOLIO&amp;VAR:CHGPERIOD=NA&amp;VAR:FQLFORMULA=FMA_PE&amp;VAR:CURRENCY=USD&amp;VAR:P=1","445.943200&amp;VAR:THRESH=||||||&amp;VAR:null=.html"}</definedName>
    <definedName name="_1650__FDSAUDITLINK__" hidden="1">{"fdsup://directions/FAT Viewer?action=UPDATE&amp;creator=factset&amp;DYN_ARGS=TRUE&amp;DOC_NAME=FAT:FQL_AUDITING_CLIENT_TEMPLATE.FAT&amp;display_string=Audit&amp;VAR:KEY=DKZQFGPGZY&amp;VAR:QUERY=RkZfU0FMRVMoQ0FMLDM4NzE3LCwsLCk=&amp;WINDOW=FIRST_POPUP&amp;HEIGHT=450&amp;WIDTH=450&amp;START_MAXIMI","ZED=FALSE&amp;VAR:CALENDAR=US&amp;VAR:SYMBOL=SGP&amp;VAR:INDEX=0"}</definedName>
    <definedName name="_1651__FDSAUDITLINK__" hidden="1">{"fdsup://directions/FAT Viewer?action=UPDATE&amp;creator=factset&amp;DYN_ARGS=TRUE&amp;DOC_NAME=FAT:FQL_AUDITING_CLIENT_TEMPLATE.FAT&amp;display_string=Audit&amp;VAR:KEY=BSFAVMVYRK&amp;VAR:QUERY=RkZfU0FMRVMoQ0FMLDM4MzUyLCwsLCk=&amp;WINDOW=FIRST_POPUP&amp;HEIGHT=450&amp;WIDTH=450&amp;START_MAXIMI","ZED=FALSE&amp;VAR:CALENDAR=US&amp;VAR:SYMBOL=SGP&amp;VAR:INDEX=0"}</definedName>
    <definedName name="_1652__FDSAUDITLINK__" hidden="1">{"fdsup://directions/FAT Viewer?action=UPDATE&amp;creator=factset&amp;DYN_ARGS=TRUE&amp;DOC_NAME=FAT:FQL_AUDITING_CLIENT_TEMPLATE.FAT&amp;display_string=Audit&amp;VAR:KEY=VQLSXQNWTQ&amp;VAR:QUERY=RkZfU0FMRVMoQ0FMLDM5ODEzLCwsLCk=&amp;WINDOW=FIRST_POPUP&amp;HEIGHT=450&amp;WIDTH=450&amp;START_MAXIMI","ZED=FALSE&amp;VAR:CALENDAR=US&amp;VAR:SYMBOL=WYE&amp;VAR:INDEX=0"}</definedName>
    <definedName name="_1653__FDSAUDITLINK__" hidden="1">{"fdsup://directions/FAT Viewer?action=UPDATE&amp;creator=factset&amp;DYN_ARGS=TRUE&amp;DOC_NAME=FAT:FQL_AUDITING_CLIENT_TEMPLATE.FAT&amp;display_string=Audit&amp;VAR:KEY=LYBCHAXYFU&amp;VAR:QUERY=RkZfU0FMRVMoQ0FMLDM5NDQ3LCwsLCk=&amp;WINDOW=FIRST_POPUP&amp;HEIGHT=450&amp;WIDTH=450&amp;START_MAXIMI","ZED=FALSE&amp;VAR:CALENDAR=US&amp;VAR:SYMBOL=WYE&amp;VAR:INDEX=0"}</definedName>
    <definedName name="_1654__FDSAUDITLINK__" hidden="1">{"fdsup://directions/FAT Viewer?action=UPDATE&amp;creator=factset&amp;DYN_ARGS=TRUE&amp;DOC_NAME=FAT:FQL_AUDITING_CLIENT_TEMPLATE.FAT&amp;display_string=Audit&amp;VAR:KEY=VEPGFILCPM&amp;VAR:QUERY=RkZfU0FMRVMoQ0FMLDM5MDgyLCwsLCk=&amp;WINDOW=FIRST_POPUP&amp;HEIGHT=450&amp;WIDTH=450&amp;START_MAXIMI","ZED=FALSE&amp;VAR:CALENDAR=US&amp;VAR:SYMBOL=WYE&amp;VAR:INDEX=0"}</definedName>
    <definedName name="_1655__FDSAUDITLINK__" hidden="1">{"fdsup://directions/FAT Viewer?action=UPDATE&amp;creator=factset&amp;DYN_ARGS=TRUE&amp;DOC_NAME=FAT:FQL_AUDITING_CLIENT_TEMPLATE.FAT&amp;display_string=Audit&amp;VAR:KEY=LIHSTKLYLI&amp;VAR:QUERY=RkZfU0FMRVMoQ0FMLDM4NzE3LCwsLCk=&amp;WINDOW=FIRST_POPUP&amp;HEIGHT=450&amp;WIDTH=450&amp;START_MAXIMI","ZED=FALSE&amp;VAR:CALENDAR=US&amp;VAR:SYMBOL=WYE&amp;VAR:INDEX=0"}</definedName>
    <definedName name="_1656__FDSAUDITLINK__" hidden="1">{"fdsup://directions/FAT Viewer?action=UPDATE&amp;creator=factset&amp;DYN_ARGS=TRUE&amp;DOC_NAME=FAT:FQL_AUDITING_CLIENT_TEMPLATE.FAT&amp;display_string=Audit&amp;VAR:KEY=ZIFWJMBGTI&amp;VAR:QUERY=RkZfU0FMRVMoQ0FMLDM4MzUyLCwsLCk=&amp;WINDOW=FIRST_POPUP&amp;HEIGHT=450&amp;WIDTH=450&amp;START_MAXIMI","ZED=FALSE&amp;VAR:CALENDAR=US&amp;VAR:SYMBOL=WYE&amp;VAR:INDEX=0"}</definedName>
    <definedName name="_1657__FDSAUDITLINK__" hidden="1">{"fdsup://directions/FAT Viewer?action=UPDATE&amp;creator=factset&amp;DYN_ARGS=TRUE&amp;DOC_NAME=FAT:FQL_AUDITING_CLIENT_TEMPLATE.FAT&amp;display_string=Audit&amp;VAR:KEY=PSFYRIZWZC&amp;VAR:QUERY=RkZfU0FMRVMoQ0FMLDQwNTQzLCwsLFVTRCk=&amp;WINDOW=FIRST_POPUP&amp;HEIGHT=450&amp;WIDTH=450&amp;START_MA","XIMIZED=FALSE&amp;VAR:CALENDAR=US&amp;VAR:SYMBOL=BIIB&amp;VAR:INDEX=0"}</definedName>
    <definedName name="_1658__FDSAUDITLINK__" hidden="1">{"fdsup://directions/FAT Viewer?action=UPDATE&amp;creator=factset&amp;DYN_ARGS=TRUE&amp;DOC_NAME=FAT:FQL_AUDITING_CLIENT_TEMPLATE.FAT&amp;display_string=Audit&amp;VAR:KEY=FULAJKBUXO&amp;VAR:QUERY=RkZfU0FMRVMoQ0FMLDQwNTQzLCwsLFVTRCk=&amp;WINDOW=FIRST_POPUP&amp;HEIGHT=450&amp;WIDTH=450&amp;START_MA","XIMIZED=FALSE&amp;VAR:CALENDAR=US&amp;VAR:SYMBOL=707752&amp;VAR:INDEX=0"}</definedName>
    <definedName name="_1659__FDSAUDITLINK__" hidden="1">{"fdsup://directions/FAT Viewer?action=UPDATE&amp;creator=factset&amp;DYN_ARGS=TRUE&amp;DOC_NAME=FAT:FQL_AUDITING_CLIENT_TEMPLATE.FAT&amp;display_string=Audit&amp;VAR:KEY=RIBWDWRERQ&amp;VAR:QUERY=RkZfU0FMRVMoQ0FMLDQwNTQzLCwsLFVTRCk=&amp;WINDOW=FIRST_POPUP&amp;HEIGHT=450&amp;WIDTH=450&amp;START_MA","XIMIZED=FALSE&amp;VAR:CALENDAR=US&amp;VAR:SYMBOL=630720&amp;VAR:INDEX=0"}</definedName>
    <definedName name="_166__FDSAUDITLINK__" hidden="1">{"fdsup://directions/FAT%20Viewer?VAR:TM=NTMA&amp;VAR:PCT=0.391781&amp;VAR:Y0=2007&amp;VAR:Y1=2008&amp;VAR:V0=15.198924&amp;VAR:V1=13.659029&amp;VAR:V=14.223617&amp;VAR:AUDIT_ID=00000117&amp;VAR:DATE=20070810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Aggregates&amp;VAR:MEASURE=PE_MEAN&amp;VAR:CALC_MODE=PORTFOLIO&amp;VAR:CHGPERIOD=NA&amp;VAR:FQLFORMULA=FMA_PE&amp;VAR:CURRENCY=USD&amp;VAR:P=1","453.639400&amp;VAR:THRESH=||||||&amp;VAR:null=.html"}</definedName>
    <definedName name="_1660__FDSAUDITLINK__" hidden="1">{"fdsup://directions/FAT Viewer?action=UPDATE&amp;creator=factset&amp;DYN_ARGS=TRUE&amp;DOC_NAME=FAT:FQL_AUDITING_CLIENT_TEMPLATE.FAT&amp;display_string=Audit&amp;VAR:KEY=HGDSFIHCJA&amp;VAR:QUERY=RkZfU0FMRVMoQ0FMLDQwNTQzLCwsLFVTRCk=&amp;WINDOW=FIRST_POPUP&amp;HEIGHT=450&amp;WIDTH=450&amp;START_MA","XIMIZED=FALSE&amp;VAR:CALENDAR=US&amp;VAR:SYMBOL=698538&amp;VAR:INDEX=0"}</definedName>
    <definedName name="_1661__FDSAUDITLINK__" hidden="1">{"fdsup://directions/FAT Viewer?action=UPDATE&amp;creator=factset&amp;DYN_ARGS=TRUE&amp;DOC_NAME=FAT:FQL_AUDITING_CLIENT_TEMPLATE.FAT&amp;display_string=Audit&amp;VAR:KEY=BQFYVIHSFI&amp;VAR:QUERY=RkZfU0FMRVMoQ0FMLDQwNTQzLCwsLFVTRCk=&amp;WINDOW=FIRST_POPUP&amp;HEIGHT=450&amp;WIDTH=450&amp;START_MA","XIMIZED=FALSE&amp;VAR:CALENDAR=US&amp;VAR:SYMBOL=474184&amp;VAR:INDEX=0"}</definedName>
    <definedName name="_1662__FDSAUDITLINK__" hidden="1">{"fdsup://directions/FAT Viewer?action=UPDATE&amp;creator=factset&amp;DYN_ARGS=TRUE&amp;DOC_NAME=FAT:FQL_AUDITING_CLIENT_TEMPLATE.FAT&amp;display_string=Audit&amp;VAR:KEY=FOZCTETIXS&amp;VAR:QUERY=RkZfU0FMRVMoQ0FMLDQwNTQzLCwsLFVTRCk=&amp;WINDOW=FIRST_POPUP&amp;HEIGHT=450&amp;WIDTH=450&amp;START_MA","XIMIZED=FALSE&amp;VAR:CALENDAR=US&amp;VAR:SYMBOL=B0J7D9&amp;VAR:INDEX=0"}</definedName>
    <definedName name="_1663__FDSAUDITLINK__" hidden="1">{"fdsup://directions/FAT Viewer?action=UPDATE&amp;creator=factset&amp;DYN_ARGS=TRUE&amp;DOC_NAME=FAT:FQL_AUDITING_CLIENT_TEMPLATE.FAT&amp;display_string=Audit&amp;VAR:KEY=XWNMHODIRY&amp;VAR:QUERY=RkZfU0FMRVMoQ0FMLDQwNTQzLCwsLFVTRCk=&amp;WINDOW=FIRST_POPUP&amp;HEIGHT=450&amp;WIDTH=450&amp;START_MA","XIMIZED=FALSE&amp;VAR:CALENDAR=US&amp;VAR:SYMBOL=AMGN&amp;VAR:INDEX=0"}</definedName>
    <definedName name="_1664__FDSAUDITLINK__" hidden="1">{"fdsup://directions/FAT Viewer?action=UPDATE&amp;creator=factset&amp;DYN_ARGS=TRUE&amp;DOC_NAME=FAT:FQL_AUDITING_CLIENT_TEMPLATE.FAT&amp;display_string=Audit&amp;VAR:KEY=PWBYBYZGVC&amp;VAR:QUERY=RkZfU0FMRVMoQ0FMLDQwNTQzLCwsLFVTRCk=&amp;WINDOW=FIRST_POPUP&amp;HEIGHT=450&amp;WIDTH=450&amp;START_MA","XIMIZED=FALSE&amp;VAR:CALENDAR=US&amp;VAR:SYMBOL=ABT&amp;VAR:INDEX=0"}</definedName>
    <definedName name="_1665__FDSAUDITLINK__" hidden="1">{"fdsup://directions/FAT Viewer?action=UPDATE&amp;creator=factset&amp;DYN_ARGS=TRUE&amp;DOC_NAME=FAT:FQL_AUDITING_CLIENT_TEMPLATE.FAT&amp;display_string=Audit&amp;VAR:KEY=HMVWDILITS&amp;VAR:QUERY=RkZfU0FMRVMoQ0FMLDQwNTQzLCwsLFVTRCk=&amp;WINDOW=FIRST_POPUP&amp;HEIGHT=450&amp;WIDTH=450&amp;START_MA","XIMIZED=FALSE&amp;VAR:CALENDAR=US&amp;VAR:SYMBOL=687044&amp;VAR:INDEX=0"}</definedName>
    <definedName name="_1666__FDSAUDITLINK__" hidden="1">{"fdsup://directions/FAT Viewer?action=UPDATE&amp;creator=factset&amp;DYN_ARGS=TRUE&amp;DOC_NAME=FAT:FQL_AUDITING_CLIENT_TEMPLATE.FAT&amp;display_string=Audit&amp;VAR:KEY=DARUTYDUXC&amp;VAR:QUERY=RkZfU0FMRVMoQ0FMLDQwNTQzLCwsLFVTRCk=&amp;WINDOW=FIRST_POPUP&amp;HEIGHT=450&amp;WIDTH=450&amp;START_MA","XIMIZED=FALSE&amp;VAR:CALENDAR=US&amp;VAR:SYMBOL=BMY&amp;VAR:INDEX=0"}</definedName>
    <definedName name="_1667__FDSAUDITLINK__" hidden="1">{"fdsup://directions/FAT Viewer?action=UPDATE&amp;creator=factset&amp;DYN_ARGS=TRUE&amp;DOC_NAME=FAT:FQL_AUDITING_CLIENT_TEMPLATE.FAT&amp;display_string=Audit&amp;VAR:KEY=POPKTAPQJQ&amp;VAR:QUERY=RkZfU0FMRVMoQ0FMLDQwNTQzLCwsLFVTRCk=&amp;WINDOW=FIRST_POPUP&amp;HEIGHT=450&amp;WIDTH=450&amp;START_MA","XIMIZED=FALSE&amp;VAR:CALENDAR=US&amp;VAR:SYMBOL=LLY&amp;VAR:INDEX=0"}</definedName>
    <definedName name="_1668__FDSAUDITLINK__" hidden="1">{"fdsup://directions/FAT Viewer?action=UPDATE&amp;creator=factset&amp;DYN_ARGS=TRUE&amp;DOC_NAME=FAT:FQL_AUDITING_CLIENT_TEMPLATE.FAT&amp;display_string=Audit&amp;VAR:KEY=XOJCXURYNY&amp;VAR:QUERY=RkZfU0FMRVMoQ0FMLDQwNTQzLCwsLFVTRCk=&amp;WINDOW=FIRST_POPUP&amp;HEIGHT=450&amp;WIDTH=450&amp;START_MA","XIMIZED=FALSE&amp;VAR:CALENDAR=US&amp;VAR:SYMBOL=506921&amp;VAR:INDEX=0"}</definedName>
    <definedName name="_1669__FDSAUDITLINK__" hidden="1">{"fdsup://directions/FAT Viewer?action=UPDATE&amp;creator=factset&amp;DYN_ARGS=TRUE&amp;DOC_NAME=FAT:FQL_AUDITING_CLIENT_TEMPLATE.FAT&amp;display_string=Audit&amp;VAR:KEY=VSPKTEVIFI&amp;VAR:QUERY=RkZfU0FMRVMoQ0FMLDQwNTQzLCwsLFVTRCk=&amp;WINDOW=FIRST_POPUP&amp;HEIGHT=450&amp;WIDTH=450&amp;START_MA","XIMIZED=FALSE&amp;VAR:CALENDAR=US&amp;VAR:SYMBOL=567173&amp;VAR:INDEX=0"}</definedName>
    <definedName name="_167__FDSAUDITLINK__" hidden="1">{"fdsup://directions/FAT%20Viewer?VAR:TM=NTMA&amp;VAR:PCT=0.410959&amp;VAR:Y0=2007&amp;VAR:Y1=2008&amp;VAR:V0=14.976248&amp;VAR:V1=13.455192&amp;VAR:V=14.041258&amp;VAR:AUDIT_ID=00000117&amp;VAR:DATE=20070803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Aggregates&amp;VAR:MEASURE=PE_MEAN&amp;VAR:CALC_MODE=PORTFOLIO&amp;VAR:CHGPERIOD=NA&amp;VAR:FQLFORMULA=FMA_PE&amp;VAR:CURRENCY=USD&amp;VAR:P=1","433.057900&amp;VAR:THRESH=||||||&amp;VAR:null=.html"}</definedName>
    <definedName name="_1670__FDSAUDITLINK__" hidden="1">{"fdsup://directions/FAT Viewer?action=UPDATE&amp;creator=factset&amp;DYN_ARGS=TRUE&amp;DOC_NAME=FAT:FQL_AUDITING_CLIENT_TEMPLATE.FAT&amp;display_string=Audit&amp;VAR:KEY=BCLQRKPMJI&amp;VAR:QUERY=RkZfU0FMRVMoQ0FMLDQwNTQzLCwsLFVTRCk=&amp;WINDOW=FIRST_POPUP&amp;HEIGHT=450&amp;WIDTH=450&amp;START_MA","XIMIZED=FALSE&amp;VAR:CALENDAR=US&amp;VAR:SYMBOL=JNJ&amp;VAR:INDEX=0"}</definedName>
    <definedName name="_1671__FDSAUDITLINK__" hidden="1">{"fdsup://directions/FAT Viewer?action=UPDATE&amp;creator=factset&amp;DYN_ARGS=TRUE&amp;DOC_NAME=FAT:FQL_AUDITING_CLIENT_TEMPLATE.FAT&amp;display_string=Audit&amp;VAR:KEY=VIFKZADUDQ&amp;VAR:QUERY=RkZfU0FMRVMoQ0FMLDQwNTQzLCwsLFVTRCk=&amp;WINDOW=FIRST_POPUP&amp;HEIGHT=450&amp;WIDTH=450&amp;START_MA","XIMIZED=FALSE&amp;VAR:CALENDAR=US&amp;VAR:SYMBOL=710306&amp;VAR:INDEX=0"}</definedName>
    <definedName name="_1672__FDSAUDITLINK__" hidden="1">{"fdsup://directions/FAT Viewer?action=UPDATE&amp;creator=factset&amp;DYN_ARGS=TRUE&amp;DOC_NAME=FAT:FQL_AUDITING_CLIENT_TEMPLATE.FAT&amp;display_string=Audit&amp;VAR:KEY=LUZWFQNOTG&amp;VAR:QUERY=RkZfU0FMRVMoQ0FMLDQwNTQzLCwsLFVTRCk=&amp;WINDOW=FIRST_POPUP&amp;HEIGHT=450&amp;WIDTH=450&amp;START_MA","XIMIZED=FALSE&amp;VAR:CALENDAR=US&amp;VAR:SYMBOL=711038&amp;VAR:INDEX=0"}</definedName>
    <definedName name="_1673__FDSAUDITLINK__" hidden="1">{"fdsup://directions/FAT Viewer?action=UPDATE&amp;creator=factset&amp;DYN_ARGS=TRUE&amp;DOC_NAME=FAT:FQL_AUDITING_CLIENT_TEMPLATE.FAT&amp;display_string=Audit&amp;VAR:KEY=DMDIZURKRI&amp;VAR:QUERY=RkZfU0FMRVMoQ0FMLDQwNTQzLCwsLFVTRCk=&amp;WINDOW=FIRST_POPUP&amp;HEIGHT=450&amp;WIDTH=450&amp;START_MA","XIMIZED=FALSE&amp;VAR:CALENDAR=US&amp;VAR:SYMBOL=MRK&amp;VAR:INDEX=0"}</definedName>
    <definedName name="_1674__FDSAUDITLINK__" hidden="1">{"fdsup://directions/FAT Viewer?action=UPDATE&amp;creator=factset&amp;DYN_ARGS=TRUE&amp;DOC_NAME=FAT:FQL_AUDITING_CLIENT_TEMPLATE.FAT&amp;display_string=Audit&amp;VAR:KEY=HGVYHKXCNO&amp;VAR:QUERY=RkZfU0FMRVMoQ0FMLDQwNTQzLCwsLFVTRCk=&amp;WINDOW=FIRST_POPUP&amp;HEIGHT=450&amp;WIDTH=450&amp;START_MA","XIMIZED=FALSE&amp;VAR:CALENDAR=US&amp;VAR:SYMBOL=PFE&amp;VAR:INDEX=0"}</definedName>
    <definedName name="_1675__FDSAUDITLINK__" hidden="1">{"fdsup://directions/FAT Viewer?action=UPDATE&amp;creator=factset&amp;DYN_ARGS=TRUE&amp;DOC_NAME=FAT:FQL_AUDITING_CLIENT_TEMPLATE.FAT&amp;display_string=Audit&amp;VAR:KEY=PYFKPQPOHY&amp;VAR:QUERY=RkZfU0FMRVMoQ0FMLDQwNTQzLCwsLCk=&amp;WINDOW=FIRST_POPUP&amp;HEIGHT=450&amp;WIDTH=450&amp;START_MAXIMI","ZED=FALSE&amp;VAR:CALENDAR=US&amp;VAR:SYMBOL=BIIB&amp;VAR:INDEX=0"}</definedName>
    <definedName name="_1676__FDSAUDITLINK__" hidden="1">{"fdsup://directions/FAT Viewer?action=UPDATE&amp;creator=factset&amp;DYN_ARGS=TRUE&amp;DOC_NAME=FAT:FQL_AUDITING_CLIENT_TEMPLATE.FAT&amp;display_string=Audit&amp;VAR:KEY=ZQLUZKTERW&amp;VAR:QUERY=RkZfU0FMRVMoQ0FMLDQwMTc4LCwsLCk=&amp;WINDOW=FIRST_POPUP&amp;HEIGHT=450&amp;WIDTH=450&amp;START_MAXIMI","ZED=FALSE&amp;VAR:CALENDAR=US&amp;VAR:SYMBOL=BIIB&amp;VAR:INDEX=0"}</definedName>
    <definedName name="_1677__FDSAUDITLINK__" hidden="1">{"fdsup://directions/FAT Viewer?action=UPDATE&amp;creator=factset&amp;DYN_ARGS=TRUE&amp;DOC_NAME=FAT:FQL_AUDITING_CLIENT_TEMPLATE.FAT&amp;display_string=Audit&amp;VAR:KEY=XOLSHCXGBA&amp;VAR:QUERY=RkZfU0FMRVMoQ0FMLDM5ODEzLCwsLCk=&amp;WINDOW=FIRST_POPUP&amp;HEIGHT=450&amp;WIDTH=450&amp;START_MAXIMI","ZED=FALSE&amp;VAR:CALENDAR=US&amp;VAR:SYMBOL=BIIB&amp;VAR:INDEX=0"}</definedName>
    <definedName name="_1678__FDSAUDITLINK__" hidden="1">{"fdsup://directions/FAT Viewer?action=UPDATE&amp;creator=factset&amp;DYN_ARGS=TRUE&amp;DOC_NAME=FAT:FQL_AUDITING_CLIENT_TEMPLATE.FAT&amp;display_string=Audit&amp;VAR:KEY=LYPQBETAZS&amp;VAR:QUERY=RkZfU0FMRVMoQ0FMLDM5NDQ3LCwsLCk=&amp;WINDOW=FIRST_POPUP&amp;HEIGHT=450&amp;WIDTH=450&amp;START_MAXIMI","ZED=FALSE&amp;VAR:CALENDAR=US&amp;VAR:SYMBOL=BIIB&amp;VAR:INDEX=0"}</definedName>
    <definedName name="_1679__FDSAUDITLINK__" hidden="1">{"fdsup://directions/FAT Viewer?action=UPDATE&amp;creator=factset&amp;DYN_ARGS=TRUE&amp;DOC_NAME=FAT:FQL_AUDITING_CLIENT_TEMPLATE.FAT&amp;display_string=Audit&amp;VAR:KEY=ZELAFGHURE&amp;VAR:QUERY=RkZfU0FMRVMoQ0FMLDM5MDgyLCwsLCk=&amp;WINDOW=FIRST_POPUP&amp;HEIGHT=450&amp;WIDTH=450&amp;START_MAXIMI","ZED=FALSE&amp;VAR:CALENDAR=US&amp;VAR:SYMBOL=BIIB&amp;VAR:INDEX=0"}</definedName>
    <definedName name="_168__FDSAUDITLINK__" hidden="1">{"fdsup://directions/FAT%20Viewer?VAR:TM=NTMA&amp;VAR:PCT=0.430137&amp;VAR:Y0=2007&amp;VAR:Y1=2008&amp;VAR:V0=15.296671&amp;VAR:V1=13.725448&amp;VAR:V=14.359901&amp;VAR:AUDIT_ID=00000117&amp;VAR:DATE=20070727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Aggregates&amp;VAR:MEASURE=PE_MEAN&amp;VAR:CALC_MODE=PORTFOLIO&amp;VAR:CHGPERIOD=NA&amp;VAR:FQLFORMULA=FMA_PE&amp;VAR:CURRENCY=USD&amp;VAR:P=1","458.951900&amp;VAR:THRESH=||||||&amp;VAR:null=.html"}</definedName>
    <definedName name="_1680__FDSAUDITLINK__" hidden="1">{"fdsup://directions/FAT Viewer?action=UPDATE&amp;creator=factset&amp;DYN_ARGS=TRUE&amp;DOC_NAME=FAT:FQL_AUDITING_CLIENT_TEMPLATE.FAT&amp;display_string=Audit&amp;VAR:KEY=JEJEDARGZU&amp;VAR:QUERY=RkZfU0FMRVMoQ0FMLDM4NzE3LCwsLCk=&amp;WINDOW=FIRST_POPUP&amp;HEIGHT=450&amp;WIDTH=450&amp;START_MAXIMI","ZED=FALSE&amp;VAR:CALENDAR=US&amp;VAR:SYMBOL=BIIB&amp;VAR:INDEX=0"}</definedName>
    <definedName name="_1681__FDSAUDITLINK__" hidden="1">{"fdsup://directions/FAT Viewer?action=UPDATE&amp;creator=factset&amp;DYN_ARGS=TRUE&amp;DOC_NAME=FAT:FQL_AUDITING_CLIENT_TEMPLATE.FAT&amp;display_string=Audit&amp;VAR:KEY=BGRMFOVODW&amp;VAR:QUERY=RkZfU0FMRVMoQ0FMLDM4MzUyLCwsLCk=&amp;WINDOW=FIRST_POPUP&amp;HEIGHT=450&amp;WIDTH=450&amp;START_MAXIMI","ZED=FALSE&amp;VAR:CALENDAR=US&amp;VAR:SYMBOL=BIIB&amp;VAR:INDEX=0"}</definedName>
    <definedName name="_1682__FDSAUDITLINK__" hidden="1">{"fdsup://directions/FAT Viewer?action=UPDATE&amp;creator=factset&amp;DYN_ARGS=TRUE&amp;DOC_NAME=FAT:FQL_AUDITING_CLIENT_TEMPLATE.FAT&amp;display_string=Audit&amp;VAR:KEY=PWBSNCLCBA&amp;VAR:QUERY=RkZfU0FMRVMoQ0FMLDQwNTQzLCwsLCk=&amp;WINDOW=FIRST_POPUP&amp;HEIGHT=450&amp;WIDTH=450&amp;START_MAXIMI","ZED=FALSE&amp;VAR:CALENDAR=US&amp;VAR:SYMBOL=707752&amp;VAR:INDEX=0"}</definedName>
    <definedName name="_1683__FDSAUDITLINK__" hidden="1">{"fdsup://directions/FAT Viewer?action=UPDATE&amp;creator=factset&amp;DYN_ARGS=TRUE&amp;DOC_NAME=FAT:FQL_AUDITING_CLIENT_TEMPLATE.FAT&amp;display_string=Audit&amp;VAR:KEY=LUHEVWHCDE&amp;VAR:QUERY=RkZfU0FMRVMoQ0FMLDQwMTc4LCwsLCk=&amp;WINDOW=FIRST_POPUP&amp;HEIGHT=450&amp;WIDTH=450&amp;START_MAXIMI","ZED=FALSE&amp;VAR:CALENDAR=US&amp;VAR:SYMBOL=707752&amp;VAR:INDEX=0"}</definedName>
    <definedName name="_1684__FDSAUDITLINK__" hidden="1">{"fdsup://directions/FAT Viewer?action=UPDATE&amp;creator=factset&amp;DYN_ARGS=TRUE&amp;DOC_NAME=FAT:FQL_AUDITING_CLIENT_TEMPLATE.FAT&amp;display_string=Audit&amp;VAR:KEY=JWVKFOHATC&amp;VAR:QUERY=RkZfU0FMRVMoQ0FMLDM5ODEzLCwsLCk=&amp;WINDOW=FIRST_POPUP&amp;HEIGHT=450&amp;WIDTH=450&amp;START_MAXIMI","ZED=FALSE&amp;VAR:CALENDAR=US&amp;VAR:SYMBOL=707752&amp;VAR:INDEX=0"}</definedName>
    <definedName name="_1685__FDSAUDITLINK__" hidden="1">{"fdsup://directions/FAT Viewer?action=UPDATE&amp;creator=factset&amp;DYN_ARGS=TRUE&amp;DOC_NAME=FAT:FQL_AUDITING_CLIENT_TEMPLATE.FAT&amp;display_string=Audit&amp;VAR:KEY=VWHYNKZKRG&amp;VAR:QUERY=RkZfU0FMRVMoQ0FMLDM5NDQ3LCwsLCk=&amp;WINDOW=FIRST_POPUP&amp;HEIGHT=450&amp;WIDTH=450&amp;START_MAXIMI","ZED=FALSE&amp;VAR:CALENDAR=US&amp;VAR:SYMBOL=707752&amp;VAR:INDEX=0"}</definedName>
    <definedName name="_1686__FDSAUDITLINK__" hidden="1">{"fdsup://directions/FAT Viewer?action=UPDATE&amp;creator=factset&amp;DYN_ARGS=TRUE&amp;DOC_NAME=FAT:FQL_AUDITING_CLIENT_TEMPLATE.FAT&amp;display_string=Audit&amp;VAR:KEY=XQPUJIHOVS&amp;VAR:QUERY=RkZfU0FMRVMoQ0FMLDQwNTQzLCwsLCk=&amp;WINDOW=FIRST_POPUP&amp;HEIGHT=450&amp;WIDTH=450&amp;START_MAXIMI","ZED=FALSE&amp;VAR:CALENDAR=US&amp;VAR:SYMBOL=630720&amp;VAR:INDEX=0"}</definedName>
    <definedName name="_1687__FDSAUDITLINK__" hidden="1">{"fdsup://directions/FAT Viewer?action=UPDATE&amp;creator=factset&amp;DYN_ARGS=TRUE&amp;DOC_NAME=FAT:FQL_AUDITING_CLIENT_TEMPLATE.FAT&amp;display_string=Audit&amp;VAR:KEY=ZEHGRSXYRY&amp;VAR:QUERY=RkZfU0FMRVMoQ0FMLDQwMTc4LCwsLCk=&amp;WINDOW=FIRST_POPUP&amp;HEIGHT=450&amp;WIDTH=450&amp;START_MAXIMI","ZED=FALSE&amp;VAR:CALENDAR=US&amp;VAR:SYMBOL=630720&amp;VAR:INDEX=0"}</definedName>
    <definedName name="_1688__FDSAUDITLINK__" hidden="1">{"fdsup://directions/FAT Viewer?action=UPDATE&amp;creator=factset&amp;DYN_ARGS=TRUE&amp;DOC_NAME=FAT:FQL_AUDITING_CLIENT_TEMPLATE.FAT&amp;display_string=Audit&amp;VAR:KEY=HADCZKLKPY&amp;VAR:QUERY=RkZfU0FMRVMoQ0FMLDM5ODEzLCwsLCk=&amp;WINDOW=FIRST_POPUP&amp;HEIGHT=450&amp;WIDTH=450&amp;START_MAXIMI","ZED=FALSE&amp;VAR:CALENDAR=US&amp;VAR:SYMBOL=630720&amp;VAR:INDEX=0"}</definedName>
    <definedName name="_1689__FDSAUDITLINK__" hidden="1">{"fdsup://directions/FAT Viewer?action=UPDATE&amp;creator=factset&amp;DYN_ARGS=TRUE&amp;DOC_NAME=FAT:FQL_AUDITING_CLIENT_TEMPLATE.FAT&amp;display_string=Audit&amp;VAR:KEY=RYPORYFIJI&amp;VAR:QUERY=RkZfU0FMRVMoQ0FMLDM5NDQ3LCwsLCk=&amp;WINDOW=FIRST_POPUP&amp;HEIGHT=450&amp;WIDTH=450&amp;START_MAXIMI","ZED=FALSE&amp;VAR:CALENDAR=US&amp;VAR:SYMBOL=630720&amp;VAR:INDEX=0"}</definedName>
    <definedName name="_169__FDSAUDITLINK__" hidden="1">{"fdsup://directions/FAT%20Viewer?VAR:TM=NTMA&amp;VAR:PCT=0.449315&amp;VAR:Y0=2007&amp;VAR:Y1=2008&amp;VAR:V0=16.139261&amp;VAR:V1=14.481765&amp;VAR:V=15.182347&amp;VAR:AUDIT_ID=00000117&amp;VAR:DATE=20070720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Aggregates&amp;VAR:MEASURE=PE_MEAN&amp;VAR:CALC_MODE=PORTFOLIO&amp;VAR:CHGPERIOD=NA&amp;VAR:FQLFORMULA=FMA_PE&amp;VAR:CURRENCY=USD&amp;VAR:P=1","534.095200&amp;VAR:THRESH=||||||&amp;VAR:null=.html"}</definedName>
    <definedName name="_1690__FDSAUDITLINK__" hidden="1">{"fdsup://directions/FAT Viewer?action=UPDATE&amp;creator=factset&amp;DYN_ARGS=TRUE&amp;DOC_NAME=FAT:FQL_AUDITING_CLIENT_TEMPLATE.FAT&amp;display_string=Audit&amp;VAR:KEY=XOXAFQPQBU&amp;VAR:QUERY=RkZfU0FMRVMoQ0FMLDM5MDgyLCwsLCk=&amp;WINDOW=FIRST_POPUP&amp;HEIGHT=450&amp;WIDTH=450&amp;START_MAXIMI","ZED=FALSE&amp;VAR:CALENDAR=US&amp;VAR:SYMBOL=630720&amp;VAR:INDEX=0"}</definedName>
    <definedName name="_1691__FDSAUDITLINK__" hidden="1">{"fdsup://directions/FAT Viewer?action=UPDATE&amp;creator=factset&amp;DYN_ARGS=TRUE&amp;DOC_NAME=FAT:FQL_AUDITING_CLIENT_TEMPLATE.FAT&amp;display_string=Audit&amp;VAR:KEY=RWPCRWLQPE&amp;VAR:QUERY=RkZfU0FMRVMoQ0FMLDM4NzE3LCwsLCk=&amp;WINDOW=FIRST_POPUP&amp;HEIGHT=450&amp;WIDTH=450&amp;START_MAXIMI","ZED=FALSE&amp;VAR:CALENDAR=US&amp;VAR:SYMBOL=630720&amp;VAR:INDEX=0"}</definedName>
    <definedName name="_1692__FDSAUDITLINK__" hidden="1">{"fdsup://directions/FAT Viewer?action=UPDATE&amp;creator=factset&amp;DYN_ARGS=TRUE&amp;DOC_NAME=FAT:FQL_AUDITING_CLIENT_TEMPLATE.FAT&amp;display_string=Audit&amp;VAR:KEY=HMVSNIBYDY&amp;VAR:QUERY=RkZfU0FMRVMoQ0FMLDM4MzUyLCwsLCk=&amp;WINDOW=FIRST_POPUP&amp;HEIGHT=450&amp;WIDTH=450&amp;START_MAXIMI","ZED=FALSE&amp;VAR:CALENDAR=US&amp;VAR:SYMBOL=630720&amp;VAR:INDEX=0"}</definedName>
    <definedName name="_1693__FDSAUDITLINK__" hidden="1">{"fdsup://directions/FAT Viewer?action=UPDATE&amp;creator=factset&amp;DYN_ARGS=TRUE&amp;DOC_NAME=FAT:FQL_AUDITING_CLIENT_TEMPLATE.FAT&amp;display_string=Audit&amp;VAR:KEY=FMVKVUFQTO&amp;VAR:QUERY=RkZfU0FMRVMoQ0FMLDM3OTg2LCwsLCk=&amp;WINDOW=FIRST_POPUP&amp;HEIGHT=450&amp;WIDTH=450&amp;START_MAXIMI","ZED=FALSE&amp;VAR:CALENDAR=US&amp;VAR:SYMBOL=630720&amp;VAR:INDEX=0"}</definedName>
    <definedName name="_1694__FDSAUDITLINK__" hidden="1">{"fdsup://directions/FAT Viewer?action=UPDATE&amp;creator=factset&amp;DYN_ARGS=TRUE&amp;DOC_NAME=FAT:FQL_AUDITING_CLIENT_TEMPLATE.FAT&amp;display_string=Audit&amp;VAR:KEY=RWZSTULEFE&amp;VAR:QUERY=RkZfU0FMRVMoQ0FMLDQwNTQzLCwsLCk=&amp;WINDOW=FIRST_POPUP&amp;HEIGHT=450&amp;WIDTH=450&amp;START_MAXIMI","ZED=FALSE&amp;VAR:CALENDAR=US&amp;VAR:SYMBOL=698538&amp;VAR:INDEX=0"}</definedName>
    <definedName name="_1695__FDSAUDITLINK__" hidden="1">{"fdsup://directions/FAT Viewer?action=UPDATE&amp;creator=factset&amp;DYN_ARGS=TRUE&amp;DOC_NAME=FAT:FQL_AUDITING_CLIENT_TEMPLATE.FAT&amp;display_string=Audit&amp;VAR:KEY=XENCRATKNY&amp;VAR:QUERY=RkZfU0FMRVMoQ0FMLDQwMTc4LCwsLCk=&amp;WINDOW=FIRST_POPUP&amp;HEIGHT=450&amp;WIDTH=450&amp;START_MAXIMI","ZED=FALSE&amp;VAR:CALENDAR=US&amp;VAR:SYMBOL=698538&amp;VAR:INDEX=0"}</definedName>
    <definedName name="_1696__FDSAUDITLINK__" hidden="1">{"fdsup://directions/FAT Viewer?action=UPDATE&amp;creator=factset&amp;DYN_ARGS=TRUE&amp;DOC_NAME=FAT:FQL_AUDITING_CLIENT_TEMPLATE.FAT&amp;display_string=Audit&amp;VAR:KEY=DGVCLOXWNQ&amp;VAR:QUERY=RkZfU0FMRVMoQ0FMLDM5ODEzLCwsLCk=&amp;WINDOW=FIRST_POPUP&amp;HEIGHT=450&amp;WIDTH=450&amp;START_MAXIMI","ZED=FALSE&amp;VAR:CALENDAR=US&amp;VAR:SYMBOL=698538&amp;VAR:INDEX=0"}</definedName>
    <definedName name="_1697__FDSAUDITLINK__" hidden="1">{"fdsup://directions/FAT Viewer?action=UPDATE&amp;creator=factset&amp;DYN_ARGS=TRUE&amp;DOC_NAME=FAT:FQL_AUDITING_CLIENT_TEMPLATE.FAT&amp;display_string=Audit&amp;VAR:KEY=NGFQXAXQVY&amp;VAR:QUERY=RkZfU0FMRVMoQ0FMLDM5NDQ3LCwsLCk=&amp;WINDOW=FIRST_POPUP&amp;HEIGHT=450&amp;WIDTH=450&amp;START_MAXIMI","ZED=FALSE&amp;VAR:CALENDAR=US&amp;VAR:SYMBOL=698538&amp;VAR:INDEX=0"}</definedName>
    <definedName name="_1698__FDSAUDITLINK__" hidden="1">{"fdsup://directions/FAT Viewer?action=UPDATE&amp;creator=factset&amp;DYN_ARGS=TRUE&amp;DOC_NAME=FAT:FQL_AUDITING_CLIENT_TEMPLATE.FAT&amp;display_string=Audit&amp;VAR:KEY=RYLYJAFOJG&amp;VAR:QUERY=RkZfU0FMRVMoQ0FMLDM5MDgyLCwsLCk=&amp;WINDOW=FIRST_POPUP&amp;HEIGHT=450&amp;WIDTH=450&amp;START_MAXIMI","ZED=FALSE&amp;VAR:CALENDAR=US&amp;VAR:SYMBOL=698538&amp;VAR:INDEX=0"}</definedName>
    <definedName name="_1699__FDSAUDITLINK__" hidden="1">{"fdsup://directions/FAT Viewer?action=UPDATE&amp;creator=factset&amp;DYN_ARGS=TRUE&amp;DOC_NAME=FAT:FQL_AUDITING_CLIENT_TEMPLATE.FAT&amp;display_string=Audit&amp;VAR:KEY=VSLYLYVYLU&amp;VAR:QUERY=RkZfU0FMRVMoQ0FMLDM4NzE3LCwsLCk=&amp;WINDOW=FIRST_POPUP&amp;HEIGHT=450&amp;WIDTH=450&amp;START_MAXIMI","ZED=FALSE&amp;VAR:CALENDAR=US&amp;VAR:SYMBOL=698538&amp;VAR:INDEX=0"}</definedName>
    <definedName name="_17__FDSAUDITLINK__" hidden="1">{"fdsup://directions/FAT%20Viewer?VAR:TM=NTMA&amp;VAR:PCT=0.536986&amp;VAR:Y0=2010&amp;VAR:Y1=2011&amp;VAR:V0=13.570112&amp;VAR:V1=11.542468&amp;VAR:V=12.549386&amp;VAR:AUDIT_ID=00000117&amp;VAR:DATE=20100618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Aggregates&amp;VAR:MEASURE=PE_MEAN&amp;VAR:CALC_MODE=PORTFOLIO&amp;VAR:CHGPERIOD=NA&amp;VAR:FQLFORMULA=FMA_PE&amp;VAR:CURRENCY=USD&amp;VAR:P=1","117.510608&amp;VAR:THRESH=||||||&amp;VAR:null=.html"}</definedName>
    <definedName name="_170__FDSAUDITLINK__" hidden="1">{"fdsup://directions/FAT%20Viewer?VAR:TM=NTMA&amp;VAR:PCT=0.468493&amp;VAR:Y0=2007&amp;VAR:Y1=2008&amp;VAR:V0=16.358913&amp;VAR:V1=14.679952&amp;VAR:V=15.421458&amp;VAR:AUDIT_ID=00000117&amp;VAR:DATE=20070713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Aggregates&amp;VAR:MEASURE=PE_MEAN&amp;VAR:CALC_MODE=PORTFOLIO&amp;VAR:CHGPERIOD=NA&amp;VAR:FQLFORMULA=FMA_PE&amp;VAR:CURRENCY=USD&amp;VAR:P=1","552.497800&amp;VAR:THRESH=||||||&amp;VAR:null=.html"}</definedName>
    <definedName name="_1700__FDSAUDITLINK__" hidden="1">{"fdsup://directions/FAT Viewer?action=UPDATE&amp;creator=factset&amp;DYN_ARGS=TRUE&amp;DOC_NAME=FAT:FQL_AUDITING_CLIENT_TEMPLATE.FAT&amp;display_string=Audit&amp;VAR:KEY=ZQTYLIBWXM&amp;VAR:QUERY=RkZfU0FMRVMoQ0FMLDM4MzUyLCwsLCk=&amp;WINDOW=FIRST_POPUP&amp;HEIGHT=450&amp;WIDTH=450&amp;START_MAXIMI","ZED=FALSE&amp;VAR:CALENDAR=US&amp;VAR:SYMBOL=698538&amp;VAR:INDEX=0"}</definedName>
    <definedName name="_1701__FDSAUDITLINK__" hidden="1">{"fdsup://directions/FAT Viewer?action=UPDATE&amp;creator=factset&amp;DYN_ARGS=TRUE&amp;DOC_NAME=FAT:FQL_AUDITING_CLIENT_TEMPLATE.FAT&amp;display_string=Audit&amp;VAR:KEY=ZITUFQLYRU&amp;VAR:QUERY=RkZfU0FMRVMoQ0FMLDM3OTg2LCwsLCk=&amp;WINDOW=FIRST_POPUP&amp;HEIGHT=450&amp;WIDTH=450&amp;START_MAXIMI","ZED=FALSE&amp;VAR:CALENDAR=US&amp;VAR:SYMBOL=698538&amp;VAR:INDEX=0"}</definedName>
    <definedName name="_1702__FDSAUDITLINK__" hidden="1">{"fdsup://directions/FAT Viewer?action=UPDATE&amp;creator=factset&amp;DYN_ARGS=TRUE&amp;DOC_NAME=FAT:FQL_AUDITING_CLIENT_TEMPLATE.FAT&amp;display_string=Audit&amp;VAR:KEY=XOBSPCJCDY&amp;VAR:QUERY=RkZfU0FMRVMoQ0FMLDQwNTQzLCwsLCk=&amp;WINDOW=FIRST_POPUP&amp;HEIGHT=450&amp;WIDTH=450&amp;START_MAXIMI","ZED=FALSE&amp;VAR:CALENDAR=US&amp;VAR:SYMBOL=474184&amp;VAR:INDEX=0"}</definedName>
    <definedName name="_1703__FDSAUDITLINK__" hidden="1">{"fdsup://directions/FAT Viewer?action=UPDATE&amp;creator=factset&amp;DYN_ARGS=TRUE&amp;DOC_NAME=FAT:FQL_AUDITING_CLIENT_TEMPLATE.FAT&amp;display_string=Audit&amp;VAR:KEY=BWJQJSRKZK&amp;VAR:QUERY=RkZfU0FMRVMoQ0FMLDQwMTc4LCwsLCk=&amp;WINDOW=FIRST_POPUP&amp;HEIGHT=450&amp;WIDTH=450&amp;START_MAXIMI","ZED=FALSE&amp;VAR:CALENDAR=US&amp;VAR:SYMBOL=474184&amp;VAR:INDEX=0"}</definedName>
    <definedName name="_1704__FDSAUDITLINK__" hidden="1">{"fdsup://directions/FAT Viewer?action=UPDATE&amp;creator=factset&amp;DYN_ARGS=TRUE&amp;DOC_NAME=FAT:FQL_AUDITING_CLIENT_TEMPLATE.FAT&amp;display_string=Audit&amp;VAR:KEY=ROPONUVCBK&amp;VAR:QUERY=RkZfU0FMRVMoQ0FMLDQwNTQzLCwsLCk=&amp;WINDOW=FIRST_POPUP&amp;HEIGHT=450&amp;WIDTH=450&amp;START_MAXIMI","ZED=FALSE&amp;VAR:CALENDAR=US&amp;VAR:SYMBOL=B0J7D9&amp;VAR:INDEX=0"}</definedName>
    <definedName name="_1705__FDSAUDITLINK__" hidden="1">{"fdsup://directions/FAT Viewer?action=UPDATE&amp;creator=factset&amp;DYN_ARGS=TRUE&amp;DOC_NAME=FAT:FQL_AUDITING_CLIENT_TEMPLATE.FAT&amp;display_string=Audit&amp;VAR:KEY=VIFIZWXYVO&amp;VAR:QUERY=RkZfU0FMRVMoQ0FMLDQwMTc4LCwsLCk=&amp;WINDOW=FIRST_POPUP&amp;HEIGHT=450&amp;WIDTH=450&amp;START_MAXIMI","ZED=FALSE&amp;VAR:CALENDAR=US&amp;VAR:SYMBOL=B0J7D9&amp;VAR:INDEX=0"}</definedName>
    <definedName name="_1706__FDSAUDITLINK__" hidden="1">{"fdsup://directions/FAT Viewer?action=UPDATE&amp;creator=factset&amp;DYN_ARGS=TRUE&amp;DOC_NAME=FAT:FQL_AUDITING_CLIENT_TEMPLATE.FAT&amp;display_string=Audit&amp;VAR:KEY=TYZOXMTCDS&amp;VAR:QUERY=RkZfU0FMRVMoQ0FMLDM5ODEzLCwsLCk=&amp;WINDOW=FIRST_POPUP&amp;HEIGHT=450&amp;WIDTH=450&amp;START_MAXIMI","ZED=FALSE&amp;VAR:CALENDAR=US&amp;VAR:SYMBOL=B0J7D9&amp;VAR:INDEX=0"}</definedName>
    <definedName name="_1707__FDSAUDITLINK__" hidden="1">{"fdsup://directions/FAT Viewer?action=UPDATE&amp;creator=factset&amp;DYN_ARGS=TRUE&amp;DOC_NAME=FAT:FQL_AUDITING_CLIENT_TEMPLATE.FAT&amp;display_string=Audit&amp;VAR:KEY=RCLWNAZUVM&amp;VAR:QUERY=RkZfU0FMRVMoQ0FMLDM5NDQ3LCwsLCk=&amp;WINDOW=FIRST_POPUP&amp;HEIGHT=450&amp;WIDTH=450&amp;START_MAXIMI","ZED=FALSE&amp;VAR:CALENDAR=US&amp;VAR:SYMBOL=B0J7D9&amp;VAR:INDEX=0"}</definedName>
    <definedName name="_1708__FDSAUDITLINK__" hidden="1">{"fdsup://directions/FAT Viewer?action=UPDATE&amp;creator=factset&amp;DYN_ARGS=TRUE&amp;DOC_NAME=FAT:FQL_AUDITING_CLIENT_TEMPLATE.FAT&amp;display_string=Audit&amp;VAR:KEY=VYFIHMHMZI&amp;VAR:QUERY=RkZfU0FMRVMoQ0FMLDM5MDgyLCwsLCk=&amp;WINDOW=FIRST_POPUP&amp;HEIGHT=450&amp;WIDTH=450&amp;START_MAXIMI","ZED=FALSE&amp;VAR:CALENDAR=US&amp;VAR:SYMBOL=B0J7D9&amp;VAR:INDEX=0"}</definedName>
    <definedName name="_1709__FDSAUDITLINK__" hidden="1">{"fdsup://directions/FAT Viewer?action=UPDATE&amp;creator=factset&amp;DYN_ARGS=TRUE&amp;DOC_NAME=FAT:FQL_AUDITING_CLIENT_TEMPLATE.FAT&amp;display_string=Audit&amp;VAR:KEY=RATYXOVERC&amp;VAR:QUERY=RkZfU0FMRVMoQ0FMLDM4NzE3LCwsLCk=&amp;WINDOW=FIRST_POPUP&amp;HEIGHT=450&amp;WIDTH=450&amp;START_MAXIMI","ZED=FALSE&amp;VAR:CALENDAR=US&amp;VAR:SYMBOL=B0J7D9&amp;VAR:INDEX=0"}</definedName>
    <definedName name="_171__FDSAUDITLINK__" hidden="1">{"fdsup://directions/FAT%20Viewer?VAR:TM=NTMA&amp;VAR:PCT=0.487671&amp;VAR:Y0=2007&amp;VAR:Y1=2008&amp;VAR:V0=16.122200&amp;VAR:V1=14.472488&amp;VAR:V=15.232614&amp;VAR:AUDIT_ID=00000117&amp;VAR:DATE=20070706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Aggregates&amp;VAR:MEASURE=PE_MEAN&amp;VAR:CALC_MODE=PORTFOLIO&amp;VAR:CHGPERIOD=NA&amp;VAR:FQLFORMULA=FMA_PE&amp;VAR:CURRENCY=USD&amp;VAR:P=1","530.440700&amp;VAR:THRESH=||||||&amp;VAR:null=.html"}</definedName>
    <definedName name="_1710__FDSAUDITLINK__" hidden="1">{"fdsup://directions/FAT Viewer?action=UPDATE&amp;creator=factset&amp;DYN_ARGS=TRUE&amp;DOC_NAME=FAT:FQL_AUDITING_CLIENT_TEMPLATE.FAT&amp;display_string=Audit&amp;VAR:KEY=HEROTQBOTS&amp;VAR:QUERY=RkZfU0FMRVMoQ0FMLDM4MzUyLCwsLCk=&amp;WINDOW=FIRST_POPUP&amp;HEIGHT=450&amp;WIDTH=450&amp;START_MAXIMI","ZED=FALSE&amp;VAR:CALENDAR=US&amp;VAR:SYMBOL=B0J7D9&amp;VAR:INDEX=0"}</definedName>
    <definedName name="_1711__FDSAUDITLINK__" hidden="1">{"fdsup://directions/FAT Viewer?action=UPDATE&amp;creator=factset&amp;DYN_ARGS=TRUE&amp;DOC_NAME=FAT:FQL_AUDITING_CLIENT_TEMPLATE.FAT&amp;display_string=Audit&amp;VAR:KEY=JAZQJETKLY&amp;VAR:QUERY=RkZfU0FMRVMoQ0FMLDM3OTg2LCwsLCk=&amp;WINDOW=FIRST_POPUP&amp;HEIGHT=450&amp;WIDTH=450&amp;START_MAXIMI","ZED=FALSE&amp;VAR:CALENDAR=US&amp;VAR:SYMBOL=B0J7D9&amp;VAR:INDEX=0"}</definedName>
    <definedName name="_1712__FDSAUDITLINK__" hidden="1">{"fdsup://directions/FAT Viewer?action=UPDATE&amp;creator=factset&amp;DYN_ARGS=TRUE&amp;DOC_NAME=FAT:FQL_AUDITING_CLIENT_TEMPLATE.FAT&amp;display_string=Audit&amp;VAR:KEY=NIXKXSZYJO&amp;VAR:QUERY=RkZfU0FMRVMoQ0FMLDQwNTQzLCwsLCk=&amp;WINDOW=FIRST_POPUP&amp;HEIGHT=450&amp;WIDTH=450&amp;START_MAXIMI","ZED=FALSE&amp;VAR:CALENDAR=US&amp;VAR:SYMBOL=AMGN&amp;VAR:INDEX=0"}</definedName>
    <definedName name="_1713__FDSAUDITLINK__" hidden="1">{"fdsup://directions/FAT Viewer?action=UPDATE&amp;creator=factset&amp;DYN_ARGS=TRUE&amp;DOC_NAME=FAT:FQL_AUDITING_CLIENT_TEMPLATE.FAT&amp;display_string=Audit&amp;VAR:KEY=PSHENMBWRU&amp;VAR:QUERY=RkZfU0FMRVMoQ0FMLDQwMTc4LCwsLCk=&amp;WINDOW=FIRST_POPUP&amp;HEIGHT=450&amp;WIDTH=450&amp;START_MAXIMI","ZED=FALSE&amp;VAR:CALENDAR=US&amp;VAR:SYMBOL=AMGN&amp;VAR:INDEX=0"}</definedName>
    <definedName name="_1714__FDSAUDITLINK__" hidden="1">{"fdsup://directions/FAT Viewer?action=UPDATE&amp;creator=factset&amp;DYN_ARGS=TRUE&amp;DOC_NAME=FAT:FQL_AUDITING_CLIENT_TEMPLATE.FAT&amp;display_string=Audit&amp;VAR:KEY=HAHEZKBKHG&amp;VAR:QUERY=RkZfU0FMRVMoQ0FMLDM5ODEzLCwsLCk=&amp;WINDOW=FIRST_POPUP&amp;HEIGHT=450&amp;WIDTH=450&amp;START_MAXIMI","ZED=FALSE&amp;VAR:CALENDAR=US&amp;VAR:SYMBOL=AMGN&amp;VAR:INDEX=0"}</definedName>
    <definedName name="_1715__FDSAUDITLINK__" hidden="1">{"fdsup://directions/FAT Viewer?action=UPDATE&amp;creator=factset&amp;DYN_ARGS=TRUE&amp;DOC_NAME=FAT:FQL_AUDITING_CLIENT_TEMPLATE.FAT&amp;display_string=Audit&amp;VAR:KEY=PGJOVCLGBS&amp;VAR:QUERY=RkZfU0FMRVMoQ0FMLDM5NDQ3LCwsLCk=&amp;WINDOW=FIRST_POPUP&amp;HEIGHT=450&amp;WIDTH=450&amp;START_MAXIMI","ZED=FALSE&amp;VAR:CALENDAR=US&amp;VAR:SYMBOL=AMGN&amp;VAR:INDEX=0"}</definedName>
    <definedName name="_1716__FDSAUDITLINK__" hidden="1">{"fdsup://directions/FAT Viewer?action=UPDATE&amp;creator=factset&amp;DYN_ARGS=TRUE&amp;DOC_NAME=FAT:FQL_AUDITING_CLIENT_TEMPLATE.FAT&amp;display_string=Audit&amp;VAR:KEY=FYXGXAXURW&amp;VAR:QUERY=RkZfU0FMRVMoQ0FMLDM5MDgyLCwsLCk=&amp;WINDOW=FIRST_POPUP&amp;HEIGHT=450&amp;WIDTH=450&amp;START_MAXIMI","ZED=FALSE&amp;VAR:CALENDAR=US&amp;VAR:SYMBOL=AMGN&amp;VAR:INDEX=0"}</definedName>
    <definedName name="_1717__FDSAUDITLINK__" hidden="1">{"fdsup://directions/FAT Viewer?action=UPDATE&amp;creator=factset&amp;DYN_ARGS=TRUE&amp;DOC_NAME=FAT:FQL_AUDITING_CLIENT_TEMPLATE.FAT&amp;display_string=Audit&amp;VAR:KEY=VADUDGDYFA&amp;VAR:QUERY=RkZfU0FMRVMoQ0FMLDM4NzE3LCwsLCk=&amp;WINDOW=FIRST_POPUP&amp;HEIGHT=450&amp;WIDTH=450&amp;START_MAXIMI","ZED=FALSE&amp;VAR:CALENDAR=US&amp;VAR:SYMBOL=AMGN&amp;VAR:INDEX=0"}</definedName>
    <definedName name="_1718__FDSAUDITLINK__" hidden="1">{"fdsup://directions/FAT Viewer?action=UPDATE&amp;creator=factset&amp;DYN_ARGS=TRUE&amp;DOC_NAME=FAT:FQL_AUDITING_CLIENT_TEMPLATE.FAT&amp;display_string=Audit&amp;VAR:KEY=FKDOZAJURW&amp;VAR:QUERY=RkZfU0FMRVMoQ0FMLDM4MzUyLCwsLCk=&amp;WINDOW=FIRST_POPUP&amp;HEIGHT=450&amp;WIDTH=450&amp;START_MAXIMI","ZED=FALSE&amp;VAR:CALENDAR=US&amp;VAR:SYMBOL=AMGN&amp;VAR:INDEX=0"}</definedName>
    <definedName name="_1719__FDSAUDITLINK__" hidden="1">{"fdsup://directions/FAT Viewer?action=UPDATE&amp;creator=factset&amp;DYN_ARGS=TRUE&amp;DOC_NAME=FAT:FQL_AUDITING_CLIENT_TEMPLATE.FAT&amp;display_string=Audit&amp;VAR:KEY=LULCDIVYJK&amp;VAR:QUERY=RkZfU0FMRVMoQ0FMLDQwNTQzLCwsLCk=&amp;WINDOW=FIRST_POPUP&amp;HEIGHT=450&amp;WIDTH=450&amp;START_MAXIMI","ZED=FALSE&amp;VAR:CALENDAR=US&amp;VAR:SYMBOL=ABT&amp;VAR:INDEX=0"}</definedName>
    <definedName name="_172__FDSAUDITLINK__" hidden="1">{"fdsup://directions/FAT%20Viewer?VAR:TM=NTMA&amp;VAR:PCT=0.506849&amp;VAR:Y0=2007&amp;VAR:Y1=2008&amp;VAR:V0=15.839108&amp;VAR:V1=14.222311&amp;VAR:V=14.998281&amp;VAR:AUDIT_ID=00000117&amp;VAR:DATE=20070629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Aggregates&amp;VAR:MEASURE=PE_MEAN&amp;VAR:CALC_MODE=PORTFOLIO&amp;VAR:CHGPERIOD=NA&amp;VAR:FQLFORMULA=FMA_PE&amp;VAR:CURRENCY=USD&amp;VAR:P=1","503.348600&amp;VAR:THRESH=||||||&amp;VAR:null=.html"}</definedName>
    <definedName name="_1720__FDSAUDITLINK__" hidden="1">{"fdsup://directions/FAT Viewer?action=UPDATE&amp;creator=factset&amp;DYN_ARGS=TRUE&amp;DOC_NAME=FAT:FQL_AUDITING_CLIENT_TEMPLATE.FAT&amp;display_string=Audit&amp;VAR:KEY=XIHAFGFYLU&amp;VAR:QUERY=RkZfU0FMRVMoQ0FMLDQwMTc4LCwsLCk=&amp;WINDOW=FIRST_POPUP&amp;HEIGHT=450&amp;WIDTH=450&amp;START_MAXIMI","ZED=FALSE&amp;VAR:CALENDAR=US&amp;VAR:SYMBOL=ABT&amp;VAR:INDEX=0"}</definedName>
    <definedName name="_1721__FDSAUDITLINK__" hidden="1">{"fdsup://directions/FAT Viewer?action=UPDATE&amp;creator=factset&amp;DYN_ARGS=TRUE&amp;DOC_NAME=FAT:FQL_AUDITING_CLIENT_TEMPLATE.FAT&amp;display_string=Audit&amp;VAR:KEY=FAFWNGJOZC&amp;VAR:QUERY=RkZfU0FMRVMoQ0FMLDM5ODEzLCwsLCk=&amp;WINDOW=FIRST_POPUP&amp;HEIGHT=450&amp;WIDTH=450&amp;START_MAXIMI","ZED=FALSE&amp;VAR:CALENDAR=US&amp;VAR:SYMBOL=ABT&amp;VAR:INDEX=0"}</definedName>
    <definedName name="_1722__FDSAUDITLINK__" hidden="1">{"fdsup://directions/FAT Viewer?action=UPDATE&amp;creator=factset&amp;DYN_ARGS=TRUE&amp;DOC_NAME=FAT:FQL_AUDITING_CLIENT_TEMPLATE.FAT&amp;display_string=Audit&amp;VAR:KEY=VOVAHWRMBQ&amp;VAR:QUERY=RkZfU0FMRVMoQ0FMLDM5NDQ3LCwsLCk=&amp;WINDOW=FIRST_POPUP&amp;HEIGHT=450&amp;WIDTH=450&amp;START_MAXIMI","ZED=FALSE&amp;VAR:CALENDAR=US&amp;VAR:SYMBOL=ABT&amp;VAR:INDEX=0"}</definedName>
    <definedName name="_1723__FDSAUDITLINK__" hidden="1">{"fdsup://directions/FAT Viewer?action=UPDATE&amp;creator=factset&amp;DYN_ARGS=TRUE&amp;DOC_NAME=FAT:FQL_AUDITING_CLIENT_TEMPLATE.FAT&amp;display_string=Audit&amp;VAR:KEY=JIZSHKHCLG&amp;VAR:QUERY=RkZfU0FMRVMoQ0FMLDM5MDgyLCwsLCk=&amp;WINDOW=FIRST_POPUP&amp;HEIGHT=450&amp;WIDTH=450&amp;START_MAXIMI","ZED=FALSE&amp;VAR:CALENDAR=US&amp;VAR:SYMBOL=ABT&amp;VAR:INDEX=0"}</definedName>
    <definedName name="_1724__FDSAUDITLINK__" hidden="1">{"fdsup://directions/FAT Viewer?action=UPDATE&amp;creator=factset&amp;DYN_ARGS=TRUE&amp;DOC_NAME=FAT:FQL_AUDITING_CLIENT_TEMPLATE.FAT&amp;display_string=Audit&amp;VAR:KEY=HGLONMHIHO&amp;VAR:QUERY=RkZfU0FMRVMoQ0FMLDM4NzE3LCwsLCk=&amp;WINDOW=FIRST_POPUP&amp;HEIGHT=450&amp;WIDTH=450&amp;START_MAXIMI","ZED=FALSE&amp;VAR:CALENDAR=US&amp;VAR:SYMBOL=ABT&amp;VAR:INDEX=0"}</definedName>
    <definedName name="_1725__FDSAUDITLINK__" hidden="1">{"fdsup://directions/FAT Viewer?action=UPDATE&amp;creator=factset&amp;DYN_ARGS=TRUE&amp;DOC_NAME=FAT:FQL_AUDITING_CLIENT_TEMPLATE.FAT&amp;display_string=Audit&amp;VAR:KEY=PMFYHUFOJW&amp;VAR:QUERY=RkZfU0FMRVMoQ0FMLDM4MzUyLCwsLCk=&amp;WINDOW=FIRST_POPUP&amp;HEIGHT=450&amp;WIDTH=450&amp;START_MAXIMI","ZED=FALSE&amp;VAR:CALENDAR=US&amp;VAR:SYMBOL=ABT&amp;VAR:INDEX=0"}</definedName>
    <definedName name="_1726__FDSAUDITLINK__" hidden="1">{"fdsup://directions/FAT Viewer?action=UPDATE&amp;creator=factset&amp;DYN_ARGS=TRUE&amp;DOC_NAME=FAT:FQL_AUDITING_CLIENT_TEMPLATE.FAT&amp;display_string=Audit&amp;VAR:KEY=FGVODQPWLQ&amp;VAR:QUERY=RkZfU0FMRVMoQ0FMLDQwNTQzLCwsLCk=&amp;WINDOW=FIRST_POPUP&amp;HEIGHT=450&amp;WIDTH=450&amp;START_MAXIMI","ZED=FALSE&amp;VAR:CALENDAR=US&amp;VAR:SYMBOL=687044&amp;VAR:INDEX=0"}</definedName>
    <definedName name="_1727__FDSAUDITLINK__" hidden="1">{"fdsup://directions/FAT Viewer?action=UPDATE&amp;creator=factset&amp;DYN_ARGS=TRUE&amp;DOC_NAME=FAT:FQL_AUDITING_CLIENT_TEMPLATE.FAT&amp;display_string=Audit&amp;VAR:KEY=NGJYDUXCVO&amp;VAR:QUERY=RkZfU0FMRVMoQ0FMLDQwMTc4LCwsLCk=&amp;WINDOW=FIRST_POPUP&amp;HEIGHT=450&amp;WIDTH=450&amp;START_MAXIMI","ZED=FALSE&amp;VAR:CALENDAR=US&amp;VAR:SYMBOL=687044&amp;VAR:INDEX=0"}</definedName>
    <definedName name="_1728__FDSAUDITLINK__" hidden="1">{"fdsup://directions/FAT Viewer?action=UPDATE&amp;creator=factset&amp;DYN_ARGS=TRUE&amp;DOC_NAME=FAT:FQL_AUDITING_CLIENT_TEMPLATE.FAT&amp;display_string=Audit&amp;VAR:KEY=NWVWHILSTA&amp;VAR:QUERY=RkZfU0FMRVMoQ0FMLDM5ODEzLCwsLCk=&amp;WINDOW=FIRST_POPUP&amp;HEIGHT=450&amp;WIDTH=450&amp;START_MAXIMI","ZED=FALSE&amp;VAR:CALENDAR=US&amp;VAR:SYMBOL=687044&amp;VAR:INDEX=0"}</definedName>
    <definedName name="_1729__FDSAUDITLINK__" hidden="1">{"fdsup://directions/FAT Viewer?action=UPDATE&amp;creator=factset&amp;DYN_ARGS=TRUE&amp;DOC_NAME=FAT:FQL_AUDITING_CLIENT_TEMPLATE.FAT&amp;display_string=Audit&amp;VAR:KEY=LANUXGTUJE&amp;VAR:QUERY=RkZfU0FMRVMoQ0FMLDM5NDQ3LCwsLCk=&amp;WINDOW=FIRST_POPUP&amp;HEIGHT=450&amp;WIDTH=450&amp;START_MAXIMI","ZED=FALSE&amp;VAR:CALENDAR=US&amp;VAR:SYMBOL=687044&amp;VAR:INDEX=0"}</definedName>
    <definedName name="_173__FDSAUDITLINK__" hidden="1">{"fdsup://directions/FAT%20Viewer?VAR:TM=NTMA&amp;VAR:PCT=0.526027&amp;VAR:Y0=2007&amp;VAR:Y1=2008&amp;VAR:V0=15.838882&amp;VAR:V1=14.235549&amp;VAR:V=15.036205&amp;VAR:AUDIT_ID=00000117&amp;VAR:DATE=20070622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Aggregates&amp;VAR:MEASURE=PE_MEAN&amp;VAR:CALC_MODE=PORTFOLIO&amp;VAR:CHGPERIOD=NA&amp;VAR:FQLFORMULA=FMA_PE&amp;VAR:CURRENCY=USD&amp;VAR:P=1","502.560400&amp;VAR:THRESH=||||||&amp;VAR:null=.html"}</definedName>
    <definedName name="_1730__FDSAUDITLINK__" hidden="1">{"fdsup://directions/FAT Viewer?action=UPDATE&amp;creator=factset&amp;DYN_ARGS=TRUE&amp;DOC_NAME=FAT:FQL_AUDITING_CLIENT_TEMPLATE.FAT&amp;display_string=Audit&amp;VAR:KEY=VMNWLAFAZG&amp;VAR:QUERY=RkZfU0FMRVMoQ0FMLDM5MDgyLCwsLCk=&amp;WINDOW=FIRST_POPUP&amp;HEIGHT=450&amp;WIDTH=450&amp;START_MAXIMI","ZED=FALSE&amp;VAR:CALENDAR=US&amp;VAR:SYMBOL=687044&amp;VAR:INDEX=0"}</definedName>
    <definedName name="_1731__FDSAUDITLINK__" hidden="1">{"fdsup://directions/FAT Viewer?action=UPDATE&amp;creator=factset&amp;DYN_ARGS=TRUE&amp;DOC_NAME=FAT:FQL_AUDITING_CLIENT_TEMPLATE.FAT&amp;display_string=Audit&amp;VAR:KEY=VUHEZEHYDS&amp;VAR:QUERY=RkZfU0FMRVMoQ0FMLDM4NzE3LCwsLCk=&amp;WINDOW=FIRST_POPUP&amp;HEIGHT=450&amp;WIDTH=450&amp;START_MAXIMI","ZED=FALSE&amp;VAR:CALENDAR=US&amp;VAR:SYMBOL=687044&amp;VAR:INDEX=0"}</definedName>
    <definedName name="_1732__FDSAUDITLINK__" hidden="1">{"fdsup://directions/FAT Viewer?action=UPDATE&amp;creator=factset&amp;DYN_ARGS=TRUE&amp;DOC_NAME=FAT:FQL_AUDITING_CLIENT_TEMPLATE.FAT&amp;display_string=Audit&amp;VAR:KEY=VEBOPIBOXG&amp;VAR:QUERY=RkZfU0FMRVMoQ0FMLDM4MzUyLCwsLCk=&amp;WINDOW=FIRST_POPUP&amp;HEIGHT=450&amp;WIDTH=450&amp;START_MAXIMI","ZED=FALSE&amp;VAR:CALENDAR=US&amp;VAR:SYMBOL=687044&amp;VAR:INDEX=0"}</definedName>
    <definedName name="_1733__FDSAUDITLINK__" hidden="1">{"fdsup://directions/FAT Viewer?action=UPDATE&amp;creator=factset&amp;DYN_ARGS=TRUE&amp;DOC_NAME=FAT:FQL_AUDITING_CLIENT_TEMPLATE.FAT&amp;display_string=Audit&amp;VAR:KEY=TWJGRYHSBC&amp;VAR:QUERY=RkZfU0FMRVMoQ0FMLDM3OTg2LCwsLCk=&amp;WINDOW=FIRST_POPUP&amp;HEIGHT=450&amp;WIDTH=450&amp;START_MAXIMI","ZED=FALSE&amp;VAR:CALENDAR=US&amp;VAR:SYMBOL=687044&amp;VAR:INDEX=0"}</definedName>
    <definedName name="_1734__FDSAUDITLINK__" hidden="1">{"fdsup://directions/FAT Viewer?action=UPDATE&amp;creator=factset&amp;DYN_ARGS=TRUE&amp;DOC_NAME=FAT:FQL_AUDITING_CLIENT_TEMPLATE.FAT&amp;display_string=Audit&amp;VAR:KEY=NMJKXQRIPK&amp;VAR:QUERY=RkZfU0FMRVMoQ0FMLDQwNTQzLCwsLCk=&amp;WINDOW=FIRST_POPUP&amp;HEIGHT=450&amp;WIDTH=450&amp;START_MAXIMI","ZED=FALSE&amp;VAR:CALENDAR=US&amp;VAR:SYMBOL=BMY&amp;VAR:INDEX=0"}</definedName>
    <definedName name="_1735__FDSAUDITLINK__" hidden="1">{"fdsup://directions/FAT Viewer?action=UPDATE&amp;creator=factset&amp;DYN_ARGS=TRUE&amp;DOC_NAME=FAT:FQL_AUDITING_CLIENT_TEMPLATE.FAT&amp;display_string=Audit&amp;VAR:KEY=BUJIHQJYLA&amp;VAR:QUERY=RkZfU0FMRVMoQ0FMLDQwMTc4LCwsLCk=&amp;WINDOW=FIRST_POPUP&amp;HEIGHT=450&amp;WIDTH=450&amp;START_MAXIMI","ZED=FALSE&amp;VAR:CALENDAR=US&amp;VAR:SYMBOL=BMY&amp;VAR:INDEX=0"}</definedName>
    <definedName name="_1736__FDSAUDITLINK__" hidden="1">{"fdsup://directions/FAT Viewer?action=UPDATE&amp;creator=factset&amp;DYN_ARGS=TRUE&amp;DOC_NAME=FAT:FQL_AUDITING_CLIENT_TEMPLATE.FAT&amp;display_string=Audit&amp;VAR:KEY=JIDAXAJARK&amp;VAR:QUERY=RkZfU0FMRVMoQ0FMLDM5ODEzLCwsLCk=&amp;WINDOW=FIRST_POPUP&amp;HEIGHT=450&amp;WIDTH=450&amp;START_MAXIMI","ZED=FALSE&amp;VAR:CALENDAR=US&amp;VAR:SYMBOL=BMY&amp;VAR:INDEX=0"}</definedName>
    <definedName name="_1737__FDSAUDITLINK__" hidden="1">{"fdsup://directions/FAT Viewer?action=UPDATE&amp;creator=factset&amp;DYN_ARGS=TRUE&amp;DOC_NAME=FAT:FQL_AUDITING_CLIENT_TEMPLATE.FAT&amp;display_string=Audit&amp;VAR:KEY=FGNGDYBWJI&amp;VAR:QUERY=RkZfU0FMRVMoQ0FMLDM5NDQ3LCwsLCk=&amp;WINDOW=FIRST_POPUP&amp;HEIGHT=450&amp;WIDTH=450&amp;START_MAXIMI","ZED=FALSE&amp;VAR:CALENDAR=US&amp;VAR:SYMBOL=BMY&amp;VAR:INDEX=0"}</definedName>
    <definedName name="_1738__FDSAUDITLINK__" hidden="1">{"fdsup://directions/FAT Viewer?action=UPDATE&amp;creator=factset&amp;DYN_ARGS=TRUE&amp;DOC_NAME=FAT:FQL_AUDITING_CLIENT_TEMPLATE.FAT&amp;display_string=Audit&amp;VAR:KEY=ZEPMHOTKTQ&amp;VAR:QUERY=RkZfU0FMRVMoQ0FMLDM5MDgyLCwsLCk=&amp;WINDOW=FIRST_POPUP&amp;HEIGHT=450&amp;WIDTH=450&amp;START_MAXIMI","ZED=FALSE&amp;VAR:CALENDAR=US&amp;VAR:SYMBOL=BMY&amp;VAR:INDEX=0"}</definedName>
    <definedName name="_1739__FDSAUDITLINK__" hidden="1">{"fdsup://directions/FAT Viewer?action=UPDATE&amp;creator=factset&amp;DYN_ARGS=TRUE&amp;DOC_NAME=FAT:FQL_AUDITING_CLIENT_TEMPLATE.FAT&amp;display_string=Audit&amp;VAR:KEY=ZSRUVKHGFO&amp;VAR:QUERY=RkZfU0FMRVMoQ0FMLDM4NzE3LCwsLCk=&amp;WINDOW=FIRST_POPUP&amp;HEIGHT=450&amp;WIDTH=450&amp;START_MAXIMI","ZED=FALSE&amp;VAR:CALENDAR=US&amp;VAR:SYMBOL=BMY&amp;VAR:INDEX=0"}</definedName>
    <definedName name="_174__FDSAUDITLINK__" hidden="1">{"fdsup://directions/FAT%20Viewer?VAR:TM=NTMA&amp;VAR:PCT=0.545205&amp;VAR:Y0=2007&amp;VAR:Y1=2008&amp;VAR:V0=16.156555&amp;VAR:V1=14.542868&amp;VAR:V=15.380394&amp;VAR:AUDIT_ID=00000117&amp;VAR:DATE=20070615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Aggregates&amp;VAR:MEASURE=PE_MEAN&amp;VAR:CALC_MODE=PORTFOLIO&amp;VAR:CHGPERIOD=NA&amp;VAR:FQLFORMULA=FMA_PE&amp;VAR:CURRENCY=USD&amp;VAR:P=1","532.908100&amp;VAR:THRESH=||||||&amp;VAR:null=.html"}</definedName>
    <definedName name="_1740__FDSAUDITLINK__" hidden="1">{"fdsup://directions/FAT Viewer?action=UPDATE&amp;creator=factset&amp;DYN_ARGS=TRUE&amp;DOC_NAME=FAT:FQL_AUDITING_CLIENT_TEMPLATE.FAT&amp;display_string=Audit&amp;VAR:KEY=LWZIXAXMJY&amp;VAR:QUERY=RkZfU0FMRVMoQ0FMLDM4MzUyLCwsLCk=&amp;WINDOW=FIRST_POPUP&amp;HEIGHT=450&amp;WIDTH=450&amp;START_MAXIMI","ZED=FALSE&amp;VAR:CALENDAR=US&amp;VAR:SYMBOL=BMY&amp;VAR:INDEX=0"}</definedName>
    <definedName name="_1741__FDSAUDITLINK__" hidden="1">{"fdsup://directions/FAT Viewer?action=UPDATE&amp;creator=factset&amp;DYN_ARGS=TRUE&amp;DOC_NAME=FAT:FQL_AUDITING_CLIENT_TEMPLATE.FAT&amp;display_string=Audit&amp;VAR:KEY=HGVUFQHQXY&amp;VAR:QUERY=RkZfU0FMRVMoQ0FMLDQwNTQzLCwsLCk=&amp;WINDOW=FIRST_POPUP&amp;HEIGHT=450&amp;WIDTH=450&amp;START_MAXIMI","ZED=FALSE&amp;VAR:CALENDAR=US&amp;VAR:SYMBOL=LLY&amp;VAR:INDEX=0"}</definedName>
    <definedName name="_1742__FDSAUDITLINK__" hidden="1">{"fdsup://directions/FAT Viewer?action=UPDATE&amp;creator=factset&amp;DYN_ARGS=TRUE&amp;DOC_NAME=FAT:FQL_AUDITING_CLIENT_TEMPLATE.FAT&amp;display_string=Audit&amp;VAR:KEY=BENYXWZQPA&amp;VAR:QUERY=RkZfU0FMRVMoQ0FMLDQwMTc4LCwsLCk=&amp;WINDOW=FIRST_POPUP&amp;HEIGHT=450&amp;WIDTH=450&amp;START_MAXIMI","ZED=FALSE&amp;VAR:CALENDAR=US&amp;VAR:SYMBOL=LLY&amp;VAR:INDEX=0"}</definedName>
    <definedName name="_1743__FDSAUDITLINK__" hidden="1">{"fdsup://directions/FAT Viewer?action=UPDATE&amp;creator=factset&amp;DYN_ARGS=TRUE&amp;DOC_NAME=FAT:FQL_AUDITING_CLIENT_TEMPLATE.FAT&amp;display_string=Audit&amp;VAR:KEY=TCDILENEJI&amp;VAR:QUERY=RkZfU0FMRVMoQ0FMLDM5ODEzLCwsLCk=&amp;WINDOW=FIRST_POPUP&amp;HEIGHT=450&amp;WIDTH=450&amp;START_MAXIMI","ZED=FALSE&amp;VAR:CALENDAR=US&amp;VAR:SYMBOL=LLY&amp;VAR:INDEX=0"}</definedName>
    <definedName name="_1744__FDSAUDITLINK__" hidden="1">{"fdsup://directions/FAT Viewer?action=UPDATE&amp;creator=factset&amp;DYN_ARGS=TRUE&amp;DOC_NAME=FAT:FQL_AUDITING_CLIENT_TEMPLATE.FAT&amp;display_string=Audit&amp;VAR:KEY=ZMZGTAHWVI&amp;VAR:QUERY=RkZfU0FMRVMoQ0FMLDM5NDQ3LCwsLCk=&amp;WINDOW=FIRST_POPUP&amp;HEIGHT=450&amp;WIDTH=450&amp;START_MAXIMI","ZED=FALSE&amp;VAR:CALENDAR=US&amp;VAR:SYMBOL=LLY&amp;VAR:INDEX=0"}</definedName>
    <definedName name="_1745__FDSAUDITLINK__" hidden="1">{"fdsup://directions/FAT Viewer?action=UPDATE&amp;creator=factset&amp;DYN_ARGS=TRUE&amp;DOC_NAME=FAT:FQL_AUDITING_CLIENT_TEMPLATE.FAT&amp;display_string=Audit&amp;VAR:KEY=VGZWFCPGLW&amp;VAR:QUERY=RkZfU0FMRVMoQ0FMLDM5MDgyLCwsLCk=&amp;WINDOW=FIRST_POPUP&amp;HEIGHT=450&amp;WIDTH=450&amp;START_MAXIMI","ZED=FALSE&amp;VAR:CALENDAR=US&amp;VAR:SYMBOL=LLY&amp;VAR:INDEX=0"}</definedName>
    <definedName name="_1746__FDSAUDITLINK__" hidden="1">{"fdsup://directions/FAT Viewer?action=UPDATE&amp;creator=factset&amp;DYN_ARGS=TRUE&amp;DOC_NAME=FAT:FQL_AUDITING_CLIENT_TEMPLATE.FAT&amp;display_string=Audit&amp;VAR:KEY=NMLWPYZODY&amp;VAR:QUERY=RkZfU0FMRVMoQ0FMLDM4NzE3LCwsLCk=&amp;WINDOW=FIRST_POPUP&amp;HEIGHT=450&amp;WIDTH=450&amp;START_MAXIMI","ZED=FALSE&amp;VAR:CALENDAR=US&amp;VAR:SYMBOL=LLY&amp;VAR:INDEX=0"}</definedName>
    <definedName name="_1747__FDSAUDITLINK__" hidden="1">{"fdsup://directions/FAT Viewer?action=UPDATE&amp;creator=factset&amp;DYN_ARGS=TRUE&amp;DOC_NAME=FAT:FQL_AUDITING_CLIENT_TEMPLATE.FAT&amp;display_string=Audit&amp;VAR:KEY=XERCTWXSFY&amp;VAR:QUERY=RkZfU0FMRVMoQ0FMLDM4MzUyLCwsLCk=&amp;WINDOW=FIRST_POPUP&amp;HEIGHT=450&amp;WIDTH=450&amp;START_MAXIMI","ZED=FALSE&amp;VAR:CALENDAR=US&amp;VAR:SYMBOL=LLY&amp;VAR:INDEX=0"}</definedName>
    <definedName name="_1748__FDSAUDITLINK__" hidden="1">{"fdsup://directions/FAT Viewer?action=UPDATE&amp;creator=factset&amp;DYN_ARGS=TRUE&amp;DOC_NAME=FAT:FQL_AUDITING_CLIENT_TEMPLATE.FAT&amp;display_string=Audit&amp;VAR:KEY=TYREZSHMJS&amp;VAR:QUERY=RkZfU0FMRVMoQ0FMLDQwNTQzLCwsLCk=&amp;WINDOW=FIRST_POPUP&amp;HEIGHT=450&amp;WIDTH=450&amp;START_MAXIMI","ZED=FALSE&amp;VAR:CALENDAR=US&amp;VAR:SYMBOL=506921&amp;VAR:INDEX=0"}</definedName>
    <definedName name="_1749__FDSAUDITLINK__" hidden="1">{"fdsup://directions/FAT Viewer?action=UPDATE&amp;creator=factset&amp;DYN_ARGS=TRUE&amp;DOC_NAME=FAT:FQL_AUDITING_CLIENT_TEMPLATE.FAT&amp;display_string=Audit&amp;VAR:KEY=VUTOPCHQXG&amp;VAR:QUERY=RkZfU0FMRVMoQ0FMLDQwMTc4LCwsLCk=&amp;WINDOW=FIRST_POPUP&amp;HEIGHT=450&amp;WIDTH=450&amp;START_MAXIMI","ZED=FALSE&amp;VAR:CALENDAR=US&amp;VAR:SYMBOL=506921&amp;VAR:INDEX=0"}</definedName>
    <definedName name="_175__FDSAUDITLINK__" hidden="1">{"fdsup://directions/FAT%20Viewer?VAR:TM=NTMA&amp;VAR:PCT=0.564384&amp;VAR:Y0=2007&amp;VAR:Y1=2008&amp;VAR:V0=15.885239&amp;VAR:V1=14.307099&amp;VAR:V=15.156940&amp;VAR:AUDIT_ID=00000117&amp;VAR:DATE=20070608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Aggregates&amp;VAR:MEASURE=PE_MEAN&amp;VAR:CALC_MODE=PORTFOLIO&amp;VAR:CHGPERIOD=NA&amp;VAR:FQLFORMULA=FMA_PE&amp;VAR:CURRENCY=USD&amp;VAR:P=1","507.672900&amp;VAR:THRESH=||||||&amp;VAR:null=.html"}</definedName>
    <definedName name="_1750__FDSAUDITLINK__" hidden="1">{"fdsup://directions/FAT Viewer?action=UPDATE&amp;creator=factset&amp;DYN_ARGS=TRUE&amp;DOC_NAME=FAT:FQL_AUDITING_CLIENT_TEMPLATE.FAT&amp;display_string=Audit&amp;VAR:KEY=DSVIFSTIRS&amp;VAR:QUERY=RkZfU0FMRVMoQ0FMLDM5ODEzLCwsLCk=&amp;WINDOW=FIRST_POPUP&amp;HEIGHT=450&amp;WIDTH=450&amp;START_MAXIMI","ZED=FALSE&amp;VAR:CALENDAR=US&amp;VAR:SYMBOL=506921&amp;VAR:INDEX=0"}</definedName>
    <definedName name="_1751__FDSAUDITLINK__" hidden="1">{"fdsup://directions/FAT Viewer?action=UPDATE&amp;creator=factset&amp;DYN_ARGS=TRUE&amp;DOC_NAME=FAT:FQL_AUDITING_CLIENT_TEMPLATE.FAT&amp;display_string=Audit&amp;VAR:KEY=VGFMRYZUDQ&amp;VAR:QUERY=RkZfU0FMRVMoQ0FMLDM5NDQ3LCwsLCk=&amp;WINDOW=FIRST_POPUP&amp;HEIGHT=450&amp;WIDTH=450&amp;START_MAXIMI","ZED=FALSE&amp;VAR:CALENDAR=US&amp;VAR:SYMBOL=506921&amp;VAR:INDEX=0"}</definedName>
    <definedName name="_1752__FDSAUDITLINK__" hidden="1">{"fdsup://directions/FAT Viewer?action=UPDATE&amp;creator=factset&amp;DYN_ARGS=TRUE&amp;DOC_NAME=FAT:FQL_AUDITING_CLIENT_TEMPLATE.FAT&amp;display_string=Audit&amp;VAR:KEY=PYPMDAJYFY&amp;VAR:QUERY=RkZfU0FMRVMoQ0FMLDM5MDgyLCwsLCk=&amp;WINDOW=FIRST_POPUP&amp;HEIGHT=450&amp;WIDTH=450&amp;START_MAXIMI","ZED=FALSE&amp;VAR:CALENDAR=US&amp;VAR:SYMBOL=506921&amp;VAR:INDEX=0"}</definedName>
    <definedName name="_1753__FDSAUDITLINK__" hidden="1">{"fdsup://directions/FAT Viewer?action=UPDATE&amp;creator=factset&amp;DYN_ARGS=TRUE&amp;DOC_NAME=FAT:FQL_AUDITING_CLIENT_TEMPLATE.FAT&amp;display_string=Audit&amp;VAR:KEY=FGLEFQPUNK&amp;VAR:QUERY=RkZfU0FMRVMoQ0FMLDM4NzE3LCwsLCk=&amp;WINDOW=FIRST_POPUP&amp;HEIGHT=450&amp;WIDTH=450&amp;START_MAXIMI","ZED=FALSE&amp;VAR:CALENDAR=US&amp;VAR:SYMBOL=506921&amp;VAR:INDEX=0"}</definedName>
    <definedName name="_1754__FDSAUDITLINK__" hidden="1">{"fdsup://directions/FAT Viewer?action=UPDATE&amp;creator=factset&amp;DYN_ARGS=TRUE&amp;DOC_NAME=FAT:FQL_AUDITING_CLIENT_TEMPLATE.FAT&amp;display_string=Audit&amp;VAR:KEY=NKROBUBURI&amp;VAR:QUERY=RkZfU0FMRVMoQ0FMLDQwNTQzLCwsLCk=&amp;WINDOW=FIRST_POPUP&amp;HEIGHT=450&amp;WIDTH=450&amp;START_MAXIMI","ZED=FALSE&amp;VAR:CALENDAR=US&amp;VAR:SYMBOL=567173&amp;VAR:INDEX=0"}</definedName>
    <definedName name="_1755__FDSAUDITLINK__" hidden="1">{"fdsup://directions/FAT Viewer?action=UPDATE&amp;creator=factset&amp;DYN_ARGS=TRUE&amp;DOC_NAME=FAT:FQL_AUDITING_CLIENT_TEMPLATE.FAT&amp;display_string=Audit&amp;VAR:KEY=FUZMZEJUJU&amp;VAR:QUERY=RkZfU0FMRVMoQ0FMLDQwMTc4LCwsLCk=&amp;WINDOW=FIRST_POPUP&amp;HEIGHT=450&amp;WIDTH=450&amp;START_MAXIMI","ZED=FALSE&amp;VAR:CALENDAR=US&amp;VAR:SYMBOL=567173&amp;VAR:INDEX=0"}</definedName>
    <definedName name="_1756__FDSAUDITLINK__" hidden="1">{"fdsup://directions/FAT Viewer?action=UPDATE&amp;creator=factset&amp;DYN_ARGS=TRUE&amp;DOC_NAME=FAT:FQL_AUDITING_CLIENT_TEMPLATE.FAT&amp;display_string=Audit&amp;VAR:KEY=DQJIRINKTK&amp;VAR:QUERY=RkZfU0FMRVMoQ0FMLDM5ODEzLCwsLCk=&amp;WINDOW=FIRST_POPUP&amp;HEIGHT=450&amp;WIDTH=450&amp;START_MAXIMI","ZED=FALSE&amp;VAR:CALENDAR=US&amp;VAR:SYMBOL=567173&amp;VAR:INDEX=0"}</definedName>
    <definedName name="_1757__FDSAUDITLINK__" hidden="1">{"fdsup://directions/FAT Viewer?action=UPDATE&amp;creator=factset&amp;DYN_ARGS=TRUE&amp;DOC_NAME=FAT:FQL_AUDITING_CLIENT_TEMPLATE.FAT&amp;display_string=Audit&amp;VAR:KEY=XUVOBOTILK&amp;VAR:QUERY=RkZfU0FMRVMoQ0FMLDM5NDQ3LCwsLCk=&amp;WINDOW=FIRST_POPUP&amp;HEIGHT=450&amp;WIDTH=450&amp;START_MAXIMI","ZED=FALSE&amp;VAR:CALENDAR=US&amp;VAR:SYMBOL=567173&amp;VAR:INDEX=0"}</definedName>
    <definedName name="_1758__FDSAUDITLINK__" hidden="1">{"fdsup://directions/FAT Viewer?action=UPDATE&amp;creator=factset&amp;DYN_ARGS=TRUE&amp;DOC_NAME=FAT:FQL_AUDITING_CLIENT_TEMPLATE.FAT&amp;display_string=Audit&amp;VAR:KEY=TUNGLUVQJS&amp;VAR:QUERY=RkZfU0FMRVMoQ0FMLDM5MDgyLCwsLCk=&amp;WINDOW=FIRST_POPUP&amp;HEIGHT=450&amp;WIDTH=450&amp;START_MAXIMI","ZED=FALSE&amp;VAR:CALENDAR=US&amp;VAR:SYMBOL=567173&amp;VAR:INDEX=0"}</definedName>
    <definedName name="_1759__FDSAUDITLINK__" hidden="1">{"fdsup://directions/FAT Viewer?action=UPDATE&amp;creator=factset&amp;DYN_ARGS=TRUE&amp;DOC_NAME=FAT:FQL_AUDITING_CLIENT_TEMPLATE.FAT&amp;display_string=Audit&amp;VAR:KEY=ZCZKRMREJQ&amp;VAR:QUERY=RkZfU0FMRVMoQ0FMLDM4NzE3LCwsLCk=&amp;WINDOW=FIRST_POPUP&amp;HEIGHT=450&amp;WIDTH=450&amp;START_MAXIMI","ZED=FALSE&amp;VAR:CALENDAR=US&amp;VAR:SYMBOL=567173&amp;VAR:INDEX=0"}</definedName>
    <definedName name="_176__FDSAUDITLINK__" hidden="1">{"fdsup://directions/FAT%20Viewer?VAR:TM=NTMA&amp;VAR:PCT=0.583562&amp;VAR:Y0=2007&amp;VAR:Y1=2008&amp;VAR:V0=16.217684&amp;VAR:V1=14.584099&amp;VAR:V=15.494911&amp;VAR:AUDIT_ID=00000117&amp;VAR:DATE=20070601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Aggregates&amp;VAR:MEASURE=PE_MEAN&amp;VAR:CALC_MODE=PORTFOLIO&amp;VAR:CHGPERIOD=NA&amp;VAR:FQLFORMULA=FMA_PE&amp;VAR:CURRENCY=USD&amp;VAR:P=1","536.335800&amp;VAR:THRESH=||||||&amp;VAR:null=.html"}</definedName>
    <definedName name="_1760__FDSAUDITLINK__" hidden="1">{"fdsup://directions/FAT Viewer?action=UPDATE&amp;creator=factset&amp;DYN_ARGS=TRUE&amp;DOC_NAME=FAT:FQL_AUDITING_CLIENT_TEMPLATE.FAT&amp;display_string=Audit&amp;VAR:KEY=XEFEFEVSXG&amp;VAR:QUERY=RkZfU0FMRVMoQ0FMLDQwNTQzLCwsLCk=&amp;WINDOW=FIRST_POPUP&amp;HEIGHT=450&amp;WIDTH=450&amp;START_MAXIMI","ZED=FALSE&amp;VAR:CALENDAR=US&amp;VAR:SYMBOL=JNJ&amp;VAR:INDEX=0"}</definedName>
    <definedName name="_1761__FDSAUDITLINK__" hidden="1">{"fdsup://directions/FAT Viewer?action=UPDATE&amp;creator=factset&amp;DYN_ARGS=TRUE&amp;DOC_NAME=FAT:FQL_AUDITING_CLIENT_TEMPLATE.FAT&amp;display_string=Audit&amp;VAR:KEY=LULOTKLGHM&amp;VAR:QUERY=RkZfU0FMRVMoQ0FMLDQwMTc4LCwsLCk=&amp;WINDOW=FIRST_POPUP&amp;HEIGHT=450&amp;WIDTH=450&amp;START_MAXIMI","ZED=FALSE&amp;VAR:CALENDAR=US&amp;VAR:SYMBOL=JNJ&amp;VAR:INDEX=0"}</definedName>
    <definedName name="_1762__FDSAUDITLINK__" hidden="1">{"fdsup://directions/FAT Viewer?action=UPDATE&amp;creator=factset&amp;DYN_ARGS=TRUE&amp;DOC_NAME=FAT:FQL_AUDITING_CLIENT_TEMPLATE.FAT&amp;display_string=Audit&amp;VAR:KEY=TARITKLKZA&amp;VAR:QUERY=RkZfU0FMRVMoQ0FMLDM5ODEzLCwsLCk=&amp;WINDOW=FIRST_POPUP&amp;HEIGHT=450&amp;WIDTH=450&amp;START_MAXIMI","ZED=FALSE&amp;VAR:CALENDAR=US&amp;VAR:SYMBOL=JNJ&amp;VAR:INDEX=0"}</definedName>
    <definedName name="_1763__FDSAUDITLINK__" hidden="1">{"fdsup://directions/FAT Viewer?action=UPDATE&amp;creator=factset&amp;DYN_ARGS=TRUE&amp;DOC_NAME=FAT:FQL_AUDITING_CLIENT_TEMPLATE.FAT&amp;display_string=Audit&amp;VAR:KEY=NSBWVCLYDE&amp;VAR:QUERY=RkZfU0FMRVMoQ0FMLDM5NDQ3LCwsLCk=&amp;WINDOW=FIRST_POPUP&amp;HEIGHT=450&amp;WIDTH=450&amp;START_MAXIMI","ZED=FALSE&amp;VAR:CALENDAR=US&amp;VAR:SYMBOL=JNJ&amp;VAR:INDEX=0"}</definedName>
    <definedName name="_1764__FDSAUDITLINK__" hidden="1">{"fdsup://directions/FAT Viewer?action=UPDATE&amp;creator=factset&amp;DYN_ARGS=TRUE&amp;DOC_NAME=FAT:FQL_AUDITING_CLIENT_TEMPLATE.FAT&amp;display_string=Audit&amp;VAR:KEY=VCFODGNGBS&amp;VAR:QUERY=RkZfU0FMRVMoQ0FMLDM5MDgyLCwsLCk=&amp;WINDOW=FIRST_POPUP&amp;HEIGHT=450&amp;WIDTH=450&amp;START_MAXIMI","ZED=FALSE&amp;VAR:CALENDAR=US&amp;VAR:SYMBOL=JNJ&amp;VAR:INDEX=0"}</definedName>
    <definedName name="_1765__FDSAUDITLINK__" hidden="1">{"fdsup://directions/FAT Viewer?action=UPDATE&amp;creator=factset&amp;DYN_ARGS=TRUE&amp;DOC_NAME=FAT:FQL_AUDITING_CLIENT_TEMPLATE.FAT&amp;display_string=Audit&amp;VAR:KEY=FMJMDKHKDK&amp;VAR:QUERY=RkZfU0FMRVMoQ0FMLDM4NzE3LCwsLCk=&amp;WINDOW=FIRST_POPUP&amp;HEIGHT=450&amp;WIDTH=450&amp;START_MAXIMI","ZED=FALSE&amp;VAR:CALENDAR=US&amp;VAR:SYMBOL=JNJ&amp;VAR:INDEX=0"}</definedName>
    <definedName name="_1766__FDSAUDITLINK__" hidden="1">{"fdsup://directions/FAT Viewer?action=UPDATE&amp;creator=factset&amp;DYN_ARGS=TRUE&amp;DOC_NAME=FAT:FQL_AUDITING_CLIENT_TEMPLATE.FAT&amp;display_string=Audit&amp;VAR:KEY=ZWTENCPKDC&amp;VAR:QUERY=RkZfU0FMRVMoQ0FMLDM4MzUyLCwsLCk=&amp;WINDOW=FIRST_POPUP&amp;HEIGHT=450&amp;WIDTH=450&amp;START_MAXIMI","ZED=FALSE&amp;VAR:CALENDAR=US&amp;VAR:SYMBOL=JNJ&amp;VAR:INDEX=0"}</definedName>
    <definedName name="_1767__FDSAUDITLINK__" hidden="1">{"fdsup://directions/FAT Viewer?action=UPDATE&amp;creator=factset&amp;DYN_ARGS=TRUE&amp;DOC_NAME=FAT:FQL_AUDITING_CLIENT_TEMPLATE.FAT&amp;display_string=Audit&amp;VAR:KEY=JUHUDIVEVG&amp;VAR:QUERY=RkZfU0FMRVMoQ0FMLDQwNTQzLCwsLCk=&amp;WINDOW=FIRST_POPUP&amp;HEIGHT=450&amp;WIDTH=450&amp;START_MAXIMI","ZED=FALSE&amp;VAR:CALENDAR=US&amp;VAR:SYMBOL=710306&amp;VAR:INDEX=0"}</definedName>
    <definedName name="_1768__FDSAUDITLINK__" hidden="1">{"fdsup://directions/FAT Viewer?action=UPDATE&amp;creator=factset&amp;DYN_ARGS=TRUE&amp;DOC_NAME=FAT:FQL_AUDITING_CLIENT_TEMPLATE.FAT&amp;display_string=Audit&amp;VAR:KEY=DOFYDCPMFC&amp;VAR:QUERY=RkZfU0FMRVMoQ0FMLDQwMTc4LCwsLCk=&amp;WINDOW=FIRST_POPUP&amp;HEIGHT=450&amp;WIDTH=450&amp;START_MAXIMI","ZED=FALSE&amp;VAR:CALENDAR=US&amp;VAR:SYMBOL=710306&amp;VAR:INDEX=0"}</definedName>
    <definedName name="_1769__FDSAUDITLINK__" hidden="1">{"fdsup://directions/FAT Viewer?action=UPDATE&amp;creator=factset&amp;DYN_ARGS=TRUE&amp;DOC_NAME=FAT:FQL_AUDITING_CLIENT_TEMPLATE.FAT&amp;display_string=Audit&amp;VAR:KEY=FEDEFEXKTO&amp;VAR:QUERY=RkZfU0FMRVMoQ0FMLDM5ODEzLCwsLCk=&amp;WINDOW=FIRST_POPUP&amp;HEIGHT=450&amp;WIDTH=450&amp;START_MAXIMI","ZED=FALSE&amp;VAR:CALENDAR=US&amp;VAR:SYMBOL=710306&amp;VAR:INDEX=0"}</definedName>
    <definedName name="_177__FDSAUDITLINK__" hidden="1">{"fdsup://directions/FAT%20Viewer?VAR:TM=NTMA&amp;VAR:PCT=0.602740&amp;VAR:Y0=2007&amp;VAR:Y1=2008&amp;VAR:V0=16.033735&amp;VAR:V1=14.410264&amp;VAR:V=15.346876&amp;VAR:AUDIT_ID=00000117&amp;VAR:DATE=20070525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Aggregates&amp;VAR:MEASURE=PE_MEAN&amp;VAR:CALC_MODE=PORTFOLIO&amp;VAR:CHGPERIOD=NA&amp;VAR:FQLFORMULA=FMA_PE&amp;VAR:CURRENCY=USD&amp;VAR:P=1","515.733600&amp;VAR:THRESH=||||||&amp;VAR:null=.html"}</definedName>
    <definedName name="_1770__FDSAUDITLINK__" hidden="1">{"fdsup://directions/FAT Viewer?action=UPDATE&amp;creator=factset&amp;DYN_ARGS=TRUE&amp;DOC_NAME=FAT:FQL_AUDITING_CLIENT_TEMPLATE.FAT&amp;display_string=Audit&amp;VAR:KEY=LMVERYPEZG&amp;VAR:QUERY=RkZfU0FMRVMoQ0FMLDM5NDQ3LCwsLCk=&amp;WINDOW=FIRST_POPUP&amp;HEIGHT=450&amp;WIDTH=450&amp;START_MAXIMI","ZED=FALSE&amp;VAR:CALENDAR=US&amp;VAR:SYMBOL=710306&amp;VAR:INDEX=0"}</definedName>
    <definedName name="_1771__FDSAUDITLINK__" hidden="1">{"fdsup://directions/FAT Viewer?action=UPDATE&amp;creator=factset&amp;DYN_ARGS=TRUE&amp;DOC_NAME=FAT:FQL_AUDITING_CLIENT_TEMPLATE.FAT&amp;display_string=Audit&amp;VAR:KEY=XQLOLCJYLW&amp;VAR:QUERY=RkZfU0FMRVMoQ0FMLDM5MDgyLCwsLCk=&amp;WINDOW=FIRST_POPUP&amp;HEIGHT=450&amp;WIDTH=450&amp;START_MAXIMI","ZED=FALSE&amp;VAR:CALENDAR=US&amp;VAR:SYMBOL=710306&amp;VAR:INDEX=0"}</definedName>
    <definedName name="_1772__FDSAUDITLINK__" hidden="1">{"fdsup://directions/FAT Viewer?action=UPDATE&amp;creator=factset&amp;DYN_ARGS=TRUE&amp;DOC_NAME=FAT:FQL_AUDITING_CLIENT_TEMPLATE.FAT&amp;display_string=Audit&amp;VAR:KEY=JIVKRKVAXY&amp;VAR:QUERY=RkZfU0FMRVMoQ0FMLDM4NzE3LCwsLCk=&amp;WINDOW=FIRST_POPUP&amp;HEIGHT=450&amp;WIDTH=450&amp;START_MAXIMI","ZED=FALSE&amp;VAR:CALENDAR=US&amp;VAR:SYMBOL=710306&amp;VAR:INDEX=0"}</definedName>
    <definedName name="_1773__FDSAUDITLINK__" hidden="1">{"fdsup://directions/FAT Viewer?action=UPDATE&amp;creator=factset&amp;DYN_ARGS=TRUE&amp;DOC_NAME=FAT:FQL_AUDITING_CLIENT_TEMPLATE.FAT&amp;display_string=Audit&amp;VAR:KEY=HGBYRMPCTI&amp;VAR:QUERY=RkZfU0FMRVMoQ0FMLDQwNTQzLCwsLCk=&amp;WINDOW=FIRST_POPUP&amp;HEIGHT=450&amp;WIDTH=450&amp;START_MAXIMI","ZED=FALSE&amp;VAR:CALENDAR=US&amp;VAR:SYMBOL=711038&amp;VAR:INDEX=0"}</definedName>
    <definedName name="_1774__FDSAUDITLINK__" hidden="1">{"fdsup://directions/FAT Viewer?action=UPDATE&amp;creator=factset&amp;DYN_ARGS=TRUE&amp;DOC_NAME=FAT:FQL_AUDITING_CLIENT_TEMPLATE.FAT&amp;display_string=Audit&amp;VAR:KEY=DQVIXUTIHC&amp;VAR:QUERY=RkZfU0FMRVMoQ0FMLDQwMTc4LCwsLFVTRCk=&amp;WINDOW=FIRST_POPUP&amp;HEIGHT=450&amp;WIDTH=450&amp;START_MA","XIMIZED=FALSE&amp;VAR:CALENDAR=US&amp;VAR:SYMBOL=711038&amp;VAR:INDEX=0"}</definedName>
    <definedName name="_1775__FDSAUDITLINK__" hidden="1">{"fdsup://directions/FAT Viewer?action=UPDATE&amp;creator=factset&amp;DYN_ARGS=TRUE&amp;DOC_NAME=FAT:FQL_AUDITING_CLIENT_TEMPLATE.FAT&amp;display_string=Audit&amp;VAR:KEY=LANIXUPWJS&amp;VAR:QUERY=RkZfU0FMRVMoQ0FMLDM5ODEzLCwsLFVTRCk=&amp;WINDOW=FIRST_POPUP&amp;HEIGHT=450&amp;WIDTH=450&amp;START_MA","XIMIZED=FALSE&amp;VAR:CALENDAR=US&amp;VAR:SYMBOL=711038&amp;VAR:INDEX=0"}</definedName>
    <definedName name="_1776__FDSAUDITLINK__" hidden="1">{"fdsup://directions/FAT Viewer?action=UPDATE&amp;creator=factset&amp;DYN_ARGS=TRUE&amp;DOC_NAME=FAT:FQL_AUDITING_CLIENT_TEMPLATE.FAT&amp;display_string=Audit&amp;VAR:KEY=VKRQTKFUBW&amp;VAR:QUERY=RkZfU0FMRVMoQ0FMLDM5ODEzLCwsLCk=&amp;WINDOW=FIRST_POPUP&amp;HEIGHT=450&amp;WIDTH=450&amp;START_MAXIMI","ZED=FALSE&amp;VAR:CALENDAR=US&amp;VAR:SYMBOL=DNA&amp;VAR:INDEX=0"}</definedName>
    <definedName name="_1777__FDSAUDITLINK__" hidden="1">{"fdsup://directions/FAT Viewer?action=UPDATE&amp;creator=factset&amp;DYN_ARGS=TRUE&amp;DOC_NAME=FAT:FQL_AUDITING_CLIENT_TEMPLATE.FAT&amp;display_string=Audit&amp;VAR:KEY=XEDCREVYZS&amp;VAR:QUERY=RkZfU0FMRVMoQ0FMLDM5NDQ3LCwsLCk=&amp;WINDOW=FIRST_POPUP&amp;HEIGHT=450&amp;WIDTH=450&amp;START_MAXIMI","ZED=FALSE&amp;VAR:CALENDAR=US&amp;VAR:SYMBOL=DNA&amp;VAR:INDEX=0"}</definedName>
    <definedName name="_1778__FDSAUDITLINK__" hidden="1">{"fdsup://directions/FAT Viewer?action=UPDATE&amp;creator=factset&amp;DYN_ARGS=TRUE&amp;DOC_NAME=FAT:FQL_AUDITING_CLIENT_TEMPLATE.FAT&amp;display_string=Audit&amp;VAR:KEY=TOXMHYNEDQ&amp;VAR:QUERY=RkZfU0FMRVMoQ0FMLDM5MDgyLCwsLCk=&amp;WINDOW=FIRST_POPUP&amp;HEIGHT=450&amp;WIDTH=450&amp;START_MAXIMI","ZED=FALSE&amp;VAR:CALENDAR=US&amp;VAR:SYMBOL=DNA&amp;VAR:INDEX=0"}</definedName>
    <definedName name="_1779__FDSAUDITLINK__" hidden="1">{"fdsup://directions/FAT Viewer?action=UPDATE&amp;creator=factset&amp;DYN_ARGS=TRUE&amp;DOC_NAME=FAT:FQL_AUDITING_CLIENT_TEMPLATE.FAT&amp;display_string=Audit&amp;VAR:KEY=BKHAJUZULG&amp;VAR:QUERY=RkZfU0FMRVMoQ0FMLDM4NzE3LCwsLCk=&amp;WINDOW=FIRST_POPUP&amp;HEIGHT=450&amp;WIDTH=450&amp;START_MAXIMI","ZED=FALSE&amp;VAR:CALENDAR=US&amp;VAR:SYMBOL=DNA&amp;VAR:INDEX=0"}</definedName>
    <definedName name="_178__FDSAUDITLINK__" hidden="1">{"fdsup://directions/FAT%20Viewer?VAR:TM=NTMA&amp;VAR:PCT=0.621918&amp;VAR:Y0=2007&amp;VAR:Y1=2008&amp;VAR:V0=16.116000&amp;VAR:V1=14.479741&amp;VAR:V=15.455664&amp;VAR:AUDIT_ID=00000117&amp;VAR:DATE=20070518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Aggregates&amp;VAR:MEASURE=PE_MEAN&amp;VAR:CALC_MODE=PORTFOLIO&amp;VAR:CHGPERIOD=NA&amp;VAR:FQLFORMULA=FMA_PE&amp;VAR:CURRENCY=USD&amp;VAR:P=1","522.748000&amp;VAR:THRESH=||||||&amp;VAR:null=.html"}</definedName>
    <definedName name="_1780__FDSAUDITLINK__" hidden="1">{"fdsup://directions/FAT Viewer?action=UPDATE&amp;creator=factset&amp;DYN_ARGS=TRUE&amp;DOC_NAME=FAT:FQL_AUDITING_CLIENT_TEMPLATE.FAT&amp;display_string=Audit&amp;VAR:KEY=JYZKZGDIFI&amp;VAR:QUERY=RkZfU0FMRVMoQ0FMLDM4MzUyLCwsLCk=&amp;WINDOW=FIRST_POPUP&amp;HEIGHT=450&amp;WIDTH=450&amp;START_MAXIMI","ZED=FALSE&amp;VAR:CALENDAR=US&amp;VAR:SYMBOL=DNA&amp;VAR:INDEX=0"}</definedName>
    <definedName name="_1781__FDSAUDITLINK__" hidden="1">{"fdsup://directions/FAT Viewer?action=UPDATE&amp;creator=factset&amp;DYN_ARGS=TRUE&amp;DOC_NAME=FAT:FQL_AUDITING_CLIENT_TEMPLATE.FAT&amp;display_string=Audit&amp;VAR:KEY=RYVUVAXUDS&amp;VAR:QUERY=RkZfU0FMRVMoQ0FMLDQwNTQzLCwsLCk=&amp;WINDOW=FIRST_POPUP&amp;HEIGHT=450&amp;WIDTH=450&amp;START_MAXIMI","ZED=FALSE&amp;VAR:CALENDAR=US&amp;VAR:SYMBOL=MRK&amp;VAR:INDEX=0"}</definedName>
    <definedName name="_1782__FDSAUDITLINK__" hidden="1">{"fdsup://directions/FAT Viewer?action=UPDATE&amp;creator=factset&amp;DYN_ARGS=TRUE&amp;DOC_NAME=FAT:FQL_AUDITING_CLIENT_TEMPLATE.FAT&amp;display_string=Audit&amp;VAR:KEY=NITGVAHEXK&amp;VAR:QUERY=RkZfU0FMRVMoQ0FMLDQwMTc4LCwsLFVTRCk=&amp;WINDOW=FIRST_POPUP&amp;HEIGHT=450&amp;WIDTH=450&amp;START_MA","XIMIZED=FALSE&amp;VAR:CALENDAR=US&amp;VAR:SYMBOL=MRK&amp;VAR:INDEX=0"}</definedName>
    <definedName name="_1783__FDSAUDITLINK__" hidden="1">{"fdsup://directions/FAT Viewer?action=UPDATE&amp;creator=factset&amp;DYN_ARGS=TRUE&amp;DOC_NAME=FAT:FQL_AUDITING_CLIENT_TEMPLATE.FAT&amp;display_string=Audit&amp;VAR:KEY=PYDALOBCHY&amp;VAR:QUERY=RkZfU0FMRVMoQ0FMLDM5ODEzLCwsLFVTRCk=&amp;WINDOW=FIRST_POPUP&amp;HEIGHT=450&amp;WIDTH=450&amp;START_MA","XIMIZED=FALSE&amp;VAR:CALENDAR=US&amp;VAR:SYMBOL=MRK&amp;VAR:INDEX=0"}</definedName>
    <definedName name="_1784__FDSAUDITLINK__" hidden="1">{"fdsup://directions/FAT Viewer?action=UPDATE&amp;creator=factset&amp;DYN_ARGS=TRUE&amp;DOC_NAME=FAT:FQL_AUDITING_CLIENT_TEMPLATE.FAT&amp;display_string=Audit&amp;VAR:KEY=HONSVQVETW&amp;VAR:QUERY=RkZfU0FMRVMoQ0FMLDM5ODEzLCwsLCk=&amp;WINDOW=FIRST_POPUP&amp;HEIGHT=450&amp;WIDTH=450&amp;START_MAXIMI","ZED=FALSE&amp;VAR:CALENDAR=US&amp;VAR:SYMBOL=SGP&amp;VAR:INDEX=0"}</definedName>
    <definedName name="_1785__FDSAUDITLINK__" hidden="1">{"fdsup://directions/FAT Viewer?action=UPDATE&amp;creator=factset&amp;DYN_ARGS=TRUE&amp;DOC_NAME=FAT:FQL_AUDITING_CLIENT_TEMPLATE.FAT&amp;display_string=Audit&amp;VAR:KEY=DIFWLOFKHK&amp;VAR:QUERY=RkZfU0FMRVMoQ0FMLDM5NDQ3LCwsLFVTRCk=&amp;WINDOW=FIRST_POPUP&amp;HEIGHT=450&amp;WIDTH=450&amp;START_MA","XIMIZED=FALSE&amp;VAR:CALENDAR=US&amp;VAR:SYMBOL=MRK&amp;VAR:INDEX=0"}</definedName>
    <definedName name="_1786__FDSAUDITLINK__" hidden="1">{"fdsup://directions/FAT Viewer?action=UPDATE&amp;creator=factset&amp;DYN_ARGS=TRUE&amp;DOC_NAME=FAT:FQL_AUDITING_CLIENT_TEMPLATE.FAT&amp;display_string=Audit&amp;VAR:KEY=DGFOTSZMDS&amp;VAR:QUERY=RkZfU0FMRVMoQ0FMLDM5NDQ3LCwsLCk=&amp;WINDOW=FIRST_POPUP&amp;HEIGHT=450&amp;WIDTH=450&amp;START_MAXIMI","ZED=FALSE&amp;VAR:CALENDAR=US&amp;VAR:SYMBOL=SGP&amp;VAR:INDEX=0"}</definedName>
    <definedName name="_1787__FDSAUDITLINK__" hidden="1">{"fdsup://directions/FAT Viewer?action=UPDATE&amp;creator=factset&amp;DYN_ARGS=TRUE&amp;DOC_NAME=FAT:FQL_AUDITING_CLIENT_TEMPLATE.FAT&amp;display_string=Audit&amp;VAR:KEY=HEPGNYVUHS&amp;VAR:QUERY=RkZfU0FMRVMoQ0FMLDM5MDgyLCwsLFVTRCk=&amp;WINDOW=FIRST_POPUP&amp;HEIGHT=450&amp;WIDTH=450&amp;START_MA","XIMIZED=FALSE&amp;VAR:CALENDAR=US&amp;VAR:SYMBOL=MRK&amp;VAR:INDEX=0"}</definedName>
    <definedName name="_1788__FDSAUDITLINK__" hidden="1">{"fdsup://directions/FAT Viewer?action=UPDATE&amp;creator=factset&amp;DYN_ARGS=TRUE&amp;DOC_NAME=FAT:FQL_AUDITING_CLIENT_TEMPLATE.FAT&amp;display_string=Audit&amp;VAR:KEY=RMFKNYHWPS&amp;VAR:QUERY=RkZfU0FMRVMoQ0FMLDM5MDgyLCwsLCk=&amp;WINDOW=FIRST_POPUP&amp;HEIGHT=450&amp;WIDTH=450&amp;START_MAXIMI","ZED=FALSE&amp;VAR:CALENDAR=US&amp;VAR:SYMBOL=SGP&amp;VAR:INDEX=0"}</definedName>
    <definedName name="_1789__FDSAUDITLINK__" hidden="1">{"fdsup://directions/FAT Viewer?action=UPDATE&amp;creator=factset&amp;DYN_ARGS=TRUE&amp;DOC_NAME=FAT:FQL_AUDITING_CLIENT_TEMPLATE.FAT&amp;display_string=Audit&amp;VAR:KEY=LARWVSDIPK&amp;VAR:QUERY=RkZfU0FMRVMoQ0FMLDM4NzE3LCwsLFVTRCk=&amp;WINDOW=FIRST_POPUP&amp;HEIGHT=450&amp;WIDTH=450&amp;START_MA","XIMIZED=FALSE&amp;VAR:CALENDAR=US&amp;VAR:SYMBOL=MRK&amp;VAR:INDEX=0"}</definedName>
    <definedName name="_179__FDSAUDITLINK__" hidden="1">{"fdsup://directions/FAT%20Viewer?VAR:TM=NTMA&amp;VAR:PCT=0.641096&amp;VAR:Y0=2007&amp;VAR:Y1=2008&amp;VAR:V0=15.954186&amp;VAR:V1=14.335467&amp;VAR:V=15.332803&amp;VAR:AUDIT_ID=00000117&amp;VAR:DATE=20070511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Aggregates&amp;VAR:MEASURE=PE_MEAN&amp;VAR:CALC_MODE=PORTFOLIO&amp;VAR:CHGPERIOD=NA&amp;VAR:FQLFORMULA=FMA_PE&amp;VAR:CURRENCY=USD&amp;VAR:P=1","505.845600&amp;VAR:THRESH=||||||&amp;VAR:null=.html"}</definedName>
    <definedName name="_1790__FDSAUDITLINK__" hidden="1">{"fdsup://directions/FAT Viewer?action=UPDATE&amp;creator=factset&amp;DYN_ARGS=TRUE&amp;DOC_NAME=FAT:FQL_AUDITING_CLIENT_TEMPLATE.FAT&amp;display_string=Audit&amp;VAR:KEY=DKZQFGPGZY&amp;VAR:QUERY=RkZfU0FMRVMoQ0FMLDM4NzE3LCwsLCk=&amp;WINDOW=FIRST_POPUP&amp;HEIGHT=450&amp;WIDTH=450&amp;START_MAXIMI","ZED=FALSE&amp;VAR:CALENDAR=US&amp;VAR:SYMBOL=SGP&amp;VAR:INDEX=0"}</definedName>
    <definedName name="_1791__FDSAUDITLINK__" hidden="1">{"fdsup://directions/FAT Viewer?action=UPDATE&amp;creator=factset&amp;DYN_ARGS=TRUE&amp;DOC_NAME=FAT:FQL_AUDITING_CLIENT_TEMPLATE.FAT&amp;display_string=Audit&amp;VAR:KEY=XINIZQTOTW&amp;VAR:QUERY=RkZfU0FMRVMoQ0FMLDM4MzUyLCwsLFVTRCk=&amp;WINDOW=FIRST_POPUP&amp;HEIGHT=450&amp;WIDTH=450&amp;START_MA","XIMIZED=FALSE&amp;VAR:CALENDAR=US&amp;VAR:SYMBOL=MRK&amp;VAR:INDEX=0"}</definedName>
    <definedName name="_1792__FDSAUDITLINK__" hidden="1">{"fdsup://directions/FAT Viewer?action=UPDATE&amp;creator=factset&amp;DYN_ARGS=TRUE&amp;DOC_NAME=FAT:FQL_AUDITING_CLIENT_TEMPLATE.FAT&amp;display_string=Audit&amp;VAR:KEY=BSFAVMVYRK&amp;VAR:QUERY=RkZfU0FMRVMoQ0FMLDM4MzUyLCwsLCk=&amp;WINDOW=FIRST_POPUP&amp;HEIGHT=450&amp;WIDTH=450&amp;START_MAXIMI","ZED=FALSE&amp;VAR:CALENDAR=US&amp;VAR:SYMBOL=SGP&amp;VAR:INDEX=0"}</definedName>
    <definedName name="_1793__FDSAUDITLINK__" hidden="1">{"fdsup://directions/FAT Viewer?action=UPDATE&amp;creator=factset&amp;DYN_ARGS=TRUE&amp;DOC_NAME=FAT:FQL_AUDITING_CLIENT_TEMPLATE.FAT&amp;display_string=Audit&amp;VAR:KEY=LGHWFEBQFK&amp;VAR:QUERY=RkZfU0FMRVMoQ0FMLDQwNTQzLCwsLCk=&amp;WINDOW=FIRST_POPUP&amp;HEIGHT=450&amp;WIDTH=450&amp;START_MAXIMI","ZED=FALSE&amp;VAR:CALENDAR=US&amp;VAR:SYMBOL=PFE&amp;VAR:INDEX=0"}</definedName>
    <definedName name="_1794__FDSAUDITLINK__" hidden="1">{"fdsup://directions/FAT Viewer?action=UPDATE&amp;creator=factset&amp;DYN_ARGS=TRUE&amp;DOC_NAME=FAT:FQL_AUDITING_CLIENT_TEMPLATE.FAT&amp;display_string=Audit&amp;VAR:KEY=VUBGPEPQXE&amp;VAR:QUERY=RkZfU0FMRVMoQ0FMLDQwMTc4LCwsLFVTRCk=&amp;WINDOW=FIRST_POPUP&amp;HEIGHT=450&amp;WIDTH=450&amp;START_MA","XIMIZED=FALSE&amp;VAR:CALENDAR=US&amp;VAR:SYMBOL=PFE&amp;VAR:INDEX=0"}</definedName>
    <definedName name="_1795__FDSAUDITLINK__" hidden="1">{"fdsup://directions/FAT Viewer?action=UPDATE&amp;creator=factset&amp;DYN_ARGS=TRUE&amp;DOC_NAME=FAT:FQL_AUDITING_CLIENT_TEMPLATE.FAT&amp;display_string=Audit&amp;VAR:KEY=TALIFCXGLY&amp;VAR:QUERY=RkZfU0FMRVMoQ0FMLDM5ODEzLCwsLFVTRCk=&amp;WINDOW=FIRST_POPUP&amp;HEIGHT=450&amp;WIDTH=450&amp;START_MA","XIMIZED=FALSE&amp;VAR:CALENDAR=US&amp;VAR:SYMBOL=PFE&amp;VAR:INDEX=0"}</definedName>
    <definedName name="_1796__FDSAUDITLINK__" hidden="1">{"fdsup://directions/FAT Viewer?action=UPDATE&amp;creator=factset&amp;DYN_ARGS=TRUE&amp;DOC_NAME=FAT:FQL_AUDITING_CLIENT_TEMPLATE.FAT&amp;display_string=Audit&amp;VAR:KEY=VQLSXQNWTQ&amp;VAR:QUERY=RkZfU0FMRVMoQ0FMLDM5ODEzLCwsLCk=&amp;WINDOW=FIRST_POPUP&amp;HEIGHT=450&amp;WIDTH=450&amp;START_MAXIMI","ZED=FALSE&amp;VAR:CALENDAR=US&amp;VAR:SYMBOL=WYE&amp;VAR:INDEX=0"}</definedName>
    <definedName name="_1797__FDSAUDITLINK__" hidden="1">{"fdsup://directions/FAT Viewer?action=UPDATE&amp;creator=factset&amp;DYN_ARGS=TRUE&amp;DOC_NAME=FAT:FQL_AUDITING_CLIENT_TEMPLATE.FAT&amp;display_string=Audit&amp;VAR:KEY=XGZEZUPELA&amp;VAR:QUERY=RkZfU0FMRVMoQ0FMLDM5NDQ3LCwsLFVTRCk=&amp;WINDOW=FIRST_POPUP&amp;HEIGHT=450&amp;WIDTH=450&amp;START_MA","XIMIZED=FALSE&amp;VAR:CALENDAR=US&amp;VAR:SYMBOL=PFE&amp;VAR:INDEX=0"}</definedName>
    <definedName name="_1798__FDSAUDITLINK__" hidden="1">{"fdsup://directions/FAT Viewer?action=UPDATE&amp;creator=factset&amp;DYN_ARGS=TRUE&amp;DOC_NAME=FAT:FQL_AUDITING_CLIENT_TEMPLATE.FAT&amp;display_string=Audit&amp;VAR:KEY=LYBCHAXYFU&amp;VAR:QUERY=RkZfU0FMRVMoQ0FMLDM5NDQ3LCwsLCk=&amp;WINDOW=FIRST_POPUP&amp;HEIGHT=450&amp;WIDTH=450&amp;START_MAXIMI","ZED=FALSE&amp;VAR:CALENDAR=US&amp;VAR:SYMBOL=WYE&amp;VAR:INDEX=0"}</definedName>
    <definedName name="_1799__FDSAUDITLINK__" hidden="1">{"fdsup://directions/FAT Viewer?action=UPDATE&amp;creator=factset&amp;DYN_ARGS=TRUE&amp;DOC_NAME=FAT:FQL_AUDITING_CLIENT_TEMPLATE.FAT&amp;display_string=Audit&amp;VAR:KEY=VCRKNMRSXU&amp;VAR:QUERY=RkZfU0FMRVMoQ0FMLDM5MDgyLCwsLFVTRCk=&amp;WINDOW=FIRST_POPUP&amp;HEIGHT=450&amp;WIDTH=450&amp;START_MA","XIMIZED=FALSE&amp;VAR:CALENDAR=US&amp;VAR:SYMBOL=PFE&amp;VAR:INDEX=0"}</definedName>
    <definedName name="_18__FDSAUDITLINK__" hidden="1">{"fdsup://directions/FAT%20Viewer?VAR:TM=NTMA&amp;VAR:PCT=0.556164&amp;VAR:Y0=2010&amp;VAR:Y1=2011&amp;VAR:V0=13.244223&amp;VAR:V1=11.271667&amp;VAR:V=12.289663&amp;VAR:AUDIT_ID=00000117&amp;VAR:DATE=20100611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Aggregates&amp;VAR:MEASURE=PE_MEAN&amp;VAR:CALC_MODE=PORTFOLIO&amp;VAR:CHGPERIOD=NA&amp;VAR:FQLFORMULA=FMA_PE&amp;VAR:CURRENCY=USD&amp;VAR:P=1","091.599561&amp;VAR:THRESH=||||||&amp;VAR:null=.html"}</definedName>
    <definedName name="_180__FDSAUDITLINK__" hidden="1">{"fdsup://directions/FAT%20Viewer?VAR:TM=NTMA&amp;VAR:PCT=0.660274&amp;VAR:Y0=2007&amp;VAR:Y1=2008&amp;VAR:V0=15.953061&amp;VAR:V1=14.339516&amp;VAR:V=15.365670&amp;VAR:AUDIT_ID=00000117&amp;VAR:DATE=20070504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Aggregates&amp;VAR:MEASURE=PE_MEAN&amp;VAR:CALC_MODE=PORTFOLIO&amp;VAR:CHGPERIOD=NA&amp;VAR:FQLFORMULA=FMA_PE&amp;VAR:CURRENCY=USD&amp;VAR:P=1","505.617000&amp;VAR:THRESH=||||||&amp;VAR:null=.html"}</definedName>
    <definedName name="_1800__FDSAUDITLINK__" hidden="1">{"fdsup://directions/FAT Viewer?action=UPDATE&amp;creator=factset&amp;DYN_ARGS=TRUE&amp;DOC_NAME=FAT:FQL_AUDITING_CLIENT_TEMPLATE.FAT&amp;display_string=Audit&amp;VAR:KEY=VEPGFILCPM&amp;VAR:QUERY=RkZfU0FMRVMoQ0FMLDM5MDgyLCwsLCk=&amp;WINDOW=FIRST_POPUP&amp;HEIGHT=450&amp;WIDTH=450&amp;START_MAXIMI","ZED=FALSE&amp;VAR:CALENDAR=US&amp;VAR:SYMBOL=WYE&amp;VAR:INDEX=0"}</definedName>
    <definedName name="_1801__FDSAUDITLINK__" hidden="1">{"fdsup://directions/FAT Viewer?action=UPDATE&amp;creator=factset&amp;DYN_ARGS=TRUE&amp;DOC_NAME=FAT:FQL_AUDITING_CLIENT_TEMPLATE.FAT&amp;display_string=Audit&amp;VAR:KEY=XSFMPONEVU&amp;VAR:QUERY=RkZfU0FMRVMoQ0FMLDM4NzE3LCwsLFVTRCk=&amp;WINDOW=FIRST_POPUP&amp;HEIGHT=450&amp;WIDTH=450&amp;START_MA","XIMIZED=FALSE&amp;VAR:CALENDAR=US&amp;VAR:SYMBOL=PFE&amp;VAR:INDEX=0"}</definedName>
    <definedName name="_1802__FDSAUDITLINK__" hidden="1">{"fdsup://directions/FAT Viewer?action=UPDATE&amp;creator=factset&amp;DYN_ARGS=TRUE&amp;DOC_NAME=FAT:FQL_AUDITING_CLIENT_TEMPLATE.FAT&amp;display_string=Audit&amp;VAR:KEY=LIHSTKLYLI&amp;VAR:QUERY=RkZfU0FMRVMoQ0FMLDM4NzE3LCwsLCk=&amp;WINDOW=FIRST_POPUP&amp;HEIGHT=450&amp;WIDTH=450&amp;START_MAXIMI","ZED=FALSE&amp;VAR:CALENDAR=US&amp;VAR:SYMBOL=WYE&amp;VAR:INDEX=0"}</definedName>
    <definedName name="_1803__FDSAUDITLINK__" hidden="1">{"fdsup://directions/FAT Viewer?action=UPDATE&amp;creator=factset&amp;DYN_ARGS=TRUE&amp;DOC_NAME=FAT:FQL_AUDITING_CLIENT_TEMPLATE.FAT&amp;display_string=Audit&amp;VAR:KEY=ZQNSHKVOTE&amp;VAR:QUERY=RkZfU0FMRVMoQ0FMLDM4MzUyLCwsLFVTRCk=&amp;WINDOW=FIRST_POPUP&amp;HEIGHT=450&amp;WIDTH=450&amp;START_MA","XIMIZED=FALSE&amp;VAR:CALENDAR=US&amp;VAR:SYMBOL=PFE&amp;VAR:INDEX=0"}</definedName>
    <definedName name="_1804__FDSAUDITLINK__" hidden="1">{"fdsup://directions/FAT Viewer?action=UPDATE&amp;creator=factset&amp;DYN_ARGS=TRUE&amp;DOC_NAME=FAT:FQL_AUDITING_CLIENT_TEMPLATE.FAT&amp;display_string=Audit&amp;VAR:KEY=ZIFWJMBGTI&amp;VAR:QUERY=RkZfU0FMRVMoQ0FMLDM4MzUyLCwsLCk=&amp;WINDOW=FIRST_POPUP&amp;HEIGHT=450&amp;WIDTH=450&amp;START_MAXIMI","ZED=FALSE&amp;VAR:CALENDAR=US&amp;VAR:SYMBOL=WYE&amp;VAR:INDEX=0"}</definedName>
    <definedName name="_1805__FDSAUDITLINK__" hidden="1">{"fdsup://directions/FAT Viewer?action=UPDATE&amp;creator=factset&amp;DYN_ARGS=TRUE&amp;DOC_NAME=FAT:FQL_AUDITING_CLIENT_TEMPLATE.FAT&amp;display_string=Audit&amp;VAR:KEY=DIVKNITAZM&amp;VAR:QUERY=RkZfUkRfRVhQKENBTCwyMDA4LCwsLFVTRCk=&amp;WINDOW=FIRST_POPUP&amp;HEIGHT=450&amp;WIDTH=450&amp;START_MA","XIMIZED=FALSE&amp;VAR:CALENDAR=US&amp;VAR:SYMBOL=WYE&amp;VAR:INDEX=0"}</definedName>
    <definedName name="_1806__FDSAUDITLINK__" hidden="1">{"fdsup://directions/FAT Viewer?action=UPDATE&amp;creator=factset&amp;DYN_ARGS=TRUE&amp;DOC_NAME=FAT:FQL_AUDITING_CLIENT_TEMPLATE.FAT&amp;display_string=Audit&amp;VAR:KEY=HCLYRIPKVQ&amp;VAR:QUERY=RkZfUkRfRVhQKENBTCwyMDA3LCwsLFVTRCk=&amp;WINDOW=FIRST_POPUP&amp;HEIGHT=450&amp;WIDTH=450&amp;START_MA","XIMIZED=FALSE&amp;VAR:CALENDAR=US&amp;VAR:SYMBOL=WYE&amp;VAR:INDEX=0"}</definedName>
    <definedName name="_1807__FDSAUDITLINK__" hidden="1">{"fdsup://directions/FAT Viewer?action=UPDATE&amp;creator=factset&amp;DYN_ARGS=TRUE&amp;DOC_NAME=FAT:FQL_AUDITING_CLIENT_TEMPLATE.FAT&amp;display_string=Audit&amp;VAR:KEY=XKJURUPUXI&amp;VAR:QUERY=RkZfUkRfRVhQKENBTCwyMDA4LCwsLFVTRCk=&amp;WINDOW=FIRST_POPUP&amp;HEIGHT=450&amp;WIDTH=450&amp;START_MA","XIMIZED=FALSE&amp;VAR:CALENDAR=US&amp;VAR:SYMBOL=BIIB&amp;VAR:INDEX=0"}</definedName>
    <definedName name="_1808__FDSAUDITLINK__" hidden="1">{"fdsup://directions/FAT Viewer?action=UPDATE&amp;creator=factset&amp;DYN_ARGS=TRUE&amp;DOC_NAME=FAT:FQL_AUDITING_CLIENT_TEMPLATE.FAT&amp;display_string=Audit&amp;VAR:KEY=DWTCTGDURW&amp;VAR:QUERY=RkZfUkRfRVhQKENBTCwyMDA3LCwsLFVTRCk=&amp;WINDOW=FIRST_POPUP&amp;HEIGHT=450&amp;WIDTH=450&amp;START_MA","XIMIZED=FALSE&amp;VAR:CALENDAR=US&amp;VAR:SYMBOL=BIIB&amp;VAR:INDEX=0"}</definedName>
    <definedName name="_1809__FDSAUDITLINK__" hidden="1">{"fdsup://directions/FAT Viewer?action=UPDATE&amp;creator=factset&amp;DYN_ARGS=TRUE&amp;DOC_NAME=FAT:FQL_AUDITING_CLIENT_TEMPLATE.FAT&amp;display_string=Audit&amp;VAR:KEY=ZKDQPGHSNO&amp;VAR:QUERY=RkZfUkRfRVhQKENBTCwyMDA4LCwsLFVTRCk=&amp;WINDOW=FIRST_POPUP&amp;HEIGHT=450&amp;WIDTH=450&amp;START_MA","XIMIZED=FALSE&amp;VAR:CALENDAR=US&amp;VAR:SYMBOL=707752&amp;VAR:INDEX=0"}</definedName>
    <definedName name="_181__FDSAUDITLINK__" hidden="1">{"fdsup://directions/FAT%20Viewer?VAR:TM=NTMA&amp;VAR:PCT=0.679452&amp;VAR:Y0=2007&amp;VAR:Y1=2008&amp;VAR:V0=15.839933&amp;VAR:V1=14.226266&amp;VAR:V=15.284209&amp;VAR:AUDIT_ID=00000117&amp;VAR:DATE=20070427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Aggregates&amp;VAR:MEASURE=PE_MEAN&amp;VAR:CALC_MODE=PORTFOLIO&amp;VAR:CHGPERIOD=NA&amp;VAR:FQLFORMULA=FMA_PE&amp;VAR:CURRENCY=USD&amp;VAR:P=1","494.067600&amp;VAR:THRESH=||||||&amp;VAR:null=.html"}</definedName>
    <definedName name="_1810__FDSAUDITLINK__" hidden="1">{"fdsup://directions/FAT Viewer?action=UPDATE&amp;creator=factset&amp;DYN_ARGS=TRUE&amp;DOC_NAME=FAT:FQL_AUDITING_CLIENT_TEMPLATE.FAT&amp;display_string=Audit&amp;VAR:KEY=HKJQHCVUFC&amp;VAR:QUERY=RkZfUkRfRVhQKENBTCwyMDA3LCwsLFVTRCk=&amp;WINDOW=FIRST_POPUP&amp;HEIGHT=450&amp;WIDTH=450&amp;START_MA","XIMIZED=FALSE&amp;VAR:CALENDAR=US&amp;VAR:SYMBOL=707752&amp;VAR:INDEX=0"}</definedName>
    <definedName name="_1811__FDSAUDITLINK__" hidden="1">{"fdsup://directions/FAT Viewer?action=UPDATE&amp;creator=factset&amp;DYN_ARGS=TRUE&amp;DOC_NAME=FAT:FQL_AUDITING_CLIENT_TEMPLATE.FAT&amp;display_string=Audit&amp;VAR:KEY=XSPCXOXWFG&amp;VAR:QUERY=RkZfUkRfRVhQKENBTCwyMDA4LCwsLFVTRCk=&amp;WINDOW=FIRST_POPUP&amp;HEIGHT=450&amp;WIDTH=450&amp;START_MA","XIMIZED=FALSE&amp;VAR:CALENDAR=US&amp;VAR:SYMBOL=630720&amp;VAR:INDEX=0"}</definedName>
    <definedName name="_1812__FDSAUDITLINK__" hidden="1">{"fdsup://directions/FAT Viewer?action=UPDATE&amp;creator=factset&amp;DYN_ARGS=TRUE&amp;DOC_NAME=FAT:FQL_AUDITING_CLIENT_TEMPLATE.FAT&amp;display_string=Audit&amp;VAR:KEY=BEDORSJANQ&amp;VAR:QUERY=RkZfUkRfRVhQKENBTCwyMDA3LCwsLFVTRCk=&amp;WINDOW=FIRST_POPUP&amp;HEIGHT=450&amp;WIDTH=450&amp;START_MA","XIMIZED=FALSE&amp;VAR:CALENDAR=US&amp;VAR:SYMBOL=630720&amp;VAR:INDEX=0"}</definedName>
    <definedName name="_1813__FDSAUDITLINK__" hidden="1">{"fdsup://directions/FAT Viewer?action=UPDATE&amp;creator=factset&amp;DYN_ARGS=TRUE&amp;DOC_NAME=FAT:FQL_AUDITING_CLIENT_TEMPLATE.FAT&amp;display_string=Audit&amp;VAR:KEY=ZEPGFQJADE&amp;VAR:QUERY=RkZfUkRfRVhQKENBTCwyMDA4LCwsLFVTRCk=&amp;WINDOW=FIRST_POPUP&amp;HEIGHT=450&amp;WIDTH=450&amp;START_MA","XIMIZED=FALSE&amp;VAR:CALENDAR=US&amp;VAR:SYMBOL=698538&amp;VAR:INDEX=0"}</definedName>
    <definedName name="_1814__FDSAUDITLINK__" hidden="1">{"fdsup://directions/FAT Viewer?action=UPDATE&amp;creator=factset&amp;DYN_ARGS=TRUE&amp;DOC_NAME=FAT:FQL_AUDITING_CLIENT_TEMPLATE.FAT&amp;display_string=Audit&amp;VAR:KEY=HALOFQXSVO&amp;VAR:QUERY=RkZfUkRfRVhQKENBTCwyMDA3LCwsLFVTRCk=&amp;WINDOW=FIRST_POPUP&amp;HEIGHT=450&amp;WIDTH=450&amp;START_MA","XIMIZED=FALSE&amp;VAR:CALENDAR=US&amp;VAR:SYMBOL=698538&amp;VAR:INDEX=0"}</definedName>
    <definedName name="_1815__FDSAUDITLINK__" hidden="1">{"fdsup://directions/FAT Viewer?action=UPDATE&amp;creator=factset&amp;DYN_ARGS=TRUE&amp;DOC_NAME=FAT:FQL_AUDITING_CLIENT_TEMPLATE.FAT&amp;display_string=Audit&amp;VAR:KEY=BURSXUHEJK&amp;VAR:QUERY=RkZfUkRfRVhQKENBTCwyMDA4LCwsLFVTRCk=&amp;WINDOW=FIRST_POPUP&amp;HEIGHT=450&amp;WIDTH=450&amp;START_MA","XIMIZED=FALSE&amp;VAR:CALENDAR=US&amp;VAR:SYMBOL=B0J7D9&amp;VAR:INDEX=0"}</definedName>
    <definedName name="_1816__FDSAUDITLINK__" hidden="1">{"fdsup://directions/FAT Viewer?action=UPDATE&amp;creator=factset&amp;DYN_ARGS=TRUE&amp;DOC_NAME=FAT:FQL_AUDITING_CLIENT_TEMPLATE.FAT&amp;display_string=Audit&amp;VAR:KEY=LABKHYRYVS&amp;VAR:QUERY=RkZfUkRfRVhQKENBTCwyMDA3LCwsLFVTRCk=&amp;WINDOW=FIRST_POPUP&amp;HEIGHT=450&amp;WIDTH=450&amp;START_MA","XIMIZED=FALSE&amp;VAR:CALENDAR=US&amp;VAR:SYMBOL=B0J7D9&amp;VAR:INDEX=0"}</definedName>
    <definedName name="_1817__FDSAUDITLINK__" hidden="1">{"fdsup://directions/FAT Viewer?action=UPDATE&amp;creator=factset&amp;DYN_ARGS=TRUE&amp;DOC_NAME=FAT:FQL_AUDITING_CLIENT_TEMPLATE.FAT&amp;display_string=Audit&amp;VAR:KEY=XQBYHAHMJE&amp;VAR:QUERY=RkZfUkRfRVhQKENBTCwyMDA4LCwsLFVTRCk=&amp;WINDOW=FIRST_POPUP&amp;HEIGHT=450&amp;WIDTH=450&amp;START_MA","XIMIZED=FALSE&amp;VAR:CALENDAR=US&amp;VAR:SYMBOL=AMGN&amp;VAR:INDEX=0"}</definedName>
    <definedName name="_1818__FDSAUDITLINK__" hidden="1">{"fdsup://directions/FAT Viewer?action=UPDATE&amp;creator=factset&amp;DYN_ARGS=TRUE&amp;DOC_NAME=FAT:FQL_AUDITING_CLIENT_TEMPLATE.FAT&amp;display_string=Audit&amp;VAR:KEY=RWVUPEFUXW&amp;VAR:QUERY=RkZfUkRfRVhQKENBTCwyMDA3LCwsLFVTRCk=&amp;WINDOW=FIRST_POPUP&amp;HEIGHT=450&amp;WIDTH=450&amp;START_MA","XIMIZED=FALSE&amp;VAR:CALENDAR=US&amp;VAR:SYMBOL=AMGN&amp;VAR:INDEX=0"}</definedName>
    <definedName name="_1819__FDSAUDITLINK__" hidden="1">{"fdsup://directions/FAT Viewer?action=UPDATE&amp;creator=factset&amp;DYN_ARGS=TRUE&amp;DOC_NAME=FAT:FQL_AUDITING_CLIENT_TEMPLATE.FAT&amp;display_string=Audit&amp;VAR:KEY=HUJQRCJEBE&amp;VAR:QUERY=RkZfUkRfRVhQKENBTCwyMDA4LCwsLFVTRCk=&amp;WINDOW=FIRST_POPUP&amp;HEIGHT=450&amp;WIDTH=450&amp;START_MA","XIMIZED=FALSE&amp;VAR:CALENDAR=US&amp;VAR:SYMBOL=ABT&amp;VAR:INDEX=0"}</definedName>
    <definedName name="_182__FDSAUDITLINK__" hidden="1">{"fdsup://directions/FAT%20Viewer?VAR:TM=NTMA&amp;VAR:PCT=0.698630&amp;VAR:Y0=2007&amp;VAR:Y1=2008&amp;VAR:V0=15.845240&amp;VAR:V1=14.201632&amp;VAR:V=15.311206&amp;VAR:AUDIT_ID=00000117&amp;VAR:DATE=20070420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Aggregates&amp;VAR:MEASURE=PE_MEAN&amp;VAR:CALC_MODE=PORTFOLIO&amp;VAR:CHGPERIOD=NA&amp;VAR:FQLFORMULA=FMA_PE&amp;VAR:CURRENCY=USD&amp;VAR:P=1","484.350300&amp;VAR:THRESH=||||||&amp;VAR:null=.html"}</definedName>
    <definedName name="_1820__FDSAUDITLINK__" hidden="1">{"fdsup://directions/FAT Viewer?action=UPDATE&amp;creator=factset&amp;DYN_ARGS=TRUE&amp;DOC_NAME=FAT:FQL_AUDITING_CLIENT_TEMPLATE.FAT&amp;display_string=Audit&amp;VAR:KEY=BYVWXYRQNK&amp;VAR:QUERY=RkZfUkRfRVhQKENBTCwyMDA3LCwsLFVTRCk=&amp;WINDOW=FIRST_POPUP&amp;HEIGHT=450&amp;WIDTH=450&amp;START_MA","XIMIZED=FALSE&amp;VAR:CALENDAR=US&amp;VAR:SYMBOL=ABT&amp;VAR:INDEX=0"}</definedName>
    <definedName name="_1821__FDSAUDITLINK__" hidden="1">{"fdsup://directions/FAT Viewer?action=UPDATE&amp;creator=factset&amp;DYN_ARGS=TRUE&amp;DOC_NAME=FAT:FQL_AUDITING_CLIENT_TEMPLATE.FAT&amp;display_string=Audit&amp;VAR:KEY=ZUPYRQFSRU&amp;VAR:QUERY=RkZfUkRfRVhQKENBTCwyMDA4LCwsLFVTRCk=&amp;WINDOW=FIRST_POPUP&amp;HEIGHT=450&amp;WIDTH=450&amp;START_MA","XIMIZED=FALSE&amp;VAR:CALENDAR=US&amp;VAR:SYMBOL=687044&amp;VAR:INDEX=0"}</definedName>
    <definedName name="_1822__FDSAUDITLINK__" hidden="1">{"fdsup://directions/FAT Viewer?action=UPDATE&amp;creator=factset&amp;DYN_ARGS=TRUE&amp;DOC_NAME=FAT:FQL_AUDITING_CLIENT_TEMPLATE.FAT&amp;display_string=Audit&amp;VAR:KEY=ZMRALSXARE&amp;VAR:QUERY=RkZfUkRfRVhQKENBTCwyMDA3LCwsLFVTRCk=&amp;WINDOW=FIRST_POPUP&amp;HEIGHT=450&amp;WIDTH=450&amp;START_MA","XIMIZED=FALSE&amp;VAR:CALENDAR=US&amp;VAR:SYMBOL=687044&amp;VAR:INDEX=0"}</definedName>
    <definedName name="_1823__FDSAUDITLINK__" hidden="1">{"fdsup://directions/FAT Viewer?action=UPDATE&amp;creator=factset&amp;DYN_ARGS=TRUE&amp;DOC_NAME=FAT:FQL_AUDITING_CLIENT_TEMPLATE.FAT&amp;display_string=Audit&amp;VAR:KEY=ZMZYLSXEVK&amp;VAR:QUERY=RkZfUkRfRVhQKENBTCwyMDA4LCwsLFVTRCk=&amp;WINDOW=FIRST_POPUP&amp;HEIGHT=450&amp;WIDTH=450&amp;START_MA","XIMIZED=FALSE&amp;VAR:CALENDAR=US&amp;VAR:SYMBOL=BMY&amp;VAR:INDEX=0"}</definedName>
    <definedName name="_1824__FDSAUDITLINK__" hidden="1">{"fdsup://directions/FAT Viewer?action=UPDATE&amp;creator=factset&amp;DYN_ARGS=TRUE&amp;DOC_NAME=FAT:FQL_AUDITING_CLIENT_TEMPLATE.FAT&amp;display_string=Audit&amp;VAR:KEY=RENSXGJCBC&amp;VAR:QUERY=RkZfUkRfRVhQKENBTCwyMDA3LCwsLFVTRCk=&amp;WINDOW=FIRST_POPUP&amp;HEIGHT=450&amp;WIDTH=450&amp;START_MA","XIMIZED=FALSE&amp;VAR:CALENDAR=US&amp;VAR:SYMBOL=BMY&amp;VAR:INDEX=0"}</definedName>
    <definedName name="_1825__FDSAUDITLINK__" hidden="1">{"fdsup://directions/FAT Viewer?action=UPDATE&amp;creator=factset&amp;DYN_ARGS=TRUE&amp;DOC_NAME=FAT:FQL_AUDITING_CLIENT_TEMPLATE.FAT&amp;display_string=Audit&amp;VAR:KEY=BSNATUHMFQ&amp;VAR:QUERY=RkZfUkRfRVhQKENBTCwyMDA4LCwsLFVTRCk=&amp;WINDOW=FIRST_POPUP&amp;HEIGHT=450&amp;WIDTH=450&amp;START_MA","XIMIZED=FALSE&amp;VAR:CALENDAR=US&amp;VAR:SYMBOL=LLY&amp;VAR:INDEX=0"}</definedName>
    <definedName name="_1826__FDSAUDITLINK__" hidden="1">{"fdsup://directions/FAT Viewer?action=UPDATE&amp;creator=factset&amp;DYN_ARGS=TRUE&amp;DOC_NAME=FAT:FQL_AUDITING_CLIENT_TEMPLATE.FAT&amp;display_string=Audit&amp;VAR:KEY=DOHSHEVKPM&amp;VAR:QUERY=RkZfUkRfRVhQKENBTCwyMDA3LCwsLFVTRCk=&amp;WINDOW=FIRST_POPUP&amp;HEIGHT=450&amp;WIDTH=450&amp;START_MA","XIMIZED=FALSE&amp;VAR:CALENDAR=US&amp;VAR:SYMBOL=LLY&amp;VAR:INDEX=0"}</definedName>
    <definedName name="_1827__FDSAUDITLINK__" hidden="1">{"fdsup://directions/FAT Viewer?action=UPDATE&amp;creator=factset&amp;DYN_ARGS=TRUE&amp;DOC_NAME=FAT:FQL_AUDITING_CLIENT_TEMPLATE.FAT&amp;display_string=Audit&amp;VAR:KEY=JKHWTOZSRO&amp;VAR:QUERY=RkZfUkRfRVhQKENBTCwyMDA4LCwsLFVTRCk=&amp;WINDOW=FIRST_POPUP&amp;HEIGHT=450&amp;WIDTH=450&amp;START_MA","XIMIZED=FALSE&amp;VAR:CALENDAR=US&amp;VAR:SYMBOL=506921&amp;VAR:INDEX=0"}</definedName>
    <definedName name="_1828__FDSAUDITLINK__" hidden="1">{"fdsup://directions/FAT Viewer?action=UPDATE&amp;creator=factset&amp;DYN_ARGS=TRUE&amp;DOC_NAME=FAT:FQL_AUDITING_CLIENT_TEMPLATE.FAT&amp;display_string=Audit&amp;VAR:KEY=RCZEJWXODC&amp;VAR:QUERY=RkZfUkRfRVhQKENBTCwyMDA3LCwsLFVTRCk=&amp;WINDOW=FIRST_POPUP&amp;HEIGHT=450&amp;WIDTH=450&amp;START_MA","XIMIZED=FALSE&amp;VAR:CALENDAR=US&amp;VAR:SYMBOL=506921&amp;VAR:INDEX=0"}</definedName>
    <definedName name="_1829__FDSAUDITLINK__" hidden="1">{"fdsup://directions/FAT Viewer?action=UPDATE&amp;creator=factset&amp;DYN_ARGS=TRUE&amp;DOC_NAME=FAT:FQL_AUDITING_CLIENT_TEMPLATE.FAT&amp;display_string=Audit&amp;VAR:KEY=NGTOJGBUXY&amp;VAR:QUERY=RkZfUkRfRVhQKENBTCwyMDA4LCwsLFVTRCk=&amp;WINDOW=FIRST_POPUP&amp;HEIGHT=450&amp;WIDTH=450&amp;START_MA","XIMIZED=FALSE&amp;VAR:CALENDAR=US&amp;VAR:SYMBOL=567173&amp;VAR:INDEX=0"}</definedName>
    <definedName name="_183__FDSAUDITLINK__" hidden="1">{"fdsup://directions/FAT%20Viewer?VAR:TM=NTMA&amp;VAR:PCT=0.717808&amp;VAR:Y0=2007&amp;VAR:Y1=2008&amp;VAR:V0=15.529286&amp;VAR:V1=13.925777&amp;VAR:V=15.040566&amp;VAR:AUDIT_ID=00000117&amp;VAR:DATE=20070413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Aggregates&amp;VAR:MEASURE=PE_MEAN&amp;VAR:CALC_MODE=PORTFOLIO&amp;VAR:CHGPERIOD=NA&amp;VAR:FQLFORMULA=FMA_PE&amp;VAR:CURRENCY=USD&amp;VAR:P=1","452.845800&amp;VAR:THRESH=||||||&amp;VAR:null=.html"}</definedName>
    <definedName name="_1830__FDSAUDITLINK__" hidden="1">{"fdsup://directions/FAT Viewer?action=UPDATE&amp;creator=factset&amp;DYN_ARGS=TRUE&amp;DOC_NAME=FAT:FQL_AUDITING_CLIENT_TEMPLATE.FAT&amp;display_string=Audit&amp;VAR:KEY=RAZEFOLQPC&amp;VAR:QUERY=RkZfUkRfRVhQKENBTCwyMDA3LCwsLFVTRCk=&amp;WINDOW=FIRST_POPUP&amp;HEIGHT=450&amp;WIDTH=450&amp;START_MA","XIMIZED=FALSE&amp;VAR:CALENDAR=US&amp;VAR:SYMBOL=567173&amp;VAR:INDEX=0"}</definedName>
    <definedName name="_1831__FDSAUDITLINK__" hidden="1">{"fdsup://directions/FAT Viewer?action=UPDATE&amp;creator=factset&amp;DYN_ARGS=TRUE&amp;DOC_NAME=FAT:FQL_AUDITING_CLIENT_TEMPLATE.FAT&amp;display_string=Audit&amp;VAR:KEY=XKRABGFMPG&amp;VAR:QUERY=RkZfUkRfRVhQKENBTCwyMDA4LCwsLFVTRCk=&amp;WINDOW=FIRST_POPUP&amp;HEIGHT=450&amp;WIDTH=450&amp;START_MA","XIMIZED=FALSE&amp;VAR:CALENDAR=US&amp;VAR:SYMBOL=JNJ&amp;VAR:INDEX=0"}</definedName>
    <definedName name="_1832__FDSAUDITLINK__" hidden="1">{"fdsup://directions/FAT Viewer?action=UPDATE&amp;creator=factset&amp;DYN_ARGS=TRUE&amp;DOC_NAME=FAT:FQL_AUDITING_CLIENT_TEMPLATE.FAT&amp;display_string=Audit&amp;VAR:KEY=LCJKLSDCRQ&amp;VAR:QUERY=RkZfUkRfRVhQKENBTCwyMDA3LCwsLFVTRCk=&amp;WINDOW=FIRST_POPUP&amp;HEIGHT=450&amp;WIDTH=450&amp;START_MA","XIMIZED=FALSE&amp;VAR:CALENDAR=US&amp;VAR:SYMBOL=JNJ&amp;VAR:INDEX=0"}</definedName>
    <definedName name="_1833__FDSAUDITLINK__" hidden="1">{"fdsup://directions/FAT Viewer?action=UPDATE&amp;creator=factset&amp;DYN_ARGS=TRUE&amp;DOC_NAME=FAT:FQL_AUDITING_CLIENT_TEMPLATE.FAT&amp;display_string=Audit&amp;VAR:KEY=LMTQHUVWVA&amp;VAR:QUERY=RkZfUkRfRVhQKENBTCwyMDA4LCwsLFVTRCk=&amp;WINDOW=FIRST_POPUP&amp;HEIGHT=450&amp;WIDTH=450&amp;START_MA","XIMIZED=FALSE&amp;VAR:CALENDAR=US&amp;VAR:SYMBOL=710306&amp;VAR:INDEX=0"}</definedName>
    <definedName name="_1834__FDSAUDITLINK__" hidden="1">{"fdsup://directions/FAT Viewer?action=UPDATE&amp;creator=factset&amp;DYN_ARGS=TRUE&amp;DOC_NAME=FAT:FQL_AUDITING_CLIENT_TEMPLATE.FAT&amp;display_string=Audit&amp;VAR:KEY=VYTORQNKTW&amp;VAR:QUERY=RkZfUkRfRVhQKENBTCwyMDA3LCwsLFVTRCk=&amp;WINDOW=FIRST_POPUP&amp;HEIGHT=450&amp;WIDTH=450&amp;START_MA","XIMIZED=FALSE&amp;VAR:CALENDAR=US&amp;VAR:SYMBOL=710306&amp;VAR:INDEX=0"}</definedName>
    <definedName name="_1835__FDSAUDITLINK__" hidden="1">{"fdsup://directions/FAT Viewer?action=UPDATE&amp;creator=factset&amp;DYN_ARGS=TRUE&amp;DOC_NAME=FAT:FQL_AUDITING_CLIENT_TEMPLATE.FAT&amp;display_string=Audit&amp;VAR:KEY=RAFAPGJURW&amp;VAR:QUERY=RkZfUkRfRVhQKENBTCwyMDA4LCwsLFVTRCk=&amp;WINDOW=FIRST_POPUP&amp;HEIGHT=450&amp;WIDTH=450&amp;START_MA","XIMIZED=FALSE&amp;VAR:CALENDAR=US&amp;VAR:SYMBOL=711038&amp;VAR:INDEX=0"}</definedName>
    <definedName name="_1836__FDSAUDITLINK__" hidden="1">{"fdsup://directions/FAT Viewer?action=UPDATE&amp;creator=factset&amp;DYN_ARGS=TRUE&amp;DOC_NAME=FAT:FQL_AUDITING_CLIENT_TEMPLATE.FAT&amp;display_string=Audit&amp;VAR:KEY=LKDSHOXEJE&amp;VAR:QUERY=RkZfUkRfRVhQKENBTCwyMDA4LCwsLFVTRCk=&amp;WINDOW=FIRST_POPUP&amp;HEIGHT=450&amp;WIDTH=450&amp;START_MA","XIMIZED=FALSE&amp;VAR:CALENDAR=US&amp;VAR:SYMBOL=MRK&amp;VAR:INDEX=0"}</definedName>
    <definedName name="_1837__FDSAUDITLINK__" hidden="1">{"fdsup://directions/FAT Viewer?action=UPDATE&amp;creator=factset&amp;DYN_ARGS=TRUE&amp;DOC_NAME=FAT:FQL_AUDITING_CLIENT_TEMPLATE.FAT&amp;display_string=Audit&amp;VAR:KEY=TILQDMTSFA&amp;VAR:QUERY=RkZfUkRfRVhQKENBTCwyMDA3LCwsLFVTRCk=&amp;WINDOW=FIRST_POPUP&amp;HEIGHT=450&amp;WIDTH=450&amp;START_MA","XIMIZED=FALSE&amp;VAR:CALENDAR=US&amp;VAR:SYMBOL=MRK&amp;VAR:INDEX=0"}</definedName>
    <definedName name="_1838__FDSAUDITLINK__" hidden="1">{"fdsup://directions/FAT Viewer?action=UPDATE&amp;creator=factset&amp;DYN_ARGS=TRUE&amp;DOC_NAME=FAT:FQL_AUDITING_CLIENT_TEMPLATE.FAT&amp;display_string=Audit&amp;VAR:KEY=JCJYXWPCFK&amp;VAR:QUERY=RkZfUkRfRVhQKENBTCwyMDA4LCwsLFVTRCk=&amp;WINDOW=FIRST_POPUP&amp;HEIGHT=450&amp;WIDTH=450&amp;START_MA","XIMIZED=FALSE&amp;VAR:CALENDAR=US&amp;VAR:SYMBOL=PFE&amp;VAR:INDEX=0"}</definedName>
    <definedName name="_1839__FDSAUDITLINK__" hidden="1">{"fdsup://directions/FAT Viewer?action=UPDATE&amp;creator=factset&amp;DYN_ARGS=TRUE&amp;DOC_NAME=FAT:FQL_AUDITING_CLIENT_TEMPLATE.FAT&amp;display_string=Audit&amp;VAR:KEY=VABOBMLSTS&amp;VAR:QUERY=RkZfUkRfRVhQKENBTCwyMDA3LCwsLFVTRCk=&amp;WINDOW=FIRST_POPUP&amp;HEIGHT=450&amp;WIDTH=450&amp;START_MA","XIMIZED=FALSE&amp;VAR:CALENDAR=US&amp;VAR:SYMBOL=PFE&amp;VAR:INDEX=0"}</definedName>
    <definedName name="_184__FDSAUDITLINK__" hidden="1">{"fdsup://directions/FAT%20Viewer?VAR:TM=NTMA&amp;VAR:PCT=0.739726&amp;VAR:Y0=2007&amp;VAR:Y1=2008&amp;VAR:V0=15.435123&amp;VAR:V1=13.862814&amp;VAR:V=14.992542&amp;VAR:AUDIT_ID=00000117&amp;VAR:DATE=20070405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Aggregates&amp;VAR:MEASURE=PE_MEAN&amp;VAR:CALC_MODE=PORTFOLIO&amp;VAR:CHGPERIOD=NA&amp;VAR:FQLFORMULA=FMA_PE&amp;VAR:CURRENCY=USD&amp;VAR:P=1","443.755600&amp;VAR:THRESH=||||||&amp;VAR:null=.html"}</definedName>
    <definedName name="_1840__FDSAUDITLINK__" hidden="1">{"fdsup://directions/FAT Viewer?action=UPDATE&amp;creator=factset&amp;DYN_ARGS=TRUE&amp;DOC_NAME=FAT:FQL_AUDITING_CLIENT_TEMPLATE.FAT&amp;display_string=Audit&amp;VAR:KEY=DIVKNITAZM&amp;VAR:QUERY=RkZfUkRfRVhQKENBTCwyMDA4LCwsLFVTRCk=&amp;WINDOW=FIRST_POPUP&amp;HEIGHT=450&amp;WIDTH=450&amp;START_MA","XIMIZED=FALSE&amp;VAR:CALENDAR=US&amp;VAR:SYMBOL=WYE&amp;VAR:INDEX=0"}</definedName>
    <definedName name="_1841__FDSAUDITLINK__" hidden="1">{"fdsup://directions/FAT Viewer?action=UPDATE&amp;creator=factset&amp;DYN_ARGS=TRUE&amp;DOC_NAME=FAT:FQL_AUDITING_CLIENT_TEMPLATE.FAT&amp;display_string=Audit&amp;VAR:KEY=HCLYRIPKVQ&amp;VAR:QUERY=RkZfUkRfRVhQKENBTCwyMDA3LCwsLFVTRCk=&amp;WINDOW=FIRST_POPUP&amp;HEIGHT=450&amp;WIDTH=450&amp;START_MA","XIMIZED=FALSE&amp;VAR:CALENDAR=US&amp;VAR:SYMBOL=WYE&amp;VAR:INDEX=0"}</definedName>
    <definedName name="_1842__FDSAUDITLINK__" hidden="1">{"fdsup://directions/FAT Viewer?action=UPDATE&amp;creator=factset&amp;DYN_ARGS=TRUE&amp;DOC_NAME=FAT:FQL_AUDITING_CLIENT_TEMPLATE.FAT&amp;display_string=Audit&amp;VAR:KEY=XKJURUPUXI&amp;VAR:QUERY=RkZfUkRfRVhQKENBTCwyMDA4LCwsLFVTRCk=&amp;WINDOW=FIRST_POPUP&amp;HEIGHT=450&amp;WIDTH=450&amp;START_MA","XIMIZED=FALSE&amp;VAR:CALENDAR=US&amp;VAR:SYMBOL=BIIB&amp;VAR:INDEX=0"}</definedName>
    <definedName name="_1843__FDSAUDITLINK__" hidden="1">{"fdsup://directions/FAT Viewer?action=UPDATE&amp;creator=factset&amp;DYN_ARGS=TRUE&amp;DOC_NAME=FAT:FQL_AUDITING_CLIENT_TEMPLATE.FAT&amp;display_string=Audit&amp;VAR:KEY=DWTCTGDURW&amp;VAR:QUERY=RkZfUkRfRVhQKENBTCwyMDA3LCwsLFVTRCk=&amp;WINDOW=FIRST_POPUP&amp;HEIGHT=450&amp;WIDTH=450&amp;START_MA","XIMIZED=FALSE&amp;VAR:CALENDAR=US&amp;VAR:SYMBOL=BIIB&amp;VAR:INDEX=0"}</definedName>
    <definedName name="_1844__FDSAUDITLINK__" hidden="1">{"fdsup://directions/FAT Viewer?action=UPDATE&amp;creator=factset&amp;DYN_ARGS=TRUE&amp;DOC_NAME=FAT:FQL_AUDITING_CLIENT_TEMPLATE.FAT&amp;display_string=Audit&amp;VAR:KEY=ZKDQPGHSNO&amp;VAR:QUERY=RkZfUkRfRVhQKENBTCwyMDA4LCwsLFVTRCk=&amp;WINDOW=FIRST_POPUP&amp;HEIGHT=450&amp;WIDTH=450&amp;START_MA","XIMIZED=FALSE&amp;VAR:CALENDAR=US&amp;VAR:SYMBOL=707752&amp;VAR:INDEX=0"}</definedName>
    <definedName name="_1845__FDSAUDITLINK__" hidden="1">{"fdsup://directions/FAT Viewer?action=UPDATE&amp;creator=factset&amp;DYN_ARGS=TRUE&amp;DOC_NAME=FAT:FQL_AUDITING_CLIENT_TEMPLATE.FAT&amp;display_string=Audit&amp;VAR:KEY=HKJQHCVUFC&amp;VAR:QUERY=RkZfUkRfRVhQKENBTCwyMDA3LCwsLFVTRCk=&amp;WINDOW=FIRST_POPUP&amp;HEIGHT=450&amp;WIDTH=450&amp;START_MA","XIMIZED=FALSE&amp;VAR:CALENDAR=US&amp;VAR:SYMBOL=707752&amp;VAR:INDEX=0"}</definedName>
    <definedName name="_1846__FDSAUDITLINK__" hidden="1">{"fdsup://directions/FAT Viewer?action=UPDATE&amp;creator=factset&amp;DYN_ARGS=TRUE&amp;DOC_NAME=FAT:FQL_AUDITING_CLIENT_TEMPLATE.FAT&amp;display_string=Audit&amp;VAR:KEY=XSPCXOXWFG&amp;VAR:QUERY=RkZfUkRfRVhQKENBTCwyMDA4LCwsLFVTRCk=&amp;WINDOW=FIRST_POPUP&amp;HEIGHT=450&amp;WIDTH=450&amp;START_MA","XIMIZED=FALSE&amp;VAR:CALENDAR=US&amp;VAR:SYMBOL=630720&amp;VAR:INDEX=0"}</definedName>
    <definedName name="_1847__FDSAUDITLINK__" hidden="1">{"fdsup://directions/FAT Viewer?action=UPDATE&amp;creator=factset&amp;DYN_ARGS=TRUE&amp;DOC_NAME=FAT:FQL_AUDITING_CLIENT_TEMPLATE.FAT&amp;display_string=Audit&amp;VAR:KEY=BEDORSJANQ&amp;VAR:QUERY=RkZfUkRfRVhQKENBTCwyMDA3LCwsLFVTRCk=&amp;WINDOW=FIRST_POPUP&amp;HEIGHT=450&amp;WIDTH=450&amp;START_MA","XIMIZED=FALSE&amp;VAR:CALENDAR=US&amp;VAR:SYMBOL=630720&amp;VAR:INDEX=0"}</definedName>
    <definedName name="_1848__FDSAUDITLINK__" hidden="1">{"fdsup://directions/FAT Viewer?action=UPDATE&amp;creator=factset&amp;DYN_ARGS=TRUE&amp;DOC_NAME=FAT:FQL_AUDITING_CLIENT_TEMPLATE.FAT&amp;display_string=Audit&amp;VAR:KEY=ZEPGFQJADE&amp;VAR:QUERY=RkZfUkRfRVhQKENBTCwyMDA4LCwsLFVTRCk=&amp;WINDOW=FIRST_POPUP&amp;HEIGHT=450&amp;WIDTH=450&amp;START_MA","XIMIZED=FALSE&amp;VAR:CALENDAR=US&amp;VAR:SYMBOL=698538&amp;VAR:INDEX=0"}</definedName>
    <definedName name="_1849__FDSAUDITLINK__" hidden="1">{"fdsup://directions/FAT Viewer?action=UPDATE&amp;creator=factset&amp;DYN_ARGS=TRUE&amp;DOC_NAME=FAT:FQL_AUDITING_CLIENT_TEMPLATE.FAT&amp;display_string=Audit&amp;VAR:KEY=HALOFQXSVO&amp;VAR:QUERY=RkZfUkRfRVhQKENBTCwyMDA3LCwsLFVTRCk=&amp;WINDOW=FIRST_POPUP&amp;HEIGHT=450&amp;WIDTH=450&amp;START_MA","XIMIZED=FALSE&amp;VAR:CALENDAR=US&amp;VAR:SYMBOL=698538&amp;VAR:INDEX=0"}</definedName>
    <definedName name="_185__FDSAUDITLINK__" hidden="1">{"fdsup://directions/FAT%20Viewer?VAR:TM=NTMA&amp;VAR:PCT=0.756164&amp;VAR:Y0=2007&amp;VAR:Y1=2008&amp;VAR:V0=15.185842&amp;VAR:V1=13.649474&amp;VAR:V=14.780187&amp;VAR:AUDIT_ID=00000117&amp;VAR:DATE=20070330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Aggregates&amp;VAR:MEASURE=PE_MEAN&amp;VAR:CALC_MODE=PORTFOLIO&amp;VAR:CHGPERIOD=NA&amp;VAR:FQLFORMULA=FMA_PE&amp;VAR:CURRENCY=USD&amp;VAR:P=1","420.863800&amp;VAR:THRESH=||||||&amp;VAR:null=.html"}</definedName>
    <definedName name="_1850__FDSAUDITLINK__" hidden="1">{"fdsup://directions/FAT Viewer?action=UPDATE&amp;creator=factset&amp;DYN_ARGS=TRUE&amp;DOC_NAME=FAT:FQL_AUDITING_CLIENT_TEMPLATE.FAT&amp;display_string=Audit&amp;VAR:KEY=BURSXUHEJK&amp;VAR:QUERY=RkZfUkRfRVhQKENBTCwyMDA4LCwsLFVTRCk=&amp;WINDOW=FIRST_POPUP&amp;HEIGHT=450&amp;WIDTH=450&amp;START_MA","XIMIZED=FALSE&amp;VAR:CALENDAR=US&amp;VAR:SYMBOL=B0J7D9&amp;VAR:INDEX=0"}</definedName>
    <definedName name="_1851__FDSAUDITLINK__" hidden="1">{"fdsup://directions/FAT Viewer?action=UPDATE&amp;creator=factset&amp;DYN_ARGS=TRUE&amp;DOC_NAME=FAT:FQL_AUDITING_CLIENT_TEMPLATE.FAT&amp;display_string=Audit&amp;VAR:KEY=LABKHYRYVS&amp;VAR:QUERY=RkZfUkRfRVhQKENBTCwyMDA3LCwsLFVTRCk=&amp;WINDOW=FIRST_POPUP&amp;HEIGHT=450&amp;WIDTH=450&amp;START_MA","XIMIZED=FALSE&amp;VAR:CALENDAR=US&amp;VAR:SYMBOL=B0J7D9&amp;VAR:INDEX=0"}</definedName>
    <definedName name="_1852__FDSAUDITLINK__" hidden="1">{"fdsup://directions/FAT Viewer?action=UPDATE&amp;creator=factset&amp;DYN_ARGS=TRUE&amp;DOC_NAME=FAT:FQL_AUDITING_CLIENT_TEMPLATE.FAT&amp;display_string=Audit&amp;VAR:KEY=XQBYHAHMJE&amp;VAR:QUERY=RkZfUkRfRVhQKENBTCwyMDA4LCwsLFVTRCk=&amp;WINDOW=FIRST_POPUP&amp;HEIGHT=450&amp;WIDTH=450&amp;START_MA","XIMIZED=FALSE&amp;VAR:CALENDAR=US&amp;VAR:SYMBOL=AMGN&amp;VAR:INDEX=0"}</definedName>
    <definedName name="_1853__FDSAUDITLINK__" hidden="1">{"fdsup://directions/FAT Viewer?action=UPDATE&amp;creator=factset&amp;DYN_ARGS=TRUE&amp;DOC_NAME=FAT:FQL_AUDITING_CLIENT_TEMPLATE.FAT&amp;display_string=Audit&amp;VAR:KEY=RWVUPEFUXW&amp;VAR:QUERY=RkZfUkRfRVhQKENBTCwyMDA3LCwsLFVTRCk=&amp;WINDOW=FIRST_POPUP&amp;HEIGHT=450&amp;WIDTH=450&amp;START_MA","XIMIZED=FALSE&amp;VAR:CALENDAR=US&amp;VAR:SYMBOL=AMGN&amp;VAR:INDEX=0"}</definedName>
    <definedName name="_1854__FDSAUDITLINK__" hidden="1">{"fdsup://directions/FAT Viewer?action=UPDATE&amp;creator=factset&amp;DYN_ARGS=TRUE&amp;DOC_NAME=FAT:FQL_AUDITING_CLIENT_TEMPLATE.FAT&amp;display_string=Audit&amp;VAR:KEY=HUJQRCJEBE&amp;VAR:QUERY=RkZfUkRfRVhQKENBTCwyMDA4LCwsLFVTRCk=&amp;WINDOW=FIRST_POPUP&amp;HEIGHT=450&amp;WIDTH=450&amp;START_MA","XIMIZED=FALSE&amp;VAR:CALENDAR=US&amp;VAR:SYMBOL=ABT&amp;VAR:INDEX=0"}</definedName>
    <definedName name="_1855__FDSAUDITLINK__" hidden="1">{"fdsup://directions/FAT Viewer?action=UPDATE&amp;creator=factset&amp;DYN_ARGS=TRUE&amp;DOC_NAME=FAT:FQL_AUDITING_CLIENT_TEMPLATE.FAT&amp;display_string=Audit&amp;VAR:KEY=BYVWXYRQNK&amp;VAR:QUERY=RkZfUkRfRVhQKENBTCwyMDA3LCwsLFVTRCk=&amp;WINDOW=FIRST_POPUP&amp;HEIGHT=450&amp;WIDTH=450&amp;START_MA","XIMIZED=FALSE&amp;VAR:CALENDAR=US&amp;VAR:SYMBOL=ABT&amp;VAR:INDEX=0"}</definedName>
    <definedName name="_1856__FDSAUDITLINK__" hidden="1">{"fdsup://directions/FAT Viewer?action=UPDATE&amp;creator=factset&amp;DYN_ARGS=TRUE&amp;DOC_NAME=FAT:FQL_AUDITING_CLIENT_TEMPLATE.FAT&amp;display_string=Audit&amp;VAR:KEY=ZUPYRQFSRU&amp;VAR:QUERY=RkZfUkRfRVhQKENBTCwyMDA4LCwsLFVTRCk=&amp;WINDOW=FIRST_POPUP&amp;HEIGHT=450&amp;WIDTH=450&amp;START_MA","XIMIZED=FALSE&amp;VAR:CALENDAR=US&amp;VAR:SYMBOL=687044&amp;VAR:INDEX=0"}</definedName>
    <definedName name="_1857__FDSAUDITLINK__" hidden="1">{"fdsup://directions/FAT Viewer?action=UPDATE&amp;creator=factset&amp;DYN_ARGS=TRUE&amp;DOC_NAME=FAT:FQL_AUDITING_CLIENT_TEMPLATE.FAT&amp;display_string=Audit&amp;VAR:KEY=ZMRALSXARE&amp;VAR:QUERY=RkZfUkRfRVhQKENBTCwyMDA3LCwsLFVTRCk=&amp;WINDOW=FIRST_POPUP&amp;HEIGHT=450&amp;WIDTH=450&amp;START_MA","XIMIZED=FALSE&amp;VAR:CALENDAR=US&amp;VAR:SYMBOL=687044&amp;VAR:INDEX=0"}</definedName>
    <definedName name="_1858__FDSAUDITLINK__" hidden="1">{"fdsup://directions/FAT Viewer?action=UPDATE&amp;creator=factset&amp;DYN_ARGS=TRUE&amp;DOC_NAME=FAT:FQL_AUDITING_CLIENT_TEMPLATE.FAT&amp;display_string=Audit&amp;VAR:KEY=ZMZYLSXEVK&amp;VAR:QUERY=RkZfUkRfRVhQKENBTCwyMDA4LCwsLFVTRCk=&amp;WINDOW=FIRST_POPUP&amp;HEIGHT=450&amp;WIDTH=450&amp;START_MA","XIMIZED=FALSE&amp;VAR:CALENDAR=US&amp;VAR:SYMBOL=BMY&amp;VAR:INDEX=0"}</definedName>
    <definedName name="_1859__FDSAUDITLINK__" hidden="1">{"fdsup://directions/FAT Viewer?action=UPDATE&amp;creator=factset&amp;DYN_ARGS=TRUE&amp;DOC_NAME=FAT:FQL_AUDITING_CLIENT_TEMPLATE.FAT&amp;display_string=Audit&amp;VAR:KEY=RENSXGJCBC&amp;VAR:QUERY=RkZfUkRfRVhQKENBTCwyMDA3LCwsLFVTRCk=&amp;WINDOW=FIRST_POPUP&amp;HEIGHT=450&amp;WIDTH=450&amp;START_MA","XIMIZED=FALSE&amp;VAR:CALENDAR=US&amp;VAR:SYMBOL=BMY&amp;VAR:INDEX=0"}</definedName>
    <definedName name="_186__FDSAUDITLINK__" hidden="1">{"fdsup://directions/FAT%20Viewer?VAR:TM=NTMA&amp;VAR:PCT=0.775342&amp;VAR:Y0=2007&amp;VAR:Y1=2008&amp;VAR:V0=15.350641&amp;VAR:V1=13.793422&amp;VAR:V=14.970935&amp;VAR:AUDIT_ID=00000117&amp;VAR:DATE=20070323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Aggregates&amp;VAR:MEASURE=PE_MEAN&amp;VAR:CALC_MODE=PORTFOLIO&amp;VAR:CHGPERIOD=NA&amp;VAR:FQLFORMULA=FMA_PE&amp;VAR:CURRENCY=USD&amp;VAR:P=1","436.112500&amp;VAR:THRESH=||||||&amp;VAR:null=.html"}</definedName>
    <definedName name="_1860__FDSAUDITLINK__" hidden="1">{"fdsup://directions/FAT Viewer?action=UPDATE&amp;creator=factset&amp;DYN_ARGS=TRUE&amp;DOC_NAME=FAT:FQL_AUDITING_CLIENT_TEMPLATE.FAT&amp;display_string=Audit&amp;VAR:KEY=BSNATUHMFQ&amp;VAR:QUERY=RkZfUkRfRVhQKENBTCwyMDA4LCwsLFVTRCk=&amp;WINDOW=FIRST_POPUP&amp;HEIGHT=450&amp;WIDTH=450&amp;START_MA","XIMIZED=FALSE&amp;VAR:CALENDAR=US&amp;VAR:SYMBOL=LLY&amp;VAR:INDEX=0"}</definedName>
    <definedName name="_1861__FDSAUDITLINK__" hidden="1">{"fdsup://directions/FAT Viewer?action=UPDATE&amp;creator=factset&amp;DYN_ARGS=TRUE&amp;DOC_NAME=FAT:FQL_AUDITING_CLIENT_TEMPLATE.FAT&amp;display_string=Audit&amp;VAR:KEY=DOHSHEVKPM&amp;VAR:QUERY=RkZfUkRfRVhQKENBTCwyMDA3LCwsLFVTRCk=&amp;WINDOW=FIRST_POPUP&amp;HEIGHT=450&amp;WIDTH=450&amp;START_MA","XIMIZED=FALSE&amp;VAR:CALENDAR=US&amp;VAR:SYMBOL=LLY&amp;VAR:INDEX=0"}</definedName>
    <definedName name="_1862__FDSAUDITLINK__" hidden="1">{"fdsup://directions/FAT Viewer?action=UPDATE&amp;creator=factset&amp;DYN_ARGS=TRUE&amp;DOC_NAME=FAT:FQL_AUDITING_CLIENT_TEMPLATE.FAT&amp;display_string=Audit&amp;VAR:KEY=JKHWTOZSRO&amp;VAR:QUERY=RkZfUkRfRVhQKENBTCwyMDA4LCwsLFVTRCk=&amp;WINDOW=FIRST_POPUP&amp;HEIGHT=450&amp;WIDTH=450&amp;START_MA","XIMIZED=FALSE&amp;VAR:CALENDAR=US&amp;VAR:SYMBOL=506921&amp;VAR:INDEX=0"}</definedName>
    <definedName name="_1863__FDSAUDITLINK__" hidden="1">{"fdsup://directions/FAT Viewer?action=UPDATE&amp;creator=factset&amp;DYN_ARGS=TRUE&amp;DOC_NAME=FAT:FQL_AUDITING_CLIENT_TEMPLATE.FAT&amp;display_string=Audit&amp;VAR:KEY=RCZEJWXODC&amp;VAR:QUERY=RkZfUkRfRVhQKENBTCwyMDA3LCwsLFVTRCk=&amp;WINDOW=FIRST_POPUP&amp;HEIGHT=450&amp;WIDTH=450&amp;START_MA","XIMIZED=FALSE&amp;VAR:CALENDAR=US&amp;VAR:SYMBOL=506921&amp;VAR:INDEX=0"}</definedName>
    <definedName name="_1864__FDSAUDITLINK__" hidden="1">{"fdsup://directions/FAT Viewer?action=UPDATE&amp;creator=factset&amp;DYN_ARGS=TRUE&amp;DOC_NAME=FAT:FQL_AUDITING_CLIENT_TEMPLATE.FAT&amp;display_string=Audit&amp;VAR:KEY=NGTOJGBUXY&amp;VAR:QUERY=RkZfUkRfRVhQKENBTCwyMDA4LCwsLFVTRCk=&amp;WINDOW=FIRST_POPUP&amp;HEIGHT=450&amp;WIDTH=450&amp;START_MA","XIMIZED=FALSE&amp;VAR:CALENDAR=US&amp;VAR:SYMBOL=567173&amp;VAR:INDEX=0"}</definedName>
    <definedName name="_1865__FDSAUDITLINK__" hidden="1">{"fdsup://directions/FAT Viewer?action=UPDATE&amp;creator=factset&amp;DYN_ARGS=TRUE&amp;DOC_NAME=FAT:FQL_AUDITING_CLIENT_TEMPLATE.FAT&amp;display_string=Audit&amp;VAR:KEY=RAZEFOLQPC&amp;VAR:QUERY=RkZfUkRfRVhQKENBTCwyMDA3LCwsLFVTRCk=&amp;WINDOW=FIRST_POPUP&amp;HEIGHT=450&amp;WIDTH=450&amp;START_MA","XIMIZED=FALSE&amp;VAR:CALENDAR=US&amp;VAR:SYMBOL=567173&amp;VAR:INDEX=0"}</definedName>
    <definedName name="_1866__FDSAUDITLINK__" hidden="1">{"fdsup://directions/FAT Viewer?action=UPDATE&amp;creator=factset&amp;DYN_ARGS=TRUE&amp;DOC_NAME=FAT:FQL_AUDITING_CLIENT_TEMPLATE.FAT&amp;display_string=Audit&amp;VAR:KEY=XKRABGFMPG&amp;VAR:QUERY=RkZfUkRfRVhQKENBTCwyMDA4LCwsLFVTRCk=&amp;WINDOW=FIRST_POPUP&amp;HEIGHT=450&amp;WIDTH=450&amp;START_MA","XIMIZED=FALSE&amp;VAR:CALENDAR=US&amp;VAR:SYMBOL=JNJ&amp;VAR:INDEX=0"}</definedName>
    <definedName name="_1867__FDSAUDITLINK__" hidden="1">{"fdsup://directions/FAT Viewer?action=UPDATE&amp;creator=factset&amp;DYN_ARGS=TRUE&amp;DOC_NAME=FAT:FQL_AUDITING_CLIENT_TEMPLATE.FAT&amp;display_string=Audit&amp;VAR:KEY=LCJKLSDCRQ&amp;VAR:QUERY=RkZfUkRfRVhQKENBTCwyMDA3LCwsLFVTRCk=&amp;WINDOW=FIRST_POPUP&amp;HEIGHT=450&amp;WIDTH=450&amp;START_MA","XIMIZED=FALSE&amp;VAR:CALENDAR=US&amp;VAR:SYMBOL=JNJ&amp;VAR:INDEX=0"}</definedName>
    <definedName name="_1868__FDSAUDITLINK__" hidden="1">{"fdsup://directions/FAT Viewer?action=UPDATE&amp;creator=factset&amp;DYN_ARGS=TRUE&amp;DOC_NAME=FAT:FQL_AUDITING_CLIENT_TEMPLATE.FAT&amp;display_string=Audit&amp;VAR:KEY=LMTQHUVWVA&amp;VAR:QUERY=RkZfUkRfRVhQKENBTCwyMDA4LCwsLFVTRCk=&amp;WINDOW=FIRST_POPUP&amp;HEIGHT=450&amp;WIDTH=450&amp;START_MA","XIMIZED=FALSE&amp;VAR:CALENDAR=US&amp;VAR:SYMBOL=710306&amp;VAR:INDEX=0"}</definedName>
    <definedName name="_1869__FDSAUDITLINK__" hidden="1">{"fdsup://directions/FAT Viewer?action=UPDATE&amp;creator=factset&amp;DYN_ARGS=TRUE&amp;DOC_NAME=FAT:FQL_AUDITING_CLIENT_TEMPLATE.FAT&amp;display_string=Audit&amp;VAR:KEY=VYTORQNKTW&amp;VAR:QUERY=RkZfUkRfRVhQKENBTCwyMDA3LCwsLFVTRCk=&amp;WINDOW=FIRST_POPUP&amp;HEIGHT=450&amp;WIDTH=450&amp;START_MA","XIMIZED=FALSE&amp;VAR:CALENDAR=US&amp;VAR:SYMBOL=710306&amp;VAR:INDEX=0"}</definedName>
    <definedName name="_187__FDSAUDITLINK__" hidden="1">{"fdsup://directions/FAT%20Viewer?VAR:TM=NTMA&amp;VAR:PCT=0.794521&amp;VAR:Y0=2007&amp;VAR:Y1=2008&amp;VAR:V0=14.766724&amp;VAR:V1=13.280086&amp;VAR:V=14.434692&amp;VAR:AUDIT_ID=00000117&amp;VAR:DATE=20070316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Aggregates&amp;VAR:MEASURE=PE_MEAN&amp;VAR:CALC_MODE=PORTFOLIO&amp;VAR:CHGPERIOD=NA&amp;VAR:FQLFORMULA=FMA_PE&amp;VAR:CURRENCY=USD&amp;VAR:P=1","386.945100&amp;VAR:THRESH=||||||&amp;VAR:null=.html"}</definedName>
    <definedName name="_1870__FDSAUDITLINK__" hidden="1">{"fdsup://directions/FAT Viewer?action=UPDATE&amp;creator=factset&amp;DYN_ARGS=TRUE&amp;DOC_NAME=FAT:FQL_AUDITING_CLIENT_TEMPLATE.FAT&amp;display_string=Audit&amp;VAR:KEY=RAFAPGJURW&amp;VAR:QUERY=RkZfUkRfRVhQKENBTCwyMDA4LCwsLFVTRCk=&amp;WINDOW=FIRST_POPUP&amp;HEIGHT=450&amp;WIDTH=450&amp;START_MA","XIMIZED=FALSE&amp;VAR:CALENDAR=US&amp;VAR:SYMBOL=711038&amp;VAR:INDEX=0"}</definedName>
    <definedName name="_1871__FDSAUDITLINK__" hidden="1">{"fdsup://directions/FAT Viewer?action=UPDATE&amp;creator=factset&amp;DYN_ARGS=TRUE&amp;DOC_NAME=FAT:FQL_AUDITING_CLIENT_TEMPLATE.FAT&amp;display_string=Audit&amp;VAR:KEY=LKDSHOXEJE&amp;VAR:QUERY=RkZfUkRfRVhQKENBTCwyMDA4LCwsLFVTRCk=&amp;WINDOW=FIRST_POPUP&amp;HEIGHT=450&amp;WIDTH=450&amp;START_MA","XIMIZED=FALSE&amp;VAR:CALENDAR=US&amp;VAR:SYMBOL=MRK&amp;VAR:INDEX=0"}</definedName>
    <definedName name="_1872__FDSAUDITLINK__" hidden="1">{"fdsup://directions/FAT Viewer?action=UPDATE&amp;creator=factset&amp;DYN_ARGS=TRUE&amp;DOC_NAME=FAT:FQL_AUDITING_CLIENT_TEMPLATE.FAT&amp;display_string=Audit&amp;VAR:KEY=TILQDMTSFA&amp;VAR:QUERY=RkZfUkRfRVhQKENBTCwyMDA3LCwsLFVTRCk=&amp;WINDOW=FIRST_POPUP&amp;HEIGHT=450&amp;WIDTH=450&amp;START_MA","XIMIZED=FALSE&amp;VAR:CALENDAR=US&amp;VAR:SYMBOL=MRK&amp;VAR:INDEX=0"}</definedName>
    <definedName name="_1873__FDSAUDITLINK__" hidden="1">{"fdsup://directions/FAT Viewer?action=UPDATE&amp;creator=factset&amp;DYN_ARGS=TRUE&amp;DOC_NAME=FAT:FQL_AUDITING_CLIENT_TEMPLATE.FAT&amp;display_string=Audit&amp;VAR:KEY=JCJYXWPCFK&amp;VAR:QUERY=RkZfUkRfRVhQKENBTCwyMDA4LCwsLFVTRCk=&amp;WINDOW=FIRST_POPUP&amp;HEIGHT=450&amp;WIDTH=450&amp;START_MA","XIMIZED=FALSE&amp;VAR:CALENDAR=US&amp;VAR:SYMBOL=PFE&amp;VAR:INDEX=0"}</definedName>
    <definedName name="_1874__FDSAUDITLINK__" hidden="1">{"fdsup://directions/FAT Viewer?action=UPDATE&amp;creator=factset&amp;DYN_ARGS=TRUE&amp;DOC_NAME=FAT:FQL_AUDITING_CLIENT_TEMPLATE.FAT&amp;display_string=Audit&amp;VAR:KEY=VABOBMLSTS&amp;VAR:QUERY=RkZfUkRfRVhQKENBTCwyMDA3LCwsLFVTRCk=&amp;WINDOW=FIRST_POPUP&amp;HEIGHT=450&amp;WIDTH=450&amp;START_MA","XIMIZED=FALSE&amp;VAR:CALENDAR=US&amp;VAR:SYMBOL=PFE&amp;VAR:INDEX=0"}</definedName>
    <definedName name="_1875__FDSAUDITLINK__" hidden="1">{"fdsup://directions/FAT Viewer?action=UPDATE&amp;creator=factset&amp;DYN_ARGS=TRUE&amp;DOC_NAME=FAT:FQL_AUDITING_CLIENT_TEMPLATE.FAT&amp;display_string=Audit&amp;VAR:KEY=LULOLUFSZY&amp;VAR:QUERY=RkZfUkRfRVhQKENBTCwzOTgxMywsLCwp&amp;WINDOW=FIRST_POPUP&amp;HEIGHT=450&amp;WIDTH=450&amp;START_MAXIMI","ZED=FALSE&amp;VAR:CALENDAR=US&amp;VAR:SYMBOL=DNA&amp;VAR:INDEX=0"}</definedName>
    <definedName name="_1876__FDSAUDITLINK__" hidden="1">{"fdsup://directions/FAT Viewer?action=UPDATE&amp;creator=factset&amp;DYN_ARGS=TRUE&amp;DOC_NAME=FAT:FQL_AUDITING_CLIENT_TEMPLATE.FAT&amp;display_string=Audit&amp;VAR:KEY=JQXWLKRQJO&amp;VAR:QUERY=RkZfUkRfRVhQKENBTCwzOTQ0NywsLCwp&amp;WINDOW=FIRST_POPUP&amp;HEIGHT=450&amp;WIDTH=450&amp;START_MAXIMI","ZED=FALSE&amp;VAR:CALENDAR=US&amp;VAR:SYMBOL=DNA&amp;VAR:INDEX=0"}</definedName>
    <definedName name="_1877__FDSAUDITLINK__" hidden="1">{"fdsup://directions/FAT Viewer?action=UPDATE&amp;creator=factset&amp;DYN_ARGS=TRUE&amp;DOC_NAME=FAT:FQL_AUDITING_CLIENT_TEMPLATE.FAT&amp;display_string=Audit&amp;VAR:KEY=HYXWNYRITG&amp;VAR:QUERY=RkZfUkRfRVhQKENBTCwzOTA4MiwsLCwp&amp;WINDOW=FIRST_POPUP&amp;HEIGHT=450&amp;WIDTH=450&amp;START_MAXIMI","ZED=FALSE&amp;VAR:CALENDAR=US&amp;VAR:SYMBOL=DNA&amp;VAR:INDEX=0"}</definedName>
    <definedName name="_1878__FDSAUDITLINK__" hidden="1">{"fdsup://directions/FAT Viewer?action=UPDATE&amp;creator=factset&amp;DYN_ARGS=TRUE&amp;DOC_NAME=FAT:FQL_AUDITING_CLIENT_TEMPLATE.FAT&amp;display_string=Audit&amp;VAR:KEY=FWHQNGDGJY&amp;VAR:QUERY=RkZfUkRfRVhQKENBTCwzODcxNywsLCwp&amp;WINDOW=FIRST_POPUP&amp;HEIGHT=450&amp;WIDTH=450&amp;START_MAXIMI","ZED=FALSE&amp;VAR:CALENDAR=US&amp;VAR:SYMBOL=DNA&amp;VAR:INDEX=0"}</definedName>
    <definedName name="_1879__FDSAUDITLINK__" hidden="1">{"fdsup://directions/FAT Viewer?action=UPDATE&amp;creator=factset&amp;DYN_ARGS=TRUE&amp;DOC_NAME=FAT:FQL_AUDITING_CLIENT_TEMPLATE.FAT&amp;display_string=Audit&amp;VAR:KEY=RQTWDYPOXG&amp;VAR:QUERY=RkZfUkRfRVhQKENBTCwzODM1MiwsLCwp&amp;WINDOW=FIRST_POPUP&amp;HEIGHT=450&amp;WIDTH=450&amp;START_MAXIMI","ZED=FALSE&amp;VAR:CALENDAR=US&amp;VAR:SYMBOL=DNA&amp;VAR:INDEX=0"}</definedName>
    <definedName name="_188__FDSAUDITLINK__" hidden="1">{"fdsup://directions/FAT%20Viewer?VAR:TM=NTMA&amp;VAR:PCT=0.813699&amp;VAR:Y0=2007&amp;VAR:Y1=2008&amp;VAR:V0=14.931805&amp;VAR:V1=13.442535&amp;VAR:V=14.629846&amp;VAR:AUDIT_ID=00000117&amp;VAR:DATE=20070309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Aggregates&amp;VAR:MEASURE=PE_MEAN&amp;VAR:CALC_MODE=PORTFOLIO&amp;VAR:CHGPERIOD=NA&amp;VAR:FQLFORMULA=FMA_PE&amp;VAR:CURRENCY=USD&amp;VAR:P=1","402.846400&amp;VAR:THRESH=||||||&amp;VAR:null=.html"}</definedName>
    <definedName name="_1880__FDSAUDITLINK__" hidden="1">{"fdsup://directions/FAT Viewer?action=UPDATE&amp;creator=factset&amp;DYN_ARGS=TRUE&amp;DOC_NAME=FAT:FQL_AUDITING_CLIENT_TEMPLATE.FAT&amp;display_string=Audit&amp;VAR:KEY=ZWNOBEDCJI&amp;VAR:QUERY=RkZfUkRfRVhQKENBTCwzOTgxMywsLCwp&amp;WINDOW=FIRST_POPUP&amp;HEIGHT=450&amp;WIDTH=450&amp;START_MAXIMI","ZED=FALSE&amp;VAR:CALENDAR=US&amp;VAR:SYMBOL=SGP&amp;VAR:INDEX=0"}</definedName>
    <definedName name="_1881__FDSAUDITLINK__" hidden="1">{"fdsup://directions/FAT Viewer?action=UPDATE&amp;creator=factset&amp;DYN_ARGS=TRUE&amp;DOC_NAME=FAT:FQL_AUDITING_CLIENT_TEMPLATE.FAT&amp;display_string=Audit&amp;VAR:KEY=VERKZCBWNO&amp;VAR:QUERY=RkZfUkRfRVhQKENBTCwzOTQ0NywsLCwp&amp;WINDOW=FIRST_POPUP&amp;HEIGHT=450&amp;WIDTH=450&amp;START_MAXIMI","ZED=FALSE&amp;VAR:CALENDAR=US&amp;VAR:SYMBOL=SGP&amp;VAR:INDEX=0"}</definedName>
    <definedName name="_1882__FDSAUDITLINK__" hidden="1">{"fdsup://directions/FAT Viewer?action=UPDATE&amp;creator=factset&amp;DYN_ARGS=TRUE&amp;DOC_NAME=FAT:FQL_AUDITING_CLIENT_TEMPLATE.FAT&amp;display_string=Audit&amp;VAR:KEY=VGVGPSRCRG&amp;VAR:QUERY=RkZfUkRfRVhQKENBTCwzOTA4MiwsLCwp&amp;WINDOW=FIRST_POPUP&amp;HEIGHT=450&amp;WIDTH=450&amp;START_MAXIMI","ZED=FALSE&amp;VAR:CALENDAR=US&amp;VAR:SYMBOL=SGP&amp;VAR:INDEX=0"}</definedName>
    <definedName name="_1883__FDSAUDITLINK__" hidden="1">{"fdsup://directions/FAT Viewer?action=UPDATE&amp;creator=factset&amp;DYN_ARGS=TRUE&amp;DOC_NAME=FAT:FQL_AUDITING_CLIENT_TEMPLATE.FAT&amp;display_string=Audit&amp;VAR:KEY=DQBAJYBAFW&amp;VAR:QUERY=RkZfUkRfRVhQKENBTCwzODcxNywsLCwp&amp;WINDOW=FIRST_POPUP&amp;HEIGHT=450&amp;WIDTH=450&amp;START_MAXIMI","ZED=FALSE&amp;VAR:CALENDAR=US&amp;VAR:SYMBOL=SGP&amp;VAR:INDEX=0"}</definedName>
    <definedName name="_1884__FDSAUDITLINK__" hidden="1">{"fdsup://directions/FAT Viewer?action=UPDATE&amp;creator=factset&amp;DYN_ARGS=TRUE&amp;DOC_NAME=FAT:FQL_AUDITING_CLIENT_TEMPLATE.FAT&amp;display_string=Audit&amp;VAR:KEY=HSTURMXUFQ&amp;VAR:QUERY=RkZfUkRfRVhQKENBTCwzODM1MiwsLCwp&amp;WINDOW=FIRST_POPUP&amp;HEIGHT=450&amp;WIDTH=450&amp;START_MAXIMI","ZED=FALSE&amp;VAR:CALENDAR=US&amp;VAR:SYMBOL=SGP&amp;VAR:INDEX=0"}</definedName>
    <definedName name="_1885__FDSAUDITLINK__" hidden="1">{"fdsup://directions/FAT Viewer?action=UPDATE&amp;creator=factset&amp;DYN_ARGS=TRUE&amp;DOC_NAME=FAT:FQL_AUDITING_CLIENT_TEMPLATE.FAT&amp;display_string=Audit&amp;VAR:KEY=PAJYJYJAHE&amp;VAR:QUERY=RkZfUkRfRVhQKENBTCwzOTgxMywsLCwp&amp;WINDOW=FIRST_POPUP&amp;HEIGHT=450&amp;WIDTH=450&amp;START_MAXIMI","ZED=FALSE&amp;VAR:CALENDAR=US&amp;VAR:SYMBOL=WYE&amp;VAR:INDEX=0"}</definedName>
    <definedName name="_1886__FDSAUDITLINK__" hidden="1">{"fdsup://directions/FAT Viewer?action=UPDATE&amp;creator=factset&amp;DYN_ARGS=TRUE&amp;DOC_NAME=FAT:FQL_AUDITING_CLIENT_TEMPLATE.FAT&amp;display_string=Audit&amp;VAR:KEY=NYXURMTONW&amp;VAR:QUERY=RkZfUkRfRVhQKENBTCwzOTQ0NywsLCwp&amp;WINDOW=FIRST_POPUP&amp;HEIGHT=450&amp;WIDTH=450&amp;START_MAXIMI","ZED=FALSE&amp;VAR:CALENDAR=US&amp;VAR:SYMBOL=WYE&amp;VAR:INDEX=0"}</definedName>
    <definedName name="_1887__FDSAUDITLINK__" hidden="1">{"fdsup://directions/FAT Viewer?action=UPDATE&amp;creator=factset&amp;DYN_ARGS=TRUE&amp;DOC_NAME=FAT:FQL_AUDITING_CLIENT_TEMPLATE.FAT&amp;display_string=Audit&amp;VAR:KEY=XWTYLUVGBU&amp;VAR:QUERY=RkZfUkRfRVhQKENBTCwzOTA4MiwsLCwp&amp;WINDOW=FIRST_POPUP&amp;HEIGHT=450&amp;WIDTH=450&amp;START_MAXIMI","ZED=FALSE&amp;VAR:CALENDAR=US&amp;VAR:SYMBOL=WYE&amp;VAR:INDEX=0"}</definedName>
    <definedName name="_1888__FDSAUDITLINK__" hidden="1">{"fdsup://directions/FAT Viewer?action=UPDATE&amp;creator=factset&amp;DYN_ARGS=TRUE&amp;DOC_NAME=FAT:FQL_AUDITING_CLIENT_TEMPLATE.FAT&amp;display_string=Audit&amp;VAR:KEY=DGDCHUBYVS&amp;VAR:QUERY=RkZfUkRfRVhQKENBTCwzODcxNywsLCwp&amp;WINDOW=FIRST_POPUP&amp;HEIGHT=450&amp;WIDTH=450&amp;START_MAXIMI","ZED=FALSE&amp;VAR:CALENDAR=US&amp;VAR:SYMBOL=WYE&amp;VAR:INDEX=0"}</definedName>
    <definedName name="_1889__FDSAUDITLINK__" hidden="1">{"fdsup://directions/FAT Viewer?action=UPDATE&amp;creator=factset&amp;DYN_ARGS=TRUE&amp;DOC_NAME=FAT:FQL_AUDITING_CLIENT_TEMPLATE.FAT&amp;display_string=Audit&amp;VAR:KEY=HKXMFCNQRG&amp;VAR:QUERY=RkZfUkRfRVhQKENBTCwzODM1MiwsLCwp&amp;WINDOW=FIRST_POPUP&amp;HEIGHT=450&amp;WIDTH=450&amp;START_MAXIMI","ZED=FALSE&amp;VAR:CALENDAR=US&amp;VAR:SYMBOL=WYE&amp;VAR:INDEX=0"}</definedName>
    <definedName name="_189__FDSAUDITLINK__" hidden="1">{"fdsup://directions/FAT%20Viewer?VAR:TM=NTMA&amp;VAR:PCT=0.832877&amp;VAR:Y0=2007&amp;VAR:Y1=2008&amp;VAR:V0=14.763748&amp;VAR:V1=13.285182&amp;VAR:V=14.494158&amp;VAR:AUDIT_ID=00000117&amp;VAR:DATE=20070302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Aggregates&amp;VAR:MEASURE=PE_MEAN&amp;VAR:CALC_MODE=PORTFOLIO&amp;VAR:CHGPERIOD=NA&amp;VAR:FQLFORMULA=FMA_PE&amp;VAR:CURRENCY=USD&amp;VAR:P=1","387.165600&amp;VAR:THRESH=||||||&amp;VAR:null=.html"}</definedName>
    <definedName name="_1890__FDSAUDITLINK__" hidden="1">{"fdsup://directions/FAT Viewer?action=UPDATE&amp;creator=factset&amp;DYN_ARGS=TRUE&amp;DOC_NAME=FAT:FQL_AUDITING_CLIENT_TEMPLATE.FAT&amp;display_string=Audit&amp;VAR:KEY=FADGZQHEFC&amp;VAR:QUERY=RkZfUkRfRVhQKENBTCw0MDU0MywsLCxVU0Qp&amp;WINDOW=FIRST_POPUP&amp;HEIGHT=450&amp;WIDTH=450&amp;START_MA","XIMIZED=FALSE&amp;VAR:CALENDAR=US&amp;VAR:SYMBOL=BIIB&amp;VAR:INDEX=0"}</definedName>
    <definedName name="_1891__FDSAUDITLINK__" hidden="1">{"fdsup://directions/FAT Viewer?action=UPDATE&amp;creator=factset&amp;DYN_ARGS=TRUE&amp;DOC_NAME=FAT:FQL_AUDITING_CLIENT_TEMPLATE.FAT&amp;display_string=Audit&amp;VAR:KEY=NSPUJGFSHI&amp;VAR:QUERY=RkZfUkRfRVhQKENBTCw0MDU0MywsLCxVU0Qp&amp;WINDOW=FIRST_POPUP&amp;HEIGHT=450&amp;WIDTH=450&amp;START_MA","XIMIZED=FALSE&amp;VAR:CALENDAR=US&amp;VAR:SYMBOL=707752&amp;VAR:INDEX=0"}</definedName>
    <definedName name="_1892__FDSAUDITLINK__" hidden="1">{"fdsup://directions/FAT Viewer?action=UPDATE&amp;creator=factset&amp;DYN_ARGS=TRUE&amp;DOC_NAME=FAT:FQL_AUDITING_CLIENT_TEMPLATE.FAT&amp;display_string=Audit&amp;VAR:KEY=PWJMJAPQXA&amp;VAR:QUERY=RkZfUkRfRVhQKENBTCw0MDU0MywsLCxVU0Qp&amp;WINDOW=FIRST_POPUP&amp;HEIGHT=450&amp;WIDTH=450&amp;START_MA","XIMIZED=FALSE&amp;VAR:CALENDAR=US&amp;VAR:SYMBOL=630720&amp;VAR:INDEX=0"}</definedName>
    <definedName name="_1893__FDSAUDITLINK__" hidden="1">{"fdsup://directions/FAT Viewer?action=UPDATE&amp;creator=factset&amp;DYN_ARGS=TRUE&amp;DOC_NAME=FAT:FQL_AUDITING_CLIENT_TEMPLATE.FAT&amp;display_string=Audit&amp;VAR:KEY=TQDGRYXUPO&amp;VAR:QUERY=RkZfUkRfRVhQKENBTCw0MDU0MywsLCxVU0Qp&amp;WINDOW=FIRST_POPUP&amp;HEIGHT=450&amp;WIDTH=450&amp;START_MA","XIMIZED=FALSE&amp;VAR:CALENDAR=US&amp;VAR:SYMBOL=698538&amp;VAR:INDEX=0"}</definedName>
    <definedName name="_1894__FDSAUDITLINK__" hidden="1">{"fdsup://directions/FAT Viewer?action=UPDATE&amp;creator=factset&amp;DYN_ARGS=TRUE&amp;DOC_NAME=FAT:FQL_AUDITING_CLIENT_TEMPLATE.FAT&amp;display_string=Audit&amp;VAR:KEY=LCNIRKJOVO&amp;VAR:QUERY=RkZfUkRfRVhQKENBTCw0MDU0MywsLCxVU0Qp&amp;WINDOW=FIRST_POPUP&amp;HEIGHT=450&amp;WIDTH=450&amp;START_MA","XIMIZED=FALSE&amp;VAR:CALENDAR=US&amp;VAR:SYMBOL=474184&amp;VAR:INDEX=0"}</definedName>
    <definedName name="_1895__FDSAUDITLINK__" hidden="1">{"fdsup://directions/FAT Viewer?action=UPDATE&amp;creator=factset&amp;DYN_ARGS=TRUE&amp;DOC_NAME=FAT:FQL_AUDITING_CLIENT_TEMPLATE.FAT&amp;display_string=Audit&amp;VAR:KEY=JAPATOHCPG&amp;VAR:QUERY=RkZfUkRfRVhQKENBTCw0MDU0MywsLCxVU0Qp&amp;WINDOW=FIRST_POPUP&amp;HEIGHT=450&amp;WIDTH=450&amp;START_MA","XIMIZED=FALSE&amp;VAR:CALENDAR=US&amp;VAR:SYMBOL=B0J7D9&amp;VAR:INDEX=0"}</definedName>
    <definedName name="_1896__FDSAUDITLINK__" hidden="1">{"fdsup://directions/FAT Viewer?action=UPDATE&amp;creator=factset&amp;DYN_ARGS=TRUE&amp;DOC_NAME=FAT:FQL_AUDITING_CLIENT_TEMPLATE.FAT&amp;display_string=Audit&amp;VAR:KEY=ZURSDKXMDW&amp;VAR:QUERY=RkZfUkRfRVhQKENBTCw0MDU0MywsLCxVU0Qp&amp;WINDOW=FIRST_POPUP&amp;HEIGHT=450&amp;WIDTH=450&amp;START_MA","XIMIZED=FALSE&amp;VAR:CALENDAR=US&amp;VAR:SYMBOL=AMGN&amp;VAR:INDEX=0"}</definedName>
    <definedName name="_1897__FDSAUDITLINK__" hidden="1">{"fdsup://directions/FAT Viewer?action=UPDATE&amp;creator=factset&amp;DYN_ARGS=TRUE&amp;DOC_NAME=FAT:FQL_AUDITING_CLIENT_TEMPLATE.FAT&amp;display_string=Audit&amp;VAR:KEY=JWREDEZOBE&amp;VAR:QUERY=RkZfUkRfRVhQKENBTCw0MDU0MywsLCxVU0Qp&amp;WINDOW=FIRST_POPUP&amp;HEIGHT=450&amp;WIDTH=450&amp;START_MA","XIMIZED=FALSE&amp;VAR:CALENDAR=US&amp;VAR:SYMBOL=ABT&amp;VAR:INDEX=0"}</definedName>
    <definedName name="_1898__FDSAUDITLINK__" hidden="1">{"fdsup://directions/FAT Viewer?action=UPDATE&amp;creator=factset&amp;DYN_ARGS=TRUE&amp;DOC_NAME=FAT:FQL_AUDITING_CLIENT_TEMPLATE.FAT&amp;display_string=Audit&amp;VAR:KEY=FMHOHWFCHA&amp;VAR:QUERY=RkZfUkRfRVhQKENBTCw0MDU0MywsLCxVU0Qp&amp;WINDOW=FIRST_POPUP&amp;HEIGHT=450&amp;WIDTH=450&amp;START_MA","XIMIZED=FALSE&amp;VAR:CALENDAR=US&amp;VAR:SYMBOL=687044&amp;VAR:INDEX=0"}</definedName>
    <definedName name="_1899__FDSAUDITLINK__" hidden="1">{"fdsup://directions/FAT Viewer?action=UPDATE&amp;creator=factset&amp;DYN_ARGS=TRUE&amp;DOC_NAME=FAT:FQL_AUDITING_CLIENT_TEMPLATE.FAT&amp;display_string=Audit&amp;VAR:KEY=BCRMHOHMDU&amp;VAR:QUERY=RkZfUkRfRVhQKENBTCw0MDU0MywsLCxVU0Qp&amp;WINDOW=FIRST_POPUP&amp;HEIGHT=450&amp;WIDTH=450&amp;START_MA","XIMIZED=FALSE&amp;VAR:CALENDAR=US&amp;VAR:SYMBOL=BMY&amp;VAR:INDEX=0"}</definedName>
    <definedName name="_19__FDSAUDITLINK__" hidden="1">{"fdsup://directions/FAT%20Viewer?VAR:TM=NTMA&amp;VAR:PCT=0.575342&amp;VAR:Y0=2010&amp;VAR:Y1=2011&amp;VAR:V0=12.902870&amp;VAR:V1=10.991080&amp;VAR:V=12.015356&amp;VAR:AUDIT_ID=00000117&amp;VAR:DATE=20100604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Aggregates&amp;VAR:MEASURE=PE_MEAN&amp;VAR:CALC_MODE=PORTFOLIO&amp;VAR:CHGPERIOD=NA&amp;VAR:FQLFORMULA=FMA_PE&amp;VAR:CURRENCY=USD&amp;VAR:P=1","064.875042&amp;VAR:THRESH=||||||&amp;VAR:null=.html"}</definedName>
    <definedName name="_190__FDSAUDITLINK__" hidden="1">{"fdsup://directions/FAT%20Viewer?VAR:TM=NTMA&amp;VAR:PCT=0.852055&amp;VAR:Y0=2007&amp;VAR:Y1=2008&amp;VAR:V0=15.436389&amp;VAR:V1=13.920094&amp;VAR:V=15.191570&amp;VAR:AUDIT_ID=00000117&amp;VAR:DATE=20070223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Aggregates&amp;VAR:MEASURE=PE_MEAN&amp;VAR:CALC_MODE=PORTFOLIO&amp;VAR:CHGPERIOD=NA&amp;VAR:FQLFORMULA=FMA_PE&amp;VAR:CURRENCY=USD&amp;VAR:P=1","451.194000&amp;VAR:THRESH=||||||&amp;VAR:null=.html"}</definedName>
    <definedName name="_1900__FDSAUDITLINK__" hidden="1">{"fdsup://directions/FAT Viewer?action=UPDATE&amp;creator=factset&amp;DYN_ARGS=TRUE&amp;DOC_NAME=FAT:FQL_AUDITING_CLIENT_TEMPLATE.FAT&amp;display_string=Audit&amp;VAR:KEY=RWHALYVQFE&amp;VAR:QUERY=RkZfUkRfRVhQKENBTCw0MDU0MywsLCxVU0Qp&amp;WINDOW=FIRST_POPUP&amp;HEIGHT=450&amp;WIDTH=450&amp;START_MA","XIMIZED=FALSE&amp;VAR:CALENDAR=US&amp;VAR:SYMBOL=LLY&amp;VAR:INDEX=0"}</definedName>
    <definedName name="_1901__FDSAUDITLINK__" hidden="1">{"fdsup://directions/FAT Viewer?action=UPDATE&amp;creator=factset&amp;DYN_ARGS=TRUE&amp;DOC_NAME=FAT:FQL_AUDITING_CLIENT_TEMPLATE.FAT&amp;display_string=Audit&amp;VAR:KEY=BOXSLUFEFY&amp;VAR:QUERY=RkZfUkRfRVhQKENBTCw0MDU0MywsLCxVU0Qp&amp;WINDOW=FIRST_POPUP&amp;HEIGHT=450&amp;WIDTH=450&amp;START_MA","XIMIZED=FALSE&amp;VAR:CALENDAR=US&amp;VAR:SYMBOL=506921&amp;VAR:INDEX=0"}</definedName>
    <definedName name="_1902__FDSAUDITLINK__" hidden="1">{"fdsup://directions/FAT Viewer?action=UPDATE&amp;creator=factset&amp;DYN_ARGS=TRUE&amp;DOC_NAME=FAT:FQL_AUDITING_CLIENT_TEMPLATE.FAT&amp;display_string=Audit&amp;VAR:KEY=BKNWZCJIZG&amp;VAR:QUERY=RkZfUkRfRVhQKENBTCw0MDU0MywsLCxVU0Qp&amp;WINDOW=FIRST_POPUP&amp;HEIGHT=450&amp;WIDTH=450&amp;START_MA","XIMIZED=FALSE&amp;VAR:CALENDAR=US&amp;VAR:SYMBOL=567173&amp;VAR:INDEX=0"}</definedName>
    <definedName name="_1903__FDSAUDITLINK__" hidden="1">{"fdsup://directions/FAT Viewer?action=UPDATE&amp;creator=factset&amp;DYN_ARGS=TRUE&amp;DOC_NAME=FAT:FQL_AUDITING_CLIENT_TEMPLATE.FAT&amp;display_string=Audit&amp;VAR:KEY=ZUTEDGBCXY&amp;VAR:QUERY=RkZfUkRfRVhQKENBTCw0MDU0MywsLCxVU0Qp&amp;WINDOW=FIRST_POPUP&amp;HEIGHT=450&amp;WIDTH=450&amp;START_MA","XIMIZED=FALSE&amp;VAR:CALENDAR=US&amp;VAR:SYMBOL=JNJ&amp;VAR:INDEX=0"}</definedName>
    <definedName name="_1904__FDSAUDITLINK__" hidden="1">{"fdsup://directions/FAT Viewer?action=UPDATE&amp;creator=factset&amp;DYN_ARGS=TRUE&amp;DOC_NAME=FAT:FQL_AUDITING_CLIENT_TEMPLATE.FAT&amp;display_string=Audit&amp;VAR:KEY=TYHWTQXSJO&amp;VAR:QUERY=RkZfUkRfRVhQKENBTCw0MDU0MywsLCxVU0Qp&amp;WINDOW=FIRST_POPUP&amp;HEIGHT=450&amp;WIDTH=450&amp;START_MA","XIMIZED=FALSE&amp;VAR:CALENDAR=US&amp;VAR:SYMBOL=710306&amp;VAR:INDEX=0"}</definedName>
    <definedName name="_1905__FDSAUDITLINK__" hidden="1">{"fdsup://directions/FAT Viewer?action=UPDATE&amp;creator=factset&amp;DYN_ARGS=TRUE&amp;DOC_NAME=FAT:FQL_AUDITING_CLIENT_TEMPLATE.FAT&amp;display_string=Audit&amp;VAR:KEY=BSFYPUHUXG&amp;VAR:QUERY=RkZfUkRfRVhQKENBTCw0MDU0MywsLCxVU0Qp&amp;WINDOW=FIRST_POPUP&amp;HEIGHT=450&amp;WIDTH=450&amp;START_MA","XIMIZED=FALSE&amp;VAR:CALENDAR=US&amp;VAR:SYMBOL=711038&amp;VAR:INDEX=0"}</definedName>
    <definedName name="_1906__FDSAUDITLINK__" hidden="1">{"fdsup://directions/FAT Viewer?action=UPDATE&amp;creator=factset&amp;DYN_ARGS=TRUE&amp;DOC_NAME=FAT:FQL_AUDITING_CLIENT_TEMPLATE.FAT&amp;display_string=Audit&amp;VAR:KEY=BQXQNYHAZC&amp;VAR:QUERY=RkZfUkRfRVhQKENBTCw0MDU0MywsLCxVU0Qp&amp;WINDOW=FIRST_POPUP&amp;HEIGHT=450&amp;WIDTH=450&amp;START_MA","XIMIZED=FALSE&amp;VAR:CALENDAR=US&amp;VAR:SYMBOL=MRK&amp;VAR:INDEX=0"}</definedName>
    <definedName name="_1907__FDSAUDITLINK__" hidden="1">{"fdsup://directions/FAT Viewer?action=UPDATE&amp;creator=factset&amp;DYN_ARGS=TRUE&amp;DOC_NAME=FAT:FQL_AUDITING_CLIENT_TEMPLATE.FAT&amp;display_string=Audit&amp;VAR:KEY=XSXQHYLMVQ&amp;VAR:QUERY=RkZfUkRfRVhQKENBTCw0MDU0MywsLCwp&amp;WINDOW=FIRST_POPUP&amp;HEIGHT=450&amp;WIDTH=450&amp;START_MAXIMI","ZED=FALSE&amp;VAR:CALENDAR=US&amp;VAR:SYMBOL=BIIB&amp;VAR:INDEX=0"}</definedName>
    <definedName name="_1908__FDSAUDITLINK__" hidden="1">{"fdsup://directions/FAT Viewer?action=UPDATE&amp;creator=factset&amp;DYN_ARGS=TRUE&amp;DOC_NAME=FAT:FQL_AUDITING_CLIENT_TEMPLATE.FAT&amp;display_string=Audit&amp;VAR:KEY=LAJWREJCRQ&amp;VAR:QUERY=RkZfUkRfRVhQKENBTCw0MDE3OCwsLCwp&amp;WINDOW=FIRST_POPUP&amp;HEIGHT=450&amp;WIDTH=450&amp;START_MAXIMI","ZED=FALSE&amp;VAR:CALENDAR=US&amp;VAR:SYMBOL=BIIB&amp;VAR:INDEX=0"}</definedName>
    <definedName name="_1909__FDSAUDITLINK__" hidden="1">{"fdsup://directions/FAT Viewer?action=UPDATE&amp;creator=factset&amp;DYN_ARGS=TRUE&amp;DOC_NAME=FAT:FQL_AUDITING_CLIENT_TEMPLATE.FAT&amp;display_string=Audit&amp;VAR:KEY=TIJGJEBYTI&amp;VAR:QUERY=RkZfUkRfRVhQKENBTCwzOTgxMywsLCwp&amp;WINDOW=FIRST_POPUP&amp;HEIGHT=450&amp;WIDTH=450&amp;START_MAXIMI","ZED=FALSE&amp;VAR:CALENDAR=US&amp;VAR:SYMBOL=BIIB&amp;VAR:INDEX=0"}</definedName>
    <definedName name="_191__FDSAUDITLINK__" hidden="1">{"fdsup://directions/FAT%20Viewer?VAR:TM=NTMA&amp;VAR:PCT=0.871233&amp;VAR:Y0=2007&amp;VAR:Y1=2008&amp;VAR:V0=15.481628&amp;VAR:V1=13.965576&amp;VAR:V=15.268202&amp;VAR:AUDIT_ID=00000117&amp;VAR:DATE=20070216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Aggregates&amp;VAR:MEASURE=PE_MEAN&amp;VAR:CALC_MODE=PORTFOLIO&amp;VAR:CHGPERIOD=NA&amp;VAR:FQLFORMULA=FMA_PE&amp;VAR:CURRENCY=USD&amp;VAR:P=1","455.538000&amp;VAR:THRESH=||||||&amp;VAR:null=.html"}</definedName>
    <definedName name="_1910__FDSAUDITLINK__" hidden="1">{"fdsup://directions/FAT Viewer?action=UPDATE&amp;creator=factset&amp;DYN_ARGS=TRUE&amp;DOC_NAME=FAT:FQL_AUDITING_CLIENT_TEMPLATE.FAT&amp;display_string=Audit&amp;VAR:KEY=PODEFWZGFS&amp;VAR:QUERY=RkZfUkRfRVhQKENBTCwzOTQ0NywsLCwp&amp;WINDOW=FIRST_POPUP&amp;HEIGHT=450&amp;WIDTH=450&amp;START_MAXIMI","ZED=FALSE&amp;VAR:CALENDAR=US&amp;VAR:SYMBOL=BIIB&amp;VAR:INDEX=0"}</definedName>
    <definedName name="_1911__FDSAUDITLINK__" hidden="1">{"fdsup://directions/FAT Viewer?action=UPDATE&amp;creator=factset&amp;DYN_ARGS=TRUE&amp;DOC_NAME=FAT:FQL_AUDITING_CLIENT_TEMPLATE.FAT&amp;display_string=Audit&amp;VAR:KEY=HQFYRGDOJS&amp;VAR:QUERY=RkZfUkRfRVhQKENBTCwzOTA4MiwsLCwp&amp;WINDOW=FIRST_POPUP&amp;HEIGHT=450&amp;WIDTH=450&amp;START_MAXIMI","ZED=FALSE&amp;VAR:CALENDAR=US&amp;VAR:SYMBOL=BIIB&amp;VAR:INDEX=0"}</definedName>
    <definedName name="_1912__FDSAUDITLINK__" hidden="1">{"fdsup://directions/FAT Viewer?action=UPDATE&amp;creator=factset&amp;DYN_ARGS=TRUE&amp;DOC_NAME=FAT:FQL_AUDITING_CLIENT_TEMPLATE.FAT&amp;display_string=Audit&amp;VAR:KEY=BWLKBKRSNC&amp;VAR:QUERY=RkZfUkRfRVhQKENBTCwzODcxNywsLCwp&amp;WINDOW=FIRST_POPUP&amp;HEIGHT=450&amp;WIDTH=450&amp;START_MAXIMI","ZED=FALSE&amp;VAR:CALENDAR=US&amp;VAR:SYMBOL=BIIB&amp;VAR:INDEX=0"}</definedName>
    <definedName name="_1913__FDSAUDITLINK__" hidden="1">{"fdsup://directions/FAT Viewer?action=UPDATE&amp;creator=factset&amp;DYN_ARGS=TRUE&amp;DOC_NAME=FAT:FQL_AUDITING_CLIENT_TEMPLATE.FAT&amp;display_string=Audit&amp;VAR:KEY=NCJCPSJUJA&amp;VAR:QUERY=RkZfUkRfRVhQKENBTCwzODM1MiwsLCwp&amp;WINDOW=FIRST_POPUP&amp;HEIGHT=450&amp;WIDTH=450&amp;START_MAXIMI","ZED=FALSE&amp;VAR:CALENDAR=US&amp;VAR:SYMBOL=BIIB&amp;VAR:INDEX=0"}</definedName>
    <definedName name="_1914__FDSAUDITLINK__" hidden="1">{"fdsup://directions/FAT Viewer?action=UPDATE&amp;creator=factset&amp;DYN_ARGS=TRUE&amp;DOC_NAME=FAT:FQL_AUDITING_CLIENT_TEMPLATE.FAT&amp;display_string=Audit&amp;VAR:KEY=ROHGXITIHS&amp;VAR:QUERY=RkZfUkRfRVhQKENBTCw0MDU0MywsLCwp&amp;WINDOW=FIRST_POPUP&amp;HEIGHT=450&amp;WIDTH=450&amp;START_MAXIMI","ZED=FALSE&amp;VAR:CALENDAR=US&amp;VAR:SYMBOL=707752&amp;VAR:INDEX=0"}</definedName>
    <definedName name="_1915__FDSAUDITLINK__" hidden="1">{"fdsup://directions/FAT Viewer?action=UPDATE&amp;creator=factset&amp;DYN_ARGS=TRUE&amp;DOC_NAME=FAT:FQL_AUDITING_CLIENT_TEMPLATE.FAT&amp;display_string=Audit&amp;VAR:KEY=ZCPYBCXOHU&amp;VAR:QUERY=RkZfUkRfRVhQKENBTCw0MDE3OCwsLCwp&amp;WINDOW=FIRST_POPUP&amp;HEIGHT=450&amp;WIDTH=450&amp;START_MAXIMI","ZED=FALSE&amp;VAR:CALENDAR=US&amp;VAR:SYMBOL=707752&amp;VAR:INDEX=0"}</definedName>
    <definedName name="_1916__FDSAUDITLINK__" hidden="1">{"fdsup://directions/FAT Viewer?action=UPDATE&amp;creator=factset&amp;DYN_ARGS=TRUE&amp;DOC_NAME=FAT:FQL_AUDITING_CLIENT_TEMPLATE.FAT&amp;display_string=Audit&amp;VAR:KEY=RUHOZGXETS&amp;VAR:QUERY=RkZfUkRfRVhQKENBTCwzOTgxMywsLCwp&amp;WINDOW=FIRST_POPUP&amp;HEIGHT=450&amp;WIDTH=450&amp;START_MAXIMI","ZED=FALSE&amp;VAR:CALENDAR=US&amp;VAR:SYMBOL=707752&amp;VAR:INDEX=0"}</definedName>
    <definedName name="_1917__FDSAUDITLINK__" hidden="1">{"fdsup://directions/FAT Viewer?action=UPDATE&amp;creator=factset&amp;DYN_ARGS=TRUE&amp;DOC_NAME=FAT:FQL_AUDITING_CLIENT_TEMPLATE.FAT&amp;display_string=Audit&amp;VAR:KEY=BQVALCNUXY&amp;VAR:QUERY=RkZfUkRfRVhQKENBTCwzOTQ0NywsLCwp&amp;WINDOW=FIRST_POPUP&amp;HEIGHT=450&amp;WIDTH=450&amp;START_MAXIMI","ZED=FALSE&amp;VAR:CALENDAR=US&amp;VAR:SYMBOL=707752&amp;VAR:INDEX=0"}</definedName>
    <definedName name="_1918__FDSAUDITLINK__" hidden="1">{"fdsup://directions/FAT Viewer?action=UPDATE&amp;creator=factset&amp;DYN_ARGS=TRUE&amp;DOC_NAME=FAT:FQL_AUDITING_CLIENT_TEMPLATE.FAT&amp;display_string=Audit&amp;VAR:KEY=XODONILQRS&amp;VAR:QUERY=RkZfUkRfRVhQKENBTCw0MDU0MywsLCwp&amp;WINDOW=FIRST_POPUP&amp;HEIGHT=450&amp;WIDTH=450&amp;START_MAXIMI","ZED=FALSE&amp;VAR:CALENDAR=US&amp;VAR:SYMBOL=630720&amp;VAR:INDEX=0"}</definedName>
    <definedName name="_1919__FDSAUDITLINK__" hidden="1">{"fdsup://directions/FAT Viewer?action=UPDATE&amp;creator=factset&amp;DYN_ARGS=TRUE&amp;DOC_NAME=FAT:FQL_AUDITING_CLIENT_TEMPLATE.FAT&amp;display_string=Audit&amp;VAR:KEY=FQTINILKPY&amp;VAR:QUERY=RkZfUkRfRVhQKENBTCw0MDE3OCwsLCwp&amp;WINDOW=FIRST_POPUP&amp;HEIGHT=450&amp;WIDTH=450&amp;START_MAXIMI","ZED=FALSE&amp;VAR:CALENDAR=US&amp;VAR:SYMBOL=630720&amp;VAR:INDEX=0"}</definedName>
    <definedName name="_192__FDSAUDITLINK__" hidden="1">{"fdsup://directions/FAT%20Viewer?VAR:TM=NTMA&amp;VAR:PCT=0.890411&amp;VAR:Y0=2007&amp;VAR:Y1=2008&amp;VAR:V0=15.291641&amp;VAR:V1=13.803925&amp;VAR:V=15.113141&amp;VAR:AUDIT_ID=00000117&amp;VAR:DATE=20070209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Aggregates&amp;VAR:MEASURE=PE_MEAN&amp;VAR:CALC_MODE=PORTFOLIO&amp;VAR:CHGPERIOD=NA&amp;VAR:FQLFORMULA=FMA_PE&amp;VAR:CURRENCY=USD&amp;VAR:P=1","438.061000&amp;VAR:THRESH=||||||&amp;VAR:null=.html"}</definedName>
    <definedName name="_1920__FDSAUDITLINK__" hidden="1">{"fdsup://directions/FAT Viewer?action=UPDATE&amp;creator=factset&amp;DYN_ARGS=TRUE&amp;DOC_NAME=FAT:FQL_AUDITING_CLIENT_TEMPLATE.FAT&amp;display_string=Audit&amp;VAR:KEY=VSZYNWJGTA&amp;VAR:QUERY=RkZfUkRfRVhQKENBTCwzOTgxMywsLCwp&amp;WINDOW=FIRST_POPUP&amp;HEIGHT=450&amp;WIDTH=450&amp;START_MAXIMI","ZED=FALSE&amp;VAR:CALENDAR=US&amp;VAR:SYMBOL=630720&amp;VAR:INDEX=0"}</definedName>
    <definedName name="_1921__FDSAUDITLINK__" hidden="1">{"fdsup://directions/FAT Viewer?action=UPDATE&amp;creator=factset&amp;DYN_ARGS=TRUE&amp;DOC_NAME=FAT:FQL_AUDITING_CLIENT_TEMPLATE.FAT&amp;display_string=Audit&amp;VAR:KEY=VYJCJQLQHW&amp;VAR:QUERY=RkZfUkRfRVhQKENBTCwzOTQ0NywsLCwp&amp;WINDOW=FIRST_POPUP&amp;HEIGHT=450&amp;WIDTH=450&amp;START_MAXIMI","ZED=FALSE&amp;VAR:CALENDAR=US&amp;VAR:SYMBOL=630720&amp;VAR:INDEX=0"}</definedName>
    <definedName name="_1922__FDSAUDITLINK__" hidden="1">{"fdsup://directions/FAT Viewer?action=UPDATE&amp;creator=factset&amp;DYN_ARGS=TRUE&amp;DOC_NAME=FAT:FQL_AUDITING_CLIENT_TEMPLATE.FAT&amp;display_string=Audit&amp;VAR:KEY=TUBQTARIDK&amp;VAR:QUERY=RkZfUkRfRVhQKENBTCwzOTA4MiwsLCwp&amp;WINDOW=FIRST_POPUP&amp;HEIGHT=450&amp;WIDTH=450&amp;START_MAXIMI","ZED=FALSE&amp;VAR:CALENDAR=US&amp;VAR:SYMBOL=630720&amp;VAR:INDEX=0"}</definedName>
    <definedName name="_1923__FDSAUDITLINK__" hidden="1">{"fdsup://directions/FAT Viewer?action=UPDATE&amp;creator=factset&amp;DYN_ARGS=TRUE&amp;DOC_NAME=FAT:FQL_AUDITING_CLIENT_TEMPLATE.FAT&amp;display_string=Audit&amp;VAR:KEY=TEDCLSDYNM&amp;VAR:QUERY=RkZfUkRfRVhQKENBTCwzODcxNywsLCwp&amp;WINDOW=FIRST_POPUP&amp;HEIGHT=450&amp;WIDTH=450&amp;START_MAXIMI","ZED=FALSE&amp;VAR:CALENDAR=US&amp;VAR:SYMBOL=630720&amp;VAR:INDEX=0"}</definedName>
    <definedName name="_1924__FDSAUDITLINK__" hidden="1">{"fdsup://directions/FAT Viewer?action=UPDATE&amp;creator=factset&amp;DYN_ARGS=TRUE&amp;DOC_NAME=FAT:FQL_AUDITING_CLIENT_TEMPLATE.FAT&amp;display_string=Audit&amp;VAR:KEY=HWBSXSJUJE&amp;VAR:QUERY=RkZfUkRfRVhQKENBTCwzODM1MiwsLCwp&amp;WINDOW=FIRST_POPUP&amp;HEIGHT=450&amp;WIDTH=450&amp;START_MAXIMI","ZED=FALSE&amp;VAR:CALENDAR=US&amp;VAR:SYMBOL=630720&amp;VAR:INDEX=0"}</definedName>
    <definedName name="_1925__FDSAUDITLINK__" hidden="1">{"fdsup://directions/FAT Viewer?action=UPDATE&amp;creator=factset&amp;DYN_ARGS=TRUE&amp;DOC_NAME=FAT:FQL_AUDITING_CLIENT_TEMPLATE.FAT&amp;display_string=Audit&amp;VAR:KEY=NOFYHOLEJE&amp;VAR:QUERY=RkZfUkRfRVhQKENBTCwzNzk4NiwsLCwp&amp;WINDOW=FIRST_POPUP&amp;HEIGHT=450&amp;WIDTH=450&amp;START_MAXIMI","ZED=FALSE&amp;VAR:CALENDAR=US&amp;VAR:SYMBOL=630720&amp;VAR:INDEX=0"}</definedName>
    <definedName name="_1926__FDSAUDITLINK__" hidden="1">{"fdsup://directions/FAT Viewer?action=UPDATE&amp;creator=factset&amp;DYN_ARGS=TRUE&amp;DOC_NAME=FAT:FQL_AUDITING_CLIENT_TEMPLATE.FAT&amp;display_string=Audit&amp;VAR:KEY=HMDKDGFUVI&amp;VAR:QUERY=RkZfUkRfRVhQKENBTCw0MDU0MywsLCwp&amp;WINDOW=FIRST_POPUP&amp;HEIGHT=450&amp;WIDTH=450&amp;START_MAXIMI","ZED=FALSE&amp;VAR:CALENDAR=US&amp;VAR:SYMBOL=698538&amp;VAR:INDEX=0"}</definedName>
    <definedName name="_1927__FDSAUDITLINK__" hidden="1">{"fdsup://directions/FAT Viewer?action=UPDATE&amp;creator=factset&amp;DYN_ARGS=TRUE&amp;DOC_NAME=FAT:FQL_AUDITING_CLIENT_TEMPLATE.FAT&amp;display_string=Audit&amp;VAR:KEY=XEFUVIRUFI&amp;VAR:QUERY=RkZfUkRfRVhQKENBTCw0MDE3OCwsLCwp&amp;WINDOW=FIRST_POPUP&amp;HEIGHT=450&amp;WIDTH=450&amp;START_MAXIMI","ZED=FALSE&amp;VAR:CALENDAR=US&amp;VAR:SYMBOL=698538&amp;VAR:INDEX=0"}</definedName>
    <definedName name="_1928__FDSAUDITLINK__" hidden="1">{"fdsup://directions/FAT Viewer?action=UPDATE&amp;creator=factset&amp;DYN_ARGS=TRUE&amp;DOC_NAME=FAT:FQL_AUDITING_CLIENT_TEMPLATE.FAT&amp;display_string=Audit&amp;VAR:KEY=HYTMLEDUVS&amp;VAR:QUERY=RkZfUkRfRVhQKENBTCwzOTgxMywsLCwp&amp;WINDOW=FIRST_POPUP&amp;HEIGHT=450&amp;WIDTH=450&amp;START_MAXIMI","ZED=FALSE&amp;VAR:CALENDAR=US&amp;VAR:SYMBOL=698538&amp;VAR:INDEX=0"}</definedName>
    <definedName name="_1929__FDSAUDITLINK__" hidden="1">{"fdsup://directions/FAT Viewer?action=UPDATE&amp;creator=factset&amp;DYN_ARGS=TRUE&amp;DOC_NAME=FAT:FQL_AUDITING_CLIENT_TEMPLATE.FAT&amp;display_string=Audit&amp;VAR:KEY=DSRAFCZODS&amp;VAR:QUERY=RkZfUkRfRVhQKENBTCwzOTQ0NywsLCwp&amp;WINDOW=FIRST_POPUP&amp;HEIGHT=450&amp;WIDTH=450&amp;START_MAXIMI","ZED=FALSE&amp;VAR:CALENDAR=US&amp;VAR:SYMBOL=698538&amp;VAR:INDEX=0"}</definedName>
    <definedName name="_193__FDSAUDITLINK__" hidden="1">{"fdsup://directions/FAT%20Viewer?VAR:TM=NTMA&amp;VAR:PCT=0.909589&amp;VAR:Y0=2007&amp;VAR:Y1=2008&amp;VAR:V0=15.376873&amp;VAR:V1=13.886900&amp;VAR:V=15.229143&amp;VAR:AUDIT_ID=00000117&amp;VAR:DATE=20070202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Aggregates&amp;VAR:MEASURE=PE_MEAN&amp;VAR:CALC_MODE=PORTFOLIO&amp;VAR:CHGPERIOD=NA&amp;VAR:FQLFORMULA=FMA_PE&amp;VAR:CURRENCY=USD&amp;VAR:P=1","448.390100&amp;VAR:THRESH=||||||&amp;VAR:null=.html"}</definedName>
    <definedName name="_1930__FDSAUDITLINK__" hidden="1">{"fdsup://directions/FAT Viewer?action=UPDATE&amp;creator=factset&amp;DYN_ARGS=TRUE&amp;DOC_NAME=FAT:FQL_AUDITING_CLIENT_TEMPLATE.FAT&amp;display_string=Audit&amp;VAR:KEY=FODYBQZGBW&amp;VAR:QUERY=RkZfUkRfRVhQKENBTCwzOTA4MiwsLCwp&amp;WINDOW=FIRST_POPUP&amp;HEIGHT=450&amp;WIDTH=450&amp;START_MAXIMI","ZED=FALSE&amp;VAR:CALENDAR=US&amp;VAR:SYMBOL=698538&amp;VAR:INDEX=0"}</definedName>
    <definedName name="_1931__FDSAUDITLINK__" hidden="1">{"fdsup://directions/FAT Viewer?action=UPDATE&amp;creator=factset&amp;DYN_ARGS=TRUE&amp;DOC_NAME=FAT:FQL_AUDITING_CLIENT_TEMPLATE.FAT&amp;display_string=Audit&amp;VAR:KEY=LMDOJUJATK&amp;VAR:QUERY=RkZfUkRfRVhQKENBTCwzODcxNywsLCwp&amp;WINDOW=FIRST_POPUP&amp;HEIGHT=450&amp;WIDTH=450&amp;START_MAXIMI","ZED=FALSE&amp;VAR:CALENDAR=US&amp;VAR:SYMBOL=698538&amp;VAR:INDEX=0"}</definedName>
    <definedName name="_1932__FDSAUDITLINK__" hidden="1">{"fdsup://directions/FAT Viewer?action=UPDATE&amp;creator=factset&amp;DYN_ARGS=TRUE&amp;DOC_NAME=FAT:FQL_AUDITING_CLIENT_TEMPLATE.FAT&amp;display_string=Audit&amp;VAR:KEY=BCDOVGLIHM&amp;VAR:QUERY=RkZfUkRfRVhQKENBTCwzODM1MiwsLCwp&amp;WINDOW=FIRST_POPUP&amp;HEIGHT=450&amp;WIDTH=450&amp;START_MAXIMI","ZED=FALSE&amp;VAR:CALENDAR=US&amp;VAR:SYMBOL=698538&amp;VAR:INDEX=0"}</definedName>
    <definedName name="_1933__FDSAUDITLINK__" hidden="1">{"fdsup://directions/FAT Viewer?action=UPDATE&amp;creator=factset&amp;DYN_ARGS=TRUE&amp;DOC_NAME=FAT:FQL_AUDITING_CLIENT_TEMPLATE.FAT&amp;display_string=Audit&amp;VAR:KEY=VAVSHGNKLS&amp;VAR:QUERY=RkZfUkRfRVhQKENBTCwzNzk4NiwsLCwp&amp;WINDOW=FIRST_POPUP&amp;HEIGHT=450&amp;WIDTH=450&amp;START_MAXIMI","ZED=FALSE&amp;VAR:CALENDAR=US&amp;VAR:SYMBOL=698538&amp;VAR:INDEX=0"}</definedName>
    <definedName name="_1934__FDSAUDITLINK__" hidden="1">{"fdsup://directions/FAT Viewer?action=UPDATE&amp;creator=factset&amp;DYN_ARGS=TRUE&amp;DOC_NAME=FAT:FQL_AUDITING_CLIENT_TEMPLATE.FAT&amp;display_string=Audit&amp;VAR:KEY=BIZIJKTURI&amp;VAR:QUERY=RkZfUkRfRVhQKENBTCw0MDU0MywsLCwp&amp;WINDOW=FIRST_POPUP&amp;HEIGHT=450&amp;WIDTH=450&amp;START_MAXIMI","ZED=FALSE&amp;VAR:CALENDAR=US&amp;VAR:SYMBOL=474184&amp;VAR:INDEX=0"}</definedName>
    <definedName name="_1935__FDSAUDITLINK__" hidden="1">{"fdsup://directions/FAT Viewer?action=UPDATE&amp;creator=factset&amp;DYN_ARGS=TRUE&amp;DOC_NAME=FAT:FQL_AUDITING_CLIENT_TEMPLATE.FAT&amp;display_string=Audit&amp;VAR:KEY=BCFCJCDITY&amp;VAR:QUERY=RkZfUkRfRVhQKENBTCw0MDE3OCwsLCwp&amp;WINDOW=FIRST_POPUP&amp;HEIGHT=450&amp;WIDTH=450&amp;START_MAXIMI","ZED=FALSE&amp;VAR:CALENDAR=US&amp;VAR:SYMBOL=474184&amp;VAR:INDEX=0"}</definedName>
    <definedName name="_1936__FDSAUDITLINK__" hidden="1">{"fdsup://directions/FAT Viewer?action=UPDATE&amp;creator=factset&amp;DYN_ARGS=TRUE&amp;DOC_NAME=FAT:FQL_AUDITING_CLIENT_TEMPLATE.FAT&amp;display_string=Audit&amp;VAR:KEY=RUVIBOLGPQ&amp;VAR:QUERY=RkZfUkRfRVhQKENBTCw0MDU0MywsLCwp&amp;WINDOW=FIRST_POPUP&amp;HEIGHT=450&amp;WIDTH=450&amp;START_MAXIMI","ZED=FALSE&amp;VAR:CALENDAR=US&amp;VAR:SYMBOL=B0J7D9&amp;VAR:INDEX=0"}</definedName>
    <definedName name="_1937__FDSAUDITLINK__" hidden="1">{"fdsup://directions/FAT Viewer?action=UPDATE&amp;creator=factset&amp;DYN_ARGS=TRUE&amp;DOC_NAME=FAT:FQL_AUDITING_CLIENT_TEMPLATE.FAT&amp;display_string=Audit&amp;VAR:KEY=DQXADMHEVC&amp;VAR:QUERY=RkZfUkRfRVhQKENBTCw0MDE3OCwsLCxKUFkp&amp;WINDOW=FIRST_POPUP&amp;HEIGHT=450&amp;WIDTH=450&amp;START_MA","XIMIZED=FALSE&amp;VAR:CALENDAR=US&amp;VAR:SYMBOL=B0J7D9&amp;VAR:INDEX=0"}</definedName>
    <definedName name="_1938__FDSAUDITLINK__" hidden="1">{"fdsup://directions/FAT Viewer?action=UPDATE&amp;creator=factset&amp;DYN_ARGS=TRUE&amp;DOC_NAME=FAT:FQL_AUDITING_CLIENT_TEMPLATE.FAT&amp;display_string=Audit&amp;VAR:KEY=TOLORIHYHO&amp;VAR:QUERY=RkZfUkRfRVhQKENBTCwzOTgxMywsLCxKUFkp&amp;WINDOW=FIRST_POPUP&amp;HEIGHT=450&amp;WIDTH=450&amp;START_MA","XIMIZED=FALSE&amp;VAR:CALENDAR=US&amp;VAR:SYMBOL=B0J7D9&amp;VAR:INDEX=0"}</definedName>
    <definedName name="_1939__FDSAUDITLINK__" hidden="1">{"fdsup://directions/FAT Viewer?action=UPDATE&amp;creator=factset&amp;DYN_ARGS=TRUE&amp;DOC_NAME=FAT:FQL_AUDITING_CLIENT_TEMPLATE.FAT&amp;display_string=Audit&amp;VAR:KEY=JOZMPGZMJM&amp;VAR:QUERY=RkZfUkRfRVhQKENBTCwzOTQ0NywsLCxKUFkp&amp;WINDOW=FIRST_POPUP&amp;HEIGHT=450&amp;WIDTH=450&amp;START_MA","XIMIZED=FALSE&amp;VAR:CALENDAR=US&amp;VAR:SYMBOL=B0J7D9&amp;VAR:INDEX=0"}</definedName>
    <definedName name="_194__FDSAUDITLINK__" hidden="1">{"fdsup://directions/FAT%20Viewer?VAR:TM=NTMA&amp;VAR:PCT=0.928767&amp;VAR:Y0=2007&amp;VAR:Y1=2008&amp;VAR:V0=15.052644&amp;VAR:V1=13.544930&amp;VAR:V=14.934229&amp;VAR:AUDIT_ID=00000117&amp;VAR:DATE=20070126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Aggregates&amp;VAR:MEASURE=PE_MEAN&amp;VAR:CALC_MODE=PORTFOLIO&amp;VAR:CHGPERIOD=NA&amp;VAR:FQLFORMULA=FMA_PE&amp;VAR:CURRENCY=USD&amp;VAR:P=1","422.182400&amp;VAR:THRESH=||||||&amp;VAR:null=.html"}</definedName>
    <definedName name="_1940__FDSAUDITLINK__" hidden="1">{"fdsup://directions/FAT Viewer?action=UPDATE&amp;creator=factset&amp;DYN_ARGS=TRUE&amp;DOC_NAME=FAT:FQL_AUDITING_CLIENT_TEMPLATE.FAT&amp;display_string=Audit&amp;VAR:KEY=NABIRCXULI&amp;VAR:QUERY=RkZfUkRfRVhQKENBTCwzOTA4MiwsLCxKUFkp&amp;WINDOW=FIRST_POPUP&amp;HEIGHT=450&amp;WIDTH=450&amp;START_MA","XIMIZED=FALSE&amp;VAR:CALENDAR=US&amp;VAR:SYMBOL=B0J7D9&amp;VAR:INDEX=0"}</definedName>
    <definedName name="_1941__FDSAUDITLINK__" hidden="1">{"fdsup://directions/FAT Viewer?action=UPDATE&amp;creator=factset&amp;DYN_ARGS=TRUE&amp;DOC_NAME=FAT:FQL_AUDITING_CLIENT_TEMPLATE.FAT&amp;display_string=Audit&amp;VAR:KEY=PKNSHOFKFO&amp;VAR:QUERY=RkZfUkRfRVhQKENBTCwzODcxNywsLCxKUFkp&amp;WINDOW=FIRST_POPUP&amp;HEIGHT=450&amp;WIDTH=450&amp;START_MA","XIMIZED=FALSE&amp;VAR:CALENDAR=US&amp;VAR:SYMBOL=B0J7D9&amp;VAR:INDEX=0"}</definedName>
    <definedName name="_1942__FDSAUDITLINK__" hidden="1">{"fdsup://directions/FAT Viewer?action=UPDATE&amp;creator=factset&amp;DYN_ARGS=TRUE&amp;DOC_NAME=FAT:FQL_AUDITING_CLIENT_TEMPLATE.FAT&amp;display_string=Audit&amp;VAR:KEY=TEXUHKRIJS&amp;VAR:QUERY=RkZfUkRfRVhQKENBTCwzODM1MiwsLCxKUFkp&amp;WINDOW=FIRST_POPUP&amp;HEIGHT=450&amp;WIDTH=450&amp;START_MA","XIMIZED=FALSE&amp;VAR:CALENDAR=US&amp;VAR:SYMBOL=B0J7D9&amp;VAR:INDEX=0"}</definedName>
    <definedName name="_1943__FDSAUDITLINK__" hidden="1">{"fdsup://directions/FAT Viewer?action=UPDATE&amp;creator=factset&amp;DYN_ARGS=TRUE&amp;DOC_NAME=FAT:FQL_AUDITING_CLIENT_TEMPLATE.FAT&amp;display_string=Audit&amp;VAR:KEY=BMDYTORIHY&amp;VAR:QUERY=RkZfUkRfRVhQKENBTCwzNzk4NiwsLCxKUFkp&amp;WINDOW=FIRST_POPUP&amp;HEIGHT=450&amp;WIDTH=450&amp;START_MA","XIMIZED=FALSE&amp;VAR:CALENDAR=US&amp;VAR:SYMBOL=B0J7D9&amp;VAR:INDEX=0"}</definedName>
    <definedName name="_1944__FDSAUDITLINK__" hidden="1">{"fdsup://directions/FAT Viewer?action=UPDATE&amp;creator=factset&amp;DYN_ARGS=TRUE&amp;DOC_NAME=FAT:FQL_AUDITING_CLIENT_TEMPLATE.FAT&amp;display_string=Audit&amp;VAR:KEY=ZSZUFATADA&amp;VAR:QUERY=RkZfUkRfRVhQKENBTCw0MDU0MywsLCwp&amp;WINDOW=FIRST_POPUP&amp;HEIGHT=450&amp;WIDTH=450&amp;START_MAXIMI","ZED=FALSE&amp;VAR:CALENDAR=US&amp;VAR:SYMBOL=AMGN&amp;VAR:INDEX=0"}</definedName>
    <definedName name="_1945__FDSAUDITLINK__" hidden="1">{"fdsup://directions/FAT Viewer?action=UPDATE&amp;creator=factset&amp;DYN_ARGS=TRUE&amp;DOC_NAME=FAT:FQL_AUDITING_CLIENT_TEMPLATE.FAT&amp;display_string=Audit&amp;VAR:KEY=NETMBUPAPS&amp;VAR:QUERY=RkZfUkRfRVhQKENBTCw0MDE3OCwsLCwp&amp;WINDOW=FIRST_POPUP&amp;HEIGHT=450&amp;WIDTH=450&amp;START_MAXIMI","ZED=FALSE&amp;VAR:CALENDAR=US&amp;VAR:SYMBOL=AMGN&amp;VAR:INDEX=0"}</definedName>
    <definedName name="_1946__FDSAUDITLINK__" hidden="1">{"fdsup://directions/FAT Viewer?action=UPDATE&amp;creator=factset&amp;DYN_ARGS=TRUE&amp;DOC_NAME=FAT:FQL_AUDITING_CLIENT_TEMPLATE.FAT&amp;display_string=Audit&amp;VAR:KEY=BWFKBKBAJS&amp;VAR:QUERY=RkZfUkRfRVhQKENBTCwzOTgxMywsLCwp&amp;WINDOW=FIRST_POPUP&amp;HEIGHT=450&amp;WIDTH=450&amp;START_MAXIMI","ZED=FALSE&amp;VAR:CALENDAR=US&amp;VAR:SYMBOL=AMGN&amp;VAR:INDEX=0"}</definedName>
    <definedName name="_1947__FDSAUDITLINK__" hidden="1">{"fdsup://directions/FAT Viewer?action=UPDATE&amp;creator=factset&amp;DYN_ARGS=TRUE&amp;DOC_NAME=FAT:FQL_AUDITING_CLIENT_TEMPLATE.FAT&amp;display_string=Audit&amp;VAR:KEY=JGFKDSPYPQ&amp;VAR:QUERY=RkZfUkRfRVhQKENBTCwzOTQ0NywsLCwp&amp;WINDOW=FIRST_POPUP&amp;HEIGHT=450&amp;WIDTH=450&amp;START_MAXIMI","ZED=FALSE&amp;VAR:CALENDAR=US&amp;VAR:SYMBOL=AMGN&amp;VAR:INDEX=0"}</definedName>
    <definedName name="_1948__FDSAUDITLINK__" hidden="1">{"fdsup://directions/FAT Viewer?action=UPDATE&amp;creator=factset&amp;DYN_ARGS=TRUE&amp;DOC_NAME=FAT:FQL_AUDITING_CLIENT_TEMPLATE.FAT&amp;display_string=Audit&amp;VAR:KEY=PITSZWZGJQ&amp;VAR:QUERY=RkZfUkRfRVhQKENBTCwzOTA4MiwsLCwp&amp;WINDOW=FIRST_POPUP&amp;HEIGHT=450&amp;WIDTH=450&amp;START_MAXIMI","ZED=FALSE&amp;VAR:CALENDAR=US&amp;VAR:SYMBOL=AMGN&amp;VAR:INDEX=0"}</definedName>
    <definedName name="_1949__FDSAUDITLINK__" hidden="1">{"fdsup://directions/FAT Viewer?action=UPDATE&amp;creator=factset&amp;DYN_ARGS=TRUE&amp;DOC_NAME=FAT:FQL_AUDITING_CLIENT_TEMPLATE.FAT&amp;display_string=Audit&amp;VAR:KEY=HKBWVOJSHI&amp;VAR:QUERY=RkZfUkRfRVhQKENBTCwzODcxNywsLCwp&amp;WINDOW=FIRST_POPUP&amp;HEIGHT=450&amp;WIDTH=450&amp;START_MAXIMI","ZED=FALSE&amp;VAR:CALENDAR=US&amp;VAR:SYMBOL=AMGN&amp;VAR:INDEX=0"}</definedName>
    <definedName name="_195__FDSAUDITLINK__" hidden="1">{"fdsup://directions/FAT%20Viewer?VAR:TM=NTMA&amp;VAR:PCT=0.947945&amp;VAR:Y0=2007&amp;VAR:Y1=2008&amp;VAR:V0=15.098285&amp;VAR:V1=13.692316&amp;VAR:V=15.018012&amp;VAR:AUDIT_ID=00000117&amp;VAR:DATE=20070119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Aggregates&amp;VAR:MEASURE=PE_MEAN&amp;VAR:CALC_MODE=PORTFOLIO&amp;VAR:CHGPERIOD=NA&amp;VAR:FQLFORMULA=FMA_PE&amp;VAR:CURRENCY=USD&amp;VAR:P=1","430.503700&amp;VAR:THRESH=||||||&amp;VAR:null=.html"}</definedName>
    <definedName name="_1950__FDSAUDITLINK__" hidden="1">{"fdsup://directions/FAT Viewer?action=UPDATE&amp;creator=factset&amp;DYN_ARGS=TRUE&amp;DOC_NAME=FAT:FQL_AUDITING_CLIENT_TEMPLATE.FAT&amp;display_string=Audit&amp;VAR:KEY=TUHABOXUJS&amp;VAR:QUERY=RkZfUkRfRVhQKENBTCwzODM1MiwsLCwp&amp;WINDOW=FIRST_POPUP&amp;HEIGHT=450&amp;WIDTH=450&amp;START_MAXIMI","ZED=FALSE&amp;VAR:CALENDAR=US&amp;VAR:SYMBOL=AMGN&amp;VAR:INDEX=0"}</definedName>
    <definedName name="_1951__FDSAUDITLINK__" hidden="1">{"fdsup://directions/FAT Viewer?action=UPDATE&amp;creator=factset&amp;DYN_ARGS=TRUE&amp;DOC_NAME=FAT:FQL_AUDITING_CLIENT_TEMPLATE.FAT&amp;display_string=Audit&amp;VAR:KEY=LIRCBIRMZO&amp;VAR:QUERY=RkZfUkRfRVhQKENBTCw0MDU0MywsLCwp&amp;WINDOW=FIRST_POPUP&amp;HEIGHT=450&amp;WIDTH=450&amp;START_MAXIMI","ZED=FALSE&amp;VAR:CALENDAR=US&amp;VAR:SYMBOL=ABT&amp;VAR:INDEX=0"}</definedName>
    <definedName name="_1952__FDSAUDITLINK__" hidden="1">{"fdsup://directions/FAT Viewer?action=UPDATE&amp;creator=factset&amp;DYN_ARGS=TRUE&amp;DOC_NAME=FAT:FQL_AUDITING_CLIENT_TEMPLATE.FAT&amp;display_string=Audit&amp;VAR:KEY=FKDMVIHOJW&amp;VAR:QUERY=RkZfUkRfRVhQKENBTCw0MDE3OCwsLCwp&amp;WINDOW=FIRST_POPUP&amp;HEIGHT=450&amp;WIDTH=450&amp;START_MAXIMI","ZED=FALSE&amp;VAR:CALENDAR=US&amp;VAR:SYMBOL=ABT&amp;VAR:INDEX=0"}</definedName>
    <definedName name="_1953__FDSAUDITLINK__" hidden="1">{"fdsup://directions/FAT Viewer?action=UPDATE&amp;creator=factset&amp;DYN_ARGS=TRUE&amp;DOC_NAME=FAT:FQL_AUDITING_CLIENT_TEMPLATE.FAT&amp;display_string=Audit&amp;VAR:KEY=DEROHMZOBS&amp;VAR:QUERY=RkZfUkRfRVhQKENBTCwzOTgxMywsLCwp&amp;WINDOW=FIRST_POPUP&amp;HEIGHT=450&amp;WIDTH=450&amp;START_MAXIMI","ZED=FALSE&amp;VAR:CALENDAR=US&amp;VAR:SYMBOL=ABT&amp;VAR:INDEX=0"}</definedName>
    <definedName name="_1954__FDSAUDITLINK__" hidden="1">{"fdsup://directions/FAT Viewer?action=UPDATE&amp;creator=factset&amp;DYN_ARGS=TRUE&amp;DOC_NAME=FAT:FQL_AUDITING_CLIENT_TEMPLATE.FAT&amp;display_string=Audit&amp;VAR:KEY=FSDQDMTKFI&amp;VAR:QUERY=RkZfUkRfRVhQKENBTCwzOTQ0NywsLCwp&amp;WINDOW=FIRST_POPUP&amp;HEIGHT=450&amp;WIDTH=450&amp;START_MAXIMI","ZED=FALSE&amp;VAR:CALENDAR=US&amp;VAR:SYMBOL=ABT&amp;VAR:INDEX=0"}</definedName>
    <definedName name="_1955__FDSAUDITLINK__" hidden="1">{"fdsup://directions/FAT Viewer?action=UPDATE&amp;creator=factset&amp;DYN_ARGS=TRUE&amp;DOC_NAME=FAT:FQL_AUDITING_CLIENT_TEMPLATE.FAT&amp;display_string=Audit&amp;VAR:KEY=DKXQFUXYNQ&amp;VAR:QUERY=RkZfUkRfRVhQKENBTCwzOTA4MiwsLCwp&amp;WINDOW=FIRST_POPUP&amp;HEIGHT=450&amp;WIDTH=450&amp;START_MAXIMI","ZED=FALSE&amp;VAR:CALENDAR=US&amp;VAR:SYMBOL=ABT&amp;VAR:INDEX=0"}</definedName>
    <definedName name="_1956__FDSAUDITLINK__" hidden="1">{"fdsup://directions/FAT Viewer?action=UPDATE&amp;creator=factset&amp;DYN_ARGS=TRUE&amp;DOC_NAME=FAT:FQL_AUDITING_CLIENT_TEMPLATE.FAT&amp;display_string=Audit&amp;VAR:KEY=DCTAJGPGHM&amp;VAR:QUERY=RkZfUkRfRVhQKENBTCwzODcxNywsLCwp&amp;WINDOW=FIRST_POPUP&amp;HEIGHT=450&amp;WIDTH=450&amp;START_MAXIMI","ZED=FALSE&amp;VAR:CALENDAR=US&amp;VAR:SYMBOL=ABT&amp;VAR:INDEX=0"}</definedName>
    <definedName name="_1957__FDSAUDITLINK__" hidden="1">{"fdsup://directions/FAT Viewer?action=UPDATE&amp;creator=factset&amp;DYN_ARGS=TRUE&amp;DOC_NAME=FAT:FQL_AUDITING_CLIENT_TEMPLATE.FAT&amp;display_string=Audit&amp;VAR:KEY=DWROLQJYRO&amp;VAR:QUERY=RkZfUkRfRVhQKENBTCwzODM1MiwsLCwp&amp;WINDOW=FIRST_POPUP&amp;HEIGHT=450&amp;WIDTH=450&amp;START_MAXIMI","ZED=FALSE&amp;VAR:CALENDAR=US&amp;VAR:SYMBOL=ABT&amp;VAR:INDEX=0"}</definedName>
    <definedName name="_1958__FDSAUDITLINK__" hidden="1">{"fdsup://directions/FAT Viewer?action=UPDATE&amp;creator=factset&amp;DYN_ARGS=TRUE&amp;DOC_NAME=FAT:FQL_AUDITING_CLIENT_TEMPLATE.FAT&amp;display_string=Audit&amp;VAR:KEY=JOTAHWPUXS&amp;VAR:QUERY=RkZfUkRfRVhQKENBTCw0MDU0MywsLCwp&amp;WINDOW=FIRST_POPUP&amp;HEIGHT=450&amp;WIDTH=450&amp;START_MAXIMI","ZED=FALSE&amp;VAR:CALENDAR=US&amp;VAR:SYMBOL=687044&amp;VAR:INDEX=0"}</definedName>
    <definedName name="_1959__FDSAUDITLINK__" hidden="1">{"fdsup://directions/FAT Viewer?action=UPDATE&amp;creator=factset&amp;DYN_ARGS=TRUE&amp;DOC_NAME=FAT:FQL_AUDITING_CLIENT_TEMPLATE.FAT&amp;display_string=Audit&amp;VAR:KEY=JSFKTSLWZU&amp;VAR:QUERY=RkZfUkRfRVhQKENBTCw0MDE3OCwsLCwp&amp;WINDOW=FIRST_POPUP&amp;HEIGHT=450&amp;WIDTH=450&amp;START_MAXIMI","ZED=FALSE&amp;VAR:CALENDAR=US&amp;VAR:SYMBOL=687044&amp;VAR:INDEX=0"}</definedName>
    <definedName name="_196__FDSAUDITLINK__" hidden="1">{"fdsup://directions/FAT%20Viewer?VAR:TM=NTMA&amp;VAR:PCT=0.967123&amp;VAR:Y0=2007&amp;VAR:Y1=2008&amp;VAR:V0=15.062906&amp;VAR:V1=13.677268&amp;VAR:V=15.012902&amp;VAR:AUDIT_ID=00000117&amp;VAR:DATE=20070112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Aggregates&amp;VAR:MEASURE=PE_MEAN&amp;VAR:CALC_MODE=PORTFOLIO&amp;VAR:CHGPERIOD=NA&amp;VAR:FQLFORMULA=FMA_PE&amp;VAR:CURRENCY=USD&amp;VAR:P=1","430.732700&amp;VAR:THRESH=||||||&amp;VAR:null=.html"}</definedName>
    <definedName name="_1960__FDSAUDITLINK__" hidden="1">{"fdsup://directions/FAT Viewer?action=UPDATE&amp;creator=factset&amp;DYN_ARGS=TRUE&amp;DOC_NAME=FAT:FQL_AUDITING_CLIENT_TEMPLATE.FAT&amp;display_string=Audit&amp;VAR:KEY=BWLSXWFQJQ&amp;VAR:QUERY=RkZfUkRfRVhQKENBTCwzOTgxMywsLCwp&amp;WINDOW=FIRST_POPUP&amp;HEIGHT=450&amp;WIDTH=450&amp;START_MAXIMI","ZED=FALSE&amp;VAR:CALENDAR=US&amp;VAR:SYMBOL=687044&amp;VAR:INDEX=0"}</definedName>
    <definedName name="_1961__FDSAUDITLINK__" hidden="1">{"fdsup://directions/FAT Viewer?action=UPDATE&amp;creator=factset&amp;DYN_ARGS=TRUE&amp;DOC_NAME=FAT:FQL_AUDITING_CLIENT_TEMPLATE.FAT&amp;display_string=Audit&amp;VAR:KEY=RSBIBMVATE&amp;VAR:QUERY=RkZfUkRfRVhQKENBTCwzOTQ0NywsLCwp&amp;WINDOW=FIRST_POPUP&amp;HEIGHT=450&amp;WIDTH=450&amp;START_MAXIMI","ZED=FALSE&amp;VAR:CALENDAR=US&amp;VAR:SYMBOL=687044&amp;VAR:INDEX=0"}</definedName>
    <definedName name="_1962__FDSAUDITLINK__" hidden="1">{"fdsup://directions/FAT Viewer?action=UPDATE&amp;creator=factset&amp;DYN_ARGS=TRUE&amp;DOC_NAME=FAT:FQL_AUDITING_CLIENT_TEMPLATE.FAT&amp;display_string=Audit&amp;VAR:KEY=BMBQFCROBS&amp;VAR:QUERY=RkZfUkRfRVhQKENBTCwzOTA4MiwsLCwp&amp;WINDOW=FIRST_POPUP&amp;HEIGHT=450&amp;WIDTH=450&amp;START_MAXIMI","ZED=FALSE&amp;VAR:CALENDAR=US&amp;VAR:SYMBOL=687044&amp;VAR:INDEX=0"}</definedName>
    <definedName name="_1963__FDSAUDITLINK__" hidden="1">{"fdsup://directions/FAT Viewer?action=UPDATE&amp;creator=factset&amp;DYN_ARGS=TRUE&amp;DOC_NAME=FAT:FQL_AUDITING_CLIENT_TEMPLATE.FAT&amp;display_string=Audit&amp;VAR:KEY=PSVODMRWBK&amp;VAR:QUERY=RkZfUkRfRVhQKENBTCwzODcxNywsLCwp&amp;WINDOW=FIRST_POPUP&amp;HEIGHT=450&amp;WIDTH=450&amp;START_MAXIMI","ZED=FALSE&amp;VAR:CALENDAR=US&amp;VAR:SYMBOL=687044&amp;VAR:INDEX=0"}</definedName>
    <definedName name="_1964__FDSAUDITLINK__" hidden="1">{"fdsup://directions/FAT Viewer?action=UPDATE&amp;creator=factset&amp;DYN_ARGS=TRUE&amp;DOC_NAME=FAT:FQL_AUDITING_CLIENT_TEMPLATE.FAT&amp;display_string=Audit&amp;VAR:KEY=XETOTYBIDC&amp;VAR:QUERY=RkZfUkRfRVhQKENBTCwzODM1MiwsLCwp&amp;WINDOW=FIRST_POPUP&amp;HEIGHT=450&amp;WIDTH=450&amp;START_MAXIMI","ZED=FALSE&amp;VAR:CALENDAR=US&amp;VAR:SYMBOL=687044&amp;VAR:INDEX=0"}</definedName>
    <definedName name="_1965__FDSAUDITLINK__" hidden="1">{"fdsup://directions/FAT Viewer?action=UPDATE&amp;creator=factset&amp;DYN_ARGS=TRUE&amp;DOC_NAME=FAT:FQL_AUDITING_CLIENT_TEMPLATE.FAT&amp;display_string=Audit&amp;VAR:KEY=ZYDGDSXIPY&amp;VAR:QUERY=RkZfUkRfRVhQKENBTCwzNzk4NiwsLCwp&amp;WINDOW=FIRST_POPUP&amp;HEIGHT=450&amp;WIDTH=450&amp;START_MAXIMI","ZED=FALSE&amp;VAR:CALENDAR=US&amp;VAR:SYMBOL=687044&amp;VAR:INDEX=0"}</definedName>
    <definedName name="_1966__FDSAUDITLINK__" hidden="1">{"fdsup://directions/FAT Viewer?action=UPDATE&amp;creator=factset&amp;DYN_ARGS=TRUE&amp;DOC_NAME=FAT:FQL_AUDITING_CLIENT_TEMPLATE.FAT&amp;display_string=Audit&amp;VAR:KEY=RQPKHUZILY&amp;VAR:QUERY=RkZfUkRfRVhQKENBTCw0MDU0MywsLCwp&amp;WINDOW=FIRST_POPUP&amp;HEIGHT=450&amp;WIDTH=450&amp;START_MAXIMI","ZED=FALSE&amp;VAR:CALENDAR=US&amp;VAR:SYMBOL=BMY&amp;VAR:INDEX=0"}</definedName>
    <definedName name="_1967__FDSAUDITLINK__" hidden="1">{"fdsup://directions/FAT Viewer?action=UPDATE&amp;creator=factset&amp;DYN_ARGS=TRUE&amp;DOC_NAME=FAT:FQL_AUDITING_CLIENT_TEMPLATE.FAT&amp;display_string=Audit&amp;VAR:KEY=ZKHEPOXWFO&amp;VAR:QUERY=RkZfUkRfRVhQKENBTCw0MDE3OCwsLCwp&amp;WINDOW=FIRST_POPUP&amp;HEIGHT=450&amp;WIDTH=450&amp;START_MAXIMI","ZED=FALSE&amp;VAR:CALENDAR=US&amp;VAR:SYMBOL=BMY&amp;VAR:INDEX=0"}</definedName>
    <definedName name="_1968__FDSAUDITLINK__" hidden="1">{"fdsup://directions/FAT Viewer?action=UPDATE&amp;creator=factset&amp;DYN_ARGS=TRUE&amp;DOC_NAME=FAT:FQL_AUDITING_CLIENT_TEMPLATE.FAT&amp;display_string=Audit&amp;VAR:KEY=NWVSBKDCPE&amp;VAR:QUERY=RkZfUkRfRVhQKENBTCwzOTgxMywsLCwp&amp;WINDOW=FIRST_POPUP&amp;HEIGHT=450&amp;WIDTH=450&amp;START_MAXIMI","ZED=FALSE&amp;VAR:CALENDAR=US&amp;VAR:SYMBOL=BMY&amp;VAR:INDEX=0"}</definedName>
    <definedName name="_1969__FDSAUDITLINK__" hidden="1">{"fdsup://directions/FAT Viewer?action=UPDATE&amp;creator=factset&amp;DYN_ARGS=TRUE&amp;DOC_NAME=FAT:FQL_AUDITING_CLIENT_TEMPLATE.FAT&amp;display_string=Audit&amp;VAR:KEY=RSXSPYNOFE&amp;VAR:QUERY=RkZfUkRfRVhQKENBTCwzOTQ0NywsLCwp&amp;WINDOW=FIRST_POPUP&amp;HEIGHT=450&amp;WIDTH=450&amp;START_MAXIMI","ZED=FALSE&amp;VAR:CALENDAR=US&amp;VAR:SYMBOL=BMY&amp;VAR:INDEX=0"}</definedName>
    <definedName name="_197__FDSAUDITLINK__" hidden="1">{"fdsup://directions/FAT%20Viewer?VAR:TM=NTMA&amp;VAR:PCT=0.986301&amp;VAR:Y0=2007&amp;VAR:Y1=2008&amp;VAR:V0=14.795378&amp;VAR:V1=13.454315&amp;VAR:V=14.775204&amp;VAR:AUDIT_ID=00000117&amp;VAR:DATE=20070105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Aggregates&amp;VAR:MEASURE=PE_MEAN&amp;VAR:CALC_MODE=PORTFOLIO&amp;VAR:CHGPERIOD=NA&amp;VAR:FQLFORMULA=FMA_PE&amp;VAR:CURRENCY=USD&amp;VAR:P=1","409.707000&amp;VAR:THRESH=||||||&amp;VAR:null=.html"}</definedName>
    <definedName name="_1970__FDSAUDITLINK__" hidden="1">{"fdsup://directions/FAT Viewer?action=UPDATE&amp;creator=factset&amp;DYN_ARGS=TRUE&amp;DOC_NAME=FAT:FQL_AUDITING_CLIENT_TEMPLATE.FAT&amp;display_string=Audit&amp;VAR:KEY=LKDOVYBADY&amp;VAR:QUERY=RkZfUkRfRVhQKENBTCwzOTA4MiwsLCwp&amp;WINDOW=FIRST_POPUP&amp;HEIGHT=450&amp;WIDTH=450&amp;START_MAXIMI","ZED=FALSE&amp;VAR:CALENDAR=US&amp;VAR:SYMBOL=BMY&amp;VAR:INDEX=0"}</definedName>
    <definedName name="_1971__FDSAUDITLINK__" hidden="1">{"fdsup://directions/FAT Viewer?action=UPDATE&amp;creator=factset&amp;DYN_ARGS=TRUE&amp;DOC_NAME=FAT:FQL_AUDITING_CLIENT_TEMPLATE.FAT&amp;display_string=Audit&amp;VAR:KEY=LQFUHMHSHG&amp;VAR:QUERY=RkZfUkRfRVhQKENBTCwzODcxNywsLCwp&amp;WINDOW=FIRST_POPUP&amp;HEIGHT=450&amp;WIDTH=450&amp;START_MAXIMI","ZED=FALSE&amp;VAR:CALENDAR=US&amp;VAR:SYMBOL=BMY&amp;VAR:INDEX=0"}</definedName>
    <definedName name="_1972__FDSAUDITLINK__" hidden="1">{"fdsup://directions/FAT Viewer?action=UPDATE&amp;creator=factset&amp;DYN_ARGS=TRUE&amp;DOC_NAME=FAT:FQL_AUDITING_CLIENT_TEMPLATE.FAT&amp;display_string=Audit&amp;VAR:KEY=FQBKHMBUDK&amp;VAR:QUERY=RkZfUkRfRVhQKENBTCwzODM1MiwsLCwp&amp;WINDOW=FIRST_POPUP&amp;HEIGHT=450&amp;WIDTH=450&amp;START_MAXIMI","ZED=FALSE&amp;VAR:CALENDAR=US&amp;VAR:SYMBOL=BMY&amp;VAR:INDEX=0"}</definedName>
    <definedName name="_1973__FDSAUDITLINK__" hidden="1">{"fdsup://directions/FAT Viewer?action=UPDATE&amp;creator=factset&amp;DYN_ARGS=TRUE&amp;DOC_NAME=FAT:FQL_AUDITING_CLIENT_TEMPLATE.FAT&amp;display_string=Audit&amp;VAR:KEY=BOHSRQTWRY&amp;VAR:QUERY=RkZfUkRfRVhQKENBTCw0MDU0MywsLCwp&amp;WINDOW=FIRST_POPUP&amp;HEIGHT=450&amp;WIDTH=450&amp;START_MAXIMI","ZED=FALSE&amp;VAR:CALENDAR=US&amp;VAR:SYMBOL=LLY&amp;VAR:INDEX=0"}</definedName>
    <definedName name="_1974__FDSAUDITLINK__" hidden="1">{"fdsup://directions/FAT Viewer?action=UPDATE&amp;creator=factset&amp;DYN_ARGS=TRUE&amp;DOC_NAME=FAT:FQL_AUDITING_CLIENT_TEMPLATE.FAT&amp;display_string=Audit&amp;VAR:KEY=BEDERGXQVO&amp;VAR:QUERY=RkZfUkRfRVhQKENBTCw0MDE3OCwsLCwp&amp;WINDOW=FIRST_POPUP&amp;HEIGHT=450&amp;WIDTH=450&amp;START_MAXIMI","ZED=FALSE&amp;VAR:CALENDAR=US&amp;VAR:SYMBOL=LLY&amp;VAR:INDEX=0"}</definedName>
    <definedName name="_1975__FDSAUDITLINK__" hidden="1">{"fdsup://directions/FAT Viewer?action=UPDATE&amp;creator=factset&amp;DYN_ARGS=TRUE&amp;DOC_NAME=FAT:FQL_AUDITING_CLIENT_TEMPLATE.FAT&amp;display_string=Audit&amp;VAR:KEY=RCRMLCNWPG&amp;VAR:QUERY=RkZfUkRfRVhQKENBTCwzOTgxMywsLCwp&amp;WINDOW=FIRST_POPUP&amp;HEIGHT=450&amp;WIDTH=450&amp;START_MAXIMI","ZED=FALSE&amp;VAR:CALENDAR=US&amp;VAR:SYMBOL=LLY&amp;VAR:INDEX=0"}</definedName>
    <definedName name="_1976__FDSAUDITLINK__" hidden="1">{"fdsup://directions/FAT Viewer?action=UPDATE&amp;creator=factset&amp;DYN_ARGS=TRUE&amp;DOC_NAME=FAT:FQL_AUDITING_CLIENT_TEMPLATE.FAT&amp;display_string=Audit&amp;VAR:KEY=HEPKDCHMJW&amp;VAR:QUERY=RkZfUkRfRVhQKENBTCwzOTQ0NywsLCwp&amp;WINDOW=FIRST_POPUP&amp;HEIGHT=450&amp;WIDTH=450&amp;START_MAXIMI","ZED=FALSE&amp;VAR:CALENDAR=US&amp;VAR:SYMBOL=LLY&amp;VAR:INDEX=0"}</definedName>
    <definedName name="_1977__FDSAUDITLINK__" hidden="1">{"fdsup://directions/FAT Viewer?action=UPDATE&amp;creator=factset&amp;DYN_ARGS=TRUE&amp;DOC_NAME=FAT:FQL_AUDITING_CLIENT_TEMPLATE.FAT&amp;display_string=Audit&amp;VAR:KEY=FENANCDSZW&amp;VAR:QUERY=RkZfUkRfRVhQKENBTCwzOTA4MiwsLCwp&amp;WINDOW=FIRST_POPUP&amp;HEIGHT=450&amp;WIDTH=450&amp;START_MAXIMI","ZED=FALSE&amp;VAR:CALENDAR=US&amp;VAR:SYMBOL=LLY&amp;VAR:INDEX=0"}</definedName>
    <definedName name="_1978__FDSAUDITLINK__" hidden="1">{"fdsup://directions/FAT Viewer?action=UPDATE&amp;creator=factset&amp;DYN_ARGS=TRUE&amp;DOC_NAME=FAT:FQL_AUDITING_CLIENT_TEMPLATE.FAT&amp;display_string=Audit&amp;VAR:KEY=BUFUPIJOPY&amp;VAR:QUERY=RkZfUkRfRVhQKENBTCwzODcxNywsLCwp&amp;WINDOW=FIRST_POPUP&amp;HEIGHT=450&amp;WIDTH=450&amp;START_MAXIMI","ZED=FALSE&amp;VAR:CALENDAR=US&amp;VAR:SYMBOL=LLY&amp;VAR:INDEX=0"}</definedName>
    <definedName name="_1979__FDSAUDITLINK__" hidden="1">{"fdsup://directions/FAT Viewer?action=UPDATE&amp;creator=factset&amp;DYN_ARGS=TRUE&amp;DOC_NAME=FAT:FQL_AUDITING_CLIENT_TEMPLATE.FAT&amp;display_string=Audit&amp;VAR:KEY=FITARQDYHC&amp;VAR:QUERY=RkZfUkRfRVhQKENBTCwzODM1MiwsLCwp&amp;WINDOW=FIRST_POPUP&amp;HEIGHT=450&amp;WIDTH=450&amp;START_MAXIMI","ZED=FALSE&amp;VAR:CALENDAR=US&amp;VAR:SYMBOL=LLY&amp;VAR:INDEX=0"}</definedName>
    <definedName name="_198__FDSAUDITLINK__" hidden="1">{"fdsup://directions/FAT%20Viewer?VAR:TM=NTMA&amp;VAR:PCT=0.005479&amp;VAR:Y0=2006&amp;VAR:Y1=2007&amp;VAR:V0=16.238012&amp;VAR:V1=14.898939&amp;VAR:V=14.905674&amp;VAR:AUDIT_ID=00000117&amp;VAR:DATE=20061229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Aggregates&amp;VAR:MEASURE=PE_MEAN&amp;VAR:CALC_MODE=PORTFOLIO&amp;VAR:CHGPERIOD=NA&amp;VAR:FQLFORMULA=FMA_PE&amp;VAR:CURRENCY=USD&amp;VAR:P=1","418.300500&amp;VAR:THRESH=||||||&amp;VAR:null=.html"}</definedName>
    <definedName name="_1980__FDSAUDITLINK__" hidden="1">{"fdsup://directions/FAT Viewer?action=UPDATE&amp;creator=factset&amp;DYN_ARGS=TRUE&amp;DOC_NAME=FAT:FQL_AUDITING_CLIENT_TEMPLATE.FAT&amp;display_string=Audit&amp;VAR:KEY=HCLIXKLATC&amp;VAR:QUERY=RkZfUkRfRVhQKENBTCw0MDU0MywsLCwp&amp;WINDOW=FIRST_POPUP&amp;HEIGHT=450&amp;WIDTH=450&amp;START_MAXIMI","ZED=FALSE&amp;VAR:CALENDAR=US&amp;VAR:SYMBOL=506921&amp;VAR:INDEX=0"}</definedName>
    <definedName name="_1981__FDSAUDITLINK__" hidden="1">{"fdsup://directions/FAT Viewer?action=UPDATE&amp;creator=factset&amp;DYN_ARGS=TRUE&amp;DOC_NAME=FAT:FQL_AUDITING_CLIENT_TEMPLATE.FAT&amp;display_string=Audit&amp;VAR:KEY=ZSRUDMXUFC&amp;VAR:QUERY=RkZfUkRfRVhQKENBTCw0MDE3OCwsLCwp&amp;WINDOW=FIRST_POPUP&amp;HEIGHT=450&amp;WIDTH=450&amp;START_MAXIMI","ZED=FALSE&amp;VAR:CALENDAR=US&amp;VAR:SYMBOL=506921&amp;VAR:INDEX=0"}</definedName>
    <definedName name="_1982__FDSAUDITLINK__" hidden="1">{"fdsup://directions/FAT Viewer?action=UPDATE&amp;creator=factset&amp;DYN_ARGS=TRUE&amp;DOC_NAME=FAT:FQL_AUDITING_CLIENT_TEMPLATE.FAT&amp;display_string=Audit&amp;VAR:KEY=RAHQNINYXK&amp;VAR:QUERY=RkZfUkRfRVhQKENBTCwzOTgxMywsLCwp&amp;WINDOW=FIRST_POPUP&amp;HEIGHT=450&amp;WIDTH=450&amp;START_MAXIMI","ZED=FALSE&amp;VAR:CALENDAR=US&amp;VAR:SYMBOL=506921&amp;VAR:INDEX=0"}</definedName>
    <definedName name="_1983__FDSAUDITLINK__" hidden="1">{"fdsup://directions/FAT Viewer?action=UPDATE&amp;creator=factset&amp;DYN_ARGS=TRUE&amp;DOC_NAME=FAT:FQL_AUDITING_CLIENT_TEMPLATE.FAT&amp;display_string=Audit&amp;VAR:KEY=RWDWLABEJW&amp;VAR:QUERY=RkZfUkRfRVhQKENBTCwzOTQ0NywsLCwp&amp;WINDOW=FIRST_POPUP&amp;HEIGHT=450&amp;WIDTH=450&amp;START_MAXIMI","ZED=FALSE&amp;VAR:CALENDAR=US&amp;VAR:SYMBOL=506921&amp;VAR:INDEX=0"}</definedName>
    <definedName name="_1984__FDSAUDITLINK__" hidden="1">{"fdsup://directions/FAT Viewer?action=UPDATE&amp;creator=factset&amp;DYN_ARGS=TRUE&amp;DOC_NAME=FAT:FQL_AUDITING_CLIENT_TEMPLATE.FAT&amp;display_string=Audit&amp;VAR:KEY=FGJCBIHEHA&amp;VAR:QUERY=RkZfUkRfRVhQKENBTCwzOTA4MiwsLCwp&amp;WINDOW=FIRST_POPUP&amp;HEIGHT=450&amp;WIDTH=450&amp;START_MAXIMI","ZED=FALSE&amp;VAR:CALENDAR=US&amp;VAR:SYMBOL=506921&amp;VAR:INDEX=0"}</definedName>
    <definedName name="_1985__FDSAUDITLINK__" hidden="1">{"fdsup://directions/FAT Viewer?action=UPDATE&amp;creator=factset&amp;DYN_ARGS=TRUE&amp;DOC_NAME=FAT:FQL_AUDITING_CLIENT_TEMPLATE.FAT&amp;display_string=Audit&amp;VAR:KEY=BYZCRITIBW&amp;VAR:QUERY=RkZfUkRfRVhQKENBTCwzODcxNywsLCwp&amp;WINDOW=FIRST_POPUP&amp;HEIGHT=450&amp;WIDTH=450&amp;START_MAXIMI","ZED=FALSE&amp;VAR:CALENDAR=US&amp;VAR:SYMBOL=506921&amp;VAR:INDEX=0"}</definedName>
    <definedName name="_1986__FDSAUDITLINK__" hidden="1">{"fdsup://directions/FAT Viewer?action=UPDATE&amp;creator=factset&amp;DYN_ARGS=TRUE&amp;DOC_NAME=FAT:FQL_AUDITING_CLIENT_TEMPLATE.FAT&amp;display_string=Audit&amp;VAR:KEY=FINCFGZWNE&amp;VAR:QUERY=RkZfUkRfRVhQKENBTCw0MDU0MywsLCwp&amp;WINDOW=FIRST_POPUP&amp;HEIGHT=450&amp;WIDTH=450&amp;START_MAXIMI","ZED=FALSE&amp;VAR:CALENDAR=US&amp;VAR:SYMBOL=567173&amp;VAR:INDEX=0"}</definedName>
    <definedName name="_1987__FDSAUDITLINK__" hidden="1">{"fdsup://directions/FAT Viewer?action=UPDATE&amp;creator=factset&amp;DYN_ARGS=TRUE&amp;DOC_NAME=FAT:FQL_AUDITING_CLIENT_TEMPLATE.FAT&amp;display_string=Audit&amp;VAR:KEY=XKDWJCVMXO&amp;VAR:QUERY=RkZfUkRfRVhQKENBTCw0MDE3OCwsLCwp&amp;WINDOW=FIRST_POPUP&amp;HEIGHT=450&amp;WIDTH=450&amp;START_MAXIMI","ZED=FALSE&amp;VAR:CALENDAR=US&amp;VAR:SYMBOL=567173&amp;VAR:INDEX=0"}</definedName>
    <definedName name="_1988__FDSAUDITLINK__" hidden="1">{"fdsup://directions/FAT Viewer?action=UPDATE&amp;creator=factset&amp;DYN_ARGS=TRUE&amp;DOC_NAME=FAT:FQL_AUDITING_CLIENT_TEMPLATE.FAT&amp;display_string=Audit&amp;VAR:KEY=PGJGJQBYXO&amp;VAR:QUERY=RkZfUkRfRVhQKENBTCwzOTgxMywsLCwp&amp;WINDOW=FIRST_POPUP&amp;HEIGHT=450&amp;WIDTH=450&amp;START_MAXIMI","ZED=FALSE&amp;VAR:CALENDAR=US&amp;VAR:SYMBOL=567173&amp;VAR:INDEX=0"}</definedName>
    <definedName name="_1989__FDSAUDITLINK__" hidden="1">{"fdsup://directions/FAT Viewer?action=UPDATE&amp;creator=factset&amp;DYN_ARGS=TRUE&amp;DOC_NAME=FAT:FQL_AUDITING_CLIENT_TEMPLATE.FAT&amp;display_string=Audit&amp;VAR:KEY=RWLEDIBETI&amp;VAR:QUERY=RkZfUkRfRVhQKENBTCwzOTQ0NywsLCwp&amp;WINDOW=FIRST_POPUP&amp;HEIGHT=450&amp;WIDTH=450&amp;START_MAXIMI","ZED=FALSE&amp;VAR:CALENDAR=US&amp;VAR:SYMBOL=567173&amp;VAR:INDEX=0"}</definedName>
    <definedName name="_199__FDSAUDITLINK__" hidden="1">{"fdsup://directions/FAT%20Viewer?VAR:TM=NTMA&amp;VAR:PCT=0.024658&amp;VAR:Y0=2006&amp;VAR:Y1=2007&amp;VAR:V0=16.151920&amp;VAR:V1=14.820734&amp;VAR:V=14.850914&amp;VAR:AUDIT_ID=00000117&amp;VAR:DATE=20061222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Aggregates&amp;VAR:MEASURE=PE_MEAN&amp;VAR:CALC_MODE=PORTFOLIO&amp;VAR:CHGPERIOD=NA&amp;VAR:FQLFORMULA=FMA_PE&amp;VAR:CURRENCY=USD&amp;VAR:P=1","410.764800&amp;VAR:THRESH=||||||&amp;VAR:null=.html"}</definedName>
    <definedName name="_1990__FDSAUDITLINK__" hidden="1">{"fdsup://directions/FAT Viewer?action=UPDATE&amp;creator=factset&amp;DYN_ARGS=TRUE&amp;DOC_NAME=FAT:FQL_AUDITING_CLIENT_TEMPLATE.FAT&amp;display_string=Audit&amp;VAR:KEY=VWPMVGBIVA&amp;VAR:QUERY=RkZfUkRfRVhQKENBTCwzOTA4MiwsLCwp&amp;WINDOW=FIRST_POPUP&amp;HEIGHT=450&amp;WIDTH=450&amp;START_MAXIMI","ZED=FALSE&amp;VAR:CALENDAR=US&amp;VAR:SYMBOL=567173&amp;VAR:INDEX=0"}</definedName>
    <definedName name="_1991__FDSAUDITLINK__" hidden="1">{"fdsup://directions/FAT Viewer?action=UPDATE&amp;creator=factset&amp;DYN_ARGS=TRUE&amp;DOC_NAME=FAT:FQL_AUDITING_CLIENT_TEMPLATE.FAT&amp;display_string=Audit&amp;VAR:KEY=ZGNEJWTYPU&amp;VAR:QUERY=RkZfUkRfRVhQKENBTCwzODcxNywsLCwp&amp;WINDOW=FIRST_POPUP&amp;HEIGHT=450&amp;WIDTH=450&amp;START_MAXIMI","ZED=FALSE&amp;VAR:CALENDAR=US&amp;VAR:SYMBOL=567173&amp;VAR:INDEX=0"}</definedName>
    <definedName name="_1992__FDSAUDITLINK__" hidden="1">{"fdsup://directions/FAT Viewer?action=UPDATE&amp;creator=factset&amp;DYN_ARGS=TRUE&amp;DOC_NAME=FAT:FQL_AUDITING_CLIENT_TEMPLATE.FAT&amp;display_string=Audit&amp;VAR:KEY=LGVSXMXGRE&amp;VAR:QUERY=RkZfUkRfRVhQKENBTCw0MDU0MywsLCwp&amp;WINDOW=FIRST_POPUP&amp;HEIGHT=450&amp;WIDTH=450&amp;START_MAXIMI","ZED=FALSE&amp;VAR:CALENDAR=US&amp;VAR:SYMBOL=JNJ&amp;VAR:INDEX=0"}</definedName>
    <definedName name="_1993__FDSAUDITLINK__" hidden="1">{"fdsup://directions/FAT Viewer?action=UPDATE&amp;creator=factset&amp;DYN_ARGS=TRUE&amp;DOC_NAME=FAT:FQL_AUDITING_CLIENT_TEMPLATE.FAT&amp;display_string=Audit&amp;VAR:KEY=HIHGTUVWJM&amp;VAR:QUERY=RkZfUkRfRVhQKENBTCw0MDE3OCwsLCwp&amp;WINDOW=FIRST_POPUP&amp;HEIGHT=450&amp;WIDTH=450&amp;START_MAXIMI","ZED=FALSE&amp;VAR:CALENDAR=US&amp;VAR:SYMBOL=JNJ&amp;VAR:INDEX=0"}</definedName>
    <definedName name="_1994__FDSAUDITLINK__" hidden="1">{"fdsup://directions/FAT Viewer?action=UPDATE&amp;creator=factset&amp;DYN_ARGS=TRUE&amp;DOC_NAME=FAT:FQL_AUDITING_CLIENT_TEMPLATE.FAT&amp;display_string=Audit&amp;VAR:KEY=NQLIFKBKPW&amp;VAR:QUERY=RkZfUkRfRVhQKENBTCwzOTgxMywsLCwp&amp;WINDOW=FIRST_POPUP&amp;HEIGHT=450&amp;WIDTH=450&amp;START_MAXIMI","ZED=FALSE&amp;VAR:CALENDAR=US&amp;VAR:SYMBOL=JNJ&amp;VAR:INDEX=0"}</definedName>
    <definedName name="_1995__FDSAUDITLINK__" hidden="1">{"fdsup://directions/FAT Viewer?action=UPDATE&amp;creator=factset&amp;DYN_ARGS=TRUE&amp;DOC_NAME=FAT:FQL_AUDITING_CLIENT_TEMPLATE.FAT&amp;display_string=Audit&amp;VAR:KEY=FYLUREVORG&amp;VAR:QUERY=RkZfUkRfRVhQKENBTCwzOTQ0NywsLCwp&amp;WINDOW=FIRST_POPUP&amp;HEIGHT=450&amp;WIDTH=450&amp;START_MAXIMI","ZED=FALSE&amp;VAR:CALENDAR=US&amp;VAR:SYMBOL=JNJ&amp;VAR:INDEX=0"}</definedName>
    <definedName name="_1996__FDSAUDITLINK__" hidden="1">{"fdsup://directions/FAT Viewer?action=UPDATE&amp;creator=factset&amp;DYN_ARGS=TRUE&amp;DOC_NAME=FAT:FQL_AUDITING_CLIENT_TEMPLATE.FAT&amp;display_string=Audit&amp;VAR:KEY=BUPWHWVEFO&amp;VAR:QUERY=RkZfUkRfRVhQKENBTCwzOTA4MiwsLCwp&amp;WINDOW=FIRST_POPUP&amp;HEIGHT=450&amp;WIDTH=450&amp;START_MAXIMI","ZED=FALSE&amp;VAR:CALENDAR=US&amp;VAR:SYMBOL=JNJ&amp;VAR:INDEX=0"}</definedName>
    <definedName name="_1997__FDSAUDITLINK__" hidden="1">{"fdsup://directions/FAT Viewer?action=UPDATE&amp;creator=factset&amp;DYN_ARGS=TRUE&amp;DOC_NAME=FAT:FQL_AUDITING_CLIENT_TEMPLATE.FAT&amp;display_string=Audit&amp;VAR:KEY=BIZGFAZSLE&amp;VAR:QUERY=RkZfUkRfRVhQKENBTCwzODcxNywsLCwp&amp;WINDOW=FIRST_POPUP&amp;HEIGHT=450&amp;WIDTH=450&amp;START_MAXIMI","ZED=FALSE&amp;VAR:CALENDAR=US&amp;VAR:SYMBOL=JNJ&amp;VAR:INDEX=0"}</definedName>
    <definedName name="_1998__FDSAUDITLINK__" hidden="1">{"fdsup://directions/FAT Viewer?action=UPDATE&amp;creator=factset&amp;DYN_ARGS=TRUE&amp;DOC_NAME=FAT:FQL_AUDITING_CLIENT_TEMPLATE.FAT&amp;display_string=Audit&amp;VAR:KEY=FQZEXGVUHG&amp;VAR:QUERY=RkZfUkRfRVhQKENBTCwzODM1MiwsLCwp&amp;WINDOW=FIRST_POPUP&amp;HEIGHT=450&amp;WIDTH=450&amp;START_MAXIMI","ZED=FALSE&amp;VAR:CALENDAR=US&amp;VAR:SYMBOL=JNJ&amp;VAR:INDEX=0"}</definedName>
    <definedName name="_1999__FDSAUDITLINK__" hidden="1">{"fdsup://directions/FAT Viewer?action=UPDATE&amp;creator=factset&amp;DYN_ARGS=TRUE&amp;DOC_NAME=FAT:FQL_AUDITING_CLIENT_TEMPLATE.FAT&amp;display_string=Audit&amp;VAR:KEY=LEFUXOTGLS&amp;VAR:QUERY=RkZfUkRfRVhQKENBTCw0MDU0MywsLCwp&amp;WINDOW=FIRST_POPUP&amp;HEIGHT=450&amp;WIDTH=450&amp;START_MAXIMI","ZED=FALSE&amp;VAR:CALENDAR=US&amp;VAR:SYMBOL=710306&amp;VAR:INDEX=0"}</definedName>
    <definedName name="_1Q_01E">"_01"</definedName>
    <definedName name="_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0.191781&amp;VAR:V=13.009558&amp;VAR:V0=13.341230&amp;VAR:V1=11.775806&amp;VAR:Y0=2011&amp;VAR:Y1=2012&amp;VAR:P=1304.281298&amp;VAR:DATE=20110311&amp;VAR:THRESH=-|-|","-|-|-|-|-"}</definedName>
    <definedName name="_20__FDSAUDITLINK__" hidden="1">{"fdsup://directions/FAT%20Viewer?VAR:TM=NTMA&amp;VAR:PCT=0.594521&amp;VAR:Y0=2010&amp;VAR:Y1=2011&amp;VAR:V0=13.201095&amp;VAR:V1=11.239305&amp;VAR:V=12.328539&amp;VAR:AUDIT_ID=00000117&amp;VAR:DATE=20100528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Aggregates&amp;VAR:MEASURE=PE_MEAN&amp;VAR:CALC_MODE=PORTFOLIO&amp;VAR:CHGPERIOD=NA&amp;VAR:FQLFORMULA=FMA_PE&amp;VAR:CURRENCY=USD&amp;VAR:P=1","089.405844&amp;VAR:THRESH=||||||&amp;VAR:null=.html"}</definedName>
    <definedName name="_200__FDSAUDITLINK__" hidden="1">{"fdsup://directions/FAT%20Viewer?VAR:TM=NTMA&amp;VAR:PCT=0.043836&amp;VAR:Y0=2006&amp;VAR:Y1=2007&amp;VAR:V0=16.338608&amp;VAR:V1=14.983665&amp;VAR:V=15.038333&amp;VAR:AUDIT_ID=00000117&amp;VAR:DATE=20061215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Aggregates&amp;VAR:MEASURE=PE_MEAN&amp;VAR:CALC_MODE=PORTFOLIO&amp;VAR:CHGPERIOD=NA&amp;VAR:FQLFORMULA=FMA_PE&amp;VAR:CURRENCY=USD&amp;VAR:P=1","427.085800&amp;VAR:THRESH=||||||&amp;VAR:null=.html"}</definedName>
    <definedName name="_2000__FDSAUDITLINK__" hidden="1">{"fdsup://directions/FAT Viewer?action=UPDATE&amp;creator=factset&amp;DYN_ARGS=TRUE&amp;DOC_NAME=FAT:FQL_AUDITING_CLIENT_TEMPLATE.FAT&amp;display_string=Audit&amp;VAR:KEY=XUVINAFIPU&amp;VAR:QUERY=RkZfUkRfRVhQKENBTCw0MDE3OCwsLCwp&amp;WINDOW=FIRST_POPUP&amp;HEIGHT=450&amp;WIDTH=450&amp;START_MAXIMI","ZED=FALSE&amp;VAR:CALENDAR=US&amp;VAR:SYMBOL=710306&amp;VAR:INDEX=0"}</definedName>
    <definedName name="_2001__FDSAUDITLINK__" hidden="1">{"fdsup://directions/FAT Viewer?action=UPDATE&amp;creator=factset&amp;DYN_ARGS=TRUE&amp;DOC_NAME=FAT:FQL_AUDITING_CLIENT_TEMPLATE.FAT&amp;display_string=Audit&amp;VAR:KEY=HKXWJMJSZQ&amp;VAR:QUERY=RkZfUkRfRVhQKENBTCwzOTgxMywsLCwp&amp;WINDOW=FIRST_POPUP&amp;HEIGHT=450&amp;WIDTH=450&amp;START_MAXIMI","ZED=FALSE&amp;VAR:CALENDAR=US&amp;VAR:SYMBOL=710306&amp;VAR:INDEX=0"}</definedName>
    <definedName name="_2002__FDSAUDITLINK__" hidden="1">{"fdsup://directions/FAT Viewer?action=UPDATE&amp;creator=factset&amp;DYN_ARGS=TRUE&amp;DOC_NAME=FAT:FQL_AUDITING_CLIENT_TEMPLATE.FAT&amp;display_string=Audit&amp;VAR:KEY=JONIRWROFI&amp;VAR:QUERY=RkZfUkRfRVhQKENBTCwzOTQ0NywsLCwp&amp;WINDOW=FIRST_POPUP&amp;HEIGHT=450&amp;WIDTH=450&amp;START_MAXIMI","ZED=FALSE&amp;VAR:CALENDAR=US&amp;VAR:SYMBOL=710306&amp;VAR:INDEX=0"}</definedName>
    <definedName name="_2003__FDSAUDITLINK__" hidden="1">{"fdsup://directions/FAT Viewer?action=UPDATE&amp;creator=factset&amp;DYN_ARGS=TRUE&amp;DOC_NAME=FAT:FQL_AUDITING_CLIENT_TEMPLATE.FAT&amp;display_string=Audit&amp;VAR:KEY=BAPYPCNOVG&amp;VAR:QUERY=RkZfUkRfRVhQKENBTCwzOTA4MiwsLCwp&amp;WINDOW=FIRST_POPUP&amp;HEIGHT=450&amp;WIDTH=450&amp;START_MAXIMI","ZED=FALSE&amp;VAR:CALENDAR=US&amp;VAR:SYMBOL=710306&amp;VAR:INDEX=0"}</definedName>
    <definedName name="_2004__FDSAUDITLINK__" hidden="1">{"fdsup://directions/FAT Viewer?action=UPDATE&amp;creator=factset&amp;DYN_ARGS=TRUE&amp;DOC_NAME=FAT:FQL_AUDITING_CLIENT_TEMPLATE.FAT&amp;display_string=Audit&amp;VAR:KEY=VKXURALSNK&amp;VAR:QUERY=RkZfUkRfRVhQKENBTCwzODcxNywsLCwp&amp;WINDOW=FIRST_POPUP&amp;HEIGHT=450&amp;WIDTH=450&amp;START_MAXIMI","ZED=FALSE&amp;VAR:CALENDAR=US&amp;VAR:SYMBOL=710306&amp;VAR:INDEX=0"}</definedName>
    <definedName name="_2005__FDSAUDITLINK__" hidden="1">{"fdsup://directions/FAT Viewer?action=UPDATE&amp;creator=factset&amp;DYN_ARGS=TRUE&amp;DOC_NAME=FAT:FQL_AUDITING_CLIENT_TEMPLATE.FAT&amp;display_string=Audit&amp;VAR:KEY=BUHEBCVYDU&amp;VAR:QUERY=RkZfUkRfRVhQKENBTCw0MDU0MywsLCwp&amp;WINDOW=FIRST_POPUP&amp;HEIGHT=450&amp;WIDTH=450&amp;START_MAXIMI","ZED=FALSE&amp;VAR:CALENDAR=US&amp;VAR:SYMBOL=711038&amp;VAR:INDEX=0"}</definedName>
    <definedName name="_2006__FDSAUDITLINK__" hidden="1">{"fdsup://directions/FAT Viewer?action=UPDATE&amp;creator=factset&amp;DYN_ARGS=TRUE&amp;DOC_NAME=FAT:FQL_AUDITING_CLIENT_TEMPLATE.FAT&amp;display_string=Audit&amp;VAR:KEY=HATKVKBWZI&amp;VAR:QUERY=RkZfUkRfRVhQKENBTCw0MDE3OCwsLCwp&amp;WINDOW=FIRST_POPUP&amp;HEIGHT=450&amp;WIDTH=450&amp;START_MAXIMI","ZED=FALSE&amp;VAR:CALENDAR=US&amp;VAR:SYMBOL=711038&amp;VAR:INDEX=0"}</definedName>
    <definedName name="_2007__FDSAUDITLINK__" hidden="1">{"fdsup://directions/FAT Viewer?action=UPDATE&amp;creator=factset&amp;DYN_ARGS=TRUE&amp;DOC_NAME=FAT:FQL_AUDITING_CLIENT_TEMPLATE.FAT&amp;display_string=Audit&amp;VAR:KEY=XUXGPIZETA&amp;VAR:QUERY=RkZfUkRfRVhQKENBTCwzOTgxMywsLCwp&amp;WINDOW=FIRST_POPUP&amp;HEIGHT=450&amp;WIDTH=450&amp;START_MAXIMI","ZED=FALSE&amp;VAR:CALENDAR=US&amp;VAR:SYMBOL=711038&amp;VAR:INDEX=0"}</definedName>
    <definedName name="_2008__FDSAUDITLINK__" hidden="1">{"fdsup://directions/FAT Viewer?action=UPDATE&amp;creator=factset&amp;DYN_ARGS=TRUE&amp;DOC_NAME=FAT:FQL_AUDITING_CLIENT_TEMPLATE.FAT&amp;display_string=Audit&amp;VAR:KEY=LULOLUFSZY&amp;VAR:QUERY=RkZfUkRfRVhQKENBTCwzOTgxMywsLCwp&amp;WINDOW=FIRST_POPUP&amp;HEIGHT=450&amp;WIDTH=450&amp;START_MAXIMI","ZED=FALSE&amp;VAR:CALENDAR=US&amp;VAR:SYMBOL=DNA&amp;VAR:INDEX=0"}</definedName>
    <definedName name="_2009__FDSAUDITLINK__" hidden="1">{"fdsup://directions/FAT Viewer?action=UPDATE&amp;creator=factset&amp;DYN_ARGS=TRUE&amp;DOC_NAME=FAT:FQL_AUDITING_CLIENT_TEMPLATE.FAT&amp;display_string=Audit&amp;VAR:KEY=JQXWLKRQJO&amp;VAR:QUERY=RkZfUkRfRVhQKENBTCwzOTQ0NywsLCwp&amp;WINDOW=FIRST_POPUP&amp;HEIGHT=450&amp;WIDTH=450&amp;START_MAXIMI","ZED=FALSE&amp;VAR:CALENDAR=US&amp;VAR:SYMBOL=DNA&amp;VAR:INDEX=0"}</definedName>
    <definedName name="_201__FDSAUDITLINK__" hidden="1">{"fdsup://directions/FAT%20Viewer?VAR:TM=NTMA&amp;VAR:PCT=0.063014&amp;VAR:Y0=2006&amp;VAR:Y1=2007&amp;VAR:V0=16.144604&amp;VAR:V1=14.786696&amp;VAR:V=14.865483&amp;VAR:AUDIT_ID=00000117&amp;VAR:DATE=20061208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Aggregates&amp;VAR:MEASURE=PE_MEAN&amp;VAR:CALC_MODE=PORTFOLIO&amp;VAR:CHGPERIOD=NA&amp;VAR:FQLFORMULA=FMA_PE&amp;VAR:CURRENCY=USD&amp;VAR:P=1","409.842700&amp;VAR:THRESH=||||||&amp;VAR:null=.html"}</definedName>
    <definedName name="_2010__FDSAUDITLINK__" hidden="1">{"fdsup://directions/FAT Viewer?action=UPDATE&amp;creator=factset&amp;DYN_ARGS=TRUE&amp;DOC_NAME=FAT:FQL_AUDITING_CLIENT_TEMPLATE.FAT&amp;display_string=Audit&amp;VAR:KEY=HYXWNYRITG&amp;VAR:QUERY=RkZfUkRfRVhQKENBTCwzOTA4MiwsLCwp&amp;WINDOW=FIRST_POPUP&amp;HEIGHT=450&amp;WIDTH=450&amp;START_MAXIMI","ZED=FALSE&amp;VAR:CALENDAR=US&amp;VAR:SYMBOL=DNA&amp;VAR:INDEX=0"}</definedName>
    <definedName name="_2011__FDSAUDITLINK__" hidden="1">{"fdsup://directions/FAT Viewer?action=UPDATE&amp;creator=factset&amp;DYN_ARGS=TRUE&amp;DOC_NAME=FAT:FQL_AUDITING_CLIENT_TEMPLATE.FAT&amp;display_string=Audit&amp;VAR:KEY=FWHQNGDGJY&amp;VAR:QUERY=RkZfUkRfRVhQKENBTCwzODcxNywsLCwp&amp;WINDOW=FIRST_POPUP&amp;HEIGHT=450&amp;WIDTH=450&amp;START_MAXIMI","ZED=FALSE&amp;VAR:CALENDAR=US&amp;VAR:SYMBOL=DNA&amp;VAR:INDEX=0"}</definedName>
    <definedName name="_2012__FDSAUDITLINK__" hidden="1">{"fdsup://directions/FAT Viewer?action=UPDATE&amp;creator=factset&amp;DYN_ARGS=TRUE&amp;DOC_NAME=FAT:FQL_AUDITING_CLIENT_TEMPLATE.FAT&amp;display_string=Audit&amp;VAR:KEY=RQTWDYPOXG&amp;VAR:QUERY=RkZfUkRfRVhQKENBTCwzODM1MiwsLCwp&amp;WINDOW=FIRST_POPUP&amp;HEIGHT=450&amp;WIDTH=450&amp;START_MAXIMI","ZED=FALSE&amp;VAR:CALENDAR=US&amp;VAR:SYMBOL=DNA&amp;VAR:INDEX=0"}</definedName>
    <definedName name="_2013__FDSAUDITLINK__" hidden="1">{"fdsup://directions/FAT Viewer?action=UPDATE&amp;creator=factset&amp;DYN_ARGS=TRUE&amp;DOC_NAME=FAT:FQL_AUDITING_CLIENT_TEMPLATE.FAT&amp;display_string=Audit&amp;VAR:KEY=JGLQLQPQDK&amp;VAR:QUERY=RkZfUkRfRVhQKENBTCw0MDU0MywsLCwp&amp;WINDOW=FIRST_POPUP&amp;HEIGHT=450&amp;WIDTH=450&amp;START_MAXIMI","ZED=FALSE&amp;VAR:CALENDAR=US&amp;VAR:SYMBOL=MRK&amp;VAR:INDEX=0"}</definedName>
    <definedName name="_2014__FDSAUDITLINK__" hidden="1">{"fdsup://directions/FAT Viewer?action=UPDATE&amp;creator=factset&amp;DYN_ARGS=TRUE&amp;DOC_NAME=FAT:FQL_AUDITING_CLIENT_TEMPLATE.FAT&amp;display_string=Audit&amp;VAR:KEY=XMHMROTSFU&amp;VAR:QUERY=RkZfUkRfRVhQKENBTCw0MDE3OCwsLCxVU0Qp&amp;WINDOW=FIRST_POPUP&amp;HEIGHT=450&amp;WIDTH=450&amp;START_MA","XIMIZED=FALSE&amp;VAR:CALENDAR=US&amp;VAR:SYMBOL=MRK&amp;VAR:INDEX=0"}</definedName>
    <definedName name="_2015__FDSAUDITLINK__" hidden="1">{"fdsup://directions/FAT Viewer?action=UPDATE&amp;creator=factset&amp;DYN_ARGS=TRUE&amp;DOC_NAME=FAT:FQL_AUDITING_CLIENT_TEMPLATE.FAT&amp;display_string=Audit&amp;VAR:KEY=BMVWPEJELU&amp;VAR:QUERY=RkZfUkRfRVhQKENBTCwzOTgxMywsLCwp&amp;WINDOW=FIRST_POPUP&amp;HEIGHT=450&amp;WIDTH=450&amp;START_MAXIMI","ZED=FALSE&amp;VAR:CALENDAR=US&amp;VAR:SYMBOL=MRK&amp;VAR:INDEX=0"}</definedName>
    <definedName name="_2016__FDSAUDITLINK__" hidden="1">{"fdsup://directions/FAT Viewer?action=UPDATE&amp;creator=factset&amp;DYN_ARGS=TRUE&amp;DOC_NAME=FAT:FQL_AUDITING_CLIENT_TEMPLATE.FAT&amp;display_string=Audit&amp;VAR:KEY=ZWNOBEDCJI&amp;VAR:QUERY=RkZfUkRfRVhQKENBTCwzOTgxMywsLCwp&amp;WINDOW=FIRST_POPUP&amp;HEIGHT=450&amp;WIDTH=450&amp;START_MAXIMI","ZED=FALSE&amp;VAR:CALENDAR=US&amp;VAR:SYMBOL=SGP&amp;VAR:INDEX=0"}</definedName>
    <definedName name="_2017__FDSAUDITLINK__" hidden="1">{"fdsup://directions/FAT Viewer?action=UPDATE&amp;creator=factset&amp;DYN_ARGS=TRUE&amp;DOC_NAME=FAT:FQL_AUDITING_CLIENT_TEMPLATE.FAT&amp;display_string=Audit&amp;VAR:KEY=LSNMLEBONA&amp;VAR:QUERY=RkZfUkRfRVhQKENBTCwzOTQ0NywsLCwp&amp;WINDOW=FIRST_POPUP&amp;HEIGHT=450&amp;WIDTH=450&amp;START_MAXIMI","ZED=FALSE&amp;VAR:CALENDAR=US&amp;VAR:SYMBOL=MRK&amp;VAR:INDEX=0"}</definedName>
    <definedName name="_2018__FDSAUDITLINK__" hidden="1">{"fdsup://directions/FAT Viewer?action=UPDATE&amp;creator=factset&amp;DYN_ARGS=TRUE&amp;DOC_NAME=FAT:FQL_AUDITING_CLIENT_TEMPLATE.FAT&amp;display_string=Audit&amp;VAR:KEY=VERKZCBWNO&amp;VAR:QUERY=RkZfUkRfRVhQKENBTCwzOTQ0NywsLCwp&amp;WINDOW=FIRST_POPUP&amp;HEIGHT=450&amp;WIDTH=450&amp;START_MAXIMI","ZED=FALSE&amp;VAR:CALENDAR=US&amp;VAR:SYMBOL=SGP&amp;VAR:INDEX=0"}</definedName>
    <definedName name="_2019__FDSAUDITLINK__" hidden="1">{"fdsup://directions/FAT Viewer?action=UPDATE&amp;creator=factset&amp;DYN_ARGS=TRUE&amp;DOC_NAME=FAT:FQL_AUDITING_CLIENT_TEMPLATE.FAT&amp;display_string=Audit&amp;VAR:KEY=NMHYXIZERM&amp;VAR:QUERY=RkZfUkRfRVhQKENBTCwzOTA4MiwsLCwp&amp;WINDOW=FIRST_POPUP&amp;HEIGHT=450&amp;WIDTH=450&amp;START_MAXIMI","ZED=FALSE&amp;VAR:CALENDAR=US&amp;VAR:SYMBOL=MRK&amp;VAR:INDEX=0"}</definedName>
    <definedName name="_202__FDSAUDITLINK__" hidden="1">{"fdsup://directions/FAT%20Viewer?VAR:TM=NTMA&amp;VAR:PCT=0.082192&amp;VAR:Y0=2006&amp;VAR:Y1=2007&amp;VAR:V0=15.996559&amp;VAR:V1=14.646145&amp;VAR:V=14.748478&amp;VAR:AUDIT_ID=00000117&amp;VAR:DATE=20061201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Aggregates&amp;VAR:MEASURE=PE_MEAN&amp;VAR:CALC_MODE=PORTFOLIO&amp;VAR:CHGPERIOD=NA&amp;VAR:FQLFORMULA=FMA_PE&amp;VAR:CURRENCY=USD&amp;VAR:P=1","396.713000&amp;VAR:THRESH=||||||&amp;VAR:null=.html"}</definedName>
    <definedName name="_2020__FDSAUDITLINK__" hidden="1">{"fdsup://directions/FAT Viewer?action=UPDATE&amp;creator=factset&amp;DYN_ARGS=TRUE&amp;DOC_NAME=FAT:FQL_AUDITING_CLIENT_TEMPLATE.FAT&amp;display_string=Audit&amp;VAR:KEY=VGVGPSRCRG&amp;VAR:QUERY=RkZfUkRfRVhQKENBTCwzOTA4MiwsLCwp&amp;WINDOW=FIRST_POPUP&amp;HEIGHT=450&amp;WIDTH=450&amp;START_MAXIMI","ZED=FALSE&amp;VAR:CALENDAR=US&amp;VAR:SYMBOL=SGP&amp;VAR:INDEX=0"}</definedName>
    <definedName name="_2021__FDSAUDITLINK__" hidden="1">{"fdsup://directions/FAT Viewer?action=UPDATE&amp;creator=factset&amp;DYN_ARGS=TRUE&amp;DOC_NAME=FAT:FQL_AUDITING_CLIENT_TEMPLATE.FAT&amp;display_string=Audit&amp;VAR:KEY=HIHQXGPWVE&amp;VAR:QUERY=RkZfUkRfRVhQKENBTCwzODcxNywsLCwp&amp;WINDOW=FIRST_POPUP&amp;HEIGHT=450&amp;WIDTH=450&amp;START_MAXIMI","ZED=FALSE&amp;VAR:CALENDAR=US&amp;VAR:SYMBOL=MRK&amp;VAR:INDEX=0"}</definedName>
    <definedName name="_2022__FDSAUDITLINK__" hidden="1">{"fdsup://directions/FAT Viewer?action=UPDATE&amp;creator=factset&amp;DYN_ARGS=TRUE&amp;DOC_NAME=FAT:FQL_AUDITING_CLIENT_TEMPLATE.FAT&amp;display_string=Audit&amp;VAR:KEY=DQBAJYBAFW&amp;VAR:QUERY=RkZfUkRfRVhQKENBTCwzODcxNywsLCwp&amp;WINDOW=FIRST_POPUP&amp;HEIGHT=450&amp;WIDTH=450&amp;START_MAXIMI","ZED=FALSE&amp;VAR:CALENDAR=US&amp;VAR:SYMBOL=SGP&amp;VAR:INDEX=0"}</definedName>
    <definedName name="_2023__FDSAUDITLINK__" hidden="1">{"fdsup://directions/FAT Viewer?action=UPDATE&amp;creator=factset&amp;DYN_ARGS=TRUE&amp;DOC_NAME=FAT:FQL_AUDITING_CLIENT_TEMPLATE.FAT&amp;display_string=Audit&amp;VAR:KEY=BILIDIROZO&amp;VAR:QUERY=RkZfUkRfRVhQKENBTCwzODM1MiwsLCwp&amp;WINDOW=FIRST_POPUP&amp;HEIGHT=450&amp;WIDTH=450&amp;START_MAXIMI","ZED=FALSE&amp;VAR:CALENDAR=US&amp;VAR:SYMBOL=MRK&amp;VAR:INDEX=0"}</definedName>
    <definedName name="_2024__FDSAUDITLINK__" hidden="1">{"fdsup://directions/FAT Viewer?action=UPDATE&amp;creator=factset&amp;DYN_ARGS=TRUE&amp;DOC_NAME=FAT:FQL_AUDITING_CLIENT_TEMPLATE.FAT&amp;display_string=Audit&amp;VAR:KEY=HSTURMXUFQ&amp;VAR:QUERY=RkZfUkRfRVhQKENBTCwzODM1MiwsLCwp&amp;WINDOW=FIRST_POPUP&amp;HEIGHT=450&amp;WIDTH=450&amp;START_MAXIMI","ZED=FALSE&amp;VAR:CALENDAR=US&amp;VAR:SYMBOL=SGP&amp;VAR:INDEX=0"}</definedName>
    <definedName name="_2025__FDSAUDITLINK__" hidden="1">{"fdsup://directions/FAT Viewer?action=UPDATE&amp;creator=factset&amp;DYN_ARGS=TRUE&amp;DOC_NAME=FAT:FQL_AUDITING_CLIENT_TEMPLATE.FAT&amp;display_string=Audit&amp;VAR:KEY=RULMZELIXK&amp;VAR:QUERY=RkZfUkRfRVhQKENBTCw0MDU0MywsLCwp&amp;WINDOW=FIRST_POPUP&amp;HEIGHT=450&amp;WIDTH=450&amp;START_MAXIMI","ZED=FALSE&amp;VAR:CALENDAR=US&amp;VAR:SYMBOL=PFE&amp;VAR:INDEX=0"}</definedName>
    <definedName name="_2026__FDSAUDITLINK__" hidden="1">{"fdsup://directions/FAT Viewer?action=UPDATE&amp;creator=factset&amp;DYN_ARGS=TRUE&amp;DOC_NAME=FAT:FQL_AUDITING_CLIENT_TEMPLATE.FAT&amp;display_string=Audit&amp;VAR:KEY=XADITGJORE&amp;VAR:QUERY=RkZfUkRfRVhQKENBTCw0MDE3OCwsLCxVU0Qp&amp;WINDOW=FIRST_POPUP&amp;HEIGHT=450&amp;WIDTH=450&amp;START_MA","XIMIZED=FALSE&amp;VAR:CALENDAR=US&amp;VAR:SYMBOL=PFE&amp;VAR:INDEX=0"}</definedName>
    <definedName name="_2027__FDSAUDITLINK__" hidden="1">{"fdsup://directions/FAT Viewer?action=UPDATE&amp;creator=factset&amp;DYN_ARGS=TRUE&amp;DOC_NAME=FAT:FQL_AUDITING_CLIENT_TEMPLATE.FAT&amp;display_string=Audit&amp;VAR:KEY=XAFSTKHGNY&amp;VAR:QUERY=RkZfUkRfRVhQKENBTCwzOTgxMywsLCwp&amp;WINDOW=FIRST_POPUP&amp;HEIGHT=450&amp;WIDTH=450&amp;START_MAXIMI","ZED=FALSE&amp;VAR:CALENDAR=US&amp;VAR:SYMBOL=PFE&amp;VAR:INDEX=0"}</definedName>
    <definedName name="_2028__FDSAUDITLINK__" hidden="1">{"fdsup://directions/FAT Viewer?action=UPDATE&amp;creator=factset&amp;DYN_ARGS=TRUE&amp;DOC_NAME=FAT:FQL_AUDITING_CLIENT_TEMPLATE.FAT&amp;display_string=Audit&amp;VAR:KEY=PAJYJYJAHE&amp;VAR:QUERY=RkZfUkRfRVhQKENBTCwzOTgxMywsLCwp&amp;WINDOW=FIRST_POPUP&amp;HEIGHT=450&amp;WIDTH=450&amp;START_MAXIMI","ZED=FALSE&amp;VAR:CALENDAR=US&amp;VAR:SYMBOL=WYE&amp;VAR:INDEX=0"}</definedName>
    <definedName name="_2029__FDSAUDITLINK__" hidden="1">{"fdsup://directions/FAT Viewer?action=UPDATE&amp;creator=factset&amp;DYN_ARGS=TRUE&amp;DOC_NAME=FAT:FQL_AUDITING_CLIENT_TEMPLATE.FAT&amp;display_string=Audit&amp;VAR:KEY=TEDKTITIXA&amp;VAR:QUERY=RkZfUkRfRVhQKENBTCwzOTQ0NywsLCwp&amp;WINDOW=FIRST_POPUP&amp;HEIGHT=450&amp;WIDTH=450&amp;START_MAXIMI","ZED=FALSE&amp;VAR:CALENDAR=US&amp;VAR:SYMBOL=PFE&amp;VAR:INDEX=0"}</definedName>
    <definedName name="_203__FDSAUDITLINK__" hidden="1">{"fdsup://directions/FAT%20Viewer?VAR:TM=NTMA&amp;VAR:PCT=0.101370&amp;VAR:Y0=2006&amp;VAR:Y1=2007&amp;VAR:V0=16.053570&amp;VAR:V1=14.684053&amp;VAR:V=14.812145&amp;VAR:AUDIT_ID=00000117&amp;VAR:DATE=20061124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Aggregates&amp;VAR:MEASURE=PE_MEAN&amp;VAR:CALC_MODE=PORTFOLIO&amp;VAR:CHGPERIOD=NA&amp;VAR:FQLFORMULA=FMA_PE&amp;VAR:CURRENCY=USD&amp;VAR:P=1","400.947300&amp;VAR:THRESH=||||||&amp;VAR:null=.html"}</definedName>
    <definedName name="_2030__FDSAUDITLINK__" hidden="1">{"fdsup://directions/FAT Viewer?action=UPDATE&amp;creator=factset&amp;DYN_ARGS=TRUE&amp;DOC_NAME=FAT:FQL_AUDITING_CLIENT_TEMPLATE.FAT&amp;display_string=Audit&amp;VAR:KEY=NYXURMTONW&amp;VAR:QUERY=RkZfUkRfRVhQKENBTCwzOTQ0NywsLCwp&amp;WINDOW=FIRST_POPUP&amp;HEIGHT=450&amp;WIDTH=450&amp;START_MAXIMI","ZED=FALSE&amp;VAR:CALENDAR=US&amp;VAR:SYMBOL=WYE&amp;VAR:INDEX=0"}</definedName>
    <definedName name="_2031__FDSAUDITLINK__" hidden="1">{"fdsup://directions/FAT Viewer?action=UPDATE&amp;creator=factset&amp;DYN_ARGS=TRUE&amp;DOC_NAME=FAT:FQL_AUDITING_CLIENT_TEMPLATE.FAT&amp;display_string=Audit&amp;VAR:KEY=VOPUPSJQLI&amp;VAR:QUERY=RkZfUkRfRVhQKENBTCwzOTA4MiwsLCwp&amp;WINDOW=FIRST_POPUP&amp;HEIGHT=450&amp;WIDTH=450&amp;START_MAXIMI","ZED=FALSE&amp;VAR:CALENDAR=US&amp;VAR:SYMBOL=PFE&amp;VAR:INDEX=0"}</definedName>
    <definedName name="_2032__FDSAUDITLINK__" hidden="1">{"fdsup://directions/FAT Viewer?action=UPDATE&amp;creator=factset&amp;DYN_ARGS=TRUE&amp;DOC_NAME=FAT:FQL_AUDITING_CLIENT_TEMPLATE.FAT&amp;display_string=Audit&amp;VAR:KEY=XWTYLUVGBU&amp;VAR:QUERY=RkZfUkRfRVhQKENBTCwzOTA4MiwsLCwp&amp;WINDOW=FIRST_POPUP&amp;HEIGHT=450&amp;WIDTH=450&amp;START_MAXIMI","ZED=FALSE&amp;VAR:CALENDAR=US&amp;VAR:SYMBOL=WYE&amp;VAR:INDEX=0"}</definedName>
    <definedName name="_2033__FDSAUDITLINK__" hidden="1">{"fdsup://directions/FAT Viewer?action=UPDATE&amp;creator=factset&amp;DYN_ARGS=TRUE&amp;DOC_NAME=FAT:FQL_AUDITING_CLIENT_TEMPLATE.FAT&amp;display_string=Audit&amp;VAR:KEY=DUZANORCZM&amp;VAR:QUERY=RkZfUkRfRVhQKENBTCwzODcxNywsLCwp&amp;WINDOW=FIRST_POPUP&amp;HEIGHT=450&amp;WIDTH=450&amp;START_MAXIMI","ZED=FALSE&amp;VAR:CALENDAR=US&amp;VAR:SYMBOL=PFE&amp;VAR:INDEX=0"}</definedName>
    <definedName name="_2034__FDSAUDITLINK__" hidden="1">{"fdsup://directions/FAT Viewer?action=UPDATE&amp;creator=factset&amp;DYN_ARGS=TRUE&amp;DOC_NAME=FAT:FQL_AUDITING_CLIENT_TEMPLATE.FAT&amp;display_string=Audit&amp;VAR:KEY=DGDCHUBYVS&amp;VAR:QUERY=RkZfUkRfRVhQKENBTCwzODcxNywsLCwp&amp;WINDOW=FIRST_POPUP&amp;HEIGHT=450&amp;WIDTH=450&amp;START_MAXIMI","ZED=FALSE&amp;VAR:CALENDAR=US&amp;VAR:SYMBOL=WYE&amp;VAR:INDEX=0"}</definedName>
    <definedName name="_2035__FDSAUDITLINK__" hidden="1">{"fdsup://directions/FAT Viewer?action=UPDATE&amp;creator=factset&amp;DYN_ARGS=TRUE&amp;DOC_NAME=FAT:FQL_AUDITING_CLIENT_TEMPLATE.FAT&amp;display_string=Audit&amp;VAR:KEY=BETMVWVSBG&amp;VAR:QUERY=RkZfUkRfRVhQKENBTCwzODM1MiwsLCwp&amp;WINDOW=FIRST_POPUP&amp;HEIGHT=450&amp;WIDTH=450&amp;START_MAXIMI","ZED=FALSE&amp;VAR:CALENDAR=US&amp;VAR:SYMBOL=PFE&amp;VAR:INDEX=0"}</definedName>
    <definedName name="_2036__FDSAUDITLINK__" hidden="1">{"fdsup://directions/FAT Viewer?action=UPDATE&amp;creator=factset&amp;DYN_ARGS=TRUE&amp;DOC_NAME=FAT:FQL_AUDITING_CLIENT_TEMPLATE.FAT&amp;display_string=Audit&amp;VAR:KEY=HKXMFCNQRG&amp;VAR:QUERY=RkZfUkRfRVhQKENBTCwzODM1MiwsLCwp&amp;WINDOW=FIRST_POPUP&amp;HEIGHT=450&amp;WIDTH=450&amp;START_MAXIMI","ZED=FALSE&amp;VAR:CALENDAR=US&amp;VAR:SYMBOL=WYE&amp;VAR:INDEX=0"}</definedName>
    <definedName name="_2037__FDSAUDITLINK__" hidden="1">{"fdsup://Directions/FactSet Auditing Viewer?action=AUDIT_VALUE&amp;DB=129&amp;ID1=36871040&amp;VALUEID=01001&amp;SDATE=200804&amp;PERIODTYPE=QTR_STD&amp;SCFT=3&amp;window=popup_no_bar&amp;width=385&amp;height=120&amp;START_MAXIMIZED=FALSE&amp;creator=factset&amp;display_string=Audit"}</definedName>
    <definedName name="_2038__FDSAUDITLINK__" hidden="1">{"fdsup://Directions/FactSet Auditing Viewer?action=AUDIT_VALUE&amp;DB=129&amp;ID1=36871040&amp;VALUEID=01001&amp;SDATE=200803&amp;PERIODTYPE=QTR_STD&amp;SCFT=3&amp;window=popup_no_bar&amp;width=385&amp;height=120&amp;START_MAXIMIZED=FALSE&amp;creator=factset&amp;display_string=Audit"}</definedName>
    <definedName name="_2039__FDSAUDITLINK__" hidden="1">{"fdsup://Directions/FactSet Auditing Viewer?action=AUDIT_VALUE&amp;DB=129&amp;ID1=36871040&amp;VALUEID=01001&amp;SDATE=200802&amp;PERIODTYPE=QTR_STD&amp;SCFT=3&amp;window=popup_no_bar&amp;width=385&amp;height=120&amp;START_MAXIMIZED=FALSE&amp;creator=factset&amp;display_string=Audit"}</definedName>
    <definedName name="_204__FDSAUDITLINK__" hidden="1">{"fdsup://directions/FAT%20Viewer?VAR:TM=NTMA&amp;VAR:PCT=0.120548&amp;VAR:Y0=2006&amp;VAR:Y1=2007&amp;VAR:V0=16.058040&amp;VAR:V1=14.691836&amp;VAR:V=14.844079&amp;VAR:AUDIT_ID=00000117&amp;VAR:DATE=20061117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Aggregates&amp;VAR:MEASURE=PE_MEAN&amp;VAR:CALC_MODE=PORTFOLIO&amp;VAR:CHGPERIOD=NA&amp;VAR:FQLFORMULA=FMA_PE&amp;VAR:CURRENCY=USD&amp;VAR:P=1","401.203900&amp;VAR:THRESH=||||||&amp;VAR:null=.html"}</definedName>
    <definedName name="_2040__FDSAUDITLINK__" hidden="1">{"fdsup://Directions/FactSet Auditing Viewer?action=AUDIT_VALUE&amp;DB=129&amp;ID1=36871040&amp;VALUEID=01001&amp;SDATE=200801&amp;PERIODTYPE=QTR_STD&amp;SCFT=3&amp;window=popup_no_bar&amp;width=385&amp;height=120&amp;START_MAXIMIZED=FALSE&amp;creator=factset&amp;display_string=Audit"}</definedName>
    <definedName name="_2041__FDSAUDITLINK__" hidden="1">{"fdsup://Directions/FactSet Auditing Viewer?action=AUDIT_VALUE&amp;DB=129&amp;ID1=36871040&amp;VALUEID=01001&amp;SDATE=200704&amp;PERIODTYPE=QTR_STD&amp;SCFT=3&amp;window=popup_no_bar&amp;width=385&amp;height=120&amp;START_MAXIMIZED=FALSE&amp;creator=factset&amp;display_string=Audit"}</definedName>
    <definedName name="_2042__FDSAUDITLINK__" hidden="1">{"fdsup://Directions/FactSet Auditing Viewer?action=AUDIT_VALUE&amp;DB=129&amp;ID1=36871040&amp;VALUEID=01001&amp;SDATE=200703&amp;PERIODTYPE=QTR_STD&amp;SCFT=3&amp;window=popup_no_bar&amp;width=385&amp;height=120&amp;START_MAXIMIZED=FALSE&amp;creator=factset&amp;display_string=Audit"}</definedName>
    <definedName name="_2043__FDSAUDITLINK__" hidden="1">{"fdsup://Directions/FactSet Auditing Viewer?action=AUDIT_VALUE&amp;DB=129&amp;ID1=36871040&amp;VALUEID=01001&amp;SDATE=200702&amp;PERIODTYPE=QTR_STD&amp;SCFT=3&amp;window=popup_no_bar&amp;width=385&amp;height=120&amp;START_MAXIMIZED=FALSE&amp;creator=factset&amp;display_string=Audit"}</definedName>
    <definedName name="_2044__FDSAUDITLINK__" hidden="1">{"fdsup://Directions/FactSet Auditing Viewer?action=AUDIT_VALUE&amp;DB=129&amp;ID1=36871040&amp;VALUEID=01001&amp;SDATE=200701&amp;PERIODTYPE=QTR_STD&amp;SCFT=3&amp;window=popup_no_bar&amp;width=385&amp;height=120&amp;START_MAXIMIZED=FALSE&amp;creator=factset&amp;display_string=Audit"}</definedName>
    <definedName name="_2045__FDSAUDITLINK__" hidden="1">{"fdsup://Directions/FactSet Auditing Viewer?action=AUDIT_VALUE&amp;DB=129&amp;ID1=98302410&amp;VALUEID=01001&amp;SDATE=200902&amp;PERIODTYPE=QTR_STD&amp;SCFT=3&amp;window=popup_no_bar&amp;width=385&amp;height=120&amp;START_MAXIMIZED=FALSE&amp;creator=factset&amp;display_string=Audit"}</definedName>
    <definedName name="_2046__FDSAUDITLINK__" hidden="1">{"fdsup://Directions/FactSet Auditing Viewer?action=AUDIT_VALUE&amp;DB=129&amp;ID1=98302410&amp;VALUEID=01001&amp;SDATE=200901&amp;PERIODTYPE=QTR_STD&amp;SCFT=3&amp;window=popup_no_bar&amp;width=385&amp;height=120&amp;START_MAXIMIZED=FALSE&amp;creator=factset&amp;display_string=Audit"}</definedName>
    <definedName name="_2047__FDSAUDITLINK__" hidden="1">{"fdsup://Directions/FactSet Auditing Viewer?action=AUDIT_VALUE&amp;DB=129&amp;ID1=98302410&amp;VALUEID=01001&amp;SDATE=200804&amp;PERIODTYPE=QTR_STD&amp;SCFT=3&amp;window=popup_no_bar&amp;width=385&amp;height=120&amp;START_MAXIMIZED=FALSE&amp;creator=factset&amp;display_string=Audit"}</definedName>
    <definedName name="_2048__FDSAUDITLINK__" hidden="1">{"fdsup://Directions/FactSet Auditing Viewer?action=AUDIT_VALUE&amp;DB=129&amp;ID1=98302410&amp;VALUEID=01001&amp;SDATE=200803&amp;PERIODTYPE=QTR_STD&amp;SCFT=3&amp;window=popup_no_bar&amp;width=385&amp;height=120&amp;START_MAXIMIZED=FALSE&amp;creator=factset&amp;display_string=Audit"}</definedName>
    <definedName name="_2049__FDSAUDITLINK__" hidden="1">{"fdsup://Directions/FactSet Auditing Viewer?action=AUDIT_VALUE&amp;DB=129&amp;ID1=98302410&amp;VALUEID=01001&amp;SDATE=200802&amp;PERIODTYPE=QTR_STD&amp;SCFT=3&amp;window=popup_no_bar&amp;width=385&amp;height=120&amp;START_MAXIMIZED=FALSE&amp;creator=factset&amp;display_string=Audit"}</definedName>
    <definedName name="_205__FDSAUDITLINK__" hidden="1">{"fdsup://directions/FAT%20Viewer?VAR:TM=NTMA&amp;VAR:PCT=0.139726&amp;VAR:Y0=2006&amp;VAR:Y1=2007&amp;VAR:V0=15.822637&amp;VAR:V1=14.468834&amp;VAR:V=14.643904&amp;VAR:AUDIT_ID=00000117&amp;VAR:DATE=20061110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Aggregates&amp;VAR:MEASURE=PE_MEAN&amp;VAR:CALC_MODE=PORTFOLIO&amp;VAR:CHGPERIOD=NA&amp;VAR:FQLFORMULA=FMA_PE&amp;VAR:CURRENCY=USD&amp;VAR:P=1","380.897200&amp;VAR:THRESH=||||||&amp;VAR:null=.html"}</definedName>
    <definedName name="_2050__FDSAUDITLINK__" hidden="1">{"fdsup://Directions/FactSet Auditing Viewer?action=AUDIT_VALUE&amp;DB=129&amp;ID1=98302410&amp;VALUEID=01001&amp;SDATE=200801&amp;PERIODTYPE=QTR_STD&amp;SCFT=3&amp;window=popup_no_bar&amp;width=385&amp;height=120&amp;START_MAXIMIZED=FALSE&amp;creator=factset&amp;display_string=Audit"}</definedName>
    <definedName name="_2051__FDSAUDITLINK__" hidden="1">{"fdsup://Directions/FactSet Auditing Viewer?action=AUDIT_VALUE&amp;DB=129&amp;ID1=98302410&amp;VALUEID=01001&amp;SDATE=200704&amp;PERIODTYPE=QTR_STD&amp;SCFT=3&amp;window=popup_no_bar&amp;width=385&amp;height=120&amp;START_MAXIMIZED=FALSE&amp;creator=factset&amp;display_string=Audit"}</definedName>
    <definedName name="_2052__FDSAUDITLINK__" hidden="1">{"fdsup://Directions/FactSet Auditing Viewer?action=AUDIT_VALUE&amp;DB=129&amp;ID1=98302410&amp;VALUEID=01001&amp;SDATE=200703&amp;PERIODTYPE=QTR_STD&amp;SCFT=3&amp;window=popup_no_bar&amp;width=385&amp;height=120&amp;START_MAXIMIZED=FALSE&amp;creator=factset&amp;display_string=Audit"}</definedName>
    <definedName name="_2053__FDSAUDITLINK__" hidden="1">{"fdsup://Directions/FactSet Auditing Viewer?action=AUDIT_VALUE&amp;DB=129&amp;ID1=80660510&amp;VALUEID=01001&amp;SDATE=200903&amp;PERIODTYPE=QTR_STD&amp;SCFT=3&amp;window=popup_no_bar&amp;width=385&amp;height=120&amp;START_MAXIMIZED=FALSE&amp;creator=factset&amp;display_string=Audit"}</definedName>
    <definedName name="_2054__FDSAUDITLINK__" hidden="1">{"fdsup://Directions/FactSet Auditing Viewer?action=AUDIT_VALUE&amp;DB=129&amp;ID1=80660510&amp;VALUEID=01001&amp;SDATE=200902&amp;PERIODTYPE=QTR_STD&amp;SCFT=3&amp;window=popup_no_bar&amp;width=385&amp;height=120&amp;START_MAXIMIZED=FALSE&amp;creator=factset&amp;display_string=Audit"}</definedName>
    <definedName name="_2055__FDSAUDITLINK__" hidden="1">{"fdsup://Directions/FactSet Auditing Viewer?action=AUDIT_VALUE&amp;DB=129&amp;ID1=80660510&amp;VALUEID=01001&amp;SDATE=200804&amp;PERIODTYPE=QTR_STD&amp;SCFT=3&amp;window=popup_no_bar&amp;width=385&amp;height=120&amp;START_MAXIMIZED=FALSE&amp;creator=factset&amp;display_string=Audit"}</definedName>
    <definedName name="_2056__FDSAUDITLINK__" hidden="1">{"fdsup://Directions/FactSet Auditing Viewer?action=AUDIT_VALUE&amp;DB=129&amp;ID1=80660510&amp;VALUEID=01001&amp;SDATE=200803&amp;PERIODTYPE=QTR_STD&amp;SCFT=3&amp;window=popup_no_bar&amp;width=385&amp;height=120&amp;START_MAXIMIZED=FALSE&amp;creator=factset&amp;display_string=Audit"}</definedName>
    <definedName name="_2057__FDSAUDITLINK__" hidden="1">{"fdsup://Directions/FactSet Auditing Viewer?action=AUDIT_VALUE&amp;DB=129&amp;ID1=80660510&amp;VALUEID=01001&amp;SDATE=200802&amp;PERIODTYPE=QTR_STD&amp;SCFT=3&amp;window=popup_no_bar&amp;width=385&amp;height=120&amp;START_MAXIMIZED=FALSE&amp;creator=factset&amp;display_string=Audit"}</definedName>
    <definedName name="_2058__FDSAUDITLINK__" hidden="1">{"fdsup://Directions/FactSet Auditing Viewer?action=AUDIT_VALUE&amp;DB=129&amp;ID1=80660510&amp;VALUEID=01001&amp;SDATE=200801&amp;PERIODTYPE=QTR_STD&amp;SCFT=3&amp;window=popup_no_bar&amp;width=385&amp;height=120&amp;START_MAXIMIZED=FALSE&amp;creator=factset&amp;display_string=Audit"}</definedName>
    <definedName name="_2059__FDSAUDITLINK__" hidden="1">{"fdsup://Directions/FactSet Auditing Viewer?action=AUDIT_VALUE&amp;DB=129&amp;ID1=80660510&amp;VALUEID=01001&amp;SDATE=200704&amp;PERIODTYPE=QTR_STD&amp;SCFT=3&amp;window=popup_no_bar&amp;width=385&amp;height=120&amp;START_MAXIMIZED=FALSE&amp;creator=factset&amp;display_string=Audit"}</definedName>
    <definedName name="_206__FDSAUDITLINK__" hidden="1">{"fdsup://directions/FAT%20Viewer?VAR:TM=NTMA&amp;VAR:PCT=0.158904&amp;VAR:Y0=2006&amp;VAR:Y1=2007&amp;VAR:V0=15.621873&amp;VAR:V1=14.275741&amp;VAR:V=14.473928&amp;VAR:AUDIT_ID=00000117&amp;VAR:DATE=20061103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Aggregates&amp;VAR:MEASURE=PE_MEAN&amp;VAR:CALC_MODE=PORTFOLIO&amp;VAR:CHGPERIOD=NA&amp;VAR:FQLFORMULA=FMA_PE&amp;VAR:CURRENCY=USD&amp;VAR:P=1","364.296900&amp;VAR:THRESH=||||||&amp;VAR:null=.html"}</definedName>
    <definedName name="_2060__FDSAUDITLINK__" hidden="1">{"fdsup://directions/FAT Viewer?action=UPDATE&amp;creator=factset&amp;DYN_ARGS=TRUE&amp;DOC_NAME=FAT:FQL_AUDITING_CLIENT_TEMPLATE.FAT&amp;display_string=Audit&amp;VAR:KEY=VKRQTKFUBW&amp;VAR:QUERY=RkZfU0FMRVMoQ0FMLDM5ODEzLCwsLCk=&amp;WINDOW=FIRST_POPUP&amp;HEIGHT=450&amp;WIDTH=450&amp;START_MAXIMI","ZED=FALSE&amp;VAR:CALENDAR=US&amp;VAR:SYMBOL=DNA&amp;VAR:INDEX=0"}</definedName>
    <definedName name="_2061__FDSAUDITLINK__" hidden="1">{"fdsup://directions/FAT Viewer?action=UPDATE&amp;creator=factset&amp;DYN_ARGS=TRUE&amp;DOC_NAME=FAT:FQL_AUDITING_CLIENT_TEMPLATE.FAT&amp;display_string=Audit&amp;VAR:KEY=XEDCREVYZS&amp;VAR:QUERY=RkZfU0FMRVMoQ0FMLDM5NDQ3LCwsLCk=&amp;WINDOW=FIRST_POPUP&amp;HEIGHT=450&amp;WIDTH=450&amp;START_MAXIMI","ZED=FALSE&amp;VAR:CALENDAR=US&amp;VAR:SYMBOL=DNA&amp;VAR:INDEX=0"}</definedName>
    <definedName name="_2062__FDSAUDITLINK__" hidden="1">{"fdsup://directions/FAT Viewer?action=UPDATE&amp;creator=factset&amp;DYN_ARGS=TRUE&amp;DOC_NAME=FAT:FQL_AUDITING_CLIENT_TEMPLATE.FAT&amp;display_string=Audit&amp;VAR:KEY=TOXMHYNEDQ&amp;VAR:QUERY=RkZfU0FMRVMoQ0FMLDM5MDgyLCwsLCk=&amp;WINDOW=FIRST_POPUP&amp;HEIGHT=450&amp;WIDTH=450&amp;START_MAXIMI","ZED=FALSE&amp;VAR:CALENDAR=US&amp;VAR:SYMBOL=DNA&amp;VAR:INDEX=0"}</definedName>
    <definedName name="_2063__FDSAUDITLINK__" hidden="1">{"fdsup://directions/FAT Viewer?action=UPDATE&amp;creator=factset&amp;DYN_ARGS=TRUE&amp;DOC_NAME=FAT:FQL_AUDITING_CLIENT_TEMPLATE.FAT&amp;display_string=Audit&amp;VAR:KEY=BKHAJUZULG&amp;VAR:QUERY=RkZfU0FMRVMoQ0FMLDM4NzE3LCwsLCk=&amp;WINDOW=FIRST_POPUP&amp;HEIGHT=450&amp;WIDTH=450&amp;START_MAXIMI","ZED=FALSE&amp;VAR:CALENDAR=US&amp;VAR:SYMBOL=DNA&amp;VAR:INDEX=0"}</definedName>
    <definedName name="_2064__FDSAUDITLINK__" hidden="1">{"fdsup://directions/FAT Viewer?action=UPDATE&amp;creator=factset&amp;DYN_ARGS=TRUE&amp;DOC_NAME=FAT:FQL_AUDITING_CLIENT_TEMPLATE.FAT&amp;display_string=Audit&amp;VAR:KEY=JYZKZGDIFI&amp;VAR:QUERY=RkZfU0FMRVMoQ0FMLDM4MzUyLCwsLCk=&amp;WINDOW=FIRST_POPUP&amp;HEIGHT=450&amp;WIDTH=450&amp;START_MAXIMI","ZED=FALSE&amp;VAR:CALENDAR=US&amp;VAR:SYMBOL=DNA&amp;VAR:INDEX=0"}</definedName>
    <definedName name="_2065__FDSAUDITLINK__" hidden="1">{"fdsup://directions/FAT Viewer?action=UPDATE&amp;creator=factset&amp;DYN_ARGS=TRUE&amp;DOC_NAME=FAT:FQL_AUDITING_CLIENT_TEMPLATE.FAT&amp;display_string=Audit&amp;VAR:KEY=HONSVQVETW&amp;VAR:QUERY=RkZfU0FMRVMoQ0FMLDM5ODEzLCwsLCk=&amp;WINDOW=FIRST_POPUP&amp;HEIGHT=450&amp;WIDTH=450&amp;START_MAXIMI","ZED=FALSE&amp;VAR:CALENDAR=US&amp;VAR:SYMBOL=SGP&amp;VAR:INDEX=0"}</definedName>
    <definedName name="_2066__FDSAUDITLINK__" hidden="1">{"fdsup://directions/FAT Viewer?action=UPDATE&amp;creator=factset&amp;DYN_ARGS=TRUE&amp;DOC_NAME=FAT:FQL_AUDITING_CLIENT_TEMPLATE.FAT&amp;display_string=Audit&amp;VAR:KEY=DGFOTSZMDS&amp;VAR:QUERY=RkZfU0FMRVMoQ0FMLDM5NDQ3LCwsLCk=&amp;WINDOW=FIRST_POPUP&amp;HEIGHT=450&amp;WIDTH=450&amp;START_MAXIMI","ZED=FALSE&amp;VAR:CALENDAR=US&amp;VAR:SYMBOL=SGP&amp;VAR:INDEX=0"}</definedName>
    <definedName name="_2067__FDSAUDITLINK__" hidden="1">{"fdsup://directions/FAT Viewer?action=UPDATE&amp;creator=factset&amp;DYN_ARGS=TRUE&amp;DOC_NAME=FAT:FQL_AUDITING_CLIENT_TEMPLATE.FAT&amp;display_string=Audit&amp;VAR:KEY=RMFKNYHWPS&amp;VAR:QUERY=RkZfU0FMRVMoQ0FMLDM5MDgyLCwsLCk=&amp;WINDOW=FIRST_POPUP&amp;HEIGHT=450&amp;WIDTH=450&amp;START_MAXIMI","ZED=FALSE&amp;VAR:CALENDAR=US&amp;VAR:SYMBOL=SGP&amp;VAR:INDEX=0"}</definedName>
    <definedName name="_2068__FDSAUDITLINK__" hidden="1">{"fdsup://directions/FAT Viewer?action=UPDATE&amp;creator=factset&amp;DYN_ARGS=TRUE&amp;DOC_NAME=FAT:FQL_AUDITING_CLIENT_TEMPLATE.FAT&amp;display_string=Audit&amp;VAR:KEY=DKZQFGPGZY&amp;VAR:QUERY=RkZfU0FMRVMoQ0FMLDM4NzE3LCwsLCk=&amp;WINDOW=FIRST_POPUP&amp;HEIGHT=450&amp;WIDTH=450&amp;START_MAXIMI","ZED=FALSE&amp;VAR:CALENDAR=US&amp;VAR:SYMBOL=SGP&amp;VAR:INDEX=0"}</definedName>
    <definedName name="_2069__FDSAUDITLINK__" hidden="1">{"fdsup://directions/FAT Viewer?action=UPDATE&amp;creator=factset&amp;DYN_ARGS=TRUE&amp;DOC_NAME=FAT:FQL_AUDITING_CLIENT_TEMPLATE.FAT&amp;display_string=Audit&amp;VAR:KEY=BSFAVMVYRK&amp;VAR:QUERY=RkZfU0FMRVMoQ0FMLDM4MzUyLCwsLCk=&amp;WINDOW=FIRST_POPUP&amp;HEIGHT=450&amp;WIDTH=450&amp;START_MAXIMI","ZED=FALSE&amp;VAR:CALENDAR=US&amp;VAR:SYMBOL=SGP&amp;VAR:INDEX=0"}</definedName>
    <definedName name="_207__FDSAUDITLINK__" hidden="1">{"fdsup://directions/FAT%20Viewer?VAR:TM=NTMA&amp;VAR:PCT=0.178082&amp;VAR:Y0=2006&amp;VAR:Y1=2007&amp;VAR:V0=15.779421&amp;VAR:V1=14.405946&amp;VAR:V=14.632763&amp;VAR:AUDIT_ID=00000117&amp;VAR:DATE=20061027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Aggregates&amp;VAR:MEASURE=PE_MEAN&amp;VAR:CALC_MODE=PORTFOLIO&amp;VAR:CHGPERIOD=NA&amp;VAR:FQLFORMULA=FMA_PE&amp;VAR:CURRENCY=USD&amp;VAR:P=1","377.339600&amp;VAR:THRESH=||||||&amp;VAR:null=.html"}</definedName>
    <definedName name="_2070__FDSAUDITLINK__" hidden="1">{"fdsup://directions/FAT Viewer?action=UPDATE&amp;creator=factset&amp;DYN_ARGS=TRUE&amp;DOC_NAME=FAT:FQL_AUDITING_CLIENT_TEMPLATE.FAT&amp;display_string=Audit&amp;VAR:KEY=VQLSXQNWTQ&amp;VAR:QUERY=RkZfU0FMRVMoQ0FMLDM5ODEzLCwsLCk=&amp;WINDOW=FIRST_POPUP&amp;HEIGHT=450&amp;WIDTH=450&amp;START_MAXIMI","ZED=FALSE&amp;VAR:CALENDAR=US&amp;VAR:SYMBOL=WYE&amp;VAR:INDEX=0"}</definedName>
    <definedName name="_2071__FDSAUDITLINK__" hidden="1">{"fdsup://directions/FAT Viewer?action=UPDATE&amp;creator=factset&amp;DYN_ARGS=TRUE&amp;DOC_NAME=FAT:FQL_AUDITING_CLIENT_TEMPLATE.FAT&amp;display_string=Audit&amp;VAR:KEY=LYBCHAXYFU&amp;VAR:QUERY=RkZfU0FMRVMoQ0FMLDM5NDQ3LCwsLCk=&amp;WINDOW=FIRST_POPUP&amp;HEIGHT=450&amp;WIDTH=450&amp;START_MAXIMI","ZED=FALSE&amp;VAR:CALENDAR=US&amp;VAR:SYMBOL=WYE&amp;VAR:INDEX=0"}</definedName>
    <definedName name="_2072__FDSAUDITLINK__" hidden="1">{"fdsup://directions/FAT Viewer?action=UPDATE&amp;creator=factset&amp;DYN_ARGS=TRUE&amp;DOC_NAME=FAT:FQL_AUDITING_CLIENT_TEMPLATE.FAT&amp;display_string=Audit&amp;VAR:KEY=VEPGFILCPM&amp;VAR:QUERY=RkZfU0FMRVMoQ0FMLDM5MDgyLCwsLCk=&amp;WINDOW=FIRST_POPUP&amp;HEIGHT=450&amp;WIDTH=450&amp;START_MAXIMI","ZED=FALSE&amp;VAR:CALENDAR=US&amp;VAR:SYMBOL=WYE&amp;VAR:INDEX=0"}</definedName>
    <definedName name="_2073__FDSAUDITLINK__" hidden="1">{"fdsup://directions/FAT Viewer?action=UPDATE&amp;creator=factset&amp;DYN_ARGS=TRUE&amp;DOC_NAME=FAT:FQL_AUDITING_CLIENT_TEMPLATE.FAT&amp;display_string=Audit&amp;VAR:KEY=LIHSTKLYLI&amp;VAR:QUERY=RkZfU0FMRVMoQ0FMLDM4NzE3LCwsLCk=&amp;WINDOW=FIRST_POPUP&amp;HEIGHT=450&amp;WIDTH=450&amp;START_MAXIMI","ZED=FALSE&amp;VAR:CALENDAR=US&amp;VAR:SYMBOL=WYE&amp;VAR:INDEX=0"}</definedName>
    <definedName name="_2074__FDSAUDITLINK__" hidden="1">{"fdsup://directions/FAT Viewer?action=UPDATE&amp;creator=factset&amp;DYN_ARGS=TRUE&amp;DOC_NAME=FAT:FQL_AUDITING_CLIENT_TEMPLATE.FAT&amp;display_string=Audit&amp;VAR:KEY=ZIFWJMBGTI&amp;VAR:QUERY=RkZfU0FMRVMoQ0FMLDM4MzUyLCwsLCk=&amp;WINDOW=FIRST_POPUP&amp;HEIGHT=450&amp;WIDTH=450&amp;START_MAXIMI","ZED=FALSE&amp;VAR:CALENDAR=US&amp;VAR:SYMBOL=WYE&amp;VAR:INDEX=0"}</definedName>
    <definedName name="_2075__FDSAUDITLINK__" hidden="1">{"fdsup://directions/FAT Viewer?action=UPDATE&amp;creator=factset&amp;DYN_ARGS=TRUE&amp;DOC_NAME=FAT:FQL_AUDITING_CLIENT_TEMPLATE.FAT&amp;display_string=Audit&amp;VAR:KEY=PSFYRIZWZC&amp;VAR:QUERY=RkZfU0FMRVMoQ0FMLDQwNTQzLCwsLFVTRCk=&amp;WINDOW=FIRST_POPUP&amp;HEIGHT=450&amp;WIDTH=450&amp;START_MA","XIMIZED=FALSE&amp;VAR:CALENDAR=US&amp;VAR:SYMBOL=BIIB&amp;VAR:INDEX=0"}</definedName>
    <definedName name="_2076__FDSAUDITLINK__" hidden="1">{"fdsup://directions/FAT Viewer?action=UPDATE&amp;creator=factset&amp;DYN_ARGS=TRUE&amp;DOC_NAME=FAT:FQL_AUDITING_CLIENT_TEMPLATE.FAT&amp;display_string=Audit&amp;VAR:KEY=FULAJKBUXO&amp;VAR:QUERY=RkZfU0FMRVMoQ0FMLDQwNTQzLCwsLFVTRCk=&amp;WINDOW=FIRST_POPUP&amp;HEIGHT=450&amp;WIDTH=450&amp;START_MA","XIMIZED=FALSE&amp;VAR:CALENDAR=US&amp;VAR:SYMBOL=707752&amp;VAR:INDEX=0"}</definedName>
    <definedName name="_2077__FDSAUDITLINK__" hidden="1">{"fdsup://directions/FAT Viewer?action=UPDATE&amp;creator=factset&amp;DYN_ARGS=TRUE&amp;DOC_NAME=FAT:FQL_AUDITING_CLIENT_TEMPLATE.FAT&amp;display_string=Audit&amp;VAR:KEY=RIBWDWRERQ&amp;VAR:QUERY=RkZfU0FMRVMoQ0FMLDQwNTQzLCwsLFVTRCk=&amp;WINDOW=FIRST_POPUP&amp;HEIGHT=450&amp;WIDTH=450&amp;START_MA","XIMIZED=FALSE&amp;VAR:CALENDAR=US&amp;VAR:SYMBOL=630720&amp;VAR:INDEX=0"}</definedName>
    <definedName name="_2078__FDSAUDITLINK__" hidden="1">{"fdsup://directions/FAT Viewer?action=UPDATE&amp;creator=factset&amp;DYN_ARGS=TRUE&amp;DOC_NAME=FAT:FQL_AUDITING_CLIENT_TEMPLATE.FAT&amp;display_string=Audit&amp;VAR:KEY=HGDSFIHCJA&amp;VAR:QUERY=RkZfU0FMRVMoQ0FMLDQwNTQzLCwsLFVTRCk=&amp;WINDOW=FIRST_POPUP&amp;HEIGHT=450&amp;WIDTH=450&amp;START_MA","XIMIZED=FALSE&amp;VAR:CALENDAR=US&amp;VAR:SYMBOL=698538&amp;VAR:INDEX=0"}</definedName>
    <definedName name="_2079__FDSAUDITLINK__" hidden="1">{"fdsup://directions/FAT Viewer?action=UPDATE&amp;creator=factset&amp;DYN_ARGS=TRUE&amp;DOC_NAME=FAT:FQL_AUDITING_CLIENT_TEMPLATE.FAT&amp;display_string=Audit&amp;VAR:KEY=BQFYVIHSFI&amp;VAR:QUERY=RkZfU0FMRVMoQ0FMLDQwNTQzLCwsLFVTRCk=&amp;WINDOW=FIRST_POPUP&amp;HEIGHT=450&amp;WIDTH=450&amp;START_MA","XIMIZED=FALSE&amp;VAR:CALENDAR=US&amp;VAR:SYMBOL=474184&amp;VAR:INDEX=0"}</definedName>
    <definedName name="_208__FDSAUDITLINK__" hidden="1">{"fdsup://directions/FAT%20Viewer?VAR:TM=NTMA&amp;VAR:PCT=0.197260&amp;VAR:Y0=2006&amp;VAR:Y1=2007&amp;VAR:V0=15.740680&amp;VAR:V1=14.326075&amp;VAR:V=14.584626&amp;VAR:AUDIT_ID=00000117&amp;VAR:DATE=20061020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Aggregates&amp;VAR:MEASURE=PE_MEAN&amp;VAR:CALC_MODE=PORTFOLIO&amp;VAR:CHGPERIOD=NA&amp;VAR:FQLFORMULA=FMA_PE&amp;VAR:CURRENCY=USD&amp;VAR:P=1","368.598100&amp;VAR:THRESH=||||||&amp;VAR:null=.html"}</definedName>
    <definedName name="_2080__FDSAUDITLINK__" hidden="1">{"fdsup://directions/FAT Viewer?action=UPDATE&amp;creator=factset&amp;DYN_ARGS=TRUE&amp;DOC_NAME=FAT:FQL_AUDITING_CLIENT_TEMPLATE.FAT&amp;display_string=Audit&amp;VAR:KEY=FOZCTETIXS&amp;VAR:QUERY=RkZfU0FMRVMoQ0FMLDQwNTQzLCwsLFVTRCk=&amp;WINDOW=FIRST_POPUP&amp;HEIGHT=450&amp;WIDTH=450&amp;START_MA","XIMIZED=FALSE&amp;VAR:CALENDAR=US&amp;VAR:SYMBOL=B0J7D9&amp;VAR:INDEX=0"}</definedName>
    <definedName name="_2081__FDSAUDITLINK__" hidden="1">{"fdsup://directions/FAT Viewer?action=UPDATE&amp;creator=factset&amp;DYN_ARGS=TRUE&amp;DOC_NAME=FAT:FQL_AUDITING_CLIENT_TEMPLATE.FAT&amp;display_string=Audit&amp;VAR:KEY=XWNMHODIRY&amp;VAR:QUERY=RkZfU0FMRVMoQ0FMLDQwNTQzLCwsLFVTRCk=&amp;WINDOW=FIRST_POPUP&amp;HEIGHT=450&amp;WIDTH=450&amp;START_MA","XIMIZED=FALSE&amp;VAR:CALENDAR=US&amp;VAR:SYMBOL=AMGN&amp;VAR:INDEX=0"}</definedName>
    <definedName name="_2082__FDSAUDITLINK__" hidden="1">{"fdsup://directions/FAT Viewer?action=UPDATE&amp;creator=factset&amp;DYN_ARGS=TRUE&amp;DOC_NAME=FAT:FQL_AUDITING_CLIENT_TEMPLATE.FAT&amp;display_string=Audit&amp;VAR:KEY=PWBYBYZGVC&amp;VAR:QUERY=RkZfU0FMRVMoQ0FMLDQwNTQzLCwsLFVTRCk=&amp;WINDOW=FIRST_POPUP&amp;HEIGHT=450&amp;WIDTH=450&amp;START_MA","XIMIZED=FALSE&amp;VAR:CALENDAR=US&amp;VAR:SYMBOL=ABT&amp;VAR:INDEX=0"}</definedName>
    <definedName name="_2083__FDSAUDITLINK__" hidden="1">{"fdsup://directions/FAT Viewer?action=UPDATE&amp;creator=factset&amp;DYN_ARGS=TRUE&amp;DOC_NAME=FAT:FQL_AUDITING_CLIENT_TEMPLATE.FAT&amp;display_string=Audit&amp;VAR:KEY=HMVWDILITS&amp;VAR:QUERY=RkZfU0FMRVMoQ0FMLDQwNTQzLCwsLFVTRCk=&amp;WINDOW=FIRST_POPUP&amp;HEIGHT=450&amp;WIDTH=450&amp;START_MA","XIMIZED=FALSE&amp;VAR:CALENDAR=US&amp;VAR:SYMBOL=687044&amp;VAR:INDEX=0"}</definedName>
    <definedName name="_2084__FDSAUDITLINK__" hidden="1">{"fdsup://directions/FAT Viewer?action=UPDATE&amp;creator=factset&amp;DYN_ARGS=TRUE&amp;DOC_NAME=FAT:FQL_AUDITING_CLIENT_TEMPLATE.FAT&amp;display_string=Audit&amp;VAR:KEY=DARUTYDUXC&amp;VAR:QUERY=RkZfU0FMRVMoQ0FMLDQwNTQzLCwsLFVTRCk=&amp;WINDOW=FIRST_POPUP&amp;HEIGHT=450&amp;WIDTH=450&amp;START_MA","XIMIZED=FALSE&amp;VAR:CALENDAR=US&amp;VAR:SYMBOL=BMY&amp;VAR:INDEX=0"}</definedName>
    <definedName name="_2085__FDSAUDITLINK__" hidden="1">{"fdsup://directions/FAT Viewer?action=UPDATE&amp;creator=factset&amp;DYN_ARGS=TRUE&amp;DOC_NAME=FAT:FQL_AUDITING_CLIENT_TEMPLATE.FAT&amp;display_string=Audit&amp;VAR:KEY=POPKTAPQJQ&amp;VAR:QUERY=RkZfU0FMRVMoQ0FMLDQwNTQzLCwsLFVTRCk=&amp;WINDOW=FIRST_POPUP&amp;HEIGHT=450&amp;WIDTH=450&amp;START_MA","XIMIZED=FALSE&amp;VAR:CALENDAR=US&amp;VAR:SYMBOL=LLY&amp;VAR:INDEX=0"}</definedName>
    <definedName name="_2086__FDSAUDITLINK__" hidden="1">{"fdsup://directions/FAT Viewer?action=UPDATE&amp;creator=factset&amp;DYN_ARGS=TRUE&amp;DOC_NAME=FAT:FQL_AUDITING_CLIENT_TEMPLATE.FAT&amp;display_string=Audit&amp;VAR:KEY=XOJCXURYNY&amp;VAR:QUERY=RkZfU0FMRVMoQ0FMLDQwNTQzLCwsLFVTRCk=&amp;WINDOW=FIRST_POPUP&amp;HEIGHT=450&amp;WIDTH=450&amp;START_MA","XIMIZED=FALSE&amp;VAR:CALENDAR=US&amp;VAR:SYMBOL=506921&amp;VAR:INDEX=0"}</definedName>
    <definedName name="_2087__FDSAUDITLINK__" hidden="1">{"fdsup://directions/FAT Viewer?action=UPDATE&amp;creator=factset&amp;DYN_ARGS=TRUE&amp;DOC_NAME=FAT:FQL_AUDITING_CLIENT_TEMPLATE.FAT&amp;display_string=Audit&amp;VAR:KEY=VSPKTEVIFI&amp;VAR:QUERY=RkZfU0FMRVMoQ0FMLDQwNTQzLCwsLFVTRCk=&amp;WINDOW=FIRST_POPUP&amp;HEIGHT=450&amp;WIDTH=450&amp;START_MA","XIMIZED=FALSE&amp;VAR:CALENDAR=US&amp;VAR:SYMBOL=567173&amp;VAR:INDEX=0"}</definedName>
    <definedName name="_2088__FDSAUDITLINK__" hidden="1">{"fdsup://directions/FAT Viewer?action=UPDATE&amp;creator=factset&amp;DYN_ARGS=TRUE&amp;DOC_NAME=FAT:FQL_AUDITING_CLIENT_TEMPLATE.FAT&amp;display_string=Audit&amp;VAR:KEY=BCLQRKPMJI&amp;VAR:QUERY=RkZfU0FMRVMoQ0FMLDQwNTQzLCwsLFVTRCk=&amp;WINDOW=FIRST_POPUP&amp;HEIGHT=450&amp;WIDTH=450&amp;START_MA","XIMIZED=FALSE&amp;VAR:CALENDAR=US&amp;VAR:SYMBOL=JNJ&amp;VAR:INDEX=0"}</definedName>
    <definedName name="_2089__FDSAUDITLINK__" hidden="1">{"fdsup://directions/FAT Viewer?action=UPDATE&amp;creator=factset&amp;DYN_ARGS=TRUE&amp;DOC_NAME=FAT:FQL_AUDITING_CLIENT_TEMPLATE.FAT&amp;display_string=Audit&amp;VAR:KEY=VIFKZADUDQ&amp;VAR:QUERY=RkZfU0FMRVMoQ0FMLDQwNTQzLCwsLFVTRCk=&amp;WINDOW=FIRST_POPUP&amp;HEIGHT=450&amp;WIDTH=450&amp;START_MA","XIMIZED=FALSE&amp;VAR:CALENDAR=US&amp;VAR:SYMBOL=710306&amp;VAR:INDEX=0"}</definedName>
    <definedName name="_209__FDSAUDITLINK__" hidden="1">{"fdsup://directions/FAT%20Viewer?VAR:TM=NTMA&amp;VAR:PCT=0.216438&amp;VAR:Y0=2006&amp;VAR:Y1=2007&amp;VAR:V0=15.740006&amp;VAR:V1=14.297477&amp;VAR:V=14.586821&amp;VAR:AUDIT_ID=00000117&amp;VAR:DATE=20061013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Aggregates&amp;VAR:MEASURE=PE_MEAN&amp;VAR:CALC_MODE=PORTFOLIO&amp;VAR:CHGPERIOD=NA&amp;VAR:FQLFORMULA=FMA_PE&amp;VAR:CURRENCY=USD&amp;VAR:P=1","365.615200&amp;VAR:THRESH=||||||&amp;VAR:null=.html"}</definedName>
    <definedName name="_2090__FDSAUDITLINK__" hidden="1">{"fdsup://directions/FAT Viewer?action=UPDATE&amp;creator=factset&amp;DYN_ARGS=TRUE&amp;DOC_NAME=FAT:FQL_AUDITING_CLIENT_TEMPLATE.FAT&amp;display_string=Audit&amp;VAR:KEY=LUZWFQNOTG&amp;VAR:QUERY=RkZfU0FMRVMoQ0FMLDQwNTQzLCwsLFVTRCk=&amp;WINDOW=FIRST_POPUP&amp;HEIGHT=450&amp;WIDTH=450&amp;START_MA","XIMIZED=FALSE&amp;VAR:CALENDAR=US&amp;VAR:SYMBOL=711038&amp;VAR:INDEX=0"}</definedName>
    <definedName name="_2091__FDSAUDITLINK__" hidden="1">{"fdsup://directions/FAT Viewer?action=UPDATE&amp;creator=factset&amp;DYN_ARGS=TRUE&amp;DOC_NAME=FAT:FQL_AUDITING_CLIENT_TEMPLATE.FAT&amp;display_string=Audit&amp;VAR:KEY=DMDIZURKRI&amp;VAR:QUERY=RkZfU0FMRVMoQ0FMLDQwNTQzLCwsLFVTRCk=&amp;WINDOW=FIRST_POPUP&amp;HEIGHT=450&amp;WIDTH=450&amp;START_MA","XIMIZED=FALSE&amp;VAR:CALENDAR=US&amp;VAR:SYMBOL=MRK&amp;VAR:INDEX=0"}</definedName>
    <definedName name="_2092__FDSAUDITLINK__" hidden="1">{"fdsup://directions/FAT Viewer?action=UPDATE&amp;creator=factset&amp;DYN_ARGS=TRUE&amp;DOC_NAME=FAT:FQL_AUDITING_CLIENT_TEMPLATE.FAT&amp;display_string=Audit&amp;VAR:KEY=HGVYHKXCNO&amp;VAR:QUERY=RkZfU0FMRVMoQ0FMLDQwNTQzLCwsLFVTRCk=&amp;WINDOW=FIRST_POPUP&amp;HEIGHT=450&amp;WIDTH=450&amp;START_MA","XIMIZED=FALSE&amp;VAR:CALENDAR=US&amp;VAR:SYMBOL=PFE&amp;VAR:INDEX=0"}</definedName>
    <definedName name="_2093__FDSAUDITLINK__" hidden="1">{"fdsup://directions/FAT Viewer?action=UPDATE&amp;creator=factset&amp;DYN_ARGS=TRUE&amp;DOC_NAME=FAT:FQL_AUDITING_CLIENT_TEMPLATE.FAT&amp;display_string=Audit&amp;VAR:KEY=PYFKPQPOHY&amp;VAR:QUERY=RkZfU0FMRVMoQ0FMLDQwNTQzLCwsLCk=&amp;WINDOW=FIRST_POPUP&amp;HEIGHT=450&amp;WIDTH=450&amp;START_MAXIMI","ZED=FALSE&amp;VAR:CALENDAR=US&amp;VAR:SYMBOL=BIIB&amp;VAR:INDEX=0"}</definedName>
    <definedName name="_2094__FDSAUDITLINK__" hidden="1">{"fdsup://directions/FAT Viewer?action=UPDATE&amp;creator=factset&amp;DYN_ARGS=TRUE&amp;DOC_NAME=FAT:FQL_AUDITING_CLIENT_TEMPLATE.FAT&amp;display_string=Audit&amp;VAR:KEY=ZQLUZKTERW&amp;VAR:QUERY=RkZfU0FMRVMoQ0FMLDQwMTc4LCwsLCk=&amp;WINDOW=FIRST_POPUP&amp;HEIGHT=450&amp;WIDTH=450&amp;START_MAXIMI","ZED=FALSE&amp;VAR:CALENDAR=US&amp;VAR:SYMBOL=BIIB&amp;VAR:INDEX=0"}</definedName>
    <definedName name="_2095__FDSAUDITLINK__" hidden="1">{"fdsup://directions/FAT Viewer?action=UPDATE&amp;creator=factset&amp;DYN_ARGS=TRUE&amp;DOC_NAME=FAT:FQL_AUDITING_CLIENT_TEMPLATE.FAT&amp;display_string=Audit&amp;VAR:KEY=XOLSHCXGBA&amp;VAR:QUERY=RkZfU0FMRVMoQ0FMLDM5ODEzLCwsLCk=&amp;WINDOW=FIRST_POPUP&amp;HEIGHT=450&amp;WIDTH=450&amp;START_MAXIMI","ZED=FALSE&amp;VAR:CALENDAR=US&amp;VAR:SYMBOL=BIIB&amp;VAR:INDEX=0"}</definedName>
    <definedName name="_2096__FDSAUDITLINK__" hidden="1">{"fdsup://directions/FAT Viewer?action=UPDATE&amp;creator=factset&amp;DYN_ARGS=TRUE&amp;DOC_NAME=FAT:FQL_AUDITING_CLIENT_TEMPLATE.FAT&amp;display_string=Audit&amp;VAR:KEY=LYPQBETAZS&amp;VAR:QUERY=RkZfU0FMRVMoQ0FMLDM5NDQ3LCwsLCk=&amp;WINDOW=FIRST_POPUP&amp;HEIGHT=450&amp;WIDTH=450&amp;START_MAXIMI","ZED=FALSE&amp;VAR:CALENDAR=US&amp;VAR:SYMBOL=BIIB&amp;VAR:INDEX=0"}</definedName>
    <definedName name="_2097__FDSAUDITLINK__" hidden="1">{"fdsup://directions/FAT Viewer?action=UPDATE&amp;creator=factset&amp;DYN_ARGS=TRUE&amp;DOC_NAME=FAT:FQL_AUDITING_CLIENT_TEMPLATE.FAT&amp;display_string=Audit&amp;VAR:KEY=ZELAFGHURE&amp;VAR:QUERY=RkZfU0FMRVMoQ0FMLDM5MDgyLCwsLCk=&amp;WINDOW=FIRST_POPUP&amp;HEIGHT=450&amp;WIDTH=450&amp;START_MAXIMI","ZED=FALSE&amp;VAR:CALENDAR=US&amp;VAR:SYMBOL=BIIB&amp;VAR:INDEX=0"}</definedName>
    <definedName name="_2098__FDSAUDITLINK__" hidden="1">{"fdsup://directions/FAT Viewer?action=UPDATE&amp;creator=factset&amp;DYN_ARGS=TRUE&amp;DOC_NAME=FAT:FQL_AUDITING_CLIENT_TEMPLATE.FAT&amp;display_string=Audit&amp;VAR:KEY=JEJEDARGZU&amp;VAR:QUERY=RkZfU0FMRVMoQ0FMLDM4NzE3LCwsLCk=&amp;WINDOW=FIRST_POPUP&amp;HEIGHT=450&amp;WIDTH=450&amp;START_MAXIMI","ZED=FALSE&amp;VAR:CALENDAR=US&amp;VAR:SYMBOL=BIIB&amp;VAR:INDEX=0"}</definedName>
    <definedName name="_2099__FDSAUDITLINK__" hidden="1">{"fdsup://directions/FAT Viewer?action=UPDATE&amp;creator=factset&amp;DYN_ARGS=TRUE&amp;DOC_NAME=FAT:FQL_AUDITING_CLIENT_TEMPLATE.FAT&amp;display_string=Audit&amp;VAR:KEY=BGRMFOVODW&amp;VAR:QUERY=RkZfU0FMRVMoQ0FMLDM4MzUyLCwsLCk=&amp;WINDOW=FIRST_POPUP&amp;HEIGHT=450&amp;WIDTH=450&amp;START_MAXIMI","ZED=FALSE&amp;VAR:CALENDAR=US&amp;VAR:SYMBOL=BIIB&amp;VAR:INDEX=0"}</definedName>
    <definedName name="_21__FDSAUDITLINK__" hidden="1">{"fdsup://directions/FAT%20Viewer?VAR:TM=NTMA&amp;VAR:PCT=0.613699&amp;VAR:Y0=2010&amp;VAR:Y1=2011&amp;VAR:V0=13.168827&amp;VAR:V1=11.217383&amp;VAR:V=12.339567&amp;VAR:AUDIT_ID=00000117&amp;VAR:DATE=20100521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Aggregates&amp;VAR:MEASURE=PE_MEAN&amp;VAR:CALC_MODE=PORTFOLIO&amp;VAR:CHGPERIOD=NA&amp;VAR:FQLFORMULA=FMA_PE&amp;VAR:CURRENCY=USD&amp;VAR:P=1","087.693251&amp;VAR:THRESH=||||||&amp;VAR:null=.html"}</definedName>
    <definedName name="_210__FDSAUDITLINK__" hidden="1">{"fdsup://directions/FAT%20Viewer?VAR:TM=NTMA&amp;VAR:PCT=0.235616&amp;VAR:Y0=2006&amp;VAR:Y1=2007&amp;VAR:V0=15.536911&amp;VAR:V1=14.099346&amp;VAR:V=14.413570&amp;VAR:AUDIT_ID=00000117&amp;VAR:DATE=20061006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Aggregates&amp;VAR:MEASURE=PE_MEAN&amp;VAR:CALC_MODE=PORTFOLIO&amp;VAR:CHGPERIOD=NA&amp;VAR:FQLFORMULA=FMA_PE&amp;VAR:CURRENCY=USD&amp;VAR:P=1","349.583500&amp;VAR:THRESH=||||||&amp;VAR:null=.html"}</definedName>
    <definedName name="_2100__FDSAUDITLINK__" hidden="1">{"fdsup://directions/FAT Viewer?action=UPDATE&amp;creator=factset&amp;DYN_ARGS=TRUE&amp;DOC_NAME=FAT:FQL_AUDITING_CLIENT_TEMPLATE.FAT&amp;display_string=Audit&amp;VAR:KEY=PWBSNCLCBA&amp;VAR:QUERY=RkZfU0FMRVMoQ0FMLDQwNTQzLCwsLCk=&amp;WINDOW=FIRST_POPUP&amp;HEIGHT=450&amp;WIDTH=450&amp;START_MAXIMI","ZED=FALSE&amp;VAR:CALENDAR=US&amp;VAR:SYMBOL=707752&amp;VAR:INDEX=0"}</definedName>
    <definedName name="_2101__FDSAUDITLINK__" hidden="1">{"fdsup://directions/FAT Viewer?action=UPDATE&amp;creator=factset&amp;DYN_ARGS=TRUE&amp;DOC_NAME=FAT:FQL_AUDITING_CLIENT_TEMPLATE.FAT&amp;display_string=Audit&amp;VAR:KEY=LUHEVWHCDE&amp;VAR:QUERY=RkZfU0FMRVMoQ0FMLDQwMTc4LCwsLCk=&amp;WINDOW=FIRST_POPUP&amp;HEIGHT=450&amp;WIDTH=450&amp;START_MAXIMI","ZED=FALSE&amp;VAR:CALENDAR=US&amp;VAR:SYMBOL=707752&amp;VAR:INDEX=0"}</definedName>
    <definedName name="_2102__FDSAUDITLINK__" hidden="1">{"fdsup://directions/FAT Viewer?action=UPDATE&amp;creator=factset&amp;DYN_ARGS=TRUE&amp;DOC_NAME=FAT:FQL_AUDITING_CLIENT_TEMPLATE.FAT&amp;display_string=Audit&amp;VAR:KEY=JWVKFOHATC&amp;VAR:QUERY=RkZfU0FMRVMoQ0FMLDM5ODEzLCwsLCk=&amp;WINDOW=FIRST_POPUP&amp;HEIGHT=450&amp;WIDTH=450&amp;START_MAXIMI","ZED=FALSE&amp;VAR:CALENDAR=US&amp;VAR:SYMBOL=707752&amp;VAR:INDEX=0"}</definedName>
    <definedName name="_2103__FDSAUDITLINK__" hidden="1">{"fdsup://directions/FAT Viewer?action=UPDATE&amp;creator=factset&amp;DYN_ARGS=TRUE&amp;DOC_NAME=FAT:FQL_AUDITING_CLIENT_TEMPLATE.FAT&amp;display_string=Audit&amp;VAR:KEY=VWHYNKZKRG&amp;VAR:QUERY=RkZfU0FMRVMoQ0FMLDM5NDQ3LCwsLCk=&amp;WINDOW=FIRST_POPUP&amp;HEIGHT=450&amp;WIDTH=450&amp;START_MAXIMI","ZED=FALSE&amp;VAR:CALENDAR=US&amp;VAR:SYMBOL=707752&amp;VAR:INDEX=0"}</definedName>
    <definedName name="_2104__FDSAUDITLINK__" hidden="1">{"fdsup://directions/FAT Viewer?action=UPDATE&amp;creator=factset&amp;DYN_ARGS=TRUE&amp;DOC_NAME=FAT:FQL_AUDITING_CLIENT_TEMPLATE.FAT&amp;display_string=Audit&amp;VAR:KEY=XQPUJIHOVS&amp;VAR:QUERY=RkZfU0FMRVMoQ0FMLDQwNTQzLCwsLCk=&amp;WINDOW=FIRST_POPUP&amp;HEIGHT=450&amp;WIDTH=450&amp;START_MAXIMI","ZED=FALSE&amp;VAR:CALENDAR=US&amp;VAR:SYMBOL=630720&amp;VAR:INDEX=0"}</definedName>
    <definedName name="_2105__FDSAUDITLINK__" hidden="1">{"fdsup://directions/FAT Viewer?action=UPDATE&amp;creator=factset&amp;DYN_ARGS=TRUE&amp;DOC_NAME=FAT:FQL_AUDITING_CLIENT_TEMPLATE.FAT&amp;display_string=Audit&amp;VAR:KEY=ZEHGRSXYRY&amp;VAR:QUERY=RkZfU0FMRVMoQ0FMLDQwMTc4LCwsLCk=&amp;WINDOW=FIRST_POPUP&amp;HEIGHT=450&amp;WIDTH=450&amp;START_MAXIMI","ZED=FALSE&amp;VAR:CALENDAR=US&amp;VAR:SYMBOL=630720&amp;VAR:INDEX=0"}</definedName>
    <definedName name="_2106__FDSAUDITLINK__" hidden="1">{"fdsup://directions/FAT Viewer?action=UPDATE&amp;creator=factset&amp;DYN_ARGS=TRUE&amp;DOC_NAME=FAT:FQL_AUDITING_CLIENT_TEMPLATE.FAT&amp;display_string=Audit&amp;VAR:KEY=HADCZKLKPY&amp;VAR:QUERY=RkZfU0FMRVMoQ0FMLDM5ODEzLCwsLCk=&amp;WINDOW=FIRST_POPUP&amp;HEIGHT=450&amp;WIDTH=450&amp;START_MAXIMI","ZED=FALSE&amp;VAR:CALENDAR=US&amp;VAR:SYMBOL=630720&amp;VAR:INDEX=0"}</definedName>
    <definedName name="_2107__FDSAUDITLINK__" hidden="1">{"fdsup://directions/FAT Viewer?action=UPDATE&amp;creator=factset&amp;DYN_ARGS=TRUE&amp;DOC_NAME=FAT:FQL_AUDITING_CLIENT_TEMPLATE.FAT&amp;display_string=Audit&amp;VAR:KEY=RYPORYFIJI&amp;VAR:QUERY=RkZfU0FMRVMoQ0FMLDM5NDQ3LCwsLCk=&amp;WINDOW=FIRST_POPUP&amp;HEIGHT=450&amp;WIDTH=450&amp;START_MAXIMI","ZED=FALSE&amp;VAR:CALENDAR=US&amp;VAR:SYMBOL=630720&amp;VAR:INDEX=0"}</definedName>
    <definedName name="_2108__FDSAUDITLINK__" hidden="1">{"fdsup://directions/FAT Viewer?action=UPDATE&amp;creator=factset&amp;DYN_ARGS=TRUE&amp;DOC_NAME=FAT:FQL_AUDITING_CLIENT_TEMPLATE.FAT&amp;display_string=Audit&amp;VAR:KEY=XOXAFQPQBU&amp;VAR:QUERY=RkZfU0FMRVMoQ0FMLDM5MDgyLCwsLCk=&amp;WINDOW=FIRST_POPUP&amp;HEIGHT=450&amp;WIDTH=450&amp;START_MAXIMI","ZED=FALSE&amp;VAR:CALENDAR=US&amp;VAR:SYMBOL=630720&amp;VAR:INDEX=0"}</definedName>
    <definedName name="_2109__FDSAUDITLINK__" hidden="1">{"fdsup://directions/FAT Viewer?action=UPDATE&amp;creator=factset&amp;DYN_ARGS=TRUE&amp;DOC_NAME=FAT:FQL_AUDITING_CLIENT_TEMPLATE.FAT&amp;display_string=Audit&amp;VAR:KEY=RWPCRWLQPE&amp;VAR:QUERY=RkZfU0FMRVMoQ0FMLDM4NzE3LCwsLCk=&amp;WINDOW=FIRST_POPUP&amp;HEIGHT=450&amp;WIDTH=450&amp;START_MAXIMI","ZED=FALSE&amp;VAR:CALENDAR=US&amp;VAR:SYMBOL=630720&amp;VAR:INDEX=0"}</definedName>
    <definedName name="_211__FDSAUDITLINK__" hidden="1">{"fdsup://directions/FAT%20Viewer?VAR:TM=NTMA&amp;VAR:PCT=0.254795&amp;VAR:Y0=2006&amp;VAR:Y1=2007&amp;VAR:V0=15.377450&amp;VAR:V1=13.947254&amp;VAR:V=14.285791&amp;VAR:AUDIT_ID=00000117&amp;VAR:DATE=20060929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Aggregates&amp;VAR:MEASURE=PE_MEAN&amp;VAR:CALC_MODE=PORTFOLIO&amp;VAR:CHGPERIOD=NA&amp;VAR:FQLFORMULA=FMA_PE&amp;VAR:CURRENCY=USD&amp;VAR:P=1","335.847000&amp;VAR:THRESH=||||||&amp;VAR:null=.html"}</definedName>
    <definedName name="_2110__FDSAUDITLINK__" hidden="1">{"fdsup://directions/FAT Viewer?action=UPDATE&amp;creator=factset&amp;DYN_ARGS=TRUE&amp;DOC_NAME=FAT:FQL_AUDITING_CLIENT_TEMPLATE.FAT&amp;display_string=Audit&amp;VAR:KEY=HMVSNIBYDY&amp;VAR:QUERY=RkZfU0FMRVMoQ0FMLDM4MzUyLCwsLCk=&amp;WINDOW=FIRST_POPUP&amp;HEIGHT=450&amp;WIDTH=450&amp;START_MAXIMI","ZED=FALSE&amp;VAR:CALENDAR=US&amp;VAR:SYMBOL=630720&amp;VAR:INDEX=0"}</definedName>
    <definedName name="_2111__FDSAUDITLINK__" hidden="1">{"fdsup://directions/FAT Viewer?action=UPDATE&amp;creator=factset&amp;DYN_ARGS=TRUE&amp;DOC_NAME=FAT:FQL_AUDITING_CLIENT_TEMPLATE.FAT&amp;display_string=Audit&amp;VAR:KEY=FMVKVUFQTO&amp;VAR:QUERY=RkZfU0FMRVMoQ0FMLDM3OTg2LCwsLCk=&amp;WINDOW=FIRST_POPUP&amp;HEIGHT=450&amp;WIDTH=450&amp;START_MAXIMI","ZED=FALSE&amp;VAR:CALENDAR=US&amp;VAR:SYMBOL=630720&amp;VAR:INDEX=0"}</definedName>
    <definedName name="_2112__FDSAUDITLINK__" hidden="1">{"fdsup://directions/FAT Viewer?action=UPDATE&amp;creator=factset&amp;DYN_ARGS=TRUE&amp;DOC_NAME=FAT:FQL_AUDITING_CLIENT_TEMPLATE.FAT&amp;display_string=Audit&amp;VAR:KEY=RWZSTULEFE&amp;VAR:QUERY=RkZfU0FMRVMoQ0FMLDQwNTQzLCwsLCk=&amp;WINDOW=FIRST_POPUP&amp;HEIGHT=450&amp;WIDTH=450&amp;START_MAXIMI","ZED=FALSE&amp;VAR:CALENDAR=US&amp;VAR:SYMBOL=698538&amp;VAR:INDEX=0"}</definedName>
    <definedName name="_2113__FDSAUDITLINK__" hidden="1">{"fdsup://directions/FAT Viewer?action=UPDATE&amp;creator=factset&amp;DYN_ARGS=TRUE&amp;DOC_NAME=FAT:FQL_AUDITING_CLIENT_TEMPLATE.FAT&amp;display_string=Audit&amp;VAR:KEY=XENCRATKNY&amp;VAR:QUERY=RkZfU0FMRVMoQ0FMLDQwMTc4LCwsLCk=&amp;WINDOW=FIRST_POPUP&amp;HEIGHT=450&amp;WIDTH=450&amp;START_MAXIMI","ZED=FALSE&amp;VAR:CALENDAR=US&amp;VAR:SYMBOL=698538&amp;VAR:INDEX=0"}</definedName>
    <definedName name="_2114__FDSAUDITLINK__" hidden="1">{"fdsup://directions/FAT Viewer?action=UPDATE&amp;creator=factset&amp;DYN_ARGS=TRUE&amp;DOC_NAME=FAT:FQL_AUDITING_CLIENT_TEMPLATE.FAT&amp;display_string=Audit&amp;VAR:KEY=DGVCLOXWNQ&amp;VAR:QUERY=RkZfU0FMRVMoQ0FMLDM5ODEzLCwsLCk=&amp;WINDOW=FIRST_POPUP&amp;HEIGHT=450&amp;WIDTH=450&amp;START_MAXIMI","ZED=FALSE&amp;VAR:CALENDAR=US&amp;VAR:SYMBOL=698538&amp;VAR:INDEX=0"}</definedName>
    <definedName name="_2115__FDSAUDITLINK__" hidden="1">{"fdsup://directions/FAT Viewer?action=UPDATE&amp;creator=factset&amp;DYN_ARGS=TRUE&amp;DOC_NAME=FAT:FQL_AUDITING_CLIENT_TEMPLATE.FAT&amp;display_string=Audit&amp;VAR:KEY=NGFQXAXQVY&amp;VAR:QUERY=RkZfU0FMRVMoQ0FMLDM5NDQ3LCwsLCk=&amp;WINDOW=FIRST_POPUP&amp;HEIGHT=450&amp;WIDTH=450&amp;START_MAXIMI","ZED=FALSE&amp;VAR:CALENDAR=US&amp;VAR:SYMBOL=698538&amp;VAR:INDEX=0"}</definedName>
    <definedName name="_2116__FDSAUDITLINK__" hidden="1">{"fdsup://directions/FAT Viewer?action=UPDATE&amp;creator=factset&amp;DYN_ARGS=TRUE&amp;DOC_NAME=FAT:FQL_AUDITING_CLIENT_TEMPLATE.FAT&amp;display_string=Audit&amp;VAR:KEY=RYLYJAFOJG&amp;VAR:QUERY=RkZfU0FMRVMoQ0FMLDM5MDgyLCwsLCk=&amp;WINDOW=FIRST_POPUP&amp;HEIGHT=450&amp;WIDTH=450&amp;START_MAXIMI","ZED=FALSE&amp;VAR:CALENDAR=US&amp;VAR:SYMBOL=698538&amp;VAR:INDEX=0"}</definedName>
    <definedName name="_2117__FDSAUDITLINK__" hidden="1">{"fdsup://directions/FAT Viewer?action=UPDATE&amp;creator=factset&amp;DYN_ARGS=TRUE&amp;DOC_NAME=FAT:FQL_AUDITING_CLIENT_TEMPLATE.FAT&amp;display_string=Audit&amp;VAR:KEY=VSLYLYVYLU&amp;VAR:QUERY=RkZfU0FMRVMoQ0FMLDM4NzE3LCwsLCk=&amp;WINDOW=FIRST_POPUP&amp;HEIGHT=450&amp;WIDTH=450&amp;START_MAXIMI","ZED=FALSE&amp;VAR:CALENDAR=US&amp;VAR:SYMBOL=698538&amp;VAR:INDEX=0"}</definedName>
    <definedName name="_2118__FDSAUDITLINK__" hidden="1">{"fdsup://directions/FAT Viewer?action=UPDATE&amp;creator=factset&amp;DYN_ARGS=TRUE&amp;DOC_NAME=FAT:FQL_AUDITING_CLIENT_TEMPLATE.FAT&amp;display_string=Audit&amp;VAR:KEY=ZQTYLIBWXM&amp;VAR:QUERY=RkZfU0FMRVMoQ0FMLDM4MzUyLCwsLCk=&amp;WINDOW=FIRST_POPUP&amp;HEIGHT=450&amp;WIDTH=450&amp;START_MAXIMI","ZED=FALSE&amp;VAR:CALENDAR=US&amp;VAR:SYMBOL=698538&amp;VAR:INDEX=0"}</definedName>
    <definedName name="_2119__FDSAUDITLINK__" hidden="1">{"fdsup://directions/FAT Viewer?action=UPDATE&amp;creator=factset&amp;DYN_ARGS=TRUE&amp;DOC_NAME=FAT:FQL_AUDITING_CLIENT_TEMPLATE.FAT&amp;display_string=Audit&amp;VAR:KEY=ZITUFQLYRU&amp;VAR:QUERY=RkZfU0FMRVMoQ0FMLDM3OTg2LCwsLCk=&amp;WINDOW=FIRST_POPUP&amp;HEIGHT=450&amp;WIDTH=450&amp;START_MAXIMI","ZED=FALSE&amp;VAR:CALENDAR=US&amp;VAR:SYMBOL=698538&amp;VAR:INDEX=0"}</definedName>
    <definedName name="_212__FDSAUDITLINK__" hidden="1">{"fdsup://directions/FAT%20Viewer?VAR:TM=NTMA&amp;VAR:PCT=0.273973&amp;VAR:Y0=2006&amp;VAR:Y1=2007&amp;VAR:V0=15.105684&amp;VAR:V1=13.711073&amp;VAR:V=14.066883&amp;VAR:AUDIT_ID=00000117&amp;VAR:DATE=20060922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Aggregates&amp;VAR:MEASURE=PE_MEAN&amp;VAR:CALC_MODE=PORTFOLIO&amp;VAR:CHGPERIOD=NA&amp;VAR:FQLFORMULA=FMA_PE&amp;VAR:CURRENCY=USD&amp;VAR:P=1","314.777300&amp;VAR:THRESH=||||||&amp;VAR:null=.html"}</definedName>
    <definedName name="_2120__FDSAUDITLINK__" hidden="1">{"fdsup://directions/FAT Viewer?action=UPDATE&amp;creator=factset&amp;DYN_ARGS=TRUE&amp;DOC_NAME=FAT:FQL_AUDITING_CLIENT_TEMPLATE.FAT&amp;display_string=Audit&amp;VAR:KEY=XOBSPCJCDY&amp;VAR:QUERY=RkZfU0FMRVMoQ0FMLDQwNTQzLCwsLCk=&amp;WINDOW=FIRST_POPUP&amp;HEIGHT=450&amp;WIDTH=450&amp;START_MAXIMI","ZED=FALSE&amp;VAR:CALENDAR=US&amp;VAR:SYMBOL=474184&amp;VAR:INDEX=0"}</definedName>
    <definedName name="_2121__FDSAUDITLINK__" hidden="1">{"fdsup://directions/FAT Viewer?action=UPDATE&amp;creator=factset&amp;DYN_ARGS=TRUE&amp;DOC_NAME=FAT:FQL_AUDITING_CLIENT_TEMPLATE.FAT&amp;display_string=Audit&amp;VAR:KEY=BWJQJSRKZK&amp;VAR:QUERY=RkZfU0FMRVMoQ0FMLDQwMTc4LCwsLCk=&amp;WINDOW=FIRST_POPUP&amp;HEIGHT=450&amp;WIDTH=450&amp;START_MAXIMI","ZED=FALSE&amp;VAR:CALENDAR=US&amp;VAR:SYMBOL=474184&amp;VAR:INDEX=0"}</definedName>
    <definedName name="_2122__FDSAUDITLINK__" hidden="1">{"fdsup://directions/FAT Viewer?action=UPDATE&amp;creator=factset&amp;DYN_ARGS=TRUE&amp;DOC_NAME=FAT:FQL_AUDITING_CLIENT_TEMPLATE.FAT&amp;display_string=Audit&amp;VAR:KEY=ROPONUVCBK&amp;VAR:QUERY=RkZfU0FMRVMoQ0FMLDQwNTQzLCwsLCk=&amp;WINDOW=FIRST_POPUP&amp;HEIGHT=450&amp;WIDTH=450&amp;START_MAXIMI","ZED=FALSE&amp;VAR:CALENDAR=US&amp;VAR:SYMBOL=B0J7D9&amp;VAR:INDEX=0"}</definedName>
    <definedName name="_2123__FDSAUDITLINK__" hidden="1">{"fdsup://directions/FAT Viewer?action=UPDATE&amp;creator=factset&amp;DYN_ARGS=TRUE&amp;DOC_NAME=FAT:FQL_AUDITING_CLIENT_TEMPLATE.FAT&amp;display_string=Audit&amp;VAR:KEY=VIFIZWXYVO&amp;VAR:QUERY=RkZfU0FMRVMoQ0FMLDQwMTc4LCwsLCk=&amp;WINDOW=FIRST_POPUP&amp;HEIGHT=450&amp;WIDTH=450&amp;START_MAXIMI","ZED=FALSE&amp;VAR:CALENDAR=US&amp;VAR:SYMBOL=B0J7D9&amp;VAR:INDEX=0"}</definedName>
    <definedName name="_2124__FDSAUDITLINK__" hidden="1">{"fdsup://directions/FAT Viewer?action=UPDATE&amp;creator=factset&amp;DYN_ARGS=TRUE&amp;DOC_NAME=FAT:FQL_AUDITING_CLIENT_TEMPLATE.FAT&amp;display_string=Audit&amp;VAR:KEY=TYZOXMTCDS&amp;VAR:QUERY=RkZfU0FMRVMoQ0FMLDM5ODEzLCwsLCk=&amp;WINDOW=FIRST_POPUP&amp;HEIGHT=450&amp;WIDTH=450&amp;START_MAXIMI","ZED=FALSE&amp;VAR:CALENDAR=US&amp;VAR:SYMBOL=B0J7D9&amp;VAR:INDEX=0"}</definedName>
    <definedName name="_2125__FDSAUDITLINK__" hidden="1">{"fdsup://directions/FAT Viewer?action=UPDATE&amp;creator=factset&amp;DYN_ARGS=TRUE&amp;DOC_NAME=FAT:FQL_AUDITING_CLIENT_TEMPLATE.FAT&amp;display_string=Audit&amp;VAR:KEY=RCLWNAZUVM&amp;VAR:QUERY=RkZfU0FMRVMoQ0FMLDM5NDQ3LCwsLCk=&amp;WINDOW=FIRST_POPUP&amp;HEIGHT=450&amp;WIDTH=450&amp;START_MAXIMI","ZED=FALSE&amp;VAR:CALENDAR=US&amp;VAR:SYMBOL=B0J7D9&amp;VAR:INDEX=0"}</definedName>
    <definedName name="_2126__FDSAUDITLINK__" hidden="1">{"fdsup://directions/FAT Viewer?action=UPDATE&amp;creator=factset&amp;DYN_ARGS=TRUE&amp;DOC_NAME=FAT:FQL_AUDITING_CLIENT_TEMPLATE.FAT&amp;display_string=Audit&amp;VAR:KEY=VYFIHMHMZI&amp;VAR:QUERY=RkZfU0FMRVMoQ0FMLDM5MDgyLCwsLCk=&amp;WINDOW=FIRST_POPUP&amp;HEIGHT=450&amp;WIDTH=450&amp;START_MAXIMI","ZED=FALSE&amp;VAR:CALENDAR=US&amp;VAR:SYMBOL=B0J7D9&amp;VAR:INDEX=0"}</definedName>
    <definedName name="_2127__FDSAUDITLINK__" hidden="1">{"fdsup://directions/FAT Viewer?action=UPDATE&amp;creator=factset&amp;DYN_ARGS=TRUE&amp;DOC_NAME=FAT:FQL_AUDITING_CLIENT_TEMPLATE.FAT&amp;display_string=Audit&amp;VAR:KEY=RATYXOVERC&amp;VAR:QUERY=RkZfU0FMRVMoQ0FMLDM4NzE3LCwsLCk=&amp;WINDOW=FIRST_POPUP&amp;HEIGHT=450&amp;WIDTH=450&amp;START_MAXIMI","ZED=FALSE&amp;VAR:CALENDAR=US&amp;VAR:SYMBOL=B0J7D9&amp;VAR:INDEX=0"}</definedName>
    <definedName name="_2128__FDSAUDITLINK__" hidden="1">{"fdsup://directions/FAT Viewer?action=UPDATE&amp;creator=factset&amp;DYN_ARGS=TRUE&amp;DOC_NAME=FAT:FQL_AUDITING_CLIENT_TEMPLATE.FAT&amp;display_string=Audit&amp;VAR:KEY=HEROTQBOTS&amp;VAR:QUERY=RkZfU0FMRVMoQ0FMLDM4MzUyLCwsLCk=&amp;WINDOW=FIRST_POPUP&amp;HEIGHT=450&amp;WIDTH=450&amp;START_MAXIMI","ZED=FALSE&amp;VAR:CALENDAR=US&amp;VAR:SYMBOL=B0J7D9&amp;VAR:INDEX=0"}</definedName>
    <definedName name="_2129__FDSAUDITLINK__" hidden="1">{"fdsup://directions/FAT Viewer?action=UPDATE&amp;creator=factset&amp;DYN_ARGS=TRUE&amp;DOC_NAME=FAT:FQL_AUDITING_CLIENT_TEMPLATE.FAT&amp;display_string=Audit&amp;VAR:KEY=JAZQJETKLY&amp;VAR:QUERY=RkZfU0FMRVMoQ0FMLDM3OTg2LCwsLCk=&amp;WINDOW=FIRST_POPUP&amp;HEIGHT=450&amp;WIDTH=450&amp;START_MAXIMI","ZED=FALSE&amp;VAR:CALENDAR=US&amp;VAR:SYMBOL=B0J7D9&amp;VAR:INDEX=0"}</definedName>
    <definedName name="_213__FDSAUDITLINK__" hidden="1">{"fdsup://directions/FAT%20Viewer?VAR:TM=NTMA&amp;VAR:PCT=0.293151&amp;VAR:Y0=2006&amp;VAR:Y1=2007&amp;VAR:V0=15.180948&amp;VAR:V1=13.774774&amp;VAR:V=14.159252&amp;VAR:AUDIT_ID=00000117&amp;VAR:DATE=20060915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Aggregates&amp;VAR:MEASURE=PE_MEAN&amp;VAR:CALC_MODE=PORTFOLIO&amp;VAR:CHGPERIOD=NA&amp;VAR:FQLFORMULA=FMA_PE&amp;VAR:CURRENCY=USD&amp;VAR:P=1","319.865500&amp;VAR:THRESH=||||||&amp;VAR:null=.html"}</definedName>
    <definedName name="_2130__FDSAUDITLINK__" hidden="1">{"fdsup://directions/FAT Viewer?action=UPDATE&amp;creator=factset&amp;DYN_ARGS=TRUE&amp;DOC_NAME=FAT:FQL_AUDITING_CLIENT_TEMPLATE.FAT&amp;display_string=Audit&amp;VAR:KEY=NIXKXSZYJO&amp;VAR:QUERY=RkZfU0FMRVMoQ0FMLDQwNTQzLCwsLCk=&amp;WINDOW=FIRST_POPUP&amp;HEIGHT=450&amp;WIDTH=450&amp;START_MAXIMI","ZED=FALSE&amp;VAR:CALENDAR=US&amp;VAR:SYMBOL=AMGN&amp;VAR:INDEX=0"}</definedName>
    <definedName name="_2131__FDSAUDITLINK__" hidden="1">{"fdsup://directions/FAT Viewer?action=UPDATE&amp;creator=factset&amp;DYN_ARGS=TRUE&amp;DOC_NAME=FAT:FQL_AUDITING_CLIENT_TEMPLATE.FAT&amp;display_string=Audit&amp;VAR:KEY=PSHENMBWRU&amp;VAR:QUERY=RkZfU0FMRVMoQ0FMLDQwMTc4LCwsLCk=&amp;WINDOW=FIRST_POPUP&amp;HEIGHT=450&amp;WIDTH=450&amp;START_MAXIMI","ZED=FALSE&amp;VAR:CALENDAR=US&amp;VAR:SYMBOL=AMGN&amp;VAR:INDEX=0"}</definedName>
    <definedName name="_2132__FDSAUDITLINK__" hidden="1">{"fdsup://directions/FAT Viewer?action=UPDATE&amp;creator=factset&amp;DYN_ARGS=TRUE&amp;DOC_NAME=FAT:FQL_AUDITING_CLIENT_TEMPLATE.FAT&amp;display_string=Audit&amp;VAR:KEY=HAHEZKBKHG&amp;VAR:QUERY=RkZfU0FMRVMoQ0FMLDM5ODEzLCwsLCk=&amp;WINDOW=FIRST_POPUP&amp;HEIGHT=450&amp;WIDTH=450&amp;START_MAXIMI","ZED=FALSE&amp;VAR:CALENDAR=US&amp;VAR:SYMBOL=AMGN&amp;VAR:INDEX=0"}</definedName>
    <definedName name="_2133__FDSAUDITLINK__" hidden="1">{"fdsup://directions/FAT Viewer?action=UPDATE&amp;creator=factset&amp;DYN_ARGS=TRUE&amp;DOC_NAME=FAT:FQL_AUDITING_CLIENT_TEMPLATE.FAT&amp;display_string=Audit&amp;VAR:KEY=PGJOVCLGBS&amp;VAR:QUERY=RkZfU0FMRVMoQ0FMLDM5NDQ3LCwsLCk=&amp;WINDOW=FIRST_POPUP&amp;HEIGHT=450&amp;WIDTH=450&amp;START_MAXIMI","ZED=FALSE&amp;VAR:CALENDAR=US&amp;VAR:SYMBOL=AMGN&amp;VAR:INDEX=0"}</definedName>
    <definedName name="_2134__FDSAUDITLINK__" hidden="1">{"fdsup://directions/FAT Viewer?action=UPDATE&amp;creator=factset&amp;DYN_ARGS=TRUE&amp;DOC_NAME=FAT:FQL_AUDITING_CLIENT_TEMPLATE.FAT&amp;display_string=Audit&amp;VAR:KEY=FYXGXAXURW&amp;VAR:QUERY=RkZfU0FMRVMoQ0FMLDM5MDgyLCwsLCk=&amp;WINDOW=FIRST_POPUP&amp;HEIGHT=450&amp;WIDTH=450&amp;START_MAXIMI","ZED=FALSE&amp;VAR:CALENDAR=US&amp;VAR:SYMBOL=AMGN&amp;VAR:INDEX=0"}</definedName>
    <definedName name="_2135__FDSAUDITLINK__" hidden="1">{"fdsup://directions/FAT Viewer?action=UPDATE&amp;creator=factset&amp;DYN_ARGS=TRUE&amp;DOC_NAME=FAT:FQL_AUDITING_CLIENT_TEMPLATE.FAT&amp;display_string=Audit&amp;VAR:KEY=VADUDGDYFA&amp;VAR:QUERY=RkZfU0FMRVMoQ0FMLDM4NzE3LCwsLCk=&amp;WINDOW=FIRST_POPUP&amp;HEIGHT=450&amp;WIDTH=450&amp;START_MAXIMI","ZED=FALSE&amp;VAR:CALENDAR=US&amp;VAR:SYMBOL=AMGN&amp;VAR:INDEX=0"}</definedName>
    <definedName name="_2136__FDSAUDITLINK__" hidden="1">{"fdsup://directions/FAT Viewer?action=UPDATE&amp;creator=factset&amp;DYN_ARGS=TRUE&amp;DOC_NAME=FAT:FQL_AUDITING_CLIENT_TEMPLATE.FAT&amp;display_string=Audit&amp;VAR:KEY=FKDOZAJURW&amp;VAR:QUERY=RkZfU0FMRVMoQ0FMLDM4MzUyLCwsLCk=&amp;WINDOW=FIRST_POPUP&amp;HEIGHT=450&amp;WIDTH=450&amp;START_MAXIMI","ZED=FALSE&amp;VAR:CALENDAR=US&amp;VAR:SYMBOL=AMGN&amp;VAR:INDEX=0"}</definedName>
    <definedName name="_2137__FDSAUDITLINK__" hidden="1">{"fdsup://directions/FAT Viewer?action=UPDATE&amp;creator=factset&amp;DYN_ARGS=TRUE&amp;DOC_NAME=FAT:FQL_AUDITING_CLIENT_TEMPLATE.FAT&amp;display_string=Audit&amp;VAR:KEY=LULCDIVYJK&amp;VAR:QUERY=RkZfU0FMRVMoQ0FMLDQwNTQzLCwsLCk=&amp;WINDOW=FIRST_POPUP&amp;HEIGHT=450&amp;WIDTH=450&amp;START_MAXIMI","ZED=FALSE&amp;VAR:CALENDAR=US&amp;VAR:SYMBOL=ABT&amp;VAR:INDEX=0"}</definedName>
    <definedName name="_2138__FDSAUDITLINK__" hidden="1">{"fdsup://directions/FAT Viewer?action=UPDATE&amp;creator=factset&amp;DYN_ARGS=TRUE&amp;DOC_NAME=FAT:FQL_AUDITING_CLIENT_TEMPLATE.FAT&amp;display_string=Audit&amp;VAR:KEY=XIHAFGFYLU&amp;VAR:QUERY=RkZfU0FMRVMoQ0FMLDQwMTc4LCwsLCk=&amp;WINDOW=FIRST_POPUP&amp;HEIGHT=450&amp;WIDTH=450&amp;START_MAXIMI","ZED=FALSE&amp;VAR:CALENDAR=US&amp;VAR:SYMBOL=ABT&amp;VAR:INDEX=0"}</definedName>
    <definedName name="_2139__FDSAUDITLINK__" hidden="1">{"fdsup://directions/FAT Viewer?action=UPDATE&amp;creator=factset&amp;DYN_ARGS=TRUE&amp;DOC_NAME=FAT:FQL_AUDITING_CLIENT_TEMPLATE.FAT&amp;display_string=Audit&amp;VAR:KEY=FAFWNGJOZC&amp;VAR:QUERY=RkZfU0FMRVMoQ0FMLDM5ODEzLCwsLCk=&amp;WINDOW=FIRST_POPUP&amp;HEIGHT=450&amp;WIDTH=450&amp;START_MAXIMI","ZED=FALSE&amp;VAR:CALENDAR=US&amp;VAR:SYMBOL=ABT&amp;VAR:INDEX=0"}</definedName>
    <definedName name="_214__FDSAUDITLINK__" hidden="1">{"fdsup://directions/FAT%20Viewer?VAR:TM=NTMA&amp;VAR:PCT=0.312329&amp;VAR:Y0=2006&amp;VAR:Y1=2007&amp;VAR:V0=14.928219&amp;VAR:V1=13.555184&amp;VAR:V=13.956096&amp;VAR:AUDIT_ID=00000117&amp;VAR:DATE=20060908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Aggregates&amp;VAR:MEASURE=PE_MEAN&amp;VAR:CALC_MODE=PORTFOLIO&amp;VAR:CHGPERIOD=NA&amp;VAR:FQLFORMULA=FMA_PE&amp;VAR:CURRENCY=USD&amp;VAR:P=1","298.918600&amp;VAR:THRESH=||||||&amp;VAR:null=.html"}</definedName>
    <definedName name="_2140__FDSAUDITLINK__" hidden="1">{"fdsup://directions/FAT Viewer?action=UPDATE&amp;creator=factset&amp;DYN_ARGS=TRUE&amp;DOC_NAME=FAT:FQL_AUDITING_CLIENT_TEMPLATE.FAT&amp;display_string=Audit&amp;VAR:KEY=VOVAHWRMBQ&amp;VAR:QUERY=RkZfU0FMRVMoQ0FMLDM5NDQ3LCwsLCk=&amp;WINDOW=FIRST_POPUP&amp;HEIGHT=450&amp;WIDTH=450&amp;START_MAXIMI","ZED=FALSE&amp;VAR:CALENDAR=US&amp;VAR:SYMBOL=ABT&amp;VAR:INDEX=0"}</definedName>
    <definedName name="_2141__FDSAUDITLINK__" hidden="1">{"fdsup://directions/FAT Viewer?action=UPDATE&amp;creator=factset&amp;DYN_ARGS=TRUE&amp;DOC_NAME=FAT:FQL_AUDITING_CLIENT_TEMPLATE.FAT&amp;display_string=Audit&amp;VAR:KEY=JIZSHKHCLG&amp;VAR:QUERY=RkZfU0FMRVMoQ0FMLDM5MDgyLCwsLCk=&amp;WINDOW=FIRST_POPUP&amp;HEIGHT=450&amp;WIDTH=450&amp;START_MAXIMI","ZED=FALSE&amp;VAR:CALENDAR=US&amp;VAR:SYMBOL=ABT&amp;VAR:INDEX=0"}</definedName>
    <definedName name="_2142__FDSAUDITLINK__" hidden="1">{"fdsup://directions/FAT Viewer?action=UPDATE&amp;creator=factset&amp;DYN_ARGS=TRUE&amp;DOC_NAME=FAT:FQL_AUDITING_CLIENT_TEMPLATE.FAT&amp;display_string=Audit&amp;VAR:KEY=HGLONMHIHO&amp;VAR:QUERY=RkZfU0FMRVMoQ0FMLDM4NzE3LCwsLCk=&amp;WINDOW=FIRST_POPUP&amp;HEIGHT=450&amp;WIDTH=450&amp;START_MAXIMI","ZED=FALSE&amp;VAR:CALENDAR=US&amp;VAR:SYMBOL=ABT&amp;VAR:INDEX=0"}</definedName>
    <definedName name="_2143__FDSAUDITLINK__" hidden="1">{"fdsup://directions/FAT Viewer?action=UPDATE&amp;creator=factset&amp;DYN_ARGS=TRUE&amp;DOC_NAME=FAT:FQL_AUDITING_CLIENT_TEMPLATE.FAT&amp;display_string=Audit&amp;VAR:KEY=PMFYHUFOJW&amp;VAR:QUERY=RkZfU0FMRVMoQ0FMLDM4MzUyLCwsLCk=&amp;WINDOW=FIRST_POPUP&amp;HEIGHT=450&amp;WIDTH=450&amp;START_MAXIMI","ZED=FALSE&amp;VAR:CALENDAR=US&amp;VAR:SYMBOL=ABT&amp;VAR:INDEX=0"}</definedName>
    <definedName name="_2144__FDSAUDITLINK__" hidden="1">{"fdsup://directions/FAT Viewer?action=UPDATE&amp;creator=factset&amp;DYN_ARGS=TRUE&amp;DOC_NAME=FAT:FQL_AUDITING_CLIENT_TEMPLATE.FAT&amp;display_string=Audit&amp;VAR:KEY=FGVODQPWLQ&amp;VAR:QUERY=RkZfU0FMRVMoQ0FMLDQwNTQzLCwsLCk=&amp;WINDOW=FIRST_POPUP&amp;HEIGHT=450&amp;WIDTH=450&amp;START_MAXIMI","ZED=FALSE&amp;VAR:CALENDAR=US&amp;VAR:SYMBOL=687044&amp;VAR:INDEX=0"}</definedName>
    <definedName name="_2145__FDSAUDITLINK__" hidden="1">{"fdsup://directions/FAT Viewer?action=UPDATE&amp;creator=factset&amp;DYN_ARGS=TRUE&amp;DOC_NAME=FAT:FQL_AUDITING_CLIENT_TEMPLATE.FAT&amp;display_string=Audit&amp;VAR:KEY=NGJYDUXCVO&amp;VAR:QUERY=RkZfU0FMRVMoQ0FMLDQwMTc4LCwsLCk=&amp;WINDOW=FIRST_POPUP&amp;HEIGHT=450&amp;WIDTH=450&amp;START_MAXIMI","ZED=FALSE&amp;VAR:CALENDAR=US&amp;VAR:SYMBOL=687044&amp;VAR:INDEX=0"}</definedName>
    <definedName name="_2146__FDSAUDITLINK__" hidden="1">{"fdsup://directions/FAT Viewer?action=UPDATE&amp;creator=factset&amp;DYN_ARGS=TRUE&amp;DOC_NAME=FAT:FQL_AUDITING_CLIENT_TEMPLATE.FAT&amp;display_string=Audit&amp;VAR:KEY=NWVWHILSTA&amp;VAR:QUERY=RkZfU0FMRVMoQ0FMLDM5ODEzLCwsLCk=&amp;WINDOW=FIRST_POPUP&amp;HEIGHT=450&amp;WIDTH=450&amp;START_MAXIMI","ZED=FALSE&amp;VAR:CALENDAR=US&amp;VAR:SYMBOL=687044&amp;VAR:INDEX=0"}</definedName>
    <definedName name="_2147__FDSAUDITLINK__" hidden="1">{"fdsup://directions/FAT Viewer?action=UPDATE&amp;creator=factset&amp;DYN_ARGS=TRUE&amp;DOC_NAME=FAT:FQL_AUDITING_CLIENT_TEMPLATE.FAT&amp;display_string=Audit&amp;VAR:KEY=LANUXGTUJE&amp;VAR:QUERY=RkZfU0FMRVMoQ0FMLDM5NDQ3LCwsLCk=&amp;WINDOW=FIRST_POPUP&amp;HEIGHT=450&amp;WIDTH=450&amp;START_MAXIMI","ZED=FALSE&amp;VAR:CALENDAR=US&amp;VAR:SYMBOL=687044&amp;VAR:INDEX=0"}</definedName>
    <definedName name="_2148__FDSAUDITLINK__" hidden="1">{"fdsup://directions/FAT Viewer?action=UPDATE&amp;creator=factset&amp;DYN_ARGS=TRUE&amp;DOC_NAME=FAT:FQL_AUDITING_CLIENT_TEMPLATE.FAT&amp;display_string=Audit&amp;VAR:KEY=VMNWLAFAZG&amp;VAR:QUERY=RkZfU0FMRVMoQ0FMLDM5MDgyLCwsLCk=&amp;WINDOW=FIRST_POPUP&amp;HEIGHT=450&amp;WIDTH=450&amp;START_MAXIMI","ZED=FALSE&amp;VAR:CALENDAR=US&amp;VAR:SYMBOL=687044&amp;VAR:INDEX=0"}</definedName>
    <definedName name="_2149__FDSAUDITLINK__" hidden="1">{"fdsup://directions/FAT Viewer?action=UPDATE&amp;creator=factset&amp;DYN_ARGS=TRUE&amp;DOC_NAME=FAT:FQL_AUDITING_CLIENT_TEMPLATE.FAT&amp;display_string=Audit&amp;VAR:KEY=VUHEZEHYDS&amp;VAR:QUERY=RkZfU0FMRVMoQ0FMLDM4NzE3LCwsLCk=&amp;WINDOW=FIRST_POPUP&amp;HEIGHT=450&amp;WIDTH=450&amp;START_MAXIMI","ZED=FALSE&amp;VAR:CALENDAR=US&amp;VAR:SYMBOL=687044&amp;VAR:INDEX=0"}</definedName>
    <definedName name="_215__FDSAUDITLINK__" hidden="1">{"fdsup://directions/FAT%20Viewer?VAR:TM=NTMA&amp;VAR:PCT=0.331507&amp;VAR:Y0=2006&amp;VAR:Y1=2007&amp;VAR:V0=15.052440&amp;VAR:V1=13.684835&amp;VAR:V=14.109814&amp;VAR:AUDIT_ID=00000117&amp;VAR:DATE=20060901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Aggregates&amp;VAR:MEASURE=PE_MEAN&amp;VAR:CALC_MODE=PORTFOLIO&amp;VAR:CHGPERIOD=NA&amp;VAR:FQLFORMULA=FMA_PE&amp;VAR:CURRENCY=USD&amp;VAR:P=1","311.011000&amp;VAR:THRESH=||||||&amp;VAR:null=.html"}</definedName>
    <definedName name="_2150__FDSAUDITLINK__" hidden="1">{"fdsup://directions/FAT Viewer?action=UPDATE&amp;creator=factset&amp;DYN_ARGS=TRUE&amp;DOC_NAME=FAT:FQL_AUDITING_CLIENT_TEMPLATE.FAT&amp;display_string=Audit&amp;VAR:KEY=VEBOPIBOXG&amp;VAR:QUERY=RkZfU0FMRVMoQ0FMLDM4MzUyLCwsLCk=&amp;WINDOW=FIRST_POPUP&amp;HEIGHT=450&amp;WIDTH=450&amp;START_MAXIMI","ZED=FALSE&amp;VAR:CALENDAR=US&amp;VAR:SYMBOL=687044&amp;VAR:INDEX=0"}</definedName>
    <definedName name="_2151__FDSAUDITLINK__" hidden="1">{"fdsup://directions/FAT Viewer?action=UPDATE&amp;creator=factset&amp;DYN_ARGS=TRUE&amp;DOC_NAME=FAT:FQL_AUDITING_CLIENT_TEMPLATE.FAT&amp;display_string=Audit&amp;VAR:KEY=TWJGRYHSBC&amp;VAR:QUERY=RkZfU0FMRVMoQ0FMLDM3OTg2LCwsLCk=&amp;WINDOW=FIRST_POPUP&amp;HEIGHT=450&amp;WIDTH=450&amp;START_MAXIMI","ZED=FALSE&amp;VAR:CALENDAR=US&amp;VAR:SYMBOL=687044&amp;VAR:INDEX=0"}</definedName>
    <definedName name="_2152__FDSAUDITLINK__" hidden="1">{"fdsup://directions/FAT Viewer?action=UPDATE&amp;creator=factset&amp;DYN_ARGS=TRUE&amp;DOC_NAME=FAT:FQL_AUDITING_CLIENT_TEMPLATE.FAT&amp;display_string=Audit&amp;VAR:KEY=NMJKXQRIPK&amp;VAR:QUERY=RkZfU0FMRVMoQ0FMLDQwNTQzLCwsLCk=&amp;WINDOW=FIRST_POPUP&amp;HEIGHT=450&amp;WIDTH=450&amp;START_MAXIMI","ZED=FALSE&amp;VAR:CALENDAR=US&amp;VAR:SYMBOL=BMY&amp;VAR:INDEX=0"}</definedName>
    <definedName name="_2153__FDSAUDITLINK__" hidden="1">{"fdsup://directions/FAT Viewer?action=UPDATE&amp;creator=factset&amp;DYN_ARGS=TRUE&amp;DOC_NAME=FAT:FQL_AUDITING_CLIENT_TEMPLATE.FAT&amp;display_string=Audit&amp;VAR:KEY=BUJIHQJYLA&amp;VAR:QUERY=RkZfU0FMRVMoQ0FMLDQwMTc4LCwsLCk=&amp;WINDOW=FIRST_POPUP&amp;HEIGHT=450&amp;WIDTH=450&amp;START_MAXIMI","ZED=FALSE&amp;VAR:CALENDAR=US&amp;VAR:SYMBOL=BMY&amp;VAR:INDEX=0"}</definedName>
    <definedName name="_2154__FDSAUDITLINK__" hidden="1">{"fdsup://directions/FAT Viewer?action=UPDATE&amp;creator=factset&amp;DYN_ARGS=TRUE&amp;DOC_NAME=FAT:FQL_AUDITING_CLIENT_TEMPLATE.FAT&amp;display_string=Audit&amp;VAR:KEY=JIDAXAJARK&amp;VAR:QUERY=RkZfU0FMRVMoQ0FMLDM5ODEzLCwsLCk=&amp;WINDOW=FIRST_POPUP&amp;HEIGHT=450&amp;WIDTH=450&amp;START_MAXIMI","ZED=FALSE&amp;VAR:CALENDAR=US&amp;VAR:SYMBOL=BMY&amp;VAR:INDEX=0"}</definedName>
    <definedName name="_2155__FDSAUDITLINK__" hidden="1">{"fdsup://directions/FAT Viewer?action=UPDATE&amp;creator=factset&amp;DYN_ARGS=TRUE&amp;DOC_NAME=FAT:FQL_AUDITING_CLIENT_TEMPLATE.FAT&amp;display_string=Audit&amp;VAR:KEY=FGNGDYBWJI&amp;VAR:QUERY=RkZfU0FMRVMoQ0FMLDM5NDQ3LCwsLCk=&amp;WINDOW=FIRST_POPUP&amp;HEIGHT=450&amp;WIDTH=450&amp;START_MAXIMI","ZED=FALSE&amp;VAR:CALENDAR=US&amp;VAR:SYMBOL=BMY&amp;VAR:INDEX=0"}</definedName>
    <definedName name="_2156__FDSAUDITLINK__" hidden="1">{"fdsup://directions/FAT Viewer?action=UPDATE&amp;creator=factset&amp;DYN_ARGS=TRUE&amp;DOC_NAME=FAT:FQL_AUDITING_CLIENT_TEMPLATE.FAT&amp;display_string=Audit&amp;VAR:KEY=ZEPMHOTKTQ&amp;VAR:QUERY=RkZfU0FMRVMoQ0FMLDM5MDgyLCwsLCk=&amp;WINDOW=FIRST_POPUP&amp;HEIGHT=450&amp;WIDTH=450&amp;START_MAXIMI","ZED=FALSE&amp;VAR:CALENDAR=US&amp;VAR:SYMBOL=BMY&amp;VAR:INDEX=0"}</definedName>
    <definedName name="_2157__FDSAUDITLINK__" hidden="1">{"fdsup://directions/FAT Viewer?action=UPDATE&amp;creator=factset&amp;DYN_ARGS=TRUE&amp;DOC_NAME=FAT:FQL_AUDITING_CLIENT_TEMPLATE.FAT&amp;display_string=Audit&amp;VAR:KEY=ZSRUVKHGFO&amp;VAR:QUERY=RkZfU0FMRVMoQ0FMLDM4NzE3LCwsLCk=&amp;WINDOW=FIRST_POPUP&amp;HEIGHT=450&amp;WIDTH=450&amp;START_MAXIMI","ZED=FALSE&amp;VAR:CALENDAR=US&amp;VAR:SYMBOL=BMY&amp;VAR:INDEX=0"}</definedName>
    <definedName name="_2158__FDSAUDITLINK__" hidden="1">{"fdsup://directions/FAT Viewer?action=UPDATE&amp;creator=factset&amp;DYN_ARGS=TRUE&amp;DOC_NAME=FAT:FQL_AUDITING_CLIENT_TEMPLATE.FAT&amp;display_string=Audit&amp;VAR:KEY=LWZIXAXMJY&amp;VAR:QUERY=RkZfU0FMRVMoQ0FMLDM4MzUyLCwsLCk=&amp;WINDOW=FIRST_POPUP&amp;HEIGHT=450&amp;WIDTH=450&amp;START_MAXIMI","ZED=FALSE&amp;VAR:CALENDAR=US&amp;VAR:SYMBOL=BMY&amp;VAR:INDEX=0"}</definedName>
    <definedName name="_2159__FDSAUDITLINK__" hidden="1">{"fdsup://directions/FAT Viewer?action=UPDATE&amp;creator=factset&amp;DYN_ARGS=TRUE&amp;DOC_NAME=FAT:FQL_AUDITING_CLIENT_TEMPLATE.FAT&amp;display_string=Audit&amp;VAR:KEY=HGVUFQHQXY&amp;VAR:QUERY=RkZfU0FMRVMoQ0FMLDQwNTQzLCwsLCk=&amp;WINDOW=FIRST_POPUP&amp;HEIGHT=450&amp;WIDTH=450&amp;START_MAXIMI","ZED=FALSE&amp;VAR:CALENDAR=US&amp;VAR:SYMBOL=LLY&amp;VAR:INDEX=0"}</definedName>
    <definedName name="_216__FDSAUDITLINK__" hidden="1">{"fdsup://directions/FAT%20Viewer?VAR:TM=NTMA&amp;VAR:PCT=0.350685&amp;VAR:Y0=2006&amp;VAR:Y1=2007&amp;VAR:V0=14.866252&amp;VAR:V1=13.518971&amp;VAR:V=13.962726&amp;VAR:AUDIT_ID=00000117&amp;VAR:DATE=20060825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Aggregates&amp;VAR:MEASURE=PE_MEAN&amp;VAR:CALC_MODE=PORTFOLIO&amp;VAR:CHGPERIOD=NA&amp;VAR:FQLFORMULA=FMA_PE&amp;VAR:CURRENCY=USD&amp;VAR:P=1","295.087600&amp;VAR:THRESH=||||||&amp;VAR:null=.html"}</definedName>
    <definedName name="_2160__FDSAUDITLINK__" hidden="1">{"fdsup://directions/FAT Viewer?action=UPDATE&amp;creator=factset&amp;DYN_ARGS=TRUE&amp;DOC_NAME=FAT:FQL_AUDITING_CLIENT_TEMPLATE.FAT&amp;display_string=Audit&amp;VAR:KEY=BENYXWZQPA&amp;VAR:QUERY=RkZfU0FMRVMoQ0FMLDQwMTc4LCwsLCk=&amp;WINDOW=FIRST_POPUP&amp;HEIGHT=450&amp;WIDTH=450&amp;START_MAXIMI","ZED=FALSE&amp;VAR:CALENDAR=US&amp;VAR:SYMBOL=LLY&amp;VAR:INDEX=0"}</definedName>
    <definedName name="_2161__FDSAUDITLINK__" hidden="1">{"fdsup://directions/FAT Viewer?action=UPDATE&amp;creator=factset&amp;DYN_ARGS=TRUE&amp;DOC_NAME=FAT:FQL_AUDITING_CLIENT_TEMPLATE.FAT&amp;display_string=Audit&amp;VAR:KEY=TCDILENEJI&amp;VAR:QUERY=RkZfU0FMRVMoQ0FMLDM5ODEzLCwsLCk=&amp;WINDOW=FIRST_POPUP&amp;HEIGHT=450&amp;WIDTH=450&amp;START_MAXIMI","ZED=FALSE&amp;VAR:CALENDAR=US&amp;VAR:SYMBOL=LLY&amp;VAR:INDEX=0"}</definedName>
    <definedName name="_2162__FDSAUDITLINK__" hidden="1">{"fdsup://directions/FAT Viewer?action=UPDATE&amp;creator=factset&amp;DYN_ARGS=TRUE&amp;DOC_NAME=FAT:FQL_AUDITING_CLIENT_TEMPLATE.FAT&amp;display_string=Audit&amp;VAR:KEY=ZMZGTAHWVI&amp;VAR:QUERY=RkZfU0FMRVMoQ0FMLDM5NDQ3LCwsLCk=&amp;WINDOW=FIRST_POPUP&amp;HEIGHT=450&amp;WIDTH=450&amp;START_MAXIMI","ZED=FALSE&amp;VAR:CALENDAR=US&amp;VAR:SYMBOL=LLY&amp;VAR:INDEX=0"}</definedName>
    <definedName name="_2163__FDSAUDITLINK__" hidden="1">{"fdsup://directions/FAT Viewer?action=UPDATE&amp;creator=factset&amp;DYN_ARGS=TRUE&amp;DOC_NAME=FAT:FQL_AUDITING_CLIENT_TEMPLATE.FAT&amp;display_string=Audit&amp;VAR:KEY=VGZWFCPGLW&amp;VAR:QUERY=RkZfU0FMRVMoQ0FMLDM5MDgyLCwsLCk=&amp;WINDOW=FIRST_POPUP&amp;HEIGHT=450&amp;WIDTH=450&amp;START_MAXIMI","ZED=FALSE&amp;VAR:CALENDAR=US&amp;VAR:SYMBOL=LLY&amp;VAR:INDEX=0"}</definedName>
    <definedName name="_2164__FDSAUDITLINK__" hidden="1">{"fdsup://directions/FAT Viewer?action=UPDATE&amp;creator=factset&amp;DYN_ARGS=TRUE&amp;DOC_NAME=FAT:FQL_AUDITING_CLIENT_TEMPLATE.FAT&amp;display_string=Audit&amp;VAR:KEY=NMLWPYZODY&amp;VAR:QUERY=RkZfU0FMRVMoQ0FMLDM4NzE3LCwsLCk=&amp;WINDOW=FIRST_POPUP&amp;HEIGHT=450&amp;WIDTH=450&amp;START_MAXIMI","ZED=FALSE&amp;VAR:CALENDAR=US&amp;VAR:SYMBOL=LLY&amp;VAR:INDEX=0"}</definedName>
    <definedName name="_2165__FDSAUDITLINK__" hidden="1">{"fdsup://directions/FAT Viewer?action=UPDATE&amp;creator=factset&amp;DYN_ARGS=TRUE&amp;DOC_NAME=FAT:FQL_AUDITING_CLIENT_TEMPLATE.FAT&amp;display_string=Audit&amp;VAR:KEY=XERCTWXSFY&amp;VAR:QUERY=RkZfU0FMRVMoQ0FMLDM4MzUyLCwsLCk=&amp;WINDOW=FIRST_POPUP&amp;HEIGHT=450&amp;WIDTH=450&amp;START_MAXIMI","ZED=FALSE&amp;VAR:CALENDAR=US&amp;VAR:SYMBOL=LLY&amp;VAR:INDEX=0"}</definedName>
    <definedName name="_2166__FDSAUDITLINK__" hidden="1">{"fdsup://directions/FAT Viewer?action=UPDATE&amp;creator=factset&amp;DYN_ARGS=TRUE&amp;DOC_NAME=FAT:FQL_AUDITING_CLIENT_TEMPLATE.FAT&amp;display_string=Audit&amp;VAR:KEY=TYREZSHMJS&amp;VAR:QUERY=RkZfU0FMRVMoQ0FMLDQwNTQzLCwsLCk=&amp;WINDOW=FIRST_POPUP&amp;HEIGHT=450&amp;WIDTH=450&amp;START_MAXIMI","ZED=FALSE&amp;VAR:CALENDAR=US&amp;VAR:SYMBOL=506921&amp;VAR:INDEX=0"}</definedName>
    <definedName name="_2167__FDSAUDITLINK__" hidden="1">{"fdsup://directions/FAT Viewer?action=UPDATE&amp;creator=factset&amp;DYN_ARGS=TRUE&amp;DOC_NAME=FAT:FQL_AUDITING_CLIENT_TEMPLATE.FAT&amp;display_string=Audit&amp;VAR:KEY=VUTOPCHQXG&amp;VAR:QUERY=RkZfU0FMRVMoQ0FMLDQwMTc4LCwsLCk=&amp;WINDOW=FIRST_POPUP&amp;HEIGHT=450&amp;WIDTH=450&amp;START_MAXIMI","ZED=FALSE&amp;VAR:CALENDAR=US&amp;VAR:SYMBOL=506921&amp;VAR:INDEX=0"}</definedName>
    <definedName name="_2168__FDSAUDITLINK__" hidden="1">{"fdsup://directions/FAT Viewer?action=UPDATE&amp;creator=factset&amp;DYN_ARGS=TRUE&amp;DOC_NAME=FAT:FQL_AUDITING_CLIENT_TEMPLATE.FAT&amp;display_string=Audit&amp;VAR:KEY=DSVIFSTIRS&amp;VAR:QUERY=RkZfU0FMRVMoQ0FMLDM5ODEzLCwsLCk=&amp;WINDOW=FIRST_POPUP&amp;HEIGHT=450&amp;WIDTH=450&amp;START_MAXIMI","ZED=FALSE&amp;VAR:CALENDAR=US&amp;VAR:SYMBOL=506921&amp;VAR:INDEX=0"}</definedName>
    <definedName name="_2169__FDSAUDITLINK__" hidden="1">{"fdsup://directions/FAT Viewer?action=UPDATE&amp;creator=factset&amp;DYN_ARGS=TRUE&amp;DOC_NAME=FAT:FQL_AUDITING_CLIENT_TEMPLATE.FAT&amp;display_string=Audit&amp;VAR:KEY=VGFMRYZUDQ&amp;VAR:QUERY=RkZfU0FMRVMoQ0FMLDM5NDQ3LCwsLCk=&amp;WINDOW=FIRST_POPUP&amp;HEIGHT=450&amp;WIDTH=450&amp;START_MAXIMI","ZED=FALSE&amp;VAR:CALENDAR=US&amp;VAR:SYMBOL=506921&amp;VAR:INDEX=0"}</definedName>
    <definedName name="_217__FDSAUDITLINK__" hidden="1">{"fdsup://directions/FAT%20Viewer?VAR:TM=NTMA&amp;VAR:PCT=0.369863&amp;VAR:Y0=2006&amp;VAR:Y1=2007&amp;VAR:V0=14.949667&amp;VAR:V1=13.599718&amp;VAR:V=14.069622&amp;VAR:AUDIT_ID=00000117&amp;VAR:DATE=20060818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Aggregates&amp;VAR:MEASURE=PE_MEAN&amp;VAR:CALC_MODE=PORTFOLIO&amp;VAR:CHGPERIOD=NA&amp;VAR:FQLFORMULA=FMA_PE&amp;VAR:CURRENCY=USD&amp;VAR:P=1","302.304000&amp;VAR:THRESH=||||||&amp;VAR:null=.html"}</definedName>
    <definedName name="_2170__FDSAUDITLINK__" hidden="1">{"fdsup://directions/FAT Viewer?action=UPDATE&amp;creator=factset&amp;DYN_ARGS=TRUE&amp;DOC_NAME=FAT:FQL_AUDITING_CLIENT_TEMPLATE.FAT&amp;display_string=Audit&amp;VAR:KEY=PYPMDAJYFY&amp;VAR:QUERY=RkZfU0FMRVMoQ0FMLDM5MDgyLCwsLCk=&amp;WINDOW=FIRST_POPUP&amp;HEIGHT=450&amp;WIDTH=450&amp;START_MAXIMI","ZED=FALSE&amp;VAR:CALENDAR=US&amp;VAR:SYMBOL=506921&amp;VAR:INDEX=0"}</definedName>
    <definedName name="_2171__FDSAUDITLINK__" hidden="1">{"fdsup://directions/FAT Viewer?action=UPDATE&amp;creator=factset&amp;DYN_ARGS=TRUE&amp;DOC_NAME=FAT:FQL_AUDITING_CLIENT_TEMPLATE.FAT&amp;display_string=Audit&amp;VAR:KEY=FGLEFQPUNK&amp;VAR:QUERY=RkZfU0FMRVMoQ0FMLDM4NzE3LCwsLCk=&amp;WINDOW=FIRST_POPUP&amp;HEIGHT=450&amp;WIDTH=450&amp;START_MAXIMI","ZED=FALSE&amp;VAR:CALENDAR=US&amp;VAR:SYMBOL=506921&amp;VAR:INDEX=0"}</definedName>
    <definedName name="_2172__FDSAUDITLINK__" hidden="1">{"fdsup://directions/FAT Viewer?action=UPDATE&amp;creator=factset&amp;DYN_ARGS=TRUE&amp;DOC_NAME=FAT:FQL_AUDITING_CLIENT_TEMPLATE.FAT&amp;display_string=Audit&amp;VAR:KEY=NKROBUBURI&amp;VAR:QUERY=RkZfU0FMRVMoQ0FMLDQwNTQzLCwsLCk=&amp;WINDOW=FIRST_POPUP&amp;HEIGHT=450&amp;WIDTH=450&amp;START_MAXIMI","ZED=FALSE&amp;VAR:CALENDAR=US&amp;VAR:SYMBOL=567173&amp;VAR:INDEX=0"}</definedName>
    <definedName name="_2173__FDSAUDITLINK__" hidden="1">{"fdsup://directions/FAT Viewer?action=UPDATE&amp;creator=factset&amp;DYN_ARGS=TRUE&amp;DOC_NAME=FAT:FQL_AUDITING_CLIENT_TEMPLATE.FAT&amp;display_string=Audit&amp;VAR:KEY=FUZMZEJUJU&amp;VAR:QUERY=RkZfU0FMRVMoQ0FMLDQwMTc4LCwsLCk=&amp;WINDOW=FIRST_POPUP&amp;HEIGHT=450&amp;WIDTH=450&amp;START_MAXIMI","ZED=FALSE&amp;VAR:CALENDAR=US&amp;VAR:SYMBOL=567173&amp;VAR:INDEX=0"}</definedName>
    <definedName name="_2174__FDSAUDITLINK__" hidden="1">{"fdsup://directions/FAT Viewer?action=UPDATE&amp;creator=factset&amp;DYN_ARGS=TRUE&amp;DOC_NAME=FAT:FQL_AUDITING_CLIENT_TEMPLATE.FAT&amp;display_string=Audit&amp;VAR:KEY=DQJIRINKTK&amp;VAR:QUERY=RkZfU0FMRVMoQ0FMLDM5ODEzLCwsLCk=&amp;WINDOW=FIRST_POPUP&amp;HEIGHT=450&amp;WIDTH=450&amp;START_MAXIMI","ZED=FALSE&amp;VAR:CALENDAR=US&amp;VAR:SYMBOL=567173&amp;VAR:INDEX=0"}</definedName>
    <definedName name="_2175__FDSAUDITLINK__" hidden="1">{"fdsup://directions/FAT Viewer?action=UPDATE&amp;creator=factset&amp;DYN_ARGS=TRUE&amp;DOC_NAME=FAT:FQL_AUDITING_CLIENT_TEMPLATE.FAT&amp;display_string=Audit&amp;VAR:KEY=XUVOBOTILK&amp;VAR:QUERY=RkZfU0FMRVMoQ0FMLDM5NDQ3LCwsLCk=&amp;WINDOW=FIRST_POPUP&amp;HEIGHT=450&amp;WIDTH=450&amp;START_MAXIMI","ZED=FALSE&amp;VAR:CALENDAR=US&amp;VAR:SYMBOL=567173&amp;VAR:INDEX=0"}</definedName>
    <definedName name="_2176__FDSAUDITLINK__" hidden="1">{"fdsup://directions/FAT Viewer?action=UPDATE&amp;creator=factset&amp;DYN_ARGS=TRUE&amp;DOC_NAME=FAT:FQL_AUDITING_CLIENT_TEMPLATE.FAT&amp;display_string=Audit&amp;VAR:KEY=TUNGLUVQJS&amp;VAR:QUERY=RkZfU0FMRVMoQ0FMLDM5MDgyLCwsLCk=&amp;WINDOW=FIRST_POPUP&amp;HEIGHT=450&amp;WIDTH=450&amp;START_MAXIMI","ZED=FALSE&amp;VAR:CALENDAR=US&amp;VAR:SYMBOL=567173&amp;VAR:INDEX=0"}</definedName>
    <definedName name="_2177__FDSAUDITLINK__" hidden="1">{"fdsup://directions/FAT Viewer?action=UPDATE&amp;creator=factset&amp;DYN_ARGS=TRUE&amp;DOC_NAME=FAT:FQL_AUDITING_CLIENT_TEMPLATE.FAT&amp;display_string=Audit&amp;VAR:KEY=ZCZKRMREJQ&amp;VAR:QUERY=RkZfU0FMRVMoQ0FMLDM4NzE3LCwsLCk=&amp;WINDOW=FIRST_POPUP&amp;HEIGHT=450&amp;WIDTH=450&amp;START_MAXIMI","ZED=FALSE&amp;VAR:CALENDAR=US&amp;VAR:SYMBOL=567173&amp;VAR:INDEX=0"}</definedName>
    <definedName name="_2178__FDSAUDITLINK__" hidden="1">{"fdsup://directions/FAT Viewer?action=UPDATE&amp;creator=factset&amp;DYN_ARGS=TRUE&amp;DOC_NAME=FAT:FQL_AUDITING_CLIENT_TEMPLATE.FAT&amp;display_string=Audit&amp;VAR:KEY=XEFEFEVSXG&amp;VAR:QUERY=RkZfU0FMRVMoQ0FMLDQwNTQzLCwsLCk=&amp;WINDOW=FIRST_POPUP&amp;HEIGHT=450&amp;WIDTH=450&amp;START_MAXIMI","ZED=FALSE&amp;VAR:CALENDAR=US&amp;VAR:SYMBOL=JNJ&amp;VAR:INDEX=0"}</definedName>
    <definedName name="_2179__FDSAUDITLINK__" hidden="1">{"fdsup://directions/FAT Viewer?action=UPDATE&amp;creator=factset&amp;DYN_ARGS=TRUE&amp;DOC_NAME=FAT:FQL_AUDITING_CLIENT_TEMPLATE.FAT&amp;display_string=Audit&amp;VAR:KEY=LULOTKLGHM&amp;VAR:QUERY=RkZfU0FMRVMoQ0FMLDQwMTc4LCwsLCk=&amp;WINDOW=FIRST_POPUP&amp;HEIGHT=450&amp;WIDTH=450&amp;START_MAXIMI","ZED=FALSE&amp;VAR:CALENDAR=US&amp;VAR:SYMBOL=JNJ&amp;VAR:INDEX=0"}</definedName>
    <definedName name="_218__FDSAUDITLINK__" hidden="1">{"fdsup://directions/FAT%20Viewer?VAR:TM=NTMA&amp;VAR:PCT=0.389041&amp;VAR:Y0=2006&amp;VAR:Y1=2007&amp;VAR:V0=14.535063&amp;VAR:V1=13.220611&amp;VAR:V=13.702703&amp;VAR:AUDIT_ID=00000117&amp;VAR:DATE=20060811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Aggregates&amp;VAR:MEASURE=PE_MEAN&amp;VAR:CALC_MODE=PORTFOLIO&amp;VAR:CHGPERIOD=NA&amp;VAR:FQLFORMULA=FMA_PE&amp;VAR:CURRENCY=USD&amp;VAR:P=1","266.743200&amp;VAR:THRESH=||||||&amp;VAR:null=.html"}</definedName>
    <definedName name="_2180__FDSAUDITLINK__" hidden="1">{"fdsup://directions/FAT Viewer?action=UPDATE&amp;creator=factset&amp;DYN_ARGS=TRUE&amp;DOC_NAME=FAT:FQL_AUDITING_CLIENT_TEMPLATE.FAT&amp;display_string=Audit&amp;VAR:KEY=TARITKLKZA&amp;VAR:QUERY=RkZfU0FMRVMoQ0FMLDM5ODEzLCwsLCk=&amp;WINDOW=FIRST_POPUP&amp;HEIGHT=450&amp;WIDTH=450&amp;START_MAXIMI","ZED=FALSE&amp;VAR:CALENDAR=US&amp;VAR:SYMBOL=JNJ&amp;VAR:INDEX=0"}</definedName>
    <definedName name="_2181__FDSAUDITLINK__" hidden="1">{"fdsup://directions/FAT Viewer?action=UPDATE&amp;creator=factset&amp;DYN_ARGS=TRUE&amp;DOC_NAME=FAT:FQL_AUDITING_CLIENT_TEMPLATE.FAT&amp;display_string=Audit&amp;VAR:KEY=NSBWVCLYDE&amp;VAR:QUERY=RkZfU0FMRVMoQ0FMLDM5NDQ3LCwsLCk=&amp;WINDOW=FIRST_POPUP&amp;HEIGHT=450&amp;WIDTH=450&amp;START_MAXIMI","ZED=FALSE&amp;VAR:CALENDAR=US&amp;VAR:SYMBOL=JNJ&amp;VAR:INDEX=0"}</definedName>
    <definedName name="_2182__FDSAUDITLINK__" hidden="1">{"fdsup://directions/FAT Viewer?action=UPDATE&amp;creator=factset&amp;DYN_ARGS=TRUE&amp;DOC_NAME=FAT:FQL_AUDITING_CLIENT_TEMPLATE.FAT&amp;display_string=Audit&amp;VAR:KEY=VCFODGNGBS&amp;VAR:QUERY=RkZfU0FMRVMoQ0FMLDM5MDgyLCwsLCk=&amp;WINDOW=FIRST_POPUP&amp;HEIGHT=450&amp;WIDTH=450&amp;START_MAXIMI","ZED=FALSE&amp;VAR:CALENDAR=US&amp;VAR:SYMBOL=JNJ&amp;VAR:INDEX=0"}</definedName>
    <definedName name="_2183__FDSAUDITLINK__" hidden="1">{"fdsup://directions/FAT Viewer?action=UPDATE&amp;creator=factset&amp;DYN_ARGS=TRUE&amp;DOC_NAME=FAT:FQL_AUDITING_CLIENT_TEMPLATE.FAT&amp;display_string=Audit&amp;VAR:KEY=FMJMDKHKDK&amp;VAR:QUERY=RkZfU0FMRVMoQ0FMLDM4NzE3LCwsLCk=&amp;WINDOW=FIRST_POPUP&amp;HEIGHT=450&amp;WIDTH=450&amp;START_MAXIMI","ZED=FALSE&amp;VAR:CALENDAR=US&amp;VAR:SYMBOL=JNJ&amp;VAR:INDEX=0"}</definedName>
    <definedName name="_2184__FDSAUDITLINK__" hidden="1">{"fdsup://directions/FAT Viewer?action=UPDATE&amp;creator=factset&amp;DYN_ARGS=TRUE&amp;DOC_NAME=FAT:FQL_AUDITING_CLIENT_TEMPLATE.FAT&amp;display_string=Audit&amp;VAR:KEY=ZWTENCPKDC&amp;VAR:QUERY=RkZfU0FMRVMoQ0FMLDM4MzUyLCwsLCk=&amp;WINDOW=FIRST_POPUP&amp;HEIGHT=450&amp;WIDTH=450&amp;START_MAXIMI","ZED=FALSE&amp;VAR:CALENDAR=US&amp;VAR:SYMBOL=JNJ&amp;VAR:INDEX=0"}</definedName>
    <definedName name="_2185__FDSAUDITLINK__" hidden="1">{"fdsup://directions/FAT Viewer?action=UPDATE&amp;creator=factset&amp;DYN_ARGS=TRUE&amp;DOC_NAME=FAT:FQL_AUDITING_CLIENT_TEMPLATE.FAT&amp;display_string=Audit&amp;VAR:KEY=JUHUDIVEVG&amp;VAR:QUERY=RkZfU0FMRVMoQ0FMLDQwNTQzLCwsLCk=&amp;WINDOW=FIRST_POPUP&amp;HEIGHT=450&amp;WIDTH=450&amp;START_MAXIMI","ZED=FALSE&amp;VAR:CALENDAR=US&amp;VAR:SYMBOL=710306&amp;VAR:INDEX=0"}</definedName>
    <definedName name="_2186__FDSAUDITLINK__" hidden="1">{"fdsup://directions/FAT Viewer?action=UPDATE&amp;creator=factset&amp;DYN_ARGS=TRUE&amp;DOC_NAME=FAT:FQL_AUDITING_CLIENT_TEMPLATE.FAT&amp;display_string=Audit&amp;VAR:KEY=DOFYDCPMFC&amp;VAR:QUERY=RkZfU0FMRVMoQ0FMLDQwMTc4LCwsLCk=&amp;WINDOW=FIRST_POPUP&amp;HEIGHT=450&amp;WIDTH=450&amp;START_MAXIMI","ZED=FALSE&amp;VAR:CALENDAR=US&amp;VAR:SYMBOL=710306&amp;VAR:INDEX=0"}</definedName>
    <definedName name="_2187__FDSAUDITLINK__" hidden="1">{"fdsup://directions/FAT Viewer?action=UPDATE&amp;creator=factset&amp;DYN_ARGS=TRUE&amp;DOC_NAME=FAT:FQL_AUDITING_CLIENT_TEMPLATE.FAT&amp;display_string=Audit&amp;VAR:KEY=FEDEFEXKTO&amp;VAR:QUERY=RkZfU0FMRVMoQ0FMLDM5ODEzLCwsLCk=&amp;WINDOW=FIRST_POPUP&amp;HEIGHT=450&amp;WIDTH=450&amp;START_MAXIMI","ZED=FALSE&amp;VAR:CALENDAR=US&amp;VAR:SYMBOL=710306&amp;VAR:INDEX=0"}</definedName>
    <definedName name="_2188__FDSAUDITLINK__" hidden="1">{"fdsup://directions/FAT Viewer?action=UPDATE&amp;creator=factset&amp;DYN_ARGS=TRUE&amp;DOC_NAME=FAT:FQL_AUDITING_CLIENT_TEMPLATE.FAT&amp;display_string=Audit&amp;VAR:KEY=LMVERYPEZG&amp;VAR:QUERY=RkZfU0FMRVMoQ0FMLDM5NDQ3LCwsLCk=&amp;WINDOW=FIRST_POPUP&amp;HEIGHT=450&amp;WIDTH=450&amp;START_MAXIMI","ZED=FALSE&amp;VAR:CALENDAR=US&amp;VAR:SYMBOL=710306&amp;VAR:INDEX=0"}</definedName>
    <definedName name="_2189__FDSAUDITLINK__" hidden="1">{"fdsup://directions/FAT Viewer?action=UPDATE&amp;creator=factset&amp;DYN_ARGS=TRUE&amp;DOC_NAME=FAT:FQL_AUDITING_CLIENT_TEMPLATE.FAT&amp;display_string=Audit&amp;VAR:KEY=XQLOLCJYLW&amp;VAR:QUERY=RkZfU0FMRVMoQ0FMLDM5MDgyLCwsLCk=&amp;WINDOW=FIRST_POPUP&amp;HEIGHT=450&amp;WIDTH=450&amp;START_MAXIMI","ZED=FALSE&amp;VAR:CALENDAR=US&amp;VAR:SYMBOL=710306&amp;VAR:INDEX=0"}</definedName>
    <definedName name="_219__FDSAUDITLINK__" hidden="1">{"fdsup://directions/FAT%20Viewer?VAR:TM=NTMA&amp;VAR:PCT=0.408219&amp;VAR:Y0=2006&amp;VAR:Y1=2007&amp;VAR:V0=14.670310&amp;VAR:V1=13.337493&amp;VAR:V=13.851196&amp;VAR:AUDIT_ID=00000117&amp;VAR:DATE=20060804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Aggregates&amp;VAR:MEASURE=PE_MEAN&amp;VAR:CALC_MODE=PORTFOLIO&amp;VAR:CHGPERIOD=NA&amp;VAR:FQLFORMULA=FMA_PE&amp;VAR:CURRENCY=USD&amp;VAR:P=1","279.362400&amp;VAR:THRESH=||||||&amp;VAR:null=.html"}</definedName>
    <definedName name="_2190__FDSAUDITLINK__" hidden="1">{"fdsup://directions/FAT Viewer?action=UPDATE&amp;creator=factset&amp;DYN_ARGS=TRUE&amp;DOC_NAME=FAT:FQL_AUDITING_CLIENT_TEMPLATE.FAT&amp;display_string=Audit&amp;VAR:KEY=JIVKRKVAXY&amp;VAR:QUERY=RkZfU0FMRVMoQ0FMLDM4NzE3LCwsLCk=&amp;WINDOW=FIRST_POPUP&amp;HEIGHT=450&amp;WIDTH=450&amp;START_MAXIMI","ZED=FALSE&amp;VAR:CALENDAR=US&amp;VAR:SYMBOL=710306&amp;VAR:INDEX=0"}</definedName>
    <definedName name="_2191__FDSAUDITLINK__" hidden="1">{"fdsup://directions/FAT Viewer?action=UPDATE&amp;creator=factset&amp;DYN_ARGS=TRUE&amp;DOC_NAME=FAT:FQL_AUDITING_CLIENT_TEMPLATE.FAT&amp;display_string=Audit&amp;VAR:KEY=HGBYRMPCTI&amp;VAR:QUERY=RkZfU0FMRVMoQ0FMLDQwNTQzLCwsLCk=&amp;WINDOW=FIRST_POPUP&amp;HEIGHT=450&amp;WIDTH=450&amp;START_MAXIMI","ZED=FALSE&amp;VAR:CALENDAR=US&amp;VAR:SYMBOL=711038&amp;VAR:INDEX=0"}</definedName>
    <definedName name="_2192__FDSAUDITLINK__" hidden="1">{"fdsup://directions/FAT Viewer?action=UPDATE&amp;creator=factset&amp;DYN_ARGS=TRUE&amp;DOC_NAME=FAT:FQL_AUDITING_CLIENT_TEMPLATE.FAT&amp;display_string=Audit&amp;VAR:KEY=DQVIXUTIHC&amp;VAR:QUERY=RkZfU0FMRVMoQ0FMLDQwMTc4LCwsLFVTRCk=&amp;WINDOW=FIRST_POPUP&amp;HEIGHT=450&amp;WIDTH=450&amp;START_MA","XIMIZED=FALSE&amp;VAR:CALENDAR=US&amp;VAR:SYMBOL=711038&amp;VAR:INDEX=0"}</definedName>
    <definedName name="_2193__FDSAUDITLINK__" hidden="1">{"fdsup://directions/FAT Viewer?action=UPDATE&amp;creator=factset&amp;DYN_ARGS=TRUE&amp;DOC_NAME=FAT:FQL_AUDITING_CLIENT_TEMPLATE.FAT&amp;display_string=Audit&amp;VAR:KEY=LANIXUPWJS&amp;VAR:QUERY=RkZfU0FMRVMoQ0FMLDM5ODEzLCwsLFVTRCk=&amp;WINDOW=FIRST_POPUP&amp;HEIGHT=450&amp;WIDTH=450&amp;START_MA","XIMIZED=FALSE&amp;VAR:CALENDAR=US&amp;VAR:SYMBOL=711038&amp;VAR:INDEX=0"}</definedName>
    <definedName name="_2194__FDSAUDITLINK__" hidden="1">{"fdsup://directions/FAT Viewer?action=UPDATE&amp;creator=factset&amp;DYN_ARGS=TRUE&amp;DOC_NAME=FAT:FQL_AUDITING_CLIENT_TEMPLATE.FAT&amp;display_string=Audit&amp;VAR:KEY=VKRQTKFUBW&amp;VAR:QUERY=RkZfU0FMRVMoQ0FMLDM5ODEzLCwsLCk=&amp;WINDOW=FIRST_POPUP&amp;HEIGHT=450&amp;WIDTH=450&amp;START_MAXIMI","ZED=FALSE&amp;VAR:CALENDAR=US&amp;VAR:SYMBOL=DNA&amp;VAR:INDEX=0"}</definedName>
    <definedName name="_2195__FDSAUDITLINK__" hidden="1">{"fdsup://directions/FAT Viewer?action=UPDATE&amp;creator=factset&amp;DYN_ARGS=TRUE&amp;DOC_NAME=FAT:FQL_AUDITING_CLIENT_TEMPLATE.FAT&amp;display_string=Audit&amp;VAR:KEY=XEDCREVYZS&amp;VAR:QUERY=RkZfU0FMRVMoQ0FMLDM5NDQ3LCwsLCk=&amp;WINDOW=FIRST_POPUP&amp;HEIGHT=450&amp;WIDTH=450&amp;START_MAXIMI","ZED=FALSE&amp;VAR:CALENDAR=US&amp;VAR:SYMBOL=DNA&amp;VAR:INDEX=0"}</definedName>
    <definedName name="_2196__FDSAUDITLINK__" hidden="1">{"fdsup://directions/FAT Viewer?action=UPDATE&amp;creator=factset&amp;DYN_ARGS=TRUE&amp;DOC_NAME=FAT:FQL_AUDITING_CLIENT_TEMPLATE.FAT&amp;display_string=Audit&amp;VAR:KEY=TOXMHYNEDQ&amp;VAR:QUERY=RkZfU0FMRVMoQ0FMLDM5MDgyLCwsLCk=&amp;WINDOW=FIRST_POPUP&amp;HEIGHT=450&amp;WIDTH=450&amp;START_MAXIMI","ZED=FALSE&amp;VAR:CALENDAR=US&amp;VAR:SYMBOL=DNA&amp;VAR:INDEX=0"}</definedName>
    <definedName name="_2197__FDSAUDITLINK__" hidden="1">{"fdsup://directions/FAT Viewer?action=UPDATE&amp;creator=factset&amp;DYN_ARGS=TRUE&amp;DOC_NAME=FAT:FQL_AUDITING_CLIENT_TEMPLATE.FAT&amp;display_string=Audit&amp;VAR:KEY=BKHAJUZULG&amp;VAR:QUERY=RkZfU0FMRVMoQ0FMLDM4NzE3LCwsLCk=&amp;WINDOW=FIRST_POPUP&amp;HEIGHT=450&amp;WIDTH=450&amp;START_MAXIMI","ZED=FALSE&amp;VAR:CALENDAR=US&amp;VAR:SYMBOL=DNA&amp;VAR:INDEX=0"}</definedName>
    <definedName name="_2198__FDSAUDITLINK__" hidden="1">{"fdsup://directions/FAT Viewer?action=UPDATE&amp;creator=factset&amp;DYN_ARGS=TRUE&amp;DOC_NAME=FAT:FQL_AUDITING_CLIENT_TEMPLATE.FAT&amp;display_string=Audit&amp;VAR:KEY=JYZKZGDIFI&amp;VAR:QUERY=RkZfU0FMRVMoQ0FMLDM4MzUyLCwsLCk=&amp;WINDOW=FIRST_POPUP&amp;HEIGHT=450&amp;WIDTH=450&amp;START_MAXIMI","ZED=FALSE&amp;VAR:CALENDAR=US&amp;VAR:SYMBOL=DNA&amp;VAR:INDEX=0"}</definedName>
    <definedName name="_2199__FDSAUDITLINK__" hidden="1">{"fdsup://directions/FAT Viewer?action=UPDATE&amp;creator=factset&amp;DYN_ARGS=TRUE&amp;DOC_NAME=FAT:FQL_AUDITING_CLIENT_TEMPLATE.FAT&amp;display_string=Audit&amp;VAR:KEY=RYVUVAXUDS&amp;VAR:QUERY=RkZfU0FMRVMoQ0FMLDQwNTQzLCwsLCk=&amp;WINDOW=FIRST_POPUP&amp;HEIGHT=450&amp;WIDTH=450&amp;START_MAXIMI","ZED=FALSE&amp;VAR:CALENDAR=US&amp;VAR:SYMBOL=MRK&amp;VAR:INDEX=0"}</definedName>
    <definedName name="_22__FDSAUDITLINK__" hidden="1">{"fdsup://directions/FAT%20Viewer?VAR:TM=NTMA&amp;VAR:PCT=0.632877&amp;VAR:Y0=2010&amp;VAR:Y1=2011&amp;VAR:V0=13.768388&amp;VAR:V1=11.729308&amp;VAR:V=12.942373&amp;VAR:AUDIT_ID=00000117&amp;VAR:DATE=20100514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Aggregates&amp;VAR:MEASURE=PE_MEAN&amp;VAR:CALC_MODE=PORTFOLIO&amp;VAR:CHGPERIOD=NA&amp;VAR:FQLFORMULA=FMA_PE&amp;VAR:CURRENCY=USD&amp;VAR:P=1","135.682343&amp;VAR:THRESH=||||||&amp;VAR:null=.html"}</definedName>
    <definedName name="_220__FDSAUDITLINK__" hidden="1">{"fdsup://directions/FAT%20Viewer?VAR:TM=NTMA&amp;VAR:PCT=0.427397&amp;VAR:Y0=2006&amp;VAR:Y1=2007&amp;VAR:V0=14.682305&amp;VAR:V1=13.332213&amp;VAR:V=13.877614&amp;VAR:AUDIT_ID=00000117&amp;VAR:DATE=20060728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Aggregates&amp;VAR:MEASURE=PE_MEAN&amp;VAR:CALC_MODE=PORTFOLIO&amp;VAR:CHGPERIOD=NA&amp;VAR:FQLFORMULA=FMA_PE&amp;VAR:CURRENCY=USD&amp;VAR:P=1","278.545300&amp;VAR:THRESH=||||||&amp;VAR:null=.html"}</definedName>
    <definedName name="_2200__FDSAUDITLINK__" hidden="1">{"fdsup://directions/FAT Viewer?action=UPDATE&amp;creator=factset&amp;DYN_ARGS=TRUE&amp;DOC_NAME=FAT:FQL_AUDITING_CLIENT_TEMPLATE.FAT&amp;display_string=Audit&amp;VAR:KEY=NITGVAHEXK&amp;VAR:QUERY=RkZfU0FMRVMoQ0FMLDQwMTc4LCwsLFVTRCk=&amp;WINDOW=FIRST_POPUP&amp;HEIGHT=450&amp;WIDTH=450&amp;START_MA","XIMIZED=FALSE&amp;VAR:CALENDAR=US&amp;VAR:SYMBOL=MRK&amp;VAR:INDEX=0"}</definedName>
    <definedName name="_2201__FDSAUDITLINK__" hidden="1">{"fdsup://directions/FAT Viewer?action=UPDATE&amp;creator=factset&amp;DYN_ARGS=TRUE&amp;DOC_NAME=FAT:FQL_AUDITING_CLIENT_TEMPLATE.FAT&amp;display_string=Audit&amp;VAR:KEY=PYDALOBCHY&amp;VAR:QUERY=RkZfU0FMRVMoQ0FMLDM5ODEzLCwsLFVTRCk=&amp;WINDOW=FIRST_POPUP&amp;HEIGHT=450&amp;WIDTH=450&amp;START_MA","XIMIZED=FALSE&amp;VAR:CALENDAR=US&amp;VAR:SYMBOL=MRK&amp;VAR:INDEX=0"}</definedName>
    <definedName name="_2202__FDSAUDITLINK__" hidden="1">{"fdsup://directions/FAT Viewer?action=UPDATE&amp;creator=factset&amp;DYN_ARGS=TRUE&amp;DOC_NAME=FAT:FQL_AUDITING_CLIENT_TEMPLATE.FAT&amp;display_string=Audit&amp;VAR:KEY=HONSVQVETW&amp;VAR:QUERY=RkZfU0FMRVMoQ0FMLDM5ODEzLCwsLCk=&amp;WINDOW=FIRST_POPUP&amp;HEIGHT=450&amp;WIDTH=450&amp;START_MAXIMI","ZED=FALSE&amp;VAR:CALENDAR=US&amp;VAR:SYMBOL=SGP&amp;VAR:INDEX=0"}</definedName>
    <definedName name="_2203__FDSAUDITLINK__" hidden="1">{"fdsup://directions/FAT Viewer?action=UPDATE&amp;creator=factset&amp;DYN_ARGS=TRUE&amp;DOC_NAME=FAT:FQL_AUDITING_CLIENT_TEMPLATE.FAT&amp;display_string=Audit&amp;VAR:KEY=DIFWLOFKHK&amp;VAR:QUERY=RkZfU0FMRVMoQ0FMLDM5NDQ3LCwsLFVTRCk=&amp;WINDOW=FIRST_POPUP&amp;HEIGHT=450&amp;WIDTH=450&amp;START_MA","XIMIZED=FALSE&amp;VAR:CALENDAR=US&amp;VAR:SYMBOL=MRK&amp;VAR:INDEX=0"}</definedName>
    <definedName name="_2204__FDSAUDITLINK__" hidden="1">{"fdsup://directions/FAT Viewer?action=UPDATE&amp;creator=factset&amp;DYN_ARGS=TRUE&amp;DOC_NAME=FAT:FQL_AUDITING_CLIENT_TEMPLATE.FAT&amp;display_string=Audit&amp;VAR:KEY=DGFOTSZMDS&amp;VAR:QUERY=RkZfU0FMRVMoQ0FMLDM5NDQ3LCwsLCk=&amp;WINDOW=FIRST_POPUP&amp;HEIGHT=450&amp;WIDTH=450&amp;START_MAXIMI","ZED=FALSE&amp;VAR:CALENDAR=US&amp;VAR:SYMBOL=SGP&amp;VAR:INDEX=0"}</definedName>
    <definedName name="_2205__FDSAUDITLINK__" hidden="1">{"fdsup://directions/FAT Viewer?action=UPDATE&amp;creator=factset&amp;DYN_ARGS=TRUE&amp;DOC_NAME=FAT:FQL_AUDITING_CLIENT_TEMPLATE.FAT&amp;display_string=Audit&amp;VAR:KEY=HEPGNYVUHS&amp;VAR:QUERY=RkZfU0FMRVMoQ0FMLDM5MDgyLCwsLFVTRCk=&amp;WINDOW=FIRST_POPUP&amp;HEIGHT=450&amp;WIDTH=450&amp;START_MA","XIMIZED=FALSE&amp;VAR:CALENDAR=US&amp;VAR:SYMBOL=MRK&amp;VAR:INDEX=0"}</definedName>
    <definedName name="_2206__FDSAUDITLINK__" hidden="1">{"fdsup://directions/FAT Viewer?action=UPDATE&amp;creator=factset&amp;DYN_ARGS=TRUE&amp;DOC_NAME=FAT:FQL_AUDITING_CLIENT_TEMPLATE.FAT&amp;display_string=Audit&amp;VAR:KEY=RMFKNYHWPS&amp;VAR:QUERY=RkZfU0FMRVMoQ0FMLDM5MDgyLCwsLCk=&amp;WINDOW=FIRST_POPUP&amp;HEIGHT=450&amp;WIDTH=450&amp;START_MAXIMI","ZED=FALSE&amp;VAR:CALENDAR=US&amp;VAR:SYMBOL=SGP&amp;VAR:INDEX=0"}</definedName>
    <definedName name="_2207__FDSAUDITLINK__" hidden="1">{"fdsup://directions/FAT Viewer?action=UPDATE&amp;creator=factset&amp;DYN_ARGS=TRUE&amp;DOC_NAME=FAT:FQL_AUDITING_CLIENT_TEMPLATE.FAT&amp;display_string=Audit&amp;VAR:KEY=LARWVSDIPK&amp;VAR:QUERY=RkZfU0FMRVMoQ0FMLDM4NzE3LCwsLFVTRCk=&amp;WINDOW=FIRST_POPUP&amp;HEIGHT=450&amp;WIDTH=450&amp;START_MA","XIMIZED=FALSE&amp;VAR:CALENDAR=US&amp;VAR:SYMBOL=MRK&amp;VAR:INDEX=0"}</definedName>
    <definedName name="_2208__FDSAUDITLINK__" hidden="1">{"fdsup://directions/FAT Viewer?action=UPDATE&amp;creator=factset&amp;DYN_ARGS=TRUE&amp;DOC_NAME=FAT:FQL_AUDITING_CLIENT_TEMPLATE.FAT&amp;display_string=Audit&amp;VAR:KEY=DKZQFGPGZY&amp;VAR:QUERY=RkZfU0FMRVMoQ0FMLDM4NzE3LCwsLCk=&amp;WINDOW=FIRST_POPUP&amp;HEIGHT=450&amp;WIDTH=450&amp;START_MAXIMI","ZED=FALSE&amp;VAR:CALENDAR=US&amp;VAR:SYMBOL=SGP&amp;VAR:INDEX=0"}</definedName>
    <definedName name="_2209__FDSAUDITLINK__" hidden="1">{"fdsup://directions/FAT Viewer?action=UPDATE&amp;creator=factset&amp;DYN_ARGS=TRUE&amp;DOC_NAME=FAT:FQL_AUDITING_CLIENT_TEMPLATE.FAT&amp;display_string=Audit&amp;VAR:KEY=XINIZQTOTW&amp;VAR:QUERY=RkZfU0FMRVMoQ0FMLDM4MzUyLCwsLFVTRCk=&amp;WINDOW=FIRST_POPUP&amp;HEIGHT=450&amp;WIDTH=450&amp;START_MA","XIMIZED=FALSE&amp;VAR:CALENDAR=US&amp;VAR:SYMBOL=MRK&amp;VAR:INDEX=0"}</definedName>
    <definedName name="_221__FDSAUDITLINK__" hidden="1">{"fdsup://directions/FAT%20Viewer?VAR:TM=NTMA&amp;VAR:PCT=0.446575&amp;VAR:Y0=2006&amp;VAR:Y1=2007&amp;VAR:V0=14.291901&amp;VAR:V1=12.968664&amp;VAR:V=13.528004&amp;VAR:AUDIT_ID=00000117&amp;VAR:DATE=20060721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Aggregates&amp;VAR:MEASURE=PE_MEAN&amp;VAR:CALC_MODE=PORTFOLIO&amp;VAR:CHGPERIOD=NA&amp;VAR:FQLFORMULA=FMA_PE&amp;VAR:CURRENCY=USD&amp;VAR:P=1","240.291100&amp;VAR:THRESH=||||||&amp;VAR:null=.html"}</definedName>
    <definedName name="_2210__FDSAUDITLINK__" hidden="1">{"fdsup://directions/FAT Viewer?action=UPDATE&amp;creator=factset&amp;DYN_ARGS=TRUE&amp;DOC_NAME=FAT:FQL_AUDITING_CLIENT_TEMPLATE.FAT&amp;display_string=Audit&amp;VAR:KEY=BSFAVMVYRK&amp;VAR:QUERY=RkZfU0FMRVMoQ0FMLDM4MzUyLCwsLCk=&amp;WINDOW=FIRST_POPUP&amp;HEIGHT=450&amp;WIDTH=450&amp;START_MAXIMI","ZED=FALSE&amp;VAR:CALENDAR=US&amp;VAR:SYMBOL=SGP&amp;VAR:INDEX=0"}</definedName>
    <definedName name="_2211__FDSAUDITLINK__" hidden="1">{"fdsup://directions/FAT Viewer?action=UPDATE&amp;creator=factset&amp;DYN_ARGS=TRUE&amp;DOC_NAME=FAT:FQL_AUDITING_CLIENT_TEMPLATE.FAT&amp;display_string=Audit&amp;VAR:KEY=LGHWFEBQFK&amp;VAR:QUERY=RkZfU0FMRVMoQ0FMLDQwNTQzLCwsLCk=&amp;WINDOW=FIRST_POPUP&amp;HEIGHT=450&amp;WIDTH=450&amp;START_MAXIMI","ZED=FALSE&amp;VAR:CALENDAR=US&amp;VAR:SYMBOL=PFE&amp;VAR:INDEX=0"}</definedName>
    <definedName name="_2212__FDSAUDITLINK__" hidden="1">{"fdsup://directions/FAT Viewer?action=UPDATE&amp;creator=factset&amp;DYN_ARGS=TRUE&amp;DOC_NAME=FAT:FQL_AUDITING_CLIENT_TEMPLATE.FAT&amp;display_string=Audit&amp;VAR:KEY=VUBGPEPQXE&amp;VAR:QUERY=RkZfU0FMRVMoQ0FMLDQwMTc4LCwsLFVTRCk=&amp;WINDOW=FIRST_POPUP&amp;HEIGHT=450&amp;WIDTH=450&amp;START_MA","XIMIZED=FALSE&amp;VAR:CALENDAR=US&amp;VAR:SYMBOL=PFE&amp;VAR:INDEX=0"}</definedName>
    <definedName name="_2213__FDSAUDITLINK__" hidden="1">{"fdsup://directions/FAT Viewer?action=UPDATE&amp;creator=factset&amp;DYN_ARGS=TRUE&amp;DOC_NAME=FAT:FQL_AUDITING_CLIENT_TEMPLATE.FAT&amp;display_string=Audit&amp;VAR:KEY=TALIFCXGLY&amp;VAR:QUERY=RkZfU0FMRVMoQ0FMLDM5ODEzLCwsLFVTRCk=&amp;WINDOW=FIRST_POPUP&amp;HEIGHT=450&amp;WIDTH=450&amp;START_MA","XIMIZED=FALSE&amp;VAR:CALENDAR=US&amp;VAR:SYMBOL=PFE&amp;VAR:INDEX=0"}</definedName>
    <definedName name="_2214__FDSAUDITLINK__" hidden="1">{"fdsup://directions/FAT Viewer?action=UPDATE&amp;creator=factset&amp;DYN_ARGS=TRUE&amp;DOC_NAME=FAT:FQL_AUDITING_CLIENT_TEMPLATE.FAT&amp;display_string=Audit&amp;VAR:KEY=VQLSXQNWTQ&amp;VAR:QUERY=RkZfU0FMRVMoQ0FMLDM5ODEzLCwsLCk=&amp;WINDOW=FIRST_POPUP&amp;HEIGHT=450&amp;WIDTH=450&amp;START_MAXIMI","ZED=FALSE&amp;VAR:CALENDAR=US&amp;VAR:SYMBOL=WYE&amp;VAR:INDEX=0"}</definedName>
    <definedName name="_2215__FDSAUDITLINK__" hidden="1">{"fdsup://directions/FAT Viewer?action=UPDATE&amp;creator=factset&amp;DYN_ARGS=TRUE&amp;DOC_NAME=FAT:FQL_AUDITING_CLIENT_TEMPLATE.FAT&amp;display_string=Audit&amp;VAR:KEY=XGZEZUPELA&amp;VAR:QUERY=RkZfU0FMRVMoQ0FMLDM5NDQ3LCwsLFVTRCk=&amp;WINDOW=FIRST_POPUP&amp;HEIGHT=450&amp;WIDTH=450&amp;START_MA","XIMIZED=FALSE&amp;VAR:CALENDAR=US&amp;VAR:SYMBOL=PFE&amp;VAR:INDEX=0"}</definedName>
    <definedName name="_2216__FDSAUDITLINK__" hidden="1">{"fdsup://directions/FAT Viewer?action=UPDATE&amp;creator=factset&amp;DYN_ARGS=TRUE&amp;DOC_NAME=FAT:FQL_AUDITING_CLIENT_TEMPLATE.FAT&amp;display_string=Audit&amp;VAR:KEY=LYBCHAXYFU&amp;VAR:QUERY=RkZfU0FMRVMoQ0FMLDM5NDQ3LCwsLCk=&amp;WINDOW=FIRST_POPUP&amp;HEIGHT=450&amp;WIDTH=450&amp;START_MAXIMI","ZED=FALSE&amp;VAR:CALENDAR=US&amp;VAR:SYMBOL=WYE&amp;VAR:INDEX=0"}</definedName>
    <definedName name="_2217__FDSAUDITLINK__" hidden="1">{"fdsup://directions/FAT Viewer?action=UPDATE&amp;creator=factset&amp;DYN_ARGS=TRUE&amp;DOC_NAME=FAT:FQL_AUDITING_CLIENT_TEMPLATE.FAT&amp;display_string=Audit&amp;VAR:KEY=VCRKNMRSXU&amp;VAR:QUERY=RkZfU0FMRVMoQ0FMLDM5MDgyLCwsLFVTRCk=&amp;WINDOW=FIRST_POPUP&amp;HEIGHT=450&amp;WIDTH=450&amp;START_MA","XIMIZED=FALSE&amp;VAR:CALENDAR=US&amp;VAR:SYMBOL=PFE&amp;VAR:INDEX=0"}</definedName>
    <definedName name="_2218__FDSAUDITLINK__" hidden="1">{"fdsup://directions/FAT Viewer?action=UPDATE&amp;creator=factset&amp;DYN_ARGS=TRUE&amp;DOC_NAME=FAT:FQL_AUDITING_CLIENT_TEMPLATE.FAT&amp;display_string=Audit&amp;VAR:KEY=VEPGFILCPM&amp;VAR:QUERY=RkZfU0FMRVMoQ0FMLDM5MDgyLCwsLCk=&amp;WINDOW=FIRST_POPUP&amp;HEIGHT=450&amp;WIDTH=450&amp;START_MAXIMI","ZED=FALSE&amp;VAR:CALENDAR=US&amp;VAR:SYMBOL=WYE&amp;VAR:INDEX=0"}</definedName>
    <definedName name="_2219__FDSAUDITLINK__" hidden="1">{"fdsup://directions/FAT Viewer?action=UPDATE&amp;creator=factset&amp;DYN_ARGS=TRUE&amp;DOC_NAME=FAT:FQL_AUDITING_CLIENT_TEMPLATE.FAT&amp;display_string=Audit&amp;VAR:KEY=XSFMPONEVU&amp;VAR:QUERY=RkZfU0FMRVMoQ0FMLDM4NzE3LCwsLFVTRCk=&amp;WINDOW=FIRST_POPUP&amp;HEIGHT=450&amp;WIDTH=450&amp;START_MA","XIMIZED=FALSE&amp;VAR:CALENDAR=US&amp;VAR:SYMBOL=PFE&amp;VAR:INDEX=0"}</definedName>
    <definedName name="_222__FDSAUDITLINK__" hidden="1">{"fdsup://directions/FAT%20Viewer?VAR:TM=NTMA&amp;VAR:PCT=0.465753&amp;VAR:Y0=2006&amp;VAR:Y1=2007&amp;VAR:V0=14.290719&amp;VAR:V1=12.913506&amp;VAR:V=13.520370&amp;VAR:AUDIT_ID=00000117&amp;VAR:DATE=20060714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Aggregates&amp;VAR:MEASURE=PE_MEAN&amp;VAR:CALC_MODE=PORTFOLIO&amp;VAR:CHGPERIOD=NA&amp;VAR:FQLFORMULA=FMA_PE&amp;VAR:CURRENCY=USD&amp;VAR:P=1","236.199100&amp;VAR:THRESH=||||||&amp;VAR:null=.html"}</definedName>
    <definedName name="_2220__FDSAUDITLINK__" hidden="1">{"fdsup://directions/FAT Viewer?action=UPDATE&amp;creator=factset&amp;DYN_ARGS=TRUE&amp;DOC_NAME=FAT:FQL_AUDITING_CLIENT_TEMPLATE.FAT&amp;display_string=Audit&amp;VAR:KEY=LIHSTKLYLI&amp;VAR:QUERY=RkZfU0FMRVMoQ0FMLDM4NzE3LCwsLCk=&amp;WINDOW=FIRST_POPUP&amp;HEIGHT=450&amp;WIDTH=450&amp;START_MAXIMI","ZED=FALSE&amp;VAR:CALENDAR=US&amp;VAR:SYMBOL=WYE&amp;VAR:INDEX=0"}</definedName>
    <definedName name="_2221__FDSAUDITLINK__" hidden="1">{"fdsup://directions/FAT Viewer?action=UPDATE&amp;creator=factset&amp;DYN_ARGS=TRUE&amp;DOC_NAME=FAT:FQL_AUDITING_CLIENT_TEMPLATE.FAT&amp;display_string=Audit&amp;VAR:KEY=ZQNSHKVOTE&amp;VAR:QUERY=RkZfU0FMRVMoQ0FMLDM4MzUyLCwsLFVTRCk=&amp;WINDOW=FIRST_POPUP&amp;HEIGHT=450&amp;WIDTH=450&amp;START_MA","XIMIZED=FALSE&amp;VAR:CALENDAR=US&amp;VAR:SYMBOL=PFE&amp;VAR:INDEX=0"}</definedName>
    <definedName name="_2222__FDSAUDITLINK__" hidden="1">{"fdsup://directions/FAT Viewer?action=UPDATE&amp;creator=factset&amp;DYN_ARGS=TRUE&amp;DOC_NAME=FAT:FQL_AUDITING_CLIENT_TEMPLATE.FAT&amp;display_string=Audit&amp;VAR:KEY=ZIFWJMBGTI&amp;VAR:QUERY=RkZfU0FMRVMoQ0FMLDM4MzUyLCwsLCk=&amp;WINDOW=FIRST_POPUP&amp;HEIGHT=450&amp;WIDTH=450&amp;START_MAXIMI","ZED=FALSE&amp;VAR:CALENDAR=US&amp;VAR:SYMBOL=WYE&amp;VAR:INDEX=0"}</definedName>
    <definedName name="_2223__FDSAUDITLINK__" hidden="1">{"fdsup://directions/FAT Viewer?action=UPDATE&amp;creator=factset&amp;DYN_ARGS=TRUE&amp;DOC_NAME=FAT:FQL_AUDITING_CLIENT_TEMPLATE.FAT&amp;display_string=Audit&amp;VAR:KEY=DIVKNITAZM&amp;VAR:QUERY=RkZfUkRfRVhQKENBTCwyMDA4LCwsLFVTRCk=&amp;WINDOW=FIRST_POPUP&amp;HEIGHT=450&amp;WIDTH=450&amp;START_MA","XIMIZED=FALSE&amp;VAR:CALENDAR=US&amp;VAR:SYMBOL=WYE&amp;VAR:INDEX=0"}</definedName>
    <definedName name="_2224__FDSAUDITLINK__" hidden="1">{"fdsup://directions/FAT Viewer?action=UPDATE&amp;creator=factset&amp;DYN_ARGS=TRUE&amp;DOC_NAME=FAT:FQL_AUDITING_CLIENT_TEMPLATE.FAT&amp;display_string=Audit&amp;VAR:KEY=HCLYRIPKVQ&amp;VAR:QUERY=RkZfUkRfRVhQKENBTCwyMDA3LCwsLFVTRCk=&amp;WINDOW=FIRST_POPUP&amp;HEIGHT=450&amp;WIDTH=450&amp;START_MA","XIMIZED=FALSE&amp;VAR:CALENDAR=US&amp;VAR:SYMBOL=WYE&amp;VAR:INDEX=0"}</definedName>
    <definedName name="_2225__FDSAUDITLINK__" hidden="1">{"fdsup://directions/FAT Viewer?action=UPDATE&amp;creator=factset&amp;DYN_ARGS=TRUE&amp;DOC_NAME=FAT:FQL_AUDITING_CLIENT_TEMPLATE.FAT&amp;display_string=Audit&amp;VAR:KEY=XKJURUPUXI&amp;VAR:QUERY=RkZfUkRfRVhQKENBTCwyMDA4LCwsLFVTRCk=&amp;WINDOW=FIRST_POPUP&amp;HEIGHT=450&amp;WIDTH=450&amp;START_MA","XIMIZED=FALSE&amp;VAR:CALENDAR=US&amp;VAR:SYMBOL=BIIB&amp;VAR:INDEX=0"}</definedName>
    <definedName name="_2226__FDSAUDITLINK__" hidden="1">{"fdsup://directions/FAT Viewer?action=UPDATE&amp;creator=factset&amp;DYN_ARGS=TRUE&amp;DOC_NAME=FAT:FQL_AUDITING_CLIENT_TEMPLATE.FAT&amp;display_string=Audit&amp;VAR:KEY=DWTCTGDURW&amp;VAR:QUERY=RkZfUkRfRVhQKENBTCwyMDA3LCwsLFVTRCk=&amp;WINDOW=FIRST_POPUP&amp;HEIGHT=450&amp;WIDTH=450&amp;START_MA","XIMIZED=FALSE&amp;VAR:CALENDAR=US&amp;VAR:SYMBOL=BIIB&amp;VAR:INDEX=0"}</definedName>
    <definedName name="_2227__FDSAUDITLINK__" hidden="1">{"fdsup://directions/FAT Viewer?action=UPDATE&amp;creator=factset&amp;DYN_ARGS=TRUE&amp;DOC_NAME=FAT:FQL_AUDITING_CLIENT_TEMPLATE.FAT&amp;display_string=Audit&amp;VAR:KEY=ZKDQPGHSNO&amp;VAR:QUERY=RkZfUkRfRVhQKENBTCwyMDA4LCwsLFVTRCk=&amp;WINDOW=FIRST_POPUP&amp;HEIGHT=450&amp;WIDTH=450&amp;START_MA","XIMIZED=FALSE&amp;VAR:CALENDAR=US&amp;VAR:SYMBOL=707752&amp;VAR:INDEX=0"}</definedName>
    <definedName name="_2228__FDSAUDITLINK__" hidden="1">{"fdsup://directions/FAT Viewer?action=UPDATE&amp;creator=factset&amp;DYN_ARGS=TRUE&amp;DOC_NAME=FAT:FQL_AUDITING_CLIENT_TEMPLATE.FAT&amp;display_string=Audit&amp;VAR:KEY=HKJQHCVUFC&amp;VAR:QUERY=RkZfUkRfRVhQKENBTCwyMDA3LCwsLFVTRCk=&amp;WINDOW=FIRST_POPUP&amp;HEIGHT=450&amp;WIDTH=450&amp;START_MA","XIMIZED=FALSE&amp;VAR:CALENDAR=US&amp;VAR:SYMBOL=707752&amp;VAR:INDEX=0"}</definedName>
    <definedName name="_2229__FDSAUDITLINK__" hidden="1">{"fdsup://directions/FAT Viewer?action=UPDATE&amp;creator=factset&amp;DYN_ARGS=TRUE&amp;DOC_NAME=FAT:FQL_AUDITING_CLIENT_TEMPLATE.FAT&amp;display_string=Audit&amp;VAR:KEY=XSPCXOXWFG&amp;VAR:QUERY=RkZfUkRfRVhQKENBTCwyMDA4LCwsLFVTRCk=&amp;WINDOW=FIRST_POPUP&amp;HEIGHT=450&amp;WIDTH=450&amp;START_MA","XIMIZED=FALSE&amp;VAR:CALENDAR=US&amp;VAR:SYMBOL=630720&amp;VAR:INDEX=0"}</definedName>
    <definedName name="_223__FDSAUDITLINK__" hidden="1">{"fdsup://directions/FAT%20Viewer?VAR:TM=NTMA&amp;VAR:PCT=0.484932&amp;VAR:Y0=2006&amp;VAR:Y1=2007&amp;VAR:V0=14.616905&amp;VAR:V1=13.210049&amp;VAR:V=13.856801&amp;VAR:AUDIT_ID=00000117&amp;VAR:DATE=20060707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Aggregates&amp;VAR:MEASURE=PE_MEAN&amp;VAR:CALC_MODE=PORTFOLIO&amp;VAR:CHGPERIOD=NA&amp;VAR:FQLFORMULA=FMA_PE&amp;VAR:CURRENCY=USD&amp;VAR:P=1","265.476400&amp;VAR:THRESH=||||||&amp;VAR:null=.html"}</definedName>
    <definedName name="_2230__FDSAUDITLINK__" hidden="1">{"fdsup://directions/FAT Viewer?action=UPDATE&amp;creator=factset&amp;DYN_ARGS=TRUE&amp;DOC_NAME=FAT:FQL_AUDITING_CLIENT_TEMPLATE.FAT&amp;display_string=Audit&amp;VAR:KEY=BEDORSJANQ&amp;VAR:QUERY=RkZfUkRfRVhQKENBTCwyMDA3LCwsLFVTRCk=&amp;WINDOW=FIRST_POPUP&amp;HEIGHT=450&amp;WIDTH=450&amp;START_MA","XIMIZED=FALSE&amp;VAR:CALENDAR=US&amp;VAR:SYMBOL=630720&amp;VAR:INDEX=0"}</definedName>
    <definedName name="_2231__FDSAUDITLINK__" hidden="1">{"fdsup://directions/FAT Viewer?action=UPDATE&amp;creator=factset&amp;DYN_ARGS=TRUE&amp;DOC_NAME=FAT:FQL_AUDITING_CLIENT_TEMPLATE.FAT&amp;display_string=Audit&amp;VAR:KEY=ZEPGFQJADE&amp;VAR:QUERY=RkZfUkRfRVhQKENBTCwyMDA4LCwsLFVTRCk=&amp;WINDOW=FIRST_POPUP&amp;HEIGHT=450&amp;WIDTH=450&amp;START_MA","XIMIZED=FALSE&amp;VAR:CALENDAR=US&amp;VAR:SYMBOL=698538&amp;VAR:INDEX=0"}</definedName>
    <definedName name="_2232__FDSAUDITLINK__" hidden="1">{"fdsup://directions/FAT Viewer?action=UPDATE&amp;creator=factset&amp;DYN_ARGS=TRUE&amp;DOC_NAME=FAT:FQL_AUDITING_CLIENT_TEMPLATE.FAT&amp;display_string=Audit&amp;VAR:KEY=HALOFQXSVO&amp;VAR:QUERY=RkZfUkRfRVhQKENBTCwyMDA3LCwsLFVTRCk=&amp;WINDOW=FIRST_POPUP&amp;HEIGHT=450&amp;WIDTH=450&amp;START_MA","XIMIZED=FALSE&amp;VAR:CALENDAR=US&amp;VAR:SYMBOL=698538&amp;VAR:INDEX=0"}</definedName>
    <definedName name="_2233__FDSAUDITLINK__" hidden="1">{"fdsup://directions/FAT Viewer?action=UPDATE&amp;creator=factset&amp;DYN_ARGS=TRUE&amp;DOC_NAME=FAT:FQL_AUDITING_CLIENT_TEMPLATE.FAT&amp;display_string=Audit&amp;VAR:KEY=BURSXUHEJK&amp;VAR:QUERY=RkZfUkRfRVhQKENBTCwyMDA4LCwsLFVTRCk=&amp;WINDOW=FIRST_POPUP&amp;HEIGHT=450&amp;WIDTH=450&amp;START_MA","XIMIZED=FALSE&amp;VAR:CALENDAR=US&amp;VAR:SYMBOL=B0J7D9&amp;VAR:INDEX=0"}</definedName>
    <definedName name="_2234__FDSAUDITLINK__" hidden="1">{"fdsup://directions/FAT Viewer?action=UPDATE&amp;creator=factset&amp;DYN_ARGS=TRUE&amp;DOC_NAME=FAT:FQL_AUDITING_CLIENT_TEMPLATE.FAT&amp;display_string=Audit&amp;VAR:KEY=LABKHYRYVS&amp;VAR:QUERY=RkZfUkRfRVhQKENBTCwyMDA3LCwsLFVTRCk=&amp;WINDOW=FIRST_POPUP&amp;HEIGHT=450&amp;WIDTH=450&amp;START_MA","XIMIZED=FALSE&amp;VAR:CALENDAR=US&amp;VAR:SYMBOL=B0J7D9&amp;VAR:INDEX=0"}</definedName>
    <definedName name="_2235__FDSAUDITLINK__" hidden="1">{"fdsup://directions/FAT Viewer?action=UPDATE&amp;creator=factset&amp;DYN_ARGS=TRUE&amp;DOC_NAME=FAT:FQL_AUDITING_CLIENT_TEMPLATE.FAT&amp;display_string=Audit&amp;VAR:KEY=XQBYHAHMJE&amp;VAR:QUERY=RkZfUkRfRVhQKENBTCwyMDA4LCwsLFVTRCk=&amp;WINDOW=FIRST_POPUP&amp;HEIGHT=450&amp;WIDTH=450&amp;START_MA","XIMIZED=FALSE&amp;VAR:CALENDAR=US&amp;VAR:SYMBOL=AMGN&amp;VAR:INDEX=0"}</definedName>
    <definedName name="_2236__FDSAUDITLINK__" hidden="1">{"fdsup://directions/FAT Viewer?action=UPDATE&amp;creator=factset&amp;DYN_ARGS=TRUE&amp;DOC_NAME=FAT:FQL_AUDITING_CLIENT_TEMPLATE.FAT&amp;display_string=Audit&amp;VAR:KEY=RWVUPEFUXW&amp;VAR:QUERY=RkZfUkRfRVhQKENBTCwyMDA3LCwsLFVTRCk=&amp;WINDOW=FIRST_POPUP&amp;HEIGHT=450&amp;WIDTH=450&amp;START_MA","XIMIZED=FALSE&amp;VAR:CALENDAR=US&amp;VAR:SYMBOL=AMGN&amp;VAR:INDEX=0"}</definedName>
    <definedName name="_2237__FDSAUDITLINK__" hidden="1">{"fdsup://directions/FAT Viewer?action=UPDATE&amp;creator=factset&amp;DYN_ARGS=TRUE&amp;DOC_NAME=FAT:FQL_AUDITING_CLIENT_TEMPLATE.FAT&amp;display_string=Audit&amp;VAR:KEY=HUJQRCJEBE&amp;VAR:QUERY=RkZfUkRfRVhQKENBTCwyMDA4LCwsLFVTRCk=&amp;WINDOW=FIRST_POPUP&amp;HEIGHT=450&amp;WIDTH=450&amp;START_MA","XIMIZED=FALSE&amp;VAR:CALENDAR=US&amp;VAR:SYMBOL=ABT&amp;VAR:INDEX=0"}</definedName>
    <definedName name="_2238__FDSAUDITLINK__" hidden="1">{"fdsup://directions/FAT Viewer?action=UPDATE&amp;creator=factset&amp;DYN_ARGS=TRUE&amp;DOC_NAME=FAT:FQL_AUDITING_CLIENT_TEMPLATE.FAT&amp;display_string=Audit&amp;VAR:KEY=BYVWXYRQNK&amp;VAR:QUERY=RkZfUkRfRVhQKENBTCwyMDA3LCwsLFVTRCk=&amp;WINDOW=FIRST_POPUP&amp;HEIGHT=450&amp;WIDTH=450&amp;START_MA","XIMIZED=FALSE&amp;VAR:CALENDAR=US&amp;VAR:SYMBOL=ABT&amp;VAR:INDEX=0"}</definedName>
    <definedName name="_2239__FDSAUDITLINK__" hidden="1">{"fdsup://directions/FAT Viewer?action=UPDATE&amp;creator=factset&amp;DYN_ARGS=TRUE&amp;DOC_NAME=FAT:FQL_AUDITING_CLIENT_TEMPLATE.FAT&amp;display_string=Audit&amp;VAR:KEY=ZUPYRQFSRU&amp;VAR:QUERY=RkZfUkRfRVhQKENBTCwyMDA4LCwsLFVTRCk=&amp;WINDOW=FIRST_POPUP&amp;HEIGHT=450&amp;WIDTH=450&amp;START_MA","XIMIZED=FALSE&amp;VAR:CALENDAR=US&amp;VAR:SYMBOL=687044&amp;VAR:INDEX=0"}</definedName>
    <definedName name="_224__FDSAUDITLINK__" hidden="1">{"fdsup://directions/FAT%20Viewer?VAR:TM=NTMA&amp;VAR:PCT=0.504110&amp;VAR:Y0=2006&amp;VAR:Y1=2007&amp;VAR:V0=14.681677&amp;VAR:V1=13.262429&amp;VAR:V=13.941832&amp;VAR:AUDIT_ID=00000117&amp;VAR:DATE=20060630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Aggregates&amp;VAR:MEASURE=PE_MEAN&amp;VAR:CALC_MODE=PORTFOLIO&amp;VAR:CHGPERIOD=NA&amp;VAR:FQLFORMULA=FMA_PE&amp;VAR:CURRENCY=USD&amp;VAR:P=1","270.204300&amp;VAR:THRESH=||||||&amp;VAR:null=.html"}</definedName>
    <definedName name="_2240__FDSAUDITLINK__" hidden="1">{"fdsup://directions/FAT Viewer?action=UPDATE&amp;creator=factset&amp;DYN_ARGS=TRUE&amp;DOC_NAME=FAT:FQL_AUDITING_CLIENT_TEMPLATE.FAT&amp;display_string=Audit&amp;VAR:KEY=ZMRALSXARE&amp;VAR:QUERY=RkZfUkRfRVhQKENBTCwyMDA3LCwsLFVTRCk=&amp;WINDOW=FIRST_POPUP&amp;HEIGHT=450&amp;WIDTH=450&amp;START_MA","XIMIZED=FALSE&amp;VAR:CALENDAR=US&amp;VAR:SYMBOL=687044&amp;VAR:INDEX=0"}</definedName>
    <definedName name="_2241__FDSAUDITLINK__" hidden="1">{"fdsup://directions/FAT Viewer?action=UPDATE&amp;creator=factset&amp;DYN_ARGS=TRUE&amp;DOC_NAME=FAT:FQL_AUDITING_CLIENT_TEMPLATE.FAT&amp;display_string=Audit&amp;VAR:KEY=ZMZYLSXEVK&amp;VAR:QUERY=RkZfUkRfRVhQKENBTCwyMDA4LCwsLFVTRCk=&amp;WINDOW=FIRST_POPUP&amp;HEIGHT=450&amp;WIDTH=450&amp;START_MA","XIMIZED=FALSE&amp;VAR:CALENDAR=US&amp;VAR:SYMBOL=BMY&amp;VAR:INDEX=0"}</definedName>
    <definedName name="_2242__FDSAUDITLINK__" hidden="1">{"fdsup://directions/FAT Viewer?action=UPDATE&amp;creator=factset&amp;DYN_ARGS=TRUE&amp;DOC_NAME=FAT:FQL_AUDITING_CLIENT_TEMPLATE.FAT&amp;display_string=Audit&amp;VAR:KEY=RENSXGJCBC&amp;VAR:QUERY=RkZfUkRfRVhQKENBTCwyMDA3LCwsLFVTRCk=&amp;WINDOW=FIRST_POPUP&amp;HEIGHT=450&amp;WIDTH=450&amp;START_MA","XIMIZED=FALSE&amp;VAR:CALENDAR=US&amp;VAR:SYMBOL=BMY&amp;VAR:INDEX=0"}</definedName>
    <definedName name="_2243__FDSAUDITLINK__" hidden="1">{"fdsup://directions/FAT Viewer?action=UPDATE&amp;creator=factset&amp;DYN_ARGS=TRUE&amp;DOC_NAME=FAT:FQL_AUDITING_CLIENT_TEMPLATE.FAT&amp;display_string=Audit&amp;VAR:KEY=BSNATUHMFQ&amp;VAR:QUERY=RkZfUkRfRVhQKENBTCwyMDA4LCwsLFVTRCk=&amp;WINDOW=FIRST_POPUP&amp;HEIGHT=450&amp;WIDTH=450&amp;START_MA","XIMIZED=FALSE&amp;VAR:CALENDAR=US&amp;VAR:SYMBOL=LLY&amp;VAR:INDEX=0"}</definedName>
    <definedName name="_2244__FDSAUDITLINK__" hidden="1">{"fdsup://directions/FAT Viewer?action=UPDATE&amp;creator=factset&amp;DYN_ARGS=TRUE&amp;DOC_NAME=FAT:FQL_AUDITING_CLIENT_TEMPLATE.FAT&amp;display_string=Audit&amp;VAR:KEY=DOHSHEVKPM&amp;VAR:QUERY=RkZfUkRfRVhQKENBTCwyMDA3LCwsLFVTRCk=&amp;WINDOW=FIRST_POPUP&amp;HEIGHT=450&amp;WIDTH=450&amp;START_MA","XIMIZED=FALSE&amp;VAR:CALENDAR=US&amp;VAR:SYMBOL=LLY&amp;VAR:INDEX=0"}</definedName>
    <definedName name="_2245__FDSAUDITLINK__" hidden="1">{"fdsup://directions/FAT Viewer?action=UPDATE&amp;creator=factset&amp;DYN_ARGS=TRUE&amp;DOC_NAME=FAT:FQL_AUDITING_CLIENT_TEMPLATE.FAT&amp;display_string=Audit&amp;VAR:KEY=JKHWTOZSRO&amp;VAR:QUERY=RkZfUkRfRVhQKENBTCwyMDA4LCwsLFVTRCk=&amp;WINDOW=FIRST_POPUP&amp;HEIGHT=450&amp;WIDTH=450&amp;START_MA","XIMIZED=FALSE&amp;VAR:CALENDAR=US&amp;VAR:SYMBOL=506921&amp;VAR:INDEX=0"}</definedName>
    <definedName name="_2246__FDSAUDITLINK__" hidden="1">{"fdsup://directions/FAT Viewer?action=UPDATE&amp;creator=factset&amp;DYN_ARGS=TRUE&amp;DOC_NAME=FAT:FQL_AUDITING_CLIENT_TEMPLATE.FAT&amp;display_string=Audit&amp;VAR:KEY=RCZEJWXODC&amp;VAR:QUERY=RkZfUkRfRVhQKENBTCwyMDA3LCwsLFVTRCk=&amp;WINDOW=FIRST_POPUP&amp;HEIGHT=450&amp;WIDTH=450&amp;START_MA","XIMIZED=FALSE&amp;VAR:CALENDAR=US&amp;VAR:SYMBOL=506921&amp;VAR:INDEX=0"}</definedName>
    <definedName name="_2247__FDSAUDITLINK__" hidden="1">{"fdsup://directions/FAT Viewer?action=UPDATE&amp;creator=factset&amp;DYN_ARGS=TRUE&amp;DOC_NAME=FAT:FQL_AUDITING_CLIENT_TEMPLATE.FAT&amp;display_string=Audit&amp;VAR:KEY=NGTOJGBUXY&amp;VAR:QUERY=RkZfUkRfRVhQKENBTCwyMDA4LCwsLFVTRCk=&amp;WINDOW=FIRST_POPUP&amp;HEIGHT=450&amp;WIDTH=450&amp;START_MA","XIMIZED=FALSE&amp;VAR:CALENDAR=US&amp;VAR:SYMBOL=567173&amp;VAR:INDEX=0"}</definedName>
    <definedName name="_2248__FDSAUDITLINK__" hidden="1">{"fdsup://directions/FAT Viewer?action=UPDATE&amp;creator=factset&amp;DYN_ARGS=TRUE&amp;DOC_NAME=FAT:FQL_AUDITING_CLIENT_TEMPLATE.FAT&amp;display_string=Audit&amp;VAR:KEY=RAZEFOLQPC&amp;VAR:QUERY=RkZfUkRfRVhQKENBTCwyMDA3LCwsLFVTRCk=&amp;WINDOW=FIRST_POPUP&amp;HEIGHT=450&amp;WIDTH=450&amp;START_MA","XIMIZED=FALSE&amp;VAR:CALENDAR=US&amp;VAR:SYMBOL=567173&amp;VAR:INDEX=0"}</definedName>
    <definedName name="_2249__FDSAUDITLINK__" hidden="1">{"fdsup://directions/FAT Viewer?action=UPDATE&amp;creator=factset&amp;DYN_ARGS=TRUE&amp;DOC_NAME=FAT:FQL_AUDITING_CLIENT_TEMPLATE.FAT&amp;display_string=Audit&amp;VAR:KEY=XKRABGFMPG&amp;VAR:QUERY=RkZfUkRfRVhQKENBTCwyMDA4LCwsLFVTRCk=&amp;WINDOW=FIRST_POPUP&amp;HEIGHT=450&amp;WIDTH=450&amp;START_MA","XIMIZED=FALSE&amp;VAR:CALENDAR=US&amp;VAR:SYMBOL=JNJ&amp;VAR:INDEX=0"}</definedName>
    <definedName name="_225__FDSAUDITLINK__" hidden="1">{"fdsup://directions/FAT%20Viewer?VAR:TM=NTMA&amp;VAR:PCT=0.523288&amp;VAR:Y0=2006&amp;VAR:Y1=2007&amp;VAR:V0=14.396005&amp;VAR:V1=13.024539&amp;VAR:V=13.707907&amp;VAR:AUDIT_ID=00000117&amp;VAR:DATE=20060623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Aggregates&amp;VAR:MEASURE=PE_MEAN&amp;VAR:CALC_MODE=PORTFOLIO&amp;VAR:CHGPERIOD=NA&amp;VAR:FQLFORMULA=FMA_PE&amp;VAR:CURRENCY=USD&amp;VAR:P=1","244.504400&amp;VAR:THRESH=||||||&amp;VAR:null=.html"}</definedName>
    <definedName name="_2250__FDSAUDITLINK__" hidden="1">{"fdsup://directions/FAT Viewer?action=UPDATE&amp;creator=factset&amp;DYN_ARGS=TRUE&amp;DOC_NAME=FAT:FQL_AUDITING_CLIENT_TEMPLATE.FAT&amp;display_string=Audit&amp;VAR:KEY=LCJKLSDCRQ&amp;VAR:QUERY=RkZfUkRfRVhQKENBTCwyMDA3LCwsLFVTRCk=&amp;WINDOW=FIRST_POPUP&amp;HEIGHT=450&amp;WIDTH=450&amp;START_MA","XIMIZED=FALSE&amp;VAR:CALENDAR=US&amp;VAR:SYMBOL=JNJ&amp;VAR:INDEX=0"}</definedName>
    <definedName name="_2251__FDSAUDITLINK__" hidden="1">{"fdsup://directions/FAT Viewer?action=UPDATE&amp;creator=factset&amp;DYN_ARGS=TRUE&amp;DOC_NAME=FAT:FQL_AUDITING_CLIENT_TEMPLATE.FAT&amp;display_string=Audit&amp;VAR:KEY=LMTQHUVWVA&amp;VAR:QUERY=RkZfUkRfRVhQKENBTCwyMDA4LCwsLFVTRCk=&amp;WINDOW=FIRST_POPUP&amp;HEIGHT=450&amp;WIDTH=450&amp;START_MA","XIMIZED=FALSE&amp;VAR:CALENDAR=US&amp;VAR:SYMBOL=710306&amp;VAR:INDEX=0"}</definedName>
    <definedName name="_2252__FDSAUDITLINK__" hidden="1">{"fdsup://directions/FAT Viewer?action=UPDATE&amp;creator=factset&amp;DYN_ARGS=TRUE&amp;DOC_NAME=FAT:FQL_AUDITING_CLIENT_TEMPLATE.FAT&amp;display_string=Audit&amp;VAR:KEY=VYTORQNKTW&amp;VAR:QUERY=RkZfUkRfRVhQKENBTCwyMDA3LCwsLFVTRCk=&amp;WINDOW=FIRST_POPUP&amp;HEIGHT=450&amp;WIDTH=450&amp;START_MA","XIMIZED=FALSE&amp;VAR:CALENDAR=US&amp;VAR:SYMBOL=710306&amp;VAR:INDEX=0"}</definedName>
    <definedName name="_2253__FDSAUDITLINK__" hidden="1">{"fdsup://directions/FAT Viewer?action=UPDATE&amp;creator=factset&amp;DYN_ARGS=TRUE&amp;DOC_NAME=FAT:FQL_AUDITING_CLIENT_TEMPLATE.FAT&amp;display_string=Audit&amp;VAR:KEY=RAFAPGJURW&amp;VAR:QUERY=RkZfUkRfRVhQKENBTCwyMDA4LCwsLFVTRCk=&amp;WINDOW=FIRST_POPUP&amp;HEIGHT=450&amp;WIDTH=450&amp;START_MA","XIMIZED=FALSE&amp;VAR:CALENDAR=US&amp;VAR:SYMBOL=711038&amp;VAR:INDEX=0"}</definedName>
    <definedName name="_2254__FDSAUDITLINK__" hidden="1">{"fdsup://directions/FAT Viewer?action=UPDATE&amp;creator=factset&amp;DYN_ARGS=TRUE&amp;DOC_NAME=FAT:FQL_AUDITING_CLIENT_TEMPLATE.FAT&amp;display_string=Audit&amp;VAR:KEY=LKDSHOXEJE&amp;VAR:QUERY=RkZfUkRfRVhQKENBTCwyMDA4LCwsLFVTRCk=&amp;WINDOW=FIRST_POPUP&amp;HEIGHT=450&amp;WIDTH=450&amp;START_MA","XIMIZED=FALSE&amp;VAR:CALENDAR=US&amp;VAR:SYMBOL=MRK&amp;VAR:INDEX=0"}</definedName>
    <definedName name="_2255__FDSAUDITLINK__" hidden="1">{"fdsup://directions/FAT Viewer?action=UPDATE&amp;creator=factset&amp;DYN_ARGS=TRUE&amp;DOC_NAME=FAT:FQL_AUDITING_CLIENT_TEMPLATE.FAT&amp;display_string=Audit&amp;VAR:KEY=TILQDMTSFA&amp;VAR:QUERY=RkZfUkRfRVhQKENBTCwyMDA3LCwsLFVTRCk=&amp;WINDOW=FIRST_POPUP&amp;HEIGHT=450&amp;WIDTH=450&amp;START_MA","XIMIZED=FALSE&amp;VAR:CALENDAR=US&amp;VAR:SYMBOL=MRK&amp;VAR:INDEX=0"}</definedName>
    <definedName name="_2256__FDSAUDITLINK__" hidden="1">{"fdsup://directions/FAT Viewer?action=UPDATE&amp;creator=factset&amp;DYN_ARGS=TRUE&amp;DOC_NAME=FAT:FQL_AUDITING_CLIENT_TEMPLATE.FAT&amp;display_string=Audit&amp;VAR:KEY=JCJYXWPCFK&amp;VAR:QUERY=RkZfUkRfRVhQKENBTCwyMDA4LCwsLFVTRCk=&amp;WINDOW=FIRST_POPUP&amp;HEIGHT=450&amp;WIDTH=450&amp;START_MA","XIMIZED=FALSE&amp;VAR:CALENDAR=US&amp;VAR:SYMBOL=PFE&amp;VAR:INDEX=0"}</definedName>
    <definedName name="_2257__FDSAUDITLINK__" hidden="1">{"fdsup://directions/FAT Viewer?action=UPDATE&amp;creator=factset&amp;DYN_ARGS=TRUE&amp;DOC_NAME=FAT:FQL_AUDITING_CLIENT_TEMPLATE.FAT&amp;display_string=Audit&amp;VAR:KEY=VABOBMLSTS&amp;VAR:QUERY=RkZfUkRfRVhQKENBTCwyMDA3LCwsLFVTRCk=&amp;WINDOW=FIRST_POPUP&amp;HEIGHT=450&amp;WIDTH=450&amp;START_MA","XIMIZED=FALSE&amp;VAR:CALENDAR=US&amp;VAR:SYMBOL=PFE&amp;VAR:INDEX=0"}</definedName>
    <definedName name="_2258__FDSAUDITLINK__" hidden="1">{"fdsup://directions/FAT Viewer?action=UPDATE&amp;creator=factset&amp;DYN_ARGS=TRUE&amp;DOC_NAME=FAT:FQL_AUDITING_CLIENT_TEMPLATE.FAT&amp;display_string=Audit&amp;VAR:KEY=DIVKNITAZM&amp;VAR:QUERY=RkZfUkRfRVhQKENBTCwyMDA4LCwsLFVTRCk=&amp;WINDOW=FIRST_POPUP&amp;HEIGHT=450&amp;WIDTH=450&amp;START_MA","XIMIZED=FALSE&amp;VAR:CALENDAR=US&amp;VAR:SYMBOL=WYE&amp;VAR:INDEX=0"}</definedName>
    <definedName name="_2259__FDSAUDITLINK__" hidden="1">{"fdsup://directions/FAT Viewer?action=UPDATE&amp;creator=factset&amp;DYN_ARGS=TRUE&amp;DOC_NAME=FAT:FQL_AUDITING_CLIENT_TEMPLATE.FAT&amp;display_string=Audit&amp;VAR:KEY=HCLYRIPKVQ&amp;VAR:QUERY=RkZfUkRfRVhQKENBTCwyMDA3LCwsLFVTRCk=&amp;WINDOW=FIRST_POPUP&amp;HEIGHT=450&amp;WIDTH=450&amp;START_MA","XIMIZED=FALSE&amp;VAR:CALENDAR=US&amp;VAR:SYMBOL=WYE&amp;VAR:INDEX=0"}</definedName>
    <definedName name="_226__FDSAUDITLINK__" hidden="1">{"fdsup://directions/FAT%20Viewer?VAR:TM=NTMA&amp;VAR:PCT=0.542466&amp;VAR:Y0=2006&amp;VAR:Y1=2007&amp;VAR:V0=14.478456&amp;VAR:V1=13.104597&amp;VAR:V=13.815756&amp;VAR:AUDIT_ID=00000117&amp;VAR:DATE=20060616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Aggregates&amp;VAR:MEASURE=PE_MEAN&amp;VAR:CALC_MODE=PORTFOLIO&amp;VAR:CHGPERIOD=NA&amp;VAR:FQLFORMULA=FMA_PE&amp;VAR:CURRENCY=USD&amp;VAR:P=1","251.544300&amp;VAR:THRESH=||||||&amp;VAR:null=.html"}</definedName>
    <definedName name="_2260__FDSAUDITLINK__" hidden="1">{"fdsup://directions/FAT Viewer?action=UPDATE&amp;creator=factset&amp;DYN_ARGS=TRUE&amp;DOC_NAME=FAT:FQL_AUDITING_CLIENT_TEMPLATE.FAT&amp;display_string=Audit&amp;VAR:KEY=XKJURUPUXI&amp;VAR:QUERY=RkZfUkRfRVhQKENBTCwyMDA4LCwsLFVTRCk=&amp;WINDOW=FIRST_POPUP&amp;HEIGHT=450&amp;WIDTH=450&amp;START_MA","XIMIZED=FALSE&amp;VAR:CALENDAR=US&amp;VAR:SYMBOL=BIIB&amp;VAR:INDEX=0"}</definedName>
    <definedName name="_2261__FDSAUDITLINK__" hidden="1">{"fdsup://directions/FAT Viewer?action=UPDATE&amp;creator=factset&amp;DYN_ARGS=TRUE&amp;DOC_NAME=FAT:FQL_AUDITING_CLIENT_TEMPLATE.FAT&amp;display_string=Audit&amp;VAR:KEY=DWTCTGDURW&amp;VAR:QUERY=RkZfUkRfRVhQKENBTCwyMDA3LCwsLFVTRCk=&amp;WINDOW=FIRST_POPUP&amp;HEIGHT=450&amp;WIDTH=450&amp;START_MA","XIMIZED=FALSE&amp;VAR:CALENDAR=US&amp;VAR:SYMBOL=BIIB&amp;VAR:INDEX=0"}</definedName>
    <definedName name="_2262__FDSAUDITLINK__" hidden="1">{"fdsup://directions/FAT Viewer?action=UPDATE&amp;creator=factset&amp;DYN_ARGS=TRUE&amp;DOC_NAME=FAT:FQL_AUDITING_CLIENT_TEMPLATE.FAT&amp;display_string=Audit&amp;VAR:KEY=ZKDQPGHSNO&amp;VAR:QUERY=RkZfUkRfRVhQKENBTCwyMDA4LCwsLFVTRCk=&amp;WINDOW=FIRST_POPUP&amp;HEIGHT=450&amp;WIDTH=450&amp;START_MA","XIMIZED=FALSE&amp;VAR:CALENDAR=US&amp;VAR:SYMBOL=707752&amp;VAR:INDEX=0"}</definedName>
    <definedName name="_2263__FDSAUDITLINK__" hidden="1">{"fdsup://directions/FAT Viewer?action=UPDATE&amp;creator=factset&amp;DYN_ARGS=TRUE&amp;DOC_NAME=FAT:FQL_AUDITING_CLIENT_TEMPLATE.FAT&amp;display_string=Audit&amp;VAR:KEY=HKJQHCVUFC&amp;VAR:QUERY=RkZfUkRfRVhQKENBTCwyMDA3LCwsLFVTRCk=&amp;WINDOW=FIRST_POPUP&amp;HEIGHT=450&amp;WIDTH=450&amp;START_MA","XIMIZED=FALSE&amp;VAR:CALENDAR=US&amp;VAR:SYMBOL=707752&amp;VAR:INDEX=0"}</definedName>
    <definedName name="_2264__FDSAUDITLINK__" hidden="1">{"fdsup://directions/FAT Viewer?action=UPDATE&amp;creator=factset&amp;DYN_ARGS=TRUE&amp;DOC_NAME=FAT:FQL_AUDITING_CLIENT_TEMPLATE.FAT&amp;display_string=Audit&amp;VAR:KEY=XSPCXOXWFG&amp;VAR:QUERY=RkZfUkRfRVhQKENBTCwyMDA4LCwsLFVTRCk=&amp;WINDOW=FIRST_POPUP&amp;HEIGHT=450&amp;WIDTH=450&amp;START_MA","XIMIZED=FALSE&amp;VAR:CALENDAR=US&amp;VAR:SYMBOL=630720&amp;VAR:INDEX=0"}</definedName>
    <definedName name="_2265__FDSAUDITLINK__" hidden="1">{"fdsup://directions/FAT Viewer?action=UPDATE&amp;creator=factset&amp;DYN_ARGS=TRUE&amp;DOC_NAME=FAT:FQL_AUDITING_CLIENT_TEMPLATE.FAT&amp;display_string=Audit&amp;VAR:KEY=BEDORSJANQ&amp;VAR:QUERY=RkZfUkRfRVhQKENBTCwyMDA3LCwsLFVTRCk=&amp;WINDOW=FIRST_POPUP&amp;HEIGHT=450&amp;WIDTH=450&amp;START_MA","XIMIZED=FALSE&amp;VAR:CALENDAR=US&amp;VAR:SYMBOL=630720&amp;VAR:INDEX=0"}</definedName>
    <definedName name="_2266__FDSAUDITLINK__" hidden="1">{"fdsup://directions/FAT Viewer?action=UPDATE&amp;creator=factset&amp;DYN_ARGS=TRUE&amp;DOC_NAME=FAT:FQL_AUDITING_CLIENT_TEMPLATE.FAT&amp;display_string=Audit&amp;VAR:KEY=ZEPGFQJADE&amp;VAR:QUERY=RkZfUkRfRVhQKENBTCwyMDA4LCwsLFVTRCk=&amp;WINDOW=FIRST_POPUP&amp;HEIGHT=450&amp;WIDTH=450&amp;START_MA","XIMIZED=FALSE&amp;VAR:CALENDAR=US&amp;VAR:SYMBOL=698538&amp;VAR:INDEX=0"}</definedName>
    <definedName name="_2267__FDSAUDITLINK__" hidden="1">{"fdsup://directions/FAT Viewer?action=UPDATE&amp;creator=factset&amp;DYN_ARGS=TRUE&amp;DOC_NAME=FAT:FQL_AUDITING_CLIENT_TEMPLATE.FAT&amp;display_string=Audit&amp;VAR:KEY=HALOFQXSVO&amp;VAR:QUERY=RkZfUkRfRVhQKENBTCwyMDA3LCwsLFVTRCk=&amp;WINDOW=FIRST_POPUP&amp;HEIGHT=450&amp;WIDTH=450&amp;START_MA","XIMIZED=FALSE&amp;VAR:CALENDAR=US&amp;VAR:SYMBOL=698538&amp;VAR:INDEX=0"}</definedName>
    <definedName name="_2268__FDSAUDITLINK__" hidden="1">{"fdsup://directions/FAT Viewer?action=UPDATE&amp;creator=factset&amp;DYN_ARGS=TRUE&amp;DOC_NAME=FAT:FQL_AUDITING_CLIENT_TEMPLATE.FAT&amp;display_string=Audit&amp;VAR:KEY=BURSXUHEJK&amp;VAR:QUERY=RkZfUkRfRVhQKENBTCwyMDA4LCwsLFVTRCk=&amp;WINDOW=FIRST_POPUP&amp;HEIGHT=450&amp;WIDTH=450&amp;START_MA","XIMIZED=FALSE&amp;VAR:CALENDAR=US&amp;VAR:SYMBOL=B0J7D9&amp;VAR:INDEX=0"}</definedName>
    <definedName name="_2269__FDSAUDITLINK__" hidden="1">{"fdsup://directions/FAT Viewer?action=UPDATE&amp;creator=factset&amp;DYN_ARGS=TRUE&amp;DOC_NAME=FAT:FQL_AUDITING_CLIENT_TEMPLATE.FAT&amp;display_string=Audit&amp;VAR:KEY=LABKHYRYVS&amp;VAR:QUERY=RkZfUkRfRVhQKENBTCwyMDA3LCwsLFVTRCk=&amp;WINDOW=FIRST_POPUP&amp;HEIGHT=450&amp;WIDTH=450&amp;START_MA","XIMIZED=FALSE&amp;VAR:CALENDAR=US&amp;VAR:SYMBOL=B0J7D9&amp;VAR:INDEX=0"}</definedName>
    <definedName name="_227__FDSAUDITLINK__" hidden="1">{"fdsup://directions/FAT%20Viewer?VAR:TM=NTMA&amp;VAR:PCT=0.561644&amp;VAR:Y0=2006&amp;VAR:Y1=2007&amp;VAR:V0=14.489644&amp;VAR:V1=13.137199&amp;VAR:V=13.863993&amp;VAR:AUDIT_ID=00000117&amp;VAR:DATE=20060609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Aggregates&amp;VAR:MEASURE=PE_MEAN&amp;VAR:CALC_MODE=PORTFOLIO&amp;VAR:CHGPERIOD=NA&amp;VAR:FQLFORMULA=FMA_PE&amp;VAR:CURRENCY=USD&amp;VAR:P=1","252.298200&amp;VAR:THRESH=||||||&amp;VAR:null=.html"}</definedName>
    <definedName name="_2270__FDSAUDITLINK__" hidden="1">{"fdsup://directions/FAT Viewer?action=UPDATE&amp;creator=factset&amp;DYN_ARGS=TRUE&amp;DOC_NAME=FAT:FQL_AUDITING_CLIENT_TEMPLATE.FAT&amp;display_string=Audit&amp;VAR:KEY=XQBYHAHMJE&amp;VAR:QUERY=RkZfUkRfRVhQKENBTCwyMDA4LCwsLFVTRCk=&amp;WINDOW=FIRST_POPUP&amp;HEIGHT=450&amp;WIDTH=450&amp;START_MA","XIMIZED=FALSE&amp;VAR:CALENDAR=US&amp;VAR:SYMBOL=AMGN&amp;VAR:INDEX=0"}</definedName>
    <definedName name="_2271__FDSAUDITLINK__" hidden="1">{"fdsup://directions/FAT Viewer?action=UPDATE&amp;creator=factset&amp;DYN_ARGS=TRUE&amp;DOC_NAME=FAT:FQL_AUDITING_CLIENT_TEMPLATE.FAT&amp;display_string=Audit&amp;VAR:KEY=RWVUPEFUXW&amp;VAR:QUERY=RkZfUkRfRVhQKENBTCwyMDA3LCwsLFVTRCk=&amp;WINDOW=FIRST_POPUP&amp;HEIGHT=450&amp;WIDTH=450&amp;START_MA","XIMIZED=FALSE&amp;VAR:CALENDAR=US&amp;VAR:SYMBOL=AMGN&amp;VAR:INDEX=0"}</definedName>
    <definedName name="_2272__FDSAUDITLINK__" hidden="1">{"fdsup://directions/FAT Viewer?action=UPDATE&amp;creator=factset&amp;DYN_ARGS=TRUE&amp;DOC_NAME=FAT:FQL_AUDITING_CLIENT_TEMPLATE.FAT&amp;display_string=Audit&amp;VAR:KEY=HUJQRCJEBE&amp;VAR:QUERY=RkZfUkRfRVhQKENBTCwyMDA4LCwsLFVTRCk=&amp;WINDOW=FIRST_POPUP&amp;HEIGHT=450&amp;WIDTH=450&amp;START_MA","XIMIZED=FALSE&amp;VAR:CALENDAR=US&amp;VAR:SYMBOL=ABT&amp;VAR:INDEX=0"}</definedName>
    <definedName name="_2273__FDSAUDITLINK__" hidden="1">{"fdsup://directions/FAT Viewer?action=UPDATE&amp;creator=factset&amp;DYN_ARGS=TRUE&amp;DOC_NAME=FAT:FQL_AUDITING_CLIENT_TEMPLATE.FAT&amp;display_string=Audit&amp;VAR:KEY=BYVWXYRQNK&amp;VAR:QUERY=RkZfUkRfRVhQKENBTCwyMDA3LCwsLFVTRCk=&amp;WINDOW=FIRST_POPUP&amp;HEIGHT=450&amp;WIDTH=450&amp;START_MA","XIMIZED=FALSE&amp;VAR:CALENDAR=US&amp;VAR:SYMBOL=ABT&amp;VAR:INDEX=0"}</definedName>
    <definedName name="_2274__FDSAUDITLINK__" hidden="1">{"fdsup://directions/FAT Viewer?action=UPDATE&amp;creator=factset&amp;DYN_ARGS=TRUE&amp;DOC_NAME=FAT:FQL_AUDITING_CLIENT_TEMPLATE.FAT&amp;display_string=Audit&amp;VAR:KEY=ZUPYRQFSRU&amp;VAR:QUERY=RkZfUkRfRVhQKENBTCwyMDA4LCwsLFVTRCk=&amp;WINDOW=FIRST_POPUP&amp;HEIGHT=450&amp;WIDTH=450&amp;START_MA","XIMIZED=FALSE&amp;VAR:CALENDAR=US&amp;VAR:SYMBOL=687044&amp;VAR:INDEX=0"}</definedName>
    <definedName name="_2275__FDSAUDITLINK__" hidden="1">{"fdsup://directions/FAT Viewer?action=UPDATE&amp;creator=factset&amp;DYN_ARGS=TRUE&amp;DOC_NAME=FAT:FQL_AUDITING_CLIENT_TEMPLATE.FAT&amp;display_string=Audit&amp;VAR:KEY=ZMRALSXARE&amp;VAR:QUERY=RkZfUkRfRVhQKENBTCwyMDA3LCwsLFVTRCk=&amp;WINDOW=FIRST_POPUP&amp;HEIGHT=450&amp;WIDTH=450&amp;START_MA","XIMIZED=FALSE&amp;VAR:CALENDAR=US&amp;VAR:SYMBOL=687044&amp;VAR:INDEX=0"}</definedName>
    <definedName name="_2276__FDSAUDITLINK__" hidden="1">{"fdsup://directions/FAT Viewer?action=UPDATE&amp;creator=factset&amp;DYN_ARGS=TRUE&amp;DOC_NAME=FAT:FQL_AUDITING_CLIENT_TEMPLATE.FAT&amp;display_string=Audit&amp;VAR:KEY=ZMZYLSXEVK&amp;VAR:QUERY=RkZfUkRfRVhQKENBTCwyMDA4LCwsLFVTRCk=&amp;WINDOW=FIRST_POPUP&amp;HEIGHT=450&amp;WIDTH=450&amp;START_MA","XIMIZED=FALSE&amp;VAR:CALENDAR=US&amp;VAR:SYMBOL=BMY&amp;VAR:INDEX=0"}</definedName>
    <definedName name="_2277__FDSAUDITLINK__" hidden="1">{"fdsup://directions/FAT Viewer?action=UPDATE&amp;creator=factset&amp;DYN_ARGS=TRUE&amp;DOC_NAME=FAT:FQL_AUDITING_CLIENT_TEMPLATE.FAT&amp;display_string=Audit&amp;VAR:KEY=RENSXGJCBC&amp;VAR:QUERY=RkZfUkRfRVhQKENBTCwyMDA3LCwsLFVTRCk=&amp;WINDOW=FIRST_POPUP&amp;HEIGHT=450&amp;WIDTH=450&amp;START_MA","XIMIZED=FALSE&amp;VAR:CALENDAR=US&amp;VAR:SYMBOL=BMY&amp;VAR:INDEX=0"}</definedName>
    <definedName name="_2278__FDSAUDITLINK__" hidden="1">{"fdsup://directions/FAT Viewer?action=UPDATE&amp;creator=factset&amp;DYN_ARGS=TRUE&amp;DOC_NAME=FAT:FQL_AUDITING_CLIENT_TEMPLATE.FAT&amp;display_string=Audit&amp;VAR:KEY=BSNATUHMFQ&amp;VAR:QUERY=RkZfUkRfRVhQKENBTCwyMDA4LCwsLFVTRCk=&amp;WINDOW=FIRST_POPUP&amp;HEIGHT=450&amp;WIDTH=450&amp;START_MA","XIMIZED=FALSE&amp;VAR:CALENDAR=US&amp;VAR:SYMBOL=LLY&amp;VAR:INDEX=0"}</definedName>
    <definedName name="_2279__FDSAUDITLINK__" hidden="1">{"fdsup://directions/FAT Viewer?action=UPDATE&amp;creator=factset&amp;DYN_ARGS=TRUE&amp;DOC_NAME=FAT:FQL_AUDITING_CLIENT_TEMPLATE.FAT&amp;display_string=Audit&amp;VAR:KEY=DOHSHEVKPM&amp;VAR:QUERY=RkZfUkRfRVhQKENBTCwyMDA3LCwsLFVTRCk=&amp;WINDOW=FIRST_POPUP&amp;HEIGHT=450&amp;WIDTH=450&amp;START_MA","XIMIZED=FALSE&amp;VAR:CALENDAR=US&amp;VAR:SYMBOL=LLY&amp;VAR:INDEX=0"}</definedName>
    <definedName name="_228__FDSAUDITLINK__" hidden="1">{"fdsup://directions/FAT%20Viewer?VAR:TM=NTMA&amp;VAR:PCT=0.580822&amp;VAR:Y0=2006&amp;VAR:Y1=2007&amp;VAR:V0=14.919769&amp;VAR:V1=13.540060&amp;VAR:V=14.308598&amp;VAR:AUDIT_ID=00000117&amp;VAR:DATE=20060602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Aggregates&amp;VAR:MEASURE=PE_MEAN&amp;VAR:CALC_MODE=PORTFOLIO&amp;VAR:CHGPERIOD=NA&amp;VAR:FQLFORMULA=FMA_PE&amp;VAR:CURRENCY=USD&amp;VAR:P=1","288.218300&amp;VAR:THRESH=||||||&amp;VAR:null=.html"}</definedName>
    <definedName name="_2280__FDSAUDITLINK__" hidden="1">{"fdsup://directions/FAT Viewer?action=UPDATE&amp;creator=factset&amp;DYN_ARGS=TRUE&amp;DOC_NAME=FAT:FQL_AUDITING_CLIENT_TEMPLATE.FAT&amp;display_string=Audit&amp;VAR:KEY=JKHWTOZSRO&amp;VAR:QUERY=RkZfUkRfRVhQKENBTCwyMDA4LCwsLFVTRCk=&amp;WINDOW=FIRST_POPUP&amp;HEIGHT=450&amp;WIDTH=450&amp;START_MA","XIMIZED=FALSE&amp;VAR:CALENDAR=US&amp;VAR:SYMBOL=506921&amp;VAR:INDEX=0"}</definedName>
    <definedName name="_2281__FDSAUDITLINK__" hidden="1">{"fdsup://directions/FAT Viewer?action=UPDATE&amp;creator=factset&amp;DYN_ARGS=TRUE&amp;DOC_NAME=FAT:FQL_AUDITING_CLIENT_TEMPLATE.FAT&amp;display_string=Audit&amp;VAR:KEY=RCZEJWXODC&amp;VAR:QUERY=RkZfUkRfRVhQKENBTCwyMDA3LCwsLFVTRCk=&amp;WINDOW=FIRST_POPUP&amp;HEIGHT=450&amp;WIDTH=450&amp;START_MA","XIMIZED=FALSE&amp;VAR:CALENDAR=US&amp;VAR:SYMBOL=506921&amp;VAR:INDEX=0"}</definedName>
    <definedName name="_2282__FDSAUDITLINK__" hidden="1">{"fdsup://directions/FAT Viewer?action=UPDATE&amp;creator=factset&amp;DYN_ARGS=TRUE&amp;DOC_NAME=FAT:FQL_AUDITING_CLIENT_TEMPLATE.FAT&amp;display_string=Audit&amp;VAR:KEY=NGTOJGBUXY&amp;VAR:QUERY=RkZfUkRfRVhQKENBTCwyMDA4LCwsLFVTRCk=&amp;WINDOW=FIRST_POPUP&amp;HEIGHT=450&amp;WIDTH=450&amp;START_MA","XIMIZED=FALSE&amp;VAR:CALENDAR=US&amp;VAR:SYMBOL=567173&amp;VAR:INDEX=0"}</definedName>
    <definedName name="_2283__FDSAUDITLINK__" hidden="1">{"fdsup://directions/FAT Viewer?action=UPDATE&amp;creator=factset&amp;DYN_ARGS=TRUE&amp;DOC_NAME=FAT:FQL_AUDITING_CLIENT_TEMPLATE.FAT&amp;display_string=Audit&amp;VAR:KEY=RAZEFOLQPC&amp;VAR:QUERY=RkZfUkRfRVhQKENBTCwyMDA3LCwsLFVTRCk=&amp;WINDOW=FIRST_POPUP&amp;HEIGHT=450&amp;WIDTH=450&amp;START_MA","XIMIZED=FALSE&amp;VAR:CALENDAR=US&amp;VAR:SYMBOL=567173&amp;VAR:INDEX=0"}</definedName>
    <definedName name="_2284__FDSAUDITLINK__" hidden="1">{"fdsup://directions/FAT Viewer?action=UPDATE&amp;creator=factset&amp;DYN_ARGS=TRUE&amp;DOC_NAME=FAT:FQL_AUDITING_CLIENT_TEMPLATE.FAT&amp;display_string=Audit&amp;VAR:KEY=XKRABGFMPG&amp;VAR:QUERY=RkZfUkRfRVhQKENBTCwyMDA4LCwsLFVTRCk=&amp;WINDOW=FIRST_POPUP&amp;HEIGHT=450&amp;WIDTH=450&amp;START_MA","XIMIZED=FALSE&amp;VAR:CALENDAR=US&amp;VAR:SYMBOL=JNJ&amp;VAR:INDEX=0"}</definedName>
    <definedName name="_2285__FDSAUDITLINK__" hidden="1">{"fdsup://directions/FAT Viewer?action=UPDATE&amp;creator=factset&amp;DYN_ARGS=TRUE&amp;DOC_NAME=FAT:FQL_AUDITING_CLIENT_TEMPLATE.FAT&amp;display_string=Audit&amp;VAR:KEY=LCJKLSDCRQ&amp;VAR:QUERY=RkZfUkRfRVhQKENBTCwyMDA3LCwsLFVTRCk=&amp;WINDOW=FIRST_POPUP&amp;HEIGHT=450&amp;WIDTH=450&amp;START_MA","XIMIZED=FALSE&amp;VAR:CALENDAR=US&amp;VAR:SYMBOL=JNJ&amp;VAR:INDEX=0"}</definedName>
    <definedName name="_2286__FDSAUDITLINK__" hidden="1">{"fdsup://directions/FAT Viewer?action=UPDATE&amp;creator=factset&amp;DYN_ARGS=TRUE&amp;DOC_NAME=FAT:FQL_AUDITING_CLIENT_TEMPLATE.FAT&amp;display_string=Audit&amp;VAR:KEY=LMTQHUVWVA&amp;VAR:QUERY=RkZfUkRfRVhQKENBTCwyMDA4LCwsLFVTRCk=&amp;WINDOW=FIRST_POPUP&amp;HEIGHT=450&amp;WIDTH=450&amp;START_MA","XIMIZED=FALSE&amp;VAR:CALENDAR=US&amp;VAR:SYMBOL=710306&amp;VAR:INDEX=0"}</definedName>
    <definedName name="_2287__FDSAUDITLINK__" hidden="1">{"fdsup://directions/FAT Viewer?action=UPDATE&amp;creator=factset&amp;DYN_ARGS=TRUE&amp;DOC_NAME=FAT:FQL_AUDITING_CLIENT_TEMPLATE.FAT&amp;display_string=Audit&amp;VAR:KEY=VYTORQNKTW&amp;VAR:QUERY=RkZfUkRfRVhQKENBTCwyMDA3LCwsLFVTRCk=&amp;WINDOW=FIRST_POPUP&amp;HEIGHT=450&amp;WIDTH=450&amp;START_MA","XIMIZED=FALSE&amp;VAR:CALENDAR=US&amp;VAR:SYMBOL=710306&amp;VAR:INDEX=0"}</definedName>
    <definedName name="_2288__FDSAUDITLINK__" hidden="1">{"fdsup://directions/FAT Viewer?action=UPDATE&amp;creator=factset&amp;DYN_ARGS=TRUE&amp;DOC_NAME=FAT:FQL_AUDITING_CLIENT_TEMPLATE.FAT&amp;display_string=Audit&amp;VAR:KEY=RAFAPGJURW&amp;VAR:QUERY=RkZfUkRfRVhQKENBTCwyMDA4LCwsLFVTRCk=&amp;WINDOW=FIRST_POPUP&amp;HEIGHT=450&amp;WIDTH=450&amp;START_MA","XIMIZED=FALSE&amp;VAR:CALENDAR=US&amp;VAR:SYMBOL=711038&amp;VAR:INDEX=0"}</definedName>
    <definedName name="_2289__FDSAUDITLINK__" hidden="1">{"fdsup://directions/FAT Viewer?action=UPDATE&amp;creator=factset&amp;DYN_ARGS=TRUE&amp;DOC_NAME=FAT:FQL_AUDITING_CLIENT_TEMPLATE.FAT&amp;display_string=Audit&amp;VAR:KEY=LKDSHOXEJE&amp;VAR:QUERY=RkZfUkRfRVhQKENBTCwyMDA4LCwsLFVTRCk=&amp;WINDOW=FIRST_POPUP&amp;HEIGHT=450&amp;WIDTH=450&amp;START_MA","XIMIZED=FALSE&amp;VAR:CALENDAR=US&amp;VAR:SYMBOL=MRK&amp;VAR:INDEX=0"}</definedName>
    <definedName name="_229__FDSAUDITLINK__" hidden="1">{"fdsup://directions/FAT%20Viewer?VAR:TM=NTMA&amp;VAR:PCT=0.600000&amp;VAR:Y0=2006&amp;VAR:Y1=2007&amp;VAR:V0=14.831814&amp;VAR:V1=13.469384&amp;VAR:V=14.255054&amp;VAR:AUDIT_ID=00000117&amp;VAR:DATE=20060526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Aggregates&amp;VAR:MEASURE=PE_MEAN&amp;VAR:CALC_MODE=PORTFOLIO&amp;VAR:CHGPERIOD=NA&amp;VAR:FQLFORMULA=FMA_PE&amp;VAR:CURRENCY=USD&amp;VAR:P=1","280.160900&amp;VAR:THRESH=||||||&amp;VAR:null=.html"}</definedName>
    <definedName name="_2290__FDSAUDITLINK__" hidden="1">{"fdsup://directions/FAT Viewer?action=UPDATE&amp;creator=factset&amp;DYN_ARGS=TRUE&amp;DOC_NAME=FAT:FQL_AUDITING_CLIENT_TEMPLATE.FAT&amp;display_string=Audit&amp;VAR:KEY=TILQDMTSFA&amp;VAR:QUERY=RkZfUkRfRVhQKENBTCwyMDA3LCwsLFVTRCk=&amp;WINDOW=FIRST_POPUP&amp;HEIGHT=450&amp;WIDTH=450&amp;START_MA","XIMIZED=FALSE&amp;VAR:CALENDAR=US&amp;VAR:SYMBOL=MRK&amp;VAR:INDEX=0"}</definedName>
    <definedName name="_2291__FDSAUDITLINK__" hidden="1">{"fdsup://directions/FAT Viewer?action=UPDATE&amp;creator=factset&amp;DYN_ARGS=TRUE&amp;DOC_NAME=FAT:FQL_AUDITING_CLIENT_TEMPLATE.FAT&amp;display_string=Audit&amp;VAR:KEY=JCJYXWPCFK&amp;VAR:QUERY=RkZfUkRfRVhQKENBTCwyMDA4LCwsLFVTRCk=&amp;WINDOW=FIRST_POPUP&amp;HEIGHT=450&amp;WIDTH=450&amp;START_MA","XIMIZED=FALSE&amp;VAR:CALENDAR=US&amp;VAR:SYMBOL=PFE&amp;VAR:INDEX=0"}</definedName>
    <definedName name="_2292__FDSAUDITLINK__" hidden="1">{"fdsup://directions/FAT Viewer?action=UPDATE&amp;creator=factset&amp;DYN_ARGS=TRUE&amp;DOC_NAME=FAT:FQL_AUDITING_CLIENT_TEMPLATE.FAT&amp;display_string=Audit&amp;VAR:KEY=VABOBMLSTS&amp;VAR:QUERY=RkZfUkRfRVhQKENBTCwyMDA3LCwsLFVTRCk=&amp;WINDOW=FIRST_POPUP&amp;HEIGHT=450&amp;WIDTH=450&amp;START_MA","XIMIZED=FALSE&amp;VAR:CALENDAR=US&amp;VAR:SYMBOL=PFE&amp;VAR:INDEX=0"}</definedName>
    <definedName name="_2293__FDSAUDITLINK__" hidden="1">{"fdsup://directions/FAT Viewer?action=UPDATE&amp;creator=factset&amp;DYN_ARGS=TRUE&amp;DOC_NAME=FAT:FQL_AUDITING_CLIENT_TEMPLATE.FAT&amp;display_string=Audit&amp;VAR:KEY=LULOLUFSZY&amp;VAR:QUERY=RkZfUkRfRVhQKENBTCwzOTgxMywsLCwp&amp;WINDOW=FIRST_POPUP&amp;HEIGHT=450&amp;WIDTH=450&amp;START_MAXIMI","ZED=FALSE&amp;VAR:CALENDAR=US&amp;VAR:SYMBOL=DNA&amp;VAR:INDEX=0"}</definedName>
    <definedName name="_2294__FDSAUDITLINK__" hidden="1">{"fdsup://directions/FAT Viewer?action=UPDATE&amp;creator=factset&amp;DYN_ARGS=TRUE&amp;DOC_NAME=FAT:FQL_AUDITING_CLIENT_TEMPLATE.FAT&amp;display_string=Audit&amp;VAR:KEY=JQXWLKRQJO&amp;VAR:QUERY=RkZfUkRfRVhQKENBTCwzOTQ0NywsLCwp&amp;WINDOW=FIRST_POPUP&amp;HEIGHT=450&amp;WIDTH=450&amp;START_MAXIMI","ZED=FALSE&amp;VAR:CALENDAR=US&amp;VAR:SYMBOL=DNA&amp;VAR:INDEX=0"}</definedName>
    <definedName name="_2295__FDSAUDITLINK__" hidden="1">{"fdsup://directions/FAT Viewer?action=UPDATE&amp;creator=factset&amp;DYN_ARGS=TRUE&amp;DOC_NAME=FAT:FQL_AUDITING_CLIENT_TEMPLATE.FAT&amp;display_string=Audit&amp;VAR:KEY=HYXWNYRITG&amp;VAR:QUERY=RkZfUkRfRVhQKENBTCwzOTA4MiwsLCwp&amp;WINDOW=FIRST_POPUP&amp;HEIGHT=450&amp;WIDTH=450&amp;START_MAXIMI","ZED=FALSE&amp;VAR:CALENDAR=US&amp;VAR:SYMBOL=DNA&amp;VAR:INDEX=0"}</definedName>
    <definedName name="_2296__FDSAUDITLINK__" hidden="1">{"fdsup://directions/FAT Viewer?action=UPDATE&amp;creator=factset&amp;DYN_ARGS=TRUE&amp;DOC_NAME=FAT:FQL_AUDITING_CLIENT_TEMPLATE.FAT&amp;display_string=Audit&amp;VAR:KEY=FWHQNGDGJY&amp;VAR:QUERY=RkZfUkRfRVhQKENBTCwzODcxNywsLCwp&amp;WINDOW=FIRST_POPUP&amp;HEIGHT=450&amp;WIDTH=450&amp;START_MAXIMI","ZED=FALSE&amp;VAR:CALENDAR=US&amp;VAR:SYMBOL=DNA&amp;VAR:INDEX=0"}</definedName>
    <definedName name="_2297__FDSAUDITLINK__" hidden="1">{"fdsup://directions/FAT Viewer?action=UPDATE&amp;creator=factset&amp;DYN_ARGS=TRUE&amp;DOC_NAME=FAT:FQL_AUDITING_CLIENT_TEMPLATE.FAT&amp;display_string=Audit&amp;VAR:KEY=RQTWDYPOXG&amp;VAR:QUERY=RkZfUkRfRVhQKENBTCwzODM1MiwsLCwp&amp;WINDOW=FIRST_POPUP&amp;HEIGHT=450&amp;WIDTH=450&amp;START_MAXIMI","ZED=FALSE&amp;VAR:CALENDAR=US&amp;VAR:SYMBOL=DNA&amp;VAR:INDEX=0"}</definedName>
    <definedName name="_2298__FDSAUDITLINK__" hidden="1">{"fdsup://directions/FAT Viewer?action=UPDATE&amp;creator=factset&amp;DYN_ARGS=TRUE&amp;DOC_NAME=FAT:FQL_AUDITING_CLIENT_TEMPLATE.FAT&amp;display_string=Audit&amp;VAR:KEY=ZWNOBEDCJI&amp;VAR:QUERY=RkZfUkRfRVhQKENBTCwzOTgxMywsLCwp&amp;WINDOW=FIRST_POPUP&amp;HEIGHT=450&amp;WIDTH=450&amp;START_MAXIMI","ZED=FALSE&amp;VAR:CALENDAR=US&amp;VAR:SYMBOL=SGP&amp;VAR:INDEX=0"}</definedName>
    <definedName name="_2299__FDSAUDITLINK__" hidden="1">{"fdsup://directions/FAT Viewer?action=UPDATE&amp;creator=factset&amp;DYN_ARGS=TRUE&amp;DOC_NAME=FAT:FQL_AUDITING_CLIENT_TEMPLATE.FAT&amp;display_string=Audit&amp;VAR:KEY=VERKZCBWNO&amp;VAR:QUERY=RkZfUkRfRVhQKENBTCwzOTQ0NywsLCwp&amp;WINDOW=FIRST_POPUP&amp;HEIGHT=450&amp;WIDTH=450&amp;START_MAXIMI","ZED=FALSE&amp;VAR:CALENDAR=US&amp;VAR:SYMBOL=SGP&amp;VAR:INDEX=0"}</definedName>
    <definedName name="_23__FDSAUDITLINK__" hidden="1">{"fdsup://directions/FAT%20Viewer?VAR:TM=NTMA&amp;VAR:PCT=0.652055&amp;VAR:Y0=2010&amp;VAR:Y1=2011&amp;VAR:V0=13.493279&amp;VAR:V1=11.496989&amp;VAR:V=12.724517&amp;VAR:AUDIT_ID=00000117&amp;VAR:DATE=20100507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Aggregates&amp;VAR:MEASURE=PE_MEAN&amp;VAR:CALC_MODE=PORTFOLIO&amp;VAR:CHGPERIOD=NA&amp;VAR:FQLFORMULA=FMA_PE&amp;VAR:CURRENCY=USD&amp;VAR:P=1","110.884684&amp;VAR:THRESH=||||||&amp;VAR:null=.html"}</definedName>
    <definedName name="_230__FDSAUDITLINK__" hidden="1">{"fdsup://directions/FAT%20Viewer?VAR:TM=NTMA&amp;VAR:PCT=0.619178&amp;VAR:Y0=2006&amp;VAR:Y1=2007&amp;VAR:V0=14.701694&amp;VAR:V1=13.326989&amp;VAR:V=14.146003&amp;VAR:AUDIT_ID=00000117&amp;VAR:DATE=20060519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Aggregates&amp;VAR:MEASURE=PE_MEAN&amp;VAR:CALC_MODE=PORTFOLIO&amp;VAR:CHGPERIOD=NA&amp;VAR:FQLFORMULA=FMA_PE&amp;VAR:CURRENCY=USD&amp;VAR:P=1","267.030400&amp;VAR:THRESH=||||||&amp;VAR:null=.html"}</definedName>
    <definedName name="_2300__FDSAUDITLINK__" hidden="1">{"fdsup://directions/FAT Viewer?action=UPDATE&amp;creator=factset&amp;DYN_ARGS=TRUE&amp;DOC_NAME=FAT:FQL_AUDITING_CLIENT_TEMPLATE.FAT&amp;display_string=Audit&amp;VAR:KEY=VGVGPSRCRG&amp;VAR:QUERY=RkZfUkRfRVhQKENBTCwzOTA4MiwsLCwp&amp;WINDOW=FIRST_POPUP&amp;HEIGHT=450&amp;WIDTH=450&amp;START_MAXIMI","ZED=FALSE&amp;VAR:CALENDAR=US&amp;VAR:SYMBOL=SGP&amp;VAR:INDEX=0"}</definedName>
    <definedName name="_2301__FDSAUDITLINK__" hidden="1">{"fdsup://directions/FAT Viewer?action=UPDATE&amp;creator=factset&amp;DYN_ARGS=TRUE&amp;DOC_NAME=FAT:FQL_AUDITING_CLIENT_TEMPLATE.FAT&amp;display_string=Audit&amp;VAR:KEY=DQBAJYBAFW&amp;VAR:QUERY=RkZfUkRfRVhQKENBTCwzODcxNywsLCwp&amp;WINDOW=FIRST_POPUP&amp;HEIGHT=450&amp;WIDTH=450&amp;START_MAXIMI","ZED=FALSE&amp;VAR:CALENDAR=US&amp;VAR:SYMBOL=SGP&amp;VAR:INDEX=0"}</definedName>
    <definedName name="_2302__FDSAUDITLINK__" hidden="1">{"fdsup://directions/FAT Viewer?action=UPDATE&amp;creator=factset&amp;DYN_ARGS=TRUE&amp;DOC_NAME=FAT:FQL_AUDITING_CLIENT_TEMPLATE.FAT&amp;display_string=Audit&amp;VAR:KEY=HSTURMXUFQ&amp;VAR:QUERY=RkZfUkRfRVhQKENBTCwzODM1MiwsLCwp&amp;WINDOW=FIRST_POPUP&amp;HEIGHT=450&amp;WIDTH=450&amp;START_MAXIMI","ZED=FALSE&amp;VAR:CALENDAR=US&amp;VAR:SYMBOL=SGP&amp;VAR:INDEX=0"}</definedName>
    <definedName name="_2303__FDSAUDITLINK__" hidden="1">{"fdsup://directions/FAT Viewer?action=UPDATE&amp;creator=factset&amp;DYN_ARGS=TRUE&amp;DOC_NAME=FAT:FQL_AUDITING_CLIENT_TEMPLATE.FAT&amp;display_string=Audit&amp;VAR:KEY=PAJYJYJAHE&amp;VAR:QUERY=RkZfUkRfRVhQKENBTCwzOTgxMywsLCwp&amp;WINDOW=FIRST_POPUP&amp;HEIGHT=450&amp;WIDTH=450&amp;START_MAXIMI","ZED=FALSE&amp;VAR:CALENDAR=US&amp;VAR:SYMBOL=WYE&amp;VAR:INDEX=0"}</definedName>
    <definedName name="_2304__FDSAUDITLINK__" hidden="1">{"fdsup://directions/FAT Viewer?action=UPDATE&amp;creator=factset&amp;DYN_ARGS=TRUE&amp;DOC_NAME=FAT:FQL_AUDITING_CLIENT_TEMPLATE.FAT&amp;display_string=Audit&amp;VAR:KEY=NYXURMTONW&amp;VAR:QUERY=RkZfUkRfRVhQKENBTCwzOTQ0NywsLCwp&amp;WINDOW=FIRST_POPUP&amp;HEIGHT=450&amp;WIDTH=450&amp;START_MAXIMI","ZED=FALSE&amp;VAR:CALENDAR=US&amp;VAR:SYMBOL=WYE&amp;VAR:INDEX=0"}</definedName>
    <definedName name="_2305__FDSAUDITLINK__" hidden="1">{"fdsup://directions/FAT Viewer?action=UPDATE&amp;creator=factset&amp;DYN_ARGS=TRUE&amp;DOC_NAME=FAT:FQL_AUDITING_CLIENT_TEMPLATE.FAT&amp;display_string=Audit&amp;VAR:KEY=XWTYLUVGBU&amp;VAR:QUERY=RkZfUkRfRVhQKENBTCwzOTA4MiwsLCwp&amp;WINDOW=FIRST_POPUP&amp;HEIGHT=450&amp;WIDTH=450&amp;START_MAXIMI","ZED=FALSE&amp;VAR:CALENDAR=US&amp;VAR:SYMBOL=WYE&amp;VAR:INDEX=0"}</definedName>
    <definedName name="_2306__FDSAUDITLINK__" hidden="1">{"fdsup://directions/FAT Viewer?action=UPDATE&amp;creator=factset&amp;DYN_ARGS=TRUE&amp;DOC_NAME=FAT:FQL_AUDITING_CLIENT_TEMPLATE.FAT&amp;display_string=Audit&amp;VAR:KEY=DGDCHUBYVS&amp;VAR:QUERY=RkZfUkRfRVhQKENBTCwzODcxNywsLCwp&amp;WINDOW=FIRST_POPUP&amp;HEIGHT=450&amp;WIDTH=450&amp;START_MAXIMI","ZED=FALSE&amp;VAR:CALENDAR=US&amp;VAR:SYMBOL=WYE&amp;VAR:INDEX=0"}</definedName>
    <definedName name="_2307__FDSAUDITLINK__" hidden="1">{"fdsup://directions/FAT Viewer?action=UPDATE&amp;creator=factset&amp;DYN_ARGS=TRUE&amp;DOC_NAME=FAT:FQL_AUDITING_CLIENT_TEMPLATE.FAT&amp;display_string=Audit&amp;VAR:KEY=HKXMFCNQRG&amp;VAR:QUERY=RkZfUkRfRVhQKENBTCwzODM1MiwsLCwp&amp;WINDOW=FIRST_POPUP&amp;HEIGHT=450&amp;WIDTH=450&amp;START_MAXIMI","ZED=FALSE&amp;VAR:CALENDAR=US&amp;VAR:SYMBOL=WYE&amp;VAR:INDEX=0"}</definedName>
    <definedName name="_2308__FDSAUDITLINK__" hidden="1">{"fdsup://directions/FAT Viewer?action=UPDATE&amp;creator=factset&amp;DYN_ARGS=TRUE&amp;DOC_NAME=FAT:FQL_AUDITING_CLIENT_TEMPLATE.FAT&amp;display_string=Audit&amp;VAR:KEY=FADGZQHEFC&amp;VAR:QUERY=RkZfUkRfRVhQKENBTCw0MDU0MywsLCxVU0Qp&amp;WINDOW=FIRST_POPUP&amp;HEIGHT=450&amp;WIDTH=450&amp;START_MA","XIMIZED=FALSE&amp;VAR:CALENDAR=US&amp;VAR:SYMBOL=BIIB&amp;VAR:INDEX=0"}</definedName>
    <definedName name="_2309__FDSAUDITLINK__" hidden="1">{"fdsup://directions/FAT Viewer?action=UPDATE&amp;creator=factset&amp;DYN_ARGS=TRUE&amp;DOC_NAME=FAT:FQL_AUDITING_CLIENT_TEMPLATE.FAT&amp;display_string=Audit&amp;VAR:KEY=NSPUJGFSHI&amp;VAR:QUERY=RkZfUkRfRVhQKENBTCw0MDU0MywsLCxVU0Qp&amp;WINDOW=FIRST_POPUP&amp;HEIGHT=450&amp;WIDTH=450&amp;START_MA","XIMIZED=FALSE&amp;VAR:CALENDAR=US&amp;VAR:SYMBOL=707752&amp;VAR:INDEX=0"}</definedName>
    <definedName name="_231__FDSAUDITLINK__" hidden="1">{"fdsup://directions/FAT%20Viewer?VAR:TM=NTMA&amp;VAR:PCT=0.638356&amp;VAR:Y0=2006&amp;VAR:Y1=2007&amp;VAR:V0=15.001476&amp;VAR:V1=13.589734&amp;VAR:V=14.458297&amp;VAR:AUDIT_ID=00000117&amp;VAR:DATE=20060512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Aggregates&amp;VAR:MEASURE=PE_MEAN&amp;VAR:CALC_MODE=PORTFOLIO&amp;VAR:CHGPERIOD=NA&amp;VAR:FQLFORMULA=FMA_PE&amp;VAR:CURRENCY=USD&amp;VAR:P=1","291.239300&amp;VAR:THRESH=||||||&amp;VAR:null=.html"}</definedName>
    <definedName name="_2310__FDSAUDITLINK__" hidden="1">{"fdsup://directions/FAT Viewer?action=UPDATE&amp;creator=factset&amp;DYN_ARGS=TRUE&amp;DOC_NAME=FAT:FQL_AUDITING_CLIENT_TEMPLATE.FAT&amp;display_string=Audit&amp;VAR:KEY=PWJMJAPQXA&amp;VAR:QUERY=RkZfUkRfRVhQKENBTCw0MDU0MywsLCxVU0Qp&amp;WINDOW=FIRST_POPUP&amp;HEIGHT=450&amp;WIDTH=450&amp;START_MA","XIMIZED=FALSE&amp;VAR:CALENDAR=US&amp;VAR:SYMBOL=630720&amp;VAR:INDEX=0"}</definedName>
    <definedName name="_2311__FDSAUDITLINK__" hidden="1">{"fdsup://directions/FAT Viewer?action=UPDATE&amp;creator=factset&amp;DYN_ARGS=TRUE&amp;DOC_NAME=FAT:FQL_AUDITING_CLIENT_TEMPLATE.FAT&amp;display_string=Audit&amp;VAR:KEY=TQDGRYXUPO&amp;VAR:QUERY=RkZfUkRfRVhQKENBTCw0MDU0MywsLCxVU0Qp&amp;WINDOW=FIRST_POPUP&amp;HEIGHT=450&amp;WIDTH=450&amp;START_MA","XIMIZED=FALSE&amp;VAR:CALENDAR=US&amp;VAR:SYMBOL=698538&amp;VAR:INDEX=0"}</definedName>
    <definedName name="_2312__FDSAUDITLINK__" hidden="1">{"fdsup://directions/FAT Viewer?action=UPDATE&amp;creator=factset&amp;DYN_ARGS=TRUE&amp;DOC_NAME=FAT:FQL_AUDITING_CLIENT_TEMPLATE.FAT&amp;display_string=Audit&amp;VAR:KEY=LCNIRKJOVO&amp;VAR:QUERY=RkZfUkRfRVhQKENBTCw0MDU0MywsLCxVU0Qp&amp;WINDOW=FIRST_POPUP&amp;HEIGHT=450&amp;WIDTH=450&amp;START_MA","XIMIZED=FALSE&amp;VAR:CALENDAR=US&amp;VAR:SYMBOL=474184&amp;VAR:INDEX=0"}</definedName>
    <definedName name="_2313__FDSAUDITLINK__" hidden="1">{"fdsup://directions/FAT Viewer?action=UPDATE&amp;creator=factset&amp;DYN_ARGS=TRUE&amp;DOC_NAME=FAT:FQL_AUDITING_CLIENT_TEMPLATE.FAT&amp;display_string=Audit&amp;VAR:KEY=JAPATOHCPG&amp;VAR:QUERY=RkZfUkRfRVhQKENBTCw0MDU0MywsLCxVU0Qp&amp;WINDOW=FIRST_POPUP&amp;HEIGHT=450&amp;WIDTH=450&amp;START_MA","XIMIZED=FALSE&amp;VAR:CALENDAR=US&amp;VAR:SYMBOL=B0J7D9&amp;VAR:INDEX=0"}</definedName>
    <definedName name="_2314__FDSAUDITLINK__" hidden="1">{"fdsup://directions/FAT Viewer?action=UPDATE&amp;creator=factset&amp;DYN_ARGS=TRUE&amp;DOC_NAME=FAT:FQL_AUDITING_CLIENT_TEMPLATE.FAT&amp;display_string=Audit&amp;VAR:KEY=ZURSDKXMDW&amp;VAR:QUERY=RkZfUkRfRVhQKENBTCw0MDU0MywsLCxVU0Qp&amp;WINDOW=FIRST_POPUP&amp;HEIGHT=450&amp;WIDTH=450&amp;START_MA","XIMIZED=FALSE&amp;VAR:CALENDAR=US&amp;VAR:SYMBOL=AMGN&amp;VAR:INDEX=0"}</definedName>
    <definedName name="_2315__FDSAUDITLINK__" hidden="1">{"fdsup://directions/FAT Viewer?action=UPDATE&amp;creator=factset&amp;DYN_ARGS=TRUE&amp;DOC_NAME=FAT:FQL_AUDITING_CLIENT_TEMPLATE.FAT&amp;display_string=Audit&amp;VAR:KEY=JWREDEZOBE&amp;VAR:QUERY=RkZfUkRfRVhQKENBTCw0MDU0MywsLCxVU0Qp&amp;WINDOW=FIRST_POPUP&amp;HEIGHT=450&amp;WIDTH=450&amp;START_MA","XIMIZED=FALSE&amp;VAR:CALENDAR=US&amp;VAR:SYMBOL=ABT&amp;VAR:INDEX=0"}</definedName>
    <definedName name="_2316__FDSAUDITLINK__" hidden="1">{"fdsup://directions/FAT Viewer?action=UPDATE&amp;creator=factset&amp;DYN_ARGS=TRUE&amp;DOC_NAME=FAT:FQL_AUDITING_CLIENT_TEMPLATE.FAT&amp;display_string=Audit&amp;VAR:KEY=FMHOHWFCHA&amp;VAR:QUERY=RkZfUkRfRVhQKENBTCw0MDU0MywsLCxVU0Qp&amp;WINDOW=FIRST_POPUP&amp;HEIGHT=450&amp;WIDTH=450&amp;START_MA","XIMIZED=FALSE&amp;VAR:CALENDAR=US&amp;VAR:SYMBOL=687044&amp;VAR:INDEX=0"}</definedName>
    <definedName name="_2317__FDSAUDITLINK__" hidden="1">{"fdsup://directions/FAT Viewer?action=UPDATE&amp;creator=factset&amp;DYN_ARGS=TRUE&amp;DOC_NAME=FAT:FQL_AUDITING_CLIENT_TEMPLATE.FAT&amp;display_string=Audit&amp;VAR:KEY=BCRMHOHMDU&amp;VAR:QUERY=RkZfUkRfRVhQKENBTCw0MDU0MywsLCxVU0Qp&amp;WINDOW=FIRST_POPUP&amp;HEIGHT=450&amp;WIDTH=450&amp;START_MA","XIMIZED=FALSE&amp;VAR:CALENDAR=US&amp;VAR:SYMBOL=BMY&amp;VAR:INDEX=0"}</definedName>
    <definedName name="_2318__FDSAUDITLINK__" hidden="1">{"fdsup://directions/FAT Viewer?action=UPDATE&amp;creator=factset&amp;DYN_ARGS=TRUE&amp;DOC_NAME=FAT:FQL_AUDITING_CLIENT_TEMPLATE.FAT&amp;display_string=Audit&amp;VAR:KEY=RWHALYVQFE&amp;VAR:QUERY=RkZfUkRfRVhQKENBTCw0MDU0MywsLCxVU0Qp&amp;WINDOW=FIRST_POPUP&amp;HEIGHT=450&amp;WIDTH=450&amp;START_MA","XIMIZED=FALSE&amp;VAR:CALENDAR=US&amp;VAR:SYMBOL=LLY&amp;VAR:INDEX=0"}</definedName>
    <definedName name="_2319__FDSAUDITLINK__" hidden="1">{"fdsup://directions/FAT Viewer?action=UPDATE&amp;creator=factset&amp;DYN_ARGS=TRUE&amp;DOC_NAME=FAT:FQL_AUDITING_CLIENT_TEMPLATE.FAT&amp;display_string=Audit&amp;VAR:KEY=BOXSLUFEFY&amp;VAR:QUERY=RkZfUkRfRVhQKENBTCw0MDU0MywsLCxVU0Qp&amp;WINDOW=FIRST_POPUP&amp;HEIGHT=450&amp;WIDTH=450&amp;START_MA","XIMIZED=FALSE&amp;VAR:CALENDAR=US&amp;VAR:SYMBOL=506921&amp;VAR:INDEX=0"}</definedName>
    <definedName name="_232__FDSAUDITLINK__" hidden="1">{"fdsup://directions/FAT%20Viewer?VAR:TM=NTMA&amp;VAR:PCT=0.657534&amp;VAR:Y0=2006&amp;VAR:Y1=2007&amp;VAR:V0=15.400075&amp;VAR:V1=13.942740&amp;VAR:V=14.867872&amp;VAR:AUDIT_ID=00000117&amp;VAR:DATE=20060505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Aggregates&amp;VAR:MEASURE=PE_MEAN&amp;VAR:CALC_MODE=PORTFOLIO&amp;VAR:CHGPERIOD=NA&amp;VAR:FQLFORMULA=FMA_PE&amp;VAR:CURRENCY=USD&amp;VAR:P=1","325.760900&amp;VAR:THRESH=||||||&amp;VAR:null=.html"}</definedName>
    <definedName name="_2320__FDSAUDITLINK__" hidden="1">{"fdsup://directions/FAT Viewer?action=UPDATE&amp;creator=factset&amp;DYN_ARGS=TRUE&amp;DOC_NAME=FAT:FQL_AUDITING_CLIENT_TEMPLATE.FAT&amp;display_string=Audit&amp;VAR:KEY=BKNWZCJIZG&amp;VAR:QUERY=RkZfUkRfRVhQKENBTCw0MDU0MywsLCxVU0Qp&amp;WINDOW=FIRST_POPUP&amp;HEIGHT=450&amp;WIDTH=450&amp;START_MA","XIMIZED=FALSE&amp;VAR:CALENDAR=US&amp;VAR:SYMBOL=567173&amp;VAR:INDEX=0"}</definedName>
    <definedName name="_2321__FDSAUDITLINK__" hidden="1">{"fdsup://directions/FAT Viewer?action=UPDATE&amp;creator=factset&amp;DYN_ARGS=TRUE&amp;DOC_NAME=FAT:FQL_AUDITING_CLIENT_TEMPLATE.FAT&amp;display_string=Audit&amp;VAR:KEY=ZUTEDGBCXY&amp;VAR:QUERY=RkZfUkRfRVhQKENBTCw0MDU0MywsLCxVU0Qp&amp;WINDOW=FIRST_POPUP&amp;HEIGHT=450&amp;WIDTH=450&amp;START_MA","XIMIZED=FALSE&amp;VAR:CALENDAR=US&amp;VAR:SYMBOL=JNJ&amp;VAR:INDEX=0"}</definedName>
    <definedName name="_2322__FDSAUDITLINK__" hidden="1">{"fdsup://directions/FAT Viewer?action=UPDATE&amp;creator=factset&amp;DYN_ARGS=TRUE&amp;DOC_NAME=FAT:FQL_AUDITING_CLIENT_TEMPLATE.FAT&amp;display_string=Audit&amp;VAR:KEY=TYHWTQXSJO&amp;VAR:QUERY=RkZfUkRfRVhQKENBTCw0MDU0MywsLCxVU0Qp&amp;WINDOW=FIRST_POPUP&amp;HEIGHT=450&amp;WIDTH=450&amp;START_MA","XIMIZED=FALSE&amp;VAR:CALENDAR=US&amp;VAR:SYMBOL=710306&amp;VAR:INDEX=0"}</definedName>
    <definedName name="_2323__FDSAUDITLINK__" hidden="1">{"fdsup://directions/FAT Viewer?action=UPDATE&amp;creator=factset&amp;DYN_ARGS=TRUE&amp;DOC_NAME=FAT:FQL_AUDITING_CLIENT_TEMPLATE.FAT&amp;display_string=Audit&amp;VAR:KEY=BSFYPUHUXG&amp;VAR:QUERY=RkZfUkRfRVhQKENBTCw0MDU0MywsLCxVU0Qp&amp;WINDOW=FIRST_POPUP&amp;HEIGHT=450&amp;WIDTH=450&amp;START_MA","XIMIZED=FALSE&amp;VAR:CALENDAR=US&amp;VAR:SYMBOL=711038&amp;VAR:INDEX=0"}</definedName>
    <definedName name="_2324__FDSAUDITLINK__" hidden="1">{"fdsup://directions/FAT Viewer?action=UPDATE&amp;creator=factset&amp;DYN_ARGS=TRUE&amp;DOC_NAME=FAT:FQL_AUDITING_CLIENT_TEMPLATE.FAT&amp;display_string=Audit&amp;VAR:KEY=BQXQNYHAZC&amp;VAR:QUERY=RkZfUkRfRVhQKENBTCw0MDU0MywsLCxVU0Qp&amp;WINDOW=FIRST_POPUP&amp;HEIGHT=450&amp;WIDTH=450&amp;START_MA","XIMIZED=FALSE&amp;VAR:CALENDAR=US&amp;VAR:SYMBOL=MRK&amp;VAR:INDEX=0"}</definedName>
    <definedName name="_2325__FDSAUDITLINK__" hidden="1">{"fdsup://directions/FAT Viewer?action=UPDATE&amp;creator=factset&amp;DYN_ARGS=TRUE&amp;DOC_NAME=FAT:FQL_AUDITING_CLIENT_TEMPLATE.FAT&amp;display_string=Audit&amp;VAR:KEY=XSXQHYLMVQ&amp;VAR:QUERY=RkZfUkRfRVhQKENBTCw0MDU0MywsLCwp&amp;WINDOW=FIRST_POPUP&amp;HEIGHT=450&amp;WIDTH=450&amp;START_MAXIMI","ZED=FALSE&amp;VAR:CALENDAR=US&amp;VAR:SYMBOL=BIIB&amp;VAR:INDEX=0"}</definedName>
    <definedName name="_2326__FDSAUDITLINK__" hidden="1">{"fdsup://directions/FAT Viewer?action=UPDATE&amp;creator=factset&amp;DYN_ARGS=TRUE&amp;DOC_NAME=FAT:FQL_AUDITING_CLIENT_TEMPLATE.FAT&amp;display_string=Audit&amp;VAR:KEY=LAJWREJCRQ&amp;VAR:QUERY=RkZfUkRfRVhQKENBTCw0MDE3OCwsLCwp&amp;WINDOW=FIRST_POPUP&amp;HEIGHT=450&amp;WIDTH=450&amp;START_MAXIMI","ZED=FALSE&amp;VAR:CALENDAR=US&amp;VAR:SYMBOL=BIIB&amp;VAR:INDEX=0"}</definedName>
    <definedName name="_2327__FDSAUDITLINK__" hidden="1">{"fdsup://directions/FAT Viewer?action=UPDATE&amp;creator=factset&amp;DYN_ARGS=TRUE&amp;DOC_NAME=FAT:FQL_AUDITING_CLIENT_TEMPLATE.FAT&amp;display_string=Audit&amp;VAR:KEY=TIJGJEBYTI&amp;VAR:QUERY=RkZfUkRfRVhQKENBTCwzOTgxMywsLCwp&amp;WINDOW=FIRST_POPUP&amp;HEIGHT=450&amp;WIDTH=450&amp;START_MAXIMI","ZED=FALSE&amp;VAR:CALENDAR=US&amp;VAR:SYMBOL=BIIB&amp;VAR:INDEX=0"}</definedName>
    <definedName name="_2328__FDSAUDITLINK__" hidden="1">{"fdsup://directions/FAT Viewer?action=UPDATE&amp;creator=factset&amp;DYN_ARGS=TRUE&amp;DOC_NAME=FAT:FQL_AUDITING_CLIENT_TEMPLATE.FAT&amp;display_string=Audit&amp;VAR:KEY=PODEFWZGFS&amp;VAR:QUERY=RkZfUkRfRVhQKENBTCwzOTQ0NywsLCwp&amp;WINDOW=FIRST_POPUP&amp;HEIGHT=450&amp;WIDTH=450&amp;START_MAXIMI","ZED=FALSE&amp;VAR:CALENDAR=US&amp;VAR:SYMBOL=BIIB&amp;VAR:INDEX=0"}</definedName>
    <definedName name="_2329__FDSAUDITLINK__" hidden="1">{"fdsup://directions/FAT Viewer?action=UPDATE&amp;creator=factset&amp;DYN_ARGS=TRUE&amp;DOC_NAME=FAT:FQL_AUDITING_CLIENT_TEMPLATE.FAT&amp;display_string=Audit&amp;VAR:KEY=HQFYRGDOJS&amp;VAR:QUERY=RkZfUkRfRVhQKENBTCwzOTA4MiwsLCwp&amp;WINDOW=FIRST_POPUP&amp;HEIGHT=450&amp;WIDTH=450&amp;START_MAXIMI","ZED=FALSE&amp;VAR:CALENDAR=US&amp;VAR:SYMBOL=BIIB&amp;VAR:INDEX=0"}</definedName>
    <definedName name="_233__FDSAUDITLINK__" hidden="1">{"fdsup://directions/FAT%20Viewer?VAR:TM=NTMA&amp;VAR:PCT=0.676712&amp;VAR:Y0=2006&amp;VAR:Y1=2007&amp;VAR:V0=15.239955&amp;VAR:V1=13.765885&amp;VAR:V=14.730030&amp;VAR:AUDIT_ID=00000117&amp;VAR:DATE=20060428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Aggregates&amp;VAR:MEASURE=PE_MEAN&amp;VAR:CALC_MODE=PORTFOLIO&amp;VAR:CHGPERIOD=NA&amp;VAR:FQLFORMULA=FMA_PE&amp;VAR:CURRENCY=USD&amp;VAR:P=1","310.611900&amp;VAR:THRESH=||||||&amp;VAR:null=.html"}</definedName>
    <definedName name="_2330__FDSAUDITLINK__" hidden="1">{"fdsup://directions/FAT Viewer?action=UPDATE&amp;creator=factset&amp;DYN_ARGS=TRUE&amp;DOC_NAME=FAT:FQL_AUDITING_CLIENT_TEMPLATE.FAT&amp;display_string=Audit&amp;VAR:KEY=BWLKBKRSNC&amp;VAR:QUERY=RkZfUkRfRVhQKENBTCwzODcxNywsLCwp&amp;WINDOW=FIRST_POPUP&amp;HEIGHT=450&amp;WIDTH=450&amp;START_MAXIMI","ZED=FALSE&amp;VAR:CALENDAR=US&amp;VAR:SYMBOL=BIIB&amp;VAR:INDEX=0"}</definedName>
    <definedName name="_2331__FDSAUDITLINK__" hidden="1">{"fdsup://directions/FAT Viewer?action=UPDATE&amp;creator=factset&amp;DYN_ARGS=TRUE&amp;DOC_NAME=FAT:FQL_AUDITING_CLIENT_TEMPLATE.FAT&amp;display_string=Audit&amp;VAR:KEY=NCJCPSJUJA&amp;VAR:QUERY=RkZfUkRfRVhQKENBTCwzODM1MiwsLCwp&amp;WINDOW=FIRST_POPUP&amp;HEIGHT=450&amp;WIDTH=450&amp;START_MAXIMI","ZED=FALSE&amp;VAR:CALENDAR=US&amp;VAR:SYMBOL=BIIB&amp;VAR:INDEX=0"}</definedName>
    <definedName name="_2332__FDSAUDITLINK__" hidden="1">{"fdsup://directions/FAT Viewer?action=UPDATE&amp;creator=factset&amp;DYN_ARGS=TRUE&amp;DOC_NAME=FAT:FQL_AUDITING_CLIENT_TEMPLATE.FAT&amp;display_string=Audit&amp;VAR:KEY=ROHGXITIHS&amp;VAR:QUERY=RkZfUkRfRVhQKENBTCw0MDU0MywsLCwp&amp;WINDOW=FIRST_POPUP&amp;HEIGHT=450&amp;WIDTH=450&amp;START_MAXIMI","ZED=FALSE&amp;VAR:CALENDAR=US&amp;VAR:SYMBOL=707752&amp;VAR:INDEX=0"}</definedName>
    <definedName name="_2333__FDSAUDITLINK__" hidden="1">{"fdsup://directions/FAT Viewer?action=UPDATE&amp;creator=factset&amp;DYN_ARGS=TRUE&amp;DOC_NAME=FAT:FQL_AUDITING_CLIENT_TEMPLATE.FAT&amp;display_string=Audit&amp;VAR:KEY=ZCPYBCXOHU&amp;VAR:QUERY=RkZfUkRfRVhQKENBTCw0MDE3OCwsLCwp&amp;WINDOW=FIRST_POPUP&amp;HEIGHT=450&amp;WIDTH=450&amp;START_MAXIMI","ZED=FALSE&amp;VAR:CALENDAR=US&amp;VAR:SYMBOL=707752&amp;VAR:INDEX=0"}</definedName>
    <definedName name="_2334__FDSAUDITLINK__" hidden="1">{"fdsup://directions/FAT Viewer?action=UPDATE&amp;creator=factset&amp;DYN_ARGS=TRUE&amp;DOC_NAME=FAT:FQL_AUDITING_CLIENT_TEMPLATE.FAT&amp;display_string=Audit&amp;VAR:KEY=RUHOZGXETS&amp;VAR:QUERY=RkZfUkRfRVhQKENBTCwzOTgxMywsLCwp&amp;WINDOW=FIRST_POPUP&amp;HEIGHT=450&amp;WIDTH=450&amp;START_MAXIMI","ZED=FALSE&amp;VAR:CALENDAR=US&amp;VAR:SYMBOL=707752&amp;VAR:INDEX=0"}</definedName>
    <definedName name="_2335__FDSAUDITLINK__" hidden="1">{"fdsup://directions/FAT Viewer?action=UPDATE&amp;creator=factset&amp;DYN_ARGS=TRUE&amp;DOC_NAME=FAT:FQL_AUDITING_CLIENT_TEMPLATE.FAT&amp;display_string=Audit&amp;VAR:KEY=BQVALCNUXY&amp;VAR:QUERY=RkZfUkRfRVhQKENBTCwzOTQ0NywsLCwp&amp;WINDOW=FIRST_POPUP&amp;HEIGHT=450&amp;WIDTH=450&amp;START_MAXIMI","ZED=FALSE&amp;VAR:CALENDAR=US&amp;VAR:SYMBOL=707752&amp;VAR:INDEX=0"}</definedName>
    <definedName name="_2336__FDSAUDITLINK__" hidden="1">{"fdsup://directions/FAT Viewer?action=UPDATE&amp;creator=factset&amp;DYN_ARGS=TRUE&amp;DOC_NAME=FAT:FQL_AUDITING_CLIENT_TEMPLATE.FAT&amp;display_string=Audit&amp;VAR:KEY=XODONILQRS&amp;VAR:QUERY=RkZfUkRfRVhQKENBTCw0MDU0MywsLCwp&amp;WINDOW=FIRST_POPUP&amp;HEIGHT=450&amp;WIDTH=450&amp;START_MAXIMI","ZED=FALSE&amp;VAR:CALENDAR=US&amp;VAR:SYMBOL=630720&amp;VAR:INDEX=0"}</definedName>
    <definedName name="_2337__FDSAUDITLINK__" hidden="1">{"fdsup://directions/FAT Viewer?action=UPDATE&amp;creator=factset&amp;DYN_ARGS=TRUE&amp;DOC_NAME=FAT:FQL_AUDITING_CLIENT_TEMPLATE.FAT&amp;display_string=Audit&amp;VAR:KEY=FQTINILKPY&amp;VAR:QUERY=RkZfUkRfRVhQKENBTCw0MDE3OCwsLCwp&amp;WINDOW=FIRST_POPUP&amp;HEIGHT=450&amp;WIDTH=450&amp;START_MAXIMI","ZED=FALSE&amp;VAR:CALENDAR=US&amp;VAR:SYMBOL=630720&amp;VAR:INDEX=0"}</definedName>
    <definedName name="_2338__FDSAUDITLINK__" hidden="1">{"fdsup://directions/FAT Viewer?action=UPDATE&amp;creator=factset&amp;DYN_ARGS=TRUE&amp;DOC_NAME=FAT:FQL_AUDITING_CLIENT_TEMPLATE.FAT&amp;display_string=Audit&amp;VAR:KEY=VSZYNWJGTA&amp;VAR:QUERY=RkZfUkRfRVhQKENBTCwzOTgxMywsLCwp&amp;WINDOW=FIRST_POPUP&amp;HEIGHT=450&amp;WIDTH=450&amp;START_MAXIMI","ZED=FALSE&amp;VAR:CALENDAR=US&amp;VAR:SYMBOL=630720&amp;VAR:INDEX=0"}</definedName>
    <definedName name="_2339__FDSAUDITLINK__" hidden="1">{"fdsup://directions/FAT Viewer?action=UPDATE&amp;creator=factset&amp;DYN_ARGS=TRUE&amp;DOC_NAME=FAT:FQL_AUDITING_CLIENT_TEMPLATE.FAT&amp;display_string=Audit&amp;VAR:KEY=VYJCJQLQHW&amp;VAR:QUERY=RkZfUkRfRVhQKENBTCwzOTQ0NywsLCwp&amp;WINDOW=FIRST_POPUP&amp;HEIGHT=450&amp;WIDTH=450&amp;START_MAXIMI","ZED=FALSE&amp;VAR:CALENDAR=US&amp;VAR:SYMBOL=630720&amp;VAR:INDEX=0"}</definedName>
    <definedName name="_234__FDSAUDITLINK__" hidden="1">{"fdsup://directions/FAT%20Viewer?VAR:TM=NTMA&amp;VAR:PCT=0.695890&amp;VAR:Y0=2006&amp;VAR:Y1=2007&amp;VAR:V0=15.293817&amp;VAR:V1=13.840103&amp;VAR:V=14.820415&amp;VAR:AUDIT_ID=00000117&amp;VAR:DATE=20060421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Aggregates&amp;VAR:MEASURE=PE_MEAN&amp;VAR:CALC_MODE=PORTFOLIO&amp;VAR:CHGPERIOD=NA&amp;VAR:FQLFORMULA=FMA_PE&amp;VAR:CURRENCY=USD&amp;VAR:P=1","311.283600&amp;VAR:THRESH=||||||&amp;VAR:null=.html"}</definedName>
    <definedName name="_2340__FDSAUDITLINK__" hidden="1">{"fdsup://directions/FAT Viewer?action=UPDATE&amp;creator=factset&amp;DYN_ARGS=TRUE&amp;DOC_NAME=FAT:FQL_AUDITING_CLIENT_TEMPLATE.FAT&amp;display_string=Audit&amp;VAR:KEY=TUBQTARIDK&amp;VAR:QUERY=RkZfUkRfRVhQKENBTCwzOTA4MiwsLCwp&amp;WINDOW=FIRST_POPUP&amp;HEIGHT=450&amp;WIDTH=450&amp;START_MAXIMI","ZED=FALSE&amp;VAR:CALENDAR=US&amp;VAR:SYMBOL=630720&amp;VAR:INDEX=0"}</definedName>
    <definedName name="_2341__FDSAUDITLINK__" hidden="1">{"fdsup://directions/FAT Viewer?action=UPDATE&amp;creator=factset&amp;DYN_ARGS=TRUE&amp;DOC_NAME=FAT:FQL_AUDITING_CLIENT_TEMPLATE.FAT&amp;display_string=Audit&amp;VAR:KEY=TEDCLSDYNM&amp;VAR:QUERY=RkZfUkRfRVhQKENBTCwzODcxNywsLCwp&amp;WINDOW=FIRST_POPUP&amp;HEIGHT=450&amp;WIDTH=450&amp;START_MAXIMI","ZED=FALSE&amp;VAR:CALENDAR=US&amp;VAR:SYMBOL=630720&amp;VAR:INDEX=0"}</definedName>
    <definedName name="_2342__FDSAUDITLINK__" hidden="1">{"fdsup://directions/FAT Viewer?action=UPDATE&amp;creator=factset&amp;DYN_ARGS=TRUE&amp;DOC_NAME=FAT:FQL_AUDITING_CLIENT_TEMPLATE.FAT&amp;display_string=Audit&amp;VAR:KEY=HWBSXSJUJE&amp;VAR:QUERY=RkZfUkRfRVhQKENBTCwzODM1MiwsLCwp&amp;WINDOW=FIRST_POPUP&amp;HEIGHT=450&amp;WIDTH=450&amp;START_MAXIMI","ZED=FALSE&amp;VAR:CALENDAR=US&amp;VAR:SYMBOL=630720&amp;VAR:INDEX=0"}</definedName>
    <definedName name="_2343__FDSAUDITLINK__" hidden="1">{"fdsup://directions/FAT Viewer?action=UPDATE&amp;creator=factset&amp;DYN_ARGS=TRUE&amp;DOC_NAME=FAT:FQL_AUDITING_CLIENT_TEMPLATE.FAT&amp;display_string=Audit&amp;VAR:KEY=NOFYHOLEJE&amp;VAR:QUERY=RkZfUkRfRVhQKENBTCwzNzk4NiwsLCwp&amp;WINDOW=FIRST_POPUP&amp;HEIGHT=450&amp;WIDTH=450&amp;START_MAXIMI","ZED=FALSE&amp;VAR:CALENDAR=US&amp;VAR:SYMBOL=630720&amp;VAR:INDEX=0"}</definedName>
    <definedName name="_2344__FDSAUDITLINK__" hidden="1">{"fdsup://directions/FAT Viewer?action=UPDATE&amp;creator=factset&amp;DYN_ARGS=TRUE&amp;DOC_NAME=FAT:FQL_AUDITING_CLIENT_TEMPLATE.FAT&amp;display_string=Audit&amp;VAR:KEY=HMDKDGFUVI&amp;VAR:QUERY=RkZfUkRfRVhQKENBTCw0MDU0MywsLCwp&amp;WINDOW=FIRST_POPUP&amp;HEIGHT=450&amp;WIDTH=450&amp;START_MAXIMI","ZED=FALSE&amp;VAR:CALENDAR=US&amp;VAR:SYMBOL=698538&amp;VAR:INDEX=0"}</definedName>
    <definedName name="_2345__FDSAUDITLINK__" hidden="1">{"fdsup://directions/FAT Viewer?action=UPDATE&amp;creator=factset&amp;DYN_ARGS=TRUE&amp;DOC_NAME=FAT:FQL_AUDITING_CLIENT_TEMPLATE.FAT&amp;display_string=Audit&amp;VAR:KEY=XEFUVIRUFI&amp;VAR:QUERY=RkZfUkRfRVhQKENBTCw0MDE3OCwsLCwp&amp;WINDOW=FIRST_POPUP&amp;HEIGHT=450&amp;WIDTH=450&amp;START_MAXIMI","ZED=FALSE&amp;VAR:CALENDAR=US&amp;VAR:SYMBOL=698538&amp;VAR:INDEX=0"}</definedName>
    <definedName name="_2346__FDSAUDITLINK__" hidden="1">{"fdsup://directions/FAT Viewer?action=UPDATE&amp;creator=factset&amp;DYN_ARGS=TRUE&amp;DOC_NAME=FAT:FQL_AUDITING_CLIENT_TEMPLATE.FAT&amp;display_string=Audit&amp;VAR:KEY=HYTMLEDUVS&amp;VAR:QUERY=RkZfUkRfRVhQKENBTCwzOTgxMywsLCwp&amp;WINDOW=FIRST_POPUP&amp;HEIGHT=450&amp;WIDTH=450&amp;START_MAXIMI","ZED=FALSE&amp;VAR:CALENDAR=US&amp;VAR:SYMBOL=698538&amp;VAR:INDEX=0"}</definedName>
    <definedName name="_2347__FDSAUDITLINK__" hidden="1">{"fdsup://directions/FAT Viewer?action=UPDATE&amp;creator=factset&amp;DYN_ARGS=TRUE&amp;DOC_NAME=FAT:FQL_AUDITING_CLIENT_TEMPLATE.FAT&amp;display_string=Audit&amp;VAR:KEY=DSRAFCZODS&amp;VAR:QUERY=RkZfUkRfRVhQKENBTCwzOTQ0NywsLCwp&amp;WINDOW=FIRST_POPUP&amp;HEIGHT=450&amp;WIDTH=450&amp;START_MAXIMI","ZED=FALSE&amp;VAR:CALENDAR=US&amp;VAR:SYMBOL=698538&amp;VAR:INDEX=0"}</definedName>
    <definedName name="_2348__FDSAUDITLINK__" hidden="1">{"fdsup://directions/FAT Viewer?action=UPDATE&amp;creator=factset&amp;DYN_ARGS=TRUE&amp;DOC_NAME=FAT:FQL_AUDITING_CLIENT_TEMPLATE.FAT&amp;display_string=Audit&amp;VAR:KEY=FODYBQZGBW&amp;VAR:QUERY=RkZfUkRfRVhQKENBTCwzOTA4MiwsLCwp&amp;WINDOW=FIRST_POPUP&amp;HEIGHT=450&amp;WIDTH=450&amp;START_MAXIMI","ZED=FALSE&amp;VAR:CALENDAR=US&amp;VAR:SYMBOL=698538&amp;VAR:INDEX=0"}</definedName>
    <definedName name="_2349__FDSAUDITLINK__" hidden="1">{"fdsup://directions/FAT Viewer?action=UPDATE&amp;creator=factset&amp;DYN_ARGS=TRUE&amp;DOC_NAME=FAT:FQL_AUDITING_CLIENT_TEMPLATE.FAT&amp;display_string=Audit&amp;VAR:KEY=LMDOJUJATK&amp;VAR:QUERY=RkZfUkRfRVhQKENBTCwzODcxNywsLCwp&amp;WINDOW=FIRST_POPUP&amp;HEIGHT=450&amp;WIDTH=450&amp;START_MAXIMI","ZED=FALSE&amp;VAR:CALENDAR=US&amp;VAR:SYMBOL=698538&amp;VAR:INDEX=0"}</definedName>
    <definedName name="_235__FDSAUDITLINK__" hidden="1">{"fdsup://directions/FAT%20Viewer?VAR:TM=NTMA&amp;VAR:PCT=0.717808&amp;VAR:Y0=2006&amp;VAR:Y1=2007&amp;VAR:V0=15.075759&amp;VAR:V1=13.660263&amp;VAR:V=14.647451&amp;VAR:AUDIT_ID=00000117&amp;VAR:DATE=20060413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Aggregates&amp;VAR:MEASURE=PE_MEAN&amp;VAR:CALC_MODE=PORTFOLIO&amp;VAR:CHGPERIOD=NA&amp;VAR:FQLFORMULA=FMA_PE&amp;VAR:CURRENCY=USD&amp;VAR:P=1","289.118000&amp;VAR:THRESH=||||||&amp;VAR:null=.html"}</definedName>
    <definedName name="_2350__FDSAUDITLINK__" hidden="1">{"fdsup://directions/FAT Viewer?action=UPDATE&amp;creator=factset&amp;DYN_ARGS=TRUE&amp;DOC_NAME=FAT:FQL_AUDITING_CLIENT_TEMPLATE.FAT&amp;display_string=Audit&amp;VAR:KEY=BCDOVGLIHM&amp;VAR:QUERY=RkZfUkRfRVhQKENBTCwzODM1MiwsLCwp&amp;WINDOW=FIRST_POPUP&amp;HEIGHT=450&amp;WIDTH=450&amp;START_MAXIMI","ZED=FALSE&amp;VAR:CALENDAR=US&amp;VAR:SYMBOL=698538&amp;VAR:INDEX=0"}</definedName>
    <definedName name="_2351__FDSAUDITLINK__" hidden="1">{"fdsup://directions/FAT Viewer?action=UPDATE&amp;creator=factset&amp;DYN_ARGS=TRUE&amp;DOC_NAME=FAT:FQL_AUDITING_CLIENT_TEMPLATE.FAT&amp;display_string=Audit&amp;VAR:KEY=VAVSHGNKLS&amp;VAR:QUERY=RkZfUkRfRVhQKENBTCwzNzk4NiwsLCwp&amp;WINDOW=FIRST_POPUP&amp;HEIGHT=450&amp;WIDTH=450&amp;START_MAXIMI","ZED=FALSE&amp;VAR:CALENDAR=US&amp;VAR:SYMBOL=698538&amp;VAR:INDEX=0"}</definedName>
    <definedName name="_2352__FDSAUDITLINK__" hidden="1">{"fdsup://directions/FAT Viewer?action=UPDATE&amp;creator=factset&amp;DYN_ARGS=TRUE&amp;DOC_NAME=FAT:FQL_AUDITING_CLIENT_TEMPLATE.FAT&amp;display_string=Audit&amp;VAR:KEY=BIZIJKTURI&amp;VAR:QUERY=RkZfUkRfRVhQKENBTCw0MDU0MywsLCwp&amp;WINDOW=FIRST_POPUP&amp;HEIGHT=450&amp;WIDTH=450&amp;START_MAXIMI","ZED=FALSE&amp;VAR:CALENDAR=US&amp;VAR:SYMBOL=474184&amp;VAR:INDEX=0"}</definedName>
    <definedName name="_2353__FDSAUDITLINK__" hidden="1">{"fdsup://directions/FAT Viewer?action=UPDATE&amp;creator=factset&amp;DYN_ARGS=TRUE&amp;DOC_NAME=FAT:FQL_AUDITING_CLIENT_TEMPLATE.FAT&amp;display_string=Audit&amp;VAR:KEY=BCFCJCDITY&amp;VAR:QUERY=RkZfUkRfRVhQKENBTCw0MDE3OCwsLCwp&amp;WINDOW=FIRST_POPUP&amp;HEIGHT=450&amp;WIDTH=450&amp;START_MAXIMI","ZED=FALSE&amp;VAR:CALENDAR=US&amp;VAR:SYMBOL=474184&amp;VAR:INDEX=0"}</definedName>
    <definedName name="_2354__FDSAUDITLINK__" hidden="1">{"fdsup://directions/FAT Viewer?action=UPDATE&amp;creator=factset&amp;DYN_ARGS=TRUE&amp;DOC_NAME=FAT:FQL_AUDITING_CLIENT_TEMPLATE.FAT&amp;display_string=Audit&amp;VAR:KEY=RUVIBOLGPQ&amp;VAR:QUERY=RkZfUkRfRVhQKENBTCw0MDU0MywsLCwp&amp;WINDOW=FIRST_POPUP&amp;HEIGHT=450&amp;WIDTH=450&amp;START_MAXIMI","ZED=FALSE&amp;VAR:CALENDAR=US&amp;VAR:SYMBOL=B0J7D9&amp;VAR:INDEX=0"}</definedName>
    <definedName name="_2355__FDSAUDITLINK__" hidden="1">{"fdsup://directions/FAT Viewer?action=UPDATE&amp;creator=factset&amp;DYN_ARGS=TRUE&amp;DOC_NAME=FAT:FQL_AUDITING_CLIENT_TEMPLATE.FAT&amp;display_string=Audit&amp;VAR:KEY=DQXADMHEVC&amp;VAR:QUERY=RkZfUkRfRVhQKENBTCw0MDE3OCwsLCxKUFkp&amp;WINDOW=FIRST_POPUP&amp;HEIGHT=450&amp;WIDTH=450&amp;START_MA","XIMIZED=FALSE&amp;VAR:CALENDAR=US&amp;VAR:SYMBOL=B0J7D9&amp;VAR:INDEX=0"}</definedName>
    <definedName name="_2356__FDSAUDITLINK__" hidden="1">{"fdsup://directions/FAT Viewer?action=UPDATE&amp;creator=factset&amp;DYN_ARGS=TRUE&amp;DOC_NAME=FAT:FQL_AUDITING_CLIENT_TEMPLATE.FAT&amp;display_string=Audit&amp;VAR:KEY=TOLORIHYHO&amp;VAR:QUERY=RkZfUkRfRVhQKENBTCwzOTgxMywsLCxKUFkp&amp;WINDOW=FIRST_POPUP&amp;HEIGHT=450&amp;WIDTH=450&amp;START_MA","XIMIZED=FALSE&amp;VAR:CALENDAR=US&amp;VAR:SYMBOL=B0J7D9&amp;VAR:INDEX=0"}</definedName>
    <definedName name="_2357__FDSAUDITLINK__" hidden="1">{"fdsup://directions/FAT Viewer?action=UPDATE&amp;creator=factset&amp;DYN_ARGS=TRUE&amp;DOC_NAME=FAT:FQL_AUDITING_CLIENT_TEMPLATE.FAT&amp;display_string=Audit&amp;VAR:KEY=JOZMPGZMJM&amp;VAR:QUERY=RkZfUkRfRVhQKENBTCwzOTQ0NywsLCxKUFkp&amp;WINDOW=FIRST_POPUP&amp;HEIGHT=450&amp;WIDTH=450&amp;START_MA","XIMIZED=FALSE&amp;VAR:CALENDAR=US&amp;VAR:SYMBOL=B0J7D9&amp;VAR:INDEX=0"}</definedName>
    <definedName name="_2358__FDSAUDITLINK__" hidden="1">{"fdsup://directions/FAT Viewer?action=UPDATE&amp;creator=factset&amp;DYN_ARGS=TRUE&amp;DOC_NAME=FAT:FQL_AUDITING_CLIENT_TEMPLATE.FAT&amp;display_string=Audit&amp;VAR:KEY=NABIRCXULI&amp;VAR:QUERY=RkZfUkRfRVhQKENBTCwzOTA4MiwsLCxKUFkp&amp;WINDOW=FIRST_POPUP&amp;HEIGHT=450&amp;WIDTH=450&amp;START_MA","XIMIZED=FALSE&amp;VAR:CALENDAR=US&amp;VAR:SYMBOL=B0J7D9&amp;VAR:INDEX=0"}</definedName>
    <definedName name="_2359__FDSAUDITLINK__" hidden="1">{"fdsup://directions/FAT Viewer?action=UPDATE&amp;creator=factset&amp;DYN_ARGS=TRUE&amp;DOC_NAME=FAT:FQL_AUDITING_CLIENT_TEMPLATE.FAT&amp;display_string=Audit&amp;VAR:KEY=PKNSHOFKFO&amp;VAR:QUERY=RkZfUkRfRVhQKENBTCwzODcxNywsLCxKUFkp&amp;WINDOW=FIRST_POPUP&amp;HEIGHT=450&amp;WIDTH=450&amp;START_MA","XIMIZED=FALSE&amp;VAR:CALENDAR=US&amp;VAR:SYMBOL=B0J7D9&amp;VAR:INDEX=0"}</definedName>
    <definedName name="_236__FDSAUDITLINK__" hidden="1">{"fdsup://directions/FAT%20Viewer?VAR:TM=NTMA&amp;VAR:PCT=0.734247&amp;VAR:Y0=2006&amp;VAR:Y1=2007&amp;VAR:V0=15.166027&amp;VAR:V1=13.748765&amp;VAR:V=14.761638&amp;VAR:AUDIT_ID=00000117&amp;VAR:DATE=20060407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Aggregates&amp;VAR:MEASURE=PE_MEAN&amp;VAR:CALC_MODE=PORTFOLIO&amp;VAR:CHGPERIOD=NA&amp;VAR:FQLFORMULA=FMA_PE&amp;VAR:CURRENCY=USD&amp;VAR:P=1","295.498800&amp;VAR:THRESH=||||||&amp;VAR:null=.html"}</definedName>
    <definedName name="_2360__FDSAUDITLINK__" hidden="1">{"fdsup://directions/FAT Viewer?action=UPDATE&amp;creator=factset&amp;DYN_ARGS=TRUE&amp;DOC_NAME=FAT:FQL_AUDITING_CLIENT_TEMPLATE.FAT&amp;display_string=Audit&amp;VAR:KEY=TEXUHKRIJS&amp;VAR:QUERY=RkZfUkRfRVhQKENBTCwzODM1MiwsLCxKUFkp&amp;WINDOW=FIRST_POPUP&amp;HEIGHT=450&amp;WIDTH=450&amp;START_MA","XIMIZED=FALSE&amp;VAR:CALENDAR=US&amp;VAR:SYMBOL=B0J7D9&amp;VAR:INDEX=0"}</definedName>
    <definedName name="_2361__FDSAUDITLINK__" hidden="1">{"fdsup://directions/FAT Viewer?action=UPDATE&amp;creator=factset&amp;DYN_ARGS=TRUE&amp;DOC_NAME=FAT:FQL_AUDITING_CLIENT_TEMPLATE.FAT&amp;display_string=Audit&amp;VAR:KEY=BMDYTORIHY&amp;VAR:QUERY=RkZfUkRfRVhQKENBTCwzNzk4NiwsLCxKUFkp&amp;WINDOW=FIRST_POPUP&amp;HEIGHT=450&amp;WIDTH=450&amp;START_MA","XIMIZED=FALSE&amp;VAR:CALENDAR=US&amp;VAR:SYMBOL=B0J7D9&amp;VAR:INDEX=0"}</definedName>
    <definedName name="_2362__FDSAUDITLINK__" hidden="1">{"fdsup://directions/FAT Viewer?action=UPDATE&amp;creator=factset&amp;DYN_ARGS=TRUE&amp;DOC_NAME=FAT:FQL_AUDITING_CLIENT_TEMPLATE.FAT&amp;display_string=Audit&amp;VAR:KEY=ZSZUFATADA&amp;VAR:QUERY=RkZfUkRfRVhQKENBTCw0MDU0MywsLCwp&amp;WINDOW=FIRST_POPUP&amp;HEIGHT=450&amp;WIDTH=450&amp;START_MAXIMI","ZED=FALSE&amp;VAR:CALENDAR=US&amp;VAR:SYMBOL=AMGN&amp;VAR:INDEX=0"}</definedName>
    <definedName name="_2363__FDSAUDITLINK__" hidden="1">{"fdsup://directions/FAT Viewer?action=UPDATE&amp;creator=factset&amp;DYN_ARGS=TRUE&amp;DOC_NAME=FAT:FQL_AUDITING_CLIENT_TEMPLATE.FAT&amp;display_string=Audit&amp;VAR:KEY=NETMBUPAPS&amp;VAR:QUERY=RkZfUkRfRVhQKENBTCw0MDE3OCwsLCwp&amp;WINDOW=FIRST_POPUP&amp;HEIGHT=450&amp;WIDTH=450&amp;START_MAXIMI","ZED=FALSE&amp;VAR:CALENDAR=US&amp;VAR:SYMBOL=AMGN&amp;VAR:INDEX=0"}</definedName>
    <definedName name="_2364__FDSAUDITLINK__" hidden="1">{"fdsup://directions/FAT Viewer?action=UPDATE&amp;creator=factset&amp;DYN_ARGS=TRUE&amp;DOC_NAME=FAT:FQL_AUDITING_CLIENT_TEMPLATE.FAT&amp;display_string=Audit&amp;VAR:KEY=BWFKBKBAJS&amp;VAR:QUERY=RkZfUkRfRVhQKENBTCwzOTgxMywsLCwp&amp;WINDOW=FIRST_POPUP&amp;HEIGHT=450&amp;WIDTH=450&amp;START_MAXIMI","ZED=FALSE&amp;VAR:CALENDAR=US&amp;VAR:SYMBOL=AMGN&amp;VAR:INDEX=0"}</definedName>
    <definedName name="_2365__FDSAUDITLINK__" hidden="1">{"fdsup://directions/FAT Viewer?action=UPDATE&amp;creator=factset&amp;DYN_ARGS=TRUE&amp;DOC_NAME=FAT:FQL_AUDITING_CLIENT_TEMPLATE.FAT&amp;display_string=Audit&amp;VAR:KEY=JGFKDSPYPQ&amp;VAR:QUERY=RkZfUkRfRVhQKENBTCwzOTQ0NywsLCwp&amp;WINDOW=FIRST_POPUP&amp;HEIGHT=450&amp;WIDTH=450&amp;START_MAXIMI","ZED=FALSE&amp;VAR:CALENDAR=US&amp;VAR:SYMBOL=AMGN&amp;VAR:INDEX=0"}</definedName>
    <definedName name="_2366__FDSAUDITLINK__" hidden="1">{"fdsup://directions/FAT Viewer?action=UPDATE&amp;creator=factset&amp;DYN_ARGS=TRUE&amp;DOC_NAME=FAT:FQL_AUDITING_CLIENT_TEMPLATE.FAT&amp;display_string=Audit&amp;VAR:KEY=PITSZWZGJQ&amp;VAR:QUERY=RkZfUkRfRVhQKENBTCwzOTA4MiwsLCwp&amp;WINDOW=FIRST_POPUP&amp;HEIGHT=450&amp;WIDTH=450&amp;START_MAXIMI","ZED=FALSE&amp;VAR:CALENDAR=US&amp;VAR:SYMBOL=AMGN&amp;VAR:INDEX=0"}</definedName>
    <definedName name="_2367__FDSAUDITLINK__" hidden="1">{"fdsup://directions/FAT Viewer?action=UPDATE&amp;creator=factset&amp;DYN_ARGS=TRUE&amp;DOC_NAME=FAT:FQL_AUDITING_CLIENT_TEMPLATE.FAT&amp;display_string=Audit&amp;VAR:KEY=HKBWVOJSHI&amp;VAR:QUERY=RkZfUkRfRVhQKENBTCwzODcxNywsLCwp&amp;WINDOW=FIRST_POPUP&amp;HEIGHT=450&amp;WIDTH=450&amp;START_MAXIMI","ZED=FALSE&amp;VAR:CALENDAR=US&amp;VAR:SYMBOL=AMGN&amp;VAR:INDEX=0"}</definedName>
    <definedName name="_2368__FDSAUDITLINK__" hidden="1">{"fdsup://directions/FAT Viewer?action=UPDATE&amp;creator=factset&amp;DYN_ARGS=TRUE&amp;DOC_NAME=FAT:FQL_AUDITING_CLIENT_TEMPLATE.FAT&amp;display_string=Audit&amp;VAR:KEY=TUHABOXUJS&amp;VAR:QUERY=RkZfUkRfRVhQKENBTCwzODM1MiwsLCwp&amp;WINDOW=FIRST_POPUP&amp;HEIGHT=450&amp;WIDTH=450&amp;START_MAXIMI","ZED=FALSE&amp;VAR:CALENDAR=US&amp;VAR:SYMBOL=AMGN&amp;VAR:INDEX=0"}</definedName>
    <definedName name="_2369__FDSAUDITLINK__" hidden="1">{"fdsup://directions/FAT Viewer?action=UPDATE&amp;creator=factset&amp;DYN_ARGS=TRUE&amp;DOC_NAME=FAT:FQL_AUDITING_CLIENT_TEMPLATE.FAT&amp;display_string=Audit&amp;VAR:KEY=LIRCBIRMZO&amp;VAR:QUERY=RkZfUkRfRVhQKENBTCw0MDU0MywsLCwp&amp;WINDOW=FIRST_POPUP&amp;HEIGHT=450&amp;WIDTH=450&amp;START_MAXIMI","ZED=FALSE&amp;VAR:CALENDAR=US&amp;VAR:SYMBOL=ABT&amp;VAR:INDEX=0"}</definedName>
    <definedName name="_237__FDSAUDITLINK__" hidden="1">{"fdsup://directions/FAT%20Viewer?VAR:TM=NTMA&amp;VAR:PCT=0.753425&amp;VAR:Y0=2006&amp;VAR:Y1=2007&amp;VAR:V0=15.086844&amp;VAR:V1=13.711519&amp;VAR:V=14.722713&amp;VAR:AUDIT_ID=00000117&amp;VAR:DATE=20060331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Aggregates&amp;VAR:MEASURE=PE_MEAN&amp;VAR:CALC_MODE=PORTFOLIO&amp;VAR:CHGPERIOD=NA&amp;VAR:FQLFORMULA=FMA_PE&amp;VAR:CURRENCY=USD&amp;VAR:P=1","294.827900&amp;VAR:THRESH=||||||&amp;VAR:null=.html"}</definedName>
    <definedName name="_2370__FDSAUDITLINK__" hidden="1">{"fdsup://directions/FAT Viewer?action=UPDATE&amp;creator=factset&amp;DYN_ARGS=TRUE&amp;DOC_NAME=FAT:FQL_AUDITING_CLIENT_TEMPLATE.FAT&amp;display_string=Audit&amp;VAR:KEY=FKDMVIHOJW&amp;VAR:QUERY=RkZfUkRfRVhQKENBTCw0MDE3OCwsLCwp&amp;WINDOW=FIRST_POPUP&amp;HEIGHT=450&amp;WIDTH=450&amp;START_MAXIMI","ZED=FALSE&amp;VAR:CALENDAR=US&amp;VAR:SYMBOL=ABT&amp;VAR:INDEX=0"}</definedName>
    <definedName name="_2371__FDSAUDITLINK__" hidden="1">{"fdsup://directions/FAT Viewer?action=UPDATE&amp;creator=factset&amp;DYN_ARGS=TRUE&amp;DOC_NAME=FAT:FQL_AUDITING_CLIENT_TEMPLATE.FAT&amp;display_string=Audit&amp;VAR:KEY=DEROHMZOBS&amp;VAR:QUERY=RkZfUkRfRVhQKENBTCwzOTgxMywsLCwp&amp;WINDOW=FIRST_POPUP&amp;HEIGHT=450&amp;WIDTH=450&amp;START_MAXIMI","ZED=FALSE&amp;VAR:CALENDAR=US&amp;VAR:SYMBOL=ABT&amp;VAR:INDEX=0"}</definedName>
    <definedName name="_2372__FDSAUDITLINK__" hidden="1">{"fdsup://directions/FAT Viewer?action=UPDATE&amp;creator=factset&amp;DYN_ARGS=TRUE&amp;DOC_NAME=FAT:FQL_AUDITING_CLIENT_TEMPLATE.FAT&amp;display_string=Audit&amp;VAR:KEY=FSDQDMTKFI&amp;VAR:QUERY=RkZfUkRfRVhQKENBTCwzOTQ0NywsLCwp&amp;WINDOW=FIRST_POPUP&amp;HEIGHT=450&amp;WIDTH=450&amp;START_MAXIMI","ZED=FALSE&amp;VAR:CALENDAR=US&amp;VAR:SYMBOL=ABT&amp;VAR:INDEX=0"}</definedName>
    <definedName name="_2373__FDSAUDITLINK__" hidden="1">{"fdsup://directions/FAT Viewer?action=UPDATE&amp;creator=factset&amp;DYN_ARGS=TRUE&amp;DOC_NAME=FAT:FQL_AUDITING_CLIENT_TEMPLATE.FAT&amp;display_string=Audit&amp;VAR:KEY=DKXQFUXYNQ&amp;VAR:QUERY=RkZfUkRfRVhQKENBTCwzOTA4MiwsLCwp&amp;WINDOW=FIRST_POPUP&amp;HEIGHT=450&amp;WIDTH=450&amp;START_MAXIMI","ZED=FALSE&amp;VAR:CALENDAR=US&amp;VAR:SYMBOL=ABT&amp;VAR:INDEX=0"}</definedName>
    <definedName name="_2374__FDSAUDITLINK__" hidden="1">{"fdsup://directions/FAT Viewer?action=UPDATE&amp;creator=factset&amp;DYN_ARGS=TRUE&amp;DOC_NAME=FAT:FQL_AUDITING_CLIENT_TEMPLATE.FAT&amp;display_string=Audit&amp;VAR:KEY=DCTAJGPGHM&amp;VAR:QUERY=RkZfUkRfRVhQKENBTCwzODcxNywsLCwp&amp;WINDOW=FIRST_POPUP&amp;HEIGHT=450&amp;WIDTH=450&amp;START_MAXIMI","ZED=FALSE&amp;VAR:CALENDAR=US&amp;VAR:SYMBOL=ABT&amp;VAR:INDEX=0"}</definedName>
    <definedName name="_2375__FDSAUDITLINK__" hidden="1">{"fdsup://directions/FAT Viewer?action=UPDATE&amp;creator=factset&amp;DYN_ARGS=TRUE&amp;DOC_NAME=FAT:FQL_AUDITING_CLIENT_TEMPLATE.FAT&amp;display_string=Audit&amp;VAR:KEY=DWROLQJYRO&amp;VAR:QUERY=RkZfUkRfRVhQKENBTCwzODM1MiwsLCwp&amp;WINDOW=FIRST_POPUP&amp;HEIGHT=450&amp;WIDTH=450&amp;START_MAXIMI","ZED=FALSE&amp;VAR:CALENDAR=US&amp;VAR:SYMBOL=ABT&amp;VAR:INDEX=0"}</definedName>
    <definedName name="_2376__FDSAUDITLINK__" hidden="1">{"fdsup://directions/FAT Viewer?action=UPDATE&amp;creator=factset&amp;DYN_ARGS=TRUE&amp;DOC_NAME=FAT:FQL_AUDITING_CLIENT_TEMPLATE.FAT&amp;display_string=Audit&amp;VAR:KEY=JOTAHWPUXS&amp;VAR:QUERY=RkZfUkRfRVhQKENBTCw0MDU0MywsLCwp&amp;WINDOW=FIRST_POPUP&amp;HEIGHT=450&amp;WIDTH=450&amp;START_MAXIMI","ZED=FALSE&amp;VAR:CALENDAR=US&amp;VAR:SYMBOL=687044&amp;VAR:INDEX=0"}</definedName>
    <definedName name="_2377__FDSAUDITLINK__" hidden="1">{"fdsup://directions/FAT Viewer?action=UPDATE&amp;creator=factset&amp;DYN_ARGS=TRUE&amp;DOC_NAME=FAT:FQL_AUDITING_CLIENT_TEMPLATE.FAT&amp;display_string=Audit&amp;VAR:KEY=JSFKTSLWZU&amp;VAR:QUERY=RkZfUkRfRVhQKENBTCw0MDE3OCwsLCwp&amp;WINDOW=FIRST_POPUP&amp;HEIGHT=450&amp;WIDTH=450&amp;START_MAXIMI","ZED=FALSE&amp;VAR:CALENDAR=US&amp;VAR:SYMBOL=687044&amp;VAR:INDEX=0"}</definedName>
    <definedName name="_2378__FDSAUDITLINK__" hidden="1">{"fdsup://directions/FAT Viewer?action=UPDATE&amp;creator=factset&amp;DYN_ARGS=TRUE&amp;DOC_NAME=FAT:FQL_AUDITING_CLIENT_TEMPLATE.FAT&amp;display_string=Audit&amp;VAR:KEY=BWLSXWFQJQ&amp;VAR:QUERY=RkZfUkRfRVhQKENBTCwzOTgxMywsLCwp&amp;WINDOW=FIRST_POPUP&amp;HEIGHT=450&amp;WIDTH=450&amp;START_MAXIMI","ZED=FALSE&amp;VAR:CALENDAR=US&amp;VAR:SYMBOL=687044&amp;VAR:INDEX=0"}</definedName>
    <definedName name="_2379__FDSAUDITLINK__" hidden="1">{"fdsup://directions/FAT Viewer?action=UPDATE&amp;creator=factset&amp;DYN_ARGS=TRUE&amp;DOC_NAME=FAT:FQL_AUDITING_CLIENT_TEMPLATE.FAT&amp;display_string=Audit&amp;VAR:KEY=RSBIBMVATE&amp;VAR:QUERY=RkZfUkRfRVhQKENBTCwzOTQ0NywsLCwp&amp;WINDOW=FIRST_POPUP&amp;HEIGHT=450&amp;WIDTH=450&amp;START_MAXIMI","ZED=FALSE&amp;VAR:CALENDAR=US&amp;VAR:SYMBOL=687044&amp;VAR:INDEX=0"}</definedName>
    <definedName name="_238__FDSAUDITLINK__" hidden="1">{"fdsup://directions/FAT%20Viewer?VAR:TM=NTMA&amp;VAR:PCT=0.772603&amp;VAR:Y0=2006&amp;VAR:Y1=2007&amp;VAR:V0=15.194410&amp;VAR:V1=13.816544&amp;VAR:V=14.857481&amp;VAR:AUDIT_ID=00000117&amp;VAR:DATE=20060324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Aggregates&amp;VAR:MEASURE=PE_MEAN&amp;VAR:CALC_MODE=PORTFOLIO&amp;VAR:CHGPERIOD=NA&amp;VAR:FQLFORMULA=FMA_PE&amp;VAR:CURRENCY=USD&amp;VAR:P=1","302.953500&amp;VAR:THRESH=||||||&amp;VAR:null=.html"}</definedName>
    <definedName name="_2380__FDSAUDITLINK__" hidden="1">{"fdsup://directions/FAT Viewer?action=UPDATE&amp;creator=factset&amp;DYN_ARGS=TRUE&amp;DOC_NAME=FAT:FQL_AUDITING_CLIENT_TEMPLATE.FAT&amp;display_string=Audit&amp;VAR:KEY=BMBQFCROBS&amp;VAR:QUERY=RkZfUkRfRVhQKENBTCwzOTA4MiwsLCwp&amp;WINDOW=FIRST_POPUP&amp;HEIGHT=450&amp;WIDTH=450&amp;START_MAXIMI","ZED=FALSE&amp;VAR:CALENDAR=US&amp;VAR:SYMBOL=687044&amp;VAR:INDEX=0"}</definedName>
    <definedName name="_2381__FDSAUDITLINK__" hidden="1">{"fdsup://directions/FAT Viewer?action=UPDATE&amp;creator=factset&amp;DYN_ARGS=TRUE&amp;DOC_NAME=FAT:FQL_AUDITING_CLIENT_TEMPLATE.FAT&amp;display_string=Audit&amp;VAR:KEY=PSVODMRWBK&amp;VAR:QUERY=RkZfUkRfRVhQKENBTCwzODcxNywsLCwp&amp;WINDOW=FIRST_POPUP&amp;HEIGHT=450&amp;WIDTH=450&amp;START_MAXIMI","ZED=FALSE&amp;VAR:CALENDAR=US&amp;VAR:SYMBOL=687044&amp;VAR:INDEX=0"}</definedName>
    <definedName name="_2382__FDSAUDITLINK__" hidden="1">{"fdsup://directions/FAT Viewer?action=UPDATE&amp;creator=factset&amp;DYN_ARGS=TRUE&amp;DOC_NAME=FAT:FQL_AUDITING_CLIENT_TEMPLATE.FAT&amp;display_string=Audit&amp;VAR:KEY=XETOTYBIDC&amp;VAR:QUERY=RkZfUkRfRVhQKENBTCwzODM1MiwsLCwp&amp;WINDOW=FIRST_POPUP&amp;HEIGHT=450&amp;WIDTH=450&amp;START_MAXIMI","ZED=FALSE&amp;VAR:CALENDAR=US&amp;VAR:SYMBOL=687044&amp;VAR:INDEX=0"}</definedName>
    <definedName name="_2383__FDSAUDITLINK__" hidden="1">{"fdsup://directions/FAT Viewer?action=UPDATE&amp;creator=factset&amp;DYN_ARGS=TRUE&amp;DOC_NAME=FAT:FQL_AUDITING_CLIENT_TEMPLATE.FAT&amp;display_string=Audit&amp;VAR:KEY=ZYDGDSXIPY&amp;VAR:QUERY=RkZfUkRfRVhQKENBTCwzNzk4NiwsLCwp&amp;WINDOW=FIRST_POPUP&amp;HEIGHT=450&amp;WIDTH=450&amp;START_MAXIMI","ZED=FALSE&amp;VAR:CALENDAR=US&amp;VAR:SYMBOL=687044&amp;VAR:INDEX=0"}</definedName>
    <definedName name="_2384__FDSAUDITLINK__" hidden="1">{"fdsup://directions/FAT Viewer?action=UPDATE&amp;creator=factset&amp;DYN_ARGS=TRUE&amp;DOC_NAME=FAT:FQL_AUDITING_CLIENT_TEMPLATE.FAT&amp;display_string=Audit&amp;VAR:KEY=RQPKHUZILY&amp;VAR:QUERY=RkZfUkRfRVhQKENBTCw0MDU0MywsLCwp&amp;WINDOW=FIRST_POPUP&amp;HEIGHT=450&amp;WIDTH=450&amp;START_MAXIMI","ZED=FALSE&amp;VAR:CALENDAR=US&amp;VAR:SYMBOL=BMY&amp;VAR:INDEX=0"}</definedName>
    <definedName name="_2385__FDSAUDITLINK__" hidden="1">{"fdsup://directions/FAT Viewer?action=UPDATE&amp;creator=factset&amp;DYN_ARGS=TRUE&amp;DOC_NAME=FAT:FQL_AUDITING_CLIENT_TEMPLATE.FAT&amp;display_string=Audit&amp;VAR:KEY=ZKHEPOXWFO&amp;VAR:QUERY=RkZfUkRfRVhQKENBTCw0MDE3OCwsLCwp&amp;WINDOW=FIRST_POPUP&amp;HEIGHT=450&amp;WIDTH=450&amp;START_MAXIMI","ZED=FALSE&amp;VAR:CALENDAR=US&amp;VAR:SYMBOL=BMY&amp;VAR:INDEX=0"}</definedName>
    <definedName name="_2386__FDSAUDITLINK__" hidden="1">{"fdsup://directions/FAT Viewer?action=UPDATE&amp;creator=factset&amp;DYN_ARGS=TRUE&amp;DOC_NAME=FAT:FQL_AUDITING_CLIENT_TEMPLATE.FAT&amp;display_string=Audit&amp;VAR:KEY=NWVSBKDCPE&amp;VAR:QUERY=RkZfUkRfRVhQKENBTCwzOTgxMywsLCwp&amp;WINDOW=FIRST_POPUP&amp;HEIGHT=450&amp;WIDTH=450&amp;START_MAXIMI","ZED=FALSE&amp;VAR:CALENDAR=US&amp;VAR:SYMBOL=BMY&amp;VAR:INDEX=0"}</definedName>
    <definedName name="_2387__FDSAUDITLINK__" hidden="1">{"fdsup://directions/FAT Viewer?action=UPDATE&amp;creator=factset&amp;DYN_ARGS=TRUE&amp;DOC_NAME=FAT:FQL_AUDITING_CLIENT_TEMPLATE.FAT&amp;display_string=Audit&amp;VAR:KEY=RSXSPYNOFE&amp;VAR:QUERY=RkZfUkRfRVhQKENBTCwzOTQ0NywsLCwp&amp;WINDOW=FIRST_POPUP&amp;HEIGHT=450&amp;WIDTH=450&amp;START_MAXIMI","ZED=FALSE&amp;VAR:CALENDAR=US&amp;VAR:SYMBOL=BMY&amp;VAR:INDEX=0"}</definedName>
    <definedName name="_2388__FDSAUDITLINK__" hidden="1">{"fdsup://directions/FAT Viewer?action=UPDATE&amp;creator=factset&amp;DYN_ARGS=TRUE&amp;DOC_NAME=FAT:FQL_AUDITING_CLIENT_TEMPLATE.FAT&amp;display_string=Audit&amp;VAR:KEY=LKDOVYBADY&amp;VAR:QUERY=RkZfUkRfRVhQKENBTCwzOTA4MiwsLCwp&amp;WINDOW=FIRST_POPUP&amp;HEIGHT=450&amp;WIDTH=450&amp;START_MAXIMI","ZED=FALSE&amp;VAR:CALENDAR=US&amp;VAR:SYMBOL=BMY&amp;VAR:INDEX=0"}</definedName>
    <definedName name="_2389__FDSAUDITLINK__" hidden="1">{"fdsup://directions/FAT Viewer?action=UPDATE&amp;creator=factset&amp;DYN_ARGS=TRUE&amp;DOC_NAME=FAT:FQL_AUDITING_CLIENT_TEMPLATE.FAT&amp;display_string=Audit&amp;VAR:KEY=LQFUHMHSHG&amp;VAR:QUERY=RkZfUkRfRVhQKENBTCwzODcxNywsLCwp&amp;WINDOW=FIRST_POPUP&amp;HEIGHT=450&amp;WIDTH=450&amp;START_MAXIMI","ZED=FALSE&amp;VAR:CALENDAR=US&amp;VAR:SYMBOL=BMY&amp;VAR:INDEX=0"}</definedName>
    <definedName name="_239__FDSAUDITLINK__" hidden="1">{"fdsup://directions/FAT%20Viewer?VAR:TM=NTMA&amp;VAR:PCT=0.791781&amp;VAR:Y0=2006&amp;VAR:Y1=2007&amp;VAR:V0=15.245845&amp;VAR:V1=13.851372&amp;VAR:V=14.932819&amp;VAR:AUDIT_ID=00000117&amp;VAR:DATE=20060317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Aggregates&amp;VAR:MEASURE=PE_MEAN&amp;VAR:CALC_MODE=PORTFOLIO&amp;VAR:CHGPERIOD=NA&amp;VAR:FQLFORMULA=FMA_PE&amp;VAR:CURRENCY=USD&amp;VAR:P=1","307.250600&amp;VAR:THRESH=||||||&amp;VAR:null=.html"}</definedName>
    <definedName name="_2390__FDSAUDITLINK__" hidden="1">{"fdsup://directions/FAT Viewer?action=UPDATE&amp;creator=factset&amp;DYN_ARGS=TRUE&amp;DOC_NAME=FAT:FQL_AUDITING_CLIENT_TEMPLATE.FAT&amp;display_string=Audit&amp;VAR:KEY=FQBKHMBUDK&amp;VAR:QUERY=RkZfUkRfRVhQKENBTCwzODM1MiwsLCwp&amp;WINDOW=FIRST_POPUP&amp;HEIGHT=450&amp;WIDTH=450&amp;START_MAXIMI","ZED=FALSE&amp;VAR:CALENDAR=US&amp;VAR:SYMBOL=BMY&amp;VAR:INDEX=0"}</definedName>
    <definedName name="_2391__FDSAUDITLINK__" hidden="1">{"fdsup://directions/FAT Viewer?action=UPDATE&amp;creator=factset&amp;DYN_ARGS=TRUE&amp;DOC_NAME=FAT:FQL_AUDITING_CLIENT_TEMPLATE.FAT&amp;display_string=Audit&amp;VAR:KEY=BOHSRQTWRY&amp;VAR:QUERY=RkZfUkRfRVhQKENBTCw0MDU0MywsLCwp&amp;WINDOW=FIRST_POPUP&amp;HEIGHT=450&amp;WIDTH=450&amp;START_MAXIMI","ZED=FALSE&amp;VAR:CALENDAR=US&amp;VAR:SYMBOL=LLY&amp;VAR:INDEX=0"}</definedName>
    <definedName name="_2392__FDSAUDITLINK__" hidden="1">{"fdsup://directions/FAT Viewer?action=UPDATE&amp;creator=factset&amp;DYN_ARGS=TRUE&amp;DOC_NAME=FAT:FQL_AUDITING_CLIENT_TEMPLATE.FAT&amp;display_string=Audit&amp;VAR:KEY=BEDERGXQVO&amp;VAR:QUERY=RkZfUkRfRVhQKENBTCw0MDE3OCwsLCwp&amp;WINDOW=FIRST_POPUP&amp;HEIGHT=450&amp;WIDTH=450&amp;START_MAXIMI","ZED=FALSE&amp;VAR:CALENDAR=US&amp;VAR:SYMBOL=LLY&amp;VAR:INDEX=0"}</definedName>
    <definedName name="_2393__FDSAUDITLINK__" hidden="1">{"fdsup://directions/FAT Viewer?action=UPDATE&amp;creator=factset&amp;DYN_ARGS=TRUE&amp;DOC_NAME=FAT:FQL_AUDITING_CLIENT_TEMPLATE.FAT&amp;display_string=Audit&amp;VAR:KEY=RCRMLCNWPG&amp;VAR:QUERY=RkZfUkRfRVhQKENBTCwzOTgxMywsLCwp&amp;WINDOW=FIRST_POPUP&amp;HEIGHT=450&amp;WIDTH=450&amp;START_MAXIMI","ZED=FALSE&amp;VAR:CALENDAR=US&amp;VAR:SYMBOL=LLY&amp;VAR:INDEX=0"}</definedName>
    <definedName name="_2394__FDSAUDITLINK__" hidden="1">{"fdsup://directions/FAT Viewer?action=UPDATE&amp;creator=factset&amp;DYN_ARGS=TRUE&amp;DOC_NAME=FAT:FQL_AUDITING_CLIENT_TEMPLATE.FAT&amp;display_string=Audit&amp;VAR:KEY=HEPKDCHMJW&amp;VAR:QUERY=RkZfUkRfRVhQKENBTCwzOTQ0NywsLCwp&amp;WINDOW=FIRST_POPUP&amp;HEIGHT=450&amp;WIDTH=450&amp;START_MAXIMI","ZED=FALSE&amp;VAR:CALENDAR=US&amp;VAR:SYMBOL=LLY&amp;VAR:INDEX=0"}</definedName>
    <definedName name="_2395__FDSAUDITLINK__" hidden="1">{"fdsup://directions/FAT Viewer?action=UPDATE&amp;creator=factset&amp;DYN_ARGS=TRUE&amp;DOC_NAME=FAT:FQL_AUDITING_CLIENT_TEMPLATE.FAT&amp;display_string=Audit&amp;VAR:KEY=FENANCDSZW&amp;VAR:QUERY=RkZfUkRfRVhQKENBTCwzOTA4MiwsLCwp&amp;WINDOW=FIRST_POPUP&amp;HEIGHT=450&amp;WIDTH=450&amp;START_MAXIMI","ZED=FALSE&amp;VAR:CALENDAR=US&amp;VAR:SYMBOL=LLY&amp;VAR:INDEX=0"}</definedName>
    <definedName name="_2396__FDSAUDITLINK__" hidden="1">{"fdsup://directions/FAT Viewer?action=UPDATE&amp;creator=factset&amp;DYN_ARGS=TRUE&amp;DOC_NAME=FAT:FQL_AUDITING_CLIENT_TEMPLATE.FAT&amp;display_string=Audit&amp;VAR:KEY=BUFUPIJOPY&amp;VAR:QUERY=RkZfUkRfRVhQKENBTCwzODcxNywsLCwp&amp;WINDOW=FIRST_POPUP&amp;HEIGHT=450&amp;WIDTH=450&amp;START_MAXIMI","ZED=FALSE&amp;VAR:CALENDAR=US&amp;VAR:SYMBOL=LLY&amp;VAR:INDEX=0"}</definedName>
    <definedName name="_2397__FDSAUDITLINK__" hidden="1">{"fdsup://directions/FAT Viewer?action=UPDATE&amp;creator=factset&amp;DYN_ARGS=TRUE&amp;DOC_NAME=FAT:FQL_AUDITING_CLIENT_TEMPLATE.FAT&amp;display_string=Audit&amp;VAR:KEY=FITARQDYHC&amp;VAR:QUERY=RkZfUkRfRVhQKENBTCwzODM1MiwsLCwp&amp;WINDOW=FIRST_POPUP&amp;HEIGHT=450&amp;WIDTH=450&amp;START_MAXIMI","ZED=FALSE&amp;VAR:CALENDAR=US&amp;VAR:SYMBOL=LLY&amp;VAR:INDEX=0"}</definedName>
    <definedName name="_2398__FDSAUDITLINK__" hidden="1">{"fdsup://directions/FAT Viewer?action=UPDATE&amp;creator=factset&amp;DYN_ARGS=TRUE&amp;DOC_NAME=FAT:FQL_AUDITING_CLIENT_TEMPLATE.FAT&amp;display_string=Audit&amp;VAR:KEY=HCLIXKLATC&amp;VAR:QUERY=RkZfUkRfRVhQKENBTCw0MDU0MywsLCwp&amp;WINDOW=FIRST_POPUP&amp;HEIGHT=450&amp;WIDTH=450&amp;START_MAXIMI","ZED=FALSE&amp;VAR:CALENDAR=US&amp;VAR:SYMBOL=506921&amp;VAR:INDEX=0"}</definedName>
    <definedName name="_2399__FDSAUDITLINK__" hidden="1">{"fdsup://directions/FAT Viewer?action=UPDATE&amp;creator=factset&amp;DYN_ARGS=TRUE&amp;DOC_NAME=FAT:FQL_AUDITING_CLIENT_TEMPLATE.FAT&amp;display_string=Audit&amp;VAR:KEY=ZSRUDMXUFC&amp;VAR:QUERY=RkZfUkRfRVhQKENBTCw0MDE3OCwsLCwp&amp;WINDOW=FIRST_POPUP&amp;HEIGHT=450&amp;WIDTH=450&amp;START_MAXIMI","ZED=FALSE&amp;VAR:CALENDAR=US&amp;VAR:SYMBOL=506921&amp;VAR:INDEX=0"}</definedName>
    <definedName name="_24__FDSAUDITLINK__" hidden="1">{"fdsup://directions/FAT%20Viewer?VAR:TM=NTMA&amp;VAR:PCT=0.671233&amp;VAR:Y0=2010&amp;VAR:Y1=2011&amp;VAR:V0=14.461917&amp;VAR:V1=12.300384&amp;VAR:V=13.672031&amp;VAR:AUDIT_ID=00000117&amp;VAR:DATE=20100430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Aggregates&amp;VAR:MEASURE=PE_MEAN&amp;VAR:CALC_MODE=PORTFOLIO&amp;VAR:CHGPERIOD=NA&amp;VAR:FQLFORMULA=FMA_PE&amp;VAR:CURRENCY=USD&amp;VAR:P=1","186.689377&amp;VAR:THRESH=||||||&amp;VAR:null=.html"}</definedName>
    <definedName name="_240__FDSAUDITLINK__" hidden="1">{"fdsup://directions/FAT%20Viewer?VAR:TM=NTMA&amp;VAR:PCT=0.810959&amp;VAR:Y0=2006&amp;VAR:Y1=2007&amp;VAR:V0=14.961076&amp;VAR:V1=13.587155&amp;VAR:V=14.680449&amp;VAR:AUDIT_ID=00000117&amp;VAR:DATE=20060310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Aggregates&amp;VAR:MEASURE=PE_MEAN&amp;VAR:CALC_MODE=PORTFOLIO&amp;VAR:CHGPERIOD=NA&amp;VAR:FQLFORMULA=FMA_PE&amp;VAR:CURRENCY=USD&amp;VAR:P=1","281.576700&amp;VAR:THRESH=||||||&amp;VAR:null=.html"}</definedName>
    <definedName name="_2400__FDSAUDITLINK__" hidden="1">{"fdsup://directions/FAT Viewer?action=UPDATE&amp;creator=factset&amp;DYN_ARGS=TRUE&amp;DOC_NAME=FAT:FQL_AUDITING_CLIENT_TEMPLATE.FAT&amp;display_string=Audit&amp;VAR:KEY=RAHQNINYXK&amp;VAR:QUERY=RkZfUkRfRVhQKENBTCwzOTgxMywsLCwp&amp;WINDOW=FIRST_POPUP&amp;HEIGHT=450&amp;WIDTH=450&amp;START_MAXIMI","ZED=FALSE&amp;VAR:CALENDAR=US&amp;VAR:SYMBOL=506921&amp;VAR:INDEX=0"}</definedName>
    <definedName name="_2401__FDSAUDITLINK__" hidden="1">{"fdsup://directions/FAT Viewer?action=UPDATE&amp;creator=factset&amp;DYN_ARGS=TRUE&amp;DOC_NAME=FAT:FQL_AUDITING_CLIENT_TEMPLATE.FAT&amp;display_string=Audit&amp;VAR:KEY=RWDWLABEJW&amp;VAR:QUERY=RkZfUkRfRVhQKENBTCwzOTQ0NywsLCwp&amp;WINDOW=FIRST_POPUP&amp;HEIGHT=450&amp;WIDTH=450&amp;START_MAXIMI","ZED=FALSE&amp;VAR:CALENDAR=US&amp;VAR:SYMBOL=506921&amp;VAR:INDEX=0"}</definedName>
    <definedName name="_2402__FDSAUDITLINK__" hidden="1">{"fdsup://directions/FAT Viewer?action=UPDATE&amp;creator=factset&amp;DYN_ARGS=TRUE&amp;DOC_NAME=FAT:FQL_AUDITING_CLIENT_TEMPLATE.FAT&amp;display_string=Audit&amp;VAR:KEY=FGJCBIHEHA&amp;VAR:QUERY=RkZfUkRfRVhQKENBTCwzOTA4MiwsLCwp&amp;WINDOW=FIRST_POPUP&amp;HEIGHT=450&amp;WIDTH=450&amp;START_MAXIMI","ZED=FALSE&amp;VAR:CALENDAR=US&amp;VAR:SYMBOL=506921&amp;VAR:INDEX=0"}</definedName>
    <definedName name="_2403__FDSAUDITLINK__" hidden="1">{"fdsup://directions/FAT Viewer?action=UPDATE&amp;creator=factset&amp;DYN_ARGS=TRUE&amp;DOC_NAME=FAT:FQL_AUDITING_CLIENT_TEMPLATE.FAT&amp;display_string=Audit&amp;VAR:KEY=BYZCRITIBW&amp;VAR:QUERY=RkZfUkRfRVhQKENBTCwzODcxNywsLCwp&amp;WINDOW=FIRST_POPUP&amp;HEIGHT=450&amp;WIDTH=450&amp;START_MAXIMI","ZED=FALSE&amp;VAR:CALENDAR=US&amp;VAR:SYMBOL=506921&amp;VAR:INDEX=0"}</definedName>
    <definedName name="_2404__FDSAUDITLINK__" hidden="1">{"fdsup://directions/FAT Viewer?action=UPDATE&amp;creator=factset&amp;DYN_ARGS=TRUE&amp;DOC_NAME=FAT:FQL_AUDITING_CLIENT_TEMPLATE.FAT&amp;display_string=Audit&amp;VAR:KEY=FINCFGZWNE&amp;VAR:QUERY=RkZfUkRfRVhQKENBTCw0MDU0MywsLCwp&amp;WINDOW=FIRST_POPUP&amp;HEIGHT=450&amp;WIDTH=450&amp;START_MAXIMI","ZED=FALSE&amp;VAR:CALENDAR=US&amp;VAR:SYMBOL=567173&amp;VAR:INDEX=0"}</definedName>
    <definedName name="_2405__FDSAUDITLINK__" hidden="1">{"fdsup://directions/FAT Viewer?action=UPDATE&amp;creator=factset&amp;DYN_ARGS=TRUE&amp;DOC_NAME=FAT:FQL_AUDITING_CLIENT_TEMPLATE.FAT&amp;display_string=Audit&amp;VAR:KEY=XKDWJCVMXO&amp;VAR:QUERY=RkZfUkRfRVhQKENBTCw0MDE3OCwsLCwp&amp;WINDOW=FIRST_POPUP&amp;HEIGHT=450&amp;WIDTH=450&amp;START_MAXIMI","ZED=FALSE&amp;VAR:CALENDAR=US&amp;VAR:SYMBOL=567173&amp;VAR:INDEX=0"}</definedName>
    <definedName name="_2406__FDSAUDITLINK__" hidden="1">{"fdsup://directions/FAT Viewer?action=UPDATE&amp;creator=factset&amp;DYN_ARGS=TRUE&amp;DOC_NAME=FAT:FQL_AUDITING_CLIENT_TEMPLATE.FAT&amp;display_string=Audit&amp;VAR:KEY=PGJGJQBYXO&amp;VAR:QUERY=RkZfUkRfRVhQKENBTCwzOTgxMywsLCwp&amp;WINDOW=FIRST_POPUP&amp;HEIGHT=450&amp;WIDTH=450&amp;START_MAXIMI","ZED=FALSE&amp;VAR:CALENDAR=US&amp;VAR:SYMBOL=567173&amp;VAR:INDEX=0"}</definedName>
    <definedName name="_2407__FDSAUDITLINK__" hidden="1">{"fdsup://directions/FAT Viewer?action=UPDATE&amp;creator=factset&amp;DYN_ARGS=TRUE&amp;DOC_NAME=FAT:FQL_AUDITING_CLIENT_TEMPLATE.FAT&amp;display_string=Audit&amp;VAR:KEY=RWLEDIBETI&amp;VAR:QUERY=RkZfUkRfRVhQKENBTCwzOTQ0NywsLCwp&amp;WINDOW=FIRST_POPUP&amp;HEIGHT=450&amp;WIDTH=450&amp;START_MAXIMI","ZED=FALSE&amp;VAR:CALENDAR=US&amp;VAR:SYMBOL=567173&amp;VAR:INDEX=0"}</definedName>
    <definedName name="_2408__FDSAUDITLINK__" hidden="1">{"fdsup://directions/FAT Viewer?action=UPDATE&amp;creator=factset&amp;DYN_ARGS=TRUE&amp;DOC_NAME=FAT:FQL_AUDITING_CLIENT_TEMPLATE.FAT&amp;display_string=Audit&amp;VAR:KEY=VWPMVGBIVA&amp;VAR:QUERY=RkZfUkRfRVhQKENBTCwzOTA4MiwsLCwp&amp;WINDOW=FIRST_POPUP&amp;HEIGHT=450&amp;WIDTH=450&amp;START_MAXIMI","ZED=FALSE&amp;VAR:CALENDAR=US&amp;VAR:SYMBOL=567173&amp;VAR:INDEX=0"}</definedName>
    <definedName name="_2409__FDSAUDITLINK__" hidden="1">{"fdsup://directions/FAT Viewer?action=UPDATE&amp;creator=factset&amp;DYN_ARGS=TRUE&amp;DOC_NAME=FAT:FQL_AUDITING_CLIENT_TEMPLATE.FAT&amp;display_string=Audit&amp;VAR:KEY=ZGNEJWTYPU&amp;VAR:QUERY=RkZfUkRfRVhQKENBTCwzODcxNywsLCwp&amp;WINDOW=FIRST_POPUP&amp;HEIGHT=450&amp;WIDTH=450&amp;START_MAXIMI","ZED=FALSE&amp;VAR:CALENDAR=US&amp;VAR:SYMBOL=567173&amp;VAR:INDEX=0"}</definedName>
    <definedName name="_241__FDSAUDITLINK__" hidden="1">{"fdsup://directions/FAT%20Viewer?VAR:TM=NTMA&amp;VAR:PCT=0.830137&amp;VAR:Y0=2006&amp;VAR:Y1=2007&amp;VAR:V0=15.023450&amp;VAR:V1=13.644815&amp;VAR:V=14.769961&amp;VAR:AUDIT_ID=00000117&amp;VAR:DATE=20060303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Aggregates&amp;VAR:MEASURE=PE_MEAN&amp;VAR:CALC_MODE=PORTFOLIO&amp;VAR:CHGPERIOD=NA&amp;VAR:FQLFORMULA=FMA_PE&amp;VAR:CURRENCY=USD&amp;VAR:P=1","287.231200&amp;VAR:THRESH=||||||&amp;VAR:null=.html"}</definedName>
    <definedName name="_2410__FDSAUDITLINK__" hidden="1">{"fdsup://directions/FAT Viewer?action=UPDATE&amp;creator=factset&amp;DYN_ARGS=TRUE&amp;DOC_NAME=FAT:FQL_AUDITING_CLIENT_TEMPLATE.FAT&amp;display_string=Audit&amp;VAR:KEY=LGVSXMXGRE&amp;VAR:QUERY=RkZfUkRfRVhQKENBTCw0MDU0MywsLCwp&amp;WINDOW=FIRST_POPUP&amp;HEIGHT=450&amp;WIDTH=450&amp;START_MAXIMI","ZED=FALSE&amp;VAR:CALENDAR=US&amp;VAR:SYMBOL=JNJ&amp;VAR:INDEX=0"}</definedName>
    <definedName name="_2411__FDSAUDITLINK__" hidden="1">{"fdsup://directions/FAT Viewer?action=UPDATE&amp;creator=factset&amp;DYN_ARGS=TRUE&amp;DOC_NAME=FAT:FQL_AUDITING_CLIENT_TEMPLATE.FAT&amp;display_string=Audit&amp;VAR:KEY=HIHGTUVWJM&amp;VAR:QUERY=RkZfUkRfRVhQKENBTCw0MDE3OCwsLCwp&amp;WINDOW=FIRST_POPUP&amp;HEIGHT=450&amp;WIDTH=450&amp;START_MAXIMI","ZED=FALSE&amp;VAR:CALENDAR=US&amp;VAR:SYMBOL=JNJ&amp;VAR:INDEX=0"}</definedName>
    <definedName name="_2412__FDSAUDITLINK__" hidden="1">{"fdsup://directions/FAT Viewer?action=UPDATE&amp;creator=factset&amp;DYN_ARGS=TRUE&amp;DOC_NAME=FAT:FQL_AUDITING_CLIENT_TEMPLATE.FAT&amp;display_string=Audit&amp;VAR:KEY=NQLIFKBKPW&amp;VAR:QUERY=RkZfUkRfRVhQKENBTCwzOTgxMywsLCwp&amp;WINDOW=FIRST_POPUP&amp;HEIGHT=450&amp;WIDTH=450&amp;START_MAXIMI","ZED=FALSE&amp;VAR:CALENDAR=US&amp;VAR:SYMBOL=JNJ&amp;VAR:INDEX=0"}</definedName>
    <definedName name="_2413__FDSAUDITLINK__" hidden="1">{"fdsup://directions/FAT Viewer?action=UPDATE&amp;creator=factset&amp;DYN_ARGS=TRUE&amp;DOC_NAME=FAT:FQL_AUDITING_CLIENT_TEMPLATE.FAT&amp;display_string=Audit&amp;VAR:KEY=FYLUREVORG&amp;VAR:QUERY=RkZfUkRfRVhQKENBTCwzOTQ0NywsLCwp&amp;WINDOW=FIRST_POPUP&amp;HEIGHT=450&amp;WIDTH=450&amp;START_MAXIMI","ZED=FALSE&amp;VAR:CALENDAR=US&amp;VAR:SYMBOL=JNJ&amp;VAR:INDEX=0"}</definedName>
    <definedName name="_2414__FDSAUDITLINK__" hidden="1">{"fdsup://directions/FAT Viewer?action=UPDATE&amp;creator=factset&amp;DYN_ARGS=TRUE&amp;DOC_NAME=FAT:FQL_AUDITING_CLIENT_TEMPLATE.FAT&amp;display_string=Audit&amp;VAR:KEY=BUPWHWVEFO&amp;VAR:QUERY=RkZfUkRfRVhQKENBTCwzOTA4MiwsLCwp&amp;WINDOW=FIRST_POPUP&amp;HEIGHT=450&amp;WIDTH=450&amp;START_MAXIMI","ZED=FALSE&amp;VAR:CALENDAR=US&amp;VAR:SYMBOL=JNJ&amp;VAR:INDEX=0"}</definedName>
    <definedName name="_2415__FDSAUDITLINK__" hidden="1">{"fdsup://directions/FAT Viewer?action=UPDATE&amp;creator=factset&amp;DYN_ARGS=TRUE&amp;DOC_NAME=FAT:FQL_AUDITING_CLIENT_TEMPLATE.FAT&amp;display_string=Audit&amp;VAR:KEY=BIZGFAZSLE&amp;VAR:QUERY=RkZfUkRfRVhQKENBTCwzODcxNywsLCwp&amp;WINDOW=FIRST_POPUP&amp;HEIGHT=450&amp;WIDTH=450&amp;START_MAXIMI","ZED=FALSE&amp;VAR:CALENDAR=US&amp;VAR:SYMBOL=JNJ&amp;VAR:INDEX=0"}</definedName>
    <definedName name="_2416__FDSAUDITLINK__" hidden="1">{"fdsup://directions/FAT Viewer?action=UPDATE&amp;creator=factset&amp;DYN_ARGS=TRUE&amp;DOC_NAME=FAT:FQL_AUDITING_CLIENT_TEMPLATE.FAT&amp;display_string=Audit&amp;VAR:KEY=FQZEXGVUHG&amp;VAR:QUERY=RkZfUkRfRVhQKENBTCwzODM1MiwsLCwp&amp;WINDOW=FIRST_POPUP&amp;HEIGHT=450&amp;WIDTH=450&amp;START_MAXIMI","ZED=FALSE&amp;VAR:CALENDAR=US&amp;VAR:SYMBOL=JNJ&amp;VAR:INDEX=0"}</definedName>
    <definedName name="_2417__FDSAUDITLINK__" hidden="1">{"fdsup://directions/FAT Viewer?action=UPDATE&amp;creator=factset&amp;DYN_ARGS=TRUE&amp;DOC_NAME=FAT:FQL_AUDITING_CLIENT_TEMPLATE.FAT&amp;display_string=Audit&amp;VAR:KEY=LEFUXOTGLS&amp;VAR:QUERY=RkZfUkRfRVhQKENBTCw0MDU0MywsLCwp&amp;WINDOW=FIRST_POPUP&amp;HEIGHT=450&amp;WIDTH=450&amp;START_MAXIMI","ZED=FALSE&amp;VAR:CALENDAR=US&amp;VAR:SYMBOL=710306&amp;VAR:INDEX=0"}</definedName>
    <definedName name="_2418__FDSAUDITLINK__" hidden="1">{"fdsup://directions/FAT Viewer?action=UPDATE&amp;creator=factset&amp;DYN_ARGS=TRUE&amp;DOC_NAME=FAT:FQL_AUDITING_CLIENT_TEMPLATE.FAT&amp;display_string=Audit&amp;VAR:KEY=XUVINAFIPU&amp;VAR:QUERY=RkZfUkRfRVhQKENBTCw0MDE3OCwsLCwp&amp;WINDOW=FIRST_POPUP&amp;HEIGHT=450&amp;WIDTH=450&amp;START_MAXIMI","ZED=FALSE&amp;VAR:CALENDAR=US&amp;VAR:SYMBOL=710306&amp;VAR:INDEX=0"}</definedName>
    <definedName name="_2419__FDSAUDITLINK__" hidden="1">{"fdsup://directions/FAT Viewer?action=UPDATE&amp;creator=factset&amp;DYN_ARGS=TRUE&amp;DOC_NAME=FAT:FQL_AUDITING_CLIENT_TEMPLATE.FAT&amp;display_string=Audit&amp;VAR:KEY=HKXWJMJSZQ&amp;VAR:QUERY=RkZfUkRfRVhQKENBTCwzOTgxMywsLCwp&amp;WINDOW=FIRST_POPUP&amp;HEIGHT=450&amp;WIDTH=450&amp;START_MAXIMI","ZED=FALSE&amp;VAR:CALENDAR=US&amp;VAR:SYMBOL=710306&amp;VAR:INDEX=0"}</definedName>
    <definedName name="_242__FDSAUDITLINK__" hidden="1">{"fdsup://directions/FAT%20Viewer?VAR:TM=NTMA&amp;VAR:PCT=0.849315&amp;VAR:Y0=2006&amp;VAR:Y1=2007&amp;VAR:V0=15.036519&amp;VAR:V1=13.698613&amp;VAR:V=14.818436&amp;VAR:AUDIT_ID=00000117&amp;VAR:DATE=20060224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Aggregates&amp;VAR:MEASURE=PE_MEAN&amp;VAR:CALC_MODE=PORTFOLIO&amp;VAR:CHGPERIOD=NA&amp;VAR:FQLFORMULA=FMA_PE&amp;VAR:CURRENCY=USD&amp;VAR:P=1","289.430900&amp;VAR:THRESH=||||||&amp;VAR:null=.html"}</definedName>
    <definedName name="_2420__FDSAUDITLINK__" hidden="1">{"fdsup://directions/FAT Viewer?action=UPDATE&amp;creator=factset&amp;DYN_ARGS=TRUE&amp;DOC_NAME=FAT:FQL_AUDITING_CLIENT_TEMPLATE.FAT&amp;display_string=Audit&amp;VAR:KEY=JONIRWROFI&amp;VAR:QUERY=RkZfUkRfRVhQKENBTCwzOTQ0NywsLCwp&amp;WINDOW=FIRST_POPUP&amp;HEIGHT=450&amp;WIDTH=450&amp;START_MAXIMI","ZED=FALSE&amp;VAR:CALENDAR=US&amp;VAR:SYMBOL=710306&amp;VAR:INDEX=0"}</definedName>
    <definedName name="_2421__FDSAUDITLINK__" hidden="1">{"fdsup://directions/FAT Viewer?action=UPDATE&amp;creator=factset&amp;DYN_ARGS=TRUE&amp;DOC_NAME=FAT:FQL_AUDITING_CLIENT_TEMPLATE.FAT&amp;display_string=Audit&amp;VAR:KEY=BAPYPCNOVG&amp;VAR:QUERY=RkZfUkRfRVhQKENBTCwzOTA4MiwsLCwp&amp;WINDOW=FIRST_POPUP&amp;HEIGHT=450&amp;WIDTH=450&amp;START_MAXIMI","ZED=FALSE&amp;VAR:CALENDAR=US&amp;VAR:SYMBOL=710306&amp;VAR:INDEX=0"}</definedName>
    <definedName name="_2422__FDSAUDITLINK__" hidden="1">{"fdsup://directions/FAT Viewer?action=UPDATE&amp;creator=factset&amp;DYN_ARGS=TRUE&amp;DOC_NAME=FAT:FQL_AUDITING_CLIENT_TEMPLATE.FAT&amp;display_string=Audit&amp;VAR:KEY=VKXURALSNK&amp;VAR:QUERY=RkZfUkRfRVhQKENBTCwzODcxNywsLCwp&amp;WINDOW=FIRST_POPUP&amp;HEIGHT=450&amp;WIDTH=450&amp;START_MAXIMI","ZED=FALSE&amp;VAR:CALENDAR=US&amp;VAR:SYMBOL=710306&amp;VAR:INDEX=0"}</definedName>
    <definedName name="_2423__FDSAUDITLINK__" hidden="1">{"fdsup://directions/FAT Viewer?action=UPDATE&amp;creator=factset&amp;DYN_ARGS=TRUE&amp;DOC_NAME=FAT:FQL_AUDITING_CLIENT_TEMPLATE.FAT&amp;display_string=Audit&amp;VAR:KEY=BUHEBCVYDU&amp;VAR:QUERY=RkZfUkRfRVhQKENBTCw0MDU0MywsLCwp&amp;WINDOW=FIRST_POPUP&amp;HEIGHT=450&amp;WIDTH=450&amp;START_MAXIMI","ZED=FALSE&amp;VAR:CALENDAR=US&amp;VAR:SYMBOL=711038&amp;VAR:INDEX=0"}</definedName>
    <definedName name="_2424__FDSAUDITLINK__" hidden="1">{"fdsup://directions/FAT Viewer?action=UPDATE&amp;creator=factset&amp;DYN_ARGS=TRUE&amp;DOC_NAME=FAT:FQL_AUDITING_CLIENT_TEMPLATE.FAT&amp;display_string=Audit&amp;VAR:KEY=HATKVKBWZI&amp;VAR:QUERY=RkZfUkRfRVhQKENBTCw0MDE3OCwsLCwp&amp;WINDOW=FIRST_POPUP&amp;HEIGHT=450&amp;WIDTH=450&amp;START_MAXIMI","ZED=FALSE&amp;VAR:CALENDAR=US&amp;VAR:SYMBOL=711038&amp;VAR:INDEX=0"}</definedName>
    <definedName name="_2425__FDSAUDITLINK__" hidden="1">{"fdsup://directions/FAT Viewer?action=UPDATE&amp;creator=factset&amp;DYN_ARGS=TRUE&amp;DOC_NAME=FAT:FQL_AUDITING_CLIENT_TEMPLATE.FAT&amp;display_string=Audit&amp;VAR:KEY=XUXGPIZETA&amp;VAR:QUERY=RkZfUkRfRVhQKENBTCwzOTgxMywsLCwp&amp;WINDOW=FIRST_POPUP&amp;HEIGHT=450&amp;WIDTH=450&amp;START_MAXIMI","ZED=FALSE&amp;VAR:CALENDAR=US&amp;VAR:SYMBOL=711038&amp;VAR:INDEX=0"}</definedName>
    <definedName name="_2426__FDSAUDITLINK__" hidden="1">{"fdsup://directions/FAT Viewer?action=UPDATE&amp;creator=factset&amp;DYN_ARGS=TRUE&amp;DOC_NAME=FAT:FQL_AUDITING_CLIENT_TEMPLATE.FAT&amp;display_string=Audit&amp;VAR:KEY=LULOLUFSZY&amp;VAR:QUERY=RkZfUkRfRVhQKENBTCwzOTgxMywsLCwp&amp;WINDOW=FIRST_POPUP&amp;HEIGHT=450&amp;WIDTH=450&amp;START_MAXIMI","ZED=FALSE&amp;VAR:CALENDAR=US&amp;VAR:SYMBOL=DNA&amp;VAR:INDEX=0"}</definedName>
    <definedName name="_2427__FDSAUDITLINK__" hidden="1">{"fdsup://directions/FAT Viewer?action=UPDATE&amp;creator=factset&amp;DYN_ARGS=TRUE&amp;DOC_NAME=FAT:FQL_AUDITING_CLIENT_TEMPLATE.FAT&amp;display_string=Audit&amp;VAR:KEY=JQXWLKRQJO&amp;VAR:QUERY=RkZfUkRfRVhQKENBTCwzOTQ0NywsLCwp&amp;WINDOW=FIRST_POPUP&amp;HEIGHT=450&amp;WIDTH=450&amp;START_MAXIMI","ZED=FALSE&amp;VAR:CALENDAR=US&amp;VAR:SYMBOL=DNA&amp;VAR:INDEX=0"}</definedName>
    <definedName name="_2428__FDSAUDITLINK__" hidden="1">{"fdsup://directions/FAT Viewer?action=UPDATE&amp;creator=factset&amp;DYN_ARGS=TRUE&amp;DOC_NAME=FAT:FQL_AUDITING_CLIENT_TEMPLATE.FAT&amp;display_string=Audit&amp;VAR:KEY=HYXWNYRITG&amp;VAR:QUERY=RkZfUkRfRVhQKENBTCwzOTA4MiwsLCwp&amp;WINDOW=FIRST_POPUP&amp;HEIGHT=450&amp;WIDTH=450&amp;START_MAXIMI","ZED=FALSE&amp;VAR:CALENDAR=US&amp;VAR:SYMBOL=DNA&amp;VAR:INDEX=0"}</definedName>
    <definedName name="_2429__FDSAUDITLINK__" hidden="1">{"fdsup://directions/FAT Viewer?action=UPDATE&amp;creator=factset&amp;DYN_ARGS=TRUE&amp;DOC_NAME=FAT:FQL_AUDITING_CLIENT_TEMPLATE.FAT&amp;display_string=Audit&amp;VAR:KEY=FWHQNGDGJY&amp;VAR:QUERY=RkZfUkRfRVhQKENBTCwzODcxNywsLCwp&amp;WINDOW=FIRST_POPUP&amp;HEIGHT=450&amp;WIDTH=450&amp;START_MAXIMI","ZED=FALSE&amp;VAR:CALENDAR=US&amp;VAR:SYMBOL=DNA&amp;VAR:INDEX=0"}</definedName>
    <definedName name="_243__FDSAUDITLINK__" hidden="1">{"fdsup://directions/FAT%20Viewer?VAR:TM=NTMA&amp;VAR:PCT=0.868493&amp;VAR:Y0=2006&amp;VAR:Y1=2007&amp;VAR:V0=14.999657&amp;VAR:V1=13.670315&amp;VAR:V=14.810262&amp;VAR:AUDIT_ID=00000117&amp;VAR:DATE=20060217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Aggregates&amp;VAR:MEASURE=PE_MEAN&amp;VAR:CALC_MODE=PORTFOLIO&amp;VAR:CHGPERIOD=NA&amp;VAR:FQLFORMULA=FMA_PE&amp;VAR:CURRENCY=USD&amp;VAR:P=1","287.242600&amp;VAR:THRESH=||||||&amp;VAR:null=.html"}</definedName>
    <definedName name="_2430__FDSAUDITLINK__" hidden="1">{"fdsup://directions/FAT Viewer?action=UPDATE&amp;creator=factset&amp;DYN_ARGS=TRUE&amp;DOC_NAME=FAT:FQL_AUDITING_CLIENT_TEMPLATE.FAT&amp;display_string=Audit&amp;VAR:KEY=RQTWDYPOXG&amp;VAR:QUERY=RkZfUkRfRVhQKENBTCwzODM1MiwsLCwp&amp;WINDOW=FIRST_POPUP&amp;HEIGHT=450&amp;WIDTH=450&amp;START_MAXIMI","ZED=FALSE&amp;VAR:CALENDAR=US&amp;VAR:SYMBOL=DNA&amp;VAR:INDEX=0"}</definedName>
    <definedName name="_2431__FDSAUDITLINK__" hidden="1">{"fdsup://directions/FAT Viewer?action=UPDATE&amp;creator=factset&amp;DYN_ARGS=TRUE&amp;DOC_NAME=FAT:FQL_AUDITING_CLIENT_TEMPLATE.FAT&amp;display_string=Audit&amp;VAR:KEY=JGLQLQPQDK&amp;VAR:QUERY=RkZfUkRfRVhQKENBTCw0MDU0MywsLCwp&amp;WINDOW=FIRST_POPUP&amp;HEIGHT=450&amp;WIDTH=450&amp;START_MAXIMI","ZED=FALSE&amp;VAR:CALENDAR=US&amp;VAR:SYMBOL=MRK&amp;VAR:INDEX=0"}</definedName>
    <definedName name="_2432__FDSAUDITLINK__" hidden="1">{"fdsup://directions/FAT Viewer?action=UPDATE&amp;creator=factset&amp;DYN_ARGS=TRUE&amp;DOC_NAME=FAT:FQL_AUDITING_CLIENT_TEMPLATE.FAT&amp;display_string=Audit&amp;VAR:KEY=XMHMROTSFU&amp;VAR:QUERY=RkZfUkRfRVhQKENBTCw0MDE3OCwsLCxVU0Qp&amp;WINDOW=FIRST_POPUP&amp;HEIGHT=450&amp;WIDTH=450&amp;START_MA","XIMIZED=FALSE&amp;VAR:CALENDAR=US&amp;VAR:SYMBOL=MRK&amp;VAR:INDEX=0"}</definedName>
    <definedName name="_2433__FDSAUDITLINK__" hidden="1">{"fdsup://directions/FAT Viewer?action=UPDATE&amp;creator=factset&amp;DYN_ARGS=TRUE&amp;DOC_NAME=FAT:FQL_AUDITING_CLIENT_TEMPLATE.FAT&amp;display_string=Audit&amp;VAR:KEY=BMVWPEJELU&amp;VAR:QUERY=RkZfUkRfRVhQKENBTCwzOTgxMywsLCwp&amp;WINDOW=FIRST_POPUP&amp;HEIGHT=450&amp;WIDTH=450&amp;START_MAXIMI","ZED=FALSE&amp;VAR:CALENDAR=US&amp;VAR:SYMBOL=MRK&amp;VAR:INDEX=0"}</definedName>
    <definedName name="_2434__FDSAUDITLINK__" hidden="1">{"fdsup://directions/FAT Viewer?action=UPDATE&amp;creator=factset&amp;DYN_ARGS=TRUE&amp;DOC_NAME=FAT:FQL_AUDITING_CLIENT_TEMPLATE.FAT&amp;display_string=Audit&amp;VAR:KEY=ZWNOBEDCJI&amp;VAR:QUERY=RkZfUkRfRVhQKENBTCwzOTgxMywsLCwp&amp;WINDOW=FIRST_POPUP&amp;HEIGHT=450&amp;WIDTH=450&amp;START_MAXIMI","ZED=FALSE&amp;VAR:CALENDAR=US&amp;VAR:SYMBOL=SGP&amp;VAR:INDEX=0"}</definedName>
    <definedName name="_2435__FDSAUDITLINK__" hidden="1">{"fdsup://directions/FAT Viewer?action=UPDATE&amp;creator=factset&amp;DYN_ARGS=TRUE&amp;DOC_NAME=FAT:FQL_AUDITING_CLIENT_TEMPLATE.FAT&amp;display_string=Audit&amp;VAR:KEY=LSNMLEBONA&amp;VAR:QUERY=RkZfUkRfRVhQKENBTCwzOTQ0NywsLCwp&amp;WINDOW=FIRST_POPUP&amp;HEIGHT=450&amp;WIDTH=450&amp;START_MAXIMI","ZED=FALSE&amp;VAR:CALENDAR=US&amp;VAR:SYMBOL=MRK&amp;VAR:INDEX=0"}</definedName>
    <definedName name="_2436__FDSAUDITLINK__" hidden="1">{"fdsup://directions/FAT Viewer?action=UPDATE&amp;creator=factset&amp;DYN_ARGS=TRUE&amp;DOC_NAME=FAT:FQL_AUDITING_CLIENT_TEMPLATE.FAT&amp;display_string=Audit&amp;VAR:KEY=VERKZCBWNO&amp;VAR:QUERY=RkZfUkRfRVhQKENBTCwzOTQ0NywsLCwp&amp;WINDOW=FIRST_POPUP&amp;HEIGHT=450&amp;WIDTH=450&amp;START_MAXIMI","ZED=FALSE&amp;VAR:CALENDAR=US&amp;VAR:SYMBOL=SGP&amp;VAR:INDEX=0"}</definedName>
    <definedName name="_2437__FDSAUDITLINK__" hidden="1">{"fdsup://directions/FAT Viewer?action=UPDATE&amp;creator=factset&amp;DYN_ARGS=TRUE&amp;DOC_NAME=FAT:FQL_AUDITING_CLIENT_TEMPLATE.FAT&amp;display_string=Audit&amp;VAR:KEY=NMHYXIZERM&amp;VAR:QUERY=RkZfUkRfRVhQKENBTCwzOTA4MiwsLCwp&amp;WINDOW=FIRST_POPUP&amp;HEIGHT=450&amp;WIDTH=450&amp;START_MAXIMI","ZED=FALSE&amp;VAR:CALENDAR=US&amp;VAR:SYMBOL=MRK&amp;VAR:INDEX=0"}</definedName>
    <definedName name="_2438__FDSAUDITLINK__" hidden="1">{"fdsup://directions/FAT Viewer?action=UPDATE&amp;creator=factset&amp;DYN_ARGS=TRUE&amp;DOC_NAME=FAT:FQL_AUDITING_CLIENT_TEMPLATE.FAT&amp;display_string=Audit&amp;VAR:KEY=VGVGPSRCRG&amp;VAR:QUERY=RkZfUkRfRVhQKENBTCwzOTA4MiwsLCwp&amp;WINDOW=FIRST_POPUP&amp;HEIGHT=450&amp;WIDTH=450&amp;START_MAXIMI","ZED=FALSE&amp;VAR:CALENDAR=US&amp;VAR:SYMBOL=SGP&amp;VAR:INDEX=0"}</definedName>
    <definedName name="_2439__FDSAUDITLINK__" hidden="1">{"fdsup://directions/FAT Viewer?action=UPDATE&amp;creator=factset&amp;DYN_ARGS=TRUE&amp;DOC_NAME=FAT:FQL_AUDITING_CLIENT_TEMPLATE.FAT&amp;display_string=Audit&amp;VAR:KEY=HIHQXGPWVE&amp;VAR:QUERY=RkZfUkRfRVhQKENBTCwzODcxNywsLCwp&amp;WINDOW=FIRST_POPUP&amp;HEIGHT=450&amp;WIDTH=450&amp;START_MAXIMI","ZED=FALSE&amp;VAR:CALENDAR=US&amp;VAR:SYMBOL=MRK&amp;VAR:INDEX=0"}</definedName>
    <definedName name="_244__FDSAUDITLINK__" hidden="1">{"fdsup://directions/FAT%20Viewer?VAR:TM=NTMA&amp;VAR:PCT=0.887671&amp;VAR:Y0=2006&amp;VAR:Y1=2007&amp;VAR:V0=14.763160&amp;VAR:V1=13.477886&amp;VAR:V=14.606695&amp;VAR:AUDIT_ID=00000117&amp;VAR:DATE=20060210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Aggregates&amp;VAR:MEASURE=PE_MEAN&amp;VAR:CALC_MODE=PORTFOLIO&amp;VAR:CHGPERIOD=NA&amp;VAR:FQLFORMULA=FMA_PE&amp;VAR:CURRENCY=USD&amp;VAR:P=1","266.990100&amp;VAR:THRESH=||||||&amp;VAR:null=.html"}</definedName>
    <definedName name="_2440__FDSAUDITLINK__" hidden="1">{"fdsup://directions/FAT Viewer?action=UPDATE&amp;creator=factset&amp;DYN_ARGS=TRUE&amp;DOC_NAME=FAT:FQL_AUDITING_CLIENT_TEMPLATE.FAT&amp;display_string=Audit&amp;VAR:KEY=DQBAJYBAFW&amp;VAR:QUERY=RkZfUkRfRVhQKENBTCwzODcxNywsLCwp&amp;WINDOW=FIRST_POPUP&amp;HEIGHT=450&amp;WIDTH=450&amp;START_MAXIMI","ZED=FALSE&amp;VAR:CALENDAR=US&amp;VAR:SYMBOL=SGP&amp;VAR:INDEX=0"}</definedName>
    <definedName name="_2441__FDSAUDITLINK__" hidden="1">{"fdsup://directions/FAT Viewer?action=UPDATE&amp;creator=factset&amp;DYN_ARGS=TRUE&amp;DOC_NAME=FAT:FQL_AUDITING_CLIENT_TEMPLATE.FAT&amp;display_string=Audit&amp;VAR:KEY=BILIDIROZO&amp;VAR:QUERY=RkZfUkRfRVhQKENBTCwzODM1MiwsLCwp&amp;WINDOW=FIRST_POPUP&amp;HEIGHT=450&amp;WIDTH=450&amp;START_MAXIMI","ZED=FALSE&amp;VAR:CALENDAR=US&amp;VAR:SYMBOL=MRK&amp;VAR:INDEX=0"}</definedName>
    <definedName name="_2442__FDSAUDITLINK__" hidden="1">{"fdsup://directions/FAT Viewer?action=UPDATE&amp;creator=factset&amp;DYN_ARGS=TRUE&amp;DOC_NAME=FAT:FQL_AUDITING_CLIENT_TEMPLATE.FAT&amp;display_string=Audit&amp;VAR:KEY=HSTURMXUFQ&amp;VAR:QUERY=RkZfUkRfRVhQKENBTCwzODM1MiwsLCwp&amp;WINDOW=FIRST_POPUP&amp;HEIGHT=450&amp;WIDTH=450&amp;START_MAXIMI","ZED=FALSE&amp;VAR:CALENDAR=US&amp;VAR:SYMBOL=SGP&amp;VAR:INDEX=0"}</definedName>
    <definedName name="_2443__FDSAUDITLINK__" hidden="1">{"fdsup://directions/FAT Viewer?action=UPDATE&amp;creator=factset&amp;DYN_ARGS=TRUE&amp;DOC_NAME=FAT:FQL_AUDITING_CLIENT_TEMPLATE.FAT&amp;display_string=Audit&amp;VAR:KEY=RULMZELIXK&amp;VAR:QUERY=RkZfUkRfRVhQKENBTCw0MDU0MywsLCwp&amp;WINDOW=FIRST_POPUP&amp;HEIGHT=450&amp;WIDTH=450&amp;START_MAXIMI","ZED=FALSE&amp;VAR:CALENDAR=US&amp;VAR:SYMBOL=PFE&amp;VAR:INDEX=0"}</definedName>
    <definedName name="_2444__FDSAUDITLINK__" hidden="1">{"fdsup://directions/FAT Viewer?action=UPDATE&amp;creator=factset&amp;DYN_ARGS=TRUE&amp;DOC_NAME=FAT:FQL_AUDITING_CLIENT_TEMPLATE.FAT&amp;display_string=Audit&amp;VAR:KEY=XADITGJORE&amp;VAR:QUERY=RkZfUkRfRVhQKENBTCw0MDE3OCwsLCxVU0Qp&amp;WINDOW=FIRST_POPUP&amp;HEIGHT=450&amp;WIDTH=450&amp;START_MA","XIMIZED=FALSE&amp;VAR:CALENDAR=US&amp;VAR:SYMBOL=PFE&amp;VAR:INDEX=0"}</definedName>
    <definedName name="_2445__FDSAUDITLINK__" hidden="1">{"fdsup://directions/FAT Viewer?action=UPDATE&amp;creator=factset&amp;DYN_ARGS=TRUE&amp;DOC_NAME=FAT:FQL_AUDITING_CLIENT_TEMPLATE.FAT&amp;display_string=Audit&amp;VAR:KEY=XAFSTKHGNY&amp;VAR:QUERY=RkZfUkRfRVhQKENBTCwzOTgxMywsLCwp&amp;WINDOW=FIRST_POPUP&amp;HEIGHT=450&amp;WIDTH=450&amp;START_MAXIMI","ZED=FALSE&amp;VAR:CALENDAR=US&amp;VAR:SYMBOL=PFE&amp;VAR:INDEX=0"}</definedName>
    <definedName name="_2446__FDSAUDITLINK__" hidden="1">{"fdsup://directions/FAT Viewer?action=UPDATE&amp;creator=factset&amp;DYN_ARGS=TRUE&amp;DOC_NAME=FAT:FQL_AUDITING_CLIENT_TEMPLATE.FAT&amp;display_string=Audit&amp;VAR:KEY=PAJYJYJAHE&amp;VAR:QUERY=RkZfUkRfRVhQKENBTCwzOTgxMywsLCwp&amp;WINDOW=FIRST_POPUP&amp;HEIGHT=450&amp;WIDTH=450&amp;START_MAXIMI","ZED=FALSE&amp;VAR:CALENDAR=US&amp;VAR:SYMBOL=WYE&amp;VAR:INDEX=0"}</definedName>
    <definedName name="_2447__FDSAUDITLINK__" hidden="1">{"fdsup://directions/FAT Viewer?action=UPDATE&amp;creator=factset&amp;DYN_ARGS=TRUE&amp;DOC_NAME=FAT:FQL_AUDITING_CLIENT_TEMPLATE.FAT&amp;display_string=Audit&amp;VAR:KEY=TEDKTITIXA&amp;VAR:QUERY=RkZfUkRfRVhQKENBTCwzOTQ0NywsLCwp&amp;WINDOW=FIRST_POPUP&amp;HEIGHT=450&amp;WIDTH=450&amp;START_MAXIMI","ZED=FALSE&amp;VAR:CALENDAR=US&amp;VAR:SYMBOL=PFE&amp;VAR:INDEX=0"}</definedName>
    <definedName name="_2448__FDSAUDITLINK__" hidden="1">{"fdsup://directions/FAT Viewer?action=UPDATE&amp;creator=factset&amp;DYN_ARGS=TRUE&amp;DOC_NAME=FAT:FQL_AUDITING_CLIENT_TEMPLATE.FAT&amp;display_string=Audit&amp;VAR:KEY=NYXURMTONW&amp;VAR:QUERY=RkZfUkRfRVhQKENBTCwzOTQ0NywsLCwp&amp;WINDOW=FIRST_POPUP&amp;HEIGHT=450&amp;WIDTH=450&amp;START_MAXIMI","ZED=FALSE&amp;VAR:CALENDAR=US&amp;VAR:SYMBOL=WYE&amp;VAR:INDEX=0"}</definedName>
    <definedName name="_2449__FDSAUDITLINK__" hidden="1">{"fdsup://directions/FAT Viewer?action=UPDATE&amp;creator=factset&amp;DYN_ARGS=TRUE&amp;DOC_NAME=FAT:FQL_AUDITING_CLIENT_TEMPLATE.FAT&amp;display_string=Audit&amp;VAR:KEY=VOPUPSJQLI&amp;VAR:QUERY=RkZfUkRfRVhQKENBTCwzOTA4MiwsLCwp&amp;WINDOW=FIRST_POPUP&amp;HEIGHT=450&amp;WIDTH=450&amp;START_MAXIMI","ZED=FALSE&amp;VAR:CALENDAR=US&amp;VAR:SYMBOL=PFE&amp;VAR:INDEX=0"}</definedName>
    <definedName name="_245__FDSAUDITLINK__" hidden="1">{"fdsup://directions/FAT%20Viewer?VAR:TM=NTMA&amp;VAR:PCT=0.906849&amp;VAR:Y0=2006&amp;VAR:Y1=2007&amp;VAR:V0=14.728274&amp;VAR:V1=13.442951&amp;VAR:V=14.598256&amp;VAR:AUDIT_ID=00000117&amp;VAR:DATE=20060203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Aggregates&amp;VAR:MEASURE=PE_MEAN&amp;VAR:CALC_MODE=PORTFOLIO&amp;VAR:CHGPERIOD=NA&amp;VAR:FQLFORMULA=FMA_PE&amp;VAR:CURRENCY=USD&amp;VAR:P=1","264.030000&amp;VAR:THRESH=||||||&amp;VAR:null=.html"}</definedName>
    <definedName name="_2450__FDSAUDITLINK__" hidden="1">{"fdsup://directions/FAT Viewer?action=UPDATE&amp;creator=factset&amp;DYN_ARGS=TRUE&amp;DOC_NAME=FAT:FQL_AUDITING_CLIENT_TEMPLATE.FAT&amp;display_string=Audit&amp;VAR:KEY=XWTYLUVGBU&amp;VAR:QUERY=RkZfUkRfRVhQKENBTCwzOTA4MiwsLCwp&amp;WINDOW=FIRST_POPUP&amp;HEIGHT=450&amp;WIDTH=450&amp;START_MAXIMI","ZED=FALSE&amp;VAR:CALENDAR=US&amp;VAR:SYMBOL=WYE&amp;VAR:INDEX=0"}</definedName>
    <definedName name="_2451__FDSAUDITLINK__" hidden="1">{"fdsup://directions/FAT Viewer?action=UPDATE&amp;creator=factset&amp;DYN_ARGS=TRUE&amp;DOC_NAME=FAT:FQL_AUDITING_CLIENT_TEMPLATE.FAT&amp;display_string=Audit&amp;VAR:KEY=DUZANORCZM&amp;VAR:QUERY=RkZfUkRfRVhQKENBTCwzODcxNywsLCwp&amp;WINDOW=FIRST_POPUP&amp;HEIGHT=450&amp;WIDTH=450&amp;START_MAXIMI","ZED=FALSE&amp;VAR:CALENDAR=US&amp;VAR:SYMBOL=PFE&amp;VAR:INDEX=0"}</definedName>
    <definedName name="_2452__FDSAUDITLINK__" hidden="1">{"fdsup://directions/FAT Viewer?action=UPDATE&amp;creator=factset&amp;DYN_ARGS=TRUE&amp;DOC_NAME=FAT:FQL_AUDITING_CLIENT_TEMPLATE.FAT&amp;display_string=Audit&amp;VAR:KEY=DGDCHUBYVS&amp;VAR:QUERY=RkZfUkRfRVhQKENBTCwzODcxNywsLCwp&amp;WINDOW=FIRST_POPUP&amp;HEIGHT=450&amp;WIDTH=450&amp;START_MAXIMI","ZED=FALSE&amp;VAR:CALENDAR=US&amp;VAR:SYMBOL=WYE&amp;VAR:INDEX=0"}</definedName>
    <definedName name="_2453__FDSAUDITLINK__" hidden="1">{"fdsup://directions/FAT Viewer?action=UPDATE&amp;creator=factset&amp;DYN_ARGS=TRUE&amp;DOC_NAME=FAT:FQL_AUDITING_CLIENT_TEMPLATE.FAT&amp;display_string=Audit&amp;VAR:KEY=BETMVWVSBG&amp;VAR:QUERY=RkZfUkRfRVhQKENBTCwzODM1MiwsLCwp&amp;WINDOW=FIRST_POPUP&amp;HEIGHT=450&amp;WIDTH=450&amp;START_MAXIMI","ZED=FALSE&amp;VAR:CALENDAR=US&amp;VAR:SYMBOL=PFE&amp;VAR:INDEX=0"}</definedName>
    <definedName name="_2454__FDSAUDITLINK__" hidden="1">{"fdsup://directions/FAT Viewer?action=UPDATE&amp;creator=factset&amp;DYN_ARGS=TRUE&amp;DOC_NAME=FAT:FQL_AUDITING_CLIENT_TEMPLATE.FAT&amp;display_string=Audit&amp;VAR:KEY=HKXMFCNQRG&amp;VAR:QUERY=RkZfUkRfRVhQKENBTCwzODM1MiwsLCwp&amp;WINDOW=FIRST_POPUP&amp;HEIGHT=450&amp;WIDTH=450&amp;START_MAXIMI","ZED=FALSE&amp;VAR:CALENDAR=US&amp;VAR:SYMBOL=WYE&amp;VAR:INDEX=0"}</definedName>
    <definedName name="_2455__FDSAUDITLINK__" hidden="1">{"fdsup://Directions/FactSet Auditing Viewer?action=AUDIT_VALUE&amp;DB=129&amp;ID1=36871040&amp;VALUEID=01001&amp;SDATE=200804&amp;PERIODTYPE=QTR_STD&amp;SCFT=3&amp;window=popup_no_bar&amp;width=385&amp;height=120&amp;START_MAXIMIZED=FALSE&amp;creator=factset&amp;display_string=Audit"}</definedName>
    <definedName name="_2456__FDSAUDITLINK__" hidden="1">{"fdsup://Directions/FactSet Auditing Viewer?action=AUDIT_VALUE&amp;DB=129&amp;ID1=36871040&amp;VALUEID=01001&amp;SDATE=200803&amp;PERIODTYPE=QTR_STD&amp;SCFT=3&amp;window=popup_no_bar&amp;width=385&amp;height=120&amp;START_MAXIMIZED=FALSE&amp;creator=factset&amp;display_string=Audit"}</definedName>
    <definedName name="_2457__FDSAUDITLINK__" hidden="1">{"fdsup://Directions/FactSet Auditing Viewer?action=AUDIT_VALUE&amp;DB=129&amp;ID1=36871040&amp;VALUEID=01001&amp;SDATE=200802&amp;PERIODTYPE=QTR_STD&amp;SCFT=3&amp;window=popup_no_bar&amp;width=385&amp;height=120&amp;START_MAXIMIZED=FALSE&amp;creator=factset&amp;display_string=Audit"}</definedName>
    <definedName name="_2458__FDSAUDITLINK__" hidden="1">{"fdsup://Directions/FactSet Auditing Viewer?action=AUDIT_VALUE&amp;DB=129&amp;ID1=36871040&amp;VALUEID=01001&amp;SDATE=200801&amp;PERIODTYPE=QTR_STD&amp;SCFT=3&amp;window=popup_no_bar&amp;width=385&amp;height=120&amp;START_MAXIMIZED=FALSE&amp;creator=factset&amp;display_string=Audit"}</definedName>
    <definedName name="_2459__FDSAUDITLINK__" hidden="1">{"fdsup://Directions/FactSet Auditing Viewer?action=AUDIT_VALUE&amp;DB=129&amp;ID1=36871040&amp;VALUEID=01001&amp;SDATE=200704&amp;PERIODTYPE=QTR_STD&amp;SCFT=3&amp;window=popup_no_bar&amp;width=385&amp;height=120&amp;START_MAXIMIZED=FALSE&amp;creator=factset&amp;display_string=Audit"}</definedName>
    <definedName name="_246__FDSAUDITLINK__" hidden="1">{"fdsup://directions/FAT%20Viewer?VAR:TM=NTMA&amp;VAR:PCT=0.926027&amp;VAR:Y0=2006&amp;VAR:Y1=2007&amp;VAR:V0=14.958775&amp;VAR:V1=13.708817&amp;VAR:V=14.858558&amp;VAR:AUDIT_ID=00000117&amp;VAR:DATE=20060127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Aggregates&amp;VAR:MEASURE=PE_MEAN&amp;VAR:CALC_MODE=PORTFOLIO&amp;VAR:CHGPERIOD=NA&amp;VAR:FQLFORMULA=FMA_PE&amp;VAR:CURRENCY=USD&amp;VAR:P=1","283.722300&amp;VAR:THRESH=||||||&amp;VAR:null=.html"}</definedName>
    <definedName name="_2460__FDSAUDITLINK__" hidden="1">{"fdsup://Directions/FactSet Auditing Viewer?action=AUDIT_VALUE&amp;DB=129&amp;ID1=36871040&amp;VALUEID=01001&amp;SDATE=200703&amp;PERIODTYPE=QTR_STD&amp;SCFT=3&amp;window=popup_no_bar&amp;width=385&amp;height=120&amp;START_MAXIMIZED=FALSE&amp;creator=factset&amp;display_string=Audit"}</definedName>
    <definedName name="_2461__FDSAUDITLINK__" hidden="1">{"fdsup://Directions/FactSet Auditing Viewer?action=AUDIT_VALUE&amp;DB=129&amp;ID1=36871040&amp;VALUEID=01001&amp;SDATE=200702&amp;PERIODTYPE=QTR_STD&amp;SCFT=3&amp;window=popup_no_bar&amp;width=385&amp;height=120&amp;START_MAXIMIZED=FALSE&amp;creator=factset&amp;display_string=Audit"}</definedName>
    <definedName name="_2462__FDSAUDITLINK__" hidden="1">{"fdsup://Directions/FactSet Auditing Viewer?action=AUDIT_VALUE&amp;DB=129&amp;ID1=36871040&amp;VALUEID=01001&amp;SDATE=200701&amp;PERIODTYPE=QTR_STD&amp;SCFT=3&amp;window=popup_no_bar&amp;width=385&amp;height=120&amp;START_MAXIMIZED=FALSE&amp;creator=factset&amp;display_string=Audit"}</definedName>
    <definedName name="_2463__FDSAUDITLINK__" hidden="1">{"fdsup://Directions/FactSet Auditing Viewer?action=AUDIT_VALUE&amp;DB=129&amp;ID1=98302410&amp;VALUEID=01001&amp;SDATE=200902&amp;PERIODTYPE=QTR_STD&amp;SCFT=3&amp;window=popup_no_bar&amp;width=385&amp;height=120&amp;START_MAXIMIZED=FALSE&amp;creator=factset&amp;display_string=Audit"}</definedName>
    <definedName name="_2464__FDSAUDITLINK__" hidden="1">{"fdsup://Directions/FactSet Auditing Viewer?action=AUDIT_VALUE&amp;DB=129&amp;ID1=98302410&amp;VALUEID=01001&amp;SDATE=200901&amp;PERIODTYPE=QTR_STD&amp;SCFT=3&amp;window=popup_no_bar&amp;width=385&amp;height=120&amp;START_MAXIMIZED=FALSE&amp;creator=factset&amp;display_string=Audit"}</definedName>
    <definedName name="_2465__FDSAUDITLINK__" hidden="1">{"fdsup://Directions/FactSet Auditing Viewer?action=AUDIT_VALUE&amp;DB=129&amp;ID1=98302410&amp;VALUEID=01001&amp;SDATE=200804&amp;PERIODTYPE=QTR_STD&amp;SCFT=3&amp;window=popup_no_bar&amp;width=385&amp;height=120&amp;START_MAXIMIZED=FALSE&amp;creator=factset&amp;display_string=Audit"}</definedName>
    <definedName name="_2466__FDSAUDITLINK__" hidden="1">{"fdsup://Directions/FactSet Auditing Viewer?action=AUDIT_VALUE&amp;DB=129&amp;ID1=98302410&amp;VALUEID=01001&amp;SDATE=200803&amp;PERIODTYPE=QTR_STD&amp;SCFT=3&amp;window=popup_no_bar&amp;width=385&amp;height=120&amp;START_MAXIMIZED=FALSE&amp;creator=factset&amp;display_string=Audit"}</definedName>
    <definedName name="_2467__FDSAUDITLINK__" hidden="1">{"fdsup://Directions/FactSet Auditing Viewer?action=AUDIT_VALUE&amp;DB=129&amp;ID1=98302410&amp;VALUEID=01001&amp;SDATE=200802&amp;PERIODTYPE=QTR_STD&amp;SCFT=3&amp;window=popup_no_bar&amp;width=385&amp;height=120&amp;START_MAXIMIZED=FALSE&amp;creator=factset&amp;display_string=Audit"}</definedName>
    <definedName name="_2468__FDSAUDITLINK__" hidden="1">{"fdsup://Directions/FactSet Auditing Viewer?action=AUDIT_VALUE&amp;DB=129&amp;ID1=98302410&amp;VALUEID=01001&amp;SDATE=200801&amp;PERIODTYPE=QTR_STD&amp;SCFT=3&amp;window=popup_no_bar&amp;width=385&amp;height=120&amp;START_MAXIMIZED=FALSE&amp;creator=factset&amp;display_string=Audit"}</definedName>
    <definedName name="_2469__FDSAUDITLINK__" hidden="1">{"fdsup://Directions/FactSet Auditing Viewer?action=AUDIT_VALUE&amp;DB=129&amp;ID1=98302410&amp;VALUEID=01001&amp;SDATE=200704&amp;PERIODTYPE=QTR_STD&amp;SCFT=3&amp;window=popup_no_bar&amp;width=385&amp;height=120&amp;START_MAXIMIZED=FALSE&amp;creator=factset&amp;display_string=Audit"}</definedName>
    <definedName name="_247__FDSAUDITLINK__" hidden="1">{"fdsup://directions/FAT%20Viewer?VAR:TM=NTMA&amp;VAR:PCT=0.945205&amp;VAR:Y0=2006&amp;VAR:Y1=2007&amp;VAR:V0=14.689680&amp;VAR:V1=13.494822&amp;VAR:V=14.618755&amp;VAR:AUDIT_ID=00000117&amp;VAR:DATE=20060120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Aggregates&amp;VAR:MEASURE=PE_MEAN&amp;VAR:CALC_MODE=PORTFOLIO&amp;VAR:CHGPERIOD=NA&amp;VAR:FQLFORMULA=FMA_PE&amp;VAR:CURRENCY=USD&amp;VAR:P=1","261.485400&amp;VAR:THRESH=||||||&amp;VAR:null=.html"}</definedName>
    <definedName name="_2470__FDSAUDITLINK__" hidden="1">{"fdsup://Directions/FactSet Auditing Viewer?action=AUDIT_VALUE&amp;DB=129&amp;ID1=98302410&amp;VALUEID=01001&amp;SDATE=200703&amp;PERIODTYPE=QTR_STD&amp;SCFT=3&amp;window=popup_no_bar&amp;width=385&amp;height=120&amp;START_MAXIMIZED=FALSE&amp;creator=factset&amp;display_string=Audit"}</definedName>
    <definedName name="_2471__FDSAUDITLINK__" hidden="1">{"fdsup://Directions/FactSet Auditing Viewer?action=AUDIT_VALUE&amp;DB=129&amp;ID1=80660510&amp;VALUEID=01001&amp;SDATE=200903&amp;PERIODTYPE=QTR_STD&amp;SCFT=3&amp;window=popup_no_bar&amp;width=385&amp;height=120&amp;START_MAXIMIZED=FALSE&amp;creator=factset&amp;display_string=Audit"}</definedName>
    <definedName name="_2472__FDSAUDITLINK__" hidden="1">{"fdsup://Directions/FactSet Auditing Viewer?action=AUDIT_VALUE&amp;DB=129&amp;ID1=80660510&amp;VALUEID=01001&amp;SDATE=200902&amp;PERIODTYPE=QTR_STD&amp;SCFT=3&amp;window=popup_no_bar&amp;width=385&amp;height=120&amp;START_MAXIMIZED=FALSE&amp;creator=factset&amp;display_string=Audit"}</definedName>
    <definedName name="_2473__FDSAUDITLINK__" hidden="1">{"fdsup://Directions/FactSet Auditing Viewer?action=AUDIT_VALUE&amp;DB=129&amp;ID1=80660510&amp;VALUEID=01001&amp;SDATE=200804&amp;PERIODTYPE=QTR_STD&amp;SCFT=3&amp;window=popup_no_bar&amp;width=385&amp;height=120&amp;START_MAXIMIZED=FALSE&amp;creator=factset&amp;display_string=Audit"}</definedName>
    <definedName name="_2474__FDSAUDITLINK__" hidden="1">{"fdsup://Directions/FactSet Auditing Viewer?action=AUDIT_VALUE&amp;DB=129&amp;ID1=80660510&amp;VALUEID=01001&amp;SDATE=200803&amp;PERIODTYPE=QTR_STD&amp;SCFT=3&amp;window=popup_no_bar&amp;width=385&amp;height=120&amp;START_MAXIMIZED=FALSE&amp;creator=factset&amp;display_string=Audit"}</definedName>
    <definedName name="_2475__FDSAUDITLINK__" hidden="1">{"fdsup://Directions/FactSet Auditing Viewer?action=AUDIT_VALUE&amp;DB=129&amp;ID1=80660510&amp;VALUEID=01001&amp;SDATE=200802&amp;PERIODTYPE=QTR_STD&amp;SCFT=3&amp;window=popup_no_bar&amp;width=385&amp;height=120&amp;START_MAXIMIZED=FALSE&amp;creator=factset&amp;display_string=Audit"}</definedName>
    <definedName name="_2476__FDSAUDITLINK__" hidden="1">{"fdsup://Directions/FactSet Auditing Viewer?action=AUDIT_VALUE&amp;DB=129&amp;ID1=80660510&amp;VALUEID=01001&amp;SDATE=200801&amp;PERIODTYPE=QTR_STD&amp;SCFT=3&amp;window=popup_no_bar&amp;width=385&amp;height=120&amp;START_MAXIMIZED=FALSE&amp;creator=factset&amp;display_string=Audit"}</definedName>
    <definedName name="_2477__FDSAUDITLINK__" hidden="1">{"fdsup://Directions/FactSet Auditing Viewer?action=AUDIT_VALUE&amp;DB=129&amp;ID1=80660510&amp;VALUEID=01001&amp;SDATE=200704&amp;PERIODTYPE=QTR_STD&amp;SCFT=3&amp;window=popup_no_bar&amp;width=385&amp;height=120&amp;START_MAXIMIZED=FALSE&amp;creator=factset&amp;display_string=Audit"}</definedName>
    <definedName name="_2478__FDSAUDITLINK__" hidden="1">{"fdsup://directions/FAT Viewer?action=UPDATE&amp;creator=factset&amp;DYN_ARGS=TRUE&amp;DOC_NAME=FAT:FQL_AUDITING_CLIENT_TEMPLATE.FAT&amp;display_string=Audit&amp;VAR:KEY=VKRQTKFUBW&amp;VAR:QUERY=RkZfU0FMRVMoQ0FMLDM5ODEzLCwsLCk=&amp;WINDOW=FIRST_POPUP&amp;HEIGHT=450&amp;WIDTH=450&amp;START_MAXIMI","ZED=FALSE&amp;VAR:CALENDAR=US&amp;VAR:SYMBOL=DNA&amp;VAR:INDEX=0"}</definedName>
    <definedName name="_2479__FDSAUDITLINK__" hidden="1">{"fdsup://directions/FAT Viewer?action=UPDATE&amp;creator=factset&amp;DYN_ARGS=TRUE&amp;DOC_NAME=FAT:FQL_AUDITING_CLIENT_TEMPLATE.FAT&amp;display_string=Audit&amp;VAR:KEY=XEDCREVYZS&amp;VAR:QUERY=RkZfU0FMRVMoQ0FMLDM5NDQ3LCwsLCk=&amp;WINDOW=FIRST_POPUP&amp;HEIGHT=450&amp;WIDTH=450&amp;START_MAXIMI","ZED=FALSE&amp;VAR:CALENDAR=US&amp;VAR:SYMBOL=DNA&amp;VAR:INDEX=0"}</definedName>
    <definedName name="_248__FDSAUDITLINK__" hidden="1">{"fdsup://directions/FAT%20Viewer?VAR:TM=NTMA&amp;VAR:PCT=0.964384&amp;VAR:Y0=2006&amp;VAR:Y1=2007&amp;VAR:V0=14.977968&amp;VAR:V1=13.813888&amp;VAR:V=14.933148&amp;VAR:AUDIT_ID=00000117&amp;VAR:DATE=20060113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Aggregates&amp;VAR:MEASURE=PE_MEAN&amp;VAR:CALC_MODE=PORTFOLIO&amp;VAR:CHGPERIOD=NA&amp;VAR:FQLFORMULA=FMA_PE&amp;VAR:CURRENCY=USD&amp;VAR:P=1","287.605200&amp;VAR:THRESH=||||||&amp;VAR:null=.html"}</definedName>
    <definedName name="_2480__FDSAUDITLINK__" hidden="1">{"fdsup://directions/FAT Viewer?action=UPDATE&amp;creator=factset&amp;DYN_ARGS=TRUE&amp;DOC_NAME=FAT:FQL_AUDITING_CLIENT_TEMPLATE.FAT&amp;display_string=Audit&amp;VAR:KEY=TOXMHYNEDQ&amp;VAR:QUERY=RkZfU0FMRVMoQ0FMLDM5MDgyLCwsLCk=&amp;WINDOW=FIRST_POPUP&amp;HEIGHT=450&amp;WIDTH=450&amp;START_MAXIMI","ZED=FALSE&amp;VAR:CALENDAR=US&amp;VAR:SYMBOL=DNA&amp;VAR:INDEX=0"}</definedName>
    <definedName name="_2481__FDSAUDITLINK__" hidden="1">{"fdsup://directions/FAT Viewer?action=UPDATE&amp;creator=factset&amp;DYN_ARGS=TRUE&amp;DOC_NAME=FAT:FQL_AUDITING_CLIENT_TEMPLATE.FAT&amp;display_string=Audit&amp;VAR:KEY=BKHAJUZULG&amp;VAR:QUERY=RkZfU0FMRVMoQ0FMLDM4NzE3LCwsLCk=&amp;WINDOW=FIRST_POPUP&amp;HEIGHT=450&amp;WIDTH=450&amp;START_MAXIMI","ZED=FALSE&amp;VAR:CALENDAR=US&amp;VAR:SYMBOL=DNA&amp;VAR:INDEX=0"}</definedName>
    <definedName name="_2482__FDSAUDITLINK__" hidden="1">{"fdsup://directions/FAT Viewer?action=UPDATE&amp;creator=factset&amp;DYN_ARGS=TRUE&amp;DOC_NAME=FAT:FQL_AUDITING_CLIENT_TEMPLATE.FAT&amp;display_string=Audit&amp;VAR:KEY=JYZKZGDIFI&amp;VAR:QUERY=RkZfU0FMRVMoQ0FMLDM4MzUyLCwsLCk=&amp;WINDOW=FIRST_POPUP&amp;HEIGHT=450&amp;WIDTH=450&amp;START_MAXIMI","ZED=FALSE&amp;VAR:CALENDAR=US&amp;VAR:SYMBOL=DNA&amp;VAR:INDEX=0"}</definedName>
    <definedName name="_2483__FDSAUDITLINK__" hidden="1">{"fdsup://directions/FAT Viewer?action=UPDATE&amp;creator=factset&amp;DYN_ARGS=TRUE&amp;DOC_NAME=FAT:FQL_AUDITING_CLIENT_TEMPLATE.FAT&amp;display_string=Audit&amp;VAR:KEY=HONSVQVETW&amp;VAR:QUERY=RkZfU0FMRVMoQ0FMLDM5ODEzLCwsLCk=&amp;WINDOW=FIRST_POPUP&amp;HEIGHT=450&amp;WIDTH=450&amp;START_MAXIMI","ZED=FALSE&amp;VAR:CALENDAR=US&amp;VAR:SYMBOL=SGP&amp;VAR:INDEX=0"}</definedName>
    <definedName name="_2484__FDSAUDITLINK__" hidden="1">{"fdsup://directions/FAT Viewer?action=UPDATE&amp;creator=factset&amp;DYN_ARGS=TRUE&amp;DOC_NAME=FAT:FQL_AUDITING_CLIENT_TEMPLATE.FAT&amp;display_string=Audit&amp;VAR:KEY=DGFOTSZMDS&amp;VAR:QUERY=RkZfU0FMRVMoQ0FMLDM5NDQ3LCwsLCk=&amp;WINDOW=FIRST_POPUP&amp;HEIGHT=450&amp;WIDTH=450&amp;START_MAXIMI","ZED=FALSE&amp;VAR:CALENDAR=US&amp;VAR:SYMBOL=SGP&amp;VAR:INDEX=0"}</definedName>
    <definedName name="_2485__FDSAUDITLINK__" hidden="1">{"fdsup://directions/FAT Viewer?action=UPDATE&amp;creator=factset&amp;DYN_ARGS=TRUE&amp;DOC_NAME=FAT:FQL_AUDITING_CLIENT_TEMPLATE.FAT&amp;display_string=Audit&amp;VAR:KEY=RMFKNYHWPS&amp;VAR:QUERY=RkZfU0FMRVMoQ0FMLDM5MDgyLCwsLCk=&amp;WINDOW=FIRST_POPUP&amp;HEIGHT=450&amp;WIDTH=450&amp;START_MAXIMI","ZED=FALSE&amp;VAR:CALENDAR=US&amp;VAR:SYMBOL=SGP&amp;VAR:INDEX=0"}</definedName>
    <definedName name="_2486__FDSAUDITLINK__" hidden="1">{"fdsup://directions/FAT Viewer?action=UPDATE&amp;creator=factset&amp;DYN_ARGS=TRUE&amp;DOC_NAME=FAT:FQL_AUDITING_CLIENT_TEMPLATE.FAT&amp;display_string=Audit&amp;VAR:KEY=DKZQFGPGZY&amp;VAR:QUERY=RkZfU0FMRVMoQ0FMLDM4NzE3LCwsLCk=&amp;WINDOW=FIRST_POPUP&amp;HEIGHT=450&amp;WIDTH=450&amp;START_MAXIMI","ZED=FALSE&amp;VAR:CALENDAR=US&amp;VAR:SYMBOL=SGP&amp;VAR:INDEX=0"}</definedName>
    <definedName name="_2487__FDSAUDITLINK__" hidden="1">{"fdsup://directions/FAT Viewer?action=UPDATE&amp;creator=factset&amp;DYN_ARGS=TRUE&amp;DOC_NAME=FAT:FQL_AUDITING_CLIENT_TEMPLATE.FAT&amp;display_string=Audit&amp;VAR:KEY=BSFAVMVYRK&amp;VAR:QUERY=RkZfU0FMRVMoQ0FMLDM4MzUyLCwsLCk=&amp;WINDOW=FIRST_POPUP&amp;HEIGHT=450&amp;WIDTH=450&amp;START_MAXIMI","ZED=FALSE&amp;VAR:CALENDAR=US&amp;VAR:SYMBOL=SGP&amp;VAR:INDEX=0"}</definedName>
    <definedName name="_2488__FDSAUDITLINK__" hidden="1">{"fdsup://directions/FAT Viewer?action=UPDATE&amp;creator=factset&amp;DYN_ARGS=TRUE&amp;DOC_NAME=FAT:FQL_AUDITING_CLIENT_TEMPLATE.FAT&amp;display_string=Audit&amp;VAR:KEY=VQLSXQNWTQ&amp;VAR:QUERY=RkZfU0FMRVMoQ0FMLDM5ODEzLCwsLCk=&amp;WINDOW=FIRST_POPUP&amp;HEIGHT=450&amp;WIDTH=450&amp;START_MAXIMI","ZED=FALSE&amp;VAR:CALENDAR=US&amp;VAR:SYMBOL=WYE&amp;VAR:INDEX=0"}</definedName>
    <definedName name="_2489__FDSAUDITLINK__" hidden="1">{"fdsup://directions/FAT Viewer?action=UPDATE&amp;creator=factset&amp;DYN_ARGS=TRUE&amp;DOC_NAME=FAT:FQL_AUDITING_CLIENT_TEMPLATE.FAT&amp;display_string=Audit&amp;VAR:KEY=LYBCHAXYFU&amp;VAR:QUERY=RkZfU0FMRVMoQ0FMLDM5NDQ3LCwsLCk=&amp;WINDOW=FIRST_POPUP&amp;HEIGHT=450&amp;WIDTH=450&amp;START_MAXIMI","ZED=FALSE&amp;VAR:CALENDAR=US&amp;VAR:SYMBOL=WYE&amp;VAR:INDEX=0"}</definedName>
    <definedName name="_249__FDSAUDITLINK__" hidden="1">{"fdsup://directions/FAT%20Viewer?VAR:TM=NTMA&amp;VAR:PCT=0.983562&amp;VAR:Y0=2006&amp;VAR:Y1=2007&amp;VAR:V0=14.935958&amp;VAR:V1=13.787340&amp;VAR:V=14.915532&amp;VAR:AUDIT_ID=00000117&amp;VAR:DATE=20060106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Aggregates&amp;VAR:MEASURE=PE_MEAN&amp;VAR:CALC_MODE=PORTFOLIO&amp;VAR:CHGPERIOD=NA&amp;VAR:FQLFORMULA=FMA_PE&amp;VAR:CURRENCY=USD&amp;VAR:P=1","285.453900&amp;VAR:THRESH=||||||&amp;VAR:null=.html"}</definedName>
    <definedName name="_2490__FDSAUDITLINK__" hidden="1">{"fdsup://directions/FAT Viewer?action=UPDATE&amp;creator=factset&amp;DYN_ARGS=TRUE&amp;DOC_NAME=FAT:FQL_AUDITING_CLIENT_TEMPLATE.FAT&amp;display_string=Audit&amp;VAR:KEY=VEPGFILCPM&amp;VAR:QUERY=RkZfU0FMRVMoQ0FMLDM5MDgyLCwsLCk=&amp;WINDOW=FIRST_POPUP&amp;HEIGHT=450&amp;WIDTH=450&amp;START_MAXIMI","ZED=FALSE&amp;VAR:CALENDAR=US&amp;VAR:SYMBOL=WYE&amp;VAR:INDEX=0"}</definedName>
    <definedName name="_2491__FDSAUDITLINK__" hidden="1">{"fdsup://directions/FAT Viewer?action=UPDATE&amp;creator=factset&amp;DYN_ARGS=TRUE&amp;DOC_NAME=FAT:FQL_AUDITING_CLIENT_TEMPLATE.FAT&amp;display_string=Audit&amp;VAR:KEY=LIHSTKLYLI&amp;VAR:QUERY=RkZfU0FMRVMoQ0FMLDM4NzE3LCwsLCk=&amp;WINDOW=FIRST_POPUP&amp;HEIGHT=450&amp;WIDTH=450&amp;START_MAXIMI","ZED=FALSE&amp;VAR:CALENDAR=US&amp;VAR:SYMBOL=WYE&amp;VAR:INDEX=0"}</definedName>
    <definedName name="_2492__FDSAUDITLINK__" hidden="1">{"fdsup://directions/FAT Viewer?action=UPDATE&amp;creator=factset&amp;DYN_ARGS=TRUE&amp;DOC_NAME=FAT:FQL_AUDITING_CLIENT_TEMPLATE.FAT&amp;display_string=Audit&amp;VAR:KEY=ZIFWJMBGTI&amp;VAR:QUERY=RkZfU0FMRVMoQ0FMLDM4MzUyLCwsLCk=&amp;WINDOW=FIRST_POPUP&amp;HEIGHT=450&amp;WIDTH=450&amp;START_MAXIMI","ZED=FALSE&amp;VAR:CALENDAR=US&amp;VAR:SYMBOL=WYE&amp;VAR:INDEX=0"}</definedName>
    <definedName name="_2493__FDSAUDITLINK__" hidden="1">{"fdsup://directions/FAT Viewer?action=UPDATE&amp;creator=factset&amp;DYN_ARGS=TRUE&amp;DOC_NAME=FAT:FQL_AUDITING_CLIENT_TEMPLATE.FAT&amp;display_string=Audit&amp;VAR:KEY=PSFYRIZWZC&amp;VAR:QUERY=RkZfU0FMRVMoQ0FMLDQwNTQzLCwsLFVTRCk=&amp;WINDOW=FIRST_POPUP&amp;HEIGHT=450&amp;WIDTH=450&amp;START_MA","XIMIZED=FALSE&amp;VAR:CALENDAR=US&amp;VAR:SYMBOL=BIIB&amp;VAR:INDEX=0"}</definedName>
    <definedName name="_2494__FDSAUDITLINK__" hidden="1">{"fdsup://directions/FAT Viewer?action=UPDATE&amp;creator=factset&amp;DYN_ARGS=TRUE&amp;DOC_NAME=FAT:FQL_AUDITING_CLIENT_TEMPLATE.FAT&amp;display_string=Audit&amp;VAR:KEY=FULAJKBUXO&amp;VAR:QUERY=RkZfU0FMRVMoQ0FMLDQwNTQzLCwsLFVTRCk=&amp;WINDOW=FIRST_POPUP&amp;HEIGHT=450&amp;WIDTH=450&amp;START_MA","XIMIZED=FALSE&amp;VAR:CALENDAR=US&amp;VAR:SYMBOL=707752&amp;VAR:INDEX=0"}</definedName>
    <definedName name="_2495__FDSAUDITLINK__" hidden="1">{"fdsup://directions/FAT Viewer?action=UPDATE&amp;creator=factset&amp;DYN_ARGS=TRUE&amp;DOC_NAME=FAT:FQL_AUDITING_CLIENT_TEMPLATE.FAT&amp;display_string=Audit&amp;VAR:KEY=RIBWDWRERQ&amp;VAR:QUERY=RkZfU0FMRVMoQ0FMLDQwNTQzLCwsLFVTRCk=&amp;WINDOW=FIRST_POPUP&amp;HEIGHT=450&amp;WIDTH=450&amp;START_MA","XIMIZED=FALSE&amp;VAR:CALENDAR=US&amp;VAR:SYMBOL=630720&amp;VAR:INDEX=0"}</definedName>
    <definedName name="_2496__FDSAUDITLINK__" hidden="1">{"fdsup://directions/FAT Viewer?action=UPDATE&amp;creator=factset&amp;DYN_ARGS=TRUE&amp;DOC_NAME=FAT:FQL_AUDITING_CLIENT_TEMPLATE.FAT&amp;display_string=Audit&amp;VAR:KEY=HGDSFIHCJA&amp;VAR:QUERY=RkZfU0FMRVMoQ0FMLDQwNTQzLCwsLFVTRCk=&amp;WINDOW=FIRST_POPUP&amp;HEIGHT=450&amp;WIDTH=450&amp;START_MA","XIMIZED=FALSE&amp;VAR:CALENDAR=US&amp;VAR:SYMBOL=698538&amp;VAR:INDEX=0"}</definedName>
    <definedName name="_2497__FDSAUDITLINK__" hidden="1">{"fdsup://directions/FAT Viewer?action=UPDATE&amp;creator=factset&amp;DYN_ARGS=TRUE&amp;DOC_NAME=FAT:FQL_AUDITING_CLIENT_TEMPLATE.FAT&amp;display_string=Audit&amp;VAR:KEY=BQFYVIHSFI&amp;VAR:QUERY=RkZfU0FMRVMoQ0FMLDQwNTQzLCwsLFVTRCk=&amp;WINDOW=FIRST_POPUP&amp;HEIGHT=450&amp;WIDTH=450&amp;START_MA","XIMIZED=FALSE&amp;VAR:CALENDAR=US&amp;VAR:SYMBOL=474184&amp;VAR:INDEX=0"}</definedName>
    <definedName name="_2498__FDSAUDITLINK__" hidden="1">{"fdsup://directions/FAT Viewer?action=UPDATE&amp;creator=factset&amp;DYN_ARGS=TRUE&amp;DOC_NAME=FAT:FQL_AUDITING_CLIENT_TEMPLATE.FAT&amp;display_string=Audit&amp;VAR:KEY=FOZCTETIXS&amp;VAR:QUERY=RkZfU0FMRVMoQ0FMLDQwNTQzLCwsLFVTRCk=&amp;WINDOW=FIRST_POPUP&amp;HEIGHT=450&amp;WIDTH=450&amp;START_MA","XIMIZED=FALSE&amp;VAR:CALENDAR=US&amp;VAR:SYMBOL=B0J7D9&amp;VAR:INDEX=0"}</definedName>
    <definedName name="_2499__FDSAUDITLINK__" hidden="1">{"fdsup://directions/FAT Viewer?action=UPDATE&amp;creator=factset&amp;DYN_ARGS=TRUE&amp;DOC_NAME=FAT:FQL_AUDITING_CLIENT_TEMPLATE.FAT&amp;display_string=Audit&amp;VAR:KEY=XWNMHODIRY&amp;VAR:QUERY=RkZfU0FMRVMoQ0FMLDQwNTQzLCwsLFVTRCk=&amp;WINDOW=FIRST_POPUP&amp;HEIGHT=450&amp;WIDTH=450&amp;START_MA","XIMIZED=FALSE&amp;VAR:CALENDAR=US&amp;VAR:SYMBOL=AMGN&amp;VAR:INDEX=0"}</definedName>
    <definedName name="_25__FDSAUDITLINK__" hidden="1">{"fdsup://directions/FAT%20Viewer?VAR:TM=NTMA&amp;VAR:PCT=0.690411&amp;VAR:Y0=2010&amp;VAR:Y1=2011&amp;VAR:V0=14.974249&amp;VAR:V1=12.709889&amp;VAR:V=14.191508&amp;VAR:AUDIT_ID=00000117&amp;VAR:DATE=20100423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Aggregates&amp;VAR:MEASURE=PE_MEAN&amp;VAR:CALC_MODE=PORTFOLIO&amp;VAR:CHGPERIOD=NA&amp;VAR:FQLFORMULA=FMA_PE&amp;VAR:CURRENCY=USD&amp;VAR:P=1","217.275649&amp;VAR:THRESH=||||||&amp;VAR:null=.html"}</definedName>
    <definedName name="_250__FDSAUDITLINK__" hidden="1">{"fdsup://directions/FAT%20Viewer?VAR:TM=NTMA&amp;VAR:PCT=0.002740&amp;VAR:Y0=2005&amp;VAR:Y1=2006&amp;VAR:V0=16.403140&amp;VAR:V1=14.489658&amp;VAR:V=14.494290&amp;VAR:AUDIT_ID=00000117&amp;VAR:DATE=20051230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Aggregates&amp;VAR:MEASURE=PE_MEAN&amp;VAR:CALC_MODE=PORTFOLIO&amp;VAR:CHGPERIOD=NA&amp;VAR:FQLFORMULA=FMA_PE&amp;VAR:CURRENCY=USD&amp;VAR:P=1","248.293000&amp;VAR:THRESH=||||||&amp;VAR:null=.html"}</definedName>
    <definedName name="_2500__FDSAUDITLINK__" hidden="1">{"fdsup://directions/FAT Viewer?action=UPDATE&amp;creator=factset&amp;DYN_ARGS=TRUE&amp;DOC_NAME=FAT:FQL_AUDITING_CLIENT_TEMPLATE.FAT&amp;display_string=Audit&amp;VAR:KEY=PWBYBYZGVC&amp;VAR:QUERY=RkZfU0FMRVMoQ0FMLDQwNTQzLCwsLFVTRCk=&amp;WINDOW=FIRST_POPUP&amp;HEIGHT=450&amp;WIDTH=450&amp;START_MA","XIMIZED=FALSE&amp;VAR:CALENDAR=US&amp;VAR:SYMBOL=ABT&amp;VAR:INDEX=0"}</definedName>
    <definedName name="_2501__FDSAUDITLINK__" hidden="1">{"fdsup://directions/FAT Viewer?action=UPDATE&amp;creator=factset&amp;DYN_ARGS=TRUE&amp;DOC_NAME=FAT:FQL_AUDITING_CLIENT_TEMPLATE.FAT&amp;display_string=Audit&amp;VAR:KEY=HMVWDILITS&amp;VAR:QUERY=RkZfU0FMRVMoQ0FMLDQwNTQzLCwsLFVTRCk=&amp;WINDOW=FIRST_POPUP&amp;HEIGHT=450&amp;WIDTH=450&amp;START_MA","XIMIZED=FALSE&amp;VAR:CALENDAR=US&amp;VAR:SYMBOL=687044&amp;VAR:INDEX=0"}</definedName>
    <definedName name="_2502__FDSAUDITLINK__" hidden="1">{"fdsup://directions/FAT Viewer?action=UPDATE&amp;creator=factset&amp;DYN_ARGS=TRUE&amp;DOC_NAME=FAT:FQL_AUDITING_CLIENT_TEMPLATE.FAT&amp;display_string=Audit&amp;VAR:KEY=DARUTYDUXC&amp;VAR:QUERY=RkZfU0FMRVMoQ0FMLDQwNTQzLCwsLFVTRCk=&amp;WINDOW=FIRST_POPUP&amp;HEIGHT=450&amp;WIDTH=450&amp;START_MA","XIMIZED=FALSE&amp;VAR:CALENDAR=US&amp;VAR:SYMBOL=BMY&amp;VAR:INDEX=0"}</definedName>
    <definedName name="_2503__FDSAUDITLINK__" hidden="1">{"fdsup://directions/FAT Viewer?action=UPDATE&amp;creator=factset&amp;DYN_ARGS=TRUE&amp;DOC_NAME=FAT:FQL_AUDITING_CLIENT_TEMPLATE.FAT&amp;display_string=Audit&amp;VAR:KEY=POPKTAPQJQ&amp;VAR:QUERY=RkZfU0FMRVMoQ0FMLDQwNTQzLCwsLFVTRCk=&amp;WINDOW=FIRST_POPUP&amp;HEIGHT=450&amp;WIDTH=450&amp;START_MA","XIMIZED=FALSE&amp;VAR:CALENDAR=US&amp;VAR:SYMBOL=LLY&amp;VAR:INDEX=0"}</definedName>
    <definedName name="_2504__FDSAUDITLINK__" hidden="1">{"fdsup://directions/FAT Viewer?action=UPDATE&amp;creator=factset&amp;DYN_ARGS=TRUE&amp;DOC_NAME=FAT:FQL_AUDITING_CLIENT_TEMPLATE.FAT&amp;display_string=Audit&amp;VAR:KEY=XOJCXURYNY&amp;VAR:QUERY=RkZfU0FMRVMoQ0FMLDQwNTQzLCwsLFVTRCk=&amp;WINDOW=FIRST_POPUP&amp;HEIGHT=450&amp;WIDTH=450&amp;START_MA","XIMIZED=FALSE&amp;VAR:CALENDAR=US&amp;VAR:SYMBOL=506921&amp;VAR:INDEX=0"}</definedName>
    <definedName name="_2505__FDSAUDITLINK__" hidden="1">{"fdsup://directions/FAT Viewer?action=UPDATE&amp;creator=factset&amp;DYN_ARGS=TRUE&amp;DOC_NAME=FAT:FQL_AUDITING_CLIENT_TEMPLATE.FAT&amp;display_string=Audit&amp;VAR:KEY=VSPKTEVIFI&amp;VAR:QUERY=RkZfU0FMRVMoQ0FMLDQwNTQzLCwsLFVTRCk=&amp;WINDOW=FIRST_POPUP&amp;HEIGHT=450&amp;WIDTH=450&amp;START_MA","XIMIZED=FALSE&amp;VAR:CALENDAR=US&amp;VAR:SYMBOL=567173&amp;VAR:INDEX=0"}</definedName>
    <definedName name="_2506__FDSAUDITLINK__" hidden="1">{"fdsup://directions/FAT Viewer?action=UPDATE&amp;creator=factset&amp;DYN_ARGS=TRUE&amp;DOC_NAME=FAT:FQL_AUDITING_CLIENT_TEMPLATE.FAT&amp;display_string=Audit&amp;VAR:KEY=BCLQRKPMJI&amp;VAR:QUERY=RkZfU0FMRVMoQ0FMLDQwNTQzLCwsLFVTRCk=&amp;WINDOW=FIRST_POPUP&amp;HEIGHT=450&amp;WIDTH=450&amp;START_MA","XIMIZED=FALSE&amp;VAR:CALENDAR=US&amp;VAR:SYMBOL=JNJ&amp;VAR:INDEX=0"}</definedName>
    <definedName name="_2507__FDSAUDITLINK__" hidden="1">{"fdsup://directions/FAT Viewer?action=UPDATE&amp;creator=factset&amp;DYN_ARGS=TRUE&amp;DOC_NAME=FAT:FQL_AUDITING_CLIENT_TEMPLATE.FAT&amp;display_string=Audit&amp;VAR:KEY=VIFKZADUDQ&amp;VAR:QUERY=RkZfU0FMRVMoQ0FMLDQwNTQzLCwsLFVTRCk=&amp;WINDOW=FIRST_POPUP&amp;HEIGHT=450&amp;WIDTH=450&amp;START_MA","XIMIZED=FALSE&amp;VAR:CALENDAR=US&amp;VAR:SYMBOL=710306&amp;VAR:INDEX=0"}</definedName>
    <definedName name="_2508__FDSAUDITLINK__" hidden="1">{"fdsup://directions/FAT Viewer?action=UPDATE&amp;creator=factset&amp;DYN_ARGS=TRUE&amp;DOC_NAME=FAT:FQL_AUDITING_CLIENT_TEMPLATE.FAT&amp;display_string=Audit&amp;VAR:KEY=LUZWFQNOTG&amp;VAR:QUERY=RkZfU0FMRVMoQ0FMLDQwNTQzLCwsLFVTRCk=&amp;WINDOW=FIRST_POPUP&amp;HEIGHT=450&amp;WIDTH=450&amp;START_MA","XIMIZED=FALSE&amp;VAR:CALENDAR=US&amp;VAR:SYMBOL=711038&amp;VAR:INDEX=0"}</definedName>
    <definedName name="_2509__FDSAUDITLINK__" hidden="1">{"fdsup://directions/FAT Viewer?action=UPDATE&amp;creator=factset&amp;DYN_ARGS=TRUE&amp;DOC_NAME=FAT:FQL_AUDITING_CLIENT_TEMPLATE.FAT&amp;display_string=Audit&amp;VAR:KEY=DMDIZURKRI&amp;VAR:QUERY=RkZfU0FMRVMoQ0FMLDQwNTQzLCwsLFVTRCk=&amp;WINDOW=FIRST_POPUP&amp;HEIGHT=450&amp;WIDTH=450&amp;START_MA","XIMIZED=FALSE&amp;VAR:CALENDAR=US&amp;VAR:SYMBOL=MRK&amp;VAR:INDEX=0"}</definedName>
    <definedName name="_251__FDSAUDITLINK__" hidden="1">{"fdsup://directions/FAT%20Viewer?VAR:TM=NTMA&amp;VAR:PCT=0.021918&amp;VAR:Y0=2005&amp;VAR:Y1=2006&amp;VAR:V0=16.664710&amp;VAR:V1=14.727782&amp;VAR:V=14.765397&amp;VAR:AUDIT_ID=00000117&amp;VAR:DATE=20051223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Aggregates&amp;VAR:MEASURE=PE_MEAN&amp;VAR:CALC_MODE=PORTFOLIO&amp;VAR:CHGPERIOD=NA&amp;VAR:FQLFORMULA=FMA_PE&amp;VAR:CURRENCY=USD&amp;VAR:P=1","268.664300&amp;VAR:THRESH=||||||&amp;VAR:null=.html"}</definedName>
    <definedName name="_2510__FDSAUDITLINK__" hidden="1">{"fdsup://directions/FAT Viewer?action=UPDATE&amp;creator=factset&amp;DYN_ARGS=TRUE&amp;DOC_NAME=FAT:FQL_AUDITING_CLIENT_TEMPLATE.FAT&amp;display_string=Audit&amp;VAR:KEY=HGVYHKXCNO&amp;VAR:QUERY=RkZfU0FMRVMoQ0FMLDQwNTQzLCwsLFVTRCk=&amp;WINDOW=FIRST_POPUP&amp;HEIGHT=450&amp;WIDTH=450&amp;START_MA","XIMIZED=FALSE&amp;VAR:CALENDAR=US&amp;VAR:SYMBOL=PFE&amp;VAR:INDEX=0"}</definedName>
    <definedName name="_2511__FDSAUDITLINK__" hidden="1">{"fdsup://directions/FAT Viewer?action=UPDATE&amp;creator=factset&amp;DYN_ARGS=TRUE&amp;DOC_NAME=FAT:FQL_AUDITING_CLIENT_TEMPLATE.FAT&amp;display_string=Audit&amp;VAR:KEY=PYFKPQPOHY&amp;VAR:QUERY=RkZfU0FMRVMoQ0FMLDQwNTQzLCwsLCk=&amp;WINDOW=FIRST_POPUP&amp;HEIGHT=450&amp;WIDTH=450&amp;START_MAXIMI","ZED=FALSE&amp;VAR:CALENDAR=US&amp;VAR:SYMBOL=BIIB&amp;VAR:INDEX=0"}</definedName>
    <definedName name="_2512__FDSAUDITLINK__" hidden="1">{"fdsup://directions/FAT Viewer?action=UPDATE&amp;creator=factset&amp;DYN_ARGS=TRUE&amp;DOC_NAME=FAT:FQL_AUDITING_CLIENT_TEMPLATE.FAT&amp;display_string=Audit&amp;VAR:KEY=ZQLUZKTERW&amp;VAR:QUERY=RkZfU0FMRVMoQ0FMLDQwMTc4LCwsLCk=&amp;WINDOW=FIRST_POPUP&amp;HEIGHT=450&amp;WIDTH=450&amp;START_MAXIMI","ZED=FALSE&amp;VAR:CALENDAR=US&amp;VAR:SYMBOL=BIIB&amp;VAR:INDEX=0"}</definedName>
    <definedName name="_2513__FDSAUDITLINK__" hidden="1">{"fdsup://directions/FAT Viewer?action=UPDATE&amp;creator=factset&amp;DYN_ARGS=TRUE&amp;DOC_NAME=FAT:FQL_AUDITING_CLIENT_TEMPLATE.FAT&amp;display_string=Audit&amp;VAR:KEY=XOLSHCXGBA&amp;VAR:QUERY=RkZfU0FMRVMoQ0FMLDM5ODEzLCwsLCk=&amp;WINDOW=FIRST_POPUP&amp;HEIGHT=450&amp;WIDTH=450&amp;START_MAXIMI","ZED=FALSE&amp;VAR:CALENDAR=US&amp;VAR:SYMBOL=BIIB&amp;VAR:INDEX=0"}</definedName>
    <definedName name="_2514__FDSAUDITLINK__" hidden="1">{"fdsup://directions/FAT Viewer?action=UPDATE&amp;creator=factset&amp;DYN_ARGS=TRUE&amp;DOC_NAME=FAT:FQL_AUDITING_CLIENT_TEMPLATE.FAT&amp;display_string=Audit&amp;VAR:KEY=LYPQBETAZS&amp;VAR:QUERY=RkZfU0FMRVMoQ0FMLDM5NDQ3LCwsLCk=&amp;WINDOW=FIRST_POPUP&amp;HEIGHT=450&amp;WIDTH=450&amp;START_MAXIMI","ZED=FALSE&amp;VAR:CALENDAR=US&amp;VAR:SYMBOL=BIIB&amp;VAR:INDEX=0"}</definedName>
    <definedName name="_2515__FDSAUDITLINK__" hidden="1">{"fdsup://directions/FAT Viewer?action=UPDATE&amp;creator=factset&amp;DYN_ARGS=TRUE&amp;DOC_NAME=FAT:FQL_AUDITING_CLIENT_TEMPLATE.FAT&amp;display_string=Audit&amp;VAR:KEY=ZELAFGHURE&amp;VAR:QUERY=RkZfU0FMRVMoQ0FMLDM5MDgyLCwsLCk=&amp;WINDOW=FIRST_POPUP&amp;HEIGHT=450&amp;WIDTH=450&amp;START_MAXIMI","ZED=FALSE&amp;VAR:CALENDAR=US&amp;VAR:SYMBOL=BIIB&amp;VAR:INDEX=0"}</definedName>
    <definedName name="_2516__FDSAUDITLINK__" hidden="1">{"fdsup://directions/FAT Viewer?action=UPDATE&amp;creator=factset&amp;DYN_ARGS=TRUE&amp;DOC_NAME=FAT:FQL_AUDITING_CLIENT_TEMPLATE.FAT&amp;display_string=Audit&amp;VAR:KEY=JEJEDARGZU&amp;VAR:QUERY=RkZfU0FMRVMoQ0FMLDM4NzE3LCwsLCk=&amp;WINDOW=FIRST_POPUP&amp;HEIGHT=450&amp;WIDTH=450&amp;START_MAXIMI","ZED=FALSE&amp;VAR:CALENDAR=US&amp;VAR:SYMBOL=BIIB&amp;VAR:INDEX=0"}</definedName>
    <definedName name="_2517__FDSAUDITLINK__" hidden="1">{"fdsup://directions/FAT Viewer?action=UPDATE&amp;creator=factset&amp;DYN_ARGS=TRUE&amp;DOC_NAME=FAT:FQL_AUDITING_CLIENT_TEMPLATE.FAT&amp;display_string=Audit&amp;VAR:KEY=BGRMFOVODW&amp;VAR:QUERY=RkZfU0FMRVMoQ0FMLDM4MzUyLCwsLCk=&amp;WINDOW=FIRST_POPUP&amp;HEIGHT=450&amp;WIDTH=450&amp;START_MAXIMI","ZED=FALSE&amp;VAR:CALENDAR=US&amp;VAR:SYMBOL=BIIB&amp;VAR:INDEX=0"}</definedName>
    <definedName name="_2518__FDSAUDITLINK__" hidden="1">{"fdsup://directions/FAT Viewer?action=UPDATE&amp;creator=factset&amp;DYN_ARGS=TRUE&amp;DOC_NAME=FAT:FQL_AUDITING_CLIENT_TEMPLATE.FAT&amp;display_string=Audit&amp;VAR:KEY=PWBSNCLCBA&amp;VAR:QUERY=RkZfU0FMRVMoQ0FMLDQwNTQzLCwsLCk=&amp;WINDOW=FIRST_POPUP&amp;HEIGHT=450&amp;WIDTH=450&amp;START_MAXIMI","ZED=FALSE&amp;VAR:CALENDAR=US&amp;VAR:SYMBOL=707752&amp;VAR:INDEX=0"}</definedName>
    <definedName name="_2519__FDSAUDITLINK__" hidden="1">{"fdsup://directions/FAT Viewer?action=UPDATE&amp;creator=factset&amp;DYN_ARGS=TRUE&amp;DOC_NAME=FAT:FQL_AUDITING_CLIENT_TEMPLATE.FAT&amp;display_string=Audit&amp;VAR:KEY=LUHEVWHCDE&amp;VAR:QUERY=RkZfU0FMRVMoQ0FMLDQwMTc4LCwsLCk=&amp;WINDOW=FIRST_POPUP&amp;HEIGHT=450&amp;WIDTH=450&amp;START_MAXIMI","ZED=FALSE&amp;VAR:CALENDAR=US&amp;VAR:SYMBOL=707752&amp;VAR:INDEX=0"}</definedName>
    <definedName name="_252__FDSAUDITLINK__" hidden="1">{"fdsup://directions/FAT%20Viewer?VAR:TM=NTMA&amp;VAR:PCT=0.041096&amp;VAR:Y0=2005&amp;VAR:Y1=2006&amp;VAR:V0=16.637053&amp;VAR:V1=14.696881&amp;VAR:V=14.767655&amp;VAR:AUDIT_ID=00000117&amp;VAR:DATE=20051216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Aggregates&amp;VAR:MEASURE=PE_MEAN&amp;VAR:CALC_MODE=PORTFOLIO&amp;VAR:CHGPERIOD=NA&amp;VAR:FQLFORMULA=FMA_PE&amp;VAR:CURRENCY=USD&amp;VAR:P=1","267.320100&amp;VAR:THRESH=||||||&amp;VAR:null=.html"}</definedName>
    <definedName name="_2520__FDSAUDITLINK__" hidden="1">{"fdsup://directions/FAT Viewer?action=UPDATE&amp;creator=factset&amp;DYN_ARGS=TRUE&amp;DOC_NAME=FAT:FQL_AUDITING_CLIENT_TEMPLATE.FAT&amp;display_string=Audit&amp;VAR:KEY=JWVKFOHATC&amp;VAR:QUERY=RkZfU0FMRVMoQ0FMLDM5ODEzLCwsLCk=&amp;WINDOW=FIRST_POPUP&amp;HEIGHT=450&amp;WIDTH=450&amp;START_MAXIMI","ZED=FALSE&amp;VAR:CALENDAR=US&amp;VAR:SYMBOL=707752&amp;VAR:INDEX=0"}</definedName>
    <definedName name="_2521__FDSAUDITLINK__" hidden="1">{"fdsup://directions/FAT Viewer?action=UPDATE&amp;creator=factset&amp;DYN_ARGS=TRUE&amp;DOC_NAME=FAT:FQL_AUDITING_CLIENT_TEMPLATE.FAT&amp;display_string=Audit&amp;VAR:KEY=VWHYNKZKRG&amp;VAR:QUERY=RkZfU0FMRVMoQ0FMLDM5NDQ3LCwsLCk=&amp;WINDOW=FIRST_POPUP&amp;HEIGHT=450&amp;WIDTH=450&amp;START_MAXIMI","ZED=FALSE&amp;VAR:CALENDAR=US&amp;VAR:SYMBOL=707752&amp;VAR:INDEX=0"}</definedName>
    <definedName name="_2522__FDSAUDITLINK__" hidden="1">{"fdsup://directions/FAT Viewer?action=UPDATE&amp;creator=factset&amp;DYN_ARGS=TRUE&amp;DOC_NAME=FAT:FQL_AUDITING_CLIENT_TEMPLATE.FAT&amp;display_string=Audit&amp;VAR:KEY=XQPUJIHOVS&amp;VAR:QUERY=RkZfU0FMRVMoQ0FMLDQwNTQzLCwsLCk=&amp;WINDOW=FIRST_POPUP&amp;HEIGHT=450&amp;WIDTH=450&amp;START_MAXIMI","ZED=FALSE&amp;VAR:CALENDAR=US&amp;VAR:SYMBOL=630720&amp;VAR:INDEX=0"}</definedName>
    <definedName name="_2523__FDSAUDITLINK__" hidden="1">{"fdsup://directions/FAT Viewer?action=UPDATE&amp;creator=factset&amp;DYN_ARGS=TRUE&amp;DOC_NAME=FAT:FQL_AUDITING_CLIENT_TEMPLATE.FAT&amp;display_string=Audit&amp;VAR:KEY=ZEHGRSXYRY&amp;VAR:QUERY=RkZfU0FMRVMoQ0FMLDQwMTc4LCwsLCk=&amp;WINDOW=FIRST_POPUP&amp;HEIGHT=450&amp;WIDTH=450&amp;START_MAXIMI","ZED=FALSE&amp;VAR:CALENDAR=US&amp;VAR:SYMBOL=630720&amp;VAR:INDEX=0"}</definedName>
    <definedName name="_2524__FDSAUDITLINK__" hidden="1">{"fdsup://directions/FAT Viewer?action=UPDATE&amp;creator=factset&amp;DYN_ARGS=TRUE&amp;DOC_NAME=FAT:FQL_AUDITING_CLIENT_TEMPLATE.FAT&amp;display_string=Audit&amp;VAR:KEY=HADCZKLKPY&amp;VAR:QUERY=RkZfU0FMRVMoQ0FMLDM5ODEzLCwsLCk=&amp;WINDOW=FIRST_POPUP&amp;HEIGHT=450&amp;WIDTH=450&amp;START_MAXIMI","ZED=FALSE&amp;VAR:CALENDAR=US&amp;VAR:SYMBOL=630720&amp;VAR:INDEX=0"}</definedName>
    <definedName name="_2525__FDSAUDITLINK__" hidden="1">{"fdsup://directions/FAT Viewer?action=UPDATE&amp;creator=factset&amp;DYN_ARGS=TRUE&amp;DOC_NAME=FAT:FQL_AUDITING_CLIENT_TEMPLATE.FAT&amp;display_string=Audit&amp;VAR:KEY=RYPORYFIJI&amp;VAR:QUERY=RkZfU0FMRVMoQ0FMLDM5NDQ3LCwsLCk=&amp;WINDOW=FIRST_POPUP&amp;HEIGHT=450&amp;WIDTH=450&amp;START_MAXIMI","ZED=FALSE&amp;VAR:CALENDAR=US&amp;VAR:SYMBOL=630720&amp;VAR:INDEX=0"}</definedName>
    <definedName name="_2526__FDSAUDITLINK__" hidden="1">{"fdsup://directions/FAT Viewer?action=UPDATE&amp;creator=factset&amp;DYN_ARGS=TRUE&amp;DOC_NAME=FAT:FQL_AUDITING_CLIENT_TEMPLATE.FAT&amp;display_string=Audit&amp;VAR:KEY=XOXAFQPQBU&amp;VAR:QUERY=RkZfU0FMRVMoQ0FMLDM5MDgyLCwsLCk=&amp;WINDOW=FIRST_POPUP&amp;HEIGHT=450&amp;WIDTH=450&amp;START_MAXIMI","ZED=FALSE&amp;VAR:CALENDAR=US&amp;VAR:SYMBOL=630720&amp;VAR:INDEX=0"}</definedName>
    <definedName name="_2527__FDSAUDITLINK__" hidden="1">{"fdsup://directions/FAT Viewer?action=UPDATE&amp;creator=factset&amp;DYN_ARGS=TRUE&amp;DOC_NAME=FAT:FQL_AUDITING_CLIENT_TEMPLATE.FAT&amp;display_string=Audit&amp;VAR:KEY=RWPCRWLQPE&amp;VAR:QUERY=RkZfU0FMRVMoQ0FMLDM4NzE3LCwsLCk=&amp;WINDOW=FIRST_POPUP&amp;HEIGHT=450&amp;WIDTH=450&amp;START_MAXIMI","ZED=FALSE&amp;VAR:CALENDAR=US&amp;VAR:SYMBOL=630720&amp;VAR:INDEX=0"}</definedName>
    <definedName name="_2528__FDSAUDITLINK__" hidden="1">{"fdsup://directions/FAT Viewer?action=UPDATE&amp;creator=factset&amp;DYN_ARGS=TRUE&amp;DOC_NAME=FAT:FQL_AUDITING_CLIENT_TEMPLATE.FAT&amp;display_string=Audit&amp;VAR:KEY=HMVSNIBYDY&amp;VAR:QUERY=RkZfU0FMRVMoQ0FMLDM4MzUyLCwsLCk=&amp;WINDOW=FIRST_POPUP&amp;HEIGHT=450&amp;WIDTH=450&amp;START_MAXIMI","ZED=FALSE&amp;VAR:CALENDAR=US&amp;VAR:SYMBOL=630720&amp;VAR:INDEX=0"}</definedName>
    <definedName name="_2529__FDSAUDITLINK__" hidden="1">{"fdsup://directions/FAT Viewer?action=UPDATE&amp;creator=factset&amp;DYN_ARGS=TRUE&amp;DOC_NAME=FAT:FQL_AUDITING_CLIENT_TEMPLATE.FAT&amp;display_string=Audit&amp;VAR:KEY=FMVKVUFQTO&amp;VAR:QUERY=RkZfU0FMRVMoQ0FMLDM3OTg2LCwsLCk=&amp;WINDOW=FIRST_POPUP&amp;HEIGHT=450&amp;WIDTH=450&amp;START_MAXIMI","ZED=FALSE&amp;VAR:CALENDAR=US&amp;VAR:SYMBOL=630720&amp;VAR:INDEX=0"}</definedName>
    <definedName name="_253__FDSAUDITLINK__" hidden="1">{"fdsup://directions/FAT%20Viewer?VAR:TM=NTMA&amp;VAR:PCT=0.060274&amp;VAR:Y0=2005&amp;VAR:Y1=2006&amp;VAR:V0=16.517815&amp;VAR:V1=14.607119&amp;VAR:V=14.709678&amp;VAR:AUDIT_ID=00000117&amp;VAR:DATE=20051209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Aggregates&amp;VAR:MEASURE=PE_MEAN&amp;VAR:CALC_MODE=PORTFOLIO&amp;VAR:CHGPERIOD=NA&amp;VAR:FQLFORMULA=FMA_PE&amp;VAR:CURRENCY=USD&amp;VAR:P=1","259.369100&amp;VAR:THRESH=||||||&amp;VAR:null=.html"}</definedName>
    <definedName name="_2530__FDSAUDITLINK__" hidden="1">{"fdsup://directions/FAT Viewer?action=UPDATE&amp;creator=factset&amp;DYN_ARGS=TRUE&amp;DOC_NAME=FAT:FQL_AUDITING_CLIENT_TEMPLATE.FAT&amp;display_string=Audit&amp;VAR:KEY=RWZSTULEFE&amp;VAR:QUERY=RkZfU0FMRVMoQ0FMLDQwNTQzLCwsLCk=&amp;WINDOW=FIRST_POPUP&amp;HEIGHT=450&amp;WIDTH=450&amp;START_MAXIMI","ZED=FALSE&amp;VAR:CALENDAR=US&amp;VAR:SYMBOL=698538&amp;VAR:INDEX=0"}</definedName>
    <definedName name="_2531__FDSAUDITLINK__" hidden="1">{"fdsup://directions/FAT Viewer?action=UPDATE&amp;creator=factset&amp;DYN_ARGS=TRUE&amp;DOC_NAME=FAT:FQL_AUDITING_CLIENT_TEMPLATE.FAT&amp;display_string=Audit&amp;VAR:KEY=XENCRATKNY&amp;VAR:QUERY=RkZfU0FMRVMoQ0FMLDQwMTc4LCwsLCk=&amp;WINDOW=FIRST_POPUP&amp;HEIGHT=450&amp;WIDTH=450&amp;START_MAXIMI","ZED=FALSE&amp;VAR:CALENDAR=US&amp;VAR:SYMBOL=698538&amp;VAR:INDEX=0"}</definedName>
    <definedName name="_2532__FDSAUDITLINK__" hidden="1">{"fdsup://directions/FAT Viewer?action=UPDATE&amp;creator=factset&amp;DYN_ARGS=TRUE&amp;DOC_NAME=FAT:FQL_AUDITING_CLIENT_TEMPLATE.FAT&amp;display_string=Audit&amp;VAR:KEY=DGVCLOXWNQ&amp;VAR:QUERY=RkZfU0FMRVMoQ0FMLDM5ODEzLCwsLCk=&amp;WINDOW=FIRST_POPUP&amp;HEIGHT=450&amp;WIDTH=450&amp;START_MAXIMI","ZED=FALSE&amp;VAR:CALENDAR=US&amp;VAR:SYMBOL=698538&amp;VAR:INDEX=0"}</definedName>
    <definedName name="_2533__FDSAUDITLINK__" hidden="1">{"fdsup://directions/FAT Viewer?action=UPDATE&amp;creator=factset&amp;DYN_ARGS=TRUE&amp;DOC_NAME=FAT:FQL_AUDITING_CLIENT_TEMPLATE.FAT&amp;display_string=Audit&amp;VAR:KEY=NGFQXAXQVY&amp;VAR:QUERY=RkZfU0FMRVMoQ0FMLDM5NDQ3LCwsLCk=&amp;WINDOW=FIRST_POPUP&amp;HEIGHT=450&amp;WIDTH=450&amp;START_MAXIMI","ZED=FALSE&amp;VAR:CALENDAR=US&amp;VAR:SYMBOL=698538&amp;VAR:INDEX=0"}</definedName>
    <definedName name="_2534__FDSAUDITLINK__" hidden="1">{"fdsup://directions/FAT Viewer?action=UPDATE&amp;creator=factset&amp;DYN_ARGS=TRUE&amp;DOC_NAME=FAT:FQL_AUDITING_CLIENT_TEMPLATE.FAT&amp;display_string=Audit&amp;VAR:KEY=RYLYJAFOJG&amp;VAR:QUERY=RkZfU0FMRVMoQ0FMLDM5MDgyLCwsLCk=&amp;WINDOW=FIRST_POPUP&amp;HEIGHT=450&amp;WIDTH=450&amp;START_MAXIMI","ZED=FALSE&amp;VAR:CALENDAR=US&amp;VAR:SYMBOL=698538&amp;VAR:INDEX=0"}</definedName>
    <definedName name="_2535__FDSAUDITLINK__" hidden="1">{"fdsup://directions/FAT Viewer?action=UPDATE&amp;creator=factset&amp;DYN_ARGS=TRUE&amp;DOC_NAME=FAT:FQL_AUDITING_CLIENT_TEMPLATE.FAT&amp;display_string=Audit&amp;VAR:KEY=VSLYLYVYLU&amp;VAR:QUERY=RkZfU0FMRVMoQ0FMLDM4NzE3LCwsLCk=&amp;WINDOW=FIRST_POPUP&amp;HEIGHT=450&amp;WIDTH=450&amp;START_MAXIMI","ZED=FALSE&amp;VAR:CALENDAR=US&amp;VAR:SYMBOL=698538&amp;VAR:INDEX=0"}</definedName>
    <definedName name="_2536__FDSAUDITLINK__" hidden="1">{"fdsup://directions/FAT Viewer?action=UPDATE&amp;creator=factset&amp;DYN_ARGS=TRUE&amp;DOC_NAME=FAT:FQL_AUDITING_CLIENT_TEMPLATE.FAT&amp;display_string=Audit&amp;VAR:KEY=ZQTYLIBWXM&amp;VAR:QUERY=RkZfU0FMRVMoQ0FMLDM4MzUyLCwsLCk=&amp;WINDOW=FIRST_POPUP&amp;HEIGHT=450&amp;WIDTH=450&amp;START_MAXIMI","ZED=FALSE&amp;VAR:CALENDAR=US&amp;VAR:SYMBOL=698538&amp;VAR:INDEX=0"}</definedName>
    <definedName name="_2537__FDSAUDITLINK__" hidden="1">{"fdsup://directions/FAT Viewer?action=UPDATE&amp;creator=factset&amp;DYN_ARGS=TRUE&amp;DOC_NAME=FAT:FQL_AUDITING_CLIENT_TEMPLATE.FAT&amp;display_string=Audit&amp;VAR:KEY=ZITUFQLYRU&amp;VAR:QUERY=RkZfU0FMRVMoQ0FMLDM3OTg2LCwsLCk=&amp;WINDOW=FIRST_POPUP&amp;HEIGHT=450&amp;WIDTH=450&amp;START_MAXIMI","ZED=FALSE&amp;VAR:CALENDAR=US&amp;VAR:SYMBOL=698538&amp;VAR:INDEX=0"}</definedName>
    <definedName name="_2538__FDSAUDITLINK__" hidden="1">{"fdsup://directions/FAT Viewer?action=UPDATE&amp;creator=factset&amp;DYN_ARGS=TRUE&amp;DOC_NAME=FAT:FQL_AUDITING_CLIENT_TEMPLATE.FAT&amp;display_string=Audit&amp;VAR:KEY=XOBSPCJCDY&amp;VAR:QUERY=RkZfU0FMRVMoQ0FMLDQwNTQzLCwsLCk=&amp;WINDOW=FIRST_POPUP&amp;HEIGHT=450&amp;WIDTH=450&amp;START_MAXIMI","ZED=FALSE&amp;VAR:CALENDAR=US&amp;VAR:SYMBOL=474184&amp;VAR:INDEX=0"}</definedName>
    <definedName name="_2539__FDSAUDITLINK__" hidden="1">{"fdsup://directions/FAT Viewer?action=UPDATE&amp;creator=factset&amp;DYN_ARGS=TRUE&amp;DOC_NAME=FAT:FQL_AUDITING_CLIENT_TEMPLATE.FAT&amp;display_string=Audit&amp;VAR:KEY=BWJQJSRKZK&amp;VAR:QUERY=RkZfU0FMRVMoQ0FMLDQwMTc4LCwsLCk=&amp;WINDOW=FIRST_POPUP&amp;HEIGHT=450&amp;WIDTH=450&amp;START_MAXIMI","ZED=FALSE&amp;VAR:CALENDAR=US&amp;VAR:SYMBOL=474184&amp;VAR:INDEX=0"}</definedName>
    <definedName name="_254__FDSAUDITLINK__" hidden="1">{"fdsup://directions/FAT%20Viewer?VAR:TM=NTMA&amp;VAR:PCT=0.079452&amp;VAR:Y0=2005&amp;VAR:Y1=2006&amp;VAR:V0=16.548670&amp;VAR:V1=14.692946&amp;VAR:V=14.825030&amp;VAR:AUDIT_ID=00000117&amp;VAR:DATE=20051202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Aggregates&amp;VAR:MEASURE=PE_MEAN&amp;VAR:CALC_MODE=PORTFOLIO&amp;VAR:CHGPERIOD=NA&amp;VAR:FQLFORMULA=FMA_PE&amp;VAR:CURRENCY=USD&amp;VAR:P=1","265.080000&amp;VAR:THRESH=||||||&amp;VAR:null=.html"}</definedName>
    <definedName name="_2540__FDSAUDITLINK__" hidden="1">{"fdsup://directions/FAT Viewer?action=UPDATE&amp;creator=factset&amp;DYN_ARGS=TRUE&amp;DOC_NAME=FAT:FQL_AUDITING_CLIENT_TEMPLATE.FAT&amp;display_string=Audit&amp;VAR:KEY=ROPONUVCBK&amp;VAR:QUERY=RkZfU0FMRVMoQ0FMLDQwNTQzLCwsLCk=&amp;WINDOW=FIRST_POPUP&amp;HEIGHT=450&amp;WIDTH=450&amp;START_MAXIMI","ZED=FALSE&amp;VAR:CALENDAR=US&amp;VAR:SYMBOL=B0J7D9&amp;VAR:INDEX=0"}</definedName>
    <definedName name="_2541__FDSAUDITLINK__" hidden="1">{"fdsup://directions/FAT Viewer?action=UPDATE&amp;creator=factset&amp;DYN_ARGS=TRUE&amp;DOC_NAME=FAT:FQL_AUDITING_CLIENT_TEMPLATE.FAT&amp;display_string=Audit&amp;VAR:KEY=VIFIZWXYVO&amp;VAR:QUERY=RkZfU0FMRVMoQ0FMLDQwMTc4LCwsLCk=&amp;WINDOW=FIRST_POPUP&amp;HEIGHT=450&amp;WIDTH=450&amp;START_MAXIMI","ZED=FALSE&amp;VAR:CALENDAR=US&amp;VAR:SYMBOL=B0J7D9&amp;VAR:INDEX=0"}</definedName>
    <definedName name="_2542__FDSAUDITLINK__" hidden="1">{"fdsup://directions/FAT Viewer?action=UPDATE&amp;creator=factset&amp;DYN_ARGS=TRUE&amp;DOC_NAME=FAT:FQL_AUDITING_CLIENT_TEMPLATE.FAT&amp;display_string=Audit&amp;VAR:KEY=TYZOXMTCDS&amp;VAR:QUERY=RkZfU0FMRVMoQ0FMLDM5ODEzLCwsLCk=&amp;WINDOW=FIRST_POPUP&amp;HEIGHT=450&amp;WIDTH=450&amp;START_MAXIMI","ZED=FALSE&amp;VAR:CALENDAR=US&amp;VAR:SYMBOL=B0J7D9&amp;VAR:INDEX=0"}</definedName>
    <definedName name="_2543__FDSAUDITLINK__" hidden="1">{"fdsup://directions/FAT Viewer?action=UPDATE&amp;creator=factset&amp;DYN_ARGS=TRUE&amp;DOC_NAME=FAT:FQL_AUDITING_CLIENT_TEMPLATE.FAT&amp;display_string=Audit&amp;VAR:KEY=RCLWNAZUVM&amp;VAR:QUERY=RkZfU0FMRVMoQ0FMLDM5NDQ3LCwsLCk=&amp;WINDOW=FIRST_POPUP&amp;HEIGHT=450&amp;WIDTH=450&amp;START_MAXIMI","ZED=FALSE&amp;VAR:CALENDAR=US&amp;VAR:SYMBOL=B0J7D9&amp;VAR:INDEX=0"}</definedName>
    <definedName name="_2544__FDSAUDITLINK__" hidden="1">{"fdsup://directions/FAT Viewer?action=UPDATE&amp;creator=factset&amp;DYN_ARGS=TRUE&amp;DOC_NAME=FAT:FQL_AUDITING_CLIENT_TEMPLATE.FAT&amp;display_string=Audit&amp;VAR:KEY=VYFIHMHMZI&amp;VAR:QUERY=RkZfU0FMRVMoQ0FMLDM5MDgyLCwsLCk=&amp;WINDOW=FIRST_POPUP&amp;HEIGHT=450&amp;WIDTH=450&amp;START_MAXIMI","ZED=FALSE&amp;VAR:CALENDAR=US&amp;VAR:SYMBOL=B0J7D9&amp;VAR:INDEX=0"}</definedName>
    <definedName name="_2545__FDSAUDITLINK__" hidden="1">{"fdsup://directions/FAT Viewer?action=UPDATE&amp;creator=factset&amp;DYN_ARGS=TRUE&amp;DOC_NAME=FAT:FQL_AUDITING_CLIENT_TEMPLATE.FAT&amp;display_string=Audit&amp;VAR:KEY=RATYXOVERC&amp;VAR:QUERY=RkZfU0FMRVMoQ0FMLDM4NzE3LCwsLCk=&amp;WINDOW=FIRST_POPUP&amp;HEIGHT=450&amp;WIDTH=450&amp;START_MAXIMI","ZED=FALSE&amp;VAR:CALENDAR=US&amp;VAR:SYMBOL=B0J7D9&amp;VAR:INDEX=0"}</definedName>
    <definedName name="_2546__FDSAUDITLINK__" hidden="1">{"fdsup://directions/FAT Viewer?action=UPDATE&amp;creator=factset&amp;DYN_ARGS=TRUE&amp;DOC_NAME=FAT:FQL_AUDITING_CLIENT_TEMPLATE.FAT&amp;display_string=Audit&amp;VAR:KEY=HEROTQBOTS&amp;VAR:QUERY=RkZfU0FMRVMoQ0FMLDM4MzUyLCwsLCk=&amp;WINDOW=FIRST_POPUP&amp;HEIGHT=450&amp;WIDTH=450&amp;START_MAXIMI","ZED=FALSE&amp;VAR:CALENDAR=US&amp;VAR:SYMBOL=B0J7D9&amp;VAR:INDEX=0"}</definedName>
    <definedName name="_2547__FDSAUDITLINK__" hidden="1">{"fdsup://directions/FAT Viewer?action=UPDATE&amp;creator=factset&amp;DYN_ARGS=TRUE&amp;DOC_NAME=FAT:FQL_AUDITING_CLIENT_TEMPLATE.FAT&amp;display_string=Audit&amp;VAR:KEY=JAZQJETKLY&amp;VAR:QUERY=RkZfU0FMRVMoQ0FMLDM3OTg2LCwsLCk=&amp;WINDOW=FIRST_POPUP&amp;HEIGHT=450&amp;WIDTH=450&amp;START_MAXIMI","ZED=FALSE&amp;VAR:CALENDAR=US&amp;VAR:SYMBOL=B0J7D9&amp;VAR:INDEX=0"}</definedName>
    <definedName name="_2548__FDSAUDITLINK__" hidden="1">{"fdsup://directions/FAT Viewer?action=UPDATE&amp;creator=factset&amp;DYN_ARGS=TRUE&amp;DOC_NAME=FAT:FQL_AUDITING_CLIENT_TEMPLATE.FAT&amp;display_string=Audit&amp;VAR:KEY=NIXKXSZYJO&amp;VAR:QUERY=RkZfU0FMRVMoQ0FMLDQwNTQzLCwsLCk=&amp;WINDOW=FIRST_POPUP&amp;HEIGHT=450&amp;WIDTH=450&amp;START_MAXIMI","ZED=FALSE&amp;VAR:CALENDAR=US&amp;VAR:SYMBOL=AMGN&amp;VAR:INDEX=0"}</definedName>
    <definedName name="_2549__FDSAUDITLINK__" hidden="1">{"fdsup://directions/FAT Viewer?action=UPDATE&amp;creator=factset&amp;DYN_ARGS=TRUE&amp;DOC_NAME=FAT:FQL_AUDITING_CLIENT_TEMPLATE.FAT&amp;display_string=Audit&amp;VAR:KEY=PSHENMBWRU&amp;VAR:QUERY=RkZfU0FMRVMoQ0FMLDQwMTc4LCwsLCk=&amp;WINDOW=FIRST_POPUP&amp;HEIGHT=450&amp;WIDTH=450&amp;START_MAXIMI","ZED=FALSE&amp;VAR:CALENDAR=US&amp;VAR:SYMBOL=AMGN&amp;VAR:INDEX=0"}</definedName>
    <definedName name="_255__FDSAUDITLINK__" hidden="1">{"fdsup://directions/FAT%20Viewer?VAR:TM=NTMA&amp;VAR:PCT=0.098630&amp;VAR:Y0=2005&amp;VAR:Y1=2006&amp;VAR:V0=16.604923&amp;VAR:V1=14.739944&amp;VAR:V=14.905056&amp;VAR:AUDIT_ID=00000117&amp;VAR:DATE=20051125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Aggregates&amp;VAR:MEASURE=PE_MEAN&amp;VAR:CALC_MODE=PORTFOLIO&amp;VAR:CHGPERIOD=NA&amp;VAR:FQLFORMULA=FMA_PE&amp;VAR:CURRENCY=USD&amp;VAR:P=1","268.249600&amp;VAR:THRESH=||||||&amp;VAR:null=.html"}</definedName>
    <definedName name="_2550__FDSAUDITLINK__" hidden="1">{"fdsup://directions/FAT Viewer?action=UPDATE&amp;creator=factset&amp;DYN_ARGS=TRUE&amp;DOC_NAME=FAT:FQL_AUDITING_CLIENT_TEMPLATE.FAT&amp;display_string=Audit&amp;VAR:KEY=HAHEZKBKHG&amp;VAR:QUERY=RkZfU0FMRVMoQ0FMLDM5ODEzLCwsLCk=&amp;WINDOW=FIRST_POPUP&amp;HEIGHT=450&amp;WIDTH=450&amp;START_MAXIMI","ZED=FALSE&amp;VAR:CALENDAR=US&amp;VAR:SYMBOL=AMGN&amp;VAR:INDEX=0"}</definedName>
    <definedName name="_2551__FDSAUDITLINK__" hidden="1">{"fdsup://directions/FAT Viewer?action=UPDATE&amp;creator=factset&amp;DYN_ARGS=TRUE&amp;DOC_NAME=FAT:FQL_AUDITING_CLIENT_TEMPLATE.FAT&amp;display_string=Audit&amp;VAR:KEY=PGJOVCLGBS&amp;VAR:QUERY=RkZfU0FMRVMoQ0FMLDM5NDQ3LCwsLCk=&amp;WINDOW=FIRST_POPUP&amp;HEIGHT=450&amp;WIDTH=450&amp;START_MAXIMI","ZED=FALSE&amp;VAR:CALENDAR=US&amp;VAR:SYMBOL=AMGN&amp;VAR:INDEX=0"}</definedName>
    <definedName name="_2552__FDSAUDITLINK__" hidden="1">{"fdsup://directions/FAT Viewer?action=UPDATE&amp;creator=factset&amp;DYN_ARGS=TRUE&amp;DOC_NAME=FAT:FQL_AUDITING_CLIENT_TEMPLATE.FAT&amp;display_string=Audit&amp;VAR:KEY=FYXGXAXURW&amp;VAR:QUERY=RkZfU0FMRVMoQ0FMLDM5MDgyLCwsLCk=&amp;WINDOW=FIRST_POPUP&amp;HEIGHT=450&amp;WIDTH=450&amp;START_MAXIMI","ZED=FALSE&amp;VAR:CALENDAR=US&amp;VAR:SYMBOL=AMGN&amp;VAR:INDEX=0"}</definedName>
    <definedName name="_2553__FDSAUDITLINK__" hidden="1">{"fdsup://directions/FAT Viewer?action=UPDATE&amp;creator=factset&amp;DYN_ARGS=TRUE&amp;DOC_NAME=FAT:FQL_AUDITING_CLIENT_TEMPLATE.FAT&amp;display_string=Audit&amp;VAR:KEY=VADUDGDYFA&amp;VAR:QUERY=RkZfU0FMRVMoQ0FMLDM4NzE3LCwsLCk=&amp;WINDOW=FIRST_POPUP&amp;HEIGHT=450&amp;WIDTH=450&amp;START_MAXIMI","ZED=FALSE&amp;VAR:CALENDAR=US&amp;VAR:SYMBOL=AMGN&amp;VAR:INDEX=0"}</definedName>
    <definedName name="_2554__FDSAUDITLINK__" hidden="1">{"fdsup://directions/FAT Viewer?action=UPDATE&amp;creator=factset&amp;DYN_ARGS=TRUE&amp;DOC_NAME=FAT:FQL_AUDITING_CLIENT_TEMPLATE.FAT&amp;display_string=Audit&amp;VAR:KEY=FKDOZAJURW&amp;VAR:QUERY=RkZfU0FMRVMoQ0FMLDM4MzUyLCwsLCk=&amp;WINDOW=FIRST_POPUP&amp;HEIGHT=450&amp;WIDTH=450&amp;START_MAXIMI","ZED=FALSE&amp;VAR:CALENDAR=US&amp;VAR:SYMBOL=AMGN&amp;VAR:INDEX=0"}</definedName>
    <definedName name="_2555__FDSAUDITLINK__" hidden="1">{"fdsup://directions/FAT Viewer?action=UPDATE&amp;creator=factset&amp;DYN_ARGS=TRUE&amp;DOC_NAME=FAT:FQL_AUDITING_CLIENT_TEMPLATE.FAT&amp;display_string=Audit&amp;VAR:KEY=LULCDIVYJK&amp;VAR:QUERY=RkZfU0FMRVMoQ0FMLDQwNTQzLCwsLCk=&amp;WINDOW=FIRST_POPUP&amp;HEIGHT=450&amp;WIDTH=450&amp;START_MAXIMI","ZED=FALSE&amp;VAR:CALENDAR=US&amp;VAR:SYMBOL=ABT&amp;VAR:INDEX=0"}</definedName>
    <definedName name="_2556__FDSAUDITLINK__" hidden="1">{"fdsup://directions/FAT Viewer?action=UPDATE&amp;creator=factset&amp;DYN_ARGS=TRUE&amp;DOC_NAME=FAT:FQL_AUDITING_CLIENT_TEMPLATE.FAT&amp;display_string=Audit&amp;VAR:KEY=XIHAFGFYLU&amp;VAR:QUERY=RkZfU0FMRVMoQ0FMLDQwMTc4LCwsLCk=&amp;WINDOW=FIRST_POPUP&amp;HEIGHT=450&amp;WIDTH=450&amp;START_MAXIMI","ZED=FALSE&amp;VAR:CALENDAR=US&amp;VAR:SYMBOL=ABT&amp;VAR:INDEX=0"}</definedName>
    <definedName name="_2557__FDSAUDITLINK__" hidden="1">{"fdsup://directions/FAT Viewer?action=UPDATE&amp;creator=factset&amp;DYN_ARGS=TRUE&amp;DOC_NAME=FAT:FQL_AUDITING_CLIENT_TEMPLATE.FAT&amp;display_string=Audit&amp;VAR:KEY=FAFWNGJOZC&amp;VAR:QUERY=RkZfU0FMRVMoQ0FMLDM5ODEzLCwsLCk=&amp;WINDOW=FIRST_POPUP&amp;HEIGHT=450&amp;WIDTH=450&amp;START_MAXIMI","ZED=FALSE&amp;VAR:CALENDAR=US&amp;VAR:SYMBOL=ABT&amp;VAR:INDEX=0"}</definedName>
    <definedName name="_2558__FDSAUDITLINK__" hidden="1">{"fdsup://directions/FAT Viewer?action=UPDATE&amp;creator=factset&amp;DYN_ARGS=TRUE&amp;DOC_NAME=FAT:FQL_AUDITING_CLIENT_TEMPLATE.FAT&amp;display_string=Audit&amp;VAR:KEY=VOVAHWRMBQ&amp;VAR:QUERY=RkZfU0FMRVMoQ0FMLDM5NDQ3LCwsLCk=&amp;WINDOW=FIRST_POPUP&amp;HEIGHT=450&amp;WIDTH=450&amp;START_MAXIMI","ZED=FALSE&amp;VAR:CALENDAR=US&amp;VAR:SYMBOL=ABT&amp;VAR:INDEX=0"}</definedName>
    <definedName name="_2559__FDSAUDITLINK__" hidden="1">{"fdsup://directions/FAT Viewer?action=UPDATE&amp;creator=factset&amp;DYN_ARGS=TRUE&amp;DOC_NAME=FAT:FQL_AUDITING_CLIENT_TEMPLATE.FAT&amp;display_string=Audit&amp;VAR:KEY=JIZSHKHCLG&amp;VAR:QUERY=RkZfU0FMRVMoQ0FMLDM5MDgyLCwsLCk=&amp;WINDOW=FIRST_POPUP&amp;HEIGHT=450&amp;WIDTH=450&amp;START_MAXIMI","ZED=FALSE&amp;VAR:CALENDAR=US&amp;VAR:SYMBOL=ABT&amp;VAR:INDEX=0"}</definedName>
    <definedName name="_256__FDSAUDITLINK__" hidden="1">{"fdsup://directions/FAT%20Viewer?VAR:TM=NTMA&amp;VAR:PCT=0.117808&amp;VAR:Y0=2005&amp;VAR:Y1=2006&amp;VAR:V0=16.269527&amp;VAR:V1=14.489858&amp;VAR:V=14.679021&amp;VAR:AUDIT_ID=00000117&amp;VAR:DATE=20051118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Aggregates&amp;VAR:MEASURE=PE_MEAN&amp;VAR:CALC_MODE=PORTFOLIO&amp;VAR:CHGPERIOD=NA&amp;VAR:FQLFORMULA=FMA_PE&amp;VAR:CURRENCY=USD&amp;VAR:P=1","248.272800&amp;VAR:THRESH=||||||&amp;VAR:null=.html"}</definedName>
    <definedName name="_2560__FDSAUDITLINK__" hidden="1">{"fdsup://directions/FAT Viewer?action=UPDATE&amp;creator=factset&amp;DYN_ARGS=TRUE&amp;DOC_NAME=FAT:FQL_AUDITING_CLIENT_TEMPLATE.FAT&amp;display_string=Audit&amp;VAR:KEY=HGLONMHIHO&amp;VAR:QUERY=RkZfU0FMRVMoQ0FMLDM4NzE3LCwsLCk=&amp;WINDOW=FIRST_POPUP&amp;HEIGHT=450&amp;WIDTH=450&amp;START_MAXIMI","ZED=FALSE&amp;VAR:CALENDAR=US&amp;VAR:SYMBOL=ABT&amp;VAR:INDEX=0"}</definedName>
    <definedName name="_2561__FDSAUDITLINK__" hidden="1">{"fdsup://directions/FAT Viewer?action=UPDATE&amp;creator=factset&amp;DYN_ARGS=TRUE&amp;DOC_NAME=FAT:FQL_AUDITING_CLIENT_TEMPLATE.FAT&amp;display_string=Audit&amp;VAR:KEY=PMFYHUFOJW&amp;VAR:QUERY=RkZfU0FMRVMoQ0FMLDM4MzUyLCwsLCk=&amp;WINDOW=FIRST_POPUP&amp;HEIGHT=450&amp;WIDTH=450&amp;START_MAXIMI","ZED=FALSE&amp;VAR:CALENDAR=US&amp;VAR:SYMBOL=ABT&amp;VAR:INDEX=0"}</definedName>
    <definedName name="_2562__FDSAUDITLINK__" hidden="1">{"fdsup://directions/FAT Viewer?action=UPDATE&amp;creator=factset&amp;DYN_ARGS=TRUE&amp;DOC_NAME=FAT:FQL_AUDITING_CLIENT_TEMPLATE.FAT&amp;display_string=Audit&amp;VAR:KEY=FGVODQPWLQ&amp;VAR:QUERY=RkZfU0FMRVMoQ0FMLDQwNTQzLCwsLCk=&amp;WINDOW=FIRST_POPUP&amp;HEIGHT=450&amp;WIDTH=450&amp;START_MAXIMI","ZED=FALSE&amp;VAR:CALENDAR=US&amp;VAR:SYMBOL=687044&amp;VAR:INDEX=0"}</definedName>
    <definedName name="_2563__FDSAUDITLINK__" hidden="1">{"fdsup://directions/FAT Viewer?action=UPDATE&amp;creator=factset&amp;DYN_ARGS=TRUE&amp;DOC_NAME=FAT:FQL_AUDITING_CLIENT_TEMPLATE.FAT&amp;display_string=Audit&amp;VAR:KEY=NGJYDUXCVO&amp;VAR:QUERY=RkZfU0FMRVMoQ0FMLDQwMTc4LCwsLCk=&amp;WINDOW=FIRST_POPUP&amp;HEIGHT=450&amp;WIDTH=450&amp;START_MAXIMI","ZED=FALSE&amp;VAR:CALENDAR=US&amp;VAR:SYMBOL=687044&amp;VAR:INDEX=0"}</definedName>
    <definedName name="_2564__FDSAUDITLINK__" hidden="1">{"fdsup://directions/FAT Viewer?action=UPDATE&amp;creator=factset&amp;DYN_ARGS=TRUE&amp;DOC_NAME=FAT:FQL_AUDITING_CLIENT_TEMPLATE.FAT&amp;display_string=Audit&amp;VAR:KEY=NWVWHILSTA&amp;VAR:QUERY=RkZfU0FMRVMoQ0FMLDM5ODEzLCwsLCk=&amp;WINDOW=FIRST_POPUP&amp;HEIGHT=450&amp;WIDTH=450&amp;START_MAXIMI","ZED=FALSE&amp;VAR:CALENDAR=US&amp;VAR:SYMBOL=687044&amp;VAR:INDEX=0"}</definedName>
    <definedName name="_2565__FDSAUDITLINK__" hidden="1">{"fdsup://directions/FAT Viewer?action=UPDATE&amp;creator=factset&amp;DYN_ARGS=TRUE&amp;DOC_NAME=FAT:FQL_AUDITING_CLIENT_TEMPLATE.FAT&amp;display_string=Audit&amp;VAR:KEY=LANUXGTUJE&amp;VAR:QUERY=RkZfU0FMRVMoQ0FMLDM5NDQ3LCwsLCk=&amp;WINDOW=FIRST_POPUP&amp;HEIGHT=450&amp;WIDTH=450&amp;START_MAXIMI","ZED=FALSE&amp;VAR:CALENDAR=US&amp;VAR:SYMBOL=687044&amp;VAR:INDEX=0"}</definedName>
    <definedName name="_2566__FDSAUDITLINK__" hidden="1">{"fdsup://directions/FAT Viewer?action=UPDATE&amp;creator=factset&amp;DYN_ARGS=TRUE&amp;DOC_NAME=FAT:FQL_AUDITING_CLIENT_TEMPLATE.FAT&amp;display_string=Audit&amp;VAR:KEY=VMNWLAFAZG&amp;VAR:QUERY=RkZfU0FMRVMoQ0FMLDM5MDgyLCwsLCk=&amp;WINDOW=FIRST_POPUP&amp;HEIGHT=450&amp;WIDTH=450&amp;START_MAXIMI","ZED=FALSE&amp;VAR:CALENDAR=US&amp;VAR:SYMBOL=687044&amp;VAR:INDEX=0"}</definedName>
    <definedName name="_2567__FDSAUDITLINK__" hidden="1">{"fdsup://directions/FAT Viewer?action=UPDATE&amp;creator=factset&amp;DYN_ARGS=TRUE&amp;DOC_NAME=FAT:FQL_AUDITING_CLIENT_TEMPLATE.FAT&amp;display_string=Audit&amp;VAR:KEY=VUHEZEHYDS&amp;VAR:QUERY=RkZfU0FMRVMoQ0FMLDM4NzE3LCwsLCk=&amp;WINDOW=FIRST_POPUP&amp;HEIGHT=450&amp;WIDTH=450&amp;START_MAXIMI","ZED=FALSE&amp;VAR:CALENDAR=US&amp;VAR:SYMBOL=687044&amp;VAR:INDEX=0"}</definedName>
    <definedName name="_2568__FDSAUDITLINK__" hidden="1">{"fdsup://directions/FAT Viewer?action=UPDATE&amp;creator=factset&amp;DYN_ARGS=TRUE&amp;DOC_NAME=FAT:FQL_AUDITING_CLIENT_TEMPLATE.FAT&amp;display_string=Audit&amp;VAR:KEY=VEBOPIBOXG&amp;VAR:QUERY=RkZfU0FMRVMoQ0FMLDM4MzUyLCwsLCk=&amp;WINDOW=FIRST_POPUP&amp;HEIGHT=450&amp;WIDTH=450&amp;START_MAXIMI","ZED=FALSE&amp;VAR:CALENDAR=US&amp;VAR:SYMBOL=687044&amp;VAR:INDEX=0"}</definedName>
    <definedName name="_2569__FDSAUDITLINK__" hidden="1">{"fdsup://directions/FAT Viewer?action=UPDATE&amp;creator=factset&amp;DYN_ARGS=TRUE&amp;DOC_NAME=FAT:FQL_AUDITING_CLIENT_TEMPLATE.FAT&amp;display_string=Audit&amp;VAR:KEY=TWJGRYHSBC&amp;VAR:QUERY=RkZfU0FMRVMoQ0FMLDM3OTg2LCwsLCk=&amp;WINDOW=FIRST_POPUP&amp;HEIGHT=450&amp;WIDTH=450&amp;START_MAXIMI","ZED=FALSE&amp;VAR:CALENDAR=US&amp;VAR:SYMBOL=687044&amp;VAR:INDEX=0"}</definedName>
    <definedName name="_257__FDSAUDITLINK__" hidden="1">{"fdsup://directions/FAT%20Viewer?VAR:TM=NTMA&amp;VAR:PCT=0.136986&amp;VAR:Y0=2005&amp;VAR:Y1=2006&amp;VAR:V0=16.087540&amp;VAR:V1=14.332406&amp;VAR:V=14.549855&amp;VAR:AUDIT_ID=00000117&amp;VAR:DATE=20051111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Aggregates&amp;VAR:MEASURE=PE_MEAN&amp;VAR:CALC_MODE=PORTFOLIO&amp;VAR:CHGPERIOD=NA&amp;VAR:FQLFORMULA=FMA_PE&amp;VAR:CURRENCY=USD&amp;VAR:P=1","234.715500&amp;VAR:THRESH=||||||&amp;VAR:null=.html"}</definedName>
    <definedName name="_2570__FDSAUDITLINK__" hidden="1">{"fdsup://directions/FAT Viewer?action=UPDATE&amp;creator=factset&amp;DYN_ARGS=TRUE&amp;DOC_NAME=FAT:FQL_AUDITING_CLIENT_TEMPLATE.FAT&amp;display_string=Audit&amp;VAR:KEY=NMJKXQRIPK&amp;VAR:QUERY=RkZfU0FMRVMoQ0FMLDQwNTQzLCwsLCk=&amp;WINDOW=FIRST_POPUP&amp;HEIGHT=450&amp;WIDTH=450&amp;START_MAXIMI","ZED=FALSE&amp;VAR:CALENDAR=US&amp;VAR:SYMBOL=BMY&amp;VAR:INDEX=0"}</definedName>
    <definedName name="_2571__FDSAUDITLINK__" hidden="1">{"fdsup://directions/FAT Viewer?action=UPDATE&amp;creator=factset&amp;DYN_ARGS=TRUE&amp;DOC_NAME=FAT:FQL_AUDITING_CLIENT_TEMPLATE.FAT&amp;display_string=Audit&amp;VAR:KEY=BUJIHQJYLA&amp;VAR:QUERY=RkZfU0FMRVMoQ0FMLDQwMTc4LCwsLCk=&amp;WINDOW=FIRST_POPUP&amp;HEIGHT=450&amp;WIDTH=450&amp;START_MAXIMI","ZED=FALSE&amp;VAR:CALENDAR=US&amp;VAR:SYMBOL=BMY&amp;VAR:INDEX=0"}</definedName>
    <definedName name="_2572__FDSAUDITLINK__" hidden="1">{"fdsup://directions/FAT Viewer?action=UPDATE&amp;creator=factset&amp;DYN_ARGS=TRUE&amp;DOC_NAME=FAT:FQL_AUDITING_CLIENT_TEMPLATE.FAT&amp;display_string=Audit&amp;VAR:KEY=JIDAXAJARK&amp;VAR:QUERY=RkZfU0FMRVMoQ0FMLDM5ODEzLCwsLCk=&amp;WINDOW=FIRST_POPUP&amp;HEIGHT=450&amp;WIDTH=450&amp;START_MAXIMI","ZED=FALSE&amp;VAR:CALENDAR=US&amp;VAR:SYMBOL=BMY&amp;VAR:INDEX=0"}</definedName>
    <definedName name="_2573__FDSAUDITLINK__" hidden="1">{"fdsup://directions/FAT Viewer?action=UPDATE&amp;creator=factset&amp;DYN_ARGS=TRUE&amp;DOC_NAME=FAT:FQL_AUDITING_CLIENT_TEMPLATE.FAT&amp;display_string=Audit&amp;VAR:KEY=FGNGDYBWJI&amp;VAR:QUERY=RkZfU0FMRVMoQ0FMLDM5NDQ3LCwsLCk=&amp;WINDOW=FIRST_POPUP&amp;HEIGHT=450&amp;WIDTH=450&amp;START_MAXIMI","ZED=FALSE&amp;VAR:CALENDAR=US&amp;VAR:SYMBOL=BMY&amp;VAR:INDEX=0"}</definedName>
    <definedName name="_2574__FDSAUDITLINK__" hidden="1">{"fdsup://directions/FAT Viewer?action=UPDATE&amp;creator=factset&amp;DYN_ARGS=TRUE&amp;DOC_NAME=FAT:FQL_AUDITING_CLIENT_TEMPLATE.FAT&amp;display_string=Audit&amp;VAR:KEY=ZEPMHOTKTQ&amp;VAR:QUERY=RkZfU0FMRVMoQ0FMLDM5MDgyLCwsLCk=&amp;WINDOW=FIRST_POPUP&amp;HEIGHT=450&amp;WIDTH=450&amp;START_MAXIMI","ZED=FALSE&amp;VAR:CALENDAR=US&amp;VAR:SYMBOL=BMY&amp;VAR:INDEX=0"}</definedName>
    <definedName name="_2575__FDSAUDITLINK__" hidden="1">{"fdsup://directions/FAT Viewer?action=UPDATE&amp;creator=factset&amp;DYN_ARGS=TRUE&amp;DOC_NAME=FAT:FQL_AUDITING_CLIENT_TEMPLATE.FAT&amp;display_string=Audit&amp;VAR:KEY=ZSRUVKHGFO&amp;VAR:QUERY=RkZfU0FMRVMoQ0FMLDM4NzE3LCwsLCk=&amp;WINDOW=FIRST_POPUP&amp;HEIGHT=450&amp;WIDTH=450&amp;START_MAXIMI","ZED=FALSE&amp;VAR:CALENDAR=US&amp;VAR:SYMBOL=BMY&amp;VAR:INDEX=0"}</definedName>
    <definedName name="_2576__FDSAUDITLINK__" hidden="1">{"fdsup://directions/FAT Viewer?action=UPDATE&amp;creator=factset&amp;DYN_ARGS=TRUE&amp;DOC_NAME=FAT:FQL_AUDITING_CLIENT_TEMPLATE.FAT&amp;display_string=Audit&amp;VAR:KEY=LWZIXAXMJY&amp;VAR:QUERY=RkZfU0FMRVMoQ0FMLDM4MzUyLCwsLCk=&amp;WINDOW=FIRST_POPUP&amp;HEIGHT=450&amp;WIDTH=450&amp;START_MAXIMI","ZED=FALSE&amp;VAR:CALENDAR=US&amp;VAR:SYMBOL=BMY&amp;VAR:INDEX=0"}</definedName>
    <definedName name="_2577__FDSAUDITLINK__" hidden="1">{"fdsup://directions/FAT Viewer?action=UPDATE&amp;creator=factset&amp;DYN_ARGS=TRUE&amp;DOC_NAME=FAT:FQL_AUDITING_CLIENT_TEMPLATE.FAT&amp;display_string=Audit&amp;VAR:KEY=HGVUFQHQXY&amp;VAR:QUERY=RkZfU0FMRVMoQ0FMLDQwNTQzLCwsLCk=&amp;WINDOW=FIRST_POPUP&amp;HEIGHT=450&amp;WIDTH=450&amp;START_MAXIMI","ZED=FALSE&amp;VAR:CALENDAR=US&amp;VAR:SYMBOL=LLY&amp;VAR:INDEX=0"}</definedName>
    <definedName name="_2578__FDSAUDITLINK__" hidden="1">{"fdsup://directions/FAT Viewer?action=UPDATE&amp;creator=factset&amp;DYN_ARGS=TRUE&amp;DOC_NAME=FAT:FQL_AUDITING_CLIENT_TEMPLATE.FAT&amp;display_string=Audit&amp;VAR:KEY=BENYXWZQPA&amp;VAR:QUERY=RkZfU0FMRVMoQ0FMLDQwMTc4LCwsLCk=&amp;WINDOW=FIRST_POPUP&amp;HEIGHT=450&amp;WIDTH=450&amp;START_MAXIMI","ZED=FALSE&amp;VAR:CALENDAR=US&amp;VAR:SYMBOL=LLY&amp;VAR:INDEX=0"}</definedName>
    <definedName name="_2579__FDSAUDITLINK__" hidden="1">{"fdsup://directions/FAT Viewer?action=UPDATE&amp;creator=factset&amp;DYN_ARGS=TRUE&amp;DOC_NAME=FAT:FQL_AUDITING_CLIENT_TEMPLATE.FAT&amp;display_string=Audit&amp;VAR:KEY=TCDILENEJI&amp;VAR:QUERY=RkZfU0FMRVMoQ0FMLDM5ODEzLCwsLCk=&amp;WINDOW=FIRST_POPUP&amp;HEIGHT=450&amp;WIDTH=450&amp;START_MAXIMI","ZED=FALSE&amp;VAR:CALENDAR=US&amp;VAR:SYMBOL=LLY&amp;VAR:INDEX=0"}</definedName>
    <definedName name="_258__FDSAUDITLINK__" hidden="1">{"fdsup://directions/FAT%20Viewer?VAR:TM=NTMA&amp;VAR:PCT=0.156164&amp;VAR:Y0=2005&amp;VAR:Y1=2006&amp;VAR:V0=15.865958&amp;VAR:V1=14.169449&amp;VAR:V=14.410072&amp;VAR:AUDIT_ID=00000117&amp;VAR:DATE=20051104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Aggregates&amp;VAR:MEASURE=PE_MEAN&amp;VAR:CALC_MODE=PORTFOLIO&amp;VAR:CHGPERIOD=NA&amp;VAR:FQLFORMULA=FMA_PE&amp;VAR:CURRENCY=USD&amp;VAR:P=1","220.135900&amp;VAR:THRESH=||||||&amp;VAR:null=.html"}</definedName>
    <definedName name="_2580__FDSAUDITLINK__" hidden="1">{"fdsup://directions/FAT Viewer?action=UPDATE&amp;creator=factset&amp;DYN_ARGS=TRUE&amp;DOC_NAME=FAT:FQL_AUDITING_CLIENT_TEMPLATE.FAT&amp;display_string=Audit&amp;VAR:KEY=ZMZGTAHWVI&amp;VAR:QUERY=RkZfU0FMRVMoQ0FMLDM5NDQ3LCwsLCk=&amp;WINDOW=FIRST_POPUP&amp;HEIGHT=450&amp;WIDTH=450&amp;START_MAXIMI","ZED=FALSE&amp;VAR:CALENDAR=US&amp;VAR:SYMBOL=LLY&amp;VAR:INDEX=0"}</definedName>
    <definedName name="_2581__FDSAUDITLINK__" hidden="1">{"fdsup://directions/FAT Viewer?action=UPDATE&amp;creator=factset&amp;DYN_ARGS=TRUE&amp;DOC_NAME=FAT:FQL_AUDITING_CLIENT_TEMPLATE.FAT&amp;display_string=Audit&amp;VAR:KEY=VGZWFCPGLW&amp;VAR:QUERY=RkZfU0FMRVMoQ0FMLDM5MDgyLCwsLCk=&amp;WINDOW=FIRST_POPUP&amp;HEIGHT=450&amp;WIDTH=450&amp;START_MAXIMI","ZED=FALSE&amp;VAR:CALENDAR=US&amp;VAR:SYMBOL=LLY&amp;VAR:INDEX=0"}</definedName>
    <definedName name="_2582__FDSAUDITLINK__" hidden="1">{"fdsup://directions/FAT Viewer?action=UPDATE&amp;creator=factset&amp;DYN_ARGS=TRUE&amp;DOC_NAME=FAT:FQL_AUDITING_CLIENT_TEMPLATE.FAT&amp;display_string=Audit&amp;VAR:KEY=NMLWPYZODY&amp;VAR:QUERY=RkZfU0FMRVMoQ0FMLDM4NzE3LCwsLCk=&amp;WINDOW=FIRST_POPUP&amp;HEIGHT=450&amp;WIDTH=450&amp;START_MAXIMI","ZED=FALSE&amp;VAR:CALENDAR=US&amp;VAR:SYMBOL=LLY&amp;VAR:INDEX=0"}</definedName>
    <definedName name="_2583__FDSAUDITLINK__" hidden="1">{"fdsup://directions/FAT Viewer?action=UPDATE&amp;creator=factset&amp;DYN_ARGS=TRUE&amp;DOC_NAME=FAT:FQL_AUDITING_CLIENT_TEMPLATE.FAT&amp;display_string=Audit&amp;VAR:KEY=XERCTWXSFY&amp;VAR:QUERY=RkZfU0FMRVMoQ0FMLDM4MzUyLCwsLCk=&amp;WINDOW=FIRST_POPUP&amp;HEIGHT=450&amp;WIDTH=450&amp;START_MAXIMI","ZED=FALSE&amp;VAR:CALENDAR=US&amp;VAR:SYMBOL=LLY&amp;VAR:INDEX=0"}</definedName>
    <definedName name="_2584__FDSAUDITLINK__" hidden="1">{"fdsup://directions/FAT Viewer?action=UPDATE&amp;creator=factset&amp;DYN_ARGS=TRUE&amp;DOC_NAME=FAT:FQL_AUDITING_CLIENT_TEMPLATE.FAT&amp;display_string=Audit&amp;VAR:KEY=TYREZSHMJS&amp;VAR:QUERY=RkZfU0FMRVMoQ0FMLDQwNTQzLCwsLCk=&amp;WINDOW=FIRST_POPUP&amp;HEIGHT=450&amp;WIDTH=450&amp;START_MAXIMI","ZED=FALSE&amp;VAR:CALENDAR=US&amp;VAR:SYMBOL=506921&amp;VAR:INDEX=0"}</definedName>
    <definedName name="_2585__FDSAUDITLINK__" hidden="1">{"fdsup://directions/FAT Viewer?action=UPDATE&amp;creator=factset&amp;DYN_ARGS=TRUE&amp;DOC_NAME=FAT:FQL_AUDITING_CLIENT_TEMPLATE.FAT&amp;display_string=Audit&amp;VAR:KEY=VUTOPCHQXG&amp;VAR:QUERY=RkZfU0FMRVMoQ0FMLDQwMTc4LCwsLCk=&amp;WINDOW=FIRST_POPUP&amp;HEIGHT=450&amp;WIDTH=450&amp;START_MAXIMI","ZED=FALSE&amp;VAR:CALENDAR=US&amp;VAR:SYMBOL=506921&amp;VAR:INDEX=0"}</definedName>
    <definedName name="_2586__FDSAUDITLINK__" hidden="1">{"fdsup://directions/FAT Viewer?action=UPDATE&amp;creator=factset&amp;DYN_ARGS=TRUE&amp;DOC_NAME=FAT:FQL_AUDITING_CLIENT_TEMPLATE.FAT&amp;display_string=Audit&amp;VAR:KEY=DSVIFSTIRS&amp;VAR:QUERY=RkZfU0FMRVMoQ0FMLDM5ODEzLCwsLCk=&amp;WINDOW=FIRST_POPUP&amp;HEIGHT=450&amp;WIDTH=450&amp;START_MAXIMI","ZED=FALSE&amp;VAR:CALENDAR=US&amp;VAR:SYMBOL=506921&amp;VAR:INDEX=0"}</definedName>
    <definedName name="_2587__FDSAUDITLINK__" hidden="1">{"fdsup://directions/FAT Viewer?action=UPDATE&amp;creator=factset&amp;DYN_ARGS=TRUE&amp;DOC_NAME=FAT:FQL_AUDITING_CLIENT_TEMPLATE.FAT&amp;display_string=Audit&amp;VAR:KEY=VGFMRYZUDQ&amp;VAR:QUERY=RkZfU0FMRVMoQ0FMLDM5NDQ3LCwsLCk=&amp;WINDOW=FIRST_POPUP&amp;HEIGHT=450&amp;WIDTH=450&amp;START_MAXIMI","ZED=FALSE&amp;VAR:CALENDAR=US&amp;VAR:SYMBOL=506921&amp;VAR:INDEX=0"}</definedName>
    <definedName name="_2588__FDSAUDITLINK__" hidden="1">{"fdsup://directions/FAT Viewer?action=UPDATE&amp;creator=factset&amp;DYN_ARGS=TRUE&amp;DOC_NAME=FAT:FQL_AUDITING_CLIENT_TEMPLATE.FAT&amp;display_string=Audit&amp;VAR:KEY=PYPMDAJYFY&amp;VAR:QUERY=RkZfU0FMRVMoQ0FMLDM5MDgyLCwsLCk=&amp;WINDOW=FIRST_POPUP&amp;HEIGHT=450&amp;WIDTH=450&amp;START_MAXIMI","ZED=FALSE&amp;VAR:CALENDAR=US&amp;VAR:SYMBOL=506921&amp;VAR:INDEX=0"}</definedName>
    <definedName name="_2589__FDSAUDITLINK__" hidden="1">{"fdsup://directions/FAT Viewer?action=UPDATE&amp;creator=factset&amp;DYN_ARGS=TRUE&amp;DOC_NAME=FAT:FQL_AUDITING_CLIENT_TEMPLATE.FAT&amp;display_string=Audit&amp;VAR:KEY=FGLEFQPUNK&amp;VAR:QUERY=RkZfU0FMRVMoQ0FMLDM4NzE3LCwsLCk=&amp;WINDOW=FIRST_POPUP&amp;HEIGHT=450&amp;WIDTH=450&amp;START_MAXIMI","ZED=FALSE&amp;VAR:CALENDAR=US&amp;VAR:SYMBOL=506921&amp;VAR:INDEX=0"}</definedName>
    <definedName name="_259__FDSAUDITLINK__" hidden="1">{"fdsup://directions/FAT%20Viewer?VAR:TM=NTMA&amp;VAR:PCT=0.175342&amp;VAR:Y0=2005&amp;VAR:Y1=2006&amp;VAR:V0=15.561038&amp;VAR:V1=13.918207&amp;VAR:V=14.180713&amp;VAR:AUDIT_ID=00000117&amp;VAR:DATE=20051028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Aggregates&amp;VAR:MEASURE=PE_MEAN&amp;VAR:CALC_MODE=PORTFOLIO&amp;VAR:CHGPERIOD=NA&amp;VAR:FQLFORMULA=FMA_PE&amp;VAR:CURRENCY=USD&amp;VAR:P=1","198.412600&amp;VAR:THRESH=||||||&amp;VAR:null=.html"}</definedName>
    <definedName name="_2590__FDSAUDITLINK__" hidden="1">{"fdsup://directions/FAT Viewer?action=UPDATE&amp;creator=factset&amp;DYN_ARGS=TRUE&amp;DOC_NAME=FAT:FQL_AUDITING_CLIENT_TEMPLATE.FAT&amp;display_string=Audit&amp;VAR:KEY=NKROBUBURI&amp;VAR:QUERY=RkZfU0FMRVMoQ0FMLDQwNTQzLCwsLCk=&amp;WINDOW=FIRST_POPUP&amp;HEIGHT=450&amp;WIDTH=450&amp;START_MAXIMI","ZED=FALSE&amp;VAR:CALENDAR=US&amp;VAR:SYMBOL=567173&amp;VAR:INDEX=0"}</definedName>
    <definedName name="_2591__FDSAUDITLINK__" hidden="1">{"fdsup://directions/FAT Viewer?action=UPDATE&amp;creator=factset&amp;DYN_ARGS=TRUE&amp;DOC_NAME=FAT:FQL_AUDITING_CLIENT_TEMPLATE.FAT&amp;display_string=Audit&amp;VAR:KEY=FUZMZEJUJU&amp;VAR:QUERY=RkZfU0FMRVMoQ0FMLDQwMTc4LCwsLCk=&amp;WINDOW=FIRST_POPUP&amp;HEIGHT=450&amp;WIDTH=450&amp;START_MAXIMI","ZED=FALSE&amp;VAR:CALENDAR=US&amp;VAR:SYMBOL=567173&amp;VAR:INDEX=0"}</definedName>
    <definedName name="_2592__FDSAUDITLINK__" hidden="1">{"fdsup://directions/FAT Viewer?action=UPDATE&amp;creator=factset&amp;DYN_ARGS=TRUE&amp;DOC_NAME=FAT:FQL_AUDITING_CLIENT_TEMPLATE.FAT&amp;display_string=Audit&amp;VAR:KEY=DQJIRINKTK&amp;VAR:QUERY=RkZfU0FMRVMoQ0FMLDM5ODEzLCwsLCk=&amp;WINDOW=FIRST_POPUP&amp;HEIGHT=450&amp;WIDTH=450&amp;START_MAXIMI","ZED=FALSE&amp;VAR:CALENDAR=US&amp;VAR:SYMBOL=567173&amp;VAR:INDEX=0"}</definedName>
    <definedName name="_2593__FDSAUDITLINK__" hidden="1">{"fdsup://directions/FAT Viewer?action=UPDATE&amp;creator=factset&amp;DYN_ARGS=TRUE&amp;DOC_NAME=FAT:FQL_AUDITING_CLIENT_TEMPLATE.FAT&amp;display_string=Audit&amp;VAR:KEY=XUVOBOTILK&amp;VAR:QUERY=RkZfU0FMRVMoQ0FMLDM5NDQ3LCwsLCk=&amp;WINDOW=FIRST_POPUP&amp;HEIGHT=450&amp;WIDTH=450&amp;START_MAXIMI","ZED=FALSE&amp;VAR:CALENDAR=US&amp;VAR:SYMBOL=567173&amp;VAR:INDEX=0"}</definedName>
    <definedName name="_2594__FDSAUDITLINK__" hidden="1">{"fdsup://directions/FAT Viewer?action=UPDATE&amp;creator=factset&amp;DYN_ARGS=TRUE&amp;DOC_NAME=FAT:FQL_AUDITING_CLIENT_TEMPLATE.FAT&amp;display_string=Audit&amp;VAR:KEY=TUNGLUVQJS&amp;VAR:QUERY=RkZfU0FMRVMoQ0FMLDM5MDgyLCwsLCk=&amp;WINDOW=FIRST_POPUP&amp;HEIGHT=450&amp;WIDTH=450&amp;START_MAXIMI","ZED=FALSE&amp;VAR:CALENDAR=US&amp;VAR:SYMBOL=567173&amp;VAR:INDEX=0"}</definedName>
    <definedName name="_2595__FDSAUDITLINK__" hidden="1">{"fdsup://directions/FAT Viewer?action=UPDATE&amp;creator=factset&amp;DYN_ARGS=TRUE&amp;DOC_NAME=FAT:FQL_AUDITING_CLIENT_TEMPLATE.FAT&amp;display_string=Audit&amp;VAR:KEY=ZCZKRMREJQ&amp;VAR:QUERY=RkZfU0FMRVMoQ0FMLDM4NzE3LCwsLCk=&amp;WINDOW=FIRST_POPUP&amp;HEIGHT=450&amp;WIDTH=450&amp;START_MAXIMI","ZED=FALSE&amp;VAR:CALENDAR=US&amp;VAR:SYMBOL=567173&amp;VAR:INDEX=0"}</definedName>
    <definedName name="_2596__FDSAUDITLINK__" hidden="1">{"fdsup://directions/FAT Viewer?action=UPDATE&amp;creator=factset&amp;DYN_ARGS=TRUE&amp;DOC_NAME=FAT:FQL_AUDITING_CLIENT_TEMPLATE.FAT&amp;display_string=Audit&amp;VAR:KEY=XEFEFEVSXG&amp;VAR:QUERY=RkZfU0FMRVMoQ0FMLDQwNTQzLCwsLCk=&amp;WINDOW=FIRST_POPUP&amp;HEIGHT=450&amp;WIDTH=450&amp;START_MAXIMI","ZED=FALSE&amp;VAR:CALENDAR=US&amp;VAR:SYMBOL=JNJ&amp;VAR:INDEX=0"}</definedName>
    <definedName name="_2597__FDSAUDITLINK__" hidden="1">{"fdsup://directions/FAT Viewer?action=UPDATE&amp;creator=factset&amp;DYN_ARGS=TRUE&amp;DOC_NAME=FAT:FQL_AUDITING_CLIENT_TEMPLATE.FAT&amp;display_string=Audit&amp;VAR:KEY=LULOTKLGHM&amp;VAR:QUERY=RkZfU0FMRVMoQ0FMLDQwMTc4LCwsLCk=&amp;WINDOW=FIRST_POPUP&amp;HEIGHT=450&amp;WIDTH=450&amp;START_MAXIMI","ZED=FALSE&amp;VAR:CALENDAR=US&amp;VAR:SYMBOL=JNJ&amp;VAR:INDEX=0"}</definedName>
    <definedName name="_2598__FDSAUDITLINK__" hidden="1">{"fdsup://directions/FAT Viewer?action=UPDATE&amp;creator=factset&amp;DYN_ARGS=TRUE&amp;DOC_NAME=FAT:FQL_AUDITING_CLIENT_TEMPLATE.FAT&amp;display_string=Audit&amp;VAR:KEY=TARITKLKZA&amp;VAR:QUERY=RkZfU0FMRVMoQ0FMLDM5ODEzLCwsLCk=&amp;WINDOW=FIRST_POPUP&amp;HEIGHT=450&amp;WIDTH=450&amp;START_MAXIMI","ZED=FALSE&amp;VAR:CALENDAR=US&amp;VAR:SYMBOL=JNJ&amp;VAR:INDEX=0"}</definedName>
    <definedName name="_2599__FDSAUDITLINK__" hidden="1">{"fdsup://directions/FAT Viewer?action=UPDATE&amp;creator=factset&amp;DYN_ARGS=TRUE&amp;DOC_NAME=FAT:FQL_AUDITING_CLIENT_TEMPLATE.FAT&amp;display_string=Audit&amp;VAR:KEY=NSBWVCLYDE&amp;VAR:QUERY=RkZfU0FMRVMoQ0FMLDM5NDQ3LCwsLCk=&amp;WINDOW=FIRST_POPUP&amp;HEIGHT=450&amp;WIDTH=450&amp;START_MAXIMI","ZED=FALSE&amp;VAR:CALENDAR=US&amp;VAR:SYMBOL=JNJ&amp;VAR:INDEX=0"}</definedName>
    <definedName name="_26__FDSAUDITLINK__" hidden="1">{"fdsup://directions/FAT%20Viewer?VAR:TM=NTMA&amp;VAR:PCT=0.709589&amp;VAR:Y0=2010&amp;VAR:Y1=2011&amp;VAR:V0=14.939756&amp;VAR:V1=12.533143&amp;VAR:V=14.150649&amp;VAR:AUDIT_ID=00000117&amp;VAR:DATE=20100416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Aggregates&amp;VAR:MEASURE=PE_MEAN&amp;VAR:CALC_MODE=PORTFOLIO&amp;VAR:CHGPERIOD=NA&amp;VAR:FQLFORMULA=FMA_PE&amp;VAR:CURRENCY=USD&amp;VAR:P=1","192.128836&amp;VAR:THRESH=||||||&amp;VAR:null=.html"}</definedName>
    <definedName name="_260__FDSAUDITLINK__" hidden="1">{"fdsup://directions/FAT%20Viewer?VAR:TM=NTMA&amp;VAR:PCT=0.194521&amp;VAR:Y0=2005&amp;VAR:Y1=2006&amp;VAR:V0=15.315496&amp;VAR:V1=13.711657&amp;VAR:V=13.996774&amp;VAR:AUDIT_ID=00000117&amp;VAR:DATE=20051021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Aggregates&amp;VAR:MEASURE=PE_MEAN&amp;VAR:CALC_MODE=PORTFOLIO&amp;VAR:CHGPERIOD=NA&amp;VAR:FQLFORMULA=FMA_PE&amp;VAR:CURRENCY=USD&amp;VAR:P=1","179.594100&amp;VAR:THRESH=||||||&amp;VAR:null=.html"}</definedName>
    <definedName name="_2600__FDSAUDITLINK__" hidden="1">{"fdsup://directions/FAT Viewer?action=UPDATE&amp;creator=factset&amp;DYN_ARGS=TRUE&amp;DOC_NAME=FAT:FQL_AUDITING_CLIENT_TEMPLATE.FAT&amp;display_string=Audit&amp;VAR:KEY=VCFODGNGBS&amp;VAR:QUERY=RkZfU0FMRVMoQ0FMLDM5MDgyLCwsLCk=&amp;WINDOW=FIRST_POPUP&amp;HEIGHT=450&amp;WIDTH=450&amp;START_MAXIMI","ZED=FALSE&amp;VAR:CALENDAR=US&amp;VAR:SYMBOL=JNJ&amp;VAR:INDEX=0"}</definedName>
    <definedName name="_2601__FDSAUDITLINK__" hidden="1">{"fdsup://directions/FAT Viewer?action=UPDATE&amp;creator=factset&amp;DYN_ARGS=TRUE&amp;DOC_NAME=FAT:FQL_AUDITING_CLIENT_TEMPLATE.FAT&amp;display_string=Audit&amp;VAR:KEY=FMJMDKHKDK&amp;VAR:QUERY=RkZfU0FMRVMoQ0FMLDM4NzE3LCwsLCk=&amp;WINDOW=FIRST_POPUP&amp;HEIGHT=450&amp;WIDTH=450&amp;START_MAXIMI","ZED=FALSE&amp;VAR:CALENDAR=US&amp;VAR:SYMBOL=JNJ&amp;VAR:INDEX=0"}</definedName>
    <definedName name="_2602__FDSAUDITLINK__" hidden="1">{"fdsup://directions/FAT Viewer?action=UPDATE&amp;creator=factset&amp;DYN_ARGS=TRUE&amp;DOC_NAME=FAT:FQL_AUDITING_CLIENT_TEMPLATE.FAT&amp;display_string=Audit&amp;VAR:KEY=ZWTENCPKDC&amp;VAR:QUERY=RkZfU0FMRVMoQ0FMLDM4MzUyLCwsLCk=&amp;WINDOW=FIRST_POPUP&amp;HEIGHT=450&amp;WIDTH=450&amp;START_MAXIMI","ZED=FALSE&amp;VAR:CALENDAR=US&amp;VAR:SYMBOL=JNJ&amp;VAR:INDEX=0"}</definedName>
    <definedName name="_2603__FDSAUDITLINK__" hidden="1">{"fdsup://directions/FAT Viewer?action=UPDATE&amp;creator=factset&amp;DYN_ARGS=TRUE&amp;DOC_NAME=FAT:FQL_AUDITING_CLIENT_TEMPLATE.FAT&amp;display_string=Audit&amp;VAR:KEY=JUHUDIVEVG&amp;VAR:QUERY=RkZfU0FMRVMoQ0FMLDQwNTQzLCwsLCk=&amp;WINDOW=FIRST_POPUP&amp;HEIGHT=450&amp;WIDTH=450&amp;START_MAXIMI","ZED=FALSE&amp;VAR:CALENDAR=US&amp;VAR:SYMBOL=710306&amp;VAR:INDEX=0"}</definedName>
    <definedName name="_2604__FDSAUDITLINK__" hidden="1">{"fdsup://directions/FAT Viewer?action=UPDATE&amp;creator=factset&amp;DYN_ARGS=TRUE&amp;DOC_NAME=FAT:FQL_AUDITING_CLIENT_TEMPLATE.FAT&amp;display_string=Audit&amp;VAR:KEY=DOFYDCPMFC&amp;VAR:QUERY=RkZfU0FMRVMoQ0FMLDQwMTc4LCwsLCk=&amp;WINDOW=FIRST_POPUP&amp;HEIGHT=450&amp;WIDTH=450&amp;START_MAXIMI","ZED=FALSE&amp;VAR:CALENDAR=US&amp;VAR:SYMBOL=710306&amp;VAR:INDEX=0"}</definedName>
    <definedName name="_2605__FDSAUDITLINK__" hidden="1">{"fdsup://directions/FAT Viewer?action=UPDATE&amp;creator=factset&amp;DYN_ARGS=TRUE&amp;DOC_NAME=FAT:FQL_AUDITING_CLIENT_TEMPLATE.FAT&amp;display_string=Audit&amp;VAR:KEY=FEDEFEXKTO&amp;VAR:QUERY=RkZfU0FMRVMoQ0FMLDM5ODEzLCwsLCk=&amp;WINDOW=FIRST_POPUP&amp;HEIGHT=450&amp;WIDTH=450&amp;START_MAXIMI","ZED=FALSE&amp;VAR:CALENDAR=US&amp;VAR:SYMBOL=710306&amp;VAR:INDEX=0"}</definedName>
    <definedName name="_2606__FDSAUDITLINK__" hidden="1">{"fdsup://directions/FAT Viewer?action=UPDATE&amp;creator=factset&amp;DYN_ARGS=TRUE&amp;DOC_NAME=FAT:FQL_AUDITING_CLIENT_TEMPLATE.FAT&amp;display_string=Audit&amp;VAR:KEY=LMVERYPEZG&amp;VAR:QUERY=RkZfU0FMRVMoQ0FMLDM5NDQ3LCwsLCk=&amp;WINDOW=FIRST_POPUP&amp;HEIGHT=450&amp;WIDTH=450&amp;START_MAXIMI","ZED=FALSE&amp;VAR:CALENDAR=US&amp;VAR:SYMBOL=710306&amp;VAR:INDEX=0"}</definedName>
    <definedName name="_2607__FDSAUDITLINK__" hidden="1">{"fdsup://directions/FAT Viewer?action=UPDATE&amp;creator=factset&amp;DYN_ARGS=TRUE&amp;DOC_NAME=FAT:FQL_AUDITING_CLIENT_TEMPLATE.FAT&amp;display_string=Audit&amp;VAR:KEY=XQLOLCJYLW&amp;VAR:QUERY=RkZfU0FMRVMoQ0FMLDM5MDgyLCwsLCk=&amp;WINDOW=FIRST_POPUP&amp;HEIGHT=450&amp;WIDTH=450&amp;START_MAXIMI","ZED=FALSE&amp;VAR:CALENDAR=US&amp;VAR:SYMBOL=710306&amp;VAR:INDEX=0"}</definedName>
    <definedName name="_2608__FDSAUDITLINK__" hidden="1">{"fdsup://directions/FAT Viewer?action=UPDATE&amp;creator=factset&amp;DYN_ARGS=TRUE&amp;DOC_NAME=FAT:FQL_AUDITING_CLIENT_TEMPLATE.FAT&amp;display_string=Audit&amp;VAR:KEY=JIVKRKVAXY&amp;VAR:QUERY=RkZfU0FMRVMoQ0FMLDM4NzE3LCwsLCk=&amp;WINDOW=FIRST_POPUP&amp;HEIGHT=450&amp;WIDTH=450&amp;START_MAXIMI","ZED=FALSE&amp;VAR:CALENDAR=US&amp;VAR:SYMBOL=710306&amp;VAR:INDEX=0"}</definedName>
    <definedName name="_2609__FDSAUDITLINK__" hidden="1">{"fdsup://directions/FAT Viewer?action=UPDATE&amp;creator=factset&amp;DYN_ARGS=TRUE&amp;DOC_NAME=FAT:FQL_AUDITING_CLIENT_TEMPLATE.FAT&amp;display_string=Audit&amp;VAR:KEY=HGBYRMPCTI&amp;VAR:QUERY=RkZfU0FMRVMoQ0FMLDQwNTQzLCwsLCk=&amp;WINDOW=FIRST_POPUP&amp;HEIGHT=450&amp;WIDTH=450&amp;START_MAXIMI","ZED=FALSE&amp;VAR:CALENDAR=US&amp;VAR:SYMBOL=711038&amp;VAR:INDEX=0"}</definedName>
    <definedName name="_261__FDSAUDITLINK__" hidden="1">{"fdsup://directions/FAT%20Viewer?VAR:TM=NTMA&amp;VAR:PCT=0.213699&amp;VAR:Y0=2005&amp;VAR:Y1=2006&amp;VAR:V0=15.387482&amp;VAR:V1=13.793560&amp;VAR:V=14.105808&amp;VAR:AUDIT_ID=00000117&amp;VAR:DATE=20051014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Aggregates&amp;VAR:MEASURE=PE_MEAN&amp;VAR:CALC_MODE=PORTFOLIO&amp;VAR:CHGPERIOD=NA&amp;VAR:FQLFORMULA=FMA_PE&amp;VAR:CURRENCY=USD&amp;VAR:P=1","186.568600&amp;VAR:THRESH=||||||&amp;VAR:null=.html"}</definedName>
    <definedName name="_2610__FDSAUDITLINK__" hidden="1">{"fdsup://directions/FAT Viewer?action=UPDATE&amp;creator=factset&amp;DYN_ARGS=TRUE&amp;DOC_NAME=FAT:FQL_AUDITING_CLIENT_TEMPLATE.FAT&amp;display_string=Audit&amp;VAR:KEY=DQVIXUTIHC&amp;VAR:QUERY=RkZfU0FMRVMoQ0FMLDQwMTc4LCwsLFVTRCk=&amp;WINDOW=FIRST_POPUP&amp;HEIGHT=450&amp;WIDTH=450&amp;START_MA","XIMIZED=FALSE&amp;VAR:CALENDAR=US&amp;VAR:SYMBOL=711038&amp;VAR:INDEX=0"}</definedName>
    <definedName name="_2611__FDSAUDITLINK__" hidden="1">{"fdsup://directions/FAT Viewer?action=UPDATE&amp;creator=factset&amp;DYN_ARGS=TRUE&amp;DOC_NAME=FAT:FQL_AUDITING_CLIENT_TEMPLATE.FAT&amp;display_string=Audit&amp;VAR:KEY=LANIXUPWJS&amp;VAR:QUERY=RkZfU0FMRVMoQ0FMLDM5ODEzLCwsLFVTRCk=&amp;WINDOW=FIRST_POPUP&amp;HEIGHT=450&amp;WIDTH=450&amp;START_MA","XIMIZED=FALSE&amp;VAR:CALENDAR=US&amp;VAR:SYMBOL=711038&amp;VAR:INDEX=0"}</definedName>
    <definedName name="_2612__FDSAUDITLINK__" hidden="1">{"fdsup://directions/FAT Viewer?action=UPDATE&amp;creator=factset&amp;DYN_ARGS=TRUE&amp;DOC_NAME=FAT:FQL_AUDITING_CLIENT_TEMPLATE.FAT&amp;display_string=Audit&amp;VAR:KEY=VKRQTKFUBW&amp;VAR:QUERY=RkZfU0FMRVMoQ0FMLDM5ODEzLCwsLCk=&amp;WINDOW=FIRST_POPUP&amp;HEIGHT=450&amp;WIDTH=450&amp;START_MAXIMI","ZED=FALSE&amp;VAR:CALENDAR=US&amp;VAR:SYMBOL=DNA&amp;VAR:INDEX=0"}</definedName>
    <definedName name="_2613__FDSAUDITLINK__" hidden="1">{"fdsup://directions/FAT Viewer?action=UPDATE&amp;creator=factset&amp;DYN_ARGS=TRUE&amp;DOC_NAME=FAT:FQL_AUDITING_CLIENT_TEMPLATE.FAT&amp;display_string=Audit&amp;VAR:KEY=XEDCREVYZS&amp;VAR:QUERY=RkZfU0FMRVMoQ0FMLDM5NDQ3LCwsLCk=&amp;WINDOW=FIRST_POPUP&amp;HEIGHT=450&amp;WIDTH=450&amp;START_MAXIMI","ZED=FALSE&amp;VAR:CALENDAR=US&amp;VAR:SYMBOL=DNA&amp;VAR:INDEX=0"}</definedName>
    <definedName name="_2614__FDSAUDITLINK__" hidden="1">{"fdsup://directions/FAT Viewer?action=UPDATE&amp;creator=factset&amp;DYN_ARGS=TRUE&amp;DOC_NAME=FAT:FQL_AUDITING_CLIENT_TEMPLATE.FAT&amp;display_string=Audit&amp;VAR:KEY=TOXMHYNEDQ&amp;VAR:QUERY=RkZfU0FMRVMoQ0FMLDM5MDgyLCwsLCk=&amp;WINDOW=FIRST_POPUP&amp;HEIGHT=450&amp;WIDTH=450&amp;START_MAXIMI","ZED=FALSE&amp;VAR:CALENDAR=US&amp;VAR:SYMBOL=DNA&amp;VAR:INDEX=0"}</definedName>
    <definedName name="_2615__FDSAUDITLINK__" hidden="1">{"fdsup://directions/FAT Viewer?action=UPDATE&amp;creator=factset&amp;DYN_ARGS=TRUE&amp;DOC_NAME=FAT:FQL_AUDITING_CLIENT_TEMPLATE.FAT&amp;display_string=Audit&amp;VAR:KEY=BKHAJUZULG&amp;VAR:QUERY=RkZfU0FMRVMoQ0FMLDM4NzE3LCwsLCk=&amp;WINDOW=FIRST_POPUP&amp;HEIGHT=450&amp;WIDTH=450&amp;START_MAXIMI","ZED=FALSE&amp;VAR:CALENDAR=US&amp;VAR:SYMBOL=DNA&amp;VAR:INDEX=0"}</definedName>
    <definedName name="_2616__FDSAUDITLINK__" hidden="1">{"fdsup://directions/FAT Viewer?action=UPDATE&amp;creator=factset&amp;DYN_ARGS=TRUE&amp;DOC_NAME=FAT:FQL_AUDITING_CLIENT_TEMPLATE.FAT&amp;display_string=Audit&amp;VAR:KEY=JYZKZGDIFI&amp;VAR:QUERY=RkZfU0FMRVMoQ0FMLDM4MzUyLCwsLCk=&amp;WINDOW=FIRST_POPUP&amp;HEIGHT=450&amp;WIDTH=450&amp;START_MAXIMI","ZED=FALSE&amp;VAR:CALENDAR=US&amp;VAR:SYMBOL=DNA&amp;VAR:INDEX=0"}</definedName>
    <definedName name="_2617__FDSAUDITLINK__" hidden="1">{"fdsup://directions/FAT Viewer?action=UPDATE&amp;creator=factset&amp;DYN_ARGS=TRUE&amp;DOC_NAME=FAT:FQL_AUDITING_CLIENT_TEMPLATE.FAT&amp;display_string=Audit&amp;VAR:KEY=RYVUVAXUDS&amp;VAR:QUERY=RkZfU0FMRVMoQ0FMLDQwNTQzLCwsLCk=&amp;WINDOW=FIRST_POPUP&amp;HEIGHT=450&amp;WIDTH=450&amp;START_MAXIMI","ZED=FALSE&amp;VAR:CALENDAR=US&amp;VAR:SYMBOL=MRK&amp;VAR:INDEX=0"}</definedName>
    <definedName name="_2618__FDSAUDITLINK__" hidden="1">{"fdsup://directions/FAT Viewer?action=UPDATE&amp;creator=factset&amp;DYN_ARGS=TRUE&amp;DOC_NAME=FAT:FQL_AUDITING_CLIENT_TEMPLATE.FAT&amp;display_string=Audit&amp;VAR:KEY=NITGVAHEXK&amp;VAR:QUERY=RkZfU0FMRVMoQ0FMLDQwMTc4LCwsLFVTRCk=&amp;WINDOW=FIRST_POPUP&amp;HEIGHT=450&amp;WIDTH=450&amp;START_MA","XIMIZED=FALSE&amp;VAR:CALENDAR=US&amp;VAR:SYMBOL=MRK&amp;VAR:INDEX=0"}</definedName>
    <definedName name="_2619__FDSAUDITLINK__" hidden="1">{"fdsup://directions/FAT Viewer?action=UPDATE&amp;creator=factset&amp;DYN_ARGS=TRUE&amp;DOC_NAME=FAT:FQL_AUDITING_CLIENT_TEMPLATE.FAT&amp;display_string=Audit&amp;VAR:KEY=PYDALOBCHY&amp;VAR:QUERY=RkZfU0FMRVMoQ0FMLDM5ODEzLCwsLFVTRCk=&amp;WINDOW=FIRST_POPUP&amp;HEIGHT=450&amp;WIDTH=450&amp;START_MA","XIMIZED=FALSE&amp;VAR:CALENDAR=US&amp;VAR:SYMBOL=MRK&amp;VAR:INDEX=0"}</definedName>
    <definedName name="_262__FDSAUDITLINK__" hidden="1">{"fdsup://directions/FAT%20Viewer?VAR:TM=NTMA&amp;VAR:PCT=0.232877&amp;VAR:Y0=2005&amp;VAR:Y1=2006&amp;VAR:V0=15.554025&amp;VAR:V1=13.992793&amp;VAR:V=14.327702&amp;VAR:AUDIT_ID=00000117&amp;VAR:DATE=20051007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Aggregates&amp;VAR:MEASURE=PE_MEAN&amp;VAR:CALC_MODE=PORTFOLIO&amp;VAR:CHGPERIOD=NA&amp;VAR:FQLFORMULA=FMA_PE&amp;VAR:CURRENCY=USD&amp;VAR:P=1","195.904200&amp;VAR:THRESH=||||||&amp;VAR:null=.html"}</definedName>
    <definedName name="_2620__FDSAUDITLINK__" hidden="1">{"fdsup://directions/FAT Viewer?action=UPDATE&amp;creator=factset&amp;DYN_ARGS=TRUE&amp;DOC_NAME=FAT:FQL_AUDITING_CLIENT_TEMPLATE.FAT&amp;display_string=Audit&amp;VAR:KEY=HONSVQVETW&amp;VAR:QUERY=RkZfU0FMRVMoQ0FMLDM5ODEzLCwsLCk=&amp;WINDOW=FIRST_POPUP&amp;HEIGHT=450&amp;WIDTH=450&amp;START_MAXIMI","ZED=FALSE&amp;VAR:CALENDAR=US&amp;VAR:SYMBOL=SGP&amp;VAR:INDEX=0"}</definedName>
    <definedName name="_2621__FDSAUDITLINK__" hidden="1">{"fdsup://directions/FAT Viewer?action=UPDATE&amp;creator=factset&amp;DYN_ARGS=TRUE&amp;DOC_NAME=FAT:FQL_AUDITING_CLIENT_TEMPLATE.FAT&amp;display_string=Audit&amp;VAR:KEY=DIFWLOFKHK&amp;VAR:QUERY=RkZfU0FMRVMoQ0FMLDM5NDQ3LCwsLFVTRCk=&amp;WINDOW=FIRST_POPUP&amp;HEIGHT=450&amp;WIDTH=450&amp;START_MA","XIMIZED=FALSE&amp;VAR:CALENDAR=US&amp;VAR:SYMBOL=MRK&amp;VAR:INDEX=0"}</definedName>
    <definedName name="_2622__FDSAUDITLINK__" hidden="1">{"fdsup://directions/FAT Viewer?action=UPDATE&amp;creator=factset&amp;DYN_ARGS=TRUE&amp;DOC_NAME=FAT:FQL_AUDITING_CLIENT_TEMPLATE.FAT&amp;display_string=Audit&amp;VAR:KEY=DGFOTSZMDS&amp;VAR:QUERY=RkZfU0FMRVMoQ0FMLDM5NDQ3LCwsLCk=&amp;WINDOW=FIRST_POPUP&amp;HEIGHT=450&amp;WIDTH=450&amp;START_MAXIMI","ZED=FALSE&amp;VAR:CALENDAR=US&amp;VAR:SYMBOL=SGP&amp;VAR:INDEX=0"}</definedName>
    <definedName name="_2623__FDSAUDITLINK__" hidden="1">{"fdsup://directions/FAT Viewer?action=UPDATE&amp;creator=factset&amp;DYN_ARGS=TRUE&amp;DOC_NAME=FAT:FQL_AUDITING_CLIENT_TEMPLATE.FAT&amp;display_string=Audit&amp;VAR:KEY=HEPGNYVUHS&amp;VAR:QUERY=RkZfU0FMRVMoQ0FMLDM5MDgyLCwsLFVTRCk=&amp;WINDOW=FIRST_POPUP&amp;HEIGHT=450&amp;WIDTH=450&amp;START_MA","XIMIZED=FALSE&amp;VAR:CALENDAR=US&amp;VAR:SYMBOL=MRK&amp;VAR:INDEX=0"}</definedName>
    <definedName name="_2624__FDSAUDITLINK__" hidden="1">{"fdsup://directions/FAT Viewer?action=UPDATE&amp;creator=factset&amp;DYN_ARGS=TRUE&amp;DOC_NAME=FAT:FQL_AUDITING_CLIENT_TEMPLATE.FAT&amp;display_string=Audit&amp;VAR:KEY=RMFKNYHWPS&amp;VAR:QUERY=RkZfU0FMRVMoQ0FMLDM5MDgyLCwsLCk=&amp;WINDOW=FIRST_POPUP&amp;HEIGHT=450&amp;WIDTH=450&amp;START_MAXIMI","ZED=FALSE&amp;VAR:CALENDAR=US&amp;VAR:SYMBOL=SGP&amp;VAR:INDEX=0"}</definedName>
    <definedName name="_2625__FDSAUDITLINK__" hidden="1">{"fdsup://directions/FAT Viewer?action=UPDATE&amp;creator=factset&amp;DYN_ARGS=TRUE&amp;DOC_NAME=FAT:FQL_AUDITING_CLIENT_TEMPLATE.FAT&amp;display_string=Audit&amp;VAR:KEY=LARWVSDIPK&amp;VAR:QUERY=RkZfU0FMRVMoQ0FMLDM4NzE3LCwsLFVTRCk=&amp;WINDOW=FIRST_POPUP&amp;HEIGHT=450&amp;WIDTH=450&amp;START_MA","XIMIZED=FALSE&amp;VAR:CALENDAR=US&amp;VAR:SYMBOL=MRK&amp;VAR:INDEX=0"}</definedName>
    <definedName name="_2626__FDSAUDITLINK__" hidden="1">{"fdsup://directions/FAT Viewer?action=UPDATE&amp;creator=factset&amp;DYN_ARGS=TRUE&amp;DOC_NAME=FAT:FQL_AUDITING_CLIENT_TEMPLATE.FAT&amp;display_string=Audit&amp;VAR:KEY=DKZQFGPGZY&amp;VAR:QUERY=RkZfU0FMRVMoQ0FMLDM4NzE3LCwsLCk=&amp;WINDOW=FIRST_POPUP&amp;HEIGHT=450&amp;WIDTH=450&amp;START_MAXIMI","ZED=FALSE&amp;VAR:CALENDAR=US&amp;VAR:SYMBOL=SGP&amp;VAR:INDEX=0"}</definedName>
    <definedName name="_2627__FDSAUDITLINK__" hidden="1">{"fdsup://directions/FAT Viewer?action=UPDATE&amp;creator=factset&amp;DYN_ARGS=TRUE&amp;DOC_NAME=FAT:FQL_AUDITING_CLIENT_TEMPLATE.FAT&amp;display_string=Audit&amp;VAR:KEY=XINIZQTOTW&amp;VAR:QUERY=RkZfU0FMRVMoQ0FMLDM4MzUyLCwsLFVTRCk=&amp;WINDOW=FIRST_POPUP&amp;HEIGHT=450&amp;WIDTH=450&amp;START_MA","XIMIZED=FALSE&amp;VAR:CALENDAR=US&amp;VAR:SYMBOL=MRK&amp;VAR:INDEX=0"}</definedName>
    <definedName name="_2628__FDSAUDITLINK__" hidden="1">{"fdsup://directions/FAT Viewer?action=UPDATE&amp;creator=factset&amp;DYN_ARGS=TRUE&amp;DOC_NAME=FAT:FQL_AUDITING_CLIENT_TEMPLATE.FAT&amp;display_string=Audit&amp;VAR:KEY=BSFAVMVYRK&amp;VAR:QUERY=RkZfU0FMRVMoQ0FMLDM4MzUyLCwsLCk=&amp;WINDOW=FIRST_POPUP&amp;HEIGHT=450&amp;WIDTH=450&amp;START_MAXIMI","ZED=FALSE&amp;VAR:CALENDAR=US&amp;VAR:SYMBOL=SGP&amp;VAR:INDEX=0"}</definedName>
    <definedName name="_2629__FDSAUDITLINK__" hidden="1">{"fdsup://directions/FAT Viewer?action=UPDATE&amp;creator=factset&amp;DYN_ARGS=TRUE&amp;DOC_NAME=FAT:FQL_AUDITING_CLIENT_TEMPLATE.FAT&amp;display_string=Audit&amp;VAR:KEY=LGHWFEBQFK&amp;VAR:QUERY=RkZfU0FMRVMoQ0FMLDQwNTQzLCwsLCk=&amp;WINDOW=FIRST_POPUP&amp;HEIGHT=450&amp;WIDTH=450&amp;START_MAXIMI","ZED=FALSE&amp;VAR:CALENDAR=US&amp;VAR:SYMBOL=PFE&amp;VAR:INDEX=0"}</definedName>
    <definedName name="_263__FDSAUDITLINK__" hidden="1">{"fdsup://directions/FAT%20Viewer?VAR:TM=NTMA&amp;VAR:PCT=0.252055&amp;VAR:Y0=2005&amp;VAR:Y1=2006&amp;VAR:V0=15.968910&amp;VAR:V1=14.386936&amp;VAR:V=14.755378&amp;VAR:AUDIT_ID=00000117&amp;VAR:DATE=20050930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Aggregates&amp;VAR:MEASURE=PE_MEAN&amp;VAR:CALC_MODE=PORTFOLIO&amp;VAR:CHGPERIOD=NA&amp;VAR:FQLFORMULA=FMA_PE&amp;VAR:CURRENCY=USD&amp;VAR:P=1","228.811400&amp;VAR:THRESH=||||||&amp;VAR:null=.html"}</definedName>
    <definedName name="_2630__FDSAUDITLINK__" hidden="1">{"fdsup://directions/FAT Viewer?action=UPDATE&amp;creator=factset&amp;DYN_ARGS=TRUE&amp;DOC_NAME=FAT:FQL_AUDITING_CLIENT_TEMPLATE.FAT&amp;display_string=Audit&amp;VAR:KEY=VUBGPEPQXE&amp;VAR:QUERY=RkZfU0FMRVMoQ0FMLDQwMTc4LCwsLFVTRCk=&amp;WINDOW=FIRST_POPUP&amp;HEIGHT=450&amp;WIDTH=450&amp;START_MA","XIMIZED=FALSE&amp;VAR:CALENDAR=US&amp;VAR:SYMBOL=PFE&amp;VAR:INDEX=0"}</definedName>
    <definedName name="_2631__FDSAUDITLINK__" hidden="1">{"fdsup://directions/FAT Viewer?action=UPDATE&amp;creator=factset&amp;DYN_ARGS=TRUE&amp;DOC_NAME=FAT:FQL_AUDITING_CLIENT_TEMPLATE.FAT&amp;display_string=Audit&amp;VAR:KEY=TALIFCXGLY&amp;VAR:QUERY=RkZfU0FMRVMoQ0FMLDM5ODEzLCwsLFVTRCk=&amp;WINDOW=FIRST_POPUP&amp;HEIGHT=450&amp;WIDTH=450&amp;START_MA","XIMIZED=FALSE&amp;VAR:CALENDAR=US&amp;VAR:SYMBOL=PFE&amp;VAR:INDEX=0"}</definedName>
    <definedName name="_2632__FDSAUDITLINK__" hidden="1">{"fdsup://directions/FAT Viewer?action=UPDATE&amp;creator=factset&amp;DYN_ARGS=TRUE&amp;DOC_NAME=FAT:FQL_AUDITING_CLIENT_TEMPLATE.FAT&amp;display_string=Audit&amp;VAR:KEY=VQLSXQNWTQ&amp;VAR:QUERY=RkZfU0FMRVMoQ0FMLDM5ODEzLCwsLCk=&amp;WINDOW=FIRST_POPUP&amp;HEIGHT=450&amp;WIDTH=450&amp;START_MAXIMI","ZED=FALSE&amp;VAR:CALENDAR=US&amp;VAR:SYMBOL=WYE&amp;VAR:INDEX=0"}</definedName>
    <definedName name="_2633__FDSAUDITLINK__" hidden="1">{"fdsup://directions/FAT Viewer?action=UPDATE&amp;creator=factset&amp;DYN_ARGS=TRUE&amp;DOC_NAME=FAT:FQL_AUDITING_CLIENT_TEMPLATE.FAT&amp;display_string=Audit&amp;VAR:KEY=XGZEZUPELA&amp;VAR:QUERY=RkZfU0FMRVMoQ0FMLDM5NDQ3LCwsLFVTRCk=&amp;WINDOW=FIRST_POPUP&amp;HEIGHT=450&amp;WIDTH=450&amp;START_MA","XIMIZED=FALSE&amp;VAR:CALENDAR=US&amp;VAR:SYMBOL=PFE&amp;VAR:INDEX=0"}</definedName>
    <definedName name="_2634__FDSAUDITLINK__" hidden="1">{"fdsup://directions/FAT Viewer?action=UPDATE&amp;creator=factset&amp;DYN_ARGS=TRUE&amp;DOC_NAME=FAT:FQL_AUDITING_CLIENT_TEMPLATE.FAT&amp;display_string=Audit&amp;VAR:KEY=LYBCHAXYFU&amp;VAR:QUERY=RkZfU0FMRVMoQ0FMLDM5NDQ3LCwsLCk=&amp;WINDOW=FIRST_POPUP&amp;HEIGHT=450&amp;WIDTH=450&amp;START_MAXIMI","ZED=FALSE&amp;VAR:CALENDAR=US&amp;VAR:SYMBOL=WYE&amp;VAR:INDEX=0"}</definedName>
    <definedName name="_2635__FDSAUDITLINK__" hidden="1">{"fdsup://directions/FAT Viewer?action=UPDATE&amp;creator=factset&amp;DYN_ARGS=TRUE&amp;DOC_NAME=FAT:FQL_AUDITING_CLIENT_TEMPLATE.FAT&amp;display_string=Audit&amp;VAR:KEY=VCRKNMRSXU&amp;VAR:QUERY=RkZfU0FMRVMoQ0FMLDM5MDgyLCwsLFVTRCk=&amp;WINDOW=FIRST_POPUP&amp;HEIGHT=450&amp;WIDTH=450&amp;START_MA","XIMIZED=FALSE&amp;VAR:CALENDAR=US&amp;VAR:SYMBOL=PFE&amp;VAR:INDEX=0"}</definedName>
    <definedName name="_2636__FDSAUDITLINK__" hidden="1">{"fdsup://directions/FAT Viewer?action=UPDATE&amp;creator=factset&amp;DYN_ARGS=TRUE&amp;DOC_NAME=FAT:FQL_AUDITING_CLIENT_TEMPLATE.FAT&amp;display_string=Audit&amp;VAR:KEY=VEPGFILCPM&amp;VAR:QUERY=RkZfU0FMRVMoQ0FMLDM5MDgyLCwsLCk=&amp;WINDOW=FIRST_POPUP&amp;HEIGHT=450&amp;WIDTH=450&amp;START_MAXIMI","ZED=FALSE&amp;VAR:CALENDAR=US&amp;VAR:SYMBOL=WYE&amp;VAR:INDEX=0"}</definedName>
    <definedName name="_2637__FDSAUDITLINK__" hidden="1">{"fdsup://directions/FAT Viewer?action=UPDATE&amp;creator=factset&amp;DYN_ARGS=TRUE&amp;DOC_NAME=FAT:FQL_AUDITING_CLIENT_TEMPLATE.FAT&amp;display_string=Audit&amp;VAR:KEY=XSFMPONEVU&amp;VAR:QUERY=RkZfU0FMRVMoQ0FMLDM4NzE3LCwsLFVTRCk=&amp;WINDOW=FIRST_POPUP&amp;HEIGHT=450&amp;WIDTH=450&amp;START_MA","XIMIZED=FALSE&amp;VAR:CALENDAR=US&amp;VAR:SYMBOL=PFE&amp;VAR:INDEX=0"}</definedName>
    <definedName name="_2638__FDSAUDITLINK__" hidden="1">{"fdsup://directions/FAT Viewer?action=UPDATE&amp;creator=factset&amp;DYN_ARGS=TRUE&amp;DOC_NAME=FAT:FQL_AUDITING_CLIENT_TEMPLATE.FAT&amp;display_string=Audit&amp;VAR:KEY=LIHSTKLYLI&amp;VAR:QUERY=RkZfU0FMRVMoQ0FMLDM4NzE3LCwsLCk=&amp;WINDOW=FIRST_POPUP&amp;HEIGHT=450&amp;WIDTH=450&amp;START_MAXIMI","ZED=FALSE&amp;VAR:CALENDAR=US&amp;VAR:SYMBOL=WYE&amp;VAR:INDEX=0"}</definedName>
    <definedName name="_2639__FDSAUDITLINK__" hidden="1">{"fdsup://directions/FAT Viewer?action=UPDATE&amp;creator=factset&amp;DYN_ARGS=TRUE&amp;DOC_NAME=FAT:FQL_AUDITING_CLIENT_TEMPLATE.FAT&amp;display_string=Audit&amp;VAR:KEY=ZQNSHKVOTE&amp;VAR:QUERY=RkZfU0FMRVMoQ0FMLDM4MzUyLCwsLFVTRCk=&amp;WINDOW=FIRST_POPUP&amp;HEIGHT=450&amp;WIDTH=450&amp;START_MA","XIMIZED=FALSE&amp;VAR:CALENDAR=US&amp;VAR:SYMBOL=PFE&amp;VAR:INDEX=0"}</definedName>
    <definedName name="_264__FDSAUDITLINK__" hidden="1">{"fdsup://directions/FAT%20Viewer?VAR:TM=NTMA&amp;VAR:PCT=0.271233&amp;VAR:Y0=2005&amp;VAR:Y1=2006&amp;VAR:V0=15.777946&amp;VAR:V1=14.228935&amp;VAR:V=14.618195&amp;VAR:AUDIT_ID=00000117&amp;VAR:DATE=20050923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Aggregates&amp;VAR:MEASURE=PE_MEAN&amp;VAR:CALC_MODE=PORTFOLIO&amp;VAR:CHGPERIOD=NA&amp;VAR:FQLFORMULA=FMA_PE&amp;VAR:CURRENCY=USD&amp;VAR:P=1","215.291400&amp;VAR:THRESH=||||||&amp;VAR:null=.html"}</definedName>
    <definedName name="_2640__FDSAUDITLINK__" hidden="1">{"fdsup://directions/FAT Viewer?action=UPDATE&amp;creator=factset&amp;DYN_ARGS=TRUE&amp;DOC_NAME=FAT:FQL_AUDITING_CLIENT_TEMPLATE.FAT&amp;display_string=Audit&amp;VAR:KEY=ZIFWJMBGTI&amp;VAR:QUERY=RkZfU0FMRVMoQ0FMLDM4MzUyLCwsLCk=&amp;WINDOW=FIRST_POPUP&amp;HEIGHT=450&amp;WIDTH=450&amp;START_MAXIMI","ZED=FALSE&amp;VAR:CALENDAR=US&amp;VAR:SYMBOL=WYE&amp;VAR:INDEX=0"}</definedName>
    <definedName name="_2641__FDSAUDITLINK__" hidden="1">{"fdsup://directions/FAT Viewer?action=UPDATE&amp;creator=factset&amp;DYN_ARGS=TRUE&amp;DOC_NAME=FAT:FQL_AUDITING_CLIENT_TEMPLATE.FAT&amp;display_string=Audit&amp;VAR:KEY=DIVKNITAZM&amp;VAR:QUERY=RkZfUkRfRVhQKENBTCwyMDA4LCwsLFVTRCk=&amp;WINDOW=FIRST_POPUP&amp;HEIGHT=450&amp;WIDTH=450&amp;START_MA","XIMIZED=FALSE&amp;VAR:CALENDAR=US&amp;VAR:SYMBOL=WYE&amp;VAR:INDEX=0"}</definedName>
    <definedName name="_2642__FDSAUDITLINK__" hidden="1">{"fdsup://directions/FAT Viewer?action=UPDATE&amp;creator=factset&amp;DYN_ARGS=TRUE&amp;DOC_NAME=FAT:FQL_AUDITING_CLIENT_TEMPLATE.FAT&amp;display_string=Audit&amp;VAR:KEY=HCLYRIPKVQ&amp;VAR:QUERY=RkZfUkRfRVhQKENBTCwyMDA3LCwsLFVTRCk=&amp;WINDOW=FIRST_POPUP&amp;HEIGHT=450&amp;WIDTH=450&amp;START_MA","XIMIZED=FALSE&amp;VAR:CALENDAR=US&amp;VAR:SYMBOL=WYE&amp;VAR:INDEX=0"}</definedName>
    <definedName name="_2643__FDSAUDITLINK__" hidden="1">{"fdsup://directions/FAT Viewer?action=UPDATE&amp;creator=factset&amp;DYN_ARGS=TRUE&amp;DOC_NAME=FAT:FQL_AUDITING_CLIENT_TEMPLATE.FAT&amp;display_string=Audit&amp;VAR:KEY=XKJURUPUXI&amp;VAR:QUERY=RkZfUkRfRVhQKENBTCwyMDA4LCwsLFVTRCk=&amp;WINDOW=FIRST_POPUP&amp;HEIGHT=450&amp;WIDTH=450&amp;START_MA","XIMIZED=FALSE&amp;VAR:CALENDAR=US&amp;VAR:SYMBOL=BIIB&amp;VAR:INDEX=0"}</definedName>
    <definedName name="_2644__FDSAUDITLINK__" hidden="1">{"fdsup://directions/FAT Viewer?action=UPDATE&amp;creator=factset&amp;DYN_ARGS=TRUE&amp;DOC_NAME=FAT:FQL_AUDITING_CLIENT_TEMPLATE.FAT&amp;display_string=Audit&amp;VAR:KEY=DWTCTGDURW&amp;VAR:QUERY=RkZfUkRfRVhQKENBTCwyMDA3LCwsLFVTRCk=&amp;WINDOW=FIRST_POPUP&amp;HEIGHT=450&amp;WIDTH=450&amp;START_MA","XIMIZED=FALSE&amp;VAR:CALENDAR=US&amp;VAR:SYMBOL=BIIB&amp;VAR:INDEX=0"}</definedName>
    <definedName name="_2645__FDSAUDITLINK__" hidden="1">{"fdsup://directions/FAT Viewer?action=UPDATE&amp;creator=factset&amp;DYN_ARGS=TRUE&amp;DOC_NAME=FAT:FQL_AUDITING_CLIENT_TEMPLATE.FAT&amp;display_string=Audit&amp;VAR:KEY=ZKDQPGHSNO&amp;VAR:QUERY=RkZfUkRfRVhQKENBTCwyMDA4LCwsLFVTRCk=&amp;WINDOW=FIRST_POPUP&amp;HEIGHT=450&amp;WIDTH=450&amp;START_MA","XIMIZED=FALSE&amp;VAR:CALENDAR=US&amp;VAR:SYMBOL=707752&amp;VAR:INDEX=0"}</definedName>
    <definedName name="_2646__FDSAUDITLINK__" hidden="1">{"fdsup://directions/FAT Viewer?action=UPDATE&amp;creator=factset&amp;DYN_ARGS=TRUE&amp;DOC_NAME=FAT:FQL_AUDITING_CLIENT_TEMPLATE.FAT&amp;display_string=Audit&amp;VAR:KEY=HKJQHCVUFC&amp;VAR:QUERY=RkZfUkRfRVhQKENBTCwyMDA3LCwsLFVTRCk=&amp;WINDOW=FIRST_POPUP&amp;HEIGHT=450&amp;WIDTH=450&amp;START_MA","XIMIZED=FALSE&amp;VAR:CALENDAR=US&amp;VAR:SYMBOL=707752&amp;VAR:INDEX=0"}</definedName>
    <definedName name="_2647__FDSAUDITLINK__" hidden="1">{"fdsup://directions/FAT Viewer?action=UPDATE&amp;creator=factset&amp;DYN_ARGS=TRUE&amp;DOC_NAME=FAT:FQL_AUDITING_CLIENT_TEMPLATE.FAT&amp;display_string=Audit&amp;VAR:KEY=XSPCXOXWFG&amp;VAR:QUERY=RkZfUkRfRVhQKENBTCwyMDA4LCwsLFVTRCk=&amp;WINDOW=FIRST_POPUP&amp;HEIGHT=450&amp;WIDTH=450&amp;START_MA","XIMIZED=FALSE&amp;VAR:CALENDAR=US&amp;VAR:SYMBOL=630720&amp;VAR:INDEX=0"}</definedName>
    <definedName name="_2648__FDSAUDITLINK__" hidden="1">{"fdsup://directions/FAT Viewer?action=UPDATE&amp;creator=factset&amp;DYN_ARGS=TRUE&amp;DOC_NAME=FAT:FQL_AUDITING_CLIENT_TEMPLATE.FAT&amp;display_string=Audit&amp;VAR:KEY=BEDORSJANQ&amp;VAR:QUERY=RkZfUkRfRVhQKENBTCwyMDA3LCwsLFVTRCk=&amp;WINDOW=FIRST_POPUP&amp;HEIGHT=450&amp;WIDTH=450&amp;START_MA","XIMIZED=FALSE&amp;VAR:CALENDAR=US&amp;VAR:SYMBOL=630720&amp;VAR:INDEX=0"}</definedName>
    <definedName name="_2649__FDSAUDITLINK__" hidden="1">{"fdsup://directions/FAT Viewer?action=UPDATE&amp;creator=factset&amp;DYN_ARGS=TRUE&amp;DOC_NAME=FAT:FQL_AUDITING_CLIENT_TEMPLATE.FAT&amp;display_string=Audit&amp;VAR:KEY=ZEPGFQJADE&amp;VAR:QUERY=RkZfUkRfRVhQKENBTCwyMDA4LCwsLFVTRCk=&amp;WINDOW=FIRST_POPUP&amp;HEIGHT=450&amp;WIDTH=450&amp;START_MA","XIMIZED=FALSE&amp;VAR:CALENDAR=US&amp;VAR:SYMBOL=698538&amp;VAR:INDEX=0"}</definedName>
    <definedName name="_265__FDSAUDITLINK__" hidden="1">{"fdsup://directions/FAT%20Viewer?VAR:TM=NTMA&amp;VAR:PCT=0.290411&amp;VAR:Y0=2005&amp;VAR:Y1=2006&amp;VAR:V0=16.129032&amp;VAR:V1=14.556097&amp;VAR:V=14.980363&amp;VAR:AUDIT_ID=00000117&amp;VAR:DATE=20050916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Aggregates&amp;VAR:MEASURE=PE_MEAN&amp;VAR:CALC_MODE=PORTFOLIO&amp;VAR:CHGPERIOD=NA&amp;VAR:FQLFORMULA=FMA_PE&amp;VAR:CURRENCY=USD&amp;VAR:P=1","237.913300&amp;VAR:THRESH=||||||&amp;VAR:null=.html"}</definedName>
    <definedName name="_2650__FDSAUDITLINK__" hidden="1">{"fdsup://directions/FAT Viewer?action=UPDATE&amp;creator=factset&amp;DYN_ARGS=TRUE&amp;DOC_NAME=FAT:FQL_AUDITING_CLIENT_TEMPLATE.FAT&amp;display_string=Audit&amp;VAR:KEY=HALOFQXSVO&amp;VAR:QUERY=RkZfUkRfRVhQKENBTCwyMDA3LCwsLFVTRCk=&amp;WINDOW=FIRST_POPUP&amp;HEIGHT=450&amp;WIDTH=450&amp;START_MA","XIMIZED=FALSE&amp;VAR:CALENDAR=US&amp;VAR:SYMBOL=698538&amp;VAR:INDEX=0"}</definedName>
    <definedName name="_2651__FDSAUDITLINK__" hidden="1">{"fdsup://directions/FAT Viewer?action=UPDATE&amp;creator=factset&amp;DYN_ARGS=TRUE&amp;DOC_NAME=FAT:FQL_AUDITING_CLIENT_TEMPLATE.FAT&amp;display_string=Audit&amp;VAR:KEY=BURSXUHEJK&amp;VAR:QUERY=RkZfUkRfRVhQKENBTCwyMDA4LCwsLFVTRCk=&amp;WINDOW=FIRST_POPUP&amp;HEIGHT=450&amp;WIDTH=450&amp;START_MA","XIMIZED=FALSE&amp;VAR:CALENDAR=US&amp;VAR:SYMBOL=B0J7D9&amp;VAR:INDEX=0"}</definedName>
    <definedName name="_2652__FDSAUDITLINK__" hidden="1">{"fdsup://directions/FAT Viewer?action=UPDATE&amp;creator=factset&amp;DYN_ARGS=TRUE&amp;DOC_NAME=FAT:FQL_AUDITING_CLIENT_TEMPLATE.FAT&amp;display_string=Audit&amp;VAR:KEY=LABKHYRYVS&amp;VAR:QUERY=RkZfUkRfRVhQKENBTCwyMDA3LCwsLFVTRCk=&amp;WINDOW=FIRST_POPUP&amp;HEIGHT=450&amp;WIDTH=450&amp;START_MA","XIMIZED=FALSE&amp;VAR:CALENDAR=US&amp;VAR:SYMBOL=B0J7D9&amp;VAR:INDEX=0"}</definedName>
    <definedName name="_2653__FDSAUDITLINK__" hidden="1">{"fdsup://directions/FAT Viewer?action=UPDATE&amp;creator=factset&amp;DYN_ARGS=TRUE&amp;DOC_NAME=FAT:FQL_AUDITING_CLIENT_TEMPLATE.FAT&amp;display_string=Audit&amp;VAR:KEY=XQBYHAHMJE&amp;VAR:QUERY=RkZfUkRfRVhQKENBTCwyMDA4LCwsLFVTRCk=&amp;WINDOW=FIRST_POPUP&amp;HEIGHT=450&amp;WIDTH=450&amp;START_MA","XIMIZED=FALSE&amp;VAR:CALENDAR=US&amp;VAR:SYMBOL=AMGN&amp;VAR:INDEX=0"}</definedName>
    <definedName name="_2654__FDSAUDITLINK__" hidden="1">{"fdsup://directions/FAT Viewer?action=UPDATE&amp;creator=factset&amp;DYN_ARGS=TRUE&amp;DOC_NAME=FAT:FQL_AUDITING_CLIENT_TEMPLATE.FAT&amp;display_string=Audit&amp;VAR:KEY=RWVUPEFUXW&amp;VAR:QUERY=RkZfUkRfRVhQKENBTCwyMDA3LCwsLFVTRCk=&amp;WINDOW=FIRST_POPUP&amp;HEIGHT=450&amp;WIDTH=450&amp;START_MA","XIMIZED=FALSE&amp;VAR:CALENDAR=US&amp;VAR:SYMBOL=AMGN&amp;VAR:INDEX=0"}</definedName>
    <definedName name="_2655__FDSAUDITLINK__" hidden="1">{"fdsup://directions/FAT Viewer?action=UPDATE&amp;creator=factset&amp;DYN_ARGS=TRUE&amp;DOC_NAME=FAT:FQL_AUDITING_CLIENT_TEMPLATE.FAT&amp;display_string=Audit&amp;VAR:KEY=HUJQRCJEBE&amp;VAR:QUERY=RkZfUkRfRVhQKENBTCwyMDA4LCwsLFVTRCk=&amp;WINDOW=FIRST_POPUP&amp;HEIGHT=450&amp;WIDTH=450&amp;START_MA","XIMIZED=FALSE&amp;VAR:CALENDAR=US&amp;VAR:SYMBOL=ABT&amp;VAR:INDEX=0"}</definedName>
    <definedName name="_2656__FDSAUDITLINK__" hidden="1">{"fdsup://directions/FAT Viewer?action=UPDATE&amp;creator=factset&amp;DYN_ARGS=TRUE&amp;DOC_NAME=FAT:FQL_AUDITING_CLIENT_TEMPLATE.FAT&amp;display_string=Audit&amp;VAR:KEY=BYVWXYRQNK&amp;VAR:QUERY=RkZfUkRfRVhQKENBTCwyMDA3LCwsLFVTRCk=&amp;WINDOW=FIRST_POPUP&amp;HEIGHT=450&amp;WIDTH=450&amp;START_MA","XIMIZED=FALSE&amp;VAR:CALENDAR=US&amp;VAR:SYMBOL=ABT&amp;VAR:INDEX=0"}</definedName>
    <definedName name="_2657__FDSAUDITLINK__" hidden="1">{"fdsup://directions/FAT Viewer?action=UPDATE&amp;creator=factset&amp;DYN_ARGS=TRUE&amp;DOC_NAME=FAT:FQL_AUDITING_CLIENT_TEMPLATE.FAT&amp;display_string=Audit&amp;VAR:KEY=ZUPYRQFSRU&amp;VAR:QUERY=RkZfUkRfRVhQKENBTCwyMDA4LCwsLFVTRCk=&amp;WINDOW=FIRST_POPUP&amp;HEIGHT=450&amp;WIDTH=450&amp;START_MA","XIMIZED=FALSE&amp;VAR:CALENDAR=US&amp;VAR:SYMBOL=687044&amp;VAR:INDEX=0"}</definedName>
    <definedName name="_2658__FDSAUDITLINK__" hidden="1">{"fdsup://directions/FAT Viewer?action=UPDATE&amp;creator=factset&amp;DYN_ARGS=TRUE&amp;DOC_NAME=FAT:FQL_AUDITING_CLIENT_TEMPLATE.FAT&amp;display_string=Audit&amp;VAR:KEY=ZMRALSXARE&amp;VAR:QUERY=RkZfUkRfRVhQKENBTCwyMDA3LCwsLFVTRCk=&amp;WINDOW=FIRST_POPUP&amp;HEIGHT=450&amp;WIDTH=450&amp;START_MA","XIMIZED=FALSE&amp;VAR:CALENDAR=US&amp;VAR:SYMBOL=687044&amp;VAR:INDEX=0"}</definedName>
    <definedName name="_2659__FDSAUDITLINK__" hidden="1">{"fdsup://directions/FAT Viewer?action=UPDATE&amp;creator=factset&amp;DYN_ARGS=TRUE&amp;DOC_NAME=FAT:FQL_AUDITING_CLIENT_TEMPLATE.FAT&amp;display_string=Audit&amp;VAR:KEY=ZMZYLSXEVK&amp;VAR:QUERY=RkZfUkRfRVhQKENBTCwyMDA4LCwsLFVTRCk=&amp;WINDOW=FIRST_POPUP&amp;HEIGHT=450&amp;WIDTH=450&amp;START_MA","XIMIZED=FALSE&amp;VAR:CALENDAR=US&amp;VAR:SYMBOL=BMY&amp;VAR:INDEX=0"}</definedName>
    <definedName name="_266__FDSAUDITLINK__" hidden="1">{"fdsup://directions/FAT%20Viewer?VAR:TM=NTMA&amp;VAR:PCT=0.309589&amp;VAR:Y0=2005&amp;VAR:Y1=2006&amp;VAR:V0=16.203129&amp;VAR:V1=14.641106&amp;VAR:V=15.091515&amp;VAR:AUDIT_ID=00000117&amp;VAR:DATE=20050909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Aggregates&amp;VAR:MEASURE=PE_MEAN&amp;VAR:CALC_MODE=PORTFOLIO&amp;VAR:CHGPERIOD=NA&amp;VAR:FQLFORMULA=FMA_PE&amp;VAR:CURRENCY=USD&amp;VAR:P=1","241.476200&amp;VAR:THRESH=||||||&amp;VAR:null=.html"}</definedName>
    <definedName name="_2660__FDSAUDITLINK__" hidden="1">{"fdsup://directions/FAT Viewer?action=UPDATE&amp;creator=factset&amp;DYN_ARGS=TRUE&amp;DOC_NAME=FAT:FQL_AUDITING_CLIENT_TEMPLATE.FAT&amp;display_string=Audit&amp;VAR:KEY=RENSXGJCBC&amp;VAR:QUERY=RkZfUkRfRVhQKENBTCwyMDA3LCwsLFVTRCk=&amp;WINDOW=FIRST_POPUP&amp;HEIGHT=450&amp;WIDTH=450&amp;START_MA","XIMIZED=FALSE&amp;VAR:CALENDAR=US&amp;VAR:SYMBOL=BMY&amp;VAR:INDEX=0"}</definedName>
    <definedName name="_2661__FDSAUDITLINK__" hidden="1">{"fdsup://directions/FAT Viewer?action=UPDATE&amp;creator=factset&amp;DYN_ARGS=TRUE&amp;DOC_NAME=FAT:FQL_AUDITING_CLIENT_TEMPLATE.FAT&amp;display_string=Audit&amp;VAR:KEY=BSNATUHMFQ&amp;VAR:QUERY=RkZfUkRfRVhQKENBTCwyMDA4LCwsLFVTRCk=&amp;WINDOW=FIRST_POPUP&amp;HEIGHT=450&amp;WIDTH=450&amp;START_MA","XIMIZED=FALSE&amp;VAR:CALENDAR=US&amp;VAR:SYMBOL=LLY&amp;VAR:INDEX=0"}</definedName>
    <definedName name="_2662__FDSAUDITLINK__" hidden="1">{"fdsup://directions/FAT Viewer?action=UPDATE&amp;creator=factset&amp;DYN_ARGS=TRUE&amp;DOC_NAME=FAT:FQL_AUDITING_CLIENT_TEMPLATE.FAT&amp;display_string=Audit&amp;VAR:KEY=DOHSHEVKPM&amp;VAR:QUERY=RkZfUkRfRVhQKENBTCwyMDA3LCwsLFVTRCk=&amp;WINDOW=FIRST_POPUP&amp;HEIGHT=450&amp;WIDTH=450&amp;START_MA","XIMIZED=FALSE&amp;VAR:CALENDAR=US&amp;VAR:SYMBOL=LLY&amp;VAR:INDEX=0"}</definedName>
    <definedName name="_2663__FDSAUDITLINK__" hidden="1">{"fdsup://directions/FAT Viewer?action=UPDATE&amp;creator=factset&amp;DYN_ARGS=TRUE&amp;DOC_NAME=FAT:FQL_AUDITING_CLIENT_TEMPLATE.FAT&amp;display_string=Audit&amp;VAR:KEY=JKHWTOZSRO&amp;VAR:QUERY=RkZfUkRfRVhQKENBTCwyMDA4LCwsLFVTRCk=&amp;WINDOW=FIRST_POPUP&amp;HEIGHT=450&amp;WIDTH=450&amp;START_MA","XIMIZED=FALSE&amp;VAR:CALENDAR=US&amp;VAR:SYMBOL=506921&amp;VAR:INDEX=0"}</definedName>
    <definedName name="_2664__FDSAUDITLINK__" hidden="1">{"fdsup://directions/FAT Viewer?action=UPDATE&amp;creator=factset&amp;DYN_ARGS=TRUE&amp;DOC_NAME=FAT:FQL_AUDITING_CLIENT_TEMPLATE.FAT&amp;display_string=Audit&amp;VAR:KEY=RCZEJWXODC&amp;VAR:QUERY=RkZfUkRfRVhQKENBTCwyMDA3LCwsLFVTRCk=&amp;WINDOW=FIRST_POPUP&amp;HEIGHT=450&amp;WIDTH=450&amp;START_MA","XIMIZED=FALSE&amp;VAR:CALENDAR=US&amp;VAR:SYMBOL=506921&amp;VAR:INDEX=0"}</definedName>
    <definedName name="_2665__FDSAUDITLINK__" hidden="1">{"fdsup://directions/FAT Viewer?action=UPDATE&amp;creator=factset&amp;DYN_ARGS=TRUE&amp;DOC_NAME=FAT:FQL_AUDITING_CLIENT_TEMPLATE.FAT&amp;display_string=Audit&amp;VAR:KEY=NGTOJGBUXY&amp;VAR:QUERY=RkZfUkRfRVhQKENBTCwyMDA4LCwsLFVTRCk=&amp;WINDOW=FIRST_POPUP&amp;HEIGHT=450&amp;WIDTH=450&amp;START_MA","XIMIZED=FALSE&amp;VAR:CALENDAR=US&amp;VAR:SYMBOL=567173&amp;VAR:INDEX=0"}</definedName>
    <definedName name="_2666__FDSAUDITLINK__" hidden="1">{"fdsup://directions/FAT Viewer?action=UPDATE&amp;creator=factset&amp;DYN_ARGS=TRUE&amp;DOC_NAME=FAT:FQL_AUDITING_CLIENT_TEMPLATE.FAT&amp;display_string=Audit&amp;VAR:KEY=RAZEFOLQPC&amp;VAR:QUERY=RkZfUkRfRVhQKENBTCwyMDA3LCwsLFVTRCk=&amp;WINDOW=FIRST_POPUP&amp;HEIGHT=450&amp;WIDTH=450&amp;START_MA","XIMIZED=FALSE&amp;VAR:CALENDAR=US&amp;VAR:SYMBOL=567173&amp;VAR:INDEX=0"}</definedName>
    <definedName name="_2667__FDSAUDITLINK__" hidden="1">{"fdsup://directions/FAT Viewer?action=UPDATE&amp;creator=factset&amp;DYN_ARGS=TRUE&amp;DOC_NAME=FAT:FQL_AUDITING_CLIENT_TEMPLATE.FAT&amp;display_string=Audit&amp;VAR:KEY=XKRABGFMPG&amp;VAR:QUERY=RkZfUkRfRVhQKENBTCwyMDA4LCwsLFVTRCk=&amp;WINDOW=FIRST_POPUP&amp;HEIGHT=450&amp;WIDTH=450&amp;START_MA","XIMIZED=FALSE&amp;VAR:CALENDAR=US&amp;VAR:SYMBOL=JNJ&amp;VAR:INDEX=0"}</definedName>
    <definedName name="_2668__FDSAUDITLINK__" hidden="1">{"fdsup://directions/FAT Viewer?action=UPDATE&amp;creator=factset&amp;DYN_ARGS=TRUE&amp;DOC_NAME=FAT:FQL_AUDITING_CLIENT_TEMPLATE.FAT&amp;display_string=Audit&amp;VAR:KEY=LCJKLSDCRQ&amp;VAR:QUERY=RkZfUkRfRVhQKENBTCwyMDA3LCwsLFVTRCk=&amp;WINDOW=FIRST_POPUP&amp;HEIGHT=450&amp;WIDTH=450&amp;START_MA","XIMIZED=FALSE&amp;VAR:CALENDAR=US&amp;VAR:SYMBOL=JNJ&amp;VAR:INDEX=0"}</definedName>
    <definedName name="_2669__FDSAUDITLINK__" hidden="1">{"fdsup://directions/FAT Viewer?action=UPDATE&amp;creator=factset&amp;DYN_ARGS=TRUE&amp;DOC_NAME=FAT:FQL_AUDITING_CLIENT_TEMPLATE.FAT&amp;display_string=Audit&amp;VAR:KEY=LMTQHUVWVA&amp;VAR:QUERY=RkZfUkRfRVhQKENBTCwyMDA4LCwsLFVTRCk=&amp;WINDOW=FIRST_POPUP&amp;HEIGHT=450&amp;WIDTH=450&amp;START_MA","XIMIZED=FALSE&amp;VAR:CALENDAR=US&amp;VAR:SYMBOL=710306&amp;VAR:INDEX=0"}</definedName>
    <definedName name="_267__FDSAUDITLINK__" hidden="1">{"fdsup://directions/FAT%20Viewer?VAR:TM=NTMA&amp;VAR:PCT=0.328767&amp;VAR:Y0=2005&amp;VAR:Y1=2006&amp;VAR:V0=15.944333&amp;VAR:V1=14.426846&amp;VAR:V=14.892845&amp;VAR:AUDIT_ID=00000117&amp;VAR:DATE=20050902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Aggregates&amp;VAR:MEASURE=PE_MEAN&amp;VAR:CALC_MODE=PORTFOLIO&amp;VAR:CHGPERIOD=NA&amp;VAR:FQLFORMULA=FMA_PE&amp;VAR:CURRENCY=USD&amp;VAR:P=1","218.021100&amp;VAR:THRESH=||||||&amp;VAR:null=.html"}</definedName>
    <definedName name="_2670__FDSAUDITLINK__" hidden="1">{"fdsup://directions/FAT Viewer?action=UPDATE&amp;creator=factset&amp;DYN_ARGS=TRUE&amp;DOC_NAME=FAT:FQL_AUDITING_CLIENT_TEMPLATE.FAT&amp;display_string=Audit&amp;VAR:KEY=VYTORQNKTW&amp;VAR:QUERY=RkZfUkRfRVhQKENBTCwyMDA3LCwsLFVTRCk=&amp;WINDOW=FIRST_POPUP&amp;HEIGHT=450&amp;WIDTH=450&amp;START_MA","XIMIZED=FALSE&amp;VAR:CALENDAR=US&amp;VAR:SYMBOL=710306&amp;VAR:INDEX=0"}</definedName>
    <definedName name="_2671__FDSAUDITLINK__" hidden="1">{"fdsup://directions/FAT Viewer?action=UPDATE&amp;creator=factset&amp;DYN_ARGS=TRUE&amp;DOC_NAME=FAT:FQL_AUDITING_CLIENT_TEMPLATE.FAT&amp;display_string=Audit&amp;VAR:KEY=RAFAPGJURW&amp;VAR:QUERY=RkZfUkRfRVhQKENBTCwyMDA4LCwsLFVTRCk=&amp;WINDOW=FIRST_POPUP&amp;HEIGHT=450&amp;WIDTH=450&amp;START_MA","XIMIZED=FALSE&amp;VAR:CALENDAR=US&amp;VAR:SYMBOL=711038&amp;VAR:INDEX=0"}</definedName>
    <definedName name="_2672__FDSAUDITLINK__" hidden="1">{"fdsup://directions/FAT Viewer?action=UPDATE&amp;creator=factset&amp;DYN_ARGS=TRUE&amp;DOC_NAME=FAT:FQL_AUDITING_CLIENT_TEMPLATE.FAT&amp;display_string=Audit&amp;VAR:KEY=LKDSHOXEJE&amp;VAR:QUERY=RkZfUkRfRVhQKENBTCwyMDA4LCwsLFVTRCk=&amp;WINDOW=FIRST_POPUP&amp;HEIGHT=450&amp;WIDTH=450&amp;START_MA","XIMIZED=FALSE&amp;VAR:CALENDAR=US&amp;VAR:SYMBOL=MRK&amp;VAR:INDEX=0"}</definedName>
    <definedName name="_2673__FDSAUDITLINK__" hidden="1">{"fdsup://directions/FAT Viewer?action=UPDATE&amp;creator=factset&amp;DYN_ARGS=TRUE&amp;DOC_NAME=FAT:FQL_AUDITING_CLIENT_TEMPLATE.FAT&amp;display_string=Audit&amp;VAR:KEY=TILQDMTSFA&amp;VAR:QUERY=RkZfUkRfRVhQKENBTCwyMDA3LCwsLFVTRCk=&amp;WINDOW=FIRST_POPUP&amp;HEIGHT=450&amp;WIDTH=450&amp;START_MA","XIMIZED=FALSE&amp;VAR:CALENDAR=US&amp;VAR:SYMBOL=MRK&amp;VAR:INDEX=0"}</definedName>
    <definedName name="_2674__FDSAUDITLINK__" hidden="1">{"fdsup://directions/FAT Viewer?action=UPDATE&amp;creator=factset&amp;DYN_ARGS=TRUE&amp;DOC_NAME=FAT:FQL_AUDITING_CLIENT_TEMPLATE.FAT&amp;display_string=Audit&amp;VAR:KEY=JCJYXWPCFK&amp;VAR:QUERY=RkZfUkRfRVhQKENBTCwyMDA4LCwsLFVTRCk=&amp;WINDOW=FIRST_POPUP&amp;HEIGHT=450&amp;WIDTH=450&amp;START_MA","XIMIZED=FALSE&amp;VAR:CALENDAR=US&amp;VAR:SYMBOL=PFE&amp;VAR:INDEX=0"}</definedName>
    <definedName name="_2675__FDSAUDITLINK__" hidden="1">{"fdsup://directions/FAT Viewer?action=UPDATE&amp;creator=factset&amp;DYN_ARGS=TRUE&amp;DOC_NAME=FAT:FQL_AUDITING_CLIENT_TEMPLATE.FAT&amp;display_string=Audit&amp;VAR:KEY=VABOBMLSTS&amp;VAR:QUERY=RkZfUkRfRVhQKENBTCwyMDA3LCwsLFVTRCk=&amp;WINDOW=FIRST_POPUP&amp;HEIGHT=450&amp;WIDTH=450&amp;START_MA","XIMIZED=FALSE&amp;VAR:CALENDAR=US&amp;VAR:SYMBOL=PFE&amp;VAR:INDEX=0"}</definedName>
    <definedName name="_2676__FDSAUDITLINK__" hidden="1">{"fdsup://directions/FAT Viewer?action=UPDATE&amp;creator=factset&amp;DYN_ARGS=TRUE&amp;DOC_NAME=FAT:FQL_AUDITING_CLIENT_TEMPLATE.FAT&amp;display_string=Audit&amp;VAR:KEY=DIVKNITAZM&amp;VAR:QUERY=RkZfUkRfRVhQKENBTCwyMDA4LCwsLFVTRCk=&amp;WINDOW=FIRST_POPUP&amp;HEIGHT=450&amp;WIDTH=450&amp;START_MA","XIMIZED=FALSE&amp;VAR:CALENDAR=US&amp;VAR:SYMBOL=WYE&amp;VAR:INDEX=0"}</definedName>
    <definedName name="_2677__FDSAUDITLINK__" hidden="1">{"fdsup://directions/FAT Viewer?action=UPDATE&amp;creator=factset&amp;DYN_ARGS=TRUE&amp;DOC_NAME=FAT:FQL_AUDITING_CLIENT_TEMPLATE.FAT&amp;display_string=Audit&amp;VAR:KEY=HCLYRIPKVQ&amp;VAR:QUERY=RkZfUkRfRVhQKENBTCwyMDA3LCwsLFVTRCk=&amp;WINDOW=FIRST_POPUP&amp;HEIGHT=450&amp;WIDTH=450&amp;START_MA","XIMIZED=FALSE&amp;VAR:CALENDAR=US&amp;VAR:SYMBOL=WYE&amp;VAR:INDEX=0"}</definedName>
    <definedName name="_2678__FDSAUDITLINK__" hidden="1">{"fdsup://directions/FAT Viewer?action=UPDATE&amp;creator=factset&amp;DYN_ARGS=TRUE&amp;DOC_NAME=FAT:FQL_AUDITING_CLIENT_TEMPLATE.FAT&amp;display_string=Audit&amp;VAR:KEY=XKJURUPUXI&amp;VAR:QUERY=RkZfUkRfRVhQKENBTCwyMDA4LCwsLFVTRCk=&amp;WINDOW=FIRST_POPUP&amp;HEIGHT=450&amp;WIDTH=450&amp;START_MA","XIMIZED=FALSE&amp;VAR:CALENDAR=US&amp;VAR:SYMBOL=BIIB&amp;VAR:INDEX=0"}</definedName>
    <definedName name="_2679__FDSAUDITLINK__" hidden="1">{"fdsup://directions/FAT Viewer?action=UPDATE&amp;creator=factset&amp;DYN_ARGS=TRUE&amp;DOC_NAME=FAT:FQL_AUDITING_CLIENT_TEMPLATE.FAT&amp;display_string=Audit&amp;VAR:KEY=DWTCTGDURW&amp;VAR:QUERY=RkZfUkRfRVhQKENBTCwyMDA3LCwsLFVTRCk=&amp;WINDOW=FIRST_POPUP&amp;HEIGHT=450&amp;WIDTH=450&amp;START_MA","XIMIZED=FALSE&amp;VAR:CALENDAR=US&amp;VAR:SYMBOL=BIIB&amp;VAR:INDEX=0"}</definedName>
    <definedName name="_268__FDSAUDITLINK__" hidden="1">{"fdsup://directions/FAT%20Viewer?VAR:TM=NTMA&amp;VAR:PCT=0.347945&amp;VAR:Y0=2005&amp;VAR:Y1=2006&amp;VAR:V0=15.786361&amp;VAR:V1=14.291246&amp;VAR:V=14.778243&amp;VAR:AUDIT_ID=00000117&amp;VAR:DATE=20050826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Aggregates&amp;VAR:MEASURE=PE_MEAN&amp;VAR:CALC_MODE=PORTFOLIO&amp;VAR:CHGPERIOD=NA&amp;VAR:FQLFORMULA=FMA_PE&amp;VAR:CURRENCY=USD&amp;VAR:P=1","205.098000&amp;VAR:THRESH=||||||&amp;VAR:null=.html"}</definedName>
    <definedName name="_2680__FDSAUDITLINK__" hidden="1">{"fdsup://directions/FAT Viewer?action=UPDATE&amp;creator=factset&amp;DYN_ARGS=TRUE&amp;DOC_NAME=FAT:FQL_AUDITING_CLIENT_TEMPLATE.FAT&amp;display_string=Audit&amp;VAR:KEY=ZKDQPGHSNO&amp;VAR:QUERY=RkZfUkRfRVhQKENBTCwyMDA4LCwsLFVTRCk=&amp;WINDOW=FIRST_POPUP&amp;HEIGHT=450&amp;WIDTH=450&amp;START_MA","XIMIZED=FALSE&amp;VAR:CALENDAR=US&amp;VAR:SYMBOL=707752&amp;VAR:INDEX=0"}</definedName>
    <definedName name="_2681__FDSAUDITLINK__" hidden="1">{"fdsup://directions/FAT Viewer?action=UPDATE&amp;creator=factset&amp;DYN_ARGS=TRUE&amp;DOC_NAME=FAT:FQL_AUDITING_CLIENT_TEMPLATE.FAT&amp;display_string=Audit&amp;VAR:KEY=HKJQHCVUFC&amp;VAR:QUERY=RkZfUkRfRVhQKENBTCwyMDA3LCwsLFVTRCk=&amp;WINDOW=FIRST_POPUP&amp;HEIGHT=450&amp;WIDTH=450&amp;START_MA","XIMIZED=FALSE&amp;VAR:CALENDAR=US&amp;VAR:SYMBOL=707752&amp;VAR:INDEX=0"}</definedName>
    <definedName name="_2682__FDSAUDITLINK__" hidden="1">{"fdsup://directions/FAT Viewer?action=UPDATE&amp;creator=factset&amp;DYN_ARGS=TRUE&amp;DOC_NAME=FAT:FQL_AUDITING_CLIENT_TEMPLATE.FAT&amp;display_string=Audit&amp;VAR:KEY=XSPCXOXWFG&amp;VAR:QUERY=RkZfUkRfRVhQKENBTCwyMDA4LCwsLFVTRCk=&amp;WINDOW=FIRST_POPUP&amp;HEIGHT=450&amp;WIDTH=450&amp;START_MA","XIMIZED=FALSE&amp;VAR:CALENDAR=US&amp;VAR:SYMBOL=630720&amp;VAR:INDEX=0"}</definedName>
    <definedName name="_2683__FDSAUDITLINK__" hidden="1">{"fdsup://directions/FAT Viewer?action=UPDATE&amp;creator=factset&amp;DYN_ARGS=TRUE&amp;DOC_NAME=FAT:FQL_AUDITING_CLIENT_TEMPLATE.FAT&amp;display_string=Audit&amp;VAR:KEY=BEDORSJANQ&amp;VAR:QUERY=RkZfUkRfRVhQKENBTCwyMDA3LCwsLFVTRCk=&amp;WINDOW=FIRST_POPUP&amp;HEIGHT=450&amp;WIDTH=450&amp;START_MA","XIMIZED=FALSE&amp;VAR:CALENDAR=US&amp;VAR:SYMBOL=630720&amp;VAR:INDEX=0"}</definedName>
    <definedName name="_2684__FDSAUDITLINK__" hidden="1">{"fdsup://directions/FAT Viewer?action=UPDATE&amp;creator=factset&amp;DYN_ARGS=TRUE&amp;DOC_NAME=FAT:FQL_AUDITING_CLIENT_TEMPLATE.FAT&amp;display_string=Audit&amp;VAR:KEY=ZEPGFQJADE&amp;VAR:QUERY=RkZfUkRfRVhQKENBTCwyMDA4LCwsLFVTRCk=&amp;WINDOW=FIRST_POPUP&amp;HEIGHT=450&amp;WIDTH=450&amp;START_MA","XIMIZED=FALSE&amp;VAR:CALENDAR=US&amp;VAR:SYMBOL=698538&amp;VAR:INDEX=0"}</definedName>
    <definedName name="_2685__FDSAUDITLINK__" hidden="1">{"fdsup://directions/FAT Viewer?action=UPDATE&amp;creator=factset&amp;DYN_ARGS=TRUE&amp;DOC_NAME=FAT:FQL_AUDITING_CLIENT_TEMPLATE.FAT&amp;display_string=Audit&amp;VAR:KEY=HALOFQXSVO&amp;VAR:QUERY=RkZfUkRfRVhQKENBTCwyMDA3LCwsLFVTRCk=&amp;WINDOW=FIRST_POPUP&amp;HEIGHT=450&amp;WIDTH=450&amp;START_MA","XIMIZED=FALSE&amp;VAR:CALENDAR=US&amp;VAR:SYMBOL=698538&amp;VAR:INDEX=0"}</definedName>
    <definedName name="_2686__FDSAUDITLINK__" hidden="1">{"fdsup://directions/FAT Viewer?action=UPDATE&amp;creator=factset&amp;DYN_ARGS=TRUE&amp;DOC_NAME=FAT:FQL_AUDITING_CLIENT_TEMPLATE.FAT&amp;display_string=Audit&amp;VAR:KEY=BURSXUHEJK&amp;VAR:QUERY=RkZfUkRfRVhQKENBTCwyMDA4LCwsLFVTRCk=&amp;WINDOW=FIRST_POPUP&amp;HEIGHT=450&amp;WIDTH=450&amp;START_MA","XIMIZED=FALSE&amp;VAR:CALENDAR=US&amp;VAR:SYMBOL=B0J7D9&amp;VAR:INDEX=0"}</definedName>
    <definedName name="_2687__FDSAUDITLINK__" hidden="1">{"fdsup://directions/FAT Viewer?action=UPDATE&amp;creator=factset&amp;DYN_ARGS=TRUE&amp;DOC_NAME=FAT:FQL_AUDITING_CLIENT_TEMPLATE.FAT&amp;display_string=Audit&amp;VAR:KEY=LABKHYRYVS&amp;VAR:QUERY=RkZfUkRfRVhQKENBTCwyMDA3LCwsLFVTRCk=&amp;WINDOW=FIRST_POPUP&amp;HEIGHT=450&amp;WIDTH=450&amp;START_MA","XIMIZED=FALSE&amp;VAR:CALENDAR=US&amp;VAR:SYMBOL=B0J7D9&amp;VAR:INDEX=0"}</definedName>
    <definedName name="_2688__FDSAUDITLINK__" hidden="1">{"fdsup://directions/FAT Viewer?action=UPDATE&amp;creator=factset&amp;DYN_ARGS=TRUE&amp;DOC_NAME=FAT:FQL_AUDITING_CLIENT_TEMPLATE.FAT&amp;display_string=Audit&amp;VAR:KEY=XQBYHAHMJE&amp;VAR:QUERY=RkZfUkRfRVhQKENBTCwyMDA4LCwsLFVTRCk=&amp;WINDOW=FIRST_POPUP&amp;HEIGHT=450&amp;WIDTH=450&amp;START_MA","XIMIZED=FALSE&amp;VAR:CALENDAR=US&amp;VAR:SYMBOL=AMGN&amp;VAR:INDEX=0"}</definedName>
    <definedName name="_2689__FDSAUDITLINK__" hidden="1">{"fdsup://directions/FAT Viewer?action=UPDATE&amp;creator=factset&amp;DYN_ARGS=TRUE&amp;DOC_NAME=FAT:FQL_AUDITING_CLIENT_TEMPLATE.FAT&amp;display_string=Audit&amp;VAR:KEY=RWVUPEFUXW&amp;VAR:QUERY=RkZfUkRfRVhQKENBTCwyMDA3LCwsLFVTRCk=&amp;WINDOW=FIRST_POPUP&amp;HEIGHT=450&amp;WIDTH=450&amp;START_MA","XIMIZED=FALSE&amp;VAR:CALENDAR=US&amp;VAR:SYMBOL=AMGN&amp;VAR:INDEX=0"}</definedName>
    <definedName name="_269__FDSAUDITLINK__" hidden="1">{"fdsup://directions/FAT%20Viewer?VAR:TM=NTMA&amp;VAR:PCT=0.367123&amp;VAR:Y0=2005&amp;VAR:Y1=2006&amp;VAR:V0=16.000854&amp;VAR:V1=14.470337&amp;VAR:V=14.996973&amp;VAR:AUDIT_ID=00000117&amp;VAR:DATE=20050819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Aggregates&amp;VAR:MEASURE=PE_MEAN&amp;VAR:CALC_MODE=PORTFOLIO&amp;VAR:CHGPERIOD=NA&amp;VAR:FQLFORMULA=FMA_PE&amp;VAR:CURRENCY=USD&amp;VAR:P=1","219.712200&amp;VAR:THRESH=||||||&amp;VAR:null=.html"}</definedName>
    <definedName name="_2690__FDSAUDITLINK__" hidden="1">{"fdsup://directions/FAT Viewer?action=UPDATE&amp;creator=factset&amp;DYN_ARGS=TRUE&amp;DOC_NAME=FAT:FQL_AUDITING_CLIENT_TEMPLATE.FAT&amp;display_string=Audit&amp;VAR:KEY=HUJQRCJEBE&amp;VAR:QUERY=RkZfUkRfRVhQKENBTCwyMDA4LCwsLFVTRCk=&amp;WINDOW=FIRST_POPUP&amp;HEIGHT=450&amp;WIDTH=450&amp;START_MA","XIMIZED=FALSE&amp;VAR:CALENDAR=US&amp;VAR:SYMBOL=ABT&amp;VAR:INDEX=0"}</definedName>
    <definedName name="_2691__FDSAUDITLINK__" hidden="1">{"fdsup://directions/FAT Viewer?action=UPDATE&amp;creator=factset&amp;DYN_ARGS=TRUE&amp;DOC_NAME=FAT:FQL_AUDITING_CLIENT_TEMPLATE.FAT&amp;display_string=Audit&amp;VAR:KEY=BYVWXYRQNK&amp;VAR:QUERY=RkZfUkRfRVhQKENBTCwyMDA3LCwsLFVTRCk=&amp;WINDOW=FIRST_POPUP&amp;HEIGHT=450&amp;WIDTH=450&amp;START_MA","XIMIZED=FALSE&amp;VAR:CALENDAR=US&amp;VAR:SYMBOL=ABT&amp;VAR:INDEX=0"}</definedName>
    <definedName name="_2692__FDSAUDITLINK__" hidden="1">{"fdsup://directions/FAT Viewer?action=UPDATE&amp;creator=factset&amp;DYN_ARGS=TRUE&amp;DOC_NAME=FAT:FQL_AUDITING_CLIENT_TEMPLATE.FAT&amp;display_string=Audit&amp;VAR:KEY=ZUPYRQFSRU&amp;VAR:QUERY=RkZfUkRfRVhQKENBTCwyMDA4LCwsLFVTRCk=&amp;WINDOW=FIRST_POPUP&amp;HEIGHT=450&amp;WIDTH=450&amp;START_MA","XIMIZED=FALSE&amp;VAR:CALENDAR=US&amp;VAR:SYMBOL=687044&amp;VAR:INDEX=0"}</definedName>
    <definedName name="_2693__FDSAUDITLINK__" hidden="1">{"fdsup://directions/FAT Viewer?action=UPDATE&amp;creator=factset&amp;DYN_ARGS=TRUE&amp;DOC_NAME=FAT:FQL_AUDITING_CLIENT_TEMPLATE.FAT&amp;display_string=Audit&amp;VAR:KEY=ZMRALSXARE&amp;VAR:QUERY=RkZfUkRfRVhQKENBTCwyMDA3LCwsLFVTRCk=&amp;WINDOW=FIRST_POPUP&amp;HEIGHT=450&amp;WIDTH=450&amp;START_MA","XIMIZED=FALSE&amp;VAR:CALENDAR=US&amp;VAR:SYMBOL=687044&amp;VAR:INDEX=0"}</definedName>
    <definedName name="_2694__FDSAUDITLINK__" hidden="1">{"fdsup://directions/FAT Viewer?action=UPDATE&amp;creator=factset&amp;DYN_ARGS=TRUE&amp;DOC_NAME=FAT:FQL_AUDITING_CLIENT_TEMPLATE.FAT&amp;display_string=Audit&amp;VAR:KEY=ZMZYLSXEVK&amp;VAR:QUERY=RkZfUkRfRVhQKENBTCwyMDA4LCwsLFVTRCk=&amp;WINDOW=FIRST_POPUP&amp;HEIGHT=450&amp;WIDTH=450&amp;START_MA","XIMIZED=FALSE&amp;VAR:CALENDAR=US&amp;VAR:SYMBOL=BMY&amp;VAR:INDEX=0"}</definedName>
    <definedName name="_2695__FDSAUDITLINK__" hidden="1">{"fdsup://directions/FAT Viewer?action=UPDATE&amp;creator=factset&amp;DYN_ARGS=TRUE&amp;DOC_NAME=FAT:FQL_AUDITING_CLIENT_TEMPLATE.FAT&amp;display_string=Audit&amp;VAR:KEY=RENSXGJCBC&amp;VAR:QUERY=RkZfUkRfRVhQKENBTCwyMDA3LCwsLFVTRCk=&amp;WINDOW=FIRST_POPUP&amp;HEIGHT=450&amp;WIDTH=450&amp;START_MA","XIMIZED=FALSE&amp;VAR:CALENDAR=US&amp;VAR:SYMBOL=BMY&amp;VAR:INDEX=0"}</definedName>
    <definedName name="_2696__FDSAUDITLINK__" hidden="1">{"fdsup://directions/FAT Viewer?action=UPDATE&amp;creator=factset&amp;DYN_ARGS=TRUE&amp;DOC_NAME=FAT:FQL_AUDITING_CLIENT_TEMPLATE.FAT&amp;display_string=Audit&amp;VAR:KEY=BSNATUHMFQ&amp;VAR:QUERY=RkZfUkRfRVhQKENBTCwyMDA4LCwsLFVTRCk=&amp;WINDOW=FIRST_POPUP&amp;HEIGHT=450&amp;WIDTH=450&amp;START_MA","XIMIZED=FALSE&amp;VAR:CALENDAR=US&amp;VAR:SYMBOL=LLY&amp;VAR:INDEX=0"}</definedName>
    <definedName name="_2697__FDSAUDITLINK__" hidden="1">{"fdsup://directions/FAT Viewer?action=UPDATE&amp;creator=factset&amp;DYN_ARGS=TRUE&amp;DOC_NAME=FAT:FQL_AUDITING_CLIENT_TEMPLATE.FAT&amp;display_string=Audit&amp;VAR:KEY=DOHSHEVKPM&amp;VAR:QUERY=RkZfUkRfRVhQKENBTCwyMDA3LCwsLFVTRCk=&amp;WINDOW=FIRST_POPUP&amp;HEIGHT=450&amp;WIDTH=450&amp;START_MA","XIMIZED=FALSE&amp;VAR:CALENDAR=US&amp;VAR:SYMBOL=LLY&amp;VAR:INDEX=0"}</definedName>
    <definedName name="_2698__FDSAUDITLINK__" hidden="1">{"fdsup://directions/FAT Viewer?action=UPDATE&amp;creator=factset&amp;DYN_ARGS=TRUE&amp;DOC_NAME=FAT:FQL_AUDITING_CLIENT_TEMPLATE.FAT&amp;display_string=Audit&amp;VAR:KEY=JKHWTOZSRO&amp;VAR:QUERY=RkZfUkRfRVhQKENBTCwyMDA4LCwsLFVTRCk=&amp;WINDOW=FIRST_POPUP&amp;HEIGHT=450&amp;WIDTH=450&amp;START_MA","XIMIZED=FALSE&amp;VAR:CALENDAR=US&amp;VAR:SYMBOL=506921&amp;VAR:INDEX=0"}</definedName>
    <definedName name="_2699__FDSAUDITLINK__" hidden="1">{"fdsup://directions/FAT Viewer?action=UPDATE&amp;creator=factset&amp;DYN_ARGS=TRUE&amp;DOC_NAME=FAT:FQL_AUDITING_CLIENT_TEMPLATE.FAT&amp;display_string=Audit&amp;VAR:KEY=RCZEJWXODC&amp;VAR:QUERY=RkZfUkRfRVhQKENBTCwyMDA3LCwsLFVTRCk=&amp;WINDOW=FIRST_POPUP&amp;HEIGHT=450&amp;WIDTH=450&amp;START_MA","XIMIZED=FALSE&amp;VAR:CALENDAR=US&amp;VAR:SYMBOL=506921&amp;VAR:INDEX=0"}</definedName>
    <definedName name="_27__FDSAUDITLINK__" hidden="1">{"fdsup://directions/FAT%20Viewer?VAR:TM=NTMA&amp;VAR:PCT=0.728767&amp;VAR:Y0=2010&amp;VAR:Y1=2011&amp;VAR:V0=15.089802&amp;VAR:V1=12.613433&amp;VAR:V=14.326887&amp;VAR:AUDIT_ID=00000117&amp;VAR:DATE=20100409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Aggregates&amp;VAR:MEASURE=PE_MEAN&amp;VAR:CALC_MODE=PORTFOLIO&amp;VAR:CHGPERIOD=NA&amp;VAR:FQLFORMULA=FMA_PE&amp;VAR:CURRENCY=USD&amp;VAR:P=1","194.367712&amp;VAR:THRESH=||||||&amp;VAR:null=.html"}</definedName>
    <definedName name="_270__FDSAUDITLINK__" hidden="1">{"fdsup://directions/FAT%20Viewer?VAR:TM=NTMA&amp;VAR:PCT=0.386301&amp;VAR:Y0=2005&amp;VAR:Y1=2006&amp;VAR:V0=16.207613&amp;VAR:V1=14.673311&amp;VAR:V=15.230273&amp;VAR:AUDIT_ID=00000117&amp;VAR:DATE=20050812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Aggregates&amp;VAR:MEASURE=PE_MEAN&amp;VAR:CALC_MODE=PORTFOLIO&amp;VAR:CHGPERIOD=NA&amp;VAR:FQLFORMULA=FMA_PE&amp;VAR:CURRENCY=USD&amp;VAR:P=1","230.392800&amp;VAR:THRESH=||||||&amp;VAR:null=.html"}</definedName>
    <definedName name="_2700__FDSAUDITLINK__" hidden="1">{"fdsup://directions/FAT Viewer?action=UPDATE&amp;creator=factset&amp;DYN_ARGS=TRUE&amp;DOC_NAME=FAT:FQL_AUDITING_CLIENT_TEMPLATE.FAT&amp;display_string=Audit&amp;VAR:KEY=NGTOJGBUXY&amp;VAR:QUERY=RkZfUkRfRVhQKENBTCwyMDA4LCwsLFVTRCk=&amp;WINDOW=FIRST_POPUP&amp;HEIGHT=450&amp;WIDTH=450&amp;START_MA","XIMIZED=FALSE&amp;VAR:CALENDAR=US&amp;VAR:SYMBOL=567173&amp;VAR:INDEX=0"}</definedName>
    <definedName name="_2701__FDSAUDITLINK__" hidden="1">{"fdsup://directions/FAT Viewer?action=UPDATE&amp;creator=factset&amp;DYN_ARGS=TRUE&amp;DOC_NAME=FAT:FQL_AUDITING_CLIENT_TEMPLATE.FAT&amp;display_string=Audit&amp;VAR:KEY=RAZEFOLQPC&amp;VAR:QUERY=RkZfUkRfRVhQKENBTCwyMDA3LCwsLFVTRCk=&amp;WINDOW=FIRST_POPUP&amp;HEIGHT=450&amp;WIDTH=450&amp;START_MA","XIMIZED=FALSE&amp;VAR:CALENDAR=US&amp;VAR:SYMBOL=567173&amp;VAR:INDEX=0"}</definedName>
    <definedName name="_2702__FDSAUDITLINK__" hidden="1">{"fdsup://directions/FAT Viewer?action=UPDATE&amp;creator=factset&amp;DYN_ARGS=TRUE&amp;DOC_NAME=FAT:FQL_AUDITING_CLIENT_TEMPLATE.FAT&amp;display_string=Audit&amp;VAR:KEY=XKRABGFMPG&amp;VAR:QUERY=RkZfUkRfRVhQKENBTCwyMDA4LCwsLFVTRCk=&amp;WINDOW=FIRST_POPUP&amp;HEIGHT=450&amp;WIDTH=450&amp;START_MA","XIMIZED=FALSE&amp;VAR:CALENDAR=US&amp;VAR:SYMBOL=JNJ&amp;VAR:INDEX=0"}</definedName>
    <definedName name="_2703__FDSAUDITLINK__" hidden="1">{"fdsup://directions/FAT Viewer?action=UPDATE&amp;creator=factset&amp;DYN_ARGS=TRUE&amp;DOC_NAME=FAT:FQL_AUDITING_CLIENT_TEMPLATE.FAT&amp;display_string=Audit&amp;VAR:KEY=LCJKLSDCRQ&amp;VAR:QUERY=RkZfUkRfRVhQKENBTCwyMDA3LCwsLFVTRCk=&amp;WINDOW=FIRST_POPUP&amp;HEIGHT=450&amp;WIDTH=450&amp;START_MA","XIMIZED=FALSE&amp;VAR:CALENDAR=US&amp;VAR:SYMBOL=JNJ&amp;VAR:INDEX=0"}</definedName>
    <definedName name="_2704__FDSAUDITLINK__" hidden="1">{"fdsup://directions/FAT Viewer?action=UPDATE&amp;creator=factset&amp;DYN_ARGS=TRUE&amp;DOC_NAME=FAT:FQL_AUDITING_CLIENT_TEMPLATE.FAT&amp;display_string=Audit&amp;VAR:KEY=LMTQHUVWVA&amp;VAR:QUERY=RkZfUkRfRVhQKENBTCwyMDA4LCwsLFVTRCk=&amp;WINDOW=FIRST_POPUP&amp;HEIGHT=450&amp;WIDTH=450&amp;START_MA","XIMIZED=FALSE&amp;VAR:CALENDAR=US&amp;VAR:SYMBOL=710306&amp;VAR:INDEX=0"}</definedName>
    <definedName name="_2705__FDSAUDITLINK__" hidden="1">{"fdsup://directions/FAT Viewer?action=UPDATE&amp;creator=factset&amp;DYN_ARGS=TRUE&amp;DOC_NAME=FAT:FQL_AUDITING_CLIENT_TEMPLATE.FAT&amp;display_string=Audit&amp;VAR:KEY=VYTORQNKTW&amp;VAR:QUERY=RkZfUkRfRVhQKENBTCwyMDA3LCwsLFVTRCk=&amp;WINDOW=FIRST_POPUP&amp;HEIGHT=450&amp;WIDTH=450&amp;START_MA","XIMIZED=FALSE&amp;VAR:CALENDAR=US&amp;VAR:SYMBOL=710306&amp;VAR:INDEX=0"}</definedName>
    <definedName name="_2706__FDSAUDITLINK__" hidden="1">{"fdsup://directions/FAT Viewer?action=UPDATE&amp;creator=factset&amp;DYN_ARGS=TRUE&amp;DOC_NAME=FAT:FQL_AUDITING_CLIENT_TEMPLATE.FAT&amp;display_string=Audit&amp;VAR:KEY=RAFAPGJURW&amp;VAR:QUERY=RkZfUkRfRVhQKENBTCwyMDA4LCwsLFVTRCk=&amp;WINDOW=FIRST_POPUP&amp;HEIGHT=450&amp;WIDTH=450&amp;START_MA","XIMIZED=FALSE&amp;VAR:CALENDAR=US&amp;VAR:SYMBOL=711038&amp;VAR:INDEX=0"}</definedName>
    <definedName name="_2707__FDSAUDITLINK__" hidden="1">{"fdsup://directions/FAT Viewer?action=UPDATE&amp;creator=factset&amp;DYN_ARGS=TRUE&amp;DOC_NAME=FAT:FQL_AUDITING_CLIENT_TEMPLATE.FAT&amp;display_string=Audit&amp;VAR:KEY=LKDSHOXEJE&amp;VAR:QUERY=RkZfUkRfRVhQKENBTCwyMDA4LCwsLFVTRCk=&amp;WINDOW=FIRST_POPUP&amp;HEIGHT=450&amp;WIDTH=450&amp;START_MA","XIMIZED=FALSE&amp;VAR:CALENDAR=US&amp;VAR:SYMBOL=MRK&amp;VAR:INDEX=0"}</definedName>
    <definedName name="_2708__FDSAUDITLINK__" hidden="1">{"fdsup://directions/FAT Viewer?action=UPDATE&amp;creator=factset&amp;DYN_ARGS=TRUE&amp;DOC_NAME=FAT:FQL_AUDITING_CLIENT_TEMPLATE.FAT&amp;display_string=Audit&amp;VAR:KEY=TILQDMTSFA&amp;VAR:QUERY=RkZfUkRfRVhQKENBTCwyMDA3LCwsLFVTRCk=&amp;WINDOW=FIRST_POPUP&amp;HEIGHT=450&amp;WIDTH=450&amp;START_MA","XIMIZED=FALSE&amp;VAR:CALENDAR=US&amp;VAR:SYMBOL=MRK&amp;VAR:INDEX=0"}</definedName>
    <definedName name="_2709__FDSAUDITLINK__" hidden="1">{"fdsup://directions/FAT Viewer?action=UPDATE&amp;creator=factset&amp;DYN_ARGS=TRUE&amp;DOC_NAME=FAT:FQL_AUDITING_CLIENT_TEMPLATE.FAT&amp;display_string=Audit&amp;VAR:KEY=JCJYXWPCFK&amp;VAR:QUERY=RkZfUkRfRVhQKENBTCwyMDA4LCwsLFVTRCk=&amp;WINDOW=FIRST_POPUP&amp;HEIGHT=450&amp;WIDTH=450&amp;START_MA","XIMIZED=FALSE&amp;VAR:CALENDAR=US&amp;VAR:SYMBOL=PFE&amp;VAR:INDEX=0"}</definedName>
    <definedName name="_271__FDSAUDITLINK__" hidden="1">{"fdsup://directions/FAT%20Viewer?VAR:TM=NTMA&amp;VAR:PCT=0.405479&amp;VAR:Y0=2005&amp;VAR:Y1=2006&amp;VAR:V0=16.183920&amp;VAR:V1=14.644719&amp;VAR:V=15.232129&amp;VAR:AUDIT_ID=00000117&amp;VAR:DATE=20050805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Aggregates&amp;VAR:MEASURE=PE_MEAN&amp;VAR:CALC_MODE=PORTFOLIO&amp;VAR:CHGPERIOD=NA&amp;VAR:FQLFORMULA=FMA_PE&amp;VAR:CURRENCY=USD&amp;VAR:P=1","226.420400&amp;VAR:THRESH=||||||&amp;VAR:null=.html"}</definedName>
    <definedName name="_2710__FDSAUDITLINK__" hidden="1">{"fdsup://directions/FAT Viewer?action=UPDATE&amp;creator=factset&amp;DYN_ARGS=TRUE&amp;DOC_NAME=FAT:FQL_AUDITING_CLIENT_TEMPLATE.FAT&amp;display_string=Audit&amp;VAR:KEY=VABOBMLSTS&amp;VAR:QUERY=RkZfUkRfRVhQKENBTCwyMDA3LCwsLFVTRCk=&amp;WINDOW=FIRST_POPUP&amp;HEIGHT=450&amp;WIDTH=450&amp;START_MA","XIMIZED=FALSE&amp;VAR:CALENDAR=US&amp;VAR:SYMBOL=PFE&amp;VAR:INDEX=0"}</definedName>
    <definedName name="_2711__FDSAUDITLINK__" hidden="1">{"fdsup://directions/FAT Viewer?action=UPDATE&amp;creator=factset&amp;DYN_ARGS=TRUE&amp;DOC_NAME=FAT:FQL_AUDITING_CLIENT_TEMPLATE.FAT&amp;display_string=Audit&amp;VAR:KEY=LULOLUFSZY&amp;VAR:QUERY=RkZfUkRfRVhQKENBTCwzOTgxMywsLCwp&amp;WINDOW=FIRST_POPUP&amp;HEIGHT=450&amp;WIDTH=450&amp;START_MAXIMI","ZED=FALSE&amp;VAR:CALENDAR=US&amp;VAR:SYMBOL=DNA&amp;VAR:INDEX=0"}</definedName>
    <definedName name="_2712__FDSAUDITLINK__" hidden="1">{"fdsup://directions/FAT Viewer?action=UPDATE&amp;creator=factset&amp;DYN_ARGS=TRUE&amp;DOC_NAME=FAT:FQL_AUDITING_CLIENT_TEMPLATE.FAT&amp;display_string=Audit&amp;VAR:KEY=JQXWLKRQJO&amp;VAR:QUERY=RkZfUkRfRVhQKENBTCwzOTQ0NywsLCwp&amp;WINDOW=FIRST_POPUP&amp;HEIGHT=450&amp;WIDTH=450&amp;START_MAXIMI","ZED=FALSE&amp;VAR:CALENDAR=US&amp;VAR:SYMBOL=DNA&amp;VAR:INDEX=0"}</definedName>
    <definedName name="_2713__FDSAUDITLINK__" hidden="1">{"fdsup://directions/FAT Viewer?action=UPDATE&amp;creator=factset&amp;DYN_ARGS=TRUE&amp;DOC_NAME=FAT:FQL_AUDITING_CLIENT_TEMPLATE.FAT&amp;display_string=Audit&amp;VAR:KEY=HYXWNYRITG&amp;VAR:QUERY=RkZfUkRfRVhQKENBTCwzOTA4MiwsLCwp&amp;WINDOW=FIRST_POPUP&amp;HEIGHT=450&amp;WIDTH=450&amp;START_MAXIMI","ZED=FALSE&amp;VAR:CALENDAR=US&amp;VAR:SYMBOL=DNA&amp;VAR:INDEX=0"}</definedName>
    <definedName name="_2714__FDSAUDITLINK__" hidden="1">{"fdsup://directions/FAT Viewer?action=UPDATE&amp;creator=factset&amp;DYN_ARGS=TRUE&amp;DOC_NAME=FAT:FQL_AUDITING_CLIENT_TEMPLATE.FAT&amp;display_string=Audit&amp;VAR:KEY=FWHQNGDGJY&amp;VAR:QUERY=RkZfUkRfRVhQKENBTCwzODcxNywsLCwp&amp;WINDOW=FIRST_POPUP&amp;HEIGHT=450&amp;WIDTH=450&amp;START_MAXIMI","ZED=FALSE&amp;VAR:CALENDAR=US&amp;VAR:SYMBOL=DNA&amp;VAR:INDEX=0"}</definedName>
    <definedName name="_2715__FDSAUDITLINK__" hidden="1">{"fdsup://directions/FAT Viewer?action=UPDATE&amp;creator=factset&amp;DYN_ARGS=TRUE&amp;DOC_NAME=FAT:FQL_AUDITING_CLIENT_TEMPLATE.FAT&amp;display_string=Audit&amp;VAR:KEY=RQTWDYPOXG&amp;VAR:QUERY=RkZfUkRfRVhQKENBTCwzODM1MiwsLCwp&amp;WINDOW=FIRST_POPUP&amp;HEIGHT=450&amp;WIDTH=450&amp;START_MAXIMI","ZED=FALSE&amp;VAR:CALENDAR=US&amp;VAR:SYMBOL=DNA&amp;VAR:INDEX=0"}</definedName>
    <definedName name="_2716__FDSAUDITLINK__" hidden="1">{"fdsup://directions/FAT Viewer?action=UPDATE&amp;creator=factset&amp;DYN_ARGS=TRUE&amp;DOC_NAME=FAT:FQL_AUDITING_CLIENT_TEMPLATE.FAT&amp;display_string=Audit&amp;VAR:KEY=ZWNOBEDCJI&amp;VAR:QUERY=RkZfUkRfRVhQKENBTCwzOTgxMywsLCwp&amp;WINDOW=FIRST_POPUP&amp;HEIGHT=450&amp;WIDTH=450&amp;START_MAXIMI","ZED=FALSE&amp;VAR:CALENDAR=US&amp;VAR:SYMBOL=SGP&amp;VAR:INDEX=0"}</definedName>
    <definedName name="_2717__FDSAUDITLINK__" hidden="1">{"fdsup://directions/FAT Viewer?action=UPDATE&amp;creator=factset&amp;DYN_ARGS=TRUE&amp;DOC_NAME=FAT:FQL_AUDITING_CLIENT_TEMPLATE.FAT&amp;display_string=Audit&amp;VAR:KEY=VERKZCBWNO&amp;VAR:QUERY=RkZfUkRfRVhQKENBTCwzOTQ0NywsLCwp&amp;WINDOW=FIRST_POPUP&amp;HEIGHT=450&amp;WIDTH=450&amp;START_MAXIMI","ZED=FALSE&amp;VAR:CALENDAR=US&amp;VAR:SYMBOL=SGP&amp;VAR:INDEX=0"}</definedName>
    <definedName name="_2718__FDSAUDITLINK__" hidden="1">{"fdsup://directions/FAT Viewer?action=UPDATE&amp;creator=factset&amp;DYN_ARGS=TRUE&amp;DOC_NAME=FAT:FQL_AUDITING_CLIENT_TEMPLATE.FAT&amp;display_string=Audit&amp;VAR:KEY=VGVGPSRCRG&amp;VAR:QUERY=RkZfUkRfRVhQKENBTCwzOTA4MiwsLCwp&amp;WINDOW=FIRST_POPUP&amp;HEIGHT=450&amp;WIDTH=450&amp;START_MAXIMI","ZED=FALSE&amp;VAR:CALENDAR=US&amp;VAR:SYMBOL=SGP&amp;VAR:INDEX=0"}</definedName>
    <definedName name="_2719__FDSAUDITLINK__" hidden="1">{"fdsup://directions/FAT Viewer?action=UPDATE&amp;creator=factset&amp;DYN_ARGS=TRUE&amp;DOC_NAME=FAT:FQL_AUDITING_CLIENT_TEMPLATE.FAT&amp;display_string=Audit&amp;VAR:KEY=DQBAJYBAFW&amp;VAR:QUERY=RkZfUkRfRVhQKENBTCwzODcxNywsLCwp&amp;WINDOW=FIRST_POPUP&amp;HEIGHT=450&amp;WIDTH=450&amp;START_MAXIMI","ZED=FALSE&amp;VAR:CALENDAR=US&amp;VAR:SYMBOL=SGP&amp;VAR:INDEX=0"}</definedName>
    <definedName name="_272__FDSAUDITLINK__" hidden="1">{"fdsup://directions/FAT%20Viewer?VAR:TM=NTMA&amp;VAR:PCT=0.424658&amp;VAR:Y0=2005&amp;VAR:Y1=2006&amp;VAR:V0=16.314060&amp;VAR:V1=14.781290&amp;VAR:V=15.395545&amp;VAR:AUDIT_ID=00000117&amp;VAR:DATE=20050729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Aggregates&amp;VAR:MEASURE=PE_MEAN&amp;VAR:CALC_MODE=PORTFOLIO&amp;VAR:CHGPERIOD=NA&amp;VAR:FQLFORMULA=FMA_PE&amp;VAR:CURRENCY=USD&amp;VAR:P=1","234.179400&amp;VAR:THRESH=||||||&amp;VAR:null=.html"}</definedName>
    <definedName name="_2720__FDSAUDITLINK__" hidden="1">{"fdsup://directions/FAT Viewer?action=UPDATE&amp;creator=factset&amp;DYN_ARGS=TRUE&amp;DOC_NAME=FAT:FQL_AUDITING_CLIENT_TEMPLATE.FAT&amp;display_string=Audit&amp;VAR:KEY=HSTURMXUFQ&amp;VAR:QUERY=RkZfUkRfRVhQKENBTCwzODM1MiwsLCwp&amp;WINDOW=FIRST_POPUP&amp;HEIGHT=450&amp;WIDTH=450&amp;START_MAXIMI","ZED=FALSE&amp;VAR:CALENDAR=US&amp;VAR:SYMBOL=SGP&amp;VAR:INDEX=0"}</definedName>
    <definedName name="_2721__FDSAUDITLINK__" hidden="1">{"fdsup://directions/FAT Viewer?action=UPDATE&amp;creator=factset&amp;DYN_ARGS=TRUE&amp;DOC_NAME=FAT:FQL_AUDITING_CLIENT_TEMPLATE.FAT&amp;display_string=Audit&amp;VAR:KEY=PAJYJYJAHE&amp;VAR:QUERY=RkZfUkRfRVhQKENBTCwzOTgxMywsLCwp&amp;WINDOW=FIRST_POPUP&amp;HEIGHT=450&amp;WIDTH=450&amp;START_MAXIMI","ZED=FALSE&amp;VAR:CALENDAR=US&amp;VAR:SYMBOL=WYE&amp;VAR:INDEX=0"}</definedName>
    <definedName name="_2722__FDSAUDITLINK__" hidden="1">{"fdsup://directions/FAT Viewer?action=UPDATE&amp;creator=factset&amp;DYN_ARGS=TRUE&amp;DOC_NAME=FAT:FQL_AUDITING_CLIENT_TEMPLATE.FAT&amp;display_string=Audit&amp;VAR:KEY=NYXURMTONW&amp;VAR:QUERY=RkZfUkRfRVhQKENBTCwzOTQ0NywsLCwp&amp;WINDOW=FIRST_POPUP&amp;HEIGHT=450&amp;WIDTH=450&amp;START_MAXIMI","ZED=FALSE&amp;VAR:CALENDAR=US&amp;VAR:SYMBOL=WYE&amp;VAR:INDEX=0"}</definedName>
    <definedName name="_2723__FDSAUDITLINK__" hidden="1">{"fdsup://directions/FAT Viewer?action=UPDATE&amp;creator=factset&amp;DYN_ARGS=TRUE&amp;DOC_NAME=FAT:FQL_AUDITING_CLIENT_TEMPLATE.FAT&amp;display_string=Audit&amp;VAR:KEY=XWTYLUVGBU&amp;VAR:QUERY=RkZfUkRfRVhQKENBTCwzOTA4MiwsLCwp&amp;WINDOW=FIRST_POPUP&amp;HEIGHT=450&amp;WIDTH=450&amp;START_MAXIMI","ZED=FALSE&amp;VAR:CALENDAR=US&amp;VAR:SYMBOL=WYE&amp;VAR:INDEX=0"}</definedName>
    <definedName name="_2724__FDSAUDITLINK__" hidden="1">{"fdsup://directions/FAT Viewer?action=UPDATE&amp;creator=factset&amp;DYN_ARGS=TRUE&amp;DOC_NAME=FAT:FQL_AUDITING_CLIENT_TEMPLATE.FAT&amp;display_string=Audit&amp;VAR:KEY=DGDCHUBYVS&amp;VAR:QUERY=RkZfUkRfRVhQKENBTCwzODcxNywsLCwp&amp;WINDOW=FIRST_POPUP&amp;HEIGHT=450&amp;WIDTH=450&amp;START_MAXIMI","ZED=FALSE&amp;VAR:CALENDAR=US&amp;VAR:SYMBOL=WYE&amp;VAR:INDEX=0"}</definedName>
    <definedName name="_2725__FDSAUDITLINK__" hidden="1">{"fdsup://directions/FAT Viewer?action=UPDATE&amp;creator=factset&amp;DYN_ARGS=TRUE&amp;DOC_NAME=FAT:FQL_AUDITING_CLIENT_TEMPLATE.FAT&amp;display_string=Audit&amp;VAR:KEY=HKXMFCNQRG&amp;VAR:QUERY=RkZfUkRfRVhQKENBTCwzODM1MiwsLCwp&amp;WINDOW=FIRST_POPUP&amp;HEIGHT=450&amp;WIDTH=450&amp;START_MAXIMI","ZED=FALSE&amp;VAR:CALENDAR=US&amp;VAR:SYMBOL=WYE&amp;VAR:INDEX=0"}</definedName>
    <definedName name="_2726__FDSAUDITLINK__" hidden="1">{"fdsup://directions/FAT Viewer?action=UPDATE&amp;creator=factset&amp;DYN_ARGS=TRUE&amp;DOC_NAME=FAT:FQL_AUDITING_CLIENT_TEMPLATE.FAT&amp;display_string=Audit&amp;VAR:KEY=FADGZQHEFC&amp;VAR:QUERY=RkZfUkRfRVhQKENBTCw0MDU0MywsLCxVU0Qp&amp;WINDOW=FIRST_POPUP&amp;HEIGHT=450&amp;WIDTH=450&amp;START_MA","XIMIZED=FALSE&amp;VAR:CALENDAR=US&amp;VAR:SYMBOL=BIIB&amp;VAR:INDEX=0"}</definedName>
    <definedName name="_2727__FDSAUDITLINK__" hidden="1">{"fdsup://directions/FAT Viewer?action=UPDATE&amp;creator=factset&amp;DYN_ARGS=TRUE&amp;DOC_NAME=FAT:FQL_AUDITING_CLIENT_TEMPLATE.FAT&amp;display_string=Audit&amp;VAR:KEY=NSPUJGFSHI&amp;VAR:QUERY=RkZfUkRfRVhQKENBTCw0MDU0MywsLCxVU0Qp&amp;WINDOW=FIRST_POPUP&amp;HEIGHT=450&amp;WIDTH=450&amp;START_MA","XIMIZED=FALSE&amp;VAR:CALENDAR=US&amp;VAR:SYMBOL=707752&amp;VAR:INDEX=0"}</definedName>
    <definedName name="_2728__FDSAUDITLINK__" hidden="1">{"fdsup://directions/FAT Viewer?action=UPDATE&amp;creator=factset&amp;DYN_ARGS=TRUE&amp;DOC_NAME=FAT:FQL_AUDITING_CLIENT_TEMPLATE.FAT&amp;display_string=Audit&amp;VAR:KEY=PWJMJAPQXA&amp;VAR:QUERY=RkZfUkRfRVhQKENBTCw0MDU0MywsLCxVU0Qp&amp;WINDOW=FIRST_POPUP&amp;HEIGHT=450&amp;WIDTH=450&amp;START_MA","XIMIZED=FALSE&amp;VAR:CALENDAR=US&amp;VAR:SYMBOL=630720&amp;VAR:INDEX=0"}</definedName>
    <definedName name="_2729__FDSAUDITLINK__" hidden="1">{"fdsup://directions/FAT Viewer?action=UPDATE&amp;creator=factset&amp;DYN_ARGS=TRUE&amp;DOC_NAME=FAT:FQL_AUDITING_CLIENT_TEMPLATE.FAT&amp;display_string=Audit&amp;VAR:KEY=TQDGRYXUPO&amp;VAR:QUERY=RkZfUkRfRVhQKENBTCw0MDU0MywsLCxVU0Qp&amp;WINDOW=FIRST_POPUP&amp;HEIGHT=450&amp;WIDTH=450&amp;START_MA","XIMIZED=FALSE&amp;VAR:CALENDAR=US&amp;VAR:SYMBOL=698538&amp;VAR:INDEX=0"}</definedName>
    <definedName name="_273__FDSAUDITLINK__" hidden="1">{"fdsup://directions/FAT%20Viewer?VAR:TM=NTMA&amp;VAR:PCT=0.443836&amp;VAR:Y0=2005&amp;VAR:Y1=2006&amp;VAR:V0=16.386772&amp;VAR:V1=14.849657&amp;VAR:V=15.494746&amp;VAR:AUDIT_ID=00000117&amp;VAR:DATE=20050722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Aggregates&amp;VAR:MEASURE=PE_MEAN&amp;VAR:CALC_MODE=PORTFOLIO&amp;VAR:CHGPERIOD=NA&amp;VAR:FQLFORMULA=FMA_PE&amp;VAR:CURRENCY=USD&amp;VAR:P=1","233.675200&amp;VAR:THRESH=||||||&amp;VAR:null=.html"}</definedName>
    <definedName name="_2730__FDSAUDITLINK__" hidden="1">{"fdsup://directions/FAT Viewer?action=UPDATE&amp;creator=factset&amp;DYN_ARGS=TRUE&amp;DOC_NAME=FAT:FQL_AUDITING_CLIENT_TEMPLATE.FAT&amp;display_string=Audit&amp;VAR:KEY=LCNIRKJOVO&amp;VAR:QUERY=RkZfUkRfRVhQKENBTCw0MDU0MywsLCxVU0Qp&amp;WINDOW=FIRST_POPUP&amp;HEIGHT=450&amp;WIDTH=450&amp;START_MA","XIMIZED=FALSE&amp;VAR:CALENDAR=US&amp;VAR:SYMBOL=474184&amp;VAR:INDEX=0"}</definedName>
    <definedName name="_2731__FDSAUDITLINK__" hidden="1">{"fdsup://directions/FAT Viewer?action=UPDATE&amp;creator=factset&amp;DYN_ARGS=TRUE&amp;DOC_NAME=FAT:FQL_AUDITING_CLIENT_TEMPLATE.FAT&amp;display_string=Audit&amp;VAR:KEY=JAPATOHCPG&amp;VAR:QUERY=RkZfUkRfRVhQKENBTCw0MDU0MywsLCxVU0Qp&amp;WINDOW=FIRST_POPUP&amp;HEIGHT=450&amp;WIDTH=450&amp;START_MA","XIMIZED=FALSE&amp;VAR:CALENDAR=US&amp;VAR:SYMBOL=B0J7D9&amp;VAR:INDEX=0"}</definedName>
    <definedName name="_2732__FDSAUDITLINK__" hidden="1">{"fdsup://directions/FAT Viewer?action=UPDATE&amp;creator=factset&amp;DYN_ARGS=TRUE&amp;DOC_NAME=FAT:FQL_AUDITING_CLIENT_TEMPLATE.FAT&amp;display_string=Audit&amp;VAR:KEY=ZURSDKXMDW&amp;VAR:QUERY=RkZfUkRfRVhQKENBTCw0MDU0MywsLCxVU0Qp&amp;WINDOW=FIRST_POPUP&amp;HEIGHT=450&amp;WIDTH=450&amp;START_MA","XIMIZED=FALSE&amp;VAR:CALENDAR=US&amp;VAR:SYMBOL=AMGN&amp;VAR:INDEX=0"}</definedName>
    <definedName name="_2733__FDSAUDITLINK__" hidden="1">{"fdsup://directions/FAT Viewer?action=UPDATE&amp;creator=factset&amp;DYN_ARGS=TRUE&amp;DOC_NAME=FAT:FQL_AUDITING_CLIENT_TEMPLATE.FAT&amp;display_string=Audit&amp;VAR:KEY=JWREDEZOBE&amp;VAR:QUERY=RkZfUkRfRVhQKENBTCw0MDU0MywsLCxVU0Qp&amp;WINDOW=FIRST_POPUP&amp;HEIGHT=450&amp;WIDTH=450&amp;START_MA","XIMIZED=FALSE&amp;VAR:CALENDAR=US&amp;VAR:SYMBOL=ABT&amp;VAR:INDEX=0"}</definedName>
    <definedName name="_2734__FDSAUDITLINK__" hidden="1">{"fdsup://directions/FAT Viewer?action=UPDATE&amp;creator=factset&amp;DYN_ARGS=TRUE&amp;DOC_NAME=FAT:FQL_AUDITING_CLIENT_TEMPLATE.FAT&amp;display_string=Audit&amp;VAR:KEY=FMHOHWFCHA&amp;VAR:QUERY=RkZfUkRfRVhQKENBTCw0MDU0MywsLCxVU0Qp&amp;WINDOW=FIRST_POPUP&amp;HEIGHT=450&amp;WIDTH=450&amp;START_MA","XIMIZED=FALSE&amp;VAR:CALENDAR=US&amp;VAR:SYMBOL=687044&amp;VAR:INDEX=0"}</definedName>
    <definedName name="_2735__FDSAUDITLINK__" hidden="1">{"fdsup://directions/FAT Viewer?action=UPDATE&amp;creator=factset&amp;DYN_ARGS=TRUE&amp;DOC_NAME=FAT:FQL_AUDITING_CLIENT_TEMPLATE.FAT&amp;display_string=Audit&amp;VAR:KEY=BCRMHOHMDU&amp;VAR:QUERY=RkZfUkRfRVhQKENBTCw0MDU0MywsLCxVU0Qp&amp;WINDOW=FIRST_POPUP&amp;HEIGHT=450&amp;WIDTH=450&amp;START_MA","XIMIZED=FALSE&amp;VAR:CALENDAR=US&amp;VAR:SYMBOL=BMY&amp;VAR:INDEX=0"}</definedName>
    <definedName name="_2736__FDSAUDITLINK__" hidden="1">{"fdsup://directions/FAT Viewer?action=UPDATE&amp;creator=factset&amp;DYN_ARGS=TRUE&amp;DOC_NAME=FAT:FQL_AUDITING_CLIENT_TEMPLATE.FAT&amp;display_string=Audit&amp;VAR:KEY=RWHALYVQFE&amp;VAR:QUERY=RkZfUkRfRVhQKENBTCw0MDU0MywsLCxVU0Qp&amp;WINDOW=FIRST_POPUP&amp;HEIGHT=450&amp;WIDTH=450&amp;START_MA","XIMIZED=FALSE&amp;VAR:CALENDAR=US&amp;VAR:SYMBOL=LLY&amp;VAR:INDEX=0"}</definedName>
    <definedName name="_2737__FDSAUDITLINK__" hidden="1">{"fdsup://directions/FAT Viewer?action=UPDATE&amp;creator=factset&amp;DYN_ARGS=TRUE&amp;DOC_NAME=FAT:FQL_AUDITING_CLIENT_TEMPLATE.FAT&amp;display_string=Audit&amp;VAR:KEY=BOXSLUFEFY&amp;VAR:QUERY=RkZfUkRfRVhQKENBTCw0MDU0MywsLCxVU0Qp&amp;WINDOW=FIRST_POPUP&amp;HEIGHT=450&amp;WIDTH=450&amp;START_MA","XIMIZED=FALSE&amp;VAR:CALENDAR=US&amp;VAR:SYMBOL=506921&amp;VAR:INDEX=0"}</definedName>
    <definedName name="_2738__FDSAUDITLINK__" hidden="1">{"fdsup://directions/FAT Viewer?action=UPDATE&amp;creator=factset&amp;DYN_ARGS=TRUE&amp;DOC_NAME=FAT:FQL_AUDITING_CLIENT_TEMPLATE.FAT&amp;display_string=Audit&amp;VAR:KEY=BKNWZCJIZG&amp;VAR:QUERY=RkZfUkRfRVhQKENBTCw0MDU0MywsLCxVU0Qp&amp;WINDOW=FIRST_POPUP&amp;HEIGHT=450&amp;WIDTH=450&amp;START_MA","XIMIZED=FALSE&amp;VAR:CALENDAR=US&amp;VAR:SYMBOL=567173&amp;VAR:INDEX=0"}</definedName>
    <definedName name="_2739__FDSAUDITLINK__" hidden="1">{"fdsup://directions/FAT Viewer?action=UPDATE&amp;creator=factset&amp;DYN_ARGS=TRUE&amp;DOC_NAME=FAT:FQL_AUDITING_CLIENT_TEMPLATE.FAT&amp;display_string=Audit&amp;VAR:KEY=ZUTEDGBCXY&amp;VAR:QUERY=RkZfUkRfRVhQKENBTCw0MDU0MywsLCxVU0Qp&amp;WINDOW=FIRST_POPUP&amp;HEIGHT=450&amp;WIDTH=450&amp;START_MA","XIMIZED=FALSE&amp;VAR:CALENDAR=US&amp;VAR:SYMBOL=JNJ&amp;VAR:INDEX=0"}</definedName>
    <definedName name="_274__FDSAUDITLINK__" hidden="1">{"fdsup://directions/FAT%20Viewer?VAR:TM=NTMA&amp;VAR:PCT=0.463014&amp;VAR:Y0=2005&amp;VAR:Y1=2006&amp;VAR:V0=16.340650&amp;VAR:V1=14.845875&amp;VAR:V=15.502476&amp;VAR:AUDIT_ID=00000117&amp;VAR:DATE=20050715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Aggregates&amp;VAR:MEASURE=PE_MEAN&amp;VAR:CALC_MODE=PORTFOLIO&amp;VAR:CHGPERIOD=NA&amp;VAR:FQLFORMULA=FMA_PE&amp;VAR:CURRENCY=USD&amp;VAR:P=1","227.922600&amp;VAR:THRESH=||||||&amp;VAR:null=.html"}</definedName>
    <definedName name="_2740__FDSAUDITLINK__" hidden="1">{"fdsup://directions/FAT Viewer?action=UPDATE&amp;creator=factset&amp;DYN_ARGS=TRUE&amp;DOC_NAME=FAT:FQL_AUDITING_CLIENT_TEMPLATE.FAT&amp;display_string=Audit&amp;VAR:KEY=TYHWTQXSJO&amp;VAR:QUERY=RkZfUkRfRVhQKENBTCw0MDU0MywsLCxVU0Qp&amp;WINDOW=FIRST_POPUP&amp;HEIGHT=450&amp;WIDTH=450&amp;START_MA","XIMIZED=FALSE&amp;VAR:CALENDAR=US&amp;VAR:SYMBOL=710306&amp;VAR:INDEX=0"}</definedName>
    <definedName name="_2741__FDSAUDITLINK__" hidden="1">{"fdsup://directions/FAT Viewer?action=UPDATE&amp;creator=factset&amp;DYN_ARGS=TRUE&amp;DOC_NAME=FAT:FQL_AUDITING_CLIENT_TEMPLATE.FAT&amp;display_string=Audit&amp;VAR:KEY=BSFYPUHUXG&amp;VAR:QUERY=RkZfUkRfRVhQKENBTCw0MDU0MywsLCxVU0Qp&amp;WINDOW=FIRST_POPUP&amp;HEIGHT=450&amp;WIDTH=450&amp;START_MA","XIMIZED=FALSE&amp;VAR:CALENDAR=US&amp;VAR:SYMBOL=711038&amp;VAR:INDEX=0"}</definedName>
    <definedName name="_2742__FDSAUDITLINK__" hidden="1">{"fdsup://directions/FAT Viewer?action=UPDATE&amp;creator=factset&amp;DYN_ARGS=TRUE&amp;DOC_NAME=FAT:FQL_AUDITING_CLIENT_TEMPLATE.FAT&amp;display_string=Audit&amp;VAR:KEY=BQXQNYHAZC&amp;VAR:QUERY=RkZfUkRfRVhQKENBTCw0MDU0MywsLCxVU0Qp&amp;WINDOW=FIRST_POPUP&amp;HEIGHT=450&amp;WIDTH=450&amp;START_MA","XIMIZED=FALSE&amp;VAR:CALENDAR=US&amp;VAR:SYMBOL=MRK&amp;VAR:INDEX=0"}</definedName>
    <definedName name="_2743__FDSAUDITLINK__" hidden="1">{"fdsup://directions/FAT Viewer?action=UPDATE&amp;creator=factset&amp;DYN_ARGS=TRUE&amp;DOC_NAME=FAT:FQL_AUDITING_CLIENT_TEMPLATE.FAT&amp;display_string=Audit&amp;VAR:KEY=XSXQHYLMVQ&amp;VAR:QUERY=RkZfUkRfRVhQKENBTCw0MDU0MywsLCwp&amp;WINDOW=FIRST_POPUP&amp;HEIGHT=450&amp;WIDTH=450&amp;START_MAXIMI","ZED=FALSE&amp;VAR:CALENDAR=US&amp;VAR:SYMBOL=BIIB&amp;VAR:INDEX=0"}</definedName>
    <definedName name="_2744__FDSAUDITLINK__" hidden="1">{"fdsup://directions/FAT Viewer?action=UPDATE&amp;creator=factset&amp;DYN_ARGS=TRUE&amp;DOC_NAME=FAT:FQL_AUDITING_CLIENT_TEMPLATE.FAT&amp;display_string=Audit&amp;VAR:KEY=LAJWREJCRQ&amp;VAR:QUERY=RkZfUkRfRVhQKENBTCw0MDE3OCwsLCwp&amp;WINDOW=FIRST_POPUP&amp;HEIGHT=450&amp;WIDTH=450&amp;START_MAXIMI","ZED=FALSE&amp;VAR:CALENDAR=US&amp;VAR:SYMBOL=BIIB&amp;VAR:INDEX=0"}</definedName>
    <definedName name="_2745__FDSAUDITLINK__" hidden="1">{"fdsup://directions/FAT Viewer?action=UPDATE&amp;creator=factset&amp;DYN_ARGS=TRUE&amp;DOC_NAME=FAT:FQL_AUDITING_CLIENT_TEMPLATE.FAT&amp;display_string=Audit&amp;VAR:KEY=TIJGJEBYTI&amp;VAR:QUERY=RkZfUkRfRVhQKENBTCwzOTgxMywsLCwp&amp;WINDOW=FIRST_POPUP&amp;HEIGHT=450&amp;WIDTH=450&amp;START_MAXIMI","ZED=FALSE&amp;VAR:CALENDAR=US&amp;VAR:SYMBOL=BIIB&amp;VAR:INDEX=0"}</definedName>
    <definedName name="_2746__FDSAUDITLINK__" hidden="1">{"fdsup://directions/FAT Viewer?action=UPDATE&amp;creator=factset&amp;DYN_ARGS=TRUE&amp;DOC_NAME=FAT:FQL_AUDITING_CLIENT_TEMPLATE.FAT&amp;display_string=Audit&amp;VAR:KEY=PODEFWZGFS&amp;VAR:QUERY=RkZfUkRfRVhQKENBTCwzOTQ0NywsLCwp&amp;WINDOW=FIRST_POPUP&amp;HEIGHT=450&amp;WIDTH=450&amp;START_MAXIMI","ZED=FALSE&amp;VAR:CALENDAR=US&amp;VAR:SYMBOL=BIIB&amp;VAR:INDEX=0"}</definedName>
    <definedName name="_2747__FDSAUDITLINK__" hidden="1">{"fdsup://directions/FAT Viewer?action=UPDATE&amp;creator=factset&amp;DYN_ARGS=TRUE&amp;DOC_NAME=FAT:FQL_AUDITING_CLIENT_TEMPLATE.FAT&amp;display_string=Audit&amp;VAR:KEY=HQFYRGDOJS&amp;VAR:QUERY=RkZfUkRfRVhQKENBTCwzOTA4MiwsLCwp&amp;WINDOW=FIRST_POPUP&amp;HEIGHT=450&amp;WIDTH=450&amp;START_MAXIMI","ZED=FALSE&amp;VAR:CALENDAR=US&amp;VAR:SYMBOL=BIIB&amp;VAR:INDEX=0"}</definedName>
    <definedName name="_2748__FDSAUDITLINK__" hidden="1">{"fdsup://directions/FAT Viewer?action=UPDATE&amp;creator=factset&amp;DYN_ARGS=TRUE&amp;DOC_NAME=FAT:FQL_AUDITING_CLIENT_TEMPLATE.FAT&amp;display_string=Audit&amp;VAR:KEY=BWLKBKRSNC&amp;VAR:QUERY=RkZfUkRfRVhQKENBTCwzODcxNywsLCwp&amp;WINDOW=FIRST_POPUP&amp;HEIGHT=450&amp;WIDTH=450&amp;START_MAXIMI","ZED=FALSE&amp;VAR:CALENDAR=US&amp;VAR:SYMBOL=BIIB&amp;VAR:INDEX=0"}</definedName>
    <definedName name="_2749__FDSAUDITLINK__" hidden="1">{"fdsup://directions/FAT Viewer?action=UPDATE&amp;creator=factset&amp;DYN_ARGS=TRUE&amp;DOC_NAME=FAT:FQL_AUDITING_CLIENT_TEMPLATE.FAT&amp;display_string=Audit&amp;VAR:KEY=NCJCPSJUJA&amp;VAR:QUERY=RkZfUkRfRVhQKENBTCwzODM1MiwsLCwp&amp;WINDOW=FIRST_POPUP&amp;HEIGHT=450&amp;WIDTH=450&amp;START_MAXIMI","ZED=FALSE&amp;VAR:CALENDAR=US&amp;VAR:SYMBOL=BIIB&amp;VAR:INDEX=0"}</definedName>
    <definedName name="_275__FDSAUDITLINK__" hidden="1">{"fdsup://directions/FAT%20Viewer?VAR:TM=NTMA&amp;VAR:PCT=0.482192&amp;VAR:Y0=2005&amp;VAR:Y1=2006&amp;VAR:V0=16.169977&amp;VAR:V1=14.673798&amp;VAR:V=15.359063&amp;VAR:AUDIT_ID=00000117&amp;VAR:DATE=20050708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Aggregates&amp;VAR:MEASURE=PE_MEAN&amp;VAR:CALC_MODE=PORTFOLIO&amp;VAR:CHGPERIOD=NA&amp;VAR:FQLFORMULA=FMA_PE&amp;VAR:CURRENCY=USD&amp;VAR:P=1","211.861000&amp;VAR:THRESH=||||||&amp;VAR:null=.html"}</definedName>
    <definedName name="_2750__FDSAUDITLINK__" hidden="1">{"fdsup://directions/FAT Viewer?action=UPDATE&amp;creator=factset&amp;DYN_ARGS=TRUE&amp;DOC_NAME=FAT:FQL_AUDITING_CLIENT_TEMPLATE.FAT&amp;display_string=Audit&amp;VAR:KEY=ROHGXITIHS&amp;VAR:QUERY=RkZfUkRfRVhQKENBTCw0MDU0MywsLCwp&amp;WINDOW=FIRST_POPUP&amp;HEIGHT=450&amp;WIDTH=450&amp;START_MAXIMI","ZED=FALSE&amp;VAR:CALENDAR=US&amp;VAR:SYMBOL=707752&amp;VAR:INDEX=0"}</definedName>
    <definedName name="_2751__FDSAUDITLINK__" hidden="1">{"fdsup://directions/FAT Viewer?action=UPDATE&amp;creator=factset&amp;DYN_ARGS=TRUE&amp;DOC_NAME=FAT:FQL_AUDITING_CLIENT_TEMPLATE.FAT&amp;display_string=Audit&amp;VAR:KEY=ZCPYBCXOHU&amp;VAR:QUERY=RkZfUkRfRVhQKENBTCw0MDE3OCwsLCwp&amp;WINDOW=FIRST_POPUP&amp;HEIGHT=450&amp;WIDTH=450&amp;START_MAXIMI","ZED=FALSE&amp;VAR:CALENDAR=US&amp;VAR:SYMBOL=707752&amp;VAR:INDEX=0"}</definedName>
    <definedName name="_2752__FDSAUDITLINK__" hidden="1">{"fdsup://directions/FAT Viewer?action=UPDATE&amp;creator=factset&amp;DYN_ARGS=TRUE&amp;DOC_NAME=FAT:FQL_AUDITING_CLIENT_TEMPLATE.FAT&amp;display_string=Audit&amp;VAR:KEY=RUHOZGXETS&amp;VAR:QUERY=RkZfUkRfRVhQKENBTCwzOTgxMywsLCwp&amp;WINDOW=FIRST_POPUP&amp;HEIGHT=450&amp;WIDTH=450&amp;START_MAXIMI","ZED=FALSE&amp;VAR:CALENDAR=US&amp;VAR:SYMBOL=707752&amp;VAR:INDEX=0"}</definedName>
    <definedName name="_2753__FDSAUDITLINK__" hidden="1">{"fdsup://directions/FAT Viewer?action=UPDATE&amp;creator=factset&amp;DYN_ARGS=TRUE&amp;DOC_NAME=FAT:FQL_AUDITING_CLIENT_TEMPLATE.FAT&amp;display_string=Audit&amp;VAR:KEY=BQVALCNUXY&amp;VAR:QUERY=RkZfUkRfRVhQKENBTCwzOTQ0NywsLCwp&amp;WINDOW=FIRST_POPUP&amp;HEIGHT=450&amp;WIDTH=450&amp;START_MAXIMI","ZED=FALSE&amp;VAR:CALENDAR=US&amp;VAR:SYMBOL=707752&amp;VAR:INDEX=0"}</definedName>
    <definedName name="_2754__FDSAUDITLINK__" hidden="1">{"fdsup://directions/FAT Viewer?action=UPDATE&amp;creator=factset&amp;DYN_ARGS=TRUE&amp;DOC_NAME=FAT:FQL_AUDITING_CLIENT_TEMPLATE.FAT&amp;display_string=Audit&amp;VAR:KEY=XODONILQRS&amp;VAR:QUERY=RkZfUkRfRVhQKENBTCw0MDU0MywsLCwp&amp;WINDOW=FIRST_POPUP&amp;HEIGHT=450&amp;WIDTH=450&amp;START_MAXIMI","ZED=FALSE&amp;VAR:CALENDAR=US&amp;VAR:SYMBOL=630720&amp;VAR:INDEX=0"}</definedName>
    <definedName name="_2755__FDSAUDITLINK__" hidden="1">{"fdsup://directions/FAT Viewer?action=UPDATE&amp;creator=factset&amp;DYN_ARGS=TRUE&amp;DOC_NAME=FAT:FQL_AUDITING_CLIENT_TEMPLATE.FAT&amp;display_string=Audit&amp;VAR:KEY=FQTINILKPY&amp;VAR:QUERY=RkZfUkRfRVhQKENBTCw0MDE3OCwsLCwp&amp;WINDOW=FIRST_POPUP&amp;HEIGHT=450&amp;WIDTH=450&amp;START_MAXIMI","ZED=FALSE&amp;VAR:CALENDAR=US&amp;VAR:SYMBOL=630720&amp;VAR:INDEX=0"}</definedName>
    <definedName name="_2756__FDSAUDITLINK__" hidden="1">{"fdsup://directions/FAT Viewer?action=UPDATE&amp;creator=factset&amp;DYN_ARGS=TRUE&amp;DOC_NAME=FAT:FQL_AUDITING_CLIENT_TEMPLATE.FAT&amp;display_string=Audit&amp;VAR:KEY=VSZYNWJGTA&amp;VAR:QUERY=RkZfUkRfRVhQKENBTCwzOTgxMywsLCwp&amp;WINDOW=FIRST_POPUP&amp;HEIGHT=450&amp;WIDTH=450&amp;START_MAXIMI","ZED=FALSE&amp;VAR:CALENDAR=US&amp;VAR:SYMBOL=630720&amp;VAR:INDEX=0"}</definedName>
    <definedName name="_2757__FDSAUDITLINK__" hidden="1">{"fdsup://directions/FAT Viewer?action=UPDATE&amp;creator=factset&amp;DYN_ARGS=TRUE&amp;DOC_NAME=FAT:FQL_AUDITING_CLIENT_TEMPLATE.FAT&amp;display_string=Audit&amp;VAR:KEY=VYJCJQLQHW&amp;VAR:QUERY=RkZfUkRfRVhQKENBTCwzOTQ0NywsLCwp&amp;WINDOW=FIRST_POPUP&amp;HEIGHT=450&amp;WIDTH=450&amp;START_MAXIMI","ZED=FALSE&amp;VAR:CALENDAR=US&amp;VAR:SYMBOL=630720&amp;VAR:INDEX=0"}</definedName>
    <definedName name="_2758__FDSAUDITLINK__" hidden="1">{"fdsup://directions/FAT Viewer?action=UPDATE&amp;creator=factset&amp;DYN_ARGS=TRUE&amp;DOC_NAME=FAT:FQL_AUDITING_CLIENT_TEMPLATE.FAT&amp;display_string=Audit&amp;VAR:KEY=TUBQTARIDK&amp;VAR:QUERY=RkZfUkRfRVhQKENBTCwzOTA4MiwsLCwp&amp;WINDOW=FIRST_POPUP&amp;HEIGHT=450&amp;WIDTH=450&amp;START_MAXIMI","ZED=FALSE&amp;VAR:CALENDAR=US&amp;VAR:SYMBOL=630720&amp;VAR:INDEX=0"}</definedName>
    <definedName name="_2759__FDSAUDITLINK__" hidden="1">{"fdsup://directions/FAT Viewer?action=UPDATE&amp;creator=factset&amp;DYN_ARGS=TRUE&amp;DOC_NAME=FAT:FQL_AUDITING_CLIENT_TEMPLATE.FAT&amp;display_string=Audit&amp;VAR:KEY=TEDCLSDYNM&amp;VAR:QUERY=RkZfUkRfRVhQKENBTCwzODcxNywsLCwp&amp;WINDOW=FIRST_POPUP&amp;HEIGHT=450&amp;WIDTH=450&amp;START_MAXIMI","ZED=FALSE&amp;VAR:CALENDAR=US&amp;VAR:SYMBOL=630720&amp;VAR:INDEX=0"}</definedName>
    <definedName name="_276__FDSAUDITLINK__" hidden="1">{"fdsup://directions/FAT%20Viewer?VAR:TM=NTMA&amp;VAR:PCT=0.501370&amp;VAR:Y0=2005&amp;VAR:Y1=2006&amp;VAR:V0=15.966770&amp;VAR:V1=14.505054&amp;VAR:V=15.202851&amp;VAR:AUDIT_ID=00000117&amp;VAR:DATE=20050701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Aggregates&amp;VAR:MEASURE=PE_MEAN&amp;VAR:CALC_MODE=PORTFOLIO&amp;VAR:CHGPERIOD=NA&amp;VAR:FQLFORMULA=FMA_PE&amp;VAR:CURRENCY=USD&amp;VAR:P=1","194.440200&amp;VAR:THRESH=||||||&amp;VAR:null=.html"}</definedName>
    <definedName name="_2760__FDSAUDITLINK__" hidden="1">{"fdsup://directions/FAT Viewer?action=UPDATE&amp;creator=factset&amp;DYN_ARGS=TRUE&amp;DOC_NAME=FAT:FQL_AUDITING_CLIENT_TEMPLATE.FAT&amp;display_string=Audit&amp;VAR:KEY=HWBSXSJUJE&amp;VAR:QUERY=RkZfUkRfRVhQKENBTCwzODM1MiwsLCwp&amp;WINDOW=FIRST_POPUP&amp;HEIGHT=450&amp;WIDTH=450&amp;START_MAXIMI","ZED=FALSE&amp;VAR:CALENDAR=US&amp;VAR:SYMBOL=630720&amp;VAR:INDEX=0"}</definedName>
    <definedName name="_2761__FDSAUDITLINK__" hidden="1">{"fdsup://directions/FAT Viewer?action=UPDATE&amp;creator=factset&amp;DYN_ARGS=TRUE&amp;DOC_NAME=FAT:FQL_AUDITING_CLIENT_TEMPLATE.FAT&amp;display_string=Audit&amp;VAR:KEY=NOFYHOLEJE&amp;VAR:QUERY=RkZfUkRfRVhQKENBTCwzNzk4NiwsLCwp&amp;WINDOW=FIRST_POPUP&amp;HEIGHT=450&amp;WIDTH=450&amp;START_MAXIMI","ZED=FALSE&amp;VAR:CALENDAR=US&amp;VAR:SYMBOL=630720&amp;VAR:INDEX=0"}</definedName>
    <definedName name="_2762__FDSAUDITLINK__" hidden="1">{"fdsup://directions/FAT Viewer?action=UPDATE&amp;creator=factset&amp;DYN_ARGS=TRUE&amp;DOC_NAME=FAT:FQL_AUDITING_CLIENT_TEMPLATE.FAT&amp;display_string=Audit&amp;VAR:KEY=HMDKDGFUVI&amp;VAR:QUERY=RkZfUkRfRVhQKENBTCw0MDU0MywsLCwp&amp;WINDOW=FIRST_POPUP&amp;HEIGHT=450&amp;WIDTH=450&amp;START_MAXIMI","ZED=FALSE&amp;VAR:CALENDAR=US&amp;VAR:SYMBOL=698538&amp;VAR:INDEX=0"}</definedName>
    <definedName name="_2763__FDSAUDITLINK__" hidden="1">{"fdsup://directions/FAT Viewer?action=UPDATE&amp;creator=factset&amp;DYN_ARGS=TRUE&amp;DOC_NAME=FAT:FQL_AUDITING_CLIENT_TEMPLATE.FAT&amp;display_string=Audit&amp;VAR:KEY=XEFUVIRUFI&amp;VAR:QUERY=RkZfUkRfRVhQKENBTCw0MDE3OCwsLCwp&amp;WINDOW=FIRST_POPUP&amp;HEIGHT=450&amp;WIDTH=450&amp;START_MAXIMI","ZED=FALSE&amp;VAR:CALENDAR=US&amp;VAR:SYMBOL=698538&amp;VAR:INDEX=0"}</definedName>
    <definedName name="_2764__FDSAUDITLINK__" hidden="1">{"fdsup://directions/FAT Viewer?action=UPDATE&amp;creator=factset&amp;DYN_ARGS=TRUE&amp;DOC_NAME=FAT:FQL_AUDITING_CLIENT_TEMPLATE.FAT&amp;display_string=Audit&amp;VAR:KEY=HYTMLEDUVS&amp;VAR:QUERY=RkZfUkRfRVhQKENBTCwzOTgxMywsLCwp&amp;WINDOW=FIRST_POPUP&amp;HEIGHT=450&amp;WIDTH=450&amp;START_MAXIMI","ZED=FALSE&amp;VAR:CALENDAR=US&amp;VAR:SYMBOL=698538&amp;VAR:INDEX=0"}</definedName>
    <definedName name="_2765__FDSAUDITLINK__" hidden="1">{"fdsup://directions/FAT Viewer?action=UPDATE&amp;creator=factset&amp;DYN_ARGS=TRUE&amp;DOC_NAME=FAT:FQL_AUDITING_CLIENT_TEMPLATE.FAT&amp;display_string=Audit&amp;VAR:KEY=DSRAFCZODS&amp;VAR:QUERY=RkZfUkRfRVhQKENBTCwzOTQ0NywsLCwp&amp;WINDOW=FIRST_POPUP&amp;HEIGHT=450&amp;WIDTH=450&amp;START_MAXIMI","ZED=FALSE&amp;VAR:CALENDAR=US&amp;VAR:SYMBOL=698538&amp;VAR:INDEX=0"}</definedName>
    <definedName name="_2766__FDSAUDITLINK__" hidden="1">{"fdsup://directions/FAT Viewer?action=UPDATE&amp;creator=factset&amp;DYN_ARGS=TRUE&amp;DOC_NAME=FAT:FQL_AUDITING_CLIENT_TEMPLATE.FAT&amp;display_string=Audit&amp;VAR:KEY=FODYBQZGBW&amp;VAR:QUERY=RkZfUkRfRVhQKENBTCwzOTA4MiwsLCwp&amp;WINDOW=FIRST_POPUP&amp;HEIGHT=450&amp;WIDTH=450&amp;START_MAXIMI","ZED=FALSE&amp;VAR:CALENDAR=US&amp;VAR:SYMBOL=698538&amp;VAR:INDEX=0"}</definedName>
    <definedName name="_2767__FDSAUDITLINK__" hidden="1">{"fdsup://directions/FAT Viewer?action=UPDATE&amp;creator=factset&amp;DYN_ARGS=TRUE&amp;DOC_NAME=FAT:FQL_AUDITING_CLIENT_TEMPLATE.FAT&amp;display_string=Audit&amp;VAR:KEY=LMDOJUJATK&amp;VAR:QUERY=RkZfUkRfRVhQKENBTCwzODcxNywsLCwp&amp;WINDOW=FIRST_POPUP&amp;HEIGHT=450&amp;WIDTH=450&amp;START_MAXIMI","ZED=FALSE&amp;VAR:CALENDAR=US&amp;VAR:SYMBOL=698538&amp;VAR:INDEX=0"}</definedName>
    <definedName name="_2768__FDSAUDITLINK__" hidden="1">{"fdsup://directions/FAT Viewer?action=UPDATE&amp;creator=factset&amp;DYN_ARGS=TRUE&amp;DOC_NAME=FAT:FQL_AUDITING_CLIENT_TEMPLATE.FAT&amp;display_string=Audit&amp;VAR:KEY=BCDOVGLIHM&amp;VAR:QUERY=RkZfUkRfRVhQKENBTCwzODM1MiwsLCwp&amp;WINDOW=FIRST_POPUP&amp;HEIGHT=450&amp;WIDTH=450&amp;START_MAXIMI","ZED=FALSE&amp;VAR:CALENDAR=US&amp;VAR:SYMBOL=698538&amp;VAR:INDEX=0"}</definedName>
    <definedName name="_2769__FDSAUDITLINK__" hidden="1">{"fdsup://directions/FAT Viewer?action=UPDATE&amp;creator=factset&amp;DYN_ARGS=TRUE&amp;DOC_NAME=FAT:FQL_AUDITING_CLIENT_TEMPLATE.FAT&amp;display_string=Audit&amp;VAR:KEY=VAVSHGNKLS&amp;VAR:QUERY=RkZfUkRfRVhQKENBTCwzNzk4NiwsLCwp&amp;WINDOW=FIRST_POPUP&amp;HEIGHT=450&amp;WIDTH=450&amp;START_MAXIMI","ZED=FALSE&amp;VAR:CALENDAR=US&amp;VAR:SYMBOL=698538&amp;VAR:INDEX=0"}</definedName>
    <definedName name="_277__FDSAUDITLINK__" hidden="1">{"fdsup://directions/FAT%20Viewer?VAR:TM=NTMA&amp;VAR:PCT=0.520548&amp;VAR:Y0=2005&amp;VAR:Y1=2006&amp;VAR:V0=15.928405&amp;VAR:V1=14.471316&amp;VAR:V=15.194871&amp;VAR:AUDIT_ID=00000117&amp;VAR:DATE=20050624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Aggregates&amp;VAR:MEASURE=PE_MEAN&amp;VAR:CALC_MODE=PORTFOLIO&amp;VAR:CHGPERIOD=NA&amp;VAR:FQLFORMULA=FMA_PE&amp;VAR:CURRENCY=USD&amp;VAR:P=1","191.569300&amp;VAR:THRESH=||||||&amp;VAR:null=.html"}</definedName>
    <definedName name="_2770__FDSAUDITLINK__" hidden="1">{"fdsup://directions/FAT Viewer?action=UPDATE&amp;creator=factset&amp;DYN_ARGS=TRUE&amp;DOC_NAME=FAT:FQL_AUDITING_CLIENT_TEMPLATE.FAT&amp;display_string=Audit&amp;VAR:KEY=BIZIJKTURI&amp;VAR:QUERY=RkZfUkRfRVhQKENBTCw0MDU0MywsLCwp&amp;WINDOW=FIRST_POPUP&amp;HEIGHT=450&amp;WIDTH=450&amp;START_MAXIMI","ZED=FALSE&amp;VAR:CALENDAR=US&amp;VAR:SYMBOL=474184&amp;VAR:INDEX=0"}</definedName>
    <definedName name="_2771__FDSAUDITLINK__" hidden="1">{"fdsup://directions/FAT Viewer?action=UPDATE&amp;creator=factset&amp;DYN_ARGS=TRUE&amp;DOC_NAME=FAT:FQL_AUDITING_CLIENT_TEMPLATE.FAT&amp;display_string=Audit&amp;VAR:KEY=BCFCJCDITY&amp;VAR:QUERY=RkZfUkRfRVhQKENBTCw0MDE3OCwsLCwp&amp;WINDOW=FIRST_POPUP&amp;HEIGHT=450&amp;WIDTH=450&amp;START_MAXIMI","ZED=FALSE&amp;VAR:CALENDAR=US&amp;VAR:SYMBOL=474184&amp;VAR:INDEX=0"}</definedName>
    <definedName name="_2772__FDSAUDITLINK__" hidden="1">{"fdsup://directions/FAT Viewer?action=UPDATE&amp;creator=factset&amp;DYN_ARGS=TRUE&amp;DOC_NAME=FAT:FQL_AUDITING_CLIENT_TEMPLATE.FAT&amp;display_string=Audit&amp;VAR:KEY=RUVIBOLGPQ&amp;VAR:QUERY=RkZfUkRfRVhQKENBTCw0MDU0MywsLCwp&amp;WINDOW=FIRST_POPUP&amp;HEIGHT=450&amp;WIDTH=450&amp;START_MAXIMI","ZED=FALSE&amp;VAR:CALENDAR=US&amp;VAR:SYMBOL=B0J7D9&amp;VAR:INDEX=0"}</definedName>
    <definedName name="_2773__FDSAUDITLINK__" hidden="1">{"fdsup://directions/FAT Viewer?action=UPDATE&amp;creator=factset&amp;DYN_ARGS=TRUE&amp;DOC_NAME=FAT:FQL_AUDITING_CLIENT_TEMPLATE.FAT&amp;display_string=Audit&amp;VAR:KEY=DQXADMHEVC&amp;VAR:QUERY=RkZfUkRfRVhQKENBTCw0MDE3OCwsLCxKUFkp&amp;WINDOW=FIRST_POPUP&amp;HEIGHT=450&amp;WIDTH=450&amp;START_MA","XIMIZED=FALSE&amp;VAR:CALENDAR=US&amp;VAR:SYMBOL=B0J7D9&amp;VAR:INDEX=0"}</definedName>
    <definedName name="_2774__FDSAUDITLINK__" hidden="1">{"fdsup://directions/FAT Viewer?action=UPDATE&amp;creator=factset&amp;DYN_ARGS=TRUE&amp;DOC_NAME=FAT:FQL_AUDITING_CLIENT_TEMPLATE.FAT&amp;display_string=Audit&amp;VAR:KEY=TOLORIHYHO&amp;VAR:QUERY=RkZfUkRfRVhQKENBTCwzOTgxMywsLCxKUFkp&amp;WINDOW=FIRST_POPUP&amp;HEIGHT=450&amp;WIDTH=450&amp;START_MA","XIMIZED=FALSE&amp;VAR:CALENDAR=US&amp;VAR:SYMBOL=B0J7D9&amp;VAR:INDEX=0"}</definedName>
    <definedName name="_2775__FDSAUDITLINK__" hidden="1">{"fdsup://directions/FAT Viewer?action=UPDATE&amp;creator=factset&amp;DYN_ARGS=TRUE&amp;DOC_NAME=FAT:FQL_AUDITING_CLIENT_TEMPLATE.FAT&amp;display_string=Audit&amp;VAR:KEY=JOZMPGZMJM&amp;VAR:QUERY=RkZfUkRfRVhQKENBTCwzOTQ0NywsLCxKUFkp&amp;WINDOW=FIRST_POPUP&amp;HEIGHT=450&amp;WIDTH=450&amp;START_MA","XIMIZED=FALSE&amp;VAR:CALENDAR=US&amp;VAR:SYMBOL=B0J7D9&amp;VAR:INDEX=0"}</definedName>
    <definedName name="_2776__FDSAUDITLINK__" hidden="1">{"fdsup://directions/FAT Viewer?action=UPDATE&amp;creator=factset&amp;DYN_ARGS=TRUE&amp;DOC_NAME=FAT:FQL_AUDITING_CLIENT_TEMPLATE.FAT&amp;display_string=Audit&amp;VAR:KEY=NABIRCXULI&amp;VAR:QUERY=RkZfUkRfRVhQKENBTCwzOTA4MiwsLCxKUFkp&amp;WINDOW=FIRST_POPUP&amp;HEIGHT=450&amp;WIDTH=450&amp;START_MA","XIMIZED=FALSE&amp;VAR:CALENDAR=US&amp;VAR:SYMBOL=B0J7D9&amp;VAR:INDEX=0"}</definedName>
    <definedName name="_2777__FDSAUDITLINK__" hidden="1">{"fdsup://directions/FAT Viewer?action=UPDATE&amp;creator=factset&amp;DYN_ARGS=TRUE&amp;DOC_NAME=FAT:FQL_AUDITING_CLIENT_TEMPLATE.FAT&amp;display_string=Audit&amp;VAR:KEY=PKNSHOFKFO&amp;VAR:QUERY=RkZfUkRfRVhQKENBTCwzODcxNywsLCxKUFkp&amp;WINDOW=FIRST_POPUP&amp;HEIGHT=450&amp;WIDTH=450&amp;START_MA","XIMIZED=FALSE&amp;VAR:CALENDAR=US&amp;VAR:SYMBOL=B0J7D9&amp;VAR:INDEX=0"}</definedName>
    <definedName name="_2778__FDSAUDITLINK__" hidden="1">{"fdsup://directions/FAT Viewer?action=UPDATE&amp;creator=factset&amp;DYN_ARGS=TRUE&amp;DOC_NAME=FAT:FQL_AUDITING_CLIENT_TEMPLATE.FAT&amp;display_string=Audit&amp;VAR:KEY=TEXUHKRIJS&amp;VAR:QUERY=RkZfUkRfRVhQKENBTCwzODM1MiwsLCxKUFkp&amp;WINDOW=FIRST_POPUP&amp;HEIGHT=450&amp;WIDTH=450&amp;START_MA","XIMIZED=FALSE&amp;VAR:CALENDAR=US&amp;VAR:SYMBOL=B0J7D9&amp;VAR:INDEX=0"}</definedName>
    <definedName name="_2779__FDSAUDITLINK__" hidden="1">{"fdsup://directions/FAT Viewer?action=UPDATE&amp;creator=factset&amp;DYN_ARGS=TRUE&amp;DOC_NAME=FAT:FQL_AUDITING_CLIENT_TEMPLATE.FAT&amp;display_string=Audit&amp;VAR:KEY=BMDYTORIHY&amp;VAR:QUERY=RkZfUkRfRVhQKENBTCwzNzk4NiwsLCxKUFkp&amp;WINDOW=FIRST_POPUP&amp;HEIGHT=450&amp;WIDTH=450&amp;START_MA","XIMIZED=FALSE&amp;VAR:CALENDAR=US&amp;VAR:SYMBOL=B0J7D9&amp;VAR:INDEX=0"}</definedName>
    <definedName name="_278__FDSAUDITLINK__" hidden="1">{"fdsup://directions/FAT%20Viewer?VAR:TM=NTMA&amp;VAR:PCT=0.539726&amp;VAR:Y0=2005&amp;VAR:Y1=2006&amp;VAR:V0=16.267902&amp;VAR:V1=14.808791&amp;VAR:V=15.562146&amp;VAR:AUDIT_ID=00000117&amp;VAR:DATE=20050617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Aggregates&amp;VAR:MEASURE=PE_MEAN&amp;VAR:CALC_MODE=PORTFOLIO&amp;VAR:CHGPERIOD=NA&amp;VAR:FQLFORMULA=FMA_PE&amp;VAR:CURRENCY=USD&amp;VAR:P=1","216.964500&amp;VAR:THRESH=||||||&amp;VAR:null=.html"}</definedName>
    <definedName name="_2780__FDSAUDITLINK__" hidden="1">{"fdsup://directions/FAT Viewer?action=UPDATE&amp;creator=factset&amp;DYN_ARGS=TRUE&amp;DOC_NAME=FAT:FQL_AUDITING_CLIENT_TEMPLATE.FAT&amp;display_string=Audit&amp;VAR:KEY=ZSZUFATADA&amp;VAR:QUERY=RkZfUkRfRVhQKENBTCw0MDU0MywsLCwp&amp;WINDOW=FIRST_POPUP&amp;HEIGHT=450&amp;WIDTH=450&amp;START_MAXIMI","ZED=FALSE&amp;VAR:CALENDAR=US&amp;VAR:SYMBOL=AMGN&amp;VAR:INDEX=0"}</definedName>
    <definedName name="_2781__FDSAUDITLINK__" hidden="1">{"fdsup://directions/FAT Viewer?action=UPDATE&amp;creator=factset&amp;DYN_ARGS=TRUE&amp;DOC_NAME=FAT:FQL_AUDITING_CLIENT_TEMPLATE.FAT&amp;display_string=Audit&amp;VAR:KEY=NETMBUPAPS&amp;VAR:QUERY=RkZfUkRfRVhQKENBTCw0MDE3OCwsLCwp&amp;WINDOW=FIRST_POPUP&amp;HEIGHT=450&amp;WIDTH=450&amp;START_MAXIMI","ZED=FALSE&amp;VAR:CALENDAR=US&amp;VAR:SYMBOL=AMGN&amp;VAR:INDEX=0"}</definedName>
    <definedName name="_2782__FDSAUDITLINK__" hidden="1">{"fdsup://directions/FAT Viewer?action=UPDATE&amp;creator=factset&amp;DYN_ARGS=TRUE&amp;DOC_NAME=FAT:FQL_AUDITING_CLIENT_TEMPLATE.FAT&amp;display_string=Audit&amp;VAR:KEY=BWFKBKBAJS&amp;VAR:QUERY=RkZfUkRfRVhQKENBTCwzOTgxMywsLCwp&amp;WINDOW=FIRST_POPUP&amp;HEIGHT=450&amp;WIDTH=450&amp;START_MAXIMI","ZED=FALSE&amp;VAR:CALENDAR=US&amp;VAR:SYMBOL=AMGN&amp;VAR:INDEX=0"}</definedName>
    <definedName name="_2783__FDSAUDITLINK__" hidden="1">{"fdsup://directions/FAT Viewer?action=UPDATE&amp;creator=factset&amp;DYN_ARGS=TRUE&amp;DOC_NAME=FAT:FQL_AUDITING_CLIENT_TEMPLATE.FAT&amp;display_string=Audit&amp;VAR:KEY=JGFKDSPYPQ&amp;VAR:QUERY=RkZfUkRfRVhQKENBTCwzOTQ0NywsLCwp&amp;WINDOW=FIRST_POPUP&amp;HEIGHT=450&amp;WIDTH=450&amp;START_MAXIMI","ZED=FALSE&amp;VAR:CALENDAR=US&amp;VAR:SYMBOL=AMGN&amp;VAR:INDEX=0"}</definedName>
    <definedName name="_2784__FDSAUDITLINK__" hidden="1">{"fdsup://directions/FAT Viewer?action=UPDATE&amp;creator=factset&amp;DYN_ARGS=TRUE&amp;DOC_NAME=FAT:FQL_AUDITING_CLIENT_TEMPLATE.FAT&amp;display_string=Audit&amp;VAR:KEY=PITSZWZGJQ&amp;VAR:QUERY=RkZfUkRfRVhQKENBTCwzOTA4MiwsLCwp&amp;WINDOW=FIRST_POPUP&amp;HEIGHT=450&amp;WIDTH=450&amp;START_MAXIMI","ZED=FALSE&amp;VAR:CALENDAR=US&amp;VAR:SYMBOL=AMGN&amp;VAR:INDEX=0"}</definedName>
    <definedName name="_2785__FDSAUDITLINK__" hidden="1">{"fdsup://directions/FAT Viewer?action=UPDATE&amp;creator=factset&amp;DYN_ARGS=TRUE&amp;DOC_NAME=FAT:FQL_AUDITING_CLIENT_TEMPLATE.FAT&amp;display_string=Audit&amp;VAR:KEY=HKBWVOJSHI&amp;VAR:QUERY=RkZfUkRfRVhQKENBTCwzODcxNywsLCwp&amp;WINDOW=FIRST_POPUP&amp;HEIGHT=450&amp;WIDTH=450&amp;START_MAXIMI","ZED=FALSE&amp;VAR:CALENDAR=US&amp;VAR:SYMBOL=AMGN&amp;VAR:INDEX=0"}</definedName>
    <definedName name="_2786__FDSAUDITLINK__" hidden="1">{"fdsup://directions/FAT Viewer?action=UPDATE&amp;creator=factset&amp;DYN_ARGS=TRUE&amp;DOC_NAME=FAT:FQL_AUDITING_CLIENT_TEMPLATE.FAT&amp;display_string=Audit&amp;VAR:KEY=TUHABOXUJS&amp;VAR:QUERY=RkZfUkRfRVhQKENBTCwzODM1MiwsLCwp&amp;WINDOW=FIRST_POPUP&amp;HEIGHT=450&amp;WIDTH=450&amp;START_MAXIMI","ZED=FALSE&amp;VAR:CALENDAR=US&amp;VAR:SYMBOL=AMGN&amp;VAR:INDEX=0"}</definedName>
    <definedName name="_2787__FDSAUDITLINK__" hidden="1">{"fdsup://directions/FAT Viewer?action=UPDATE&amp;creator=factset&amp;DYN_ARGS=TRUE&amp;DOC_NAME=FAT:FQL_AUDITING_CLIENT_TEMPLATE.FAT&amp;display_string=Audit&amp;VAR:KEY=LIRCBIRMZO&amp;VAR:QUERY=RkZfUkRfRVhQKENBTCw0MDU0MywsLCwp&amp;WINDOW=FIRST_POPUP&amp;HEIGHT=450&amp;WIDTH=450&amp;START_MAXIMI","ZED=FALSE&amp;VAR:CALENDAR=US&amp;VAR:SYMBOL=ABT&amp;VAR:INDEX=0"}</definedName>
    <definedName name="_2788__FDSAUDITLINK__" hidden="1">{"fdsup://directions/FAT Viewer?action=UPDATE&amp;creator=factset&amp;DYN_ARGS=TRUE&amp;DOC_NAME=FAT:FQL_AUDITING_CLIENT_TEMPLATE.FAT&amp;display_string=Audit&amp;VAR:KEY=FKDMVIHOJW&amp;VAR:QUERY=RkZfUkRfRVhQKENBTCw0MDE3OCwsLCwp&amp;WINDOW=FIRST_POPUP&amp;HEIGHT=450&amp;WIDTH=450&amp;START_MAXIMI","ZED=FALSE&amp;VAR:CALENDAR=US&amp;VAR:SYMBOL=ABT&amp;VAR:INDEX=0"}</definedName>
    <definedName name="_2789__FDSAUDITLINK__" hidden="1">{"fdsup://directions/FAT Viewer?action=UPDATE&amp;creator=factset&amp;DYN_ARGS=TRUE&amp;DOC_NAME=FAT:FQL_AUDITING_CLIENT_TEMPLATE.FAT&amp;display_string=Audit&amp;VAR:KEY=DEROHMZOBS&amp;VAR:QUERY=RkZfUkRfRVhQKENBTCwzOTgxMywsLCwp&amp;WINDOW=FIRST_POPUP&amp;HEIGHT=450&amp;WIDTH=450&amp;START_MAXIMI","ZED=FALSE&amp;VAR:CALENDAR=US&amp;VAR:SYMBOL=ABT&amp;VAR:INDEX=0"}</definedName>
    <definedName name="_279__FDSAUDITLINK__" hidden="1">{"fdsup://directions/FAT%20Viewer?VAR:TM=NTMA&amp;VAR:PCT=0.558904&amp;VAR:Y0=2005&amp;VAR:Y1=2006&amp;VAR:V0=15.999546&amp;VAR:V1=14.584838&amp;VAR:V=15.343082&amp;VAR:AUDIT_ID=00000117&amp;VAR:DATE=20050610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Aggregates&amp;VAR:MEASURE=PE_MEAN&amp;VAR:CALC_MODE=PORTFOLIO&amp;VAR:CHGPERIOD=NA&amp;VAR:FQLFORMULA=FMA_PE&amp;VAR:CURRENCY=USD&amp;VAR:P=1","198.108400&amp;VAR:THRESH=||||||&amp;VAR:null=.html"}</definedName>
    <definedName name="_2790__FDSAUDITLINK__" hidden="1">{"fdsup://directions/FAT Viewer?action=UPDATE&amp;creator=factset&amp;DYN_ARGS=TRUE&amp;DOC_NAME=FAT:FQL_AUDITING_CLIENT_TEMPLATE.FAT&amp;display_string=Audit&amp;VAR:KEY=FSDQDMTKFI&amp;VAR:QUERY=RkZfUkRfRVhQKENBTCwzOTQ0NywsLCwp&amp;WINDOW=FIRST_POPUP&amp;HEIGHT=450&amp;WIDTH=450&amp;START_MAXIMI","ZED=FALSE&amp;VAR:CALENDAR=US&amp;VAR:SYMBOL=ABT&amp;VAR:INDEX=0"}</definedName>
    <definedName name="_2791__FDSAUDITLINK__" hidden="1">{"fdsup://directions/FAT Viewer?action=UPDATE&amp;creator=factset&amp;DYN_ARGS=TRUE&amp;DOC_NAME=FAT:FQL_AUDITING_CLIENT_TEMPLATE.FAT&amp;display_string=Audit&amp;VAR:KEY=DKXQFUXYNQ&amp;VAR:QUERY=RkZfUkRfRVhQKENBTCwzOTA4MiwsLCwp&amp;WINDOW=FIRST_POPUP&amp;HEIGHT=450&amp;WIDTH=450&amp;START_MAXIMI","ZED=FALSE&amp;VAR:CALENDAR=US&amp;VAR:SYMBOL=ABT&amp;VAR:INDEX=0"}</definedName>
    <definedName name="_2792__FDSAUDITLINK__" hidden="1">{"fdsup://directions/FAT Viewer?action=UPDATE&amp;creator=factset&amp;DYN_ARGS=TRUE&amp;DOC_NAME=FAT:FQL_AUDITING_CLIENT_TEMPLATE.FAT&amp;display_string=Audit&amp;VAR:KEY=DCTAJGPGHM&amp;VAR:QUERY=RkZfUkRfRVhQKENBTCwzODcxNywsLCwp&amp;WINDOW=FIRST_POPUP&amp;HEIGHT=450&amp;WIDTH=450&amp;START_MAXIMI","ZED=FALSE&amp;VAR:CALENDAR=US&amp;VAR:SYMBOL=ABT&amp;VAR:INDEX=0"}</definedName>
    <definedName name="_2793__FDSAUDITLINK__" hidden="1">{"fdsup://directions/FAT Viewer?action=UPDATE&amp;creator=factset&amp;DYN_ARGS=TRUE&amp;DOC_NAME=FAT:FQL_AUDITING_CLIENT_TEMPLATE.FAT&amp;display_string=Audit&amp;VAR:KEY=DWROLQJYRO&amp;VAR:QUERY=RkZfUkRfRVhQKENBTCwzODM1MiwsLCwp&amp;WINDOW=FIRST_POPUP&amp;HEIGHT=450&amp;WIDTH=450&amp;START_MAXIMI","ZED=FALSE&amp;VAR:CALENDAR=US&amp;VAR:SYMBOL=ABT&amp;VAR:INDEX=0"}</definedName>
    <definedName name="_2794__FDSAUDITLINK__" hidden="1">{"fdsup://directions/FAT Viewer?action=UPDATE&amp;creator=factset&amp;DYN_ARGS=TRUE&amp;DOC_NAME=FAT:FQL_AUDITING_CLIENT_TEMPLATE.FAT&amp;display_string=Audit&amp;VAR:KEY=JOTAHWPUXS&amp;VAR:QUERY=RkZfUkRfRVhQKENBTCw0MDU0MywsLCwp&amp;WINDOW=FIRST_POPUP&amp;HEIGHT=450&amp;WIDTH=450&amp;START_MAXIMI","ZED=FALSE&amp;VAR:CALENDAR=US&amp;VAR:SYMBOL=687044&amp;VAR:INDEX=0"}</definedName>
    <definedName name="_2795__FDSAUDITLINK__" hidden="1">{"fdsup://directions/FAT Viewer?action=UPDATE&amp;creator=factset&amp;DYN_ARGS=TRUE&amp;DOC_NAME=FAT:FQL_AUDITING_CLIENT_TEMPLATE.FAT&amp;display_string=Audit&amp;VAR:KEY=JSFKTSLWZU&amp;VAR:QUERY=RkZfUkRfRVhQKENBTCw0MDE3OCwsLCwp&amp;WINDOW=FIRST_POPUP&amp;HEIGHT=450&amp;WIDTH=450&amp;START_MAXIMI","ZED=FALSE&amp;VAR:CALENDAR=US&amp;VAR:SYMBOL=687044&amp;VAR:INDEX=0"}</definedName>
    <definedName name="_2796__FDSAUDITLINK__" hidden="1">{"fdsup://directions/FAT Viewer?action=UPDATE&amp;creator=factset&amp;DYN_ARGS=TRUE&amp;DOC_NAME=FAT:FQL_AUDITING_CLIENT_TEMPLATE.FAT&amp;display_string=Audit&amp;VAR:KEY=BWLSXWFQJQ&amp;VAR:QUERY=RkZfUkRfRVhQKENBTCwzOTgxMywsLCwp&amp;WINDOW=FIRST_POPUP&amp;HEIGHT=450&amp;WIDTH=450&amp;START_MAXIMI","ZED=FALSE&amp;VAR:CALENDAR=US&amp;VAR:SYMBOL=687044&amp;VAR:INDEX=0"}</definedName>
    <definedName name="_2797__FDSAUDITLINK__" hidden="1">{"fdsup://directions/FAT Viewer?action=UPDATE&amp;creator=factset&amp;DYN_ARGS=TRUE&amp;DOC_NAME=FAT:FQL_AUDITING_CLIENT_TEMPLATE.FAT&amp;display_string=Audit&amp;VAR:KEY=RSBIBMVATE&amp;VAR:QUERY=RkZfUkRfRVhQKENBTCwzOTQ0NywsLCwp&amp;WINDOW=FIRST_POPUP&amp;HEIGHT=450&amp;WIDTH=450&amp;START_MAXIMI","ZED=FALSE&amp;VAR:CALENDAR=US&amp;VAR:SYMBOL=687044&amp;VAR:INDEX=0"}</definedName>
    <definedName name="_2798__FDSAUDITLINK__" hidden="1">{"fdsup://directions/FAT Viewer?action=UPDATE&amp;creator=factset&amp;DYN_ARGS=TRUE&amp;DOC_NAME=FAT:FQL_AUDITING_CLIENT_TEMPLATE.FAT&amp;display_string=Audit&amp;VAR:KEY=BMBQFCROBS&amp;VAR:QUERY=RkZfUkRfRVhQKENBTCwzOTA4MiwsLCwp&amp;WINDOW=FIRST_POPUP&amp;HEIGHT=450&amp;WIDTH=450&amp;START_MAXIMI","ZED=FALSE&amp;VAR:CALENDAR=US&amp;VAR:SYMBOL=687044&amp;VAR:INDEX=0"}</definedName>
    <definedName name="_2799__FDSAUDITLINK__" hidden="1">{"fdsup://directions/FAT Viewer?action=UPDATE&amp;creator=factset&amp;DYN_ARGS=TRUE&amp;DOC_NAME=FAT:FQL_AUDITING_CLIENT_TEMPLATE.FAT&amp;display_string=Audit&amp;VAR:KEY=PSVODMRWBK&amp;VAR:QUERY=RkZfUkRfRVhQKENBTCwzODcxNywsLCwp&amp;WINDOW=FIRST_POPUP&amp;HEIGHT=450&amp;WIDTH=450&amp;START_MAXIMI","ZED=FALSE&amp;VAR:CALENDAR=US&amp;VAR:SYMBOL=687044&amp;VAR:INDEX=0"}</definedName>
    <definedName name="_28__FDSAUDITLINK__" hidden="1">{"fdsup://directions/FAT%20Viewer?VAR:TM=NTMA&amp;VAR:PCT=0.750685&amp;VAR:Y0=2010&amp;VAR:Y1=2011&amp;VAR:V0=14.857565&amp;VAR:V1=12.419359&amp;VAR:V=14.164276&amp;VAR:AUDIT_ID=00000117&amp;VAR:DATE=20100401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Aggregates&amp;VAR:MEASURE=PE_MEAN&amp;VAR:CALC_MODE=PORTFOLIO&amp;VAR:CHGPERIOD=NA&amp;VAR:FQLFORMULA=FMA_PE&amp;VAR:CURRENCY=USD&amp;VAR:P=1","178.102625&amp;VAR:THRESH=||||||&amp;VAR:null=.html"}</definedName>
    <definedName name="_280__FDSAUDITLINK__" hidden="1">{"fdsup://directions/FAT%20Viewer?VAR:TM=NTMA&amp;VAR:PCT=0.578082&amp;VAR:Y0=2005&amp;VAR:Y1=2006&amp;VAR:V0=15.989245&amp;VAR:V1=14.577988&amp;VAR:V=15.361796&amp;VAR:AUDIT_ID=00000117&amp;VAR:DATE=20050603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Aggregates&amp;VAR:MEASURE=PE_MEAN&amp;VAR:CALC_MODE=PORTFOLIO&amp;VAR:CHGPERIOD=NA&amp;VAR:FQLFORMULA=FMA_PE&amp;VAR:CURRENCY=USD&amp;VAR:P=1","196.016000&amp;VAR:THRESH=||||||&amp;VAR:null=.html"}</definedName>
    <definedName name="_2800__FDSAUDITLINK__" hidden="1">{"fdsup://directions/FAT Viewer?action=UPDATE&amp;creator=factset&amp;DYN_ARGS=TRUE&amp;DOC_NAME=FAT:FQL_AUDITING_CLIENT_TEMPLATE.FAT&amp;display_string=Audit&amp;VAR:KEY=XETOTYBIDC&amp;VAR:QUERY=RkZfUkRfRVhQKENBTCwzODM1MiwsLCwp&amp;WINDOW=FIRST_POPUP&amp;HEIGHT=450&amp;WIDTH=450&amp;START_MAXIMI","ZED=FALSE&amp;VAR:CALENDAR=US&amp;VAR:SYMBOL=687044&amp;VAR:INDEX=0"}</definedName>
    <definedName name="_2801__FDSAUDITLINK__" hidden="1">{"fdsup://directions/FAT Viewer?action=UPDATE&amp;creator=factset&amp;DYN_ARGS=TRUE&amp;DOC_NAME=FAT:FQL_AUDITING_CLIENT_TEMPLATE.FAT&amp;display_string=Audit&amp;VAR:KEY=ZYDGDSXIPY&amp;VAR:QUERY=RkZfUkRfRVhQKENBTCwzNzk4NiwsLCwp&amp;WINDOW=FIRST_POPUP&amp;HEIGHT=450&amp;WIDTH=450&amp;START_MAXIMI","ZED=FALSE&amp;VAR:CALENDAR=US&amp;VAR:SYMBOL=687044&amp;VAR:INDEX=0"}</definedName>
    <definedName name="_2802__FDSAUDITLINK__" hidden="1">{"fdsup://directions/FAT Viewer?action=UPDATE&amp;creator=factset&amp;DYN_ARGS=TRUE&amp;DOC_NAME=FAT:FQL_AUDITING_CLIENT_TEMPLATE.FAT&amp;display_string=Audit&amp;VAR:KEY=RQPKHUZILY&amp;VAR:QUERY=RkZfUkRfRVhQKENBTCw0MDU0MywsLCwp&amp;WINDOW=FIRST_POPUP&amp;HEIGHT=450&amp;WIDTH=450&amp;START_MAXIMI","ZED=FALSE&amp;VAR:CALENDAR=US&amp;VAR:SYMBOL=BMY&amp;VAR:INDEX=0"}</definedName>
    <definedName name="_2803__FDSAUDITLINK__" hidden="1">{"fdsup://directions/FAT Viewer?action=UPDATE&amp;creator=factset&amp;DYN_ARGS=TRUE&amp;DOC_NAME=FAT:FQL_AUDITING_CLIENT_TEMPLATE.FAT&amp;display_string=Audit&amp;VAR:KEY=ZKHEPOXWFO&amp;VAR:QUERY=RkZfUkRfRVhQKENBTCw0MDE3OCwsLCwp&amp;WINDOW=FIRST_POPUP&amp;HEIGHT=450&amp;WIDTH=450&amp;START_MAXIMI","ZED=FALSE&amp;VAR:CALENDAR=US&amp;VAR:SYMBOL=BMY&amp;VAR:INDEX=0"}</definedName>
    <definedName name="_2804__FDSAUDITLINK__" hidden="1">{"fdsup://directions/FAT Viewer?action=UPDATE&amp;creator=factset&amp;DYN_ARGS=TRUE&amp;DOC_NAME=FAT:FQL_AUDITING_CLIENT_TEMPLATE.FAT&amp;display_string=Audit&amp;VAR:KEY=NWVSBKDCPE&amp;VAR:QUERY=RkZfUkRfRVhQKENBTCwzOTgxMywsLCwp&amp;WINDOW=FIRST_POPUP&amp;HEIGHT=450&amp;WIDTH=450&amp;START_MAXIMI","ZED=FALSE&amp;VAR:CALENDAR=US&amp;VAR:SYMBOL=BMY&amp;VAR:INDEX=0"}</definedName>
    <definedName name="_2805__FDSAUDITLINK__" hidden="1">{"fdsup://directions/FAT Viewer?action=UPDATE&amp;creator=factset&amp;DYN_ARGS=TRUE&amp;DOC_NAME=FAT:FQL_AUDITING_CLIENT_TEMPLATE.FAT&amp;display_string=Audit&amp;VAR:KEY=RSXSPYNOFE&amp;VAR:QUERY=RkZfUkRfRVhQKENBTCwzOTQ0NywsLCwp&amp;WINDOW=FIRST_POPUP&amp;HEIGHT=450&amp;WIDTH=450&amp;START_MAXIMI","ZED=FALSE&amp;VAR:CALENDAR=US&amp;VAR:SYMBOL=BMY&amp;VAR:INDEX=0"}</definedName>
    <definedName name="_2806__FDSAUDITLINK__" hidden="1">{"fdsup://directions/FAT Viewer?action=UPDATE&amp;creator=factset&amp;DYN_ARGS=TRUE&amp;DOC_NAME=FAT:FQL_AUDITING_CLIENT_TEMPLATE.FAT&amp;display_string=Audit&amp;VAR:KEY=LKDOVYBADY&amp;VAR:QUERY=RkZfUkRfRVhQKENBTCwzOTA4MiwsLCwp&amp;WINDOW=FIRST_POPUP&amp;HEIGHT=450&amp;WIDTH=450&amp;START_MAXIMI","ZED=FALSE&amp;VAR:CALENDAR=US&amp;VAR:SYMBOL=BMY&amp;VAR:INDEX=0"}</definedName>
    <definedName name="_2807__FDSAUDITLINK__" hidden="1">{"fdsup://directions/FAT Viewer?action=UPDATE&amp;creator=factset&amp;DYN_ARGS=TRUE&amp;DOC_NAME=FAT:FQL_AUDITING_CLIENT_TEMPLATE.FAT&amp;display_string=Audit&amp;VAR:KEY=LQFUHMHSHG&amp;VAR:QUERY=RkZfUkRfRVhQKENBTCwzODcxNywsLCwp&amp;WINDOW=FIRST_POPUP&amp;HEIGHT=450&amp;WIDTH=450&amp;START_MAXIMI","ZED=FALSE&amp;VAR:CALENDAR=US&amp;VAR:SYMBOL=BMY&amp;VAR:INDEX=0"}</definedName>
    <definedName name="_2808__FDSAUDITLINK__" hidden="1">{"fdsup://directions/FAT Viewer?action=UPDATE&amp;creator=factset&amp;DYN_ARGS=TRUE&amp;DOC_NAME=FAT:FQL_AUDITING_CLIENT_TEMPLATE.FAT&amp;display_string=Audit&amp;VAR:KEY=FQBKHMBUDK&amp;VAR:QUERY=RkZfUkRfRVhQKENBTCwzODM1MiwsLCwp&amp;WINDOW=FIRST_POPUP&amp;HEIGHT=450&amp;WIDTH=450&amp;START_MAXIMI","ZED=FALSE&amp;VAR:CALENDAR=US&amp;VAR:SYMBOL=BMY&amp;VAR:INDEX=0"}</definedName>
    <definedName name="_2809__FDSAUDITLINK__" hidden="1">{"fdsup://directions/FAT Viewer?action=UPDATE&amp;creator=factset&amp;DYN_ARGS=TRUE&amp;DOC_NAME=FAT:FQL_AUDITING_CLIENT_TEMPLATE.FAT&amp;display_string=Audit&amp;VAR:KEY=BOHSRQTWRY&amp;VAR:QUERY=RkZfUkRfRVhQKENBTCw0MDU0MywsLCwp&amp;WINDOW=FIRST_POPUP&amp;HEIGHT=450&amp;WIDTH=450&amp;START_MAXIMI","ZED=FALSE&amp;VAR:CALENDAR=US&amp;VAR:SYMBOL=LLY&amp;VAR:INDEX=0"}</definedName>
    <definedName name="_281__FDSAUDITLINK__" hidden="1">{"fdsup://directions/FAT%20Viewer?VAR:TM=NTMA&amp;VAR:PCT=0.597260&amp;VAR:Y0=2005&amp;VAR:Y1=2006&amp;VAR:V0=16.008373&amp;VAR:V1=14.606574&amp;VAR:V=15.412657&amp;VAR:AUDIT_ID=00000117&amp;VAR:DATE=20050527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Aggregates&amp;VAR:MEASURE=PE_MEAN&amp;VAR:CALC_MODE=PORTFOLIO&amp;VAR:CHGPERIOD=NA&amp;VAR:FQLFORMULA=FMA_PE&amp;VAR:CURRENCY=USD&amp;VAR:P=1","198.783400&amp;VAR:THRESH=||||||&amp;VAR:null=.html"}</definedName>
    <definedName name="_2810__FDSAUDITLINK__" hidden="1">{"fdsup://directions/FAT Viewer?action=UPDATE&amp;creator=factset&amp;DYN_ARGS=TRUE&amp;DOC_NAME=FAT:FQL_AUDITING_CLIENT_TEMPLATE.FAT&amp;display_string=Audit&amp;VAR:KEY=BEDERGXQVO&amp;VAR:QUERY=RkZfUkRfRVhQKENBTCw0MDE3OCwsLCwp&amp;WINDOW=FIRST_POPUP&amp;HEIGHT=450&amp;WIDTH=450&amp;START_MAXIMI","ZED=FALSE&amp;VAR:CALENDAR=US&amp;VAR:SYMBOL=LLY&amp;VAR:INDEX=0"}</definedName>
    <definedName name="_2811__FDSAUDITLINK__" hidden="1">{"fdsup://directions/FAT Viewer?action=UPDATE&amp;creator=factset&amp;DYN_ARGS=TRUE&amp;DOC_NAME=FAT:FQL_AUDITING_CLIENT_TEMPLATE.FAT&amp;display_string=Audit&amp;VAR:KEY=RCRMLCNWPG&amp;VAR:QUERY=RkZfUkRfRVhQKENBTCwzOTgxMywsLCwp&amp;WINDOW=FIRST_POPUP&amp;HEIGHT=450&amp;WIDTH=450&amp;START_MAXIMI","ZED=FALSE&amp;VAR:CALENDAR=US&amp;VAR:SYMBOL=LLY&amp;VAR:INDEX=0"}</definedName>
    <definedName name="_2812__FDSAUDITLINK__" hidden="1">{"fdsup://directions/FAT Viewer?action=UPDATE&amp;creator=factset&amp;DYN_ARGS=TRUE&amp;DOC_NAME=FAT:FQL_AUDITING_CLIENT_TEMPLATE.FAT&amp;display_string=Audit&amp;VAR:KEY=HEPKDCHMJW&amp;VAR:QUERY=RkZfUkRfRVhQKENBTCwzOTQ0NywsLCwp&amp;WINDOW=FIRST_POPUP&amp;HEIGHT=450&amp;WIDTH=450&amp;START_MAXIMI","ZED=FALSE&amp;VAR:CALENDAR=US&amp;VAR:SYMBOL=LLY&amp;VAR:INDEX=0"}</definedName>
    <definedName name="_2813__FDSAUDITLINK__" hidden="1">{"fdsup://directions/FAT Viewer?action=UPDATE&amp;creator=factset&amp;DYN_ARGS=TRUE&amp;DOC_NAME=FAT:FQL_AUDITING_CLIENT_TEMPLATE.FAT&amp;display_string=Audit&amp;VAR:KEY=FENANCDSZW&amp;VAR:QUERY=RkZfUkRfRVhQKENBTCwzOTA4MiwsLCwp&amp;WINDOW=FIRST_POPUP&amp;HEIGHT=450&amp;WIDTH=450&amp;START_MAXIMI","ZED=FALSE&amp;VAR:CALENDAR=US&amp;VAR:SYMBOL=LLY&amp;VAR:INDEX=0"}</definedName>
    <definedName name="_2814__FDSAUDITLINK__" hidden="1">{"fdsup://directions/FAT Viewer?action=UPDATE&amp;creator=factset&amp;DYN_ARGS=TRUE&amp;DOC_NAME=FAT:FQL_AUDITING_CLIENT_TEMPLATE.FAT&amp;display_string=Audit&amp;VAR:KEY=BUFUPIJOPY&amp;VAR:QUERY=RkZfUkRfRVhQKENBTCwzODcxNywsLCwp&amp;WINDOW=FIRST_POPUP&amp;HEIGHT=450&amp;WIDTH=450&amp;START_MAXIMI","ZED=FALSE&amp;VAR:CALENDAR=US&amp;VAR:SYMBOL=LLY&amp;VAR:INDEX=0"}</definedName>
    <definedName name="_2815__FDSAUDITLINK__" hidden="1">{"fdsup://directions/FAT Viewer?action=UPDATE&amp;creator=factset&amp;DYN_ARGS=TRUE&amp;DOC_NAME=FAT:FQL_AUDITING_CLIENT_TEMPLATE.FAT&amp;display_string=Audit&amp;VAR:KEY=FITARQDYHC&amp;VAR:QUERY=RkZfUkRfRVhQKENBTCwzODM1MiwsLCwp&amp;WINDOW=FIRST_POPUP&amp;HEIGHT=450&amp;WIDTH=450&amp;START_MAXIMI","ZED=FALSE&amp;VAR:CALENDAR=US&amp;VAR:SYMBOL=LLY&amp;VAR:INDEX=0"}</definedName>
    <definedName name="_2816__FDSAUDITLINK__" hidden="1">{"fdsup://directions/FAT Viewer?action=UPDATE&amp;creator=factset&amp;DYN_ARGS=TRUE&amp;DOC_NAME=FAT:FQL_AUDITING_CLIENT_TEMPLATE.FAT&amp;display_string=Audit&amp;VAR:KEY=HCLIXKLATC&amp;VAR:QUERY=RkZfUkRfRVhQKENBTCw0MDU0MywsLCwp&amp;WINDOW=FIRST_POPUP&amp;HEIGHT=450&amp;WIDTH=450&amp;START_MAXIMI","ZED=FALSE&amp;VAR:CALENDAR=US&amp;VAR:SYMBOL=506921&amp;VAR:INDEX=0"}</definedName>
    <definedName name="_2817__FDSAUDITLINK__" hidden="1">{"fdsup://directions/FAT Viewer?action=UPDATE&amp;creator=factset&amp;DYN_ARGS=TRUE&amp;DOC_NAME=FAT:FQL_AUDITING_CLIENT_TEMPLATE.FAT&amp;display_string=Audit&amp;VAR:KEY=ZSRUDMXUFC&amp;VAR:QUERY=RkZfUkRfRVhQKENBTCw0MDE3OCwsLCwp&amp;WINDOW=FIRST_POPUP&amp;HEIGHT=450&amp;WIDTH=450&amp;START_MAXIMI","ZED=FALSE&amp;VAR:CALENDAR=US&amp;VAR:SYMBOL=506921&amp;VAR:INDEX=0"}</definedName>
    <definedName name="_2818__FDSAUDITLINK__" hidden="1">{"fdsup://directions/FAT Viewer?action=UPDATE&amp;creator=factset&amp;DYN_ARGS=TRUE&amp;DOC_NAME=FAT:FQL_AUDITING_CLIENT_TEMPLATE.FAT&amp;display_string=Audit&amp;VAR:KEY=RAHQNINYXK&amp;VAR:QUERY=RkZfUkRfRVhQKENBTCwzOTgxMywsLCwp&amp;WINDOW=FIRST_POPUP&amp;HEIGHT=450&amp;WIDTH=450&amp;START_MAXIMI","ZED=FALSE&amp;VAR:CALENDAR=US&amp;VAR:SYMBOL=506921&amp;VAR:INDEX=0"}</definedName>
    <definedName name="_2819__FDSAUDITLINK__" hidden="1">{"fdsup://directions/FAT Viewer?action=UPDATE&amp;creator=factset&amp;DYN_ARGS=TRUE&amp;DOC_NAME=FAT:FQL_AUDITING_CLIENT_TEMPLATE.FAT&amp;display_string=Audit&amp;VAR:KEY=RWDWLABEJW&amp;VAR:QUERY=RkZfUkRfRVhQKENBTCwzOTQ0NywsLCwp&amp;WINDOW=FIRST_POPUP&amp;HEIGHT=450&amp;WIDTH=450&amp;START_MAXIMI","ZED=FALSE&amp;VAR:CALENDAR=US&amp;VAR:SYMBOL=506921&amp;VAR:INDEX=0"}</definedName>
    <definedName name="_282__FDSAUDITLINK__" hidden="1">{"fdsup://directions/FAT%20Viewer?VAR:TM=NTMA&amp;VAR:PCT=0.616438&amp;VAR:Y0=2005&amp;VAR:Y1=2006&amp;VAR:V0=15.866772&amp;VAR:V1=14.477743&amp;VAR:V=15.303602&amp;VAR:AUDIT_ID=00000117&amp;VAR:DATE=20050520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Aggregates&amp;VAR:MEASURE=PE_MEAN&amp;VAR:CALC_MODE=PORTFOLIO&amp;VAR:CHGPERIOD=NA&amp;VAR:FQLFORMULA=FMA_PE&amp;VAR:CURRENCY=USD&amp;VAR:P=1","189.278000&amp;VAR:THRESH=||||||&amp;VAR:null=.html"}</definedName>
    <definedName name="_2820__FDSAUDITLINK__" hidden="1">{"fdsup://directions/FAT Viewer?action=UPDATE&amp;creator=factset&amp;DYN_ARGS=TRUE&amp;DOC_NAME=FAT:FQL_AUDITING_CLIENT_TEMPLATE.FAT&amp;display_string=Audit&amp;VAR:KEY=FGJCBIHEHA&amp;VAR:QUERY=RkZfUkRfRVhQKENBTCwzOTA4MiwsLCwp&amp;WINDOW=FIRST_POPUP&amp;HEIGHT=450&amp;WIDTH=450&amp;START_MAXIMI","ZED=FALSE&amp;VAR:CALENDAR=US&amp;VAR:SYMBOL=506921&amp;VAR:INDEX=0"}</definedName>
    <definedName name="_2821__FDSAUDITLINK__" hidden="1">{"fdsup://directions/FAT Viewer?action=UPDATE&amp;creator=factset&amp;DYN_ARGS=TRUE&amp;DOC_NAME=FAT:FQL_AUDITING_CLIENT_TEMPLATE.FAT&amp;display_string=Audit&amp;VAR:KEY=BYZCRITIBW&amp;VAR:QUERY=RkZfUkRfRVhQKENBTCwzODcxNywsLCwp&amp;WINDOW=FIRST_POPUP&amp;HEIGHT=450&amp;WIDTH=450&amp;START_MAXIMI","ZED=FALSE&amp;VAR:CALENDAR=US&amp;VAR:SYMBOL=506921&amp;VAR:INDEX=0"}</definedName>
    <definedName name="_2822__FDSAUDITLINK__" hidden="1">{"fdsup://directions/FAT Viewer?action=UPDATE&amp;creator=factset&amp;DYN_ARGS=TRUE&amp;DOC_NAME=FAT:FQL_AUDITING_CLIENT_TEMPLATE.FAT&amp;display_string=Audit&amp;VAR:KEY=FINCFGZWNE&amp;VAR:QUERY=RkZfUkRfRVhQKENBTCw0MDU0MywsLCwp&amp;WINDOW=FIRST_POPUP&amp;HEIGHT=450&amp;WIDTH=450&amp;START_MAXIMI","ZED=FALSE&amp;VAR:CALENDAR=US&amp;VAR:SYMBOL=567173&amp;VAR:INDEX=0"}</definedName>
    <definedName name="_2823__FDSAUDITLINK__" hidden="1">{"fdsup://directions/FAT Viewer?action=UPDATE&amp;creator=factset&amp;DYN_ARGS=TRUE&amp;DOC_NAME=FAT:FQL_AUDITING_CLIENT_TEMPLATE.FAT&amp;display_string=Audit&amp;VAR:KEY=XKDWJCVMXO&amp;VAR:QUERY=RkZfUkRfRVhQKENBTCw0MDE3OCwsLCwp&amp;WINDOW=FIRST_POPUP&amp;HEIGHT=450&amp;WIDTH=450&amp;START_MAXIMI","ZED=FALSE&amp;VAR:CALENDAR=US&amp;VAR:SYMBOL=567173&amp;VAR:INDEX=0"}</definedName>
    <definedName name="_2824__FDSAUDITLINK__" hidden="1">{"fdsup://directions/FAT Viewer?action=UPDATE&amp;creator=factset&amp;DYN_ARGS=TRUE&amp;DOC_NAME=FAT:FQL_AUDITING_CLIENT_TEMPLATE.FAT&amp;display_string=Audit&amp;VAR:KEY=PGJGJQBYXO&amp;VAR:QUERY=RkZfUkRfRVhQKENBTCwzOTgxMywsLCwp&amp;WINDOW=FIRST_POPUP&amp;HEIGHT=450&amp;WIDTH=450&amp;START_MAXIMI","ZED=FALSE&amp;VAR:CALENDAR=US&amp;VAR:SYMBOL=567173&amp;VAR:INDEX=0"}</definedName>
    <definedName name="_2825__FDSAUDITLINK__" hidden="1">{"fdsup://directions/FAT Viewer?action=UPDATE&amp;creator=factset&amp;DYN_ARGS=TRUE&amp;DOC_NAME=FAT:FQL_AUDITING_CLIENT_TEMPLATE.FAT&amp;display_string=Audit&amp;VAR:KEY=RWLEDIBETI&amp;VAR:QUERY=RkZfUkRfRVhQKENBTCwzOTQ0NywsLCwp&amp;WINDOW=FIRST_POPUP&amp;HEIGHT=450&amp;WIDTH=450&amp;START_MAXIMI","ZED=FALSE&amp;VAR:CALENDAR=US&amp;VAR:SYMBOL=567173&amp;VAR:INDEX=0"}</definedName>
    <definedName name="_2826__FDSAUDITLINK__" hidden="1">{"fdsup://directions/FAT Viewer?action=UPDATE&amp;creator=factset&amp;DYN_ARGS=TRUE&amp;DOC_NAME=FAT:FQL_AUDITING_CLIENT_TEMPLATE.FAT&amp;display_string=Audit&amp;VAR:KEY=VWPMVGBIVA&amp;VAR:QUERY=RkZfUkRfRVhQKENBTCwzOTA4MiwsLCwp&amp;WINDOW=FIRST_POPUP&amp;HEIGHT=450&amp;WIDTH=450&amp;START_MAXIMI","ZED=FALSE&amp;VAR:CALENDAR=US&amp;VAR:SYMBOL=567173&amp;VAR:INDEX=0"}</definedName>
    <definedName name="_2827__FDSAUDITLINK__" hidden="1">{"fdsup://directions/FAT Viewer?action=UPDATE&amp;creator=factset&amp;DYN_ARGS=TRUE&amp;DOC_NAME=FAT:FQL_AUDITING_CLIENT_TEMPLATE.FAT&amp;display_string=Audit&amp;VAR:KEY=ZGNEJWTYPU&amp;VAR:QUERY=RkZfUkRfRVhQKENBTCwzODcxNywsLCwp&amp;WINDOW=FIRST_POPUP&amp;HEIGHT=450&amp;WIDTH=450&amp;START_MAXIMI","ZED=FALSE&amp;VAR:CALENDAR=US&amp;VAR:SYMBOL=567173&amp;VAR:INDEX=0"}</definedName>
    <definedName name="_2828__FDSAUDITLINK__" hidden="1">{"fdsup://directions/FAT Viewer?action=UPDATE&amp;creator=factset&amp;DYN_ARGS=TRUE&amp;DOC_NAME=FAT:FQL_AUDITING_CLIENT_TEMPLATE.FAT&amp;display_string=Audit&amp;VAR:KEY=LGVSXMXGRE&amp;VAR:QUERY=RkZfUkRfRVhQKENBTCw0MDU0MywsLCwp&amp;WINDOW=FIRST_POPUP&amp;HEIGHT=450&amp;WIDTH=450&amp;START_MAXIMI","ZED=FALSE&amp;VAR:CALENDAR=US&amp;VAR:SYMBOL=JNJ&amp;VAR:INDEX=0"}</definedName>
    <definedName name="_2829__FDSAUDITLINK__" hidden="1">{"fdsup://directions/FAT Viewer?action=UPDATE&amp;creator=factset&amp;DYN_ARGS=TRUE&amp;DOC_NAME=FAT:FQL_AUDITING_CLIENT_TEMPLATE.FAT&amp;display_string=Audit&amp;VAR:KEY=HIHGTUVWJM&amp;VAR:QUERY=RkZfUkRfRVhQKENBTCw0MDE3OCwsLCwp&amp;WINDOW=FIRST_POPUP&amp;HEIGHT=450&amp;WIDTH=450&amp;START_MAXIMI","ZED=FALSE&amp;VAR:CALENDAR=US&amp;VAR:SYMBOL=JNJ&amp;VAR:INDEX=0"}</definedName>
    <definedName name="_283__FDSAUDITLINK__" hidden="1">{"fdsup://directions/FAT%20Viewer?VAR:TM=NTMA&amp;VAR:PCT=0.635616&amp;VAR:Y0=2005&amp;VAR:Y1=2006&amp;VAR:V0=15.379389&amp;VAR:V1=14.052899&amp;VAR:V=14.868002&amp;VAR:AUDIT_ID=00000117&amp;VAR:DATE=20050513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Aggregates&amp;VAR:MEASURE=PE_MEAN&amp;VAR:CALC_MODE=PORTFOLIO&amp;VAR:CHGPERIOD=NA&amp;VAR:FQLFORMULA=FMA_PE&amp;VAR:CURRENCY=USD&amp;VAR:P=1","154.051300&amp;VAR:THRESH=||||||&amp;VAR:null=.html"}</definedName>
    <definedName name="_2830__FDSAUDITLINK__" hidden="1">{"fdsup://directions/FAT Viewer?action=UPDATE&amp;creator=factset&amp;DYN_ARGS=TRUE&amp;DOC_NAME=FAT:FQL_AUDITING_CLIENT_TEMPLATE.FAT&amp;display_string=Audit&amp;VAR:KEY=NQLIFKBKPW&amp;VAR:QUERY=RkZfUkRfRVhQKENBTCwzOTgxMywsLCwp&amp;WINDOW=FIRST_POPUP&amp;HEIGHT=450&amp;WIDTH=450&amp;START_MAXIMI","ZED=FALSE&amp;VAR:CALENDAR=US&amp;VAR:SYMBOL=JNJ&amp;VAR:INDEX=0"}</definedName>
    <definedName name="_2831__FDSAUDITLINK__" hidden="1">{"fdsup://directions/FAT Viewer?action=UPDATE&amp;creator=factset&amp;DYN_ARGS=TRUE&amp;DOC_NAME=FAT:FQL_AUDITING_CLIENT_TEMPLATE.FAT&amp;display_string=Audit&amp;VAR:KEY=FYLUREVORG&amp;VAR:QUERY=RkZfUkRfRVhQKENBTCwzOTQ0NywsLCwp&amp;WINDOW=FIRST_POPUP&amp;HEIGHT=450&amp;WIDTH=450&amp;START_MAXIMI","ZED=FALSE&amp;VAR:CALENDAR=US&amp;VAR:SYMBOL=JNJ&amp;VAR:INDEX=0"}</definedName>
    <definedName name="_2832__FDSAUDITLINK__" hidden="1">{"fdsup://directions/FAT Viewer?action=UPDATE&amp;creator=factset&amp;DYN_ARGS=TRUE&amp;DOC_NAME=FAT:FQL_AUDITING_CLIENT_TEMPLATE.FAT&amp;display_string=Audit&amp;VAR:KEY=BUPWHWVEFO&amp;VAR:QUERY=RkZfUkRfRVhQKENBTCwzOTA4MiwsLCwp&amp;WINDOW=FIRST_POPUP&amp;HEIGHT=450&amp;WIDTH=450&amp;START_MAXIMI","ZED=FALSE&amp;VAR:CALENDAR=US&amp;VAR:SYMBOL=JNJ&amp;VAR:INDEX=0"}</definedName>
    <definedName name="_2833__FDSAUDITLINK__" hidden="1">{"fdsup://directions/FAT Viewer?action=UPDATE&amp;creator=factset&amp;DYN_ARGS=TRUE&amp;DOC_NAME=FAT:FQL_AUDITING_CLIENT_TEMPLATE.FAT&amp;display_string=Audit&amp;VAR:KEY=BIZGFAZSLE&amp;VAR:QUERY=RkZfUkRfRVhQKENBTCwzODcxNywsLCwp&amp;WINDOW=FIRST_POPUP&amp;HEIGHT=450&amp;WIDTH=450&amp;START_MAXIMI","ZED=FALSE&amp;VAR:CALENDAR=US&amp;VAR:SYMBOL=JNJ&amp;VAR:INDEX=0"}</definedName>
    <definedName name="_2834__FDSAUDITLINK__" hidden="1">{"fdsup://directions/FAT Viewer?action=UPDATE&amp;creator=factset&amp;DYN_ARGS=TRUE&amp;DOC_NAME=FAT:FQL_AUDITING_CLIENT_TEMPLATE.FAT&amp;display_string=Audit&amp;VAR:KEY=FQZEXGVUHG&amp;VAR:QUERY=RkZfUkRfRVhQKENBTCwzODM1MiwsLCwp&amp;WINDOW=FIRST_POPUP&amp;HEIGHT=450&amp;WIDTH=450&amp;START_MAXIMI","ZED=FALSE&amp;VAR:CALENDAR=US&amp;VAR:SYMBOL=JNJ&amp;VAR:INDEX=0"}</definedName>
    <definedName name="_2835__FDSAUDITLINK__" hidden="1">{"fdsup://directions/FAT Viewer?action=UPDATE&amp;creator=factset&amp;DYN_ARGS=TRUE&amp;DOC_NAME=FAT:FQL_AUDITING_CLIENT_TEMPLATE.FAT&amp;display_string=Audit&amp;VAR:KEY=LEFUXOTGLS&amp;VAR:QUERY=RkZfUkRfRVhQKENBTCw0MDU0MywsLCwp&amp;WINDOW=FIRST_POPUP&amp;HEIGHT=450&amp;WIDTH=450&amp;START_MAXIMI","ZED=FALSE&amp;VAR:CALENDAR=US&amp;VAR:SYMBOL=710306&amp;VAR:INDEX=0"}</definedName>
    <definedName name="_2836__FDSAUDITLINK__" hidden="1">{"fdsup://directions/FAT Viewer?action=UPDATE&amp;creator=factset&amp;DYN_ARGS=TRUE&amp;DOC_NAME=FAT:FQL_AUDITING_CLIENT_TEMPLATE.FAT&amp;display_string=Audit&amp;VAR:KEY=XUVINAFIPU&amp;VAR:QUERY=RkZfUkRfRVhQKENBTCw0MDE3OCwsLCwp&amp;WINDOW=FIRST_POPUP&amp;HEIGHT=450&amp;WIDTH=450&amp;START_MAXIMI","ZED=FALSE&amp;VAR:CALENDAR=US&amp;VAR:SYMBOL=710306&amp;VAR:INDEX=0"}</definedName>
    <definedName name="_2837__FDSAUDITLINK__" hidden="1">{"fdsup://directions/FAT Viewer?action=UPDATE&amp;creator=factset&amp;DYN_ARGS=TRUE&amp;DOC_NAME=FAT:FQL_AUDITING_CLIENT_TEMPLATE.FAT&amp;display_string=Audit&amp;VAR:KEY=HKXWJMJSZQ&amp;VAR:QUERY=RkZfUkRfRVhQKENBTCwzOTgxMywsLCwp&amp;WINDOW=FIRST_POPUP&amp;HEIGHT=450&amp;WIDTH=450&amp;START_MAXIMI","ZED=FALSE&amp;VAR:CALENDAR=US&amp;VAR:SYMBOL=710306&amp;VAR:INDEX=0"}</definedName>
    <definedName name="_2838__FDSAUDITLINK__" hidden="1">{"fdsup://directions/FAT Viewer?action=UPDATE&amp;creator=factset&amp;DYN_ARGS=TRUE&amp;DOC_NAME=FAT:FQL_AUDITING_CLIENT_TEMPLATE.FAT&amp;display_string=Audit&amp;VAR:KEY=JONIRWROFI&amp;VAR:QUERY=RkZfUkRfRVhQKENBTCwzOTQ0NywsLCwp&amp;WINDOW=FIRST_POPUP&amp;HEIGHT=450&amp;WIDTH=450&amp;START_MAXIMI","ZED=FALSE&amp;VAR:CALENDAR=US&amp;VAR:SYMBOL=710306&amp;VAR:INDEX=0"}</definedName>
    <definedName name="_2839__FDSAUDITLINK__" hidden="1">{"fdsup://directions/FAT Viewer?action=UPDATE&amp;creator=factset&amp;DYN_ARGS=TRUE&amp;DOC_NAME=FAT:FQL_AUDITING_CLIENT_TEMPLATE.FAT&amp;display_string=Audit&amp;VAR:KEY=BAPYPCNOVG&amp;VAR:QUERY=RkZfUkRfRVhQKENBTCwzOTA4MiwsLCwp&amp;WINDOW=FIRST_POPUP&amp;HEIGHT=450&amp;WIDTH=450&amp;START_MAXIMI","ZED=FALSE&amp;VAR:CALENDAR=US&amp;VAR:SYMBOL=710306&amp;VAR:INDEX=0"}</definedName>
    <definedName name="_284__FDSAUDITLINK__" hidden="1">{"fdsup://directions/FAT%20Viewer?VAR:TM=NTMA&amp;VAR:PCT=0.654795&amp;VAR:Y0=2005&amp;VAR:Y1=2006&amp;VAR:V0=15.639768&amp;VAR:V1=14.282685&amp;VAR:V=15.143075&amp;VAR:AUDIT_ID=00000117&amp;VAR:DATE=20050506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Aggregates&amp;VAR:MEASURE=PE_MEAN&amp;VAR:CALC_MODE=PORTFOLIO&amp;VAR:CHGPERIOD=NA&amp;VAR:FQLFORMULA=FMA_PE&amp;VAR:CURRENCY=USD&amp;VAR:P=1","171.345300&amp;VAR:THRESH=||||||&amp;VAR:null=.html"}</definedName>
    <definedName name="_2840__FDSAUDITLINK__" hidden="1">{"fdsup://directions/FAT Viewer?action=UPDATE&amp;creator=factset&amp;DYN_ARGS=TRUE&amp;DOC_NAME=FAT:FQL_AUDITING_CLIENT_TEMPLATE.FAT&amp;display_string=Audit&amp;VAR:KEY=VKXURALSNK&amp;VAR:QUERY=RkZfUkRfRVhQKENBTCwzODcxNywsLCwp&amp;WINDOW=FIRST_POPUP&amp;HEIGHT=450&amp;WIDTH=450&amp;START_MAXIMI","ZED=FALSE&amp;VAR:CALENDAR=US&amp;VAR:SYMBOL=710306&amp;VAR:INDEX=0"}</definedName>
    <definedName name="_2841__FDSAUDITLINK__" hidden="1">{"fdsup://directions/FAT Viewer?action=UPDATE&amp;creator=factset&amp;DYN_ARGS=TRUE&amp;DOC_NAME=FAT:FQL_AUDITING_CLIENT_TEMPLATE.FAT&amp;display_string=Audit&amp;VAR:KEY=BUHEBCVYDU&amp;VAR:QUERY=RkZfUkRfRVhQKENBTCw0MDU0MywsLCwp&amp;WINDOW=FIRST_POPUP&amp;HEIGHT=450&amp;WIDTH=450&amp;START_MAXIMI","ZED=FALSE&amp;VAR:CALENDAR=US&amp;VAR:SYMBOL=711038&amp;VAR:INDEX=0"}</definedName>
    <definedName name="_2842__FDSAUDITLINK__" hidden="1">{"fdsup://directions/FAT Viewer?action=UPDATE&amp;creator=factset&amp;DYN_ARGS=TRUE&amp;DOC_NAME=FAT:FQL_AUDITING_CLIENT_TEMPLATE.FAT&amp;display_string=Audit&amp;VAR:KEY=HATKVKBWZI&amp;VAR:QUERY=RkZfUkRfRVhQKENBTCw0MDE3OCwsLCwp&amp;WINDOW=FIRST_POPUP&amp;HEIGHT=450&amp;WIDTH=450&amp;START_MAXIMI","ZED=FALSE&amp;VAR:CALENDAR=US&amp;VAR:SYMBOL=711038&amp;VAR:INDEX=0"}</definedName>
    <definedName name="_2843__FDSAUDITLINK__" hidden="1">{"fdsup://directions/FAT Viewer?action=UPDATE&amp;creator=factset&amp;DYN_ARGS=TRUE&amp;DOC_NAME=FAT:FQL_AUDITING_CLIENT_TEMPLATE.FAT&amp;display_string=Audit&amp;VAR:KEY=XUXGPIZETA&amp;VAR:QUERY=RkZfUkRfRVhQKENBTCwzOTgxMywsLCwp&amp;WINDOW=FIRST_POPUP&amp;HEIGHT=450&amp;WIDTH=450&amp;START_MAXIMI","ZED=FALSE&amp;VAR:CALENDAR=US&amp;VAR:SYMBOL=711038&amp;VAR:INDEX=0"}</definedName>
    <definedName name="_2844__FDSAUDITLINK__" hidden="1">{"fdsup://directions/FAT Viewer?action=UPDATE&amp;creator=factset&amp;DYN_ARGS=TRUE&amp;DOC_NAME=FAT:FQL_AUDITING_CLIENT_TEMPLATE.FAT&amp;display_string=Audit&amp;VAR:KEY=LULOLUFSZY&amp;VAR:QUERY=RkZfUkRfRVhQKENBTCwzOTgxMywsLCwp&amp;WINDOW=FIRST_POPUP&amp;HEIGHT=450&amp;WIDTH=450&amp;START_MAXIMI","ZED=FALSE&amp;VAR:CALENDAR=US&amp;VAR:SYMBOL=DNA&amp;VAR:INDEX=0"}</definedName>
    <definedName name="_2845__FDSAUDITLINK__" hidden="1">{"fdsup://directions/FAT Viewer?action=UPDATE&amp;creator=factset&amp;DYN_ARGS=TRUE&amp;DOC_NAME=FAT:FQL_AUDITING_CLIENT_TEMPLATE.FAT&amp;display_string=Audit&amp;VAR:KEY=JQXWLKRQJO&amp;VAR:QUERY=RkZfUkRfRVhQKENBTCwzOTQ0NywsLCwp&amp;WINDOW=FIRST_POPUP&amp;HEIGHT=450&amp;WIDTH=450&amp;START_MAXIMI","ZED=FALSE&amp;VAR:CALENDAR=US&amp;VAR:SYMBOL=DNA&amp;VAR:INDEX=0"}</definedName>
    <definedName name="_2846__FDSAUDITLINK__" hidden="1">{"fdsup://directions/FAT Viewer?action=UPDATE&amp;creator=factset&amp;DYN_ARGS=TRUE&amp;DOC_NAME=FAT:FQL_AUDITING_CLIENT_TEMPLATE.FAT&amp;display_string=Audit&amp;VAR:KEY=HYXWNYRITG&amp;VAR:QUERY=RkZfUkRfRVhQKENBTCwzOTA4MiwsLCwp&amp;WINDOW=FIRST_POPUP&amp;HEIGHT=450&amp;WIDTH=450&amp;START_MAXIMI","ZED=FALSE&amp;VAR:CALENDAR=US&amp;VAR:SYMBOL=DNA&amp;VAR:INDEX=0"}</definedName>
    <definedName name="_2847__FDSAUDITLINK__" hidden="1">{"fdsup://directions/FAT Viewer?action=UPDATE&amp;creator=factset&amp;DYN_ARGS=TRUE&amp;DOC_NAME=FAT:FQL_AUDITING_CLIENT_TEMPLATE.FAT&amp;display_string=Audit&amp;VAR:KEY=FWHQNGDGJY&amp;VAR:QUERY=RkZfUkRfRVhQKENBTCwzODcxNywsLCwp&amp;WINDOW=FIRST_POPUP&amp;HEIGHT=450&amp;WIDTH=450&amp;START_MAXIMI","ZED=FALSE&amp;VAR:CALENDAR=US&amp;VAR:SYMBOL=DNA&amp;VAR:INDEX=0"}</definedName>
    <definedName name="_2848__FDSAUDITLINK__" hidden="1">{"fdsup://directions/FAT Viewer?action=UPDATE&amp;creator=factset&amp;DYN_ARGS=TRUE&amp;DOC_NAME=FAT:FQL_AUDITING_CLIENT_TEMPLATE.FAT&amp;display_string=Audit&amp;VAR:KEY=RQTWDYPOXG&amp;VAR:QUERY=RkZfUkRfRVhQKENBTCwzODM1MiwsLCwp&amp;WINDOW=FIRST_POPUP&amp;HEIGHT=450&amp;WIDTH=450&amp;START_MAXIMI","ZED=FALSE&amp;VAR:CALENDAR=US&amp;VAR:SYMBOL=DNA&amp;VAR:INDEX=0"}</definedName>
    <definedName name="_2849__FDSAUDITLINK__" hidden="1">{"fdsup://directions/FAT Viewer?action=UPDATE&amp;creator=factset&amp;DYN_ARGS=TRUE&amp;DOC_NAME=FAT:FQL_AUDITING_CLIENT_TEMPLATE.FAT&amp;display_string=Audit&amp;VAR:KEY=JGLQLQPQDK&amp;VAR:QUERY=RkZfUkRfRVhQKENBTCw0MDU0MywsLCwp&amp;WINDOW=FIRST_POPUP&amp;HEIGHT=450&amp;WIDTH=450&amp;START_MAXIMI","ZED=FALSE&amp;VAR:CALENDAR=US&amp;VAR:SYMBOL=MRK&amp;VAR:INDEX=0"}</definedName>
    <definedName name="_285__FDSAUDITLINK__" hidden="1">{"fdsup://directions/FAT%20Viewer?VAR:TM=NTMA&amp;VAR:PCT=0.673973&amp;VAR:Y0=2005&amp;VAR:Y1=2006&amp;VAR:V0=15.441839&amp;VAR:V1=14.109818&amp;VAR:V=14.980758&amp;VAR:AUDIT_ID=00000117&amp;VAR:DATE=20050429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Aggregates&amp;VAR:MEASURE=PE_MEAN&amp;VAR:CALC_MODE=PORTFOLIO&amp;VAR:CHGPERIOD=NA&amp;VAR:FQLFORMULA=FMA_PE&amp;VAR:CURRENCY=USD&amp;VAR:P=1","156.847500&amp;VAR:THRESH=||||||&amp;VAR:null=.html"}</definedName>
    <definedName name="_2850__FDSAUDITLINK__" hidden="1">{"fdsup://directions/FAT Viewer?action=UPDATE&amp;creator=factset&amp;DYN_ARGS=TRUE&amp;DOC_NAME=FAT:FQL_AUDITING_CLIENT_TEMPLATE.FAT&amp;display_string=Audit&amp;VAR:KEY=XMHMROTSFU&amp;VAR:QUERY=RkZfUkRfRVhQKENBTCw0MDE3OCwsLCxVU0Qp&amp;WINDOW=FIRST_POPUP&amp;HEIGHT=450&amp;WIDTH=450&amp;START_MA","XIMIZED=FALSE&amp;VAR:CALENDAR=US&amp;VAR:SYMBOL=MRK&amp;VAR:INDEX=0"}</definedName>
    <definedName name="_2851__FDSAUDITLINK__" hidden="1">{"fdsup://directions/FAT Viewer?action=UPDATE&amp;creator=factset&amp;DYN_ARGS=TRUE&amp;DOC_NAME=FAT:FQL_AUDITING_CLIENT_TEMPLATE.FAT&amp;display_string=Audit&amp;VAR:KEY=BMVWPEJELU&amp;VAR:QUERY=RkZfUkRfRVhQKENBTCwzOTgxMywsLCwp&amp;WINDOW=FIRST_POPUP&amp;HEIGHT=450&amp;WIDTH=450&amp;START_MAXIMI","ZED=FALSE&amp;VAR:CALENDAR=US&amp;VAR:SYMBOL=MRK&amp;VAR:INDEX=0"}</definedName>
    <definedName name="_2852__FDSAUDITLINK__" hidden="1">{"fdsup://directions/FAT Viewer?action=UPDATE&amp;creator=factset&amp;DYN_ARGS=TRUE&amp;DOC_NAME=FAT:FQL_AUDITING_CLIENT_TEMPLATE.FAT&amp;display_string=Audit&amp;VAR:KEY=ZWNOBEDCJI&amp;VAR:QUERY=RkZfUkRfRVhQKENBTCwzOTgxMywsLCwp&amp;WINDOW=FIRST_POPUP&amp;HEIGHT=450&amp;WIDTH=450&amp;START_MAXIMI","ZED=FALSE&amp;VAR:CALENDAR=US&amp;VAR:SYMBOL=SGP&amp;VAR:INDEX=0"}</definedName>
    <definedName name="_2853__FDSAUDITLINK__" hidden="1">{"fdsup://directions/FAT Viewer?action=UPDATE&amp;creator=factset&amp;DYN_ARGS=TRUE&amp;DOC_NAME=FAT:FQL_AUDITING_CLIENT_TEMPLATE.FAT&amp;display_string=Audit&amp;VAR:KEY=LSNMLEBONA&amp;VAR:QUERY=RkZfUkRfRVhQKENBTCwzOTQ0NywsLCwp&amp;WINDOW=FIRST_POPUP&amp;HEIGHT=450&amp;WIDTH=450&amp;START_MAXIMI","ZED=FALSE&amp;VAR:CALENDAR=US&amp;VAR:SYMBOL=MRK&amp;VAR:INDEX=0"}</definedName>
    <definedName name="_2854__FDSAUDITLINK__" hidden="1">{"fdsup://directions/FAT Viewer?action=UPDATE&amp;creator=factset&amp;DYN_ARGS=TRUE&amp;DOC_NAME=FAT:FQL_AUDITING_CLIENT_TEMPLATE.FAT&amp;display_string=Audit&amp;VAR:KEY=VERKZCBWNO&amp;VAR:QUERY=RkZfUkRfRVhQKENBTCwzOTQ0NywsLCwp&amp;WINDOW=FIRST_POPUP&amp;HEIGHT=450&amp;WIDTH=450&amp;START_MAXIMI","ZED=FALSE&amp;VAR:CALENDAR=US&amp;VAR:SYMBOL=SGP&amp;VAR:INDEX=0"}</definedName>
    <definedName name="_2855__FDSAUDITLINK__" hidden="1">{"fdsup://directions/FAT Viewer?action=UPDATE&amp;creator=factset&amp;DYN_ARGS=TRUE&amp;DOC_NAME=FAT:FQL_AUDITING_CLIENT_TEMPLATE.FAT&amp;display_string=Audit&amp;VAR:KEY=NMHYXIZERM&amp;VAR:QUERY=RkZfUkRfRVhQKENBTCwzOTA4MiwsLCwp&amp;WINDOW=FIRST_POPUP&amp;HEIGHT=450&amp;WIDTH=450&amp;START_MAXIMI","ZED=FALSE&amp;VAR:CALENDAR=US&amp;VAR:SYMBOL=MRK&amp;VAR:INDEX=0"}</definedName>
    <definedName name="_2856__FDSAUDITLINK__" hidden="1">{"fdsup://directions/FAT Viewer?action=UPDATE&amp;creator=factset&amp;DYN_ARGS=TRUE&amp;DOC_NAME=FAT:FQL_AUDITING_CLIENT_TEMPLATE.FAT&amp;display_string=Audit&amp;VAR:KEY=VGVGPSRCRG&amp;VAR:QUERY=RkZfUkRfRVhQKENBTCwzOTA4MiwsLCwp&amp;WINDOW=FIRST_POPUP&amp;HEIGHT=450&amp;WIDTH=450&amp;START_MAXIMI","ZED=FALSE&amp;VAR:CALENDAR=US&amp;VAR:SYMBOL=SGP&amp;VAR:INDEX=0"}</definedName>
    <definedName name="_2857__FDSAUDITLINK__" hidden="1">{"fdsup://directions/FAT Viewer?action=UPDATE&amp;creator=factset&amp;DYN_ARGS=TRUE&amp;DOC_NAME=FAT:FQL_AUDITING_CLIENT_TEMPLATE.FAT&amp;display_string=Audit&amp;VAR:KEY=HIHQXGPWVE&amp;VAR:QUERY=RkZfUkRfRVhQKENBTCwzODcxNywsLCwp&amp;WINDOW=FIRST_POPUP&amp;HEIGHT=450&amp;WIDTH=450&amp;START_MAXIMI","ZED=FALSE&amp;VAR:CALENDAR=US&amp;VAR:SYMBOL=MRK&amp;VAR:INDEX=0"}</definedName>
    <definedName name="_2858__FDSAUDITLINK__" hidden="1">{"fdsup://directions/FAT Viewer?action=UPDATE&amp;creator=factset&amp;DYN_ARGS=TRUE&amp;DOC_NAME=FAT:FQL_AUDITING_CLIENT_TEMPLATE.FAT&amp;display_string=Audit&amp;VAR:KEY=DQBAJYBAFW&amp;VAR:QUERY=RkZfUkRfRVhQKENBTCwzODcxNywsLCwp&amp;WINDOW=FIRST_POPUP&amp;HEIGHT=450&amp;WIDTH=450&amp;START_MAXIMI","ZED=FALSE&amp;VAR:CALENDAR=US&amp;VAR:SYMBOL=SGP&amp;VAR:INDEX=0"}</definedName>
    <definedName name="_2859__FDSAUDITLINK__" hidden="1">{"fdsup://directions/FAT Viewer?action=UPDATE&amp;creator=factset&amp;DYN_ARGS=TRUE&amp;DOC_NAME=FAT:FQL_AUDITING_CLIENT_TEMPLATE.FAT&amp;display_string=Audit&amp;VAR:KEY=BILIDIROZO&amp;VAR:QUERY=RkZfUkRfRVhQKENBTCwzODM1MiwsLCwp&amp;WINDOW=FIRST_POPUP&amp;HEIGHT=450&amp;WIDTH=450&amp;START_MAXIMI","ZED=FALSE&amp;VAR:CALENDAR=US&amp;VAR:SYMBOL=MRK&amp;VAR:INDEX=0"}</definedName>
    <definedName name="_286__FDSAUDITLINK__" hidden="1">{"fdsup://directions/FAT%20Viewer?VAR:TM=NTMA&amp;VAR:PCT=0.693151&amp;VAR:Y0=2005&amp;VAR:Y1=2006&amp;VAR:V0=15.435179&amp;VAR:V1=14.081199&amp;VAR:V=14.992814&amp;VAR:AUDIT_ID=00000117&amp;VAR:DATE=20050422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Aggregates&amp;VAR:MEASURE=PE_MEAN&amp;VAR:CALC_MODE=PORTFOLIO&amp;VAR:CHGPERIOD=NA&amp;VAR:FQLFORMULA=FMA_PE&amp;VAR:CURRENCY=USD&amp;VAR:P=1","152.122100&amp;VAR:THRESH=||||||&amp;VAR:null=.html"}</definedName>
    <definedName name="_2860__FDSAUDITLINK__" hidden="1">{"fdsup://directions/FAT Viewer?action=UPDATE&amp;creator=factset&amp;DYN_ARGS=TRUE&amp;DOC_NAME=FAT:FQL_AUDITING_CLIENT_TEMPLATE.FAT&amp;display_string=Audit&amp;VAR:KEY=HSTURMXUFQ&amp;VAR:QUERY=RkZfUkRfRVhQKENBTCwzODM1MiwsLCwp&amp;WINDOW=FIRST_POPUP&amp;HEIGHT=450&amp;WIDTH=450&amp;START_MAXIMI","ZED=FALSE&amp;VAR:CALENDAR=US&amp;VAR:SYMBOL=SGP&amp;VAR:INDEX=0"}</definedName>
    <definedName name="_2861__FDSAUDITLINK__" hidden="1">{"fdsup://directions/FAT Viewer?action=UPDATE&amp;creator=factset&amp;DYN_ARGS=TRUE&amp;DOC_NAME=FAT:FQL_AUDITING_CLIENT_TEMPLATE.FAT&amp;display_string=Audit&amp;VAR:KEY=RULMZELIXK&amp;VAR:QUERY=RkZfUkRfRVhQKENBTCw0MDU0MywsLCwp&amp;WINDOW=FIRST_POPUP&amp;HEIGHT=450&amp;WIDTH=450&amp;START_MAXIMI","ZED=FALSE&amp;VAR:CALENDAR=US&amp;VAR:SYMBOL=PFE&amp;VAR:INDEX=0"}</definedName>
    <definedName name="_2862__FDSAUDITLINK__" hidden="1">{"fdsup://directions/FAT Viewer?action=UPDATE&amp;creator=factset&amp;DYN_ARGS=TRUE&amp;DOC_NAME=FAT:FQL_AUDITING_CLIENT_TEMPLATE.FAT&amp;display_string=Audit&amp;VAR:KEY=XADITGJORE&amp;VAR:QUERY=RkZfUkRfRVhQKENBTCw0MDE3OCwsLCxVU0Qp&amp;WINDOW=FIRST_POPUP&amp;HEIGHT=450&amp;WIDTH=450&amp;START_MA","XIMIZED=FALSE&amp;VAR:CALENDAR=US&amp;VAR:SYMBOL=PFE&amp;VAR:INDEX=0"}</definedName>
    <definedName name="_2863__FDSAUDITLINK__" hidden="1">{"fdsup://directions/FAT Viewer?action=UPDATE&amp;creator=factset&amp;DYN_ARGS=TRUE&amp;DOC_NAME=FAT:FQL_AUDITING_CLIENT_TEMPLATE.FAT&amp;display_string=Audit&amp;VAR:KEY=XAFSTKHGNY&amp;VAR:QUERY=RkZfUkRfRVhQKENBTCwzOTgxMywsLCwp&amp;WINDOW=FIRST_POPUP&amp;HEIGHT=450&amp;WIDTH=450&amp;START_MAXIMI","ZED=FALSE&amp;VAR:CALENDAR=US&amp;VAR:SYMBOL=PFE&amp;VAR:INDEX=0"}</definedName>
    <definedName name="_2864__FDSAUDITLINK__" hidden="1">{"fdsup://directions/FAT Viewer?action=UPDATE&amp;creator=factset&amp;DYN_ARGS=TRUE&amp;DOC_NAME=FAT:FQL_AUDITING_CLIENT_TEMPLATE.FAT&amp;display_string=Audit&amp;VAR:KEY=PAJYJYJAHE&amp;VAR:QUERY=RkZfUkRfRVhQKENBTCwzOTgxMywsLCwp&amp;WINDOW=FIRST_POPUP&amp;HEIGHT=450&amp;WIDTH=450&amp;START_MAXIMI","ZED=FALSE&amp;VAR:CALENDAR=US&amp;VAR:SYMBOL=WYE&amp;VAR:INDEX=0"}</definedName>
    <definedName name="_2865__FDSAUDITLINK__" hidden="1">{"fdsup://directions/FAT Viewer?action=UPDATE&amp;creator=factset&amp;DYN_ARGS=TRUE&amp;DOC_NAME=FAT:FQL_AUDITING_CLIENT_TEMPLATE.FAT&amp;display_string=Audit&amp;VAR:KEY=TEDKTITIXA&amp;VAR:QUERY=RkZfUkRfRVhQKENBTCwzOTQ0NywsLCwp&amp;WINDOW=FIRST_POPUP&amp;HEIGHT=450&amp;WIDTH=450&amp;START_MAXIMI","ZED=FALSE&amp;VAR:CALENDAR=US&amp;VAR:SYMBOL=PFE&amp;VAR:INDEX=0"}</definedName>
    <definedName name="_2866__FDSAUDITLINK__" hidden="1">{"fdsup://directions/FAT Viewer?action=UPDATE&amp;creator=factset&amp;DYN_ARGS=TRUE&amp;DOC_NAME=FAT:FQL_AUDITING_CLIENT_TEMPLATE.FAT&amp;display_string=Audit&amp;VAR:KEY=NYXURMTONW&amp;VAR:QUERY=RkZfUkRfRVhQKENBTCwzOTQ0NywsLCwp&amp;WINDOW=FIRST_POPUP&amp;HEIGHT=450&amp;WIDTH=450&amp;START_MAXIMI","ZED=FALSE&amp;VAR:CALENDAR=US&amp;VAR:SYMBOL=WYE&amp;VAR:INDEX=0"}</definedName>
    <definedName name="_2867__FDSAUDITLINK__" hidden="1">{"fdsup://directions/FAT Viewer?action=UPDATE&amp;creator=factset&amp;DYN_ARGS=TRUE&amp;DOC_NAME=FAT:FQL_AUDITING_CLIENT_TEMPLATE.FAT&amp;display_string=Audit&amp;VAR:KEY=VOPUPSJQLI&amp;VAR:QUERY=RkZfUkRfRVhQKENBTCwzOTA4MiwsLCwp&amp;WINDOW=FIRST_POPUP&amp;HEIGHT=450&amp;WIDTH=450&amp;START_MAXIMI","ZED=FALSE&amp;VAR:CALENDAR=US&amp;VAR:SYMBOL=PFE&amp;VAR:INDEX=0"}</definedName>
    <definedName name="_2868__FDSAUDITLINK__" hidden="1">{"fdsup://directions/FAT Viewer?action=UPDATE&amp;creator=factset&amp;DYN_ARGS=TRUE&amp;DOC_NAME=FAT:FQL_AUDITING_CLIENT_TEMPLATE.FAT&amp;display_string=Audit&amp;VAR:KEY=XWTYLUVGBU&amp;VAR:QUERY=RkZfUkRfRVhQKENBTCwzOTA4MiwsLCwp&amp;WINDOW=FIRST_POPUP&amp;HEIGHT=450&amp;WIDTH=450&amp;START_MAXIMI","ZED=FALSE&amp;VAR:CALENDAR=US&amp;VAR:SYMBOL=WYE&amp;VAR:INDEX=0"}</definedName>
    <definedName name="_2869__FDSAUDITLINK__" hidden="1">{"fdsup://directions/FAT Viewer?action=UPDATE&amp;creator=factset&amp;DYN_ARGS=TRUE&amp;DOC_NAME=FAT:FQL_AUDITING_CLIENT_TEMPLATE.FAT&amp;display_string=Audit&amp;VAR:KEY=DUZANORCZM&amp;VAR:QUERY=RkZfUkRfRVhQKENBTCwzODcxNywsLCwp&amp;WINDOW=FIRST_POPUP&amp;HEIGHT=450&amp;WIDTH=450&amp;START_MAXIMI","ZED=FALSE&amp;VAR:CALENDAR=US&amp;VAR:SYMBOL=PFE&amp;VAR:INDEX=0"}</definedName>
    <definedName name="_287__FDSAUDITLINK__" hidden="1">{"fdsup://directions/FAT%20Viewer?VAR:TM=NTMA&amp;VAR:PCT=0.712329&amp;VAR:Y0=2005&amp;VAR:Y1=2006&amp;VAR:V0=15.370179&amp;VAR:V1=13.954372&amp;VAR:V=14.934291&amp;VAR:AUDIT_ID=00000117&amp;VAR:DATE=20050415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Aggregates&amp;VAR:MEASURE=PE_MEAN&amp;VAR:CALC_MODE=PORTFOLIO&amp;VAR:CHGPERIOD=NA&amp;VAR:FQLFORMULA=FMA_PE&amp;VAR:CURRENCY=USD&amp;VAR:P=1","142.624400&amp;VAR:THRESH=||||||&amp;VAR:null=.html"}</definedName>
    <definedName name="_2870__FDSAUDITLINK__" hidden="1">{"fdsup://directions/FAT Viewer?action=UPDATE&amp;creator=factset&amp;DYN_ARGS=TRUE&amp;DOC_NAME=FAT:FQL_AUDITING_CLIENT_TEMPLATE.FAT&amp;display_string=Audit&amp;VAR:KEY=DGDCHUBYVS&amp;VAR:QUERY=RkZfUkRfRVhQKENBTCwzODcxNywsLCwp&amp;WINDOW=FIRST_POPUP&amp;HEIGHT=450&amp;WIDTH=450&amp;START_MAXIMI","ZED=FALSE&amp;VAR:CALENDAR=US&amp;VAR:SYMBOL=WYE&amp;VAR:INDEX=0"}</definedName>
    <definedName name="_2871__FDSAUDITLINK__" hidden="1">{"fdsup://directions/FAT Viewer?action=UPDATE&amp;creator=factset&amp;DYN_ARGS=TRUE&amp;DOC_NAME=FAT:FQL_AUDITING_CLIENT_TEMPLATE.FAT&amp;display_string=Audit&amp;VAR:KEY=BETMVWVSBG&amp;VAR:QUERY=RkZfUkRfRVhQKENBTCwzODM1MiwsLCwp&amp;WINDOW=FIRST_POPUP&amp;HEIGHT=450&amp;WIDTH=450&amp;START_MAXIMI","ZED=FALSE&amp;VAR:CALENDAR=US&amp;VAR:SYMBOL=PFE&amp;VAR:INDEX=0"}</definedName>
    <definedName name="_2872__FDSAUDITLINK__" hidden="1">{"fdsup://directions/FAT Viewer?action=UPDATE&amp;creator=factset&amp;DYN_ARGS=TRUE&amp;DOC_NAME=FAT:FQL_AUDITING_CLIENT_TEMPLATE.FAT&amp;display_string=Audit&amp;VAR:KEY=HKXMFCNQRG&amp;VAR:QUERY=RkZfUkRfRVhQKENBTCwzODM1MiwsLCwp&amp;WINDOW=FIRST_POPUP&amp;HEIGHT=450&amp;WIDTH=450&amp;START_MAXIMI","ZED=FALSE&amp;VAR:CALENDAR=US&amp;VAR:SYMBOL=WYE&amp;VAR:INDEX=0"}</definedName>
    <definedName name="_2873__FDSAUDITLINK__" hidden="1">{"fdsup://Directions/FactSet Auditing Viewer?action=AUDIT_VALUE&amp;DB=129&amp;ID1=36871040&amp;VALUEID=01001&amp;SDATE=200804&amp;PERIODTYPE=QTR_STD&amp;SCFT=3&amp;window=popup_no_bar&amp;width=385&amp;height=120&amp;START_MAXIMIZED=FALSE&amp;creator=factset&amp;display_string=Audit"}</definedName>
    <definedName name="_2874__FDSAUDITLINK__" hidden="1">{"fdsup://Directions/FactSet Auditing Viewer?action=AUDIT_VALUE&amp;DB=129&amp;ID1=36871040&amp;VALUEID=01001&amp;SDATE=200803&amp;PERIODTYPE=QTR_STD&amp;SCFT=3&amp;window=popup_no_bar&amp;width=385&amp;height=120&amp;START_MAXIMIZED=FALSE&amp;creator=factset&amp;display_string=Audit"}</definedName>
    <definedName name="_2875__FDSAUDITLINK__" hidden="1">{"fdsup://Directions/FactSet Auditing Viewer?action=AUDIT_VALUE&amp;DB=129&amp;ID1=36871040&amp;VALUEID=01001&amp;SDATE=200802&amp;PERIODTYPE=QTR_STD&amp;SCFT=3&amp;window=popup_no_bar&amp;width=385&amp;height=120&amp;START_MAXIMIZED=FALSE&amp;creator=factset&amp;display_string=Audit"}</definedName>
    <definedName name="_2876__FDSAUDITLINK__" hidden="1">{"fdsup://Directions/FactSet Auditing Viewer?action=AUDIT_VALUE&amp;DB=129&amp;ID1=36871040&amp;VALUEID=01001&amp;SDATE=200801&amp;PERIODTYPE=QTR_STD&amp;SCFT=3&amp;window=popup_no_bar&amp;width=385&amp;height=120&amp;START_MAXIMIZED=FALSE&amp;creator=factset&amp;display_string=Audit"}</definedName>
    <definedName name="_2877__FDSAUDITLINK__" hidden="1">{"fdsup://Directions/FactSet Auditing Viewer?action=AUDIT_VALUE&amp;DB=129&amp;ID1=36871040&amp;VALUEID=01001&amp;SDATE=200704&amp;PERIODTYPE=QTR_STD&amp;SCFT=3&amp;window=popup_no_bar&amp;width=385&amp;height=120&amp;START_MAXIMIZED=FALSE&amp;creator=factset&amp;display_string=Audit"}</definedName>
    <definedName name="_2878__FDSAUDITLINK__" hidden="1">{"fdsup://Directions/FactSet Auditing Viewer?action=AUDIT_VALUE&amp;DB=129&amp;ID1=36871040&amp;VALUEID=01001&amp;SDATE=200703&amp;PERIODTYPE=QTR_STD&amp;SCFT=3&amp;window=popup_no_bar&amp;width=385&amp;height=120&amp;START_MAXIMIZED=FALSE&amp;creator=factset&amp;display_string=Audit"}</definedName>
    <definedName name="_2879__FDSAUDITLINK__" hidden="1">{"fdsup://Directions/FactSet Auditing Viewer?action=AUDIT_VALUE&amp;DB=129&amp;ID1=36871040&amp;VALUEID=01001&amp;SDATE=200702&amp;PERIODTYPE=QTR_STD&amp;SCFT=3&amp;window=popup_no_bar&amp;width=385&amp;height=120&amp;START_MAXIMIZED=FALSE&amp;creator=factset&amp;display_string=Audit"}</definedName>
    <definedName name="_288__FDSAUDITLINK__" hidden="1">{"fdsup://directions/FAT%20Viewer?VAR:TM=NTMA&amp;VAR:PCT=0.731507&amp;VAR:Y0=2005&amp;VAR:Y1=2006&amp;VAR:V0=15.863975&amp;VAR:V1=14.407636&amp;VAR:V=15.444810&amp;VAR:AUDIT_ID=00000117&amp;VAR:DATE=20050408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Aggregates&amp;VAR:MEASURE=PE_MEAN&amp;VAR:CALC_MODE=PORTFOLIO&amp;VAR:CHGPERIOD=NA&amp;VAR:FQLFORMULA=FMA_PE&amp;VAR:CURRENCY=USD&amp;VAR:P=1","181.197300&amp;VAR:THRESH=||||||&amp;VAR:null=.html"}</definedName>
    <definedName name="_2880__FDSAUDITLINK__" hidden="1">{"fdsup://Directions/FactSet Auditing Viewer?action=AUDIT_VALUE&amp;DB=129&amp;ID1=36871040&amp;VALUEID=01001&amp;SDATE=200701&amp;PERIODTYPE=QTR_STD&amp;SCFT=3&amp;window=popup_no_bar&amp;width=385&amp;height=120&amp;START_MAXIMIZED=FALSE&amp;creator=factset&amp;display_string=Audit"}</definedName>
    <definedName name="_2881__FDSAUDITLINK__" hidden="1">{"fdsup://Directions/FactSet Auditing Viewer?action=AUDIT_VALUE&amp;DB=129&amp;ID1=98302410&amp;VALUEID=01001&amp;SDATE=200902&amp;PERIODTYPE=QTR_STD&amp;SCFT=3&amp;window=popup_no_bar&amp;width=385&amp;height=120&amp;START_MAXIMIZED=FALSE&amp;creator=factset&amp;display_string=Audit"}</definedName>
    <definedName name="_2882__FDSAUDITLINK__" hidden="1">{"fdsup://Directions/FactSet Auditing Viewer?action=AUDIT_VALUE&amp;DB=129&amp;ID1=98302410&amp;VALUEID=01001&amp;SDATE=200901&amp;PERIODTYPE=QTR_STD&amp;SCFT=3&amp;window=popup_no_bar&amp;width=385&amp;height=120&amp;START_MAXIMIZED=FALSE&amp;creator=factset&amp;display_string=Audit"}</definedName>
    <definedName name="_2883__FDSAUDITLINK__" hidden="1">{"fdsup://Directions/FactSet Auditing Viewer?action=AUDIT_VALUE&amp;DB=129&amp;ID1=98302410&amp;VALUEID=01001&amp;SDATE=200804&amp;PERIODTYPE=QTR_STD&amp;SCFT=3&amp;window=popup_no_bar&amp;width=385&amp;height=120&amp;START_MAXIMIZED=FALSE&amp;creator=factset&amp;display_string=Audit"}</definedName>
    <definedName name="_2884__FDSAUDITLINK__" hidden="1">{"fdsup://Directions/FactSet Auditing Viewer?action=AUDIT_VALUE&amp;DB=129&amp;ID1=98302410&amp;VALUEID=01001&amp;SDATE=200803&amp;PERIODTYPE=QTR_STD&amp;SCFT=3&amp;window=popup_no_bar&amp;width=385&amp;height=120&amp;START_MAXIMIZED=FALSE&amp;creator=factset&amp;display_string=Audit"}</definedName>
    <definedName name="_2885__FDSAUDITLINK__" hidden="1">{"fdsup://Directions/FactSet Auditing Viewer?action=AUDIT_VALUE&amp;DB=129&amp;ID1=98302410&amp;VALUEID=01001&amp;SDATE=200802&amp;PERIODTYPE=QTR_STD&amp;SCFT=3&amp;window=popup_no_bar&amp;width=385&amp;height=120&amp;START_MAXIMIZED=FALSE&amp;creator=factset&amp;display_string=Audit"}</definedName>
    <definedName name="_2886__FDSAUDITLINK__" hidden="1">{"fdsup://Directions/FactSet Auditing Viewer?action=AUDIT_VALUE&amp;DB=129&amp;ID1=98302410&amp;VALUEID=01001&amp;SDATE=200801&amp;PERIODTYPE=QTR_STD&amp;SCFT=3&amp;window=popup_no_bar&amp;width=385&amp;height=120&amp;START_MAXIMIZED=FALSE&amp;creator=factset&amp;display_string=Audit"}</definedName>
    <definedName name="_2887__FDSAUDITLINK__" hidden="1">{"fdsup://Directions/FactSet Auditing Viewer?action=AUDIT_VALUE&amp;DB=129&amp;ID1=98302410&amp;VALUEID=01001&amp;SDATE=200704&amp;PERIODTYPE=QTR_STD&amp;SCFT=3&amp;window=popup_no_bar&amp;width=385&amp;height=120&amp;START_MAXIMIZED=FALSE&amp;creator=factset&amp;display_string=Audit"}</definedName>
    <definedName name="_2888__FDSAUDITLINK__" hidden="1">{"fdsup://Directions/FactSet Auditing Viewer?action=AUDIT_VALUE&amp;DB=129&amp;ID1=98302410&amp;VALUEID=01001&amp;SDATE=200703&amp;PERIODTYPE=QTR_STD&amp;SCFT=3&amp;window=popup_no_bar&amp;width=385&amp;height=120&amp;START_MAXIMIZED=FALSE&amp;creator=factset&amp;display_string=Audit"}</definedName>
    <definedName name="_2889__FDSAUDITLINK__" hidden="1">{"fdsup://Directions/FactSet Auditing Viewer?action=AUDIT_VALUE&amp;DB=129&amp;ID1=80660510&amp;VALUEID=01001&amp;SDATE=200903&amp;PERIODTYPE=QTR_STD&amp;SCFT=3&amp;window=popup_no_bar&amp;width=385&amp;height=120&amp;START_MAXIMIZED=FALSE&amp;creator=factset&amp;display_string=Audit"}</definedName>
    <definedName name="_289__FDSAUDITLINK__" hidden="1">{"fdsup://directions/FAT%20Viewer?VAR:TM=NTMA&amp;VAR:PCT=0.750685&amp;VAR:Y0=2005&amp;VAR:Y1=2006&amp;VAR:V0=15.740828&amp;VAR:V1=14.270354&amp;VAR:V=15.346569&amp;VAR:AUDIT_ID=00000117&amp;VAR:DATE=20050401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Aggregates&amp;VAR:MEASURE=PE_MEAN&amp;VAR:CALC_MODE=PORTFOLIO&amp;VAR:CHGPERIOD=NA&amp;VAR:FQLFORMULA=FMA_PE&amp;VAR:CURRENCY=USD&amp;VAR:P=1","172.920900&amp;VAR:THRESH=||||||&amp;VAR:null=.html"}</definedName>
    <definedName name="_2890__FDSAUDITLINK__" hidden="1">{"fdsup://Directions/FactSet Auditing Viewer?action=AUDIT_VALUE&amp;DB=129&amp;ID1=80660510&amp;VALUEID=01001&amp;SDATE=200902&amp;PERIODTYPE=QTR_STD&amp;SCFT=3&amp;window=popup_no_bar&amp;width=385&amp;height=120&amp;START_MAXIMIZED=FALSE&amp;creator=factset&amp;display_string=Audit"}</definedName>
    <definedName name="_2891__FDSAUDITLINK__" hidden="1">{"fdsup://Directions/FactSet Auditing Viewer?action=AUDIT_VALUE&amp;DB=129&amp;ID1=80660510&amp;VALUEID=01001&amp;SDATE=200804&amp;PERIODTYPE=QTR_STD&amp;SCFT=3&amp;window=popup_no_bar&amp;width=385&amp;height=120&amp;START_MAXIMIZED=FALSE&amp;creator=factset&amp;display_string=Audit"}</definedName>
    <definedName name="_2892__FDSAUDITLINK__" hidden="1">{"fdsup://Directions/FactSet Auditing Viewer?action=AUDIT_VALUE&amp;DB=129&amp;ID1=80660510&amp;VALUEID=01001&amp;SDATE=200803&amp;PERIODTYPE=QTR_STD&amp;SCFT=3&amp;window=popup_no_bar&amp;width=385&amp;height=120&amp;START_MAXIMIZED=FALSE&amp;creator=factset&amp;display_string=Audit"}</definedName>
    <definedName name="_2893__FDSAUDITLINK__" hidden="1">{"fdsup://Directions/FactSet Auditing Viewer?action=AUDIT_VALUE&amp;DB=129&amp;ID1=80660510&amp;VALUEID=01001&amp;SDATE=200802&amp;PERIODTYPE=QTR_STD&amp;SCFT=3&amp;window=popup_no_bar&amp;width=385&amp;height=120&amp;START_MAXIMIZED=FALSE&amp;creator=factset&amp;display_string=Audit"}</definedName>
    <definedName name="_2894__FDSAUDITLINK__" hidden="1">{"fdsup://Directions/FactSet Auditing Viewer?action=AUDIT_VALUE&amp;DB=129&amp;ID1=80660510&amp;VALUEID=01001&amp;SDATE=200801&amp;PERIODTYPE=QTR_STD&amp;SCFT=3&amp;window=popup_no_bar&amp;width=385&amp;height=120&amp;START_MAXIMIZED=FALSE&amp;creator=factset&amp;display_string=Audit"}</definedName>
    <definedName name="_2895__FDSAUDITLINK__" hidden="1">{"fdsup://Directions/FactSet Auditing Viewer?action=AUDIT_VALUE&amp;DB=129&amp;ID1=80660510&amp;VALUEID=01001&amp;SDATE=200704&amp;PERIODTYPE=QTR_STD&amp;SCFT=3&amp;window=popup_no_bar&amp;width=385&amp;height=120&amp;START_MAXIMIZED=FALSE&amp;creator=factset&amp;display_string=Audit"}</definedName>
    <definedName name="_2896__FDSAUDITLINK__" hidden="1">{"fdsup://directions/FAT Viewer?action=UPDATE&amp;creator=factset&amp;DYN_ARGS=TRUE&amp;DOC_NAME=FAT:FQL_AUDITING_CLIENT_TEMPLATE.FAT&amp;display_string=Audit&amp;VAR:KEY=VKRQTKFUBW&amp;VAR:QUERY=RkZfU0FMRVMoQ0FMLDM5ODEzLCwsLCk=&amp;WINDOW=FIRST_POPUP&amp;HEIGHT=450&amp;WIDTH=450&amp;START_MAXIMI","ZED=FALSE&amp;VAR:CALENDAR=US&amp;VAR:SYMBOL=DNA&amp;VAR:INDEX=0"}</definedName>
    <definedName name="_2897__FDSAUDITLINK__" hidden="1">{"fdsup://directions/FAT Viewer?action=UPDATE&amp;creator=factset&amp;DYN_ARGS=TRUE&amp;DOC_NAME=FAT:FQL_AUDITING_CLIENT_TEMPLATE.FAT&amp;display_string=Audit&amp;VAR:KEY=XEDCREVYZS&amp;VAR:QUERY=RkZfU0FMRVMoQ0FMLDM5NDQ3LCwsLCk=&amp;WINDOW=FIRST_POPUP&amp;HEIGHT=450&amp;WIDTH=450&amp;START_MAXIMI","ZED=FALSE&amp;VAR:CALENDAR=US&amp;VAR:SYMBOL=DNA&amp;VAR:INDEX=0"}</definedName>
    <definedName name="_2898__FDSAUDITLINK__" hidden="1">{"fdsup://directions/FAT Viewer?action=UPDATE&amp;creator=factset&amp;DYN_ARGS=TRUE&amp;DOC_NAME=FAT:FQL_AUDITING_CLIENT_TEMPLATE.FAT&amp;display_string=Audit&amp;VAR:KEY=TOXMHYNEDQ&amp;VAR:QUERY=RkZfU0FMRVMoQ0FMLDM5MDgyLCwsLCk=&amp;WINDOW=FIRST_POPUP&amp;HEIGHT=450&amp;WIDTH=450&amp;START_MAXIMI","ZED=FALSE&amp;VAR:CALENDAR=US&amp;VAR:SYMBOL=DNA&amp;VAR:INDEX=0"}</definedName>
    <definedName name="_2899__FDSAUDITLINK__" hidden="1">{"fdsup://directions/FAT Viewer?action=UPDATE&amp;creator=factset&amp;DYN_ARGS=TRUE&amp;DOC_NAME=FAT:FQL_AUDITING_CLIENT_TEMPLATE.FAT&amp;display_string=Audit&amp;VAR:KEY=BKHAJUZULG&amp;VAR:QUERY=RkZfU0FMRVMoQ0FMLDM4NzE3LCwsLCk=&amp;WINDOW=FIRST_POPUP&amp;HEIGHT=450&amp;WIDTH=450&amp;START_MAXIMI","ZED=FALSE&amp;VAR:CALENDAR=US&amp;VAR:SYMBOL=DNA&amp;VAR:INDEX=0"}</definedName>
    <definedName name="_29__FDSAUDITLINK__" hidden="1">{"fdsup://directions/FAT%20Viewer?VAR:TM=NTMA&amp;VAR:PCT=0.767123&amp;VAR:Y0=2010&amp;VAR:Y1=2011&amp;VAR:V0=14.729502&amp;VAR:V1=12.309947&amp;VAR:V=14.084804&amp;VAR:AUDIT_ID=00000117&amp;VAR:DATE=20100326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Aggregates&amp;VAR:MEASURE=PE_MEAN&amp;VAR:CALC_MODE=PORTFOLIO&amp;VAR:CHGPERIOD=NA&amp;VAR:FQLFORMULA=FMA_PE&amp;VAR:CURRENCY=USD&amp;VAR:P=1","166.588592&amp;VAR:THRESH=||||||&amp;VAR:null=.html"}</definedName>
    <definedName name="_290__FDSAUDITLINK__" hidden="1">{"fdsup://directions/FAT%20Viewer?VAR:TM=NTMA&amp;VAR:PCT=0.772603&amp;VAR:Y0=2005&amp;VAR:Y1=2006&amp;VAR:V0=15.778418&amp;VAR:V1=14.293414&amp;VAR:V=15.414252&amp;VAR:AUDIT_ID=00000117&amp;VAR:DATE=20050324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Aggregates&amp;VAR:MEASURE=PE_MEAN&amp;VAR:CALC_MODE=PORTFOLIO&amp;VAR:CHGPERIOD=NA&amp;VAR:FQLFORMULA=FMA_PE&amp;VAR:CURRENCY=USD&amp;VAR:P=1","171.418300&amp;VAR:THRESH=||||||&amp;VAR:null=.html"}</definedName>
    <definedName name="_2900__FDSAUDITLINK__" hidden="1">{"fdsup://directions/FAT Viewer?action=UPDATE&amp;creator=factset&amp;DYN_ARGS=TRUE&amp;DOC_NAME=FAT:FQL_AUDITING_CLIENT_TEMPLATE.FAT&amp;display_string=Audit&amp;VAR:KEY=JYZKZGDIFI&amp;VAR:QUERY=RkZfU0FMRVMoQ0FMLDM4MzUyLCwsLCk=&amp;WINDOW=FIRST_POPUP&amp;HEIGHT=450&amp;WIDTH=450&amp;START_MAXIMI","ZED=FALSE&amp;VAR:CALENDAR=US&amp;VAR:SYMBOL=DNA&amp;VAR:INDEX=0"}</definedName>
    <definedName name="_2901__FDSAUDITLINK__" hidden="1">{"fdsup://directions/FAT Viewer?action=UPDATE&amp;creator=factset&amp;DYN_ARGS=TRUE&amp;DOC_NAME=FAT:FQL_AUDITING_CLIENT_TEMPLATE.FAT&amp;display_string=Audit&amp;VAR:KEY=HONSVQVETW&amp;VAR:QUERY=RkZfU0FMRVMoQ0FMLDM5ODEzLCwsLCk=&amp;WINDOW=FIRST_POPUP&amp;HEIGHT=450&amp;WIDTH=450&amp;START_MAXIMI","ZED=FALSE&amp;VAR:CALENDAR=US&amp;VAR:SYMBOL=SGP&amp;VAR:INDEX=0"}</definedName>
    <definedName name="_2902__FDSAUDITLINK__" hidden="1">{"fdsup://directions/FAT Viewer?action=UPDATE&amp;creator=factset&amp;DYN_ARGS=TRUE&amp;DOC_NAME=FAT:FQL_AUDITING_CLIENT_TEMPLATE.FAT&amp;display_string=Audit&amp;VAR:KEY=DGFOTSZMDS&amp;VAR:QUERY=RkZfU0FMRVMoQ0FMLDM5NDQ3LCwsLCk=&amp;WINDOW=FIRST_POPUP&amp;HEIGHT=450&amp;WIDTH=450&amp;START_MAXIMI","ZED=FALSE&amp;VAR:CALENDAR=US&amp;VAR:SYMBOL=SGP&amp;VAR:INDEX=0"}</definedName>
    <definedName name="_2903__FDSAUDITLINK__" hidden="1">{"fdsup://directions/FAT Viewer?action=UPDATE&amp;creator=factset&amp;DYN_ARGS=TRUE&amp;DOC_NAME=FAT:FQL_AUDITING_CLIENT_TEMPLATE.FAT&amp;display_string=Audit&amp;VAR:KEY=RMFKNYHWPS&amp;VAR:QUERY=RkZfU0FMRVMoQ0FMLDM5MDgyLCwsLCk=&amp;WINDOW=FIRST_POPUP&amp;HEIGHT=450&amp;WIDTH=450&amp;START_MAXIMI","ZED=FALSE&amp;VAR:CALENDAR=US&amp;VAR:SYMBOL=SGP&amp;VAR:INDEX=0"}</definedName>
    <definedName name="_2904__FDSAUDITLINK__" hidden="1">{"fdsup://directions/FAT Viewer?action=UPDATE&amp;creator=factset&amp;DYN_ARGS=TRUE&amp;DOC_NAME=FAT:FQL_AUDITING_CLIENT_TEMPLATE.FAT&amp;display_string=Audit&amp;VAR:KEY=DKZQFGPGZY&amp;VAR:QUERY=RkZfU0FMRVMoQ0FMLDM4NzE3LCwsLCk=&amp;WINDOW=FIRST_POPUP&amp;HEIGHT=450&amp;WIDTH=450&amp;START_MAXIMI","ZED=FALSE&amp;VAR:CALENDAR=US&amp;VAR:SYMBOL=SGP&amp;VAR:INDEX=0"}</definedName>
    <definedName name="_2905__FDSAUDITLINK__" hidden="1">{"fdsup://directions/FAT Viewer?action=UPDATE&amp;creator=factset&amp;DYN_ARGS=TRUE&amp;DOC_NAME=FAT:FQL_AUDITING_CLIENT_TEMPLATE.FAT&amp;display_string=Audit&amp;VAR:KEY=BSFAVMVYRK&amp;VAR:QUERY=RkZfU0FMRVMoQ0FMLDM4MzUyLCwsLCk=&amp;WINDOW=FIRST_POPUP&amp;HEIGHT=450&amp;WIDTH=450&amp;START_MAXIMI","ZED=FALSE&amp;VAR:CALENDAR=US&amp;VAR:SYMBOL=SGP&amp;VAR:INDEX=0"}</definedName>
    <definedName name="_2906__FDSAUDITLINK__" hidden="1">{"fdsup://directions/FAT Viewer?action=UPDATE&amp;creator=factset&amp;DYN_ARGS=TRUE&amp;DOC_NAME=FAT:FQL_AUDITING_CLIENT_TEMPLATE.FAT&amp;display_string=Audit&amp;VAR:KEY=VQLSXQNWTQ&amp;VAR:QUERY=RkZfU0FMRVMoQ0FMLDM5ODEzLCwsLCk=&amp;WINDOW=FIRST_POPUP&amp;HEIGHT=450&amp;WIDTH=450&amp;START_MAXIMI","ZED=FALSE&amp;VAR:CALENDAR=US&amp;VAR:SYMBOL=WYE&amp;VAR:INDEX=0"}</definedName>
    <definedName name="_2907__FDSAUDITLINK__" hidden="1">{"fdsup://directions/FAT Viewer?action=UPDATE&amp;creator=factset&amp;DYN_ARGS=TRUE&amp;DOC_NAME=FAT:FQL_AUDITING_CLIENT_TEMPLATE.FAT&amp;display_string=Audit&amp;VAR:KEY=LYBCHAXYFU&amp;VAR:QUERY=RkZfU0FMRVMoQ0FMLDM5NDQ3LCwsLCk=&amp;WINDOW=FIRST_POPUP&amp;HEIGHT=450&amp;WIDTH=450&amp;START_MAXIMI","ZED=FALSE&amp;VAR:CALENDAR=US&amp;VAR:SYMBOL=WYE&amp;VAR:INDEX=0"}</definedName>
    <definedName name="_2908__FDSAUDITLINK__" hidden="1">{"fdsup://directions/FAT Viewer?action=UPDATE&amp;creator=factset&amp;DYN_ARGS=TRUE&amp;DOC_NAME=FAT:FQL_AUDITING_CLIENT_TEMPLATE.FAT&amp;display_string=Audit&amp;VAR:KEY=VEPGFILCPM&amp;VAR:QUERY=RkZfU0FMRVMoQ0FMLDM5MDgyLCwsLCk=&amp;WINDOW=FIRST_POPUP&amp;HEIGHT=450&amp;WIDTH=450&amp;START_MAXIMI","ZED=FALSE&amp;VAR:CALENDAR=US&amp;VAR:SYMBOL=WYE&amp;VAR:INDEX=0"}</definedName>
    <definedName name="_2909__FDSAUDITLINK__" hidden="1">{"fdsup://directions/FAT Viewer?action=UPDATE&amp;creator=factset&amp;DYN_ARGS=TRUE&amp;DOC_NAME=FAT:FQL_AUDITING_CLIENT_TEMPLATE.FAT&amp;display_string=Audit&amp;VAR:KEY=LIHSTKLYLI&amp;VAR:QUERY=RkZfU0FMRVMoQ0FMLDM4NzE3LCwsLCk=&amp;WINDOW=FIRST_POPUP&amp;HEIGHT=450&amp;WIDTH=450&amp;START_MAXIMI","ZED=FALSE&amp;VAR:CALENDAR=US&amp;VAR:SYMBOL=WYE&amp;VAR:INDEX=0"}</definedName>
    <definedName name="_291__FDSAUDITLINK__" hidden="1">{"fdsup://directions/FAT%20Viewer?VAR:TM=NTMA&amp;VAR:PCT=0.789041&amp;VAR:Y0=2005&amp;VAR:Y1=2006&amp;VAR:V0=16.018589&amp;VAR:V1=14.527441&amp;VAR:V=15.679081&amp;VAR:AUDIT_ID=00000117&amp;VAR:DATE=20050318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Aggregates&amp;VAR:MEASURE=PE_MEAN&amp;VAR:CALC_MODE=PORTFOLIO&amp;VAR:CHGPERIOD=NA&amp;VAR:FQLFORMULA=FMA_PE&amp;VAR:CURRENCY=USD&amp;VAR:P=1","189.645400&amp;VAR:THRESH=||||||&amp;VAR:null=.html"}</definedName>
    <definedName name="_2910__FDSAUDITLINK__" hidden="1">{"fdsup://directions/FAT Viewer?action=UPDATE&amp;creator=factset&amp;DYN_ARGS=TRUE&amp;DOC_NAME=FAT:FQL_AUDITING_CLIENT_TEMPLATE.FAT&amp;display_string=Audit&amp;VAR:KEY=ZIFWJMBGTI&amp;VAR:QUERY=RkZfU0FMRVMoQ0FMLDM4MzUyLCwsLCk=&amp;WINDOW=FIRST_POPUP&amp;HEIGHT=450&amp;WIDTH=450&amp;START_MAXIMI","ZED=FALSE&amp;VAR:CALENDAR=US&amp;VAR:SYMBOL=WYE&amp;VAR:INDEX=0"}</definedName>
    <definedName name="_2911__FDSAUDITLINK__" hidden="1">{"fdsup://directions/FAT Viewer?action=UPDATE&amp;creator=factset&amp;DYN_ARGS=TRUE&amp;DOC_NAME=FAT:FQL_AUDITING_CLIENT_TEMPLATE.FAT&amp;display_string=Audit&amp;VAR:KEY=PSFYRIZWZC&amp;VAR:QUERY=RkZfU0FMRVMoQ0FMLDQwNTQzLCwsLFVTRCk=&amp;WINDOW=FIRST_POPUP&amp;HEIGHT=450&amp;WIDTH=450&amp;START_MA","XIMIZED=FALSE&amp;VAR:CALENDAR=US&amp;VAR:SYMBOL=BIIB&amp;VAR:INDEX=0"}</definedName>
    <definedName name="_2912__FDSAUDITLINK__" hidden="1">{"fdsup://directions/FAT Viewer?action=UPDATE&amp;creator=factset&amp;DYN_ARGS=TRUE&amp;DOC_NAME=FAT:FQL_AUDITING_CLIENT_TEMPLATE.FAT&amp;display_string=Audit&amp;VAR:KEY=FULAJKBUXO&amp;VAR:QUERY=RkZfU0FMRVMoQ0FMLDQwNTQzLCwsLFVTRCk=&amp;WINDOW=FIRST_POPUP&amp;HEIGHT=450&amp;WIDTH=450&amp;START_MA","XIMIZED=FALSE&amp;VAR:CALENDAR=US&amp;VAR:SYMBOL=707752&amp;VAR:INDEX=0"}</definedName>
    <definedName name="_2913__FDSAUDITLINK__" hidden="1">{"fdsup://directions/FAT Viewer?action=UPDATE&amp;creator=factset&amp;DYN_ARGS=TRUE&amp;DOC_NAME=FAT:FQL_AUDITING_CLIENT_TEMPLATE.FAT&amp;display_string=Audit&amp;VAR:KEY=RIBWDWRERQ&amp;VAR:QUERY=RkZfU0FMRVMoQ0FMLDQwNTQzLCwsLFVTRCk=&amp;WINDOW=FIRST_POPUP&amp;HEIGHT=450&amp;WIDTH=450&amp;START_MA","XIMIZED=FALSE&amp;VAR:CALENDAR=US&amp;VAR:SYMBOL=630720&amp;VAR:INDEX=0"}</definedName>
    <definedName name="_2914__FDSAUDITLINK__" hidden="1">{"fdsup://directions/FAT Viewer?action=UPDATE&amp;creator=factset&amp;DYN_ARGS=TRUE&amp;DOC_NAME=FAT:FQL_AUDITING_CLIENT_TEMPLATE.FAT&amp;display_string=Audit&amp;VAR:KEY=HGDSFIHCJA&amp;VAR:QUERY=RkZfU0FMRVMoQ0FMLDQwNTQzLCwsLFVTRCk=&amp;WINDOW=FIRST_POPUP&amp;HEIGHT=450&amp;WIDTH=450&amp;START_MA","XIMIZED=FALSE&amp;VAR:CALENDAR=US&amp;VAR:SYMBOL=698538&amp;VAR:INDEX=0"}</definedName>
    <definedName name="_2915__FDSAUDITLINK__" hidden="1">{"fdsup://directions/FAT Viewer?action=UPDATE&amp;creator=factset&amp;DYN_ARGS=TRUE&amp;DOC_NAME=FAT:FQL_AUDITING_CLIENT_TEMPLATE.FAT&amp;display_string=Audit&amp;VAR:KEY=BQFYVIHSFI&amp;VAR:QUERY=RkZfU0FMRVMoQ0FMLDQwNTQzLCwsLFVTRCk=&amp;WINDOW=FIRST_POPUP&amp;HEIGHT=450&amp;WIDTH=450&amp;START_MA","XIMIZED=FALSE&amp;VAR:CALENDAR=US&amp;VAR:SYMBOL=474184&amp;VAR:INDEX=0"}</definedName>
    <definedName name="_2916__FDSAUDITLINK__" hidden="1">{"fdsup://directions/FAT Viewer?action=UPDATE&amp;creator=factset&amp;DYN_ARGS=TRUE&amp;DOC_NAME=FAT:FQL_AUDITING_CLIENT_TEMPLATE.FAT&amp;display_string=Audit&amp;VAR:KEY=FOZCTETIXS&amp;VAR:QUERY=RkZfU0FMRVMoQ0FMLDQwNTQzLCwsLFVTRCk=&amp;WINDOW=FIRST_POPUP&amp;HEIGHT=450&amp;WIDTH=450&amp;START_MA","XIMIZED=FALSE&amp;VAR:CALENDAR=US&amp;VAR:SYMBOL=B0J7D9&amp;VAR:INDEX=0"}</definedName>
    <definedName name="_2917__FDSAUDITLINK__" hidden="1">{"fdsup://directions/FAT Viewer?action=UPDATE&amp;creator=factset&amp;DYN_ARGS=TRUE&amp;DOC_NAME=FAT:FQL_AUDITING_CLIENT_TEMPLATE.FAT&amp;display_string=Audit&amp;VAR:KEY=XWNMHODIRY&amp;VAR:QUERY=RkZfU0FMRVMoQ0FMLDQwNTQzLCwsLFVTRCk=&amp;WINDOW=FIRST_POPUP&amp;HEIGHT=450&amp;WIDTH=450&amp;START_MA","XIMIZED=FALSE&amp;VAR:CALENDAR=US&amp;VAR:SYMBOL=AMGN&amp;VAR:INDEX=0"}</definedName>
    <definedName name="_2918__FDSAUDITLINK__" hidden="1">{"fdsup://directions/FAT Viewer?action=UPDATE&amp;creator=factset&amp;DYN_ARGS=TRUE&amp;DOC_NAME=FAT:FQL_AUDITING_CLIENT_TEMPLATE.FAT&amp;display_string=Audit&amp;VAR:KEY=PWBYBYZGVC&amp;VAR:QUERY=RkZfU0FMRVMoQ0FMLDQwNTQzLCwsLFVTRCk=&amp;WINDOW=FIRST_POPUP&amp;HEIGHT=450&amp;WIDTH=450&amp;START_MA","XIMIZED=FALSE&amp;VAR:CALENDAR=US&amp;VAR:SYMBOL=ABT&amp;VAR:INDEX=0"}</definedName>
    <definedName name="_2919__FDSAUDITLINK__" hidden="1">{"fdsup://directions/FAT Viewer?action=UPDATE&amp;creator=factset&amp;DYN_ARGS=TRUE&amp;DOC_NAME=FAT:FQL_AUDITING_CLIENT_TEMPLATE.FAT&amp;display_string=Audit&amp;VAR:KEY=HMVWDILITS&amp;VAR:QUERY=RkZfU0FMRVMoQ0FMLDQwNTQzLCwsLFVTRCk=&amp;WINDOW=FIRST_POPUP&amp;HEIGHT=450&amp;WIDTH=450&amp;START_MA","XIMIZED=FALSE&amp;VAR:CALENDAR=US&amp;VAR:SYMBOL=687044&amp;VAR:INDEX=0"}</definedName>
    <definedName name="_292__FDSAUDITLINK__" hidden="1">{"fdsup://directions/FAT%20Viewer?VAR:TM=NTMA&amp;VAR:PCT=0.808219&amp;VAR:Y0=2005&amp;VAR:Y1=2006&amp;VAR:V0=16.172634&amp;VAR:V1=14.655284&amp;VAR:V=15.857759&amp;VAR:AUDIT_ID=00000117&amp;VAR:DATE=20050311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Aggregates&amp;VAR:MEASURE=PE_MEAN&amp;VAR:CALC_MODE=PORTFOLIO&amp;VAR:CHGPERIOD=NA&amp;VAR:FQLFORMULA=FMA_PE&amp;VAR:CURRENCY=USD&amp;VAR:P=1","200.075200&amp;VAR:THRESH=||||||&amp;VAR:null=.html"}</definedName>
    <definedName name="_2920__FDSAUDITLINK__" hidden="1">{"fdsup://directions/FAT Viewer?action=UPDATE&amp;creator=factset&amp;DYN_ARGS=TRUE&amp;DOC_NAME=FAT:FQL_AUDITING_CLIENT_TEMPLATE.FAT&amp;display_string=Audit&amp;VAR:KEY=DARUTYDUXC&amp;VAR:QUERY=RkZfU0FMRVMoQ0FMLDQwNTQzLCwsLFVTRCk=&amp;WINDOW=FIRST_POPUP&amp;HEIGHT=450&amp;WIDTH=450&amp;START_MA","XIMIZED=FALSE&amp;VAR:CALENDAR=US&amp;VAR:SYMBOL=BMY&amp;VAR:INDEX=0"}</definedName>
    <definedName name="_2921__FDSAUDITLINK__" hidden="1">{"fdsup://directions/FAT Viewer?action=UPDATE&amp;creator=factset&amp;DYN_ARGS=TRUE&amp;DOC_NAME=FAT:FQL_AUDITING_CLIENT_TEMPLATE.FAT&amp;display_string=Audit&amp;VAR:KEY=POPKTAPQJQ&amp;VAR:QUERY=RkZfU0FMRVMoQ0FMLDQwNTQzLCwsLFVTRCk=&amp;WINDOW=FIRST_POPUP&amp;HEIGHT=450&amp;WIDTH=450&amp;START_MA","XIMIZED=FALSE&amp;VAR:CALENDAR=US&amp;VAR:SYMBOL=LLY&amp;VAR:INDEX=0"}</definedName>
    <definedName name="_2922__FDSAUDITLINK__" hidden="1">{"fdsup://directions/FAT Viewer?action=UPDATE&amp;creator=factset&amp;DYN_ARGS=TRUE&amp;DOC_NAME=FAT:FQL_AUDITING_CLIENT_TEMPLATE.FAT&amp;display_string=Audit&amp;VAR:KEY=XOJCXURYNY&amp;VAR:QUERY=RkZfU0FMRVMoQ0FMLDQwNTQzLCwsLFVTRCk=&amp;WINDOW=FIRST_POPUP&amp;HEIGHT=450&amp;WIDTH=450&amp;START_MA","XIMIZED=FALSE&amp;VAR:CALENDAR=US&amp;VAR:SYMBOL=506921&amp;VAR:INDEX=0"}</definedName>
    <definedName name="_2923__FDSAUDITLINK__" hidden="1">{"fdsup://directions/FAT Viewer?action=UPDATE&amp;creator=factset&amp;DYN_ARGS=TRUE&amp;DOC_NAME=FAT:FQL_AUDITING_CLIENT_TEMPLATE.FAT&amp;display_string=Audit&amp;VAR:KEY=VSPKTEVIFI&amp;VAR:QUERY=RkZfU0FMRVMoQ0FMLDQwNTQzLCwsLFVTRCk=&amp;WINDOW=FIRST_POPUP&amp;HEIGHT=450&amp;WIDTH=450&amp;START_MA","XIMIZED=FALSE&amp;VAR:CALENDAR=US&amp;VAR:SYMBOL=567173&amp;VAR:INDEX=0"}</definedName>
    <definedName name="_2924__FDSAUDITLINK__" hidden="1">{"fdsup://directions/FAT Viewer?action=UPDATE&amp;creator=factset&amp;DYN_ARGS=TRUE&amp;DOC_NAME=FAT:FQL_AUDITING_CLIENT_TEMPLATE.FAT&amp;display_string=Audit&amp;VAR:KEY=BCLQRKPMJI&amp;VAR:QUERY=RkZfU0FMRVMoQ0FMLDQwNTQzLCwsLFVTRCk=&amp;WINDOW=FIRST_POPUP&amp;HEIGHT=450&amp;WIDTH=450&amp;START_MA","XIMIZED=FALSE&amp;VAR:CALENDAR=US&amp;VAR:SYMBOL=JNJ&amp;VAR:INDEX=0"}</definedName>
    <definedName name="_2925__FDSAUDITLINK__" hidden="1">{"fdsup://directions/FAT Viewer?action=UPDATE&amp;creator=factset&amp;DYN_ARGS=TRUE&amp;DOC_NAME=FAT:FQL_AUDITING_CLIENT_TEMPLATE.FAT&amp;display_string=Audit&amp;VAR:KEY=VIFKZADUDQ&amp;VAR:QUERY=RkZfU0FMRVMoQ0FMLDQwNTQzLCwsLFVTRCk=&amp;WINDOW=FIRST_POPUP&amp;HEIGHT=450&amp;WIDTH=450&amp;START_MA","XIMIZED=FALSE&amp;VAR:CALENDAR=US&amp;VAR:SYMBOL=710306&amp;VAR:INDEX=0"}</definedName>
    <definedName name="_2926__FDSAUDITLINK__" hidden="1">{"fdsup://directions/FAT Viewer?action=UPDATE&amp;creator=factset&amp;DYN_ARGS=TRUE&amp;DOC_NAME=FAT:FQL_AUDITING_CLIENT_TEMPLATE.FAT&amp;display_string=Audit&amp;VAR:KEY=LUZWFQNOTG&amp;VAR:QUERY=RkZfU0FMRVMoQ0FMLDQwNTQzLCwsLFVTRCk=&amp;WINDOW=FIRST_POPUP&amp;HEIGHT=450&amp;WIDTH=450&amp;START_MA","XIMIZED=FALSE&amp;VAR:CALENDAR=US&amp;VAR:SYMBOL=711038&amp;VAR:INDEX=0"}</definedName>
    <definedName name="_2927__FDSAUDITLINK__" hidden="1">{"fdsup://directions/FAT Viewer?action=UPDATE&amp;creator=factset&amp;DYN_ARGS=TRUE&amp;DOC_NAME=FAT:FQL_AUDITING_CLIENT_TEMPLATE.FAT&amp;display_string=Audit&amp;VAR:KEY=DMDIZURKRI&amp;VAR:QUERY=RkZfU0FMRVMoQ0FMLDQwNTQzLCwsLFVTRCk=&amp;WINDOW=FIRST_POPUP&amp;HEIGHT=450&amp;WIDTH=450&amp;START_MA","XIMIZED=FALSE&amp;VAR:CALENDAR=US&amp;VAR:SYMBOL=MRK&amp;VAR:INDEX=0"}</definedName>
    <definedName name="_2928__FDSAUDITLINK__" hidden="1">{"fdsup://directions/FAT Viewer?action=UPDATE&amp;creator=factset&amp;DYN_ARGS=TRUE&amp;DOC_NAME=FAT:FQL_AUDITING_CLIENT_TEMPLATE.FAT&amp;display_string=Audit&amp;VAR:KEY=HGVYHKXCNO&amp;VAR:QUERY=RkZfU0FMRVMoQ0FMLDQwNTQzLCwsLFVTRCk=&amp;WINDOW=FIRST_POPUP&amp;HEIGHT=450&amp;WIDTH=450&amp;START_MA","XIMIZED=FALSE&amp;VAR:CALENDAR=US&amp;VAR:SYMBOL=PFE&amp;VAR:INDEX=0"}</definedName>
    <definedName name="_2929__FDSAUDITLINK__" hidden="1">{"fdsup://directions/FAT Viewer?action=UPDATE&amp;creator=factset&amp;DYN_ARGS=TRUE&amp;DOC_NAME=FAT:FQL_AUDITING_CLIENT_TEMPLATE.FAT&amp;display_string=Audit&amp;VAR:KEY=PYFKPQPOHY&amp;VAR:QUERY=RkZfU0FMRVMoQ0FMLDQwNTQzLCwsLCk=&amp;WINDOW=FIRST_POPUP&amp;HEIGHT=450&amp;WIDTH=450&amp;START_MAXIMI","ZED=FALSE&amp;VAR:CALENDAR=US&amp;VAR:SYMBOL=BIIB&amp;VAR:INDEX=0"}</definedName>
    <definedName name="_293__FDSAUDITLINK__" hidden="1">{"fdsup://directions/FAT%20Viewer?VAR:TM=NTMA&amp;VAR:PCT=0.827397&amp;VAR:Y0=2005&amp;VAR:Y1=2006&amp;VAR:V0=16.486818&amp;VAR:V1=14.950463&amp;VAR:V=16.199485&amp;VAR:AUDIT_ID=00000117&amp;VAR:DATE=20050304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Aggregates&amp;VAR:MEASURE=PE_MEAN&amp;VAR:CALC_MODE=PORTFOLIO&amp;VAR:CHGPERIOD=NA&amp;VAR:FQLFORMULA=FMA_PE&amp;VAR:CURRENCY=USD&amp;VAR:P=1","222.124500&amp;VAR:THRESH=||||||&amp;VAR:null=.html"}</definedName>
    <definedName name="_2930__FDSAUDITLINK__" hidden="1">{"fdsup://directions/FAT Viewer?action=UPDATE&amp;creator=factset&amp;DYN_ARGS=TRUE&amp;DOC_NAME=FAT:FQL_AUDITING_CLIENT_TEMPLATE.FAT&amp;display_string=Audit&amp;VAR:KEY=ZQLUZKTERW&amp;VAR:QUERY=RkZfU0FMRVMoQ0FMLDQwMTc4LCwsLCk=&amp;WINDOW=FIRST_POPUP&amp;HEIGHT=450&amp;WIDTH=450&amp;START_MAXIMI","ZED=FALSE&amp;VAR:CALENDAR=US&amp;VAR:SYMBOL=BIIB&amp;VAR:INDEX=0"}</definedName>
    <definedName name="_2931__FDSAUDITLINK__" hidden="1">{"fdsup://directions/FAT Viewer?action=UPDATE&amp;creator=factset&amp;DYN_ARGS=TRUE&amp;DOC_NAME=FAT:FQL_AUDITING_CLIENT_TEMPLATE.FAT&amp;display_string=Audit&amp;VAR:KEY=XOLSHCXGBA&amp;VAR:QUERY=RkZfU0FMRVMoQ0FMLDM5ODEzLCwsLCk=&amp;WINDOW=FIRST_POPUP&amp;HEIGHT=450&amp;WIDTH=450&amp;START_MAXIMI","ZED=FALSE&amp;VAR:CALENDAR=US&amp;VAR:SYMBOL=BIIB&amp;VAR:INDEX=0"}</definedName>
    <definedName name="_2932__FDSAUDITLINK__" hidden="1">{"fdsup://directions/FAT Viewer?action=UPDATE&amp;creator=factset&amp;DYN_ARGS=TRUE&amp;DOC_NAME=FAT:FQL_AUDITING_CLIENT_TEMPLATE.FAT&amp;display_string=Audit&amp;VAR:KEY=LYPQBETAZS&amp;VAR:QUERY=RkZfU0FMRVMoQ0FMLDM5NDQ3LCwsLCk=&amp;WINDOW=FIRST_POPUP&amp;HEIGHT=450&amp;WIDTH=450&amp;START_MAXIMI","ZED=FALSE&amp;VAR:CALENDAR=US&amp;VAR:SYMBOL=BIIB&amp;VAR:INDEX=0"}</definedName>
    <definedName name="_2933__FDSAUDITLINK__" hidden="1">{"fdsup://directions/FAT Viewer?action=UPDATE&amp;creator=factset&amp;DYN_ARGS=TRUE&amp;DOC_NAME=FAT:FQL_AUDITING_CLIENT_TEMPLATE.FAT&amp;display_string=Audit&amp;VAR:KEY=ZELAFGHURE&amp;VAR:QUERY=RkZfU0FMRVMoQ0FMLDM5MDgyLCwsLCk=&amp;WINDOW=FIRST_POPUP&amp;HEIGHT=450&amp;WIDTH=450&amp;START_MAXIMI","ZED=FALSE&amp;VAR:CALENDAR=US&amp;VAR:SYMBOL=BIIB&amp;VAR:INDEX=0"}</definedName>
    <definedName name="_2934__FDSAUDITLINK__" hidden="1">{"fdsup://directions/FAT Viewer?action=UPDATE&amp;creator=factset&amp;DYN_ARGS=TRUE&amp;DOC_NAME=FAT:FQL_AUDITING_CLIENT_TEMPLATE.FAT&amp;display_string=Audit&amp;VAR:KEY=JEJEDARGZU&amp;VAR:QUERY=RkZfU0FMRVMoQ0FMLDM4NzE3LCwsLCk=&amp;WINDOW=FIRST_POPUP&amp;HEIGHT=450&amp;WIDTH=450&amp;START_MAXIMI","ZED=FALSE&amp;VAR:CALENDAR=US&amp;VAR:SYMBOL=BIIB&amp;VAR:INDEX=0"}</definedName>
    <definedName name="_2935__FDSAUDITLINK__" hidden="1">{"fdsup://directions/FAT Viewer?action=UPDATE&amp;creator=factset&amp;DYN_ARGS=TRUE&amp;DOC_NAME=FAT:FQL_AUDITING_CLIENT_TEMPLATE.FAT&amp;display_string=Audit&amp;VAR:KEY=BGRMFOVODW&amp;VAR:QUERY=RkZfU0FMRVMoQ0FMLDM4MzUyLCwsLCk=&amp;WINDOW=FIRST_POPUP&amp;HEIGHT=450&amp;WIDTH=450&amp;START_MAXIMI","ZED=FALSE&amp;VAR:CALENDAR=US&amp;VAR:SYMBOL=BIIB&amp;VAR:INDEX=0"}</definedName>
    <definedName name="_2936__FDSAUDITLINK__" hidden="1">{"fdsup://directions/FAT Viewer?action=UPDATE&amp;creator=factset&amp;DYN_ARGS=TRUE&amp;DOC_NAME=FAT:FQL_AUDITING_CLIENT_TEMPLATE.FAT&amp;display_string=Audit&amp;VAR:KEY=PWBSNCLCBA&amp;VAR:QUERY=RkZfU0FMRVMoQ0FMLDQwNTQzLCwsLCk=&amp;WINDOW=FIRST_POPUP&amp;HEIGHT=450&amp;WIDTH=450&amp;START_MAXIMI","ZED=FALSE&amp;VAR:CALENDAR=US&amp;VAR:SYMBOL=707752&amp;VAR:INDEX=0"}</definedName>
    <definedName name="_2937__FDSAUDITLINK__" hidden="1">{"fdsup://directions/FAT Viewer?action=UPDATE&amp;creator=factset&amp;DYN_ARGS=TRUE&amp;DOC_NAME=FAT:FQL_AUDITING_CLIENT_TEMPLATE.FAT&amp;display_string=Audit&amp;VAR:KEY=LUHEVWHCDE&amp;VAR:QUERY=RkZfU0FMRVMoQ0FMLDQwMTc4LCwsLCk=&amp;WINDOW=FIRST_POPUP&amp;HEIGHT=450&amp;WIDTH=450&amp;START_MAXIMI","ZED=FALSE&amp;VAR:CALENDAR=US&amp;VAR:SYMBOL=707752&amp;VAR:INDEX=0"}</definedName>
    <definedName name="_2938__FDSAUDITLINK__" hidden="1">{"fdsup://directions/FAT Viewer?action=UPDATE&amp;creator=factset&amp;DYN_ARGS=TRUE&amp;DOC_NAME=FAT:FQL_AUDITING_CLIENT_TEMPLATE.FAT&amp;display_string=Audit&amp;VAR:KEY=JWVKFOHATC&amp;VAR:QUERY=RkZfU0FMRVMoQ0FMLDM5ODEzLCwsLCk=&amp;WINDOW=FIRST_POPUP&amp;HEIGHT=450&amp;WIDTH=450&amp;START_MAXIMI","ZED=FALSE&amp;VAR:CALENDAR=US&amp;VAR:SYMBOL=707752&amp;VAR:INDEX=0"}</definedName>
    <definedName name="_2939__FDSAUDITLINK__" hidden="1">{"fdsup://directions/FAT Viewer?action=UPDATE&amp;creator=factset&amp;DYN_ARGS=TRUE&amp;DOC_NAME=FAT:FQL_AUDITING_CLIENT_TEMPLATE.FAT&amp;display_string=Audit&amp;VAR:KEY=VWHYNKZKRG&amp;VAR:QUERY=RkZfU0FMRVMoQ0FMLDM5NDQ3LCwsLCk=&amp;WINDOW=FIRST_POPUP&amp;HEIGHT=450&amp;WIDTH=450&amp;START_MAXIMI","ZED=FALSE&amp;VAR:CALENDAR=US&amp;VAR:SYMBOL=707752&amp;VAR:INDEX=0"}</definedName>
    <definedName name="_294__FDSAUDITLINK__" hidden="1">{"fdsup://directions/FAT%20Viewer?VAR:TM=NTMA&amp;VAR:PCT=0.846575&amp;VAR:Y0=2005&amp;VAR:Y1=2006&amp;VAR:V0=16.344890&amp;VAR:V1=14.838213&amp;VAR:V=16.094162&amp;VAR:AUDIT_ID=00000117&amp;VAR:DATE=20050225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Aggregates&amp;VAR:MEASURE=PE_MEAN&amp;VAR:CALC_MODE=PORTFOLIO&amp;VAR:CHGPERIOD=NA&amp;VAR:FQLFORMULA=FMA_PE&amp;VAR:CURRENCY=USD&amp;VAR:P=1","211.365800&amp;VAR:THRESH=||||||&amp;VAR:null=.html"}</definedName>
    <definedName name="_2940__FDSAUDITLINK__" hidden="1">{"fdsup://directions/FAT Viewer?action=UPDATE&amp;creator=factset&amp;DYN_ARGS=TRUE&amp;DOC_NAME=FAT:FQL_AUDITING_CLIENT_TEMPLATE.FAT&amp;display_string=Audit&amp;VAR:KEY=XQPUJIHOVS&amp;VAR:QUERY=RkZfU0FMRVMoQ0FMLDQwNTQzLCwsLCk=&amp;WINDOW=FIRST_POPUP&amp;HEIGHT=450&amp;WIDTH=450&amp;START_MAXIMI","ZED=FALSE&amp;VAR:CALENDAR=US&amp;VAR:SYMBOL=630720&amp;VAR:INDEX=0"}</definedName>
    <definedName name="_2941__FDSAUDITLINK__" hidden="1">{"fdsup://directions/FAT Viewer?action=UPDATE&amp;creator=factset&amp;DYN_ARGS=TRUE&amp;DOC_NAME=FAT:FQL_AUDITING_CLIENT_TEMPLATE.FAT&amp;display_string=Audit&amp;VAR:KEY=ZEHGRSXYRY&amp;VAR:QUERY=RkZfU0FMRVMoQ0FMLDQwMTc4LCwsLCk=&amp;WINDOW=FIRST_POPUP&amp;HEIGHT=450&amp;WIDTH=450&amp;START_MAXIMI","ZED=FALSE&amp;VAR:CALENDAR=US&amp;VAR:SYMBOL=630720&amp;VAR:INDEX=0"}</definedName>
    <definedName name="_2942__FDSAUDITLINK__" hidden="1">{"fdsup://directions/FAT Viewer?action=UPDATE&amp;creator=factset&amp;DYN_ARGS=TRUE&amp;DOC_NAME=FAT:FQL_AUDITING_CLIENT_TEMPLATE.FAT&amp;display_string=Audit&amp;VAR:KEY=HADCZKLKPY&amp;VAR:QUERY=RkZfU0FMRVMoQ0FMLDM5ODEzLCwsLCk=&amp;WINDOW=FIRST_POPUP&amp;HEIGHT=450&amp;WIDTH=450&amp;START_MAXIMI","ZED=FALSE&amp;VAR:CALENDAR=US&amp;VAR:SYMBOL=630720&amp;VAR:INDEX=0"}</definedName>
    <definedName name="_2943__FDSAUDITLINK__" hidden="1">{"fdsup://directions/FAT Viewer?action=UPDATE&amp;creator=factset&amp;DYN_ARGS=TRUE&amp;DOC_NAME=FAT:FQL_AUDITING_CLIENT_TEMPLATE.FAT&amp;display_string=Audit&amp;VAR:KEY=RYPORYFIJI&amp;VAR:QUERY=RkZfU0FMRVMoQ0FMLDM5NDQ3LCwsLCk=&amp;WINDOW=FIRST_POPUP&amp;HEIGHT=450&amp;WIDTH=450&amp;START_MAXIMI","ZED=FALSE&amp;VAR:CALENDAR=US&amp;VAR:SYMBOL=630720&amp;VAR:INDEX=0"}</definedName>
    <definedName name="_2944__FDSAUDITLINK__" hidden="1">{"fdsup://directions/FAT Viewer?action=UPDATE&amp;creator=factset&amp;DYN_ARGS=TRUE&amp;DOC_NAME=FAT:FQL_AUDITING_CLIENT_TEMPLATE.FAT&amp;display_string=Audit&amp;VAR:KEY=XOXAFQPQBU&amp;VAR:QUERY=RkZfU0FMRVMoQ0FMLDM5MDgyLCwsLCk=&amp;WINDOW=FIRST_POPUP&amp;HEIGHT=450&amp;WIDTH=450&amp;START_MAXIMI","ZED=FALSE&amp;VAR:CALENDAR=US&amp;VAR:SYMBOL=630720&amp;VAR:INDEX=0"}</definedName>
    <definedName name="_2945__FDSAUDITLINK__" hidden="1">{"fdsup://directions/FAT Viewer?action=UPDATE&amp;creator=factset&amp;DYN_ARGS=TRUE&amp;DOC_NAME=FAT:FQL_AUDITING_CLIENT_TEMPLATE.FAT&amp;display_string=Audit&amp;VAR:KEY=RWPCRWLQPE&amp;VAR:QUERY=RkZfU0FMRVMoQ0FMLDM4NzE3LCwsLCk=&amp;WINDOW=FIRST_POPUP&amp;HEIGHT=450&amp;WIDTH=450&amp;START_MAXIMI","ZED=FALSE&amp;VAR:CALENDAR=US&amp;VAR:SYMBOL=630720&amp;VAR:INDEX=0"}</definedName>
    <definedName name="_2946__FDSAUDITLINK__" hidden="1">{"fdsup://directions/FAT Viewer?action=UPDATE&amp;creator=factset&amp;DYN_ARGS=TRUE&amp;DOC_NAME=FAT:FQL_AUDITING_CLIENT_TEMPLATE.FAT&amp;display_string=Audit&amp;VAR:KEY=HMVSNIBYDY&amp;VAR:QUERY=RkZfU0FMRVMoQ0FMLDM4MzUyLCwsLCk=&amp;WINDOW=FIRST_POPUP&amp;HEIGHT=450&amp;WIDTH=450&amp;START_MAXIMI","ZED=FALSE&amp;VAR:CALENDAR=US&amp;VAR:SYMBOL=630720&amp;VAR:INDEX=0"}</definedName>
    <definedName name="_2947__FDSAUDITLINK__" hidden="1">{"fdsup://directions/FAT Viewer?action=UPDATE&amp;creator=factset&amp;DYN_ARGS=TRUE&amp;DOC_NAME=FAT:FQL_AUDITING_CLIENT_TEMPLATE.FAT&amp;display_string=Audit&amp;VAR:KEY=FMVKVUFQTO&amp;VAR:QUERY=RkZfU0FMRVMoQ0FMLDM3OTg2LCwsLCk=&amp;WINDOW=FIRST_POPUP&amp;HEIGHT=450&amp;WIDTH=450&amp;START_MAXIMI","ZED=FALSE&amp;VAR:CALENDAR=US&amp;VAR:SYMBOL=630720&amp;VAR:INDEX=0"}</definedName>
    <definedName name="_2948__FDSAUDITLINK__" hidden="1">{"fdsup://directions/FAT Viewer?action=UPDATE&amp;creator=factset&amp;DYN_ARGS=TRUE&amp;DOC_NAME=FAT:FQL_AUDITING_CLIENT_TEMPLATE.FAT&amp;display_string=Audit&amp;VAR:KEY=RWZSTULEFE&amp;VAR:QUERY=RkZfU0FMRVMoQ0FMLDQwNTQzLCwsLCk=&amp;WINDOW=FIRST_POPUP&amp;HEIGHT=450&amp;WIDTH=450&amp;START_MAXIMI","ZED=FALSE&amp;VAR:CALENDAR=US&amp;VAR:SYMBOL=698538&amp;VAR:INDEX=0"}</definedName>
    <definedName name="_2949__FDSAUDITLINK__" hidden="1">{"fdsup://directions/FAT Viewer?action=UPDATE&amp;creator=factset&amp;DYN_ARGS=TRUE&amp;DOC_NAME=FAT:FQL_AUDITING_CLIENT_TEMPLATE.FAT&amp;display_string=Audit&amp;VAR:KEY=XENCRATKNY&amp;VAR:QUERY=RkZfU0FMRVMoQ0FMLDQwMTc4LCwsLCk=&amp;WINDOW=FIRST_POPUP&amp;HEIGHT=450&amp;WIDTH=450&amp;START_MAXIMI","ZED=FALSE&amp;VAR:CALENDAR=US&amp;VAR:SYMBOL=698538&amp;VAR:INDEX=0"}</definedName>
    <definedName name="_295__FDSAUDITLINK__" hidden="1">{"fdsup://directions/FAT%20Viewer?VAR:TM=NTMA&amp;VAR:PCT=0.865753&amp;VAR:Y0=2005&amp;VAR:Y1=2006&amp;VAR:V0=16.222590&amp;VAR:V1=14.765517&amp;VAR:V=16.010490&amp;VAR:AUDIT_ID=00000117&amp;VAR:DATE=20050218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Aggregates&amp;VAR:MEASURE=PE_MEAN&amp;VAR:CALC_MODE=PORTFOLIO&amp;VAR:CHGPERIOD=NA&amp;VAR:FQLFORMULA=FMA_PE&amp;VAR:CURRENCY=USD&amp;VAR:P=1","201.585700&amp;VAR:THRESH=||||||&amp;VAR:null=.html"}</definedName>
    <definedName name="_2950__FDSAUDITLINK__" hidden="1">{"fdsup://directions/FAT Viewer?action=UPDATE&amp;creator=factset&amp;DYN_ARGS=TRUE&amp;DOC_NAME=FAT:FQL_AUDITING_CLIENT_TEMPLATE.FAT&amp;display_string=Audit&amp;VAR:KEY=DGVCLOXWNQ&amp;VAR:QUERY=RkZfU0FMRVMoQ0FMLDM5ODEzLCwsLCk=&amp;WINDOW=FIRST_POPUP&amp;HEIGHT=450&amp;WIDTH=450&amp;START_MAXIMI","ZED=FALSE&amp;VAR:CALENDAR=US&amp;VAR:SYMBOL=698538&amp;VAR:INDEX=0"}</definedName>
    <definedName name="_2951__FDSAUDITLINK__" hidden="1">{"fdsup://directions/FAT Viewer?action=UPDATE&amp;creator=factset&amp;DYN_ARGS=TRUE&amp;DOC_NAME=FAT:FQL_AUDITING_CLIENT_TEMPLATE.FAT&amp;display_string=Audit&amp;VAR:KEY=NGFQXAXQVY&amp;VAR:QUERY=RkZfU0FMRVMoQ0FMLDM5NDQ3LCwsLCk=&amp;WINDOW=FIRST_POPUP&amp;HEIGHT=450&amp;WIDTH=450&amp;START_MAXIMI","ZED=FALSE&amp;VAR:CALENDAR=US&amp;VAR:SYMBOL=698538&amp;VAR:INDEX=0"}</definedName>
    <definedName name="_2952__FDSAUDITLINK__" hidden="1">{"fdsup://directions/FAT Viewer?action=UPDATE&amp;creator=factset&amp;DYN_ARGS=TRUE&amp;DOC_NAME=FAT:FQL_AUDITING_CLIENT_TEMPLATE.FAT&amp;display_string=Audit&amp;VAR:KEY=RYLYJAFOJG&amp;VAR:QUERY=RkZfU0FMRVMoQ0FMLDM5MDgyLCwsLCk=&amp;WINDOW=FIRST_POPUP&amp;HEIGHT=450&amp;WIDTH=450&amp;START_MAXIMI","ZED=FALSE&amp;VAR:CALENDAR=US&amp;VAR:SYMBOL=698538&amp;VAR:INDEX=0"}</definedName>
    <definedName name="_2953__FDSAUDITLINK__" hidden="1">{"fdsup://directions/FAT Viewer?action=UPDATE&amp;creator=factset&amp;DYN_ARGS=TRUE&amp;DOC_NAME=FAT:FQL_AUDITING_CLIENT_TEMPLATE.FAT&amp;display_string=Audit&amp;VAR:KEY=VSLYLYVYLU&amp;VAR:QUERY=RkZfU0FMRVMoQ0FMLDM4NzE3LCwsLCk=&amp;WINDOW=FIRST_POPUP&amp;HEIGHT=450&amp;WIDTH=450&amp;START_MAXIMI","ZED=FALSE&amp;VAR:CALENDAR=US&amp;VAR:SYMBOL=698538&amp;VAR:INDEX=0"}</definedName>
    <definedName name="_2954__FDSAUDITLINK__" hidden="1">{"fdsup://directions/FAT Viewer?action=UPDATE&amp;creator=factset&amp;DYN_ARGS=TRUE&amp;DOC_NAME=FAT:FQL_AUDITING_CLIENT_TEMPLATE.FAT&amp;display_string=Audit&amp;VAR:KEY=ZQTYLIBWXM&amp;VAR:QUERY=RkZfU0FMRVMoQ0FMLDM4MzUyLCwsLCk=&amp;WINDOW=FIRST_POPUP&amp;HEIGHT=450&amp;WIDTH=450&amp;START_MAXIMI","ZED=FALSE&amp;VAR:CALENDAR=US&amp;VAR:SYMBOL=698538&amp;VAR:INDEX=0"}</definedName>
    <definedName name="_2955__FDSAUDITLINK__" hidden="1">{"fdsup://directions/FAT Viewer?action=UPDATE&amp;creator=factset&amp;DYN_ARGS=TRUE&amp;DOC_NAME=FAT:FQL_AUDITING_CLIENT_TEMPLATE.FAT&amp;display_string=Audit&amp;VAR:KEY=ZITUFQLYRU&amp;VAR:QUERY=RkZfU0FMRVMoQ0FMLDM3OTg2LCwsLCk=&amp;WINDOW=FIRST_POPUP&amp;HEIGHT=450&amp;WIDTH=450&amp;START_MAXIMI","ZED=FALSE&amp;VAR:CALENDAR=US&amp;VAR:SYMBOL=698538&amp;VAR:INDEX=0"}</definedName>
    <definedName name="_2956__FDSAUDITLINK__" hidden="1">{"fdsup://directions/FAT Viewer?action=UPDATE&amp;creator=factset&amp;DYN_ARGS=TRUE&amp;DOC_NAME=FAT:FQL_AUDITING_CLIENT_TEMPLATE.FAT&amp;display_string=Audit&amp;VAR:KEY=XOBSPCJCDY&amp;VAR:QUERY=RkZfU0FMRVMoQ0FMLDQwNTQzLCwsLCk=&amp;WINDOW=FIRST_POPUP&amp;HEIGHT=450&amp;WIDTH=450&amp;START_MAXIMI","ZED=FALSE&amp;VAR:CALENDAR=US&amp;VAR:SYMBOL=474184&amp;VAR:INDEX=0"}</definedName>
    <definedName name="_2957__FDSAUDITLINK__" hidden="1">{"fdsup://directions/FAT Viewer?action=UPDATE&amp;creator=factset&amp;DYN_ARGS=TRUE&amp;DOC_NAME=FAT:FQL_AUDITING_CLIENT_TEMPLATE.FAT&amp;display_string=Audit&amp;VAR:KEY=BWJQJSRKZK&amp;VAR:QUERY=RkZfU0FMRVMoQ0FMLDQwMTc4LCwsLCk=&amp;WINDOW=FIRST_POPUP&amp;HEIGHT=450&amp;WIDTH=450&amp;START_MAXIMI","ZED=FALSE&amp;VAR:CALENDAR=US&amp;VAR:SYMBOL=474184&amp;VAR:INDEX=0"}</definedName>
    <definedName name="_2958__FDSAUDITLINK__" hidden="1">{"fdsup://directions/FAT Viewer?action=UPDATE&amp;creator=factset&amp;DYN_ARGS=TRUE&amp;DOC_NAME=FAT:FQL_AUDITING_CLIENT_TEMPLATE.FAT&amp;display_string=Audit&amp;VAR:KEY=ROPONUVCBK&amp;VAR:QUERY=RkZfU0FMRVMoQ0FMLDQwNTQzLCwsLCk=&amp;WINDOW=FIRST_POPUP&amp;HEIGHT=450&amp;WIDTH=450&amp;START_MAXIMI","ZED=FALSE&amp;VAR:CALENDAR=US&amp;VAR:SYMBOL=B0J7D9&amp;VAR:INDEX=0"}</definedName>
    <definedName name="_2959__FDSAUDITLINK__" hidden="1">{"fdsup://directions/FAT Viewer?action=UPDATE&amp;creator=factset&amp;DYN_ARGS=TRUE&amp;DOC_NAME=FAT:FQL_AUDITING_CLIENT_TEMPLATE.FAT&amp;display_string=Audit&amp;VAR:KEY=VIFIZWXYVO&amp;VAR:QUERY=RkZfU0FMRVMoQ0FMLDQwMTc4LCwsLCk=&amp;WINDOW=FIRST_POPUP&amp;HEIGHT=450&amp;WIDTH=450&amp;START_MAXIMI","ZED=FALSE&amp;VAR:CALENDAR=US&amp;VAR:SYMBOL=B0J7D9&amp;VAR:INDEX=0"}</definedName>
    <definedName name="_296__FDSAUDITLINK__" hidden="1">{"fdsup://directions/FAT%20Viewer?VAR:TM=NTMA&amp;VAR:PCT=0.884932&amp;VAR:Y0=2005&amp;VAR:Y1=2006&amp;VAR:V0=16.302505&amp;VAR:V1=14.865569&amp;VAR:V=16.123171&amp;VAR:AUDIT_ID=00000117&amp;VAR:DATE=20050211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Aggregates&amp;VAR:MEASURE=PE_MEAN&amp;VAR:CALC_MODE=PORTFOLIO&amp;VAR:CHGPERIOD=NA&amp;VAR:FQLFORMULA=FMA_PE&amp;VAR:CURRENCY=USD&amp;VAR:P=1","205.304200&amp;VAR:THRESH=||||||&amp;VAR:null=.html"}</definedName>
    <definedName name="_2960__FDSAUDITLINK__" hidden="1">{"fdsup://directions/FAT Viewer?action=UPDATE&amp;creator=factset&amp;DYN_ARGS=TRUE&amp;DOC_NAME=FAT:FQL_AUDITING_CLIENT_TEMPLATE.FAT&amp;display_string=Audit&amp;VAR:KEY=TYZOXMTCDS&amp;VAR:QUERY=RkZfU0FMRVMoQ0FMLDM5ODEzLCwsLCk=&amp;WINDOW=FIRST_POPUP&amp;HEIGHT=450&amp;WIDTH=450&amp;START_MAXIMI","ZED=FALSE&amp;VAR:CALENDAR=US&amp;VAR:SYMBOL=B0J7D9&amp;VAR:INDEX=0"}</definedName>
    <definedName name="_2961__FDSAUDITLINK__" hidden="1">{"fdsup://directions/FAT Viewer?action=UPDATE&amp;creator=factset&amp;DYN_ARGS=TRUE&amp;DOC_NAME=FAT:FQL_AUDITING_CLIENT_TEMPLATE.FAT&amp;display_string=Audit&amp;VAR:KEY=RCLWNAZUVM&amp;VAR:QUERY=RkZfU0FMRVMoQ0FMLDM5NDQ3LCwsLCk=&amp;WINDOW=FIRST_POPUP&amp;HEIGHT=450&amp;WIDTH=450&amp;START_MAXIMI","ZED=FALSE&amp;VAR:CALENDAR=US&amp;VAR:SYMBOL=B0J7D9&amp;VAR:INDEX=0"}</definedName>
    <definedName name="_2962__FDSAUDITLINK__" hidden="1">{"fdsup://directions/FAT Viewer?action=UPDATE&amp;creator=factset&amp;DYN_ARGS=TRUE&amp;DOC_NAME=FAT:FQL_AUDITING_CLIENT_TEMPLATE.FAT&amp;display_string=Audit&amp;VAR:KEY=VYFIHMHMZI&amp;VAR:QUERY=RkZfU0FMRVMoQ0FMLDM5MDgyLCwsLCk=&amp;WINDOW=FIRST_POPUP&amp;HEIGHT=450&amp;WIDTH=450&amp;START_MAXIMI","ZED=FALSE&amp;VAR:CALENDAR=US&amp;VAR:SYMBOL=B0J7D9&amp;VAR:INDEX=0"}</definedName>
    <definedName name="_2963__FDSAUDITLINK__" hidden="1">{"fdsup://directions/FAT Viewer?action=UPDATE&amp;creator=factset&amp;DYN_ARGS=TRUE&amp;DOC_NAME=FAT:FQL_AUDITING_CLIENT_TEMPLATE.FAT&amp;display_string=Audit&amp;VAR:KEY=RATYXOVERC&amp;VAR:QUERY=RkZfU0FMRVMoQ0FMLDM4NzE3LCwsLCk=&amp;WINDOW=FIRST_POPUP&amp;HEIGHT=450&amp;WIDTH=450&amp;START_MAXIMI","ZED=FALSE&amp;VAR:CALENDAR=US&amp;VAR:SYMBOL=B0J7D9&amp;VAR:INDEX=0"}</definedName>
    <definedName name="_2964__FDSAUDITLINK__" hidden="1">{"fdsup://directions/FAT Viewer?action=UPDATE&amp;creator=factset&amp;DYN_ARGS=TRUE&amp;DOC_NAME=FAT:FQL_AUDITING_CLIENT_TEMPLATE.FAT&amp;display_string=Audit&amp;VAR:KEY=HEROTQBOTS&amp;VAR:QUERY=RkZfU0FMRVMoQ0FMLDM4MzUyLCwsLCk=&amp;WINDOW=FIRST_POPUP&amp;HEIGHT=450&amp;WIDTH=450&amp;START_MAXIMI","ZED=FALSE&amp;VAR:CALENDAR=US&amp;VAR:SYMBOL=B0J7D9&amp;VAR:INDEX=0"}</definedName>
    <definedName name="_2965__FDSAUDITLINK__" hidden="1">{"fdsup://directions/FAT Viewer?action=UPDATE&amp;creator=factset&amp;DYN_ARGS=TRUE&amp;DOC_NAME=FAT:FQL_AUDITING_CLIENT_TEMPLATE.FAT&amp;display_string=Audit&amp;VAR:KEY=JAZQJETKLY&amp;VAR:QUERY=RkZfU0FMRVMoQ0FMLDM3OTg2LCwsLCk=&amp;WINDOW=FIRST_POPUP&amp;HEIGHT=450&amp;WIDTH=450&amp;START_MAXIMI","ZED=FALSE&amp;VAR:CALENDAR=US&amp;VAR:SYMBOL=B0J7D9&amp;VAR:INDEX=0"}</definedName>
    <definedName name="_2966__FDSAUDITLINK__" hidden="1">{"fdsup://directions/FAT Viewer?action=UPDATE&amp;creator=factset&amp;DYN_ARGS=TRUE&amp;DOC_NAME=FAT:FQL_AUDITING_CLIENT_TEMPLATE.FAT&amp;display_string=Audit&amp;VAR:KEY=NIXKXSZYJO&amp;VAR:QUERY=RkZfU0FMRVMoQ0FMLDQwNTQzLCwsLCk=&amp;WINDOW=FIRST_POPUP&amp;HEIGHT=450&amp;WIDTH=450&amp;START_MAXIMI","ZED=FALSE&amp;VAR:CALENDAR=US&amp;VAR:SYMBOL=AMGN&amp;VAR:INDEX=0"}</definedName>
    <definedName name="_2967__FDSAUDITLINK__" hidden="1">{"fdsup://directions/FAT Viewer?action=UPDATE&amp;creator=factset&amp;DYN_ARGS=TRUE&amp;DOC_NAME=FAT:FQL_AUDITING_CLIENT_TEMPLATE.FAT&amp;display_string=Audit&amp;VAR:KEY=PSHENMBWRU&amp;VAR:QUERY=RkZfU0FMRVMoQ0FMLDQwMTc4LCwsLCk=&amp;WINDOW=FIRST_POPUP&amp;HEIGHT=450&amp;WIDTH=450&amp;START_MAXIMI","ZED=FALSE&amp;VAR:CALENDAR=US&amp;VAR:SYMBOL=AMGN&amp;VAR:INDEX=0"}</definedName>
    <definedName name="_2968__FDSAUDITLINK__" hidden="1">{"fdsup://directions/FAT Viewer?action=UPDATE&amp;creator=factset&amp;DYN_ARGS=TRUE&amp;DOC_NAME=FAT:FQL_AUDITING_CLIENT_TEMPLATE.FAT&amp;display_string=Audit&amp;VAR:KEY=HAHEZKBKHG&amp;VAR:QUERY=RkZfU0FMRVMoQ0FMLDM5ODEzLCwsLCk=&amp;WINDOW=FIRST_POPUP&amp;HEIGHT=450&amp;WIDTH=450&amp;START_MAXIMI","ZED=FALSE&amp;VAR:CALENDAR=US&amp;VAR:SYMBOL=AMGN&amp;VAR:INDEX=0"}</definedName>
    <definedName name="_2969__FDSAUDITLINK__" hidden="1">{"fdsup://directions/FAT Viewer?action=UPDATE&amp;creator=factset&amp;DYN_ARGS=TRUE&amp;DOC_NAME=FAT:FQL_AUDITING_CLIENT_TEMPLATE.FAT&amp;display_string=Audit&amp;VAR:KEY=PGJOVCLGBS&amp;VAR:QUERY=RkZfU0FMRVMoQ0FMLDM5NDQ3LCwsLCk=&amp;WINDOW=FIRST_POPUP&amp;HEIGHT=450&amp;WIDTH=450&amp;START_MAXIMI","ZED=FALSE&amp;VAR:CALENDAR=US&amp;VAR:SYMBOL=AMGN&amp;VAR:INDEX=0"}</definedName>
    <definedName name="_297__FDSAUDITLINK__" hidden="1">{"fdsup://directions/FAT%20Viewer?VAR:TM=NTMA&amp;VAR:PCT=0.904110&amp;VAR:Y0=2005&amp;VAR:Y1=2006&amp;VAR:V0=16.294634&amp;VAR:V1=14.838149&amp;VAR:V=16.142692&amp;VAR:AUDIT_ID=00000117&amp;VAR:DATE=20050204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Aggregates&amp;VAR:MEASURE=PE_MEAN&amp;VAR:CALC_MODE=PORTFOLIO&amp;VAR:CHGPERIOD=NA&amp;VAR:FQLFORMULA=FMA_PE&amp;VAR:CURRENCY=USD&amp;VAR:P=1","203.030400&amp;VAR:THRESH=||||||&amp;VAR:null=.html"}</definedName>
    <definedName name="_2970__FDSAUDITLINK__" hidden="1">{"fdsup://directions/FAT Viewer?action=UPDATE&amp;creator=factset&amp;DYN_ARGS=TRUE&amp;DOC_NAME=FAT:FQL_AUDITING_CLIENT_TEMPLATE.FAT&amp;display_string=Audit&amp;VAR:KEY=FYXGXAXURW&amp;VAR:QUERY=RkZfU0FMRVMoQ0FMLDM5MDgyLCwsLCk=&amp;WINDOW=FIRST_POPUP&amp;HEIGHT=450&amp;WIDTH=450&amp;START_MAXIMI","ZED=FALSE&amp;VAR:CALENDAR=US&amp;VAR:SYMBOL=AMGN&amp;VAR:INDEX=0"}</definedName>
    <definedName name="_2971__FDSAUDITLINK__" hidden="1">{"fdsup://directions/FAT Viewer?action=UPDATE&amp;creator=factset&amp;DYN_ARGS=TRUE&amp;DOC_NAME=FAT:FQL_AUDITING_CLIENT_TEMPLATE.FAT&amp;display_string=Audit&amp;VAR:KEY=VADUDGDYFA&amp;VAR:QUERY=RkZfU0FMRVMoQ0FMLDM4NzE3LCwsLCk=&amp;WINDOW=FIRST_POPUP&amp;HEIGHT=450&amp;WIDTH=450&amp;START_MAXIMI","ZED=FALSE&amp;VAR:CALENDAR=US&amp;VAR:SYMBOL=AMGN&amp;VAR:INDEX=0"}</definedName>
    <definedName name="_2972__FDSAUDITLINK__" hidden="1">{"fdsup://directions/FAT Viewer?action=UPDATE&amp;creator=factset&amp;DYN_ARGS=TRUE&amp;DOC_NAME=FAT:FQL_AUDITING_CLIENT_TEMPLATE.FAT&amp;display_string=Audit&amp;VAR:KEY=FKDOZAJURW&amp;VAR:QUERY=RkZfU0FMRVMoQ0FMLDM4MzUyLCwsLCk=&amp;WINDOW=FIRST_POPUP&amp;HEIGHT=450&amp;WIDTH=450&amp;START_MAXIMI","ZED=FALSE&amp;VAR:CALENDAR=US&amp;VAR:SYMBOL=AMGN&amp;VAR:INDEX=0"}</definedName>
    <definedName name="_2973__FDSAUDITLINK__" hidden="1">{"fdsup://directions/FAT Viewer?action=UPDATE&amp;creator=factset&amp;DYN_ARGS=TRUE&amp;DOC_NAME=FAT:FQL_AUDITING_CLIENT_TEMPLATE.FAT&amp;display_string=Audit&amp;VAR:KEY=LULCDIVYJK&amp;VAR:QUERY=RkZfU0FMRVMoQ0FMLDQwNTQzLCwsLCk=&amp;WINDOW=FIRST_POPUP&amp;HEIGHT=450&amp;WIDTH=450&amp;START_MAXIMI","ZED=FALSE&amp;VAR:CALENDAR=US&amp;VAR:SYMBOL=ABT&amp;VAR:INDEX=0"}</definedName>
    <definedName name="_2974__FDSAUDITLINK__" hidden="1">{"fdsup://directions/FAT Viewer?action=UPDATE&amp;creator=factset&amp;DYN_ARGS=TRUE&amp;DOC_NAME=FAT:FQL_AUDITING_CLIENT_TEMPLATE.FAT&amp;display_string=Audit&amp;VAR:KEY=XIHAFGFYLU&amp;VAR:QUERY=RkZfU0FMRVMoQ0FMLDQwMTc4LCwsLCk=&amp;WINDOW=FIRST_POPUP&amp;HEIGHT=450&amp;WIDTH=450&amp;START_MAXIMI","ZED=FALSE&amp;VAR:CALENDAR=US&amp;VAR:SYMBOL=ABT&amp;VAR:INDEX=0"}</definedName>
    <definedName name="_2975__FDSAUDITLINK__" hidden="1">{"fdsup://directions/FAT Viewer?action=UPDATE&amp;creator=factset&amp;DYN_ARGS=TRUE&amp;DOC_NAME=FAT:FQL_AUDITING_CLIENT_TEMPLATE.FAT&amp;display_string=Audit&amp;VAR:KEY=FAFWNGJOZC&amp;VAR:QUERY=RkZfU0FMRVMoQ0FMLDM5ODEzLCwsLCk=&amp;WINDOW=FIRST_POPUP&amp;HEIGHT=450&amp;WIDTH=450&amp;START_MAXIMI","ZED=FALSE&amp;VAR:CALENDAR=US&amp;VAR:SYMBOL=ABT&amp;VAR:INDEX=0"}</definedName>
    <definedName name="_2976__FDSAUDITLINK__" hidden="1">{"fdsup://directions/FAT Viewer?action=UPDATE&amp;creator=factset&amp;DYN_ARGS=TRUE&amp;DOC_NAME=FAT:FQL_AUDITING_CLIENT_TEMPLATE.FAT&amp;display_string=Audit&amp;VAR:KEY=VOVAHWRMBQ&amp;VAR:QUERY=RkZfU0FMRVMoQ0FMLDM5NDQ3LCwsLCk=&amp;WINDOW=FIRST_POPUP&amp;HEIGHT=450&amp;WIDTH=450&amp;START_MAXIMI","ZED=FALSE&amp;VAR:CALENDAR=US&amp;VAR:SYMBOL=ABT&amp;VAR:INDEX=0"}</definedName>
    <definedName name="_2977__FDSAUDITLINK__" hidden="1">{"fdsup://directions/FAT Viewer?action=UPDATE&amp;creator=factset&amp;DYN_ARGS=TRUE&amp;DOC_NAME=FAT:FQL_AUDITING_CLIENT_TEMPLATE.FAT&amp;display_string=Audit&amp;VAR:KEY=JIZSHKHCLG&amp;VAR:QUERY=RkZfU0FMRVMoQ0FMLDM5MDgyLCwsLCk=&amp;WINDOW=FIRST_POPUP&amp;HEIGHT=450&amp;WIDTH=450&amp;START_MAXIMI","ZED=FALSE&amp;VAR:CALENDAR=US&amp;VAR:SYMBOL=ABT&amp;VAR:INDEX=0"}</definedName>
    <definedName name="_2978__FDSAUDITLINK__" hidden="1">{"fdsup://directions/FAT Viewer?action=UPDATE&amp;creator=factset&amp;DYN_ARGS=TRUE&amp;DOC_NAME=FAT:FQL_AUDITING_CLIENT_TEMPLATE.FAT&amp;display_string=Audit&amp;VAR:KEY=HGLONMHIHO&amp;VAR:QUERY=RkZfU0FMRVMoQ0FMLDM4NzE3LCwsLCk=&amp;WINDOW=FIRST_POPUP&amp;HEIGHT=450&amp;WIDTH=450&amp;START_MAXIMI","ZED=FALSE&amp;VAR:CALENDAR=US&amp;VAR:SYMBOL=ABT&amp;VAR:INDEX=0"}</definedName>
    <definedName name="_2979__FDSAUDITLINK__" hidden="1">{"fdsup://directions/FAT Viewer?action=UPDATE&amp;creator=factset&amp;DYN_ARGS=TRUE&amp;DOC_NAME=FAT:FQL_AUDITING_CLIENT_TEMPLATE.FAT&amp;display_string=Audit&amp;VAR:KEY=PMFYHUFOJW&amp;VAR:QUERY=RkZfU0FMRVMoQ0FMLDM4MzUyLCwsLCk=&amp;WINDOW=FIRST_POPUP&amp;HEIGHT=450&amp;WIDTH=450&amp;START_MAXIMI","ZED=FALSE&amp;VAR:CALENDAR=US&amp;VAR:SYMBOL=ABT&amp;VAR:INDEX=0"}</definedName>
    <definedName name="_298__FDSAUDITLINK__" hidden="1">{"fdsup://directions/FAT%20Viewer?VAR:TM=NTMA&amp;VAR:PCT=0.923288&amp;VAR:Y0=2005&amp;VAR:Y1=2006&amp;VAR:V0=15.887408&amp;VAR:V1=14.589561&amp;VAR:V=15.779725&amp;VAR:AUDIT_ID=00000117&amp;VAR:DATE=20050128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Aggregates&amp;VAR:MEASURE=PE_MEAN&amp;VAR:CALC_MODE=PORTFOLIO&amp;VAR:CHGPERIOD=NA&amp;VAR:FQLFORMULA=FMA_PE&amp;VAR:CURRENCY=USD&amp;VAR:P=1","171.363300&amp;VAR:THRESH=||||||&amp;VAR:null=.html"}</definedName>
    <definedName name="_2980__FDSAUDITLINK__" hidden="1">{"fdsup://directions/FAT Viewer?action=UPDATE&amp;creator=factset&amp;DYN_ARGS=TRUE&amp;DOC_NAME=FAT:FQL_AUDITING_CLIENT_TEMPLATE.FAT&amp;display_string=Audit&amp;VAR:KEY=FGVODQPWLQ&amp;VAR:QUERY=RkZfU0FMRVMoQ0FMLDQwNTQzLCwsLCk=&amp;WINDOW=FIRST_POPUP&amp;HEIGHT=450&amp;WIDTH=450&amp;START_MAXIMI","ZED=FALSE&amp;VAR:CALENDAR=US&amp;VAR:SYMBOL=687044&amp;VAR:INDEX=0"}</definedName>
    <definedName name="_2981__FDSAUDITLINK__" hidden="1">{"fdsup://directions/FAT Viewer?action=UPDATE&amp;creator=factset&amp;DYN_ARGS=TRUE&amp;DOC_NAME=FAT:FQL_AUDITING_CLIENT_TEMPLATE.FAT&amp;display_string=Audit&amp;VAR:KEY=NGJYDUXCVO&amp;VAR:QUERY=RkZfU0FMRVMoQ0FMLDQwMTc4LCwsLCk=&amp;WINDOW=FIRST_POPUP&amp;HEIGHT=450&amp;WIDTH=450&amp;START_MAXIMI","ZED=FALSE&amp;VAR:CALENDAR=US&amp;VAR:SYMBOL=687044&amp;VAR:INDEX=0"}</definedName>
    <definedName name="_2982__FDSAUDITLINK__" hidden="1">{"fdsup://directions/FAT Viewer?action=UPDATE&amp;creator=factset&amp;DYN_ARGS=TRUE&amp;DOC_NAME=FAT:FQL_AUDITING_CLIENT_TEMPLATE.FAT&amp;display_string=Audit&amp;VAR:KEY=NWVWHILSTA&amp;VAR:QUERY=RkZfU0FMRVMoQ0FMLDM5ODEzLCwsLCk=&amp;WINDOW=FIRST_POPUP&amp;HEIGHT=450&amp;WIDTH=450&amp;START_MAXIMI","ZED=FALSE&amp;VAR:CALENDAR=US&amp;VAR:SYMBOL=687044&amp;VAR:INDEX=0"}</definedName>
    <definedName name="_2983__FDSAUDITLINK__" hidden="1">{"fdsup://directions/FAT Viewer?action=UPDATE&amp;creator=factset&amp;DYN_ARGS=TRUE&amp;DOC_NAME=FAT:FQL_AUDITING_CLIENT_TEMPLATE.FAT&amp;display_string=Audit&amp;VAR:KEY=LANUXGTUJE&amp;VAR:QUERY=RkZfU0FMRVMoQ0FMLDM5NDQ3LCwsLCk=&amp;WINDOW=FIRST_POPUP&amp;HEIGHT=450&amp;WIDTH=450&amp;START_MAXIMI","ZED=FALSE&amp;VAR:CALENDAR=US&amp;VAR:SYMBOL=687044&amp;VAR:INDEX=0"}</definedName>
    <definedName name="_2984__FDSAUDITLINK__" hidden="1">{"fdsup://directions/FAT Viewer?action=UPDATE&amp;creator=factset&amp;DYN_ARGS=TRUE&amp;DOC_NAME=FAT:FQL_AUDITING_CLIENT_TEMPLATE.FAT&amp;display_string=Audit&amp;VAR:KEY=VMNWLAFAZG&amp;VAR:QUERY=RkZfU0FMRVMoQ0FMLDM5MDgyLCwsLCk=&amp;WINDOW=FIRST_POPUP&amp;HEIGHT=450&amp;WIDTH=450&amp;START_MAXIMI","ZED=FALSE&amp;VAR:CALENDAR=US&amp;VAR:SYMBOL=687044&amp;VAR:INDEX=0"}</definedName>
    <definedName name="_2985__FDSAUDITLINK__" hidden="1">{"fdsup://directions/FAT Viewer?action=UPDATE&amp;creator=factset&amp;DYN_ARGS=TRUE&amp;DOC_NAME=FAT:FQL_AUDITING_CLIENT_TEMPLATE.FAT&amp;display_string=Audit&amp;VAR:KEY=VUHEZEHYDS&amp;VAR:QUERY=RkZfU0FMRVMoQ0FMLDM4NzE3LCwsLCk=&amp;WINDOW=FIRST_POPUP&amp;HEIGHT=450&amp;WIDTH=450&amp;START_MAXIMI","ZED=FALSE&amp;VAR:CALENDAR=US&amp;VAR:SYMBOL=687044&amp;VAR:INDEX=0"}</definedName>
    <definedName name="_2986__FDSAUDITLINK__" hidden="1">{"fdsup://directions/FAT Viewer?action=UPDATE&amp;creator=factset&amp;DYN_ARGS=TRUE&amp;DOC_NAME=FAT:FQL_AUDITING_CLIENT_TEMPLATE.FAT&amp;display_string=Audit&amp;VAR:KEY=VEBOPIBOXG&amp;VAR:QUERY=RkZfU0FMRVMoQ0FMLDM4MzUyLCwsLCk=&amp;WINDOW=FIRST_POPUP&amp;HEIGHT=450&amp;WIDTH=450&amp;START_MAXIMI","ZED=FALSE&amp;VAR:CALENDAR=US&amp;VAR:SYMBOL=687044&amp;VAR:INDEX=0"}</definedName>
    <definedName name="_2987__FDSAUDITLINK__" hidden="1">{"fdsup://directions/FAT Viewer?action=UPDATE&amp;creator=factset&amp;DYN_ARGS=TRUE&amp;DOC_NAME=FAT:FQL_AUDITING_CLIENT_TEMPLATE.FAT&amp;display_string=Audit&amp;VAR:KEY=TWJGRYHSBC&amp;VAR:QUERY=RkZfU0FMRVMoQ0FMLDM3OTg2LCwsLCk=&amp;WINDOW=FIRST_POPUP&amp;HEIGHT=450&amp;WIDTH=450&amp;START_MAXIMI","ZED=FALSE&amp;VAR:CALENDAR=US&amp;VAR:SYMBOL=687044&amp;VAR:INDEX=0"}</definedName>
    <definedName name="_2988__FDSAUDITLINK__" hidden="1">{"fdsup://directions/FAT Viewer?action=UPDATE&amp;creator=factset&amp;DYN_ARGS=TRUE&amp;DOC_NAME=FAT:FQL_AUDITING_CLIENT_TEMPLATE.FAT&amp;display_string=Audit&amp;VAR:KEY=NMJKXQRIPK&amp;VAR:QUERY=RkZfU0FMRVMoQ0FMLDQwNTQzLCwsLCk=&amp;WINDOW=FIRST_POPUP&amp;HEIGHT=450&amp;WIDTH=450&amp;START_MAXIMI","ZED=FALSE&amp;VAR:CALENDAR=US&amp;VAR:SYMBOL=BMY&amp;VAR:INDEX=0"}</definedName>
    <definedName name="_2989__FDSAUDITLINK__" hidden="1">{"fdsup://directions/FAT Viewer?action=UPDATE&amp;creator=factset&amp;DYN_ARGS=TRUE&amp;DOC_NAME=FAT:FQL_AUDITING_CLIENT_TEMPLATE.FAT&amp;display_string=Audit&amp;VAR:KEY=BUJIHQJYLA&amp;VAR:QUERY=RkZfU0FMRVMoQ0FMLDQwMTc4LCwsLCk=&amp;WINDOW=FIRST_POPUP&amp;HEIGHT=450&amp;WIDTH=450&amp;START_MAXIMI","ZED=FALSE&amp;VAR:CALENDAR=US&amp;VAR:SYMBOL=BMY&amp;VAR:INDEX=0"}</definedName>
    <definedName name="_299__FDSAUDITLINK__" hidden="1">{"fdsup://directions/FAT%20Viewer?VAR:TM=NTMA&amp;VAR:PCT=0.942466&amp;VAR:Y0=2005&amp;VAR:Y1=2006&amp;VAR:V0=15.871529&amp;VAR:V1=14.608252&amp;VAR:V=15.792953&amp;VAR:AUDIT_ID=00000117&amp;VAR:DATE=20050121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Aggregates&amp;VAR:MEASURE=PE_MEAN&amp;VAR:CALC_MODE=PORTFOLIO&amp;VAR:CHGPERIOD=NA&amp;VAR:FQLFORMULA=FMA_PE&amp;VAR:CURRENCY=USD&amp;VAR:P=1","167.867300&amp;VAR:THRESH=||||||&amp;VAR:null=.html"}</definedName>
    <definedName name="_2990__FDSAUDITLINK__" hidden="1">{"fdsup://directions/FAT Viewer?action=UPDATE&amp;creator=factset&amp;DYN_ARGS=TRUE&amp;DOC_NAME=FAT:FQL_AUDITING_CLIENT_TEMPLATE.FAT&amp;display_string=Audit&amp;VAR:KEY=JIDAXAJARK&amp;VAR:QUERY=RkZfU0FMRVMoQ0FMLDM5ODEzLCwsLCk=&amp;WINDOW=FIRST_POPUP&amp;HEIGHT=450&amp;WIDTH=450&amp;START_MAXIMI","ZED=FALSE&amp;VAR:CALENDAR=US&amp;VAR:SYMBOL=BMY&amp;VAR:INDEX=0"}</definedName>
    <definedName name="_2991__FDSAUDITLINK__" hidden="1">{"fdsup://directions/FAT Viewer?action=UPDATE&amp;creator=factset&amp;DYN_ARGS=TRUE&amp;DOC_NAME=FAT:FQL_AUDITING_CLIENT_TEMPLATE.FAT&amp;display_string=Audit&amp;VAR:KEY=FGNGDYBWJI&amp;VAR:QUERY=RkZfU0FMRVMoQ0FMLDM5NDQ3LCwsLCk=&amp;WINDOW=FIRST_POPUP&amp;HEIGHT=450&amp;WIDTH=450&amp;START_MAXIMI","ZED=FALSE&amp;VAR:CALENDAR=US&amp;VAR:SYMBOL=BMY&amp;VAR:INDEX=0"}</definedName>
    <definedName name="_2992__FDSAUDITLINK__" hidden="1">{"fdsup://directions/FAT Viewer?action=UPDATE&amp;creator=factset&amp;DYN_ARGS=TRUE&amp;DOC_NAME=FAT:FQL_AUDITING_CLIENT_TEMPLATE.FAT&amp;display_string=Audit&amp;VAR:KEY=ZEPMHOTKTQ&amp;VAR:QUERY=RkZfU0FMRVMoQ0FMLDM5MDgyLCwsLCk=&amp;WINDOW=FIRST_POPUP&amp;HEIGHT=450&amp;WIDTH=450&amp;START_MAXIMI","ZED=FALSE&amp;VAR:CALENDAR=US&amp;VAR:SYMBOL=BMY&amp;VAR:INDEX=0"}</definedName>
    <definedName name="_2993__FDSAUDITLINK__" hidden="1">{"fdsup://directions/FAT Viewer?action=UPDATE&amp;creator=factset&amp;DYN_ARGS=TRUE&amp;DOC_NAME=FAT:FQL_AUDITING_CLIENT_TEMPLATE.FAT&amp;display_string=Audit&amp;VAR:KEY=ZSRUVKHGFO&amp;VAR:QUERY=RkZfU0FMRVMoQ0FMLDM4NzE3LCwsLCk=&amp;WINDOW=FIRST_POPUP&amp;HEIGHT=450&amp;WIDTH=450&amp;START_MAXIMI","ZED=FALSE&amp;VAR:CALENDAR=US&amp;VAR:SYMBOL=BMY&amp;VAR:INDEX=0"}</definedName>
    <definedName name="_2994__FDSAUDITLINK__" hidden="1">{"fdsup://directions/FAT Viewer?action=UPDATE&amp;creator=factset&amp;DYN_ARGS=TRUE&amp;DOC_NAME=FAT:FQL_AUDITING_CLIENT_TEMPLATE.FAT&amp;display_string=Audit&amp;VAR:KEY=LWZIXAXMJY&amp;VAR:QUERY=RkZfU0FMRVMoQ0FMLDM4MzUyLCwsLCk=&amp;WINDOW=FIRST_POPUP&amp;HEIGHT=450&amp;WIDTH=450&amp;START_MAXIMI","ZED=FALSE&amp;VAR:CALENDAR=US&amp;VAR:SYMBOL=BMY&amp;VAR:INDEX=0"}</definedName>
    <definedName name="_2995__FDSAUDITLINK__" hidden="1">{"fdsup://directions/FAT Viewer?action=UPDATE&amp;creator=factset&amp;DYN_ARGS=TRUE&amp;DOC_NAME=FAT:FQL_AUDITING_CLIENT_TEMPLATE.FAT&amp;display_string=Audit&amp;VAR:KEY=HGVUFQHQXY&amp;VAR:QUERY=RkZfU0FMRVMoQ0FMLDQwNTQzLCwsLCk=&amp;WINDOW=FIRST_POPUP&amp;HEIGHT=450&amp;WIDTH=450&amp;START_MAXIMI","ZED=FALSE&amp;VAR:CALENDAR=US&amp;VAR:SYMBOL=LLY&amp;VAR:INDEX=0"}</definedName>
    <definedName name="_2996__FDSAUDITLINK__" hidden="1">{"fdsup://directions/FAT Viewer?action=UPDATE&amp;creator=factset&amp;DYN_ARGS=TRUE&amp;DOC_NAME=FAT:FQL_AUDITING_CLIENT_TEMPLATE.FAT&amp;display_string=Audit&amp;VAR:KEY=BENYXWZQPA&amp;VAR:QUERY=RkZfU0FMRVMoQ0FMLDQwMTc4LCwsLCk=&amp;WINDOW=FIRST_POPUP&amp;HEIGHT=450&amp;WIDTH=450&amp;START_MAXIMI","ZED=FALSE&amp;VAR:CALENDAR=US&amp;VAR:SYMBOL=LLY&amp;VAR:INDEX=0"}</definedName>
    <definedName name="_2997__FDSAUDITLINK__" hidden="1">{"fdsup://directions/FAT Viewer?action=UPDATE&amp;creator=factset&amp;DYN_ARGS=TRUE&amp;DOC_NAME=FAT:FQL_AUDITING_CLIENT_TEMPLATE.FAT&amp;display_string=Audit&amp;VAR:KEY=TCDILENEJI&amp;VAR:QUERY=RkZfU0FMRVMoQ0FMLDM5ODEzLCwsLCk=&amp;WINDOW=FIRST_POPUP&amp;HEIGHT=450&amp;WIDTH=450&amp;START_MAXIMI","ZED=FALSE&amp;VAR:CALENDAR=US&amp;VAR:SYMBOL=LLY&amp;VAR:INDEX=0"}</definedName>
    <definedName name="_2998__FDSAUDITLINK__" hidden="1">{"fdsup://directions/FAT Viewer?action=UPDATE&amp;creator=factset&amp;DYN_ARGS=TRUE&amp;DOC_NAME=FAT:FQL_AUDITING_CLIENT_TEMPLATE.FAT&amp;display_string=Audit&amp;VAR:KEY=ZMZGTAHWVI&amp;VAR:QUERY=RkZfU0FMRVMoQ0FMLDM5NDQ3LCwsLCk=&amp;WINDOW=FIRST_POPUP&amp;HEIGHT=450&amp;WIDTH=450&amp;START_MAXIMI","ZED=FALSE&amp;VAR:CALENDAR=US&amp;VAR:SYMBOL=LLY&amp;VAR:INDEX=0"}</definedName>
    <definedName name="_2999__FDSAUDITLINK__" hidden="1">{"fdsup://directions/FAT Viewer?action=UPDATE&amp;creator=factset&amp;DYN_ARGS=TRUE&amp;DOC_NAME=FAT:FQL_AUDITING_CLIENT_TEMPLATE.FAT&amp;display_string=Audit&amp;VAR:KEY=VGZWFCPGLW&amp;VAR:QUERY=RkZfU0FMRVMoQ0FMLDM5MDgyLCwsLCk=&amp;WINDOW=FIRST_POPUP&amp;HEIGHT=450&amp;WIDTH=450&amp;START_MAXIMI","ZED=FALSE&amp;VAR:CALENDAR=US&amp;VAR:SYMBOL=LLY&amp;VAR:INDEX=0"}</definedName>
    <definedName name="_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0.172603&amp;VAR:V=13.230394&amp;VAR:V0=13.537394&amp;VAR:V1=11.933140&amp;VAR:Y0=2011&amp;VAR:Y1=2012&amp;VAR:P=1321.152939&amp;VAR:DATE=20110304&amp;VAR:THRESH=-|-|","-|-|-|-|-"}</definedName>
    <definedName name="_30__FDSAUDITLINK__" hidden="1">{"fdsup://directions/FAT%20Viewer?VAR:TM=NTMA&amp;VAR:PCT=0.786301&amp;VAR:Y0=2010&amp;VAR:Y1=2011&amp;VAR:V0=14.645947&amp;VAR:V1=12.229397&amp;VAR:V=14.052547&amp;VAR:AUDIT_ID=00000117&amp;VAR:DATE=20100319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Aggregates&amp;VAR:MEASURE=PE_MEAN&amp;VAR:CALC_MODE=PORTFOLIO&amp;VAR:CHGPERIOD=NA&amp;VAR:FQLFORMULA=FMA_PE&amp;VAR:CURRENCY=USD&amp;VAR:P=1","159.897351&amp;VAR:THRESH=||||||&amp;VAR:null=.html"}</definedName>
    <definedName name="_300__FDSAUDITLINK__" hidden="1">{"fdsup://directions/FAT%20Viewer?VAR:TM=NTMA&amp;VAR:PCT=0.961644&amp;VAR:Y0=2005&amp;VAR:Y1=2006&amp;VAR:V0=16.060806&amp;VAR:V1=14.826113&amp;VAR:V=16.009667&amp;VAR:AUDIT_ID=00000117&amp;VAR:DATE=20050114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Aggregates&amp;VAR:MEASURE=PE_MEAN&amp;VAR:CALC_MODE=PORTFOLIO&amp;VAR:CHGPERIOD=NA&amp;VAR:FQLFORMULA=FMA_PE&amp;VAR:CURRENCY=USD&amp;VAR:P=1","184.516500&amp;VAR:THRESH=||||||&amp;VAR:null=.html"}</definedName>
    <definedName name="_3000__FDSAUDITLINK__" hidden="1">{"fdsup://directions/FAT Viewer?action=UPDATE&amp;creator=factset&amp;DYN_ARGS=TRUE&amp;DOC_NAME=FAT:FQL_AUDITING_CLIENT_TEMPLATE.FAT&amp;display_string=Audit&amp;VAR:KEY=NMLWPYZODY&amp;VAR:QUERY=RkZfU0FMRVMoQ0FMLDM4NzE3LCwsLCk=&amp;WINDOW=FIRST_POPUP&amp;HEIGHT=450&amp;WIDTH=450&amp;START_MAXIMI","ZED=FALSE&amp;VAR:CALENDAR=US&amp;VAR:SYMBOL=LLY&amp;VAR:INDEX=0"}</definedName>
    <definedName name="_3001__FDSAUDITLINK__" hidden="1">{"fdsup://directions/FAT Viewer?action=UPDATE&amp;creator=factset&amp;DYN_ARGS=TRUE&amp;DOC_NAME=FAT:FQL_AUDITING_CLIENT_TEMPLATE.FAT&amp;display_string=Audit&amp;VAR:KEY=XERCTWXSFY&amp;VAR:QUERY=RkZfU0FMRVMoQ0FMLDM4MzUyLCwsLCk=&amp;WINDOW=FIRST_POPUP&amp;HEIGHT=450&amp;WIDTH=450&amp;START_MAXIMI","ZED=FALSE&amp;VAR:CALENDAR=US&amp;VAR:SYMBOL=LLY&amp;VAR:INDEX=0"}</definedName>
    <definedName name="_3002__FDSAUDITLINK__" hidden="1">{"fdsup://directions/FAT Viewer?action=UPDATE&amp;creator=factset&amp;DYN_ARGS=TRUE&amp;DOC_NAME=FAT:FQL_AUDITING_CLIENT_TEMPLATE.FAT&amp;display_string=Audit&amp;VAR:KEY=TYREZSHMJS&amp;VAR:QUERY=RkZfU0FMRVMoQ0FMLDQwNTQzLCwsLCk=&amp;WINDOW=FIRST_POPUP&amp;HEIGHT=450&amp;WIDTH=450&amp;START_MAXIMI","ZED=FALSE&amp;VAR:CALENDAR=US&amp;VAR:SYMBOL=506921&amp;VAR:INDEX=0"}</definedName>
    <definedName name="_3003__FDSAUDITLINK__" hidden="1">{"fdsup://directions/FAT Viewer?action=UPDATE&amp;creator=factset&amp;DYN_ARGS=TRUE&amp;DOC_NAME=FAT:FQL_AUDITING_CLIENT_TEMPLATE.FAT&amp;display_string=Audit&amp;VAR:KEY=VUTOPCHQXG&amp;VAR:QUERY=RkZfU0FMRVMoQ0FMLDQwMTc4LCwsLCk=&amp;WINDOW=FIRST_POPUP&amp;HEIGHT=450&amp;WIDTH=450&amp;START_MAXIMI","ZED=FALSE&amp;VAR:CALENDAR=US&amp;VAR:SYMBOL=506921&amp;VAR:INDEX=0"}</definedName>
    <definedName name="_3004__FDSAUDITLINK__" hidden="1">{"fdsup://directions/FAT Viewer?action=UPDATE&amp;creator=factset&amp;DYN_ARGS=TRUE&amp;DOC_NAME=FAT:FQL_AUDITING_CLIENT_TEMPLATE.FAT&amp;display_string=Audit&amp;VAR:KEY=DSVIFSTIRS&amp;VAR:QUERY=RkZfU0FMRVMoQ0FMLDM5ODEzLCwsLCk=&amp;WINDOW=FIRST_POPUP&amp;HEIGHT=450&amp;WIDTH=450&amp;START_MAXIMI","ZED=FALSE&amp;VAR:CALENDAR=US&amp;VAR:SYMBOL=506921&amp;VAR:INDEX=0"}</definedName>
    <definedName name="_3005__FDSAUDITLINK__" hidden="1">{"fdsup://directions/FAT Viewer?action=UPDATE&amp;creator=factset&amp;DYN_ARGS=TRUE&amp;DOC_NAME=FAT:FQL_AUDITING_CLIENT_TEMPLATE.FAT&amp;display_string=Audit&amp;VAR:KEY=VGFMRYZUDQ&amp;VAR:QUERY=RkZfU0FMRVMoQ0FMLDM5NDQ3LCwsLCk=&amp;WINDOW=FIRST_POPUP&amp;HEIGHT=450&amp;WIDTH=450&amp;START_MAXIMI","ZED=FALSE&amp;VAR:CALENDAR=US&amp;VAR:SYMBOL=506921&amp;VAR:INDEX=0"}</definedName>
    <definedName name="_3006__FDSAUDITLINK__" hidden="1">{"fdsup://directions/FAT Viewer?action=UPDATE&amp;creator=factset&amp;DYN_ARGS=TRUE&amp;DOC_NAME=FAT:FQL_AUDITING_CLIENT_TEMPLATE.FAT&amp;display_string=Audit&amp;VAR:KEY=PYPMDAJYFY&amp;VAR:QUERY=RkZfU0FMRVMoQ0FMLDM5MDgyLCwsLCk=&amp;WINDOW=FIRST_POPUP&amp;HEIGHT=450&amp;WIDTH=450&amp;START_MAXIMI","ZED=FALSE&amp;VAR:CALENDAR=US&amp;VAR:SYMBOL=506921&amp;VAR:INDEX=0"}</definedName>
    <definedName name="_3007__FDSAUDITLINK__" hidden="1">{"fdsup://directions/FAT Viewer?action=UPDATE&amp;creator=factset&amp;DYN_ARGS=TRUE&amp;DOC_NAME=FAT:FQL_AUDITING_CLIENT_TEMPLATE.FAT&amp;display_string=Audit&amp;VAR:KEY=FGLEFQPUNK&amp;VAR:QUERY=RkZfU0FMRVMoQ0FMLDM4NzE3LCwsLCk=&amp;WINDOW=FIRST_POPUP&amp;HEIGHT=450&amp;WIDTH=450&amp;START_MAXIMI","ZED=FALSE&amp;VAR:CALENDAR=US&amp;VAR:SYMBOL=506921&amp;VAR:INDEX=0"}</definedName>
    <definedName name="_3008__FDSAUDITLINK__" hidden="1">{"fdsup://directions/FAT Viewer?action=UPDATE&amp;creator=factset&amp;DYN_ARGS=TRUE&amp;DOC_NAME=FAT:FQL_AUDITING_CLIENT_TEMPLATE.FAT&amp;display_string=Audit&amp;VAR:KEY=NKROBUBURI&amp;VAR:QUERY=RkZfU0FMRVMoQ0FMLDQwNTQzLCwsLCk=&amp;WINDOW=FIRST_POPUP&amp;HEIGHT=450&amp;WIDTH=450&amp;START_MAXIMI","ZED=FALSE&amp;VAR:CALENDAR=US&amp;VAR:SYMBOL=567173&amp;VAR:INDEX=0"}</definedName>
    <definedName name="_3009__FDSAUDITLINK__" hidden="1">{"fdsup://directions/FAT Viewer?action=UPDATE&amp;creator=factset&amp;DYN_ARGS=TRUE&amp;DOC_NAME=FAT:FQL_AUDITING_CLIENT_TEMPLATE.FAT&amp;display_string=Audit&amp;VAR:KEY=FUZMZEJUJU&amp;VAR:QUERY=RkZfU0FMRVMoQ0FMLDQwMTc4LCwsLCk=&amp;WINDOW=FIRST_POPUP&amp;HEIGHT=450&amp;WIDTH=450&amp;START_MAXIMI","ZED=FALSE&amp;VAR:CALENDAR=US&amp;VAR:SYMBOL=567173&amp;VAR:INDEX=0"}</definedName>
    <definedName name="_301__FDSAUDITLINK__" hidden="1">{"fdsup://directions/FAT%20Viewer?VAR:TM=NTMA&amp;VAR:PCT=0.980822&amp;VAR:Y0=2005&amp;VAR:Y1=2006&amp;VAR:V0=16.098402&amp;VAR:V1=14.812987&amp;VAR:V=16.071656&amp;VAR:AUDIT_ID=00000117&amp;VAR:DATE=20050107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Aggregates&amp;VAR:MEASURE=PE_MEAN&amp;VAR:CALC_MODE=PORTFOLIO&amp;VAR:CHGPERIOD=NA&amp;VAR:FQLFORMULA=FMA_PE&amp;VAR:CURRENCY=USD&amp;VAR:P=1","186.192700&amp;VAR:THRESH=||||||&amp;VAR:null=.html"}</definedName>
    <definedName name="_3010__FDSAUDITLINK__" hidden="1">{"fdsup://directions/FAT Viewer?action=UPDATE&amp;creator=factset&amp;DYN_ARGS=TRUE&amp;DOC_NAME=FAT:FQL_AUDITING_CLIENT_TEMPLATE.FAT&amp;display_string=Audit&amp;VAR:KEY=DQJIRINKTK&amp;VAR:QUERY=RkZfU0FMRVMoQ0FMLDM5ODEzLCwsLCk=&amp;WINDOW=FIRST_POPUP&amp;HEIGHT=450&amp;WIDTH=450&amp;START_MAXIMI","ZED=FALSE&amp;VAR:CALENDAR=US&amp;VAR:SYMBOL=567173&amp;VAR:INDEX=0"}</definedName>
    <definedName name="_3011__FDSAUDITLINK__" hidden="1">{"fdsup://directions/FAT Viewer?action=UPDATE&amp;creator=factset&amp;DYN_ARGS=TRUE&amp;DOC_NAME=FAT:FQL_AUDITING_CLIENT_TEMPLATE.FAT&amp;display_string=Audit&amp;VAR:KEY=XUVOBOTILK&amp;VAR:QUERY=RkZfU0FMRVMoQ0FMLDM5NDQ3LCwsLCk=&amp;WINDOW=FIRST_POPUP&amp;HEIGHT=450&amp;WIDTH=450&amp;START_MAXIMI","ZED=FALSE&amp;VAR:CALENDAR=US&amp;VAR:SYMBOL=567173&amp;VAR:INDEX=0"}</definedName>
    <definedName name="_3012__FDSAUDITLINK__" hidden="1">{"fdsup://directions/FAT Viewer?action=UPDATE&amp;creator=factset&amp;DYN_ARGS=TRUE&amp;DOC_NAME=FAT:FQL_AUDITING_CLIENT_TEMPLATE.FAT&amp;display_string=Audit&amp;VAR:KEY=TUNGLUVQJS&amp;VAR:QUERY=RkZfU0FMRVMoQ0FMLDM5MDgyLCwsLCk=&amp;WINDOW=FIRST_POPUP&amp;HEIGHT=450&amp;WIDTH=450&amp;START_MAXIMI","ZED=FALSE&amp;VAR:CALENDAR=US&amp;VAR:SYMBOL=567173&amp;VAR:INDEX=0"}</definedName>
    <definedName name="_3013__FDSAUDITLINK__" hidden="1">{"fdsup://directions/FAT Viewer?action=UPDATE&amp;creator=factset&amp;DYN_ARGS=TRUE&amp;DOC_NAME=FAT:FQL_AUDITING_CLIENT_TEMPLATE.FAT&amp;display_string=Audit&amp;VAR:KEY=ZCZKRMREJQ&amp;VAR:QUERY=RkZfU0FMRVMoQ0FMLDM4NzE3LCwsLCk=&amp;WINDOW=FIRST_POPUP&amp;HEIGHT=450&amp;WIDTH=450&amp;START_MAXIMI","ZED=FALSE&amp;VAR:CALENDAR=US&amp;VAR:SYMBOL=567173&amp;VAR:INDEX=0"}</definedName>
    <definedName name="_3014__FDSAUDITLINK__" hidden="1">{"fdsup://directions/FAT Viewer?action=UPDATE&amp;creator=factset&amp;DYN_ARGS=TRUE&amp;DOC_NAME=FAT:FQL_AUDITING_CLIENT_TEMPLATE.FAT&amp;display_string=Audit&amp;VAR:KEY=XEFEFEVSXG&amp;VAR:QUERY=RkZfU0FMRVMoQ0FMLDQwNTQzLCwsLCk=&amp;WINDOW=FIRST_POPUP&amp;HEIGHT=450&amp;WIDTH=450&amp;START_MAXIMI","ZED=FALSE&amp;VAR:CALENDAR=US&amp;VAR:SYMBOL=JNJ&amp;VAR:INDEX=0"}</definedName>
    <definedName name="_3015__FDSAUDITLINK__" hidden="1">{"fdsup://directions/FAT Viewer?action=UPDATE&amp;creator=factset&amp;DYN_ARGS=TRUE&amp;DOC_NAME=FAT:FQL_AUDITING_CLIENT_TEMPLATE.FAT&amp;display_string=Audit&amp;VAR:KEY=LULOTKLGHM&amp;VAR:QUERY=RkZfU0FMRVMoQ0FMLDQwMTc4LCwsLCk=&amp;WINDOW=FIRST_POPUP&amp;HEIGHT=450&amp;WIDTH=450&amp;START_MAXIMI","ZED=FALSE&amp;VAR:CALENDAR=US&amp;VAR:SYMBOL=JNJ&amp;VAR:INDEX=0"}</definedName>
    <definedName name="_3016__FDSAUDITLINK__" hidden="1">{"fdsup://directions/FAT Viewer?action=UPDATE&amp;creator=factset&amp;DYN_ARGS=TRUE&amp;DOC_NAME=FAT:FQL_AUDITING_CLIENT_TEMPLATE.FAT&amp;display_string=Audit&amp;VAR:KEY=TARITKLKZA&amp;VAR:QUERY=RkZfU0FMRVMoQ0FMLDM5ODEzLCwsLCk=&amp;WINDOW=FIRST_POPUP&amp;HEIGHT=450&amp;WIDTH=450&amp;START_MAXIMI","ZED=FALSE&amp;VAR:CALENDAR=US&amp;VAR:SYMBOL=JNJ&amp;VAR:INDEX=0"}</definedName>
    <definedName name="_3017__FDSAUDITLINK__" hidden="1">{"fdsup://directions/FAT Viewer?action=UPDATE&amp;creator=factset&amp;DYN_ARGS=TRUE&amp;DOC_NAME=FAT:FQL_AUDITING_CLIENT_TEMPLATE.FAT&amp;display_string=Audit&amp;VAR:KEY=NSBWVCLYDE&amp;VAR:QUERY=RkZfU0FMRVMoQ0FMLDM5NDQ3LCwsLCk=&amp;WINDOW=FIRST_POPUP&amp;HEIGHT=450&amp;WIDTH=450&amp;START_MAXIMI","ZED=FALSE&amp;VAR:CALENDAR=US&amp;VAR:SYMBOL=JNJ&amp;VAR:INDEX=0"}</definedName>
    <definedName name="_3018__FDSAUDITLINK__" hidden="1">{"fdsup://directions/FAT Viewer?action=UPDATE&amp;creator=factset&amp;DYN_ARGS=TRUE&amp;DOC_NAME=FAT:FQL_AUDITING_CLIENT_TEMPLATE.FAT&amp;display_string=Audit&amp;VAR:KEY=VCFODGNGBS&amp;VAR:QUERY=RkZfU0FMRVMoQ0FMLDM5MDgyLCwsLCk=&amp;WINDOW=FIRST_POPUP&amp;HEIGHT=450&amp;WIDTH=450&amp;START_MAXIMI","ZED=FALSE&amp;VAR:CALENDAR=US&amp;VAR:SYMBOL=JNJ&amp;VAR:INDEX=0"}</definedName>
    <definedName name="_3019__FDSAUDITLINK__" hidden="1">{"fdsup://directions/FAT Viewer?action=UPDATE&amp;creator=factset&amp;DYN_ARGS=TRUE&amp;DOC_NAME=FAT:FQL_AUDITING_CLIENT_TEMPLATE.FAT&amp;display_string=Audit&amp;VAR:KEY=FMJMDKHKDK&amp;VAR:QUERY=RkZfU0FMRVMoQ0FMLDM4NzE3LCwsLCk=&amp;WINDOW=FIRST_POPUP&amp;HEIGHT=450&amp;WIDTH=450&amp;START_MAXIMI","ZED=FALSE&amp;VAR:CALENDAR=US&amp;VAR:SYMBOL=JNJ&amp;VAR:INDEX=0"}</definedName>
    <definedName name="_302__FDSAUDITLINK__" hidden="1">{"fdsup://directions/FAT%20Viewer?VAR:TM=NTMA&amp;VAR:PCT=0.000000&amp;VAR:Y0=2004&amp;VAR:Y1=2005&amp;VAR:V0=18.239687&amp;VAR:V1=16.449188&amp;VAR:V=16.449188&amp;VAR:AUDIT_ID=00000117&amp;VAR:DATE=20041231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Aggregates&amp;VAR:MEASURE=PE_MEAN&amp;VAR:CALC_MODE=PORTFOLIO&amp;VAR:CHGPERIOD=NA&amp;VAR:FQLFORMULA=FMA_PE&amp;VAR:CURRENCY=USD&amp;VAR:P=1","211.916300&amp;VAR:THRESH=||||||&amp;VAR:null=.html"}</definedName>
    <definedName name="_3020__FDSAUDITLINK__" hidden="1">{"fdsup://directions/FAT Viewer?action=UPDATE&amp;creator=factset&amp;DYN_ARGS=TRUE&amp;DOC_NAME=FAT:FQL_AUDITING_CLIENT_TEMPLATE.FAT&amp;display_string=Audit&amp;VAR:KEY=ZWTENCPKDC&amp;VAR:QUERY=RkZfU0FMRVMoQ0FMLDM4MzUyLCwsLCk=&amp;WINDOW=FIRST_POPUP&amp;HEIGHT=450&amp;WIDTH=450&amp;START_MAXIMI","ZED=FALSE&amp;VAR:CALENDAR=US&amp;VAR:SYMBOL=JNJ&amp;VAR:INDEX=0"}</definedName>
    <definedName name="_3021__FDSAUDITLINK__" hidden="1">{"fdsup://directions/FAT Viewer?action=UPDATE&amp;creator=factset&amp;DYN_ARGS=TRUE&amp;DOC_NAME=FAT:FQL_AUDITING_CLIENT_TEMPLATE.FAT&amp;display_string=Audit&amp;VAR:KEY=JUHUDIVEVG&amp;VAR:QUERY=RkZfU0FMRVMoQ0FMLDQwNTQzLCwsLCk=&amp;WINDOW=FIRST_POPUP&amp;HEIGHT=450&amp;WIDTH=450&amp;START_MAXIMI","ZED=FALSE&amp;VAR:CALENDAR=US&amp;VAR:SYMBOL=710306&amp;VAR:INDEX=0"}</definedName>
    <definedName name="_3022__FDSAUDITLINK__" hidden="1">{"fdsup://directions/FAT Viewer?action=UPDATE&amp;creator=factset&amp;DYN_ARGS=TRUE&amp;DOC_NAME=FAT:FQL_AUDITING_CLIENT_TEMPLATE.FAT&amp;display_string=Audit&amp;VAR:KEY=DOFYDCPMFC&amp;VAR:QUERY=RkZfU0FMRVMoQ0FMLDQwMTc4LCwsLCk=&amp;WINDOW=FIRST_POPUP&amp;HEIGHT=450&amp;WIDTH=450&amp;START_MAXIMI","ZED=FALSE&amp;VAR:CALENDAR=US&amp;VAR:SYMBOL=710306&amp;VAR:INDEX=0"}</definedName>
    <definedName name="_3023__FDSAUDITLINK__" hidden="1">{"fdsup://directions/FAT Viewer?action=UPDATE&amp;creator=factset&amp;DYN_ARGS=TRUE&amp;DOC_NAME=FAT:FQL_AUDITING_CLIENT_TEMPLATE.FAT&amp;display_string=Audit&amp;VAR:KEY=FEDEFEXKTO&amp;VAR:QUERY=RkZfU0FMRVMoQ0FMLDM5ODEzLCwsLCk=&amp;WINDOW=FIRST_POPUP&amp;HEIGHT=450&amp;WIDTH=450&amp;START_MAXIMI","ZED=FALSE&amp;VAR:CALENDAR=US&amp;VAR:SYMBOL=710306&amp;VAR:INDEX=0"}</definedName>
    <definedName name="_3024__FDSAUDITLINK__" hidden="1">{"fdsup://directions/FAT Viewer?action=UPDATE&amp;creator=factset&amp;DYN_ARGS=TRUE&amp;DOC_NAME=FAT:FQL_AUDITING_CLIENT_TEMPLATE.FAT&amp;display_string=Audit&amp;VAR:KEY=LMVERYPEZG&amp;VAR:QUERY=RkZfU0FMRVMoQ0FMLDM5NDQ3LCwsLCk=&amp;WINDOW=FIRST_POPUP&amp;HEIGHT=450&amp;WIDTH=450&amp;START_MAXIMI","ZED=FALSE&amp;VAR:CALENDAR=US&amp;VAR:SYMBOL=710306&amp;VAR:INDEX=0"}</definedName>
    <definedName name="_3025__FDSAUDITLINK__" hidden="1">{"fdsup://directions/FAT Viewer?action=UPDATE&amp;creator=factset&amp;DYN_ARGS=TRUE&amp;DOC_NAME=FAT:FQL_AUDITING_CLIENT_TEMPLATE.FAT&amp;display_string=Audit&amp;VAR:KEY=XQLOLCJYLW&amp;VAR:QUERY=RkZfU0FMRVMoQ0FMLDM5MDgyLCwsLCk=&amp;WINDOW=FIRST_POPUP&amp;HEIGHT=450&amp;WIDTH=450&amp;START_MAXIMI","ZED=FALSE&amp;VAR:CALENDAR=US&amp;VAR:SYMBOL=710306&amp;VAR:INDEX=0"}</definedName>
    <definedName name="_3026__FDSAUDITLINK__" hidden="1">{"fdsup://directions/FAT Viewer?action=UPDATE&amp;creator=factset&amp;DYN_ARGS=TRUE&amp;DOC_NAME=FAT:FQL_AUDITING_CLIENT_TEMPLATE.FAT&amp;display_string=Audit&amp;VAR:KEY=JIVKRKVAXY&amp;VAR:QUERY=RkZfU0FMRVMoQ0FMLDM4NzE3LCwsLCk=&amp;WINDOW=FIRST_POPUP&amp;HEIGHT=450&amp;WIDTH=450&amp;START_MAXIMI","ZED=FALSE&amp;VAR:CALENDAR=US&amp;VAR:SYMBOL=710306&amp;VAR:INDEX=0"}</definedName>
    <definedName name="_3027__FDSAUDITLINK__" hidden="1">{"fdsup://directions/FAT Viewer?action=UPDATE&amp;creator=factset&amp;DYN_ARGS=TRUE&amp;DOC_NAME=FAT:FQL_AUDITING_CLIENT_TEMPLATE.FAT&amp;display_string=Audit&amp;VAR:KEY=HGBYRMPCTI&amp;VAR:QUERY=RkZfU0FMRVMoQ0FMLDQwNTQzLCwsLCk=&amp;WINDOW=FIRST_POPUP&amp;HEIGHT=450&amp;WIDTH=450&amp;START_MAXIMI","ZED=FALSE&amp;VAR:CALENDAR=US&amp;VAR:SYMBOL=711038&amp;VAR:INDEX=0"}</definedName>
    <definedName name="_3028__FDSAUDITLINK__" hidden="1">{"fdsup://directions/FAT Viewer?action=UPDATE&amp;creator=factset&amp;DYN_ARGS=TRUE&amp;DOC_NAME=FAT:FQL_AUDITING_CLIENT_TEMPLATE.FAT&amp;display_string=Audit&amp;VAR:KEY=DQVIXUTIHC&amp;VAR:QUERY=RkZfU0FMRVMoQ0FMLDQwMTc4LCwsLFVTRCk=&amp;WINDOW=FIRST_POPUP&amp;HEIGHT=450&amp;WIDTH=450&amp;START_MA","XIMIZED=FALSE&amp;VAR:CALENDAR=US&amp;VAR:SYMBOL=711038&amp;VAR:INDEX=0"}</definedName>
    <definedName name="_3029__FDSAUDITLINK__" hidden="1">{"fdsup://directions/FAT Viewer?action=UPDATE&amp;creator=factset&amp;DYN_ARGS=TRUE&amp;DOC_NAME=FAT:FQL_AUDITING_CLIENT_TEMPLATE.FAT&amp;display_string=Audit&amp;VAR:KEY=LANIXUPWJS&amp;VAR:QUERY=RkZfU0FMRVMoQ0FMLDM5ODEzLCwsLFVTRCk=&amp;WINDOW=FIRST_POPUP&amp;HEIGHT=450&amp;WIDTH=450&amp;START_MA","XIMIZED=FALSE&amp;VAR:CALENDAR=US&amp;VAR:SYMBOL=711038&amp;VAR:INDEX=0"}</definedName>
    <definedName name="_303__FDSAUDITLINK__" hidden="1">{"fdsup://directions/FAT%20Viewer?VAR:TM=NTMA&amp;VAR:PCT=0.021858&amp;VAR:Y0=2004&amp;VAR:Y1=2005&amp;VAR:V0=18.226088&amp;VAR:V1=16.426668&amp;VAR:V=16.462193&amp;VAR:AUDIT_ID=00000117&amp;VAR:DATE=20041223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Aggregates&amp;VAR:MEASURE=PE_MEAN&amp;VAR:CALC_MODE=PORTFOLIO&amp;VAR:CHGPERIOD=NA&amp;VAR:FQLFORMULA=FMA_PE&amp;VAR:CURRENCY=USD&amp;VAR:P=1","210.127600&amp;VAR:THRESH=||||||&amp;VAR:null=.html"}</definedName>
    <definedName name="_3030__FDSAUDITLINK__" hidden="1">{"fdsup://directions/FAT Viewer?action=UPDATE&amp;creator=factset&amp;DYN_ARGS=TRUE&amp;DOC_NAME=FAT:FQL_AUDITING_CLIENT_TEMPLATE.FAT&amp;display_string=Audit&amp;VAR:KEY=VKRQTKFUBW&amp;VAR:QUERY=RkZfU0FMRVMoQ0FMLDM5ODEzLCwsLCk=&amp;WINDOW=FIRST_POPUP&amp;HEIGHT=450&amp;WIDTH=450&amp;START_MAXIMI","ZED=FALSE&amp;VAR:CALENDAR=US&amp;VAR:SYMBOL=DNA&amp;VAR:INDEX=0"}</definedName>
    <definedName name="_3031__FDSAUDITLINK__" hidden="1">{"fdsup://directions/FAT Viewer?action=UPDATE&amp;creator=factset&amp;DYN_ARGS=TRUE&amp;DOC_NAME=FAT:FQL_AUDITING_CLIENT_TEMPLATE.FAT&amp;display_string=Audit&amp;VAR:KEY=XEDCREVYZS&amp;VAR:QUERY=RkZfU0FMRVMoQ0FMLDM5NDQ3LCwsLCk=&amp;WINDOW=FIRST_POPUP&amp;HEIGHT=450&amp;WIDTH=450&amp;START_MAXIMI","ZED=FALSE&amp;VAR:CALENDAR=US&amp;VAR:SYMBOL=DNA&amp;VAR:INDEX=0"}</definedName>
    <definedName name="_3032__FDSAUDITLINK__" hidden="1">{"fdsup://directions/FAT Viewer?action=UPDATE&amp;creator=factset&amp;DYN_ARGS=TRUE&amp;DOC_NAME=FAT:FQL_AUDITING_CLIENT_TEMPLATE.FAT&amp;display_string=Audit&amp;VAR:KEY=TOXMHYNEDQ&amp;VAR:QUERY=RkZfU0FMRVMoQ0FMLDM5MDgyLCwsLCk=&amp;WINDOW=FIRST_POPUP&amp;HEIGHT=450&amp;WIDTH=450&amp;START_MAXIMI","ZED=FALSE&amp;VAR:CALENDAR=US&amp;VAR:SYMBOL=DNA&amp;VAR:INDEX=0"}</definedName>
    <definedName name="_3033__FDSAUDITLINK__" hidden="1">{"fdsup://directions/FAT Viewer?action=UPDATE&amp;creator=factset&amp;DYN_ARGS=TRUE&amp;DOC_NAME=FAT:FQL_AUDITING_CLIENT_TEMPLATE.FAT&amp;display_string=Audit&amp;VAR:KEY=BKHAJUZULG&amp;VAR:QUERY=RkZfU0FMRVMoQ0FMLDM4NzE3LCwsLCk=&amp;WINDOW=FIRST_POPUP&amp;HEIGHT=450&amp;WIDTH=450&amp;START_MAXIMI","ZED=FALSE&amp;VAR:CALENDAR=US&amp;VAR:SYMBOL=DNA&amp;VAR:INDEX=0"}</definedName>
    <definedName name="_3034__FDSAUDITLINK__" hidden="1">{"fdsup://directions/FAT Viewer?action=UPDATE&amp;creator=factset&amp;DYN_ARGS=TRUE&amp;DOC_NAME=FAT:FQL_AUDITING_CLIENT_TEMPLATE.FAT&amp;display_string=Audit&amp;VAR:KEY=JYZKZGDIFI&amp;VAR:QUERY=RkZfU0FMRVMoQ0FMLDM4MzUyLCwsLCk=&amp;WINDOW=FIRST_POPUP&amp;HEIGHT=450&amp;WIDTH=450&amp;START_MAXIMI","ZED=FALSE&amp;VAR:CALENDAR=US&amp;VAR:SYMBOL=DNA&amp;VAR:INDEX=0"}</definedName>
    <definedName name="_3035__FDSAUDITLINK__" hidden="1">{"fdsup://directions/FAT Viewer?action=UPDATE&amp;creator=factset&amp;DYN_ARGS=TRUE&amp;DOC_NAME=FAT:FQL_AUDITING_CLIENT_TEMPLATE.FAT&amp;display_string=Audit&amp;VAR:KEY=RYVUVAXUDS&amp;VAR:QUERY=RkZfU0FMRVMoQ0FMLDQwNTQzLCwsLCk=&amp;WINDOW=FIRST_POPUP&amp;HEIGHT=450&amp;WIDTH=450&amp;START_MAXIMI","ZED=FALSE&amp;VAR:CALENDAR=US&amp;VAR:SYMBOL=MRK&amp;VAR:INDEX=0"}</definedName>
    <definedName name="_3036__FDSAUDITLINK__" hidden="1">{"fdsup://directions/FAT Viewer?action=UPDATE&amp;creator=factset&amp;DYN_ARGS=TRUE&amp;DOC_NAME=FAT:FQL_AUDITING_CLIENT_TEMPLATE.FAT&amp;display_string=Audit&amp;VAR:KEY=NITGVAHEXK&amp;VAR:QUERY=RkZfU0FMRVMoQ0FMLDQwMTc4LCwsLFVTRCk=&amp;WINDOW=FIRST_POPUP&amp;HEIGHT=450&amp;WIDTH=450&amp;START_MA","XIMIZED=FALSE&amp;VAR:CALENDAR=US&amp;VAR:SYMBOL=MRK&amp;VAR:INDEX=0"}</definedName>
    <definedName name="_3037__FDSAUDITLINK__" hidden="1">{"fdsup://directions/FAT Viewer?action=UPDATE&amp;creator=factset&amp;DYN_ARGS=TRUE&amp;DOC_NAME=FAT:FQL_AUDITING_CLIENT_TEMPLATE.FAT&amp;display_string=Audit&amp;VAR:KEY=PYDALOBCHY&amp;VAR:QUERY=RkZfU0FMRVMoQ0FMLDM5ODEzLCwsLFVTRCk=&amp;WINDOW=FIRST_POPUP&amp;HEIGHT=450&amp;WIDTH=450&amp;START_MA","XIMIZED=FALSE&amp;VAR:CALENDAR=US&amp;VAR:SYMBOL=MRK&amp;VAR:INDEX=0"}</definedName>
    <definedName name="_3038__FDSAUDITLINK__" hidden="1">{"fdsup://directions/FAT Viewer?action=UPDATE&amp;creator=factset&amp;DYN_ARGS=TRUE&amp;DOC_NAME=FAT:FQL_AUDITING_CLIENT_TEMPLATE.FAT&amp;display_string=Audit&amp;VAR:KEY=HONSVQVETW&amp;VAR:QUERY=RkZfU0FMRVMoQ0FMLDM5ODEzLCwsLCk=&amp;WINDOW=FIRST_POPUP&amp;HEIGHT=450&amp;WIDTH=450&amp;START_MAXIMI","ZED=FALSE&amp;VAR:CALENDAR=US&amp;VAR:SYMBOL=SGP&amp;VAR:INDEX=0"}</definedName>
    <definedName name="_3039__FDSAUDITLINK__" hidden="1">{"fdsup://directions/FAT Viewer?action=UPDATE&amp;creator=factset&amp;DYN_ARGS=TRUE&amp;DOC_NAME=FAT:FQL_AUDITING_CLIENT_TEMPLATE.FAT&amp;display_string=Audit&amp;VAR:KEY=DIFWLOFKHK&amp;VAR:QUERY=RkZfU0FMRVMoQ0FMLDM5NDQ3LCwsLFVTRCk=&amp;WINDOW=FIRST_POPUP&amp;HEIGHT=450&amp;WIDTH=450&amp;START_MA","XIMIZED=FALSE&amp;VAR:CALENDAR=US&amp;VAR:SYMBOL=MRK&amp;VAR:INDEX=0"}</definedName>
    <definedName name="_304__FDSAUDITLINK__" hidden="1">{"fdsup://directions/FAT%20Viewer?VAR:TM=NTMA&amp;VAR:PCT=0.038251&amp;VAR:Y0=2004&amp;VAR:Y1=2005&amp;VAR:V0=17.962141&amp;VAR:V1=16.185635&amp;VAR:V=16.247100&amp;VAR:AUDIT_ID=00000117&amp;VAR:DATE=20041217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Aggregates&amp;VAR:MEASURE=PE_MEAN&amp;VAR:CALC_MODE=PORTFOLIO&amp;VAR:CHGPERIOD=NA&amp;VAR:FQLFORMULA=FMA_PE&amp;VAR:CURRENCY=USD&amp;VAR:P=1","194.220000&amp;VAR:THRESH=||||||&amp;VAR:null=.html"}</definedName>
    <definedName name="_3040__FDSAUDITLINK__" hidden="1">{"fdsup://directions/FAT Viewer?action=UPDATE&amp;creator=factset&amp;DYN_ARGS=TRUE&amp;DOC_NAME=FAT:FQL_AUDITING_CLIENT_TEMPLATE.FAT&amp;display_string=Audit&amp;VAR:KEY=DGFOTSZMDS&amp;VAR:QUERY=RkZfU0FMRVMoQ0FMLDM5NDQ3LCwsLCk=&amp;WINDOW=FIRST_POPUP&amp;HEIGHT=450&amp;WIDTH=450&amp;START_MAXIMI","ZED=FALSE&amp;VAR:CALENDAR=US&amp;VAR:SYMBOL=SGP&amp;VAR:INDEX=0"}</definedName>
    <definedName name="_3041__FDSAUDITLINK__" hidden="1">{"fdsup://directions/FAT Viewer?action=UPDATE&amp;creator=factset&amp;DYN_ARGS=TRUE&amp;DOC_NAME=FAT:FQL_AUDITING_CLIENT_TEMPLATE.FAT&amp;display_string=Audit&amp;VAR:KEY=HEPGNYVUHS&amp;VAR:QUERY=RkZfU0FMRVMoQ0FMLDM5MDgyLCwsLFVTRCk=&amp;WINDOW=FIRST_POPUP&amp;HEIGHT=450&amp;WIDTH=450&amp;START_MA","XIMIZED=FALSE&amp;VAR:CALENDAR=US&amp;VAR:SYMBOL=MRK&amp;VAR:INDEX=0"}</definedName>
    <definedName name="_3042__FDSAUDITLINK__" hidden="1">{"fdsup://directions/FAT Viewer?action=UPDATE&amp;creator=factset&amp;DYN_ARGS=TRUE&amp;DOC_NAME=FAT:FQL_AUDITING_CLIENT_TEMPLATE.FAT&amp;display_string=Audit&amp;VAR:KEY=RMFKNYHWPS&amp;VAR:QUERY=RkZfU0FMRVMoQ0FMLDM5MDgyLCwsLCk=&amp;WINDOW=FIRST_POPUP&amp;HEIGHT=450&amp;WIDTH=450&amp;START_MAXIMI","ZED=FALSE&amp;VAR:CALENDAR=US&amp;VAR:SYMBOL=SGP&amp;VAR:INDEX=0"}</definedName>
    <definedName name="_3043__FDSAUDITLINK__" hidden="1">{"fdsup://directions/FAT Viewer?action=UPDATE&amp;creator=factset&amp;DYN_ARGS=TRUE&amp;DOC_NAME=FAT:FQL_AUDITING_CLIENT_TEMPLATE.FAT&amp;display_string=Audit&amp;VAR:KEY=LARWVSDIPK&amp;VAR:QUERY=RkZfU0FMRVMoQ0FMLDM4NzE3LCwsLFVTRCk=&amp;WINDOW=FIRST_POPUP&amp;HEIGHT=450&amp;WIDTH=450&amp;START_MA","XIMIZED=FALSE&amp;VAR:CALENDAR=US&amp;VAR:SYMBOL=MRK&amp;VAR:INDEX=0"}</definedName>
    <definedName name="_3044__FDSAUDITLINK__" hidden="1">{"fdsup://directions/FAT Viewer?action=UPDATE&amp;creator=factset&amp;DYN_ARGS=TRUE&amp;DOC_NAME=FAT:FQL_AUDITING_CLIENT_TEMPLATE.FAT&amp;display_string=Audit&amp;VAR:KEY=DKZQFGPGZY&amp;VAR:QUERY=RkZfU0FMRVMoQ0FMLDM4NzE3LCwsLCk=&amp;WINDOW=FIRST_POPUP&amp;HEIGHT=450&amp;WIDTH=450&amp;START_MAXIMI","ZED=FALSE&amp;VAR:CALENDAR=US&amp;VAR:SYMBOL=SGP&amp;VAR:INDEX=0"}</definedName>
    <definedName name="_3045__FDSAUDITLINK__" hidden="1">{"fdsup://directions/FAT Viewer?action=UPDATE&amp;creator=factset&amp;DYN_ARGS=TRUE&amp;DOC_NAME=FAT:FQL_AUDITING_CLIENT_TEMPLATE.FAT&amp;display_string=Audit&amp;VAR:KEY=XINIZQTOTW&amp;VAR:QUERY=RkZfU0FMRVMoQ0FMLDM4MzUyLCwsLFVTRCk=&amp;WINDOW=FIRST_POPUP&amp;HEIGHT=450&amp;WIDTH=450&amp;START_MA","XIMIZED=FALSE&amp;VAR:CALENDAR=US&amp;VAR:SYMBOL=MRK&amp;VAR:INDEX=0"}</definedName>
    <definedName name="_3046__FDSAUDITLINK__" hidden="1">{"fdsup://directions/FAT Viewer?action=UPDATE&amp;creator=factset&amp;DYN_ARGS=TRUE&amp;DOC_NAME=FAT:FQL_AUDITING_CLIENT_TEMPLATE.FAT&amp;display_string=Audit&amp;VAR:KEY=BSFAVMVYRK&amp;VAR:QUERY=RkZfU0FMRVMoQ0FMLDM4MzUyLCwsLCk=&amp;WINDOW=FIRST_POPUP&amp;HEIGHT=450&amp;WIDTH=450&amp;START_MAXIMI","ZED=FALSE&amp;VAR:CALENDAR=US&amp;VAR:SYMBOL=SGP&amp;VAR:INDEX=0"}</definedName>
    <definedName name="_3047__FDSAUDITLINK__" hidden="1">{"fdsup://directions/FAT Viewer?action=UPDATE&amp;creator=factset&amp;DYN_ARGS=TRUE&amp;DOC_NAME=FAT:FQL_AUDITING_CLIENT_TEMPLATE.FAT&amp;display_string=Audit&amp;VAR:KEY=LGHWFEBQFK&amp;VAR:QUERY=RkZfU0FMRVMoQ0FMLDQwNTQzLCwsLCk=&amp;WINDOW=FIRST_POPUP&amp;HEIGHT=450&amp;WIDTH=450&amp;START_MAXIMI","ZED=FALSE&amp;VAR:CALENDAR=US&amp;VAR:SYMBOL=PFE&amp;VAR:INDEX=0"}</definedName>
    <definedName name="_3048__FDSAUDITLINK__" hidden="1">{"fdsup://directions/FAT Viewer?action=UPDATE&amp;creator=factset&amp;DYN_ARGS=TRUE&amp;DOC_NAME=FAT:FQL_AUDITING_CLIENT_TEMPLATE.FAT&amp;display_string=Audit&amp;VAR:KEY=VUBGPEPQXE&amp;VAR:QUERY=RkZfU0FMRVMoQ0FMLDQwMTc4LCwsLFVTRCk=&amp;WINDOW=FIRST_POPUP&amp;HEIGHT=450&amp;WIDTH=450&amp;START_MA","XIMIZED=FALSE&amp;VAR:CALENDAR=US&amp;VAR:SYMBOL=PFE&amp;VAR:INDEX=0"}</definedName>
    <definedName name="_3049__FDSAUDITLINK__" hidden="1">{"fdsup://directions/FAT Viewer?action=UPDATE&amp;creator=factset&amp;DYN_ARGS=TRUE&amp;DOC_NAME=FAT:FQL_AUDITING_CLIENT_TEMPLATE.FAT&amp;display_string=Audit&amp;VAR:KEY=TALIFCXGLY&amp;VAR:QUERY=RkZfU0FMRVMoQ0FMLDM5ODEzLCwsLFVTRCk=&amp;WINDOW=FIRST_POPUP&amp;HEIGHT=450&amp;WIDTH=450&amp;START_MA","XIMIZED=FALSE&amp;VAR:CALENDAR=US&amp;VAR:SYMBOL=PFE&amp;VAR:INDEX=0"}</definedName>
    <definedName name="_305__FDSAUDITLINK__" hidden="1">{"fdsup://directions/FAT%20Viewer?VAR:TM=NTMA&amp;VAR:PCT=0.057377&amp;VAR:Y0=2004&amp;VAR:Y1=2005&amp;VAR:V0=17.876713&amp;VAR:V1=16.102962&amp;VAR:V=16.195161&amp;VAR:AUDIT_ID=00000117&amp;VAR:DATE=20041210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Aggregates&amp;VAR:MEASURE=PE_MEAN&amp;VAR:CALC_MODE=PORTFOLIO&amp;VAR:CHGPERIOD=NA&amp;VAR:FQLFORMULA=FMA_PE&amp;VAR:CURRENCY=USD&amp;VAR:P=1","188.000000&amp;VAR:THRESH=||||||&amp;VAR:null=.html"}</definedName>
    <definedName name="_3050__FDSAUDITLINK__" hidden="1">{"fdsup://directions/FAT Viewer?action=UPDATE&amp;creator=factset&amp;DYN_ARGS=TRUE&amp;DOC_NAME=FAT:FQL_AUDITING_CLIENT_TEMPLATE.FAT&amp;display_string=Audit&amp;VAR:KEY=VQLSXQNWTQ&amp;VAR:QUERY=RkZfU0FMRVMoQ0FMLDM5ODEzLCwsLCk=&amp;WINDOW=FIRST_POPUP&amp;HEIGHT=450&amp;WIDTH=450&amp;START_MAXIMI","ZED=FALSE&amp;VAR:CALENDAR=US&amp;VAR:SYMBOL=WYE&amp;VAR:INDEX=0"}</definedName>
    <definedName name="_3051__FDSAUDITLINK__" hidden="1">{"fdsup://directions/FAT Viewer?action=UPDATE&amp;creator=factset&amp;DYN_ARGS=TRUE&amp;DOC_NAME=FAT:FQL_AUDITING_CLIENT_TEMPLATE.FAT&amp;display_string=Audit&amp;VAR:KEY=XGZEZUPELA&amp;VAR:QUERY=RkZfU0FMRVMoQ0FMLDM5NDQ3LCwsLFVTRCk=&amp;WINDOW=FIRST_POPUP&amp;HEIGHT=450&amp;WIDTH=450&amp;START_MA","XIMIZED=FALSE&amp;VAR:CALENDAR=US&amp;VAR:SYMBOL=PFE&amp;VAR:INDEX=0"}</definedName>
    <definedName name="_3052__FDSAUDITLINK__" hidden="1">{"fdsup://directions/FAT Viewer?action=UPDATE&amp;creator=factset&amp;DYN_ARGS=TRUE&amp;DOC_NAME=FAT:FQL_AUDITING_CLIENT_TEMPLATE.FAT&amp;display_string=Audit&amp;VAR:KEY=LYBCHAXYFU&amp;VAR:QUERY=RkZfU0FMRVMoQ0FMLDM5NDQ3LCwsLCk=&amp;WINDOW=FIRST_POPUP&amp;HEIGHT=450&amp;WIDTH=450&amp;START_MAXIMI","ZED=FALSE&amp;VAR:CALENDAR=US&amp;VAR:SYMBOL=WYE&amp;VAR:INDEX=0"}</definedName>
    <definedName name="_3053__FDSAUDITLINK__" hidden="1">{"fdsup://directions/FAT Viewer?action=UPDATE&amp;creator=factset&amp;DYN_ARGS=TRUE&amp;DOC_NAME=FAT:FQL_AUDITING_CLIENT_TEMPLATE.FAT&amp;display_string=Audit&amp;VAR:KEY=VCRKNMRSXU&amp;VAR:QUERY=RkZfU0FMRVMoQ0FMLDM5MDgyLCwsLFVTRCk=&amp;WINDOW=FIRST_POPUP&amp;HEIGHT=450&amp;WIDTH=450&amp;START_MA","XIMIZED=FALSE&amp;VAR:CALENDAR=US&amp;VAR:SYMBOL=PFE&amp;VAR:INDEX=0"}</definedName>
    <definedName name="_3054__FDSAUDITLINK__" hidden="1">{"fdsup://directions/FAT Viewer?action=UPDATE&amp;creator=factset&amp;DYN_ARGS=TRUE&amp;DOC_NAME=FAT:FQL_AUDITING_CLIENT_TEMPLATE.FAT&amp;display_string=Audit&amp;VAR:KEY=VEPGFILCPM&amp;VAR:QUERY=RkZfU0FMRVMoQ0FMLDM5MDgyLCwsLCk=&amp;WINDOW=FIRST_POPUP&amp;HEIGHT=450&amp;WIDTH=450&amp;START_MAXIMI","ZED=FALSE&amp;VAR:CALENDAR=US&amp;VAR:SYMBOL=WYE&amp;VAR:INDEX=0"}</definedName>
    <definedName name="_3055__FDSAUDITLINK__" hidden="1">{"fdsup://directions/FAT Viewer?action=UPDATE&amp;creator=factset&amp;DYN_ARGS=TRUE&amp;DOC_NAME=FAT:FQL_AUDITING_CLIENT_TEMPLATE.FAT&amp;display_string=Audit&amp;VAR:KEY=XSFMPONEVU&amp;VAR:QUERY=RkZfU0FMRVMoQ0FMLDM4NzE3LCwsLFVTRCk=&amp;WINDOW=FIRST_POPUP&amp;HEIGHT=450&amp;WIDTH=450&amp;START_MA","XIMIZED=FALSE&amp;VAR:CALENDAR=US&amp;VAR:SYMBOL=PFE&amp;VAR:INDEX=0"}</definedName>
    <definedName name="_3056__FDSAUDITLINK__" hidden="1">{"fdsup://directions/FAT Viewer?action=UPDATE&amp;creator=factset&amp;DYN_ARGS=TRUE&amp;DOC_NAME=FAT:FQL_AUDITING_CLIENT_TEMPLATE.FAT&amp;display_string=Audit&amp;VAR:KEY=LIHSTKLYLI&amp;VAR:QUERY=RkZfU0FMRVMoQ0FMLDM4NzE3LCwsLCk=&amp;WINDOW=FIRST_POPUP&amp;HEIGHT=450&amp;WIDTH=450&amp;START_MAXIMI","ZED=FALSE&amp;VAR:CALENDAR=US&amp;VAR:SYMBOL=WYE&amp;VAR:INDEX=0"}</definedName>
    <definedName name="_3057__FDSAUDITLINK__" hidden="1">{"fdsup://directions/FAT Viewer?action=UPDATE&amp;creator=factset&amp;DYN_ARGS=TRUE&amp;DOC_NAME=FAT:FQL_AUDITING_CLIENT_TEMPLATE.FAT&amp;display_string=Audit&amp;VAR:KEY=ZQNSHKVOTE&amp;VAR:QUERY=RkZfU0FMRVMoQ0FMLDM4MzUyLCwsLFVTRCk=&amp;WINDOW=FIRST_POPUP&amp;HEIGHT=450&amp;WIDTH=450&amp;START_MA","XIMIZED=FALSE&amp;VAR:CALENDAR=US&amp;VAR:SYMBOL=PFE&amp;VAR:INDEX=0"}</definedName>
    <definedName name="_3058__FDSAUDITLINK__" hidden="1">{"fdsup://directions/FAT Viewer?action=UPDATE&amp;creator=factset&amp;DYN_ARGS=TRUE&amp;DOC_NAME=FAT:FQL_AUDITING_CLIENT_TEMPLATE.FAT&amp;display_string=Audit&amp;VAR:KEY=ZIFWJMBGTI&amp;VAR:QUERY=RkZfU0FMRVMoQ0FMLDM4MzUyLCwsLCk=&amp;WINDOW=FIRST_POPUP&amp;HEIGHT=450&amp;WIDTH=450&amp;START_MAXIMI","ZED=FALSE&amp;VAR:CALENDAR=US&amp;VAR:SYMBOL=WYE&amp;VAR:INDEX=0"}</definedName>
    <definedName name="_3059__FDSAUDITLINK__" hidden="1">{"fdsup://directions/FAT Viewer?action=UPDATE&amp;creator=factset&amp;DYN_ARGS=TRUE&amp;DOC_NAME=FAT:FQL_AUDITING_CLIENT_TEMPLATE.FAT&amp;display_string=Audit&amp;VAR:KEY=DIVKNITAZM&amp;VAR:QUERY=RkZfUkRfRVhQKENBTCwyMDA4LCwsLFVTRCk=&amp;WINDOW=FIRST_POPUP&amp;HEIGHT=450&amp;WIDTH=450&amp;START_MA","XIMIZED=FALSE&amp;VAR:CALENDAR=US&amp;VAR:SYMBOL=WYE&amp;VAR:INDEX=0"}</definedName>
    <definedName name="_306__FDSAUDITLINK__" hidden="1">{"fdsup://directions/FAT%20Viewer?VAR:TM=NTMA&amp;VAR:PCT=0.076503&amp;VAR:Y0=2004&amp;VAR:Y1=2005&amp;VAR:V0=17.919119&amp;VAR:V1=16.148615&amp;VAR:V=16.271610&amp;VAR:AUDIT_ID=00000117&amp;VAR:DATE=20041203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Aggregates&amp;VAR:MEASURE=PE_MEAN&amp;VAR:CALC_MODE=PORTFOLIO&amp;VAR:CHGPERIOD=NA&amp;VAR:FQLFORMULA=FMA_PE&amp;VAR:CURRENCY=USD&amp;VAR:P=1","191.167100&amp;VAR:THRESH=||||||&amp;VAR:null=.html"}</definedName>
    <definedName name="_3060__FDSAUDITLINK__" hidden="1">{"fdsup://directions/FAT Viewer?action=UPDATE&amp;creator=factset&amp;DYN_ARGS=TRUE&amp;DOC_NAME=FAT:FQL_AUDITING_CLIENT_TEMPLATE.FAT&amp;display_string=Audit&amp;VAR:KEY=HCLYRIPKVQ&amp;VAR:QUERY=RkZfUkRfRVhQKENBTCwyMDA3LCwsLFVTRCk=&amp;WINDOW=FIRST_POPUP&amp;HEIGHT=450&amp;WIDTH=450&amp;START_MA","XIMIZED=FALSE&amp;VAR:CALENDAR=US&amp;VAR:SYMBOL=WYE&amp;VAR:INDEX=0"}</definedName>
    <definedName name="_3061__FDSAUDITLINK__" hidden="1">{"fdsup://directions/FAT Viewer?action=UPDATE&amp;creator=factset&amp;DYN_ARGS=TRUE&amp;DOC_NAME=FAT:FQL_AUDITING_CLIENT_TEMPLATE.FAT&amp;display_string=Audit&amp;VAR:KEY=XKJURUPUXI&amp;VAR:QUERY=RkZfUkRfRVhQKENBTCwyMDA4LCwsLFVTRCk=&amp;WINDOW=FIRST_POPUP&amp;HEIGHT=450&amp;WIDTH=450&amp;START_MA","XIMIZED=FALSE&amp;VAR:CALENDAR=US&amp;VAR:SYMBOL=BIIB&amp;VAR:INDEX=0"}</definedName>
    <definedName name="_3062__FDSAUDITLINK__" hidden="1">{"fdsup://directions/FAT Viewer?action=UPDATE&amp;creator=factset&amp;DYN_ARGS=TRUE&amp;DOC_NAME=FAT:FQL_AUDITING_CLIENT_TEMPLATE.FAT&amp;display_string=Audit&amp;VAR:KEY=DWTCTGDURW&amp;VAR:QUERY=RkZfUkRfRVhQKENBTCwyMDA3LCwsLFVTRCk=&amp;WINDOW=FIRST_POPUP&amp;HEIGHT=450&amp;WIDTH=450&amp;START_MA","XIMIZED=FALSE&amp;VAR:CALENDAR=US&amp;VAR:SYMBOL=BIIB&amp;VAR:INDEX=0"}</definedName>
    <definedName name="_3063__FDSAUDITLINK__" hidden="1">{"fdsup://directions/FAT Viewer?action=UPDATE&amp;creator=factset&amp;DYN_ARGS=TRUE&amp;DOC_NAME=FAT:FQL_AUDITING_CLIENT_TEMPLATE.FAT&amp;display_string=Audit&amp;VAR:KEY=ZKDQPGHSNO&amp;VAR:QUERY=RkZfUkRfRVhQKENBTCwyMDA4LCwsLFVTRCk=&amp;WINDOW=FIRST_POPUP&amp;HEIGHT=450&amp;WIDTH=450&amp;START_MA","XIMIZED=FALSE&amp;VAR:CALENDAR=US&amp;VAR:SYMBOL=707752&amp;VAR:INDEX=0"}</definedName>
    <definedName name="_3064__FDSAUDITLINK__" hidden="1">{"fdsup://directions/FAT Viewer?action=UPDATE&amp;creator=factset&amp;DYN_ARGS=TRUE&amp;DOC_NAME=FAT:FQL_AUDITING_CLIENT_TEMPLATE.FAT&amp;display_string=Audit&amp;VAR:KEY=HKJQHCVUFC&amp;VAR:QUERY=RkZfUkRfRVhQKENBTCwyMDA3LCwsLFVTRCk=&amp;WINDOW=FIRST_POPUP&amp;HEIGHT=450&amp;WIDTH=450&amp;START_MA","XIMIZED=FALSE&amp;VAR:CALENDAR=US&amp;VAR:SYMBOL=707752&amp;VAR:INDEX=0"}</definedName>
    <definedName name="_3065__FDSAUDITLINK__" hidden="1">{"fdsup://directions/FAT Viewer?action=UPDATE&amp;creator=factset&amp;DYN_ARGS=TRUE&amp;DOC_NAME=FAT:FQL_AUDITING_CLIENT_TEMPLATE.FAT&amp;display_string=Audit&amp;VAR:KEY=XSPCXOXWFG&amp;VAR:QUERY=RkZfUkRfRVhQKENBTCwyMDA4LCwsLFVTRCk=&amp;WINDOW=FIRST_POPUP&amp;HEIGHT=450&amp;WIDTH=450&amp;START_MA","XIMIZED=FALSE&amp;VAR:CALENDAR=US&amp;VAR:SYMBOL=630720&amp;VAR:INDEX=0"}</definedName>
    <definedName name="_3066__FDSAUDITLINK__" hidden="1">{"fdsup://directions/FAT Viewer?action=UPDATE&amp;creator=factset&amp;DYN_ARGS=TRUE&amp;DOC_NAME=FAT:FQL_AUDITING_CLIENT_TEMPLATE.FAT&amp;display_string=Audit&amp;VAR:KEY=BEDORSJANQ&amp;VAR:QUERY=RkZfUkRfRVhQKENBTCwyMDA3LCwsLFVTRCk=&amp;WINDOW=FIRST_POPUP&amp;HEIGHT=450&amp;WIDTH=450&amp;START_MA","XIMIZED=FALSE&amp;VAR:CALENDAR=US&amp;VAR:SYMBOL=630720&amp;VAR:INDEX=0"}</definedName>
    <definedName name="_3067__FDSAUDITLINK__" hidden="1">{"fdsup://directions/FAT Viewer?action=UPDATE&amp;creator=factset&amp;DYN_ARGS=TRUE&amp;DOC_NAME=FAT:FQL_AUDITING_CLIENT_TEMPLATE.FAT&amp;display_string=Audit&amp;VAR:KEY=ZEPGFQJADE&amp;VAR:QUERY=RkZfUkRfRVhQKENBTCwyMDA4LCwsLFVTRCk=&amp;WINDOW=FIRST_POPUP&amp;HEIGHT=450&amp;WIDTH=450&amp;START_MA","XIMIZED=FALSE&amp;VAR:CALENDAR=US&amp;VAR:SYMBOL=698538&amp;VAR:INDEX=0"}</definedName>
    <definedName name="_3068__FDSAUDITLINK__" hidden="1">{"fdsup://directions/FAT Viewer?action=UPDATE&amp;creator=factset&amp;DYN_ARGS=TRUE&amp;DOC_NAME=FAT:FQL_AUDITING_CLIENT_TEMPLATE.FAT&amp;display_string=Audit&amp;VAR:KEY=HALOFQXSVO&amp;VAR:QUERY=RkZfUkRfRVhQKENBTCwyMDA3LCwsLFVTRCk=&amp;WINDOW=FIRST_POPUP&amp;HEIGHT=450&amp;WIDTH=450&amp;START_MA","XIMIZED=FALSE&amp;VAR:CALENDAR=US&amp;VAR:SYMBOL=698538&amp;VAR:INDEX=0"}</definedName>
    <definedName name="_3069__FDSAUDITLINK__" hidden="1">{"fdsup://directions/FAT Viewer?action=UPDATE&amp;creator=factset&amp;DYN_ARGS=TRUE&amp;DOC_NAME=FAT:FQL_AUDITING_CLIENT_TEMPLATE.FAT&amp;display_string=Audit&amp;VAR:KEY=BURSXUHEJK&amp;VAR:QUERY=RkZfUkRfRVhQKENBTCwyMDA4LCwsLFVTRCk=&amp;WINDOW=FIRST_POPUP&amp;HEIGHT=450&amp;WIDTH=450&amp;START_MA","XIMIZED=FALSE&amp;VAR:CALENDAR=US&amp;VAR:SYMBOL=B0J7D9&amp;VAR:INDEX=0"}</definedName>
    <definedName name="_307__FDSAUDITLINK__" hidden="1">{"fdsup://directions/FAT%20Viewer?VAR:TM=NTMA&amp;VAR:PCT=0.095628&amp;VAR:Y0=2004&amp;VAR:Y1=2005&amp;VAR:V0=17.797620&amp;VAR:V1=16.134272&amp;VAR:V=16.279770&amp;VAR:AUDIT_ID=00000117&amp;VAR:DATE=20041126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Aggregates&amp;VAR:MEASURE=PE_MEAN&amp;VAR:CALC_MODE=PORTFOLIO&amp;VAR:CHGPERIOD=NA&amp;VAR:FQLFORMULA=FMA_PE&amp;VAR:CURRENCY=USD&amp;VAR:P=1","182.648800&amp;VAR:THRESH=||||||&amp;VAR:null=.html"}</definedName>
    <definedName name="_3070__FDSAUDITLINK__" hidden="1">{"fdsup://directions/FAT Viewer?action=UPDATE&amp;creator=factset&amp;DYN_ARGS=TRUE&amp;DOC_NAME=FAT:FQL_AUDITING_CLIENT_TEMPLATE.FAT&amp;display_string=Audit&amp;VAR:KEY=LABKHYRYVS&amp;VAR:QUERY=RkZfUkRfRVhQKENBTCwyMDA3LCwsLFVTRCk=&amp;WINDOW=FIRST_POPUP&amp;HEIGHT=450&amp;WIDTH=450&amp;START_MA","XIMIZED=FALSE&amp;VAR:CALENDAR=US&amp;VAR:SYMBOL=B0J7D9&amp;VAR:INDEX=0"}</definedName>
    <definedName name="_3071__FDSAUDITLINK__" hidden="1">{"fdsup://directions/FAT Viewer?action=UPDATE&amp;creator=factset&amp;DYN_ARGS=TRUE&amp;DOC_NAME=FAT:FQL_AUDITING_CLIENT_TEMPLATE.FAT&amp;display_string=Audit&amp;VAR:KEY=XQBYHAHMJE&amp;VAR:QUERY=RkZfUkRfRVhQKENBTCwyMDA4LCwsLFVTRCk=&amp;WINDOW=FIRST_POPUP&amp;HEIGHT=450&amp;WIDTH=450&amp;START_MA","XIMIZED=FALSE&amp;VAR:CALENDAR=US&amp;VAR:SYMBOL=AMGN&amp;VAR:INDEX=0"}</definedName>
    <definedName name="_3072__FDSAUDITLINK__" hidden="1">{"fdsup://directions/FAT Viewer?action=UPDATE&amp;creator=factset&amp;DYN_ARGS=TRUE&amp;DOC_NAME=FAT:FQL_AUDITING_CLIENT_TEMPLATE.FAT&amp;display_string=Audit&amp;VAR:KEY=RWVUPEFUXW&amp;VAR:QUERY=RkZfUkRfRVhQKENBTCwyMDA3LCwsLFVTRCk=&amp;WINDOW=FIRST_POPUP&amp;HEIGHT=450&amp;WIDTH=450&amp;START_MA","XIMIZED=FALSE&amp;VAR:CALENDAR=US&amp;VAR:SYMBOL=AMGN&amp;VAR:INDEX=0"}</definedName>
    <definedName name="_3073__FDSAUDITLINK__" hidden="1">{"fdsup://directions/FAT Viewer?action=UPDATE&amp;creator=factset&amp;DYN_ARGS=TRUE&amp;DOC_NAME=FAT:FQL_AUDITING_CLIENT_TEMPLATE.FAT&amp;display_string=Audit&amp;VAR:KEY=HUJQRCJEBE&amp;VAR:QUERY=RkZfUkRfRVhQKENBTCwyMDA4LCwsLFVTRCk=&amp;WINDOW=FIRST_POPUP&amp;HEIGHT=450&amp;WIDTH=450&amp;START_MA","XIMIZED=FALSE&amp;VAR:CALENDAR=US&amp;VAR:SYMBOL=ABT&amp;VAR:INDEX=0"}</definedName>
    <definedName name="_3074__FDSAUDITLINK__" hidden="1">{"fdsup://directions/FAT Viewer?action=UPDATE&amp;creator=factset&amp;DYN_ARGS=TRUE&amp;DOC_NAME=FAT:FQL_AUDITING_CLIENT_TEMPLATE.FAT&amp;display_string=Audit&amp;VAR:KEY=BYVWXYRQNK&amp;VAR:QUERY=RkZfUkRfRVhQKENBTCwyMDA3LCwsLFVTRCk=&amp;WINDOW=FIRST_POPUP&amp;HEIGHT=450&amp;WIDTH=450&amp;START_MA","XIMIZED=FALSE&amp;VAR:CALENDAR=US&amp;VAR:SYMBOL=ABT&amp;VAR:INDEX=0"}</definedName>
    <definedName name="_3075__FDSAUDITLINK__" hidden="1">{"fdsup://directions/FAT Viewer?action=UPDATE&amp;creator=factset&amp;DYN_ARGS=TRUE&amp;DOC_NAME=FAT:FQL_AUDITING_CLIENT_TEMPLATE.FAT&amp;display_string=Audit&amp;VAR:KEY=ZUPYRQFSRU&amp;VAR:QUERY=RkZfUkRfRVhQKENBTCwyMDA4LCwsLFVTRCk=&amp;WINDOW=FIRST_POPUP&amp;HEIGHT=450&amp;WIDTH=450&amp;START_MA","XIMIZED=FALSE&amp;VAR:CALENDAR=US&amp;VAR:SYMBOL=687044&amp;VAR:INDEX=0"}</definedName>
    <definedName name="_3076__FDSAUDITLINK__" hidden="1">{"fdsup://directions/FAT Viewer?action=UPDATE&amp;creator=factset&amp;DYN_ARGS=TRUE&amp;DOC_NAME=FAT:FQL_AUDITING_CLIENT_TEMPLATE.FAT&amp;display_string=Audit&amp;VAR:KEY=ZMRALSXARE&amp;VAR:QUERY=RkZfUkRfRVhQKENBTCwyMDA3LCwsLFVTRCk=&amp;WINDOW=FIRST_POPUP&amp;HEIGHT=450&amp;WIDTH=450&amp;START_MA","XIMIZED=FALSE&amp;VAR:CALENDAR=US&amp;VAR:SYMBOL=687044&amp;VAR:INDEX=0"}</definedName>
    <definedName name="_3077__FDSAUDITLINK__" hidden="1">{"fdsup://directions/FAT Viewer?action=UPDATE&amp;creator=factset&amp;DYN_ARGS=TRUE&amp;DOC_NAME=FAT:FQL_AUDITING_CLIENT_TEMPLATE.FAT&amp;display_string=Audit&amp;VAR:KEY=ZMZYLSXEVK&amp;VAR:QUERY=RkZfUkRfRVhQKENBTCwyMDA4LCwsLFVTRCk=&amp;WINDOW=FIRST_POPUP&amp;HEIGHT=450&amp;WIDTH=450&amp;START_MA","XIMIZED=FALSE&amp;VAR:CALENDAR=US&amp;VAR:SYMBOL=BMY&amp;VAR:INDEX=0"}</definedName>
    <definedName name="_3078__FDSAUDITLINK__" hidden="1">{"fdsup://directions/FAT Viewer?action=UPDATE&amp;creator=factset&amp;DYN_ARGS=TRUE&amp;DOC_NAME=FAT:FQL_AUDITING_CLIENT_TEMPLATE.FAT&amp;display_string=Audit&amp;VAR:KEY=RENSXGJCBC&amp;VAR:QUERY=RkZfUkRfRVhQKENBTCwyMDA3LCwsLFVTRCk=&amp;WINDOW=FIRST_POPUP&amp;HEIGHT=450&amp;WIDTH=450&amp;START_MA","XIMIZED=FALSE&amp;VAR:CALENDAR=US&amp;VAR:SYMBOL=BMY&amp;VAR:INDEX=0"}</definedName>
    <definedName name="_3079__FDSAUDITLINK__" hidden="1">{"fdsup://directions/FAT Viewer?action=UPDATE&amp;creator=factset&amp;DYN_ARGS=TRUE&amp;DOC_NAME=FAT:FQL_AUDITING_CLIENT_TEMPLATE.FAT&amp;display_string=Audit&amp;VAR:KEY=BSNATUHMFQ&amp;VAR:QUERY=RkZfUkRfRVhQKENBTCwyMDA4LCwsLFVTRCk=&amp;WINDOW=FIRST_POPUP&amp;HEIGHT=450&amp;WIDTH=450&amp;START_MA","XIMIZED=FALSE&amp;VAR:CALENDAR=US&amp;VAR:SYMBOL=LLY&amp;VAR:INDEX=0"}</definedName>
    <definedName name="_308__FDSAUDITLINK__" hidden="1">{"fdsup://directions/FAT%20Viewer?VAR:TM=NTMA&amp;VAR:PCT=0.114754&amp;VAR:Y0=2004&amp;VAR:Y1=2005&amp;VAR:V0=17.615038&amp;VAR:V1=15.983636&amp;VAR:V=16.155333&amp;VAR:AUDIT_ID=00000117&amp;VAR:DATE=20041119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Aggregates&amp;VAR:MEASURE=PE_MEAN&amp;VAR:CALC_MODE=PORTFOLIO&amp;VAR:CHGPERIOD=NA&amp;VAR:FQLFORMULA=FMA_PE&amp;VAR:CURRENCY=USD&amp;VAR:P=1","170.339000&amp;VAR:THRESH=||||||&amp;VAR:null=.html"}</definedName>
    <definedName name="_3080__FDSAUDITLINK__" hidden="1">{"fdsup://directions/FAT Viewer?action=UPDATE&amp;creator=factset&amp;DYN_ARGS=TRUE&amp;DOC_NAME=FAT:FQL_AUDITING_CLIENT_TEMPLATE.FAT&amp;display_string=Audit&amp;VAR:KEY=DOHSHEVKPM&amp;VAR:QUERY=RkZfUkRfRVhQKENBTCwyMDA3LCwsLFVTRCk=&amp;WINDOW=FIRST_POPUP&amp;HEIGHT=450&amp;WIDTH=450&amp;START_MA","XIMIZED=FALSE&amp;VAR:CALENDAR=US&amp;VAR:SYMBOL=LLY&amp;VAR:INDEX=0"}</definedName>
    <definedName name="_3081__FDSAUDITLINK__" hidden="1">{"fdsup://directions/FAT Viewer?action=UPDATE&amp;creator=factset&amp;DYN_ARGS=TRUE&amp;DOC_NAME=FAT:FQL_AUDITING_CLIENT_TEMPLATE.FAT&amp;display_string=Audit&amp;VAR:KEY=JKHWTOZSRO&amp;VAR:QUERY=RkZfUkRfRVhQKENBTCwyMDA4LCwsLFVTRCk=&amp;WINDOW=FIRST_POPUP&amp;HEIGHT=450&amp;WIDTH=450&amp;START_MA","XIMIZED=FALSE&amp;VAR:CALENDAR=US&amp;VAR:SYMBOL=506921&amp;VAR:INDEX=0"}</definedName>
    <definedName name="_3082__FDSAUDITLINK__" hidden="1">{"fdsup://directions/FAT Viewer?action=UPDATE&amp;creator=factset&amp;DYN_ARGS=TRUE&amp;DOC_NAME=FAT:FQL_AUDITING_CLIENT_TEMPLATE.FAT&amp;display_string=Audit&amp;VAR:KEY=RCZEJWXODC&amp;VAR:QUERY=RkZfUkRfRVhQKENBTCwyMDA3LCwsLFVTRCk=&amp;WINDOW=FIRST_POPUP&amp;HEIGHT=450&amp;WIDTH=450&amp;START_MA","XIMIZED=FALSE&amp;VAR:CALENDAR=US&amp;VAR:SYMBOL=506921&amp;VAR:INDEX=0"}</definedName>
    <definedName name="_3083__FDSAUDITLINK__" hidden="1">{"fdsup://directions/FAT Viewer?action=UPDATE&amp;creator=factset&amp;DYN_ARGS=TRUE&amp;DOC_NAME=FAT:FQL_AUDITING_CLIENT_TEMPLATE.FAT&amp;display_string=Audit&amp;VAR:KEY=NGTOJGBUXY&amp;VAR:QUERY=RkZfUkRfRVhQKENBTCwyMDA4LCwsLFVTRCk=&amp;WINDOW=FIRST_POPUP&amp;HEIGHT=450&amp;WIDTH=450&amp;START_MA","XIMIZED=FALSE&amp;VAR:CALENDAR=US&amp;VAR:SYMBOL=567173&amp;VAR:INDEX=0"}</definedName>
    <definedName name="_3084__FDSAUDITLINK__" hidden="1">{"fdsup://directions/FAT Viewer?action=UPDATE&amp;creator=factset&amp;DYN_ARGS=TRUE&amp;DOC_NAME=FAT:FQL_AUDITING_CLIENT_TEMPLATE.FAT&amp;display_string=Audit&amp;VAR:KEY=RAZEFOLQPC&amp;VAR:QUERY=RkZfUkRfRVhQKENBTCwyMDA3LCwsLFVTRCk=&amp;WINDOW=FIRST_POPUP&amp;HEIGHT=450&amp;WIDTH=450&amp;START_MA","XIMIZED=FALSE&amp;VAR:CALENDAR=US&amp;VAR:SYMBOL=567173&amp;VAR:INDEX=0"}</definedName>
    <definedName name="_3085__FDSAUDITLINK__" hidden="1">{"fdsup://directions/FAT Viewer?action=UPDATE&amp;creator=factset&amp;DYN_ARGS=TRUE&amp;DOC_NAME=FAT:FQL_AUDITING_CLIENT_TEMPLATE.FAT&amp;display_string=Audit&amp;VAR:KEY=XKRABGFMPG&amp;VAR:QUERY=RkZfUkRfRVhQKENBTCwyMDA4LCwsLFVTRCk=&amp;WINDOW=FIRST_POPUP&amp;HEIGHT=450&amp;WIDTH=450&amp;START_MA","XIMIZED=FALSE&amp;VAR:CALENDAR=US&amp;VAR:SYMBOL=JNJ&amp;VAR:INDEX=0"}</definedName>
    <definedName name="_3086__FDSAUDITLINK__" hidden="1">{"fdsup://directions/FAT Viewer?action=UPDATE&amp;creator=factset&amp;DYN_ARGS=TRUE&amp;DOC_NAME=FAT:FQL_AUDITING_CLIENT_TEMPLATE.FAT&amp;display_string=Audit&amp;VAR:KEY=LCJKLSDCRQ&amp;VAR:QUERY=RkZfUkRfRVhQKENBTCwyMDA3LCwsLFVTRCk=&amp;WINDOW=FIRST_POPUP&amp;HEIGHT=450&amp;WIDTH=450&amp;START_MA","XIMIZED=FALSE&amp;VAR:CALENDAR=US&amp;VAR:SYMBOL=JNJ&amp;VAR:INDEX=0"}</definedName>
    <definedName name="_3087__FDSAUDITLINK__" hidden="1">{"fdsup://directions/FAT Viewer?action=UPDATE&amp;creator=factset&amp;DYN_ARGS=TRUE&amp;DOC_NAME=FAT:FQL_AUDITING_CLIENT_TEMPLATE.FAT&amp;display_string=Audit&amp;VAR:KEY=LMTQHUVWVA&amp;VAR:QUERY=RkZfUkRfRVhQKENBTCwyMDA4LCwsLFVTRCk=&amp;WINDOW=FIRST_POPUP&amp;HEIGHT=450&amp;WIDTH=450&amp;START_MA","XIMIZED=FALSE&amp;VAR:CALENDAR=US&amp;VAR:SYMBOL=710306&amp;VAR:INDEX=0"}</definedName>
    <definedName name="_3088__FDSAUDITLINK__" hidden="1">{"fdsup://directions/FAT Viewer?action=UPDATE&amp;creator=factset&amp;DYN_ARGS=TRUE&amp;DOC_NAME=FAT:FQL_AUDITING_CLIENT_TEMPLATE.FAT&amp;display_string=Audit&amp;VAR:KEY=VYTORQNKTW&amp;VAR:QUERY=RkZfUkRfRVhQKENBTCwyMDA3LCwsLFVTRCk=&amp;WINDOW=FIRST_POPUP&amp;HEIGHT=450&amp;WIDTH=450&amp;START_MA","XIMIZED=FALSE&amp;VAR:CALENDAR=US&amp;VAR:SYMBOL=710306&amp;VAR:INDEX=0"}</definedName>
    <definedName name="_3089__FDSAUDITLINK__" hidden="1">{"fdsup://directions/FAT Viewer?action=UPDATE&amp;creator=factset&amp;DYN_ARGS=TRUE&amp;DOC_NAME=FAT:FQL_AUDITING_CLIENT_TEMPLATE.FAT&amp;display_string=Audit&amp;VAR:KEY=RAFAPGJURW&amp;VAR:QUERY=RkZfUkRfRVhQKENBTCwyMDA4LCwsLFVTRCk=&amp;WINDOW=FIRST_POPUP&amp;HEIGHT=450&amp;WIDTH=450&amp;START_MA","XIMIZED=FALSE&amp;VAR:CALENDAR=US&amp;VAR:SYMBOL=711038&amp;VAR:INDEX=0"}</definedName>
    <definedName name="_309__FDSAUDITLINK__" hidden="1">{"fdsup://directions/FAT%20Viewer?VAR:TM=NTMA&amp;VAR:PCT=0.133880&amp;VAR:Y0=2004&amp;VAR:Y1=2005&amp;VAR:V0=17.888233&amp;VAR:V1=16.223710&amp;VAR:V=16.428369&amp;VAR:AUDIT_ID=00000117&amp;VAR:DATE=20041112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Aggregates&amp;VAR:MEASURE=PE_MEAN&amp;VAR:CALC_MODE=PORTFOLIO&amp;VAR:CHGPERIOD=NA&amp;VAR:FQLFORMULA=FMA_PE&amp;VAR:CURRENCY=USD&amp;VAR:P=1","184.173700&amp;VAR:THRESH=||||||&amp;VAR:null=.html"}</definedName>
    <definedName name="_3090__FDSAUDITLINK__" hidden="1">{"fdsup://directions/FAT Viewer?action=UPDATE&amp;creator=factset&amp;DYN_ARGS=TRUE&amp;DOC_NAME=FAT:FQL_AUDITING_CLIENT_TEMPLATE.FAT&amp;display_string=Audit&amp;VAR:KEY=LKDSHOXEJE&amp;VAR:QUERY=RkZfUkRfRVhQKENBTCwyMDA4LCwsLFVTRCk=&amp;WINDOW=FIRST_POPUP&amp;HEIGHT=450&amp;WIDTH=450&amp;START_MA","XIMIZED=FALSE&amp;VAR:CALENDAR=US&amp;VAR:SYMBOL=MRK&amp;VAR:INDEX=0"}</definedName>
    <definedName name="_3091__FDSAUDITLINK__" hidden="1">{"fdsup://directions/FAT Viewer?action=UPDATE&amp;creator=factset&amp;DYN_ARGS=TRUE&amp;DOC_NAME=FAT:FQL_AUDITING_CLIENT_TEMPLATE.FAT&amp;display_string=Audit&amp;VAR:KEY=TILQDMTSFA&amp;VAR:QUERY=RkZfUkRfRVhQKENBTCwyMDA3LCwsLFVTRCk=&amp;WINDOW=FIRST_POPUP&amp;HEIGHT=450&amp;WIDTH=450&amp;START_MA","XIMIZED=FALSE&amp;VAR:CALENDAR=US&amp;VAR:SYMBOL=MRK&amp;VAR:INDEX=0"}</definedName>
    <definedName name="_3092__FDSAUDITLINK__" hidden="1">{"fdsup://directions/FAT Viewer?action=UPDATE&amp;creator=factset&amp;DYN_ARGS=TRUE&amp;DOC_NAME=FAT:FQL_AUDITING_CLIENT_TEMPLATE.FAT&amp;display_string=Audit&amp;VAR:KEY=JCJYXWPCFK&amp;VAR:QUERY=RkZfUkRfRVhQKENBTCwyMDA4LCwsLFVTRCk=&amp;WINDOW=FIRST_POPUP&amp;HEIGHT=450&amp;WIDTH=450&amp;START_MA","XIMIZED=FALSE&amp;VAR:CALENDAR=US&amp;VAR:SYMBOL=PFE&amp;VAR:INDEX=0"}</definedName>
    <definedName name="_3093__FDSAUDITLINK__" hidden="1">{"fdsup://directions/FAT Viewer?action=UPDATE&amp;creator=factset&amp;DYN_ARGS=TRUE&amp;DOC_NAME=FAT:FQL_AUDITING_CLIENT_TEMPLATE.FAT&amp;display_string=Audit&amp;VAR:KEY=VABOBMLSTS&amp;VAR:QUERY=RkZfUkRfRVhQKENBTCwyMDA3LCwsLFVTRCk=&amp;WINDOW=FIRST_POPUP&amp;HEIGHT=450&amp;WIDTH=450&amp;START_MA","XIMIZED=FALSE&amp;VAR:CALENDAR=US&amp;VAR:SYMBOL=PFE&amp;VAR:INDEX=0"}</definedName>
    <definedName name="_3094__FDSAUDITLINK__" hidden="1">{"fdsup://directions/FAT Viewer?action=UPDATE&amp;creator=factset&amp;DYN_ARGS=TRUE&amp;DOC_NAME=FAT:FQL_AUDITING_CLIENT_TEMPLATE.FAT&amp;display_string=Audit&amp;VAR:KEY=DIVKNITAZM&amp;VAR:QUERY=RkZfUkRfRVhQKENBTCwyMDA4LCwsLFVTRCk=&amp;WINDOW=FIRST_POPUP&amp;HEIGHT=450&amp;WIDTH=450&amp;START_MA","XIMIZED=FALSE&amp;VAR:CALENDAR=US&amp;VAR:SYMBOL=WYE&amp;VAR:INDEX=0"}</definedName>
    <definedName name="_3095__FDSAUDITLINK__" hidden="1">{"fdsup://directions/FAT Viewer?action=UPDATE&amp;creator=factset&amp;DYN_ARGS=TRUE&amp;DOC_NAME=FAT:FQL_AUDITING_CLIENT_TEMPLATE.FAT&amp;display_string=Audit&amp;VAR:KEY=HCLYRIPKVQ&amp;VAR:QUERY=RkZfUkRfRVhQKENBTCwyMDA3LCwsLFVTRCk=&amp;WINDOW=FIRST_POPUP&amp;HEIGHT=450&amp;WIDTH=450&amp;START_MA","XIMIZED=FALSE&amp;VAR:CALENDAR=US&amp;VAR:SYMBOL=WYE&amp;VAR:INDEX=0"}</definedName>
    <definedName name="_3096__FDSAUDITLINK__" hidden="1">{"fdsup://directions/FAT Viewer?action=UPDATE&amp;creator=factset&amp;DYN_ARGS=TRUE&amp;DOC_NAME=FAT:FQL_AUDITING_CLIENT_TEMPLATE.FAT&amp;display_string=Audit&amp;VAR:KEY=XKJURUPUXI&amp;VAR:QUERY=RkZfUkRfRVhQKENBTCwyMDA4LCwsLFVTRCk=&amp;WINDOW=FIRST_POPUP&amp;HEIGHT=450&amp;WIDTH=450&amp;START_MA","XIMIZED=FALSE&amp;VAR:CALENDAR=US&amp;VAR:SYMBOL=BIIB&amp;VAR:INDEX=0"}</definedName>
    <definedName name="_3097__FDSAUDITLINK__" hidden="1">{"fdsup://directions/FAT Viewer?action=UPDATE&amp;creator=factset&amp;DYN_ARGS=TRUE&amp;DOC_NAME=FAT:FQL_AUDITING_CLIENT_TEMPLATE.FAT&amp;display_string=Audit&amp;VAR:KEY=DWTCTGDURW&amp;VAR:QUERY=RkZfUkRfRVhQKENBTCwyMDA3LCwsLFVTRCk=&amp;WINDOW=FIRST_POPUP&amp;HEIGHT=450&amp;WIDTH=450&amp;START_MA","XIMIZED=FALSE&amp;VAR:CALENDAR=US&amp;VAR:SYMBOL=BIIB&amp;VAR:INDEX=0"}</definedName>
    <definedName name="_3098__FDSAUDITLINK__" hidden="1">{"fdsup://directions/FAT Viewer?action=UPDATE&amp;creator=factset&amp;DYN_ARGS=TRUE&amp;DOC_NAME=FAT:FQL_AUDITING_CLIENT_TEMPLATE.FAT&amp;display_string=Audit&amp;VAR:KEY=ZKDQPGHSNO&amp;VAR:QUERY=RkZfUkRfRVhQKENBTCwyMDA4LCwsLFVTRCk=&amp;WINDOW=FIRST_POPUP&amp;HEIGHT=450&amp;WIDTH=450&amp;START_MA","XIMIZED=FALSE&amp;VAR:CALENDAR=US&amp;VAR:SYMBOL=707752&amp;VAR:INDEX=0"}</definedName>
    <definedName name="_3099__FDSAUDITLINK__" hidden="1">{"fdsup://directions/FAT Viewer?action=UPDATE&amp;creator=factset&amp;DYN_ARGS=TRUE&amp;DOC_NAME=FAT:FQL_AUDITING_CLIENT_TEMPLATE.FAT&amp;display_string=Audit&amp;VAR:KEY=HKJQHCVUFC&amp;VAR:QUERY=RkZfUkRfRVhQKENBTCwyMDA3LCwsLFVTRCk=&amp;WINDOW=FIRST_POPUP&amp;HEIGHT=450&amp;WIDTH=450&amp;START_MA","XIMIZED=FALSE&amp;VAR:CALENDAR=US&amp;VAR:SYMBOL=707752&amp;VAR:INDEX=0"}</definedName>
    <definedName name="_31__FDSAUDITLINK__" hidden="1">{"fdsup://directions/FAT%20Viewer?VAR:TM=NTMA&amp;VAR:PCT=0.805479&amp;VAR:Y0=2010&amp;VAR:Y1=2011&amp;VAR:V0=14.505203&amp;VAR:V1=12.141312&amp;VAR:V=13.975897&amp;VAR:AUDIT_ID=00000117&amp;VAR:DATE=20100312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Aggregates&amp;VAR:MEASURE=PE_MEAN&amp;VAR:CALC_MODE=PORTFOLIO&amp;VAR:CHGPERIOD=NA&amp;VAR:FQLFORMULA=FMA_PE&amp;VAR:CURRENCY=USD&amp;VAR:P=1","149.991906&amp;VAR:THRESH=||||||&amp;VAR:null=.html"}</definedName>
    <definedName name="_310__FDSAUDITLINK__" hidden="1">{"fdsup://directions/FAT%20Viewer?VAR:TM=NTMA&amp;VAR:PCT=0.153005&amp;VAR:Y0=2004&amp;VAR:Y1=2005&amp;VAR:V0=17.613657&amp;VAR:V1=15.989143&amp;VAR:V=16.218007&amp;VAR:AUDIT_ID=00000117&amp;VAR:DATE=20041105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Aggregates&amp;VAR:MEASURE=PE_MEAN&amp;VAR:CALC_MODE=PORTFOLIO&amp;VAR:CHGPERIOD=NA&amp;VAR:FQLFORMULA=FMA_PE&amp;VAR:CURRENCY=USD&amp;VAR:P=1","166.171400&amp;VAR:THRESH=||||||&amp;VAR:null=.html"}</definedName>
    <definedName name="_3100__FDSAUDITLINK__" hidden="1">{"fdsup://directions/FAT Viewer?action=UPDATE&amp;creator=factset&amp;DYN_ARGS=TRUE&amp;DOC_NAME=FAT:FQL_AUDITING_CLIENT_TEMPLATE.FAT&amp;display_string=Audit&amp;VAR:KEY=XSPCXOXWFG&amp;VAR:QUERY=RkZfUkRfRVhQKENBTCwyMDA4LCwsLFVTRCk=&amp;WINDOW=FIRST_POPUP&amp;HEIGHT=450&amp;WIDTH=450&amp;START_MA","XIMIZED=FALSE&amp;VAR:CALENDAR=US&amp;VAR:SYMBOL=630720&amp;VAR:INDEX=0"}</definedName>
    <definedName name="_3101__FDSAUDITLINK__" hidden="1">{"fdsup://directions/FAT Viewer?action=UPDATE&amp;creator=factset&amp;DYN_ARGS=TRUE&amp;DOC_NAME=FAT:FQL_AUDITING_CLIENT_TEMPLATE.FAT&amp;display_string=Audit&amp;VAR:KEY=BEDORSJANQ&amp;VAR:QUERY=RkZfUkRfRVhQKENBTCwyMDA3LCwsLFVTRCk=&amp;WINDOW=FIRST_POPUP&amp;HEIGHT=450&amp;WIDTH=450&amp;START_MA","XIMIZED=FALSE&amp;VAR:CALENDAR=US&amp;VAR:SYMBOL=630720&amp;VAR:INDEX=0"}</definedName>
    <definedName name="_3102__FDSAUDITLINK__" hidden="1">{"fdsup://directions/FAT Viewer?action=UPDATE&amp;creator=factset&amp;DYN_ARGS=TRUE&amp;DOC_NAME=FAT:FQL_AUDITING_CLIENT_TEMPLATE.FAT&amp;display_string=Audit&amp;VAR:KEY=ZEPGFQJADE&amp;VAR:QUERY=RkZfUkRfRVhQKENBTCwyMDA4LCwsLFVTRCk=&amp;WINDOW=FIRST_POPUP&amp;HEIGHT=450&amp;WIDTH=450&amp;START_MA","XIMIZED=FALSE&amp;VAR:CALENDAR=US&amp;VAR:SYMBOL=698538&amp;VAR:INDEX=0"}</definedName>
    <definedName name="_3103__FDSAUDITLINK__" hidden="1">{"fdsup://directions/FAT Viewer?action=UPDATE&amp;creator=factset&amp;DYN_ARGS=TRUE&amp;DOC_NAME=FAT:FQL_AUDITING_CLIENT_TEMPLATE.FAT&amp;display_string=Audit&amp;VAR:KEY=HALOFQXSVO&amp;VAR:QUERY=RkZfUkRfRVhQKENBTCwyMDA3LCwsLFVTRCk=&amp;WINDOW=FIRST_POPUP&amp;HEIGHT=450&amp;WIDTH=450&amp;START_MA","XIMIZED=FALSE&amp;VAR:CALENDAR=US&amp;VAR:SYMBOL=698538&amp;VAR:INDEX=0"}</definedName>
    <definedName name="_3104__FDSAUDITLINK__" hidden="1">{"fdsup://directions/FAT Viewer?action=UPDATE&amp;creator=factset&amp;DYN_ARGS=TRUE&amp;DOC_NAME=FAT:FQL_AUDITING_CLIENT_TEMPLATE.FAT&amp;display_string=Audit&amp;VAR:KEY=BURSXUHEJK&amp;VAR:QUERY=RkZfUkRfRVhQKENBTCwyMDA4LCwsLFVTRCk=&amp;WINDOW=FIRST_POPUP&amp;HEIGHT=450&amp;WIDTH=450&amp;START_MA","XIMIZED=FALSE&amp;VAR:CALENDAR=US&amp;VAR:SYMBOL=B0J7D9&amp;VAR:INDEX=0"}</definedName>
    <definedName name="_3105__FDSAUDITLINK__" hidden="1">{"fdsup://directions/FAT Viewer?action=UPDATE&amp;creator=factset&amp;DYN_ARGS=TRUE&amp;DOC_NAME=FAT:FQL_AUDITING_CLIENT_TEMPLATE.FAT&amp;display_string=Audit&amp;VAR:KEY=LABKHYRYVS&amp;VAR:QUERY=RkZfUkRfRVhQKENBTCwyMDA3LCwsLFVTRCk=&amp;WINDOW=FIRST_POPUP&amp;HEIGHT=450&amp;WIDTH=450&amp;START_MA","XIMIZED=FALSE&amp;VAR:CALENDAR=US&amp;VAR:SYMBOL=B0J7D9&amp;VAR:INDEX=0"}</definedName>
    <definedName name="_3106__FDSAUDITLINK__" hidden="1">{"fdsup://directions/FAT Viewer?action=UPDATE&amp;creator=factset&amp;DYN_ARGS=TRUE&amp;DOC_NAME=FAT:FQL_AUDITING_CLIENT_TEMPLATE.FAT&amp;display_string=Audit&amp;VAR:KEY=XQBYHAHMJE&amp;VAR:QUERY=RkZfUkRfRVhQKENBTCwyMDA4LCwsLFVTRCk=&amp;WINDOW=FIRST_POPUP&amp;HEIGHT=450&amp;WIDTH=450&amp;START_MA","XIMIZED=FALSE&amp;VAR:CALENDAR=US&amp;VAR:SYMBOL=AMGN&amp;VAR:INDEX=0"}</definedName>
    <definedName name="_3107__FDSAUDITLINK__" hidden="1">{"fdsup://directions/FAT Viewer?action=UPDATE&amp;creator=factset&amp;DYN_ARGS=TRUE&amp;DOC_NAME=FAT:FQL_AUDITING_CLIENT_TEMPLATE.FAT&amp;display_string=Audit&amp;VAR:KEY=RWVUPEFUXW&amp;VAR:QUERY=RkZfUkRfRVhQKENBTCwyMDA3LCwsLFVTRCk=&amp;WINDOW=FIRST_POPUP&amp;HEIGHT=450&amp;WIDTH=450&amp;START_MA","XIMIZED=FALSE&amp;VAR:CALENDAR=US&amp;VAR:SYMBOL=AMGN&amp;VAR:INDEX=0"}</definedName>
    <definedName name="_3108__FDSAUDITLINK__" hidden="1">{"fdsup://directions/FAT Viewer?action=UPDATE&amp;creator=factset&amp;DYN_ARGS=TRUE&amp;DOC_NAME=FAT:FQL_AUDITING_CLIENT_TEMPLATE.FAT&amp;display_string=Audit&amp;VAR:KEY=HUJQRCJEBE&amp;VAR:QUERY=RkZfUkRfRVhQKENBTCwyMDA4LCwsLFVTRCk=&amp;WINDOW=FIRST_POPUP&amp;HEIGHT=450&amp;WIDTH=450&amp;START_MA","XIMIZED=FALSE&amp;VAR:CALENDAR=US&amp;VAR:SYMBOL=ABT&amp;VAR:INDEX=0"}</definedName>
    <definedName name="_3109__FDSAUDITLINK__" hidden="1">{"fdsup://directions/FAT Viewer?action=UPDATE&amp;creator=factset&amp;DYN_ARGS=TRUE&amp;DOC_NAME=FAT:FQL_AUDITING_CLIENT_TEMPLATE.FAT&amp;display_string=Audit&amp;VAR:KEY=BYVWXYRQNK&amp;VAR:QUERY=RkZfUkRfRVhQKENBTCwyMDA3LCwsLFVTRCk=&amp;WINDOW=FIRST_POPUP&amp;HEIGHT=450&amp;WIDTH=450&amp;START_MA","XIMIZED=FALSE&amp;VAR:CALENDAR=US&amp;VAR:SYMBOL=ABT&amp;VAR:INDEX=0"}</definedName>
    <definedName name="_311__FDSAUDITLINK__" hidden="1">{"fdsup://directions/FAT%20Viewer?VAR:TM=NTMA&amp;VAR:PCT=0.172131&amp;VAR:Y0=2004&amp;VAR:Y1=2005&amp;VAR:V0=17.116337&amp;VAR:V1=15.533914&amp;VAR:V=15.785114&amp;VAR:AUDIT_ID=00000117&amp;VAR:DATE=20041029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Aggregates&amp;VAR:MEASURE=PE_MEAN&amp;VAR:CALC_MODE=PORTFOLIO&amp;VAR:CHGPERIOD=NA&amp;VAR:FQLFORMULA=FMA_PE&amp;VAR:CURRENCY=USD&amp;VAR:P=1","130.199100&amp;VAR:THRESH=||||||&amp;VAR:null=.html"}</definedName>
    <definedName name="_3110__FDSAUDITLINK__" hidden="1">{"fdsup://directions/FAT Viewer?action=UPDATE&amp;creator=factset&amp;DYN_ARGS=TRUE&amp;DOC_NAME=FAT:FQL_AUDITING_CLIENT_TEMPLATE.FAT&amp;display_string=Audit&amp;VAR:KEY=ZUPYRQFSRU&amp;VAR:QUERY=RkZfUkRfRVhQKENBTCwyMDA4LCwsLFVTRCk=&amp;WINDOW=FIRST_POPUP&amp;HEIGHT=450&amp;WIDTH=450&amp;START_MA","XIMIZED=FALSE&amp;VAR:CALENDAR=US&amp;VAR:SYMBOL=687044&amp;VAR:INDEX=0"}</definedName>
    <definedName name="_3111__FDSAUDITLINK__" hidden="1">{"fdsup://directions/FAT Viewer?action=UPDATE&amp;creator=factset&amp;DYN_ARGS=TRUE&amp;DOC_NAME=FAT:FQL_AUDITING_CLIENT_TEMPLATE.FAT&amp;display_string=Audit&amp;VAR:KEY=ZMRALSXARE&amp;VAR:QUERY=RkZfUkRfRVhQKENBTCwyMDA3LCwsLFVTRCk=&amp;WINDOW=FIRST_POPUP&amp;HEIGHT=450&amp;WIDTH=450&amp;START_MA","XIMIZED=FALSE&amp;VAR:CALENDAR=US&amp;VAR:SYMBOL=687044&amp;VAR:INDEX=0"}</definedName>
    <definedName name="_3112__FDSAUDITLINK__" hidden="1">{"fdsup://directions/FAT Viewer?action=UPDATE&amp;creator=factset&amp;DYN_ARGS=TRUE&amp;DOC_NAME=FAT:FQL_AUDITING_CLIENT_TEMPLATE.FAT&amp;display_string=Audit&amp;VAR:KEY=ZMZYLSXEVK&amp;VAR:QUERY=RkZfUkRfRVhQKENBTCwyMDA4LCwsLFVTRCk=&amp;WINDOW=FIRST_POPUP&amp;HEIGHT=450&amp;WIDTH=450&amp;START_MA","XIMIZED=FALSE&amp;VAR:CALENDAR=US&amp;VAR:SYMBOL=BMY&amp;VAR:INDEX=0"}</definedName>
    <definedName name="_3113__FDSAUDITLINK__" hidden="1">{"fdsup://directions/FAT Viewer?action=UPDATE&amp;creator=factset&amp;DYN_ARGS=TRUE&amp;DOC_NAME=FAT:FQL_AUDITING_CLIENT_TEMPLATE.FAT&amp;display_string=Audit&amp;VAR:KEY=RENSXGJCBC&amp;VAR:QUERY=RkZfUkRfRVhQKENBTCwyMDA3LCwsLFVTRCk=&amp;WINDOW=FIRST_POPUP&amp;HEIGHT=450&amp;WIDTH=450&amp;START_MA","XIMIZED=FALSE&amp;VAR:CALENDAR=US&amp;VAR:SYMBOL=BMY&amp;VAR:INDEX=0"}</definedName>
    <definedName name="_3114__FDSAUDITLINK__" hidden="1">{"fdsup://directions/FAT Viewer?action=UPDATE&amp;creator=factset&amp;DYN_ARGS=TRUE&amp;DOC_NAME=FAT:FQL_AUDITING_CLIENT_TEMPLATE.FAT&amp;display_string=Audit&amp;VAR:KEY=BSNATUHMFQ&amp;VAR:QUERY=RkZfUkRfRVhQKENBTCwyMDA4LCwsLFVTRCk=&amp;WINDOW=FIRST_POPUP&amp;HEIGHT=450&amp;WIDTH=450&amp;START_MA","XIMIZED=FALSE&amp;VAR:CALENDAR=US&amp;VAR:SYMBOL=LLY&amp;VAR:INDEX=0"}</definedName>
    <definedName name="_3115__FDSAUDITLINK__" hidden="1">{"fdsup://directions/FAT Viewer?action=UPDATE&amp;creator=factset&amp;DYN_ARGS=TRUE&amp;DOC_NAME=FAT:FQL_AUDITING_CLIENT_TEMPLATE.FAT&amp;display_string=Audit&amp;VAR:KEY=DOHSHEVKPM&amp;VAR:QUERY=RkZfUkRfRVhQKENBTCwyMDA3LCwsLFVTRCk=&amp;WINDOW=FIRST_POPUP&amp;HEIGHT=450&amp;WIDTH=450&amp;START_MA","XIMIZED=FALSE&amp;VAR:CALENDAR=US&amp;VAR:SYMBOL=LLY&amp;VAR:INDEX=0"}</definedName>
    <definedName name="_3116__FDSAUDITLINK__" hidden="1">{"fdsup://directions/FAT Viewer?action=UPDATE&amp;creator=factset&amp;DYN_ARGS=TRUE&amp;DOC_NAME=FAT:FQL_AUDITING_CLIENT_TEMPLATE.FAT&amp;display_string=Audit&amp;VAR:KEY=JKHWTOZSRO&amp;VAR:QUERY=RkZfUkRfRVhQKENBTCwyMDA4LCwsLFVTRCk=&amp;WINDOW=FIRST_POPUP&amp;HEIGHT=450&amp;WIDTH=450&amp;START_MA","XIMIZED=FALSE&amp;VAR:CALENDAR=US&amp;VAR:SYMBOL=506921&amp;VAR:INDEX=0"}</definedName>
    <definedName name="_3117__FDSAUDITLINK__" hidden="1">{"fdsup://directions/FAT Viewer?action=UPDATE&amp;creator=factset&amp;DYN_ARGS=TRUE&amp;DOC_NAME=FAT:FQL_AUDITING_CLIENT_TEMPLATE.FAT&amp;display_string=Audit&amp;VAR:KEY=RCZEJWXODC&amp;VAR:QUERY=RkZfUkRfRVhQKENBTCwyMDA3LCwsLFVTRCk=&amp;WINDOW=FIRST_POPUP&amp;HEIGHT=450&amp;WIDTH=450&amp;START_MA","XIMIZED=FALSE&amp;VAR:CALENDAR=US&amp;VAR:SYMBOL=506921&amp;VAR:INDEX=0"}</definedName>
    <definedName name="_3118__FDSAUDITLINK__" hidden="1">{"fdsup://directions/FAT Viewer?action=UPDATE&amp;creator=factset&amp;DYN_ARGS=TRUE&amp;DOC_NAME=FAT:FQL_AUDITING_CLIENT_TEMPLATE.FAT&amp;display_string=Audit&amp;VAR:KEY=NGTOJGBUXY&amp;VAR:QUERY=RkZfUkRfRVhQKENBTCwyMDA4LCwsLFVTRCk=&amp;WINDOW=FIRST_POPUP&amp;HEIGHT=450&amp;WIDTH=450&amp;START_MA","XIMIZED=FALSE&amp;VAR:CALENDAR=US&amp;VAR:SYMBOL=567173&amp;VAR:INDEX=0"}</definedName>
    <definedName name="_3119__FDSAUDITLINK__" hidden="1">{"fdsup://directions/FAT Viewer?action=UPDATE&amp;creator=factset&amp;DYN_ARGS=TRUE&amp;DOC_NAME=FAT:FQL_AUDITING_CLIENT_TEMPLATE.FAT&amp;display_string=Audit&amp;VAR:KEY=RAZEFOLQPC&amp;VAR:QUERY=RkZfUkRfRVhQKENBTCwyMDA3LCwsLFVTRCk=&amp;WINDOW=FIRST_POPUP&amp;HEIGHT=450&amp;WIDTH=450&amp;START_MA","XIMIZED=FALSE&amp;VAR:CALENDAR=US&amp;VAR:SYMBOL=567173&amp;VAR:INDEX=0"}</definedName>
    <definedName name="_312__FDSAUDITLINK__" hidden="1">{"fdsup://directions/FAT%20Viewer?VAR:TM=NTMA&amp;VAR:PCT=0.191257&amp;VAR:Y0=2004&amp;VAR:Y1=2005&amp;VAR:V0=16.723452&amp;VAR:V1=15.135553&amp;VAR:V=15.415497&amp;VAR:AUDIT_ID=00000117&amp;VAR:DATE=20041022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Aggregates&amp;VAR:MEASURE=PE_MEAN&amp;VAR:CALC_MODE=PORTFOLIO&amp;VAR:CHGPERIOD=NA&amp;VAR:FQLFORMULA=FMA_PE&amp;VAR:CURRENCY=USD&amp;VAR:P=1","095.735400&amp;VAR:THRESH=||||||&amp;VAR:null=.html"}</definedName>
    <definedName name="_3120__FDSAUDITLINK__" hidden="1">{"fdsup://directions/FAT Viewer?action=UPDATE&amp;creator=factset&amp;DYN_ARGS=TRUE&amp;DOC_NAME=FAT:FQL_AUDITING_CLIENT_TEMPLATE.FAT&amp;display_string=Audit&amp;VAR:KEY=XKRABGFMPG&amp;VAR:QUERY=RkZfUkRfRVhQKENBTCwyMDA4LCwsLFVTRCk=&amp;WINDOW=FIRST_POPUP&amp;HEIGHT=450&amp;WIDTH=450&amp;START_MA","XIMIZED=FALSE&amp;VAR:CALENDAR=US&amp;VAR:SYMBOL=JNJ&amp;VAR:INDEX=0"}</definedName>
    <definedName name="_3121__FDSAUDITLINK__" hidden="1">{"fdsup://directions/FAT Viewer?action=UPDATE&amp;creator=factset&amp;DYN_ARGS=TRUE&amp;DOC_NAME=FAT:FQL_AUDITING_CLIENT_TEMPLATE.FAT&amp;display_string=Audit&amp;VAR:KEY=LCJKLSDCRQ&amp;VAR:QUERY=RkZfUkRfRVhQKENBTCwyMDA3LCwsLFVTRCk=&amp;WINDOW=FIRST_POPUP&amp;HEIGHT=450&amp;WIDTH=450&amp;START_MA","XIMIZED=FALSE&amp;VAR:CALENDAR=US&amp;VAR:SYMBOL=JNJ&amp;VAR:INDEX=0"}</definedName>
    <definedName name="_3122__FDSAUDITLINK__" hidden="1">{"fdsup://directions/FAT Viewer?action=UPDATE&amp;creator=factset&amp;DYN_ARGS=TRUE&amp;DOC_NAME=FAT:FQL_AUDITING_CLIENT_TEMPLATE.FAT&amp;display_string=Audit&amp;VAR:KEY=LMTQHUVWVA&amp;VAR:QUERY=RkZfUkRfRVhQKENBTCwyMDA4LCwsLFVTRCk=&amp;WINDOW=FIRST_POPUP&amp;HEIGHT=450&amp;WIDTH=450&amp;START_MA","XIMIZED=FALSE&amp;VAR:CALENDAR=US&amp;VAR:SYMBOL=710306&amp;VAR:INDEX=0"}</definedName>
    <definedName name="_3123__FDSAUDITLINK__" hidden="1">{"fdsup://directions/FAT Viewer?action=UPDATE&amp;creator=factset&amp;DYN_ARGS=TRUE&amp;DOC_NAME=FAT:FQL_AUDITING_CLIENT_TEMPLATE.FAT&amp;display_string=Audit&amp;VAR:KEY=VYTORQNKTW&amp;VAR:QUERY=RkZfUkRfRVhQKENBTCwyMDA3LCwsLFVTRCk=&amp;WINDOW=FIRST_POPUP&amp;HEIGHT=450&amp;WIDTH=450&amp;START_MA","XIMIZED=FALSE&amp;VAR:CALENDAR=US&amp;VAR:SYMBOL=710306&amp;VAR:INDEX=0"}</definedName>
    <definedName name="_3124__FDSAUDITLINK__" hidden="1">{"fdsup://directions/FAT Viewer?action=UPDATE&amp;creator=factset&amp;DYN_ARGS=TRUE&amp;DOC_NAME=FAT:FQL_AUDITING_CLIENT_TEMPLATE.FAT&amp;display_string=Audit&amp;VAR:KEY=RAFAPGJURW&amp;VAR:QUERY=RkZfUkRfRVhQKENBTCwyMDA4LCwsLFVTRCk=&amp;WINDOW=FIRST_POPUP&amp;HEIGHT=450&amp;WIDTH=450&amp;START_MA","XIMIZED=FALSE&amp;VAR:CALENDAR=US&amp;VAR:SYMBOL=711038&amp;VAR:INDEX=0"}</definedName>
    <definedName name="_3125__FDSAUDITLINK__" hidden="1">{"fdsup://directions/FAT Viewer?action=UPDATE&amp;creator=factset&amp;DYN_ARGS=TRUE&amp;DOC_NAME=FAT:FQL_AUDITING_CLIENT_TEMPLATE.FAT&amp;display_string=Audit&amp;VAR:KEY=LKDSHOXEJE&amp;VAR:QUERY=RkZfUkRfRVhQKENBTCwyMDA4LCwsLFVTRCk=&amp;WINDOW=FIRST_POPUP&amp;HEIGHT=450&amp;WIDTH=450&amp;START_MA","XIMIZED=FALSE&amp;VAR:CALENDAR=US&amp;VAR:SYMBOL=MRK&amp;VAR:INDEX=0"}</definedName>
    <definedName name="_3126__FDSAUDITLINK__" hidden="1">{"fdsup://directions/FAT Viewer?action=UPDATE&amp;creator=factset&amp;DYN_ARGS=TRUE&amp;DOC_NAME=FAT:FQL_AUDITING_CLIENT_TEMPLATE.FAT&amp;display_string=Audit&amp;VAR:KEY=TILQDMTSFA&amp;VAR:QUERY=RkZfUkRfRVhQKENBTCwyMDA3LCwsLFVTRCk=&amp;WINDOW=FIRST_POPUP&amp;HEIGHT=450&amp;WIDTH=450&amp;START_MA","XIMIZED=FALSE&amp;VAR:CALENDAR=US&amp;VAR:SYMBOL=MRK&amp;VAR:INDEX=0"}</definedName>
    <definedName name="_3127__FDSAUDITLINK__" hidden="1">{"fdsup://directions/FAT Viewer?action=UPDATE&amp;creator=factset&amp;DYN_ARGS=TRUE&amp;DOC_NAME=FAT:FQL_AUDITING_CLIENT_TEMPLATE.FAT&amp;display_string=Audit&amp;VAR:KEY=JCJYXWPCFK&amp;VAR:QUERY=RkZfUkRfRVhQKENBTCwyMDA4LCwsLFVTRCk=&amp;WINDOW=FIRST_POPUP&amp;HEIGHT=450&amp;WIDTH=450&amp;START_MA","XIMIZED=FALSE&amp;VAR:CALENDAR=US&amp;VAR:SYMBOL=PFE&amp;VAR:INDEX=0"}</definedName>
    <definedName name="_3128__FDSAUDITLINK__" hidden="1">{"fdsup://directions/FAT Viewer?action=UPDATE&amp;creator=factset&amp;DYN_ARGS=TRUE&amp;DOC_NAME=FAT:FQL_AUDITING_CLIENT_TEMPLATE.FAT&amp;display_string=Audit&amp;VAR:KEY=VABOBMLSTS&amp;VAR:QUERY=RkZfUkRfRVhQKENBTCwyMDA3LCwsLFVTRCk=&amp;WINDOW=FIRST_POPUP&amp;HEIGHT=450&amp;WIDTH=450&amp;START_MA","XIMIZED=FALSE&amp;VAR:CALENDAR=US&amp;VAR:SYMBOL=PFE&amp;VAR:INDEX=0"}</definedName>
    <definedName name="_3129__FDSAUDITLINK__" hidden="1">{"fdsup://directions/FAT Viewer?action=UPDATE&amp;creator=factset&amp;DYN_ARGS=TRUE&amp;DOC_NAME=FAT:FQL_AUDITING_CLIENT_TEMPLATE.FAT&amp;display_string=Audit&amp;VAR:KEY=LULOLUFSZY&amp;VAR:QUERY=RkZfUkRfRVhQKENBTCwzOTgxMywsLCwp&amp;WINDOW=FIRST_POPUP&amp;HEIGHT=450&amp;WIDTH=450&amp;START_MAXIMI","ZED=FALSE&amp;VAR:CALENDAR=US&amp;VAR:SYMBOL=DNA&amp;VAR:INDEX=0"}</definedName>
    <definedName name="_313__FDSAUDITLINK__" hidden="1">{"fdsup://directions/FAT%20Viewer?VAR:TM=NTMA&amp;VAR:PCT=0.210383&amp;VAR:Y0=2004&amp;VAR:Y1=2005&amp;VAR:V0=16.917564&amp;VAR:V1=15.297055&amp;VAR:V=15.611665&amp;VAR:AUDIT_ID=00000117&amp;VAR:DATE=20041015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Aggregates&amp;VAR:MEASURE=PE_MEAN&amp;VAR:CALC_MODE=PORTFOLIO&amp;VAR:CHGPERIOD=NA&amp;VAR:FQLFORMULA=FMA_PE&amp;VAR:CURRENCY=USD&amp;VAR:P=1","108.197000&amp;VAR:THRESH=||||||&amp;VAR:null=.html"}</definedName>
    <definedName name="_3130__FDSAUDITLINK__" hidden="1">{"fdsup://directions/FAT Viewer?action=UPDATE&amp;creator=factset&amp;DYN_ARGS=TRUE&amp;DOC_NAME=FAT:FQL_AUDITING_CLIENT_TEMPLATE.FAT&amp;display_string=Audit&amp;VAR:KEY=JQXWLKRQJO&amp;VAR:QUERY=RkZfUkRfRVhQKENBTCwzOTQ0NywsLCwp&amp;WINDOW=FIRST_POPUP&amp;HEIGHT=450&amp;WIDTH=450&amp;START_MAXIMI","ZED=FALSE&amp;VAR:CALENDAR=US&amp;VAR:SYMBOL=DNA&amp;VAR:INDEX=0"}</definedName>
    <definedName name="_3131__FDSAUDITLINK__" hidden="1">{"fdsup://directions/FAT Viewer?action=UPDATE&amp;creator=factset&amp;DYN_ARGS=TRUE&amp;DOC_NAME=FAT:FQL_AUDITING_CLIENT_TEMPLATE.FAT&amp;display_string=Audit&amp;VAR:KEY=HYXWNYRITG&amp;VAR:QUERY=RkZfUkRfRVhQKENBTCwzOTA4MiwsLCwp&amp;WINDOW=FIRST_POPUP&amp;HEIGHT=450&amp;WIDTH=450&amp;START_MAXIMI","ZED=FALSE&amp;VAR:CALENDAR=US&amp;VAR:SYMBOL=DNA&amp;VAR:INDEX=0"}</definedName>
    <definedName name="_3132__FDSAUDITLINK__" hidden="1">{"fdsup://directions/FAT Viewer?action=UPDATE&amp;creator=factset&amp;DYN_ARGS=TRUE&amp;DOC_NAME=FAT:FQL_AUDITING_CLIENT_TEMPLATE.FAT&amp;display_string=Audit&amp;VAR:KEY=FWHQNGDGJY&amp;VAR:QUERY=RkZfUkRfRVhQKENBTCwzODcxNywsLCwp&amp;WINDOW=FIRST_POPUP&amp;HEIGHT=450&amp;WIDTH=450&amp;START_MAXIMI","ZED=FALSE&amp;VAR:CALENDAR=US&amp;VAR:SYMBOL=DNA&amp;VAR:INDEX=0"}</definedName>
    <definedName name="_3133__FDSAUDITLINK__" hidden="1">{"fdsup://directions/FAT Viewer?action=UPDATE&amp;creator=factset&amp;DYN_ARGS=TRUE&amp;DOC_NAME=FAT:FQL_AUDITING_CLIENT_TEMPLATE.FAT&amp;display_string=Audit&amp;VAR:KEY=RQTWDYPOXG&amp;VAR:QUERY=RkZfUkRfRVhQKENBTCwzODM1MiwsLCwp&amp;WINDOW=FIRST_POPUP&amp;HEIGHT=450&amp;WIDTH=450&amp;START_MAXIMI","ZED=FALSE&amp;VAR:CALENDAR=US&amp;VAR:SYMBOL=DNA&amp;VAR:INDEX=0"}</definedName>
    <definedName name="_3134__FDSAUDITLINK__" hidden="1">{"fdsup://directions/FAT Viewer?action=UPDATE&amp;creator=factset&amp;DYN_ARGS=TRUE&amp;DOC_NAME=FAT:FQL_AUDITING_CLIENT_TEMPLATE.FAT&amp;display_string=Audit&amp;VAR:KEY=ZWNOBEDCJI&amp;VAR:QUERY=RkZfUkRfRVhQKENBTCwzOTgxMywsLCwp&amp;WINDOW=FIRST_POPUP&amp;HEIGHT=450&amp;WIDTH=450&amp;START_MAXIMI","ZED=FALSE&amp;VAR:CALENDAR=US&amp;VAR:SYMBOL=SGP&amp;VAR:INDEX=0"}</definedName>
    <definedName name="_3135__FDSAUDITLINK__" hidden="1">{"fdsup://directions/FAT Viewer?action=UPDATE&amp;creator=factset&amp;DYN_ARGS=TRUE&amp;DOC_NAME=FAT:FQL_AUDITING_CLIENT_TEMPLATE.FAT&amp;display_string=Audit&amp;VAR:KEY=VERKZCBWNO&amp;VAR:QUERY=RkZfUkRfRVhQKENBTCwzOTQ0NywsLCwp&amp;WINDOW=FIRST_POPUP&amp;HEIGHT=450&amp;WIDTH=450&amp;START_MAXIMI","ZED=FALSE&amp;VAR:CALENDAR=US&amp;VAR:SYMBOL=SGP&amp;VAR:INDEX=0"}</definedName>
    <definedName name="_3136__FDSAUDITLINK__" hidden="1">{"fdsup://directions/FAT Viewer?action=UPDATE&amp;creator=factset&amp;DYN_ARGS=TRUE&amp;DOC_NAME=FAT:FQL_AUDITING_CLIENT_TEMPLATE.FAT&amp;display_string=Audit&amp;VAR:KEY=VGVGPSRCRG&amp;VAR:QUERY=RkZfUkRfRVhQKENBTCwzOTA4MiwsLCwp&amp;WINDOW=FIRST_POPUP&amp;HEIGHT=450&amp;WIDTH=450&amp;START_MAXIMI","ZED=FALSE&amp;VAR:CALENDAR=US&amp;VAR:SYMBOL=SGP&amp;VAR:INDEX=0"}</definedName>
    <definedName name="_3137__FDSAUDITLINK__" hidden="1">{"fdsup://directions/FAT Viewer?action=UPDATE&amp;creator=factset&amp;DYN_ARGS=TRUE&amp;DOC_NAME=FAT:FQL_AUDITING_CLIENT_TEMPLATE.FAT&amp;display_string=Audit&amp;VAR:KEY=DQBAJYBAFW&amp;VAR:QUERY=RkZfUkRfRVhQKENBTCwzODcxNywsLCwp&amp;WINDOW=FIRST_POPUP&amp;HEIGHT=450&amp;WIDTH=450&amp;START_MAXIMI","ZED=FALSE&amp;VAR:CALENDAR=US&amp;VAR:SYMBOL=SGP&amp;VAR:INDEX=0"}</definedName>
    <definedName name="_3138__FDSAUDITLINK__" hidden="1">{"fdsup://directions/FAT Viewer?action=UPDATE&amp;creator=factset&amp;DYN_ARGS=TRUE&amp;DOC_NAME=FAT:FQL_AUDITING_CLIENT_TEMPLATE.FAT&amp;display_string=Audit&amp;VAR:KEY=HSTURMXUFQ&amp;VAR:QUERY=RkZfUkRfRVhQKENBTCwzODM1MiwsLCwp&amp;WINDOW=FIRST_POPUP&amp;HEIGHT=450&amp;WIDTH=450&amp;START_MAXIMI","ZED=FALSE&amp;VAR:CALENDAR=US&amp;VAR:SYMBOL=SGP&amp;VAR:INDEX=0"}</definedName>
    <definedName name="_3139__FDSAUDITLINK__" hidden="1">{"fdsup://directions/FAT Viewer?action=UPDATE&amp;creator=factset&amp;DYN_ARGS=TRUE&amp;DOC_NAME=FAT:FQL_AUDITING_CLIENT_TEMPLATE.FAT&amp;display_string=Audit&amp;VAR:KEY=PAJYJYJAHE&amp;VAR:QUERY=RkZfUkRfRVhQKENBTCwzOTgxMywsLCwp&amp;WINDOW=FIRST_POPUP&amp;HEIGHT=450&amp;WIDTH=450&amp;START_MAXIMI","ZED=FALSE&amp;VAR:CALENDAR=US&amp;VAR:SYMBOL=WYE&amp;VAR:INDEX=0"}</definedName>
    <definedName name="_314__FDSAUDITLINK__" hidden="1">{"fdsup://directions/FAT%20Viewer?VAR:TM=NTMA&amp;VAR:PCT=0.229508&amp;VAR:Y0=2004&amp;VAR:Y1=2005&amp;VAR:V0=17.100240&amp;VAR:V1=15.518226&amp;VAR:V=15.854869&amp;VAR:AUDIT_ID=00000117&amp;VAR:DATE=20041008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Aggregates&amp;VAR:MEASURE=PE_MEAN&amp;VAR:CALC_MODE=PORTFOLIO&amp;VAR:CHGPERIOD=NA&amp;VAR:FQLFORMULA=FMA_PE&amp;VAR:CURRENCY=USD&amp;VAR:P=1","122.138800&amp;VAR:THRESH=||||||&amp;VAR:null=.html"}</definedName>
    <definedName name="_3140__FDSAUDITLINK__" hidden="1">{"fdsup://directions/FAT Viewer?action=UPDATE&amp;creator=factset&amp;DYN_ARGS=TRUE&amp;DOC_NAME=FAT:FQL_AUDITING_CLIENT_TEMPLATE.FAT&amp;display_string=Audit&amp;VAR:KEY=NYXURMTONW&amp;VAR:QUERY=RkZfUkRfRVhQKENBTCwzOTQ0NywsLCwp&amp;WINDOW=FIRST_POPUP&amp;HEIGHT=450&amp;WIDTH=450&amp;START_MAXIMI","ZED=FALSE&amp;VAR:CALENDAR=US&amp;VAR:SYMBOL=WYE&amp;VAR:INDEX=0"}</definedName>
    <definedName name="_3141__FDSAUDITLINK__" hidden="1">{"fdsup://directions/FAT Viewer?action=UPDATE&amp;creator=factset&amp;DYN_ARGS=TRUE&amp;DOC_NAME=FAT:FQL_AUDITING_CLIENT_TEMPLATE.FAT&amp;display_string=Audit&amp;VAR:KEY=XWTYLUVGBU&amp;VAR:QUERY=RkZfUkRfRVhQKENBTCwzOTA4MiwsLCwp&amp;WINDOW=FIRST_POPUP&amp;HEIGHT=450&amp;WIDTH=450&amp;START_MAXIMI","ZED=FALSE&amp;VAR:CALENDAR=US&amp;VAR:SYMBOL=WYE&amp;VAR:INDEX=0"}</definedName>
    <definedName name="_3142__FDSAUDITLINK__" hidden="1">{"fdsup://directions/FAT Viewer?action=UPDATE&amp;creator=factset&amp;DYN_ARGS=TRUE&amp;DOC_NAME=FAT:FQL_AUDITING_CLIENT_TEMPLATE.FAT&amp;display_string=Audit&amp;VAR:KEY=DGDCHUBYVS&amp;VAR:QUERY=RkZfUkRfRVhQKENBTCwzODcxNywsLCwp&amp;WINDOW=FIRST_POPUP&amp;HEIGHT=450&amp;WIDTH=450&amp;START_MAXIMI","ZED=FALSE&amp;VAR:CALENDAR=US&amp;VAR:SYMBOL=WYE&amp;VAR:INDEX=0"}</definedName>
    <definedName name="_3143__FDSAUDITLINK__" hidden="1">{"fdsup://directions/FAT Viewer?action=UPDATE&amp;creator=factset&amp;DYN_ARGS=TRUE&amp;DOC_NAME=FAT:FQL_AUDITING_CLIENT_TEMPLATE.FAT&amp;display_string=Audit&amp;VAR:KEY=HKXMFCNQRG&amp;VAR:QUERY=RkZfUkRfRVhQKENBTCwzODM1MiwsLCwp&amp;WINDOW=FIRST_POPUP&amp;HEIGHT=450&amp;WIDTH=450&amp;START_MAXIMI","ZED=FALSE&amp;VAR:CALENDAR=US&amp;VAR:SYMBOL=WYE&amp;VAR:INDEX=0"}</definedName>
    <definedName name="_3144__FDSAUDITLINK__" hidden="1">{"fdsup://directions/FAT Viewer?action=UPDATE&amp;creator=factset&amp;DYN_ARGS=TRUE&amp;DOC_NAME=FAT:FQL_AUDITING_CLIENT_TEMPLATE.FAT&amp;display_string=Audit&amp;VAR:KEY=FADGZQHEFC&amp;VAR:QUERY=RkZfUkRfRVhQKENBTCw0MDU0MywsLCxVU0Qp&amp;WINDOW=FIRST_POPUP&amp;HEIGHT=450&amp;WIDTH=450&amp;START_MA","XIMIZED=FALSE&amp;VAR:CALENDAR=US&amp;VAR:SYMBOL=BIIB&amp;VAR:INDEX=0"}</definedName>
    <definedName name="_3145__FDSAUDITLINK__" hidden="1">{"fdsup://directions/FAT Viewer?action=UPDATE&amp;creator=factset&amp;DYN_ARGS=TRUE&amp;DOC_NAME=FAT:FQL_AUDITING_CLIENT_TEMPLATE.FAT&amp;display_string=Audit&amp;VAR:KEY=NSPUJGFSHI&amp;VAR:QUERY=RkZfUkRfRVhQKENBTCw0MDU0MywsLCxVU0Qp&amp;WINDOW=FIRST_POPUP&amp;HEIGHT=450&amp;WIDTH=450&amp;START_MA","XIMIZED=FALSE&amp;VAR:CALENDAR=US&amp;VAR:SYMBOL=707752&amp;VAR:INDEX=0"}</definedName>
    <definedName name="_3146__FDSAUDITLINK__" hidden="1">{"fdsup://directions/FAT Viewer?action=UPDATE&amp;creator=factset&amp;DYN_ARGS=TRUE&amp;DOC_NAME=FAT:FQL_AUDITING_CLIENT_TEMPLATE.FAT&amp;display_string=Audit&amp;VAR:KEY=PWJMJAPQXA&amp;VAR:QUERY=RkZfUkRfRVhQKENBTCw0MDU0MywsLCxVU0Qp&amp;WINDOW=FIRST_POPUP&amp;HEIGHT=450&amp;WIDTH=450&amp;START_MA","XIMIZED=FALSE&amp;VAR:CALENDAR=US&amp;VAR:SYMBOL=630720&amp;VAR:INDEX=0"}</definedName>
    <definedName name="_3147__FDSAUDITLINK__" hidden="1">{"fdsup://directions/FAT Viewer?action=UPDATE&amp;creator=factset&amp;DYN_ARGS=TRUE&amp;DOC_NAME=FAT:FQL_AUDITING_CLIENT_TEMPLATE.FAT&amp;display_string=Audit&amp;VAR:KEY=TQDGRYXUPO&amp;VAR:QUERY=RkZfUkRfRVhQKENBTCw0MDU0MywsLCxVU0Qp&amp;WINDOW=FIRST_POPUP&amp;HEIGHT=450&amp;WIDTH=450&amp;START_MA","XIMIZED=FALSE&amp;VAR:CALENDAR=US&amp;VAR:SYMBOL=698538&amp;VAR:INDEX=0"}</definedName>
    <definedName name="_3148__FDSAUDITLINK__" hidden="1">{"fdsup://directions/FAT Viewer?action=UPDATE&amp;creator=factset&amp;DYN_ARGS=TRUE&amp;DOC_NAME=FAT:FQL_AUDITING_CLIENT_TEMPLATE.FAT&amp;display_string=Audit&amp;VAR:KEY=LCNIRKJOVO&amp;VAR:QUERY=RkZfUkRfRVhQKENBTCw0MDU0MywsLCxVU0Qp&amp;WINDOW=FIRST_POPUP&amp;HEIGHT=450&amp;WIDTH=450&amp;START_MA","XIMIZED=FALSE&amp;VAR:CALENDAR=US&amp;VAR:SYMBOL=474184&amp;VAR:INDEX=0"}</definedName>
    <definedName name="_3149__FDSAUDITLINK__" hidden="1">{"fdsup://directions/FAT Viewer?action=UPDATE&amp;creator=factset&amp;DYN_ARGS=TRUE&amp;DOC_NAME=FAT:FQL_AUDITING_CLIENT_TEMPLATE.FAT&amp;display_string=Audit&amp;VAR:KEY=JAPATOHCPG&amp;VAR:QUERY=RkZfUkRfRVhQKENBTCw0MDU0MywsLCxVU0Qp&amp;WINDOW=FIRST_POPUP&amp;HEIGHT=450&amp;WIDTH=450&amp;START_MA","XIMIZED=FALSE&amp;VAR:CALENDAR=US&amp;VAR:SYMBOL=B0J7D9&amp;VAR:INDEX=0"}</definedName>
    <definedName name="_315__FDSAUDITLINK__" hidden="1">{"fdsup://directions/FAT%20Viewer?VAR:TM=NTMA&amp;VAR:PCT=0.248634&amp;VAR:Y0=2004&amp;VAR:Y1=2005&amp;VAR:V0=17.207054&amp;VAR:V1=15.667401&amp;VAR:V=16.023889&amp;VAR:AUDIT_ID=00000117&amp;VAR:DATE=20041001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Aggregates&amp;VAR:MEASURE=PE_MEAN&amp;VAR:CALC_MODE=PORTFOLIO&amp;VAR:CHGPERIOD=NA&amp;VAR:FQLFORMULA=FMA_PE&amp;VAR:CURRENCY=USD&amp;VAR:P=1","131.500900&amp;VAR:THRESH=||||||&amp;VAR:null=.html"}</definedName>
    <definedName name="_3150__FDSAUDITLINK__" hidden="1">{"fdsup://directions/FAT Viewer?action=UPDATE&amp;creator=factset&amp;DYN_ARGS=TRUE&amp;DOC_NAME=FAT:FQL_AUDITING_CLIENT_TEMPLATE.FAT&amp;display_string=Audit&amp;VAR:KEY=ZURSDKXMDW&amp;VAR:QUERY=RkZfUkRfRVhQKENBTCw0MDU0MywsLCxVU0Qp&amp;WINDOW=FIRST_POPUP&amp;HEIGHT=450&amp;WIDTH=450&amp;START_MA","XIMIZED=FALSE&amp;VAR:CALENDAR=US&amp;VAR:SYMBOL=AMGN&amp;VAR:INDEX=0"}</definedName>
    <definedName name="_3151__FDSAUDITLINK__" hidden="1">{"fdsup://directions/FAT Viewer?action=UPDATE&amp;creator=factset&amp;DYN_ARGS=TRUE&amp;DOC_NAME=FAT:FQL_AUDITING_CLIENT_TEMPLATE.FAT&amp;display_string=Audit&amp;VAR:KEY=JWREDEZOBE&amp;VAR:QUERY=RkZfUkRfRVhQKENBTCw0MDU0MywsLCxVU0Qp&amp;WINDOW=FIRST_POPUP&amp;HEIGHT=450&amp;WIDTH=450&amp;START_MA","XIMIZED=FALSE&amp;VAR:CALENDAR=US&amp;VAR:SYMBOL=ABT&amp;VAR:INDEX=0"}</definedName>
    <definedName name="_3152__FDSAUDITLINK__" hidden="1">{"fdsup://directions/FAT Viewer?action=UPDATE&amp;creator=factset&amp;DYN_ARGS=TRUE&amp;DOC_NAME=FAT:FQL_AUDITING_CLIENT_TEMPLATE.FAT&amp;display_string=Audit&amp;VAR:KEY=FMHOHWFCHA&amp;VAR:QUERY=RkZfUkRfRVhQKENBTCw0MDU0MywsLCxVU0Qp&amp;WINDOW=FIRST_POPUP&amp;HEIGHT=450&amp;WIDTH=450&amp;START_MA","XIMIZED=FALSE&amp;VAR:CALENDAR=US&amp;VAR:SYMBOL=687044&amp;VAR:INDEX=0"}</definedName>
    <definedName name="_3153__FDSAUDITLINK__" hidden="1">{"fdsup://directions/FAT Viewer?action=UPDATE&amp;creator=factset&amp;DYN_ARGS=TRUE&amp;DOC_NAME=FAT:FQL_AUDITING_CLIENT_TEMPLATE.FAT&amp;display_string=Audit&amp;VAR:KEY=BCRMHOHMDU&amp;VAR:QUERY=RkZfUkRfRVhQKENBTCw0MDU0MywsLCxVU0Qp&amp;WINDOW=FIRST_POPUP&amp;HEIGHT=450&amp;WIDTH=450&amp;START_MA","XIMIZED=FALSE&amp;VAR:CALENDAR=US&amp;VAR:SYMBOL=BMY&amp;VAR:INDEX=0"}</definedName>
    <definedName name="_3154__FDSAUDITLINK__" hidden="1">{"fdsup://directions/FAT Viewer?action=UPDATE&amp;creator=factset&amp;DYN_ARGS=TRUE&amp;DOC_NAME=FAT:FQL_AUDITING_CLIENT_TEMPLATE.FAT&amp;display_string=Audit&amp;VAR:KEY=RWHALYVQFE&amp;VAR:QUERY=RkZfUkRfRVhQKENBTCw0MDU0MywsLCxVU0Qp&amp;WINDOW=FIRST_POPUP&amp;HEIGHT=450&amp;WIDTH=450&amp;START_MA","XIMIZED=FALSE&amp;VAR:CALENDAR=US&amp;VAR:SYMBOL=LLY&amp;VAR:INDEX=0"}</definedName>
    <definedName name="_3155__FDSAUDITLINK__" hidden="1">{"fdsup://directions/FAT Viewer?action=UPDATE&amp;creator=factset&amp;DYN_ARGS=TRUE&amp;DOC_NAME=FAT:FQL_AUDITING_CLIENT_TEMPLATE.FAT&amp;display_string=Audit&amp;VAR:KEY=BOXSLUFEFY&amp;VAR:QUERY=RkZfUkRfRVhQKENBTCw0MDU0MywsLCxVU0Qp&amp;WINDOW=FIRST_POPUP&amp;HEIGHT=450&amp;WIDTH=450&amp;START_MA","XIMIZED=FALSE&amp;VAR:CALENDAR=US&amp;VAR:SYMBOL=506921&amp;VAR:INDEX=0"}</definedName>
    <definedName name="_3156__FDSAUDITLINK__" hidden="1">{"fdsup://directions/FAT Viewer?action=UPDATE&amp;creator=factset&amp;DYN_ARGS=TRUE&amp;DOC_NAME=FAT:FQL_AUDITING_CLIENT_TEMPLATE.FAT&amp;display_string=Audit&amp;VAR:KEY=BKNWZCJIZG&amp;VAR:QUERY=RkZfUkRfRVhQKENBTCw0MDU0MywsLCxVU0Qp&amp;WINDOW=FIRST_POPUP&amp;HEIGHT=450&amp;WIDTH=450&amp;START_MA","XIMIZED=FALSE&amp;VAR:CALENDAR=US&amp;VAR:SYMBOL=567173&amp;VAR:INDEX=0"}</definedName>
    <definedName name="_3157__FDSAUDITLINK__" hidden="1">{"fdsup://directions/FAT Viewer?action=UPDATE&amp;creator=factset&amp;DYN_ARGS=TRUE&amp;DOC_NAME=FAT:FQL_AUDITING_CLIENT_TEMPLATE.FAT&amp;display_string=Audit&amp;VAR:KEY=ZUTEDGBCXY&amp;VAR:QUERY=RkZfUkRfRVhQKENBTCw0MDU0MywsLCxVU0Qp&amp;WINDOW=FIRST_POPUP&amp;HEIGHT=450&amp;WIDTH=450&amp;START_MA","XIMIZED=FALSE&amp;VAR:CALENDAR=US&amp;VAR:SYMBOL=JNJ&amp;VAR:INDEX=0"}</definedName>
    <definedName name="_3158__FDSAUDITLINK__" hidden="1">{"fdsup://directions/FAT Viewer?action=UPDATE&amp;creator=factset&amp;DYN_ARGS=TRUE&amp;DOC_NAME=FAT:FQL_AUDITING_CLIENT_TEMPLATE.FAT&amp;display_string=Audit&amp;VAR:KEY=TYHWTQXSJO&amp;VAR:QUERY=RkZfUkRfRVhQKENBTCw0MDU0MywsLCxVU0Qp&amp;WINDOW=FIRST_POPUP&amp;HEIGHT=450&amp;WIDTH=450&amp;START_MA","XIMIZED=FALSE&amp;VAR:CALENDAR=US&amp;VAR:SYMBOL=710306&amp;VAR:INDEX=0"}</definedName>
    <definedName name="_3159__FDSAUDITLINK__" hidden="1">{"fdsup://directions/FAT Viewer?action=UPDATE&amp;creator=factset&amp;DYN_ARGS=TRUE&amp;DOC_NAME=FAT:FQL_AUDITING_CLIENT_TEMPLATE.FAT&amp;display_string=Audit&amp;VAR:KEY=BSFYPUHUXG&amp;VAR:QUERY=RkZfUkRfRVhQKENBTCw0MDU0MywsLCxVU0Qp&amp;WINDOW=FIRST_POPUP&amp;HEIGHT=450&amp;WIDTH=450&amp;START_MA","XIMIZED=FALSE&amp;VAR:CALENDAR=US&amp;VAR:SYMBOL=711038&amp;VAR:INDEX=0"}</definedName>
    <definedName name="_316__FDSAUDITLINK__" hidden="1">{"fdsup://directions/FAT%20Viewer?VAR:TM=NTMA&amp;VAR:PCT=0.267760&amp;VAR:Y0=2004&amp;VAR:Y1=2005&amp;VAR:V0=16.910341&amp;VAR:V1=15.354053&amp;VAR:V=15.741973&amp;VAR:AUDIT_ID=00000117&amp;VAR:DATE=20040924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Aggregates&amp;VAR:MEASURE=PE_MEAN&amp;VAR:CALC_MODE=PORTFOLIO&amp;VAR:CHGPERIOD=NA&amp;VAR:FQLFORMULA=FMA_PE&amp;VAR:CURRENCY=USD&amp;VAR:P=1","110.106300&amp;VAR:THRESH=||||||&amp;VAR:null=.html"}</definedName>
    <definedName name="_3160__FDSAUDITLINK__" hidden="1">{"fdsup://directions/FAT Viewer?action=UPDATE&amp;creator=factset&amp;DYN_ARGS=TRUE&amp;DOC_NAME=FAT:FQL_AUDITING_CLIENT_TEMPLATE.FAT&amp;display_string=Audit&amp;VAR:KEY=BQXQNYHAZC&amp;VAR:QUERY=RkZfUkRfRVhQKENBTCw0MDU0MywsLCxVU0Qp&amp;WINDOW=FIRST_POPUP&amp;HEIGHT=450&amp;WIDTH=450&amp;START_MA","XIMIZED=FALSE&amp;VAR:CALENDAR=US&amp;VAR:SYMBOL=MRK&amp;VAR:INDEX=0"}</definedName>
    <definedName name="_3161__FDSAUDITLINK__" hidden="1">{"fdsup://directions/FAT Viewer?action=UPDATE&amp;creator=factset&amp;DYN_ARGS=TRUE&amp;DOC_NAME=FAT:FQL_AUDITING_CLIENT_TEMPLATE.FAT&amp;display_string=Audit&amp;VAR:KEY=XSXQHYLMVQ&amp;VAR:QUERY=RkZfUkRfRVhQKENBTCw0MDU0MywsLCwp&amp;WINDOW=FIRST_POPUP&amp;HEIGHT=450&amp;WIDTH=450&amp;START_MAXIMI","ZED=FALSE&amp;VAR:CALENDAR=US&amp;VAR:SYMBOL=BIIB&amp;VAR:INDEX=0"}</definedName>
    <definedName name="_3162__FDSAUDITLINK__" hidden="1">{"fdsup://directions/FAT Viewer?action=UPDATE&amp;creator=factset&amp;DYN_ARGS=TRUE&amp;DOC_NAME=FAT:FQL_AUDITING_CLIENT_TEMPLATE.FAT&amp;display_string=Audit&amp;VAR:KEY=LAJWREJCRQ&amp;VAR:QUERY=RkZfUkRfRVhQKENBTCw0MDE3OCwsLCwp&amp;WINDOW=FIRST_POPUP&amp;HEIGHT=450&amp;WIDTH=450&amp;START_MAXIMI","ZED=FALSE&amp;VAR:CALENDAR=US&amp;VAR:SYMBOL=BIIB&amp;VAR:INDEX=0"}</definedName>
    <definedName name="_3163__FDSAUDITLINK__" hidden="1">{"fdsup://directions/FAT Viewer?action=UPDATE&amp;creator=factset&amp;DYN_ARGS=TRUE&amp;DOC_NAME=FAT:FQL_AUDITING_CLIENT_TEMPLATE.FAT&amp;display_string=Audit&amp;VAR:KEY=TIJGJEBYTI&amp;VAR:QUERY=RkZfUkRfRVhQKENBTCwzOTgxMywsLCwp&amp;WINDOW=FIRST_POPUP&amp;HEIGHT=450&amp;WIDTH=450&amp;START_MAXIMI","ZED=FALSE&amp;VAR:CALENDAR=US&amp;VAR:SYMBOL=BIIB&amp;VAR:INDEX=0"}</definedName>
    <definedName name="_3164__FDSAUDITLINK__" hidden="1">{"fdsup://directions/FAT Viewer?action=UPDATE&amp;creator=factset&amp;DYN_ARGS=TRUE&amp;DOC_NAME=FAT:FQL_AUDITING_CLIENT_TEMPLATE.FAT&amp;display_string=Audit&amp;VAR:KEY=PODEFWZGFS&amp;VAR:QUERY=RkZfUkRfRVhQKENBTCwzOTQ0NywsLCwp&amp;WINDOW=FIRST_POPUP&amp;HEIGHT=450&amp;WIDTH=450&amp;START_MAXIMI","ZED=FALSE&amp;VAR:CALENDAR=US&amp;VAR:SYMBOL=BIIB&amp;VAR:INDEX=0"}</definedName>
    <definedName name="_3165__FDSAUDITLINK__" hidden="1">{"fdsup://directions/FAT Viewer?action=UPDATE&amp;creator=factset&amp;DYN_ARGS=TRUE&amp;DOC_NAME=FAT:FQL_AUDITING_CLIENT_TEMPLATE.FAT&amp;display_string=Audit&amp;VAR:KEY=HQFYRGDOJS&amp;VAR:QUERY=RkZfUkRfRVhQKENBTCwzOTA4MiwsLCwp&amp;WINDOW=FIRST_POPUP&amp;HEIGHT=450&amp;WIDTH=450&amp;START_MAXIMI","ZED=FALSE&amp;VAR:CALENDAR=US&amp;VAR:SYMBOL=BIIB&amp;VAR:INDEX=0"}</definedName>
    <definedName name="_3166__FDSAUDITLINK__" hidden="1">{"fdsup://directions/FAT Viewer?action=UPDATE&amp;creator=factset&amp;DYN_ARGS=TRUE&amp;DOC_NAME=FAT:FQL_AUDITING_CLIENT_TEMPLATE.FAT&amp;display_string=Audit&amp;VAR:KEY=BWLKBKRSNC&amp;VAR:QUERY=RkZfUkRfRVhQKENBTCwzODcxNywsLCwp&amp;WINDOW=FIRST_POPUP&amp;HEIGHT=450&amp;WIDTH=450&amp;START_MAXIMI","ZED=FALSE&amp;VAR:CALENDAR=US&amp;VAR:SYMBOL=BIIB&amp;VAR:INDEX=0"}</definedName>
    <definedName name="_3167__FDSAUDITLINK__" hidden="1">{"fdsup://directions/FAT Viewer?action=UPDATE&amp;creator=factset&amp;DYN_ARGS=TRUE&amp;DOC_NAME=FAT:FQL_AUDITING_CLIENT_TEMPLATE.FAT&amp;display_string=Audit&amp;VAR:KEY=NCJCPSJUJA&amp;VAR:QUERY=RkZfUkRfRVhQKENBTCwzODM1MiwsLCwp&amp;WINDOW=FIRST_POPUP&amp;HEIGHT=450&amp;WIDTH=450&amp;START_MAXIMI","ZED=FALSE&amp;VAR:CALENDAR=US&amp;VAR:SYMBOL=BIIB&amp;VAR:INDEX=0"}</definedName>
    <definedName name="_3168__FDSAUDITLINK__" hidden="1">{"fdsup://directions/FAT Viewer?action=UPDATE&amp;creator=factset&amp;DYN_ARGS=TRUE&amp;DOC_NAME=FAT:FQL_AUDITING_CLIENT_TEMPLATE.FAT&amp;display_string=Audit&amp;VAR:KEY=ROHGXITIHS&amp;VAR:QUERY=RkZfUkRfRVhQKENBTCw0MDU0MywsLCwp&amp;WINDOW=FIRST_POPUP&amp;HEIGHT=450&amp;WIDTH=450&amp;START_MAXIMI","ZED=FALSE&amp;VAR:CALENDAR=US&amp;VAR:SYMBOL=707752&amp;VAR:INDEX=0"}</definedName>
    <definedName name="_3169__FDSAUDITLINK__" hidden="1">{"fdsup://directions/FAT Viewer?action=UPDATE&amp;creator=factset&amp;DYN_ARGS=TRUE&amp;DOC_NAME=FAT:FQL_AUDITING_CLIENT_TEMPLATE.FAT&amp;display_string=Audit&amp;VAR:KEY=ZCPYBCXOHU&amp;VAR:QUERY=RkZfUkRfRVhQKENBTCw0MDE3OCwsLCwp&amp;WINDOW=FIRST_POPUP&amp;HEIGHT=450&amp;WIDTH=450&amp;START_MAXIMI","ZED=FALSE&amp;VAR:CALENDAR=US&amp;VAR:SYMBOL=707752&amp;VAR:INDEX=0"}</definedName>
    <definedName name="_317__FDSAUDITLINK__" hidden="1">{"fdsup://directions/FAT%20Viewer?VAR:TM=NTMA&amp;VAR:PCT=0.286885&amp;VAR:Y0=2004&amp;VAR:Y1=2005&amp;VAR:V0=17.172993&amp;VAR:V1=15.613946&amp;VAR:V=16.031483&amp;VAR:AUDIT_ID=00000117&amp;VAR:DATE=20040917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Aggregates&amp;VAR:MEASURE=PE_MEAN&amp;VAR:CALC_MODE=PORTFOLIO&amp;VAR:CHGPERIOD=NA&amp;VAR:FQLFORMULA=FMA_PE&amp;VAR:CURRENCY=USD&amp;VAR:P=1","128.548000&amp;VAR:THRESH=||||||&amp;VAR:null=.html"}</definedName>
    <definedName name="_3170__FDSAUDITLINK__" hidden="1">{"fdsup://directions/FAT Viewer?action=UPDATE&amp;creator=factset&amp;DYN_ARGS=TRUE&amp;DOC_NAME=FAT:FQL_AUDITING_CLIENT_TEMPLATE.FAT&amp;display_string=Audit&amp;VAR:KEY=RUHOZGXETS&amp;VAR:QUERY=RkZfUkRfRVhQKENBTCwzOTgxMywsLCwp&amp;WINDOW=FIRST_POPUP&amp;HEIGHT=450&amp;WIDTH=450&amp;START_MAXIMI","ZED=FALSE&amp;VAR:CALENDAR=US&amp;VAR:SYMBOL=707752&amp;VAR:INDEX=0"}</definedName>
    <definedName name="_3171__FDSAUDITLINK__" hidden="1">{"fdsup://directions/FAT Viewer?action=UPDATE&amp;creator=factset&amp;DYN_ARGS=TRUE&amp;DOC_NAME=FAT:FQL_AUDITING_CLIENT_TEMPLATE.FAT&amp;display_string=Audit&amp;VAR:KEY=BQVALCNUXY&amp;VAR:QUERY=RkZfUkRfRVhQKENBTCwzOTQ0NywsLCwp&amp;WINDOW=FIRST_POPUP&amp;HEIGHT=450&amp;WIDTH=450&amp;START_MAXIMI","ZED=FALSE&amp;VAR:CALENDAR=US&amp;VAR:SYMBOL=707752&amp;VAR:INDEX=0"}</definedName>
    <definedName name="_3172__FDSAUDITLINK__" hidden="1">{"fdsup://directions/FAT Viewer?action=UPDATE&amp;creator=factset&amp;DYN_ARGS=TRUE&amp;DOC_NAME=FAT:FQL_AUDITING_CLIENT_TEMPLATE.FAT&amp;display_string=Audit&amp;VAR:KEY=XODONILQRS&amp;VAR:QUERY=RkZfUkRfRVhQKENBTCw0MDU0MywsLCwp&amp;WINDOW=FIRST_POPUP&amp;HEIGHT=450&amp;WIDTH=450&amp;START_MAXIMI","ZED=FALSE&amp;VAR:CALENDAR=US&amp;VAR:SYMBOL=630720&amp;VAR:INDEX=0"}</definedName>
    <definedName name="_3173__FDSAUDITLINK__" hidden="1">{"fdsup://directions/FAT Viewer?action=UPDATE&amp;creator=factset&amp;DYN_ARGS=TRUE&amp;DOC_NAME=FAT:FQL_AUDITING_CLIENT_TEMPLATE.FAT&amp;display_string=Audit&amp;VAR:KEY=FQTINILKPY&amp;VAR:QUERY=RkZfUkRfRVhQKENBTCw0MDE3OCwsLCwp&amp;WINDOW=FIRST_POPUP&amp;HEIGHT=450&amp;WIDTH=450&amp;START_MAXIMI","ZED=FALSE&amp;VAR:CALENDAR=US&amp;VAR:SYMBOL=630720&amp;VAR:INDEX=0"}</definedName>
    <definedName name="_3174__FDSAUDITLINK__" hidden="1">{"fdsup://directions/FAT Viewer?action=UPDATE&amp;creator=factset&amp;DYN_ARGS=TRUE&amp;DOC_NAME=FAT:FQL_AUDITING_CLIENT_TEMPLATE.FAT&amp;display_string=Audit&amp;VAR:KEY=VSZYNWJGTA&amp;VAR:QUERY=RkZfUkRfRVhQKENBTCwzOTgxMywsLCwp&amp;WINDOW=FIRST_POPUP&amp;HEIGHT=450&amp;WIDTH=450&amp;START_MAXIMI","ZED=FALSE&amp;VAR:CALENDAR=US&amp;VAR:SYMBOL=630720&amp;VAR:INDEX=0"}</definedName>
    <definedName name="_3175__FDSAUDITLINK__" hidden="1">{"fdsup://directions/FAT Viewer?action=UPDATE&amp;creator=factset&amp;DYN_ARGS=TRUE&amp;DOC_NAME=FAT:FQL_AUDITING_CLIENT_TEMPLATE.FAT&amp;display_string=Audit&amp;VAR:KEY=VYJCJQLQHW&amp;VAR:QUERY=RkZfUkRfRVhQKENBTCwzOTQ0NywsLCwp&amp;WINDOW=FIRST_POPUP&amp;HEIGHT=450&amp;WIDTH=450&amp;START_MAXIMI","ZED=FALSE&amp;VAR:CALENDAR=US&amp;VAR:SYMBOL=630720&amp;VAR:INDEX=0"}</definedName>
    <definedName name="_3176__FDSAUDITLINK__" hidden="1">{"fdsup://directions/FAT Viewer?action=UPDATE&amp;creator=factset&amp;DYN_ARGS=TRUE&amp;DOC_NAME=FAT:FQL_AUDITING_CLIENT_TEMPLATE.FAT&amp;display_string=Audit&amp;VAR:KEY=TUBQTARIDK&amp;VAR:QUERY=RkZfUkRfRVhQKENBTCwzOTA4MiwsLCwp&amp;WINDOW=FIRST_POPUP&amp;HEIGHT=450&amp;WIDTH=450&amp;START_MAXIMI","ZED=FALSE&amp;VAR:CALENDAR=US&amp;VAR:SYMBOL=630720&amp;VAR:INDEX=0"}</definedName>
    <definedName name="_3177__FDSAUDITLINK__" hidden="1">{"fdsup://directions/FAT Viewer?action=UPDATE&amp;creator=factset&amp;DYN_ARGS=TRUE&amp;DOC_NAME=FAT:FQL_AUDITING_CLIENT_TEMPLATE.FAT&amp;display_string=Audit&amp;VAR:KEY=TEDCLSDYNM&amp;VAR:QUERY=RkZfUkRfRVhQKENBTCwzODcxNywsLCwp&amp;WINDOW=FIRST_POPUP&amp;HEIGHT=450&amp;WIDTH=450&amp;START_MAXIMI","ZED=FALSE&amp;VAR:CALENDAR=US&amp;VAR:SYMBOL=630720&amp;VAR:INDEX=0"}</definedName>
    <definedName name="_3178__FDSAUDITLINK__" hidden="1">{"fdsup://directions/FAT Viewer?action=UPDATE&amp;creator=factset&amp;DYN_ARGS=TRUE&amp;DOC_NAME=FAT:FQL_AUDITING_CLIENT_TEMPLATE.FAT&amp;display_string=Audit&amp;VAR:KEY=HWBSXSJUJE&amp;VAR:QUERY=RkZfUkRfRVhQKENBTCwzODM1MiwsLCwp&amp;WINDOW=FIRST_POPUP&amp;HEIGHT=450&amp;WIDTH=450&amp;START_MAXIMI","ZED=FALSE&amp;VAR:CALENDAR=US&amp;VAR:SYMBOL=630720&amp;VAR:INDEX=0"}</definedName>
    <definedName name="_3179__FDSAUDITLINK__" hidden="1">{"fdsup://directions/FAT Viewer?action=UPDATE&amp;creator=factset&amp;DYN_ARGS=TRUE&amp;DOC_NAME=FAT:FQL_AUDITING_CLIENT_TEMPLATE.FAT&amp;display_string=Audit&amp;VAR:KEY=NOFYHOLEJE&amp;VAR:QUERY=RkZfUkRfRVhQKENBTCwzNzk4NiwsLCwp&amp;WINDOW=FIRST_POPUP&amp;HEIGHT=450&amp;WIDTH=450&amp;START_MAXIMI","ZED=FALSE&amp;VAR:CALENDAR=US&amp;VAR:SYMBOL=630720&amp;VAR:INDEX=0"}</definedName>
    <definedName name="_318__FDSAUDITLINK__" hidden="1">{"fdsup://directions/FAT%20Viewer?VAR:TM=NTMA&amp;VAR:PCT=0.306011&amp;VAR:Y0=2004&amp;VAR:Y1=2005&amp;VAR:V0=17.085815&amp;VAR:V1=15.526444&amp;VAR:V=15.972536&amp;VAR:AUDIT_ID=00000117&amp;VAR:DATE=20040910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Aggregates&amp;VAR:MEASURE=PE_MEAN&amp;VAR:CALC_MODE=PORTFOLIO&amp;VAR:CHGPERIOD=NA&amp;VAR:FQLFORMULA=FMA_PE&amp;VAR:CURRENCY=USD&amp;VAR:P=1","123.915600&amp;VAR:THRESH=||||||&amp;VAR:null=.html"}</definedName>
    <definedName name="_3180__FDSAUDITLINK__" hidden="1">{"fdsup://directions/FAT Viewer?action=UPDATE&amp;creator=factset&amp;DYN_ARGS=TRUE&amp;DOC_NAME=FAT:FQL_AUDITING_CLIENT_TEMPLATE.FAT&amp;display_string=Audit&amp;VAR:KEY=HMDKDGFUVI&amp;VAR:QUERY=RkZfUkRfRVhQKENBTCw0MDU0MywsLCwp&amp;WINDOW=FIRST_POPUP&amp;HEIGHT=450&amp;WIDTH=450&amp;START_MAXIMI","ZED=FALSE&amp;VAR:CALENDAR=US&amp;VAR:SYMBOL=698538&amp;VAR:INDEX=0"}</definedName>
    <definedName name="_3181__FDSAUDITLINK__" hidden="1">{"fdsup://directions/FAT Viewer?action=UPDATE&amp;creator=factset&amp;DYN_ARGS=TRUE&amp;DOC_NAME=FAT:FQL_AUDITING_CLIENT_TEMPLATE.FAT&amp;display_string=Audit&amp;VAR:KEY=XEFUVIRUFI&amp;VAR:QUERY=RkZfUkRfRVhQKENBTCw0MDE3OCwsLCwp&amp;WINDOW=FIRST_POPUP&amp;HEIGHT=450&amp;WIDTH=450&amp;START_MAXIMI","ZED=FALSE&amp;VAR:CALENDAR=US&amp;VAR:SYMBOL=698538&amp;VAR:INDEX=0"}</definedName>
    <definedName name="_3182__FDSAUDITLINK__" hidden="1">{"fdsup://directions/FAT Viewer?action=UPDATE&amp;creator=factset&amp;DYN_ARGS=TRUE&amp;DOC_NAME=FAT:FQL_AUDITING_CLIENT_TEMPLATE.FAT&amp;display_string=Audit&amp;VAR:KEY=HYTMLEDUVS&amp;VAR:QUERY=RkZfUkRfRVhQKENBTCwzOTgxMywsLCwp&amp;WINDOW=FIRST_POPUP&amp;HEIGHT=450&amp;WIDTH=450&amp;START_MAXIMI","ZED=FALSE&amp;VAR:CALENDAR=US&amp;VAR:SYMBOL=698538&amp;VAR:INDEX=0"}</definedName>
    <definedName name="_3183__FDSAUDITLINK__" hidden="1">{"fdsup://directions/FAT Viewer?action=UPDATE&amp;creator=factset&amp;DYN_ARGS=TRUE&amp;DOC_NAME=FAT:FQL_AUDITING_CLIENT_TEMPLATE.FAT&amp;display_string=Audit&amp;VAR:KEY=DSRAFCZODS&amp;VAR:QUERY=RkZfUkRfRVhQKENBTCwzOTQ0NywsLCwp&amp;WINDOW=FIRST_POPUP&amp;HEIGHT=450&amp;WIDTH=450&amp;START_MAXIMI","ZED=FALSE&amp;VAR:CALENDAR=US&amp;VAR:SYMBOL=698538&amp;VAR:INDEX=0"}</definedName>
    <definedName name="_3184__FDSAUDITLINK__" hidden="1">{"fdsup://directions/FAT Viewer?action=UPDATE&amp;creator=factset&amp;DYN_ARGS=TRUE&amp;DOC_NAME=FAT:FQL_AUDITING_CLIENT_TEMPLATE.FAT&amp;display_string=Audit&amp;VAR:KEY=FODYBQZGBW&amp;VAR:QUERY=RkZfUkRfRVhQKENBTCwzOTA4MiwsLCwp&amp;WINDOW=FIRST_POPUP&amp;HEIGHT=450&amp;WIDTH=450&amp;START_MAXIMI","ZED=FALSE&amp;VAR:CALENDAR=US&amp;VAR:SYMBOL=698538&amp;VAR:INDEX=0"}</definedName>
    <definedName name="_3185__FDSAUDITLINK__" hidden="1">{"fdsup://directions/FAT Viewer?action=UPDATE&amp;creator=factset&amp;DYN_ARGS=TRUE&amp;DOC_NAME=FAT:FQL_AUDITING_CLIENT_TEMPLATE.FAT&amp;display_string=Audit&amp;VAR:KEY=LMDOJUJATK&amp;VAR:QUERY=RkZfUkRfRVhQKENBTCwzODcxNywsLCwp&amp;WINDOW=FIRST_POPUP&amp;HEIGHT=450&amp;WIDTH=450&amp;START_MAXIMI","ZED=FALSE&amp;VAR:CALENDAR=US&amp;VAR:SYMBOL=698538&amp;VAR:INDEX=0"}</definedName>
    <definedName name="_3186__FDSAUDITLINK__" hidden="1">{"fdsup://directions/FAT Viewer?action=UPDATE&amp;creator=factset&amp;DYN_ARGS=TRUE&amp;DOC_NAME=FAT:FQL_AUDITING_CLIENT_TEMPLATE.FAT&amp;display_string=Audit&amp;VAR:KEY=BCDOVGLIHM&amp;VAR:QUERY=RkZfUkRfRVhQKENBTCwzODM1MiwsLCwp&amp;WINDOW=FIRST_POPUP&amp;HEIGHT=450&amp;WIDTH=450&amp;START_MAXIMI","ZED=FALSE&amp;VAR:CALENDAR=US&amp;VAR:SYMBOL=698538&amp;VAR:INDEX=0"}</definedName>
    <definedName name="_3187__FDSAUDITLINK__" hidden="1">{"fdsup://directions/FAT Viewer?action=UPDATE&amp;creator=factset&amp;DYN_ARGS=TRUE&amp;DOC_NAME=FAT:FQL_AUDITING_CLIENT_TEMPLATE.FAT&amp;display_string=Audit&amp;VAR:KEY=VAVSHGNKLS&amp;VAR:QUERY=RkZfUkRfRVhQKENBTCwzNzk4NiwsLCwp&amp;WINDOW=FIRST_POPUP&amp;HEIGHT=450&amp;WIDTH=450&amp;START_MAXIMI","ZED=FALSE&amp;VAR:CALENDAR=US&amp;VAR:SYMBOL=698538&amp;VAR:INDEX=0"}</definedName>
    <definedName name="_3188__FDSAUDITLINK__" hidden="1">{"fdsup://directions/FAT Viewer?action=UPDATE&amp;creator=factset&amp;DYN_ARGS=TRUE&amp;DOC_NAME=FAT:FQL_AUDITING_CLIENT_TEMPLATE.FAT&amp;display_string=Audit&amp;VAR:KEY=BIZIJKTURI&amp;VAR:QUERY=RkZfUkRfRVhQKENBTCw0MDU0MywsLCwp&amp;WINDOW=FIRST_POPUP&amp;HEIGHT=450&amp;WIDTH=450&amp;START_MAXIMI","ZED=FALSE&amp;VAR:CALENDAR=US&amp;VAR:SYMBOL=474184&amp;VAR:INDEX=0"}</definedName>
    <definedName name="_3189__FDSAUDITLINK__" hidden="1">{"fdsup://directions/FAT Viewer?action=UPDATE&amp;creator=factset&amp;DYN_ARGS=TRUE&amp;DOC_NAME=FAT:FQL_AUDITING_CLIENT_TEMPLATE.FAT&amp;display_string=Audit&amp;VAR:KEY=BCFCJCDITY&amp;VAR:QUERY=RkZfUkRfRVhQKENBTCw0MDE3OCwsLCwp&amp;WINDOW=FIRST_POPUP&amp;HEIGHT=450&amp;WIDTH=450&amp;START_MAXIMI","ZED=FALSE&amp;VAR:CALENDAR=US&amp;VAR:SYMBOL=474184&amp;VAR:INDEX=0"}</definedName>
    <definedName name="_319__FDSAUDITLINK__" hidden="1">{"fdsup://directions/FAT%20Viewer?VAR:TM=NTMA&amp;VAR:PCT=0.325137&amp;VAR:Y0=2004&amp;VAR:Y1=2005&amp;VAR:V0=16.948303&amp;VAR:V1=15.386287&amp;VAR:V=15.861591&amp;VAR:AUDIT_ID=00000117&amp;VAR:DATE=20040903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Aggregates&amp;VAR:MEASURE=PE_MEAN&amp;VAR:CALC_MODE=PORTFOLIO&amp;VAR:CHGPERIOD=NA&amp;VAR:FQLFORMULA=FMA_PE&amp;VAR:CURRENCY=USD&amp;VAR:P=1","113.630500&amp;VAR:THRESH=||||||&amp;VAR:null=.html"}</definedName>
    <definedName name="_3190__FDSAUDITLINK__" hidden="1">{"fdsup://directions/FAT Viewer?action=UPDATE&amp;creator=factset&amp;DYN_ARGS=TRUE&amp;DOC_NAME=FAT:FQL_AUDITING_CLIENT_TEMPLATE.FAT&amp;display_string=Audit&amp;VAR:KEY=RUVIBOLGPQ&amp;VAR:QUERY=RkZfUkRfRVhQKENBTCw0MDU0MywsLCwp&amp;WINDOW=FIRST_POPUP&amp;HEIGHT=450&amp;WIDTH=450&amp;START_MAXIMI","ZED=FALSE&amp;VAR:CALENDAR=US&amp;VAR:SYMBOL=B0J7D9&amp;VAR:INDEX=0"}</definedName>
    <definedName name="_3191__FDSAUDITLINK__" hidden="1">{"fdsup://directions/FAT Viewer?action=UPDATE&amp;creator=factset&amp;DYN_ARGS=TRUE&amp;DOC_NAME=FAT:FQL_AUDITING_CLIENT_TEMPLATE.FAT&amp;display_string=Audit&amp;VAR:KEY=DQXADMHEVC&amp;VAR:QUERY=RkZfUkRfRVhQKENBTCw0MDE3OCwsLCxKUFkp&amp;WINDOW=FIRST_POPUP&amp;HEIGHT=450&amp;WIDTH=450&amp;START_MA","XIMIZED=FALSE&amp;VAR:CALENDAR=US&amp;VAR:SYMBOL=B0J7D9&amp;VAR:INDEX=0"}</definedName>
    <definedName name="_3192__FDSAUDITLINK__" hidden="1">{"fdsup://directions/FAT Viewer?action=UPDATE&amp;creator=factset&amp;DYN_ARGS=TRUE&amp;DOC_NAME=FAT:FQL_AUDITING_CLIENT_TEMPLATE.FAT&amp;display_string=Audit&amp;VAR:KEY=TOLORIHYHO&amp;VAR:QUERY=RkZfUkRfRVhQKENBTCwzOTgxMywsLCxKUFkp&amp;WINDOW=FIRST_POPUP&amp;HEIGHT=450&amp;WIDTH=450&amp;START_MA","XIMIZED=FALSE&amp;VAR:CALENDAR=US&amp;VAR:SYMBOL=B0J7D9&amp;VAR:INDEX=0"}</definedName>
    <definedName name="_3193__FDSAUDITLINK__" hidden="1">{"fdsup://directions/FAT Viewer?action=UPDATE&amp;creator=factset&amp;DYN_ARGS=TRUE&amp;DOC_NAME=FAT:FQL_AUDITING_CLIENT_TEMPLATE.FAT&amp;display_string=Audit&amp;VAR:KEY=JOZMPGZMJM&amp;VAR:QUERY=RkZfUkRfRVhQKENBTCwzOTQ0NywsLCxKUFkp&amp;WINDOW=FIRST_POPUP&amp;HEIGHT=450&amp;WIDTH=450&amp;START_MA","XIMIZED=FALSE&amp;VAR:CALENDAR=US&amp;VAR:SYMBOL=B0J7D9&amp;VAR:INDEX=0"}</definedName>
    <definedName name="_3194__FDSAUDITLINK__" hidden="1">{"fdsup://directions/FAT Viewer?action=UPDATE&amp;creator=factset&amp;DYN_ARGS=TRUE&amp;DOC_NAME=FAT:FQL_AUDITING_CLIENT_TEMPLATE.FAT&amp;display_string=Audit&amp;VAR:KEY=NABIRCXULI&amp;VAR:QUERY=RkZfUkRfRVhQKENBTCwzOTA4MiwsLCxKUFkp&amp;WINDOW=FIRST_POPUP&amp;HEIGHT=450&amp;WIDTH=450&amp;START_MA","XIMIZED=FALSE&amp;VAR:CALENDAR=US&amp;VAR:SYMBOL=B0J7D9&amp;VAR:INDEX=0"}</definedName>
    <definedName name="_3195__FDSAUDITLINK__" hidden="1">{"fdsup://directions/FAT Viewer?action=UPDATE&amp;creator=factset&amp;DYN_ARGS=TRUE&amp;DOC_NAME=FAT:FQL_AUDITING_CLIENT_TEMPLATE.FAT&amp;display_string=Audit&amp;VAR:KEY=PKNSHOFKFO&amp;VAR:QUERY=RkZfUkRfRVhQKENBTCwzODcxNywsLCxKUFkp&amp;WINDOW=FIRST_POPUP&amp;HEIGHT=450&amp;WIDTH=450&amp;START_MA","XIMIZED=FALSE&amp;VAR:CALENDAR=US&amp;VAR:SYMBOL=B0J7D9&amp;VAR:INDEX=0"}</definedName>
    <definedName name="_3196__FDSAUDITLINK__" hidden="1">{"fdsup://directions/FAT Viewer?action=UPDATE&amp;creator=factset&amp;DYN_ARGS=TRUE&amp;DOC_NAME=FAT:FQL_AUDITING_CLIENT_TEMPLATE.FAT&amp;display_string=Audit&amp;VAR:KEY=TEXUHKRIJS&amp;VAR:QUERY=RkZfUkRfRVhQKENBTCwzODM1MiwsLCxKUFkp&amp;WINDOW=FIRST_POPUP&amp;HEIGHT=450&amp;WIDTH=450&amp;START_MA","XIMIZED=FALSE&amp;VAR:CALENDAR=US&amp;VAR:SYMBOL=B0J7D9&amp;VAR:INDEX=0"}</definedName>
    <definedName name="_3197__FDSAUDITLINK__" hidden="1">{"fdsup://directions/FAT Viewer?action=UPDATE&amp;creator=factset&amp;DYN_ARGS=TRUE&amp;DOC_NAME=FAT:FQL_AUDITING_CLIENT_TEMPLATE.FAT&amp;display_string=Audit&amp;VAR:KEY=BMDYTORIHY&amp;VAR:QUERY=RkZfUkRfRVhQKENBTCwzNzk4NiwsLCxKUFkp&amp;WINDOW=FIRST_POPUP&amp;HEIGHT=450&amp;WIDTH=450&amp;START_MA","XIMIZED=FALSE&amp;VAR:CALENDAR=US&amp;VAR:SYMBOL=B0J7D9&amp;VAR:INDEX=0"}</definedName>
    <definedName name="_3198__FDSAUDITLINK__" hidden="1">{"fdsup://directions/FAT Viewer?action=UPDATE&amp;creator=factset&amp;DYN_ARGS=TRUE&amp;DOC_NAME=FAT:FQL_AUDITING_CLIENT_TEMPLATE.FAT&amp;display_string=Audit&amp;VAR:KEY=ZSZUFATADA&amp;VAR:QUERY=RkZfUkRfRVhQKENBTCw0MDU0MywsLCwp&amp;WINDOW=FIRST_POPUP&amp;HEIGHT=450&amp;WIDTH=450&amp;START_MAXIMI","ZED=FALSE&amp;VAR:CALENDAR=US&amp;VAR:SYMBOL=AMGN&amp;VAR:INDEX=0"}</definedName>
    <definedName name="_3199__FDSAUDITLINK__" hidden="1">{"fdsup://directions/FAT Viewer?action=UPDATE&amp;creator=factset&amp;DYN_ARGS=TRUE&amp;DOC_NAME=FAT:FQL_AUDITING_CLIENT_TEMPLATE.FAT&amp;display_string=Audit&amp;VAR:KEY=NETMBUPAPS&amp;VAR:QUERY=RkZfUkRfRVhQKENBTCw0MDE3OCwsLCwp&amp;WINDOW=FIRST_POPUP&amp;HEIGHT=450&amp;WIDTH=450&amp;START_MAXIMI","ZED=FALSE&amp;VAR:CALENDAR=US&amp;VAR:SYMBOL=AMGN&amp;VAR:INDEX=0"}</definedName>
    <definedName name="_32__FDSAUDITLINK__" hidden="1">{"fdsup://directions/FAT%20Viewer?VAR:TM=NTMA&amp;VAR:PCT=0.824658&amp;VAR:Y0=2010&amp;VAR:Y1=2011&amp;VAR:V0=14.356710&amp;VAR:V1=12.023884&amp;VAR:V=13.884374&amp;VAR:AUDIT_ID=00000117&amp;VAR:DATE=20100305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Aggregates&amp;VAR:MEASURE=PE_MEAN&amp;VAR:CALC_MODE=PORTFOLIO&amp;VAR:CHGPERIOD=NA&amp;VAR:FQLFORMULA=FMA_PE&amp;VAR:CURRENCY=USD&amp;VAR:P=1","138.698076&amp;VAR:THRESH=||||||&amp;VAR:null=.html"}</definedName>
    <definedName name="_320__FDSAUDITLINK__" hidden="1">{"fdsup://directions/FAT%20Viewer?VAR:TM=NTMA&amp;VAR:PCT=0.344262&amp;VAR:Y0=2004&amp;VAR:Y1=2005&amp;VAR:V0=16.861742&amp;VAR:V1=15.310281&amp;VAR:V=15.811111&amp;VAR:AUDIT_ID=00000117&amp;VAR:DATE=20040827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Aggregates&amp;VAR:MEASURE=PE_MEAN&amp;VAR:CALC_MODE=PORTFOLIO&amp;VAR:CHGPERIOD=NA&amp;VAR:FQLFORMULA=FMA_PE&amp;VAR:CURRENCY=USD&amp;VAR:P=1","107.767800&amp;VAR:THRESH=||||||&amp;VAR:null=.html"}</definedName>
    <definedName name="_3200__FDSAUDITLINK__" hidden="1">{"fdsup://directions/FAT Viewer?action=UPDATE&amp;creator=factset&amp;DYN_ARGS=TRUE&amp;DOC_NAME=FAT:FQL_AUDITING_CLIENT_TEMPLATE.FAT&amp;display_string=Audit&amp;VAR:KEY=BWFKBKBAJS&amp;VAR:QUERY=RkZfUkRfRVhQKENBTCwzOTgxMywsLCwp&amp;WINDOW=FIRST_POPUP&amp;HEIGHT=450&amp;WIDTH=450&amp;START_MAXIMI","ZED=FALSE&amp;VAR:CALENDAR=US&amp;VAR:SYMBOL=AMGN&amp;VAR:INDEX=0"}</definedName>
    <definedName name="_3201__FDSAUDITLINK__" hidden="1">{"fdsup://directions/FAT Viewer?action=UPDATE&amp;creator=factset&amp;DYN_ARGS=TRUE&amp;DOC_NAME=FAT:FQL_AUDITING_CLIENT_TEMPLATE.FAT&amp;display_string=Audit&amp;VAR:KEY=JGFKDSPYPQ&amp;VAR:QUERY=RkZfUkRfRVhQKENBTCwzOTQ0NywsLCwp&amp;WINDOW=FIRST_POPUP&amp;HEIGHT=450&amp;WIDTH=450&amp;START_MAXIMI","ZED=FALSE&amp;VAR:CALENDAR=US&amp;VAR:SYMBOL=AMGN&amp;VAR:INDEX=0"}</definedName>
    <definedName name="_3202__FDSAUDITLINK__" hidden="1">{"fdsup://directions/FAT Viewer?action=UPDATE&amp;creator=factset&amp;DYN_ARGS=TRUE&amp;DOC_NAME=FAT:FQL_AUDITING_CLIENT_TEMPLATE.FAT&amp;display_string=Audit&amp;VAR:KEY=PITSZWZGJQ&amp;VAR:QUERY=RkZfUkRfRVhQKENBTCwzOTA4MiwsLCwp&amp;WINDOW=FIRST_POPUP&amp;HEIGHT=450&amp;WIDTH=450&amp;START_MAXIMI","ZED=FALSE&amp;VAR:CALENDAR=US&amp;VAR:SYMBOL=AMGN&amp;VAR:INDEX=0"}</definedName>
    <definedName name="_3203__FDSAUDITLINK__" hidden="1">{"fdsup://directions/FAT Viewer?action=UPDATE&amp;creator=factset&amp;DYN_ARGS=TRUE&amp;DOC_NAME=FAT:FQL_AUDITING_CLIENT_TEMPLATE.FAT&amp;display_string=Audit&amp;VAR:KEY=HKBWVOJSHI&amp;VAR:QUERY=RkZfUkRfRVhQKENBTCwzODcxNywsLCwp&amp;WINDOW=FIRST_POPUP&amp;HEIGHT=450&amp;WIDTH=450&amp;START_MAXIMI","ZED=FALSE&amp;VAR:CALENDAR=US&amp;VAR:SYMBOL=AMGN&amp;VAR:INDEX=0"}</definedName>
    <definedName name="_3204__FDSAUDITLINK__" hidden="1">{"fdsup://directions/FAT Viewer?action=UPDATE&amp;creator=factset&amp;DYN_ARGS=TRUE&amp;DOC_NAME=FAT:FQL_AUDITING_CLIENT_TEMPLATE.FAT&amp;display_string=Audit&amp;VAR:KEY=TUHABOXUJS&amp;VAR:QUERY=RkZfUkRfRVhQKENBTCwzODM1MiwsLCwp&amp;WINDOW=FIRST_POPUP&amp;HEIGHT=450&amp;WIDTH=450&amp;START_MAXIMI","ZED=FALSE&amp;VAR:CALENDAR=US&amp;VAR:SYMBOL=AMGN&amp;VAR:INDEX=0"}</definedName>
    <definedName name="_3205__FDSAUDITLINK__" hidden="1">{"fdsup://directions/FAT Viewer?action=UPDATE&amp;creator=factset&amp;DYN_ARGS=TRUE&amp;DOC_NAME=FAT:FQL_AUDITING_CLIENT_TEMPLATE.FAT&amp;display_string=Audit&amp;VAR:KEY=LIRCBIRMZO&amp;VAR:QUERY=RkZfUkRfRVhQKENBTCw0MDU0MywsLCwp&amp;WINDOW=FIRST_POPUP&amp;HEIGHT=450&amp;WIDTH=450&amp;START_MAXIMI","ZED=FALSE&amp;VAR:CALENDAR=US&amp;VAR:SYMBOL=ABT&amp;VAR:INDEX=0"}</definedName>
    <definedName name="_3206__FDSAUDITLINK__" hidden="1">{"fdsup://directions/FAT Viewer?action=UPDATE&amp;creator=factset&amp;DYN_ARGS=TRUE&amp;DOC_NAME=FAT:FQL_AUDITING_CLIENT_TEMPLATE.FAT&amp;display_string=Audit&amp;VAR:KEY=FKDMVIHOJW&amp;VAR:QUERY=RkZfUkRfRVhQKENBTCw0MDE3OCwsLCwp&amp;WINDOW=FIRST_POPUP&amp;HEIGHT=450&amp;WIDTH=450&amp;START_MAXIMI","ZED=FALSE&amp;VAR:CALENDAR=US&amp;VAR:SYMBOL=ABT&amp;VAR:INDEX=0"}</definedName>
    <definedName name="_3207__FDSAUDITLINK__" hidden="1">{"fdsup://directions/FAT Viewer?action=UPDATE&amp;creator=factset&amp;DYN_ARGS=TRUE&amp;DOC_NAME=FAT:FQL_AUDITING_CLIENT_TEMPLATE.FAT&amp;display_string=Audit&amp;VAR:KEY=DEROHMZOBS&amp;VAR:QUERY=RkZfUkRfRVhQKENBTCwzOTgxMywsLCwp&amp;WINDOW=FIRST_POPUP&amp;HEIGHT=450&amp;WIDTH=450&amp;START_MAXIMI","ZED=FALSE&amp;VAR:CALENDAR=US&amp;VAR:SYMBOL=ABT&amp;VAR:INDEX=0"}</definedName>
    <definedName name="_3208__FDSAUDITLINK__" hidden="1">{"fdsup://directions/FAT Viewer?action=UPDATE&amp;creator=factset&amp;DYN_ARGS=TRUE&amp;DOC_NAME=FAT:FQL_AUDITING_CLIENT_TEMPLATE.FAT&amp;display_string=Audit&amp;VAR:KEY=FSDQDMTKFI&amp;VAR:QUERY=RkZfUkRfRVhQKENBTCwzOTQ0NywsLCwp&amp;WINDOW=FIRST_POPUP&amp;HEIGHT=450&amp;WIDTH=450&amp;START_MAXIMI","ZED=FALSE&amp;VAR:CALENDAR=US&amp;VAR:SYMBOL=ABT&amp;VAR:INDEX=0"}</definedName>
    <definedName name="_3209__FDSAUDITLINK__" hidden="1">{"fdsup://directions/FAT Viewer?action=UPDATE&amp;creator=factset&amp;DYN_ARGS=TRUE&amp;DOC_NAME=FAT:FQL_AUDITING_CLIENT_TEMPLATE.FAT&amp;display_string=Audit&amp;VAR:KEY=DKXQFUXYNQ&amp;VAR:QUERY=RkZfUkRfRVhQKENBTCwzOTA4MiwsLCwp&amp;WINDOW=FIRST_POPUP&amp;HEIGHT=450&amp;WIDTH=450&amp;START_MAXIMI","ZED=FALSE&amp;VAR:CALENDAR=US&amp;VAR:SYMBOL=ABT&amp;VAR:INDEX=0"}</definedName>
    <definedName name="_321__FDSAUDITLINK__" hidden="1">{"fdsup://directions/FAT%20Viewer?VAR:TM=NTMA&amp;VAR:PCT=0.363388&amp;VAR:Y0=2004&amp;VAR:Y1=2005&amp;VAR:V0=16.735010&amp;VAR:V1=15.200394&amp;VAR:V=15.724378&amp;VAR:AUDIT_ID=00000117&amp;VAR:DATE=20040820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Aggregates&amp;VAR:MEASURE=PE_MEAN&amp;VAR:CALC_MODE=PORTFOLIO&amp;VAR:CHGPERIOD=NA&amp;VAR:FQLFORMULA=FMA_PE&amp;VAR:CURRENCY=USD&amp;VAR:P=1","098.352300&amp;VAR:THRESH=||||||&amp;VAR:null=.html"}</definedName>
    <definedName name="_3210__FDSAUDITLINK__" hidden="1">{"fdsup://directions/FAT Viewer?action=UPDATE&amp;creator=factset&amp;DYN_ARGS=TRUE&amp;DOC_NAME=FAT:FQL_AUDITING_CLIENT_TEMPLATE.FAT&amp;display_string=Audit&amp;VAR:KEY=DCTAJGPGHM&amp;VAR:QUERY=RkZfUkRfRVhQKENBTCwzODcxNywsLCwp&amp;WINDOW=FIRST_POPUP&amp;HEIGHT=450&amp;WIDTH=450&amp;START_MAXIMI","ZED=FALSE&amp;VAR:CALENDAR=US&amp;VAR:SYMBOL=ABT&amp;VAR:INDEX=0"}</definedName>
    <definedName name="_3211__FDSAUDITLINK__" hidden="1">{"fdsup://directions/FAT Viewer?action=UPDATE&amp;creator=factset&amp;DYN_ARGS=TRUE&amp;DOC_NAME=FAT:FQL_AUDITING_CLIENT_TEMPLATE.FAT&amp;display_string=Audit&amp;VAR:KEY=DWROLQJYRO&amp;VAR:QUERY=RkZfUkRfRVhQKENBTCwzODM1MiwsLCwp&amp;WINDOW=FIRST_POPUP&amp;HEIGHT=450&amp;WIDTH=450&amp;START_MAXIMI","ZED=FALSE&amp;VAR:CALENDAR=US&amp;VAR:SYMBOL=ABT&amp;VAR:INDEX=0"}</definedName>
    <definedName name="_3212__FDSAUDITLINK__" hidden="1">{"fdsup://directions/FAT Viewer?action=UPDATE&amp;creator=factset&amp;DYN_ARGS=TRUE&amp;DOC_NAME=FAT:FQL_AUDITING_CLIENT_TEMPLATE.FAT&amp;display_string=Audit&amp;VAR:KEY=JOTAHWPUXS&amp;VAR:QUERY=RkZfUkRfRVhQKENBTCw0MDU0MywsLCwp&amp;WINDOW=FIRST_POPUP&amp;HEIGHT=450&amp;WIDTH=450&amp;START_MAXIMI","ZED=FALSE&amp;VAR:CALENDAR=US&amp;VAR:SYMBOL=687044&amp;VAR:INDEX=0"}</definedName>
    <definedName name="_3213__FDSAUDITLINK__" hidden="1">{"fdsup://directions/FAT Viewer?action=UPDATE&amp;creator=factset&amp;DYN_ARGS=TRUE&amp;DOC_NAME=FAT:FQL_AUDITING_CLIENT_TEMPLATE.FAT&amp;display_string=Audit&amp;VAR:KEY=JSFKTSLWZU&amp;VAR:QUERY=RkZfUkRfRVhQKENBTCw0MDE3OCwsLCwp&amp;WINDOW=FIRST_POPUP&amp;HEIGHT=450&amp;WIDTH=450&amp;START_MAXIMI","ZED=FALSE&amp;VAR:CALENDAR=US&amp;VAR:SYMBOL=687044&amp;VAR:INDEX=0"}</definedName>
    <definedName name="_3214__FDSAUDITLINK__" hidden="1">{"fdsup://directions/FAT Viewer?action=UPDATE&amp;creator=factset&amp;DYN_ARGS=TRUE&amp;DOC_NAME=FAT:FQL_AUDITING_CLIENT_TEMPLATE.FAT&amp;display_string=Audit&amp;VAR:KEY=BWLSXWFQJQ&amp;VAR:QUERY=RkZfUkRfRVhQKENBTCwzOTgxMywsLCwp&amp;WINDOW=FIRST_POPUP&amp;HEIGHT=450&amp;WIDTH=450&amp;START_MAXIMI","ZED=FALSE&amp;VAR:CALENDAR=US&amp;VAR:SYMBOL=687044&amp;VAR:INDEX=0"}</definedName>
    <definedName name="_3215__FDSAUDITLINK__" hidden="1">{"fdsup://directions/FAT Viewer?action=UPDATE&amp;creator=factset&amp;DYN_ARGS=TRUE&amp;DOC_NAME=FAT:FQL_AUDITING_CLIENT_TEMPLATE.FAT&amp;display_string=Audit&amp;VAR:KEY=RSBIBMVATE&amp;VAR:QUERY=RkZfUkRfRVhQKENBTCwzOTQ0NywsLCwp&amp;WINDOW=FIRST_POPUP&amp;HEIGHT=450&amp;WIDTH=450&amp;START_MAXIMI","ZED=FALSE&amp;VAR:CALENDAR=US&amp;VAR:SYMBOL=687044&amp;VAR:INDEX=0"}</definedName>
    <definedName name="_3216__FDSAUDITLINK__" hidden="1">{"fdsup://directions/FAT Viewer?action=UPDATE&amp;creator=factset&amp;DYN_ARGS=TRUE&amp;DOC_NAME=FAT:FQL_AUDITING_CLIENT_TEMPLATE.FAT&amp;display_string=Audit&amp;VAR:KEY=BMBQFCROBS&amp;VAR:QUERY=RkZfUkRfRVhQKENBTCwzOTA4MiwsLCwp&amp;WINDOW=FIRST_POPUP&amp;HEIGHT=450&amp;WIDTH=450&amp;START_MAXIMI","ZED=FALSE&amp;VAR:CALENDAR=US&amp;VAR:SYMBOL=687044&amp;VAR:INDEX=0"}</definedName>
    <definedName name="_3217__FDSAUDITLINK__" hidden="1">{"fdsup://directions/FAT Viewer?action=UPDATE&amp;creator=factset&amp;DYN_ARGS=TRUE&amp;DOC_NAME=FAT:FQL_AUDITING_CLIENT_TEMPLATE.FAT&amp;display_string=Audit&amp;VAR:KEY=PSVODMRWBK&amp;VAR:QUERY=RkZfUkRfRVhQKENBTCwzODcxNywsLCwp&amp;WINDOW=FIRST_POPUP&amp;HEIGHT=450&amp;WIDTH=450&amp;START_MAXIMI","ZED=FALSE&amp;VAR:CALENDAR=US&amp;VAR:SYMBOL=687044&amp;VAR:INDEX=0"}</definedName>
    <definedName name="_3218__FDSAUDITLINK__" hidden="1">{"fdsup://directions/FAT Viewer?action=UPDATE&amp;creator=factset&amp;DYN_ARGS=TRUE&amp;DOC_NAME=FAT:FQL_AUDITING_CLIENT_TEMPLATE.FAT&amp;display_string=Audit&amp;VAR:KEY=XETOTYBIDC&amp;VAR:QUERY=RkZfUkRfRVhQKENBTCwzODM1MiwsLCwp&amp;WINDOW=FIRST_POPUP&amp;HEIGHT=450&amp;WIDTH=450&amp;START_MAXIMI","ZED=FALSE&amp;VAR:CALENDAR=US&amp;VAR:SYMBOL=687044&amp;VAR:INDEX=0"}</definedName>
    <definedName name="_3219__FDSAUDITLINK__" hidden="1">{"fdsup://directions/FAT Viewer?action=UPDATE&amp;creator=factset&amp;DYN_ARGS=TRUE&amp;DOC_NAME=FAT:FQL_AUDITING_CLIENT_TEMPLATE.FAT&amp;display_string=Audit&amp;VAR:KEY=ZYDGDSXIPY&amp;VAR:QUERY=RkZfUkRfRVhQKENBTCwzNzk4NiwsLCwp&amp;WINDOW=FIRST_POPUP&amp;HEIGHT=450&amp;WIDTH=450&amp;START_MAXIMI","ZED=FALSE&amp;VAR:CALENDAR=US&amp;VAR:SYMBOL=687044&amp;VAR:INDEX=0"}</definedName>
    <definedName name="_322__FDSAUDITLINK__" hidden="1">{"fdsup://directions/FAT%20Viewer?VAR:TM=NTMA&amp;VAR:PCT=0.382514&amp;VAR:Y0=2004&amp;VAR:Y1=2005&amp;VAR:V0=16.243265&amp;VAR:V1=14.753015&amp;VAR:V=15.289588&amp;VAR:AUDIT_ID=00000117&amp;VAR:DATE=20040813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Aggregates&amp;VAR:MEASURE=PE_MEAN&amp;VAR:CALC_MODE=PORTFOLIO&amp;VAR:CHGPERIOD=NA&amp;VAR:FQLFORMULA=FMA_PE&amp;VAR:CURRENCY=USD&amp;VAR:P=1","064.803500&amp;VAR:THRESH=||||||&amp;VAR:null=.html"}</definedName>
    <definedName name="_3220__FDSAUDITLINK__" hidden="1">{"fdsup://directions/FAT Viewer?action=UPDATE&amp;creator=factset&amp;DYN_ARGS=TRUE&amp;DOC_NAME=FAT:FQL_AUDITING_CLIENT_TEMPLATE.FAT&amp;display_string=Audit&amp;VAR:KEY=RQPKHUZILY&amp;VAR:QUERY=RkZfUkRfRVhQKENBTCw0MDU0MywsLCwp&amp;WINDOW=FIRST_POPUP&amp;HEIGHT=450&amp;WIDTH=450&amp;START_MAXIMI","ZED=FALSE&amp;VAR:CALENDAR=US&amp;VAR:SYMBOL=BMY&amp;VAR:INDEX=0"}</definedName>
    <definedName name="_3221__FDSAUDITLINK__" hidden="1">{"fdsup://directions/FAT Viewer?action=UPDATE&amp;creator=factset&amp;DYN_ARGS=TRUE&amp;DOC_NAME=FAT:FQL_AUDITING_CLIENT_TEMPLATE.FAT&amp;display_string=Audit&amp;VAR:KEY=ZKHEPOXWFO&amp;VAR:QUERY=RkZfUkRfRVhQKENBTCw0MDE3OCwsLCwp&amp;WINDOW=FIRST_POPUP&amp;HEIGHT=450&amp;WIDTH=450&amp;START_MAXIMI","ZED=FALSE&amp;VAR:CALENDAR=US&amp;VAR:SYMBOL=BMY&amp;VAR:INDEX=0"}</definedName>
    <definedName name="_3222__FDSAUDITLINK__" hidden="1">{"fdsup://directions/FAT Viewer?action=UPDATE&amp;creator=factset&amp;DYN_ARGS=TRUE&amp;DOC_NAME=FAT:FQL_AUDITING_CLIENT_TEMPLATE.FAT&amp;display_string=Audit&amp;VAR:KEY=NWVSBKDCPE&amp;VAR:QUERY=RkZfUkRfRVhQKENBTCwzOTgxMywsLCwp&amp;WINDOW=FIRST_POPUP&amp;HEIGHT=450&amp;WIDTH=450&amp;START_MAXIMI","ZED=FALSE&amp;VAR:CALENDAR=US&amp;VAR:SYMBOL=BMY&amp;VAR:INDEX=0"}</definedName>
    <definedName name="_3223__FDSAUDITLINK__" hidden="1">{"fdsup://directions/FAT Viewer?action=UPDATE&amp;creator=factset&amp;DYN_ARGS=TRUE&amp;DOC_NAME=FAT:FQL_AUDITING_CLIENT_TEMPLATE.FAT&amp;display_string=Audit&amp;VAR:KEY=RSXSPYNOFE&amp;VAR:QUERY=RkZfUkRfRVhQKENBTCwzOTQ0NywsLCwp&amp;WINDOW=FIRST_POPUP&amp;HEIGHT=450&amp;WIDTH=450&amp;START_MAXIMI","ZED=FALSE&amp;VAR:CALENDAR=US&amp;VAR:SYMBOL=BMY&amp;VAR:INDEX=0"}</definedName>
    <definedName name="_3224__FDSAUDITLINK__" hidden="1">{"fdsup://directions/FAT Viewer?action=UPDATE&amp;creator=factset&amp;DYN_ARGS=TRUE&amp;DOC_NAME=FAT:FQL_AUDITING_CLIENT_TEMPLATE.FAT&amp;display_string=Audit&amp;VAR:KEY=LKDOVYBADY&amp;VAR:QUERY=RkZfUkRfRVhQKENBTCwzOTA4MiwsLCwp&amp;WINDOW=FIRST_POPUP&amp;HEIGHT=450&amp;WIDTH=450&amp;START_MAXIMI","ZED=FALSE&amp;VAR:CALENDAR=US&amp;VAR:SYMBOL=BMY&amp;VAR:INDEX=0"}</definedName>
    <definedName name="_3225__FDSAUDITLINK__" hidden="1">{"fdsup://directions/FAT Viewer?action=UPDATE&amp;creator=factset&amp;DYN_ARGS=TRUE&amp;DOC_NAME=FAT:FQL_AUDITING_CLIENT_TEMPLATE.FAT&amp;display_string=Audit&amp;VAR:KEY=LQFUHMHSHG&amp;VAR:QUERY=RkZfUkRfRVhQKENBTCwzODcxNywsLCwp&amp;WINDOW=FIRST_POPUP&amp;HEIGHT=450&amp;WIDTH=450&amp;START_MAXIMI","ZED=FALSE&amp;VAR:CALENDAR=US&amp;VAR:SYMBOL=BMY&amp;VAR:INDEX=0"}</definedName>
    <definedName name="_3226__FDSAUDITLINK__" hidden="1">{"fdsup://directions/FAT Viewer?action=UPDATE&amp;creator=factset&amp;DYN_ARGS=TRUE&amp;DOC_NAME=FAT:FQL_AUDITING_CLIENT_TEMPLATE.FAT&amp;display_string=Audit&amp;VAR:KEY=FQBKHMBUDK&amp;VAR:QUERY=RkZfUkRfRVhQKENBTCwzODM1MiwsLCwp&amp;WINDOW=FIRST_POPUP&amp;HEIGHT=450&amp;WIDTH=450&amp;START_MAXIMI","ZED=FALSE&amp;VAR:CALENDAR=US&amp;VAR:SYMBOL=BMY&amp;VAR:INDEX=0"}</definedName>
    <definedName name="_3227__FDSAUDITLINK__" hidden="1">{"fdsup://directions/FAT Viewer?action=UPDATE&amp;creator=factset&amp;DYN_ARGS=TRUE&amp;DOC_NAME=FAT:FQL_AUDITING_CLIENT_TEMPLATE.FAT&amp;display_string=Audit&amp;VAR:KEY=BOHSRQTWRY&amp;VAR:QUERY=RkZfUkRfRVhQKENBTCw0MDU0MywsLCwp&amp;WINDOW=FIRST_POPUP&amp;HEIGHT=450&amp;WIDTH=450&amp;START_MAXIMI","ZED=FALSE&amp;VAR:CALENDAR=US&amp;VAR:SYMBOL=LLY&amp;VAR:INDEX=0"}</definedName>
    <definedName name="_3228__FDSAUDITLINK__" hidden="1">{"fdsup://directions/FAT Viewer?action=UPDATE&amp;creator=factset&amp;DYN_ARGS=TRUE&amp;DOC_NAME=FAT:FQL_AUDITING_CLIENT_TEMPLATE.FAT&amp;display_string=Audit&amp;VAR:KEY=BEDERGXQVO&amp;VAR:QUERY=RkZfUkRfRVhQKENBTCw0MDE3OCwsLCwp&amp;WINDOW=FIRST_POPUP&amp;HEIGHT=450&amp;WIDTH=450&amp;START_MAXIMI","ZED=FALSE&amp;VAR:CALENDAR=US&amp;VAR:SYMBOL=LLY&amp;VAR:INDEX=0"}</definedName>
    <definedName name="_3229__FDSAUDITLINK__" hidden="1">{"fdsup://directions/FAT Viewer?action=UPDATE&amp;creator=factset&amp;DYN_ARGS=TRUE&amp;DOC_NAME=FAT:FQL_AUDITING_CLIENT_TEMPLATE.FAT&amp;display_string=Audit&amp;VAR:KEY=RCRMLCNWPG&amp;VAR:QUERY=RkZfUkRfRVhQKENBTCwzOTgxMywsLCwp&amp;WINDOW=FIRST_POPUP&amp;HEIGHT=450&amp;WIDTH=450&amp;START_MAXIMI","ZED=FALSE&amp;VAR:CALENDAR=US&amp;VAR:SYMBOL=LLY&amp;VAR:INDEX=0"}</definedName>
    <definedName name="_323__FDSAUDITLINK__" hidden="1">{"fdsup://directions/FAT%20Viewer?VAR:TM=NTMA&amp;VAR:PCT=0.401639&amp;VAR:Y0=2004&amp;VAR:Y1=2005&amp;VAR:V0=16.221619&amp;VAR:V1=14.738093&amp;VAR:V=15.300086&amp;VAR:AUDIT_ID=00000117&amp;VAR:DATE=20040806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Aggregates&amp;VAR:MEASURE=PE_MEAN&amp;VAR:CALC_MODE=PORTFOLIO&amp;VAR:CHGPERIOD=NA&amp;VAR:FQLFORMULA=FMA_PE&amp;VAR:CURRENCY=USD&amp;VAR:P=1","063.972500&amp;VAR:THRESH=||||||&amp;VAR:null=.html"}</definedName>
    <definedName name="_3230__FDSAUDITLINK__" hidden="1">{"fdsup://directions/FAT Viewer?action=UPDATE&amp;creator=factset&amp;DYN_ARGS=TRUE&amp;DOC_NAME=FAT:FQL_AUDITING_CLIENT_TEMPLATE.FAT&amp;display_string=Audit&amp;VAR:KEY=HEPKDCHMJW&amp;VAR:QUERY=RkZfUkRfRVhQKENBTCwzOTQ0NywsLCwp&amp;WINDOW=FIRST_POPUP&amp;HEIGHT=450&amp;WIDTH=450&amp;START_MAXIMI","ZED=FALSE&amp;VAR:CALENDAR=US&amp;VAR:SYMBOL=LLY&amp;VAR:INDEX=0"}</definedName>
    <definedName name="_3231__FDSAUDITLINK__" hidden="1">{"fdsup://directions/FAT Viewer?action=UPDATE&amp;creator=factset&amp;DYN_ARGS=TRUE&amp;DOC_NAME=FAT:FQL_AUDITING_CLIENT_TEMPLATE.FAT&amp;display_string=Audit&amp;VAR:KEY=FENANCDSZW&amp;VAR:QUERY=RkZfUkRfRVhQKENBTCwzOTA4MiwsLCwp&amp;WINDOW=FIRST_POPUP&amp;HEIGHT=450&amp;WIDTH=450&amp;START_MAXIMI","ZED=FALSE&amp;VAR:CALENDAR=US&amp;VAR:SYMBOL=LLY&amp;VAR:INDEX=0"}</definedName>
    <definedName name="_3232__FDSAUDITLINK__" hidden="1">{"fdsup://directions/FAT Viewer?action=UPDATE&amp;creator=factset&amp;DYN_ARGS=TRUE&amp;DOC_NAME=FAT:FQL_AUDITING_CLIENT_TEMPLATE.FAT&amp;display_string=Audit&amp;VAR:KEY=BUFUPIJOPY&amp;VAR:QUERY=RkZfUkRfRVhQKENBTCwzODcxNywsLCwp&amp;WINDOW=FIRST_POPUP&amp;HEIGHT=450&amp;WIDTH=450&amp;START_MAXIMI","ZED=FALSE&amp;VAR:CALENDAR=US&amp;VAR:SYMBOL=LLY&amp;VAR:INDEX=0"}</definedName>
    <definedName name="_3233__FDSAUDITLINK__" hidden="1">{"fdsup://directions/FAT Viewer?action=UPDATE&amp;creator=factset&amp;DYN_ARGS=TRUE&amp;DOC_NAME=FAT:FQL_AUDITING_CLIENT_TEMPLATE.FAT&amp;display_string=Audit&amp;VAR:KEY=FITARQDYHC&amp;VAR:QUERY=RkZfUkRfRVhQKENBTCwzODM1MiwsLCwp&amp;WINDOW=FIRST_POPUP&amp;HEIGHT=450&amp;WIDTH=450&amp;START_MAXIMI","ZED=FALSE&amp;VAR:CALENDAR=US&amp;VAR:SYMBOL=LLY&amp;VAR:INDEX=0"}</definedName>
    <definedName name="_3234__FDSAUDITLINK__" hidden="1">{"fdsup://directions/FAT Viewer?action=UPDATE&amp;creator=factset&amp;DYN_ARGS=TRUE&amp;DOC_NAME=FAT:FQL_AUDITING_CLIENT_TEMPLATE.FAT&amp;display_string=Audit&amp;VAR:KEY=HCLIXKLATC&amp;VAR:QUERY=RkZfUkRfRVhQKENBTCw0MDU0MywsLCwp&amp;WINDOW=FIRST_POPUP&amp;HEIGHT=450&amp;WIDTH=450&amp;START_MAXIMI","ZED=FALSE&amp;VAR:CALENDAR=US&amp;VAR:SYMBOL=506921&amp;VAR:INDEX=0"}</definedName>
    <definedName name="_3235__FDSAUDITLINK__" hidden="1">{"fdsup://directions/FAT Viewer?action=UPDATE&amp;creator=factset&amp;DYN_ARGS=TRUE&amp;DOC_NAME=FAT:FQL_AUDITING_CLIENT_TEMPLATE.FAT&amp;display_string=Audit&amp;VAR:KEY=ZSRUDMXUFC&amp;VAR:QUERY=RkZfUkRfRVhQKENBTCw0MDE3OCwsLCwp&amp;WINDOW=FIRST_POPUP&amp;HEIGHT=450&amp;WIDTH=450&amp;START_MAXIMI","ZED=FALSE&amp;VAR:CALENDAR=US&amp;VAR:SYMBOL=506921&amp;VAR:INDEX=0"}</definedName>
    <definedName name="_3236__FDSAUDITLINK__" hidden="1">{"fdsup://directions/FAT Viewer?action=UPDATE&amp;creator=factset&amp;DYN_ARGS=TRUE&amp;DOC_NAME=FAT:FQL_AUDITING_CLIENT_TEMPLATE.FAT&amp;display_string=Audit&amp;VAR:KEY=RAHQNINYXK&amp;VAR:QUERY=RkZfUkRfRVhQKENBTCwzOTgxMywsLCwp&amp;WINDOW=FIRST_POPUP&amp;HEIGHT=450&amp;WIDTH=450&amp;START_MAXIMI","ZED=FALSE&amp;VAR:CALENDAR=US&amp;VAR:SYMBOL=506921&amp;VAR:INDEX=0"}</definedName>
    <definedName name="_3237__FDSAUDITLINK__" hidden="1">{"fdsup://directions/FAT Viewer?action=UPDATE&amp;creator=factset&amp;DYN_ARGS=TRUE&amp;DOC_NAME=FAT:FQL_AUDITING_CLIENT_TEMPLATE.FAT&amp;display_string=Audit&amp;VAR:KEY=RWDWLABEJW&amp;VAR:QUERY=RkZfUkRfRVhQKENBTCwzOTQ0NywsLCwp&amp;WINDOW=FIRST_POPUP&amp;HEIGHT=450&amp;WIDTH=450&amp;START_MAXIMI","ZED=FALSE&amp;VAR:CALENDAR=US&amp;VAR:SYMBOL=506921&amp;VAR:INDEX=0"}</definedName>
    <definedName name="_3238__FDSAUDITLINK__" hidden="1">{"fdsup://directions/FAT Viewer?action=UPDATE&amp;creator=factset&amp;DYN_ARGS=TRUE&amp;DOC_NAME=FAT:FQL_AUDITING_CLIENT_TEMPLATE.FAT&amp;display_string=Audit&amp;VAR:KEY=FGJCBIHEHA&amp;VAR:QUERY=RkZfUkRfRVhQKENBTCwzOTA4MiwsLCwp&amp;WINDOW=FIRST_POPUP&amp;HEIGHT=450&amp;WIDTH=450&amp;START_MAXIMI","ZED=FALSE&amp;VAR:CALENDAR=US&amp;VAR:SYMBOL=506921&amp;VAR:INDEX=0"}</definedName>
    <definedName name="_3239__FDSAUDITLINK__" hidden="1">{"fdsup://directions/FAT Viewer?action=UPDATE&amp;creator=factset&amp;DYN_ARGS=TRUE&amp;DOC_NAME=FAT:FQL_AUDITING_CLIENT_TEMPLATE.FAT&amp;display_string=Audit&amp;VAR:KEY=BYZCRITIBW&amp;VAR:QUERY=RkZfUkRfRVhQKENBTCwzODcxNywsLCwp&amp;WINDOW=FIRST_POPUP&amp;HEIGHT=450&amp;WIDTH=450&amp;START_MAXIMI","ZED=FALSE&amp;VAR:CALENDAR=US&amp;VAR:SYMBOL=506921&amp;VAR:INDEX=0"}</definedName>
    <definedName name="_324__FDSAUDITLINK__" hidden="1">{"fdsup://directions/FAT%20Viewer?VAR:TM=NTMA&amp;VAR:PCT=0.420765&amp;VAR:Y0=2004&amp;VAR:Y1=2005&amp;VAR:V0=16.766523&amp;VAR:V1=15.262527&amp;VAR:V=15.861185&amp;VAR:AUDIT_ID=00000117&amp;VAR:DATE=20040730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Aggregates&amp;VAR:MEASURE=PE_MEAN&amp;VAR:CALC_MODE=PORTFOLIO&amp;VAR:CHGPERIOD=NA&amp;VAR:FQLFORMULA=FMA_PE&amp;VAR:CURRENCY=USD&amp;VAR:P=1","101.719500&amp;VAR:THRESH=||||||&amp;VAR:null=.html"}</definedName>
    <definedName name="_3240__FDSAUDITLINK__" hidden="1">{"fdsup://directions/FAT Viewer?action=UPDATE&amp;creator=factset&amp;DYN_ARGS=TRUE&amp;DOC_NAME=FAT:FQL_AUDITING_CLIENT_TEMPLATE.FAT&amp;display_string=Audit&amp;VAR:KEY=FINCFGZWNE&amp;VAR:QUERY=RkZfUkRfRVhQKENBTCw0MDU0MywsLCwp&amp;WINDOW=FIRST_POPUP&amp;HEIGHT=450&amp;WIDTH=450&amp;START_MAXIMI","ZED=FALSE&amp;VAR:CALENDAR=US&amp;VAR:SYMBOL=567173&amp;VAR:INDEX=0"}</definedName>
    <definedName name="_3241__FDSAUDITLINK__" hidden="1">{"fdsup://directions/FAT Viewer?action=UPDATE&amp;creator=factset&amp;DYN_ARGS=TRUE&amp;DOC_NAME=FAT:FQL_AUDITING_CLIENT_TEMPLATE.FAT&amp;display_string=Audit&amp;VAR:KEY=XKDWJCVMXO&amp;VAR:QUERY=RkZfUkRfRVhQKENBTCw0MDE3OCwsLCwp&amp;WINDOW=FIRST_POPUP&amp;HEIGHT=450&amp;WIDTH=450&amp;START_MAXIMI","ZED=FALSE&amp;VAR:CALENDAR=US&amp;VAR:SYMBOL=567173&amp;VAR:INDEX=0"}</definedName>
    <definedName name="_3242__FDSAUDITLINK__" hidden="1">{"fdsup://directions/FAT Viewer?action=UPDATE&amp;creator=factset&amp;DYN_ARGS=TRUE&amp;DOC_NAME=FAT:FQL_AUDITING_CLIENT_TEMPLATE.FAT&amp;display_string=Audit&amp;VAR:KEY=PGJGJQBYXO&amp;VAR:QUERY=RkZfUkRfRVhQKENBTCwzOTgxMywsLCwp&amp;WINDOW=FIRST_POPUP&amp;HEIGHT=450&amp;WIDTH=450&amp;START_MAXIMI","ZED=FALSE&amp;VAR:CALENDAR=US&amp;VAR:SYMBOL=567173&amp;VAR:INDEX=0"}</definedName>
    <definedName name="_3243__FDSAUDITLINK__" hidden="1">{"fdsup://directions/FAT Viewer?action=UPDATE&amp;creator=factset&amp;DYN_ARGS=TRUE&amp;DOC_NAME=FAT:FQL_AUDITING_CLIENT_TEMPLATE.FAT&amp;display_string=Audit&amp;VAR:KEY=RWLEDIBETI&amp;VAR:QUERY=RkZfUkRfRVhQKENBTCwzOTQ0NywsLCwp&amp;WINDOW=FIRST_POPUP&amp;HEIGHT=450&amp;WIDTH=450&amp;START_MAXIMI","ZED=FALSE&amp;VAR:CALENDAR=US&amp;VAR:SYMBOL=567173&amp;VAR:INDEX=0"}</definedName>
    <definedName name="_3244__FDSAUDITLINK__" hidden="1">{"fdsup://directions/FAT Viewer?action=UPDATE&amp;creator=factset&amp;DYN_ARGS=TRUE&amp;DOC_NAME=FAT:FQL_AUDITING_CLIENT_TEMPLATE.FAT&amp;display_string=Audit&amp;VAR:KEY=VWPMVGBIVA&amp;VAR:QUERY=RkZfUkRfRVhQKENBTCwzOTA4MiwsLCwp&amp;WINDOW=FIRST_POPUP&amp;HEIGHT=450&amp;WIDTH=450&amp;START_MAXIMI","ZED=FALSE&amp;VAR:CALENDAR=US&amp;VAR:SYMBOL=567173&amp;VAR:INDEX=0"}</definedName>
    <definedName name="_3245__FDSAUDITLINK__" hidden="1">{"fdsup://directions/FAT Viewer?action=UPDATE&amp;creator=factset&amp;DYN_ARGS=TRUE&amp;DOC_NAME=FAT:FQL_AUDITING_CLIENT_TEMPLATE.FAT&amp;display_string=Audit&amp;VAR:KEY=ZGNEJWTYPU&amp;VAR:QUERY=RkZfUkRfRVhQKENBTCwzODcxNywsLCwp&amp;WINDOW=FIRST_POPUP&amp;HEIGHT=450&amp;WIDTH=450&amp;START_MAXIMI","ZED=FALSE&amp;VAR:CALENDAR=US&amp;VAR:SYMBOL=567173&amp;VAR:INDEX=0"}</definedName>
    <definedName name="_3246__FDSAUDITLINK__" hidden="1">{"fdsup://directions/FAT Viewer?action=UPDATE&amp;creator=factset&amp;DYN_ARGS=TRUE&amp;DOC_NAME=FAT:FQL_AUDITING_CLIENT_TEMPLATE.FAT&amp;display_string=Audit&amp;VAR:KEY=LGVSXMXGRE&amp;VAR:QUERY=RkZfUkRfRVhQKENBTCw0MDU0MywsLCwp&amp;WINDOW=FIRST_POPUP&amp;HEIGHT=450&amp;WIDTH=450&amp;START_MAXIMI","ZED=FALSE&amp;VAR:CALENDAR=US&amp;VAR:SYMBOL=JNJ&amp;VAR:INDEX=0"}</definedName>
    <definedName name="_3247__FDSAUDITLINK__" hidden="1">{"fdsup://directions/FAT Viewer?action=UPDATE&amp;creator=factset&amp;DYN_ARGS=TRUE&amp;DOC_NAME=FAT:FQL_AUDITING_CLIENT_TEMPLATE.FAT&amp;display_string=Audit&amp;VAR:KEY=HIHGTUVWJM&amp;VAR:QUERY=RkZfUkRfRVhQKENBTCw0MDE3OCwsLCwp&amp;WINDOW=FIRST_POPUP&amp;HEIGHT=450&amp;WIDTH=450&amp;START_MAXIMI","ZED=FALSE&amp;VAR:CALENDAR=US&amp;VAR:SYMBOL=JNJ&amp;VAR:INDEX=0"}</definedName>
    <definedName name="_3248__FDSAUDITLINK__" hidden="1">{"fdsup://directions/FAT Viewer?action=UPDATE&amp;creator=factset&amp;DYN_ARGS=TRUE&amp;DOC_NAME=FAT:FQL_AUDITING_CLIENT_TEMPLATE.FAT&amp;display_string=Audit&amp;VAR:KEY=NQLIFKBKPW&amp;VAR:QUERY=RkZfUkRfRVhQKENBTCwzOTgxMywsLCwp&amp;WINDOW=FIRST_POPUP&amp;HEIGHT=450&amp;WIDTH=450&amp;START_MAXIMI","ZED=FALSE&amp;VAR:CALENDAR=US&amp;VAR:SYMBOL=JNJ&amp;VAR:INDEX=0"}</definedName>
    <definedName name="_3249__FDSAUDITLINK__" hidden="1">{"fdsup://directions/FAT Viewer?action=UPDATE&amp;creator=factset&amp;DYN_ARGS=TRUE&amp;DOC_NAME=FAT:FQL_AUDITING_CLIENT_TEMPLATE.FAT&amp;display_string=Audit&amp;VAR:KEY=FYLUREVORG&amp;VAR:QUERY=RkZfUkRfRVhQKENBTCwzOTQ0NywsLCwp&amp;WINDOW=FIRST_POPUP&amp;HEIGHT=450&amp;WIDTH=450&amp;START_MAXIMI","ZED=FALSE&amp;VAR:CALENDAR=US&amp;VAR:SYMBOL=JNJ&amp;VAR:INDEX=0"}</definedName>
    <definedName name="_325__FDSAUDITLINK__" hidden="1">{"fdsup://directions/FAT%20Viewer?VAR:TM=NTMA&amp;VAR:PCT=0.439891&amp;VAR:Y0=2004&amp;VAR:Y1=2005&amp;VAR:V0=16.585855&amp;VAR:V1=15.072460&amp;VAR:V=15.702742&amp;VAR:AUDIT_ID=00000117&amp;VAR:DATE=20040723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Aggregates&amp;VAR:MEASURE=PE_MEAN&amp;VAR:CALC_MODE=PORTFOLIO&amp;VAR:CHGPERIOD=NA&amp;VAR:FQLFORMULA=FMA_PE&amp;VAR:CURRENCY=USD&amp;VAR:P=1","086.202800&amp;VAR:THRESH=||||||&amp;VAR:null=.html"}</definedName>
    <definedName name="_3250__FDSAUDITLINK__" hidden="1">{"fdsup://directions/FAT Viewer?action=UPDATE&amp;creator=factset&amp;DYN_ARGS=TRUE&amp;DOC_NAME=FAT:FQL_AUDITING_CLIENT_TEMPLATE.FAT&amp;display_string=Audit&amp;VAR:KEY=BUPWHWVEFO&amp;VAR:QUERY=RkZfUkRfRVhQKENBTCwzOTA4MiwsLCwp&amp;WINDOW=FIRST_POPUP&amp;HEIGHT=450&amp;WIDTH=450&amp;START_MAXIMI","ZED=FALSE&amp;VAR:CALENDAR=US&amp;VAR:SYMBOL=JNJ&amp;VAR:INDEX=0"}</definedName>
    <definedName name="_3251__FDSAUDITLINK__" hidden="1">{"fdsup://directions/FAT Viewer?action=UPDATE&amp;creator=factset&amp;DYN_ARGS=TRUE&amp;DOC_NAME=FAT:FQL_AUDITING_CLIENT_TEMPLATE.FAT&amp;display_string=Audit&amp;VAR:KEY=BIZGFAZSLE&amp;VAR:QUERY=RkZfUkRfRVhQKENBTCwzODcxNywsLCwp&amp;WINDOW=FIRST_POPUP&amp;HEIGHT=450&amp;WIDTH=450&amp;START_MAXIMI","ZED=FALSE&amp;VAR:CALENDAR=US&amp;VAR:SYMBOL=JNJ&amp;VAR:INDEX=0"}</definedName>
    <definedName name="_3252__FDSAUDITLINK__" hidden="1">{"fdsup://directions/FAT Viewer?action=UPDATE&amp;creator=factset&amp;DYN_ARGS=TRUE&amp;DOC_NAME=FAT:FQL_AUDITING_CLIENT_TEMPLATE.FAT&amp;display_string=Audit&amp;VAR:KEY=FQZEXGVUHG&amp;VAR:QUERY=RkZfUkRfRVhQKENBTCwzODM1MiwsLCwp&amp;WINDOW=FIRST_POPUP&amp;HEIGHT=450&amp;WIDTH=450&amp;START_MAXIMI","ZED=FALSE&amp;VAR:CALENDAR=US&amp;VAR:SYMBOL=JNJ&amp;VAR:INDEX=0"}</definedName>
    <definedName name="_3253__FDSAUDITLINK__" hidden="1">{"fdsup://directions/FAT Viewer?action=UPDATE&amp;creator=factset&amp;DYN_ARGS=TRUE&amp;DOC_NAME=FAT:FQL_AUDITING_CLIENT_TEMPLATE.FAT&amp;display_string=Audit&amp;VAR:KEY=LEFUXOTGLS&amp;VAR:QUERY=RkZfUkRfRVhQKENBTCw0MDU0MywsLCwp&amp;WINDOW=FIRST_POPUP&amp;HEIGHT=450&amp;WIDTH=450&amp;START_MAXIMI","ZED=FALSE&amp;VAR:CALENDAR=US&amp;VAR:SYMBOL=710306&amp;VAR:INDEX=0"}</definedName>
    <definedName name="_3254__FDSAUDITLINK__" hidden="1">{"fdsup://directions/FAT Viewer?action=UPDATE&amp;creator=factset&amp;DYN_ARGS=TRUE&amp;DOC_NAME=FAT:FQL_AUDITING_CLIENT_TEMPLATE.FAT&amp;display_string=Audit&amp;VAR:KEY=XUVINAFIPU&amp;VAR:QUERY=RkZfUkRfRVhQKENBTCw0MDE3OCwsLCwp&amp;WINDOW=FIRST_POPUP&amp;HEIGHT=450&amp;WIDTH=450&amp;START_MAXIMI","ZED=FALSE&amp;VAR:CALENDAR=US&amp;VAR:SYMBOL=710306&amp;VAR:INDEX=0"}</definedName>
    <definedName name="_3255__FDSAUDITLINK__" hidden="1">{"fdsup://directions/FAT Viewer?action=UPDATE&amp;creator=factset&amp;DYN_ARGS=TRUE&amp;DOC_NAME=FAT:FQL_AUDITING_CLIENT_TEMPLATE.FAT&amp;display_string=Audit&amp;VAR:KEY=HKXWJMJSZQ&amp;VAR:QUERY=RkZfUkRfRVhQKENBTCwzOTgxMywsLCwp&amp;WINDOW=FIRST_POPUP&amp;HEIGHT=450&amp;WIDTH=450&amp;START_MAXIMI","ZED=FALSE&amp;VAR:CALENDAR=US&amp;VAR:SYMBOL=710306&amp;VAR:INDEX=0"}</definedName>
    <definedName name="_3256__FDSAUDITLINK__" hidden="1">{"fdsup://directions/FAT Viewer?action=UPDATE&amp;creator=factset&amp;DYN_ARGS=TRUE&amp;DOC_NAME=FAT:FQL_AUDITING_CLIENT_TEMPLATE.FAT&amp;display_string=Audit&amp;VAR:KEY=JONIRWROFI&amp;VAR:QUERY=RkZfUkRfRVhQKENBTCwzOTQ0NywsLCwp&amp;WINDOW=FIRST_POPUP&amp;HEIGHT=450&amp;WIDTH=450&amp;START_MAXIMI","ZED=FALSE&amp;VAR:CALENDAR=US&amp;VAR:SYMBOL=710306&amp;VAR:INDEX=0"}</definedName>
    <definedName name="_3257__FDSAUDITLINK__" hidden="1">{"fdsup://directions/FAT Viewer?action=UPDATE&amp;creator=factset&amp;DYN_ARGS=TRUE&amp;DOC_NAME=FAT:FQL_AUDITING_CLIENT_TEMPLATE.FAT&amp;display_string=Audit&amp;VAR:KEY=BAPYPCNOVG&amp;VAR:QUERY=RkZfUkRfRVhQKENBTCwzOTA4MiwsLCwp&amp;WINDOW=FIRST_POPUP&amp;HEIGHT=450&amp;WIDTH=450&amp;START_MAXIMI","ZED=FALSE&amp;VAR:CALENDAR=US&amp;VAR:SYMBOL=710306&amp;VAR:INDEX=0"}</definedName>
    <definedName name="_3258__FDSAUDITLINK__" hidden="1">{"fdsup://directions/FAT Viewer?action=UPDATE&amp;creator=factset&amp;DYN_ARGS=TRUE&amp;DOC_NAME=FAT:FQL_AUDITING_CLIENT_TEMPLATE.FAT&amp;display_string=Audit&amp;VAR:KEY=VKXURALSNK&amp;VAR:QUERY=RkZfUkRfRVhQKENBTCwzODcxNywsLCwp&amp;WINDOW=FIRST_POPUP&amp;HEIGHT=450&amp;WIDTH=450&amp;START_MAXIMI","ZED=FALSE&amp;VAR:CALENDAR=US&amp;VAR:SYMBOL=710306&amp;VAR:INDEX=0"}</definedName>
    <definedName name="_3259__FDSAUDITLINK__" hidden="1">{"fdsup://directions/FAT Viewer?action=UPDATE&amp;creator=factset&amp;DYN_ARGS=TRUE&amp;DOC_NAME=FAT:FQL_AUDITING_CLIENT_TEMPLATE.FAT&amp;display_string=Audit&amp;VAR:KEY=BUHEBCVYDU&amp;VAR:QUERY=RkZfUkRfRVhQKENBTCw0MDU0MywsLCwp&amp;WINDOW=FIRST_POPUP&amp;HEIGHT=450&amp;WIDTH=450&amp;START_MAXIMI","ZED=FALSE&amp;VAR:CALENDAR=US&amp;VAR:SYMBOL=711038&amp;VAR:INDEX=0"}</definedName>
    <definedName name="_326__FDSAUDITLINK__" hidden="1">{"fdsup://directions/FAT%20Viewer?VAR:TM=NTMA&amp;VAR:PCT=0.459016&amp;VAR:Y0=2004&amp;VAR:Y1=2005&amp;VAR:V0=16.834140&amp;VAR:V1=15.309876&amp;VAR:V=15.973779&amp;VAR:AUDIT_ID=00000117&amp;VAR:DATE=20040716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Aggregates&amp;VAR:MEASURE=PE_MEAN&amp;VAR:CALC_MODE=PORTFOLIO&amp;VAR:CHGPERIOD=NA&amp;VAR:FQLFORMULA=FMA_PE&amp;VAR:CURRENCY=USD&amp;VAR:P=1","101.394700&amp;VAR:THRESH=||||||&amp;VAR:null=.html"}</definedName>
    <definedName name="_3260__FDSAUDITLINK__" hidden="1">{"fdsup://directions/FAT Viewer?action=UPDATE&amp;creator=factset&amp;DYN_ARGS=TRUE&amp;DOC_NAME=FAT:FQL_AUDITING_CLIENT_TEMPLATE.FAT&amp;display_string=Audit&amp;VAR:KEY=HATKVKBWZI&amp;VAR:QUERY=RkZfUkRfRVhQKENBTCw0MDE3OCwsLCwp&amp;WINDOW=FIRST_POPUP&amp;HEIGHT=450&amp;WIDTH=450&amp;START_MAXIMI","ZED=FALSE&amp;VAR:CALENDAR=US&amp;VAR:SYMBOL=711038&amp;VAR:INDEX=0"}</definedName>
    <definedName name="_3261__FDSAUDITLINK__" hidden="1">{"fdsup://directions/FAT Viewer?action=UPDATE&amp;creator=factset&amp;DYN_ARGS=TRUE&amp;DOC_NAME=FAT:FQL_AUDITING_CLIENT_TEMPLATE.FAT&amp;display_string=Audit&amp;VAR:KEY=XUXGPIZETA&amp;VAR:QUERY=RkZfUkRfRVhQKENBTCwzOTgxMywsLCwp&amp;WINDOW=FIRST_POPUP&amp;HEIGHT=450&amp;WIDTH=450&amp;START_MAXIMI","ZED=FALSE&amp;VAR:CALENDAR=US&amp;VAR:SYMBOL=711038&amp;VAR:INDEX=0"}</definedName>
    <definedName name="_3262__FDSAUDITLINK__" hidden="1">{"fdsup://directions/FAT Viewer?action=UPDATE&amp;creator=factset&amp;DYN_ARGS=TRUE&amp;DOC_NAME=FAT:FQL_AUDITING_CLIENT_TEMPLATE.FAT&amp;display_string=Audit&amp;VAR:KEY=LULOLUFSZY&amp;VAR:QUERY=RkZfUkRfRVhQKENBTCwzOTgxMywsLCwp&amp;WINDOW=FIRST_POPUP&amp;HEIGHT=450&amp;WIDTH=450&amp;START_MAXIMI","ZED=FALSE&amp;VAR:CALENDAR=US&amp;VAR:SYMBOL=DNA&amp;VAR:INDEX=0"}</definedName>
    <definedName name="_3263__FDSAUDITLINK__" hidden="1">{"fdsup://directions/FAT Viewer?action=UPDATE&amp;creator=factset&amp;DYN_ARGS=TRUE&amp;DOC_NAME=FAT:FQL_AUDITING_CLIENT_TEMPLATE.FAT&amp;display_string=Audit&amp;VAR:KEY=JQXWLKRQJO&amp;VAR:QUERY=RkZfUkRfRVhQKENBTCwzOTQ0NywsLCwp&amp;WINDOW=FIRST_POPUP&amp;HEIGHT=450&amp;WIDTH=450&amp;START_MAXIMI","ZED=FALSE&amp;VAR:CALENDAR=US&amp;VAR:SYMBOL=DNA&amp;VAR:INDEX=0"}</definedName>
    <definedName name="_3264__FDSAUDITLINK__" hidden="1">{"fdsup://directions/FAT Viewer?action=UPDATE&amp;creator=factset&amp;DYN_ARGS=TRUE&amp;DOC_NAME=FAT:FQL_AUDITING_CLIENT_TEMPLATE.FAT&amp;display_string=Audit&amp;VAR:KEY=HYXWNYRITG&amp;VAR:QUERY=RkZfUkRfRVhQKENBTCwzOTA4MiwsLCwp&amp;WINDOW=FIRST_POPUP&amp;HEIGHT=450&amp;WIDTH=450&amp;START_MAXIMI","ZED=FALSE&amp;VAR:CALENDAR=US&amp;VAR:SYMBOL=DNA&amp;VAR:INDEX=0"}</definedName>
    <definedName name="_3265__FDSAUDITLINK__" hidden="1">{"fdsup://directions/FAT Viewer?action=UPDATE&amp;creator=factset&amp;DYN_ARGS=TRUE&amp;DOC_NAME=FAT:FQL_AUDITING_CLIENT_TEMPLATE.FAT&amp;display_string=Audit&amp;VAR:KEY=FWHQNGDGJY&amp;VAR:QUERY=RkZfUkRfRVhQKENBTCwzODcxNywsLCwp&amp;WINDOW=FIRST_POPUP&amp;HEIGHT=450&amp;WIDTH=450&amp;START_MAXIMI","ZED=FALSE&amp;VAR:CALENDAR=US&amp;VAR:SYMBOL=DNA&amp;VAR:INDEX=0"}</definedName>
    <definedName name="_3266__FDSAUDITLINK__" hidden="1">{"fdsup://directions/FAT Viewer?action=UPDATE&amp;creator=factset&amp;DYN_ARGS=TRUE&amp;DOC_NAME=FAT:FQL_AUDITING_CLIENT_TEMPLATE.FAT&amp;display_string=Audit&amp;VAR:KEY=RQTWDYPOXG&amp;VAR:QUERY=RkZfUkRfRVhQKENBTCwzODM1MiwsLCwp&amp;WINDOW=FIRST_POPUP&amp;HEIGHT=450&amp;WIDTH=450&amp;START_MAXIMI","ZED=FALSE&amp;VAR:CALENDAR=US&amp;VAR:SYMBOL=DNA&amp;VAR:INDEX=0"}</definedName>
    <definedName name="_3267__FDSAUDITLINK__" hidden="1">{"fdsup://directions/FAT Viewer?action=UPDATE&amp;creator=factset&amp;DYN_ARGS=TRUE&amp;DOC_NAME=FAT:FQL_AUDITING_CLIENT_TEMPLATE.FAT&amp;display_string=Audit&amp;VAR:KEY=JGLQLQPQDK&amp;VAR:QUERY=RkZfUkRfRVhQKENBTCw0MDU0MywsLCwp&amp;WINDOW=FIRST_POPUP&amp;HEIGHT=450&amp;WIDTH=450&amp;START_MAXIMI","ZED=FALSE&amp;VAR:CALENDAR=US&amp;VAR:SYMBOL=MRK&amp;VAR:INDEX=0"}</definedName>
    <definedName name="_3268__FDSAUDITLINK__" hidden="1">{"fdsup://directions/FAT Viewer?action=UPDATE&amp;creator=factset&amp;DYN_ARGS=TRUE&amp;DOC_NAME=FAT:FQL_AUDITING_CLIENT_TEMPLATE.FAT&amp;display_string=Audit&amp;VAR:KEY=XMHMROTSFU&amp;VAR:QUERY=RkZfUkRfRVhQKENBTCw0MDE3OCwsLCxVU0Qp&amp;WINDOW=FIRST_POPUP&amp;HEIGHT=450&amp;WIDTH=450&amp;START_MA","XIMIZED=FALSE&amp;VAR:CALENDAR=US&amp;VAR:SYMBOL=MRK&amp;VAR:INDEX=0"}</definedName>
    <definedName name="_3269__FDSAUDITLINK__" hidden="1">{"fdsup://directions/FAT Viewer?action=UPDATE&amp;creator=factset&amp;DYN_ARGS=TRUE&amp;DOC_NAME=FAT:FQL_AUDITING_CLIENT_TEMPLATE.FAT&amp;display_string=Audit&amp;VAR:KEY=BMVWPEJELU&amp;VAR:QUERY=RkZfUkRfRVhQKENBTCwzOTgxMywsLCwp&amp;WINDOW=FIRST_POPUP&amp;HEIGHT=450&amp;WIDTH=450&amp;START_MAXIMI","ZED=FALSE&amp;VAR:CALENDAR=US&amp;VAR:SYMBOL=MRK&amp;VAR:INDEX=0"}</definedName>
    <definedName name="_327__FDSAUDITLINK__" hidden="1">{"fdsup://directions/FAT%20Viewer?VAR:TM=NTMA&amp;VAR:PCT=0.478142&amp;VAR:Y0=2004&amp;VAR:Y1=2005&amp;VAR:V0=17.006266&amp;VAR:V1=15.433491&amp;VAR:V=16.147528&amp;VAR:AUDIT_ID=00000117&amp;VAR:DATE=20040709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Aggregates&amp;VAR:MEASURE=PE_MEAN&amp;VAR:CALC_MODE=PORTFOLIO&amp;VAR:CHGPERIOD=NA&amp;VAR:FQLFORMULA=FMA_PE&amp;VAR:CURRENCY=USD&amp;VAR:P=1","112.811600&amp;VAR:THRESH=||||||&amp;VAR:null=.html"}</definedName>
    <definedName name="_3270__FDSAUDITLINK__" hidden="1">{"fdsup://directions/FAT Viewer?action=UPDATE&amp;creator=factset&amp;DYN_ARGS=TRUE&amp;DOC_NAME=FAT:FQL_AUDITING_CLIENT_TEMPLATE.FAT&amp;display_string=Audit&amp;VAR:KEY=ZWNOBEDCJI&amp;VAR:QUERY=RkZfUkRfRVhQKENBTCwzOTgxMywsLCwp&amp;WINDOW=FIRST_POPUP&amp;HEIGHT=450&amp;WIDTH=450&amp;START_MAXIMI","ZED=FALSE&amp;VAR:CALENDAR=US&amp;VAR:SYMBOL=SGP&amp;VAR:INDEX=0"}</definedName>
    <definedName name="_3271__FDSAUDITLINK__" hidden="1">{"fdsup://directions/FAT Viewer?action=UPDATE&amp;creator=factset&amp;DYN_ARGS=TRUE&amp;DOC_NAME=FAT:FQL_AUDITING_CLIENT_TEMPLATE.FAT&amp;display_string=Audit&amp;VAR:KEY=LSNMLEBONA&amp;VAR:QUERY=RkZfUkRfRVhQKENBTCwzOTQ0NywsLCwp&amp;WINDOW=FIRST_POPUP&amp;HEIGHT=450&amp;WIDTH=450&amp;START_MAXIMI","ZED=FALSE&amp;VAR:CALENDAR=US&amp;VAR:SYMBOL=MRK&amp;VAR:INDEX=0"}</definedName>
    <definedName name="_3272__FDSAUDITLINK__" hidden="1">{"fdsup://directions/FAT Viewer?action=UPDATE&amp;creator=factset&amp;DYN_ARGS=TRUE&amp;DOC_NAME=FAT:FQL_AUDITING_CLIENT_TEMPLATE.FAT&amp;display_string=Audit&amp;VAR:KEY=VERKZCBWNO&amp;VAR:QUERY=RkZfUkRfRVhQKENBTCwzOTQ0NywsLCwp&amp;WINDOW=FIRST_POPUP&amp;HEIGHT=450&amp;WIDTH=450&amp;START_MAXIMI","ZED=FALSE&amp;VAR:CALENDAR=US&amp;VAR:SYMBOL=SGP&amp;VAR:INDEX=0"}</definedName>
    <definedName name="_3273__FDSAUDITLINK__" hidden="1">{"fdsup://directions/FAT Viewer?action=UPDATE&amp;creator=factset&amp;DYN_ARGS=TRUE&amp;DOC_NAME=FAT:FQL_AUDITING_CLIENT_TEMPLATE.FAT&amp;display_string=Audit&amp;VAR:KEY=NMHYXIZERM&amp;VAR:QUERY=RkZfUkRfRVhQKENBTCwzOTA4MiwsLCwp&amp;WINDOW=FIRST_POPUP&amp;HEIGHT=450&amp;WIDTH=450&amp;START_MAXIMI","ZED=FALSE&amp;VAR:CALENDAR=US&amp;VAR:SYMBOL=MRK&amp;VAR:INDEX=0"}</definedName>
    <definedName name="_3274__FDSAUDITLINK__" hidden="1">{"fdsup://directions/FAT Viewer?action=UPDATE&amp;creator=factset&amp;DYN_ARGS=TRUE&amp;DOC_NAME=FAT:FQL_AUDITING_CLIENT_TEMPLATE.FAT&amp;display_string=Audit&amp;VAR:KEY=VGVGPSRCRG&amp;VAR:QUERY=RkZfUkRfRVhQKENBTCwzOTA4MiwsLCwp&amp;WINDOW=FIRST_POPUP&amp;HEIGHT=450&amp;WIDTH=450&amp;START_MAXIMI","ZED=FALSE&amp;VAR:CALENDAR=US&amp;VAR:SYMBOL=SGP&amp;VAR:INDEX=0"}</definedName>
    <definedName name="_3275__FDSAUDITLINK__" hidden="1">{"fdsup://directions/FAT Viewer?action=UPDATE&amp;creator=factset&amp;DYN_ARGS=TRUE&amp;DOC_NAME=FAT:FQL_AUDITING_CLIENT_TEMPLATE.FAT&amp;display_string=Audit&amp;VAR:KEY=HIHQXGPWVE&amp;VAR:QUERY=RkZfUkRfRVhQKENBTCwzODcxNywsLCwp&amp;WINDOW=FIRST_POPUP&amp;HEIGHT=450&amp;WIDTH=450&amp;START_MAXIMI","ZED=FALSE&amp;VAR:CALENDAR=US&amp;VAR:SYMBOL=MRK&amp;VAR:INDEX=0"}</definedName>
    <definedName name="_3276__FDSAUDITLINK__" hidden="1">{"fdsup://directions/FAT Viewer?action=UPDATE&amp;creator=factset&amp;DYN_ARGS=TRUE&amp;DOC_NAME=FAT:FQL_AUDITING_CLIENT_TEMPLATE.FAT&amp;display_string=Audit&amp;VAR:KEY=DQBAJYBAFW&amp;VAR:QUERY=RkZfUkRfRVhQKENBTCwzODcxNywsLCwp&amp;WINDOW=FIRST_POPUP&amp;HEIGHT=450&amp;WIDTH=450&amp;START_MAXIMI","ZED=FALSE&amp;VAR:CALENDAR=US&amp;VAR:SYMBOL=SGP&amp;VAR:INDEX=0"}</definedName>
    <definedName name="_3277__FDSAUDITLINK__" hidden="1">{"fdsup://directions/FAT Viewer?action=UPDATE&amp;creator=factset&amp;DYN_ARGS=TRUE&amp;DOC_NAME=FAT:FQL_AUDITING_CLIENT_TEMPLATE.FAT&amp;display_string=Audit&amp;VAR:KEY=BILIDIROZO&amp;VAR:QUERY=RkZfUkRfRVhQKENBTCwzODM1MiwsLCwp&amp;WINDOW=FIRST_POPUP&amp;HEIGHT=450&amp;WIDTH=450&amp;START_MAXIMI","ZED=FALSE&amp;VAR:CALENDAR=US&amp;VAR:SYMBOL=MRK&amp;VAR:INDEX=0"}</definedName>
    <definedName name="_3278__FDSAUDITLINK__" hidden="1">{"fdsup://directions/FAT Viewer?action=UPDATE&amp;creator=factset&amp;DYN_ARGS=TRUE&amp;DOC_NAME=FAT:FQL_AUDITING_CLIENT_TEMPLATE.FAT&amp;display_string=Audit&amp;VAR:KEY=HSTURMXUFQ&amp;VAR:QUERY=RkZfUkRfRVhQKENBTCwzODM1MiwsLCwp&amp;WINDOW=FIRST_POPUP&amp;HEIGHT=450&amp;WIDTH=450&amp;START_MAXIMI","ZED=FALSE&amp;VAR:CALENDAR=US&amp;VAR:SYMBOL=SGP&amp;VAR:INDEX=0"}</definedName>
    <definedName name="_3279__FDSAUDITLINK__" hidden="1">{"fdsup://directions/FAT Viewer?action=UPDATE&amp;creator=factset&amp;DYN_ARGS=TRUE&amp;DOC_NAME=FAT:FQL_AUDITING_CLIENT_TEMPLATE.FAT&amp;display_string=Audit&amp;VAR:KEY=RULMZELIXK&amp;VAR:QUERY=RkZfUkRfRVhQKENBTCw0MDU0MywsLCwp&amp;WINDOW=FIRST_POPUP&amp;HEIGHT=450&amp;WIDTH=450&amp;START_MAXIMI","ZED=FALSE&amp;VAR:CALENDAR=US&amp;VAR:SYMBOL=PFE&amp;VAR:INDEX=0"}</definedName>
    <definedName name="_328__FDSAUDITLINK__" hidden="1">{"fdsup://directions/FAT%20Viewer?VAR:TM=NTMA&amp;VAR:PCT=0.497268&amp;VAR:Y0=2004&amp;VAR:Y1=2005&amp;VAR:V0=17.204645&amp;VAR:V1=15.595645&amp;VAR:V=16.356296&amp;VAR:AUDIT_ID=00000117&amp;VAR:DATE=20040702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Aggregates&amp;VAR:MEASURE=PE_MEAN&amp;VAR:CALC_MODE=PORTFOLIO&amp;VAR:CHGPERIOD=NA&amp;VAR:FQLFORMULA=FMA_PE&amp;VAR:CURRENCY=USD&amp;VAR:P=1","125.379900&amp;VAR:THRESH=||||||&amp;VAR:null=.html"}</definedName>
    <definedName name="_3280__FDSAUDITLINK__" hidden="1">{"fdsup://directions/FAT Viewer?action=UPDATE&amp;creator=factset&amp;DYN_ARGS=TRUE&amp;DOC_NAME=FAT:FQL_AUDITING_CLIENT_TEMPLATE.FAT&amp;display_string=Audit&amp;VAR:KEY=XADITGJORE&amp;VAR:QUERY=RkZfUkRfRVhQKENBTCw0MDE3OCwsLCxVU0Qp&amp;WINDOW=FIRST_POPUP&amp;HEIGHT=450&amp;WIDTH=450&amp;START_MA","XIMIZED=FALSE&amp;VAR:CALENDAR=US&amp;VAR:SYMBOL=PFE&amp;VAR:INDEX=0"}</definedName>
    <definedName name="_3281__FDSAUDITLINK__" hidden="1">{"fdsup://directions/FAT Viewer?action=UPDATE&amp;creator=factset&amp;DYN_ARGS=TRUE&amp;DOC_NAME=FAT:FQL_AUDITING_CLIENT_TEMPLATE.FAT&amp;display_string=Audit&amp;VAR:KEY=XAFSTKHGNY&amp;VAR:QUERY=RkZfUkRfRVhQKENBTCwzOTgxMywsLCwp&amp;WINDOW=FIRST_POPUP&amp;HEIGHT=450&amp;WIDTH=450&amp;START_MAXIMI","ZED=FALSE&amp;VAR:CALENDAR=US&amp;VAR:SYMBOL=PFE&amp;VAR:INDEX=0"}</definedName>
    <definedName name="_3282__FDSAUDITLINK__" hidden="1">{"fdsup://directions/FAT Viewer?action=UPDATE&amp;creator=factset&amp;DYN_ARGS=TRUE&amp;DOC_NAME=FAT:FQL_AUDITING_CLIENT_TEMPLATE.FAT&amp;display_string=Audit&amp;VAR:KEY=PAJYJYJAHE&amp;VAR:QUERY=RkZfUkRfRVhQKENBTCwzOTgxMywsLCwp&amp;WINDOW=FIRST_POPUP&amp;HEIGHT=450&amp;WIDTH=450&amp;START_MAXIMI","ZED=FALSE&amp;VAR:CALENDAR=US&amp;VAR:SYMBOL=WYE&amp;VAR:INDEX=0"}</definedName>
    <definedName name="_3283__FDSAUDITLINK__" hidden="1">{"fdsup://directions/FAT Viewer?action=UPDATE&amp;creator=factset&amp;DYN_ARGS=TRUE&amp;DOC_NAME=FAT:FQL_AUDITING_CLIENT_TEMPLATE.FAT&amp;display_string=Audit&amp;VAR:KEY=TEDKTITIXA&amp;VAR:QUERY=RkZfUkRfRVhQKENBTCwzOTQ0NywsLCwp&amp;WINDOW=FIRST_POPUP&amp;HEIGHT=450&amp;WIDTH=450&amp;START_MAXIMI","ZED=FALSE&amp;VAR:CALENDAR=US&amp;VAR:SYMBOL=PFE&amp;VAR:INDEX=0"}</definedName>
    <definedName name="_3284__FDSAUDITLINK__" hidden="1">{"fdsup://directions/FAT Viewer?action=UPDATE&amp;creator=factset&amp;DYN_ARGS=TRUE&amp;DOC_NAME=FAT:FQL_AUDITING_CLIENT_TEMPLATE.FAT&amp;display_string=Audit&amp;VAR:KEY=NYXURMTONW&amp;VAR:QUERY=RkZfUkRfRVhQKENBTCwzOTQ0NywsLCwp&amp;WINDOW=FIRST_POPUP&amp;HEIGHT=450&amp;WIDTH=450&amp;START_MAXIMI","ZED=FALSE&amp;VAR:CALENDAR=US&amp;VAR:SYMBOL=WYE&amp;VAR:INDEX=0"}</definedName>
    <definedName name="_3285__FDSAUDITLINK__" hidden="1">{"fdsup://directions/FAT Viewer?action=UPDATE&amp;creator=factset&amp;DYN_ARGS=TRUE&amp;DOC_NAME=FAT:FQL_AUDITING_CLIENT_TEMPLATE.FAT&amp;display_string=Audit&amp;VAR:KEY=VOPUPSJQLI&amp;VAR:QUERY=RkZfUkRfRVhQKENBTCwzOTA4MiwsLCwp&amp;WINDOW=FIRST_POPUP&amp;HEIGHT=450&amp;WIDTH=450&amp;START_MAXIMI","ZED=FALSE&amp;VAR:CALENDAR=US&amp;VAR:SYMBOL=PFE&amp;VAR:INDEX=0"}</definedName>
    <definedName name="_3286__FDSAUDITLINK__" hidden="1">{"fdsup://directions/FAT Viewer?action=UPDATE&amp;creator=factset&amp;DYN_ARGS=TRUE&amp;DOC_NAME=FAT:FQL_AUDITING_CLIENT_TEMPLATE.FAT&amp;display_string=Audit&amp;VAR:KEY=XWTYLUVGBU&amp;VAR:QUERY=RkZfUkRfRVhQKENBTCwzOTA4MiwsLCwp&amp;WINDOW=FIRST_POPUP&amp;HEIGHT=450&amp;WIDTH=450&amp;START_MAXIMI","ZED=FALSE&amp;VAR:CALENDAR=US&amp;VAR:SYMBOL=WYE&amp;VAR:INDEX=0"}</definedName>
    <definedName name="_3287__FDSAUDITLINK__" hidden="1">{"fdsup://directions/FAT Viewer?action=UPDATE&amp;creator=factset&amp;DYN_ARGS=TRUE&amp;DOC_NAME=FAT:FQL_AUDITING_CLIENT_TEMPLATE.FAT&amp;display_string=Audit&amp;VAR:KEY=DUZANORCZM&amp;VAR:QUERY=RkZfUkRfRVhQKENBTCwzODcxNywsLCwp&amp;WINDOW=FIRST_POPUP&amp;HEIGHT=450&amp;WIDTH=450&amp;START_MAXIMI","ZED=FALSE&amp;VAR:CALENDAR=US&amp;VAR:SYMBOL=PFE&amp;VAR:INDEX=0"}</definedName>
    <definedName name="_3288__FDSAUDITLINK__" hidden="1">{"fdsup://directions/FAT Viewer?action=UPDATE&amp;creator=factset&amp;DYN_ARGS=TRUE&amp;DOC_NAME=FAT:FQL_AUDITING_CLIENT_TEMPLATE.FAT&amp;display_string=Audit&amp;VAR:KEY=DGDCHUBYVS&amp;VAR:QUERY=RkZfUkRfRVhQKENBTCwzODcxNywsLCwp&amp;WINDOW=FIRST_POPUP&amp;HEIGHT=450&amp;WIDTH=450&amp;START_MAXIMI","ZED=FALSE&amp;VAR:CALENDAR=US&amp;VAR:SYMBOL=WYE&amp;VAR:INDEX=0"}</definedName>
    <definedName name="_3289__FDSAUDITLINK__" hidden="1">{"fdsup://directions/FAT Viewer?action=UPDATE&amp;creator=factset&amp;DYN_ARGS=TRUE&amp;DOC_NAME=FAT:FQL_AUDITING_CLIENT_TEMPLATE.FAT&amp;display_string=Audit&amp;VAR:KEY=BETMVWVSBG&amp;VAR:QUERY=RkZfUkRfRVhQKENBTCwzODM1MiwsLCwp&amp;WINDOW=FIRST_POPUP&amp;HEIGHT=450&amp;WIDTH=450&amp;START_MAXIMI","ZED=FALSE&amp;VAR:CALENDAR=US&amp;VAR:SYMBOL=PFE&amp;VAR:INDEX=0"}</definedName>
    <definedName name="_329__FDSAUDITLINK__" hidden="1">{"fdsup://directions/FAT%20Viewer?VAR:TM=NTMA&amp;VAR:PCT=0.516393&amp;VAR:Y0=2004&amp;VAR:Y1=2005&amp;VAR:V0=17.420645&amp;VAR:V1=15.765551&amp;VAR:V=16.578935&amp;VAR:AUDIT_ID=00000117&amp;VAR:DATE=20040625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Aggregates&amp;VAR:MEASURE=PE_MEAN&amp;VAR:CALC_MODE=PORTFOLIO&amp;VAR:CHGPERIOD=NA&amp;VAR:FQLFORMULA=FMA_PE&amp;VAR:CURRENCY=USD&amp;VAR:P=1","134.432400&amp;VAR:THRESH=||||||&amp;VAR:null=.html"}</definedName>
    <definedName name="_3290__FDSAUDITLINK__" hidden="1">{"fdsup://directions/FAT Viewer?action=UPDATE&amp;creator=factset&amp;DYN_ARGS=TRUE&amp;DOC_NAME=FAT:FQL_AUDITING_CLIENT_TEMPLATE.FAT&amp;display_string=Audit&amp;VAR:KEY=HKXMFCNQRG&amp;VAR:QUERY=RkZfUkRfRVhQKENBTCwzODM1MiwsLCwp&amp;WINDOW=FIRST_POPUP&amp;HEIGHT=450&amp;WIDTH=450&amp;START_MAXIMI","ZED=FALSE&amp;VAR:CALENDAR=US&amp;VAR:SYMBOL=WYE&amp;VAR:INDEX=0"}</definedName>
    <definedName name="_3291__FDSAUDITLINK__" hidden="1">{"fdsup://Directions/FactSet Auditing Viewer?action=AUDIT_VALUE&amp;DB=129&amp;ID1=36871040&amp;VALUEID=01001&amp;SDATE=200804&amp;PERIODTYPE=QTR_STD&amp;SCFT=3&amp;window=popup_no_bar&amp;width=385&amp;height=120&amp;START_MAXIMIZED=FALSE&amp;creator=factset&amp;display_string=Audit"}</definedName>
    <definedName name="_3292__FDSAUDITLINK__" hidden="1">{"fdsup://Directions/FactSet Auditing Viewer?action=AUDIT_VALUE&amp;DB=129&amp;ID1=36871040&amp;VALUEID=01001&amp;SDATE=200803&amp;PERIODTYPE=QTR_STD&amp;SCFT=3&amp;window=popup_no_bar&amp;width=385&amp;height=120&amp;START_MAXIMIZED=FALSE&amp;creator=factset&amp;display_string=Audit"}</definedName>
    <definedName name="_3293__FDSAUDITLINK__" hidden="1">{"fdsup://Directions/FactSet Auditing Viewer?action=AUDIT_VALUE&amp;DB=129&amp;ID1=36871040&amp;VALUEID=01001&amp;SDATE=200802&amp;PERIODTYPE=QTR_STD&amp;SCFT=3&amp;window=popup_no_bar&amp;width=385&amp;height=120&amp;START_MAXIMIZED=FALSE&amp;creator=factset&amp;display_string=Audit"}</definedName>
    <definedName name="_3294__FDSAUDITLINK__" hidden="1">{"fdsup://Directions/FactSet Auditing Viewer?action=AUDIT_VALUE&amp;DB=129&amp;ID1=36871040&amp;VALUEID=01001&amp;SDATE=200801&amp;PERIODTYPE=QTR_STD&amp;SCFT=3&amp;window=popup_no_bar&amp;width=385&amp;height=120&amp;START_MAXIMIZED=FALSE&amp;creator=factset&amp;display_string=Audit"}</definedName>
    <definedName name="_3295__FDSAUDITLINK__" hidden="1">{"fdsup://Directions/FactSet Auditing Viewer?action=AUDIT_VALUE&amp;DB=129&amp;ID1=36871040&amp;VALUEID=01001&amp;SDATE=200704&amp;PERIODTYPE=QTR_STD&amp;SCFT=3&amp;window=popup_no_bar&amp;width=385&amp;height=120&amp;START_MAXIMIZED=FALSE&amp;creator=factset&amp;display_string=Audit"}</definedName>
    <definedName name="_3296__FDSAUDITLINK__" hidden="1">{"fdsup://Directions/FactSet Auditing Viewer?action=AUDIT_VALUE&amp;DB=129&amp;ID1=36871040&amp;VALUEID=01001&amp;SDATE=200703&amp;PERIODTYPE=QTR_STD&amp;SCFT=3&amp;window=popup_no_bar&amp;width=385&amp;height=120&amp;START_MAXIMIZED=FALSE&amp;creator=factset&amp;display_string=Audit"}</definedName>
    <definedName name="_3297__FDSAUDITLINK__" hidden="1">{"fdsup://Directions/FactSet Auditing Viewer?action=AUDIT_VALUE&amp;DB=129&amp;ID1=36871040&amp;VALUEID=01001&amp;SDATE=200702&amp;PERIODTYPE=QTR_STD&amp;SCFT=3&amp;window=popup_no_bar&amp;width=385&amp;height=120&amp;START_MAXIMIZED=FALSE&amp;creator=factset&amp;display_string=Audit"}</definedName>
    <definedName name="_3298__FDSAUDITLINK__" hidden="1">{"fdsup://Directions/FactSet Auditing Viewer?action=AUDIT_VALUE&amp;DB=129&amp;ID1=36871040&amp;VALUEID=01001&amp;SDATE=200701&amp;PERIODTYPE=QTR_STD&amp;SCFT=3&amp;window=popup_no_bar&amp;width=385&amp;height=120&amp;START_MAXIMIZED=FALSE&amp;creator=factset&amp;display_string=Audit"}</definedName>
    <definedName name="_3299__FDSAUDITLINK__" hidden="1">{"fdsup://Directions/FactSet Auditing Viewer?action=AUDIT_VALUE&amp;DB=129&amp;ID1=98302410&amp;VALUEID=01001&amp;SDATE=200902&amp;PERIODTYPE=QTR_STD&amp;SCFT=3&amp;window=popup_no_bar&amp;width=385&amp;height=120&amp;START_MAXIMIZED=FALSE&amp;creator=factset&amp;display_string=Audit"}</definedName>
    <definedName name="_33__FDSAUDITLINK__" hidden="1">{"fdsup://directions/FAT%20Viewer?VAR:TM=NTMA&amp;VAR:PCT=0.843836&amp;VAR:Y0=2010&amp;VAR:Y1=2011&amp;VAR:V0=13.927014&amp;VAR:V1=11.658680&amp;VAR:V=13.516339&amp;VAR:AUDIT_ID=00000117&amp;VAR:DATE=20100226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Aggregates&amp;VAR:MEASURE=PE_MEAN&amp;VAR:CALC_MODE=PORTFOLIO&amp;VAR:CHGPERIOD=NA&amp;VAR:FQLFORMULA=FMA_PE&amp;VAR:CURRENCY=USD&amp;VAR:P=1","104.493370&amp;VAR:THRESH=||||||&amp;VAR:null=.html"}</definedName>
    <definedName name="_330__FDSAUDITLINK__" hidden="1">{"fdsup://directions/FAT%20Viewer?VAR:TM=NTMA&amp;VAR:PCT=0.535519&amp;VAR:Y0=2004&amp;VAR:Y1=2005&amp;VAR:V0=17.412346&amp;VAR:V1=15.741886&amp;VAR:V=16.594429&amp;VAR:AUDIT_ID=00000117&amp;VAR:DATE=20040618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Aggregates&amp;VAR:MEASURE=PE_MEAN&amp;VAR:CALC_MODE=PORTFOLIO&amp;VAR:CHGPERIOD=NA&amp;VAR:FQLFORMULA=FMA_PE&amp;VAR:CURRENCY=USD&amp;VAR:P=1","135.015400&amp;VAR:THRESH=||||||&amp;VAR:null=.html"}</definedName>
    <definedName name="_3300__FDSAUDITLINK__" hidden="1">{"fdsup://Directions/FactSet Auditing Viewer?action=AUDIT_VALUE&amp;DB=129&amp;ID1=98302410&amp;VALUEID=01001&amp;SDATE=200901&amp;PERIODTYPE=QTR_STD&amp;SCFT=3&amp;window=popup_no_bar&amp;width=385&amp;height=120&amp;START_MAXIMIZED=FALSE&amp;creator=factset&amp;display_string=Audit"}</definedName>
    <definedName name="_3301__FDSAUDITLINK__" hidden="1">{"fdsup://Directions/FactSet Auditing Viewer?action=AUDIT_VALUE&amp;DB=129&amp;ID1=98302410&amp;VALUEID=01001&amp;SDATE=200804&amp;PERIODTYPE=QTR_STD&amp;SCFT=3&amp;window=popup_no_bar&amp;width=385&amp;height=120&amp;START_MAXIMIZED=FALSE&amp;creator=factset&amp;display_string=Audit"}</definedName>
    <definedName name="_3302__FDSAUDITLINK__" hidden="1">{"fdsup://Directions/FactSet Auditing Viewer?action=AUDIT_VALUE&amp;DB=129&amp;ID1=98302410&amp;VALUEID=01001&amp;SDATE=200803&amp;PERIODTYPE=QTR_STD&amp;SCFT=3&amp;window=popup_no_bar&amp;width=385&amp;height=120&amp;START_MAXIMIZED=FALSE&amp;creator=factset&amp;display_string=Audit"}</definedName>
    <definedName name="_3303__FDSAUDITLINK__" hidden="1">{"fdsup://Directions/FactSet Auditing Viewer?action=AUDIT_VALUE&amp;DB=129&amp;ID1=98302410&amp;VALUEID=01001&amp;SDATE=200802&amp;PERIODTYPE=QTR_STD&amp;SCFT=3&amp;window=popup_no_bar&amp;width=385&amp;height=120&amp;START_MAXIMIZED=FALSE&amp;creator=factset&amp;display_string=Audit"}</definedName>
    <definedName name="_3304__FDSAUDITLINK__" hidden="1">{"fdsup://Directions/FactSet Auditing Viewer?action=AUDIT_VALUE&amp;DB=129&amp;ID1=98302410&amp;VALUEID=01001&amp;SDATE=200801&amp;PERIODTYPE=QTR_STD&amp;SCFT=3&amp;window=popup_no_bar&amp;width=385&amp;height=120&amp;START_MAXIMIZED=FALSE&amp;creator=factset&amp;display_string=Audit"}</definedName>
    <definedName name="_3305__FDSAUDITLINK__" hidden="1">{"fdsup://Directions/FactSet Auditing Viewer?action=AUDIT_VALUE&amp;DB=129&amp;ID1=98302410&amp;VALUEID=01001&amp;SDATE=200704&amp;PERIODTYPE=QTR_STD&amp;SCFT=3&amp;window=popup_no_bar&amp;width=385&amp;height=120&amp;START_MAXIMIZED=FALSE&amp;creator=factset&amp;display_string=Audit"}</definedName>
    <definedName name="_3306__FDSAUDITLINK__" hidden="1">{"fdsup://Directions/FactSet Auditing Viewer?action=AUDIT_VALUE&amp;DB=129&amp;ID1=98302410&amp;VALUEID=01001&amp;SDATE=200703&amp;PERIODTYPE=QTR_STD&amp;SCFT=3&amp;window=popup_no_bar&amp;width=385&amp;height=120&amp;START_MAXIMIZED=FALSE&amp;creator=factset&amp;display_string=Audit"}</definedName>
    <definedName name="_3307__FDSAUDITLINK__" hidden="1">{"fdsup://Directions/FactSet Auditing Viewer?action=AUDIT_VALUE&amp;DB=129&amp;ID1=80660510&amp;VALUEID=01001&amp;SDATE=200903&amp;PERIODTYPE=QTR_STD&amp;SCFT=3&amp;window=popup_no_bar&amp;width=385&amp;height=120&amp;START_MAXIMIZED=FALSE&amp;creator=factset&amp;display_string=Audit"}</definedName>
    <definedName name="_3308__FDSAUDITLINK__" hidden="1">{"fdsup://Directions/FactSet Auditing Viewer?action=AUDIT_VALUE&amp;DB=129&amp;ID1=80660510&amp;VALUEID=01001&amp;SDATE=200902&amp;PERIODTYPE=QTR_STD&amp;SCFT=3&amp;window=popup_no_bar&amp;width=385&amp;height=120&amp;START_MAXIMIZED=FALSE&amp;creator=factset&amp;display_string=Audit"}</definedName>
    <definedName name="_3309__FDSAUDITLINK__" hidden="1">{"fdsup://Directions/FactSet Auditing Viewer?action=AUDIT_VALUE&amp;DB=129&amp;ID1=80660510&amp;VALUEID=01001&amp;SDATE=200804&amp;PERIODTYPE=QTR_STD&amp;SCFT=3&amp;window=popup_no_bar&amp;width=385&amp;height=120&amp;START_MAXIMIZED=FALSE&amp;creator=factset&amp;display_string=Audit"}</definedName>
    <definedName name="_331__FDSAUDITLINK__" hidden="1">{"fdsup://directions/FAT%20Viewer?VAR:TM=NTMA&amp;VAR:PCT=0.557377&amp;VAR:Y0=2004&amp;VAR:Y1=2005&amp;VAR:V0=17.445902&amp;VAR:V1=15.760808&amp;VAR:V=16.657601&amp;VAR:AUDIT_ID=00000117&amp;VAR:DATE=20040610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Aggregates&amp;VAR:MEASURE=PE_MEAN&amp;VAR:CALC_MODE=PORTFOLIO&amp;VAR:CHGPERIOD=NA&amp;VAR:FQLFORMULA=FMA_PE&amp;VAR:CURRENCY=USD&amp;VAR:P=1","136.472500&amp;VAR:THRESH=||||||&amp;VAR:null=.html"}</definedName>
    <definedName name="_3310__FDSAUDITLINK__" hidden="1">{"fdsup://Directions/FactSet Auditing Viewer?action=AUDIT_VALUE&amp;DB=129&amp;ID1=80660510&amp;VALUEID=01001&amp;SDATE=200803&amp;PERIODTYPE=QTR_STD&amp;SCFT=3&amp;window=popup_no_bar&amp;width=385&amp;height=120&amp;START_MAXIMIZED=FALSE&amp;creator=factset&amp;display_string=Audit"}</definedName>
    <definedName name="_3311__FDSAUDITLINK__" hidden="1">{"fdsup://Directions/FactSet Auditing Viewer?action=AUDIT_VALUE&amp;DB=129&amp;ID1=80660510&amp;VALUEID=01001&amp;SDATE=200802&amp;PERIODTYPE=QTR_STD&amp;SCFT=3&amp;window=popup_no_bar&amp;width=385&amp;height=120&amp;START_MAXIMIZED=FALSE&amp;creator=factset&amp;display_string=Audit"}</definedName>
    <definedName name="_3312__FDSAUDITLINK__" hidden="1">{"fdsup://Directions/FactSet Auditing Viewer?action=AUDIT_VALUE&amp;DB=129&amp;ID1=80660510&amp;VALUEID=01001&amp;SDATE=200801&amp;PERIODTYPE=QTR_STD&amp;SCFT=3&amp;window=popup_no_bar&amp;width=385&amp;height=120&amp;START_MAXIMIZED=FALSE&amp;creator=factset&amp;display_string=Audit"}</definedName>
    <definedName name="_3313__FDSAUDITLINK__" hidden="1">{"fdsup://Directions/FactSet Auditing Viewer?action=AUDIT_VALUE&amp;DB=129&amp;ID1=80660510&amp;VALUEID=01001&amp;SDATE=200704&amp;PERIODTYPE=QTR_STD&amp;SCFT=3&amp;window=popup_no_bar&amp;width=385&amp;height=120&amp;START_MAXIMIZED=FALSE&amp;creator=factset&amp;display_string=Audit"}</definedName>
    <definedName name="_3314__FDSAUDITLINK__" hidden="1">{"fdsup://directions/FAT Viewer?action=UPDATE&amp;creator=factset&amp;DYN_ARGS=TRUE&amp;DOC_NAME=FAT:FQL_AUDITING_CLIENT_TEMPLATE.FAT&amp;display_string=Audit&amp;VAR:KEY=VKRQTKFUBW&amp;VAR:QUERY=RkZfU0FMRVMoQ0FMLDM5ODEzLCwsLCk=&amp;WINDOW=FIRST_POPUP&amp;HEIGHT=450&amp;WIDTH=450&amp;START_MAXIMI","ZED=FALSE&amp;VAR:CALENDAR=US&amp;VAR:SYMBOL=DNA&amp;VAR:INDEX=0"}</definedName>
    <definedName name="_3315__FDSAUDITLINK__" hidden="1">{"fdsup://directions/FAT Viewer?action=UPDATE&amp;creator=factset&amp;DYN_ARGS=TRUE&amp;DOC_NAME=FAT:FQL_AUDITING_CLIENT_TEMPLATE.FAT&amp;display_string=Audit&amp;VAR:KEY=XEDCREVYZS&amp;VAR:QUERY=RkZfU0FMRVMoQ0FMLDM5NDQ3LCwsLCk=&amp;WINDOW=FIRST_POPUP&amp;HEIGHT=450&amp;WIDTH=450&amp;START_MAXIMI","ZED=FALSE&amp;VAR:CALENDAR=US&amp;VAR:SYMBOL=DNA&amp;VAR:INDEX=0"}</definedName>
    <definedName name="_3316__FDSAUDITLINK__" hidden="1">{"fdsup://directions/FAT Viewer?action=UPDATE&amp;creator=factset&amp;DYN_ARGS=TRUE&amp;DOC_NAME=FAT:FQL_AUDITING_CLIENT_TEMPLATE.FAT&amp;display_string=Audit&amp;VAR:KEY=TOXMHYNEDQ&amp;VAR:QUERY=RkZfU0FMRVMoQ0FMLDM5MDgyLCwsLCk=&amp;WINDOW=FIRST_POPUP&amp;HEIGHT=450&amp;WIDTH=450&amp;START_MAXIMI","ZED=FALSE&amp;VAR:CALENDAR=US&amp;VAR:SYMBOL=DNA&amp;VAR:INDEX=0"}</definedName>
    <definedName name="_3317__FDSAUDITLINK__" hidden="1">{"fdsup://directions/FAT Viewer?action=UPDATE&amp;creator=factset&amp;DYN_ARGS=TRUE&amp;DOC_NAME=FAT:FQL_AUDITING_CLIENT_TEMPLATE.FAT&amp;display_string=Audit&amp;VAR:KEY=BKHAJUZULG&amp;VAR:QUERY=RkZfU0FMRVMoQ0FMLDM4NzE3LCwsLCk=&amp;WINDOW=FIRST_POPUP&amp;HEIGHT=450&amp;WIDTH=450&amp;START_MAXIMI","ZED=FALSE&amp;VAR:CALENDAR=US&amp;VAR:SYMBOL=DNA&amp;VAR:INDEX=0"}</definedName>
    <definedName name="_3318__FDSAUDITLINK__" hidden="1">{"fdsup://directions/FAT Viewer?action=UPDATE&amp;creator=factset&amp;DYN_ARGS=TRUE&amp;DOC_NAME=FAT:FQL_AUDITING_CLIENT_TEMPLATE.FAT&amp;display_string=Audit&amp;VAR:KEY=JYZKZGDIFI&amp;VAR:QUERY=RkZfU0FMRVMoQ0FMLDM4MzUyLCwsLCk=&amp;WINDOW=FIRST_POPUP&amp;HEIGHT=450&amp;WIDTH=450&amp;START_MAXIMI","ZED=FALSE&amp;VAR:CALENDAR=US&amp;VAR:SYMBOL=DNA&amp;VAR:INDEX=0"}</definedName>
    <definedName name="_3319__FDSAUDITLINK__" hidden="1">{"fdsup://directions/FAT Viewer?action=UPDATE&amp;creator=factset&amp;DYN_ARGS=TRUE&amp;DOC_NAME=FAT:FQL_AUDITING_CLIENT_TEMPLATE.FAT&amp;display_string=Audit&amp;VAR:KEY=HONSVQVETW&amp;VAR:QUERY=RkZfU0FMRVMoQ0FMLDM5ODEzLCwsLCk=&amp;WINDOW=FIRST_POPUP&amp;HEIGHT=450&amp;WIDTH=450&amp;START_MAXIMI","ZED=FALSE&amp;VAR:CALENDAR=US&amp;VAR:SYMBOL=SGP&amp;VAR:INDEX=0"}</definedName>
    <definedName name="_332__FDSAUDITLINK__" hidden="1">{"fdsup://directions/FAT%20Viewer?VAR:TM=NTMA&amp;VAR:PCT=0.573770&amp;VAR:Y0=2004&amp;VAR:Y1=2005&amp;VAR:V0=17.288855&amp;VAR:V1=15.571107&amp;VAR:V=16.512439&amp;VAR:AUDIT_ID=00000117&amp;VAR:DATE=20040604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Aggregates&amp;VAR:MEASURE=PE_MEAN&amp;VAR:CALC_MODE=PORTFOLIO&amp;VAR:CHGPERIOD=NA&amp;VAR:FQLFORMULA=FMA_PE&amp;VAR:CURRENCY=USD&amp;VAR:P=1","122.504200&amp;VAR:THRESH=||||||&amp;VAR:null=.html"}</definedName>
    <definedName name="_3320__FDSAUDITLINK__" hidden="1">{"fdsup://directions/FAT Viewer?action=UPDATE&amp;creator=factset&amp;DYN_ARGS=TRUE&amp;DOC_NAME=FAT:FQL_AUDITING_CLIENT_TEMPLATE.FAT&amp;display_string=Audit&amp;VAR:KEY=DGFOTSZMDS&amp;VAR:QUERY=RkZfU0FMRVMoQ0FMLDM5NDQ3LCwsLCk=&amp;WINDOW=FIRST_POPUP&amp;HEIGHT=450&amp;WIDTH=450&amp;START_MAXIMI","ZED=FALSE&amp;VAR:CALENDAR=US&amp;VAR:SYMBOL=SGP&amp;VAR:INDEX=0"}</definedName>
    <definedName name="_3321__FDSAUDITLINK__" hidden="1">{"fdsup://directions/FAT Viewer?action=UPDATE&amp;creator=factset&amp;DYN_ARGS=TRUE&amp;DOC_NAME=FAT:FQL_AUDITING_CLIENT_TEMPLATE.FAT&amp;display_string=Audit&amp;VAR:KEY=RMFKNYHWPS&amp;VAR:QUERY=RkZfU0FMRVMoQ0FMLDM5MDgyLCwsLCk=&amp;WINDOW=FIRST_POPUP&amp;HEIGHT=450&amp;WIDTH=450&amp;START_MAXIMI","ZED=FALSE&amp;VAR:CALENDAR=US&amp;VAR:SYMBOL=SGP&amp;VAR:INDEX=0"}</definedName>
    <definedName name="_3322__FDSAUDITLINK__" hidden="1">{"fdsup://directions/FAT Viewer?action=UPDATE&amp;creator=factset&amp;DYN_ARGS=TRUE&amp;DOC_NAME=FAT:FQL_AUDITING_CLIENT_TEMPLATE.FAT&amp;display_string=Audit&amp;VAR:KEY=DKZQFGPGZY&amp;VAR:QUERY=RkZfU0FMRVMoQ0FMLDM4NzE3LCwsLCk=&amp;WINDOW=FIRST_POPUP&amp;HEIGHT=450&amp;WIDTH=450&amp;START_MAXIMI","ZED=FALSE&amp;VAR:CALENDAR=US&amp;VAR:SYMBOL=SGP&amp;VAR:INDEX=0"}</definedName>
    <definedName name="_3323__FDSAUDITLINK__" hidden="1">{"fdsup://directions/FAT Viewer?action=UPDATE&amp;creator=factset&amp;DYN_ARGS=TRUE&amp;DOC_NAME=FAT:FQL_AUDITING_CLIENT_TEMPLATE.FAT&amp;display_string=Audit&amp;VAR:KEY=BSFAVMVYRK&amp;VAR:QUERY=RkZfU0FMRVMoQ0FMLDM4MzUyLCwsLCk=&amp;WINDOW=FIRST_POPUP&amp;HEIGHT=450&amp;WIDTH=450&amp;START_MAXIMI","ZED=FALSE&amp;VAR:CALENDAR=US&amp;VAR:SYMBOL=SGP&amp;VAR:INDEX=0"}</definedName>
    <definedName name="_3324__FDSAUDITLINK__" hidden="1">{"fdsup://directions/FAT Viewer?action=UPDATE&amp;creator=factset&amp;DYN_ARGS=TRUE&amp;DOC_NAME=FAT:FQL_AUDITING_CLIENT_TEMPLATE.FAT&amp;display_string=Audit&amp;VAR:KEY=VQLSXQNWTQ&amp;VAR:QUERY=RkZfU0FMRVMoQ0FMLDM5ODEzLCwsLCk=&amp;WINDOW=FIRST_POPUP&amp;HEIGHT=450&amp;WIDTH=450&amp;START_MAXIMI","ZED=FALSE&amp;VAR:CALENDAR=US&amp;VAR:SYMBOL=WYE&amp;VAR:INDEX=0"}</definedName>
    <definedName name="_3325__FDSAUDITLINK__" hidden="1">{"fdsup://directions/FAT Viewer?action=UPDATE&amp;creator=factset&amp;DYN_ARGS=TRUE&amp;DOC_NAME=FAT:FQL_AUDITING_CLIENT_TEMPLATE.FAT&amp;display_string=Audit&amp;VAR:KEY=LYBCHAXYFU&amp;VAR:QUERY=RkZfU0FMRVMoQ0FMLDM5NDQ3LCwsLCk=&amp;WINDOW=FIRST_POPUP&amp;HEIGHT=450&amp;WIDTH=450&amp;START_MAXIMI","ZED=FALSE&amp;VAR:CALENDAR=US&amp;VAR:SYMBOL=WYE&amp;VAR:INDEX=0"}</definedName>
    <definedName name="_3326__FDSAUDITLINK__" hidden="1">{"fdsup://directions/FAT Viewer?action=UPDATE&amp;creator=factset&amp;DYN_ARGS=TRUE&amp;DOC_NAME=FAT:FQL_AUDITING_CLIENT_TEMPLATE.FAT&amp;display_string=Audit&amp;VAR:KEY=VEPGFILCPM&amp;VAR:QUERY=RkZfU0FMRVMoQ0FMLDM5MDgyLCwsLCk=&amp;WINDOW=FIRST_POPUP&amp;HEIGHT=450&amp;WIDTH=450&amp;START_MAXIMI","ZED=FALSE&amp;VAR:CALENDAR=US&amp;VAR:SYMBOL=WYE&amp;VAR:INDEX=0"}</definedName>
    <definedName name="_3327__FDSAUDITLINK__" hidden="1">{"fdsup://directions/FAT Viewer?action=UPDATE&amp;creator=factset&amp;DYN_ARGS=TRUE&amp;DOC_NAME=FAT:FQL_AUDITING_CLIENT_TEMPLATE.FAT&amp;display_string=Audit&amp;VAR:KEY=LIHSTKLYLI&amp;VAR:QUERY=RkZfU0FMRVMoQ0FMLDM4NzE3LCwsLCk=&amp;WINDOW=FIRST_POPUP&amp;HEIGHT=450&amp;WIDTH=450&amp;START_MAXIMI","ZED=FALSE&amp;VAR:CALENDAR=US&amp;VAR:SYMBOL=WYE&amp;VAR:INDEX=0"}</definedName>
    <definedName name="_3328__FDSAUDITLINK__" hidden="1">{"fdsup://directions/FAT Viewer?action=UPDATE&amp;creator=factset&amp;DYN_ARGS=TRUE&amp;DOC_NAME=FAT:FQL_AUDITING_CLIENT_TEMPLATE.FAT&amp;display_string=Audit&amp;VAR:KEY=ZIFWJMBGTI&amp;VAR:QUERY=RkZfU0FMRVMoQ0FMLDM4MzUyLCwsLCk=&amp;WINDOW=FIRST_POPUP&amp;HEIGHT=450&amp;WIDTH=450&amp;START_MAXIMI","ZED=FALSE&amp;VAR:CALENDAR=US&amp;VAR:SYMBOL=WYE&amp;VAR:INDEX=0"}</definedName>
    <definedName name="_3329__FDSAUDITLINK__" hidden="1">{"fdsup://directions/FAT Viewer?action=UPDATE&amp;creator=factset&amp;DYN_ARGS=TRUE&amp;DOC_NAME=FAT:FQL_AUDITING_CLIENT_TEMPLATE.FAT&amp;display_string=Audit&amp;VAR:KEY=PSFYRIZWZC&amp;VAR:QUERY=RkZfU0FMRVMoQ0FMLDQwNTQzLCwsLFVTRCk=&amp;WINDOW=FIRST_POPUP&amp;HEIGHT=450&amp;WIDTH=450&amp;START_MA","XIMIZED=FALSE&amp;VAR:CALENDAR=US&amp;VAR:SYMBOL=BIIB&amp;VAR:INDEX=0"}</definedName>
    <definedName name="_333__FDSAUDITLINK__" hidden="1">{"fdsup://directions/FAT%20Viewer?VAR:TM=NTMA&amp;VAR:PCT=0.592896&amp;VAR:Y0=2004&amp;VAR:Y1=2005&amp;VAR:V0=17.324043&amp;VAR:V1=15.641068&amp;VAR:V=16.597022&amp;VAR:AUDIT_ID=00000117&amp;VAR:DATE=20040528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Aggregates&amp;VAR:MEASURE=PE_MEAN&amp;VAR:CALC_MODE=PORTFOLIO&amp;VAR:CHGPERIOD=NA&amp;VAR:FQLFORMULA=FMA_PE&amp;VAR:CURRENCY=USD&amp;VAR:P=1","120.683100&amp;VAR:THRESH=||||||&amp;VAR:null=.html"}</definedName>
    <definedName name="_3330__FDSAUDITLINK__" hidden="1">{"fdsup://directions/FAT Viewer?action=UPDATE&amp;creator=factset&amp;DYN_ARGS=TRUE&amp;DOC_NAME=FAT:FQL_AUDITING_CLIENT_TEMPLATE.FAT&amp;display_string=Audit&amp;VAR:KEY=FULAJKBUXO&amp;VAR:QUERY=RkZfU0FMRVMoQ0FMLDQwNTQzLCwsLFVTRCk=&amp;WINDOW=FIRST_POPUP&amp;HEIGHT=450&amp;WIDTH=450&amp;START_MA","XIMIZED=FALSE&amp;VAR:CALENDAR=US&amp;VAR:SYMBOL=707752&amp;VAR:INDEX=0"}</definedName>
    <definedName name="_3331__FDSAUDITLINK__" hidden="1">{"fdsup://directions/FAT Viewer?action=UPDATE&amp;creator=factset&amp;DYN_ARGS=TRUE&amp;DOC_NAME=FAT:FQL_AUDITING_CLIENT_TEMPLATE.FAT&amp;display_string=Audit&amp;VAR:KEY=RIBWDWRERQ&amp;VAR:QUERY=RkZfU0FMRVMoQ0FMLDQwNTQzLCwsLFVTRCk=&amp;WINDOW=FIRST_POPUP&amp;HEIGHT=450&amp;WIDTH=450&amp;START_MA","XIMIZED=FALSE&amp;VAR:CALENDAR=US&amp;VAR:SYMBOL=630720&amp;VAR:INDEX=0"}</definedName>
    <definedName name="_3332__FDSAUDITLINK__" hidden="1">{"fdsup://directions/FAT Viewer?action=UPDATE&amp;creator=factset&amp;DYN_ARGS=TRUE&amp;DOC_NAME=FAT:FQL_AUDITING_CLIENT_TEMPLATE.FAT&amp;display_string=Audit&amp;VAR:KEY=HGDSFIHCJA&amp;VAR:QUERY=RkZfU0FMRVMoQ0FMLDQwNTQzLCwsLFVTRCk=&amp;WINDOW=FIRST_POPUP&amp;HEIGHT=450&amp;WIDTH=450&amp;START_MA","XIMIZED=FALSE&amp;VAR:CALENDAR=US&amp;VAR:SYMBOL=698538&amp;VAR:INDEX=0"}</definedName>
    <definedName name="_3333__FDSAUDITLINK__" hidden="1">{"fdsup://directions/FAT Viewer?action=UPDATE&amp;creator=factset&amp;DYN_ARGS=TRUE&amp;DOC_NAME=FAT:FQL_AUDITING_CLIENT_TEMPLATE.FAT&amp;display_string=Audit&amp;VAR:KEY=BQFYVIHSFI&amp;VAR:QUERY=RkZfU0FMRVMoQ0FMLDQwNTQzLCwsLFVTRCk=&amp;WINDOW=FIRST_POPUP&amp;HEIGHT=450&amp;WIDTH=450&amp;START_MA","XIMIZED=FALSE&amp;VAR:CALENDAR=US&amp;VAR:SYMBOL=474184&amp;VAR:INDEX=0"}</definedName>
    <definedName name="_3334__FDSAUDITLINK__" hidden="1">{"fdsup://directions/FAT Viewer?action=UPDATE&amp;creator=factset&amp;DYN_ARGS=TRUE&amp;DOC_NAME=FAT:FQL_AUDITING_CLIENT_TEMPLATE.FAT&amp;display_string=Audit&amp;VAR:KEY=FOZCTETIXS&amp;VAR:QUERY=RkZfU0FMRVMoQ0FMLDQwNTQzLCwsLFVTRCk=&amp;WINDOW=FIRST_POPUP&amp;HEIGHT=450&amp;WIDTH=450&amp;START_MA","XIMIZED=FALSE&amp;VAR:CALENDAR=US&amp;VAR:SYMBOL=B0J7D9&amp;VAR:INDEX=0"}</definedName>
    <definedName name="_3335__FDSAUDITLINK__" hidden="1">{"fdsup://directions/FAT Viewer?action=UPDATE&amp;creator=factset&amp;DYN_ARGS=TRUE&amp;DOC_NAME=FAT:FQL_AUDITING_CLIENT_TEMPLATE.FAT&amp;display_string=Audit&amp;VAR:KEY=XWNMHODIRY&amp;VAR:QUERY=RkZfU0FMRVMoQ0FMLDQwNTQzLCwsLFVTRCk=&amp;WINDOW=FIRST_POPUP&amp;HEIGHT=450&amp;WIDTH=450&amp;START_MA","XIMIZED=FALSE&amp;VAR:CALENDAR=US&amp;VAR:SYMBOL=AMGN&amp;VAR:INDEX=0"}</definedName>
    <definedName name="_3336__FDSAUDITLINK__" hidden="1">{"fdsup://directions/FAT Viewer?action=UPDATE&amp;creator=factset&amp;DYN_ARGS=TRUE&amp;DOC_NAME=FAT:FQL_AUDITING_CLIENT_TEMPLATE.FAT&amp;display_string=Audit&amp;VAR:KEY=PWBYBYZGVC&amp;VAR:QUERY=RkZfU0FMRVMoQ0FMLDQwNTQzLCwsLFVTRCk=&amp;WINDOW=FIRST_POPUP&amp;HEIGHT=450&amp;WIDTH=450&amp;START_MA","XIMIZED=FALSE&amp;VAR:CALENDAR=US&amp;VAR:SYMBOL=ABT&amp;VAR:INDEX=0"}</definedName>
    <definedName name="_3337__FDSAUDITLINK__" hidden="1">{"fdsup://directions/FAT Viewer?action=UPDATE&amp;creator=factset&amp;DYN_ARGS=TRUE&amp;DOC_NAME=FAT:FQL_AUDITING_CLIENT_TEMPLATE.FAT&amp;display_string=Audit&amp;VAR:KEY=HMVWDILITS&amp;VAR:QUERY=RkZfU0FMRVMoQ0FMLDQwNTQzLCwsLFVTRCk=&amp;WINDOW=FIRST_POPUP&amp;HEIGHT=450&amp;WIDTH=450&amp;START_MA","XIMIZED=FALSE&amp;VAR:CALENDAR=US&amp;VAR:SYMBOL=687044&amp;VAR:INDEX=0"}</definedName>
    <definedName name="_3338__FDSAUDITLINK__" hidden="1">{"fdsup://directions/FAT Viewer?action=UPDATE&amp;creator=factset&amp;DYN_ARGS=TRUE&amp;DOC_NAME=FAT:FQL_AUDITING_CLIENT_TEMPLATE.FAT&amp;display_string=Audit&amp;VAR:KEY=DARUTYDUXC&amp;VAR:QUERY=RkZfU0FMRVMoQ0FMLDQwNTQzLCwsLFVTRCk=&amp;WINDOW=FIRST_POPUP&amp;HEIGHT=450&amp;WIDTH=450&amp;START_MA","XIMIZED=FALSE&amp;VAR:CALENDAR=US&amp;VAR:SYMBOL=BMY&amp;VAR:INDEX=0"}</definedName>
    <definedName name="_3339__FDSAUDITLINK__" hidden="1">{"fdsup://directions/FAT Viewer?action=UPDATE&amp;creator=factset&amp;DYN_ARGS=TRUE&amp;DOC_NAME=FAT:FQL_AUDITING_CLIENT_TEMPLATE.FAT&amp;display_string=Audit&amp;VAR:KEY=POPKTAPQJQ&amp;VAR:QUERY=RkZfU0FMRVMoQ0FMLDQwNTQzLCwsLFVTRCk=&amp;WINDOW=FIRST_POPUP&amp;HEIGHT=450&amp;WIDTH=450&amp;START_MA","XIMIZED=FALSE&amp;VAR:CALENDAR=US&amp;VAR:SYMBOL=LLY&amp;VAR:INDEX=0"}</definedName>
    <definedName name="_334__FDSAUDITLINK__" hidden="1">{"fdsup://directions/FAT%20Viewer?VAR:TM=NTMA&amp;VAR:PCT=0.612022&amp;VAR:Y0=2004&amp;VAR:Y1=2005&amp;VAR:V0=16.920012&amp;VAR:V1=15.278290&amp;VAR:V=16.242847&amp;VAR:AUDIT_ID=00000117&amp;VAR:DATE=20040521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Aggregates&amp;VAR:MEASURE=PE_MEAN&amp;VAR:CALC_MODE=PORTFOLIO&amp;VAR:CHGPERIOD=NA&amp;VAR:FQLFORMULA=FMA_PE&amp;VAR:CURRENCY=USD&amp;VAR:P=1","093.555500&amp;VAR:THRESH=||||||&amp;VAR:null=.html"}</definedName>
    <definedName name="_3340__FDSAUDITLINK__" hidden="1">{"fdsup://directions/FAT Viewer?action=UPDATE&amp;creator=factset&amp;DYN_ARGS=TRUE&amp;DOC_NAME=FAT:FQL_AUDITING_CLIENT_TEMPLATE.FAT&amp;display_string=Audit&amp;VAR:KEY=XOJCXURYNY&amp;VAR:QUERY=RkZfU0FMRVMoQ0FMLDQwNTQzLCwsLFVTRCk=&amp;WINDOW=FIRST_POPUP&amp;HEIGHT=450&amp;WIDTH=450&amp;START_MA","XIMIZED=FALSE&amp;VAR:CALENDAR=US&amp;VAR:SYMBOL=506921&amp;VAR:INDEX=0"}</definedName>
    <definedName name="_3341__FDSAUDITLINK__" hidden="1">{"fdsup://directions/FAT Viewer?action=UPDATE&amp;creator=factset&amp;DYN_ARGS=TRUE&amp;DOC_NAME=FAT:FQL_AUDITING_CLIENT_TEMPLATE.FAT&amp;display_string=Audit&amp;VAR:KEY=VSPKTEVIFI&amp;VAR:QUERY=RkZfU0FMRVMoQ0FMLDQwNTQzLCwsLFVTRCk=&amp;WINDOW=FIRST_POPUP&amp;HEIGHT=450&amp;WIDTH=450&amp;START_MA","XIMIZED=FALSE&amp;VAR:CALENDAR=US&amp;VAR:SYMBOL=567173&amp;VAR:INDEX=0"}</definedName>
    <definedName name="_3342__FDSAUDITLINK__" hidden="1">{"fdsup://directions/FAT Viewer?action=UPDATE&amp;creator=factset&amp;DYN_ARGS=TRUE&amp;DOC_NAME=FAT:FQL_AUDITING_CLIENT_TEMPLATE.FAT&amp;display_string=Audit&amp;VAR:KEY=BCLQRKPMJI&amp;VAR:QUERY=RkZfU0FMRVMoQ0FMLDQwNTQzLCwsLFVTRCk=&amp;WINDOW=FIRST_POPUP&amp;HEIGHT=450&amp;WIDTH=450&amp;START_MA","XIMIZED=FALSE&amp;VAR:CALENDAR=US&amp;VAR:SYMBOL=JNJ&amp;VAR:INDEX=0"}</definedName>
    <definedName name="_3343__FDSAUDITLINK__" hidden="1">{"fdsup://directions/FAT Viewer?action=UPDATE&amp;creator=factset&amp;DYN_ARGS=TRUE&amp;DOC_NAME=FAT:FQL_AUDITING_CLIENT_TEMPLATE.FAT&amp;display_string=Audit&amp;VAR:KEY=VIFKZADUDQ&amp;VAR:QUERY=RkZfU0FMRVMoQ0FMLDQwNTQzLCwsLFVTRCk=&amp;WINDOW=FIRST_POPUP&amp;HEIGHT=450&amp;WIDTH=450&amp;START_MA","XIMIZED=FALSE&amp;VAR:CALENDAR=US&amp;VAR:SYMBOL=710306&amp;VAR:INDEX=0"}</definedName>
    <definedName name="_3344__FDSAUDITLINK__" hidden="1">{"fdsup://directions/FAT Viewer?action=UPDATE&amp;creator=factset&amp;DYN_ARGS=TRUE&amp;DOC_NAME=FAT:FQL_AUDITING_CLIENT_TEMPLATE.FAT&amp;display_string=Audit&amp;VAR:KEY=LUZWFQNOTG&amp;VAR:QUERY=RkZfU0FMRVMoQ0FMLDQwNTQzLCwsLFVTRCk=&amp;WINDOW=FIRST_POPUP&amp;HEIGHT=450&amp;WIDTH=450&amp;START_MA","XIMIZED=FALSE&amp;VAR:CALENDAR=US&amp;VAR:SYMBOL=711038&amp;VAR:INDEX=0"}</definedName>
    <definedName name="_3345__FDSAUDITLINK__" hidden="1">{"fdsup://directions/FAT Viewer?action=UPDATE&amp;creator=factset&amp;DYN_ARGS=TRUE&amp;DOC_NAME=FAT:FQL_AUDITING_CLIENT_TEMPLATE.FAT&amp;display_string=Audit&amp;VAR:KEY=DMDIZURKRI&amp;VAR:QUERY=RkZfU0FMRVMoQ0FMLDQwNTQzLCwsLFVTRCk=&amp;WINDOW=FIRST_POPUP&amp;HEIGHT=450&amp;WIDTH=450&amp;START_MA","XIMIZED=FALSE&amp;VAR:CALENDAR=US&amp;VAR:SYMBOL=MRK&amp;VAR:INDEX=0"}</definedName>
    <definedName name="_3346__FDSAUDITLINK__" hidden="1">{"fdsup://directions/FAT Viewer?action=UPDATE&amp;creator=factset&amp;DYN_ARGS=TRUE&amp;DOC_NAME=FAT:FQL_AUDITING_CLIENT_TEMPLATE.FAT&amp;display_string=Audit&amp;VAR:KEY=HGVYHKXCNO&amp;VAR:QUERY=RkZfU0FMRVMoQ0FMLDQwNTQzLCwsLFVTRCk=&amp;WINDOW=FIRST_POPUP&amp;HEIGHT=450&amp;WIDTH=450&amp;START_MA","XIMIZED=FALSE&amp;VAR:CALENDAR=US&amp;VAR:SYMBOL=PFE&amp;VAR:INDEX=0"}</definedName>
    <definedName name="_3347__FDSAUDITLINK__" hidden="1">{"fdsup://directions/FAT Viewer?action=UPDATE&amp;creator=factset&amp;DYN_ARGS=TRUE&amp;DOC_NAME=FAT:FQL_AUDITING_CLIENT_TEMPLATE.FAT&amp;display_string=Audit&amp;VAR:KEY=PYFKPQPOHY&amp;VAR:QUERY=RkZfU0FMRVMoQ0FMLDQwNTQzLCwsLCk=&amp;WINDOW=FIRST_POPUP&amp;HEIGHT=450&amp;WIDTH=450&amp;START_MAXIMI","ZED=FALSE&amp;VAR:CALENDAR=US&amp;VAR:SYMBOL=BIIB&amp;VAR:INDEX=0"}</definedName>
    <definedName name="_3348__FDSAUDITLINK__" hidden="1">{"fdsup://directions/FAT Viewer?action=UPDATE&amp;creator=factset&amp;DYN_ARGS=TRUE&amp;DOC_NAME=FAT:FQL_AUDITING_CLIENT_TEMPLATE.FAT&amp;display_string=Audit&amp;VAR:KEY=ZQLUZKTERW&amp;VAR:QUERY=RkZfU0FMRVMoQ0FMLDQwMTc4LCwsLCk=&amp;WINDOW=FIRST_POPUP&amp;HEIGHT=450&amp;WIDTH=450&amp;START_MAXIMI","ZED=FALSE&amp;VAR:CALENDAR=US&amp;VAR:SYMBOL=BIIB&amp;VAR:INDEX=0"}</definedName>
    <definedName name="_3349__FDSAUDITLINK__" hidden="1">{"fdsup://directions/FAT Viewer?action=UPDATE&amp;creator=factset&amp;DYN_ARGS=TRUE&amp;DOC_NAME=FAT:FQL_AUDITING_CLIENT_TEMPLATE.FAT&amp;display_string=Audit&amp;VAR:KEY=XOLSHCXGBA&amp;VAR:QUERY=RkZfU0FMRVMoQ0FMLDM5ODEzLCwsLCk=&amp;WINDOW=FIRST_POPUP&amp;HEIGHT=450&amp;WIDTH=450&amp;START_MAXIMI","ZED=FALSE&amp;VAR:CALENDAR=US&amp;VAR:SYMBOL=BIIB&amp;VAR:INDEX=0"}</definedName>
    <definedName name="_335__FDSAUDITLINK__" hidden="1">{"fdsup://directions/FAT%20Viewer?VAR:TM=NTMA&amp;VAR:PCT=0.631148&amp;VAR:Y0=2004&amp;VAR:Y1=2005&amp;VAR:V0=16.986519&amp;VAR:V1=15.323806&amp;VAR:V=16.332839&amp;VAR:AUDIT_ID=00000117&amp;VAR:DATE=20040514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Aggregates&amp;VAR:MEASURE=PE_MEAN&amp;VAR:CALC_MODE=PORTFOLIO&amp;VAR:CHGPERIOD=NA&amp;VAR:FQLFORMULA=FMA_PE&amp;VAR:CURRENCY=USD&amp;VAR:P=1","095.695800&amp;VAR:THRESH=||||||&amp;VAR:null=.html"}</definedName>
    <definedName name="_3350__FDSAUDITLINK__" hidden="1">{"fdsup://directions/FAT Viewer?action=UPDATE&amp;creator=factset&amp;DYN_ARGS=TRUE&amp;DOC_NAME=FAT:FQL_AUDITING_CLIENT_TEMPLATE.FAT&amp;display_string=Audit&amp;VAR:KEY=LYPQBETAZS&amp;VAR:QUERY=RkZfU0FMRVMoQ0FMLDM5NDQ3LCwsLCk=&amp;WINDOW=FIRST_POPUP&amp;HEIGHT=450&amp;WIDTH=450&amp;START_MAXIMI","ZED=FALSE&amp;VAR:CALENDAR=US&amp;VAR:SYMBOL=BIIB&amp;VAR:INDEX=0"}</definedName>
    <definedName name="_3351__FDSAUDITLINK__" hidden="1">{"fdsup://directions/FAT Viewer?action=UPDATE&amp;creator=factset&amp;DYN_ARGS=TRUE&amp;DOC_NAME=FAT:FQL_AUDITING_CLIENT_TEMPLATE.FAT&amp;display_string=Audit&amp;VAR:KEY=ZELAFGHURE&amp;VAR:QUERY=RkZfU0FMRVMoQ0FMLDM5MDgyLCwsLCk=&amp;WINDOW=FIRST_POPUP&amp;HEIGHT=450&amp;WIDTH=450&amp;START_MAXIMI","ZED=FALSE&amp;VAR:CALENDAR=US&amp;VAR:SYMBOL=BIIB&amp;VAR:INDEX=0"}</definedName>
    <definedName name="_3352__FDSAUDITLINK__" hidden="1">{"fdsup://directions/FAT Viewer?action=UPDATE&amp;creator=factset&amp;DYN_ARGS=TRUE&amp;DOC_NAME=FAT:FQL_AUDITING_CLIENT_TEMPLATE.FAT&amp;display_string=Audit&amp;VAR:KEY=JEJEDARGZU&amp;VAR:QUERY=RkZfU0FMRVMoQ0FMLDM4NzE3LCwsLCk=&amp;WINDOW=FIRST_POPUP&amp;HEIGHT=450&amp;WIDTH=450&amp;START_MAXIMI","ZED=FALSE&amp;VAR:CALENDAR=US&amp;VAR:SYMBOL=BIIB&amp;VAR:INDEX=0"}</definedName>
    <definedName name="_3353__FDSAUDITLINK__" hidden="1">{"fdsup://directions/FAT Viewer?action=UPDATE&amp;creator=factset&amp;DYN_ARGS=TRUE&amp;DOC_NAME=FAT:FQL_AUDITING_CLIENT_TEMPLATE.FAT&amp;display_string=Audit&amp;VAR:KEY=BGRMFOVODW&amp;VAR:QUERY=RkZfU0FMRVMoQ0FMLDM4MzUyLCwsLCk=&amp;WINDOW=FIRST_POPUP&amp;HEIGHT=450&amp;WIDTH=450&amp;START_MAXIMI","ZED=FALSE&amp;VAR:CALENDAR=US&amp;VAR:SYMBOL=BIIB&amp;VAR:INDEX=0"}</definedName>
    <definedName name="_3354__FDSAUDITLINK__" hidden="1">{"fdsup://directions/FAT Viewer?action=UPDATE&amp;creator=factset&amp;DYN_ARGS=TRUE&amp;DOC_NAME=FAT:FQL_AUDITING_CLIENT_TEMPLATE.FAT&amp;display_string=Audit&amp;VAR:KEY=PWBSNCLCBA&amp;VAR:QUERY=RkZfU0FMRVMoQ0FMLDQwNTQzLCwsLCk=&amp;WINDOW=FIRST_POPUP&amp;HEIGHT=450&amp;WIDTH=450&amp;START_MAXIMI","ZED=FALSE&amp;VAR:CALENDAR=US&amp;VAR:SYMBOL=707752&amp;VAR:INDEX=0"}</definedName>
    <definedName name="_3355__FDSAUDITLINK__" hidden="1">{"fdsup://directions/FAT Viewer?action=UPDATE&amp;creator=factset&amp;DYN_ARGS=TRUE&amp;DOC_NAME=FAT:FQL_AUDITING_CLIENT_TEMPLATE.FAT&amp;display_string=Audit&amp;VAR:KEY=LUHEVWHCDE&amp;VAR:QUERY=RkZfU0FMRVMoQ0FMLDQwMTc4LCwsLCk=&amp;WINDOW=FIRST_POPUP&amp;HEIGHT=450&amp;WIDTH=450&amp;START_MAXIMI","ZED=FALSE&amp;VAR:CALENDAR=US&amp;VAR:SYMBOL=707752&amp;VAR:INDEX=0"}</definedName>
    <definedName name="_3356__FDSAUDITLINK__" hidden="1">{"fdsup://directions/FAT Viewer?action=UPDATE&amp;creator=factset&amp;DYN_ARGS=TRUE&amp;DOC_NAME=FAT:FQL_AUDITING_CLIENT_TEMPLATE.FAT&amp;display_string=Audit&amp;VAR:KEY=JWVKFOHATC&amp;VAR:QUERY=RkZfU0FMRVMoQ0FMLDM5ODEzLCwsLCk=&amp;WINDOW=FIRST_POPUP&amp;HEIGHT=450&amp;WIDTH=450&amp;START_MAXIMI","ZED=FALSE&amp;VAR:CALENDAR=US&amp;VAR:SYMBOL=707752&amp;VAR:INDEX=0"}</definedName>
    <definedName name="_3357__FDSAUDITLINK__" hidden="1">{"fdsup://directions/FAT Viewer?action=UPDATE&amp;creator=factset&amp;DYN_ARGS=TRUE&amp;DOC_NAME=FAT:FQL_AUDITING_CLIENT_TEMPLATE.FAT&amp;display_string=Audit&amp;VAR:KEY=VWHYNKZKRG&amp;VAR:QUERY=RkZfU0FMRVMoQ0FMLDM5NDQ3LCwsLCk=&amp;WINDOW=FIRST_POPUP&amp;HEIGHT=450&amp;WIDTH=450&amp;START_MAXIMI","ZED=FALSE&amp;VAR:CALENDAR=US&amp;VAR:SYMBOL=707752&amp;VAR:INDEX=0"}</definedName>
    <definedName name="_3358__FDSAUDITLINK__" hidden="1">{"fdsup://directions/FAT Viewer?action=UPDATE&amp;creator=factset&amp;DYN_ARGS=TRUE&amp;DOC_NAME=FAT:FQL_AUDITING_CLIENT_TEMPLATE.FAT&amp;display_string=Audit&amp;VAR:KEY=XQPUJIHOVS&amp;VAR:QUERY=RkZfU0FMRVMoQ0FMLDQwNTQzLCwsLCk=&amp;WINDOW=FIRST_POPUP&amp;HEIGHT=450&amp;WIDTH=450&amp;START_MAXIMI","ZED=FALSE&amp;VAR:CALENDAR=US&amp;VAR:SYMBOL=630720&amp;VAR:INDEX=0"}</definedName>
    <definedName name="_3359__FDSAUDITLINK__" hidden="1">{"fdsup://directions/FAT Viewer?action=UPDATE&amp;creator=factset&amp;DYN_ARGS=TRUE&amp;DOC_NAME=FAT:FQL_AUDITING_CLIENT_TEMPLATE.FAT&amp;display_string=Audit&amp;VAR:KEY=ZEHGRSXYRY&amp;VAR:QUERY=RkZfU0FMRVMoQ0FMLDQwMTc4LCwsLCk=&amp;WINDOW=FIRST_POPUP&amp;HEIGHT=450&amp;WIDTH=450&amp;START_MAXIMI","ZED=FALSE&amp;VAR:CALENDAR=US&amp;VAR:SYMBOL=630720&amp;VAR:INDEX=0"}</definedName>
    <definedName name="_336__FDSAUDITLINK__" hidden="1">{"fdsup://directions/FAT%20Viewer?VAR:TM=NTMA&amp;VAR:PCT=0.650273&amp;VAR:Y0=2004&amp;VAR:Y1=2005&amp;VAR:V0=17.054590&amp;VAR:V1=15.382455&amp;VAR:V=16.429976&amp;VAR:AUDIT_ID=00000117&amp;VAR:DATE=20040507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Aggregates&amp;VAR:MEASURE=PE_MEAN&amp;VAR:CALC_MODE=PORTFOLIO&amp;VAR:CHGPERIOD=NA&amp;VAR:FQLFORMULA=FMA_PE&amp;VAR:CURRENCY=USD&amp;VAR:P=1","098.699700&amp;VAR:THRESH=||||||&amp;VAR:null=.html"}</definedName>
    <definedName name="_3360__FDSAUDITLINK__" hidden="1">{"fdsup://directions/FAT Viewer?action=UPDATE&amp;creator=factset&amp;DYN_ARGS=TRUE&amp;DOC_NAME=FAT:FQL_AUDITING_CLIENT_TEMPLATE.FAT&amp;display_string=Audit&amp;VAR:KEY=HADCZKLKPY&amp;VAR:QUERY=RkZfU0FMRVMoQ0FMLDM5ODEzLCwsLCk=&amp;WINDOW=FIRST_POPUP&amp;HEIGHT=450&amp;WIDTH=450&amp;START_MAXIMI","ZED=FALSE&amp;VAR:CALENDAR=US&amp;VAR:SYMBOL=630720&amp;VAR:INDEX=0"}</definedName>
    <definedName name="_3361__FDSAUDITLINK__" hidden="1">{"fdsup://directions/FAT Viewer?action=UPDATE&amp;creator=factset&amp;DYN_ARGS=TRUE&amp;DOC_NAME=FAT:FQL_AUDITING_CLIENT_TEMPLATE.FAT&amp;display_string=Audit&amp;VAR:KEY=RYPORYFIJI&amp;VAR:QUERY=RkZfU0FMRVMoQ0FMLDM5NDQ3LCwsLCk=&amp;WINDOW=FIRST_POPUP&amp;HEIGHT=450&amp;WIDTH=450&amp;START_MAXIMI","ZED=FALSE&amp;VAR:CALENDAR=US&amp;VAR:SYMBOL=630720&amp;VAR:INDEX=0"}</definedName>
    <definedName name="_3362__FDSAUDITLINK__" hidden="1">{"fdsup://directions/FAT Viewer?action=UPDATE&amp;creator=factset&amp;DYN_ARGS=TRUE&amp;DOC_NAME=FAT:FQL_AUDITING_CLIENT_TEMPLATE.FAT&amp;display_string=Audit&amp;VAR:KEY=XOXAFQPQBU&amp;VAR:QUERY=RkZfU0FMRVMoQ0FMLDM5MDgyLCwsLCk=&amp;WINDOW=FIRST_POPUP&amp;HEIGHT=450&amp;WIDTH=450&amp;START_MAXIMI","ZED=FALSE&amp;VAR:CALENDAR=US&amp;VAR:SYMBOL=630720&amp;VAR:INDEX=0"}</definedName>
    <definedName name="_3363__FDSAUDITLINK__" hidden="1">{"fdsup://directions/FAT Viewer?action=UPDATE&amp;creator=factset&amp;DYN_ARGS=TRUE&amp;DOC_NAME=FAT:FQL_AUDITING_CLIENT_TEMPLATE.FAT&amp;display_string=Audit&amp;VAR:KEY=RWPCRWLQPE&amp;VAR:QUERY=RkZfU0FMRVMoQ0FMLDM4NzE3LCwsLCk=&amp;WINDOW=FIRST_POPUP&amp;HEIGHT=450&amp;WIDTH=450&amp;START_MAXIMI","ZED=FALSE&amp;VAR:CALENDAR=US&amp;VAR:SYMBOL=630720&amp;VAR:INDEX=0"}</definedName>
    <definedName name="_3364__FDSAUDITLINK__" hidden="1">{"fdsup://directions/FAT Viewer?action=UPDATE&amp;creator=factset&amp;DYN_ARGS=TRUE&amp;DOC_NAME=FAT:FQL_AUDITING_CLIENT_TEMPLATE.FAT&amp;display_string=Audit&amp;VAR:KEY=HMVSNIBYDY&amp;VAR:QUERY=RkZfU0FMRVMoQ0FMLDM4MzUyLCwsLCk=&amp;WINDOW=FIRST_POPUP&amp;HEIGHT=450&amp;WIDTH=450&amp;START_MAXIMI","ZED=FALSE&amp;VAR:CALENDAR=US&amp;VAR:SYMBOL=630720&amp;VAR:INDEX=0"}</definedName>
    <definedName name="_3365__FDSAUDITLINK__" hidden="1">{"fdsup://directions/FAT Viewer?action=UPDATE&amp;creator=factset&amp;DYN_ARGS=TRUE&amp;DOC_NAME=FAT:FQL_AUDITING_CLIENT_TEMPLATE.FAT&amp;display_string=Audit&amp;VAR:KEY=FMVKVUFQTO&amp;VAR:QUERY=RkZfU0FMRVMoQ0FMLDM3OTg2LCwsLCk=&amp;WINDOW=FIRST_POPUP&amp;HEIGHT=450&amp;WIDTH=450&amp;START_MAXIMI","ZED=FALSE&amp;VAR:CALENDAR=US&amp;VAR:SYMBOL=630720&amp;VAR:INDEX=0"}</definedName>
    <definedName name="_3366__FDSAUDITLINK__" hidden="1">{"fdsup://directions/FAT Viewer?action=UPDATE&amp;creator=factset&amp;DYN_ARGS=TRUE&amp;DOC_NAME=FAT:FQL_AUDITING_CLIENT_TEMPLATE.FAT&amp;display_string=Audit&amp;VAR:KEY=RWZSTULEFE&amp;VAR:QUERY=RkZfU0FMRVMoQ0FMLDQwNTQzLCwsLCk=&amp;WINDOW=FIRST_POPUP&amp;HEIGHT=450&amp;WIDTH=450&amp;START_MAXIMI","ZED=FALSE&amp;VAR:CALENDAR=US&amp;VAR:SYMBOL=698538&amp;VAR:INDEX=0"}</definedName>
    <definedName name="_3367__FDSAUDITLINK__" hidden="1">{"fdsup://directions/FAT Viewer?action=UPDATE&amp;creator=factset&amp;DYN_ARGS=TRUE&amp;DOC_NAME=FAT:FQL_AUDITING_CLIENT_TEMPLATE.FAT&amp;display_string=Audit&amp;VAR:KEY=XENCRATKNY&amp;VAR:QUERY=RkZfU0FMRVMoQ0FMLDQwMTc4LCwsLCk=&amp;WINDOW=FIRST_POPUP&amp;HEIGHT=450&amp;WIDTH=450&amp;START_MAXIMI","ZED=FALSE&amp;VAR:CALENDAR=US&amp;VAR:SYMBOL=698538&amp;VAR:INDEX=0"}</definedName>
    <definedName name="_3368__FDSAUDITLINK__" hidden="1">{"fdsup://directions/FAT Viewer?action=UPDATE&amp;creator=factset&amp;DYN_ARGS=TRUE&amp;DOC_NAME=FAT:FQL_AUDITING_CLIENT_TEMPLATE.FAT&amp;display_string=Audit&amp;VAR:KEY=DGVCLOXWNQ&amp;VAR:QUERY=RkZfU0FMRVMoQ0FMLDM5ODEzLCwsLCk=&amp;WINDOW=FIRST_POPUP&amp;HEIGHT=450&amp;WIDTH=450&amp;START_MAXIMI","ZED=FALSE&amp;VAR:CALENDAR=US&amp;VAR:SYMBOL=698538&amp;VAR:INDEX=0"}</definedName>
    <definedName name="_3369__FDSAUDITLINK__" hidden="1">{"fdsup://directions/FAT Viewer?action=UPDATE&amp;creator=factset&amp;DYN_ARGS=TRUE&amp;DOC_NAME=FAT:FQL_AUDITING_CLIENT_TEMPLATE.FAT&amp;display_string=Audit&amp;VAR:KEY=NGFQXAXQVY&amp;VAR:QUERY=RkZfU0FMRVMoQ0FMLDM5NDQ3LCwsLCk=&amp;WINDOW=FIRST_POPUP&amp;HEIGHT=450&amp;WIDTH=450&amp;START_MAXIMI","ZED=FALSE&amp;VAR:CALENDAR=US&amp;VAR:SYMBOL=698538&amp;VAR:INDEX=0"}</definedName>
    <definedName name="_337__FDSAUDITLINK__" hidden="1">{"fdsup://directions/FAT%20Viewer?VAR:TM=NTMA&amp;VAR:PCT=0.669399&amp;VAR:Y0=2004&amp;VAR:Y1=2005&amp;VAR:V0=17.246552&amp;VAR:V1=15.555100&amp;VAR:V=16.648065&amp;VAR:AUDIT_ID=00000117&amp;VAR:DATE=20040430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Aggregates&amp;VAR:MEASURE=PE_MEAN&amp;VAR:CALC_MODE=PORTFOLIO&amp;VAR:CHGPERIOD=NA&amp;VAR:FQLFORMULA=FMA_PE&amp;VAR:CURRENCY=USD&amp;VAR:P=1","107.304800&amp;VAR:THRESH=||||||&amp;VAR:null=.html"}</definedName>
    <definedName name="_3370__FDSAUDITLINK__" hidden="1">{"fdsup://directions/FAT Viewer?action=UPDATE&amp;creator=factset&amp;DYN_ARGS=TRUE&amp;DOC_NAME=FAT:FQL_AUDITING_CLIENT_TEMPLATE.FAT&amp;display_string=Audit&amp;VAR:KEY=RYLYJAFOJG&amp;VAR:QUERY=RkZfU0FMRVMoQ0FMLDM5MDgyLCwsLCk=&amp;WINDOW=FIRST_POPUP&amp;HEIGHT=450&amp;WIDTH=450&amp;START_MAXIMI","ZED=FALSE&amp;VAR:CALENDAR=US&amp;VAR:SYMBOL=698538&amp;VAR:INDEX=0"}</definedName>
    <definedName name="_3371__FDSAUDITLINK__" hidden="1">{"fdsup://directions/FAT Viewer?action=UPDATE&amp;creator=factset&amp;DYN_ARGS=TRUE&amp;DOC_NAME=FAT:FQL_AUDITING_CLIENT_TEMPLATE.FAT&amp;display_string=Audit&amp;VAR:KEY=VSLYLYVYLU&amp;VAR:QUERY=RkZfU0FMRVMoQ0FMLDM4NzE3LCwsLCk=&amp;WINDOW=FIRST_POPUP&amp;HEIGHT=450&amp;WIDTH=450&amp;START_MAXIMI","ZED=FALSE&amp;VAR:CALENDAR=US&amp;VAR:SYMBOL=698538&amp;VAR:INDEX=0"}</definedName>
    <definedName name="_3372__FDSAUDITLINK__" hidden="1">{"fdsup://directions/FAT Viewer?action=UPDATE&amp;creator=factset&amp;DYN_ARGS=TRUE&amp;DOC_NAME=FAT:FQL_AUDITING_CLIENT_TEMPLATE.FAT&amp;display_string=Audit&amp;VAR:KEY=ZQTYLIBWXM&amp;VAR:QUERY=RkZfU0FMRVMoQ0FMLDM4MzUyLCwsLCk=&amp;WINDOW=FIRST_POPUP&amp;HEIGHT=450&amp;WIDTH=450&amp;START_MAXIMI","ZED=FALSE&amp;VAR:CALENDAR=US&amp;VAR:SYMBOL=698538&amp;VAR:INDEX=0"}</definedName>
    <definedName name="_3373__FDSAUDITLINK__" hidden="1">{"fdsup://directions/FAT Viewer?action=UPDATE&amp;creator=factset&amp;DYN_ARGS=TRUE&amp;DOC_NAME=FAT:FQL_AUDITING_CLIENT_TEMPLATE.FAT&amp;display_string=Audit&amp;VAR:KEY=ZITUFQLYRU&amp;VAR:QUERY=RkZfU0FMRVMoQ0FMLDM3OTg2LCwsLCk=&amp;WINDOW=FIRST_POPUP&amp;HEIGHT=450&amp;WIDTH=450&amp;START_MAXIMI","ZED=FALSE&amp;VAR:CALENDAR=US&amp;VAR:SYMBOL=698538&amp;VAR:INDEX=0"}</definedName>
    <definedName name="_3374__FDSAUDITLINK__" hidden="1">{"fdsup://directions/FAT Viewer?action=UPDATE&amp;creator=factset&amp;DYN_ARGS=TRUE&amp;DOC_NAME=FAT:FQL_AUDITING_CLIENT_TEMPLATE.FAT&amp;display_string=Audit&amp;VAR:KEY=XOBSPCJCDY&amp;VAR:QUERY=RkZfU0FMRVMoQ0FMLDQwNTQzLCwsLCk=&amp;WINDOW=FIRST_POPUP&amp;HEIGHT=450&amp;WIDTH=450&amp;START_MAXIMI","ZED=FALSE&amp;VAR:CALENDAR=US&amp;VAR:SYMBOL=474184&amp;VAR:INDEX=0"}</definedName>
    <definedName name="_3375__FDSAUDITLINK__" hidden="1">{"fdsup://directions/FAT Viewer?action=UPDATE&amp;creator=factset&amp;DYN_ARGS=TRUE&amp;DOC_NAME=FAT:FQL_AUDITING_CLIENT_TEMPLATE.FAT&amp;display_string=Audit&amp;VAR:KEY=BWJQJSRKZK&amp;VAR:QUERY=RkZfU0FMRVMoQ0FMLDQwMTc4LCwsLCk=&amp;WINDOW=FIRST_POPUP&amp;HEIGHT=450&amp;WIDTH=450&amp;START_MAXIMI","ZED=FALSE&amp;VAR:CALENDAR=US&amp;VAR:SYMBOL=474184&amp;VAR:INDEX=0"}</definedName>
    <definedName name="_3376__FDSAUDITLINK__" hidden="1">{"fdsup://directions/FAT Viewer?action=UPDATE&amp;creator=factset&amp;DYN_ARGS=TRUE&amp;DOC_NAME=FAT:FQL_AUDITING_CLIENT_TEMPLATE.FAT&amp;display_string=Audit&amp;VAR:KEY=ROPONUVCBK&amp;VAR:QUERY=RkZfU0FMRVMoQ0FMLDQwNTQzLCwsLCk=&amp;WINDOW=FIRST_POPUP&amp;HEIGHT=450&amp;WIDTH=450&amp;START_MAXIMI","ZED=FALSE&amp;VAR:CALENDAR=US&amp;VAR:SYMBOL=B0J7D9&amp;VAR:INDEX=0"}</definedName>
    <definedName name="_3377__FDSAUDITLINK__" hidden="1">{"fdsup://directions/FAT Viewer?action=UPDATE&amp;creator=factset&amp;DYN_ARGS=TRUE&amp;DOC_NAME=FAT:FQL_AUDITING_CLIENT_TEMPLATE.FAT&amp;display_string=Audit&amp;VAR:KEY=VIFIZWXYVO&amp;VAR:QUERY=RkZfU0FMRVMoQ0FMLDQwMTc4LCwsLCk=&amp;WINDOW=FIRST_POPUP&amp;HEIGHT=450&amp;WIDTH=450&amp;START_MAXIMI","ZED=FALSE&amp;VAR:CALENDAR=US&amp;VAR:SYMBOL=B0J7D9&amp;VAR:INDEX=0"}</definedName>
    <definedName name="_3378__FDSAUDITLINK__" hidden="1">{"fdsup://directions/FAT Viewer?action=UPDATE&amp;creator=factset&amp;DYN_ARGS=TRUE&amp;DOC_NAME=FAT:FQL_AUDITING_CLIENT_TEMPLATE.FAT&amp;display_string=Audit&amp;VAR:KEY=TYZOXMTCDS&amp;VAR:QUERY=RkZfU0FMRVMoQ0FMLDM5ODEzLCwsLCk=&amp;WINDOW=FIRST_POPUP&amp;HEIGHT=450&amp;WIDTH=450&amp;START_MAXIMI","ZED=FALSE&amp;VAR:CALENDAR=US&amp;VAR:SYMBOL=B0J7D9&amp;VAR:INDEX=0"}</definedName>
    <definedName name="_3379__FDSAUDITLINK__" hidden="1">{"fdsup://directions/FAT Viewer?action=UPDATE&amp;creator=factset&amp;DYN_ARGS=TRUE&amp;DOC_NAME=FAT:FQL_AUDITING_CLIENT_TEMPLATE.FAT&amp;display_string=Audit&amp;VAR:KEY=RCLWNAZUVM&amp;VAR:QUERY=RkZfU0FMRVMoQ0FMLDM5NDQ3LCwsLCk=&amp;WINDOW=FIRST_POPUP&amp;HEIGHT=450&amp;WIDTH=450&amp;START_MAXIMI","ZED=FALSE&amp;VAR:CALENDAR=US&amp;VAR:SYMBOL=B0J7D9&amp;VAR:INDEX=0"}</definedName>
    <definedName name="_338__FDSAUDITLINK__" hidden="1">{"fdsup://directions/FAT%20Viewer?VAR:TM=NTMA&amp;VAR:PCT=0.688525&amp;VAR:Y0=2004&amp;VAR:Y1=2005&amp;VAR:V0=17.889992&amp;VAR:V1=16.049978&amp;VAR:V=17.273194&amp;VAR:AUDIT_ID=00000117&amp;VAR:DATE=20040423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Aggregates&amp;VAR:MEASURE=PE_MEAN&amp;VAR:CALC_MODE=PORTFOLIO&amp;VAR:CHGPERIOD=NA&amp;VAR:FQLFORMULA=FMA_PE&amp;VAR:CURRENCY=USD&amp;VAR:P=1","140.600200&amp;VAR:THRESH=||||||&amp;VAR:null=.html"}</definedName>
    <definedName name="_3380__FDSAUDITLINK__" hidden="1">{"fdsup://directions/FAT Viewer?action=UPDATE&amp;creator=factset&amp;DYN_ARGS=TRUE&amp;DOC_NAME=FAT:FQL_AUDITING_CLIENT_TEMPLATE.FAT&amp;display_string=Audit&amp;VAR:KEY=VYFIHMHMZI&amp;VAR:QUERY=RkZfU0FMRVMoQ0FMLDM5MDgyLCwsLCk=&amp;WINDOW=FIRST_POPUP&amp;HEIGHT=450&amp;WIDTH=450&amp;START_MAXIMI","ZED=FALSE&amp;VAR:CALENDAR=US&amp;VAR:SYMBOL=B0J7D9&amp;VAR:INDEX=0"}</definedName>
    <definedName name="_3381__FDSAUDITLINK__" hidden="1">{"fdsup://directions/FAT Viewer?action=UPDATE&amp;creator=factset&amp;DYN_ARGS=TRUE&amp;DOC_NAME=FAT:FQL_AUDITING_CLIENT_TEMPLATE.FAT&amp;display_string=Audit&amp;VAR:KEY=RATYXOVERC&amp;VAR:QUERY=RkZfU0FMRVMoQ0FMLDM4NzE3LCwsLCk=&amp;WINDOW=FIRST_POPUP&amp;HEIGHT=450&amp;WIDTH=450&amp;START_MAXIMI","ZED=FALSE&amp;VAR:CALENDAR=US&amp;VAR:SYMBOL=B0J7D9&amp;VAR:INDEX=0"}</definedName>
    <definedName name="_3382__FDSAUDITLINK__" hidden="1">{"fdsup://directions/FAT Viewer?action=UPDATE&amp;creator=factset&amp;DYN_ARGS=TRUE&amp;DOC_NAME=FAT:FQL_AUDITING_CLIENT_TEMPLATE.FAT&amp;display_string=Audit&amp;VAR:KEY=HEROTQBOTS&amp;VAR:QUERY=RkZfU0FMRVMoQ0FMLDM4MzUyLCwsLCk=&amp;WINDOW=FIRST_POPUP&amp;HEIGHT=450&amp;WIDTH=450&amp;START_MAXIMI","ZED=FALSE&amp;VAR:CALENDAR=US&amp;VAR:SYMBOL=B0J7D9&amp;VAR:INDEX=0"}</definedName>
    <definedName name="_3383__FDSAUDITLINK__" hidden="1">{"fdsup://directions/FAT Viewer?action=UPDATE&amp;creator=factset&amp;DYN_ARGS=TRUE&amp;DOC_NAME=FAT:FQL_AUDITING_CLIENT_TEMPLATE.FAT&amp;display_string=Audit&amp;VAR:KEY=JAZQJETKLY&amp;VAR:QUERY=RkZfU0FMRVMoQ0FMLDM3OTg2LCwsLCk=&amp;WINDOW=FIRST_POPUP&amp;HEIGHT=450&amp;WIDTH=450&amp;START_MAXIMI","ZED=FALSE&amp;VAR:CALENDAR=US&amp;VAR:SYMBOL=B0J7D9&amp;VAR:INDEX=0"}</definedName>
    <definedName name="_3384__FDSAUDITLINK__" hidden="1">{"fdsup://directions/FAT Viewer?action=UPDATE&amp;creator=factset&amp;DYN_ARGS=TRUE&amp;DOC_NAME=FAT:FQL_AUDITING_CLIENT_TEMPLATE.FAT&amp;display_string=Audit&amp;VAR:KEY=NIXKXSZYJO&amp;VAR:QUERY=RkZfU0FMRVMoQ0FMLDQwNTQzLCwsLCk=&amp;WINDOW=FIRST_POPUP&amp;HEIGHT=450&amp;WIDTH=450&amp;START_MAXIMI","ZED=FALSE&amp;VAR:CALENDAR=US&amp;VAR:SYMBOL=AMGN&amp;VAR:INDEX=0"}</definedName>
    <definedName name="_3385__FDSAUDITLINK__" hidden="1">{"fdsup://directions/FAT Viewer?action=UPDATE&amp;creator=factset&amp;DYN_ARGS=TRUE&amp;DOC_NAME=FAT:FQL_AUDITING_CLIENT_TEMPLATE.FAT&amp;display_string=Audit&amp;VAR:KEY=PSHENMBWRU&amp;VAR:QUERY=RkZfU0FMRVMoQ0FMLDQwMTc4LCwsLCk=&amp;WINDOW=FIRST_POPUP&amp;HEIGHT=450&amp;WIDTH=450&amp;START_MAXIMI","ZED=FALSE&amp;VAR:CALENDAR=US&amp;VAR:SYMBOL=AMGN&amp;VAR:INDEX=0"}</definedName>
    <definedName name="_3386__FDSAUDITLINK__" hidden="1">{"fdsup://directions/FAT Viewer?action=UPDATE&amp;creator=factset&amp;DYN_ARGS=TRUE&amp;DOC_NAME=FAT:FQL_AUDITING_CLIENT_TEMPLATE.FAT&amp;display_string=Audit&amp;VAR:KEY=HAHEZKBKHG&amp;VAR:QUERY=RkZfU0FMRVMoQ0FMLDM5ODEzLCwsLCk=&amp;WINDOW=FIRST_POPUP&amp;HEIGHT=450&amp;WIDTH=450&amp;START_MAXIMI","ZED=FALSE&amp;VAR:CALENDAR=US&amp;VAR:SYMBOL=AMGN&amp;VAR:INDEX=0"}</definedName>
    <definedName name="_3387__FDSAUDITLINK__" hidden="1">{"fdsup://directions/FAT Viewer?action=UPDATE&amp;creator=factset&amp;DYN_ARGS=TRUE&amp;DOC_NAME=FAT:FQL_AUDITING_CLIENT_TEMPLATE.FAT&amp;display_string=Audit&amp;VAR:KEY=PGJOVCLGBS&amp;VAR:QUERY=RkZfU0FMRVMoQ0FMLDM5NDQ3LCwsLCk=&amp;WINDOW=FIRST_POPUP&amp;HEIGHT=450&amp;WIDTH=450&amp;START_MAXIMI","ZED=FALSE&amp;VAR:CALENDAR=US&amp;VAR:SYMBOL=AMGN&amp;VAR:INDEX=0"}</definedName>
    <definedName name="_3388__FDSAUDITLINK__" hidden="1">{"fdsup://directions/FAT Viewer?action=UPDATE&amp;creator=factset&amp;DYN_ARGS=TRUE&amp;DOC_NAME=FAT:FQL_AUDITING_CLIENT_TEMPLATE.FAT&amp;display_string=Audit&amp;VAR:KEY=FYXGXAXURW&amp;VAR:QUERY=RkZfU0FMRVMoQ0FMLDM5MDgyLCwsLCk=&amp;WINDOW=FIRST_POPUP&amp;HEIGHT=450&amp;WIDTH=450&amp;START_MAXIMI","ZED=FALSE&amp;VAR:CALENDAR=US&amp;VAR:SYMBOL=AMGN&amp;VAR:INDEX=0"}</definedName>
    <definedName name="_3389__FDSAUDITLINK__" hidden="1">{"fdsup://directions/FAT Viewer?action=UPDATE&amp;creator=factset&amp;DYN_ARGS=TRUE&amp;DOC_NAME=FAT:FQL_AUDITING_CLIENT_TEMPLATE.FAT&amp;display_string=Audit&amp;VAR:KEY=VADUDGDYFA&amp;VAR:QUERY=RkZfU0FMRVMoQ0FMLDM4NzE3LCwsLCk=&amp;WINDOW=FIRST_POPUP&amp;HEIGHT=450&amp;WIDTH=450&amp;START_MAXIMI","ZED=FALSE&amp;VAR:CALENDAR=US&amp;VAR:SYMBOL=AMGN&amp;VAR:INDEX=0"}</definedName>
    <definedName name="_339__FDSAUDITLINK__" hidden="1">{"fdsup://directions/FAT%20Viewer?VAR:TM=NTMA&amp;VAR:PCT=0.707650&amp;VAR:Y0=2004&amp;VAR:Y1=2005&amp;VAR:V0=17.940153&amp;VAR:V1=16.069324&amp;VAR:V=17.349640&amp;VAR:AUDIT_ID=00000117&amp;VAR:DATE=20040416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Aggregates&amp;VAR:MEASURE=PE_MEAN&amp;VAR:CALC_MODE=PORTFOLIO&amp;VAR:CHGPERIOD=NA&amp;VAR:FQLFORMULA=FMA_PE&amp;VAR:CURRENCY=USD&amp;VAR:P=1","134.612700&amp;VAR:THRESH=||||||&amp;VAR:null=.html"}</definedName>
    <definedName name="_3390__FDSAUDITLINK__" hidden="1">{"fdsup://directions/FAT Viewer?action=UPDATE&amp;creator=factset&amp;DYN_ARGS=TRUE&amp;DOC_NAME=FAT:FQL_AUDITING_CLIENT_TEMPLATE.FAT&amp;display_string=Audit&amp;VAR:KEY=FKDOZAJURW&amp;VAR:QUERY=RkZfU0FMRVMoQ0FMLDM4MzUyLCwsLCk=&amp;WINDOW=FIRST_POPUP&amp;HEIGHT=450&amp;WIDTH=450&amp;START_MAXIMI","ZED=FALSE&amp;VAR:CALENDAR=US&amp;VAR:SYMBOL=AMGN&amp;VAR:INDEX=0"}</definedName>
    <definedName name="_3391__FDSAUDITLINK__" hidden="1">{"fdsup://directions/FAT Viewer?action=UPDATE&amp;creator=factset&amp;DYN_ARGS=TRUE&amp;DOC_NAME=FAT:FQL_AUDITING_CLIENT_TEMPLATE.FAT&amp;display_string=Audit&amp;VAR:KEY=LULCDIVYJK&amp;VAR:QUERY=RkZfU0FMRVMoQ0FMLDQwNTQzLCwsLCk=&amp;WINDOW=FIRST_POPUP&amp;HEIGHT=450&amp;WIDTH=450&amp;START_MAXIMI","ZED=FALSE&amp;VAR:CALENDAR=US&amp;VAR:SYMBOL=ABT&amp;VAR:INDEX=0"}</definedName>
    <definedName name="_3392__FDSAUDITLINK__" hidden="1">{"fdsup://directions/FAT Viewer?action=UPDATE&amp;creator=factset&amp;DYN_ARGS=TRUE&amp;DOC_NAME=FAT:FQL_AUDITING_CLIENT_TEMPLATE.FAT&amp;display_string=Audit&amp;VAR:KEY=XIHAFGFYLU&amp;VAR:QUERY=RkZfU0FMRVMoQ0FMLDQwMTc4LCwsLCk=&amp;WINDOW=FIRST_POPUP&amp;HEIGHT=450&amp;WIDTH=450&amp;START_MAXIMI","ZED=FALSE&amp;VAR:CALENDAR=US&amp;VAR:SYMBOL=ABT&amp;VAR:INDEX=0"}</definedName>
    <definedName name="_3393__FDSAUDITLINK__" hidden="1">{"fdsup://directions/FAT Viewer?action=UPDATE&amp;creator=factset&amp;DYN_ARGS=TRUE&amp;DOC_NAME=FAT:FQL_AUDITING_CLIENT_TEMPLATE.FAT&amp;display_string=Audit&amp;VAR:KEY=FAFWNGJOZC&amp;VAR:QUERY=RkZfU0FMRVMoQ0FMLDM5ODEzLCwsLCk=&amp;WINDOW=FIRST_POPUP&amp;HEIGHT=450&amp;WIDTH=450&amp;START_MAXIMI","ZED=FALSE&amp;VAR:CALENDAR=US&amp;VAR:SYMBOL=ABT&amp;VAR:INDEX=0"}</definedName>
    <definedName name="_3394__FDSAUDITLINK__" hidden="1">{"fdsup://directions/FAT Viewer?action=UPDATE&amp;creator=factset&amp;DYN_ARGS=TRUE&amp;DOC_NAME=FAT:FQL_AUDITING_CLIENT_TEMPLATE.FAT&amp;display_string=Audit&amp;VAR:KEY=VOVAHWRMBQ&amp;VAR:QUERY=RkZfU0FMRVMoQ0FMLDM5NDQ3LCwsLCk=&amp;WINDOW=FIRST_POPUP&amp;HEIGHT=450&amp;WIDTH=450&amp;START_MAXIMI","ZED=FALSE&amp;VAR:CALENDAR=US&amp;VAR:SYMBOL=ABT&amp;VAR:INDEX=0"}</definedName>
    <definedName name="_3395__FDSAUDITLINK__" hidden="1">{"fdsup://directions/FAT Viewer?action=UPDATE&amp;creator=factset&amp;DYN_ARGS=TRUE&amp;DOC_NAME=FAT:FQL_AUDITING_CLIENT_TEMPLATE.FAT&amp;display_string=Audit&amp;VAR:KEY=JIZSHKHCLG&amp;VAR:QUERY=RkZfU0FMRVMoQ0FMLDM5MDgyLCwsLCk=&amp;WINDOW=FIRST_POPUP&amp;HEIGHT=450&amp;WIDTH=450&amp;START_MAXIMI","ZED=FALSE&amp;VAR:CALENDAR=US&amp;VAR:SYMBOL=ABT&amp;VAR:INDEX=0"}</definedName>
    <definedName name="_3396__FDSAUDITLINK__" hidden="1">{"fdsup://directions/FAT Viewer?action=UPDATE&amp;creator=factset&amp;DYN_ARGS=TRUE&amp;DOC_NAME=FAT:FQL_AUDITING_CLIENT_TEMPLATE.FAT&amp;display_string=Audit&amp;VAR:KEY=HGLONMHIHO&amp;VAR:QUERY=RkZfU0FMRVMoQ0FMLDM4NzE3LCwsLCk=&amp;WINDOW=FIRST_POPUP&amp;HEIGHT=450&amp;WIDTH=450&amp;START_MAXIMI","ZED=FALSE&amp;VAR:CALENDAR=US&amp;VAR:SYMBOL=ABT&amp;VAR:INDEX=0"}</definedName>
    <definedName name="_3397__FDSAUDITLINK__" hidden="1">{"fdsup://directions/FAT Viewer?action=UPDATE&amp;creator=factset&amp;DYN_ARGS=TRUE&amp;DOC_NAME=FAT:FQL_AUDITING_CLIENT_TEMPLATE.FAT&amp;display_string=Audit&amp;VAR:KEY=PMFYHUFOJW&amp;VAR:QUERY=RkZfU0FMRVMoQ0FMLDM4MzUyLCwsLCk=&amp;WINDOW=FIRST_POPUP&amp;HEIGHT=450&amp;WIDTH=450&amp;START_MAXIMI","ZED=FALSE&amp;VAR:CALENDAR=US&amp;VAR:SYMBOL=ABT&amp;VAR:INDEX=0"}</definedName>
    <definedName name="_3398__FDSAUDITLINK__" hidden="1">{"fdsup://directions/FAT Viewer?action=UPDATE&amp;creator=factset&amp;DYN_ARGS=TRUE&amp;DOC_NAME=FAT:FQL_AUDITING_CLIENT_TEMPLATE.FAT&amp;display_string=Audit&amp;VAR:KEY=FGVODQPWLQ&amp;VAR:QUERY=RkZfU0FMRVMoQ0FMLDQwNTQzLCwsLCk=&amp;WINDOW=FIRST_POPUP&amp;HEIGHT=450&amp;WIDTH=450&amp;START_MAXIMI","ZED=FALSE&amp;VAR:CALENDAR=US&amp;VAR:SYMBOL=687044&amp;VAR:INDEX=0"}</definedName>
    <definedName name="_3399__FDSAUDITLINK__" hidden="1">{"fdsup://directions/FAT Viewer?action=UPDATE&amp;creator=factset&amp;DYN_ARGS=TRUE&amp;DOC_NAME=FAT:FQL_AUDITING_CLIENT_TEMPLATE.FAT&amp;display_string=Audit&amp;VAR:KEY=NGJYDUXCVO&amp;VAR:QUERY=RkZfU0FMRVMoQ0FMLDQwMTc4LCwsLCk=&amp;WINDOW=FIRST_POPUP&amp;HEIGHT=450&amp;WIDTH=450&amp;START_MAXIMI","ZED=FALSE&amp;VAR:CALENDAR=US&amp;VAR:SYMBOL=687044&amp;VAR:INDEX=0"}</definedName>
    <definedName name="_34__FDSAUDITLINK__" hidden="1">{"fdsup://directions/FAT%20Viewer?VAR:TM=NTMA&amp;VAR:PCT=0.863014&amp;VAR:Y0=2010&amp;VAR:Y1=2011&amp;VAR:V0=13.998882&amp;VAR:V1=11.714396&amp;VAR:V=13.634640&amp;VAR:AUDIT_ID=00000117&amp;VAR:DATE=20100219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Aggregates&amp;VAR:MEASURE=PE_MEAN&amp;VAR:CALC_MODE=PORTFOLIO&amp;VAR:CHGPERIOD=NA&amp;VAR:FQLFORMULA=FMA_PE&amp;VAR:CURRENCY=USD&amp;VAR:P=1","109.172983&amp;VAR:THRESH=||||||&amp;VAR:null=.html"}</definedName>
    <definedName name="_340__FDSAUDITLINK__" hidden="1">{"fdsup://directions/FAT%20Viewer?VAR:TM=NTMA&amp;VAR:PCT=0.729508&amp;VAR:Y0=2004&amp;VAR:Y1=2005&amp;VAR:V0=18.075245&amp;VAR:V1=16.144215&amp;VAR:V=17.508769&amp;VAR:AUDIT_ID=00000117&amp;VAR:DATE=20040408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Aggregates&amp;VAR:MEASURE=PE_MEAN&amp;VAR:CALC_MODE=PORTFOLIO&amp;VAR:CHGPERIOD=NA&amp;VAR:FQLFORMULA=FMA_PE&amp;VAR:CURRENCY=USD&amp;VAR:P=1","139.315900&amp;VAR:THRESH=||||||&amp;VAR:null=.html"}</definedName>
    <definedName name="_3400__FDSAUDITLINK__" hidden="1">{"fdsup://directions/FAT Viewer?action=UPDATE&amp;creator=factset&amp;DYN_ARGS=TRUE&amp;DOC_NAME=FAT:FQL_AUDITING_CLIENT_TEMPLATE.FAT&amp;display_string=Audit&amp;VAR:KEY=NWVWHILSTA&amp;VAR:QUERY=RkZfU0FMRVMoQ0FMLDM5ODEzLCwsLCk=&amp;WINDOW=FIRST_POPUP&amp;HEIGHT=450&amp;WIDTH=450&amp;START_MAXIMI","ZED=FALSE&amp;VAR:CALENDAR=US&amp;VAR:SYMBOL=687044&amp;VAR:INDEX=0"}</definedName>
    <definedName name="_3401__FDSAUDITLINK__" hidden="1">{"fdsup://directions/FAT Viewer?action=UPDATE&amp;creator=factset&amp;DYN_ARGS=TRUE&amp;DOC_NAME=FAT:FQL_AUDITING_CLIENT_TEMPLATE.FAT&amp;display_string=Audit&amp;VAR:KEY=LANUXGTUJE&amp;VAR:QUERY=RkZfU0FMRVMoQ0FMLDM5NDQ3LCwsLCk=&amp;WINDOW=FIRST_POPUP&amp;HEIGHT=450&amp;WIDTH=450&amp;START_MAXIMI","ZED=FALSE&amp;VAR:CALENDAR=US&amp;VAR:SYMBOL=687044&amp;VAR:INDEX=0"}</definedName>
    <definedName name="_3402__FDSAUDITLINK__" hidden="1">{"fdsup://directions/FAT Viewer?action=UPDATE&amp;creator=factset&amp;DYN_ARGS=TRUE&amp;DOC_NAME=FAT:FQL_AUDITING_CLIENT_TEMPLATE.FAT&amp;display_string=Audit&amp;VAR:KEY=VMNWLAFAZG&amp;VAR:QUERY=RkZfU0FMRVMoQ0FMLDM5MDgyLCwsLCk=&amp;WINDOW=FIRST_POPUP&amp;HEIGHT=450&amp;WIDTH=450&amp;START_MAXIMI","ZED=FALSE&amp;VAR:CALENDAR=US&amp;VAR:SYMBOL=687044&amp;VAR:INDEX=0"}</definedName>
    <definedName name="_3403__FDSAUDITLINK__" hidden="1">{"fdsup://directions/FAT Viewer?action=UPDATE&amp;creator=factset&amp;DYN_ARGS=TRUE&amp;DOC_NAME=FAT:FQL_AUDITING_CLIENT_TEMPLATE.FAT&amp;display_string=Audit&amp;VAR:KEY=VUHEZEHYDS&amp;VAR:QUERY=RkZfU0FMRVMoQ0FMLDM4NzE3LCwsLCk=&amp;WINDOW=FIRST_POPUP&amp;HEIGHT=450&amp;WIDTH=450&amp;START_MAXIMI","ZED=FALSE&amp;VAR:CALENDAR=US&amp;VAR:SYMBOL=687044&amp;VAR:INDEX=0"}</definedName>
    <definedName name="_3404__FDSAUDITLINK__" hidden="1">{"fdsup://directions/FAT Viewer?action=UPDATE&amp;creator=factset&amp;DYN_ARGS=TRUE&amp;DOC_NAME=FAT:FQL_AUDITING_CLIENT_TEMPLATE.FAT&amp;display_string=Audit&amp;VAR:KEY=VEBOPIBOXG&amp;VAR:QUERY=RkZfU0FMRVMoQ0FMLDM4MzUyLCwsLCk=&amp;WINDOW=FIRST_POPUP&amp;HEIGHT=450&amp;WIDTH=450&amp;START_MAXIMI","ZED=FALSE&amp;VAR:CALENDAR=US&amp;VAR:SYMBOL=687044&amp;VAR:INDEX=0"}</definedName>
    <definedName name="_3405__FDSAUDITLINK__" hidden="1">{"fdsup://directions/FAT Viewer?action=UPDATE&amp;creator=factset&amp;DYN_ARGS=TRUE&amp;DOC_NAME=FAT:FQL_AUDITING_CLIENT_TEMPLATE.FAT&amp;display_string=Audit&amp;VAR:KEY=TWJGRYHSBC&amp;VAR:QUERY=RkZfU0FMRVMoQ0FMLDM3OTg2LCwsLCk=&amp;WINDOW=FIRST_POPUP&amp;HEIGHT=450&amp;WIDTH=450&amp;START_MAXIMI","ZED=FALSE&amp;VAR:CALENDAR=US&amp;VAR:SYMBOL=687044&amp;VAR:INDEX=0"}</definedName>
    <definedName name="_3406__FDSAUDITLINK__" hidden="1">{"fdsup://directions/FAT Viewer?action=UPDATE&amp;creator=factset&amp;DYN_ARGS=TRUE&amp;DOC_NAME=FAT:FQL_AUDITING_CLIENT_TEMPLATE.FAT&amp;display_string=Audit&amp;VAR:KEY=NMJKXQRIPK&amp;VAR:QUERY=RkZfU0FMRVMoQ0FMLDQwNTQzLCwsLCk=&amp;WINDOW=FIRST_POPUP&amp;HEIGHT=450&amp;WIDTH=450&amp;START_MAXIMI","ZED=FALSE&amp;VAR:CALENDAR=US&amp;VAR:SYMBOL=BMY&amp;VAR:INDEX=0"}</definedName>
    <definedName name="_3407__FDSAUDITLINK__" hidden="1">{"fdsup://directions/FAT Viewer?action=UPDATE&amp;creator=factset&amp;DYN_ARGS=TRUE&amp;DOC_NAME=FAT:FQL_AUDITING_CLIENT_TEMPLATE.FAT&amp;display_string=Audit&amp;VAR:KEY=BUJIHQJYLA&amp;VAR:QUERY=RkZfU0FMRVMoQ0FMLDQwMTc4LCwsLCk=&amp;WINDOW=FIRST_POPUP&amp;HEIGHT=450&amp;WIDTH=450&amp;START_MAXIMI","ZED=FALSE&amp;VAR:CALENDAR=US&amp;VAR:SYMBOL=BMY&amp;VAR:INDEX=0"}</definedName>
    <definedName name="_3408__FDSAUDITLINK__" hidden="1">{"fdsup://directions/FAT Viewer?action=UPDATE&amp;creator=factset&amp;DYN_ARGS=TRUE&amp;DOC_NAME=FAT:FQL_AUDITING_CLIENT_TEMPLATE.FAT&amp;display_string=Audit&amp;VAR:KEY=JIDAXAJARK&amp;VAR:QUERY=RkZfU0FMRVMoQ0FMLDM5ODEzLCwsLCk=&amp;WINDOW=FIRST_POPUP&amp;HEIGHT=450&amp;WIDTH=450&amp;START_MAXIMI","ZED=FALSE&amp;VAR:CALENDAR=US&amp;VAR:SYMBOL=BMY&amp;VAR:INDEX=0"}</definedName>
    <definedName name="_3409__FDSAUDITLINK__" hidden="1">{"fdsup://directions/FAT Viewer?action=UPDATE&amp;creator=factset&amp;DYN_ARGS=TRUE&amp;DOC_NAME=FAT:FQL_AUDITING_CLIENT_TEMPLATE.FAT&amp;display_string=Audit&amp;VAR:KEY=FGNGDYBWJI&amp;VAR:QUERY=RkZfU0FMRVMoQ0FMLDM5NDQ3LCwsLCk=&amp;WINDOW=FIRST_POPUP&amp;HEIGHT=450&amp;WIDTH=450&amp;START_MAXIMI","ZED=FALSE&amp;VAR:CALENDAR=US&amp;VAR:SYMBOL=BMY&amp;VAR:INDEX=0"}</definedName>
    <definedName name="_341__FDSAUDITLINK__" hidden="1">{"fdsup://directions/FAT%20Viewer?VAR:TM=NTMA&amp;VAR:PCT=0.745902&amp;VAR:Y0=2004&amp;VAR:Y1=2005&amp;VAR:V0=18.142601&amp;VAR:V1=16.197313&amp;VAR:V=17.605338&amp;VAR:AUDIT_ID=00000117&amp;VAR:DATE=20040402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Aggregates&amp;VAR:MEASURE=PE_MEAN&amp;VAR:CALC_MODE=PORTFOLIO&amp;VAR:CHGPERIOD=NA&amp;VAR:FQLFORMULA=FMA_PE&amp;VAR:CURRENCY=USD&amp;VAR:P=1","141.809800&amp;VAR:THRESH=||||||&amp;VAR:null=.html"}</definedName>
    <definedName name="_3410__FDSAUDITLINK__" hidden="1">{"fdsup://directions/FAT Viewer?action=UPDATE&amp;creator=factset&amp;DYN_ARGS=TRUE&amp;DOC_NAME=FAT:FQL_AUDITING_CLIENT_TEMPLATE.FAT&amp;display_string=Audit&amp;VAR:KEY=ZEPMHOTKTQ&amp;VAR:QUERY=RkZfU0FMRVMoQ0FMLDM5MDgyLCwsLCk=&amp;WINDOW=FIRST_POPUP&amp;HEIGHT=450&amp;WIDTH=450&amp;START_MAXIMI","ZED=FALSE&amp;VAR:CALENDAR=US&amp;VAR:SYMBOL=BMY&amp;VAR:INDEX=0"}</definedName>
    <definedName name="_3411__FDSAUDITLINK__" hidden="1">{"fdsup://directions/FAT Viewer?action=UPDATE&amp;creator=factset&amp;DYN_ARGS=TRUE&amp;DOC_NAME=FAT:FQL_AUDITING_CLIENT_TEMPLATE.FAT&amp;display_string=Audit&amp;VAR:KEY=ZSRUVKHGFO&amp;VAR:QUERY=RkZfU0FMRVMoQ0FMLDM4NzE3LCwsLCk=&amp;WINDOW=FIRST_POPUP&amp;HEIGHT=450&amp;WIDTH=450&amp;START_MAXIMI","ZED=FALSE&amp;VAR:CALENDAR=US&amp;VAR:SYMBOL=BMY&amp;VAR:INDEX=0"}</definedName>
    <definedName name="_3412__FDSAUDITLINK__" hidden="1">{"fdsup://directions/FAT Viewer?action=UPDATE&amp;creator=factset&amp;DYN_ARGS=TRUE&amp;DOC_NAME=FAT:FQL_AUDITING_CLIENT_TEMPLATE.FAT&amp;display_string=Audit&amp;VAR:KEY=LWZIXAXMJY&amp;VAR:QUERY=RkZfU0FMRVMoQ0FMLDM4MzUyLCwsLCk=&amp;WINDOW=FIRST_POPUP&amp;HEIGHT=450&amp;WIDTH=450&amp;START_MAXIMI","ZED=FALSE&amp;VAR:CALENDAR=US&amp;VAR:SYMBOL=BMY&amp;VAR:INDEX=0"}</definedName>
    <definedName name="_3413__FDSAUDITLINK__" hidden="1">{"fdsup://directions/FAT Viewer?action=UPDATE&amp;creator=factset&amp;DYN_ARGS=TRUE&amp;DOC_NAME=FAT:FQL_AUDITING_CLIENT_TEMPLATE.FAT&amp;display_string=Audit&amp;VAR:KEY=HGVUFQHQXY&amp;VAR:QUERY=RkZfU0FMRVMoQ0FMLDQwNTQzLCwsLCk=&amp;WINDOW=FIRST_POPUP&amp;HEIGHT=450&amp;WIDTH=450&amp;START_MAXIMI","ZED=FALSE&amp;VAR:CALENDAR=US&amp;VAR:SYMBOL=LLY&amp;VAR:INDEX=0"}</definedName>
    <definedName name="_3414__FDSAUDITLINK__" hidden="1">{"fdsup://directions/FAT Viewer?action=UPDATE&amp;creator=factset&amp;DYN_ARGS=TRUE&amp;DOC_NAME=FAT:FQL_AUDITING_CLIENT_TEMPLATE.FAT&amp;display_string=Audit&amp;VAR:KEY=BENYXWZQPA&amp;VAR:QUERY=RkZfU0FMRVMoQ0FMLDQwMTc4LCwsLCk=&amp;WINDOW=FIRST_POPUP&amp;HEIGHT=450&amp;WIDTH=450&amp;START_MAXIMI","ZED=FALSE&amp;VAR:CALENDAR=US&amp;VAR:SYMBOL=LLY&amp;VAR:INDEX=0"}</definedName>
    <definedName name="_3415__FDSAUDITLINK__" hidden="1">{"fdsup://directions/FAT Viewer?action=UPDATE&amp;creator=factset&amp;DYN_ARGS=TRUE&amp;DOC_NAME=FAT:FQL_AUDITING_CLIENT_TEMPLATE.FAT&amp;display_string=Audit&amp;VAR:KEY=TCDILENEJI&amp;VAR:QUERY=RkZfU0FMRVMoQ0FMLDM5ODEzLCwsLCk=&amp;WINDOW=FIRST_POPUP&amp;HEIGHT=450&amp;WIDTH=450&amp;START_MAXIMI","ZED=FALSE&amp;VAR:CALENDAR=US&amp;VAR:SYMBOL=LLY&amp;VAR:INDEX=0"}</definedName>
    <definedName name="_3416__FDSAUDITLINK__" hidden="1">{"fdsup://directions/FAT Viewer?action=UPDATE&amp;creator=factset&amp;DYN_ARGS=TRUE&amp;DOC_NAME=FAT:FQL_AUDITING_CLIENT_TEMPLATE.FAT&amp;display_string=Audit&amp;VAR:KEY=ZMZGTAHWVI&amp;VAR:QUERY=RkZfU0FMRVMoQ0FMLDM5NDQ3LCwsLCk=&amp;WINDOW=FIRST_POPUP&amp;HEIGHT=450&amp;WIDTH=450&amp;START_MAXIMI","ZED=FALSE&amp;VAR:CALENDAR=US&amp;VAR:SYMBOL=LLY&amp;VAR:INDEX=0"}</definedName>
    <definedName name="_3417__FDSAUDITLINK__" hidden="1">{"fdsup://directions/FAT Viewer?action=UPDATE&amp;creator=factset&amp;DYN_ARGS=TRUE&amp;DOC_NAME=FAT:FQL_AUDITING_CLIENT_TEMPLATE.FAT&amp;display_string=Audit&amp;VAR:KEY=VGZWFCPGLW&amp;VAR:QUERY=RkZfU0FMRVMoQ0FMLDM5MDgyLCwsLCk=&amp;WINDOW=FIRST_POPUP&amp;HEIGHT=450&amp;WIDTH=450&amp;START_MAXIMI","ZED=FALSE&amp;VAR:CALENDAR=US&amp;VAR:SYMBOL=LLY&amp;VAR:INDEX=0"}</definedName>
    <definedName name="_3418__FDSAUDITLINK__" hidden="1">{"fdsup://directions/FAT Viewer?action=UPDATE&amp;creator=factset&amp;DYN_ARGS=TRUE&amp;DOC_NAME=FAT:FQL_AUDITING_CLIENT_TEMPLATE.FAT&amp;display_string=Audit&amp;VAR:KEY=NMLWPYZODY&amp;VAR:QUERY=RkZfU0FMRVMoQ0FMLDM4NzE3LCwsLCk=&amp;WINDOW=FIRST_POPUP&amp;HEIGHT=450&amp;WIDTH=450&amp;START_MAXIMI","ZED=FALSE&amp;VAR:CALENDAR=US&amp;VAR:SYMBOL=LLY&amp;VAR:INDEX=0"}</definedName>
    <definedName name="_3419__FDSAUDITLINK__" hidden="1">{"fdsup://directions/FAT Viewer?action=UPDATE&amp;creator=factset&amp;DYN_ARGS=TRUE&amp;DOC_NAME=FAT:FQL_AUDITING_CLIENT_TEMPLATE.FAT&amp;display_string=Audit&amp;VAR:KEY=XERCTWXSFY&amp;VAR:QUERY=RkZfU0FMRVMoQ0FMLDM4MzUyLCwsLCk=&amp;WINDOW=FIRST_POPUP&amp;HEIGHT=450&amp;WIDTH=450&amp;START_MAXIMI","ZED=FALSE&amp;VAR:CALENDAR=US&amp;VAR:SYMBOL=LLY&amp;VAR:INDEX=0"}</definedName>
    <definedName name="_342__FDSAUDITLINK__" hidden="1">{"fdsup://directions/FAT%20Viewer?VAR:TM=NTMA&amp;VAR:PCT=0.765027&amp;VAR:Y0=2004&amp;VAR:Y1=2005&amp;VAR:V0=17.700436&amp;VAR:V1=15.759854&amp;VAR:V=17.202706&amp;VAR:AUDIT_ID=00000117&amp;VAR:DATE=20040326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Aggregates&amp;VAR:MEASURE=PE_MEAN&amp;VAR:CALC_MODE=PORTFOLIO&amp;VAR:CHGPERIOD=NA&amp;VAR:FQLFORMULA=FMA_PE&amp;VAR:CURRENCY=USD&amp;VAR:P=1","108.062500&amp;VAR:THRESH=||||||&amp;VAR:null=.html"}</definedName>
    <definedName name="_3420__FDSAUDITLINK__" hidden="1">{"fdsup://directions/FAT Viewer?action=UPDATE&amp;creator=factset&amp;DYN_ARGS=TRUE&amp;DOC_NAME=FAT:FQL_AUDITING_CLIENT_TEMPLATE.FAT&amp;display_string=Audit&amp;VAR:KEY=TYREZSHMJS&amp;VAR:QUERY=RkZfU0FMRVMoQ0FMLDQwNTQzLCwsLCk=&amp;WINDOW=FIRST_POPUP&amp;HEIGHT=450&amp;WIDTH=450&amp;START_MAXIMI","ZED=FALSE&amp;VAR:CALENDAR=US&amp;VAR:SYMBOL=506921&amp;VAR:INDEX=0"}</definedName>
    <definedName name="_3421__FDSAUDITLINK__" hidden="1">{"fdsup://directions/FAT Viewer?action=UPDATE&amp;creator=factset&amp;DYN_ARGS=TRUE&amp;DOC_NAME=FAT:FQL_AUDITING_CLIENT_TEMPLATE.FAT&amp;display_string=Audit&amp;VAR:KEY=VUTOPCHQXG&amp;VAR:QUERY=RkZfU0FMRVMoQ0FMLDQwMTc4LCwsLCk=&amp;WINDOW=FIRST_POPUP&amp;HEIGHT=450&amp;WIDTH=450&amp;START_MAXIMI","ZED=FALSE&amp;VAR:CALENDAR=US&amp;VAR:SYMBOL=506921&amp;VAR:INDEX=0"}</definedName>
    <definedName name="_3422__FDSAUDITLINK__" hidden="1">{"fdsup://directions/FAT Viewer?action=UPDATE&amp;creator=factset&amp;DYN_ARGS=TRUE&amp;DOC_NAME=FAT:FQL_AUDITING_CLIENT_TEMPLATE.FAT&amp;display_string=Audit&amp;VAR:KEY=DSVIFSTIRS&amp;VAR:QUERY=RkZfU0FMRVMoQ0FMLDM5ODEzLCwsLCk=&amp;WINDOW=FIRST_POPUP&amp;HEIGHT=450&amp;WIDTH=450&amp;START_MAXIMI","ZED=FALSE&amp;VAR:CALENDAR=US&amp;VAR:SYMBOL=506921&amp;VAR:INDEX=0"}</definedName>
    <definedName name="_3423__FDSAUDITLINK__" hidden="1">{"fdsup://directions/FAT Viewer?action=UPDATE&amp;creator=factset&amp;DYN_ARGS=TRUE&amp;DOC_NAME=FAT:FQL_AUDITING_CLIENT_TEMPLATE.FAT&amp;display_string=Audit&amp;VAR:KEY=VGFMRYZUDQ&amp;VAR:QUERY=RkZfU0FMRVMoQ0FMLDM5NDQ3LCwsLCk=&amp;WINDOW=FIRST_POPUP&amp;HEIGHT=450&amp;WIDTH=450&amp;START_MAXIMI","ZED=FALSE&amp;VAR:CALENDAR=US&amp;VAR:SYMBOL=506921&amp;VAR:INDEX=0"}</definedName>
    <definedName name="_3424__FDSAUDITLINK__" hidden="1">{"fdsup://directions/FAT Viewer?action=UPDATE&amp;creator=factset&amp;DYN_ARGS=TRUE&amp;DOC_NAME=FAT:FQL_AUDITING_CLIENT_TEMPLATE.FAT&amp;display_string=Audit&amp;VAR:KEY=PYPMDAJYFY&amp;VAR:QUERY=RkZfU0FMRVMoQ0FMLDM5MDgyLCwsLCk=&amp;WINDOW=FIRST_POPUP&amp;HEIGHT=450&amp;WIDTH=450&amp;START_MAXIMI","ZED=FALSE&amp;VAR:CALENDAR=US&amp;VAR:SYMBOL=506921&amp;VAR:INDEX=0"}</definedName>
    <definedName name="_3425__FDSAUDITLINK__" hidden="1">{"fdsup://directions/FAT Viewer?action=UPDATE&amp;creator=factset&amp;DYN_ARGS=TRUE&amp;DOC_NAME=FAT:FQL_AUDITING_CLIENT_TEMPLATE.FAT&amp;display_string=Audit&amp;VAR:KEY=FGLEFQPUNK&amp;VAR:QUERY=RkZfU0FMRVMoQ0FMLDM4NzE3LCwsLCk=&amp;WINDOW=FIRST_POPUP&amp;HEIGHT=450&amp;WIDTH=450&amp;START_MAXIMI","ZED=FALSE&amp;VAR:CALENDAR=US&amp;VAR:SYMBOL=506921&amp;VAR:INDEX=0"}</definedName>
    <definedName name="_3426__FDSAUDITLINK__" hidden="1">{"fdsup://directions/FAT Viewer?action=UPDATE&amp;creator=factset&amp;DYN_ARGS=TRUE&amp;DOC_NAME=FAT:FQL_AUDITING_CLIENT_TEMPLATE.FAT&amp;display_string=Audit&amp;VAR:KEY=NKROBUBURI&amp;VAR:QUERY=RkZfU0FMRVMoQ0FMLDQwNTQzLCwsLCk=&amp;WINDOW=FIRST_POPUP&amp;HEIGHT=450&amp;WIDTH=450&amp;START_MAXIMI","ZED=FALSE&amp;VAR:CALENDAR=US&amp;VAR:SYMBOL=567173&amp;VAR:INDEX=0"}</definedName>
    <definedName name="_3427__FDSAUDITLINK__" hidden="1">{"fdsup://directions/FAT Viewer?action=UPDATE&amp;creator=factset&amp;DYN_ARGS=TRUE&amp;DOC_NAME=FAT:FQL_AUDITING_CLIENT_TEMPLATE.FAT&amp;display_string=Audit&amp;VAR:KEY=FUZMZEJUJU&amp;VAR:QUERY=RkZfU0FMRVMoQ0FMLDQwMTc4LCwsLCk=&amp;WINDOW=FIRST_POPUP&amp;HEIGHT=450&amp;WIDTH=450&amp;START_MAXIMI","ZED=FALSE&amp;VAR:CALENDAR=US&amp;VAR:SYMBOL=567173&amp;VAR:INDEX=0"}</definedName>
    <definedName name="_3428__FDSAUDITLINK__" hidden="1">{"fdsup://directions/FAT Viewer?action=UPDATE&amp;creator=factset&amp;DYN_ARGS=TRUE&amp;DOC_NAME=FAT:FQL_AUDITING_CLIENT_TEMPLATE.FAT&amp;display_string=Audit&amp;VAR:KEY=DQJIRINKTK&amp;VAR:QUERY=RkZfU0FMRVMoQ0FMLDM5ODEzLCwsLCk=&amp;WINDOW=FIRST_POPUP&amp;HEIGHT=450&amp;WIDTH=450&amp;START_MAXIMI","ZED=FALSE&amp;VAR:CALENDAR=US&amp;VAR:SYMBOL=567173&amp;VAR:INDEX=0"}</definedName>
    <definedName name="_3429__FDSAUDITLINK__" hidden="1">{"fdsup://directions/FAT Viewer?action=UPDATE&amp;creator=factset&amp;DYN_ARGS=TRUE&amp;DOC_NAME=FAT:FQL_AUDITING_CLIENT_TEMPLATE.FAT&amp;display_string=Audit&amp;VAR:KEY=XUVOBOTILK&amp;VAR:QUERY=RkZfU0FMRVMoQ0FMLDM5NDQ3LCwsLCk=&amp;WINDOW=FIRST_POPUP&amp;HEIGHT=450&amp;WIDTH=450&amp;START_MAXIMI","ZED=FALSE&amp;VAR:CALENDAR=US&amp;VAR:SYMBOL=567173&amp;VAR:INDEX=0"}</definedName>
    <definedName name="_343__FDSAUDITLINK__" hidden="1">{"fdsup://directions/FAT%20Viewer?VAR:TM=NTMA&amp;VAR:PCT=0.784153&amp;VAR:Y0=2004&amp;VAR:Y1=2005&amp;VAR:V0=17.727110&amp;VAR:V1=15.772494&amp;VAR:V=17.265281&amp;VAR:AUDIT_ID=00000117&amp;VAR:DATE=20040319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Aggregates&amp;VAR:MEASURE=PE_MEAN&amp;VAR:CALC_MODE=PORTFOLIO&amp;VAR:CHGPERIOD=NA&amp;VAR:FQLFORMULA=FMA_PE&amp;VAR:CURRENCY=USD&amp;VAR:P=1","109.776000&amp;VAR:THRESH=||||||&amp;VAR:null=.html"}</definedName>
    <definedName name="_3430__FDSAUDITLINK__" hidden="1">{"fdsup://directions/FAT Viewer?action=UPDATE&amp;creator=factset&amp;DYN_ARGS=TRUE&amp;DOC_NAME=FAT:FQL_AUDITING_CLIENT_TEMPLATE.FAT&amp;display_string=Audit&amp;VAR:KEY=TUNGLUVQJS&amp;VAR:QUERY=RkZfU0FMRVMoQ0FMLDM5MDgyLCwsLCk=&amp;WINDOW=FIRST_POPUP&amp;HEIGHT=450&amp;WIDTH=450&amp;START_MAXIMI","ZED=FALSE&amp;VAR:CALENDAR=US&amp;VAR:SYMBOL=567173&amp;VAR:INDEX=0"}</definedName>
    <definedName name="_3431__FDSAUDITLINK__" hidden="1">{"fdsup://directions/FAT Viewer?action=UPDATE&amp;creator=factset&amp;DYN_ARGS=TRUE&amp;DOC_NAME=FAT:FQL_AUDITING_CLIENT_TEMPLATE.FAT&amp;display_string=Audit&amp;VAR:KEY=ZCZKRMREJQ&amp;VAR:QUERY=RkZfU0FMRVMoQ0FMLDM4NzE3LCwsLCk=&amp;WINDOW=FIRST_POPUP&amp;HEIGHT=450&amp;WIDTH=450&amp;START_MAXIMI","ZED=FALSE&amp;VAR:CALENDAR=US&amp;VAR:SYMBOL=567173&amp;VAR:INDEX=0"}</definedName>
    <definedName name="_3432__FDSAUDITLINK__" hidden="1">{"fdsup://directions/FAT Viewer?action=UPDATE&amp;creator=factset&amp;DYN_ARGS=TRUE&amp;DOC_NAME=FAT:FQL_AUDITING_CLIENT_TEMPLATE.FAT&amp;display_string=Audit&amp;VAR:KEY=XEFEFEVSXG&amp;VAR:QUERY=RkZfU0FMRVMoQ0FMLDQwNTQzLCwsLCk=&amp;WINDOW=FIRST_POPUP&amp;HEIGHT=450&amp;WIDTH=450&amp;START_MAXIMI","ZED=FALSE&amp;VAR:CALENDAR=US&amp;VAR:SYMBOL=JNJ&amp;VAR:INDEX=0"}</definedName>
    <definedName name="_3433__FDSAUDITLINK__" hidden="1">{"fdsup://directions/FAT Viewer?action=UPDATE&amp;creator=factset&amp;DYN_ARGS=TRUE&amp;DOC_NAME=FAT:FQL_AUDITING_CLIENT_TEMPLATE.FAT&amp;display_string=Audit&amp;VAR:KEY=LULOTKLGHM&amp;VAR:QUERY=RkZfU0FMRVMoQ0FMLDQwMTc4LCwsLCk=&amp;WINDOW=FIRST_POPUP&amp;HEIGHT=450&amp;WIDTH=450&amp;START_MAXIMI","ZED=FALSE&amp;VAR:CALENDAR=US&amp;VAR:SYMBOL=JNJ&amp;VAR:INDEX=0"}</definedName>
    <definedName name="_3434__FDSAUDITLINK__" hidden="1">{"fdsup://directions/FAT Viewer?action=UPDATE&amp;creator=factset&amp;DYN_ARGS=TRUE&amp;DOC_NAME=FAT:FQL_AUDITING_CLIENT_TEMPLATE.FAT&amp;display_string=Audit&amp;VAR:KEY=TARITKLKZA&amp;VAR:QUERY=RkZfU0FMRVMoQ0FMLDM5ODEzLCwsLCk=&amp;WINDOW=FIRST_POPUP&amp;HEIGHT=450&amp;WIDTH=450&amp;START_MAXIMI","ZED=FALSE&amp;VAR:CALENDAR=US&amp;VAR:SYMBOL=JNJ&amp;VAR:INDEX=0"}</definedName>
    <definedName name="_3435__FDSAUDITLINK__" hidden="1">{"fdsup://directions/FAT Viewer?action=UPDATE&amp;creator=factset&amp;DYN_ARGS=TRUE&amp;DOC_NAME=FAT:FQL_AUDITING_CLIENT_TEMPLATE.FAT&amp;display_string=Audit&amp;VAR:KEY=NSBWVCLYDE&amp;VAR:QUERY=RkZfU0FMRVMoQ0FMLDM5NDQ3LCwsLCk=&amp;WINDOW=FIRST_POPUP&amp;HEIGHT=450&amp;WIDTH=450&amp;START_MAXIMI","ZED=FALSE&amp;VAR:CALENDAR=US&amp;VAR:SYMBOL=JNJ&amp;VAR:INDEX=0"}</definedName>
    <definedName name="_3436__FDSAUDITLINK__" hidden="1">{"fdsup://directions/FAT Viewer?action=UPDATE&amp;creator=factset&amp;DYN_ARGS=TRUE&amp;DOC_NAME=FAT:FQL_AUDITING_CLIENT_TEMPLATE.FAT&amp;display_string=Audit&amp;VAR:KEY=VCFODGNGBS&amp;VAR:QUERY=RkZfU0FMRVMoQ0FMLDM5MDgyLCwsLCk=&amp;WINDOW=FIRST_POPUP&amp;HEIGHT=450&amp;WIDTH=450&amp;START_MAXIMI","ZED=FALSE&amp;VAR:CALENDAR=US&amp;VAR:SYMBOL=JNJ&amp;VAR:INDEX=0"}</definedName>
    <definedName name="_3437__FDSAUDITLINK__" hidden="1">{"fdsup://directions/FAT Viewer?action=UPDATE&amp;creator=factset&amp;DYN_ARGS=TRUE&amp;DOC_NAME=FAT:FQL_AUDITING_CLIENT_TEMPLATE.FAT&amp;display_string=Audit&amp;VAR:KEY=FMJMDKHKDK&amp;VAR:QUERY=RkZfU0FMRVMoQ0FMLDM4NzE3LCwsLCk=&amp;WINDOW=FIRST_POPUP&amp;HEIGHT=450&amp;WIDTH=450&amp;START_MAXIMI","ZED=FALSE&amp;VAR:CALENDAR=US&amp;VAR:SYMBOL=JNJ&amp;VAR:INDEX=0"}</definedName>
    <definedName name="_3438__FDSAUDITLINK__" hidden="1">{"fdsup://directions/FAT Viewer?action=UPDATE&amp;creator=factset&amp;DYN_ARGS=TRUE&amp;DOC_NAME=FAT:FQL_AUDITING_CLIENT_TEMPLATE.FAT&amp;display_string=Audit&amp;VAR:KEY=ZWTENCPKDC&amp;VAR:QUERY=RkZfU0FMRVMoQ0FMLDM4MzUyLCwsLCk=&amp;WINDOW=FIRST_POPUP&amp;HEIGHT=450&amp;WIDTH=450&amp;START_MAXIMI","ZED=FALSE&amp;VAR:CALENDAR=US&amp;VAR:SYMBOL=JNJ&amp;VAR:INDEX=0"}</definedName>
    <definedName name="_3439__FDSAUDITLINK__" hidden="1">{"fdsup://directions/FAT Viewer?action=UPDATE&amp;creator=factset&amp;DYN_ARGS=TRUE&amp;DOC_NAME=FAT:FQL_AUDITING_CLIENT_TEMPLATE.FAT&amp;display_string=Audit&amp;VAR:KEY=JUHUDIVEVG&amp;VAR:QUERY=RkZfU0FMRVMoQ0FMLDQwNTQzLCwsLCk=&amp;WINDOW=FIRST_POPUP&amp;HEIGHT=450&amp;WIDTH=450&amp;START_MAXIMI","ZED=FALSE&amp;VAR:CALENDAR=US&amp;VAR:SYMBOL=710306&amp;VAR:INDEX=0"}</definedName>
    <definedName name="_344__FDSAUDITLINK__" hidden="1">{"fdsup://directions/FAT%20Viewer?VAR:TM=NTMA&amp;VAR:PCT=0.803279&amp;VAR:Y0=2004&amp;VAR:Y1=2005&amp;VAR:V0=17.981650&amp;VAR:V1=15.937214&amp;VAR:V=17.539043&amp;VAR:AUDIT_ID=00000117&amp;VAR:DATE=20040312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Aggregates&amp;VAR:MEASURE=PE_MEAN&amp;VAR:CALC_MODE=PORTFOLIO&amp;VAR:CHGPERIOD=NA&amp;VAR:FQLFORMULA=FMA_PE&amp;VAR:CURRENCY=USD&amp;VAR:P=1","120.573000&amp;VAR:THRESH=||||||&amp;VAR:null=.html"}</definedName>
    <definedName name="_3440__FDSAUDITLINK__" hidden="1">{"fdsup://directions/FAT Viewer?action=UPDATE&amp;creator=factset&amp;DYN_ARGS=TRUE&amp;DOC_NAME=FAT:FQL_AUDITING_CLIENT_TEMPLATE.FAT&amp;display_string=Audit&amp;VAR:KEY=DOFYDCPMFC&amp;VAR:QUERY=RkZfU0FMRVMoQ0FMLDQwMTc4LCwsLCk=&amp;WINDOW=FIRST_POPUP&amp;HEIGHT=450&amp;WIDTH=450&amp;START_MAXIMI","ZED=FALSE&amp;VAR:CALENDAR=US&amp;VAR:SYMBOL=710306&amp;VAR:INDEX=0"}</definedName>
    <definedName name="_3441__FDSAUDITLINK__" hidden="1">{"fdsup://directions/FAT Viewer?action=UPDATE&amp;creator=factset&amp;DYN_ARGS=TRUE&amp;DOC_NAME=FAT:FQL_AUDITING_CLIENT_TEMPLATE.FAT&amp;display_string=Audit&amp;VAR:KEY=FEDEFEXKTO&amp;VAR:QUERY=RkZfU0FMRVMoQ0FMLDM5ODEzLCwsLCk=&amp;WINDOW=FIRST_POPUP&amp;HEIGHT=450&amp;WIDTH=450&amp;START_MAXIMI","ZED=FALSE&amp;VAR:CALENDAR=US&amp;VAR:SYMBOL=710306&amp;VAR:INDEX=0"}</definedName>
    <definedName name="_3442__FDSAUDITLINK__" hidden="1">{"fdsup://directions/FAT Viewer?action=UPDATE&amp;creator=factset&amp;DYN_ARGS=TRUE&amp;DOC_NAME=FAT:FQL_AUDITING_CLIENT_TEMPLATE.FAT&amp;display_string=Audit&amp;VAR:KEY=LMVERYPEZG&amp;VAR:QUERY=RkZfU0FMRVMoQ0FMLDM5NDQ3LCwsLCk=&amp;WINDOW=FIRST_POPUP&amp;HEIGHT=450&amp;WIDTH=450&amp;START_MAXIMI","ZED=FALSE&amp;VAR:CALENDAR=US&amp;VAR:SYMBOL=710306&amp;VAR:INDEX=0"}</definedName>
    <definedName name="_3443__FDSAUDITLINK__" hidden="1">{"fdsup://directions/FAT Viewer?action=UPDATE&amp;creator=factset&amp;DYN_ARGS=TRUE&amp;DOC_NAME=FAT:FQL_AUDITING_CLIENT_TEMPLATE.FAT&amp;display_string=Audit&amp;VAR:KEY=XQLOLCJYLW&amp;VAR:QUERY=RkZfU0FMRVMoQ0FMLDM5MDgyLCwsLCk=&amp;WINDOW=FIRST_POPUP&amp;HEIGHT=450&amp;WIDTH=450&amp;START_MAXIMI","ZED=FALSE&amp;VAR:CALENDAR=US&amp;VAR:SYMBOL=710306&amp;VAR:INDEX=0"}</definedName>
    <definedName name="_3444__FDSAUDITLINK__" hidden="1">{"fdsup://directions/FAT Viewer?action=UPDATE&amp;creator=factset&amp;DYN_ARGS=TRUE&amp;DOC_NAME=FAT:FQL_AUDITING_CLIENT_TEMPLATE.FAT&amp;display_string=Audit&amp;VAR:KEY=JIVKRKVAXY&amp;VAR:QUERY=RkZfU0FMRVMoQ0FMLDM4NzE3LCwsLCk=&amp;WINDOW=FIRST_POPUP&amp;HEIGHT=450&amp;WIDTH=450&amp;START_MAXIMI","ZED=FALSE&amp;VAR:CALENDAR=US&amp;VAR:SYMBOL=710306&amp;VAR:INDEX=0"}</definedName>
    <definedName name="_3445__FDSAUDITLINK__" hidden="1">{"fdsup://directions/FAT Viewer?action=UPDATE&amp;creator=factset&amp;DYN_ARGS=TRUE&amp;DOC_NAME=FAT:FQL_AUDITING_CLIENT_TEMPLATE.FAT&amp;display_string=Audit&amp;VAR:KEY=HGBYRMPCTI&amp;VAR:QUERY=RkZfU0FMRVMoQ0FMLDQwNTQzLCwsLCk=&amp;WINDOW=FIRST_POPUP&amp;HEIGHT=450&amp;WIDTH=450&amp;START_MAXIMI","ZED=FALSE&amp;VAR:CALENDAR=US&amp;VAR:SYMBOL=711038&amp;VAR:INDEX=0"}</definedName>
    <definedName name="_3446__FDSAUDITLINK__" hidden="1">{"fdsup://directions/FAT Viewer?action=UPDATE&amp;creator=factset&amp;DYN_ARGS=TRUE&amp;DOC_NAME=FAT:FQL_AUDITING_CLIENT_TEMPLATE.FAT&amp;display_string=Audit&amp;VAR:KEY=DQVIXUTIHC&amp;VAR:QUERY=RkZfU0FMRVMoQ0FMLDQwMTc4LCwsLFVTRCk=&amp;WINDOW=FIRST_POPUP&amp;HEIGHT=450&amp;WIDTH=450&amp;START_MA","XIMIZED=FALSE&amp;VAR:CALENDAR=US&amp;VAR:SYMBOL=711038&amp;VAR:INDEX=0"}</definedName>
    <definedName name="_3447__FDSAUDITLINK__" hidden="1">{"fdsup://directions/FAT Viewer?action=UPDATE&amp;creator=factset&amp;DYN_ARGS=TRUE&amp;DOC_NAME=FAT:FQL_AUDITING_CLIENT_TEMPLATE.FAT&amp;display_string=Audit&amp;VAR:KEY=LANIXUPWJS&amp;VAR:QUERY=RkZfU0FMRVMoQ0FMLDM5ODEzLCwsLFVTRCk=&amp;WINDOW=FIRST_POPUP&amp;HEIGHT=450&amp;WIDTH=450&amp;START_MA","XIMIZED=FALSE&amp;VAR:CALENDAR=US&amp;VAR:SYMBOL=711038&amp;VAR:INDEX=0"}</definedName>
    <definedName name="_3448__FDSAUDITLINK__" hidden="1">{"fdsup://directions/FAT Viewer?action=UPDATE&amp;creator=factset&amp;DYN_ARGS=TRUE&amp;DOC_NAME=FAT:FQL_AUDITING_CLIENT_TEMPLATE.FAT&amp;display_string=Audit&amp;VAR:KEY=VKRQTKFUBW&amp;VAR:QUERY=RkZfU0FMRVMoQ0FMLDM5ODEzLCwsLCk=&amp;WINDOW=FIRST_POPUP&amp;HEIGHT=450&amp;WIDTH=450&amp;START_MAXIMI","ZED=FALSE&amp;VAR:CALENDAR=US&amp;VAR:SYMBOL=DNA&amp;VAR:INDEX=0"}</definedName>
    <definedName name="_3449__FDSAUDITLINK__" hidden="1">{"fdsup://directions/FAT Viewer?action=UPDATE&amp;creator=factset&amp;DYN_ARGS=TRUE&amp;DOC_NAME=FAT:FQL_AUDITING_CLIENT_TEMPLATE.FAT&amp;display_string=Audit&amp;VAR:KEY=XEDCREVYZS&amp;VAR:QUERY=RkZfU0FMRVMoQ0FMLDM5NDQ3LCwsLCk=&amp;WINDOW=FIRST_POPUP&amp;HEIGHT=450&amp;WIDTH=450&amp;START_MAXIMI","ZED=FALSE&amp;VAR:CALENDAR=US&amp;VAR:SYMBOL=DNA&amp;VAR:INDEX=0"}</definedName>
    <definedName name="_345__FDSAUDITLINK__" hidden="1">{"fdsup://directions/FAT%20Viewer?VAR:TM=NTMA&amp;VAR:PCT=0.822404&amp;VAR:Y0=2004&amp;VAR:Y1=2005&amp;VAR:V0=18.599434&amp;VAR:V1=16.476847&amp;VAR:V=18.183428&amp;VAR:AUDIT_ID=00000117&amp;VAR:DATE=20040305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Aggregates&amp;VAR:MEASURE=PE_MEAN&amp;VAR:CALC_MODE=PORTFOLIO&amp;VAR:CHGPERIOD=NA&amp;VAR:FQLFORMULA=FMA_PE&amp;VAR:CURRENCY=USD&amp;VAR:P=1","156.873300&amp;VAR:THRESH=||||||&amp;VAR:null=.html"}</definedName>
    <definedName name="_3450__FDSAUDITLINK__" hidden="1">{"fdsup://directions/FAT Viewer?action=UPDATE&amp;creator=factset&amp;DYN_ARGS=TRUE&amp;DOC_NAME=FAT:FQL_AUDITING_CLIENT_TEMPLATE.FAT&amp;display_string=Audit&amp;VAR:KEY=TOXMHYNEDQ&amp;VAR:QUERY=RkZfU0FMRVMoQ0FMLDM5MDgyLCwsLCk=&amp;WINDOW=FIRST_POPUP&amp;HEIGHT=450&amp;WIDTH=450&amp;START_MAXIMI","ZED=FALSE&amp;VAR:CALENDAR=US&amp;VAR:SYMBOL=DNA&amp;VAR:INDEX=0"}</definedName>
    <definedName name="_3451__FDSAUDITLINK__" hidden="1">{"fdsup://directions/FAT Viewer?action=UPDATE&amp;creator=factset&amp;DYN_ARGS=TRUE&amp;DOC_NAME=FAT:FQL_AUDITING_CLIENT_TEMPLATE.FAT&amp;display_string=Audit&amp;VAR:KEY=BKHAJUZULG&amp;VAR:QUERY=RkZfU0FMRVMoQ0FMLDM4NzE3LCwsLCk=&amp;WINDOW=FIRST_POPUP&amp;HEIGHT=450&amp;WIDTH=450&amp;START_MAXIMI","ZED=FALSE&amp;VAR:CALENDAR=US&amp;VAR:SYMBOL=DNA&amp;VAR:INDEX=0"}</definedName>
    <definedName name="_3452__FDSAUDITLINK__" hidden="1">{"fdsup://directions/FAT Viewer?action=UPDATE&amp;creator=factset&amp;DYN_ARGS=TRUE&amp;DOC_NAME=FAT:FQL_AUDITING_CLIENT_TEMPLATE.FAT&amp;display_string=Audit&amp;VAR:KEY=JYZKZGDIFI&amp;VAR:QUERY=RkZfU0FMRVMoQ0FMLDM4MzUyLCwsLCk=&amp;WINDOW=FIRST_POPUP&amp;HEIGHT=450&amp;WIDTH=450&amp;START_MAXIMI","ZED=FALSE&amp;VAR:CALENDAR=US&amp;VAR:SYMBOL=DNA&amp;VAR:INDEX=0"}</definedName>
    <definedName name="_3453__FDSAUDITLINK__" hidden="1">{"fdsup://directions/FAT Viewer?action=UPDATE&amp;creator=factset&amp;DYN_ARGS=TRUE&amp;DOC_NAME=FAT:FQL_AUDITING_CLIENT_TEMPLATE.FAT&amp;display_string=Audit&amp;VAR:KEY=RYVUVAXUDS&amp;VAR:QUERY=RkZfU0FMRVMoQ0FMLDQwNTQzLCwsLCk=&amp;WINDOW=FIRST_POPUP&amp;HEIGHT=450&amp;WIDTH=450&amp;START_MAXIMI","ZED=FALSE&amp;VAR:CALENDAR=US&amp;VAR:SYMBOL=MRK&amp;VAR:INDEX=0"}</definedName>
    <definedName name="_3454__FDSAUDITLINK__" hidden="1">{"fdsup://directions/FAT Viewer?action=UPDATE&amp;creator=factset&amp;DYN_ARGS=TRUE&amp;DOC_NAME=FAT:FQL_AUDITING_CLIENT_TEMPLATE.FAT&amp;display_string=Audit&amp;VAR:KEY=NITGVAHEXK&amp;VAR:QUERY=RkZfU0FMRVMoQ0FMLDQwMTc4LCwsLFVTRCk=&amp;WINDOW=FIRST_POPUP&amp;HEIGHT=450&amp;WIDTH=450&amp;START_MA","XIMIZED=FALSE&amp;VAR:CALENDAR=US&amp;VAR:SYMBOL=MRK&amp;VAR:INDEX=0"}</definedName>
    <definedName name="_3455__FDSAUDITLINK__" hidden="1">{"fdsup://directions/FAT Viewer?action=UPDATE&amp;creator=factset&amp;DYN_ARGS=TRUE&amp;DOC_NAME=FAT:FQL_AUDITING_CLIENT_TEMPLATE.FAT&amp;display_string=Audit&amp;VAR:KEY=PYDALOBCHY&amp;VAR:QUERY=RkZfU0FMRVMoQ0FMLDM5ODEzLCwsLFVTRCk=&amp;WINDOW=FIRST_POPUP&amp;HEIGHT=450&amp;WIDTH=450&amp;START_MA","XIMIZED=FALSE&amp;VAR:CALENDAR=US&amp;VAR:SYMBOL=MRK&amp;VAR:INDEX=0"}</definedName>
    <definedName name="_3456__FDSAUDITLINK__" hidden="1">{"fdsup://directions/FAT Viewer?action=UPDATE&amp;creator=factset&amp;DYN_ARGS=TRUE&amp;DOC_NAME=FAT:FQL_AUDITING_CLIENT_TEMPLATE.FAT&amp;display_string=Audit&amp;VAR:KEY=HONSVQVETW&amp;VAR:QUERY=RkZfU0FMRVMoQ0FMLDM5ODEzLCwsLCk=&amp;WINDOW=FIRST_POPUP&amp;HEIGHT=450&amp;WIDTH=450&amp;START_MAXIMI","ZED=FALSE&amp;VAR:CALENDAR=US&amp;VAR:SYMBOL=SGP&amp;VAR:INDEX=0"}</definedName>
    <definedName name="_3457__FDSAUDITLINK__" hidden="1">{"fdsup://directions/FAT Viewer?action=UPDATE&amp;creator=factset&amp;DYN_ARGS=TRUE&amp;DOC_NAME=FAT:FQL_AUDITING_CLIENT_TEMPLATE.FAT&amp;display_string=Audit&amp;VAR:KEY=DIFWLOFKHK&amp;VAR:QUERY=RkZfU0FMRVMoQ0FMLDM5NDQ3LCwsLFVTRCk=&amp;WINDOW=FIRST_POPUP&amp;HEIGHT=450&amp;WIDTH=450&amp;START_MA","XIMIZED=FALSE&amp;VAR:CALENDAR=US&amp;VAR:SYMBOL=MRK&amp;VAR:INDEX=0"}</definedName>
    <definedName name="_3458__FDSAUDITLINK__" hidden="1">{"fdsup://directions/FAT Viewer?action=UPDATE&amp;creator=factset&amp;DYN_ARGS=TRUE&amp;DOC_NAME=FAT:FQL_AUDITING_CLIENT_TEMPLATE.FAT&amp;display_string=Audit&amp;VAR:KEY=DGFOTSZMDS&amp;VAR:QUERY=RkZfU0FMRVMoQ0FMLDM5NDQ3LCwsLCk=&amp;WINDOW=FIRST_POPUP&amp;HEIGHT=450&amp;WIDTH=450&amp;START_MAXIMI","ZED=FALSE&amp;VAR:CALENDAR=US&amp;VAR:SYMBOL=SGP&amp;VAR:INDEX=0"}</definedName>
    <definedName name="_3459__FDSAUDITLINK__" hidden="1">{"fdsup://directions/FAT Viewer?action=UPDATE&amp;creator=factset&amp;DYN_ARGS=TRUE&amp;DOC_NAME=FAT:FQL_AUDITING_CLIENT_TEMPLATE.FAT&amp;display_string=Audit&amp;VAR:KEY=HEPGNYVUHS&amp;VAR:QUERY=RkZfU0FMRVMoQ0FMLDM5MDgyLCwsLFVTRCk=&amp;WINDOW=FIRST_POPUP&amp;HEIGHT=450&amp;WIDTH=450&amp;START_MA","XIMIZED=FALSE&amp;VAR:CALENDAR=US&amp;VAR:SYMBOL=MRK&amp;VAR:INDEX=0"}</definedName>
    <definedName name="_346__FDSAUDITLINK__" hidden="1">{"fdsup://directions/FAT%20Viewer?VAR:TM=NTMA&amp;VAR:PCT=0.841530&amp;VAR:Y0=2004&amp;VAR:Y1=2005&amp;VAR:V0=18.448930&amp;VAR:V1=16.342750&amp;VAR:V=18.079690&amp;VAR:AUDIT_ID=00000117&amp;VAR:DATE=20040227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Aggregates&amp;VAR:MEASURE=PE_MEAN&amp;VAR:CALC_MODE=PORTFOLIO&amp;VAR:CHGPERIOD=NA&amp;VAR:FQLFORMULA=FMA_PE&amp;VAR:CURRENCY=USD&amp;VAR:P=1","144.942100&amp;VAR:THRESH=||||||&amp;VAR:null=.html"}</definedName>
    <definedName name="_3460__FDSAUDITLINK__" hidden="1">{"fdsup://directions/FAT Viewer?action=UPDATE&amp;creator=factset&amp;DYN_ARGS=TRUE&amp;DOC_NAME=FAT:FQL_AUDITING_CLIENT_TEMPLATE.FAT&amp;display_string=Audit&amp;VAR:KEY=RMFKNYHWPS&amp;VAR:QUERY=RkZfU0FMRVMoQ0FMLDM5MDgyLCwsLCk=&amp;WINDOW=FIRST_POPUP&amp;HEIGHT=450&amp;WIDTH=450&amp;START_MAXIMI","ZED=FALSE&amp;VAR:CALENDAR=US&amp;VAR:SYMBOL=SGP&amp;VAR:INDEX=0"}</definedName>
    <definedName name="_3461__FDSAUDITLINK__" hidden="1">{"fdsup://directions/FAT Viewer?action=UPDATE&amp;creator=factset&amp;DYN_ARGS=TRUE&amp;DOC_NAME=FAT:FQL_AUDITING_CLIENT_TEMPLATE.FAT&amp;display_string=Audit&amp;VAR:KEY=LARWVSDIPK&amp;VAR:QUERY=RkZfU0FMRVMoQ0FMLDM4NzE3LCwsLFVTRCk=&amp;WINDOW=FIRST_POPUP&amp;HEIGHT=450&amp;WIDTH=450&amp;START_MA","XIMIZED=FALSE&amp;VAR:CALENDAR=US&amp;VAR:SYMBOL=MRK&amp;VAR:INDEX=0"}</definedName>
    <definedName name="_3462__FDSAUDITLINK__" hidden="1">{"fdsup://directions/FAT Viewer?action=UPDATE&amp;creator=factset&amp;DYN_ARGS=TRUE&amp;DOC_NAME=FAT:FQL_AUDITING_CLIENT_TEMPLATE.FAT&amp;display_string=Audit&amp;VAR:KEY=DKZQFGPGZY&amp;VAR:QUERY=RkZfU0FMRVMoQ0FMLDM4NzE3LCwsLCk=&amp;WINDOW=FIRST_POPUP&amp;HEIGHT=450&amp;WIDTH=450&amp;START_MAXIMI","ZED=FALSE&amp;VAR:CALENDAR=US&amp;VAR:SYMBOL=SGP&amp;VAR:INDEX=0"}</definedName>
    <definedName name="_3463__FDSAUDITLINK__" hidden="1">{"fdsup://directions/FAT Viewer?action=UPDATE&amp;creator=factset&amp;DYN_ARGS=TRUE&amp;DOC_NAME=FAT:FQL_AUDITING_CLIENT_TEMPLATE.FAT&amp;display_string=Audit&amp;VAR:KEY=XINIZQTOTW&amp;VAR:QUERY=RkZfU0FMRVMoQ0FMLDM4MzUyLCwsLFVTRCk=&amp;WINDOW=FIRST_POPUP&amp;HEIGHT=450&amp;WIDTH=450&amp;START_MA","XIMIZED=FALSE&amp;VAR:CALENDAR=US&amp;VAR:SYMBOL=MRK&amp;VAR:INDEX=0"}</definedName>
    <definedName name="_3464__FDSAUDITLINK__" hidden="1">{"fdsup://directions/FAT Viewer?action=UPDATE&amp;creator=factset&amp;DYN_ARGS=TRUE&amp;DOC_NAME=FAT:FQL_AUDITING_CLIENT_TEMPLATE.FAT&amp;display_string=Audit&amp;VAR:KEY=BSFAVMVYRK&amp;VAR:QUERY=RkZfU0FMRVMoQ0FMLDM4MzUyLCwsLCk=&amp;WINDOW=FIRST_POPUP&amp;HEIGHT=450&amp;WIDTH=450&amp;START_MAXIMI","ZED=FALSE&amp;VAR:CALENDAR=US&amp;VAR:SYMBOL=SGP&amp;VAR:INDEX=0"}</definedName>
    <definedName name="_3465__FDSAUDITLINK__" hidden="1">{"fdsup://directions/FAT Viewer?action=UPDATE&amp;creator=factset&amp;DYN_ARGS=TRUE&amp;DOC_NAME=FAT:FQL_AUDITING_CLIENT_TEMPLATE.FAT&amp;display_string=Audit&amp;VAR:KEY=LGHWFEBQFK&amp;VAR:QUERY=RkZfU0FMRVMoQ0FMLDQwNTQzLCwsLCk=&amp;WINDOW=FIRST_POPUP&amp;HEIGHT=450&amp;WIDTH=450&amp;START_MAXIMI","ZED=FALSE&amp;VAR:CALENDAR=US&amp;VAR:SYMBOL=PFE&amp;VAR:INDEX=0"}</definedName>
    <definedName name="_3466__FDSAUDITLINK__" hidden="1">{"fdsup://directions/FAT Viewer?action=UPDATE&amp;creator=factset&amp;DYN_ARGS=TRUE&amp;DOC_NAME=FAT:FQL_AUDITING_CLIENT_TEMPLATE.FAT&amp;display_string=Audit&amp;VAR:KEY=VUBGPEPQXE&amp;VAR:QUERY=RkZfU0FMRVMoQ0FMLDQwMTc4LCwsLFVTRCk=&amp;WINDOW=FIRST_POPUP&amp;HEIGHT=450&amp;WIDTH=450&amp;START_MA","XIMIZED=FALSE&amp;VAR:CALENDAR=US&amp;VAR:SYMBOL=PFE&amp;VAR:INDEX=0"}</definedName>
    <definedName name="_3467__FDSAUDITLINK__" hidden="1">{"fdsup://directions/FAT Viewer?action=UPDATE&amp;creator=factset&amp;DYN_ARGS=TRUE&amp;DOC_NAME=FAT:FQL_AUDITING_CLIENT_TEMPLATE.FAT&amp;display_string=Audit&amp;VAR:KEY=TALIFCXGLY&amp;VAR:QUERY=RkZfU0FMRVMoQ0FMLDM5ODEzLCwsLFVTRCk=&amp;WINDOW=FIRST_POPUP&amp;HEIGHT=450&amp;WIDTH=450&amp;START_MA","XIMIZED=FALSE&amp;VAR:CALENDAR=US&amp;VAR:SYMBOL=PFE&amp;VAR:INDEX=0"}</definedName>
    <definedName name="_3468__FDSAUDITLINK__" hidden="1">{"fdsup://directions/FAT Viewer?action=UPDATE&amp;creator=factset&amp;DYN_ARGS=TRUE&amp;DOC_NAME=FAT:FQL_AUDITING_CLIENT_TEMPLATE.FAT&amp;display_string=Audit&amp;VAR:KEY=VQLSXQNWTQ&amp;VAR:QUERY=RkZfU0FMRVMoQ0FMLDM5ODEzLCwsLCk=&amp;WINDOW=FIRST_POPUP&amp;HEIGHT=450&amp;WIDTH=450&amp;START_MAXIMI","ZED=FALSE&amp;VAR:CALENDAR=US&amp;VAR:SYMBOL=WYE&amp;VAR:INDEX=0"}</definedName>
    <definedName name="_3469__FDSAUDITLINK__" hidden="1">{"fdsup://directions/FAT Viewer?action=UPDATE&amp;creator=factset&amp;DYN_ARGS=TRUE&amp;DOC_NAME=FAT:FQL_AUDITING_CLIENT_TEMPLATE.FAT&amp;display_string=Audit&amp;VAR:KEY=XGZEZUPELA&amp;VAR:QUERY=RkZfU0FMRVMoQ0FMLDM5NDQ3LCwsLFVTRCk=&amp;WINDOW=FIRST_POPUP&amp;HEIGHT=450&amp;WIDTH=450&amp;START_MA","XIMIZED=FALSE&amp;VAR:CALENDAR=US&amp;VAR:SYMBOL=PFE&amp;VAR:INDEX=0"}</definedName>
    <definedName name="_347__FDSAUDITLINK__" hidden="1">{"fdsup://directions/FAT%20Viewer?VAR:TM=NTMA&amp;VAR:PCT=0.860656&amp;VAR:Y0=2004&amp;VAR:Y1=2005&amp;VAR:V0=18.474500&amp;VAR:V1=16.371052&amp;VAR:V=18.149555&amp;VAR:AUDIT_ID=00000117&amp;VAR:DATE=20040220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Aggregates&amp;VAR:MEASURE=PE_MEAN&amp;VAR:CALC_MODE=PORTFOLIO&amp;VAR:CHGPERIOD=NA&amp;VAR:FQLFORMULA=FMA_PE&amp;VAR:CURRENCY=USD&amp;VAR:P=1","144.108400&amp;VAR:THRESH=||||||&amp;VAR:null=.html"}</definedName>
    <definedName name="_3470__FDSAUDITLINK__" hidden="1">{"fdsup://directions/FAT Viewer?action=UPDATE&amp;creator=factset&amp;DYN_ARGS=TRUE&amp;DOC_NAME=FAT:FQL_AUDITING_CLIENT_TEMPLATE.FAT&amp;display_string=Audit&amp;VAR:KEY=LYBCHAXYFU&amp;VAR:QUERY=RkZfU0FMRVMoQ0FMLDM5NDQ3LCwsLCk=&amp;WINDOW=FIRST_POPUP&amp;HEIGHT=450&amp;WIDTH=450&amp;START_MAXIMI","ZED=FALSE&amp;VAR:CALENDAR=US&amp;VAR:SYMBOL=WYE&amp;VAR:INDEX=0"}</definedName>
    <definedName name="_3471__FDSAUDITLINK__" hidden="1">{"fdsup://directions/FAT Viewer?action=UPDATE&amp;creator=factset&amp;DYN_ARGS=TRUE&amp;DOC_NAME=FAT:FQL_AUDITING_CLIENT_TEMPLATE.FAT&amp;display_string=Audit&amp;VAR:KEY=VCRKNMRSXU&amp;VAR:QUERY=RkZfU0FMRVMoQ0FMLDM5MDgyLCwsLFVTRCk=&amp;WINDOW=FIRST_POPUP&amp;HEIGHT=450&amp;WIDTH=450&amp;START_MA","XIMIZED=FALSE&amp;VAR:CALENDAR=US&amp;VAR:SYMBOL=PFE&amp;VAR:INDEX=0"}</definedName>
    <definedName name="_3472__FDSAUDITLINK__" hidden="1">{"fdsup://directions/FAT Viewer?action=UPDATE&amp;creator=factset&amp;DYN_ARGS=TRUE&amp;DOC_NAME=FAT:FQL_AUDITING_CLIENT_TEMPLATE.FAT&amp;display_string=Audit&amp;VAR:KEY=VEPGFILCPM&amp;VAR:QUERY=RkZfU0FMRVMoQ0FMLDM5MDgyLCwsLCk=&amp;WINDOW=FIRST_POPUP&amp;HEIGHT=450&amp;WIDTH=450&amp;START_MAXIMI","ZED=FALSE&amp;VAR:CALENDAR=US&amp;VAR:SYMBOL=WYE&amp;VAR:INDEX=0"}</definedName>
    <definedName name="_3473__FDSAUDITLINK__" hidden="1">{"fdsup://directions/FAT Viewer?action=UPDATE&amp;creator=factset&amp;DYN_ARGS=TRUE&amp;DOC_NAME=FAT:FQL_AUDITING_CLIENT_TEMPLATE.FAT&amp;display_string=Audit&amp;VAR:KEY=XSFMPONEVU&amp;VAR:QUERY=RkZfU0FMRVMoQ0FMLDM4NzE3LCwsLFVTRCk=&amp;WINDOW=FIRST_POPUP&amp;HEIGHT=450&amp;WIDTH=450&amp;START_MA","XIMIZED=FALSE&amp;VAR:CALENDAR=US&amp;VAR:SYMBOL=PFE&amp;VAR:INDEX=0"}</definedName>
    <definedName name="_3474__FDSAUDITLINK__" hidden="1">{"fdsup://directions/FAT Viewer?action=UPDATE&amp;creator=factset&amp;DYN_ARGS=TRUE&amp;DOC_NAME=FAT:FQL_AUDITING_CLIENT_TEMPLATE.FAT&amp;display_string=Audit&amp;VAR:KEY=LIHSTKLYLI&amp;VAR:QUERY=RkZfU0FMRVMoQ0FMLDM4NzE3LCwsLCk=&amp;WINDOW=FIRST_POPUP&amp;HEIGHT=450&amp;WIDTH=450&amp;START_MAXIMI","ZED=FALSE&amp;VAR:CALENDAR=US&amp;VAR:SYMBOL=WYE&amp;VAR:INDEX=0"}</definedName>
    <definedName name="_3475__FDSAUDITLINK__" hidden="1">{"fdsup://directions/FAT Viewer?action=UPDATE&amp;creator=factset&amp;DYN_ARGS=TRUE&amp;DOC_NAME=FAT:FQL_AUDITING_CLIENT_TEMPLATE.FAT&amp;display_string=Audit&amp;VAR:KEY=ZQNSHKVOTE&amp;VAR:QUERY=RkZfU0FMRVMoQ0FMLDM4MzUyLCwsLFVTRCk=&amp;WINDOW=FIRST_POPUP&amp;HEIGHT=450&amp;WIDTH=450&amp;START_MA","XIMIZED=FALSE&amp;VAR:CALENDAR=US&amp;VAR:SYMBOL=PFE&amp;VAR:INDEX=0"}</definedName>
    <definedName name="_3476__FDSAUDITLINK__" hidden="1">{"fdsup://directions/FAT Viewer?action=UPDATE&amp;creator=factset&amp;DYN_ARGS=TRUE&amp;DOC_NAME=FAT:FQL_AUDITING_CLIENT_TEMPLATE.FAT&amp;display_string=Audit&amp;VAR:KEY=ZIFWJMBGTI&amp;VAR:QUERY=RkZfU0FMRVMoQ0FMLDM4MzUyLCwsLCk=&amp;WINDOW=FIRST_POPUP&amp;HEIGHT=450&amp;WIDTH=450&amp;START_MAXIMI","ZED=FALSE&amp;VAR:CALENDAR=US&amp;VAR:SYMBOL=WYE&amp;VAR:INDEX=0"}</definedName>
    <definedName name="_3477__FDSAUDITLINK__" hidden="1">{"fdsup://directions/FAT Viewer?action=UPDATE&amp;creator=factset&amp;DYN_ARGS=TRUE&amp;DOC_NAME=FAT:FQL_AUDITING_CLIENT_TEMPLATE.FAT&amp;display_string=Audit&amp;VAR:KEY=DIVKNITAZM&amp;VAR:QUERY=RkZfUkRfRVhQKENBTCwyMDA4LCwsLFVTRCk=&amp;WINDOW=FIRST_POPUP&amp;HEIGHT=450&amp;WIDTH=450&amp;START_MA","XIMIZED=FALSE&amp;VAR:CALENDAR=US&amp;VAR:SYMBOL=WYE&amp;VAR:INDEX=0"}</definedName>
    <definedName name="_3478__FDSAUDITLINK__" hidden="1">{"fdsup://directions/FAT Viewer?action=UPDATE&amp;creator=factset&amp;DYN_ARGS=TRUE&amp;DOC_NAME=FAT:FQL_AUDITING_CLIENT_TEMPLATE.FAT&amp;display_string=Audit&amp;VAR:KEY=HCLYRIPKVQ&amp;VAR:QUERY=RkZfUkRfRVhQKENBTCwyMDA3LCwsLFVTRCk=&amp;WINDOW=FIRST_POPUP&amp;HEIGHT=450&amp;WIDTH=450&amp;START_MA","XIMIZED=FALSE&amp;VAR:CALENDAR=US&amp;VAR:SYMBOL=WYE&amp;VAR:INDEX=0"}</definedName>
    <definedName name="_3479__FDSAUDITLINK__" hidden="1">{"fdsup://directions/FAT Viewer?action=UPDATE&amp;creator=factset&amp;DYN_ARGS=TRUE&amp;DOC_NAME=FAT:FQL_AUDITING_CLIENT_TEMPLATE.FAT&amp;display_string=Audit&amp;VAR:KEY=XKJURUPUXI&amp;VAR:QUERY=RkZfUkRfRVhQKENBTCwyMDA4LCwsLFVTRCk=&amp;WINDOW=FIRST_POPUP&amp;HEIGHT=450&amp;WIDTH=450&amp;START_MA","XIMIZED=FALSE&amp;VAR:CALENDAR=US&amp;VAR:SYMBOL=BIIB&amp;VAR:INDEX=0"}</definedName>
    <definedName name="_348__FDSAUDITLINK__" hidden="1">{"fdsup://directions/FAT%20Viewer?VAR:TM=NTMA&amp;VAR:PCT=0.879781&amp;VAR:Y0=2004&amp;VAR:Y1=2005&amp;VAR:V0=18.516546&amp;VAR:V1=16.391268&amp;VAR:V=18.232350&amp;VAR:AUDIT_ID=00000117&amp;VAR:DATE=20040213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Aggregates&amp;VAR:MEASURE=PE_MEAN&amp;VAR:CALC_MODE=PORTFOLIO&amp;VAR:CHGPERIOD=NA&amp;VAR:FQLFORMULA=FMA_PE&amp;VAR:CURRENCY=USD&amp;VAR:P=1","145.809700&amp;VAR:THRESH=||||||&amp;VAR:null=.html"}</definedName>
    <definedName name="_3480__FDSAUDITLINK__" hidden="1">{"fdsup://directions/FAT Viewer?action=UPDATE&amp;creator=factset&amp;DYN_ARGS=TRUE&amp;DOC_NAME=FAT:FQL_AUDITING_CLIENT_TEMPLATE.FAT&amp;display_string=Audit&amp;VAR:KEY=DWTCTGDURW&amp;VAR:QUERY=RkZfUkRfRVhQKENBTCwyMDA3LCwsLFVTRCk=&amp;WINDOW=FIRST_POPUP&amp;HEIGHT=450&amp;WIDTH=450&amp;START_MA","XIMIZED=FALSE&amp;VAR:CALENDAR=US&amp;VAR:SYMBOL=BIIB&amp;VAR:INDEX=0"}</definedName>
    <definedName name="_3481__FDSAUDITLINK__" hidden="1">{"fdsup://directions/FAT Viewer?action=UPDATE&amp;creator=factset&amp;DYN_ARGS=TRUE&amp;DOC_NAME=FAT:FQL_AUDITING_CLIENT_TEMPLATE.FAT&amp;display_string=Audit&amp;VAR:KEY=ZKDQPGHSNO&amp;VAR:QUERY=RkZfUkRfRVhQKENBTCwyMDA4LCwsLFVTRCk=&amp;WINDOW=FIRST_POPUP&amp;HEIGHT=450&amp;WIDTH=450&amp;START_MA","XIMIZED=FALSE&amp;VAR:CALENDAR=US&amp;VAR:SYMBOL=707752&amp;VAR:INDEX=0"}</definedName>
    <definedName name="_3482__FDSAUDITLINK__" hidden="1">{"fdsup://directions/FAT Viewer?action=UPDATE&amp;creator=factset&amp;DYN_ARGS=TRUE&amp;DOC_NAME=FAT:FQL_AUDITING_CLIENT_TEMPLATE.FAT&amp;display_string=Audit&amp;VAR:KEY=HKJQHCVUFC&amp;VAR:QUERY=RkZfUkRfRVhQKENBTCwyMDA3LCwsLFVTRCk=&amp;WINDOW=FIRST_POPUP&amp;HEIGHT=450&amp;WIDTH=450&amp;START_MA","XIMIZED=FALSE&amp;VAR:CALENDAR=US&amp;VAR:SYMBOL=707752&amp;VAR:INDEX=0"}</definedName>
    <definedName name="_3483__FDSAUDITLINK__" hidden="1">{"fdsup://directions/FAT Viewer?action=UPDATE&amp;creator=factset&amp;DYN_ARGS=TRUE&amp;DOC_NAME=FAT:FQL_AUDITING_CLIENT_TEMPLATE.FAT&amp;display_string=Audit&amp;VAR:KEY=XSPCXOXWFG&amp;VAR:QUERY=RkZfUkRfRVhQKENBTCwyMDA4LCwsLFVTRCk=&amp;WINDOW=FIRST_POPUP&amp;HEIGHT=450&amp;WIDTH=450&amp;START_MA","XIMIZED=FALSE&amp;VAR:CALENDAR=US&amp;VAR:SYMBOL=630720&amp;VAR:INDEX=0"}</definedName>
    <definedName name="_3484__FDSAUDITLINK__" hidden="1">{"fdsup://directions/FAT Viewer?action=UPDATE&amp;creator=factset&amp;DYN_ARGS=TRUE&amp;DOC_NAME=FAT:FQL_AUDITING_CLIENT_TEMPLATE.FAT&amp;display_string=Audit&amp;VAR:KEY=BEDORSJANQ&amp;VAR:QUERY=RkZfUkRfRVhQKENBTCwyMDA3LCwsLFVTRCk=&amp;WINDOW=FIRST_POPUP&amp;HEIGHT=450&amp;WIDTH=450&amp;START_MA","XIMIZED=FALSE&amp;VAR:CALENDAR=US&amp;VAR:SYMBOL=630720&amp;VAR:INDEX=0"}</definedName>
    <definedName name="_3485__FDSAUDITLINK__" hidden="1">{"fdsup://directions/FAT Viewer?action=UPDATE&amp;creator=factset&amp;DYN_ARGS=TRUE&amp;DOC_NAME=FAT:FQL_AUDITING_CLIENT_TEMPLATE.FAT&amp;display_string=Audit&amp;VAR:KEY=ZEPGFQJADE&amp;VAR:QUERY=RkZfUkRfRVhQKENBTCwyMDA4LCwsLFVTRCk=&amp;WINDOW=FIRST_POPUP&amp;HEIGHT=450&amp;WIDTH=450&amp;START_MA","XIMIZED=FALSE&amp;VAR:CALENDAR=US&amp;VAR:SYMBOL=698538&amp;VAR:INDEX=0"}</definedName>
    <definedName name="_3486__FDSAUDITLINK__" hidden="1">{"fdsup://directions/FAT Viewer?action=UPDATE&amp;creator=factset&amp;DYN_ARGS=TRUE&amp;DOC_NAME=FAT:FQL_AUDITING_CLIENT_TEMPLATE.FAT&amp;display_string=Audit&amp;VAR:KEY=HALOFQXSVO&amp;VAR:QUERY=RkZfUkRfRVhQKENBTCwyMDA3LCwsLFVTRCk=&amp;WINDOW=FIRST_POPUP&amp;HEIGHT=450&amp;WIDTH=450&amp;START_MA","XIMIZED=FALSE&amp;VAR:CALENDAR=US&amp;VAR:SYMBOL=698538&amp;VAR:INDEX=0"}</definedName>
    <definedName name="_3487__FDSAUDITLINK__" hidden="1">{"fdsup://directions/FAT Viewer?action=UPDATE&amp;creator=factset&amp;DYN_ARGS=TRUE&amp;DOC_NAME=FAT:FQL_AUDITING_CLIENT_TEMPLATE.FAT&amp;display_string=Audit&amp;VAR:KEY=BURSXUHEJK&amp;VAR:QUERY=RkZfUkRfRVhQKENBTCwyMDA4LCwsLFVTRCk=&amp;WINDOW=FIRST_POPUP&amp;HEIGHT=450&amp;WIDTH=450&amp;START_MA","XIMIZED=FALSE&amp;VAR:CALENDAR=US&amp;VAR:SYMBOL=B0J7D9&amp;VAR:INDEX=0"}</definedName>
    <definedName name="_3488__FDSAUDITLINK__" hidden="1">{"fdsup://directions/FAT Viewer?action=UPDATE&amp;creator=factset&amp;DYN_ARGS=TRUE&amp;DOC_NAME=FAT:FQL_AUDITING_CLIENT_TEMPLATE.FAT&amp;display_string=Audit&amp;VAR:KEY=LABKHYRYVS&amp;VAR:QUERY=RkZfUkRfRVhQKENBTCwyMDA3LCwsLFVTRCk=&amp;WINDOW=FIRST_POPUP&amp;HEIGHT=450&amp;WIDTH=450&amp;START_MA","XIMIZED=FALSE&amp;VAR:CALENDAR=US&amp;VAR:SYMBOL=B0J7D9&amp;VAR:INDEX=0"}</definedName>
    <definedName name="_3489__FDSAUDITLINK__" hidden="1">{"fdsup://directions/FAT Viewer?action=UPDATE&amp;creator=factset&amp;DYN_ARGS=TRUE&amp;DOC_NAME=FAT:FQL_AUDITING_CLIENT_TEMPLATE.FAT&amp;display_string=Audit&amp;VAR:KEY=XQBYHAHMJE&amp;VAR:QUERY=RkZfUkRfRVhQKENBTCwyMDA4LCwsLFVTRCk=&amp;WINDOW=FIRST_POPUP&amp;HEIGHT=450&amp;WIDTH=450&amp;START_MA","XIMIZED=FALSE&amp;VAR:CALENDAR=US&amp;VAR:SYMBOL=AMGN&amp;VAR:INDEX=0"}</definedName>
    <definedName name="_349__FDSAUDITLINK__" hidden="1">{"fdsup://directions/FAT%20Viewer?VAR:TM=NTMA&amp;VAR:PCT=0.898907&amp;VAR:Y0=2004&amp;VAR:Y1=2005&amp;VAR:V0=18.463764&amp;VAR:V1=16.361908&amp;VAR:V=18.227060&amp;VAR:AUDIT_ID=00000117&amp;VAR:DATE=20040206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Aggregates&amp;VAR:MEASURE=PE_MEAN&amp;VAR:CALC_MODE=PORTFOLIO&amp;VAR:CHGPERIOD=NA&amp;VAR:FQLFORMULA=FMA_PE&amp;VAR:CURRENCY=USD&amp;VAR:P=1","142.755100&amp;VAR:THRESH=||||||&amp;VAR:null=.html"}</definedName>
    <definedName name="_3490__FDSAUDITLINK__" hidden="1">{"fdsup://directions/FAT Viewer?action=UPDATE&amp;creator=factset&amp;DYN_ARGS=TRUE&amp;DOC_NAME=FAT:FQL_AUDITING_CLIENT_TEMPLATE.FAT&amp;display_string=Audit&amp;VAR:KEY=RWVUPEFUXW&amp;VAR:QUERY=RkZfUkRfRVhQKENBTCwyMDA3LCwsLFVTRCk=&amp;WINDOW=FIRST_POPUP&amp;HEIGHT=450&amp;WIDTH=450&amp;START_MA","XIMIZED=FALSE&amp;VAR:CALENDAR=US&amp;VAR:SYMBOL=AMGN&amp;VAR:INDEX=0"}</definedName>
    <definedName name="_3491__FDSAUDITLINK__" hidden="1">{"fdsup://directions/FAT Viewer?action=UPDATE&amp;creator=factset&amp;DYN_ARGS=TRUE&amp;DOC_NAME=FAT:FQL_AUDITING_CLIENT_TEMPLATE.FAT&amp;display_string=Audit&amp;VAR:KEY=HUJQRCJEBE&amp;VAR:QUERY=RkZfUkRfRVhQKENBTCwyMDA4LCwsLFVTRCk=&amp;WINDOW=FIRST_POPUP&amp;HEIGHT=450&amp;WIDTH=450&amp;START_MA","XIMIZED=FALSE&amp;VAR:CALENDAR=US&amp;VAR:SYMBOL=ABT&amp;VAR:INDEX=0"}</definedName>
    <definedName name="_3492__FDSAUDITLINK__" hidden="1">{"fdsup://directions/FAT Viewer?action=UPDATE&amp;creator=factset&amp;DYN_ARGS=TRUE&amp;DOC_NAME=FAT:FQL_AUDITING_CLIENT_TEMPLATE.FAT&amp;display_string=Audit&amp;VAR:KEY=BYVWXYRQNK&amp;VAR:QUERY=RkZfUkRfRVhQKENBTCwyMDA3LCwsLFVTRCk=&amp;WINDOW=FIRST_POPUP&amp;HEIGHT=450&amp;WIDTH=450&amp;START_MA","XIMIZED=FALSE&amp;VAR:CALENDAR=US&amp;VAR:SYMBOL=ABT&amp;VAR:INDEX=0"}</definedName>
    <definedName name="_3493__FDSAUDITLINK__" hidden="1">{"fdsup://directions/FAT Viewer?action=UPDATE&amp;creator=factset&amp;DYN_ARGS=TRUE&amp;DOC_NAME=FAT:FQL_AUDITING_CLIENT_TEMPLATE.FAT&amp;display_string=Audit&amp;VAR:KEY=ZUPYRQFSRU&amp;VAR:QUERY=RkZfUkRfRVhQKENBTCwyMDA4LCwsLFVTRCk=&amp;WINDOW=FIRST_POPUP&amp;HEIGHT=450&amp;WIDTH=450&amp;START_MA","XIMIZED=FALSE&amp;VAR:CALENDAR=US&amp;VAR:SYMBOL=687044&amp;VAR:INDEX=0"}</definedName>
    <definedName name="_3494__FDSAUDITLINK__" hidden="1">{"fdsup://directions/FAT Viewer?action=UPDATE&amp;creator=factset&amp;DYN_ARGS=TRUE&amp;DOC_NAME=FAT:FQL_AUDITING_CLIENT_TEMPLATE.FAT&amp;display_string=Audit&amp;VAR:KEY=ZMRALSXARE&amp;VAR:QUERY=RkZfUkRfRVhQKENBTCwyMDA3LCwsLFVTRCk=&amp;WINDOW=FIRST_POPUP&amp;HEIGHT=450&amp;WIDTH=450&amp;START_MA","XIMIZED=FALSE&amp;VAR:CALENDAR=US&amp;VAR:SYMBOL=687044&amp;VAR:INDEX=0"}</definedName>
    <definedName name="_3495__FDSAUDITLINK__" hidden="1">{"fdsup://directions/FAT Viewer?action=UPDATE&amp;creator=factset&amp;DYN_ARGS=TRUE&amp;DOC_NAME=FAT:FQL_AUDITING_CLIENT_TEMPLATE.FAT&amp;display_string=Audit&amp;VAR:KEY=ZMZYLSXEVK&amp;VAR:QUERY=RkZfUkRfRVhQKENBTCwyMDA4LCwsLFVTRCk=&amp;WINDOW=FIRST_POPUP&amp;HEIGHT=450&amp;WIDTH=450&amp;START_MA","XIMIZED=FALSE&amp;VAR:CALENDAR=US&amp;VAR:SYMBOL=BMY&amp;VAR:INDEX=0"}</definedName>
    <definedName name="_3496__FDSAUDITLINK__" hidden="1">{"fdsup://directions/FAT Viewer?action=UPDATE&amp;creator=factset&amp;DYN_ARGS=TRUE&amp;DOC_NAME=FAT:FQL_AUDITING_CLIENT_TEMPLATE.FAT&amp;display_string=Audit&amp;VAR:KEY=RENSXGJCBC&amp;VAR:QUERY=RkZfUkRfRVhQKENBTCwyMDA3LCwsLFVTRCk=&amp;WINDOW=FIRST_POPUP&amp;HEIGHT=450&amp;WIDTH=450&amp;START_MA","XIMIZED=FALSE&amp;VAR:CALENDAR=US&amp;VAR:SYMBOL=BMY&amp;VAR:INDEX=0"}</definedName>
    <definedName name="_3497__FDSAUDITLINK__" hidden="1">{"fdsup://directions/FAT Viewer?action=UPDATE&amp;creator=factset&amp;DYN_ARGS=TRUE&amp;DOC_NAME=FAT:FQL_AUDITING_CLIENT_TEMPLATE.FAT&amp;display_string=Audit&amp;VAR:KEY=BSNATUHMFQ&amp;VAR:QUERY=RkZfUkRfRVhQKENBTCwyMDA4LCwsLFVTRCk=&amp;WINDOW=FIRST_POPUP&amp;HEIGHT=450&amp;WIDTH=450&amp;START_MA","XIMIZED=FALSE&amp;VAR:CALENDAR=US&amp;VAR:SYMBOL=LLY&amp;VAR:INDEX=0"}</definedName>
    <definedName name="_3498__FDSAUDITLINK__" hidden="1">{"fdsup://directions/FAT Viewer?action=UPDATE&amp;creator=factset&amp;DYN_ARGS=TRUE&amp;DOC_NAME=FAT:FQL_AUDITING_CLIENT_TEMPLATE.FAT&amp;display_string=Audit&amp;VAR:KEY=DOHSHEVKPM&amp;VAR:QUERY=RkZfUkRfRVhQKENBTCwyMDA3LCwsLFVTRCk=&amp;WINDOW=FIRST_POPUP&amp;HEIGHT=450&amp;WIDTH=450&amp;START_MA","XIMIZED=FALSE&amp;VAR:CALENDAR=US&amp;VAR:SYMBOL=LLY&amp;VAR:INDEX=0"}</definedName>
    <definedName name="_3499__FDSAUDITLINK__" hidden="1">{"fdsup://directions/FAT Viewer?action=UPDATE&amp;creator=factset&amp;DYN_ARGS=TRUE&amp;DOC_NAME=FAT:FQL_AUDITING_CLIENT_TEMPLATE.FAT&amp;display_string=Audit&amp;VAR:KEY=JKHWTOZSRO&amp;VAR:QUERY=RkZfUkRfRVhQKENBTCwyMDA4LCwsLFVTRCk=&amp;WINDOW=FIRST_POPUP&amp;HEIGHT=450&amp;WIDTH=450&amp;START_MA","XIMIZED=FALSE&amp;VAR:CALENDAR=US&amp;VAR:SYMBOL=506921&amp;VAR:INDEX=0"}</definedName>
    <definedName name="_35__FDSAUDITLINK__" hidden="1">{"fdsup://directions/FAT%20Viewer?VAR:TM=NTMA&amp;VAR:PCT=0.882192&amp;VAR:Y0=2010&amp;VAR:Y1=2011&amp;VAR:V0=13.534136&amp;VAR:V1=11.314774&amp;VAR:V=13.228456&amp;VAR:AUDIT_ID=00000117&amp;VAR:DATE=20100212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Aggregates&amp;VAR:MEASURE=PE_MEAN&amp;VAR:CALC_MODE=PORTFOLIO&amp;VAR:CHGPERIOD=NA&amp;VAR:FQLFORMULA=FMA_PE&amp;VAR:CURRENCY=USD&amp;VAR:P=1","075.513263&amp;VAR:THRESH=||||||&amp;VAR:null=.html"}</definedName>
    <definedName name="_350__FDSAUDITLINK__" hidden="1">{"fdsup://directions/FAT%20Viewer?VAR:TM=NTMA&amp;VAR:PCT=0.918033&amp;VAR:Y0=2004&amp;VAR:Y1=2005&amp;VAR:V0=18.283650&amp;VAR:V1=16.222887&amp;VAR:V=18.095240&amp;VAR:AUDIT_ID=00000117&amp;VAR:DATE=20040130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Aggregates&amp;VAR:MEASURE=PE_MEAN&amp;VAR:CALC_MODE=PORTFOLIO&amp;VAR:CHGPERIOD=NA&amp;VAR:FQLFORMULA=FMA_PE&amp;VAR:CURRENCY=USD&amp;VAR:P=1","131.127200&amp;VAR:THRESH=||||||&amp;VAR:null=.html"}</definedName>
    <definedName name="_3500__FDSAUDITLINK__" hidden="1">{"fdsup://directions/FAT Viewer?action=UPDATE&amp;creator=factset&amp;DYN_ARGS=TRUE&amp;DOC_NAME=FAT:FQL_AUDITING_CLIENT_TEMPLATE.FAT&amp;display_string=Audit&amp;VAR:KEY=RCZEJWXODC&amp;VAR:QUERY=RkZfUkRfRVhQKENBTCwyMDA3LCwsLFVTRCk=&amp;WINDOW=FIRST_POPUP&amp;HEIGHT=450&amp;WIDTH=450&amp;START_MA","XIMIZED=FALSE&amp;VAR:CALENDAR=US&amp;VAR:SYMBOL=506921&amp;VAR:INDEX=0"}</definedName>
    <definedName name="_3501__FDSAUDITLINK__" hidden="1">{"fdsup://directions/FAT Viewer?action=UPDATE&amp;creator=factset&amp;DYN_ARGS=TRUE&amp;DOC_NAME=FAT:FQL_AUDITING_CLIENT_TEMPLATE.FAT&amp;display_string=Audit&amp;VAR:KEY=NGTOJGBUXY&amp;VAR:QUERY=RkZfUkRfRVhQKENBTCwyMDA4LCwsLFVTRCk=&amp;WINDOW=FIRST_POPUP&amp;HEIGHT=450&amp;WIDTH=450&amp;START_MA","XIMIZED=FALSE&amp;VAR:CALENDAR=US&amp;VAR:SYMBOL=567173&amp;VAR:INDEX=0"}</definedName>
    <definedName name="_3502__FDSAUDITLINK__" hidden="1">{"fdsup://directions/FAT Viewer?action=UPDATE&amp;creator=factset&amp;DYN_ARGS=TRUE&amp;DOC_NAME=FAT:FQL_AUDITING_CLIENT_TEMPLATE.FAT&amp;display_string=Audit&amp;VAR:KEY=RAZEFOLQPC&amp;VAR:QUERY=RkZfUkRfRVhQKENBTCwyMDA3LCwsLFVTRCk=&amp;WINDOW=FIRST_POPUP&amp;HEIGHT=450&amp;WIDTH=450&amp;START_MA","XIMIZED=FALSE&amp;VAR:CALENDAR=US&amp;VAR:SYMBOL=567173&amp;VAR:INDEX=0"}</definedName>
    <definedName name="_3503__FDSAUDITLINK__" hidden="1">{"fdsup://directions/FAT Viewer?action=UPDATE&amp;creator=factset&amp;DYN_ARGS=TRUE&amp;DOC_NAME=FAT:FQL_AUDITING_CLIENT_TEMPLATE.FAT&amp;display_string=Audit&amp;VAR:KEY=XKRABGFMPG&amp;VAR:QUERY=RkZfUkRfRVhQKENBTCwyMDA4LCwsLFVTRCk=&amp;WINDOW=FIRST_POPUP&amp;HEIGHT=450&amp;WIDTH=450&amp;START_MA","XIMIZED=FALSE&amp;VAR:CALENDAR=US&amp;VAR:SYMBOL=JNJ&amp;VAR:INDEX=0"}</definedName>
    <definedName name="_3504__FDSAUDITLINK__" hidden="1">{"fdsup://directions/FAT Viewer?action=UPDATE&amp;creator=factset&amp;DYN_ARGS=TRUE&amp;DOC_NAME=FAT:FQL_AUDITING_CLIENT_TEMPLATE.FAT&amp;display_string=Audit&amp;VAR:KEY=LCJKLSDCRQ&amp;VAR:QUERY=RkZfUkRfRVhQKENBTCwyMDA3LCwsLFVTRCk=&amp;WINDOW=FIRST_POPUP&amp;HEIGHT=450&amp;WIDTH=450&amp;START_MA","XIMIZED=FALSE&amp;VAR:CALENDAR=US&amp;VAR:SYMBOL=JNJ&amp;VAR:INDEX=0"}</definedName>
    <definedName name="_3505__FDSAUDITLINK__" hidden="1">{"fdsup://directions/FAT Viewer?action=UPDATE&amp;creator=factset&amp;DYN_ARGS=TRUE&amp;DOC_NAME=FAT:FQL_AUDITING_CLIENT_TEMPLATE.FAT&amp;display_string=Audit&amp;VAR:KEY=LMTQHUVWVA&amp;VAR:QUERY=RkZfUkRfRVhQKENBTCwyMDA4LCwsLFVTRCk=&amp;WINDOW=FIRST_POPUP&amp;HEIGHT=450&amp;WIDTH=450&amp;START_MA","XIMIZED=FALSE&amp;VAR:CALENDAR=US&amp;VAR:SYMBOL=710306&amp;VAR:INDEX=0"}</definedName>
    <definedName name="_3506__FDSAUDITLINK__" hidden="1">{"fdsup://directions/FAT Viewer?action=UPDATE&amp;creator=factset&amp;DYN_ARGS=TRUE&amp;DOC_NAME=FAT:FQL_AUDITING_CLIENT_TEMPLATE.FAT&amp;display_string=Audit&amp;VAR:KEY=VYTORQNKTW&amp;VAR:QUERY=RkZfUkRfRVhQKENBTCwyMDA3LCwsLFVTRCk=&amp;WINDOW=FIRST_POPUP&amp;HEIGHT=450&amp;WIDTH=450&amp;START_MA","XIMIZED=FALSE&amp;VAR:CALENDAR=US&amp;VAR:SYMBOL=710306&amp;VAR:INDEX=0"}</definedName>
    <definedName name="_3507__FDSAUDITLINK__" hidden="1">{"fdsup://directions/FAT Viewer?action=UPDATE&amp;creator=factset&amp;DYN_ARGS=TRUE&amp;DOC_NAME=FAT:FQL_AUDITING_CLIENT_TEMPLATE.FAT&amp;display_string=Audit&amp;VAR:KEY=RAFAPGJURW&amp;VAR:QUERY=RkZfUkRfRVhQKENBTCwyMDA4LCwsLFVTRCk=&amp;WINDOW=FIRST_POPUP&amp;HEIGHT=450&amp;WIDTH=450&amp;START_MA","XIMIZED=FALSE&amp;VAR:CALENDAR=US&amp;VAR:SYMBOL=711038&amp;VAR:INDEX=0"}</definedName>
    <definedName name="_3508__FDSAUDITLINK__" hidden="1">{"fdsup://directions/FAT Viewer?action=UPDATE&amp;creator=factset&amp;DYN_ARGS=TRUE&amp;DOC_NAME=FAT:FQL_AUDITING_CLIENT_TEMPLATE.FAT&amp;display_string=Audit&amp;VAR:KEY=LKDSHOXEJE&amp;VAR:QUERY=RkZfUkRfRVhQKENBTCwyMDA4LCwsLFVTRCk=&amp;WINDOW=FIRST_POPUP&amp;HEIGHT=450&amp;WIDTH=450&amp;START_MA","XIMIZED=FALSE&amp;VAR:CALENDAR=US&amp;VAR:SYMBOL=MRK&amp;VAR:INDEX=0"}</definedName>
    <definedName name="_3509__FDSAUDITLINK__" hidden="1">{"fdsup://directions/FAT Viewer?action=UPDATE&amp;creator=factset&amp;DYN_ARGS=TRUE&amp;DOC_NAME=FAT:FQL_AUDITING_CLIENT_TEMPLATE.FAT&amp;display_string=Audit&amp;VAR:KEY=TILQDMTSFA&amp;VAR:QUERY=RkZfUkRfRVhQKENBTCwyMDA3LCwsLFVTRCk=&amp;WINDOW=FIRST_POPUP&amp;HEIGHT=450&amp;WIDTH=450&amp;START_MA","XIMIZED=FALSE&amp;VAR:CALENDAR=US&amp;VAR:SYMBOL=MRK&amp;VAR:INDEX=0"}</definedName>
    <definedName name="_351__FDSAUDITLINK__" hidden="1">{"fdsup://directions/FAT%20Viewer?VAR:TM=NTMA&amp;VAR:PCT=0.937158&amp;VAR:Y0=2004&amp;VAR:Y1=2005&amp;VAR:V0=18.519703&amp;VAR:V1=16.434940&amp;VAR:V=18.373242&amp;VAR:AUDIT_ID=00000117&amp;VAR:DATE=20040123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Aggregates&amp;VAR:MEASURE=PE_MEAN&amp;VAR:CALC_MODE=PORTFOLIO&amp;VAR:CHGPERIOD=NA&amp;VAR:FQLFORMULA=FMA_PE&amp;VAR:CURRENCY=USD&amp;VAR:P=1","141.552500&amp;VAR:THRESH=||||||&amp;VAR:null=.html"}</definedName>
    <definedName name="_3510__FDSAUDITLINK__" hidden="1">{"fdsup://directions/FAT Viewer?action=UPDATE&amp;creator=factset&amp;DYN_ARGS=TRUE&amp;DOC_NAME=FAT:FQL_AUDITING_CLIENT_TEMPLATE.FAT&amp;display_string=Audit&amp;VAR:KEY=JCJYXWPCFK&amp;VAR:QUERY=RkZfUkRfRVhQKENBTCwyMDA4LCwsLFVTRCk=&amp;WINDOW=FIRST_POPUP&amp;HEIGHT=450&amp;WIDTH=450&amp;START_MA","XIMIZED=FALSE&amp;VAR:CALENDAR=US&amp;VAR:SYMBOL=PFE&amp;VAR:INDEX=0"}</definedName>
    <definedName name="_3511__FDSAUDITLINK__" hidden="1">{"fdsup://directions/FAT Viewer?action=UPDATE&amp;creator=factset&amp;DYN_ARGS=TRUE&amp;DOC_NAME=FAT:FQL_AUDITING_CLIENT_TEMPLATE.FAT&amp;display_string=Audit&amp;VAR:KEY=VABOBMLSTS&amp;VAR:QUERY=RkZfUkRfRVhQKENBTCwyMDA3LCwsLFVTRCk=&amp;WINDOW=FIRST_POPUP&amp;HEIGHT=450&amp;WIDTH=450&amp;START_MA","XIMIZED=FALSE&amp;VAR:CALENDAR=US&amp;VAR:SYMBOL=PFE&amp;VAR:INDEX=0"}</definedName>
    <definedName name="_3512__FDSAUDITLINK__" hidden="1">{"fdsup://directions/FAT Viewer?action=UPDATE&amp;creator=factset&amp;DYN_ARGS=TRUE&amp;DOC_NAME=FAT:FQL_AUDITING_CLIENT_TEMPLATE.FAT&amp;display_string=Audit&amp;VAR:KEY=DIVKNITAZM&amp;VAR:QUERY=RkZfUkRfRVhQKENBTCwyMDA4LCwsLFVTRCk=&amp;WINDOW=FIRST_POPUP&amp;HEIGHT=450&amp;WIDTH=450&amp;START_MA","XIMIZED=FALSE&amp;VAR:CALENDAR=US&amp;VAR:SYMBOL=WYE&amp;VAR:INDEX=0"}</definedName>
    <definedName name="_3513__FDSAUDITLINK__" hidden="1">{"fdsup://directions/FAT Viewer?action=UPDATE&amp;creator=factset&amp;DYN_ARGS=TRUE&amp;DOC_NAME=FAT:FQL_AUDITING_CLIENT_TEMPLATE.FAT&amp;display_string=Audit&amp;VAR:KEY=HCLYRIPKVQ&amp;VAR:QUERY=RkZfUkRfRVhQKENBTCwyMDA3LCwsLFVTRCk=&amp;WINDOW=FIRST_POPUP&amp;HEIGHT=450&amp;WIDTH=450&amp;START_MA","XIMIZED=FALSE&amp;VAR:CALENDAR=US&amp;VAR:SYMBOL=WYE&amp;VAR:INDEX=0"}</definedName>
    <definedName name="_3514__FDSAUDITLINK__" hidden="1">{"fdsup://directions/FAT Viewer?action=UPDATE&amp;creator=factset&amp;DYN_ARGS=TRUE&amp;DOC_NAME=FAT:FQL_AUDITING_CLIENT_TEMPLATE.FAT&amp;display_string=Audit&amp;VAR:KEY=XKJURUPUXI&amp;VAR:QUERY=RkZfUkRfRVhQKENBTCwyMDA4LCwsLFVTRCk=&amp;WINDOW=FIRST_POPUP&amp;HEIGHT=450&amp;WIDTH=450&amp;START_MA","XIMIZED=FALSE&amp;VAR:CALENDAR=US&amp;VAR:SYMBOL=BIIB&amp;VAR:INDEX=0"}</definedName>
    <definedName name="_3515__FDSAUDITLINK__" hidden="1">{"fdsup://directions/FAT Viewer?action=UPDATE&amp;creator=factset&amp;DYN_ARGS=TRUE&amp;DOC_NAME=FAT:FQL_AUDITING_CLIENT_TEMPLATE.FAT&amp;display_string=Audit&amp;VAR:KEY=DWTCTGDURW&amp;VAR:QUERY=RkZfUkRfRVhQKENBTCwyMDA3LCwsLFVTRCk=&amp;WINDOW=FIRST_POPUP&amp;HEIGHT=450&amp;WIDTH=450&amp;START_MA","XIMIZED=FALSE&amp;VAR:CALENDAR=US&amp;VAR:SYMBOL=BIIB&amp;VAR:INDEX=0"}</definedName>
    <definedName name="_3516__FDSAUDITLINK__" hidden="1">{"fdsup://directions/FAT Viewer?action=UPDATE&amp;creator=factset&amp;DYN_ARGS=TRUE&amp;DOC_NAME=FAT:FQL_AUDITING_CLIENT_TEMPLATE.FAT&amp;display_string=Audit&amp;VAR:KEY=ZKDQPGHSNO&amp;VAR:QUERY=RkZfUkRfRVhQKENBTCwyMDA4LCwsLFVTRCk=&amp;WINDOW=FIRST_POPUP&amp;HEIGHT=450&amp;WIDTH=450&amp;START_MA","XIMIZED=FALSE&amp;VAR:CALENDAR=US&amp;VAR:SYMBOL=707752&amp;VAR:INDEX=0"}</definedName>
    <definedName name="_3517__FDSAUDITLINK__" hidden="1">{"fdsup://directions/FAT Viewer?action=UPDATE&amp;creator=factset&amp;DYN_ARGS=TRUE&amp;DOC_NAME=FAT:FQL_AUDITING_CLIENT_TEMPLATE.FAT&amp;display_string=Audit&amp;VAR:KEY=HKJQHCVUFC&amp;VAR:QUERY=RkZfUkRfRVhQKENBTCwyMDA3LCwsLFVTRCk=&amp;WINDOW=FIRST_POPUP&amp;HEIGHT=450&amp;WIDTH=450&amp;START_MA","XIMIZED=FALSE&amp;VAR:CALENDAR=US&amp;VAR:SYMBOL=707752&amp;VAR:INDEX=0"}</definedName>
    <definedName name="_3518__FDSAUDITLINK__" hidden="1">{"fdsup://directions/FAT Viewer?action=UPDATE&amp;creator=factset&amp;DYN_ARGS=TRUE&amp;DOC_NAME=FAT:FQL_AUDITING_CLIENT_TEMPLATE.FAT&amp;display_string=Audit&amp;VAR:KEY=XSPCXOXWFG&amp;VAR:QUERY=RkZfUkRfRVhQKENBTCwyMDA4LCwsLFVTRCk=&amp;WINDOW=FIRST_POPUP&amp;HEIGHT=450&amp;WIDTH=450&amp;START_MA","XIMIZED=FALSE&amp;VAR:CALENDAR=US&amp;VAR:SYMBOL=630720&amp;VAR:INDEX=0"}</definedName>
    <definedName name="_3519__FDSAUDITLINK__" hidden="1">{"fdsup://directions/FAT Viewer?action=UPDATE&amp;creator=factset&amp;DYN_ARGS=TRUE&amp;DOC_NAME=FAT:FQL_AUDITING_CLIENT_TEMPLATE.FAT&amp;display_string=Audit&amp;VAR:KEY=BEDORSJANQ&amp;VAR:QUERY=RkZfUkRfRVhQKENBTCwyMDA3LCwsLFVTRCk=&amp;WINDOW=FIRST_POPUP&amp;HEIGHT=450&amp;WIDTH=450&amp;START_MA","XIMIZED=FALSE&amp;VAR:CALENDAR=US&amp;VAR:SYMBOL=630720&amp;VAR:INDEX=0"}</definedName>
    <definedName name="_352__FDSAUDITLINK__" hidden="1">{"fdsup://directions/FAT%20Viewer?VAR:TM=NTMA&amp;VAR:PCT=0.956284&amp;VAR:Y0=2004&amp;VAR:Y1=2005&amp;VAR:V0=18.531036&amp;VAR:V1=16.446476&amp;VAR:V=18.428923&amp;VAR:AUDIT_ID=00000117&amp;VAR:DATE=20040116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Aggregates&amp;VAR:MEASURE=PE_MEAN&amp;VAR:CALC_MODE=PORTFOLIO&amp;VAR:CHGPERIOD=NA&amp;VAR:FQLFORMULA=FMA_PE&amp;VAR:CURRENCY=USD&amp;VAR:P=1","139.825400&amp;VAR:THRESH=||||||&amp;VAR:null=.html"}</definedName>
    <definedName name="_3520__FDSAUDITLINK__" hidden="1">{"fdsup://directions/FAT Viewer?action=UPDATE&amp;creator=factset&amp;DYN_ARGS=TRUE&amp;DOC_NAME=FAT:FQL_AUDITING_CLIENT_TEMPLATE.FAT&amp;display_string=Audit&amp;VAR:KEY=ZEPGFQJADE&amp;VAR:QUERY=RkZfUkRfRVhQKENBTCwyMDA4LCwsLFVTRCk=&amp;WINDOW=FIRST_POPUP&amp;HEIGHT=450&amp;WIDTH=450&amp;START_MA","XIMIZED=FALSE&amp;VAR:CALENDAR=US&amp;VAR:SYMBOL=698538&amp;VAR:INDEX=0"}</definedName>
    <definedName name="_3521__FDSAUDITLINK__" hidden="1">{"fdsup://directions/FAT Viewer?action=UPDATE&amp;creator=factset&amp;DYN_ARGS=TRUE&amp;DOC_NAME=FAT:FQL_AUDITING_CLIENT_TEMPLATE.FAT&amp;display_string=Audit&amp;VAR:KEY=HALOFQXSVO&amp;VAR:QUERY=RkZfUkRfRVhQKENBTCwyMDA3LCwsLFVTRCk=&amp;WINDOW=FIRST_POPUP&amp;HEIGHT=450&amp;WIDTH=450&amp;START_MA","XIMIZED=FALSE&amp;VAR:CALENDAR=US&amp;VAR:SYMBOL=698538&amp;VAR:INDEX=0"}</definedName>
    <definedName name="_3522__FDSAUDITLINK__" hidden="1">{"fdsup://directions/FAT Viewer?action=UPDATE&amp;creator=factset&amp;DYN_ARGS=TRUE&amp;DOC_NAME=FAT:FQL_AUDITING_CLIENT_TEMPLATE.FAT&amp;display_string=Audit&amp;VAR:KEY=BURSXUHEJK&amp;VAR:QUERY=RkZfUkRfRVhQKENBTCwyMDA4LCwsLFVTRCk=&amp;WINDOW=FIRST_POPUP&amp;HEIGHT=450&amp;WIDTH=450&amp;START_MA","XIMIZED=FALSE&amp;VAR:CALENDAR=US&amp;VAR:SYMBOL=B0J7D9&amp;VAR:INDEX=0"}</definedName>
    <definedName name="_3523__FDSAUDITLINK__" hidden="1">{"fdsup://directions/FAT Viewer?action=UPDATE&amp;creator=factset&amp;DYN_ARGS=TRUE&amp;DOC_NAME=FAT:FQL_AUDITING_CLIENT_TEMPLATE.FAT&amp;display_string=Audit&amp;VAR:KEY=LABKHYRYVS&amp;VAR:QUERY=RkZfUkRfRVhQKENBTCwyMDA3LCwsLFVTRCk=&amp;WINDOW=FIRST_POPUP&amp;HEIGHT=450&amp;WIDTH=450&amp;START_MA","XIMIZED=FALSE&amp;VAR:CALENDAR=US&amp;VAR:SYMBOL=B0J7D9&amp;VAR:INDEX=0"}</definedName>
    <definedName name="_3524__FDSAUDITLINK__" hidden="1">{"fdsup://directions/FAT Viewer?action=UPDATE&amp;creator=factset&amp;DYN_ARGS=TRUE&amp;DOC_NAME=FAT:FQL_AUDITING_CLIENT_TEMPLATE.FAT&amp;display_string=Audit&amp;VAR:KEY=XQBYHAHMJE&amp;VAR:QUERY=RkZfUkRfRVhQKENBTCwyMDA4LCwsLFVTRCk=&amp;WINDOW=FIRST_POPUP&amp;HEIGHT=450&amp;WIDTH=450&amp;START_MA","XIMIZED=FALSE&amp;VAR:CALENDAR=US&amp;VAR:SYMBOL=AMGN&amp;VAR:INDEX=0"}</definedName>
    <definedName name="_3525__FDSAUDITLINK__" hidden="1">{"fdsup://directions/FAT Viewer?action=UPDATE&amp;creator=factset&amp;DYN_ARGS=TRUE&amp;DOC_NAME=FAT:FQL_AUDITING_CLIENT_TEMPLATE.FAT&amp;display_string=Audit&amp;VAR:KEY=RWVUPEFUXW&amp;VAR:QUERY=RkZfUkRfRVhQKENBTCwyMDA3LCwsLFVTRCk=&amp;WINDOW=FIRST_POPUP&amp;HEIGHT=450&amp;WIDTH=450&amp;START_MA","XIMIZED=FALSE&amp;VAR:CALENDAR=US&amp;VAR:SYMBOL=AMGN&amp;VAR:INDEX=0"}</definedName>
    <definedName name="_3526__FDSAUDITLINK__" hidden="1">{"fdsup://directions/FAT Viewer?action=UPDATE&amp;creator=factset&amp;DYN_ARGS=TRUE&amp;DOC_NAME=FAT:FQL_AUDITING_CLIENT_TEMPLATE.FAT&amp;display_string=Audit&amp;VAR:KEY=HUJQRCJEBE&amp;VAR:QUERY=RkZfUkRfRVhQKENBTCwyMDA4LCwsLFVTRCk=&amp;WINDOW=FIRST_POPUP&amp;HEIGHT=450&amp;WIDTH=450&amp;START_MA","XIMIZED=FALSE&amp;VAR:CALENDAR=US&amp;VAR:SYMBOL=ABT&amp;VAR:INDEX=0"}</definedName>
    <definedName name="_3527__FDSAUDITLINK__" hidden="1">{"fdsup://directions/FAT Viewer?action=UPDATE&amp;creator=factset&amp;DYN_ARGS=TRUE&amp;DOC_NAME=FAT:FQL_AUDITING_CLIENT_TEMPLATE.FAT&amp;display_string=Audit&amp;VAR:KEY=BYVWXYRQNK&amp;VAR:QUERY=RkZfUkRfRVhQKENBTCwyMDA3LCwsLFVTRCk=&amp;WINDOW=FIRST_POPUP&amp;HEIGHT=450&amp;WIDTH=450&amp;START_MA","XIMIZED=FALSE&amp;VAR:CALENDAR=US&amp;VAR:SYMBOL=ABT&amp;VAR:INDEX=0"}</definedName>
    <definedName name="_3528__FDSAUDITLINK__" hidden="1">{"fdsup://directions/FAT Viewer?action=UPDATE&amp;creator=factset&amp;DYN_ARGS=TRUE&amp;DOC_NAME=FAT:FQL_AUDITING_CLIENT_TEMPLATE.FAT&amp;display_string=Audit&amp;VAR:KEY=ZUPYRQFSRU&amp;VAR:QUERY=RkZfUkRfRVhQKENBTCwyMDA4LCwsLFVTRCk=&amp;WINDOW=FIRST_POPUP&amp;HEIGHT=450&amp;WIDTH=450&amp;START_MA","XIMIZED=FALSE&amp;VAR:CALENDAR=US&amp;VAR:SYMBOL=687044&amp;VAR:INDEX=0"}</definedName>
    <definedName name="_3529__FDSAUDITLINK__" hidden="1">{"fdsup://directions/FAT Viewer?action=UPDATE&amp;creator=factset&amp;DYN_ARGS=TRUE&amp;DOC_NAME=FAT:FQL_AUDITING_CLIENT_TEMPLATE.FAT&amp;display_string=Audit&amp;VAR:KEY=ZMRALSXARE&amp;VAR:QUERY=RkZfUkRfRVhQKENBTCwyMDA3LCwsLFVTRCk=&amp;WINDOW=FIRST_POPUP&amp;HEIGHT=450&amp;WIDTH=450&amp;START_MA","XIMIZED=FALSE&amp;VAR:CALENDAR=US&amp;VAR:SYMBOL=687044&amp;VAR:INDEX=0"}</definedName>
    <definedName name="_353__FDSAUDITLINK__" hidden="1">{"fdsup://directions/FAT%20Viewer?VAR:TM=NTMA&amp;VAR:PCT=0.975410&amp;VAR:Y0=2004&amp;VAR:Y1=2005&amp;VAR:V0=18.257502&amp;VAR:V1=16.389246&amp;VAR:V=18.206467&amp;VAR:AUDIT_ID=00000117&amp;VAR:DATE=20040109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Aggregates&amp;VAR:MEASURE=PE_MEAN&amp;VAR:CALC_MODE=PORTFOLIO&amp;VAR:CHGPERIOD=NA&amp;VAR:FQLFORMULA=FMA_PE&amp;VAR:CURRENCY=USD&amp;VAR:P=1","121.855200&amp;VAR:THRESH=||||||&amp;VAR:null=.html"}</definedName>
    <definedName name="_3530__FDSAUDITLINK__" hidden="1">{"fdsup://directions/FAT Viewer?action=UPDATE&amp;creator=factset&amp;DYN_ARGS=TRUE&amp;DOC_NAME=FAT:FQL_AUDITING_CLIENT_TEMPLATE.FAT&amp;display_string=Audit&amp;VAR:KEY=ZMZYLSXEVK&amp;VAR:QUERY=RkZfUkRfRVhQKENBTCwyMDA4LCwsLFVTRCk=&amp;WINDOW=FIRST_POPUP&amp;HEIGHT=450&amp;WIDTH=450&amp;START_MA","XIMIZED=FALSE&amp;VAR:CALENDAR=US&amp;VAR:SYMBOL=BMY&amp;VAR:INDEX=0"}</definedName>
    <definedName name="_3531__FDSAUDITLINK__" hidden="1">{"fdsup://directions/FAT Viewer?action=UPDATE&amp;creator=factset&amp;DYN_ARGS=TRUE&amp;DOC_NAME=FAT:FQL_AUDITING_CLIENT_TEMPLATE.FAT&amp;display_string=Audit&amp;VAR:KEY=RENSXGJCBC&amp;VAR:QUERY=RkZfUkRfRVhQKENBTCwyMDA3LCwsLFVTRCk=&amp;WINDOW=FIRST_POPUP&amp;HEIGHT=450&amp;WIDTH=450&amp;START_MA","XIMIZED=FALSE&amp;VAR:CALENDAR=US&amp;VAR:SYMBOL=BMY&amp;VAR:INDEX=0"}</definedName>
    <definedName name="_3532__FDSAUDITLINK__" hidden="1">{"fdsup://directions/FAT Viewer?action=UPDATE&amp;creator=factset&amp;DYN_ARGS=TRUE&amp;DOC_NAME=FAT:FQL_AUDITING_CLIENT_TEMPLATE.FAT&amp;display_string=Audit&amp;VAR:KEY=BSNATUHMFQ&amp;VAR:QUERY=RkZfUkRfRVhQKENBTCwyMDA4LCwsLFVTRCk=&amp;WINDOW=FIRST_POPUP&amp;HEIGHT=450&amp;WIDTH=450&amp;START_MA","XIMIZED=FALSE&amp;VAR:CALENDAR=US&amp;VAR:SYMBOL=LLY&amp;VAR:INDEX=0"}</definedName>
    <definedName name="_3533__FDSAUDITLINK__" hidden="1">{"fdsup://directions/FAT Viewer?action=UPDATE&amp;creator=factset&amp;DYN_ARGS=TRUE&amp;DOC_NAME=FAT:FQL_AUDITING_CLIENT_TEMPLATE.FAT&amp;display_string=Audit&amp;VAR:KEY=DOHSHEVKPM&amp;VAR:QUERY=RkZfUkRfRVhQKENBTCwyMDA3LCwsLFVTRCk=&amp;WINDOW=FIRST_POPUP&amp;HEIGHT=450&amp;WIDTH=450&amp;START_MA","XIMIZED=FALSE&amp;VAR:CALENDAR=US&amp;VAR:SYMBOL=LLY&amp;VAR:INDEX=0"}</definedName>
    <definedName name="_3534__FDSAUDITLINK__" hidden="1">{"fdsup://directions/FAT Viewer?action=UPDATE&amp;creator=factset&amp;DYN_ARGS=TRUE&amp;DOC_NAME=FAT:FQL_AUDITING_CLIENT_TEMPLATE.FAT&amp;display_string=Audit&amp;VAR:KEY=JKHWTOZSRO&amp;VAR:QUERY=RkZfUkRfRVhQKENBTCwyMDA4LCwsLFVTRCk=&amp;WINDOW=FIRST_POPUP&amp;HEIGHT=450&amp;WIDTH=450&amp;START_MA","XIMIZED=FALSE&amp;VAR:CALENDAR=US&amp;VAR:SYMBOL=506921&amp;VAR:INDEX=0"}</definedName>
    <definedName name="_3535__FDSAUDITLINK__" hidden="1">{"fdsup://directions/FAT Viewer?action=UPDATE&amp;creator=factset&amp;DYN_ARGS=TRUE&amp;DOC_NAME=FAT:FQL_AUDITING_CLIENT_TEMPLATE.FAT&amp;display_string=Audit&amp;VAR:KEY=RCZEJWXODC&amp;VAR:QUERY=RkZfUkRfRVhQKENBTCwyMDA3LCwsLFVTRCk=&amp;WINDOW=FIRST_POPUP&amp;HEIGHT=450&amp;WIDTH=450&amp;START_MA","XIMIZED=FALSE&amp;VAR:CALENDAR=US&amp;VAR:SYMBOL=506921&amp;VAR:INDEX=0"}</definedName>
    <definedName name="_3536__FDSAUDITLINK__" hidden="1">{"fdsup://directions/FAT Viewer?action=UPDATE&amp;creator=factset&amp;DYN_ARGS=TRUE&amp;DOC_NAME=FAT:FQL_AUDITING_CLIENT_TEMPLATE.FAT&amp;display_string=Audit&amp;VAR:KEY=NGTOJGBUXY&amp;VAR:QUERY=RkZfUkRfRVhQKENBTCwyMDA4LCwsLFVTRCk=&amp;WINDOW=FIRST_POPUP&amp;HEIGHT=450&amp;WIDTH=450&amp;START_MA","XIMIZED=FALSE&amp;VAR:CALENDAR=US&amp;VAR:SYMBOL=567173&amp;VAR:INDEX=0"}</definedName>
    <definedName name="_3537__FDSAUDITLINK__" hidden="1">{"fdsup://directions/FAT Viewer?action=UPDATE&amp;creator=factset&amp;DYN_ARGS=TRUE&amp;DOC_NAME=FAT:FQL_AUDITING_CLIENT_TEMPLATE.FAT&amp;display_string=Audit&amp;VAR:KEY=RAZEFOLQPC&amp;VAR:QUERY=RkZfUkRfRVhQKENBTCwyMDA3LCwsLFVTRCk=&amp;WINDOW=FIRST_POPUP&amp;HEIGHT=450&amp;WIDTH=450&amp;START_MA","XIMIZED=FALSE&amp;VAR:CALENDAR=US&amp;VAR:SYMBOL=567173&amp;VAR:INDEX=0"}</definedName>
    <definedName name="_3538__FDSAUDITLINK__" hidden="1">{"fdsup://directions/FAT Viewer?action=UPDATE&amp;creator=factset&amp;DYN_ARGS=TRUE&amp;DOC_NAME=FAT:FQL_AUDITING_CLIENT_TEMPLATE.FAT&amp;display_string=Audit&amp;VAR:KEY=XKRABGFMPG&amp;VAR:QUERY=RkZfUkRfRVhQKENBTCwyMDA4LCwsLFVTRCk=&amp;WINDOW=FIRST_POPUP&amp;HEIGHT=450&amp;WIDTH=450&amp;START_MA","XIMIZED=FALSE&amp;VAR:CALENDAR=US&amp;VAR:SYMBOL=JNJ&amp;VAR:INDEX=0"}</definedName>
    <definedName name="_3539__FDSAUDITLINK__" hidden="1">{"fdsup://directions/FAT Viewer?action=UPDATE&amp;creator=factset&amp;DYN_ARGS=TRUE&amp;DOC_NAME=FAT:FQL_AUDITING_CLIENT_TEMPLATE.FAT&amp;display_string=Audit&amp;VAR:KEY=LCJKLSDCRQ&amp;VAR:QUERY=RkZfUkRfRVhQKENBTCwyMDA3LCwsLFVTRCk=&amp;WINDOW=FIRST_POPUP&amp;HEIGHT=450&amp;WIDTH=450&amp;START_MA","XIMIZED=FALSE&amp;VAR:CALENDAR=US&amp;VAR:SYMBOL=JNJ&amp;VAR:INDEX=0"}</definedName>
    <definedName name="_354__FDSAUDITLINK__" hidden="1">{"fdsup://directions/FAT%20Viewer?VAR:TM=NTMA&amp;VAR:PCT=0.994536&amp;VAR:Y0=2004&amp;VAR:Y1=2005&amp;VAR:V0=18.053550&amp;VAR:V1=16.340425&amp;VAR:V=18.043213&amp;VAR:AUDIT_ID=00000117&amp;VAR:DATE=20040102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Aggregates&amp;VAR:MEASURE=PE_MEAN&amp;VAR:CALC_MODE=PORTFOLIO&amp;VAR:CHGPERIOD=NA&amp;VAR:FQLFORMULA=FMA_PE&amp;VAR:CURRENCY=USD&amp;VAR:P=1","108.484600&amp;VAR:THRESH=||||||&amp;VAR:null=.html"}</definedName>
    <definedName name="_3540__FDSAUDITLINK__" hidden="1">{"fdsup://directions/FAT Viewer?action=UPDATE&amp;creator=factset&amp;DYN_ARGS=TRUE&amp;DOC_NAME=FAT:FQL_AUDITING_CLIENT_TEMPLATE.FAT&amp;display_string=Audit&amp;VAR:KEY=LMTQHUVWVA&amp;VAR:QUERY=RkZfUkRfRVhQKENBTCwyMDA4LCwsLFVTRCk=&amp;WINDOW=FIRST_POPUP&amp;HEIGHT=450&amp;WIDTH=450&amp;START_MA","XIMIZED=FALSE&amp;VAR:CALENDAR=US&amp;VAR:SYMBOL=710306&amp;VAR:INDEX=0"}</definedName>
    <definedName name="_3541__FDSAUDITLINK__" hidden="1">{"fdsup://directions/FAT Viewer?action=UPDATE&amp;creator=factset&amp;DYN_ARGS=TRUE&amp;DOC_NAME=FAT:FQL_AUDITING_CLIENT_TEMPLATE.FAT&amp;display_string=Audit&amp;VAR:KEY=VYTORQNKTW&amp;VAR:QUERY=RkZfUkRfRVhQKENBTCwyMDA3LCwsLFVTRCk=&amp;WINDOW=FIRST_POPUP&amp;HEIGHT=450&amp;WIDTH=450&amp;START_MA","XIMIZED=FALSE&amp;VAR:CALENDAR=US&amp;VAR:SYMBOL=710306&amp;VAR:INDEX=0"}</definedName>
    <definedName name="_3542__FDSAUDITLINK__" hidden="1">{"fdsup://directions/FAT Viewer?action=UPDATE&amp;creator=factset&amp;DYN_ARGS=TRUE&amp;DOC_NAME=FAT:FQL_AUDITING_CLIENT_TEMPLATE.FAT&amp;display_string=Audit&amp;VAR:KEY=RAFAPGJURW&amp;VAR:QUERY=RkZfUkRfRVhQKENBTCwyMDA4LCwsLFVTRCk=&amp;WINDOW=FIRST_POPUP&amp;HEIGHT=450&amp;WIDTH=450&amp;START_MA","XIMIZED=FALSE&amp;VAR:CALENDAR=US&amp;VAR:SYMBOL=711038&amp;VAR:INDEX=0"}</definedName>
    <definedName name="_3543__FDSAUDITLINK__" hidden="1">{"fdsup://directions/FAT Viewer?action=UPDATE&amp;creator=factset&amp;DYN_ARGS=TRUE&amp;DOC_NAME=FAT:FQL_AUDITING_CLIENT_TEMPLATE.FAT&amp;display_string=Audit&amp;VAR:KEY=LKDSHOXEJE&amp;VAR:QUERY=RkZfUkRfRVhQKENBTCwyMDA4LCwsLFVTRCk=&amp;WINDOW=FIRST_POPUP&amp;HEIGHT=450&amp;WIDTH=450&amp;START_MA","XIMIZED=FALSE&amp;VAR:CALENDAR=US&amp;VAR:SYMBOL=MRK&amp;VAR:INDEX=0"}</definedName>
    <definedName name="_3544__FDSAUDITLINK__" hidden="1">{"fdsup://directions/FAT Viewer?action=UPDATE&amp;creator=factset&amp;DYN_ARGS=TRUE&amp;DOC_NAME=FAT:FQL_AUDITING_CLIENT_TEMPLATE.FAT&amp;display_string=Audit&amp;VAR:KEY=TILQDMTSFA&amp;VAR:QUERY=RkZfUkRfRVhQKENBTCwyMDA3LCwsLFVTRCk=&amp;WINDOW=FIRST_POPUP&amp;HEIGHT=450&amp;WIDTH=450&amp;START_MA","XIMIZED=FALSE&amp;VAR:CALENDAR=US&amp;VAR:SYMBOL=MRK&amp;VAR:INDEX=0"}</definedName>
    <definedName name="_3545__FDSAUDITLINK__" hidden="1">{"fdsup://directions/FAT Viewer?action=UPDATE&amp;creator=factset&amp;DYN_ARGS=TRUE&amp;DOC_NAME=FAT:FQL_AUDITING_CLIENT_TEMPLATE.FAT&amp;display_string=Audit&amp;VAR:KEY=JCJYXWPCFK&amp;VAR:QUERY=RkZfUkRfRVhQKENBTCwyMDA4LCwsLFVTRCk=&amp;WINDOW=FIRST_POPUP&amp;HEIGHT=450&amp;WIDTH=450&amp;START_MA","XIMIZED=FALSE&amp;VAR:CALENDAR=US&amp;VAR:SYMBOL=PFE&amp;VAR:INDEX=0"}</definedName>
    <definedName name="_3546__FDSAUDITLINK__" hidden="1">{"fdsup://directions/FAT Viewer?action=UPDATE&amp;creator=factset&amp;DYN_ARGS=TRUE&amp;DOC_NAME=FAT:FQL_AUDITING_CLIENT_TEMPLATE.FAT&amp;display_string=Audit&amp;VAR:KEY=VABOBMLSTS&amp;VAR:QUERY=RkZfUkRfRVhQKENBTCwyMDA3LCwsLFVTRCk=&amp;WINDOW=FIRST_POPUP&amp;HEIGHT=450&amp;WIDTH=450&amp;START_MA","XIMIZED=FALSE&amp;VAR:CALENDAR=US&amp;VAR:SYMBOL=PFE&amp;VAR:INDEX=0"}</definedName>
    <definedName name="_3547__FDSAUDITLINK__" hidden="1">{"fdsup://directions/FAT Viewer?action=UPDATE&amp;creator=factset&amp;DYN_ARGS=TRUE&amp;DOC_NAME=FAT:FQL_AUDITING_CLIENT_TEMPLATE.FAT&amp;display_string=Audit&amp;VAR:KEY=LULOLUFSZY&amp;VAR:QUERY=RkZfUkRfRVhQKENBTCwzOTgxMywsLCwp&amp;WINDOW=FIRST_POPUP&amp;HEIGHT=450&amp;WIDTH=450&amp;START_MAXIMI","ZED=FALSE&amp;VAR:CALENDAR=US&amp;VAR:SYMBOL=DNA&amp;VAR:INDEX=0"}</definedName>
    <definedName name="_3548__FDSAUDITLINK__" hidden="1">{"fdsup://directions/FAT Viewer?action=UPDATE&amp;creator=factset&amp;DYN_ARGS=TRUE&amp;DOC_NAME=FAT:FQL_AUDITING_CLIENT_TEMPLATE.FAT&amp;display_string=Audit&amp;VAR:KEY=JQXWLKRQJO&amp;VAR:QUERY=RkZfUkRfRVhQKENBTCwzOTQ0NywsLCwp&amp;WINDOW=FIRST_POPUP&amp;HEIGHT=450&amp;WIDTH=450&amp;START_MAXIMI","ZED=FALSE&amp;VAR:CALENDAR=US&amp;VAR:SYMBOL=DNA&amp;VAR:INDEX=0"}</definedName>
    <definedName name="_3549__FDSAUDITLINK__" hidden="1">{"fdsup://directions/FAT Viewer?action=UPDATE&amp;creator=factset&amp;DYN_ARGS=TRUE&amp;DOC_NAME=FAT:FQL_AUDITING_CLIENT_TEMPLATE.FAT&amp;display_string=Audit&amp;VAR:KEY=HYXWNYRITG&amp;VAR:QUERY=RkZfUkRfRVhQKENBTCwzOTA4MiwsLCwp&amp;WINDOW=FIRST_POPUP&amp;HEIGHT=450&amp;WIDTH=450&amp;START_MAXIMI","ZED=FALSE&amp;VAR:CALENDAR=US&amp;VAR:SYMBOL=DNA&amp;VAR:INDEX=0"}</definedName>
    <definedName name="_355__FDSAUDITLINK__" hidden="1">{"fdsup://directions/FAT%20Viewer?VAR:TM=NTMA&amp;VAR:PCT=0.013699&amp;VAR:Y0=2003&amp;VAR:Y1=2004&amp;VAR:V0=20.269835&amp;VAR:V1=17.866282&amp;VAR:V=17.895350&amp;VAR:AUDIT_ID=00000117&amp;VAR:DATE=20031226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Aggregates&amp;VAR:MEASURE=PE_MEAN&amp;VAR:CALC_MODE=PORTFOLIO&amp;VAR:CHGPERIOD=NA&amp;VAR:FQLFORMULA=FMA_PE&amp;VAR:CURRENCY=USD&amp;VAR:P=1","095.888500&amp;VAR:THRESH=||||||&amp;VAR:null=.html"}</definedName>
    <definedName name="_3550__FDSAUDITLINK__" hidden="1">{"fdsup://directions/FAT Viewer?action=UPDATE&amp;creator=factset&amp;DYN_ARGS=TRUE&amp;DOC_NAME=FAT:FQL_AUDITING_CLIENT_TEMPLATE.FAT&amp;display_string=Audit&amp;VAR:KEY=FWHQNGDGJY&amp;VAR:QUERY=RkZfUkRfRVhQKENBTCwzODcxNywsLCwp&amp;WINDOW=FIRST_POPUP&amp;HEIGHT=450&amp;WIDTH=450&amp;START_MAXIMI","ZED=FALSE&amp;VAR:CALENDAR=US&amp;VAR:SYMBOL=DNA&amp;VAR:INDEX=0"}</definedName>
    <definedName name="_3551__FDSAUDITLINK__" hidden="1">{"fdsup://directions/FAT Viewer?action=UPDATE&amp;creator=factset&amp;DYN_ARGS=TRUE&amp;DOC_NAME=FAT:FQL_AUDITING_CLIENT_TEMPLATE.FAT&amp;display_string=Audit&amp;VAR:KEY=RQTWDYPOXG&amp;VAR:QUERY=RkZfUkRfRVhQKENBTCwzODM1MiwsLCwp&amp;WINDOW=FIRST_POPUP&amp;HEIGHT=450&amp;WIDTH=450&amp;START_MAXIMI","ZED=FALSE&amp;VAR:CALENDAR=US&amp;VAR:SYMBOL=DNA&amp;VAR:INDEX=0"}</definedName>
    <definedName name="_3552__FDSAUDITLINK__" hidden="1">{"fdsup://directions/FAT Viewer?action=UPDATE&amp;creator=factset&amp;DYN_ARGS=TRUE&amp;DOC_NAME=FAT:FQL_AUDITING_CLIENT_TEMPLATE.FAT&amp;display_string=Audit&amp;VAR:KEY=ZWNOBEDCJI&amp;VAR:QUERY=RkZfUkRfRVhQKENBTCwzOTgxMywsLCwp&amp;WINDOW=FIRST_POPUP&amp;HEIGHT=450&amp;WIDTH=450&amp;START_MAXIMI","ZED=FALSE&amp;VAR:CALENDAR=US&amp;VAR:SYMBOL=SGP&amp;VAR:INDEX=0"}</definedName>
    <definedName name="_3553__FDSAUDITLINK__" hidden="1">{"fdsup://directions/FAT Viewer?action=UPDATE&amp;creator=factset&amp;DYN_ARGS=TRUE&amp;DOC_NAME=FAT:FQL_AUDITING_CLIENT_TEMPLATE.FAT&amp;display_string=Audit&amp;VAR:KEY=VERKZCBWNO&amp;VAR:QUERY=RkZfUkRfRVhQKENBTCwzOTQ0NywsLCwp&amp;WINDOW=FIRST_POPUP&amp;HEIGHT=450&amp;WIDTH=450&amp;START_MAXIMI","ZED=FALSE&amp;VAR:CALENDAR=US&amp;VAR:SYMBOL=SGP&amp;VAR:INDEX=0"}</definedName>
    <definedName name="_3554__FDSAUDITLINK__" hidden="1">{"fdsup://directions/FAT Viewer?action=UPDATE&amp;creator=factset&amp;DYN_ARGS=TRUE&amp;DOC_NAME=FAT:FQL_AUDITING_CLIENT_TEMPLATE.FAT&amp;display_string=Audit&amp;VAR:KEY=VGVGPSRCRG&amp;VAR:QUERY=RkZfUkRfRVhQKENBTCwzOTA4MiwsLCwp&amp;WINDOW=FIRST_POPUP&amp;HEIGHT=450&amp;WIDTH=450&amp;START_MAXIMI","ZED=FALSE&amp;VAR:CALENDAR=US&amp;VAR:SYMBOL=SGP&amp;VAR:INDEX=0"}</definedName>
    <definedName name="_3555__FDSAUDITLINK__" hidden="1">{"fdsup://directions/FAT Viewer?action=UPDATE&amp;creator=factset&amp;DYN_ARGS=TRUE&amp;DOC_NAME=FAT:FQL_AUDITING_CLIENT_TEMPLATE.FAT&amp;display_string=Audit&amp;VAR:KEY=DQBAJYBAFW&amp;VAR:QUERY=RkZfUkRfRVhQKENBTCwzODcxNywsLCwp&amp;WINDOW=FIRST_POPUP&amp;HEIGHT=450&amp;WIDTH=450&amp;START_MAXIMI","ZED=FALSE&amp;VAR:CALENDAR=US&amp;VAR:SYMBOL=SGP&amp;VAR:INDEX=0"}</definedName>
    <definedName name="_3556__FDSAUDITLINK__" hidden="1">{"fdsup://directions/FAT Viewer?action=UPDATE&amp;creator=factset&amp;DYN_ARGS=TRUE&amp;DOC_NAME=FAT:FQL_AUDITING_CLIENT_TEMPLATE.FAT&amp;display_string=Audit&amp;VAR:KEY=HSTURMXUFQ&amp;VAR:QUERY=RkZfUkRfRVhQKENBTCwzODM1MiwsLCwp&amp;WINDOW=FIRST_POPUP&amp;HEIGHT=450&amp;WIDTH=450&amp;START_MAXIMI","ZED=FALSE&amp;VAR:CALENDAR=US&amp;VAR:SYMBOL=SGP&amp;VAR:INDEX=0"}</definedName>
    <definedName name="_3557__FDSAUDITLINK__" hidden="1">{"fdsup://directions/FAT Viewer?action=UPDATE&amp;creator=factset&amp;DYN_ARGS=TRUE&amp;DOC_NAME=FAT:FQL_AUDITING_CLIENT_TEMPLATE.FAT&amp;display_string=Audit&amp;VAR:KEY=PAJYJYJAHE&amp;VAR:QUERY=RkZfUkRfRVhQKENBTCwzOTgxMywsLCwp&amp;WINDOW=FIRST_POPUP&amp;HEIGHT=450&amp;WIDTH=450&amp;START_MAXIMI","ZED=FALSE&amp;VAR:CALENDAR=US&amp;VAR:SYMBOL=WYE&amp;VAR:INDEX=0"}</definedName>
    <definedName name="_3558__FDSAUDITLINK__" hidden="1">{"fdsup://directions/FAT Viewer?action=UPDATE&amp;creator=factset&amp;DYN_ARGS=TRUE&amp;DOC_NAME=FAT:FQL_AUDITING_CLIENT_TEMPLATE.FAT&amp;display_string=Audit&amp;VAR:KEY=NYXURMTONW&amp;VAR:QUERY=RkZfUkRfRVhQKENBTCwzOTQ0NywsLCwp&amp;WINDOW=FIRST_POPUP&amp;HEIGHT=450&amp;WIDTH=450&amp;START_MAXIMI","ZED=FALSE&amp;VAR:CALENDAR=US&amp;VAR:SYMBOL=WYE&amp;VAR:INDEX=0"}</definedName>
    <definedName name="_3559__FDSAUDITLINK__" hidden="1">{"fdsup://directions/FAT Viewer?action=UPDATE&amp;creator=factset&amp;DYN_ARGS=TRUE&amp;DOC_NAME=FAT:FQL_AUDITING_CLIENT_TEMPLATE.FAT&amp;display_string=Audit&amp;VAR:KEY=XWTYLUVGBU&amp;VAR:QUERY=RkZfUkRfRVhQKENBTCwzOTA4MiwsLCwp&amp;WINDOW=FIRST_POPUP&amp;HEIGHT=450&amp;WIDTH=450&amp;START_MAXIMI","ZED=FALSE&amp;VAR:CALENDAR=US&amp;VAR:SYMBOL=WYE&amp;VAR:INDEX=0"}</definedName>
    <definedName name="_356__FDSAUDITLINK__" hidden="1">{"fdsup://directions/FAT%20Viewer?VAR:TM=NTMA&amp;VAR:PCT=0.032877&amp;VAR:Y0=2003&amp;VAR:Y1=2004&amp;VAR:V0=20.121119&amp;VAR:V1=17.760336&amp;VAR:V=17.829110&amp;VAR:AUDIT_ID=00000117&amp;VAR:DATE=20031219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Aggregates&amp;VAR:MEASURE=PE_MEAN&amp;VAR:CALC_MODE=PORTFOLIO&amp;VAR:CHGPERIOD=NA&amp;VAR:FQLFORMULA=FMA_PE&amp;VAR:CURRENCY=USD&amp;VAR:P=1","088.665300&amp;VAR:THRESH=||||||&amp;VAR:null=.html"}</definedName>
    <definedName name="_3560__FDSAUDITLINK__" hidden="1">{"fdsup://directions/FAT Viewer?action=UPDATE&amp;creator=factset&amp;DYN_ARGS=TRUE&amp;DOC_NAME=FAT:FQL_AUDITING_CLIENT_TEMPLATE.FAT&amp;display_string=Audit&amp;VAR:KEY=DGDCHUBYVS&amp;VAR:QUERY=RkZfUkRfRVhQKENBTCwzODcxNywsLCwp&amp;WINDOW=FIRST_POPUP&amp;HEIGHT=450&amp;WIDTH=450&amp;START_MAXIMI","ZED=FALSE&amp;VAR:CALENDAR=US&amp;VAR:SYMBOL=WYE&amp;VAR:INDEX=0"}</definedName>
    <definedName name="_3561__FDSAUDITLINK__" hidden="1">{"fdsup://directions/FAT Viewer?action=UPDATE&amp;creator=factset&amp;DYN_ARGS=TRUE&amp;DOC_NAME=FAT:FQL_AUDITING_CLIENT_TEMPLATE.FAT&amp;display_string=Audit&amp;VAR:KEY=HKXMFCNQRG&amp;VAR:QUERY=RkZfUkRfRVhQKENBTCwzODM1MiwsLCwp&amp;WINDOW=FIRST_POPUP&amp;HEIGHT=450&amp;WIDTH=450&amp;START_MAXIMI","ZED=FALSE&amp;VAR:CALENDAR=US&amp;VAR:SYMBOL=WYE&amp;VAR:INDEX=0"}</definedName>
    <definedName name="_3562__FDSAUDITLINK__" hidden="1">{"fdsup://directions/FAT Viewer?action=UPDATE&amp;creator=factset&amp;DYN_ARGS=TRUE&amp;DOC_NAME=FAT:FQL_AUDITING_CLIENT_TEMPLATE.FAT&amp;display_string=Audit&amp;VAR:KEY=FADGZQHEFC&amp;VAR:QUERY=RkZfUkRfRVhQKENBTCw0MDU0MywsLCxVU0Qp&amp;WINDOW=FIRST_POPUP&amp;HEIGHT=450&amp;WIDTH=450&amp;START_MA","XIMIZED=FALSE&amp;VAR:CALENDAR=US&amp;VAR:SYMBOL=BIIB&amp;VAR:INDEX=0"}</definedName>
    <definedName name="_3563__FDSAUDITLINK__" hidden="1">{"fdsup://directions/FAT Viewer?action=UPDATE&amp;creator=factset&amp;DYN_ARGS=TRUE&amp;DOC_NAME=FAT:FQL_AUDITING_CLIENT_TEMPLATE.FAT&amp;display_string=Audit&amp;VAR:KEY=NSPUJGFSHI&amp;VAR:QUERY=RkZfUkRfRVhQKENBTCw0MDU0MywsLCxVU0Qp&amp;WINDOW=FIRST_POPUP&amp;HEIGHT=450&amp;WIDTH=450&amp;START_MA","XIMIZED=FALSE&amp;VAR:CALENDAR=US&amp;VAR:SYMBOL=707752&amp;VAR:INDEX=0"}</definedName>
    <definedName name="_3564__FDSAUDITLINK__" hidden="1">{"fdsup://directions/FAT Viewer?action=UPDATE&amp;creator=factset&amp;DYN_ARGS=TRUE&amp;DOC_NAME=FAT:FQL_AUDITING_CLIENT_TEMPLATE.FAT&amp;display_string=Audit&amp;VAR:KEY=PWJMJAPQXA&amp;VAR:QUERY=RkZfUkRfRVhQKENBTCw0MDU0MywsLCxVU0Qp&amp;WINDOW=FIRST_POPUP&amp;HEIGHT=450&amp;WIDTH=450&amp;START_MA","XIMIZED=FALSE&amp;VAR:CALENDAR=US&amp;VAR:SYMBOL=630720&amp;VAR:INDEX=0"}</definedName>
    <definedName name="_3565__FDSAUDITLINK__" hidden="1">{"fdsup://directions/FAT Viewer?action=UPDATE&amp;creator=factset&amp;DYN_ARGS=TRUE&amp;DOC_NAME=FAT:FQL_AUDITING_CLIENT_TEMPLATE.FAT&amp;display_string=Audit&amp;VAR:KEY=TQDGRYXUPO&amp;VAR:QUERY=RkZfUkRfRVhQKENBTCw0MDU0MywsLCxVU0Qp&amp;WINDOW=FIRST_POPUP&amp;HEIGHT=450&amp;WIDTH=450&amp;START_MA","XIMIZED=FALSE&amp;VAR:CALENDAR=US&amp;VAR:SYMBOL=698538&amp;VAR:INDEX=0"}</definedName>
    <definedName name="_3566__FDSAUDITLINK__" hidden="1">{"fdsup://directions/FAT Viewer?action=UPDATE&amp;creator=factset&amp;DYN_ARGS=TRUE&amp;DOC_NAME=FAT:FQL_AUDITING_CLIENT_TEMPLATE.FAT&amp;display_string=Audit&amp;VAR:KEY=LCNIRKJOVO&amp;VAR:QUERY=RkZfUkRfRVhQKENBTCw0MDU0MywsLCxVU0Qp&amp;WINDOW=FIRST_POPUP&amp;HEIGHT=450&amp;WIDTH=450&amp;START_MA","XIMIZED=FALSE&amp;VAR:CALENDAR=US&amp;VAR:SYMBOL=474184&amp;VAR:INDEX=0"}</definedName>
    <definedName name="_3567__FDSAUDITLINK__" hidden="1">{"fdsup://directions/FAT Viewer?action=UPDATE&amp;creator=factset&amp;DYN_ARGS=TRUE&amp;DOC_NAME=FAT:FQL_AUDITING_CLIENT_TEMPLATE.FAT&amp;display_string=Audit&amp;VAR:KEY=JAPATOHCPG&amp;VAR:QUERY=RkZfUkRfRVhQKENBTCw0MDU0MywsLCxVU0Qp&amp;WINDOW=FIRST_POPUP&amp;HEIGHT=450&amp;WIDTH=450&amp;START_MA","XIMIZED=FALSE&amp;VAR:CALENDAR=US&amp;VAR:SYMBOL=B0J7D9&amp;VAR:INDEX=0"}</definedName>
    <definedName name="_3568__FDSAUDITLINK__" hidden="1">{"fdsup://directions/FAT Viewer?action=UPDATE&amp;creator=factset&amp;DYN_ARGS=TRUE&amp;DOC_NAME=FAT:FQL_AUDITING_CLIENT_TEMPLATE.FAT&amp;display_string=Audit&amp;VAR:KEY=ZURSDKXMDW&amp;VAR:QUERY=RkZfUkRfRVhQKENBTCw0MDU0MywsLCxVU0Qp&amp;WINDOW=FIRST_POPUP&amp;HEIGHT=450&amp;WIDTH=450&amp;START_MA","XIMIZED=FALSE&amp;VAR:CALENDAR=US&amp;VAR:SYMBOL=AMGN&amp;VAR:INDEX=0"}</definedName>
    <definedName name="_3569__FDSAUDITLINK__" hidden="1">{"fdsup://directions/FAT Viewer?action=UPDATE&amp;creator=factset&amp;DYN_ARGS=TRUE&amp;DOC_NAME=FAT:FQL_AUDITING_CLIENT_TEMPLATE.FAT&amp;display_string=Audit&amp;VAR:KEY=JWREDEZOBE&amp;VAR:QUERY=RkZfUkRfRVhQKENBTCw0MDU0MywsLCxVU0Qp&amp;WINDOW=FIRST_POPUP&amp;HEIGHT=450&amp;WIDTH=450&amp;START_MA","XIMIZED=FALSE&amp;VAR:CALENDAR=US&amp;VAR:SYMBOL=ABT&amp;VAR:INDEX=0"}</definedName>
    <definedName name="_357__FDSAUDITLINK__" hidden="1">{"fdsup://directions/FAT%20Viewer?VAR:TM=NTMA&amp;VAR:PCT=0.052055&amp;VAR:Y0=2003&amp;VAR:Y1=2004&amp;VAR:V0=19.865564&amp;VAR:V1=17.561058&amp;VAR:V=17.667747&amp;VAR:AUDIT_ID=00000117&amp;VAR:DATE=20031212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Aggregates&amp;VAR:MEASURE=PE_MEAN&amp;VAR:CALC_MODE=PORTFOLIO&amp;VAR:CHGPERIOD=NA&amp;VAR:FQLFORMULA=FMA_PE&amp;VAR:CURRENCY=USD&amp;VAR:P=1","074.135900&amp;VAR:THRESH=||||||&amp;VAR:null=.html"}</definedName>
    <definedName name="_3570__FDSAUDITLINK__" hidden="1">{"fdsup://directions/FAT Viewer?action=UPDATE&amp;creator=factset&amp;DYN_ARGS=TRUE&amp;DOC_NAME=FAT:FQL_AUDITING_CLIENT_TEMPLATE.FAT&amp;display_string=Audit&amp;VAR:KEY=FMHOHWFCHA&amp;VAR:QUERY=RkZfUkRfRVhQKENBTCw0MDU0MywsLCxVU0Qp&amp;WINDOW=FIRST_POPUP&amp;HEIGHT=450&amp;WIDTH=450&amp;START_MA","XIMIZED=FALSE&amp;VAR:CALENDAR=US&amp;VAR:SYMBOL=687044&amp;VAR:INDEX=0"}</definedName>
    <definedName name="_3571__FDSAUDITLINK__" hidden="1">{"fdsup://directions/FAT Viewer?action=UPDATE&amp;creator=factset&amp;DYN_ARGS=TRUE&amp;DOC_NAME=FAT:FQL_AUDITING_CLIENT_TEMPLATE.FAT&amp;display_string=Audit&amp;VAR:KEY=BCRMHOHMDU&amp;VAR:QUERY=RkZfUkRfRVhQKENBTCw0MDU0MywsLCxVU0Qp&amp;WINDOW=FIRST_POPUP&amp;HEIGHT=450&amp;WIDTH=450&amp;START_MA","XIMIZED=FALSE&amp;VAR:CALENDAR=US&amp;VAR:SYMBOL=BMY&amp;VAR:INDEX=0"}</definedName>
    <definedName name="_3572__FDSAUDITLINK__" hidden="1">{"fdsup://directions/FAT Viewer?action=UPDATE&amp;creator=factset&amp;DYN_ARGS=TRUE&amp;DOC_NAME=FAT:FQL_AUDITING_CLIENT_TEMPLATE.FAT&amp;display_string=Audit&amp;VAR:KEY=RWHALYVQFE&amp;VAR:QUERY=RkZfUkRfRVhQKENBTCw0MDU0MywsLCxVU0Qp&amp;WINDOW=FIRST_POPUP&amp;HEIGHT=450&amp;WIDTH=450&amp;START_MA","XIMIZED=FALSE&amp;VAR:CALENDAR=US&amp;VAR:SYMBOL=LLY&amp;VAR:INDEX=0"}</definedName>
    <definedName name="_3573__FDSAUDITLINK__" hidden="1">{"fdsup://directions/FAT Viewer?action=UPDATE&amp;creator=factset&amp;DYN_ARGS=TRUE&amp;DOC_NAME=FAT:FQL_AUDITING_CLIENT_TEMPLATE.FAT&amp;display_string=Audit&amp;VAR:KEY=BOXSLUFEFY&amp;VAR:QUERY=RkZfUkRfRVhQKENBTCw0MDU0MywsLCxVU0Qp&amp;WINDOW=FIRST_POPUP&amp;HEIGHT=450&amp;WIDTH=450&amp;START_MA","XIMIZED=FALSE&amp;VAR:CALENDAR=US&amp;VAR:SYMBOL=506921&amp;VAR:INDEX=0"}</definedName>
    <definedName name="_3574__FDSAUDITLINK__" hidden="1">{"fdsup://directions/FAT Viewer?action=UPDATE&amp;creator=factset&amp;DYN_ARGS=TRUE&amp;DOC_NAME=FAT:FQL_AUDITING_CLIENT_TEMPLATE.FAT&amp;display_string=Audit&amp;VAR:KEY=BKNWZCJIZG&amp;VAR:QUERY=RkZfUkRfRVhQKENBTCw0MDU0MywsLCxVU0Qp&amp;WINDOW=FIRST_POPUP&amp;HEIGHT=450&amp;WIDTH=450&amp;START_MA","XIMIZED=FALSE&amp;VAR:CALENDAR=US&amp;VAR:SYMBOL=567173&amp;VAR:INDEX=0"}</definedName>
    <definedName name="_3575__FDSAUDITLINK__" hidden="1">{"fdsup://directions/FAT Viewer?action=UPDATE&amp;creator=factset&amp;DYN_ARGS=TRUE&amp;DOC_NAME=FAT:FQL_AUDITING_CLIENT_TEMPLATE.FAT&amp;display_string=Audit&amp;VAR:KEY=ZUTEDGBCXY&amp;VAR:QUERY=RkZfUkRfRVhQKENBTCw0MDU0MywsLCxVU0Qp&amp;WINDOW=FIRST_POPUP&amp;HEIGHT=450&amp;WIDTH=450&amp;START_MA","XIMIZED=FALSE&amp;VAR:CALENDAR=US&amp;VAR:SYMBOL=JNJ&amp;VAR:INDEX=0"}</definedName>
    <definedName name="_3576__FDSAUDITLINK__" hidden="1">{"fdsup://directions/FAT Viewer?action=UPDATE&amp;creator=factset&amp;DYN_ARGS=TRUE&amp;DOC_NAME=FAT:FQL_AUDITING_CLIENT_TEMPLATE.FAT&amp;display_string=Audit&amp;VAR:KEY=TYHWTQXSJO&amp;VAR:QUERY=RkZfUkRfRVhQKENBTCw0MDU0MywsLCxVU0Qp&amp;WINDOW=FIRST_POPUP&amp;HEIGHT=450&amp;WIDTH=450&amp;START_MA","XIMIZED=FALSE&amp;VAR:CALENDAR=US&amp;VAR:SYMBOL=710306&amp;VAR:INDEX=0"}</definedName>
    <definedName name="_3577__FDSAUDITLINK__" hidden="1">{"fdsup://directions/FAT Viewer?action=UPDATE&amp;creator=factset&amp;DYN_ARGS=TRUE&amp;DOC_NAME=FAT:FQL_AUDITING_CLIENT_TEMPLATE.FAT&amp;display_string=Audit&amp;VAR:KEY=BSFYPUHUXG&amp;VAR:QUERY=RkZfUkRfRVhQKENBTCw0MDU0MywsLCxVU0Qp&amp;WINDOW=FIRST_POPUP&amp;HEIGHT=450&amp;WIDTH=450&amp;START_MA","XIMIZED=FALSE&amp;VAR:CALENDAR=US&amp;VAR:SYMBOL=711038&amp;VAR:INDEX=0"}</definedName>
    <definedName name="_3578__FDSAUDITLINK__" hidden="1">{"fdsup://directions/FAT Viewer?action=UPDATE&amp;creator=factset&amp;DYN_ARGS=TRUE&amp;DOC_NAME=FAT:FQL_AUDITING_CLIENT_TEMPLATE.FAT&amp;display_string=Audit&amp;VAR:KEY=BQXQNYHAZC&amp;VAR:QUERY=RkZfUkRfRVhQKENBTCw0MDU0MywsLCxVU0Qp&amp;WINDOW=FIRST_POPUP&amp;HEIGHT=450&amp;WIDTH=450&amp;START_MA","XIMIZED=FALSE&amp;VAR:CALENDAR=US&amp;VAR:SYMBOL=MRK&amp;VAR:INDEX=0"}</definedName>
    <definedName name="_3579__FDSAUDITLINK__" hidden="1">{"fdsup://directions/FAT Viewer?action=UPDATE&amp;creator=factset&amp;DYN_ARGS=TRUE&amp;DOC_NAME=FAT:FQL_AUDITING_CLIENT_TEMPLATE.FAT&amp;display_string=Audit&amp;VAR:KEY=XSXQHYLMVQ&amp;VAR:QUERY=RkZfUkRfRVhQKENBTCw0MDU0MywsLCwp&amp;WINDOW=FIRST_POPUP&amp;HEIGHT=450&amp;WIDTH=450&amp;START_MAXIMI","ZED=FALSE&amp;VAR:CALENDAR=US&amp;VAR:SYMBOL=BIIB&amp;VAR:INDEX=0"}</definedName>
    <definedName name="_358__FDSAUDITLINK__" hidden="1">{"fdsup://directions/FAT%20Viewer?VAR:TM=NTMA&amp;VAR:PCT=0.071233&amp;VAR:Y0=2003&amp;VAR:Y1=2004&amp;VAR:V0=19.647450&amp;VAR:V1=17.384531&amp;VAR:V=17.528339&amp;VAR:AUDIT_ID=00000117&amp;VAR:DATE=20031205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Aggregates&amp;VAR:MEASURE=PE_MEAN&amp;VAR:CALC_MODE=PORTFOLIO&amp;VAR:CHGPERIOD=NA&amp;VAR:FQLFORMULA=FMA_PE&amp;VAR:CURRENCY=USD&amp;VAR:P=1","061.503300&amp;VAR:THRESH=||||||&amp;VAR:null=.html"}</definedName>
    <definedName name="_3580__FDSAUDITLINK__" hidden="1">{"fdsup://directions/FAT Viewer?action=UPDATE&amp;creator=factset&amp;DYN_ARGS=TRUE&amp;DOC_NAME=FAT:FQL_AUDITING_CLIENT_TEMPLATE.FAT&amp;display_string=Audit&amp;VAR:KEY=LAJWREJCRQ&amp;VAR:QUERY=RkZfUkRfRVhQKENBTCw0MDE3OCwsLCwp&amp;WINDOW=FIRST_POPUP&amp;HEIGHT=450&amp;WIDTH=450&amp;START_MAXIMI","ZED=FALSE&amp;VAR:CALENDAR=US&amp;VAR:SYMBOL=BIIB&amp;VAR:INDEX=0"}</definedName>
    <definedName name="_3581__FDSAUDITLINK__" hidden="1">{"fdsup://directions/FAT Viewer?action=UPDATE&amp;creator=factset&amp;DYN_ARGS=TRUE&amp;DOC_NAME=FAT:FQL_AUDITING_CLIENT_TEMPLATE.FAT&amp;display_string=Audit&amp;VAR:KEY=TIJGJEBYTI&amp;VAR:QUERY=RkZfUkRfRVhQKENBTCwzOTgxMywsLCwp&amp;WINDOW=FIRST_POPUP&amp;HEIGHT=450&amp;WIDTH=450&amp;START_MAXIMI","ZED=FALSE&amp;VAR:CALENDAR=US&amp;VAR:SYMBOL=BIIB&amp;VAR:INDEX=0"}</definedName>
    <definedName name="_3582__FDSAUDITLINK__" hidden="1">{"fdsup://directions/FAT Viewer?action=UPDATE&amp;creator=factset&amp;DYN_ARGS=TRUE&amp;DOC_NAME=FAT:FQL_AUDITING_CLIENT_TEMPLATE.FAT&amp;display_string=Audit&amp;VAR:KEY=PODEFWZGFS&amp;VAR:QUERY=RkZfUkRfRVhQKENBTCwzOTQ0NywsLCwp&amp;WINDOW=FIRST_POPUP&amp;HEIGHT=450&amp;WIDTH=450&amp;START_MAXIMI","ZED=FALSE&amp;VAR:CALENDAR=US&amp;VAR:SYMBOL=BIIB&amp;VAR:INDEX=0"}</definedName>
    <definedName name="_3583__FDSAUDITLINK__" hidden="1">{"fdsup://directions/FAT Viewer?action=UPDATE&amp;creator=factset&amp;DYN_ARGS=TRUE&amp;DOC_NAME=FAT:FQL_AUDITING_CLIENT_TEMPLATE.FAT&amp;display_string=Audit&amp;VAR:KEY=HQFYRGDOJS&amp;VAR:QUERY=RkZfUkRfRVhQKENBTCwzOTA4MiwsLCwp&amp;WINDOW=FIRST_POPUP&amp;HEIGHT=450&amp;WIDTH=450&amp;START_MAXIMI","ZED=FALSE&amp;VAR:CALENDAR=US&amp;VAR:SYMBOL=BIIB&amp;VAR:INDEX=0"}</definedName>
    <definedName name="_3584__FDSAUDITLINK__" hidden="1">{"fdsup://directions/FAT Viewer?action=UPDATE&amp;creator=factset&amp;DYN_ARGS=TRUE&amp;DOC_NAME=FAT:FQL_AUDITING_CLIENT_TEMPLATE.FAT&amp;display_string=Audit&amp;VAR:KEY=BWLKBKRSNC&amp;VAR:QUERY=RkZfUkRfRVhQKENBTCwzODcxNywsLCwp&amp;WINDOW=FIRST_POPUP&amp;HEIGHT=450&amp;WIDTH=450&amp;START_MAXIMI","ZED=FALSE&amp;VAR:CALENDAR=US&amp;VAR:SYMBOL=BIIB&amp;VAR:INDEX=0"}</definedName>
    <definedName name="_3585__FDSAUDITLINK__" hidden="1">{"fdsup://directions/FAT Viewer?action=UPDATE&amp;creator=factset&amp;DYN_ARGS=TRUE&amp;DOC_NAME=FAT:FQL_AUDITING_CLIENT_TEMPLATE.FAT&amp;display_string=Audit&amp;VAR:KEY=NCJCPSJUJA&amp;VAR:QUERY=RkZfUkRfRVhQKENBTCwzODM1MiwsLCwp&amp;WINDOW=FIRST_POPUP&amp;HEIGHT=450&amp;WIDTH=450&amp;START_MAXIMI","ZED=FALSE&amp;VAR:CALENDAR=US&amp;VAR:SYMBOL=BIIB&amp;VAR:INDEX=0"}</definedName>
    <definedName name="_3586__FDSAUDITLINK__" hidden="1">{"fdsup://directions/FAT Viewer?action=UPDATE&amp;creator=factset&amp;DYN_ARGS=TRUE&amp;DOC_NAME=FAT:FQL_AUDITING_CLIENT_TEMPLATE.FAT&amp;display_string=Audit&amp;VAR:KEY=ROHGXITIHS&amp;VAR:QUERY=RkZfUkRfRVhQKENBTCw0MDU0MywsLCwp&amp;WINDOW=FIRST_POPUP&amp;HEIGHT=450&amp;WIDTH=450&amp;START_MAXIMI","ZED=FALSE&amp;VAR:CALENDAR=US&amp;VAR:SYMBOL=707752&amp;VAR:INDEX=0"}</definedName>
    <definedName name="_3587__FDSAUDITLINK__" hidden="1">{"fdsup://directions/FAT Viewer?action=UPDATE&amp;creator=factset&amp;DYN_ARGS=TRUE&amp;DOC_NAME=FAT:FQL_AUDITING_CLIENT_TEMPLATE.FAT&amp;display_string=Audit&amp;VAR:KEY=ZCPYBCXOHU&amp;VAR:QUERY=RkZfUkRfRVhQKENBTCw0MDE3OCwsLCwp&amp;WINDOW=FIRST_POPUP&amp;HEIGHT=450&amp;WIDTH=450&amp;START_MAXIMI","ZED=FALSE&amp;VAR:CALENDAR=US&amp;VAR:SYMBOL=707752&amp;VAR:INDEX=0"}</definedName>
    <definedName name="_3588__FDSAUDITLINK__" hidden="1">{"fdsup://directions/FAT Viewer?action=UPDATE&amp;creator=factset&amp;DYN_ARGS=TRUE&amp;DOC_NAME=FAT:FQL_AUDITING_CLIENT_TEMPLATE.FAT&amp;display_string=Audit&amp;VAR:KEY=RUHOZGXETS&amp;VAR:QUERY=RkZfUkRfRVhQKENBTCwzOTgxMywsLCwp&amp;WINDOW=FIRST_POPUP&amp;HEIGHT=450&amp;WIDTH=450&amp;START_MAXIMI","ZED=FALSE&amp;VAR:CALENDAR=US&amp;VAR:SYMBOL=707752&amp;VAR:INDEX=0"}</definedName>
    <definedName name="_3589__FDSAUDITLINK__" hidden="1">{"fdsup://directions/FAT Viewer?action=UPDATE&amp;creator=factset&amp;DYN_ARGS=TRUE&amp;DOC_NAME=FAT:FQL_AUDITING_CLIENT_TEMPLATE.FAT&amp;display_string=Audit&amp;VAR:KEY=BQVALCNUXY&amp;VAR:QUERY=RkZfUkRfRVhQKENBTCwzOTQ0NywsLCwp&amp;WINDOW=FIRST_POPUP&amp;HEIGHT=450&amp;WIDTH=450&amp;START_MAXIMI","ZED=FALSE&amp;VAR:CALENDAR=US&amp;VAR:SYMBOL=707752&amp;VAR:INDEX=0"}</definedName>
    <definedName name="_359__FDSAUDITLINK__" hidden="1">{"fdsup://directions/FAT%20Viewer?VAR:TM=NTMA&amp;VAR:PCT=0.090411&amp;VAR:Y0=2003&amp;VAR:Y1=2004&amp;VAR:V0=19.580978&amp;VAR:V1=17.336681&amp;VAR:V=17.518215&amp;VAR:AUDIT_ID=00000117&amp;VAR:DATE=20031128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Aggregates&amp;VAR:MEASURE=PE_MEAN&amp;VAR:CALC_MODE=PORTFOLIO&amp;VAR:CHGPERIOD=NA&amp;VAR:FQLFORMULA=FMA_PE&amp;VAR:CURRENCY=USD&amp;VAR:P=1","058.204500&amp;VAR:THRESH=||||||&amp;VAR:null=.html"}</definedName>
    <definedName name="_3590__FDSAUDITLINK__" hidden="1">{"fdsup://directions/FAT Viewer?action=UPDATE&amp;creator=factset&amp;DYN_ARGS=TRUE&amp;DOC_NAME=FAT:FQL_AUDITING_CLIENT_TEMPLATE.FAT&amp;display_string=Audit&amp;VAR:KEY=XODONILQRS&amp;VAR:QUERY=RkZfUkRfRVhQKENBTCw0MDU0MywsLCwp&amp;WINDOW=FIRST_POPUP&amp;HEIGHT=450&amp;WIDTH=450&amp;START_MAXIMI","ZED=FALSE&amp;VAR:CALENDAR=US&amp;VAR:SYMBOL=630720&amp;VAR:INDEX=0"}</definedName>
    <definedName name="_3591__FDSAUDITLINK__" hidden="1">{"fdsup://directions/FAT Viewer?action=UPDATE&amp;creator=factset&amp;DYN_ARGS=TRUE&amp;DOC_NAME=FAT:FQL_AUDITING_CLIENT_TEMPLATE.FAT&amp;display_string=Audit&amp;VAR:KEY=FQTINILKPY&amp;VAR:QUERY=RkZfUkRfRVhQKENBTCw0MDE3OCwsLCwp&amp;WINDOW=FIRST_POPUP&amp;HEIGHT=450&amp;WIDTH=450&amp;START_MAXIMI","ZED=FALSE&amp;VAR:CALENDAR=US&amp;VAR:SYMBOL=630720&amp;VAR:INDEX=0"}</definedName>
    <definedName name="_3592__FDSAUDITLINK__" hidden="1">{"fdsup://directions/FAT Viewer?action=UPDATE&amp;creator=factset&amp;DYN_ARGS=TRUE&amp;DOC_NAME=FAT:FQL_AUDITING_CLIENT_TEMPLATE.FAT&amp;display_string=Audit&amp;VAR:KEY=VSZYNWJGTA&amp;VAR:QUERY=RkZfUkRfRVhQKENBTCwzOTgxMywsLCwp&amp;WINDOW=FIRST_POPUP&amp;HEIGHT=450&amp;WIDTH=450&amp;START_MAXIMI","ZED=FALSE&amp;VAR:CALENDAR=US&amp;VAR:SYMBOL=630720&amp;VAR:INDEX=0"}</definedName>
    <definedName name="_3593__FDSAUDITLINK__" hidden="1">{"fdsup://directions/FAT Viewer?action=UPDATE&amp;creator=factset&amp;DYN_ARGS=TRUE&amp;DOC_NAME=FAT:FQL_AUDITING_CLIENT_TEMPLATE.FAT&amp;display_string=Audit&amp;VAR:KEY=VYJCJQLQHW&amp;VAR:QUERY=RkZfUkRfRVhQKENBTCwzOTQ0NywsLCwp&amp;WINDOW=FIRST_POPUP&amp;HEIGHT=450&amp;WIDTH=450&amp;START_MAXIMI","ZED=FALSE&amp;VAR:CALENDAR=US&amp;VAR:SYMBOL=630720&amp;VAR:INDEX=0"}</definedName>
    <definedName name="_3594__FDSAUDITLINK__" hidden="1">{"fdsup://directions/FAT Viewer?action=UPDATE&amp;creator=factset&amp;DYN_ARGS=TRUE&amp;DOC_NAME=FAT:FQL_AUDITING_CLIENT_TEMPLATE.FAT&amp;display_string=Audit&amp;VAR:KEY=TUBQTARIDK&amp;VAR:QUERY=RkZfUkRfRVhQKENBTCwzOTA4MiwsLCwp&amp;WINDOW=FIRST_POPUP&amp;HEIGHT=450&amp;WIDTH=450&amp;START_MAXIMI","ZED=FALSE&amp;VAR:CALENDAR=US&amp;VAR:SYMBOL=630720&amp;VAR:INDEX=0"}</definedName>
    <definedName name="_3595__FDSAUDITLINK__" hidden="1">{"fdsup://directions/FAT Viewer?action=UPDATE&amp;creator=factset&amp;DYN_ARGS=TRUE&amp;DOC_NAME=FAT:FQL_AUDITING_CLIENT_TEMPLATE.FAT&amp;display_string=Audit&amp;VAR:KEY=TEDCLSDYNM&amp;VAR:QUERY=RkZfUkRfRVhQKENBTCwzODcxNywsLCwp&amp;WINDOW=FIRST_POPUP&amp;HEIGHT=450&amp;WIDTH=450&amp;START_MAXIMI","ZED=FALSE&amp;VAR:CALENDAR=US&amp;VAR:SYMBOL=630720&amp;VAR:INDEX=0"}</definedName>
    <definedName name="_3596__FDSAUDITLINK__" hidden="1">{"fdsup://directions/FAT Viewer?action=UPDATE&amp;creator=factset&amp;DYN_ARGS=TRUE&amp;DOC_NAME=FAT:FQL_AUDITING_CLIENT_TEMPLATE.FAT&amp;display_string=Audit&amp;VAR:KEY=HWBSXSJUJE&amp;VAR:QUERY=RkZfUkRfRVhQKENBTCwzODM1MiwsLCwp&amp;WINDOW=FIRST_POPUP&amp;HEIGHT=450&amp;WIDTH=450&amp;START_MAXIMI","ZED=FALSE&amp;VAR:CALENDAR=US&amp;VAR:SYMBOL=630720&amp;VAR:INDEX=0"}</definedName>
    <definedName name="_3597__FDSAUDITLINK__" hidden="1">{"fdsup://directions/FAT Viewer?action=UPDATE&amp;creator=factset&amp;DYN_ARGS=TRUE&amp;DOC_NAME=FAT:FQL_AUDITING_CLIENT_TEMPLATE.FAT&amp;display_string=Audit&amp;VAR:KEY=NOFYHOLEJE&amp;VAR:QUERY=RkZfUkRfRVhQKENBTCwzNzk4NiwsLCwp&amp;WINDOW=FIRST_POPUP&amp;HEIGHT=450&amp;WIDTH=450&amp;START_MAXIMI","ZED=FALSE&amp;VAR:CALENDAR=US&amp;VAR:SYMBOL=630720&amp;VAR:INDEX=0"}</definedName>
    <definedName name="_3598__FDSAUDITLINK__" hidden="1">{"fdsup://directions/FAT Viewer?action=UPDATE&amp;creator=factset&amp;DYN_ARGS=TRUE&amp;DOC_NAME=FAT:FQL_AUDITING_CLIENT_TEMPLATE.FAT&amp;display_string=Audit&amp;VAR:KEY=HMDKDGFUVI&amp;VAR:QUERY=RkZfUkRfRVhQKENBTCw0MDU0MywsLCwp&amp;WINDOW=FIRST_POPUP&amp;HEIGHT=450&amp;WIDTH=450&amp;START_MAXIMI","ZED=FALSE&amp;VAR:CALENDAR=US&amp;VAR:SYMBOL=698538&amp;VAR:INDEX=0"}</definedName>
    <definedName name="_3599__FDSAUDITLINK__" hidden="1">{"fdsup://directions/FAT Viewer?action=UPDATE&amp;creator=factset&amp;DYN_ARGS=TRUE&amp;DOC_NAME=FAT:FQL_AUDITING_CLIENT_TEMPLATE.FAT&amp;display_string=Audit&amp;VAR:KEY=XEFUVIRUFI&amp;VAR:QUERY=RkZfUkRfRVhQKENBTCw0MDE3OCwsLCwp&amp;WINDOW=FIRST_POPUP&amp;HEIGHT=450&amp;WIDTH=450&amp;START_MAXIMI","ZED=FALSE&amp;VAR:CALENDAR=US&amp;VAR:SYMBOL=698538&amp;VAR:INDEX=0"}</definedName>
    <definedName name="_36__FDSAUDITLINK__" hidden="1">{"fdsup://directions/FAT%20Viewer?VAR:TM=NTMA&amp;VAR:PCT=0.901370&amp;VAR:Y0=2010&amp;VAR:Y1=2011&amp;VAR:V0=13.404745&amp;VAR:V1=11.209808&amp;VAR:V=13.150774&amp;VAR:AUDIT_ID=00000117&amp;VAR:DATE=20100205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Aggregates&amp;VAR:MEASURE=PE_MEAN&amp;VAR:CALC_MODE=PORTFOLIO&amp;VAR:CHGPERIOD=NA&amp;VAR:FQLFORMULA=FMA_PE&amp;VAR:CURRENCY=USD&amp;VAR:P=1","066.186827&amp;VAR:THRESH=||||||&amp;VAR:null=.html"}</definedName>
    <definedName name="_360__FDSAUDITLINK__" hidden="1">{"fdsup://directions/FAT%20Viewer?VAR:TM=NTMA&amp;VAR:PCT=0.109589&amp;VAR:Y0=2003&amp;VAR:Y1=2004&amp;VAR:V0=19.153385&amp;VAR:V1=16.961900&amp;VAR:V=17.177285&amp;VAR:AUDIT_ID=00000117&amp;VAR:DATE=20031121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Aggregates&amp;VAR:MEASURE=PE_MEAN&amp;VAR:CALC_MODE=PORTFOLIO&amp;VAR:CHGPERIOD=NA&amp;VAR:FQLFORMULA=FMA_PE&amp;VAR:CURRENCY=USD&amp;VAR:P=1","035.283300&amp;VAR:THRESH=||||||&amp;VAR:null=.html"}</definedName>
    <definedName name="_3600__FDSAUDITLINK__" hidden="1">{"fdsup://directions/FAT Viewer?action=UPDATE&amp;creator=factset&amp;DYN_ARGS=TRUE&amp;DOC_NAME=FAT:FQL_AUDITING_CLIENT_TEMPLATE.FAT&amp;display_string=Audit&amp;VAR:KEY=HYTMLEDUVS&amp;VAR:QUERY=RkZfUkRfRVhQKENBTCwzOTgxMywsLCwp&amp;WINDOW=FIRST_POPUP&amp;HEIGHT=450&amp;WIDTH=450&amp;START_MAXIMI","ZED=FALSE&amp;VAR:CALENDAR=US&amp;VAR:SYMBOL=698538&amp;VAR:INDEX=0"}</definedName>
    <definedName name="_3601__FDSAUDITLINK__" hidden="1">{"fdsup://directions/FAT Viewer?action=UPDATE&amp;creator=factset&amp;DYN_ARGS=TRUE&amp;DOC_NAME=FAT:FQL_AUDITING_CLIENT_TEMPLATE.FAT&amp;display_string=Audit&amp;VAR:KEY=DSRAFCZODS&amp;VAR:QUERY=RkZfUkRfRVhQKENBTCwzOTQ0NywsLCwp&amp;WINDOW=FIRST_POPUP&amp;HEIGHT=450&amp;WIDTH=450&amp;START_MAXIMI","ZED=FALSE&amp;VAR:CALENDAR=US&amp;VAR:SYMBOL=698538&amp;VAR:INDEX=0"}</definedName>
    <definedName name="_3602__FDSAUDITLINK__" hidden="1">{"fdsup://directions/FAT Viewer?action=UPDATE&amp;creator=factset&amp;DYN_ARGS=TRUE&amp;DOC_NAME=FAT:FQL_AUDITING_CLIENT_TEMPLATE.FAT&amp;display_string=Audit&amp;VAR:KEY=FODYBQZGBW&amp;VAR:QUERY=RkZfUkRfRVhQKENBTCwzOTA4MiwsLCwp&amp;WINDOW=FIRST_POPUP&amp;HEIGHT=450&amp;WIDTH=450&amp;START_MAXIMI","ZED=FALSE&amp;VAR:CALENDAR=US&amp;VAR:SYMBOL=698538&amp;VAR:INDEX=0"}</definedName>
    <definedName name="_3603__FDSAUDITLINK__" hidden="1">{"fdsup://directions/FAT Viewer?action=UPDATE&amp;creator=factset&amp;DYN_ARGS=TRUE&amp;DOC_NAME=FAT:FQL_AUDITING_CLIENT_TEMPLATE.FAT&amp;display_string=Audit&amp;VAR:KEY=LMDOJUJATK&amp;VAR:QUERY=RkZfUkRfRVhQKENBTCwzODcxNywsLCwp&amp;WINDOW=FIRST_POPUP&amp;HEIGHT=450&amp;WIDTH=450&amp;START_MAXIMI","ZED=FALSE&amp;VAR:CALENDAR=US&amp;VAR:SYMBOL=698538&amp;VAR:INDEX=0"}</definedName>
    <definedName name="_3604__FDSAUDITLINK__" hidden="1">{"fdsup://directions/FAT Viewer?action=UPDATE&amp;creator=factset&amp;DYN_ARGS=TRUE&amp;DOC_NAME=FAT:FQL_AUDITING_CLIENT_TEMPLATE.FAT&amp;display_string=Audit&amp;VAR:KEY=BCDOVGLIHM&amp;VAR:QUERY=RkZfUkRfRVhQKENBTCwzODM1MiwsLCwp&amp;WINDOW=FIRST_POPUP&amp;HEIGHT=450&amp;WIDTH=450&amp;START_MAXIMI","ZED=FALSE&amp;VAR:CALENDAR=US&amp;VAR:SYMBOL=698538&amp;VAR:INDEX=0"}</definedName>
    <definedName name="_3605__FDSAUDITLINK__" hidden="1">{"fdsup://directions/FAT Viewer?action=UPDATE&amp;creator=factset&amp;DYN_ARGS=TRUE&amp;DOC_NAME=FAT:FQL_AUDITING_CLIENT_TEMPLATE.FAT&amp;display_string=Audit&amp;VAR:KEY=VAVSHGNKLS&amp;VAR:QUERY=RkZfUkRfRVhQKENBTCwzNzk4NiwsLCwp&amp;WINDOW=FIRST_POPUP&amp;HEIGHT=450&amp;WIDTH=450&amp;START_MAXIMI","ZED=FALSE&amp;VAR:CALENDAR=US&amp;VAR:SYMBOL=698538&amp;VAR:INDEX=0"}</definedName>
    <definedName name="_3606__FDSAUDITLINK__" hidden="1">{"fdsup://directions/FAT Viewer?action=UPDATE&amp;creator=factset&amp;DYN_ARGS=TRUE&amp;DOC_NAME=FAT:FQL_AUDITING_CLIENT_TEMPLATE.FAT&amp;display_string=Audit&amp;VAR:KEY=BIZIJKTURI&amp;VAR:QUERY=RkZfUkRfRVhQKENBTCw0MDU0MywsLCwp&amp;WINDOW=FIRST_POPUP&amp;HEIGHT=450&amp;WIDTH=450&amp;START_MAXIMI","ZED=FALSE&amp;VAR:CALENDAR=US&amp;VAR:SYMBOL=474184&amp;VAR:INDEX=0"}</definedName>
    <definedName name="_3607__FDSAUDITLINK__" hidden="1">{"fdsup://directions/FAT Viewer?action=UPDATE&amp;creator=factset&amp;DYN_ARGS=TRUE&amp;DOC_NAME=FAT:FQL_AUDITING_CLIENT_TEMPLATE.FAT&amp;display_string=Audit&amp;VAR:KEY=BCFCJCDITY&amp;VAR:QUERY=RkZfUkRfRVhQKENBTCw0MDE3OCwsLCwp&amp;WINDOW=FIRST_POPUP&amp;HEIGHT=450&amp;WIDTH=450&amp;START_MAXIMI","ZED=FALSE&amp;VAR:CALENDAR=US&amp;VAR:SYMBOL=474184&amp;VAR:INDEX=0"}</definedName>
    <definedName name="_3608__FDSAUDITLINK__" hidden="1">{"fdsup://directions/FAT Viewer?action=UPDATE&amp;creator=factset&amp;DYN_ARGS=TRUE&amp;DOC_NAME=FAT:FQL_AUDITING_CLIENT_TEMPLATE.FAT&amp;display_string=Audit&amp;VAR:KEY=RUVIBOLGPQ&amp;VAR:QUERY=RkZfUkRfRVhQKENBTCw0MDU0MywsLCwp&amp;WINDOW=FIRST_POPUP&amp;HEIGHT=450&amp;WIDTH=450&amp;START_MAXIMI","ZED=FALSE&amp;VAR:CALENDAR=US&amp;VAR:SYMBOL=B0J7D9&amp;VAR:INDEX=0"}</definedName>
    <definedName name="_3609__FDSAUDITLINK__" hidden="1">{"fdsup://directions/FAT Viewer?action=UPDATE&amp;creator=factset&amp;DYN_ARGS=TRUE&amp;DOC_NAME=FAT:FQL_AUDITING_CLIENT_TEMPLATE.FAT&amp;display_string=Audit&amp;VAR:KEY=DQXADMHEVC&amp;VAR:QUERY=RkZfUkRfRVhQKENBTCw0MDE3OCwsLCxKUFkp&amp;WINDOW=FIRST_POPUP&amp;HEIGHT=450&amp;WIDTH=450&amp;START_MA","XIMIZED=FALSE&amp;VAR:CALENDAR=US&amp;VAR:SYMBOL=B0J7D9&amp;VAR:INDEX=0"}</definedName>
    <definedName name="_361__FDSAUDITLINK__" hidden="1">{"fdsup://directions/FAT%20Viewer?VAR:TM=NTMA&amp;VAR:PCT=0.128767&amp;VAR:Y0=2003&amp;VAR:Y1=2004&amp;VAR:V0=19.438450&amp;VAR:V1=17.204054&amp;VAR:V=17.462524&amp;VAR:AUDIT_ID=00000117&amp;VAR:DATE=20031114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Aggregates&amp;VAR:MEASURE=PE_MEAN&amp;VAR:CALC_MODE=PORTFOLIO&amp;VAR:CHGPERIOD=NA&amp;VAR:FQLFORMULA=FMA_PE&amp;VAR:CURRENCY=USD&amp;VAR:P=1","050.347800&amp;VAR:THRESH=||||||&amp;VAR:null=.html"}</definedName>
    <definedName name="_3610__FDSAUDITLINK__" hidden="1">{"fdsup://directions/FAT Viewer?action=UPDATE&amp;creator=factset&amp;DYN_ARGS=TRUE&amp;DOC_NAME=FAT:FQL_AUDITING_CLIENT_TEMPLATE.FAT&amp;display_string=Audit&amp;VAR:KEY=TOLORIHYHO&amp;VAR:QUERY=RkZfUkRfRVhQKENBTCwzOTgxMywsLCxKUFkp&amp;WINDOW=FIRST_POPUP&amp;HEIGHT=450&amp;WIDTH=450&amp;START_MA","XIMIZED=FALSE&amp;VAR:CALENDAR=US&amp;VAR:SYMBOL=B0J7D9&amp;VAR:INDEX=0"}</definedName>
    <definedName name="_3611__FDSAUDITLINK__" hidden="1">{"fdsup://directions/FAT Viewer?action=UPDATE&amp;creator=factset&amp;DYN_ARGS=TRUE&amp;DOC_NAME=FAT:FQL_AUDITING_CLIENT_TEMPLATE.FAT&amp;display_string=Audit&amp;VAR:KEY=JOZMPGZMJM&amp;VAR:QUERY=RkZfUkRfRVhQKENBTCwzOTQ0NywsLCxKUFkp&amp;WINDOW=FIRST_POPUP&amp;HEIGHT=450&amp;WIDTH=450&amp;START_MA","XIMIZED=FALSE&amp;VAR:CALENDAR=US&amp;VAR:SYMBOL=B0J7D9&amp;VAR:INDEX=0"}</definedName>
    <definedName name="_3612__FDSAUDITLINK__" hidden="1">{"fdsup://directions/FAT Viewer?action=UPDATE&amp;creator=factset&amp;DYN_ARGS=TRUE&amp;DOC_NAME=FAT:FQL_AUDITING_CLIENT_TEMPLATE.FAT&amp;display_string=Audit&amp;VAR:KEY=NABIRCXULI&amp;VAR:QUERY=RkZfUkRfRVhQKENBTCwzOTA4MiwsLCxKUFkp&amp;WINDOW=FIRST_POPUP&amp;HEIGHT=450&amp;WIDTH=450&amp;START_MA","XIMIZED=FALSE&amp;VAR:CALENDAR=US&amp;VAR:SYMBOL=B0J7D9&amp;VAR:INDEX=0"}</definedName>
    <definedName name="_3613__FDSAUDITLINK__" hidden="1">{"fdsup://directions/FAT Viewer?action=UPDATE&amp;creator=factset&amp;DYN_ARGS=TRUE&amp;DOC_NAME=FAT:FQL_AUDITING_CLIENT_TEMPLATE.FAT&amp;display_string=Audit&amp;VAR:KEY=PKNSHOFKFO&amp;VAR:QUERY=RkZfUkRfRVhQKENBTCwzODcxNywsLCxKUFkp&amp;WINDOW=FIRST_POPUP&amp;HEIGHT=450&amp;WIDTH=450&amp;START_MA","XIMIZED=FALSE&amp;VAR:CALENDAR=US&amp;VAR:SYMBOL=B0J7D9&amp;VAR:INDEX=0"}</definedName>
    <definedName name="_3614__FDSAUDITLINK__" hidden="1">{"fdsup://directions/FAT Viewer?action=UPDATE&amp;creator=factset&amp;DYN_ARGS=TRUE&amp;DOC_NAME=FAT:FQL_AUDITING_CLIENT_TEMPLATE.FAT&amp;display_string=Audit&amp;VAR:KEY=TEXUHKRIJS&amp;VAR:QUERY=RkZfUkRfRVhQKENBTCwzODM1MiwsLCxKUFkp&amp;WINDOW=FIRST_POPUP&amp;HEIGHT=450&amp;WIDTH=450&amp;START_MA","XIMIZED=FALSE&amp;VAR:CALENDAR=US&amp;VAR:SYMBOL=B0J7D9&amp;VAR:INDEX=0"}</definedName>
    <definedName name="_3615__FDSAUDITLINK__" hidden="1">{"fdsup://directions/FAT Viewer?action=UPDATE&amp;creator=factset&amp;DYN_ARGS=TRUE&amp;DOC_NAME=FAT:FQL_AUDITING_CLIENT_TEMPLATE.FAT&amp;display_string=Audit&amp;VAR:KEY=BMDYTORIHY&amp;VAR:QUERY=RkZfUkRfRVhQKENBTCwzNzk4NiwsLCxKUFkp&amp;WINDOW=FIRST_POPUP&amp;HEIGHT=450&amp;WIDTH=450&amp;START_MA","XIMIZED=FALSE&amp;VAR:CALENDAR=US&amp;VAR:SYMBOL=B0J7D9&amp;VAR:INDEX=0"}</definedName>
    <definedName name="_3616__FDSAUDITLINK__" hidden="1">{"fdsup://directions/FAT Viewer?action=UPDATE&amp;creator=factset&amp;DYN_ARGS=TRUE&amp;DOC_NAME=FAT:FQL_AUDITING_CLIENT_TEMPLATE.FAT&amp;display_string=Audit&amp;VAR:KEY=ZSZUFATADA&amp;VAR:QUERY=RkZfUkRfRVhQKENBTCw0MDU0MywsLCwp&amp;WINDOW=FIRST_POPUP&amp;HEIGHT=450&amp;WIDTH=450&amp;START_MAXIMI","ZED=FALSE&amp;VAR:CALENDAR=US&amp;VAR:SYMBOL=AMGN&amp;VAR:INDEX=0"}</definedName>
    <definedName name="_3617__FDSAUDITLINK__" hidden="1">{"fdsup://directions/FAT Viewer?action=UPDATE&amp;creator=factset&amp;DYN_ARGS=TRUE&amp;DOC_NAME=FAT:FQL_AUDITING_CLIENT_TEMPLATE.FAT&amp;display_string=Audit&amp;VAR:KEY=NETMBUPAPS&amp;VAR:QUERY=RkZfUkRfRVhQKENBTCw0MDE3OCwsLCwp&amp;WINDOW=FIRST_POPUP&amp;HEIGHT=450&amp;WIDTH=450&amp;START_MAXIMI","ZED=FALSE&amp;VAR:CALENDAR=US&amp;VAR:SYMBOL=AMGN&amp;VAR:INDEX=0"}</definedName>
    <definedName name="_3618__FDSAUDITLINK__" hidden="1">{"fdsup://directions/FAT Viewer?action=UPDATE&amp;creator=factset&amp;DYN_ARGS=TRUE&amp;DOC_NAME=FAT:FQL_AUDITING_CLIENT_TEMPLATE.FAT&amp;display_string=Audit&amp;VAR:KEY=BWFKBKBAJS&amp;VAR:QUERY=RkZfUkRfRVhQKENBTCwzOTgxMywsLCwp&amp;WINDOW=FIRST_POPUP&amp;HEIGHT=450&amp;WIDTH=450&amp;START_MAXIMI","ZED=FALSE&amp;VAR:CALENDAR=US&amp;VAR:SYMBOL=AMGN&amp;VAR:INDEX=0"}</definedName>
    <definedName name="_3619__FDSAUDITLINK__" hidden="1">{"fdsup://directions/FAT Viewer?action=UPDATE&amp;creator=factset&amp;DYN_ARGS=TRUE&amp;DOC_NAME=FAT:FQL_AUDITING_CLIENT_TEMPLATE.FAT&amp;display_string=Audit&amp;VAR:KEY=JGFKDSPYPQ&amp;VAR:QUERY=RkZfUkRfRVhQKENBTCwzOTQ0NywsLCwp&amp;WINDOW=FIRST_POPUP&amp;HEIGHT=450&amp;WIDTH=450&amp;START_MAXIMI","ZED=FALSE&amp;VAR:CALENDAR=US&amp;VAR:SYMBOL=AMGN&amp;VAR:INDEX=0"}</definedName>
    <definedName name="_362__FDSAUDITLINK__" hidden="1">{"fdsup://directions/FAT%20Viewer?VAR:TM=NTMA&amp;VAR:PCT=0.147945&amp;VAR:Y0=2003&amp;VAR:Y1=2004&amp;VAR:V0=19.428470&amp;VAR:V1=17.241865&amp;VAR:V=17.533815&amp;VAR:AUDIT_ID=00000117&amp;VAR:DATE=20031107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Aggregates&amp;VAR:MEASURE=PE_MEAN&amp;VAR:CALC_MODE=PORTFOLIO&amp;VAR:CHGPERIOD=NA&amp;VAR:FQLFORMULA=FMA_PE&amp;VAR:CURRENCY=USD&amp;VAR:P=1","053.205900&amp;VAR:THRESH=||||||&amp;VAR:null=.html"}</definedName>
    <definedName name="_3620__FDSAUDITLINK__" hidden="1">{"fdsup://directions/FAT Viewer?action=UPDATE&amp;creator=factset&amp;DYN_ARGS=TRUE&amp;DOC_NAME=FAT:FQL_AUDITING_CLIENT_TEMPLATE.FAT&amp;display_string=Audit&amp;VAR:KEY=PITSZWZGJQ&amp;VAR:QUERY=RkZfUkRfRVhQKENBTCwzOTA4MiwsLCwp&amp;WINDOW=FIRST_POPUP&amp;HEIGHT=450&amp;WIDTH=450&amp;START_MAXIMI","ZED=FALSE&amp;VAR:CALENDAR=US&amp;VAR:SYMBOL=AMGN&amp;VAR:INDEX=0"}</definedName>
    <definedName name="_3621__FDSAUDITLINK__" hidden="1">{"fdsup://directions/FAT Viewer?action=UPDATE&amp;creator=factset&amp;DYN_ARGS=TRUE&amp;DOC_NAME=FAT:FQL_AUDITING_CLIENT_TEMPLATE.FAT&amp;display_string=Audit&amp;VAR:KEY=HKBWVOJSHI&amp;VAR:QUERY=RkZfUkRfRVhQKENBTCwzODcxNywsLCwp&amp;WINDOW=FIRST_POPUP&amp;HEIGHT=450&amp;WIDTH=450&amp;START_MAXIMI","ZED=FALSE&amp;VAR:CALENDAR=US&amp;VAR:SYMBOL=AMGN&amp;VAR:INDEX=0"}</definedName>
    <definedName name="_3622__FDSAUDITLINK__" hidden="1">{"fdsup://directions/FAT Viewer?action=UPDATE&amp;creator=factset&amp;DYN_ARGS=TRUE&amp;DOC_NAME=FAT:FQL_AUDITING_CLIENT_TEMPLATE.FAT&amp;display_string=Audit&amp;VAR:KEY=TUHABOXUJS&amp;VAR:QUERY=RkZfUkRfRVhQKENBTCwzODM1MiwsLCwp&amp;WINDOW=FIRST_POPUP&amp;HEIGHT=450&amp;WIDTH=450&amp;START_MAXIMI","ZED=FALSE&amp;VAR:CALENDAR=US&amp;VAR:SYMBOL=AMGN&amp;VAR:INDEX=0"}</definedName>
    <definedName name="_3623__FDSAUDITLINK__" hidden="1">{"fdsup://directions/FAT Viewer?action=UPDATE&amp;creator=factset&amp;DYN_ARGS=TRUE&amp;DOC_NAME=FAT:FQL_AUDITING_CLIENT_TEMPLATE.FAT&amp;display_string=Audit&amp;VAR:KEY=LIRCBIRMZO&amp;VAR:QUERY=RkZfUkRfRVhQKENBTCw0MDU0MywsLCwp&amp;WINDOW=FIRST_POPUP&amp;HEIGHT=450&amp;WIDTH=450&amp;START_MAXIMI","ZED=FALSE&amp;VAR:CALENDAR=US&amp;VAR:SYMBOL=ABT&amp;VAR:INDEX=0"}</definedName>
    <definedName name="_3624__FDSAUDITLINK__" hidden="1">{"fdsup://directions/FAT Viewer?action=UPDATE&amp;creator=factset&amp;DYN_ARGS=TRUE&amp;DOC_NAME=FAT:FQL_AUDITING_CLIENT_TEMPLATE.FAT&amp;display_string=Audit&amp;VAR:KEY=FKDMVIHOJW&amp;VAR:QUERY=RkZfUkRfRVhQKENBTCw0MDE3OCwsLCwp&amp;WINDOW=FIRST_POPUP&amp;HEIGHT=450&amp;WIDTH=450&amp;START_MAXIMI","ZED=FALSE&amp;VAR:CALENDAR=US&amp;VAR:SYMBOL=ABT&amp;VAR:INDEX=0"}</definedName>
    <definedName name="_3625__FDSAUDITLINK__" hidden="1">{"fdsup://directions/FAT Viewer?action=UPDATE&amp;creator=factset&amp;DYN_ARGS=TRUE&amp;DOC_NAME=FAT:FQL_AUDITING_CLIENT_TEMPLATE.FAT&amp;display_string=Audit&amp;VAR:KEY=DEROHMZOBS&amp;VAR:QUERY=RkZfUkRfRVhQKENBTCwzOTgxMywsLCwp&amp;WINDOW=FIRST_POPUP&amp;HEIGHT=450&amp;WIDTH=450&amp;START_MAXIMI","ZED=FALSE&amp;VAR:CALENDAR=US&amp;VAR:SYMBOL=ABT&amp;VAR:INDEX=0"}</definedName>
    <definedName name="_3626__FDSAUDITLINK__" hidden="1">{"fdsup://directions/FAT Viewer?action=UPDATE&amp;creator=factset&amp;DYN_ARGS=TRUE&amp;DOC_NAME=FAT:FQL_AUDITING_CLIENT_TEMPLATE.FAT&amp;display_string=Audit&amp;VAR:KEY=FSDQDMTKFI&amp;VAR:QUERY=RkZfUkRfRVhQKENBTCwzOTQ0NywsLCwp&amp;WINDOW=FIRST_POPUP&amp;HEIGHT=450&amp;WIDTH=450&amp;START_MAXIMI","ZED=FALSE&amp;VAR:CALENDAR=US&amp;VAR:SYMBOL=ABT&amp;VAR:INDEX=0"}</definedName>
    <definedName name="_3627__FDSAUDITLINK__" hidden="1">{"fdsup://directions/FAT Viewer?action=UPDATE&amp;creator=factset&amp;DYN_ARGS=TRUE&amp;DOC_NAME=FAT:FQL_AUDITING_CLIENT_TEMPLATE.FAT&amp;display_string=Audit&amp;VAR:KEY=DKXQFUXYNQ&amp;VAR:QUERY=RkZfUkRfRVhQKENBTCwzOTA4MiwsLCwp&amp;WINDOW=FIRST_POPUP&amp;HEIGHT=450&amp;WIDTH=450&amp;START_MAXIMI","ZED=FALSE&amp;VAR:CALENDAR=US&amp;VAR:SYMBOL=ABT&amp;VAR:INDEX=0"}</definedName>
    <definedName name="_3628__FDSAUDITLINK__" hidden="1">{"fdsup://directions/FAT Viewer?action=UPDATE&amp;creator=factset&amp;DYN_ARGS=TRUE&amp;DOC_NAME=FAT:FQL_AUDITING_CLIENT_TEMPLATE.FAT&amp;display_string=Audit&amp;VAR:KEY=DCTAJGPGHM&amp;VAR:QUERY=RkZfUkRfRVhQKENBTCwzODcxNywsLCwp&amp;WINDOW=FIRST_POPUP&amp;HEIGHT=450&amp;WIDTH=450&amp;START_MAXIMI","ZED=FALSE&amp;VAR:CALENDAR=US&amp;VAR:SYMBOL=ABT&amp;VAR:INDEX=0"}</definedName>
    <definedName name="_3629__FDSAUDITLINK__" hidden="1">{"fdsup://directions/FAT Viewer?action=UPDATE&amp;creator=factset&amp;DYN_ARGS=TRUE&amp;DOC_NAME=FAT:FQL_AUDITING_CLIENT_TEMPLATE.FAT&amp;display_string=Audit&amp;VAR:KEY=DWROLQJYRO&amp;VAR:QUERY=RkZfUkRfRVhQKENBTCwzODM1MiwsLCwp&amp;WINDOW=FIRST_POPUP&amp;HEIGHT=450&amp;WIDTH=450&amp;START_MAXIMI","ZED=FALSE&amp;VAR:CALENDAR=US&amp;VAR:SYMBOL=ABT&amp;VAR:INDEX=0"}</definedName>
    <definedName name="_363__FDSAUDITLINK__" hidden="1">{"fdsup://directions/FAT%20Viewer?VAR:TM=NTMA&amp;VAR:PCT=0.167123&amp;VAR:Y0=2003&amp;VAR:Y1=2004&amp;VAR:V0=19.374952&amp;VAR:V1=17.249900&amp;VAR:V=17.571997&amp;VAR:AUDIT_ID=00000117&amp;VAR:DATE=20031031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Aggregates&amp;VAR:MEASURE=PE_MEAN&amp;VAR:CALC_MODE=PORTFOLIO&amp;VAR:CHGPERIOD=NA&amp;VAR:FQLFORMULA=FMA_PE&amp;VAR:CURRENCY=USD&amp;VAR:P=1","050.714400&amp;VAR:THRESH=||||||&amp;VAR:null=.html"}</definedName>
    <definedName name="_3630__FDSAUDITLINK__" hidden="1">{"fdsup://directions/FAT Viewer?action=UPDATE&amp;creator=factset&amp;DYN_ARGS=TRUE&amp;DOC_NAME=FAT:FQL_AUDITING_CLIENT_TEMPLATE.FAT&amp;display_string=Audit&amp;VAR:KEY=JOTAHWPUXS&amp;VAR:QUERY=RkZfUkRfRVhQKENBTCw0MDU0MywsLCwp&amp;WINDOW=FIRST_POPUP&amp;HEIGHT=450&amp;WIDTH=450&amp;START_MAXIMI","ZED=FALSE&amp;VAR:CALENDAR=US&amp;VAR:SYMBOL=687044&amp;VAR:INDEX=0"}</definedName>
    <definedName name="_3631__FDSAUDITLINK__" hidden="1">{"fdsup://directions/FAT Viewer?action=UPDATE&amp;creator=factset&amp;DYN_ARGS=TRUE&amp;DOC_NAME=FAT:FQL_AUDITING_CLIENT_TEMPLATE.FAT&amp;display_string=Audit&amp;VAR:KEY=JSFKTSLWZU&amp;VAR:QUERY=RkZfUkRfRVhQKENBTCw0MDE3OCwsLCwp&amp;WINDOW=FIRST_POPUP&amp;HEIGHT=450&amp;WIDTH=450&amp;START_MAXIMI","ZED=FALSE&amp;VAR:CALENDAR=US&amp;VAR:SYMBOL=687044&amp;VAR:INDEX=0"}</definedName>
    <definedName name="_3632__FDSAUDITLINK__" hidden="1">{"fdsup://directions/FAT Viewer?action=UPDATE&amp;creator=factset&amp;DYN_ARGS=TRUE&amp;DOC_NAME=FAT:FQL_AUDITING_CLIENT_TEMPLATE.FAT&amp;display_string=Audit&amp;VAR:KEY=BWLSXWFQJQ&amp;VAR:QUERY=RkZfUkRfRVhQKENBTCwzOTgxMywsLCwp&amp;WINDOW=FIRST_POPUP&amp;HEIGHT=450&amp;WIDTH=450&amp;START_MAXIMI","ZED=FALSE&amp;VAR:CALENDAR=US&amp;VAR:SYMBOL=687044&amp;VAR:INDEX=0"}</definedName>
    <definedName name="_3633__FDSAUDITLINK__" hidden="1">{"fdsup://directions/FAT Viewer?action=UPDATE&amp;creator=factset&amp;DYN_ARGS=TRUE&amp;DOC_NAME=FAT:FQL_AUDITING_CLIENT_TEMPLATE.FAT&amp;display_string=Audit&amp;VAR:KEY=RSBIBMVATE&amp;VAR:QUERY=RkZfUkRfRVhQKENBTCwzOTQ0NywsLCwp&amp;WINDOW=FIRST_POPUP&amp;HEIGHT=450&amp;WIDTH=450&amp;START_MAXIMI","ZED=FALSE&amp;VAR:CALENDAR=US&amp;VAR:SYMBOL=687044&amp;VAR:INDEX=0"}</definedName>
    <definedName name="_3634__FDSAUDITLINK__" hidden="1">{"fdsup://directions/FAT Viewer?action=UPDATE&amp;creator=factset&amp;DYN_ARGS=TRUE&amp;DOC_NAME=FAT:FQL_AUDITING_CLIENT_TEMPLATE.FAT&amp;display_string=Audit&amp;VAR:KEY=BMBQFCROBS&amp;VAR:QUERY=RkZfUkRfRVhQKENBTCwzOTA4MiwsLCwp&amp;WINDOW=FIRST_POPUP&amp;HEIGHT=450&amp;WIDTH=450&amp;START_MAXIMI","ZED=FALSE&amp;VAR:CALENDAR=US&amp;VAR:SYMBOL=687044&amp;VAR:INDEX=0"}</definedName>
    <definedName name="_3635__FDSAUDITLINK__" hidden="1">{"fdsup://directions/FAT Viewer?action=UPDATE&amp;creator=factset&amp;DYN_ARGS=TRUE&amp;DOC_NAME=FAT:FQL_AUDITING_CLIENT_TEMPLATE.FAT&amp;display_string=Audit&amp;VAR:KEY=PSVODMRWBK&amp;VAR:QUERY=RkZfUkRfRVhQKENBTCwzODcxNywsLCwp&amp;WINDOW=FIRST_POPUP&amp;HEIGHT=450&amp;WIDTH=450&amp;START_MAXIMI","ZED=FALSE&amp;VAR:CALENDAR=US&amp;VAR:SYMBOL=687044&amp;VAR:INDEX=0"}</definedName>
    <definedName name="_3636__FDSAUDITLINK__" hidden="1">{"fdsup://directions/FAT Viewer?action=UPDATE&amp;creator=factset&amp;DYN_ARGS=TRUE&amp;DOC_NAME=FAT:FQL_AUDITING_CLIENT_TEMPLATE.FAT&amp;display_string=Audit&amp;VAR:KEY=XETOTYBIDC&amp;VAR:QUERY=RkZfUkRfRVhQKENBTCwzODM1MiwsLCwp&amp;WINDOW=FIRST_POPUP&amp;HEIGHT=450&amp;WIDTH=450&amp;START_MAXIMI","ZED=FALSE&amp;VAR:CALENDAR=US&amp;VAR:SYMBOL=687044&amp;VAR:INDEX=0"}</definedName>
    <definedName name="_3637__FDSAUDITLINK__" hidden="1">{"fdsup://directions/FAT Viewer?action=UPDATE&amp;creator=factset&amp;DYN_ARGS=TRUE&amp;DOC_NAME=FAT:FQL_AUDITING_CLIENT_TEMPLATE.FAT&amp;display_string=Audit&amp;VAR:KEY=ZYDGDSXIPY&amp;VAR:QUERY=RkZfUkRfRVhQKENBTCwzNzk4NiwsLCwp&amp;WINDOW=FIRST_POPUP&amp;HEIGHT=450&amp;WIDTH=450&amp;START_MAXIMI","ZED=FALSE&amp;VAR:CALENDAR=US&amp;VAR:SYMBOL=687044&amp;VAR:INDEX=0"}</definedName>
    <definedName name="_3638__FDSAUDITLINK__" hidden="1">{"fdsup://directions/FAT Viewer?action=UPDATE&amp;creator=factset&amp;DYN_ARGS=TRUE&amp;DOC_NAME=FAT:FQL_AUDITING_CLIENT_TEMPLATE.FAT&amp;display_string=Audit&amp;VAR:KEY=RQPKHUZILY&amp;VAR:QUERY=RkZfUkRfRVhQKENBTCw0MDU0MywsLCwp&amp;WINDOW=FIRST_POPUP&amp;HEIGHT=450&amp;WIDTH=450&amp;START_MAXIMI","ZED=FALSE&amp;VAR:CALENDAR=US&amp;VAR:SYMBOL=BMY&amp;VAR:INDEX=0"}</definedName>
    <definedName name="_3639__FDSAUDITLINK__" hidden="1">{"fdsup://directions/FAT Viewer?action=UPDATE&amp;creator=factset&amp;DYN_ARGS=TRUE&amp;DOC_NAME=FAT:FQL_AUDITING_CLIENT_TEMPLATE.FAT&amp;display_string=Audit&amp;VAR:KEY=ZKHEPOXWFO&amp;VAR:QUERY=RkZfUkRfRVhQKENBTCw0MDE3OCwsLCwp&amp;WINDOW=FIRST_POPUP&amp;HEIGHT=450&amp;WIDTH=450&amp;START_MAXIMI","ZED=FALSE&amp;VAR:CALENDAR=US&amp;VAR:SYMBOL=BMY&amp;VAR:INDEX=0"}</definedName>
    <definedName name="_364__FDSAUDITLINK__" hidden="1">{"fdsup://directions/FAT%20Viewer?VAR:TM=NTMA&amp;VAR:PCT=0.186301&amp;VAR:Y0=2003&amp;VAR:Y1=2004&amp;VAR:V0=19.008698&amp;VAR:V1=16.888632&amp;VAR:V=17.246998&amp;VAR:AUDIT_ID=00000117&amp;VAR:DATE=20031024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Aggregates&amp;VAR:MEASURE=PE_MEAN&amp;VAR:CALC_MODE=PORTFOLIO&amp;VAR:CHGPERIOD=NA&amp;VAR:FQLFORMULA=FMA_PE&amp;VAR:CURRENCY=USD&amp;VAR:P=1","028.905400&amp;VAR:THRESH=||||||&amp;VAR:null=.html"}</definedName>
    <definedName name="_3640__FDSAUDITLINK__" hidden="1">{"fdsup://directions/FAT Viewer?action=UPDATE&amp;creator=factset&amp;DYN_ARGS=TRUE&amp;DOC_NAME=FAT:FQL_AUDITING_CLIENT_TEMPLATE.FAT&amp;display_string=Audit&amp;VAR:KEY=NWVSBKDCPE&amp;VAR:QUERY=RkZfUkRfRVhQKENBTCwzOTgxMywsLCwp&amp;WINDOW=FIRST_POPUP&amp;HEIGHT=450&amp;WIDTH=450&amp;START_MAXIMI","ZED=FALSE&amp;VAR:CALENDAR=US&amp;VAR:SYMBOL=BMY&amp;VAR:INDEX=0"}</definedName>
    <definedName name="_3641__FDSAUDITLINK__" hidden="1">{"fdsup://directions/FAT Viewer?action=UPDATE&amp;creator=factset&amp;DYN_ARGS=TRUE&amp;DOC_NAME=FAT:FQL_AUDITING_CLIENT_TEMPLATE.FAT&amp;display_string=Audit&amp;VAR:KEY=RSXSPYNOFE&amp;VAR:QUERY=RkZfUkRfRVhQKENBTCwzOTQ0NywsLCwp&amp;WINDOW=FIRST_POPUP&amp;HEIGHT=450&amp;WIDTH=450&amp;START_MAXIMI","ZED=FALSE&amp;VAR:CALENDAR=US&amp;VAR:SYMBOL=BMY&amp;VAR:INDEX=0"}</definedName>
    <definedName name="_3642__FDSAUDITLINK__" hidden="1">{"fdsup://directions/FAT Viewer?action=UPDATE&amp;creator=factset&amp;DYN_ARGS=TRUE&amp;DOC_NAME=FAT:FQL_AUDITING_CLIENT_TEMPLATE.FAT&amp;display_string=Audit&amp;VAR:KEY=LKDOVYBADY&amp;VAR:QUERY=RkZfUkRfRVhQKENBTCwzOTA4MiwsLCwp&amp;WINDOW=FIRST_POPUP&amp;HEIGHT=450&amp;WIDTH=450&amp;START_MAXIMI","ZED=FALSE&amp;VAR:CALENDAR=US&amp;VAR:SYMBOL=BMY&amp;VAR:INDEX=0"}</definedName>
    <definedName name="_3643__FDSAUDITLINK__" hidden="1">{"fdsup://directions/FAT Viewer?action=UPDATE&amp;creator=factset&amp;DYN_ARGS=TRUE&amp;DOC_NAME=FAT:FQL_AUDITING_CLIENT_TEMPLATE.FAT&amp;display_string=Audit&amp;VAR:KEY=LQFUHMHSHG&amp;VAR:QUERY=RkZfUkRfRVhQKENBTCwzODcxNywsLCwp&amp;WINDOW=FIRST_POPUP&amp;HEIGHT=450&amp;WIDTH=450&amp;START_MAXIMI","ZED=FALSE&amp;VAR:CALENDAR=US&amp;VAR:SYMBOL=BMY&amp;VAR:INDEX=0"}</definedName>
    <definedName name="_3644__FDSAUDITLINK__" hidden="1">{"fdsup://directions/FAT Viewer?action=UPDATE&amp;creator=factset&amp;DYN_ARGS=TRUE&amp;DOC_NAME=FAT:FQL_AUDITING_CLIENT_TEMPLATE.FAT&amp;display_string=Audit&amp;VAR:KEY=FQBKHMBUDK&amp;VAR:QUERY=RkZfUkRfRVhQKENBTCwzODM1MiwsLCwp&amp;WINDOW=FIRST_POPUP&amp;HEIGHT=450&amp;WIDTH=450&amp;START_MAXIMI","ZED=FALSE&amp;VAR:CALENDAR=US&amp;VAR:SYMBOL=BMY&amp;VAR:INDEX=0"}</definedName>
    <definedName name="_3645__FDSAUDITLINK__" hidden="1">{"fdsup://directions/FAT Viewer?action=UPDATE&amp;creator=factset&amp;DYN_ARGS=TRUE&amp;DOC_NAME=FAT:FQL_AUDITING_CLIENT_TEMPLATE.FAT&amp;display_string=Audit&amp;VAR:KEY=BOHSRQTWRY&amp;VAR:QUERY=RkZfUkRfRVhQKENBTCw0MDU0MywsLCwp&amp;WINDOW=FIRST_POPUP&amp;HEIGHT=450&amp;WIDTH=450&amp;START_MAXIMI","ZED=FALSE&amp;VAR:CALENDAR=US&amp;VAR:SYMBOL=LLY&amp;VAR:INDEX=0"}</definedName>
    <definedName name="_3646__FDSAUDITLINK__" hidden="1">{"fdsup://directions/FAT Viewer?action=UPDATE&amp;creator=factset&amp;DYN_ARGS=TRUE&amp;DOC_NAME=FAT:FQL_AUDITING_CLIENT_TEMPLATE.FAT&amp;display_string=Audit&amp;VAR:KEY=BEDERGXQVO&amp;VAR:QUERY=RkZfUkRfRVhQKENBTCw0MDE3OCwsLCwp&amp;WINDOW=FIRST_POPUP&amp;HEIGHT=450&amp;WIDTH=450&amp;START_MAXIMI","ZED=FALSE&amp;VAR:CALENDAR=US&amp;VAR:SYMBOL=LLY&amp;VAR:INDEX=0"}</definedName>
    <definedName name="_3647__FDSAUDITLINK__" hidden="1">{"fdsup://directions/FAT Viewer?action=UPDATE&amp;creator=factset&amp;DYN_ARGS=TRUE&amp;DOC_NAME=FAT:FQL_AUDITING_CLIENT_TEMPLATE.FAT&amp;display_string=Audit&amp;VAR:KEY=RCRMLCNWPG&amp;VAR:QUERY=RkZfUkRfRVhQKENBTCwzOTgxMywsLCwp&amp;WINDOW=FIRST_POPUP&amp;HEIGHT=450&amp;WIDTH=450&amp;START_MAXIMI","ZED=FALSE&amp;VAR:CALENDAR=US&amp;VAR:SYMBOL=LLY&amp;VAR:INDEX=0"}</definedName>
    <definedName name="_3648__FDSAUDITLINK__" hidden="1">{"fdsup://directions/FAT Viewer?action=UPDATE&amp;creator=factset&amp;DYN_ARGS=TRUE&amp;DOC_NAME=FAT:FQL_AUDITING_CLIENT_TEMPLATE.FAT&amp;display_string=Audit&amp;VAR:KEY=HEPKDCHMJW&amp;VAR:QUERY=RkZfUkRfRVhQKENBTCwzOTQ0NywsLCwp&amp;WINDOW=FIRST_POPUP&amp;HEIGHT=450&amp;WIDTH=450&amp;START_MAXIMI","ZED=FALSE&amp;VAR:CALENDAR=US&amp;VAR:SYMBOL=LLY&amp;VAR:INDEX=0"}</definedName>
    <definedName name="_3649__FDSAUDITLINK__" hidden="1">{"fdsup://directions/FAT Viewer?action=UPDATE&amp;creator=factset&amp;DYN_ARGS=TRUE&amp;DOC_NAME=FAT:FQL_AUDITING_CLIENT_TEMPLATE.FAT&amp;display_string=Audit&amp;VAR:KEY=FENANCDSZW&amp;VAR:QUERY=RkZfUkRfRVhQKENBTCwzOTA4MiwsLCwp&amp;WINDOW=FIRST_POPUP&amp;HEIGHT=450&amp;WIDTH=450&amp;START_MAXIMI","ZED=FALSE&amp;VAR:CALENDAR=US&amp;VAR:SYMBOL=LLY&amp;VAR:INDEX=0"}</definedName>
    <definedName name="_365__FDSAUDITLINK__" hidden="1">{"fdsup://directions/FAT%20Viewer?VAR:TM=NTMA&amp;VAR:PCT=0.205479&amp;VAR:Y0=2003&amp;VAR:Y1=2004&amp;VAR:V0=19.236897&amp;VAR:V1=17.099514&amp;VAR:V=17.499026&amp;VAR:AUDIT_ID=00000117&amp;VAR:DATE=20031017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Aggregates&amp;VAR:MEASURE=PE_MEAN&amp;VAR:CALC_MODE=PORTFOLIO&amp;VAR:CHGPERIOD=NA&amp;VAR:FQLFORMULA=FMA_PE&amp;VAR:CURRENCY=USD&amp;VAR:P=1","039.322800&amp;VAR:THRESH=||||||&amp;VAR:null=.html"}</definedName>
    <definedName name="_3650__FDSAUDITLINK__" hidden="1">{"fdsup://directions/FAT Viewer?action=UPDATE&amp;creator=factset&amp;DYN_ARGS=TRUE&amp;DOC_NAME=FAT:FQL_AUDITING_CLIENT_TEMPLATE.FAT&amp;display_string=Audit&amp;VAR:KEY=BUFUPIJOPY&amp;VAR:QUERY=RkZfUkRfRVhQKENBTCwzODcxNywsLCwp&amp;WINDOW=FIRST_POPUP&amp;HEIGHT=450&amp;WIDTH=450&amp;START_MAXIMI","ZED=FALSE&amp;VAR:CALENDAR=US&amp;VAR:SYMBOL=LLY&amp;VAR:INDEX=0"}</definedName>
    <definedName name="_3651__FDSAUDITLINK__" hidden="1">{"fdsup://directions/FAT Viewer?action=UPDATE&amp;creator=factset&amp;DYN_ARGS=TRUE&amp;DOC_NAME=FAT:FQL_AUDITING_CLIENT_TEMPLATE.FAT&amp;display_string=Audit&amp;VAR:KEY=FITARQDYHC&amp;VAR:QUERY=RkZfUkRfRVhQKENBTCwzODM1MiwsLCwp&amp;WINDOW=FIRST_POPUP&amp;HEIGHT=450&amp;WIDTH=450&amp;START_MAXIMI","ZED=FALSE&amp;VAR:CALENDAR=US&amp;VAR:SYMBOL=LLY&amp;VAR:INDEX=0"}</definedName>
    <definedName name="_3652__FDSAUDITLINK__" hidden="1">{"fdsup://directions/FAT Viewer?action=UPDATE&amp;creator=factset&amp;DYN_ARGS=TRUE&amp;DOC_NAME=FAT:FQL_AUDITING_CLIENT_TEMPLATE.FAT&amp;display_string=Audit&amp;VAR:KEY=HCLIXKLATC&amp;VAR:QUERY=RkZfUkRfRVhQKENBTCw0MDU0MywsLCwp&amp;WINDOW=FIRST_POPUP&amp;HEIGHT=450&amp;WIDTH=450&amp;START_MAXIMI","ZED=FALSE&amp;VAR:CALENDAR=US&amp;VAR:SYMBOL=506921&amp;VAR:INDEX=0"}</definedName>
    <definedName name="_3653__FDSAUDITLINK__" hidden="1">{"fdsup://directions/FAT Viewer?action=UPDATE&amp;creator=factset&amp;DYN_ARGS=TRUE&amp;DOC_NAME=FAT:FQL_AUDITING_CLIENT_TEMPLATE.FAT&amp;display_string=Audit&amp;VAR:KEY=ZSRUDMXUFC&amp;VAR:QUERY=RkZfUkRfRVhQKENBTCw0MDE3OCwsLCwp&amp;WINDOW=FIRST_POPUP&amp;HEIGHT=450&amp;WIDTH=450&amp;START_MAXIMI","ZED=FALSE&amp;VAR:CALENDAR=US&amp;VAR:SYMBOL=506921&amp;VAR:INDEX=0"}</definedName>
    <definedName name="_3654__FDSAUDITLINK__" hidden="1">{"fdsup://directions/FAT Viewer?action=UPDATE&amp;creator=factset&amp;DYN_ARGS=TRUE&amp;DOC_NAME=FAT:FQL_AUDITING_CLIENT_TEMPLATE.FAT&amp;display_string=Audit&amp;VAR:KEY=RAHQNINYXK&amp;VAR:QUERY=RkZfUkRfRVhQKENBTCwzOTgxMywsLCwp&amp;WINDOW=FIRST_POPUP&amp;HEIGHT=450&amp;WIDTH=450&amp;START_MAXIMI","ZED=FALSE&amp;VAR:CALENDAR=US&amp;VAR:SYMBOL=506921&amp;VAR:INDEX=0"}</definedName>
    <definedName name="_3655__FDSAUDITLINK__" hidden="1">{"fdsup://directions/FAT Viewer?action=UPDATE&amp;creator=factset&amp;DYN_ARGS=TRUE&amp;DOC_NAME=FAT:FQL_AUDITING_CLIENT_TEMPLATE.FAT&amp;display_string=Audit&amp;VAR:KEY=RWDWLABEJW&amp;VAR:QUERY=RkZfUkRfRVhQKENBTCwzOTQ0NywsLCwp&amp;WINDOW=FIRST_POPUP&amp;HEIGHT=450&amp;WIDTH=450&amp;START_MAXIMI","ZED=FALSE&amp;VAR:CALENDAR=US&amp;VAR:SYMBOL=506921&amp;VAR:INDEX=0"}</definedName>
    <definedName name="_3656__FDSAUDITLINK__" hidden="1">{"fdsup://directions/FAT Viewer?action=UPDATE&amp;creator=factset&amp;DYN_ARGS=TRUE&amp;DOC_NAME=FAT:FQL_AUDITING_CLIENT_TEMPLATE.FAT&amp;display_string=Audit&amp;VAR:KEY=FGJCBIHEHA&amp;VAR:QUERY=RkZfUkRfRVhQKENBTCwzOTA4MiwsLCwp&amp;WINDOW=FIRST_POPUP&amp;HEIGHT=450&amp;WIDTH=450&amp;START_MAXIMI","ZED=FALSE&amp;VAR:CALENDAR=US&amp;VAR:SYMBOL=506921&amp;VAR:INDEX=0"}</definedName>
    <definedName name="_3657__FDSAUDITLINK__" hidden="1">{"fdsup://directions/FAT Viewer?action=UPDATE&amp;creator=factset&amp;DYN_ARGS=TRUE&amp;DOC_NAME=FAT:FQL_AUDITING_CLIENT_TEMPLATE.FAT&amp;display_string=Audit&amp;VAR:KEY=BYZCRITIBW&amp;VAR:QUERY=RkZfUkRfRVhQKENBTCwzODcxNywsLCwp&amp;WINDOW=FIRST_POPUP&amp;HEIGHT=450&amp;WIDTH=450&amp;START_MAXIMI","ZED=FALSE&amp;VAR:CALENDAR=US&amp;VAR:SYMBOL=506921&amp;VAR:INDEX=0"}</definedName>
    <definedName name="_3658__FDSAUDITLINK__" hidden="1">{"fdsup://directions/FAT Viewer?action=UPDATE&amp;creator=factset&amp;DYN_ARGS=TRUE&amp;DOC_NAME=FAT:FQL_AUDITING_CLIENT_TEMPLATE.FAT&amp;display_string=Audit&amp;VAR:KEY=FINCFGZWNE&amp;VAR:QUERY=RkZfUkRfRVhQKENBTCw0MDU0MywsLCwp&amp;WINDOW=FIRST_POPUP&amp;HEIGHT=450&amp;WIDTH=450&amp;START_MAXIMI","ZED=FALSE&amp;VAR:CALENDAR=US&amp;VAR:SYMBOL=567173&amp;VAR:INDEX=0"}</definedName>
    <definedName name="_3659__FDSAUDITLINK__" hidden="1">{"fdsup://directions/FAT Viewer?action=UPDATE&amp;creator=factset&amp;DYN_ARGS=TRUE&amp;DOC_NAME=FAT:FQL_AUDITING_CLIENT_TEMPLATE.FAT&amp;display_string=Audit&amp;VAR:KEY=XKDWJCVMXO&amp;VAR:QUERY=RkZfUkRfRVhQKENBTCw0MDE3OCwsLCwp&amp;WINDOW=FIRST_POPUP&amp;HEIGHT=450&amp;WIDTH=450&amp;START_MAXIMI","ZED=FALSE&amp;VAR:CALENDAR=US&amp;VAR:SYMBOL=567173&amp;VAR:INDEX=0"}</definedName>
    <definedName name="_366__FDSAUDITLINK__" hidden="1">{"fdsup://directions/FAT%20Viewer?VAR:TM=NTMA&amp;VAR:PCT=0.224658&amp;VAR:Y0=2003&amp;VAR:Y1=2004&amp;VAR:V0=19.300297&amp;VAR:V1=17.129147&amp;VAR:V=17.573266&amp;VAR:AUDIT_ID=00000117&amp;VAR:DATE=20031010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Aggregates&amp;VAR:MEASURE=PE_MEAN&amp;VAR:CALC_MODE=PORTFOLIO&amp;VAR:CHGPERIOD=NA&amp;VAR:FQLFORMULA=FMA_PE&amp;VAR:CURRENCY=USD&amp;VAR:P=1","038.060200&amp;VAR:THRESH=||||||&amp;VAR:null=.html"}</definedName>
    <definedName name="_3660__FDSAUDITLINK__" hidden="1">{"fdsup://directions/FAT Viewer?action=UPDATE&amp;creator=factset&amp;DYN_ARGS=TRUE&amp;DOC_NAME=FAT:FQL_AUDITING_CLIENT_TEMPLATE.FAT&amp;display_string=Audit&amp;VAR:KEY=PGJGJQBYXO&amp;VAR:QUERY=RkZfUkRfRVhQKENBTCwzOTgxMywsLCwp&amp;WINDOW=FIRST_POPUP&amp;HEIGHT=450&amp;WIDTH=450&amp;START_MAXIMI","ZED=FALSE&amp;VAR:CALENDAR=US&amp;VAR:SYMBOL=567173&amp;VAR:INDEX=0"}</definedName>
    <definedName name="_3661__FDSAUDITLINK__" hidden="1">{"fdsup://directions/FAT Viewer?action=UPDATE&amp;creator=factset&amp;DYN_ARGS=TRUE&amp;DOC_NAME=FAT:FQL_AUDITING_CLIENT_TEMPLATE.FAT&amp;display_string=Audit&amp;VAR:KEY=RWLEDIBETI&amp;VAR:QUERY=RkZfUkRfRVhQKENBTCwzOTQ0NywsLCwp&amp;WINDOW=FIRST_POPUP&amp;HEIGHT=450&amp;WIDTH=450&amp;START_MAXIMI","ZED=FALSE&amp;VAR:CALENDAR=US&amp;VAR:SYMBOL=567173&amp;VAR:INDEX=0"}</definedName>
    <definedName name="_3662__FDSAUDITLINK__" hidden="1">{"fdsup://directions/FAT Viewer?action=UPDATE&amp;creator=factset&amp;DYN_ARGS=TRUE&amp;DOC_NAME=FAT:FQL_AUDITING_CLIENT_TEMPLATE.FAT&amp;display_string=Audit&amp;VAR:KEY=VWPMVGBIVA&amp;VAR:QUERY=RkZfUkRfRVhQKENBTCwzOTA4MiwsLCwp&amp;WINDOW=FIRST_POPUP&amp;HEIGHT=450&amp;WIDTH=450&amp;START_MAXIMI","ZED=FALSE&amp;VAR:CALENDAR=US&amp;VAR:SYMBOL=567173&amp;VAR:INDEX=0"}</definedName>
    <definedName name="_3663__FDSAUDITLINK__" hidden="1">{"fdsup://directions/FAT Viewer?action=UPDATE&amp;creator=factset&amp;DYN_ARGS=TRUE&amp;DOC_NAME=FAT:FQL_AUDITING_CLIENT_TEMPLATE.FAT&amp;display_string=Audit&amp;VAR:KEY=ZGNEJWTYPU&amp;VAR:QUERY=RkZfUkRfRVhQKENBTCwzODcxNywsLCwp&amp;WINDOW=FIRST_POPUP&amp;HEIGHT=450&amp;WIDTH=450&amp;START_MAXIMI","ZED=FALSE&amp;VAR:CALENDAR=US&amp;VAR:SYMBOL=567173&amp;VAR:INDEX=0"}</definedName>
    <definedName name="_3664__FDSAUDITLINK__" hidden="1">{"fdsup://directions/FAT Viewer?action=UPDATE&amp;creator=factset&amp;DYN_ARGS=TRUE&amp;DOC_NAME=FAT:FQL_AUDITING_CLIENT_TEMPLATE.FAT&amp;display_string=Audit&amp;VAR:KEY=LGVSXMXGRE&amp;VAR:QUERY=RkZfUkRfRVhQKENBTCw0MDU0MywsLCwp&amp;WINDOW=FIRST_POPUP&amp;HEIGHT=450&amp;WIDTH=450&amp;START_MAXIMI","ZED=FALSE&amp;VAR:CALENDAR=US&amp;VAR:SYMBOL=JNJ&amp;VAR:INDEX=0"}</definedName>
    <definedName name="_3665__FDSAUDITLINK__" hidden="1">{"fdsup://directions/FAT Viewer?action=UPDATE&amp;creator=factset&amp;DYN_ARGS=TRUE&amp;DOC_NAME=FAT:FQL_AUDITING_CLIENT_TEMPLATE.FAT&amp;display_string=Audit&amp;VAR:KEY=HIHGTUVWJM&amp;VAR:QUERY=RkZfUkRfRVhQKENBTCw0MDE3OCwsLCwp&amp;WINDOW=FIRST_POPUP&amp;HEIGHT=450&amp;WIDTH=450&amp;START_MAXIMI","ZED=FALSE&amp;VAR:CALENDAR=US&amp;VAR:SYMBOL=JNJ&amp;VAR:INDEX=0"}</definedName>
    <definedName name="_3666__FDSAUDITLINK__" hidden="1">{"fdsup://directions/FAT Viewer?action=UPDATE&amp;creator=factset&amp;DYN_ARGS=TRUE&amp;DOC_NAME=FAT:FQL_AUDITING_CLIENT_TEMPLATE.FAT&amp;display_string=Audit&amp;VAR:KEY=NQLIFKBKPW&amp;VAR:QUERY=RkZfUkRfRVhQKENBTCwzOTgxMywsLCwp&amp;WINDOW=FIRST_POPUP&amp;HEIGHT=450&amp;WIDTH=450&amp;START_MAXIMI","ZED=FALSE&amp;VAR:CALENDAR=US&amp;VAR:SYMBOL=JNJ&amp;VAR:INDEX=0"}</definedName>
    <definedName name="_3667__FDSAUDITLINK__" hidden="1">{"fdsup://directions/FAT Viewer?action=UPDATE&amp;creator=factset&amp;DYN_ARGS=TRUE&amp;DOC_NAME=FAT:FQL_AUDITING_CLIENT_TEMPLATE.FAT&amp;display_string=Audit&amp;VAR:KEY=FYLUREVORG&amp;VAR:QUERY=RkZfUkRfRVhQKENBTCwzOTQ0NywsLCwp&amp;WINDOW=FIRST_POPUP&amp;HEIGHT=450&amp;WIDTH=450&amp;START_MAXIMI","ZED=FALSE&amp;VAR:CALENDAR=US&amp;VAR:SYMBOL=JNJ&amp;VAR:INDEX=0"}</definedName>
    <definedName name="_3668__FDSAUDITLINK__" hidden="1">{"fdsup://directions/FAT Viewer?action=UPDATE&amp;creator=factset&amp;DYN_ARGS=TRUE&amp;DOC_NAME=FAT:FQL_AUDITING_CLIENT_TEMPLATE.FAT&amp;display_string=Audit&amp;VAR:KEY=BUPWHWVEFO&amp;VAR:QUERY=RkZfUkRfRVhQKENBTCwzOTA4MiwsLCwp&amp;WINDOW=FIRST_POPUP&amp;HEIGHT=450&amp;WIDTH=450&amp;START_MAXIMI","ZED=FALSE&amp;VAR:CALENDAR=US&amp;VAR:SYMBOL=JNJ&amp;VAR:INDEX=0"}</definedName>
    <definedName name="_3669__FDSAUDITLINK__" hidden="1">{"fdsup://directions/FAT Viewer?action=UPDATE&amp;creator=factset&amp;DYN_ARGS=TRUE&amp;DOC_NAME=FAT:FQL_AUDITING_CLIENT_TEMPLATE.FAT&amp;display_string=Audit&amp;VAR:KEY=BIZGFAZSLE&amp;VAR:QUERY=RkZfUkRfRVhQKENBTCwzODcxNywsLCwp&amp;WINDOW=FIRST_POPUP&amp;HEIGHT=450&amp;WIDTH=450&amp;START_MAXIMI","ZED=FALSE&amp;VAR:CALENDAR=US&amp;VAR:SYMBOL=JNJ&amp;VAR:INDEX=0"}</definedName>
    <definedName name="_367__FDSAUDITLINK__" hidden="1">{"fdsup://directions/FAT%20Viewer?VAR:TM=NTMA&amp;VAR:PCT=0.243836&amp;VAR:Y0=2003&amp;VAR:Y1=2004&amp;VAR:V0=19.152586&amp;VAR:V1=16.987375&amp;VAR:V=17.468919&amp;VAR:AUDIT_ID=00000117&amp;VAR:DATE=20031003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Aggregates&amp;VAR:MEASURE=PE_MEAN&amp;VAR:CALC_MODE=PORTFOLIO&amp;VAR:CHGPERIOD=NA&amp;VAR:FQLFORMULA=FMA_PE&amp;VAR:CURRENCY=USD&amp;VAR:P=1","029.848000&amp;VAR:THRESH=||||||&amp;VAR:null=.html"}</definedName>
    <definedName name="_3670__FDSAUDITLINK__" hidden="1">{"fdsup://directions/FAT Viewer?action=UPDATE&amp;creator=factset&amp;DYN_ARGS=TRUE&amp;DOC_NAME=FAT:FQL_AUDITING_CLIENT_TEMPLATE.FAT&amp;display_string=Audit&amp;VAR:KEY=FQZEXGVUHG&amp;VAR:QUERY=RkZfUkRfRVhQKENBTCwzODM1MiwsLCwp&amp;WINDOW=FIRST_POPUP&amp;HEIGHT=450&amp;WIDTH=450&amp;START_MAXIMI","ZED=FALSE&amp;VAR:CALENDAR=US&amp;VAR:SYMBOL=JNJ&amp;VAR:INDEX=0"}</definedName>
    <definedName name="_3671__FDSAUDITLINK__" hidden="1">{"fdsup://directions/FAT Viewer?action=UPDATE&amp;creator=factset&amp;DYN_ARGS=TRUE&amp;DOC_NAME=FAT:FQL_AUDITING_CLIENT_TEMPLATE.FAT&amp;display_string=Audit&amp;VAR:KEY=LEFUXOTGLS&amp;VAR:QUERY=RkZfUkRfRVhQKENBTCw0MDU0MywsLCwp&amp;WINDOW=FIRST_POPUP&amp;HEIGHT=450&amp;WIDTH=450&amp;START_MAXIMI","ZED=FALSE&amp;VAR:CALENDAR=US&amp;VAR:SYMBOL=710306&amp;VAR:INDEX=0"}</definedName>
    <definedName name="_3672__FDSAUDITLINK__" hidden="1">{"fdsup://directions/FAT Viewer?action=UPDATE&amp;creator=factset&amp;DYN_ARGS=TRUE&amp;DOC_NAME=FAT:FQL_AUDITING_CLIENT_TEMPLATE.FAT&amp;display_string=Audit&amp;VAR:KEY=XUVINAFIPU&amp;VAR:QUERY=RkZfUkRfRVhQKENBTCw0MDE3OCwsLCwp&amp;WINDOW=FIRST_POPUP&amp;HEIGHT=450&amp;WIDTH=450&amp;START_MAXIMI","ZED=FALSE&amp;VAR:CALENDAR=US&amp;VAR:SYMBOL=710306&amp;VAR:INDEX=0"}</definedName>
    <definedName name="_3673__FDSAUDITLINK__" hidden="1">{"fdsup://directions/FAT Viewer?action=UPDATE&amp;creator=factset&amp;DYN_ARGS=TRUE&amp;DOC_NAME=FAT:FQL_AUDITING_CLIENT_TEMPLATE.FAT&amp;display_string=Audit&amp;VAR:KEY=HKXWJMJSZQ&amp;VAR:QUERY=RkZfUkRfRVhQKENBTCwzOTgxMywsLCwp&amp;WINDOW=FIRST_POPUP&amp;HEIGHT=450&amp;WIDTH=450&amp;START_MAXIMI","ZED=FALSE&amp;VAR:CALENDAR=US&amp;VAR:SYMBOL=710306&amp;VAR:INDEX=0"}</definedName>
    <definedName name="_3674__FDSAUDITLINK__" hidden="1">{"fdsup://directions/FAT Viewer?action=UPDATE&amp;creator=factset&amp;DYN_ARGS=TRUE&amp;DOC_NAME=FAT:FQL_AUDITING_CLIENT_TEMPLATE.FAT&amp;display_string=Audit&amp;VAR:KEY=JONIRWROFI&amp;VAR:QUERY=RkZfUkRfRVhQKENBTCwzOTQ0NywsLCwp&amp;WINDOW=FIRST_POPUP&amp;HEIGHT=450&amp;WIDTH=450&amp;START_MAXIMI","ZED=FALSE&amp;VAR:CALENDAR=US&amp;VAR:SYMBOL=710306&amp;VAR:INDEX=0"}</definedName>
    <definedName name="_3675__FDSAUDITLINK__" hidden="1">{"fdsup://directions/FAT Viewer?action=UPDATE&amp;creator=factset&amp;DYN_ARGS=TRUE&amp;DOC_NAME=FAT:FQL_AUDITING_CLIENT_TEMPLATE.FAT&amp;display_string=Audit&amp;VAR:KEY=BAPYPCNOVG&amp;VAR:QUERY=RkZfUkRfRVhQKENBTCwzOTA4MiwsLCwp&amp;WINDOW=FIRST_POPUP&amp;HEIGHT=450&amp;WIDTH=450&amp;START_MAXIMI","ZED=FALSE&amp;VAR:CALENDAR=US&amp;VAR:SYMBOL=710306&amp;VAR:INDEX=0"}</definedName>
    <definedName name="_3676__FDSAUDITLINK__" hidden="1">{"fdsup://directions/FAT Viewer?action=UPDATE&amp;creator=factset&amp;DYN_ARGS=TRUE&amp;DOC_NAME=FAT:FQL_AUDITING_CLIENT_TEMPLATE.FAT&amp;display_string=Audit&amp;VAR:KEY=VKXURALSNK&amp;VAR:QUERY=RkZfUkRfRVhQKENBTCwzODcxNywsLCwp&amp;WINDOW=FIRST_POPUP&amp;HEIGHT=450&amp;WIDTH=450&amp;START_MAXIMI","ZED=FALSE&amp;VAR:CALENDAR=US&amp;VAR:SYMBOL=710306&amp;VAR:INDEX=0"}</definedName>
    <definedName name="_3677__FDSAUDITLINK__" hidden="1">{"fdsup://directions/FAT Viewer?action=UPDATE&amp;creator=factset&amp;DYN_ARGS=TRUE&amp;DOC_NAME=FAT:FQL_AUDITING_CLIENT_TEMPLATE.FAT&amp;display_string=Audit&amp;VAR:KEY=BUHEBCVYDU&amp;VAR:QUERY=RkZfUkRfRVhQKENBTCw0MDU0MywsLCwp&amp;WINDOW=FIRST_POPUP&amp;HEIGHT=450&amp;WIDTH=450&amp;START_MAXIMI","ZED=FALSE&amp;VAR:CALENDAR=US&amp;VAR:SYMBOL=711038&amp;VAR:INDEX=0"}</definedName>
    <definedName name="_3678__FDSAUDITLINK__" hidden="1">{"fdsup://directions/FAT Viewer?action=UPDATE&amp;creator=factset&amp;DYN_ARGS=TRUE&amp;DOC_NAME=FAT:FQL_AUDITING_CLIENT_TEMPLATE.FAT&amp;display_string=Audit&amp;VAR:KEY=HATKVKBWZI&amp;VAR:QUERY=RkZfUkRfRVhQKENBTCw0MDE3OCwsLCwp&amp;WINDOW=FIRST_POPUP&amp;HEIGHT=450&amp;WIDTH=450&amp;START_MAXIMI","ZED=FALSE&amp;VAR:CALENDAR=US&amp;VAR:SYMBOL=711038&amp;VAR:INDEX=0"}</definedName>
    <definedName name="_3679__FDSAUDITLINK__" hidden="1">{"fdsup://directions/FAT Viewer?action=UPDATE&amp;creator=factset&amp;DYN_ARGS=TRUE&amp;DOC_NAME=FAT:FQL_AUDITING_CLIENT_TEMPLATE.FAT&amp;display_string=Audit&amp;VAR:KEY=XUXGPIZETA&amp;VAR:QUERY=RkZfUkRfRVhQKENBTCwzOTgxMywsLCwp&amp;WINDOW=FIRST_POPUP&amp;HEIGHT=450&amp;WIDTH=450&amp;START_MAXIMI","ZED=FALSE&amp;VAR:CALENDAR=US&amp;VAR:SYMBOL=711038&amp;VAR:INDEX=0"}</definedName>
    <definedName name="_368__FDSAUDITLINK__" hidden="1">{"fdsup://directions/FAT%20Viewer?VAR:TM=NTMA&amp;VAR:PCT=0.263014&amp;VAR:Y0=2003&amp;VAR:Y1=2004&amp;VAR:V0=18.545887&amp;VAR:V1=16.468782&amp;VAR:V=16.968628&amp;VAR:AUDIT_ID=00000117&amp;VAR:DATE=20030926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Aggregates&amp;VAR:MEASURE=PE_MEAN&amp;VAR:CALC_MODE=PORTFOLIO&amp;VAR:CHGPERIOD=NA&amp;VAR:FQLFORMULA=FMA_PE&amp;VAR:CURRENCY=USD&amp;VAR:P=9","96.852540&amp;VAR:THRESH=||||||&amp;VAR:null=.html"}</definedName>
    <definedName name="_3680__FDSAUDITLINK__" hidden="1">{"fdsup://directions/FAT Viewer?action=UPDATE&amp;creator=factset&amp;DYN_ARGS=TRUE&amp;DOC_NAME=FAT:FQL_AUDITING_CLIENT_TEMPLATE.FAT&amp;display_string=Audit&amp;VAR:KEY=LULOLUFSZY&amp;VAR:QUERY=RkZfUkRfRVhQKENBTCwzOTgxMywsLCwp&amp;WINDOW=FIRST_POPUP&amp;HEIGHT=450&amp;WIDTH=450&amp;START_MAXIMI","ZED=FALSE&amp;VAR:CALENDAR=US&amp;VAR:SYMBOL=DNA&amp;VAR:INDEX=0"}</definedName>
    <definedName name="_3681__FDSAUDITLINK__" hidden="1">{"fdsup://directions/FAT Viewer?action=UPDATE&amp;creator=factset&amp;DYN_ARGS=TRUE&amp;DOC_NAME=FAT:FQL_AUDITING_CLIENT_TEMPLATE.FAT&amp;display_string=Audit&amp;VAR:KEY=JQXWLKRQJO&amp;VAR:QUERY=RkZfUkRfRVhQKENBTCwzOTQ0NywsLCwp&amp;WINDOW=FIRST_POPUP&amp;HEIGHT=450&amp;WIDTH=450&amp;START_MAXIMI","ZED=FALSE&amp;VAR:CALENDAR=US&amp;VAR:SYMBOL=DNA&amp;VAR:INDEX=0"}</definedName>
    <definedName name="_3682__FDSAUDITLINK__" hidden="1">{"fdsup://directions/FAT Viewer?action=UPDATE&amp;creator=factset&amp;DYN_ARGS=TRUE&amp;DOC_NAME=FAT:FQL_AUDITING_CLIENT_TEMPLATE.FAT&amp;display_string=Audit&amp;VAR:KEY=HYXWNYRITG&amp;VAR:QUERY=RkZfUkRfRVhQKENBTCwzOTA4MiwsLCwp&amp;WINDOW=FIRST_POPUP&amp;HEIGHT=450&amp;WIDTH=450&amp;START_MAXIMI","ZED=FALSE&amp;VAR:CALENDAR=US&amp;VAR:SYMBOL=DNA&amp;VAR:INDEX=0"}</definedName>
    <definedName name="_3683__FDSAUDITLINK__" hidden="1">{"fdsup://directions/FAT Viewer?action=UPDATE&amp;creator=factset&amp;DYN_ARGS=TRUE&amp;DOC_NAME=FAT:FQL_AUDITING_CLIENT_TEMPLATE.FAT&amp;display_string=Audit&amp;VAR:KEY=FWHQNGDGJY&amp;VAR:QUERY=RkZfUkRfRVhQKENBTCwzODcxNywsLCwp&amp;WINDOW=FIRST_POPUP&amp;HEIGHT=450&amp;WIDTH=450&amp;START_MAXIMI","ZED=FALSE&amp;VAR:CALENDAR=US&amp;VAR:SYMBOL=DNA&amp;VAR:INDEX=0"}</definedName>
    <definedName name="_3684__FDSAUDITLINK__" hidden="1">{"fdsup://directions/FAT Viewer?action=UPDATE&amp;creator=factset&amp;DYN_ARGS=TRUE&amp;DOC_NAME=FAT:FQL_AUDITING_CLIENT_TEMPLATE.FAT&amp;display_string=Audit&amp;VAR:KEY=RQTWDYPOXG&amp;VAR:QUERY=RkZfUkRfRVhQKENBTCwzODM1MiwsLCwp&amp;WINDOW=FIRST_POPUP&amp;HEIGHT=450&amp;WIDTH=450&amp;START_MAXIMI","ZED=FALSE&amp;VAR:CALENDAR=US&amp;VAR:SYMBOL=DNA&amp;VAR:INDEX=0"}</definedName>
    <definedName name="_3685__FDSAUDITLINK__" hidden="1">{"fdsup://directions/FAT Viewer?action=UPDATE&amp;creator=factset&amp;DYN_ARGS=TRUE&amp;DOC_NAME=FAT:FQL_AUDITING_CLIENT_TEMPLATE.FAT&amp;display_string=Audit&amp;VAR:KEY=JGLQLQPQDK&amp;VAR:QUERY=RkZfUkRfRVhQKENBTCw0MDU0MywsLCwp&amp;WINDOW=FIRST_POPUP&amp;HEIGHT=450&amp;WIDTH=450&amp;START_MAXIMI","ZED=FALSE&amp;VAR:CALENDAR=US&amp;VAR:SYMBOL=MRK&amp;VAR:INDEX=0"}</definedName>
    <definedName name="_3686__FDSAUDITLINK__" hidden="1">{"fdsup://directions/FAT Viewer?action=UPDATE&amp;creator=factset&amp;DYN_ARGS=TRUE&amp;DOC_NAME=FAT:FQL_AUDITING_CLIENT_TEMPLATE.FAT&amp;display_string=Audit&amp;VAR:KEY=XMHMROTSFU&amp;VAR:QUERY=RkZfUkRfRVhQKENBTCw0MDE3OCwsLCxVU0Qp&amp;WINDOW=FIRST_POPUP&amp;HEIGHT=450&amp;WIDTH=450&amp;START_MA","XIMIZED=FALSE&amp;VAR:CALENDAR=US&amp;VAR:SYMBOL=MRK&amp;VAR:INDEX=0"}</definedName>
    <definedName name="_3687__FDSAUDITLINK__" hidden="1">{"fdsup://directions/FAT Viewer?action=UPDATE&amp;creator=factset&amp;DYN_ARGS=TRUE&amp;DOC_NAME=FAT:FQL_AUDITING_CLIENT_TEMPLATE.FAT&amp;display_string=Audit&amp;VAR:KEY=BMVWPEJELU&amp;VAR:QUERY=RkZfUkRfRVhQKENBTCwzOTgxMywsLCwp&amp;WINDOW=FIRST_POPUP&amp;HEIGHT=450&amp;WIDTH=450&amp;START_MAXIMI","ZED=FALSE&amp;VAR:CALENDAR=US&amp;VAR:SYMBOL=MRK&amp;VAR:INDEX=0"}</definedName>
    <definedName name="_3688__FDSAUDITLINK__" hidden="1">{"fdsup://directions/FAT Viewer?action=UPDATE&amp;creator=factset&amp;DYN_ARGS=TRUE&amp;DOC_NAME=FAT:FQL_AUDITING_CLIENT_TEMPLATE.FAT&amp;display_string=Audit&amp;VAR:KEY=ZWNOBEDCJI&amp;VAR:QUERY=RkZfUkRfRVhQKENBTCwzOTgxMywsLCwp&amp;WINDOW=FIRST_POPUP&amp;HEIGHT=450&amp;WIDTH=450&amp;START_MAXIMI","ZED=FALSE&amp;VAR:CALENDAR=US&amp;VAR:SYMBOL=SGP&amp;VAR:INDEX=0"}</definedName>
    <definedName name="_3689__FDSAUDITLINK__" hidden="1">{"fdsup://directions/FAT Viewer?action=UPDATE&amp;creator=factset&amp;DYN_ARGS=TRUE&amp;DOC_NAME=FAT:FQL_AUDITING_CLIENT_TEMPLATE.FAT&amp;display_string=Audit&amp;VAR:KEY=LSNMLEBONA&amp;VAR:QUERY=RkZfUkRfRVhQKENBTCwzOTQ0NywsLCwp&amp;WINDOW=FIRST_POPUP&amp;HEIGHT=450&amp;WIDTH=450&amp;START_MAXIMI","ZED=FALSE&amp;VAR:CALENDAR=US&amp;VAR:SYMBOL=MRK&amp;VAR:INDEX=0"}</definedName>
    <definedName name="_369__FDSAUDITLINK__" hidden="1">{"fdsup://directions/FAT%20Viewer?VAR:TM=NTMA&amp;VAR:PCT=0.282192&amp;VAR:Y0=2003&amp;VAR:Y1=2004&amp;VAR:V0=19.200329&amp;VAR:V1=17.062647&amp;VAR:V=17.616110&amp;VAR:AUDIT_ID=00000117&amp;VAR:DATE=20030919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Aggregates&amp;VAR:MEASURE=PE_MEAN&amp;VAR:CALC_MODE=PORTFOLIO&amp;VAR:CHGPERIOD=NA&amp;VAR:FQLFORMULA=FMA_PE&amp;VAR:CURRENCY=USD&amp;VAR:P=1","036.304400&amp;VAR:THRESH=||||||&amp;VAR:null=.html"}</definedName>
    <definedName name="_3690__FDSAUDITLINK__" hidden="1">{"fdsup://directions/FAT Viewer?action=UPDATE&amp;creator=factset&amp;DYN_ARGS=TRUE&amp;DOC_NAME=FAT:FQL_AUDITING_CLIENT_TEMPLATE.FAT&amp;display_string=Audit&amp;VAR:KEY=VERKZCBWNO&amp;VAR:QUERY=RkZfUkRfRVhQKENBTCwzOTQ0NywsLCwp&amp;WINDOW=FIRST_POPUP&amp;HEIGHT=450&amp;WIDTH=450&amp;START_MAXIMI","ZED=FALSE&amp;VAR:CALENDAR=US&amp;VAR:SYMBOL=SGP&amp;VAR:INDEX=0"}</definedName>
    <definedName name="_3691__FDSAUDITLINK__" hidden="1">{"fdsup://directions/FAT Viewer?action=UPDATE&amp;creator=factset&amp;DYN_ARGS=TRUE&amp;DOC_NAME=FAT:FQL_AUDITING_CLIENT_TEMPLATE.FAT&amp;display_string=Audit&amp;VAR:KEY=NMHYXIZERM&amp;VAR:QUERY=RkZfUkRfRVhQKENBTCwzOTA4MiwsLCwp&amp;WINDOW=FIRST_POPUP&amp;HEIGHT=450&amp;WIDTH=450&amp;START_MAXIMI","ZED=FALSE&amp;VAR:CALENDAR=US&amp;VAR:SYMBOL=MRK&amp;VAR:INDEX=0"}</definedName>
    <definedName name="_3692__FDSAUDITLINK__" hidden="1">{"fdsup://directions/FAT Viewer?action=UPDATE&amp;creator=factset&amp;DYN_ARGS=TRUE&amp;DOC_NAME=FAT:FQL_AUDITING_CLIENT_TEMPLATE.FAT&amp;display_string=Audit&amp;VAR:KEY=VGVGPSRCRG&amp;VAR:QUERY=RkZfUkRfRVhQKENBTCwzOTA4MiwsLCwp&amp;WINDOW=FIRST_POPUP&amp;HEIGHT=450&amp;WIDTH=450&amp;START_MAXIMI","ZED=FALSE&amp;VAR:CALENDAR=US&amp;VAR:SYMBOL=SGP&amp;VAR:INDEX=0"}</definedName>
    <definedName name="_3693__FDSAUDITLINK__" hidden="1">{"fdsup://directions/FAT Viewer?action=UPDATE&amp;creator=factset&amp;DYN_ARGS=TRUE&amp;DOC_NAME=FAT:FQL_AUDITING_CLIENT_TEMPLATE.FAT&amp;display_string=Audit&amp;VAR:KEY=HIHQXGPWVE&amp;VAR:QUERY=RkZfUkRfRVhQKENBTCwzODcxNywsLCwp&amp;WINDOW=FIRST_POPUP&amp;HEIGHT=450&amp;WIDTH=450&amp;START_MAXIMI","ZED=FALSE&amp;VAR:CALENDAR=US&amp;VAR:SYMBOL=MRK&amp;VAR:INDEX=0"}</definedName>
    <definedName name="_3694__FDSAUDITLINK__" hidden="1">{"fdsup://directions/FAT Viewer?action=UPDATE&amp;creator=factset&amp;DYN_ARGS=TRUE&amp;DOC_NAME=FAT:FQL_AUDITING_CLIENT_TEMPLATE.FAT&amp;display_string=Audit&amp;VAR:KEY=DQBAJYBAFW&amp;VAR:QUERY=RkZfUkRfRVhQKENBTCwzODcxNywsLCwp&amp;WINDOW=FIRST_POPUP&amp;HEIGHT=450&amp;WIDTH=450&amp;START_MAXIMI","ZED=FALSE&amp;VAR:CALENDAR=US&amp;VAR:SYMBOL=SGP&amp;VAR:INDEX=0"}</definedName>
    <definedName name="_3695__FDSAUDITLINK__" hidden="1">{"fdsup://directions/FAT Viewer?action=UPDATE&amp;creator=factset&amp;DYN_ARGS=TRUE&amp;DOC_NAME=FAT:FQL_AUDITING_CLIENT_TEMPLATE.FAT&amp;display_string=Audit&amp;VAR:KEY=BILIDIROZO&amp;VAR:QUERY=RkZfUkRfRVhQKENBTCwzODM1MiwsLCwp&amp;WINDOW=FIRST_POPUP&amp;HEIGHT=450&amp;WIDTH=450&amp;START_MAXIMI","ZED=FALSE&amp;VAR:CALENDAR=US&amp;VAR:SYMBOL=MRK&amp;VAR:INDEX=0"}</definedName>
    <definedName name="_3696__FDSAUDITLINK__" hidden="1">{"fdsup://directions/FAT Viewer?action=UPDATE&amp;creator=factset&amp;DYN_ARGS=TRUE&amp;DOC_NAME=FAT:FQL_AUDITING_CLIENT_TEMPLATE.FAT&amp;display_string=Audit&amp;VAR:KEY=HSTURMXUFQ&amp;VAR:QUERY=RkZfUkRfRVhQKENBTCwzODM1MiwsLCwp&amp;WINDOW=FIRST_POPUP&amp;HEIGHT=450&amp;WIDTH=450&amp;START_MAXIMI","ZED=FALSE&amp;VAR:CALENDAR=US&amp;VAR:SYMBOL=SGP&amp;VAR:INDEX=0"}</definedName>
    <definedName name="_3697__FDSAUDITLINK__" hidden="1">{"fdsup://directions/FAT Viewer?action=UPDATE&amp;creator=factset&amp;DYN_ARGS=TRUE&amp;DOC_NAME=FAT:FQL_AUDITING_CLIENT_TEMPLATE.FAT&amp;display_string=Audit&amp;VAR:KEY=RULMZELIXK&amp;VAR:QUERY=RkZfUkRfRVhQKENBTCw0MDU0MywsLCwp&amp;WINDOW=FIRST_POPUP&amp;HEIGHT=450&amp;WIDTH=450&amp;START_MAXIMI","ZED=FALSE&amp;VAR:CALENDAR=US&amp;VAR:SYMBOL=PFE&amp;VAR:INDEX=0"}</definedName>
    <definedName name="_3698__FDSAUDITLINK__" hidden="1">{"fdsup://directions/FAT Viewer?action=UPDATE&amp;creator=factset&amp;DYN_ARGS=TRUE&amp;DOC_NAME=FAT:FQL_AUDITING_CLIENT_TEMPLATE.FAT&amp;display_string=Audit&amp;VAR:KEY=XADITGJORE&amp;VAR:QUERY=RkZfUkRfRVhQKENBTCw0MDE3OCwsLCxVU0Qp&amp;WINDOW=FIRST_POPUP&amp;HEIGHT=450&amp;WIDTH=450&amp;START_MA","XIMIZED=FALSE&amp;VAR:CALENDAR=US&amp;VAR:SYMBOL=PFE&amp;VAR:INDEX=0"}</definedName>
    <definedName name="_3699__FDSAUDITLINK__" hidden="1">{"fdsup://directions/FAT Viewer?action=UPDATE&amp;creator=factset&amp;DYN_ARGS=TRUE&amp;DOC_NAME=FAT:FQL_AUDITING_CLIENT_TEMPLATE.FAT&amp;display_string=Audit&amp;VAR:KEY=XAFSTKHGNY&amp;VAR:QUERY=RkZfUkRfRVhQKENBTCwzOTgxMywsLCwp&amp;WINDOW=FIRST_POPUP&amp;HEIGHT=450&amp;WIDTH=450&amp;START_MAXIMI","ZED=FALSE&amp;VAR:CALENDAR=US&amp;VAR:SYMBOL=PFE&amp;VAR:INDEX=0"}</definedName>
    <definedName name="_37__FDSAUDITLINK__" hidden="1">{"fdsup://directions/FAT%20Viewer?VAR:TM=NTMA&amp;VAR:PCT=0.920548&amp;VAR:Y0=2010&amp;VAR:Y1=2011&amp;VAR:V0=13.550749&amp;VAR:V1=11.305736&amp;VAR:V=13.340279&amp;VAR:AUDIT_ID=00000117&amp;VAR:DATE=20100129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Aggregates&amp;VAR:MEASURE=PE_MEAN&amp;VAR:CALC_MODE=PORTFOLIO&amp;VAR:CHGPERIOD=NA&amp;VAR:FQLFORMULA=FMA_PE&amp;VAR:CURRENCY=USD&amp;VAR:P=1","073.869364&amp;VAR:THRESH=||||||&amp;VAR:null=.html"}</definedName>
    <definedName name="_370__FDSAUDITLINK__" hidden="1">{"fdsup://directions/FAT%20Viewer?VAR:TM=NTMA&amp;VAR:PCT=0.301370&amp;VAR:Y0=2003&amp;VAR:Y1=2004&amp;VAR:V0=18.886524&amp;VAR:V1=16.813042&amp;VAR:V=17.388358&amp;VAR:AUDIT_ID=00000117&amp;VAR:DATE=20030912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Aggregates&amp;VAR:MEASURE=PE_MEAN&amp;VAR:CALC_MODE=PORTFOLIO&amp;VAR:CHGPERIOD=NA&amp;VAR:FQLFORMULA=FMA_PE&amp;VAR:CURRENCY=USD&amp;VAR:P=1","018.633100&amp;VAR:THRESH=||||||&amp;VAR:null=.html"}</definedName>
    <definedName name="_3700__FDSAUDITLINK__" hidden="1">{"fdsup://directions/FAT Viewer?action=UPDATE&amp;creator=factset&amp;DYN_ARGS=TRUE&amp;DOC_NAME=FAT:FQL_AUDITING_CLIENT_TEMPLATE.FAT&amp;display_string=Audit&amp;VAR:KEY=PAJYJYJAHE&amp;VAR:QUERY=RkZfUkRfRVhQKENBTCwzOTgxMywsLCwp&amp;WINDOW=FIRST_POPUP&amp;HEIGHT=450&amp;WIDTH=450&amp;START_MAXIMI","ZED=FALSE&amp;VAR:CALENDAR=US&amp;VAR:SYMBOL=WYE&amp;VAR:INDEX=0"}</definedName>
    <definedName name="_3701__FDSAUDITLINK__" hidden="1">{"fdsup://directions/FAT Viewer?action=UPDATE&amp;creator=factset&amp;DYN_ARGS=TRUE&amp;DOC_NAME=FAT:FQL_AUDITING_CLIENT_TEMPLATE.FAT&amp;display_string=Audit&amp;VAR:KEY=TEDKTITIXA&amp;VAR:QUERY=RkZfUkRfRVhQKENBTCwzOTQ0NywsLCwp&amp;WINDOW=FIRST_POPUP&amp;HEIGHT=450&amp;WIDTH=450&amp;START_MAXIMI","ZED=FALSE&amp;VAR:CALENDAR=US&amp;VAR:SYMBOL=PFE&amp;VAR:INDEX=0"}</definedName>
    <definedName name="_3702__FDSAUDITLINK__" hidden="1">{"fdsup://directions/FAT Viewer?action=UPDATE&amp;creator=factset&amp;DYN_ARGS=TRUE&amp;DOC_NAME=FAT:FQL_AUDITING_CLIENT_TEMPLATE.FAT&amp;display_string=Audit&amp;VAR:KEY=NYXURMTONW&amp;VAR:QUERY=RkZfUkRfRVhQKENBTCwzOTQ0NywsLCwp&amp;WINDOW=FIRST_POPUP&amp;HEIGHT=450&amp;WIDTH=450&amp;START_MAXIMI","ZED=FALSE&amp;VAR:CALENDAR=US&amp;VAR:SYMBOL=WYE&amp;VAR:INDEX=0"}</definedName>
    <definedName name="_3703__FDSAUDITLINK__" hidden="1">{"fdsup://directions/FAT Viewer?action=UPDATE&amp;creator=factset&amp;DYN_ARGS=TRUE&amp;DOC_NAME=FAT:FQL_AUDITING_CLIENT_TEMPLATE.FAT&amp;display_string=Audit&amp;VAR:KEY=VOPUPSJQLI&amp;VAR:QUERY=RkZfUkRfRVhQKENBTCwzOTA4MiwsLCwp&amp;WINDOW=FIRST_POPUP&amp;HEIGHT=450&amp;WIDTH=450&amp;START_MAXIMI","ZED=FALSE&amp;VAR:CALENDAR=US&amp;VAR:SYMBOL=PFE&amp;VAR:INDEX=0"}</definedName>
    <definedName name="_3704__FDSAUDITLINK__" hidden="1">{"fdsup://directions/FAT Viewer?action=UPDATE&amp;creator=factset&amp;DYN_ARGS=TRUE&amp;DOC_NAME=FAT:FQL_AUDITING_CLIENT_TEMPLATE.FAT&amp;display_string=Audit&amp;VAR:KEY=XWTYLUVGBU&amp;VAR:QUERY=RkZfUkRfRVhQKENBTCwzOTA4MiwsLCwp&amp;WINDOW=FIRST_POPUP&amp;HEIGHT=450&amp;WIDTH=450&amp;START_MAXIMI","ZED=FALSE&amp;VAR:CALENDAR=US&amp;VAR:SYMBOL=WYE&amp;VAR:INDEX=0"}</definedName>
    <definedName name="_3705__FDSAUDITLINK__" hidden="1">{"fdsup://directions/FAT Viewer?action=UPDATE&amp;creator=factset&amp;DYN_ARGS=TRUE&amp;DOC_NAME=FAT:FQL_AUDITING_CLIENT_TEMPLATE.FAT&amp;display_string=Audit&amp;VAR:KEY=DUZANORCZM&amp;VAR:QUERY=RkZfUkRfRVhQKENBTCwzODcxNywsLCwp&amp;WINDOW=FIRST_POPUP&amp;HEIGHT=450&amp;WIDTH=450&amp;START_MAXIMI","ZED=FALSE&amp;VAR:CALENDAR=US&amp;VAR:SYMBOL=PFE&amp;VAR:INDEX=0"}</definedName>
    <definedName name="_3706__FDSAUDITLINK__" hidden="1">{"fdsup://directions/FAT Viewer?action=UPDATE&amp;creator=factset&amp;DYN_ARGS=TRUE&amp;DOC_NAME=FAT:FQL_AUDITING_CLIENT_TEMPLATE.FAT&amp;display_string=Audit&amp;VAR:KEY=DGDCHUBYVS&amp;VAR:QUERY=RkZfUkRfRVhQKENBTCwzODcxNywsLCwp&amp;WINDOW=FIRST_POPUP&amp;HEIGHT=450&amp;WIDTH=450&amp;START_MAXIMI","ZED=FALSE&amp;VAR:CALENDAR=US&amp;VAR:SYMBOL=WYE&amp;VAR:INDEX=0"}</definedName>
    <definedName name="_3707__FDSAUDITLINK__" hidden="1">{"fdsup://directions/FAT Viewer?action=UPDATE&amp;creator=factset&amp;DYN_ARGS=TRUE&amp;DOC_NAME=FAT:FQL_AUDITING_CLIENT_TEMPLATE.FAT&amp;display_string=Audit&amp;VAR:KEY=BETMVWVSBG&amp;VAR:QUERY=RkZfUkRfRVhQKENBTCwzODM1MiwsLCwp&amp;WINDOW=FIRST_POPUP&amp;HEIGHT=450&amp;WIDTH=450&amp;START_MAXIMI","ZED=FALSE&amp;VAR:CALENDAR=US&amp;VAR:SYMBOL=PFE&amp;VAR:INDEX=0"}</definedName>
    <definedName name="_3708__FDSAUDITLINK__" hidden="1">{"fdsup://directions/FAT Viewer?action=UPDATE&amp;creator=factset&amp;DYN_ARGS=TRUE&amp;DOC_NAME=FAT:FQL_AUDITING_CLIENT_TEMPLATE.FAT&amp;display_string=Audit&amp;VAR:KEY=HKXMFCNQRG&amp;VAR:QUERY=RkZfUkRfRVhQKENBTCwzODM1MiwsLCwp&amp;WINDOW=FIRST_POPUP&amp;HEIGHT=450&amp;WIDTH=450&amp;START_MAXIMI","ZED=FALSE&amp;VAR:CALENDAR=US&amp;VAR:SYMBOL=WYE&amp;VAR:INDEX=0"}</definedName>
    <definedName name="_3709__FDSAUDITLINK__" hidden="1">{"fdsup://Directions/FactSet Auditing Viewer?action=AUDIT_VALUE&amp;DB=129&amp;ID1=36871040&amp;VALUEID=01001&amp;SDATE=200804&amp;PERIODTYPE=QTR_STD&amp;SCFT=3&amp;window=popup_no_bar&amp;width=385&amp;height=120&amp;START_MAXIMIZED=FALSE&amp;creator=factset&amp;display_string=Audit"}</definedName>
    <definedName name="_371__FDSAUDITLINK__" hidden="1">{"fdsup://directions/FAT%20Viewer?VAR:TM=NTMA&amp;VAR:PCT=0.320548&amp;VAR:Y0=2003&amp;VAR:Y1=2004&amp;VAR:V0=18.941448&amp;VAR:V1=16.875300&amp;VAR:V=17.486735&amp;VAR:AUDIT_ID=00000117&amp;VAR:DATE=20030905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Aggregates&amp;VAR:MEASURE=PE_MEAN&amp;VAR:CALC_MODE=PORTFOLIO&amp;VAR:CHGPERIOD=NA&amp;VAR:FQLFORMULA=FMA_PE&amp;VAR:CURRENCY=USD&amp;VAR:P=1","021.388200&amp;VAR:THRESH=||||||&amp;VAR:null=.html"}</definedName>
    <definedName name="_3710__FDSAUDITLINK__" hidden="1">{"fdsup://Directions/FactSet Auditing Viewer?action=AUDIT_VALUE&amp;DB=129&amp;ID1=36871040&amp;VALUEID=01001&amp;SDATE=200803&amp;PERIODTYPE=QTR_STD&amp;SCFT=3&amp;window=popup_no_bar&amp;width=385&amp;height=120&amp;START_MAXIMIZED=FALSE&amp;creator=factset&amp;display_string=Audit"}</definedName>
    <definedName name="_3711__FDSAUDITLINK__" hidden="1">{"fdsup://Directions/FactSet Auditing Viewer?action=AUDIT_VALUE&amp;DB=129&amp;ID1=36871040&amp;VALUEID=01001&amp;SDATE=200802&amp;PERIODTYPE=QTR_STD&amp;SCFT=3&amp;window=popup_no_bar&amp;width=385&amp;height=120&amp;START_MAXIMIZED=FALSE&amp;creator=factset&amp;display_string=Audit"}</definedName>
    <definedName name="_3712__FDSAUDITLINK__" hidden="1">{"fdsup://Directions/FactSet Auditing Viewer?action=AUDIT_VALUE&amp;DB=129&amp;ID1=36871040&amp;VALUEID=01001&amp;SDATE=200801&amp;PERIODTYPE=QTR_STD&amp;SCFT=3&amp;window=popup_no_bar&amp;width=385&amp;height=120&amp;START_MAXIMIZED=FALSE&amp;creator=factset&amp;display_string=Audit"}</definedName>
    <definedName name="_3713__FDSAUDITLINK__" hidden="1">{"fdsup://Directions/FactSet Auditing Viewer?action=AUDIT_VALUE&amp;DB=129&amp;ID1=36871040&amp;VALUEID=01001&amp;SDATE=200704&amp;PERIODTYPE=QTR_STD&amp;SCFT=3&amp;window=popup_no_bar&amp;width=385&amp;height=120&amp;START_MAXIMIZED=FALSE&amp;creator=factset&amp;display_string=Audit"}</definedName>
    <definedName name="_3714__FDSAUDITLINK__" hidden="1">{"fdsup://Directions/FactSet Auditing Viewer?action=AUDIT_VALUE&amp;DB=129&amp;ID1=36871040&amp;VALUEID=01001&amp;SDATE=200703&amp;PERIODTYPE=QTR_STD&amp;SCFT=3&amp;window=popup_no_bar&amp;width=385&amp;height=120&amp;START_MAXIMIZED=FALSE&amp;creator=factset&amp;display_string=Audit"}</definedName>
    <definedName name="_3715__FDSAUDITLINK__" hidden="1">{"fdsup://Directions/FactSet Auditing Viewer?action=AUDIT_VALUE&amp;DB=129&amp;ID1=36871040&amp;VALUEID=01001&amp;SDATE=200702&amp;PERIODTYPE=QTR_STD&amp;SCFT=3&amp;window=popup_no_bar&amp;width=385&amp;height=120&amp;START_MAXIMIZED=FALSE&amp;creator=factset&amp;display_string=Audit"}</definedName>
    <definedName name="_3716__FDSAUDITLINK__" hidden="1">{"fdsup://Directions/FactSet Auditing Viewer?action=AUDIT_VALUE&amp;DB=129&amp;ID1=36871040&amp;VALUEID=01001&amp;SDATE=200701&amp;PERIODTYPE=QTR_STD&amp;SCFT=3&amp;window=popup_no_bar&amp;width=385&amp;height=120&amp;START_MAXIMIZED=FALSE&amp;creator=factset&amp;display_string=Audit"}</definedName>
    <definedName name="_3717__FDSAUDITLINK__" hidden="1">{"fdsup://Directions/FactSet Auditing Viewer?action=AUDIT_VALUE&amp;DB=129&amp;ID1=98302410&amp;VALUEID=01001&amp;SDATE=200902&amp;PERIODTYPE=QTR_STD&amp;SCFT=3&amp;window=popup_no_bar&amp;width=385&amp;height=120&amp;START_MAXIMIZED=FALSE&amp;creator=factset&amp;display_string=Audit"}</definedName>
    <definedName name="_3718__FDSAUDITLINK__" hidden="1">{"fdsup://Directions/FactSet Auditing Viewer?action=AUDIT_VALUE&amp;DB=129&amp;ID1=98302410&amp;VALUEID=01001&amp;SDATE=200901&amp;PERIODTYPE=QTR_STD&amp;SCFT=3&amp;window=popup_no_bar&amp;width=385&amp;height=120&amp;START_MAXIMIZED=FALSE&amp;creator=factset&amp;display_string=Audit"}</definedName>
    <definedName name="_3719__FDSAUDITLINK__" hidden="1">{"fdsup://Directions/FactSet Auditing Viewer?action=AUDIT_VALUE&amp;DB=129&amp;ID1=98302410&amp;VALUEID=01001&amp;SDATE=200804&amp;PERIODTYPE=QTR_STD&amp;SCFT=3&amp;window=popup_no_bar&amp;width=385&amp;height=120&amp;START_MAXIMIZED=FALSE&amp;creator=factset&amp;display_string=Audit"}</definedName>
    <definedName name="_372__FDSAUDITLINK__" hidden="1">{"fdsup://directions/FAT%20Viewer?VAR:TM=NTMA&amp;VAR:PCT=0.339726&amp;VAR:Y0=2003&amp;VAR:Y1=2004&amp;VAR:V0=18.724623&amp;VAR:V1=16.664120&amp;VAR:V=17.311290&amp;VAR:AUDIT_ID=00000117&amp;VAR:DATE=20030829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Aggregates&amp;VAR:MEASURE=PE_MEAN&amp;VAR:CALC_MODE=PORTFOLIO&amp;VAR:CHGPERIOD=NA&amp;VAR:FQLFORMULA=FMA_PE&amp;VAR:CURRENCY=USD&amp;VAR:P=1","008.012100&amp;VAR:THRESH=||||||&amp;VAR:null=.html"}</definedName>
    <definedName name="_3720__FDSAUDITLINK__" hidden="1">{"fdsup://Directions/FactSet Auditing Viewer?action=AUDIT_VALUE&amp;DB=129&amp;ID1=98302410&amp;VALUEID=01001&amp;SDATE=200803&amp;PERIODTYPE=QTR_STD&amp;SCFT=3&amp;window=popup_no_bar&amp;width=385&amp;height=120&amp;START_MAXIMIZED=FALSE&amp;creator=factset&amp;display_string=Audit"}</definedName>
    <definedName name="_3721__FDSAUDITLINK__" hidden="1">{"fdsup://Directions/FactSet Auditing Viewer?action=AUDIT_VALUE&amp;DB=129&amp;ID1=98302410&amp;VALUEID=01001&amp;SDATE=200802&amp;PERIODTYPE=QTR_STD&amp;SCFT=3&amp;window=popup_no_bar&amp;width=385&amp;height=120&amp;START_MAXIMIZED=FALSE&amp;creator=factset&amp;display_string=Audit"}</definedName>
    <definedName name="_3722__FDSAUDITLINK__" hidden="1">{"fdsup://Directions/FactSet Auditing Viewer?action=AUDIT_VALUE&amp;DB=129&amp;ID1=98302410&amp;VALUEID=01001&amp;SDATE=200801&amp;PERIODTYPE=QTR_STD&amp;SCFT=3&amp;window=popup_no_bar&amp;width=385&amp;height=120&amp;START_MAXIMIZED=FALSE&amp;creator=factset&amp;display_string=Audit"}</definedName>
    <definedName name="_3723__FDSAUDITLINK__" hidden="1">{"fdsup://Directions/FactSet Auditing Viewer?action=AUDIT_VALUE&amp;DB=129&amp;ID1=98302410&amp;VALUEID=01001&amp;SDATE=200704&amp;PERIODTYPE=QTR_STD&amp;SCFT=3&amp;window=popup_no_bar&amp;width=385&amp;height=120&amp;START_MAXIMIZED=FALSE&amp;creator=factset&amp;display_string=Audit"}</definedName>
    <definedName name="_3724__FDSAUDITLINK__" hidden="1">{"fdsup://Directions/FactSet Auditing Viewer?action=AUDIT_VALUE&amp;DB=129&amp;ID1=98302410&amp;VALUEID=01001&amp;SDATE=200703&amp;PERIODTYPE=QTR_STD&amp;SCFT=3&amp;window=popup_no_bar&amp;width=385&amp;height=120&amp;START_MAXIMIZED=FALSE&amp;creator=factset&amp;display_string=Audit"}</definedName>
    <definedName name="_3725__FDSAUDITLINK__" hidden="1">{"fdsup://Directions/FactSet Auditing Viewer?action=AUDIT_VALUE&amp;DB=129&amp;ID1=80660510&amp;VALUEID=01001&amp;SDATE=200903&amp;PERIODTYPE=QTR_STD&amp;SCFT=3&amp;window=popup_no_bar&amp;width=385&amp;height=120&amp;START_MAXIMIZED=FALSE&amp;creator=factset&amp;display_string=Audit"}</definedName>
    <definedName name="_3726__FDSAUDITLINK__" hidden="1">{"fdsup://Directions/FactSet Auditing Viewer?action=AUDIT_VALUE&amp;DB=129&amp;ID1=80660510&amp;VALUEID=01001&amp;SDATE=200902&amp;PERIODTYPE=QTR_STD&amp;SCFT=3&amp;window=popup_no_bar&amp;width=385&amp;height=120&amp;START_MAXIMIZED=FALSE&amp;creator=factset&amp;display_string=Audit"}</definedName>
    <definedName name="_3727__FDSAUDITLINK__" hidden="1">{"fdsup://Directions/FactSet Auditing Viewer?action=AUDIT_VALUE&amp;DB=129&amp;ID1=80660510&amp;VALUEID=01001&amp;SDATE=200804&amp;PERIODTYPE=QTR_STD&amp;SCFT=3&amp;window=popup_no_bar&amp;width=385&amp;height=120&amp;START_MAXIMIZED=FALSE&amp;creator=factset&amp;display_string=Audit"}</definedName>
    <definedName name="_3728__FDSAUDITLINK__" hidden="1">{"fdsup://Directions/FactSet Auditing Viewer?action=AUDIT_VALUE&amp;DB=129&amp;ID1=80660510&amp;VALUEID=01001&amp;SDATE=200803&amp;PERIODTYPE=QTR_STD&amp;SCFT=3&amp;window=popup_no_bar&amp;width=385&amp;height=120&amp;START_MAXIMIZED=FALSE&amp;creator=factset&amp;display_string=Audit"}</definedName>
    <definedName name="_3729__FDSAUDITLINK__" hidden="1">{"fdsup://Directions/FactSet Auditing Viewer?action=AUDIT_VALUE&amp;DB=129&amp;ID1=80660510&amp;VALUEID=01001&amp;SDATE=200802&amp;PERIODTYPE=QTR_STD&amp;SCFT=3&amp;window=popup_no_bar&amp;width=385&amp;height=120&amp;START_MAXIMIZED=FALSE&amp;creator=factset&amp;display_string=Audit"}</definedName>
    <definedName name="_373__FDSAUDITLINK__" hidden="1">{"fdsup://directions/FAT%20Viewer?VAR:TM=NTMA&amp;VAR:PCT=0.358904&amp;VAR:Y0=2003&amp;VAR:Y1=2004&amp;VAR:V0=18.473835&amp;VAR:V1=16.424973&amp;VAR:V=17.105866&amp;VAR:AUDIT_ID=00000117&amp;VAR:DATE=20030822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Aggregates&amp;VAR:MEASURE=PE_MEAN&amp;VAR:CALC_MODE=PORTFOLIO&amp;VAR:CHGPERIOD=NA&amp;VAR:FQLFORMULA=FMA_PE&amp;VAR:CURRENCY=USD&amp;VAR:P=9","93.055660&amp;VAR:THRESH=||||||&amp;VAR:null=.html"}</definedName>
    <definedName name="_3730__FDSAUDITLINK__" hidden="1">{"fdsup://Directions/FactSet Auditing Viewer?action=AUDIT_VALUE&amp;DB=129&amp;ID1=80660510&amp;VALUEID=01001&amp;SDATE=200801&amp;PERIODTYPE=QTR_STD&amp;SCFT=3&amp;window=popup_no_bar&amp;width=385&amp;height=120&amp;START_MAXIMIZED=FALSE&amp;creator=factset&amp;display_string=Audit"}</definedName>
    <definedName name="_3731__FDSAUDITLINK__" hidden="1">{"fdsup://Directions/FactSet Auditing Viewer?action=AUDIT_VALUE&amp;DB=129&amp;ID1=80660510&amp;VALUEID=01001&amp;SDATE=200704&amp;PERIODTYPE=QTR_STD&amp;SCFT=3&amp;window=popup_no_bar&amp;width=385&amp;height=120&amp;START_MAXIMIZED=FALSE&amp;creator=factset&amp;display_string=Audit"}</definedName>
    <definedName name="_3732__FDSAUDITLINK__" hidden="1">{"fdsup://directions/FAT Viewer?action=UPDATE&amp;creator=factset&amp;DYN_ARGS=TRUE&amp;DOC_NAME=FAT:FQL_AUDITING_CLIENT_TEMPLATE.FAT&amp;display_string=Audit&amp;VAR:KEY=VKRQTKFUBW&amp;VAR:QUERY=RkZfU0FMRVMoQ0FMLDM5ODEzLCwsLCk=&amp;WINDOW=FIRST_POPUP&amp;HEIGHT=450&amp;WIDTH=450&amp;START_MAXIMI","ZED=FALSE&amp;VAR:CALENDAR=US&amp;VAR:SYMBOL=DNA&amp;VAR:INDEX=0"}</definedName>
    <definedName name="_3733__FDSAUDITLINK__" hidden="1">{"fdsup://directions/FAT Viewer?action=UPDATE&amp;creator=factset&amp;DYN_ARGS=TRUE&amp;DOC_NAME=FAT:FQL_AUDITING_CLIENT_TEMPLATE.FAT&amp;display_string=Audit&amp;VAR:KEY=XEDCREVYZS&amp;VAR:QUERY=RkZfU0FMRVMoQ0FMLDM5NDQ3LCwsLCk=&amp;WINDOW=FIRST_POPUP&amp;HEIGHT=450&amp;WIDTH=450&amp;START_MAXIMI","ZED=FALSE&amp;VAR:CALENDAR=US&amp;VAR:SYMBOL=DNA&amp;VAR:INDEX=0"}</definedName>
    <definedName name="_3734__FDSAUDITLINK__" hidden="1">{"fdsup://directions/FAT Viewer?action=UPDATE&amp;creator=factset&amp;DYN_ARGS=TRUE&amp;DOC_NAME=FAT:FQL_AUDITING_CLIENT_TEMPLATE.FAT&amp;display_string=Audit&amp;VAR:KEY=TOXMHYNEDQ&amp;VAR:QUERY=RkZfU0FMRVMoQ0FMLDM5MDgyLCwsLCk=&amp;WINDOW=FIRST_POPUP&amp;HEIGHT=450&amp;WIDTH=450&amp;START_MAXIMI","ZED=FALSE&amp;VAR:CALENDAR=US&amp;VAR:SYMBOL=DNA&amp;VAR:INDEX=0"}</definedName>
    <definedName name="_3735__FDSAUDITLINK__" hidden="1">{"fdsup://directions/FAT Viewer?action=UPDATE&amp;creator=factset&amp;DYN_ARGS=TRUE&amp;DOC_NAME=FAT:FQL_AUDITING_CLIENT_TEMPLATE.FAT&amp;display_string=Audit&amp;VAR:KEY=BKHAJUZULG&amp;VAR:QUERY=RkZfU0FMRVMoQ0FMLDM4NzE3LCwsLCk=&amp;WINDOW=FIRST_POPUP&amp;HEIGHT=450&amp;WIDTH=450&amp;START_MAXIMI","ZED=FALSE&amp;VAR:CALENDAR=US&amp;VAR:SYMBOL=DNA&amp;VAR:INDEX=0"}</definedName>
    <definedName name="_3736__FDSAUDITLINK__" hidden="1">{"fdsup://directions/FAT Viewer?action=UPDATE&amp;creator=factset&amp;DYN_ARGS=TRUE&amp;DOC_NAME=FAT:FQL_AUDITING_CLIENT_TEMPLATE.FAT&amp;display_string=Audit&amp;VAR:KEY=JYZKZGDIFI&amp;VAR:QUERY=RkZfU0FMRVMoQ0FMLDM4MzUyLCwsLCk=&amp;WINDOW=FIRST_POPUP&amp;HEIGHT=450&amp;WIDTH=450&amp;START_MAXIMI","ZED=FALSE&amp;VAR:CALENDAR=US&amp;VAR:SYMBOL=DNA&amp;VAR:INDEX=0"}</definedName>
    <definedName name="_3737__FDSAUDITLINK__" hidden="1">{"fdsup://directions/FAT Viewer?action=UPDATE&amp;creator=factset&amp;DYN_ARGS=TRUE&amp;DOC_NAME=FAT:FQL_AUDITING_CLIENT_TEMPLATE.FAT&amp;display_string=Audit&amp;VAR:KEY=HONSVQVETW&amp;VAR:QUERY=RkZfU0FMRVMoQ0FMLDM5ODEzLCwsLCk=&amp;WINDOW=FIRST_POPUP&amp;HEIGHT=450&amp;WIDTH=450&amp;START_MAXIMI","ZED=FALSE&amp;VAR:CALENDAR=US&amp;VAR:SYMBOL=SGP&amp;VAR:INDEX=0"}</definedName>
    <definedName name="_3738__FDSAUDITLINK__" hidden="1">{"fdsup://directions/FAT Viewer?action=UPDATE&amp;creator=factset&amp;DYN_ARGS=TRUE&amp;DOC_NAME=FAT:FQL_AUDITING_CLIENT_TEMPLATE.FAT&amp;display_string=Audit&amp;VAR:KEY=DGFOTSZMDS&amp;VAR:QUERY=RkZfU0FMRVMoQ0FMLDM5NDQ3LCwsLCk=&amp;WINDOW=FIRST_POPUP&amp;HEIGHT=450&amp;WIDTH=450&amp;START_MAXIMI","ZED=FALSE&amp;VAR:CALENDAR=US&amp;VAR:SYMBOL=SGP&amp;VAR:INDEX=0"}</definedName>
    <definedName name="_3739__FDSAUDITLINK__" hidden="1">{"fdsup://directions/FAT Viewer?action=UPDATE&amp;creator=factset&amp;DYN_ARGS=TRUE&amp;DOC_NAME=FAT:FQL_AUDITING_CLIENT_TEMPLATE.FAT&amp;display_string=Audit&amp;VAR:KEY=RMFKNYHWPS&amp;VAR:QUERY=RkZfU0FMRVMoQ0FMLDM5MDgyLCwsLCk=&amp;WINDOW=FIRST_POPUP&amp;HEIGHT=450&amp;WIDTH=450&amp;START_MAXIMI","ZED=FALSE&amp;VAR:CALENDAR=US&amp;VAR:SYMBOL=SGP&amp;VAR:INDEX=0"}</definedName>
    <definedName name="_374__FDSAUDITLINK__" hidden="1">{"fdsup://directions/FAT%20Viewer?VAR:TM=NTMA&amp;VAR:PCT=0.378082&amp;VAR:Y0=2003&amp;VAR:Y1=2004&amp;VAR:V0=18.431877&amp;VAR:V1=16.375448&amp;VAR:V=17.096623&amp;VAR:AUDIT_ID=00000117&amp;VAR:DATE=20030815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Aggregates&amp;VAR:MEASURE=PE_MEAN&amp;VAR:CALC_MODE=PORTFOLIO&amp;VAR:CHGPERIOD=NA&amp;VAR:FQLFORMULA=FMA_PE&amp;VAR:CURRENCY=USD&amp;VAR:P=9","90.671900&amp;VAR:THRESH=||||||&amp;VAR:null=.html"}</definedName>
    <definedName name="_3740__FDSAUDITLINK__" hidden="1">{"fdsup://directions/FAT Viewer?action=UPDATE&amp;creator=factset&amp;DYN_ARGS=TRUE&amp;DOC_NAME=FAT:FQL_AUDITING_CLIENT_TEMPLATE.FAT&amp;display_string=Audit&amp;VAR:KEY=DKZQFGPGZY&amp;VAR:QUERY=RkZfU0FMRVMoQ0FMLDM4NzE3LCwsLCk=&amp;WINDOW=FIRST_POPUP&amp;HEIGHT=450&amp;WIDTH=450&amp;START_MAXIMI","ZED=FALSE&amp;VAR:CALENDAR=US&amp;VAR:SYMBOL=SGP&amp;VAR:INDEX=0"}</definedName>
    <definedName name="_3741__FDSAUDITLINK__" hidden="1">{"fdsup://directions/FAT Viewer?action=UPDATE&amp;creator=factset&amp;DYN_ARGS=TRUE&amp;DOC_NAME=FAT:FQL_AUDITING_CLIENT_TEMPLATE.FAT&amp;display_string=Audit&amp;VAR:KEY=BSFAVMVYRK&amp;VAR:QUERY=RkZfU0FMRVMoQ0FMLDM4MzUyLCwsLCk=&amp;WINDOW=FIRST_POPUP&amp;HEIGHT=450&amp;WIDTH=450&amp;START_MAXIMI","ZED=FALSE&amp;VAR:CALENDAR=US&amp;VAR:SYMBOL=SGP&amp;VAR:INDEX=0"}</definedName>
    <definedName name="_3742__FDSAUDITLINK__" hidden="1">{"fdsup://directions/FAT Viewer?action=UPDATE&amp;creator=factset&amp;DYN_ARGS=TRUE&amp;DOC_NAME=FAT:FQL_AUDITING_CLIENT_TEMPLATE.FAT&amp;display_string=Audit&amp;VAR:KEY=VQLSXQNWTQ&amp;VAR:QUERY=RkZfU0FMRVMoQ0FMLDM5ODEzLCwsLCk=&amp;WINDOW=FIRST_POPUP&amp;HEIGHT=450&amp;WIDTH=450&amp;START_MAXIMI","ZED=FALSE&amp;VAR:CALENDAR=US&amp;VAR:SYMBOL=WYE&amp;VAR:INDEX=0"}</definedName>
    <definedName name="_3743__FDSAUDITLINK__" hidden="1">{"fdsup://directions/FAT Viewer?action=UPDATE&amp;creator=factset&amp;DYN_ARGS=TRUE&amp;DOC_NAME=FAT:FQL_AUDITING_CLIENT_TEMPLATE.FAT&amp;display_string=Audit&amp;VAR:KEY=LYBCHAXYFU&amp;VAR:QUERY=RkZfU0FMRVMoQ0FMLDM5NDQ3LCwsLCk=&amp;WINDOW=FIRST_POPUP&amp;HEIGHT=450&amp;WIDTH=450&amp;START_MAXIMI","ZED=FALSE&amp;VAR:CALENDAR=US&amp;VAR:SYMBOL=WYE&amp;VAR:INDEX=0"}</definedName>
    <definedName name="_3744__FDSAUDITLINK__" hidden="1">{"fdsup://directions/FAT Viewer?action=UPDATE&amp;creator=factset&amp;DYN_ARGS=TRUE&amp;DOC_NAME=FAT:FQL_AUDITING_CLIENT_TEMPLATE.FAT&amp;display_string=Audit&amp;VAR:KEY=VEPGFILCPM&amp;VAR:QUERY=RkZfU0FMRVMoQ0FMLDM5MDgyLCwsLCk=&amp;WINDOW=FIRST_POPUP&amp;HEIGHT=450&amp;WIDTH=450&amp;START_MAXIMI","ZED=FALSE&amp;VAR:CALENDAR=US&amp;VAR:SYMBOL=WYE&amp;VAR:INDEX=0"}</definedName>
    <definedName name="_3745__FDSAUDITLINK__" hidden="1">{"fdsup://directions/FAT Viewer?action=UPDATE&amp;creator=factset&amp;DYN_ARGS=TRUE&amp;DOC_NAME=FAT:FQL_AUDITING_CLIENT_TEMPLATE.FAT&amp;display_string=Audit&amp;VAR:KEY=LIHSTKLYLI&amp;VAR:QUERY=RkZfU0FMRVMoQ0FMLDM4NzE3LCwsLCk=&amp;WINDOW=FIRST_POPUP&amp;HEIGHT=450&amp;WIDTH=450&amp;START_MAXIMI","ZED=FALSE&amp;VAR:CALENDAR=US&amp;VAR:SYMBOL=WYE&amp;VAR:INDEX=0"}</definedName>
    <definedName name="_3746__FDSAUDITLINK__" hidden="1">{"fdsup://directions/FAT Viewer?action=UPDATE&amp;creator=factset&amp;DYN_ARGS=TRUE&amp;DOC_NAME=FAT:FQL_AUDITING_CLIENT_TEMPLATE.FAT&amp;display_string=Audit&amp;VAR:KEY=ZIFWJMBGTI&amp;VAR:QUERY=RkZfU0FMRVMoQ0FMLDM4MzUyLCwsLCk=&amp;WINDOW=FIRST_POPUP&amp;HEIGHT=450&amp;WIDTH=450&amp;START_MAXIMI","ZED=FALSE&amp;VAR:CALENDAR=US&amp;VAR:SYMBOL=WYE&amp;VAR:INDEX=0"}</definedName>
    <definedName name="_3747__FDSAUDITLINK__" hidden="1">{"fdsup://directions/FAT Viewer?action=UPDATE&amp;creator=factset&amp;DYN_ARGS=TRUE&amp;DOC_NAME=FAT:FQL_AUDITING_CLIENT_TEMPLATE.FAT&amp;display_string=Audit&amp;VAR:KEY=PSFYRIZWZC&amp;VAR:QUERY=RkZfU0FMRVMoQ0FMLDQwNTQzLCwsLFVTRCk=&amp;WINDOW=FIRST_POPUP&amp;HEIGHT=450&amp;WIDTH=450&amp;START_MA","XIMIZED=FALSE&amp;VAR:CALENDAR=US&amp;VAR:SYMBOL=BIIB&amp;VAR:INDEX=0"}</definedName>
    <definedName name="_3748__FDSAUDITLINK__" hidden="1">{"fdsup://directions/FAT Viewer?action=UPDATE&amp;creator=factset&amp;DYN_ARGS=TRUE&amp;DOC_NAME=FAT:FQL_AUDITING_CLIENT_TEMPLATE.FAT&amp;display_string=Audit&amp;VAR:KEY=FULAJKBUXO&amp;VAR:QUERY=RkZfU0FMRVMoQ0FMLDQwNTQzLCwsLFVTRCk=&amp;WINDOW=FIRST_POPUP&amp;HEIGHT=450&amp;WIDTH=450&amp;START_MA","XIMIZED=FALSE&amp;VAR:CALENDAR=US&amp;VAR:SYMBOL=707752&amp;VAR:INDEX=0"}</definedName>
    <definedName name="_3749__FDSAUDITLINK__" hidden="1">{"fdsup://directions/FAT Viewer?action=UPDATE&amp;creator=factset&amp;DYN_ARGS=TRUE&amp;DOC_NAME=FAT:FQL_AUDITING_CLIENT_TEMPLATE.FAT&amp;display_string=Audit&amp;VAR:KEY=RIBWDWRERQ&amp;VAR:QUERY=RkZfU0FMRVMoQ0FMLDQwNTQzLCwsLFVTRCk=&amp;WINDOW=FIRST_POPUP&amp;HEIGHT=450&amp;WIDTH=450&amp;START_MA","XIMIZED=FALSE&amp;VAR:CALENDAR=US&amp;VAR:SYMBOL=630720&amp;VAR:INDEX=0"}</definedName>
    <definedName name="_375__FDSAUDITLINK__" hidden="1">{"fdsup://directions/FAT%20Viewer?VAR:TM=NTMA&amp;VAR:PCT=0.397260&amp;VAR:Y0=2003&amp;VAR:Y1=2004&amp;VAR:V0=18.181889&amp;VAR:V1=16.159410&amp;VAR:V=16.906502&amp;VAR:AUDIT_ID=00000117&amp;VAR:DATE=20030808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Aggregates&amp;VAR:MEASURE=PE_MEAN&amp;VAR:CALC_MODE=PORTFOLIO&amp;VAR:CHGPERIOD=NA&amp;VAR:FQLFORMULA=FMA_PE&amp;VAR:CURRENCY=USD&amp;VAR:P=9","77.586100&amp;VAR:THRESH=||||||&amp;VAR:null=.html"}</definedName>
    <definedName name="_3750__FDSAUDITLINK__" hidden="1">{"fdsup://directions/FAT Viewer?action=UPDATE&amp;creator=factset&amp;DYN_ARGS=TRUE&amp;DOC_NAME=FAT:FQL_AUDITING_CLIENT_TEMPLATE.FAT&amp;display_string=Audit&amp;VAR:KEY=HGDSFIHCJA&amp;VAR:QUERY=RkZfU0FMRVMoQ0FMLDQwNTQzLCwsLFVTRCk=&amp;WINDOW=FIRST_POPUP&amp;HEIGHT=450&amp;WIDTH=450&amp;START_MA","XIMIZED=FALSE&amp;VAR:CALENDAR=US&amp;VAR:SYMBOL=698538&amp;VAR:INDEX=0"}</definedName>
    <definedName name="_3751__FDSAUDITLINK__" hidden="1">{"fdsup://directions/FAT Viewer?action=UPDATE&amp;creator=factset&amp;DYN_ARGS=TRUE&amp;DOC_NAME=FAT:FQL_AUDITING_CLIENT_TEMPLATE.FAT&amp;display_string=Audit&amp;VAR:KEY=BQFYVIHSFI&amp;VAR:QUERY=RkZfU0FMRVMoQ0FMLDQwNTQzLCwsLFVTRCk=&amp;WINDOW=FIRST_POPUP&amp;HEIGHT=450&amp;WIDTH=450&amp;START_MA","XIMIZED=FALSE&amp;VAR:CALENDAR=US&amp;VAR:SYMBOL=474184&amp;VAR:INDEX=0"}</definedName>
    <definedName name="_3752__FDSAUDITLINK__" hidden="1">{"fdsup://directions/FAT Viewer?action=UPDATE&amp;creator=factset&amp;DYN_ARGS=TRUE&amp;DOC_NAME=FAT:FQL_AUDITING_CLIENT_TEMPLATE.FAT&amp;display_string=Audit&amp;VAR:KEY=FOZCTETIXS&amp;VAR:QUERY=RkZfU0FMRVMoQ0FMLDQwNTQzLCwsLFVTRCk=&amp;WINDOW=FIRST_POPUP&amp;HEIGHT=450&amp;WIDTH=450&amp;START_MA","XIMIZED=FALSE&amp;VAR:CALENDAR=US&amp;VAR:SYMBOL=B0J7D9&amp;VAR:INDEX=0"}</definedName>
    <definedName name="_3753__FDSAUDITLINK__" hidden="1">{"fdsup://directions/FAT Viewer?action=UPDATE&amp;creator=factset&amp;DYN_ARGS=TRUE&amp;DOC_NAME=FAT:FQL_AUDITING_CLIENT_TEMPLATE.FAT&amp;display_string=Audit&amp;VAR:KEY=XWNMHODIRY&amp;VAR:QUERY=RkZfU0FMRVMoQ0FMLDQwNTQzLCwsLFVTRCk=&amp;WINDOW=FIRST_POPUP&amp;HEIGHT=450&amp;WIDTH=450&amp;START_MA","XIMIZED=FALSE&amp;VAR:CALENDAR=US&amp;VAR:SYMBOL=AMGN&amp;VAR:INDEX=0"}</definedName>
    <definedName name="_3754__FDSAUDITLINK__" hidden="1">{"fdsup://directions/FAT Viewer?action=UPDATE&amp;creator=factset&amp;DYN_ARGS=TRUE&amp;DOC_NAME=FAT:FQL_AUDITING_CLIENT_TEMPLATE.FAT&amp;display_string=Audit&amp;VAR:KEY=PWBYBYZGVC&amp;VAR:QUERY=RkZfU0FMRVMoQ0FMLDQwNTQzLCwsLFVTRCk=&amp;WINDOW=FIRST_POPUP&amp;HEIGHT=450&amp;WIDTH=450&amp;START_MA","XIMIZED=FALSE&amp;VAR:CALENDAR=US&amp;VAR:SYMBOL=ABT&amp;VAR:INDEX=0"}</definedName>
    <definedName name="_3755__FDSAUDITLINK__" hidden="1">{"fdsup://directions/FAT Viewer?action=UPDATE&amp;creator=factset&amp;DYN_ARGS=TRUE&amp;DOC_NAME=FAT:FQL_AUDITING_CLIENT_TEMPLATE.FAT&amp;display_string=Audit&amp;VAR:KEY=HMVWDILITS&amp;VAR:QUERY=RkZfU0FMRVMoQ0FMLDQwNTQzLCwsLFVTRCk=&amp;WINDOW=FIRST_POPUP&amp;HEIGHT=450&amp;WIDTH=450&amp;START_MA","XIMIZED=FALSE&amp;VAR:CALENDAR=US&amp;VAR:SYMBOL=687044&amp;VAR:INDEX=0"}</definedName>
    <definedName name="_3756__FDSAUDITLINK__" hidden="1">{"fdsup://directions/FAT Viewer?action=UPDATE&amp;creator=factset&amp;DYN_ARGS=TRUE&amp;DOC_NAME=FAT:FQL_AUDITING_CLIENT_TEMPLATE.FAT&amp;display_string=Audit&amp;VAR:KEY=DARUTYDUXC&amp;VAR:QUERY=RkZfU0FMRVMoQ0FMLDQwNTQzLCwsLFVTRCk=&amp;WINDOW=FIRST_POPUP&amp;HEIGHT=450&amp;WIDTH=450&amp;START_MA","XIMIZED=FALSE&amp;VAR:CALENDAR=US&amp;VAR:SYMBOL=BMY&amp;VAR:INDEX=0"}</definedName>
    <definedName name="_3757__FDSAUDITLINK__" hidden="1">{"fdsup://directions/FAT Viewer?action=UPDATE&amp;creator=factset&amp;DYN_ARGS=TRUE&amp;DOC_NAME=FAT:FQL_AUDITING_CLIENT_TEMPLATE.FAT&amp;display_string=Audit&amp;VAR:KEY=POPKTAPQJQ&amp;VAR:QUERY=RkZfU0FMRVMoQ0FMLDQwNTQzLCwsLFVTRCk=&amp;WINDOW=FIRST_POPUP&amp;HEIGHT=450&amp;WIDTH=450&amp;START_MA","XIMIZED=FALSE&amp;VAR:CALENDAR=US&amp;VAR:SYMBOL=LLY&amp;VAR:INDEX=0"}</definedName>
    <definedName name="_3758__FDSAUDITLINK__" hidden="1">{"fdsup://directions/FAT Viewer?action=UPDATE&amp;creator=factset&amp;DYN_ARGS=TRUE&amp;DOC_NAME=FAT:FQL_AUDITING_CLIENT_TEMPLATE.FAT&amp;display_string=Audit&amp;VAR:KEY=XOJCXURYNY&amp;VAR:QUERY=RkZfU0FMRVMoQ0FMLDQwNTQzLCwsLFVTRCk=&amp;WINDOW=FIRST_POPUP&amp;HEIGHT=450&amp;WIDTH=450&amp;START_MA","XIMIZED=FALSE&amp;VAR:CALENDAR=US&amp;VAR:SYMBOL=506921&amp;VAR:INDEX=0"}</definedName>
    <definedName name="_3759__FDSAUDITLINK__" hidden="1">{"fdsup://directions/FAT Viewer?action=UPDATE&amp;creator=factset&amp;DYN_ARGS=TRUE&amp;DOC_NAME=FAT:FQL_AUDITING_CLIENT_TEMPLATE.FAT&amp;display_string=Audit&amp;VAR:KEY=VSPKTEVIFI&amp;VAR:QUERY=RkZfU0FMRVMoQ0FMLDQwNTQzLCwsLFVTRCk=&amp;WINDOW=FIRST_POPUP&amp;HEIGHT=450&amp;WIDTH=450&amp;START_MA","XIMIZED=FALSE&amp;VAR:CALENDAR=US&amp;VAR:SYMBOL=567173&amp;VAR:INDEX=0"}</definedName>
    <definedName name="_376__FDSAUDITLINK__" hidden="1">{"fdsup://directions/FAT%20Viewer?VAR:TM=NTMA&amp;VAR:PCT=0.416438&amp;VAR:Y0=2003&amp;VAR:Y1=2004&amp;VAR:V0=18.229000&amp;VAR:V1=16.192608&amp;VAR:V=16.982659&amp;VAR:AUDIT_ID=00000117&amp;VAR:DATE=20030801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Aggregates&amp;VAR:MEASURE=PE_MEAN&amp;VAR:CALC_MODE=PORTFOLIO&amp;VAR:CHGPERIOD=NA&amp;VAR:FQLFORMULA=FMA_PE&amp;VAR:CURRENCY=USD&amp;VAR:P=9","80.152500&amp;VAR:THRESH=||||||&amp;VAR:null=.html"}</definedName>
    <definedName name="_3760__FDSAUDITLINK__" hidden="1">{"fdsup://directions/FAT Viewer?action=UPDATE&amp;creator=factset&amp;DYN_ARGS=TRUE&amp;DOC_NAME=FAT:FQL_AUDITING_CLIENT_TEMPLATE.FAT&amp;display_string=Audit&amp;VAR:KEY=BCLQRKPMJI&amp;VAR:QUERY=RkZfU0FMRVMoQ0FMLDQwNTQzLCwsLFVTRCk=&amp;WINDOW=FIRST_POPUP&amp;HEIGHT=450&amp;WIDTH=450&amp;START_MA","XIMIZED=FALSE&amp;VAR:CALENDAR=US&amp;VAR:SYMBOL=JNJ&amp;VAR:INDEX=0"}</definedName>
    <definedName name="_3761__FDSAUDITLINK__" hidden="1">{"fdsup://directions/FAT Viewer?action=UPDATE&amp;creator=factset&amp;DYN_ARGS=TRUE&amp;DOC_NAME=FAT:FQL_AUDITING_CLIENT_TEMPLATE.FAT&amp;display_string=Audit&amp;VAR:KEY=VIFKZADUDQ&amp;VAR:QUERY=RkZfU0FMRVMoQ0FMLDQwNTQzLCwsLFVTRCk=&amp;WINDOW=FIRST_POPUP&amp;HEIGHT=450&amp;WIDTH=450&amp;START_MA","XIMIZED=FALSE&amp;VAR:CALENDAR=US&amp;VAR:SYMBOL=710306&amp;VAR:INDEX=0"}</definedName>
    <definedName name="_3762__FDSAUDITLINK__" hidden="1">{"fdsup://directions/FAT Viewer?action=UPDATE&amp;creator=factset&amp;DYN_ARGS=TRUE&amp;DOC_NAME=FAT:FQL_AUDITING_CLIENT_TEMPLATE.FAT&amp;display_string=Audit&amp;VAR:KEY=LUZWFQNOTG&amp;VAR:QUERY=RkZfU0FMRVMoQ0FMLDQwNTQzLCwsLFVTRCk=&amp;WINDOW=FIRST_POPUP&amp;HEIGHT=450&amp;WIDTH=450&amp;START_MA","XIMIZED=FALSE&amp;VAR:CALENDAR=US&amp;VAR:SYMBOL=711038&amp;VAR:INDEX=0"}</definedName>
    <definedName name="_3763__FDSAUDITLINK__" hidden="1">{"fdsup://directions/FAT Viewer?action=UPDATE&amp;creator=factset&amp;DYN_ARGS=TRUE&amp;DOC_NAME=FAT:FQL_AUDITING_CLIENT_TEMPLATE.FAT&amp;display_string=Audit&amp;VAR:KEY=DMDIZURKRI&amp;VAR:QUERY=RkZfU0FMRVMoQ0FMLDQwNTQzLCwsLFVTRCk=&amp;WINDOW=FIRST_POPUP&amp;HEIGHT=450&amp;WIDTH=450&amp;START_MA","XIMIZED=FALSE&amp;VAR:CALENDAR=US&amp;VAR:SYMBOL=MRK&amp;VAR:INDEX=0"}</definedName>
    <definedName name="_3764__FDSAUDITLINK__" hidden="1">{"fdsup://directions/FAT Viewer?action=UPDATE&amp;creator=factset&amp;DYN_ARGS=TRUE&amp;DOC_NAME=FAT:FQL_AUDITING_CLIENT_TEMPLATE.FAT&amp;display_string=Audit&amp;VAR:KEY=HGVYHKXCNO&amp;VAR:QUERY=RkZfU0FMRVMoQ0FMLDQwNTQzLCwsLFVTRCk=&amp;WINDOW=FIRST_POPUP&amp;HEIGHT=450&amp;WIDTH=450&amp;START_MA","XIMIZED=FALSE&amp;VAR:CALENDAR=US&amp;VAR:SYMBOL=PFE&amp;VAR:INDEX=0"}</definedName>
    <definedName name="_3765__FDSAUDITLINK__" hidden="1">{"fdsup://directions/FAT Viewer?action=UPDATE&amp;creator=factset&amp;DYN_ARGS=TRUE&amp;DOC_NAME=FAT:FQL_AUDITING_CLIENT_TEMPLATE.FAT&amp;display_string=Audit&amp;VAR:KEY=PYFKPQPOHY&amp;VAR:QUERY=RkZfU0FMRVMoQ0FMLDQwNTQzLCwsLCk=&amp;WINDOW=FIRST_POPUP&amp;HEIGHT=450&amp;WIDTH=450&amp;START_MAXIMI","ZED=FALSE&amp;VAR:CALENDAR=US&amp;VAR:SYMBOL=BIIB&amp;VAR:INDEX=0"}</definedName>
    <definedName name="_3766__FDSAUDITLINK__" hidden="1">{"fdsup://directions/FAT Viewer?action=UPDATE&amp;creator=factset&amp;DYN_ARGS=TRUE&amp;DOC_NAME=FAT:FQL_AUDITING_CLIENT_TEMPLATE.FAT&amp;display_string=Audit&amp;VAR:KEY=ZQLUZKTERW&amp;VAR:QUERY=RkZfU0FMRVMoQ0FMLDQwMTc4LCwsLCk=&amp;WINDOW=FIRST_POPUP&amp;HEIGHT=450&amp;WIDTH=450&amp;START_MAXIMI","ZED=FALSE&amp;VAR:CALENDAR=US&amp;VAR:SYMBOL=BIIB&amp;VAR:INDEX=0"}</definedName>
    <definedName name="_3767__FDSAUDITLINK__" hidden="1">{"fdsup://directions/FAT Viewer?action=UPDATE&amp;creator=factset&amp;DYN_ARGS=TRUE&amp;DOC_NAME=FAT:FQL_AUDITING_CLIENT_TEMPLATE.FAT&amp;display_string=Audit&amp;VAR:KEY=XOLSHCXGBA&amp;VAR:QUERY=RkZfU0FMRVMoQ0FMLDM5ODEzLCwsLCk=&amp;WINDOW=FIRST_POPUP&amp;HEIGHT=450&amp;WIDTH=450&amp;START_MAXIMI","ZED=FALSE&amp;VAR:CALENDAR=US&amp;VAR:SYMBOL=BIIB&amp;VAR:INDEX=0"}</definedName>
    <definedName name="_3768__FDSAUDITLINK__" hidden="1">{"fdsup://directions/FAT Viewer?action=UPDATE&amp;creator=factset&amp;DYN_ARGS=TRUE&amp;DOC_NAME=FAT:FQL_AUDITING_CLIENT_TEMPLATE.FAT&amp;display_string=Audit&amp;VAR:KEY=LYPQBETAZS&amp;VAR:QUERY=RkZfU0FMRVMoQ0FMLDM5NDQ3LCwsLCk=&amp;WINDOW=FIRST_POPUP&amp;HEIGHT=450&amp;WIDTH=450&amp;START_MAXIMI","ZED=FALSE&amp;VAR:CALENDAR=US&amp;VAR:SYMBOL=BIIB&amp;VAR:INDEX=0"}</definedName>
    <definedName name="_3769__FDSAUDITLINK__" hidden="1">{"fdsup://directions/FAT Viewer?action=UPDATE&amp;creator=factset&amp;DYN_ARGS=TRUE&amp;DOC_NAME=FAT:FQL_AUDITING_CLIENT_TEMPLATE.FAT&amp;display_string=Audit&amp;VAR:KEY=ZELAFGHURE&amp;VAR:QUERY=RkZfU0FMRVMoQ0FMLDM5MDgyLCwsLCk=&amp;WINDOW=FIRST_POPUP&amp;HEIGHT=450&amp;WIDTH=450&amp;START_MAXIMI","ZED=FALSE&amp;VAR:CALENDAR=US&amp;VAR:SYMBOL=BIIB&amp;VAR:INDEX=0"}</definedName>
    <definedName name="_377__FDSAUDITLINK__" hidden="1">{"fdsup://directions/FAT%20Viewer?VAR:TM=NTMA&amp;VAR:PCT=0.435616&amp;VAR:Y0=2003&amp;VAR:Y1=2004&amp;VAR:V0=18.636710&amp;VAR:V1=16.515686&amp;VAR:V=17.377196&amp;VAR:AUDIT_ID=00000117&amp;VAR:DATE=20030725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Aggregates&amp;VAR:MEASURE=PE_MEAN&amp;VAR:CALC_MODE=PORTFOLIO&amp;VAR:CHGPERIOD=NA&amp;VAR:FQLFORMULA=FMA_PE&amp;VAR:CURRENCY=USD&amp;VAR:P=9","98.680240&amp;VAR:THRESH=||||||&amp;VAR:null=.html"}</definedName>
    <definedName name="_3770__FDSAUDITLINK__" hidden="1">{"fdsup://directions/FAT Viewer?action=UPDATE&amp;creator=factset&amp;DYN_ARGS=TRUE&amp;DOC_NAME=FAT:FQL_AUDITING_CLIENT_TEMPLATE.FAT&amp;display_string=Audit&amp;VAR:KEY=JEJEDARGZU&amp;VAR:QUERY=RkZfU0FMRVMoQ0FMLDM4NzE3LCwsLCk=&amp;WINDOW=FIRST_POPUP&amp;HEIGHT=450&amp;WIDTH=450&amp;START_MAXIMI","ZED=FALSE&amp;VAR:CALENDAR=US&amp;VAR:SYMBOL=BIIB&amp;VAR:INDEX=0"}</definedName>
    <definedName name="_3771__FDSAUDITLINK__" hidden="1">{"fdsup://directions/FAT Viewer?action=UPDATE&amp;creator=factset&amp;DYN_ARGS=TRUE&amp;DOC_NAME=FAT:FQL_AUDITING_CLIENT_TEMPLATE.FAT&amp;display_string=Audit&amp;VAR:KEY=BGRMFOVODW&amp;VAR:QUERY=RkZfU0FMRVMoQ0FMLDM4MzUyLCwsLCk=&amp;WINDOW=FIRST_POPUP&amp;HEIGHT=450&amp;WIDTH=450&amp;START_MAXIMI","ZED=FALSE&amp;VAR:CALENDAR=US&amp;VAR:SYMBOL=BIIB&amp;VAR:INDEX=0"}</definedName>
    <definedName name="_3772__FDSAUDITLINK__" hidden="1">{"fdsup://directions/FAT Viewer?action=UPDATE&amp;creator=factset&amp;DYN_ARGS=TRUE&amp;DOC_NAME=FAT:FQL_AUDITING_CLIENT_TEMPLATE.FAT&amp;display_string=Audit&amp;VAR:KEY=PWBSNCLCBA&amp;VAR:QUERY=RkZfU0FMRVMoQ0FMLDQwNTQzLCwsLCk=&amp;WINDOW=FIRST_POPUP&amp;HEIGHT=450&amp;WIDTH=450&amp;START_MAXIMI","ZED=FALSE&amp;VAR:CALENDAR=US&amp;VAR:SYMBOL=707752&amp;VAR:INDEX=0"}</definedName>
    <definedName name="_3773__FDSAUDITLINK__" hidden="1">{"fdsup://directions/FAT Viewer?action=UPDATE&amp;creator=factset&amp;DYN_ARGS=TRUE&amp;DOC_NAME=FAT:FQL_AUDITING_CLIENT_TEMPLATE.FAT&amp;display_string=Audit&amp;VAR:KEY=LUHEVWHCDE&amp;VAR:QUERY=RkZfU0FMRVMoQ0FMLDQwMTc4LCwsLCk=&amp;WINDOW=FIRST_POPUP&amp;HEIGHT=450&amp;WIDTH=450&amp;START_MAXIMI","ZED=FALSE&amp;VAR:CALENDAR=US&amp;VAR:SYMBOL=707752&amp;VAR:INDEX=0"}</definedName>
    <definedName name="_3774__FDSAUDITLINK__" hidden="1">{"fdsup://directions/FAT Viewer?action=UPDATE&amp;creator=factset&amp;DYN_ARGS=TRUE&amp;DOC_NAME=FAT:FQL_AUDITING_CLIENT_TEMPLATE.FAT&amp;display_string=Audit&amp;VAR:KEY=JWVKFOHATC&amp;VAR:QUERY=RkZfU0FMRVMoQ0FMLDM5ODEzLCwsLCk=&amp;WINDOW=FIRST_POPUP&amp;HEIGHT=450&amp;WIDTH=450&amp;START_MAXIMI","ZED=FALSE&amp;VAR:CALENDAR=US&amp;VAR:SYMBOL=707752&amp;VAR:INDEX=0"}</definedName>
    <definedName name="_3775__FDSAUDITLINK__" hidden="1">{"fdsup://directions/FAT Viewer?action=UPDATE&amp;creator=factset&amp;DYN_ARGS=TRUE&amp;DOC_NAME=FAT:FQL_AUDITING_CLIENT_TEMPLATE.FAT&amp;display_string=Audit&amp;VAR:KEY=VWHYNKZKRG&amp;VAR:QUERY=RkZfU0FMRVMoQ0FMLDM5NDQ3LCwsLCk=&amp;WINDOW=FIRST_POPUP&amp;HEIGHT=450&amp;WIDTH=450&amp;START_MAXIMI","ZED=FALSE&amp;VAR:CALENDAR=US&amp;VAR:SYMBOL=707752&amp;VAR:INDEX=0"}</definedName>
    <definedName name="_3776__FDSAUDITLINK__" hidden="1">{"fdsup://directions/FAT Viewer?action=UPDATE&amp;creator=factset&amp;DYN_ARGS=TRUE&amp;DOC_NAME=FAT:FQL_AUDITING_CLIENT_TEMPLATE.FAT&amp;display_string=Audit&amp;VAR:KEY=XQPUJIHOVS&amp;VAR:QUERY=RkZfU0FMRVMoQ0FMLDQwNTQzLCwsLCk=&amp;WINDOW=FIRST_POPUP&amp;HEIGHT=450&amp;WIDTH=450&amp;START_MAXIMI","ZED=FALSE&amp;VAR:CALENDAR=US&amp;VAR:SYMBOL=630720&amp;VAR:INDEX=0"}</definedName>
    <definedName name="_3777__FDSAUDITLINK__" hidden="1">{"fdsup://directions/FAT Viewer?action=UPDATE&amp;creator=factset&amp;DYN_ARGS=TRUE&amp;DOC_NAME=FAT:FQL_AUDITING_CLIENT_TEMPLATE.FAT&amp;display_string=Audit&amp;VAR:KEY=ZEHGRSXYRY&amp;VAR:QUERY=RkZfU0FMRVMoQ0FMLDQwMTc4LCwsLCk=&amp;WINDOW=FIRST_POPUP&amp;HEIGHT=450&amp;WIDTH=450&amp;START_MAXIMI","ZED=FALSE&amp;VAR:CALENDAR=US&amp;VAR:SYMBOL=630720&amp;VAR:INDEX=0"}</definedName>
    <definedName name="_3778__FDSAUDITLINK__" hidden="1">{"fdsup://directions/FAT Viewer?action=UPDATE&amp;creator=factset&amp;DYN_ARGS=TRUE&amp;DOC_NAME=FAT:FQL_AUDITING_CLIENT_TEMPLATE.FAT&amp;display_string=Audit&amp;VAR:KEY=HADCZKLKPY&amp;VAR:QUERY=RkZfU0FMRVMoQ0FMLDM5ODEzLCwsLCk=&amp;WINDOW=FIRST_POPUP&amp;HEIGHT=450&amp;WIDTH=450&amp;START_MAXIMI","ZED=FALSE&amp;VAR:CALENDAR=US&amp;VAR:SYMBOL=630720&amp;VAR:INDEX=0"}</definedName>
    <definedName name="_3779__FDSAUDITLINK__" hidden="1">{"fdsup://directions/FAT Viewer?action=UPDATE&amp;creator=factset&amp;DYN_ARGS=TRUE&amp;DOC_NAME=FAT:FQL_AUDITING_CLIENT_TEMPLATE.FAT&amp;display_string=Audit&amp;VAR:KEY=RYPORYFIJI&amp;VAR:QUERY=RkZfU0FMRVMoQ0FMLDM5NDQ3LCwsLCk=&amp;WINDOW=FIRST_POPUP&amp;HEIGHT=450&amp;WIDTH=450&amp;START_MAXIMI","ZED=FALSE&amp;VAR:CALENDAR=US&amp;VAR:SYMBOL=630720&amp;VAR:INDEX=0"}</definedName>
    <definedName name="_378__FDSAUDITLINK__" hidden="1">{"fdsup://directions/FAT%20Viewer?VAR:TM=NTMA&amp;VAR:PCT=0.454795&amp;VAR:Y0=2003&amp;VAR:Y1=2004&amp;VAR:V0=18.586992&amp;VAR:V1=16.453024&amp;VAR:V=17.359445&amp;VAR:AUDIT_ID=00000117&amp;VAR:DATE=20030718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Aggregates&amp;VAR:MEASURE=PE_MEAN&amp;VAR:CALC_MODE=PORTFOLIO&amp;VAR:CHGPERIOD=NA&amp;VAR:FQLFORMULA=FMA_PE&amp;VAR:CURRENCY=USD&amp;VAR:P=9","93.315500&amp;VAR:THRESH=||||||&amp;VAR:null=.html"}</definedName>
    <definedName name="_3780__FDSAUDITLINK__" hidden="1">{"fdsup://directions/FAT Viewer?action=UPDATE&amp;creator=factset&amp;DYN_ARGS=TRUE&amp;DOC_NAME=FAT:FQL_AUDITING_CLIENT_TEMPLATE.FAT&amp;display_string=Audit&amp;VAR:KEY=XOXAFQPQBU&amp;VAR:QUERY=RkZfU0FMRVMoQ0FMLDM5MDgyLCwsLCk=&amp;WINDOW=FIRST_POPUP&amp;HEIGHT=450&amp;WIDTH=450&amp;START_MAXIMI","ZED=FALSE&amp;VAR:CALENDAR=US&amp;VAR:SYMBOL=630720&amp;VAR:INDEX=0"}</definedName>
    <definedName name="_3781__FDSAUDITLINK__" hidden="1">{"fdsup://directions/FAT Viewer?action=UPDATE&amp;creator=factset&amp;DYN_ARGS=TRUE&amp;DOC_NAME=FAT:FQL_AUDITING_CLIENT_TEMPLATE.FAT&amp;display_string=Audit&amp;VAR:KEY=RWPCRWLQPE&amp;VAR:QUERY=RkZfU0FMRVMoQ0FMLDM4NzE3LCwsLCk=&amp;WINDOW=FIRST_POPUP&amp;HEIGHT=450&amp;WIDTH=450&amp;START_MAXIMI","ZED=FALSE&amp;VAR:CALENDAR=US&amp;VAR:SYMBOL=630720&amp;VAR:INDEX=0"}</definedName>
    <definedName name="_3782__FDSAUDITLINK__" hidden="1">{"fdsup://directions/FAT Viewer?action=UPDATE&amp;creator=factset&amp;DYN_ARGS=TRUE&amp;DOC_NAME=FAT:FQL_AUDITING_CLIENT_TEMPLATE.FAT&amp;display_string=Audit&amp;VAR:KEY=HMVSNIBYDY&amp;VAR:QUERY=RkZfU0FMRVMoQ0FMLDM4MzUyLCwsLCk=&amp;WINDOW=FIRST_POPUP&amp;HEIGHT=450&amp;WIDTH=450&amp;START_MAXIMI","ZED=FALSE&amp;VAR:CALENDAR=US&amp;VAR:SYMBOL=630720&amp;VAR:INDEX=0"}</definedName>
    <definedName name="_3783__FDSAUDITLINK__" hidden="1">{"fdsup://directions/FAT Viewer?action=UPDATE&amp;creator=factset&amp;DYN_ARGS=TRUE&amp;DOC_NAME=FAT:FQL_AUDITING_CLIENT_TEMPLATE.FAT&amp;display_string=Audit&amp;VAR:KEY=FMVKVUFQTO&amp;VAR:QUERY=RkZfU0FMRVMoQ0FMLDM3OTg2LCwsLCk=&amp;WINDOW=FIRST_POPUP&amp;HEIGHT=450&amp;WIDTH=450&amp;START_MAXIMI","ZED=FALSE&amp;VAR:CALENDAR=US&amp;VAR:SYMBOL=630720&amp;VAR:INDEX=0"}</definedName>
    <definedName name="_3784__FDSAUDITLINK__" hidden="1">{"fdsup://directions/FAT Viewer?action=UPDATE&amp;creator=factset&amp;DYN_ARGS=TRUE&amp;DOC_NAME=FAT:FQL_AUDITING_CLIENT_TEMPLATE.FAT&amp;display_string=Audit&amp;VAR:KEY=RWZSTULEFE&amp;VAR:QUERY=RkZfU0FMRVMoQ0FMLDQwNTQzLCwsLCk=&amp;WINDOW=FIRST_POPUP&amp;HEIGHT=450&amp;WIDTH=450&amp;START_MAXIMI","ZED=FALSE&amp;VAR:CALENDAR=US&amp;VAR:SYMBOL=698538&amp;VAR:INDEX=0"}</definedName>
    <definedName name="_3785__FDSAUDITLINK__" hidden="1">{"fdsup://directions/FAT Viewer?action=UPDATE&amp;creator=factset&amp;DYN_ARGS=TRUE&amp;DOC_NAME=FAT:FQL_AUDITING_CLIENT_TEMPLATE.FAT&amp;display_string=Audit&amp;VAR:KEY=XENCRATKNY&amp;VAR:QUERY=RkZfU0FMRVMoQ0FMLDQwMTc4LCwsLCk=&amp;WINDOW=FIRST_POPUP&amp;HEIGHT=450&amp;WIDTH=450&amp;START_MAXIMI","ZED=FALSE&amp;VAR:CALENDAR=US&amp;VAR:SYMBOL=698538&amp;VAR:INDEX=0"}</definedName>
    <definedName name="_3786__FDSAUDITLINK__" hidden="1">{"fdsup://directions/FAT Viewer?action=UPDATE&amp;creator=factset&amp;DYN_ARGS=TRUE&amp;DOC_NAME=FAT:FQL_AUDITING_CLIENT_TEMPLATE.FAT&amp;display_string=Audit&amp;VAR:KEY=DGVCLOXWNQ&amp;VAR:QUERY=RkZfU0FMRVMoQ0FMLDM5ODEzLCwsLCk=&amp;WINDOW=FIRST_POPUP&amp;HEIGHT=450&amp;WIDTH=450&amp;START_MAXIMI","ZED=FALSE&amp;VAR:CALENDAR=US&amp;VAR:SYMBOL=698538&amp;VAR:INDEX=0"}</definedName>
    <definedName name="_3787__FDSAUDITLINK__" hidden="1">{"fdsup://directions/FAT Viewer?action=UPDATE&amp;creator=factset&amp;DYN_ARGS=TRUE&amp;DOC_NAME=FAT:FQL_AUDITING_CLIENT_TEMPLATE.FAT&amp;display_string=Audit&amp;VAR:KEY=NGFQXAXQVY&amp;VAR:QUERY=RkZfU0FMRVMoQ0FMLDM5NDQ3LCwsLCk=&amp;WINDOW=FIRST_POPUP&amp;HEIGHT=450&amp;WIDTH=450&amp;START_MAXIMI","ZED=FALSE&amp;VAR:CALENDAR=US&amp;VAR:SYMBOL=698538&amp;VAR:INDEX=0"}</definedName>
    <definedName name="_3788__FDSAUDITLINK__" hidden="1">{"fdsup://directions/FAT Viewer?action=UPDATE&amp;creator=factset&amp;DYN_ARGS=TRUE&amp;DOC_NAME=FAT:FQL_AUDITING_CLIENT_TEMPLATE.FAT&amp;display_string=Audit&amp;VAR:KEY=RYLYJAFOJG&amp;VAR:QUERY=RkZfU0FMRVMoQ0FMLDM5MDgyLCwsLCk=&amp;WINDOW=FIRST_POPUP&amp;HEIGHT=450&amp;WIDTH=450&amp;START_MAXIMI","ZED=FALSE&amp;VAR:CALENDAR=US&amp;VAR:SYMBOL=698538&amp;VAR:INDEX=0"}</definedName>
    <definedName name="_3789__FDSAUDITLINK__" hidden="1">{"fdsup://directions/FAT Viewer?action=UPDATE&amp;creator=factset&amp;DYN_ARGS=TRUE&amp;DOC_NAME=FAT:FQL_AUDITING_CLIENT_TEMPLATE.FAT&amp;display_string=Audit&amp;VAR:KEY=VSLYLYVYLU&amp;VAR:QUERY=RkZfU0FMRVMoQ0FMLDM4NzE3LCwsLCk=&amp;WINDOW=FIRST_POPUP&amp;HEIGHT=450&amp;WIDTH=450&amp;START_MAXIMI","ZED=FALSE&amp;VAR:CALENDAR=US&amp;VAR:SYMBOL=698538&amp;VAR:INDEX=0"}</definedName>
    <definedName name="_379__FDSAUDITLINK__" hidden="1">{"fdsup://directions/FAT%20Viewer?VAR:TM=NTMA&amp;VAR:PCT=0.473973&amp;VAR:Y0=2003&amp;VAR:Y1=2004&amp;VAR:V0=18.745080&amp;VAR:V1=16.568573&amp;VAR:V=17.533500&amp;VAR:AUDIT_ID=00000117&amp;VAR:DATE=20030711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Aggregates&amp;VAR:MEASURE=PE_MEAN&amp;VAR:CALC_MODE=PORTFOLIO&amp;VAR:CHGPERIOD=NA&amp;VAR:FQLFORMULA=FMA_PE&amp;VAR:CURRENCY=USD&amp;VAR:P=9","98.135440&amp;VAR:THRESH=||||||&amp;VAR:null=.html"}</definedName>
    <definedName name="_3790__FDSAUDITLINK__" hidden="1">{"fdsup://directions/FAT Viewer?action=UPDATE&amp;creator=factset&amp;DYN_ARGS=TRUE&amp;DOC_NAME=FAT:FQL_AUDITING_CLIENT_TEMPLATE.FAT&amp;display_string=Audit&amp;VAR:KEY=ZQTYLIBWXM&amp;VAR:QUERY=RkZfU0FMRVMoQ0FMLDM4MzUyLCwsLCk=&amp;WINDOW=FIRST_POPUP&amp;HEIGHT=450&amp;WIDTH=450&amp;START_MAXIMI","ZED=FALSE&amp;VAR:CALENDAR=US&amp;VAR:SYMBOL=698538&amp;VAR:INDEX=0"}</definedName>
    <definedName name="_3791__FDSAUDITLINK__" hidden="1">{"fdsup://directions/FAT Viewer?action=UPDATE&amp;creator=factset&amp;DYN_ARGS=TRUE&amp;DOC_NAME=FAT:FQL_AUDITING_CLIENT_TEMPLATE.FAT&amp;display_string=Audit&amp;VAR:KEY=ZITUFQLYRU&amp;VAR:QUERY=RkZfU0FMRVMoQ0FMLDM3OTg2LCwsLCk=&amp;WINDOW=FIRST_POPUP&amp;HEIGHT=450&amp;WIDTH=450&amp;START_MAXIMI","ZED=FALSE&amp;VAR:CALENDAR=US&amp;VAR:SYMBOL=698538&amp;VAR:INDEX=0"}</definedName>
    <definedName name="_3792__FDSAUDITLINK__" hidden="1">{"fdsup://directions/FAT Viewer?action=UPDATE&amp;creator=factset&amp;DYN_ARGS=TRUE&amp;DOC_NAME=FAT:FQL_AUDITING_CLIENT_TEMPLATE.FAT&amp;display_string=Audit&amp;VAR:KEY=XOBSPCJCDY&amp;VAR:QUERY=RkZfU0FMRVMoQ0FMLDQwNTQzLCwsLCk=&amp;WINDOW=FIRST_POPUP&amp;HEIGHT=450&amp;WIDTH=450&amp;START_MAXIMI","ZED=FALSE&amp;VAR:CALENDAR=US&amp;VAR:SYMBOL=474184&amp;VAR:INDEX=0"}</definedName>
    <definedName name="_3793__FDSAUDITLINK__" hidden="1">{"fdsup://directions/FAT Viewer?action=UPDATE&amp;creator=factset&amp;DYN_ARGS=TRUE&amp;DOC_NAME=FAT:FQL_AUDITING_CLIENT_TEMPLATE.FAT&amp;display_string=Audit&amp;VAR:KEY=BWJQJSRKZK&amp;VAR:QUERY=RkZfU0FMRVMoQ0FMLDQwMTc4LCwsLCk=&amp;WINDOW=FIRST_POPUP&amp;HEIGHT=450&amp;WIDTH=450&amp;START_MAXIMI","ZED=FALSE&amp;VAR:CALENDAR=US&amp;VAR:SYMBOL=474184&amp;VAR:INDEX=0"}</definedName>
    <definedName name="_3794__FDSAUDITLINK__" hidden="1">{"fdsup://directions/FAT Viewer?action=UPDATE&amp;creator=factset&amp;DYN_ARGS=TRUE&amp;DOC_NAME=FAT:FQL_AUDITING_CLIENT_TEMPLATE.FAT&amp;display_string=Audit&amp;VAR:KEY=ROPONUVCBK&amp;VAR:QUERY=RkZfU0FMRVMoQ0FMLDQwNTQzLCwsLCk=&amp;WINDOW=FIRST_POPUP&amp;HEIGHT=450&amp;WIDTH=450&amp;START_MAXIMI","ZED=FALSE&amp;VAR:CALENDAR=US&amp;VAR:SYMBOL=B0J7D9&amp;VAR:INDEX=0"}</definedName>
    <definedName name="_3795__FDSAUDITLINK__" hidden="1">{"fdsup://directions/FAT Viewer?action=UPDATE&amp;creator=factset&amp;DYN_ARGS=TRUE&amp;DOC_NAME=FAT:FQL_AUDITING_CLIENT_TEMPLATE.FAT&amp;display_string=Audit&amp;VAR:KEY=VIFIZWXYVO&amp;VAR:QUERY=RkZfU0FMRVMoQ0FMLDQwMTc4LCwsLCk=&amp;WINDOW=FIRST_POPUP&amp;HEIGHT=450&amp;WIDTH=450&amp;START_MAXIMI","ZED=FALSE&amp;VAR:CALENDAR=US&amp;VAR:SYMBOL=B0J7D9&amp;VAR:INDEX=0"}</definedName>
    <definedName name="_3796__FDSAUDITLINK__" hidden="1">{"fdsup://directions/FAT Viewer?action=UPDATE&amp;creator=factset&amp;DYN_ARGS=TRUE&amp;DOC_NAME=FAT:FQL_AUDITING_CLIENT_TEMPLATE.FAT&amp;display_string=Audit&amp;VAR:KEY=TYZOXMTCDS&amp;VAR:QUERY=RkZfU0FMRVMoQ0FMLDM5ODEzLCwsLCk=&amp;WINDOW=FIRST_POPUP&amp;HEIGHT=450&amp;WIDTH=450&amp;START_MAXIMI","ZED=FALSE&amp;VAR:CALENDAR=US&amp;VAR:SYMBOL=B0J7D9&amp;VAR:INDEX=0"}</definedName>
    <definedName name="_3797__FDSAUDITLINK__" hidden="1">{"fdsup://directions/FAT Viewer?action=UPDATE&amp;creator=factset&amp;DYN_ARGS=TRUE&amp;DOC_NAME=FAT:FQL_AUDITING_CLIENT_TEMPLATE.FAT&amp;display_string=Audit&amp;VAR:KEY=RCLWNAZUVM&amp;VAR:QUERY=RkZfU0FMRVMoQ0FMLDM5NDQ3LCwsLCk=&amp;WINDOW=FIRST_POPUP&amp;HEIGHT=450&amp;WIDTH=450&amp;START_MAXIMI","ZED=FALSE&amp;VAR:CALENDAR=US&amp;VAR:SYMBOL=B0J7D9&amp;VAR:INDEX=0"}</definedName>
    <definedName name="_3798__FDSAUDITLINK__" hidden="1">{"fdsup://directions/FAT Viewer?action=UPDATE&amp;creator=factset&amp;DYN_ARGS=TRUE&amp;DOC_NAME=FAT:FQL_AUDITING_CLIENT_TEMPLATE.FAT&amp;display_string=Audit&amp;VAR:KEY=VYFIHMHMZI&amp;VAR:QUERY=RkZfU0FMRVMoQ0FMLDM5MDgyLCwsLCk=&amp;WINDOW=FIRST_POPUP&amp;HEIGHT=450&amp;WIDTH=450&amp;START_MAXIMI","ZED=FALSE&amp;VAR:CALENDAR=US&amp;VAR:SYMBOL=B0J7D9&amp;VAR:INDEX=0"}</definedName>
    <definedName name="_3799__FDSAUDITLINK__" hidden="1">{"fdsup://directions/FAT Viewer?action=UPDATE&amp;creator=factset&amp;DYN_ARGS=TRUE&amp;DOC_NAME=FAT:FQL_AUDITING_CLIENT_TEMPLATE.FAT&amp;display_string=Audit&amp;VAR:KEY=RATYXOVERC&amp;VAR:QUERY=RkZfU0FMRVMoQ0FMLDM4NzE3LCwsLCk=&amp;WINDOW=FIRST_POPUP&amp;HEIGHT=450&amp;WIDTH=450&amp;START_MAXIMI","ZED=FALSE&amp;VAR:CALENDAR=US&amp;VAR:SYMBOL=B0J7D9&amp;VAR:INDEX=0"}</definedName>
    <definedName name="_38__FDSAUDITLINK__" hidden="1">{"fdsup://directions/FAT%20Viewer?VAR:TM=NTMA&amp;VAR:PCT=0.939726&amp;VAR:Y0=2010&amp;VAR:Y1=2011&amp;VAR:V0=13.874582&amp;VAR:V1=11.537265&amp;VAR:V=13.707206&amp;VAR:AUDIT_ID=00000117&amp;VAR:DATE=20100122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Aggregates&amp;VAR:MEASURE=PE_MEAN&amp;VAR:CALC_MODE=PORTFOLIO&amp;VAR:CHGPERIOD=NA&amp;VAR:FQLFORMULA=FMA_PE&amp;VAR:CURRENCY=USD&amp;VAR:P=1","091.755535&amp;VAR:THRESH=||||||&amp;VAR:null=.html"}</definedName>
    <definedName name="_380__FDSAUDITLINK__" hidden="1">{"fdsup://directions/FAT%20Viewer?VAR:TM=NTMA&amp;VAR:PCT=0.495890&amp;VAR:Y0=2003&amp;VAR:Y1=2004&amp;VAR:V0=18.489614&amp;VAR:V1=16.322792&amp;VAR:V=17.329903&amp;VAR:AUDIT_ID=00000117&amp;VAR:DATE=20030703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Aggregates&amp;VAR:MEASURE=PE_MEAN&amp;VAR:CALC_MODE=PORTFOLIO&amp;VAR:CHGPERIOD=NA&amp;VAR:FQLFORMULA=FMA_PE&amp;VAR:CURRENCY=USD&amp;VAR:P=9","85.700000&amp;VAR:THRESH=||||||&amp;VAR:null=.html"}</definedName>
    <definedName name="_3800__FDSAUDITLINK__" hidden="1">{"fdsup://directions/FAT Viewer?action=UPDATE&amp;creator=factset&amp;DYN_ARGS=TRUE&amp;DOC_NAME=FAT:FQL_AUDITING_CLIENT_TEMPLATE.FAT&amp;display_string=Audit&amp;VAR:KEY=HEROTQBOTS&amp;VAR:QUERY=RkZfU0FMRVMoQ0FMLDM4MzUyLCwsLCk=&amp;WINDOW=FIRST_POPUP&amp;HEIGHT=450&amp;WIDTH=450&amp;START_MAXIMI","ZED=FALSE&amp;VAR:CALENDAR=US&amp;VAR:SYMBOL=B0J7D9&amp;VAR:INDEX=0"}</definedName>
    <definedName name="_3801__FDSAUDITLINK__" hidden="1">{"fdsup://directions/FAT Viewer?action=UPDATE&amp;creator=factset&amp;DYN_ARGS=TRUE&amp;DOC_NAME=FAT:FQL_AUDITING_CLIENT_TEMPLATE.FAT&amp;display_string=Audit&amp;VAR:KEY=JAZQJETKLY&amp;VAR:QUERY=RkZfU0FMRVMoQ0FMLDM3OTg2LCwsLCk=&amp;WINDOW=FIRST_POPUP&amp;HEIGHT=450&amp;WIDTH=450&amp;START_MAXIMI","ZED=FALSE&amp;VAR:CALENDAR=US&amp;VAR:SYMBOL=B0J7D9&amp;VAR:INDEX=0"}</definedName>
    <definedName name="_3802__FDSAUDITLINK__" hidden="1">{"fdsup://directions/FAT Viewer?action=UPDATE&amp;creator=factset&amp;DYN_ARGS=TRUE&amp;DOC_NAME=FAT:FQL_AUDITING_CLIENT_TEMPLATE.FAT&amp;display_string=Audit&amp;VAR:KEY=NIXKXSZYJO&amp;VAR:QUERY=RkZfU0FMRVMoQ0FMLDQwNTQzLCwsLCk=&amp;WINDOW=FIRST_POPUP&amp;HEIGHT=450&amp;WIDTH=450&amp;START_MAXIMI","ZED=FALSE&amp;VAR:CALENDAR=US&amp;VAR:SYMBOL=AMGN&amp;VAR:INDEX=0"}</definedName>
    <definedName name="_3803__FDSAUDITLINK__" hidden="1">{"fdsup://directions/FAT Viewer?action=UPDATE&amp;creator=factset&amp;DYN_ARGS=TRUE&amp;DOC_NAME=FAT:FQL_AUDITING_CLIENT_TEMPLATE.FAT&amp;display_string=Audit&amp;VAR:KEY=PSHENMBWRU&amp;VAR:QUERY=RkZfU0FMRVMoQ0FMLDQwMTc4LCwsLCk=&amp;WINDOW=FIRST_POPUP&amp;HEIGHT=450&amp;WIDTH=450&amp;START_MAXIMI","ZED=FALSE&amp;VAR:CALENDAR=US&amp;VAR:SYMBOL=AMGN&amp;VAR:INDEX=0"}</definedName>
    <definedName name="_3804__FDSAUDITLINK__" hidden="1">{"fdsup://directions/FAT Viewer?action=UPDATE&amp;creator=factset&amp;DYN_ARGS=TRUE&amp;DOC_NAME=FAT:FQL_AUDITING_CLIENT_TEMPLATE.FAT&amp;display_string=Audit&amp;VAR:KEY=HAHEZKBKHG&amp;VAR:QUERY=RkZfU0FMRVMoQ0FMLDM5ODEzLCwsLCk=&amp;WINDOW=FIRST_POPUP&amp;HEIGHT=450&amp;WIDTH=450&amp;START_MAXIMI","ZED=FALSE&amp;VAR:CALENDAR=US&amp;VAR:SYMBOL=AMGN&amp;VAR:INDEX=0"}</definedName>
    <definedName name="_3805__FDSAUDITLINK__" hidden="1">{"fdsup://directions/FAT Viewer?action=UPDATE&amp;creator=factset&amp;DYN_ARGS=TRUE&amp;DOC_NAME=FAT:FQL_AUDITING_CLIENT_TEMPLATE.FAT&amp;display_string=Audit&amp;VAR:KEY=PGJOVCLGBS&amp;VAR:QUERY=RkZfU0FMRVMoQ0FMLDM5NDQ3LCwsLCk=&amp;WINDOW=FIRST_POPUP&amp;HEIGHT=450&amp;WIDTH=450&amp;START_MAXIMI","ZED=FALSE&amp;VAR:CALENDAR=US&amp;VAR:SYMBOL=AMGN&amp;VAR:INDEX=0"}</definedName>
    <definedName name="_3806__FDSAUDITLINK__" hidden="1">{"fdsup://directions/FAT Viewer?action=UPDATE&amp;creator=factset&amp;DYN_ARGS=TRUE&amp;DOC_NAME=FAT:FQL_AUDITING_CLIENT_TEMPLATE.FAT&amp;display_string=Audit&amp;VAR:KEY=FYXGXAXURW&amp;VAR:QUERY=RkZfU0FMRVMoQ0FMLDM5MDgyLCwsLCk=&amp;WINDOW=FIRST_POPUP&amp;HEIGHT=450&amp;WIDTH=450&amp;START_MAXIMI","ZED=FALSE&amp;VAR:CALENDAR=US&amp;VAR:SYMBOL=AMGN&amp;VAR:INDEX=0"}</definedName>
    <definedName name="_3807__FDSAUDITLINK__" hidden="1">{"fdsup://directions/FAT Viewer?action=UPDATE&amp;creator=factset&amp;DYN_ARGS=TRUE&amp;DOC_NAME=FAT:FQL_AUDITING_CLIENT_TEMPLATE.FAT&amp;display_string=Audit&amp;VAR:KEY=VADUDGDYFA&amp;VAR:QUERY=RkZfU0FMRVMoQ0FMLDM4NzE3LCwsLCk=&amp;WINDOW=FIRST_POPUP&amp;HEIGHT=450&amp;WIDTH=450&amp;START_MAXIMI","ZED=FALSE&amp;VAR:CALENDAR=US&amp;VAR:SYMBOL=AMGN&amp;VAR:INDEX=0"}</definedName>
    <definedName name="_3808__FDSAUDITLINK__" hidden="1">{"fdsup://directions/FAT Viewer?action=UPDATE&amp;creator=factset&amp;DYN_ARGS=TRUE&amp;DOC_NAME=FAT:FQL_AUDITING_CLIENT_TEMPLATE.FAT&amp;display_string=Audit&amp;VAR:KEY=FKDOZAJURW&amp;VAR:QUERY=RkZfU0FMRVMoQ0FMLDM4MzUyLCwsLCk=&amp;WINDOW=FIRST_POPUP&amp;HEIGHT=450&amp;WIDTH=450&amp;START_MAXIMI","ZED=FALSE&amp;VAR:CALENDAR=US&amp;VAR:SYMBOL=AMGN&amp;VAR:INDEX=0"}</definedName>
    <definedName name="_3809__FDSAUDITLINK__" hidden="1">{"fdsup://directions/FAT Viewer?action=UPDATE&amp;creator=factset&amp;DYN_ARGS=TRUE&amp;DOC_NAME=FAT:FQL_AUDITING_CLIENT_TEMPLATE.FAT&amp;display_string=Audit&amp;VAR:KEY=LULCDIVYJK&amp;VAR:QUERY=RkZfU0FMRVMoQ0FMLDQwNTQzLCwsLCk=&amp;WINDOW=FIRST_POPUP&amp;HEIGHT=450&amp;WIDTH=450&amp;START_MAXIMI","ZED=FALSE&amp;VAR:CALENDAR=US&amp;VAR:SYMBOL=ABT&amp;VAR:INDEX=0"}</definedName>
    <definedName name="_381__FDSAUDITLINK__" hidden="1">{"fdsup://directions/FAT%20Viewer?VAR:TM=NTMA&amp;VAR:PCT=0.512329&amp;VAR:Y0=2003&amp;VAR:Y1=2004&amp;VAR:V0=18.302456&amp;VAR:V1=16.183027&amp;VAR:V=17.203684&amp;VAR:AUDIT_ID=00000117&amp;VAR:DATE=20030627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Aggregates&amp;VAR:MEASURE=PE_MEAN&amp;VAR:CALC_MODE=PORTFOLIO&amp;VAR:CHGPERIOD=NA&amp;VAR:FQLFORMULA=FMA_PE&amp;VAR:CURRENCY=USD&amp;VAR:P=9","76.221070&amp;VAR:THRESH=||||||&amp;VAR:null=.html"}</definedName>
    <definedName name="_3810__FDSAUDITLINK__" hidden="1">{"fdsup://directions/FAT Viewer?action=UPDATE&amp;creator=factset&amp;DYN_ARGS=TRUE&amp;DOC_NAME=FAT:FQL_AUDITING_CLIENT_TEMPLATE.FAT&amp;display_string=Audit&amp;VAR:KEY=XIHAFGFYLU&amp;VAR:QUERY=RkZfU0FMRVMoQ0FMLDQwMTc4LCwsLCk=&amp;WINDOW=FIRST_POPUP&amp;HEIGHT=450&amp;WIDTH=450&amp;START_MAXIMI","ZED=FALSE&amp;VAR:CALENDAR=US&amp;VAR:SYMBOL=ABT&amp;VAR:INDEX=0"}</definedName>
    <definedName name="_3811__FDSAUDITLINK__" hidden="1">{"fdsup://directions/FAT Viewer?action=UPDATE&amp;creator=factset&amp;DYN_ARGS=TRUE&amp;DOC_NAME=FAT:FQL_AUDITING_CLIENT_TEMPLATE.FAT&amp;display_string=Audit&amp;VAR:KEY=FAFWNGJOZC&amp;VAR:QUERY=RkZfU0FMRVMoQ0FMLDM5ODEzLCwsLCk=&amp;WINDOW=FIRST_POPUP&amp;HEIGHT=450&amp;WIDTH=450&amp;START_MAXIMI","ZED=FALSE&amp;VAR:CALENDAR=US&amp;VAR:SYMBOL=ABT&amp;VAR:INDEX=0"}</definedName>
    <definedName name="_3812__FDSAUDITLINK__" hidden="1">{"fdsup://directions/FAT Viewer?action=UPDATE&amp;creator=factset&amp;DYN_ARGS=TRUE&amp;DOC_NAME=FAT:FQL_AUDITING_CLIENT_TEMPLATE.FAT&amp;display_string=Audit&amp;VAR:KEY=VOVAHWRMBQ&amp;VAR:QUERY=RkZfU0FMRVMoQ0FMLDM5NDQ3LCwsLCk=&amp;WINDOW=FIRST_POPUP&amp;HEIGHT=450&amp;WIDTH=450&amp;START_MAXIMI","ZED=FALSE&amp;VAR:CALENDAR=US&amp;VAR:SYMBOL=ABT&amp;VAR:INDEX=0"}</definedName>
    <definedName name="_3813__FDSAUDITLINK__" hidden="1">{"fdsup://directions/FAT Viewer?action=UPDATE&amp;creator=factset&amp;DYN_ARGS=TRUE&amp;DOC_NAME=FAT:FQL_AUDITING_CLIENT_TEMPLATE.FAT&amp;display_string=Audit&amp;VAR:KEY=JIZSHKHCLG&amp;VAR:QUERY=RkZfU0FMRVMoQ0FMLDM5MDgyLCwsLCk=&amp;WINDOW=FIRST_POPUP&amp;HEIGHT=450&amp;WIDTH=450&amp;START_MAXIMI","ZED=FALSE&amp;VAR:CALENDAR=US&amp;VAR:SYMBOL=ABT&amp;VAR:INDEX=0"}</definedName>
    <definedName name="_3814__FDSAUDITLINK__" hidden="1">{"fdsup://directions/FAT Viewer?action=UPDATE&amp;creator=factset&amp;DYN_ARGS=TRUE&amp;DOC_NAME=FAT:FQL_AUDITING_CLIENT_TEMPLATE.FAT&amp;display_string=Audit&amp;VAR:KEY=HGLONMHIHO&amp;VAR:QUERY=RkZfU0FMRVMoQ0FMLDM4NzE3LCwsLCk=&amp;WINDOW=FIRST_POPUP&amp;HEIGHT=450&amp;WIDTH=450&amp;START_MAXIMI","ZED=FALSE&amp;VAR:CALENDAR=US&amp;VAR:SYMBOL=ABT&amp;VAR:INDEX=0"}</definedName>
    <definedName name="_3815__FDSAUDITLINK__" hidden="1">{"fdsup://directions/FAT Viewer?action=UPDATE&amp;creator=factset&amp;DYN_ARGS=TRUE&amp;DOC_NAME=FAT:FQL_AUDITING_CLIENT_TEMPLATE.FAT&amp;display_string=Audit&amp;VAR:KEY=PMFYHUFOJW&amp;VAR:QUERY=RkZfU0FMRVMoQ0FMLDM4MzUyLCwsLCk=&amp;WINDOW=FIRST_POPUP&amp;HEIGHT=450&amp;WIDTH=450&amp;START_MAXIMI","ZED=FALSE&amp;VAR:CALENDAR=US&amp;VAR:SYMBOL=ABT&amp;VAR:INDEX=0"}</definedName>
    <definedName name="_3816__FDSAUDITLINK__" hidden="1">{"fdsup://directions/FAT Viewer?action=UPDATE&amp;creator=factset&amp;DYN_ARGS=TRUE&amp;DOC_NAME=FAT:FQL_AUDITING_CLIENT_TEMPLATE.FAT&amp;display_string=Audit&amp;VAR:KEY=FGVODQPWLQ&amp;VAR:QUERY=RkZfU0FMRVMoQ0FMLDQwNTQzLCwsLCk=&amp;WINDOW=FIRST_POPUP&amp;HEIGHT=450&amp;WIDTH=450&amp;START_MAXIMI","ZED=FALSE&amp;VAR:CALENDAR=US&amp;VAR:SYMBOL=687044&amp;VAR:INDEX=0"}</definedName>
    <definedName name="_3817__FDSAUDITLINK__" hidden="1">{"fdsup://directions/FAT Viewer?action=UPDATE&amp;creator=factset&amp;DYN_ARGS=TRUE&amp;DOC_NAME=FAT:FQL_AUDITING_CLIENT_TEMPLATE.FAT&amp;display_string=Audit&amp;VAR:KEY=NGJYDUXCVO&amp;VAR:QUERY=RkZfU0FMRVMoQ0FMLDQwMTc4LCwsLCk=&amp;WINDOW=FIRST_POPUP&amp;HEIGHT=450&amp;WIDTH=450&amp;START_MAXIMI","ZED=FALSE&amp;VAR:CALENDAR=US&amp;VAR:SYMBOL=687044&amp;VAR:INDEX=0"}</definedName>
    <definedName name="_3818__FDSAUDITLINK__" hidden="1">{"fdsup://directions/FAT Viewer?action=UPDATE&amp;creator=factset&amp;DYN_ARGS=TRUE&amp;DOC_NAME=FAT:FQL_AUDITING_CLIENT_TEMPLATE.FAT&amp;display_string=Audit&amp;VAR:KEY=NWVWHILSTA&amp;VAR:QUERY=RkZfU0FMRVMoQ0FMLDM5ODEzLCwsLCk=&amp;WINDOW=FIRST_POPUP&amp;HEIGHT=450&amp;WIDTH=450&amp;START_MAXIMI","ZED=FALSE&amp;VAR:CALENDAR=US&amp;VAR:SYMBOL=687044&amp;VAR:INDEX=0"}</definedName>
    <definedName name="_3819__FDSAUDITLINK__" hidden="1">{"fdsup://directions/FAT Viewer?action=UPDATE&amp;creator=factset&amp;DYN_ARGS=TRUE&amp;DOC_NAME=FAT:FQL_AUDITING_CLIENT_TEMPLATE.FAT&amp;display_string=Audit&amp;VAR:KEY=LANUXGTUJE&amp;VAR:QUERY=RkZfU0FMRVMoQ0FMLDM5NDQ3LCwsLCk=&amp;WINDOW=FIRST_POPUP&amp;HEIGHT=450&amp;WIDTH=450&amp;START_MAXIMI","ZED=FALSE&amp;VAR:CALENDAR=US&amp;VAR:SYMBOL=687044&amp;VAR:INDEX=0"}</definedName>
    <definedName name="_382__FDSAUDITLINK__" hidden="1">{"fdsup://directions/FAT%20Viewer?VAR:TM=NTMA&amp;VAR:PCT=0.531507&amp;VAR:Y0=2003&amp;VAR:Y1=2004&amp;VAR:V0=18.668291&amp;VAR:V1=16.499960&amp;VAR:V=17.585603&amp;VAR:AUDIT_ID=00000117&amp;VAR:DATE=20030620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Aggregates&amp;VAR:MEASURE=PE_MEAN&amp;VAR:CALC_MODE=PORTFOLIO&amp;VAR:CHGPERIOD=NA&amp;VAR:FQLFORMULA=FMA_PE&amp;VAR:CURRENCY=USD&amp;VAR:P=9","95.691800&amp;VAR:THRESH=||||||&amp;VAR:null=.html"}</definedName>
    <definedName name="_3820__FDSAUDITLINK__" hidden="1">{"fdsup://directions/FAT Viewer?action=UPDATE&amp;creator=factset&amp;DYN_ARGS=TRUE&amp;DOC_NAME=FAT:FQL_AUDITING_CLIENT_TEMPLATE.FAT&amp;display_string=Audit&amp;VAR:KEY=VMNWLAFAZG&amp;VAR:QUERY=RkZfU0FMRVMoQ0FMLDM5MDgyLCwsLCk=&amp;WINDOW=FIRST_POPUP&amp;HEIGHT=450&amp;WIDTH=450&amp;START_MAXIMI","ZED=FALSE&amp;VAR:CALENDAR=US&amp;VAR:SYMBOL=687044&amp;VAR:INDEX=0"}</definedName>
    <definedName name="_3821__FDSAUDITLINK__" hidden="1">{"fdsup://directions/FAT Viewer?action=UPDATE&amp;creator=factset&amp;DYN_ARGS=TRUE&amp;DOC_NAME=FAT:FQL_AUDITING_CLIENT_TEMPLATE.FAT&amp;display_string=Audit&amp;VAR:KEY=VUHEZEHYDS&amp;VAR:QUERY=RkZfU0FMRVMoQ0FMLDM4NzE3LCwsLCk=&amp;WINDOW=FIRST_POPUP&amp;HEIGHT=450&amp;WIDTH=450&amp;START_MAXIMI","ZED=FALSE&amp;VAR:CALENDAR=US&amp;VAR:SYMBOL=687044&amp;VAR:INDEX=0"}</definedName>
    <definedName name="_3822__FDSAUDITLINK__" hidden="1">{"fdsup://directions/FAT Viewer?action=UPDATE&amp;creator=factset&amp;DYN_ARGS=TRUE&amp;DOC_NAME=FAT:FQL_AUDITING_CLIENT_TEMPLATE.FAT&amp;display_string=Audit&amp;VAR:KEY=VEBOPIBOXG&amp;VAR:QUERY=RkZfU0FMRVMoQ0FMLDM4MzUyLCwsLCk=&amp;WINDOW=FIRST_POPUP&amp;HEIGHT=450&amp;WIDTH=450&amp;START_MAXIMI","ZED=FALSE&amp;VAR:CALENDAR=US&amp;VAR:SYMBOL=687044&amp;VAR:INDEX=0"}</definedName>
    <definedName name="_3823__FDSAUDITLINK__" hidden="1">{"fdsup://directions/FAT Viewer?action=UPDATE&amp;creator=factset&amp;DYN_ARGS=TRUE&amp;DOC_NAME=FAT:FQL_AUDITING_CLIENT_TEMPLATE.FAT&amp;display_string=Audit&amp;VAR:KEY=TWJGRYHSBC&amp;VAR:QUERY=RkZfU0FMRVMoQ0FMLDM3OTg2LCwsLCk=&amp;WINDOW=FIRST_POPUP&amp;HEIGHT=450&amp;WIDTH=450&amp;START_MAXIMI","ZED=FALSE&amp;VAR:CALENDAR=US&amp;VAR:SYMBOL=687044&amp;VAR:INDEX=0"}</definedName>
    <definedName name="_3824__FDSAUDITLINK__" hidden="1">{"fdsup://directions/FAT Viewer?action=UPDATE&amp;creator=factset&amp;DYN_ARGS=TRUE&amp;DOC_NAME=FAT:FQL_AUDITING_CLIENT_TEMPLATE.FAT&amp;display_string=Audit&amp;VAR:KEY=NMJKXQRIPK&amp;VAR:QUERY=RkZfU0FMRVMoQ0FMLDQwNTQzLCwsLCk=&amp;WINDOW=FIRST_POPUP&amp;HEIGHT=450&amp;WIDTH=450&amp;START_MAXIMI","ZED=FALSE&amp;VAR:CALENDAR=US&amp;VAR:SYMBOL=BMY&amp;VAR:INDEX=0"}</definedName>
    <definedName name="_3825__FDSAUDITLINK__" hidden="1">{"fdsup://directions/FAT Viewer?action=UPDATE&amp;creator=factset&amp;DYN_ARGS=TRUE&amp;DOC_NAME=FAT:FQL_AUDITING_CLIENT_TEMPLATE.FAT&amp;display_string=Audit&amp;VAR:KEY=BUJIHQJYLA&amp;VAR:QUERY=RkZfU0FMRVMoQ0FMLDQwMTc4LCwsLCk=&amp;WINDOW=FIRST_POPUP&amp;HEIGHT=450&amp;WIDTH=450&amp;START_MAXIMI","ZED=FALSE&amp;VAR:CALENDAR=US&amp;VAR:SYMBOL=BMY&amp;VAR:INDEX=0"}</definedName>
    <definedName name="_3826__FDSAUDITLINK__" hidden="1">{"fdsup://directions/FAT Viewer?action=UPDATE&amp;creator=factset&amp;DYN_ARGS=TRUE&amp;DOC_NAME=FAT:FQL_AUDITING_CLIENT_TEMPLATE.FAT&amp;display_string=Audit&amp;VAR:KEY=JIDAXAJARK&amp;VAR:QUERY=RkZfU0FMRVMoQ0FMLDM5ODEzLCwsLCk=&amp;WINDOW=FIRST_POPUP&amp;HEIGHT=450&amp;WIDTH=450&amp;START_MAXIMI","ZED=FALSE&amp;VAR:CALENDAR=US&amp;VAR:SYMBOL=BMY&amp;VAR:INDEX=0"}</definedName>
    <definedName name="_3827__FDSAUDITLINK__" hidden="1">{"fdsup://directions/FAT Viewer?action=UPDATE&amp;creator=factset&amp;DYN_ARGS=TRUE&amp;DOC_NAME=FAT:FQL_AUDITING_CLIENT_TEMPLATE.FAT&amp;display_string=Audit&amp;VAR:KEY=FGNGDYBWJI&amp;VAR:QUERY=RkZfU0FMRVMoQ0FMLDM5NDQ3LCwsLCk=&amp;WINDOW=FIRST_POPUP&amp;HEIGHT=450&amp;WIDTH=450&amp;START_MAXIMI","ZED=FALSE&amp;VAR:CALENDAR=US&amp;VAR:SYMBOL=BMY&amp;VAR:INDEX=0"}</definedName>
    <definedName name="_3828__FDSAUDITLINK__" hidden="1">{"fdsup://directions/FAT Viewer?action=UPDATE&amp;creator=factset&amp;DYN_ARGS=TRUE&amp;DOC_NAME=FAT:FQL_AUDITING_CLIENT_TEMPLATE.FAT&amp;display_string=Audit&amp;VAR:KEY=ZEPMHOTKTQ&amp;VAR:QUERY=RkZfU0FMRVMoQ0FMLDM5MDgyLCwsLCk=&amp;WINDOW=FIRST_POPUP&amp;HEIGHT=450&amp;WIDTH=450&amp;START_MAXIMI","ZED=FALSE&amp;VAR:CALENDAR=US&amp;VAR:SYMBOL=BMY&amp;VAR:INDEX=0"}</definedName>
    <definedName name="_3829__FDSAUDITLINK__" hidden="1">{"fdsup://directions/FAT Viewer?action=UPDATE&amp;creator=factset&amp;DYN_ARGS=TRUE&amp;DOC_NAME=FAT:FQL_AUDITING_CLIENT_TEMPLATE.FAT&amp;display_string=Audit&amp;VAR:KEY=ZSRUVKHGFO&amp;VAR:QUERY=RkZfU0FMRVMoQ0FMLDM4NzE3LCwsLCk=&amp;WINDOW=FIRST_POPUP&amp;HEIGHT=450&amp;WIDTH=450&amp;START_MAXIMI","ZED=FALSE&amp;VAR:CALENDAR=US&amp;VAR:SYMBOL=BMY&amp;VAR:INDEX=0"}</definedName>
    <definedName name="_383__FDSAUDITLINK__" hidden="1">{"fdsup://directions/FAT%20Viewer?VAR:TM=NTMA&amp;VAR:PCT=0.550685&amp;VAR:Y0=2003&amp;VAR:Y1=2004&amp;VAR:V0=18.443275&amp;VAR:V1=16.358520&amp;VAR:V=17.444385&amp;VAR:AUDIT_ID=00000117&amp;VAR:DATE=20030613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Aggregates&amp;VAR:MEASURE=PE_MEAN&amp;VAR:CALC_MODE=PORTFOLIO&amp;VAR:CHGPERIOD=NA&amp;VAR:FQLFORMULA=FMA_PE&amp;VAR:CURRENCY=USD&amp;VAR:P=9","88.609400&amp;VAR:THRESH=||||||&amp;VAR:null=.html"}</definedName>
    <definedName name="_3830__FDSAUDITLINK__" hidden="1">{"fdsup://directions/FAT Viewer?action=UPDATE&amp;creator=factset&amp;DYN_ARGS=TRUE&amp;DOC_NAME=FAT:FQL_AUDITING_CLIENT_TEMPLATE.FAT&amp;display_string=Audit&amp;VAR:KEY=LWZIXAXMJY&amp;VAR:QUERY=RkZfU0FMRVMoQ0FMLDM4MzUyLCwsLCk=&amp;WINDOW=FIRST_POPUP&amp;HEIGHT=450&amp;WIDTH=450&amp;START_MAXIMI","ZED=FALSE&amp;VAR:CALENDAR=US&amp;VAR:SYMBOL=BMY&amp;VAR:INDEX=0"}</definedName>
    <definedName name="_3831__FDSAUDITLINK__" hidden="1">{"fdsup://directions/FAT Viewer?action=UPDATE&amp;creator=factset&amp;DYN_ARGS=TRUE&amp;DOC_NAME=FAT:FQL_AUDITING_CLIENT_TEMPLATE.FAT&amp;display_string=Audit&amp;VAR:KEY=HGVUFQHQXY&amp;VAR:QUERY=RkZfU0FMRVMoQ0FMLDQwNTQzLCwsLCk=&amp;WINDOW=FIRST_POPUP&amp;HEIGHT=450&amp;WIDTH=450&amp;START_MAXIMI","ZED=FALSE&amp;VAR:CALENDAR=US&amp;VAR:SYMBOL=LLY&amp;VAR:INDEX=0"}</definedName>
    <definedName name="_3832__FDSAUDITLINK__" hidden="1">{"fdsup://directions/FAT Viewer?action=UPDATE&amp;creator=factset&amp;DYN_ARGS=TRUE&amp;DOC_NAME=FAT:FQL_AUDITING_CLIENT_TEMPLATE.FAT&amp;display_string=Audit&amp;VAR:KEY=BENYXWZQPA&amp;VAR:QUERY=RkZfU0FMRVMoQ0FMLDQwMTc4LCwsLCk=&amp;WINDOW=FIRST_POPUP&amp;HEIGHT=450&amp;WIDTH=450&amp;START_MAXIMI","ZED=FALSE&amp;VAR:CALENDAR=US&amp;VAR:SYMBOL=LLY&amp;VAR:INDEX=0"}</definedName>
    <definedName name="_3833__FDSAUDITLINK__" hidden="1">{"fdsup://directions/FAT Viewer?action=UPDATE&amp;creator=factset&amp;DYN_ARGS=TRUE&amp;DOC_NAME=FAT:FQL_AUDITING_CLIENT_TEMPLATE.FAT&amp;display_string=Audit&amp;VAR:KEY=TCDILENEJI&amp;VAR:QUERY=RkZfU0FMRVMoQ0FMLDM5ODEzLCwsLCk=&amp;WINDOW=FIRST_POPUP&amp;HEIGHT=450&amp;WIDTH=450&amp;START_MAXIMI","ZED=FALSE&amp;VAR:CALENDAR=US&amp;VAR:SYMBOL=LLY&amp;VAR:INDEX=0"}</definedName>
    <definedName name="_3834__FDSAUDITLINK__" hidden="1">{"fdsup://directions/FAT Viewer?action=UPDATE&amp;creator=factset&amp;DYN_ARGS=TRUE&amp;DOC_NAME=FAT:FQL_AUDITING_CLIENT_TEMPLATE.FAT&amp;display_string=Audit&amp;VAR:KEY=ZMZGTAHWVI&amp;VAR:QUERY=RkZfU0FMRVMoQ0FMLDM5NDQ3LCwsLCk=&amp;WINDOW=FIRST_POPUP&amp;HEIGHT=450&amp;WIDTH=450&amp;START_MAXIMI","ZED=FALSE&amp;VAR:CALENDAR=US&amp;VAR:SYMBOL=LLY&amp;VAR:INDEX=0"}</definedName>
    <definedName name="_3835__FDSAUDITLINK__" hidden="1">{"fdsup://directions/FAT Viewer?action=UPDATE&amp;creator=factset&amp;DYN_ARGS=TRUE&amp;DOC_NAME=FAT:FQL_AUDITING_CLIENT_TEMPLATE.FAT&amp;display_string=Audit&amp;VAR:KEY=VGZWFCPGLW&amp;VAR:QUERY=RkZfU0FMRVMoQ0FMLDM5MDgyLCwsLCk=&amp;WINDOW=FIRST_POPUP&amp;HEIGHT=450&amp;WIDTH=450&amp;START_MAXIMI","ZED=FALSE&amp;VAR:CALENDAR=US&amp;VAR:SYMBOL=LLY&amp;VAR:INDEX=0"}</definedName>
    <definedName name="_3836__FDSAUDITLINK__" hidden="1">{"fdsup://directions/FAT Viewer?action=UPDATE&amp;creator=factset&amp;DYN_ARGS=TRUE&amp;DOC_NAME=FAT:FQL_AUDITING_CLIENT_TEMPLATE.FAT&amp;display_string=Audit&amp;VAR:KEY=NMLWPYZODY&amp;VAR:QUERY=RkZfU0FMRVMoQ0FMLDM4NzE3LCwsLCk=&amp;WINDOW=FIRST_POPUP&amp;HEIGHT=450&amp;WIDTH=450&amp;START_MAXIMI","ZED=FALSE&amp;VAR:CALENDAR=US&amp;VAR:SYMBOL=LLY&amp;VAR:INDEX=0"}</definedName>
    <definedName name="_3837__FDSAUDITLINK__" hidden="1">{"fdsup://directions/FAT Viewer?action=UPDATE&amp;creator=factset&amp;DYN_ARGS=TRUE&amp;DOC_NAME=FAT:FQL_AUDITING_CLIENT_TEMPLATE.FAT&amp;display_string=Audit&amp;VAR:KEY=XERCTWXSFY&amp;VAR:QUERY=RkZfU0FMRVMoQ0FMLDM4MzUyLCwsLCk=&amp;WINDOW=FIRST_POPUP&amp;HEIGHT=450&amp;WIDTH=450&amp;START_MAXIMI","ZED=FALSE&amp;VAR:CALENDAR=US&amp;VAR:SYMBOL=LLY&amp;VAR:INDEX=0"}</definedName>
    <definedName name="_3838__FDSAUDITLINK__" hidden="1">{"fdsup://directions/FAT Viewer?action=UPDATE&amp;creator=factset&amp;DYN_ARGS=TRUE&amp;DOC_NAME=FAT:FQL_AUDITING_CLIENT_TEMPLATE.FAT&amp;display_string=Audit&amp;VAR:KEY=TYREZSHMJS&amp;VAR:QUERY=RkZfU0FMRVMoQ0FMLDQwNTQzLCwsLCk=&amp;WINDOW=FIRST_POPUP&amp;HEIGHT=450&amp;WIDTH=450&amp;START_MAXIMI","ZED=FALSE&amp;VAR:CALENDAR=US&amp;VAR:SYMBOL=506921&amp;VAR:INDEX=0"}</definedName>
    <definedName name="_3839__FDSAUDITLINK__" hidden="1">{"fdsup://directions/FAT Viewer?action=UPDATE&amp;creator=factset&amp;DYN_ARGS=TRUE&amp;DOC_NAME=FAT:FQL_AUDITING_CLIENT_TEMPLATE.FAT&amp;display_string=Audit&amp;VAR:KEY=VUTOPCHQXG&amp;VAR:QUERY=RkZfU0FMRVMoQ0FMLDQwMTc4LCwsLCk=&amp;WINDOW=FIRST_POPUP&amp;HEIGHT=450&amp;WIDTH=450&amp;START_MAXIMI","ZED=FALSE&amp;VAR:CALENDAR=US&amp;VAR:SYMBOL=506921&amp;VAR:INDEX=0"}</definedName>
    <definedName name="_384__FDSAUDITLINK__" hidden="1">{"fdsup://directions/FAT%20Viewer?VAR:TM=NTMA&amp;VAR:PCT=0.569863&amp;VAR:Y0=2003&amp;VAR:Y1=2004&amp;VAR:V0=18.434488&amp;VAR:V1=16.344835&amp;VAR:V=17.473579&amp;VAR:AUDIT_ID=00000117&amp;VAR:DATE=20030606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Aggregates&amp;VAR:MEASURE=PE_MEAN&amp;VAR:CALC_MODE=PORTFOLIO&amp;VAR:CHGPERIOD=NA&amp;VAR:FQLFORMULA=FMA_PE&amp;VAR:CURRENCY=USD&amp;VAR:P=9","87.761600&amp;VAR:THRESH=||||||&amp;VAR:null=.html"}</definedName>
    <definedName name="_3840__FDSAUDITLINK__" hidden="1">{"fdsup://directions/FAT Viewer?action=UPDATE&amp;creator=factset&amp;DYN_ARGS=TRUE&amp;DOC_NAME=FAT:FQL_AUDITING_CLIENT_TEMPLATE.FAT&amp;display_string=Audit&amp;VAR:KEY=DSVIFSTIRS&amp;VAR:QUERY=RkZfU0FMRVMoQ0FMLDM5ODEzLCwsLCk=&amp;WINDOW=FIRST_POPUP&amp;HEIGHT=450&amp;WIDTH=450&amp;START_MAXIMI","ZED=FALSE&amp;VAR:CALENDAR=US&amp;VAR:SYMBOL=506921&amp;VAR:INDEX=0"}</definedName>
    <definedName name="_3841__FDSAUDITLINK__" hidden="1">{"fdsup://directions/FAT Viewer?action=UPDATE&amp;creator=factset&amp;DYN_ARGS=TRUE&amp;DOC_NAME=FAT:FQL_AUDITING_CLIENT_TEMPLATE.FAT&amp;display_string=Audit&amp;VAR:KEY=VGFMRYZUDQ&amp;VAR:QUERY=RkZfU0FMRVMoQ0FMLDM5NDQ3LCwsLCk=&amp;WINDOW=FIRST_POPUP&amp;HEIGHT=450&amp;WIDTH=450&amp;START_MAXIMI","ZED=FALSE&amp;VAR:CALENDAR=US&amp;VAR:SYMBOL=506921&amp;VAR:INDEX=0"}</definedName>
    <definedName name="_3842__FDSAUDITLINK__" hidden="1">{"fdsup://directions/FAT Viewer?action=UPDATE&amp;creator=factset&amp;DYN_ARGS=TRUE&amp;DOC_NAME=FAT:FQL_AUDITING_CLIENT_TEMPLATE.FAT&amp;display_string=Audit&amp;VAR:KEY=PYPMDAJYFY&amp;VAR:QUERY=RkZfU0FMRVMoQ0FMLDM5MDgyLCwsLCk=&amp;WINDOW=FIRST_POPUP&amp;HEIGHT=450&amp;WIDTH=450&amp;START_MAXIMI","ZED=FALSE&amp;VAR:CALENDAR=US&amp;VAR:SYMBOL=506921&amp;VAR:INDEX=0"}</definedName>
    <definedName name="_3843__FDSAUDITLINK__" hidden="1">{"fdsup://directions/FAT Viewer?action=UPDATE&amp;creator=factset&amp;DYN_ARGS=TRUE&amp;DOC_NAME=FAT:FQL_AUDITING_CLIENT_TEMPLATE.FAT&amp;display_string=Audit&amp;VAR:KEY=FGLEFQPUNK&amp;VAR:QUERY=RkZfU0FMRVMoQ0FMLDM4NzE3LCwsLCk=&amp;WINDOW=FIRST_POPUP&amp;HEIGHT=450&amp;WIDTH=450&amp;START_MAXIMI","ZED=FALSE&amp;VAR:CALENDAR=US&amp;VAR:SYMBOL=506921&amp;VAR:INDEX=0"}</definedName>
    <definedName name="_3844__FDSAUDITLINK__" hidden="1">{"fdsup://directions/FAT Viewer?action=UPDATE&amp;creator=factset&amp;DYN_ARGS=TRUE&amp;DOC_NAME=FAT:FQL_AUDITING_CLIENT_TEMPLATE.FAT&amp;display_string=Audit&amp;VAR:KEY=NKROBUBURI&amp;VAR:QUERY=RkZfU0FMRVMoQ0FMLDQwNTQzLCwsLCk=&amp;WINDOW=FIRST_POPUP&amp;HEIGHT=450&amp;WIDTH=450&amp;START_MAXIMI","ZED=FALSE&amp;VAR:CALENDAR=US&amp;VAR:SYMBOL=567173&amp;VAR:INDEX=0"}</definedName>
    <definedName name="_3845__FDSAUDITLINK__" hidden="1">{"fdsup://directions/FAT Viewer?action=UPDATE&amp;creator=factset&amp;DYN_ARGS=TRUE&amp;DOC_NAME=FAT:FQL_AUDITING_CLIENT_TEMPLATE.FAT&amp;display_string=Audit&amp;VAR:KEY=FUZMZEJUJU&amp;VAR:QUERY=RkZfU0FMRVMoQ0FMLDQwMTc4LCwsLCk=&amp;WINDOW=FIRST_POPUP&amp;HEIGHT=450&amp;WIDTH=450&amp;START_MAXIMI","ZED=FALSE&amp;VAR:CALENDAR=US&amp;VAR:SYMBOL=567173&amp;VAR:INDEX=0"}</definedName>
    <definedName name="_3846__FDSAUDITLINK__" hidden="1">{"fdsup://directions/FAT Viewer?action=UPDATE&amp;creator=factset&amp;DYN_ARGS=TRUE&amp;DOC_NAME=FAT:FQL_AUDITING_CLIENT_TEMPLATE.FAT&amp;display_string=Audit&amp;VAR:KEY=DQJIRINKTK&amp;VAR:QUERY=RkZfU0FMRVMoQ0FMLDM5ODEzLCwsLCk=&amp;WINDOW=FIRST_POPUP&amp;HEIGHT=450&amp;WIDTH=450&amp;START_MAXIMI","ZED=FALSE&amp;VAR:CALENDAR=US&amp;VAR:SYMBOL=567173&amp;VAR:INDEX=0"}</definedName>
    <definedName name="_3847__FDSAUDITLINK__" hidden="1">{"fdsup://directions/FAT Viewer?action=UPDATE&amp;creator=factset&amp;DYN_ARGS=TRUE&amp;DOC_NAME=FAT:FQL_AUDITING_CLIENT_TEMPLATE.FAT&amp;display_string=Audit&amp;VAR:KEY=XUVOBOTILK&amp;VAR:QUERY=RkZfU0FMRVMoQ0FMLDM5NDQ3LCwsLCk=&amp;WINDOW=FIRST_POPUP&amp;HEIGHT=450&amp;WIDTH=450&amp;START_MAXIMI","ZED=FALSE&amp;VAR:CALENDAR=US&amp;VAR:SYMBOL=567173&amp;VAR:INDEX=0"}</definedName>
    <definedName name="_3848__FDSAUDITLINK__" hidden="1">{"fdsup://directions/FAT Viewer?action=UPDATE&amp;creator=factset&amp;DYN_ARGS=TRUE&amp;DOC_NAME=FAT:FQL_AUDITING_CLIENT_TEMPLATE.FAT&amp;display_string=Audit&amp;VAR:KEY=TUNGLUVQJS&amp;VAR:QUERY=RkZfU0FMRVMoQ0FMLDM5MDgyLCwsLCk=&amp;WINDOW=FIRST_POPUP&amp;HEIGHT=450&amp;WIDTH=450&amp;START_MAXIMI","ZED=FALSE&amp;VAR:CALENDAR=US&amp;VAR:SYMBOL=567173&amp;VAR:INDEX=0"}</definedName>
    <definedName name="_3849__FDSAUDITLINK__" hidden="1">{"fdsup://directions/FAT Viewer?action=UPDATE&amp;creator=factset&amp;DYN_ARGS=TRUE&amp;DOC_NAME=FAT:FQL_AUDITING_CLIENT_TEMPLATE.FAT&amp;display_string=Audit&amp;VAR:KEY=ZCZKRMREJQ&amp;VAR:QUERY=RkZfU0FMRVMoQ0FMLDM4NzE3LCwsLCk=&amp;WINDOW=FIRST_POPUP&amp;HEIGHT=450&amp;WIDTH=450&amp;START_MAXIMI","ZED=FALSE&amp;VAR:CALENDAR=US&amp;VAR:SYMBOL=567173&amp;VAR:INDEX=0"}</definedName>
    <definedName name="_385__FDSAUDITLINK__" hidden="1">{"fdsup://directions/FAT%20Viewer?VAR:TM=NTMA&amp;VAR:PCT=0.589041&amp;VAR:Y0=2003&amp;VAR:Y1=2004&amp;VAR:V0=17.997120&amp;VAR:V1=15.908051&amp;VAR:V=17.075589&amp;VAR:AUDIT_ID=00000117&amp;VAR:DATE=20030530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Aggregates&amp;VAR:MEASURE=PE_MEAN&amp;VAR:CALC_MODE=PORTFOLIO&amp;VAR:CHGPERIOD=NA&amp;VAR:FQLFORMULA=FMA_PE&amp;VAR:CURRENCY=USD&amp;VAR:P=9","63.586800&amp;VAR:THRESH=||||||&amp;VAR:null=.html"}</definedName>
    <definedName name="_3850__FDSAUDITLINK__" hidden="1">{"fdsup://directions/FAT Viewer?action=UPDATE&amp;creator=factset&amp;DYN_ARGS=TRUE&amp;DOC_NAME=FAT:FQL_AUDITING_CLIENT_TEMPLATE.FAT&amp;display_string=Audit&amp;VAR:KEY=XEFEFEVSXG&amp;VAR:QUERY=RkZfU0FMRVMoQ0FMLDQwNTQzLCwsLCk=&amp;WINDOW=FIRST_POPUP&amp;HEIGHT=450&amp;WIDTH=450&amp;START_MAXIMI","ZED=FALSE&amp;VAR:CALENDAR=US&amp;VAR:SYMBOL=JNJ&amp;VAR:INDEX=0"}</definedName>
    <definedName name="_3851__FDSAUDITLINK__" hidden="1">{"fdsup://directions/FAT Viewer?action=UPDATE&amp;creator=factset&amp;DYN_ARGS=TRUE&amp;DOC_NAME=FAT:FQL_AUDITING_CLIENT_TEMPLATE.FAT&amp;display_string=Audit&amp;VAR:KEY=LULOTKLGHM&amp;VAR:QUERY=RkZfU0FMRVMoQ0FMLDQwMTc4LCwsLCk=&amp;WINDOW=FIRST_POPUP&amp;HEIGHT=450&amp;WIDTH=450&amp;START_MAXIMI","ZED=FALSE&amp;VAR:CALENDAR=US&amp;VAR:SYMBOL=JNJ&amp;VAR:INDEX=0"}</definedName>
    <definedName name="_3852__FDSAUDITLINK__" hidden="1">{"fdsup://directions/FAT Viewer?action=UPDATE&amp;creator=factset&amp;DYN_ARGS=TRUE&amp;DOC_NAME=FAT:FQL_AUDITING_CLIENT_TEMPLATE.FAT&amp;display_string=Audit&amp;VAR:KEY=TARITKLKZA&amp;VAR:QUERY=RkZfU0FMRVMoQ0FMLDM5ODEzLCwsLCk=&amp;WINDOW=FIRST_POPUP&amp;HEIGHT=450&amp;WIDTH=450&amp;START_MAXIMI","ZED=FALSE&amp;VAR:CALENDAR=US&amp;VAR:SYMBOL=JNJ&amp;VAR:INDEX=0"}</definedName>
    <definedName name="_3853__FDSAUDITLINK__" hidden="1">{"fdsup://directions/FAT Viewer?action=UPDATE&amp;creator=factset&amp;DYN_ARGS=TRUE&amp;DOC_NAME=FAT:FQL_AUDITING_CLIENT_TEMPLATE.FAT&amp;display_string=Audit&amp;VAR:KEY=NSBWVCLYDE&amp;VAR:QUERY=RkZfU0FMRVMoQ0FMLDM5NDQ3LCwsLCk=&amp;WINDOW=FIRST_POPUP&amp;HEIGHT=450&amp;WIDTH=450&amp;START_MAXIMI","ZED=FALSE&amp;VAR:CALENDAR=US&amp;VAR:SYMBOL=JNJ&amp;VAR:INDEX=0"}</definedName>
    <definedName name="_3854__FDSAUDITLINK__" hidden="1">{"fdsup://directions/FAT Viewer?action=UPDATE&amp;creator=factset&amp;DYN_ARGS=TRUE&amp;DOC_NAME=FAT:FQL_AUDITING_CLIENT_TEMPLATE.FAT&amp;display_string=Audit&amp;VAR:KEY=VCFODGNGBS&amp;VAR:QUERY=RkZfU0FMRVMoQ0FMLDM5MDgyLCwsLCk=&amp;WINDOW=FIRST_POPUP&amp;HEIGHT=450&amp;WIDTH=450&amp;START_MAXIMI","ZED=FALSE&amp;VAR:CALENDAR=US&amp;VAR:SYMBOL=JNJ&amp;VAR:INDEX=0"}</definedName>
    <definedName name="_3855__FDSAUDITLINK__" hidden="1">{"fdsup://directions/FAT Viewer?action=UPDATE&amp;creator=factset&amp;DYN_ARGS=TRUE&amp;DOC_NAME=FAT:FQL_AUDITING_CLIENT_TEMPLATE.FAT&amp;display_string=Audit&amp;VAR:KEY=FMJMDKHKDK&amp;VAR:QUERY=RkZfU0FMRVMoQ0FMLDM4NzE3LCwsLCk=&amp;WINDOW=FIRST_POPUP&amp;HEIGHT=450&amp;WIDTH=450&amp;START_MAXIMI","ZED=FALSE&amp;VAR:CALENDAR=US&amp;VAR:SYMBOL=JNJ&amp;VAR:INDEX=0"}</definedName>
    <definedName name="_3856__FDSAUDITLINK__" hidden="1">{"fdsup://directions/FAT Viewer?action=UPDATE&amp;creator=factset&amp;DYN_ARGS=TRUE&amp;DOC_NAME=FAT:FQL_AUDITING_CLIENT_TEMPLATE.FAT&amp;display_string=Audit&amp;VAR:KEY=ZWTENCPKDC&amp;VAR:QUERY=RkZfU0FMRVMoQ0FMLDM4MzUyLCwsLCk=&amp;WINDOW=FIRST_POPUP&amp;HEIGHT=450&amp;WIDTH=450&amp;START_MAXIMI","ZED=FALSE&amp;VAR:CALENDAR=US&amp;VAR:SYMBOL=JNJ&amp;VAR:INDEX=0"}</definedName>
    <definedName name="_3857__FDSAUDITLINK__" hidden="1">{"fdsup://directions/FAT Viewer?action=UPDATE&amp;creator=factset&amp;DYN_ARGS=TRUE&amp;DOC_NAME=FAT:FQL_AUDITING_CLIENT_TEMPLATE.FAT&amp;display_string=Audit&amp;VAR:KEY=JUHUDIVEVG&amp;VAR:QUERY=RkZfU0FMRVMoQ0FMLDQwNTQzLCwsLCk=&amp;WINDOW=FIRST_POPUP&amp;HEIGHT=450&amp;WIDTH=450&amp;START_MAXIMI","ZED=FALSE&amp;VAR:CALENDAR=US&amp;VAR:SYMBOL=710306&amp;VAR:INDEX=0"}</definedName>
    <definedName name="_3858__FDSAUDITLINK__" hidden="1">{"fdsup://directions/FAT Viewer?action=UPDATE&amp;creator=factset&amp;DYN_ARGS=TRUE&amp;DOC_NAME=FAT:FQL_AUDITING_CLIENT_TEMPLATE.FAT&amp;display_string=Audit&amp;VAR:KEY=DOFYDCPMFC&amp;VAR:QUERY=RkZfU0FMRVMoQ0FMLDQwMTc4LCwsLCk=&amp;WINDOW=FIRST_POPUP&amp;HEIGHT=450&amp;WIDTH=450&amp;START_MAXIMI","ZED=FALSE&amp;VAR:CALENDAR=US&amp;VAR:SYMBOL=710306&amp;VAR:INDEX=0"}</definedName>
    <definedName name="_3859__FDSAUDITLINK__" hidden="1">{"fdsup://directions/FAT Viewer?action=UPDATE&amp;creator=factset&amp;DYN_ARGS=TRUE&amp;DOC_NAME=FAT:FQL_AUDITING_CLIENT_TEMPLATE.FAT&amp;display_string=Audit&amp;VAR:KEY=FEDEFEXKTO&amp;VAR:QUERY=RkZfU0FMRVMoQ0FMLDM5ODEzLCwsLCk=&amp;WINDOW=FIRST_POPUP&amp;HEIGHT=450&amp;WIDTH=450&amp;START_MAXIMI","ZED=FALSE&amp;VAR:CALENDAR=US&amp;VAR:SYMBOL=710306&amp;VAR:INDEX=0"}</definedName>
    <definedName name="_386__FDSAUDITLINK__" hidden="1">{"fdsup://directions/FAT%20Viewer?VAR:TM=NTMA&amp;VAR:PCT=0.608219&amp;VAR:Y0=2003&amp;VAR:Y1=2004&amp;VAR:V0=17.423988&amp;VAR:V1=15.398632&amp;VAR:V=16.570125&amp;VAR:AUDIT_ID=00000117&amp;VAR:DATE=20030523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Aggregates&amp;VAR:MEASURE=PE_MEAN&amp;VAR:CALC_MODE=PORTFOLIO&amp;VAR:CHGPERIOD=NA&amp;VAR:FQLFORMULA=FMA_PE&amp;VAR:CURRENCY=USD&amp;VAR:P=9","33.223600&amp;VAR:THRESH=||||||&amp;VAR:null=.html"}</definedName>
    <definedName name="_3860__FDSAUDITLINK__" hidden="1">{"fdsup://directions/FAT Viewer?action=UPDATE&amp;creator=factset&amp;DYN_ARGS=TRUE&amp;DOC_NAME=FAT:FQL_AUDITING_CLIENT_TEMPLATE.FAT&amp;display_string=Audit&amp;VAR:KEY=LMVERYPEZG&amp;VAR:QUERY=RkZfU0FMRVMoQ0FMLDM5NDQ3LCwsLCk=&amp;WINDOW=FIRST_POPUP&amp;HEIGHT=450&amp;WIDTH=450&amp;START_MAXIMI","ZED=FALSE&amp;VAR:CALENDAR=US&amp;VAR:SYMBOL=710306&amp;VAR:INDEX=0"}</definedName>
    <definedName name="_3861__FDSAUDITLINK__" hidden="1">{"fdsup://directions/FAT Viewer?action=UPDATE&amp;creator=factset&amp;DYN_ARGS=TRUE&amp;DOC_NAME=FAT:FQL_AUDITING_CLIENT_TEMPLATE.FAT&amp;display_string=Audit&amp;VAR:KEY=XQLOLCJYLW&amp;VAR:QUERY=RkZfU0FMRVMoQ0FMLDM5MDgyLCwsLCk=&amp;WINDOW=FIRST_POPUP&amp;HEIGHT=450&amp;WIDTH=450&amp;START_MAXIMI","ZED=FALSE&amp;VAR:CALENDAR=US&amp;VAR:SYMBOL=710306&amp;VAR:INDEX=0"}</definedName>
    <definedName name="_3862__FDSAUDITLINK__" hidden="1">{"fdsup://directions/FAT Viewer?action=UPDATE&amp;creator=factset&amp;DYN_ARGS=TRUE&amp;DOC_NAME=FAT:FQL_AUDITING_CLIENT_TEMPLATE.FAT&amp;display_string=Audit&amp;VAR:KEY=JIVKRKVAXY&amp;VAR:QUERY=RkZfU0FMRVMoQ0FMLDM4NzE3LCwsLCk=&amp;WINDOW=FIRST_POPUP&amp;HEIGHT=450&amp;WIDTH=450&amp;START_MAXIMI","ZED=FALSE&amp;VAR:CALENDAR=US&amp;VAR:SYMBOL=710306&amp;VAR:INDEX=0"}</definedName>
    <definedName name="_3863__FDSAUDITLINK__" hidden="1">{"fdsup://directions/FAT Viewer?action=UPDATE&amp;creator=factset&amp;DYN_ARGS=TRUE&amp;DOC_NAME=FAT:FQL_AUDITING_CLIENT_TEMPLATE.FAT&amp;display_string=Audit&amp;VAR:KEY=HGBYRMPCTI&amp;VAR:QUERY=RkZfU0FMRVMoQ0FMLDQwNTQzLCwsLCk=&amp;WINDOW=FIRST_POPUP&amp;HEIGHT=450&amp;WIDTH=450&amp;START_MAXIMI","ZED=FALSE&amp;VAR:CALENDAR=US&amp;VAR:SYMBOL=711038&amp;VAR:INDEX=0"}</definedName>
    <definedName name="_3864__FDSAUDITLINK__" hidden="1">{"fdsup://directions/FAT Viewer?action=UPDATE&amp;creator=factset&amp;DYN_ARGS=TRUE&amp;DOC_NAME=FAT:FQL_AUDITING_CLIENT_TEMPLATE.FAT&amp;display_string=Audit&amp;VAR:KEY=DQVIXUTIHC&amp;VAR:QUERY=RkZfU0FMRVMoQ0FMLDQwMTc4LCwsLFVTRCk=&amp;WINDOW=FIRST_POPUP&amp;HEIGHT=450&amp;WIDTH=450&amp;START_MA","XIMIZED=FALSE&amp;VAR:CALENDAR=US&amp;VAR:SYMBOL=711038&amp;VAR:INDEX=0"}</definedName>
    <definedName name="_3865__FDSAUDITLINK__" hidden="1">{"fdsup://directions/FAT Viewer?action=UPDATE&amp;creator=factset&amp;DYN_ARGS=TRUE&amp;DOC_NAME=FAT:FQL_AUDITING_CLIENT_TEMPLATE.FAT&amp;display_string=Audit&amp;VAR:KEY=LANIXUPWJS&amp;VAR:QUERY=RkZfU0FMRVMoQ0FMLDM5ODEzLCwsLFVTRCk=&amp;WINDOW=FIRST_POPUP&amp;HEIGHT=450&amp;WIDTH=450&amp;START_MA","XIMIZED=FALSE&amp;VAR:CALENDAR=US&amp;VAR:SYMBOL=711038&amp;VAR:INDEX=0"}</definedName>
    <definedName name="_3866__FDSAUDITLINK__" hidden="1">{"fdsup://directions/FAT Viewer?action=UPDATE&amp;creator=factset&amp;DYN_ARGS=TRUE&amp;DOC_NAME=FAT:FQL_AUDITING_CLIENT_TEMPLATE.FAT&amp;display_string=Audit&amp;VAR:KEY=VKRQTKFUBW&amp;VAR:QUERY=RkZfU0FMRVMoQ0FMLDM5ODEzLCwsLCk=&amp;WINDOW=FIRST_POPUP&amp;HEIGHT=450&amp;WIDTH=450&amp;START_MAXIMI","ZED=FALSE&amp;VAR:CALENDAR=US&amp;VAR:SYMBOL=DNA&amp;VAR:INDEX=0"}</definedName>
    <definedName name="_3867__FDSAUDITLINK__" hidden="1">{"fdsup://directions/FAT Viewer?action=UPDATE&amp;creator=factset&amp;DYN_ARGS=TRUE&amp;DOC_NAME=FAT:FQL_AUDITING_CLIENT_TEMPLATE.FAT&amp;display_string=Audit&amp;VAR:KEY=XEDCREVYZS&amp;VAR:QUERY=RkZfU0FMRVMoQ0FMLDM5NDQ3LCwsLCk=&amp;WINDOW=FIRST_POPUP&amp;HEIGHT=450&amp;WIDTH=450&amp;START_MAXIMI","ZED=FALSE&amp;VAR:CALENDAR=US&amp;VAR:SYMBOL=DNA&amp;VAR:INDEX=0"}</definedName>
    <definedName name="_3868__FDSAUDITLINK__" hidden="1">{"fdsup://directions/FAT Viewer?action=UPDATE&amp;creator=factset&amp;DYN_ARGS=TRUE&amp;DOC_NAME=FAT:FQL_AUDITING_CLIENT_TEMPLATE.FAT&amp;display_string=Audit&amp;VAR:KEY=TOXMHYNEDQ&amp;VAR:QUERY=RkZfU0FMRVMoQ0FMLDM5MDgyLCwsLCk=&amp;WINDOW=FIRST_POPUP&amp;HEIGHT=450&amp;WIDTH=450&amp;START_MAXIMI","ZED=FALSE&amp;VAR:CALENDAR=US&amp;VAR:SYMBOL=DNA&amp;VAR:INDEX=0"}</definedName>
    <definedName name="_3869__FDSAUDITLINK__" hidden="1">{"fdsup://directions/FAT Viewer?action=UPDATE&amp;creator=factset&amp;DYN_ARGS=TRUE&amp;DOC_NAME=FAT:FQL_AUDITING_CLIENT_TEMPLATE.FAT&amp;display_string=Audit&amp;VAR:KEY=BKHAJUZULG&amp;VAR:QUERY=RkZfU0FMRVMoQ0FMLDM4NzE3LCwsLCk=&amp;WINDOW=FIRST_POPUP&amp;HEIGHT=450&amp;WIDTH=450&amp;START_MAXIMI","ZED=FALSE&amp;VAR:CALENDAR=US&amp;VAR:SYMBOL=DNA&amp;VAR:INDEX=0"}</definedName>
    <definedName name="_387__FDSAUDITLINK__" hidden="1">{"fdsup://directions/FAT%20Viewer?VAR:TM=NTMA&amp;VAR:PCT=0.627397&amp;VAR:Y0=2003&amp;VAR:Y1=2004&amp;VAR:V0=17.678179&amp;VAR:V1=15.617329&amp;VAR:V=16.849707&amp;VAR:AUDIT_ID=00000117&amp;VAR:DATE=20030516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Aggregates&amp;VAR:MEASURE=PE_MEAN&amp;VAR:CALC_MODE=PORTFOLIO&amp;VAR:CHGPERIOD=NA&amp;VAR:FQLFORMULA=FMA_PE&amp;VAR:CURRENCY=USD&amp;VAR:P=9","44.298770&amp;VAR:THRESH=||||||&amp;VAR:null=.html"}</definedName>
    <definedName name="_3870__FDSAUDITLINK__" hidden="1">{"fdsup://directions/FAT Viewer?action=UPDATE&amp;creator=factset&amp;DYN_ARGS=TRUE&amp;DOC_NAME=FAT:FQL_AUDITING_CLIENT_TEMPLATE.FAT&amp;display_string=Audit&amp;VAR:KEY=JYZKZGDIFI&amp;VAR:QUERY=RkZfU0FMRVMoQ0FMLDM4MzUyLCwsLCk=&amp;WINDOW=FIRST_POPUP&amp;HEIGHT=450&amp;WIDTH=450&amp;START_MAXIMI","ZED=FALSE&amp;VAR:CALENDAR=US&amp;VAR:SYMBOL=DNA&amp;VAR:INDEX=0"}</definedName>
    <definedName name="_3871__FDSAUDITLINK__" hidden="1">{"fdsup://directions/FAT Viewer?action=UPDATE&amp;creator=factset&amp;DYN_ARGS=TRUE&amp;DOC_NAME=FAT:FQL_AUDITING_CLIENT_TEMPLATE.FAT&amp;display_string=Audit&amp;VAR:KEY=RYVUVAXUDS&amp;VAR:QUERY=RkZfU0FMRVMoQ0FMLDQwNTQzLCwsLCk=&amp;WINDOW=FIRST_POPUP&amp;HEIGHT=450&amp;WIDTH=450&amp;START_MAXIMI","ZED=FALSE&amp;VAR:CALENDAR=US&amp;VAR:SYMBOL=MRK&amp;VAR:INDEX=0"}</definedName>
    <definedName name="_3872__FDSAUDITLINK__" hidden="1">{"fdsup://directions/FAT Viewer?action=UPDATE&amp;creator=factset&amp;DYN_ARGS=TRUE&amp;DOC_NAME=FAT:FQL_AUDITING_CLIENT_TEMPLATE.FAT&amp;display_string=Audit&amp;VAR:KEY=NITGVAHEXK&amp;VAR:QUERY=RkZfU0FMRVMoQ0FMLDQwMTc4LCwsLFVTRCk=&amp;WINDOW=FIRST_POPUP&amp;HEIGHT=450&amp;WIDTH=450&amp;START_MA","XIMIZED=FALSE&amp;VAR:CALENDAR=US&amp;VAR:SYMBOL=MRK&amp;VAR:INDEX=0"}</definedName>
    <definedName name="_3873__FDSAUDITLINK__" hidden="1">{"fdsup://directions/FAT Viewer?action=UPDATE&amp;creator=factset&amp;DYN_ARGS=TRUE&amp;DOC_NAME=FAT:FQL_AUDITING_CLIENT_TEMPLATE.FAT&amp;display_string=Audit&amp;VAR:KEY=PYDALOBCHY&amp;VAR:QUERY=RkZfU0FMRVMoQ0FMLDM5ODEzLCwsLFVTRCk=&amp;WINDOW=FIRST_POPUP&amp;HEIGHT=450&amp;WIDTH=450&amp;START_MA","XIMIZED=FALSE&amp;VAR:CALENDAR=US&amp;VAR:SYMBOL=MRK&amp;VAR:INDEX=0"}</definedName>
    <definedName name="_3874__FDSAUDITLINK__" hidden="1">{"fdsup://directions/FAT Viewer?action=UPDATE&amp;creator=factset&amp;DYN_ARGS=TRUE&amp;DOC_NAME=FAT:FQL_AUDITING_CLIENT_TEMPLATE.FAT&amp;display_string=Audit&amp;VAR:KEY=HONSVQVETW&amp;VAR:QUERY=RkZfU0FMRVMoQ0FMLDM5ODEzLCwsLCk=&amp;WINDOW=FIRST_POPUP&amp;HEIGHT=450&amp;WIDTH=450&amp;START_MAXIMI","ZED=FALSE&amp;VAR:CALENDAR=US&amp;VAR:SYMBOL=SGP&amp;VAR:INDEX=0"}</definedName>
    <definedName name="_3875__FDSAUDITLINK__" hidden="1">{"fdsup://directions/FAT Viewer?action=UPDATE&amp;creator=factset&amp;DYN_ARGS=TRUE&amp;DOC_NAME=FAT:FQL_AUDITING_CLIENT_TEMPLATE.FAT&amp;display_string=Audit&amp;VAR:KEY=DIFWLOFKHK&amp;VAR:QUERY=RkZfU0FMRVMoQ0FMLDM5NDQ3LCwsLFVTRCk=&amp;WINDOW=FIRST_POPUP&amp;HEIGHT=450&amp;WIDTH=450&amp;START_MA","XIMIZED=FALSE&amp;VAR:CALENDAR=US&amp;VAR:SYMBOL=MRK&amp;VAR:INDEX=0"}</definedName>
    <definedName name="_3876__FDSAUDITLINK__" hidden="1">{"fdsup://directions/FAT Viewer?action=UPDATE&amp;creator=factset&amp;DYN_ARGS=TRUE&amp;DOC_NAME=FAT:FQL_AUDITING_CLIENT_TEMPLATE.FAT&amp;display_string=Audit&amp;VAR:KEY=DGFOTSZMDS&amp;VAR:QUERY=RkZfU0FMRVMoQ0FMLDM5NDQ3LCwsLCk=&amp;WINDOW=FIRST_POPUP&amp;HEIGHT=450&amp;WIDTH=450&amp;START_MAXIMI","ZED=FALSE&amp;VAR:CALENDAR=US&amp;VAR:SYMBOL=SGP&amp;VAR:INDEX=0"}</definedName>
    <definedName name="_3877__FDSAUDITLINK__" hidden="1">{"fdsup://directions/FAT Viewer?action=UPDATE&amp;creator=factset&amp;DYN_ARGS=TRUE&amp;DOC_NAME=FAT:FQL_AUDITING_CLIENT_TEMPLATE.FAT&amp;display_string=Audit&amp;VAR:KEY=HEPGNYVUHS&amp;VAR:QUERY=RkZfU0FMRVMoQ0FMLDM5MDgyLCwsLFVTRCk=&amp;WINDOW=FIRST_POPUP&amp;HEIGHT=450&amp;WIDTH=450&amp;START_MA","XIMIZED=FALSE&amp;VAR:CALENDAR=US&amp;VAR:SYMBOL=MRK&amp;VAR:INDEX=0"}</definedName>
    <definedName name="_3878__FDSAUDITLINK__" hidden="1">{"fdsup://directions/FAT Viewer?action=UPDATE&amp;creator=factset&amp;DYN_ARGS=TRUE&amp;DOC_NAME=FAT:FQL_AUDITING_CLIENT_TEMPLATE.FAT&amp;display_string=Audit&amp;VAR:KEY=RMFKNYHWPS&amp;VAR:QUERY=RkZfU0FMRVMoQ0FMLDM5MDgyLCwsLCk=&amp;WINDOW=FIRST_POPUP&amp;HEIGHT=450&amp;WIDTH=450&amp;START_MAXIMI","ZED=FALSE&amp;VAR:CALENDAR=US&amp;VAR:SYMBOL=SGP&amp;VAR:INDEX=0"}</definedName>
    <definedName name="_3879__FDSAUDITLINK__" hidden="1">{"fdsup://directions/FAT Viewer?action=UPDATE&amp;creator=factset&amp;DYN_ARGS=TRUE&amp;DOC_NAME=FAT:FQL_AUDITING_CLIENT_TEMPLATE.FAT&amp;display_string=Audit&amp;VAR:KEY=LARWVSDIPK&amp;VAR:QUERY=RkZfU0FMRVMoQ0FMLDM4NzE3LCwsLFVTRCk=&amp;WINDOW=FIRST_POPUP&amp;HEIGHT=450&amp;WIDTH=450&amp;START_MA","XIMIZED=FALSE&amp;VAR:CALENDAR=US&amp;VAR:SYMBOL=MRK&amp;VAR:INDEX=0"}</definedName>
    <definedName name="_388__FDSAUDITLINK__" hidden="1">{"fdsup://directions/FAT%20Viewer?VAR:TM=NTMA&amp;VAR:PCT=0.646575&amp;VAR:Y0=2003&amp;VAR:Y1=2004&amp;VAR:V0=17.494696&amp;VAR:V1=15.432412&amp;VAR:V=16.705698&amp;VAR:AUDIT_ID=00000117&amp;VAR:DATE=20030509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Aggregates&amp;VAR:MEASURE=PE_MEAN&amp;VAR:CALC_MODE=PORTFOLIO&amp;VAR:CHGPERIOD=NA&amp;VAR:FQLFORMULA=FMA_PE&amp;VAR:CURRENCY=USD&amp;VAR:P=9","33.406600&amp;VAR:THRESH=||||||&amp;VAR:null=.html"}</definedName>
    <definedName name="_3880__FDSAUDITLINK__" hidden="1">{"fdsup://directions/FAT Viewer?action=UPDATE&amp;creator=factset&amp;DYN_ARGS=TRUE&amp;DOC_NAME=FAT:FQL_AUDITING_CLIENT_TEMPLATE.FAT&amp;display_string=Audit&amp;VAR:KEY=DKZQFGPGZY&amp;VAR:QUERY=RkZfU0FMRVMoQ0FMLDM4NzE3LCwsLCk=&amp;WINDOW=FIRST_POPUP&amp;HEIGHT=450&amp;WIDTH=450&amp;START_MAXIMI","ZED=FALSE&amp;VAR:CALENDAR=US&amp;VAR:SYMBOL=SGP&amp;VAR:INDEX=0"}</definedName>
    <definedName name="_3881__FDSAUDITLINK__" hidden="1">{"fdsup://directions/FAT Viewer?action=UPDATE&amp;creator=factset&amp;DYN_ARGS=TRUE&amp;DOC_NAME=FAT:FQL_AUDITING_CLIENT_TEMPLATE.FAT&amp;display_string=Audit&amp;VAR:KEY=XINIZQTOTW&amp;VAR:QUERY=RkZfU0FMRVMoQ0FMLDM4MzUyLCwsLFVTRCk=&amp;WINDOW=FIRST_POPUP&amp;HEIGHT=450&amp;WIDTH=450&amp;START_MA","XIMIZED=FALSE&amp;VAR:CALENDAR=US&amp;VAR:SYMBOL=MRK&amp;VAR:INDEX=0"}</definedName>
    <definedName name="_3882__FDSAUDITLINK__" hidden="1">{"fdsup://directions/FAT Viewer?action=UPDATE&amp;creator=factset&amp;DYN_ARGS=TRUE&amp;DOC_NAME=FAT:FQL_AUDITING_CLIENT_TEMPLATE.FAT&amp;display_string=Audit&amp;VAR:KEY=BSFAVMVYRK&amp;VAR:QUERY=RkZfU0FMRVMoQ0FMLDM4MzUyLCwsLCk=&amp;WINDOW=FIRST_POPUP&amp;HEIGHT=450&amp;WIDTH=450&amp;START_MAXIMI","ZED=FALSE&amp;VAR:CALENDAR=US&amp;VAR:SYMBOL=SGP&amp;VAR:INDEX=0"}</definedName>
    <definedName name="_3883__FDSAUDITLINK__" hidden="1">{"fdsup://directions/FAT Viewer?action=UPDATE&amp;creator=factset&amp;DYN_ARGS=TRUE&amp;DOC_NAME=FAT:FQL_AUDITING_CLIENT_TEMPLATE.FAT&amp;display_string=Audit&amp;VAR:KEY=LGHWFEBQFK&amp;VAR:QUERY=RkZfU0FMRVMoQ0FMLDQwNTQzLCwsLCk=&amp;WINDOW=FIRST_POPUP&amp;HEIGHT=450&amp;WIDTH=450&amp;START_MAXIMI","ZED=FALSE&amp;VAR:CALENDAR=US&amp;VAR:SYMBOL=PFE&amp;VAR:INDEX=0"}</definedName>
    <definedName name="_3884__FDSAUDITLINK__" hidden="1">{"fdsup://directions/FAT Viewer?action=UPDATE&amp;creator=factset&amp;DYN_ARGS=TRUE&amp;DOC_NAME=FAT:FQL_AUDITING_CLIENT_TEMPLATE.FAT&amp;display_string=Audit&amp;VAR:KEY=VUBGPEPQXE&amp;VAR:QUERY=RkZfU0FMRVMoQ0FMLDQwMTc4LCwsLFVTRCk=&amp;WINDOW=FIRST_POPUP&amp;HEIGHT=450&amp;WIDTH=450&amp;START_MA","XIMIZED=FALSE&amp;VAR:CALENDAR=US&amp;VAR:SYMBOL=PFE&amp;VAR:INDEX=0"}</definedName>
    <definedName name="_3885__FDSAUDITLINK__" hidden="1">{"fdsup://directions/FAT Viewer?action=UPDATE&amp;creator=factset&amp;DYN_ARGS=TRUE&amp;DOC_NAME=FAT:FQL_AUDITING_CLIENT_TEMPLATE.FAT&amp;display_string=Audit&amp;VAR:KEY=TALIFCXGLY&amp;VAR:QUERY=RkZfU0FMRVMoQ0FMLDM5ODEzLCwsLFVTRCk=&amp;WINDOW=FIRST_POPUP&amp;HEIGHT=450&amp;WIDTH=450&amp;START_MA","XIMIZED=FALSE&amp;VAR:CALENDAR=US&amp;VAR:SYMBOL=PFE&amp;VAR:INDEX=0"}</definedName>
    <definedName name="_3886__FDSAUDITLINK__" hidden="1">{"fdsup://directions/FAT Viewer?action=UPDATE&amp;creator=factset&amp;DYN_ARGS=TRUE&amp;DOC_NAME=FAT:FQL_AUDITING_CLIENT_TEMPLATE.FAT&amp;display_string=Audit&amp;VAR:KEY=VQLSXQNWTQ&amp;VAR:QUERY=RkZfU0FMRVMoQ0FMLDM5ODEzLCwsLCk=&amp;WINDOW=FIRST_POPUP&amp;HEIGHT=450&amp;WIDTH=450&amp;START_MAXIMI","ZED=FALSE&amp;VAR:CALENDAR=US&amp;VAR:SYMBOL=WYE&amp;VAR:INDEX=0"}</definedName>
    <definedName name="_3887__FDSAUDITLINK__" hidden="1">{"fdsup://directions/FAT Viewer?action=UPDATE&amp;creator=factset&amp;DYN_ARGS=TRUE&amp;DOC_NAME=FAT:FQL_AUDITING_CLIENT_TEMPLATE.FAT&amp;display_string=Audit&amp;VAR:KEY=XGZEZUPELA&amp;VAR:QUERY=RkZfU0FMRVMoQ0FMLDM5NDQ3LCwsLFVTRCk=&amp;WINDOW=FIRST_POPUP&amp;HEIGHT=450&amp;WIDTH=450&amp;START_MA","XIMIZED=FALSE&amp;VAR:CALENDAR=US&amp;VAR:SYMBOL=PFE&amp;VAR:INDEX=0"}</definedName>
    <definedName name="_3888__FDSAUDITLINK__" hidden="1">{"fdsup://directions/FAT Viewer?action=UPDATE&amp;creator=factset&amp;DYN_ARGS=TRUE&amp;DOC_NAME=FAT:FQL_AUDITING_CLIENT_TEMPLATE.FAT&amp;display_string=Audit&amp;VAR:KEY=LYBCHAXYFU&amp;VAR:QUERY=RkZfU0FMRVMoQ0FMLDM5NDQ3LCwsLCk=&amp;WINDOW=FIRST_POPUP&amp;HEIGHT=450&amp;WIDTH=450&amp;START_MAXIMI","ZED=FALSE&amp;VAR:CALENDAR=US&amp;VAR:SYMBOL=WYE&amp;VAR:INDEX=0"}</definedName>
    <definedName name="_3889__FDSAUDITLINK__" hidden="1">{"fdsup://directions/FAT Viewer?action=UPDATE&amp;creator=factset&amp;DYN_ARGS=TRUE&amp;DOC_NAME=FAT:FQL_AUDITING_CLIENT_TEMPLATE.FAT&amp;display_string=Audit&amp;VAR:KEY=VCRKNMRSXU&amp;VAR:QUERY=RkZfU0FMRVMoQ0FMLDM5MDgyLCwsLFVTRCk=&amp;WINDOW=FIRST_POPUP&amp;HEIGHT=450&amp;WIDTH=450&amp;START_MA","XIMIZED=FALSE&amp;VAR:CALENDAR=US&amp;VAR:SYMBOL=PFE&amp;VAR:INDEX=0"}</definedName>
    <definedName name="_389__FDSAUDITLINK__" hidden="1">{"fdsup://directions/FAT%20Viewer?VAR:TM=NTMA&amp;VAR:PCT=0.665753&amp;VAR:Y0=2003&amp;VAR:Y1=2004&amp;VAR:V0=17.458930&amp;VAR:V1=15.369623&amp;VAR:V=16.700132&amp;VAR:AUDIT_ID=00000117&amp;VAR:DATE=20030502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Aggregates&amp;VAR:MEASURE=PE_MEAN&amp;VAR:CALC_MODE=PORTFOLIO&amp;VAR:CHGPERIOD=NA&amp;VAR:FQLFORMULA=FMA_PE&amp;VAR:CURRENCY=USD&amp;VAR:P=9","30.075400&amp;VAR:THRESH=||||||&amp;VAR:null=.html"}</definedName>
    <definedName name="_3890__FDSAUDITLINK__" hidden="1">{"fdsup://directions/FAT Viewer?action=UPDATE&amp;creator=factset&amp;DYN_ARGS=TRUE&amp;DOC_NAME=FAT:FQL_AUDITING_CLIENT_TEMPLATE.FAT&amp;display_string=Audit&amp;VAR:KEY=VEPGFILCPM&amp;VAR:QUERY=RkZfU0FMRVMoQ0FMLDM5MDgyLCwsLCk=&amp;WINDOW=FIRST_POPUP&amp;HEIGHT=450&amp;WIDTH=450&amp;START_MAXIMI","ZED=FALSE&amp;VAR:CALENDAR=US&amp;VAR:SYMBOL=WYE&amp;VAR:INDEX=0"}</definedName>
    <definedName name="_3891__FDSAUDITLINK__" hidden="1">{"fdsup://directions/FAT Viewer?action=UPDATE&amp;creator=factset&amp;DYN_ARGS=TRUE&amp;DOC_NAME=FAT:FQL_AUDITING_CLIENT_TEMPLATE.FAT&amp;display_string=Audit&amp;VAR:KEY=XSFMPONEVU&amp;VAR:QUERY=RkZfU0FMRVMoQ0FMLDM4NzE3LCwsLFVTRCk=&amp;WINDOW=FIRST_POPUP&amp;HEIGHT=450&amp;WIDTH=450&amp;START_MA","XIMIZED=FALSE&amp;VAR:CALENDAR=US&amp;VAR:SYMBOL=PFE&amp;VAR:INDEX=0"}</definedName>
    <definedName name="_3892__FDSAUDITLINK__" hidden="1">{"fdsup://directions/FAT Viewer?action=UPDATE&amp;creator=factset&amp;DYN_ARGS=TRUE&amp;DOC_NAME=FAT:FQL_AUDITING_CLIENT_TEMPLATE.FAT&amp;display_string=Audit&amp;VAR:KEY=LIHSTKLYLI&amp;VAR:QUERY=RkZfU0FMRVMoQ0FMLDM4NzE3LCwsLCk=&amp;WINDOW=FIRST_POPUP&amp;HEIGHT=450&amp;WIDTH=450&amp;START_MAXIMI","ZED=FALSE&amp;VAR:CALENDAR=US&amp;VAR:SYMBOL=WYE&amp;VAR:INDEX=0"}</definedName>
    <definedName name="_3893__FDSAUDITLINK__" hidden="1">{"fdsup://directions/FAT Viewer?action=UPDATE&amp;creator=factset&amp;DYN_ARGS=TRUE&amp;DOC_NAME=FAT:FQL_AUDITING_CLIENT_TEMPLATE.FAT&amp;display_string=Audit&amp;VAR:KEY=ZQNSHKVOTE&amp;VAR:QUERY=RkZfU0FMRVMoQ0FMLDM4MzUyLCwsLFVTRCk=&amp;WINDOW=FIRST_POPUP&amp;HEIGHT=450&amp;WIDTH=450&amp;START_MA","XIMIZED=FALSE&amp;VAR:CALENDAR=US&amp;VAR:SYMBOL=PFE&amp;VAR:INDEX=0"}</definedName>
    <definedName name="_3894__FDSAUDITLINK__" hidden="1">{"fdsup://directions/FAT Viewer?action=UPDATE&amp;creator=factset&amp;DYN_ARGS=TRUE&amp;DOC_NAME=FAT:FQL_AUDITING_CLIENT_TEMPLATE.FAT&amp;display_string=Audit&amp;VAR:KEY=ZIFWJMBGTI&amp;VAR:QUERY=RkZfU0FMRVMoQ0FMLDM4MzUyLCwsLCk=&amp;WINDOW=FIRST_POPUP&amp;HEIGHT=450&amp;WIDTH=450&amp;START_MAXIMI","ZED=FALSE&amp;VAR:CALENDAR=US&amp;VAR:SYMBOL=WYE&amp;VAR:INDEX=0"}</definedName>
    <definedName name="_3895__FDSAUDITLINK__" hidden="1">{"fdsup://directions/FAT Viewer?action=UPDATE&amp;creator=factset&amp;DYN_ARGS=TRUE&amp;DOC_NAME=FAT:FQL_AUDITING_CLIENT_TEMPLATE.FAT&amp;display_string=Audit&amp;VAR:KEY=DIVKNITAZM&amp;VAR:QUERY=RkZfUkRfRVhQKENBTCwyMDA4LCwsLFVTRCk=&amp;WINDOW=FIRST_POPUP&amp;HEIGHT=450&amp;WIDTH=450&amp;START_MA","XIMIZED=FALSE&amp;VAR:CALENDAR=US&amp;VAR:SYMBOL=WYE&amp;VAR:INDEX=0"}</definedName>
    <definedName name="_3896__FDSAUDITLINK__" hidden="1">{"fdsup://directions/FAT Viewer?action=UPDATE&amp;creator=factset&amp;DYN_ARGS=TRUE&amp;DOC_NAME=FAT:FQL_AUDITING_CLIENT_TEMPLATE.FAT&amp;display_string=Audit&amp;VAR:KEY=HCLYRIPKVQ&amp;VAR:QUERY=RkZfUkRfRVhQKENBTCwyMDA3LCwsLFVTRCk=&amp;WINDOW=FIRST_POPUP&amp;HEIGHT=450&amp;WIDTH=450&amp;START_MA","XIMIZED=FALSE&amp;VAR:CALENDAR=US&amp;VAR:SYMBOL=WYE&amp;VAR:INDEX=0"}</definedName>
    <definedName name="_3897__FDSAUDITLINK__" hidden="1">{"fdsup://directions/FAT Viewer?action=UPDATE&amp;creator=factset&amp;DYN_ARGS=TRUE&amp;DOC_NAME=FAT:FQL_AUDITING_CLIENT_TEMPLATE.FAT&amp;display_string=Audit&amp;VAR:KEY=XKJURUPUXI&amp;VAR:QUERY=RkZfUkRfRVhQKENBTCwyMDA4LCwsLFVTRCk=&amp;WINDOW=FIRST_POPUP&amp;HEIGHT=450&amp;WIDTH=450&amp;START_MA","XIMIZED=FALSE&amp;VAR:CALENDAR=US&amp;VAR:SYMBOL=BIIB&amp;VAR:INDEX=0"}</definedName>
    <definedName name="_3898__FDSAUDITLINK__" hidden="1">{"fdsup://directions/FAT Viewer?action=UPDATE&amp;creator=factset&amp;DYN_ARGS=TRUE&amp;DOC_NAME=FAT:FQL_AUDITING_CLIENT_TEMPLATE.FAT&amp;display_string=Audit&amp;VAR:KEY=DWTCTGDURW&amp;VAR:QUERY=RkZfUkRfRVhQKENBTCwyMDA3LCwsLFVTRCk=&amp;WINDOW=FIRST_POPUP&amp;HEIGHT=450&amp;WIDTH=450&amp;START_MA","XIMIZED=FALSE&amp;VAR:CALENDAR=US&amp;VAR:SYMBOL=BIIB&amp;VAR:INDEX=0"}</definedName>
    <definedName name="_3899__FDSAUDITLINK__" hidden="1">{"fdsup://directions/FAT Viewer?action=UPDATE&amp;creator=factset&amp;DYN_ARGS=TRUE&amp;DOC_NAME=FAT:FQL_AUDITING_CLIENT_TEMPLATE.FAT&amp;display_string=Audit&amp;VAR:KEY=ZKDQPGHSNO&amp;VAR:QUERY=RkZfUkRfRVhQKENBTCwyMDA4LCwsLFVTRCk=&amp;WINDOW=FIRST_POPUP&amp;HEIGHT=450&amp;WIDTH=450&amp;START_MA","XIMIZED=FALSE&amp;VAR:CALENDAR=US&amp;VAR:SYMBOL=707752&amp;VAR:INDEX=0"}</definedName>
    <definedName name="_39__FDSAUDITLINK__" hidden="1">{"fdsup://directions/FAT%20Viewer?VAR:TM=NTMA&amp;VAR:PCT=0.958904&amp;VAR:Y0=2010&amp;VAR:Y1=2011&amp;VAR:V0=14.485647&amp;VAR:V1=12.011519&amp;VAR:V=14.364056&amp;VAR:AUDIT_ID=00000117&amp;VAR:DATE=20100115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Aggregates&amp;VAR:MEASURE=PE_MEAN&amp;VAR:CALC_MODE=PORTFOLIO&amp;VAR:CHGPERIOD=NA&amp;VAR:FQLFORMULA=FMA_PE&amp;VAR:CURRENCY=USD&amp;VAR:P=1","136.028881&amp;VAR:THRESH=||||||&amp;VAR:null=.html"}</definedName>
    <definedName name="_390__FDSAUDITLINK__" hidden="1">{"fdsup://directions/FAT%20Viewer?VAR:TM=NTMA&amp;VAR:PCT=0.684932&amp;VAR:Y0=2003&amp;VAR:Y1=2004&amp;VAR:V0=16.874498&amp;VAR:V1=14.828925&amp;VAR:V=16.171645&amp;VAR:AUDIT_ID=00000117&amp;VAR:DATE=20030425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Aggregates&amp;VAR:MEASURE=PE_MEAN&amp;VAR:CALC_MODE=PORTFOLIO&amp;VAR:CHGPERIOD=NA&amp;VAR:FQLFORMULA=FMA_PE&amp;VAR:CURRENCY=USD&amp;VAR:P=8","98.814100&amp;VAR:THRESH=||||||&amp;VAR:null=.html"}</definedName>
    <definedName name="_3900__FDSAUDITLINK__" hidden="1">{"fdsup://directions/FAT Viewer?action=UPDATE&amp;creator=factset&amp;DYN_ARGS=TRUE&amp;DOC_NAME=FAT:FQL_AUDITING_CLIENT_TEMPLATE.FAT&amp;display_string=Audit&amp;VAR:KEY=HKJQHCVUFC&amp;VAR:QUERY=RkZfUkRfRVhQKENBTCwyMDA3LCwsLFVTRCk=&amp;WINDOW=FIRST_POPUP&amp;HEIGHT=450&amp;WIDTH=450&amp;START_MA","XIMIZED=FALSE&amp;VAR:CALENDAR=US&amp;VAR:SYMBOL=707752&amp;VAR:INDEX=0"}</definedName>
    <definedName name="_3901__FDSAUDITLINK__" hidden="1">{"fdsup://directions/FAT Viewer?action=UPDATE&amp;creator=factset&amp;DYN_ARGS=TRUE&amp;DOC_NAME=FAT:FQL_AUDITING_CLIENT_TEMPLATE.FAT&amp;display_string=Audit&amp;VAR:KEY=XSPCXOXWFG&amp;VAR:QUERY=RkZfUkRfRVhQKENBTCwyMDA4LCwsLFVTRCk=&amp;WINDOW=FIRST_POPUP&amp;HEIGHT=450&amp;WIDTH=450&amp;START_MA","XIMIZED=FALSE&amp;VAR:CALENDAR=US&amp;VAR:SYMBOL=630720&amp;VAR:INDEX=0"}</definedName>
    <definedName name="_3902__FDSAUDITLINK__" hidden="1">{"fdsup://directions/FAT Viewer?action=UPDATE&amp;creator=factset&amp;DYN_ARGS=TRUE&amp;DOC_NAME=FAT:FQL_AUDITING_CLIENT_TEMPLATE.FAT&amp;display_string=Audit&amp;VAR:KEY=BEDORSJANQ&amp;VAR:QUERY=RkZfUkRfRVhQKENBTCwyMDA3LCwsLFVTRCk=&amp;WINDOW=FIRST_POPUP&amp;HEIGHT=450&amp;WIDTH=450&amp;START_MA","XIMIZED=FALSE&amp;VAR:CALENDAR=US&amp;VAR:SYMBOL=630720&amp;VAR:INDEX=0"}</definedName>
    <definedName name="_3903__FDSAUDITLINK__" hidden="1">{"fdsup://directions/FAT Viewer?action=UPDATE&amp;creator=factset&amp;DYN_ARGS=TRUE&amp;DOC_NAME=FAT:FQL_AUDITING_CLIENT_TEMPLATE.FAT&amp;display_string=Audit&amp;VAR:KEY=ZEPGFQJADE&amp;VAR:QUERY=RkZfUkRfRVhQKENBTCwyMDA4LCwsLFVTRCk=&amp;WINDOW=FIRST_POPUP&amp;HEIGHT=450&amp;WIDTH=450&amp;START_MA","XIMIZED=FALSE&amp;VAR:CALENDAR=US&amp;VAR:SYMBOL=698538&amp;VAR:INDEX=0"}</definedName>
    <definedName name="_3904__FDSAUDITLINK__" hidden="1">{"fdsup://directions/FAT Viewer?action=UPDATE&amp;creator=factset&amp;DYN_ARGS=TRUE&amp;DOC_NAME=FAT:FQL_AUDITING_CLIENT_TEMPLATE.FAT&amp;display_string=Audit&amp;VAR:KEY=HALOFQXSVO&amp;VAR:QUERY=RkZfUkRfRVhQKENBTCwyMDA3LCwsLFVTRCk=&amp;WINDOW=FIRST_POPUP&amp;HEIGHT=450&amp;WIDTH=450&amp;START_MA","XIMIZED=FALSE&amp;VAR:CALENDAR=US&amp;VAR:SYMBOL=698538&amp;VAR:INDEX=0"}</definedName>
    <definedName name="_3905__FDSAUDITLINK__" hidden="1">{"fdsup://directions/FAT Viewer?action=UPDATE&amp;creator=factset&amp;DYN_ARGS=TRUE&amp;DOC_NAME=FAT:FQL_AUDITING_CLIENT_TEMPLATE.FAT&amp;display_string=Audit&amp;VAR:KEY=BURSXUHEJK&amp;VAR:QUERY=RkZfUkRfRVhQKENBTCwyMDA4LCwsLFVTRCk=&amp;WINDOW=FIRST_POPUP&amp;HEIGHT=450&amp;WIDTH=450&amp;START_MA","XIMIZED=FALSE&amp;VAR:CALENDAR=US&amp;VAR:SYMBOL=B0J7D9&amp;VAR:INDEX=0"}</definedName>
    <definedName name="_3906__FDSAUDITLINK__" hidden="1">{"fdsup://directions/FAT Viewer?action=UPDATE&amp;creator=factset&amp;DYN_ARGS=TRUE&amp;DOC_NAME=FAT:FQL_AUDITING_CLIENT_TEMPLATE.FAT&amp;display_string=Audit&amp;VAR:KEY=LABKHYRYVS&amp;VAR:QUERY=RkZfUkRfRVhQKENBTCwyMDA3LCwsLFVTRCk=&amp;WINDOW=FIRST_POPUP&amp;HEIGHT=450&amp;WIDTH=450&amp;START_MA","XIMIZED=FALSE&amp;VAR:CALENDAR=US&amp;VAR:SYMBOL=B0J7D9&amp;VAR:INDEX=0"}</definedName>
    <definedName name="_3907__FDSAUDITLINK__" hidden="1">{"fdsup://directions/FAT Viewer?action=UPDATE&amp;creator=factset&amp;DYN_ARGS=TRUE&amp;DOC_NAME=FAT:FQL_AUDITING_CLIENT_TEMPLATE.FAT&amp;display_string=Audit&amp;VAR:KEY=XQBYHAHMJE&amp;VAR:QUERY=RkZfUkRfRVhQKENBTCwyMDA4LCwsLFVTRCk=&amp;WINDOW=FIRST_POPUP&amp;HEIGHT=450&amp;WIDTH=450&amp;START_MA","XIMIZED=FALSE&amp;VAR:CALENDAR=US&amp;VAR:SYMBOL=AMGN&amp;VAR:INDEX=0"}</definedName>
    <definedName name="_3908__FDSAUDITLINK__" hidden="1">{"fdsup://directions/FAT Viewer?action=UPDATE&amp;creator=factset&amp;DYN_ARGS=TRUE&amp;DOC_NAME=FAT:FQL_AUDITING_CLIENT_TEMPLATE.FAT&amp;display_string=Audit&amp;VAR:KEY=RWVUPEFUXW&amp;VAR:QUERY=RkZfUkRfRVhQKENBTCwyMDA3LCwsLFVTRCk=&amp;WINDOW=FIRST_POPUP&amp;HEIGHT=450&amp;WIDTH=450&amp;START_MA","XIMIZED=FALSE&amp;VAR:CALENDAR=US&amp;VAR:SYMBOL=AMGN&amp;VAR:INDEX=0"}</definedName>
    <definedName name="_3909__FDSAUDITLINK__" hidden="1">{"fdsup://directions/FAT Viewer?action=UPDATE&amp;creator=factset&amp;DYN_ARGS=TRUE&amp;DOC_NAME=FAT:FQL_AUDITING_CLIENT_TEMPLATE.FAT&amp;display_string=Audit&amp;VAR:KEY=HUJQRCJEBE&amp;VAR:QUERY=RkZfUkRfRVhQKENBTCwyMDA4LCwsLFVTRCk=&amp;WINDOW=FIRST_POPUP&amp;HEIGHT=450&amp;WIDTH=450&amp;START_MA","XIMIZED=FALSE&amp;VAR:CALENDAR=US&amp;VAR:SYMBOL=ABT&amp;VAR:INDEX=0"}</definedName>
    <definedName name="_391__FDSAUDITLINK__" hidden="1">{"fdsup://directions/FAT%20Viewer?VAR:TM=NTMA&amp;VAR:PCT=0.706849&amp;VAR:Y0=2003&amp;VAR:Y1=2004&amp;VAR:V0=16.800713&amp;VAR:V1=14.739046&amp;VAR:V=16.138931&amp;VAR:AUDIT_ID=00000117&amp;VAR:DATE=20030417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Aggregates&amp;VAR:MEASURE=PE_MEAN&amp;VAR:CALC_MODE=PORTFOLIO&amp;VAR:CHGPERIOD=NA&amp;VAR:FQLFORMULA=FMA_PE&amp;VAR:CURRENCY=USD&amp;VAR:P=8","93.582100&amp;VAR:THRESH=||||||&amp;VAR:null=.html"}</definedName>
    <definedName name="_3910__FDSAUDITLINK__" hidden="1">{"fdsup://directions/FAT Viewer?action=UPDATE&amp;creator=factset&amp;DYN_ARGS=TRUE&amp;DOC_NAME=FAT:FQL_AUDITING_CLIENT_TEMPLATE.FAT&amp;display_string=Audit&amp;VAR:KEY=BYVWXYRQNK&amp;VAR:QUERY=RkZfUkRfRVhQKENBTCwyMDA3LCwsLFVTRCk=&amp;WINDOW=FIRST_POPUP&amp;HEIGHT=450&amp;WIDTH=450&amp;START_MA","XIMIZED=FALSE&amp;VAR:CALENDAR=US&amp;VAR:SYMBOL=ABT&amp;VAR:INDEX=0"}</definedName>
    <definedName name="_3911__FDSAUDITLINK__" hidden="1">{"fdsup://directions/FAT Viewer?action=UPDATE&amp;creator=factset&amp;DYN_ARGS=TRUE&amp;DOC_NAME=FAT:FQL_AUDITING_CLIENT_TEMPLATE.FAT&amp;display_string=Audit&amp;VAR:KEY=ZUPYRQFSRU&amp;VAR:QUERY=RkZfUkRfRVhQKENBTCwyMDA4LCwsLFVTRCk=&amp;WINDOW=FIRST_POPUP&amp;HEIGHT=450&amp;WIDTH=450&amp;START_MA","XIMIZED=FALSE&amp;VAR:CALENDAR=US&amp;VAR:SYMBOL=687044&amp;VAR:INDEX=0"}</definedName>
    <definedName name="_3912__FDSAUDITLINK__" hidden="1">{"fdsup://directions/FAT Viewer?action=UPDATE&amp;creator=factset&amp;DYN_ARGS=TRUE&amp;DOC_NAME=FAT:FQL_AUDITING_CLIENT_TEMPLATE.FAT&amp;display_string=Audit&amp;VAR:KEY=ZMRALSXARE&amp;VAR:QUERY=RkZfUkRfRVhQKENBTCwyMDA3LCwsLFVTRCk=&amp;WINDOW=FIRST_POPUP&amp;HEIGHT=450&amp;WIDTH=450&amp;START_MA","XIMIZED=FALSE&amp;VAR:CALENDAR=US&amp;VAR:SYMBOL=687044&amp;VAR:INDEX=0"}</definedName>
    <definedName name="_3913__FDSAUDITLINK__" hidden="1">{"fdsup://directions/FAT Viewer?action=UPDATE&amp;creator=factset&amp;DYN_ARGS=TRUE&amp;DOC_NAME=FAT:FQL_AUDITING_CLIENT_TEMPLATE.FAT&amp;display_string=Audit&amp;VAR:KEY=ZMZYLSXEVK&amp;VAR:QUERY=RkZfUkRfRVhQKENBTCwyMDA4LCwsLFVTRCk=&amp;WINDOW=FIRST_POPUP&amp;HEIGHT=450&amp;WIDTH=450&amp;START_MA","XIMIZED=FALSE&amp;VAR:CALENDAR=US&amp;VAR:SYMBOL=BMY&amp;VAR:INDEX=0"}</definedName>
    <definedName name="_3914__FDSAUDITLINK__" hidden="1">{"fdsup://directions/FAT Viewer?action=UPDATE&amp;creator=factset&amp;DYN_ARGS=TRUE&amp;DOC_NAME=FAT:FQL_AUDITING_CLIENT_TEMPLATE.FAT&amp;display_string=Audit&amp;VAR:KEY=RENSXGJCBC&amp;VAR:QUERY=RkZfUkRfRVhQKENBTCwyMDA3LCwsLFVTRCk=&amp;WINDOW=FIRST_POPUP&amp;HEIGHT=450&amp;WIDTH=450&amp;START_MA","XIMIZED=FALSE&amp;VAR:CALENDAR=US&amp;VAR:SYMBOL=BMY&amp;VAR:INDEX=0"}</definedName>
    <definedName name="_3915__FDSAUDITLINK__" hidden="1">{"fdsup://directions/FAT Viewer?action=UPDATE&amp;creator=factset&amp;DYN_ARGS=TRUE&amp;DOC_NAME=FAT:FQL_AUDITING_CLIENT_TEMPLATE.FAT&amp;display_string=Audit&amp;VAR:KEY=BSNATUHMFQ&amp;VAR:QUERY=RkZfUkRfRVhQKENBTCwyMDA4LCwsLFVTRCk=&amp;WINDOW=FIRST_POPUP&amp;HEIGHT=450&amp;WIDTH=450&amp;START_MA","XIMIZED=FALSE&amp;VAR:CALENDAR=US&amp;VAR:SYMBOL=LLY&amp;VAR:INDEX=0"}</definedName>
    <definedName name="_3916__FDSAUDITLINK__" hidden="1">{"fdsup://directions/FAT Viewer?action=UPDATE&amp;creator=factset&amp;DYN_ARGS=TRUE&amp;DOC_NAME=FAT:FQL_AUDITING_CLIENT_TEMPLATE.FAT&amp;display_string=Audit&amp;VAR:KEY=DOHSHEVKPM&amp;VAR:QUERY=RkZfUkRfRVhQKENBTCwyMDA3LCwsLFVTRCk=&amp;WINDOW=FIRST_POPUP&amp;HEIGHT=450&amp;WIDTH=450&amp;START_MA","XIMIZED=FALSE&amp;VAR:CALENDAR=US&amp;VAR:SYMBOL=LLY&amp;VAR:INDEX=0"}</definedName>
    <definedName name="_3917__FDSAUDITLINK__" hidden="1">{"fdsup://directions/FAT Viewer?action=UPDATE&amp;creator=factset&amp;DYN_ARGS=TRUE&amp;DOC_NAME=FAT:FQL_AUDITING_CLIENT_TEMPLATE.FAT&amp;display_string=Audit&amp;VAR:KEY=JKHWTOZSRO&amp;VAR:QUERY=RkZfUkRfRVhQKENBTCwyMDA4LCwsLFVTRCk=&amp;WINDOW=FIRST_POPUP&amp;HEIGHT=450&amp;WIDTH=450&amp;START_MA","XIMIZED=FALSE&amp;VAR:CALENDAR=US&amp;VAR:SYMBOL=506921&amp;VAR:INDEX=0"}</definedName>
    <definedName name="_3918__FDSAUDITLINK__" hidden="1">{"fdsup://directions/FAT Viewer?action=UPDATE&amp;creator=factset&amp;DYN_ARGS=TRUE&amp;DOC_NAME=FAT:FQL_AUDITING_CLIENT_TEMPLATE.FAT&amp;display_string=Audit&amp;VAR:KEY=RCZEJWXODC&amp;VAR:QUERY=RkZfUkRfRVhQKENBTCwyMDA3LCwsLFVTRCk=&amp;WINDOW=FIRST_POPUP&amp;HEIGHT=450&amp;WIDTH=450&amp;START_MA","XIMIZED=FALSE&amp;VAR:CALENDAR=US&amp;VAR:SYMBOL=506921&amp;VAR:INDEX=0"}</definedName>
    <definedName name="_3919__FDSAUDITLINK__" hidden="1">{"fdsup://directions/FAT Viewer?action=UPDATE&amp;creator=factset&amp;DYN_ARGS=TRUE&amp;DOC_NAME=FAT:FQL_AUDITING_CLIENT_TEMPLATE.FAT&amp;display_string=Audit&amp;VAR:KEY=NGTOJGBUXY&amp;VAR:QUERY=RkZfUkRfRVhQKENBTCwyMDA4LCwsLFVTRCk=&amp;WINDOW=FIRST_POPUP&amp;HEIGHT=450&amp;WIDTH=450&amp;START_MA","XIMIZED=FALSE&amp;VAR:CALENDAR=US&amp;VAR:SYMBOL=567173&amp;VAR:INDEX=0"}</definedName>
    <definedName name="_392__FDSAUDITLINK__" hidden="1">{"fdsup://directions/FAT%20Viewer?VAR:TM=NTMA&amp;VAR:PCT=0.723288&amp;VAR:Y0=2003&amp;VAR:Y1=2004&amp;VAR:V0=16.366750&amp;VAR:V1=14.343668&amp;VAR:V=15.751974&amp;VAR:AUDIT_ID=00000117&amp;VAR:DATE=20030411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Aggregates&amp;VAR:MEASURE=PE_MEAN&amp;VAR:CALC_MODE=PORTFOLIO&amp;VAR:CHGPERIOD=NA&amp;VAR:FQLFORMULA=FMA_PE&amp;VAR:CURRENCY=USD&amp;VAR:P=8","68.301700&amp;VAR:THRESH=||||||&amp;VAR:null=.html"}</definedName>
    <definedName name="_3920__FDSAUDITLINK__" hidden="1">{"fdsup://directions/FAT Viewer?action=UPDATE&amp;creator=factset&amp;DYN_ARGS=TRUE&amp;DOC_NAME=FAT:FQL_AUDITING_CLIENT_TEMPLATE.FAT&amp;display_string=Audit&amp;VAR:KEY=RAZEFOLQPC&amp;VAR:QUERY=RkZfUkRfRVhQKENBTCwyMDA3LCwsLFVTRCk=&amp;WINDOW=FIRST_POPUP&amp;HEIGHT=450&amp;WIDTH=450&amp;START_MA","XIMIZED=FALSE&amp;VAR:CALENDAR=US&amp;VAR:SYMBOL=567173&amp;VAR:INDEX=0"}</definedName>
    <definedName name="_3921__FDSAUDITLINK__" hidden="1">{"fdsup://directions/FAT Viewer?action=UPDATE&amp;creator=factset&amp;DYN_ARGS=TRUE&amp;DOC_NAME=FAT:FQL_AUDITING_CLIENT_TEMPLATE.FAT&amp;display_string=Audit&amp;VAR:KEY=XKRABGFMPG&amp;VAR:QUERY=RkZfUkRfRVhQKENBTCwyMDA4LCwsLFVTRCk=&amp;WINDOW=FIRST_POPUP&amp;HEIGHT=450&amp;WIDTH=450&amp;START_MA","XIMIZED=FALSE&amp;VAR:CALENDAR=US&amp;VAR:SYMBOL=JNJ&amp;VAR:INDEX=0"}</definedName>
    <definedName name="_3922__FDSAUDITLINK__" hidden="1">{"fdsup://directions/FAT Viewer?action=UPDATE&amp;creator=factset&amp;DYN_ARGS=TRUE&amp;DOC_NAME=FAT:FQL_AUDITING_CLIENT_TEMPLATE.FAT&amp;display_string=Audit&amp;VAR:KEY=LCJKLSDCRQ&amp;VAR:QUERY=RkZfUkRfRVhQKENBTCwyMDA3LCwsLFVTRCk=&amp;WINDOW=FIRST_POPUP&amp;HEIGHT=450&amp;WIDTH=450&amp;START_MA","XIMIZED=FALSE&amp;VAR:CALENDAR=US&amp;VAR:SYMBOL=JNJ&amp;VAR:INDEX=0"}</definedName>
    <definedName name="_3923__FDSAUDITLINK__" hidden="1">{"fdsup://directions/FAT Viewer?action=UPDATE&amp;creator=factset&amp;DYN_ARGS=TRUE&amp;DOC_NAME=FAT:FQL_AUDITING_CLIENT_TEMPLATE.FAT&amp;display_string=Audit&amp;VAR:KEY=LMTQHUVWVA&amp;VAR:QUERY=RkZfUkRfRVhQKENBTCwyMDA4LCwsLFVTRCk=&amp;WINDOW=FIRST_POPUP&amp;HEIGHT=450&amp;WIDTH=450&amp;START_MA","XIMIZED=FALSE&amp;VAR:CALENDAR=US&amp;VAR:SYMBOL=710306&amp;VAR:INDEX=0"}</definedName>
    <definedName name="_3924__FDSAUDITLINK__" hidden="1">{"fdsup://directions/FAT Viewer?action=UPDATE&amp;creator=factset&amp;DYN_ARGS=TRUE&amp;DOC_NAME=FAT:FQL_AUDITING_CLIENT_TEMPLATE.FAT&amp;display_string=Audit&amp;VAR:KEY=VYTORQNKTW&amp;VAR:QUERY=RkZfUkRfRVhQKENBTCwyMDA3LCwsLFVTRCk=&amp;WINDOW=FIRST_POPUP&amp;HEIGHT=450&amp;WIDTH=450&amp;START_MA","XIMIZED=FALSE&amp;VAR:CALENDAR=US&amp;VAR:SYMBOL=710306&amp;VAR:INDEX=0"}</definedName>
    <definedName name="_3925__FDSAUDITLINK__" hidden="1">{"fdsup://directions/FAT Viewer?action=UPDATE&amp;creator=factset&amp;DYN_ARGS=TRUE&amp;DOC_NAME=FAT:FQL_AUDITING_CLIENT_TEMPLATE.FAT&amp;display_string=Audit&amp;VAR:KEY=RAFAPGJURW&amp;VAR:QUERY=RkZfUkRfRVhQKENBTCwyMDA4LCwsLFVTRCk=&amp;WINDOW=FIRST_POPUP&amp;HEIGHT=450&amp;WIDTH=450&amp;START_MA","XIMIZED=FALSE&amp;VAR:CALENDAR=US&amp;VAR:SYMBOL=711038&amp;VAR:INDEX=0"}</definedName>
    <definedName name="_3926__FDSAUDITLINK__" hidden="1">{"fdsup://directions/FAT Viewer?action=UPDATE&amp;creator=factset&amp;DYN_ARGS=TRUE&amp;DOC_NAME=FAT:FQL_AUDITING_CLIENT_TEMPLATE.FAT&amp;display_string=Audit&amp;VAR:KEY=LKDSHOXEJE&amp;VAR:QUERY=RkZfUkRfRVhQKENBTCwyMDA4LCwsLFVTRCk=&amp;WINDOW=FIRST_POPUP&amp;HEIGHT=450&amp;WIDTH=450&amp;START_MA","XIMIZED=FALSE&amp;VAR:CALENDAR=US&amp;VAR:SYMBOL=MRK&amp;VAR:INDEX=0"}</definedName>
    <definedName name="_3927__FDSAUDITLINK__" hidden="1">{"fdsup://directions/FAT Viewer?action=UPDATE&amp;creator=factset&amp;DYN_ARGS=TRUE&amp;DOC_NAME=FAT:FQL_AUDITING_CLIENT_TEMPLATE.FAT&amp;display_string=Audit&amp;VAR:KEY=TILQDMTSFA&amp;VAR:QUERY=RkZfUkRfRVhQKENBTCwyMDA3LCwsLFVTRCk=&amp;WINDOW=FIRST_POPUP&amp;HEIGHT=450&amp;WIDTH=450&amp;START_MA","XIMIZED=FALSE&amp;VAR:CALENDAR=US&amp;VAR:SYMBOL=MRK&amp;VAR:INDEX=0"}</definedName>
    <definedName name="_3928__FDSAUDITLINK__" hidden="1">{"fdsup://directions/FAT Viewer?action=UPDATE&amp;creator=factset&amp;DYN_ARGS=TRUE&amp;DOC_NAME=FAT:FQL_AUDITING_CLIENT_TEMPLATE.FAT&amp;display_string=Audit&amp;VAR:KEY=JCJYXWPCFK&amp;VAR:QUERY=RkZfUkRfRVhQKENBTCwyMDA4LCwsLFVTRCk=&amp;WINDOW=FIRST_POPUP&amp;HEIGHT=450&amp;WIDTH=450&amp;START_MA","XIMIZED=FALSE&amp;VAR:CALENDAR=US&amp;VAR:SYMBOL=PFE&amp;VAR:INDEX=0"}</definedName>
    <definedName name="_3929__FDSAUDITLINK__" hidden="1">{"fdsup://directions/FAT Viewer?action=UPDATE&amp;creator=factset&amp;DYN_ARGS=TRUE&amp;DOC_NAME=FAT:FQL_AUDITING_CLIENT_TEMPLATE.FAT&amp;display_string=Audit&amp;VAR:KEY=VABOBMLSTS&amp;VAR:QUERY=RkZfUkRfRVhQKENBTCwyMDA3LCwsLFVTRCk=&amp;WINDOW=FIRST_POPUP&amp;HEIGHT=450&amp;WIDTH=450&amp;START_MA","XIMIZED=FALSE&amp;VAR:CALENDAR=US&amp;VAR:SYMBOL=PFE&amp;VAR:INDEX=0"}</definedName>
    <definedName name="_393__FDSAUDITLINK__" hidden="1">{"fdsup://directions/FAT%20Viewer?VAR:TM=NTMA&amp;VAR:PCT=0.742466&amp;VAR:Y0=2003&amp;VAR:Y1=2004&amp;VAR:V0=16.555330&amp;VAR:V1=14.383667&amp;VAR:V=15.935705&amp;VAR:AUDIT_ID=00000117&amp;VAR:DATE=20030404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Aggregates&amp;VAR:MEASURE=PE_MEAN&amp;VAR:CALC_MODE=PORTFOLIO&amp;VAR:CHGPERIOD=NA&amp;VAR:FQLFORMULA=FMA_PE&amp;VAR:CURRENCY=USD&amp;VAR:P=8","78.852500&amp;VAR:THRESH=||||||&amp;VAR:null=.html"}</definedName>
    <definedName name="_3930__FDSAUDITLINK__" hidden="1">{"fdsup://directions/FAT Viewer?action=UPDATE&amp;creator=factset&amp;DYN_ARGS=TRUE&amp;DOC_NAME=FAT:FQL_AUDITING_CLIENT_TEMPLATE.FAT&amp;display_string=Audit&amp;VAR:KEY=FADGZQHEFC&amp;VAR:QUERY=RkZfUkRfRVhQKENBTCw0MDU0MywsLCxVU0Qp&amp;WINDOW=FIRST_POPUP&amp;HEIGHT=450&amp;WIDTH=450&amp;START_MA","XIMIZED=FALSE&amp;VAR:CALENDAR=US&amp;VAR:SYMBOL=BIIB&amp;VAR:INDEX=0"}</definedName>
    <definedName name="_3931__FDSAUDITLINK__" hidden="1">{"fdsup://directions/FAT Viewer?action=UPDATE&amp;creator=factset&amp;DYN_ARGS=TRUE&amp;DOC_NAME=FAT:FQL_AUDITING_CLIENT_TEMPLATE.FAT&amp;display_string=Audit&amp;VAR:KEY=NSPUJGFSHI&amp;VAR:QUERY=RkZfUkRfRVhQKENBTCw0MDU0MywsLCxVU0Qp&amp;WINDOW=FIRST_POPUP&amp;HEIGHT=450&amp;WIDTH=450&amp;START_MA","XIMIZED=FALSE&amp;VAR:CALENDAR=US&amp;VAR:SYMBOL=707752&amp;VAR:INDEX=0"}</definedName>
    <definedName name="_3932__FDSAUDITLINK__" hidden="1">{"fdsup://directions/FAT Viewer?action=UPDATE&amp;creator=factset&amp;DYN_ARGS=TRUE&amp;DOC_NAME=FAT:FQL_AUDITING_CLIENT_TEMPLATE.FAT&amp;display_string=Audit&amp;VAR:KEY=PWJMJAPQXA&amp;VAR:QUERY=RkZfUkRfRVhQKENBTCw0MDU0MywsLCxVU0Qp&amp;WINDOW=FIRST_POPUP&amp;HEIGHT=450&amp;WIDTH=450&amp;START_MA","XIMIZED=FALSE&amp;VAR:CALENDAR=US&amp;VAR:SYMBOL=630720&amp;VAR:INDEX=0"}</definedName>
    <definedName name="_3933__FDSAUDITLINK__" hidden="1">{"fdsup://directions/FAT Viewer?action=UPDATE&amp;creator=factset&amp;DYN_ARGS=TRUE&amp;DOC_NAME=FAT:FQL_AUDITING_CLIENT_TEMPLATE.FAT&amp;display_string=Audit&amp;VAR:KEY=TQDGRYXUPO&amp;VAR:QUERY=RkZfUkRfRVhQKENBTCw0MDU0MywsLCxVU0Qp&amp;WINDOW=FIRST_POPUP&amp;HEIGHT=450&amp;WIDTH=450&amp;START_MA","XIMIZED=FALSE&amp;VAR:CALENDAR=US&amp;VAR:SYMBOL=698538&amp;VAR:INDEX=0"}</definedName>
    <definedName name="_3934__FDSAUDITLINK__" hidden="1">{"fdsup://directions/FAT Viewer?action=UPDATE&amp;creator=factset&amp;DYN_ARGS=TRUE&amp;DOC_NAME=FAT:FQL_AUDITING_CLIENT_TEMPLATE.FAT&amp;display_string=Audit&amp;VAR:KEY=LCNIRKJOVO&amp;VAR:QUERY=RkZfUkRfRVhQKENBTCw0MDU0MywsLCxVU0Qp&amp;WINDOW=FIRST_POPUP&amp;HEIGHT=450&amp;WIDTH=450&amp;START_MA","XIMIZED=FALSE&amp;VAR:CALENDAR=US&amp;VAR:SYMBOL=474184&amp;VAR:INDEX=0"}</definedName>
    <definedName name="_3935__FDSAUDITLINK__" hidden="1">{"fdsup://directions/FAT Viewer?action=UPDATE&amp;creator=factset&amp;DYN_ARGS=TRUE&amp;DOC_NAME=FAT:FQL_AUDITING_CLIENT_TEMPLATE.FAT&amp;display_string=Audit&amp;VAR:KEY=JAPATOHCPG&amp;VAR:QUERY=RkZfUkRfRVhQKENBTCw0MDU0MywsLCxVU0Qp&amp;WINDOW=FIRST_POPUP&amp;HEIGHT=450&amp;WIDTH=450&amp;START_MA","XIMIZED=FALSE&amp;VAR:CALENDAR=US&amp;VAR:SYMBOL=B0J7D9&amp;VAR:INDEX=0"}</definedName>
    <definedName name="_3936__FDSAUDITLINK__" hidden="1">{"fdsup://directions/FAT Viewer?action=UPDATE&amp;creator=factset&amp;DYN_ARGS=TRUE&amp;DOC_NAME=FAT:FQL_AUDITING_CLIENT_TEMPLATE.FAT&amp;display_string=Audit&amp;VAR:KEY=ZURSDKXMDW&amp;VAR:QUERY=RkZfUkRfRVhQKENBTCw0MDU0MywsLCxVU0Qp&amp;WINDOW=FIRST_POPUP&amp;HEIGHT=450&amp;WIDTH=450&amp;START_MA","XIMIZED=FALSE&amp;VAR:CALENDAR=US&amp;VAR:SYMBOL=AMGN&amp;VAR:INDEX=0"}</definedName>
    <definedName name="_3937__FDSAUDITLINK__" hidden="1">{"fdsup://directions/FAT Viewer?action=UPDATE&amp;creator=factset&amp;DYN_ARGS=TRUE&amp;DOC_NAME=FAT:FQL_AUDITING_CLIENT_TEMPLATE.FAT&amp;display_string=Audit&amp;VAR:KEY=JWREDEZOBE&amp;VAR:QUERY=RkZfUkRfRVhQKENBTCw0MDU0MywsLCxVU0Qp&amp;WINDOW=FIRST_POPUP&amp;HEIGHT=450&amp;WIDTH=450&amp;START_MA","XIMIZED=FALSE&amp;VAR:CALENDAR=US&amp;VAR:SYMBOL=ABT&amp;VAR:INDEX=0"}</definedName>
    <definedName name="_3938__FDSAUDITLINK__" hidden="1">{"fdsup://directions/FAT Viewer?action=UPDATE&amp;creator=factset&amp;DYN_ARGS=TRUE&amp;DOC_NAME=FAT:FQL_AUDITING_CLIENT_TEMPLATE.FAT&amp;display_string=Audit&amp;VAR:KEY=FMHOHWFCHA&amp;VAR:QUERY=RkZfUkRfRVhQKENBTCw0MDU0MywsLCxVU0Qp&amp;WINDOW=FIRST_POPUP&amp;HEIGHT=450&amp;WIDTH=450&amp;START_MA","XIMIZED=FALSE&amp;VAR:CALENDAR=US&amp;VAR:SYMBOL=687044&amp;VAR:INDEX=0"}</definedName>
    <definedName name="_3939__FDSAUDITLINK__" hidden="1">{"fdsup://directions/FAT Viewer?action=UPDATE&amp;creator=factset&amp;DYN_ARGS=TRUE&amp;DOC_NAME=FAT:FQL_AUDITING_CLIENT_TEMPLATE.FAT&amp;display_string=Audit&amp;VAR:KEY=BCRMHOHMDU&amp;VAR:QUERY=RkZfUkRfRVhQKENBTCw0MDU0MywsLCxVU0Qp&amp;WINDOW=FIRST_POPUP&amp;HEIGHT=450&amp;WIDTH=450&amp;START_MA","XIMIZED=FALSE&amp;VAR:CALENDAR=US&amp;VAR:SYMBOL=BMY&amp;VAR:INDEX=0"}</definedName>
    <definedName name="_394__FDSAUDITLINK__" hidden="1">{"fdsup://directions/FAT%20Viewer?VAR:TM=NTMA&amp;VAR:PCT=0.761644&amp;VAR:Y0=2003&amp;VAR:Y1=2004&amp;VAR:V0=16.239182&amp;VAR:V1=14.103542&amp;VAR:V=15.673475&amp;VAR:AUDIT_ID=00000117&amp;VAR:DATE=20030328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Aggregates&amp;VAR:MEASURE=PE_MEAN&amp;VAR:CALC_MODE=PORTFOLIO&amp;VAR:CHGPERIOD=NA&amp;VAR:FQLFORMULA=FMA_PE&amp;VAR:CURRENCY=USD&amp;VAR:P=8","63.498660&amp;VAR:THRESH=||||||&amp;VAR:null=.html"}</definedName>
    <definedName name="_3940__FDSAUDITLINK__" hidden="1">{"fdsup://directions/FAT Viewer?action=UPDATE&amp;creator=factset&amp;DYN_ARGS=TRUE&amp;DOC_NAME=FAT:FQL_AUDITING_CLIENT_TEMPLATE.FAT&amp;display_string=Audit&amp;VAR:KEY=RWHALYVQFE&amp;VAR:QUERY=RkZfUkRfRVhQKENBTCw0MDU0MywsLCxVU0Qp&amp;WINDOW=FIRST_POPUP&amp;HEIGHT=450&amp;WIDTH=450&amp;START_MA","XIMIZED=FALSE&amp;VAR:CALENDAR=US&amp;VAR:SYMBOL=LLY&amp;VAR:INDEX=0"}</definedName>
    <definedName name="_3941__FDSAUDITLINK__" hidden="1">{"fdsup://directions/FAT Viewer?action=UPDATE&amp;creator=factset&amp;DYN_ARGS=TRUE&amp;DOC_NAME=FAT:FQL_AUDITING_CLIENT_TEMPLATE.FAT&amp;display_string=Audit&amp;VAR:KEY=BOXSLUFEFY&amp;VAR:QUERY=RkZfUkRfRVhQKENBTCw0MDU0MywsLCxVU0Qp&amp;WINDOW=FIRST_POPUP&amp;HEIGHT=450&amp;WIDTH=450&amp;START_MA","XIMIZED=FALSE&amp;VAR:CALENDAR=US&amp;VAR:SYMBOL=506921&amp;VAR:INDEX=0"}</definedName>
    <definedName name="_3942__FDSAUDITLINK__" hidden="1">{"fdsup://directions/FAT Viewer?action=UPDATE&amp;creator=factset&amp;DYN_ARGS=TRUE&amp;DOC_NAME=FAT:FQL_AUDITING_CLIENT_TEMPLATE.FAT&amp;display_string=Audit&amp;VAR:KEY=BKNWZCJIZG&amp;VAR:QUERY=RkZfUkRfRVhQKENBTCw0MDU0MywsLCxVU0Qp&amp;WINDOW=FIRST_POPUP&amp;HEIGHT=450&amp;WIDTH=450&amp;START_MA","XIMIZED=FALSE&amp;VAR:CALENDAR=US&amp;VAR:SYMBOL=567173&amp;VAR:INDEX=0"}</definedName>
    <definedName name="_3943__FDSAUDITLINK__" hidden="1">{"fdsup://directions/FAT Viewer?action=UPDATE&amp;creator=factset&amp;DYN_ARGS=TRUE&amp;DOC_NAME=FAT:FQL_AUDITING_CLIENT_TEMPLATE.FAT&amp;display_string=Audit&amp;VAR:KEY=ZUTEDGBCXY&amp;VAR:QUERY=RkZfUkRfRVhQKENBTCw0MDU0MywsLCxVU0Qp&amp;WINDOW=FIRST_POPUP&amp;HEIGHT=450&amp;WIDTH=450&amp;START_MA","XIMIZED=FALSE&amp;VAR:CALENDAR=US&amp;VAR:SYMBOL=JNJ&amp;VAR:INDEX=0"}</definedName>
    <definedName name="_3944__FDSAUDITLINK__" hidden="1">{"fdsup://directions/FAT Viewer?action=UPDATE&amp;creator=factset&amp;DYN_ARGS=TRUE&amp;DOC_NAME=FAT:FQL_AUDITING_CLIENT_TEMPLATE.FAT&amp;display_string=Audit&amp;VAR:KEY=TYHWTQXSJO&amp;VAR:QUERY=RkZfUkRfRVhQKENBTCw0MDU0MywsLCxVU0Qp&amp;WINDOW=FIRST_POPUP&amp;HEIGHT=450&amp;WIDTH=450&amp;START_MA","XIMIZED=FALSE&amp;VAR:CALENDAR=US&amp;VAR:SYMBOL=710306&amp;VAR:INDEX=0"}</definedName>
    <definedName name="_3945__FDSAUDITLINK__" hidden="1">{"fdsup://directions/FAT Viewer?action=UPDATE&amp;creator=factset&amp;DYN_ARGS=TRUE&amp;DOC_NAME=FAT:FQL_AUDITING_CLIENT_TEMPLATE.FAT&amp;display_string=Audit&amp;VAR:KEY=BSFYPUHUXG&amp;VAR:QUERY=RkZfUkRfRVhQKENBTCw0MDU0MywsLCxVU0Qp&amp;WINDOW=FIRST_POPUP&amp;HEIGHT=450&amp;WIDTH=450&amp;START_MA","XIMIZED=FALSE&amp;VAR:CALENDAR=US&amp;VAR:SYMBOL=711038&amp;VAR:INDEX=0"}</definedName>
    <definedName name="_3946__FDSAUDITLINK__" hidden="1">{"fdsup://directions/FAT Viewer?action=UPDATE&amp;creator=factset&amp;DYN_ARGS=TRUE&amp;DOC_NAME=FAT:FQL_AUDITING_CLIENT_TEMPLATE.FAT&amp;display_string=Audit&amp;VAR:KEY=BQXQNYHAZC&amp;VAR:QUERY=RkZfUkRfRVhQKENBTCw0MDU0MywsLCxVU0Qp&amp;WINDOW=FIRST_POPUP&amp;HEIGHT=450&amp;WIDTH=450&amp;START_MA","XIMIZED=FALSE&amp;VAR:CALENDAR=US&amp;VAR:SYMBOL=MRK&amp;VAR:INDEX=0"}</definedName>
    <definedName name="_3947__FDSAUDITLINK__" hidden="1">{"fdsup://directions/FAT Viewer?action=UPDATE&amp;creator=factset&amp;DYN_ARGS=TRUE&amp;DOC_NAME=FAT:FQL_AUDITING_CLIENT_TEMPLATE.FAT&amp;display_string=Audit&amp;VAR:KEY=XSXQHYLMVQ&amp;VAR:QUERY=RkZfUkRfRVhQKENBTCw0MDU0MywsLCwp&amp;WINDOW=FIRST_POPUP&amp;HEIGHT=450&amp;WIDTH=450&amp;START_MAXIMI","ZED=FALSE&amp;VAR:CALENDAR=US&amp;VAR:SYMBOL=BIIB&amp;VAR:INDEX=0"}</definedName>
    <definedName name="_3948__FDSAUDITLINK__" hidden="1">{"fdsup://directions/FAT Viewer?action=UPDATE&amp;creator=factset&amp;DYN_ARGS=TRUE&amp;DOC_NAME=FAT:FQL_AUDITING_CLIENT_TEMPLATE.FAT&amp;display_string=Audit&amp;VAR:KEY=LAJWREJCRQ&amp;VAR:QUERY=RkZfUkRfRVhQKENBTCw0MDE3OCwsLCwp&amp;WINDOW=FIRST_POPUP&amp;HEIGHT=450&amp;WIDTH=450&amp;START_MAXIMI","ZED=FALSE&amp;VAR:CALENDAR=US&amp;VAR:SYMBOL=BIIB&amp;VAR:INDEX=0"}</definedName>
    <definedName name="_3949__FDSAUDITLINK__" hidden="1">{"fdsup://directions/FAT Viewer?action=UPDATE&amp;creator=factset&amp;DYN_ARGS=TRUE&amp;DOC_NAME=FAT:FQL_AUDITING_CLIENT_TEMPLATE.FAT&amp;display_string=Audit&amp;VAR:KEY=TIJGJEBYTI&amp;VAR:QUERY=RkZfUkRfRVhQKENBTCwzOTgxMywsLCwp&amp;WINDOW=FIRST_POPUP&amp;HEIGHT=450&amp;WIDTH=450&amp;START_MAXIMI","ZED=FALSE&amp;VAR:CALENDAR=US&amp;VAR:SYMBOL=BIIB&amp;VAR:INDEX=0"}</definedName>
    <definedName name="_395__FDSAUDITLINK__" hidden="1">{"fdsup://directions/FAT%20Viewer?VAR:TM=NTMA&amp;VAR:PCT=0.780822&amp;VAR:Y0=2003&amp;VAR:Y1=2004&amp;VAR:V0=16.807903&amp;VAR:V1=14.624898&amp;VAR:V=16.275437&amp;VAR:AUDIT_ID=00000117&amp;VAR:DATE=20030321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Aggregates&amp;VAR:MEASURE=PE_MEAN&amp;VAR:CALC_MODE=PORTFOLIO&amp;VAR:CHGPERIOD=NA&amp;VAR:FQLFORMULA=FMA_PE&amp;VAR:CURRENCY=USD&amp;VAR:P=8","95.792300&amp;VAR:THRESH=||||||&amp;VAR:null=.html"}</definedName>
    <definedName name="_3950__FDSAUDITLINK__" hidden="1">{"fdsup://directions/FAT Viewer?action=UPDATE&amp;creator=factset&amp;DYN_ARGS=TRUE&amp;DOC_NAME=FAT:FQL_AUDITING_CLIENT_TEMPLATE.FAT&amp;display_string=Audit&amp;VAR:KEY=ROHGXITIHS&amp;VAR:QUERY=RkZfUkRfRVhQKENBTCw0MDU0MywsLCwp&amp;WINDOW=FIRST_POPUP&amp;HEIGHT=450&amp;WIDTH=450&amp;START_MAXIMI","ZED=FALSE&amp;VAR:CALENDAR=US&amp;VAR:SYMBOL=707752&amp;VAR:INDEX=0"}</definedName>
    <definedName name="_3951__FDSAUDITLINK__" hidden="1">{"fdsup://directions/FAT Viewer?action=UPDATE&amp;creator=factset&amp;DYN_ARGS=TRUE&amp;DOC_NAME=FAT:FQL_AUDITING_CLIENT_TEMPLATE.FAT&amp;display_string=Audit&amp;VAR:KEY=ZCPYBCXOHU&amp;VAR:QUERY=RkZfUkRfRVhQKENBTCw0MDE3OCwsLCwp&amp;WINDOW=FIRST_POPUP&amp;HEIGHT=450&amp;WIDTH=450&amp;START_MAXIMI","ZED=FALSE&amp;VAR:CALENDAR=US&amp;VAR:SYMBOL=707752&amp;VAR:INDEX=0"}</definedName>
    <definedName name="_3952__FDSAUDITLINK__" hidden="1">{"fdsup://directions/FAT Viewer?action=UPDATE&amp;creator=factset&amp;DYN_ARGS=TRUE&amp;DOC_NAME=FAT:FQL_AUDITING_CLIENT_TEMPLATE.FAT&amp;display_string=Audit&amp;VAR:KEY=RUHOZGXETS&amp;VAR:QUERY=RkZfUkRfRVhQKENBTCwzOTgxMywsLCwp&amp;WINDOW=FIRST_POPUP&amp;HEIGHT=450&amp;WIDTH=450&amp;START_MAXIMI","ZED=FALSE&amp;VAR:CALENDAR=US&amp;VAR:SYMBOL=707752&amp;VAR:INDEX=0"}</definedName>
    <definedName name="_3953__FDSAUDITLINK__" hidden="1">{"fdsup://directions/FAT Viewer?action=UPDATE&amp;creator=factset&amp;DYN_ARGS=TRUE&amp;DOC_NAME=FAT:FQL_AUDITING_CLIENT_TEMPLATE.FAT&amp;display_string=Audit&amp;VAR:KEY=XODONILQRS&amp;VAR:QUERY=RkZfUkRfRVhQKENBTCw0MDU0MywsLCwp&amp;WINDOW=FIRST_POPUP&amp;HEIGHT=450&amp;WIDTH=450&amp;START_MAXIMI","ZED=FALSE&amp;VAR:CALENDAR=US&amp;VAR:SYMBOL=630720&amp;VAR:INDEX=0"}</definedName>
    <definedName name="_3954__FDSAUDITLINK__" hidden="1">{"fdsup://directions/FAT Viewer?action=UPDATE&amp;creator=factset&amp;DYN_ARGS=TRUE&amp;DOC_NAME=FAT:FQL_AUDITING_CLIENT_TEMPLATE.FAT&amp;display_string=Audit&amp;VAR:KEY=FQTINILKPY&amp;VAR:QUERY=RkZfUkRfRVhQKENBTCw0MDE3OCwsLCwp&amp;WINDOW=FIRST_POPUP&amp;HEIGHT=450&amp;WIDTH=450&amp;START_MAXIMI","ZED=FALSE&amp;VAR:CALENDAR=US&amp;VAR:SYMBOL=630720&amp;VAR:INDEX=0"}</definedName>
    <definedName name="_3955__FDSAUDITLINK__" hidden="1">{"fdsup://directions/FAT Viewer?action=UPDATE&amp;creator=factset&amp;DYN_ARGS=TRUE&amp;DOC_NAME=FAT:FQL_AUDITING_CLIENT_TEMPLATE.FAT&amp;display_string=Audit&amp;VAR:KEY=VSZYNWJGTA&amp;VAR:QUERY=RkZfUkRfRVhQKENBTCwzOTgxMywsLCwp&amp;WINDOW=FIRST_POPUP&amp;HEIGHT=450&amp;WIDTH=450&amp;START_MAXIMI","ZED=FALSE&amp;VAR:CALENDAR=US&amp;VAR:SYMBOL=630720&amp;VAR:INDEX=0"}</definedName>
    <definedName name="_3956__FDSAUDITLINK__" hidden="1">{"fdsup://directions/FAT Viewer?action=UPDATE&amp;creator=factset&amp;DYN_ARGS=TRUE&amp;DOC_NAME=FAT:FQL_AUDITING_CLIENT_TEMPLATE.FAT&amp;display_string=Audit&amp;VAR:KEY=HMDKDGFUVI&amp;VAR:QUERY=RkZfUkRfRVhQKENBTCw0MDU0MywsLCwp&amp;WINDOW=FIRST_POPUP&amp;HEIGHT=450&amp;WIDTH=450&amp;START_MAXIMI","ZED=FALSE&amp;VAR:CALENDAR=US&amp;VAR:SYMBOL=698538&amp;VAR:INDEX=0"}</definedName>
    <definedName name="_3957__FDSAUDITLINK__" hidden="1">{"fdsup://directions/FAT Viewer?action=UPDATE&amp;creator=factset&amp;DYN_ARGS=TRUE&amp;DOC_NAME=FAT:FQL_AUDITING_CLIENT_TEMPLATE.FAT&amp;display_string=Audit&amp;VAR:KEY=XEFUVIRUFI&amp;VAR:QUERY=RkZfUkRfRVhQKENBTCw0MDE3OCwsLCwp&amp;WINDOW=FIRST_POPUP&amp;HEIGHT=450&amp;WIDTH=450&amp;START_MAXIMI","ZED=FALSE&amp;VAR:CALENDAR=US&amp;VAR:SYMBOL=698538&amp;VAR:INDEX=0"}</definedName>
    <definedName name="_3958__FDSAUDITLINK__" hidden="1">{"fdsup://directions/FAT Viewer?action=UPDATE&amp;creator=factset&amp;DYN_ARGS=TRUE&amp;DOC_NAME=FAT:FQL_AUDITING_CLIENT_TEMPLATE.FAT&amp;display_string=Audit&amp;VAR:KEY=HYTMLEDUVS&amp;VAR:QUERY=RkZfUkRfRVhQKENBTCwzOTgxMywsLCwp&amp;WINDOW=FIRST_POPUP&amp;HEIGHT=450&amp;WIDTH=450&amp;START_MAXIMI","ZED=FALSE&amp;VAR:CALENDAR=US&amp;VAR:SYMBOL=698538&amp;VAR:INDEX=0"}</definedName>
    <definedName name="_3959__FDSAUDITLINK__" hidden="1">{"fdsup://directions/FAT Viewer?action=UPDATE&amp;creator=factset&amp;DYN_ARGS=TRUE&amp;DOC_NAME=FAT:FQL_AUDITING_CLIENT_TEMPLATE.FAT&amp;display_string=Audit&amp;VAR:KEY=BIZIJKTURI&amp;VAR:QUERY=RkZfUkRfRVhQKENBTCw0MDU0MywsLCwp&amp;WINDOW=FIRST_POPUP&amp;HEIGHT=450&amp;WIDTH=450&amp;START_MAXIMI","ZED=FALSE&amp;VAR:CALENDAR=US&amp;VAR:SYMBOL=474184&amp;VAR:INDEX=0"}</definedName>
    <definedName name="_396__FDSAUDITLINK__" hidden="1">{"fdsup://directions/FAT%20Viewer?VAR:TM=NTMA&amp;VAR:PCT=0.800000&amp;VAR:Y0=2003&amp;VAR:Y1=2004&amp;VAR:V0=15.604338&amp;VAR:V1=13.568165&amp;VAR:V=15.149637&amp;VAR:AUDIT_ID=00000117&amp;VAR:DATE=20030314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Aggregates&amp;VAR:MEASURE=PE_MEAN&amp;VAR:CALC_MODE=PORTFOLIO&amp;VAR:CHGPERIOD=NA&amp;VAR:FQLFORMULA=FMA_PE&amp;VAR:CURRENCY=USD&amp;VAR:P=8","33.271850&amp;VAR:THRESH=||||||&amp;VAR:null=.html"}</definedName>
    <definedName name="_3960__FDSAUDITLINK__" hidden="1">{"fdsup://directions/FAT Viewer?action=UPDATE&amp;creator=factset&amp;DYN_ARGS=TRUE&amp;DOC_NAME=FAT:FQL_AUDITING_CLIENT_TEMPLATE.FAT&amp;display_string=Audit&amp;VAR:KEY=BCFCJCDITY&amp;VAR:QUERY=RkZfUkRfRVhQKENBTCw0MDE3OCwsLCwp&amp;WINDOW=FIRST_POPUP&amp;HEIGHT=450&amp;WIDTH=450&amp;START_MAXIMI","ZED=FALSE&amp;VAR:CALENDAR=US&amp;VAR:SYMBOL=474184&amp;VAR:INDEX=0"}</definedName>
    <definedName name="_3961__FDSAUDITLINK__" hidden="1">{"fdsup://directions/FAT Viewer?action=UPDATE&amp;creator=factset&amp;DYN_ARGS=TRUE&amp;DOC_NAME=FAT:FQL_AUDITING_CLIENT_TEMPLATE.FAT&amp;display_string=Audit&amp;VAR:KEY=RUVIBOLGPQ&amp;VAR:QUERY=RkZfUkRfRVhQKENBTCw0MDU0MywsLCwp&amp;WINDOW=FIRST_POPUP&amp;HEIGHT=450&amp;WIDTH=450&amp;START_MAXIMI","ZED=FALSE&amp;VAR:CALENDAR=US&amp;VAR:SYMBOL=B0J7D9&amp;VAR:INDEX=0"}</definedName>
    <definedName name="_3962__FDSAUDITLINK__" hidden="1">{"fdsup://directions/FAT Viewer?action=UPDATE&amp;creator=factset&amp;DYN_ARGS=TRUE&amp;DOC_NAME=FAT:FQL_AUDITING_CLIENT_TEMPLATE.FAT&amp;display_string=Audit&amp;VAR:KEY=ZSZUFATADA&amp;VAR:QUERY=RkZfUkRfRVhQKENBTCw0MDU0MywsLCwp&amp;WINDOW=FIRST_POPUP&amp;HEIGHT=450&amp;WIDTH=450&amp;START_MAXIMI","ZED=FALSE&amp;VAR:CALENDAR=US&amp;VAR:SYMBOL=AMGN&amp;VAR:INDEX=0"}</definedName>
    <definedName name="_3963__FDSAUDITLINK__" hidden="1">{"fdsup://directions/FAT Viewer?action=UPDATE&amp;creator=factset&amp;DYN_ARGS=TRUE&amp;DOC_NAME=FAT:FQL_AUDITING_CLIENT_TEMPLATE.FAT&amp;display_string=Audit&amp;VAR:KEY=NETMBUPAPS&amp;VAR:QUERY=RkZfUkRfRVhQKENBTCw0MDE3OCwsLCwp&amp;WINDOW=FIRST_POPUP&amp;HEIGHT=450&amp;WIDTH=450&amp;START_MAXIMI","ZED=FALSE&amp;VAR:CALENDAR=US&amp;VAR:SYMBOL=AMGN&amp;VAR:INDEX=0"}</definedName>
    <definedName name="_3964__FDSAUDITLINK__" hidden="1">{"fdsup://directions/FAT Viewer?action=UPDATE&amp;creator=factset&amp;DYN_ARGS=TRUE&amp;DOC_NAME=FAT:FQL_AUDITING_CLIENT_TEMPLATE.FAT&amp;display_string=Audit&amp;VAR:KEY=BWFKBKBAJS&amp;VAR:QUERY=RkZfUkRfRVhQKENBTCwzOTgxMywsLCwp&amp;WINDOW=FIRST_POPUP&amp;HEIGHT=450&amp;WIDTH=450&amp;START_MAXIMI","ZED=FALSE&amp;VAR:CALENDAR=US&amp;VAR:SYMBOL=AMGN&amp;VAR:INDEX=0"}</definedName>
    <definedName name="_3965__FDSAUDITLINK__" hidden="1">{"fdsup://directions/FAT Viewer?action=UPDATE&amp;creator=factset&amp;DYN_ARGS=TRUE&amp;DOC_NAME=FAT:FQL_AUDITING_CLIENT_TEMPLATE.FAT&amp;display_string=Audit&amp;VAR:KEY=LIRCBIRMZO&amp;VAR:QUERY=RkZfUkRfRVhQKENBTCw0MDU0MywsLCwp&amp;WINDOW=FIRST_POPUP&amp;HEIGHT=450&amp;WIDTH=450&amp;START_MAXIMI","ZED=FALSE&amp;VAR:CALENDAR=US&amp;VAR:SYMBOL=ABT&amp;VAR:INDEX=0"}</definedName>
    <definedName name="_3966__FDSAUDITLINK__" hidden="1">{"fdsup://directions/FAT Viewer?action=UPDATE&amp;creator=factset&amp;DYN_ARGS=TRUE&amp;DOC_NAME=FAT:FQL_AUDITING_CLIENT_TEMPLATE.FAT&amp;display_string=Audit&amp;VAR:KEY=FKDMVIHOJW&amp;VAR:QUERY=RkZfUkRfRVhQKENBTCw0MDE3OCwsLCwp&amp;WINDOW=FIRST_POPUP&amp;HEIGHT=450&amp;WIDTH=450&amp;START_MAXIMI","ZED=FALSE&amp;VAR:CALENDAR=US&amp;VAR:SYMBOL=ABT&amp;VAR:INDEX=0"}</definedName>
    <definedName name="_3967__FDSAUDITLINK__" hidden="1">{"fdsup://directions/FAT Viewer?action=UPDATE&amp;creator=factset&amp;DYN_ARGS=TRUE&amp;DOC_NAME=FAT:FQL_AUDITING_CLIENT_TEMPLATE.FAT&amp;display_string=Audit&amp;VAR:KEY=DEROHMZOBS&amp;VAR:QUERY=RkZfUkRfRVhQKENBTCwzOTgxMywsLCwp&amp;WINDOW=FIRST_POPUP&amp;HEIGHT=450&amp;WIDTH=450&amp;START_MAXIMI","ZED=FALSE&amp;VAR:CALENDAR=US&amp;VAR:SYMBOL=ABT&amp;VAR:INDEX=0"}</definedName>
    <definedName name="_3968__FDSAUDITLINK__" hidden="1">{"fdsup://directions/FAT Viewer?action=UPDATE&amp;creator=factset&amp;DYN_ARGS=TRUE&amp;DOC_NAME=FAT:FQL_AUDITING_CLIENT_TEMPLATE.FAT&amp;display_string=Audit&amp;VAR:KEY=JOTAHWPUXS&amp;VAR:QUERY=RkZfUkRfRVhQKENBTCw0MDU0MywsLCwp&amp;WINDOW=FIRST_POPUP&amp;HEIGHT=450&amp;WIDTH=450&amp;START_MAXIMI","ZED=FALSE&amp;VAR:CALENDAR=US&amp;VAR:SYMBOL=687044&amp;VAR:INDEX=0"}</definedName>
    <definedName name="_3969__FDSAUDITLINK__" hidden="1">{"fdsup://directions/FAT Viewer?action=UPDATE&amp;creator=factset&amp;DYN_ARGS=TRUE&amp;DOC_NAME=FAT:FQL_AUDITING_CLIENT_TEMPLATE.FAT&amp;display_string=Audit&amp;VAR:KEY=JSFKTSLWZU&amp;VAR:QUERY=RkZfUkRfRVhQKENBTCw0MDE3OCwsLCwp&amp;WINDOW=FIRST_POPUP&amp;HEIGHT=450&amp;WIDTH=450&amp;START_MAXIMI","ZED=FALSE&amp;VAR:CALENDAR=US&amp;VAR:SYMBOL=687044&amp;VAR:INDEX=0"}</definedName>
    <definedName name="_397__FDSAUDITLINK__" hidden="1">{"fdsup://directions/FAT%20Viewer?VAR:TM=NTMA&amp;VAR:PCT=0.819178&amp;VAR:Y0=2003&amp;VAR:Y1=2004&amp;VAR:V0=15.582909&amp;VAR:V1=13.505313&amp;VAR:V=15.161173&amp;VAR:AUDIT_ID=00000117&amp;VAR:DATE=20030307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Aggregates&amp;VAR:MEASURE=PE_MEAN&amp;VAR:CALC_MODE=PORTFOLIO&amp;VAR:CHGPERIOD=NA&amp;VAR:FQLFORMULA=FMA_PE&amp;VAR:CURRENCY=USD&amp;VAR:P=8","28.886540&amp;VAR:THRESH=||||||&amp;VAR:null=.html"}</definedName>
    <definedName name="_3970__FDSAUDITLINK__" hidden="1">{"fdsup://directions/FAT Viewer?action=UPDATE&amp;creator=factset&amp;DYN_ARGS=TRUE&amp;DOC_NAME=FAT:FQL_AUDITING_CLIENT_TEMPLATE.FAT&amp;display_string=Audit&amp;VAR:KEY=BWLSXWFQJQ&amp;VAR:QUERY=RkZfUkRfRVhQKENBTCwzOTgxMywsLCwp&amp;WINDOW=FIRST_POPUP&amp;HEIGHT=450&amp;WIDTH=450&amp;START_MAXIMI","ZED=FALSE&amp;VAR:CALENDAR=US&amp;VAR:SYMBOL=687044&amp;VAR:INDEX=0"}</definedName>
    <definedName name="_3971__FDSAUDITLINK__" hidden="1">{"fdsup://directions/FAT Viewer?action=UPDATE&amp;creator=factset&amp;DYN_ARGS=TRUE&amp;DOC_NAME=FAT:FQL_AUDITING_CLIENT_TEMPLATE.FAT&amp;display_string=Audit&amp;VAR:KEY=RQPKHUZILY&amp;VAR:QUERY=RkZfUkRfRVhQKENBTCw0MDU0MywsLCwp&amp;WINDOW=FIRST_POPUP&amp;HEIGHT=450&amp;WIDTH=450&amp;START_MAXIMI","ZED=FALSE&amp;VAR:CALENDAR=US&amp;VAR:SYMBOL=BMY&amp;VAR:INDEX=0"}</definedName>
    <definedName name="_3972__FDSAUDITLINK__" hidden="1">{"fdsup://directions/FAT Viewer?action=UPDATE&amp;creator=factset&amp;DYN_ARGS=TRUE&amp;DOC_NAME=FAT:FQL_AUDITING_CLIENT_TEMPLATE.FAT&amp;display_string=Audit&amp;VAR:KEY=ZKHEPOXWFO&amp;VAR:QUERY=RkZfUkRfRVhQKENBTCw0MDE3OCwsLCwp&amp;WINDOW=FIRST_POPUP&amp;HEIGHT=450&amp;WIDTH=450&amp;START_MAXIMI","ZED=FALSE&amp;VAR:CALENDAR=US&amp;VAR:SYMBOL=BMY&amp;VAR:INDEX=0"}</definedName>
    <definedName name="_3973__FDSAUDITLINK__" hidden="1">{"fdsup://directions/FAT Viewer?action=UPDATE&amp;creator=factset&amp;DYN_ARGS=TRUE&amp;DOC_NAME=FAT:FQL_AUDITING_CLIENT_TEMPLATE.FAT&amp;display_string=Audit&amp;VAR:KEY=NWVSBKDCPE&amp;VAR:QUERY=RkZfUkRfRVhQKENBTCwzOTgxMywsLCwp&amp;WINDOW=FIRST_POPUP&amp;HEIGHT=450&amp;WIDTH=450&amp;START_MAXIMI","ZED=FALSE&amp;VAR:CALENDAR=US&amp;VAR:SYMBOL=BMY&amp;VAR:INDEX=0"}</definedName>
    <definedName name="_3974__FDSAUDITLINK__" hidden="1">{"fdsup://directions/FAT Viewer?action=UPDATE&amp;creator=factset&amp;DYN_ARGS=TRUE&amp;DOC_NAME=FAT:FQL_AUDITING_CLIENT_TEMPLATE.FAT&amp;display_string=Audit&amp;VAR:KEY=BOHSRQTWRY&amp;VAR:QUERY=RkZfUkRfRVhQKENBTCw0MDU0MywsLCwp&amp;WINDOW=FIRST_POPUP&amp;HEIGHT=450&amp;WIDTH=450&amp;START_MAXIMI","ZED=FALSE&amp;VAR:CALENDAR=US&amp;VAR:SYMBOL=LLY&amp;VAR:INDEX=0"}</definedName>
    <definedName name="_3975__FDSAUDITLINK__" hidden="1">{"fdsup://directions/FAT Viewer?action=UPDATE&amp;creator=factset&amp;DYN_ARGS=TRUE&amp;DOC_NAME=FAT:FQL_AUDITING_CLIENT_TEMPLATE.FAT&amp;display_string=Audit&amp;VAR:KEY=BEDERGXQVO&amp;VAR:QUERY=RkZfUkRfRVhQKENBTCw0MDE3OCwsLCwp&amp;WINDOW=FIRST_POPUP&amp;HEIGHT=450&amp;WIDTH=450&amp;START_MAXIMI","ZED=FALSE&amp;VAR:CALENDAR=US&amp;VAR:SYMBOL=LLY&amp;VAR:INDEX=0"}</definedName>
    <definedName name="_3976__FDSAUDITLINK__" hidden="1">{"fdsup://directions/FAT Viewer?action=UPDATE&amp;creator=factset&amp;DYN_ARGS=TRUE&amp;DOC_NAME=FAT:FQL_AUDITING_CLIENT_TEMPLATE.FAT&amp;display_string=Audit&amp;VAR:KEY=RCRMLCNWPG&amp;VAR:QUERY=RkZfUkRfRVhQKENBTCwzOTgxMywsLCwp&amp;WINDOW=FIRST_POPUP&amp;HEIGHT=450&amp;WIDTH=450&amp;START_MAXIMI","ZED=FALSE&amp;VAR:CALENDAR=US&amp;VAR:SYMBOL=LLY&amp;VAR:INDEX=0"}</definedName>
    <definedName name="_3977__FDSAUDITLINK__" hidden="1">{"fdsup://directions/FAT Viewer?action=UPDATE&amp;creator=factset&amp;DYN_ARGS=TRUE&amp;DOC_NAME=FAT:FQL_AUDITING_CLIENT_TEMPLATE.FAT&amp;display_string=Audit&amp;VAR:KEY=HCLIXKLATC&amp;VAR:QUERY=RkZfUkRfRVhQKENBTCw0MDU0MywsLCwp&amp;WINDOW=FIRST_POPUP&amp;HEIGHT=450&amp;WIDTH=450&amp;START_MAXIMI","ZED=FALSE&amp;VAR:CALENDAR=US&amp;VAR:SYMBOL=506921&amp;VAR:INDEX=0"}</definedName>
    <definedName name="_3978__FDSAUDITLINK__" hidden="1">{"fdsup://directions/FAT Viewer?action=UPDATE&amp;creator=factset&amp;DYN_ARGS=TRUE&amp;DOC_NAME=FAT:FQL_AUDITING_CLIENT_TEMPLATE.FAT&amp;display_string=Audit&amp;VAR:KEY=ZSRUDMXUFC&amp;VAR:QUERY=RkZfUkRfRVhQKENBTCw0MDE3OCwsLCwp&amp;WINDOW=FIRST_POPUP&amp;HEIGHT=450&amp;WIDTH=450&amp;START_MAXIMI","ZED=FALSE&amp;VAR:CALENDAR=US&amp;VAR:SYMBOL=506921&amp;VAR:INDEX=0"}</definedName>
    <definedName name="_3979__FDSAUDITLINK__" hidden="1">{"fdsup://directions/FAT Viewer?action=UPDATE&amp;creator=factset&amp;DYN_ARGS=TRUE&amp;DOC_NAME=FAT:FQL_AUDITING_CLIENT_TEMPLATE.FAT&amp;display_string=Audit&amp;VAR:KEY=RAHQNINYXK&amp;VAR:QUERY=RkZfUkRfRVhQKENBTCwzOTgxMywsLCwp&amp;WINDOW=FIRST_POPUP&amp;HEIGHT=450&amp;WIDTH=450&amp;START_MAXIMI","ZED=FALSE&amp;VAR:CALENDAR=US&amp;VAR:SYMBOL=506921&amp;VAR:INDEX=0"}</definedName>
    <definedName name="_398__FDSAUDITLINK__" hidden="1">{"fdsup://directions/FAT%20Viewer?VAR:TM=NTMA&amp;VAR:PCT=0.838356&amp;VAR:Y0=2003&amp;VAR:Y1=2004&amp;VAR:V0=15.773850&amp;VAR:V1=13.661730&amp;VAR:V=15.389267&amp;VAR:AUDIT_ID=00000117&amp;VAR:DATE=20030228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Aggregates&amp;VAR:MEASURE=PE_MEAN&amp;VAR:CALC_MODE=PORTFOLIO&amp;VAR:CHGPERIOD=NA&amp;VAR:FQLFORMULA=FMA_PE&amp;VAR:CURRENCY=USD&amp;VAR:P=8","41.150200&amp;VAR:THRESH=||||||&amp;VAR:null=.html"}</definedName>
    <definedName name="_3980__FDSAUDITLINK__" hidden="1">{"fdsup://directions/FAT Viewer?action=UPDATE&amp;creator=factset&amp;DYN_ARGS=TRUE&amp;DOC_NAME=FAT:FQL_AUDITING_CLIENT_TEMPLATE.FAT&amp;display_string=Audit&amp;VAR:KEY=FINCFGZWNE&amp;VAR:QUERY=RkZfUkRfRVhQKENBTCw0MDU0MywsLCwp&amp;WINDOW=FIRST_POPUP&amp;HEIGHT=450&amp;WIDTH=450&amp;START_MAXIMI","ZED=FALSE&amp;VAR:CALENDAR=US&amp;VAR:SYMBOL=567173&amp;VAR:INDEX=0"}</definedName>
    <definedName name="_3981__FDSAUDITLINK__" hidden="1">{"fdsup://directions/FAT Viewer?action=UPDATE&amp;creator=factset&amp;DYN_ARGS=TRUE&amp;DOC_NAME=FAT:FQL_AUDITING_CLIENT_TEMPLATE.FAT&amp;display_string=Audit&amp;VAR:KEY=XKDWJCVMXO&amp;VAR:QUERY=RkZfUkRfRVhQKENBTCw0MDE3OCwsLCwp&amp;WINDOW=FIRST_POPUP&amp;HEIGHT=450&amp;WIDTH=450&amp;START_MAXIMI","ZED=FALSE&amp;VAR:CALENDAR=US&amp;VAR:SYMBOL=567173&amp;VAR:INDEX=0"}</definedName>
    <definedName name="_3982__FDSAUDITLINK__" hidden="1">{"fdsup://directions/FAT Viewer?action=UPDATE&amp;creator=factset&amp;DYN_ARGS=TRUE&amp;DOC_NAME=FAT:FQL_AUDITING_CLIENT_TEMPLATE.FAT&amp;display_string=Audit&amp;VAR:KEY=PGJGJQBYXO&amp;VAR:QUERY=RkZfUkRfRVhQKENBTCwzOTgxMywsLCwp&amp;WINDOW=FIRST_POPUP&amp;HEIGHT=450&amp;WIDTH=450&amp;START_MAXIMI","ZED=FALSE&amp;VAR:CALENDAR=US&amp;VAR:SYMBOL=567173&amp;VAR:INDEX=0"}</definedName>
    <definedName name="_3983__FDSAUDITLINK__" hidden="1">{"fdsup://directions/FAT Viewer?action=UPDATE&amp;creator=factset&amp;DYN_ARGS=TRUE&amp;DOC_NAME=FAT:FQL_AUDITING_CLIENT_TEMPLATE.FAT&amp;display_string=Audit&amp;VAR:KEY=LGVSXMXGRE&amp;VAR:QUERY=RkZfUkRfRVhQKENBTCw0MDU0MywsLCwp&amp;WINDOW=FIRST_POPUP&amp;HEIGHT=450&amp;WIDTH=450&amp;START_MAXIMI","ZED=FALSE&amp;VAR:CALENDAR=US&amp;VAR:SYMBOL=JNJ&amp;VAR:INDEX=0"}</definedName>
    <definedName name="_3984__FDSAUDITLINK__" hidden="1">{"fdsup://directions/FAT Viewer?action=UPDATE&amp;creator=factset&amp;DYN_ARGS=TRUE&amp;DOC_NAME=FAT:FQL_AUDITING_CLIENT_TEMPLATE.FAT&amp;display_string=Audit&amp;VAR:KEY=HIHGTUVWJM&amp;VAR:QUERY=RkZfUkRfRVhQKENBTCw0MDE3OCwsLCwp&amp;WINDOW=FIRST_POPUP&amp;HEIGHT=450&amp;WIDTH=450&amp;START_MAXIMI","ZED=FALSE&amp;VAR:CALENDAR=US&amp;VAR:SYMBOL=JNJ&amp;VAR:INDEX=0"}</definedName>
    <definedName name="_3985__FDSAUDITLINK__" hidden="1">{"fdsup://directions/FAT Viewer?action=UPDATE&amp;creator=factset&amp;DYN_ARGS=TRUE&amp;DOC_NAME=FAT:FQL_AUDITING_CLIENT_TEMPLATE.FAT&amp;display_string=Audit&amp;VAR:KEY=NQLIFKBKPW&amp;VAR:QUERY=RkZfUkRfRVhQKENBTCwzOTgxMywsLCwp&amp;WINDOW=FIRST_POPUP&amp;HEIGHT=450&amp;WIDTH=450&amp;START_MAXIMI","ZED=FALSE&amp;VAR:CALENDAR=US&amp;VAR:SYMBOL=JNJ&amp;VAR:INDEX=0"}</definedName>
    <definedName name="_3986__FDSAUDITLINK__" hidden="1">{"fdsup://directions/FAT Viewer?action=UPDATE&amp;creator=factset&amp;DYN_ARGS=TRUE&amp;DOC_NAME=FAT:FQL_AUDITING_CLIENT_TEMPLATE.FAT&amp;display_string=Audit&amp;VAR:KEY=LEFUXOTGLS&amp;VAR:QUERY=RkZfUkRfRVhQKENBTCw0MDU0MywsLCwp&amp;WINDOW=FIRST_POPUP&amp;HEIGHT=450&amp;WIDTH=450&amp;START_MAXIMI","ZED=FALSE&amp;VAR:CALENDAR=US&amp;VAR:SYMBOL=710306&amp;VAR:INDEX=0"}</definedName>
    <definedName name="_3987__FDSAUDITLINK__" hidden="1">{"fdsup://directions/FAT Viewer?action=UPDATE&amp;creator=factset&amp;DYN_ARGS=TRUE&amp;DOC_NAME=FAT:FQL_AUDITING_CLIENT_TEMPLATE.FAT&amp;display_string=Audit&amp;VAR:KEY=XUVINAFIPU&amp;VAR:QUERY=RkZfUkRfRVhQKENBTCw0MDE3OCwsLCwp&amp;WINDOW=FIRST_POPUP&amp;HEIGHT=450&amp;WIDTH=450&amp;START_MAXIMI","ZED=FALSE&amp;VAR:CALENDAR=US&amp;VAR:SYMBOL=710306&amp;VAR:INDEX=0"}</definedName>
    <definedName name="_3988__FDSAUDITLINK__" hidden="1">{"fdsup://directions/FAT Viewer?action=UPDATE&amp;creator=factset&amp;DYN_ARGS=TRUE&amp;DOC_NAME=FAT:FQL_AUDITING_CLIENT_TEMPLATE.FAT&amp;display_string=Audit&amp;VAR:KEY=HKXWJMJSZQ&amp;VAR:QUERY=RkZfUkRfRVhQKENBTCwzOTgxMywsLCwp&amp;WINDOW=FIRST_POPUP&amp;HEIGHT=450&amp;WIDTH=450&amp;START_MAXIMI","ZED=FALSE&amp;VAR:CALENDAR=US&amp;VAR:SYMBOL=710306&amp;VAR:INDEX=0"}</definedName>
    <definedName name="_3989__FDSAUDITLINK__" hidden="1">{"fdsup://directions/FAT Viewer?action=UPDATE&amp;creator=factset&amp;DYN_ARGS=TRUE&amp;DOC_NAME=FAT:FQL_AUDITING_CLIENT_TEMPLATE.FAT&amp;display_string=Audit&amp;VAR:KEY=JONIRWROFI&amp;VAR:QUERY=RkZfUkRfRVhQKENBTCwzOTQ0NywsLCwp&amp;WINDOW=FIRST_POPUP&amp;HEIGHT=450&amp;WIDTH=450&amp;START_MAXIMI","ZED=FALSE&amp;VAR:CALENDAR=US&amp;VAR:SYMBOL=710306&amp;VAR:INDEX=0"}</definedName>
    <definedName name="_399__FDSAUDITLINK__" hidden="1">{"fdsup://directions/FAT%20Viewer?VAR:TM=NTMA&amp;VAR:PCT=0.857534&amp;VAR:Y0=2003&amp;VAR:Y1=2004&amp;VAR:V0=15.902116&amp;VAR:V1=13.794832&amp;VAR:V=15.563411&amp;VAR:AUDIT_ID=00000117&amp;VAR:DATE=20030221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Aggregates&amp;VAR:MEASURE=PE_MEAN&amp;VAR:CALC_MODE=PORTFOLIO&amp;VAR:CHGPERIOD=NA&amp;VAR:FQLFORMULA=FMA_PE&amp;VAR:CURRENCY=USD&amp;VAR:P=8","48.170840&amp;VAR:THRESH=||||||&amp;VAR:null=.html"}</definedName>
    <definedName name="_3990__FDSAUDITLINK__" hidden="1">{"fdsup://directions/FAT Viewer?action=UPDATE&amp;creator=factset&amp;DYN_ARGS=TRUE&amp;DOC_NAME=FAT:FQL_AUDITING_CLIENT_TEMPLATE.FAT&amp;display_string=Audit&amp;VAR:KEY=BUHEBCVYDU&amp;VAR:QUERY=RkZfUkRfRVhQKENBTCw0MDU0MywsLCwp&amp;WINDOW=FIRST_POPUP&amp;HEIGHT=450&amp;WIDTH=450&amp;START_MAXIMI","ZED=FALSE&amp;VAR:CALENDAR=US&amp;VAR:SYMBOL=711038&amp;VAR:INDEX=0"}</definedName>
    <definedName name="_3991__FDSAUDITLINK__" hidden="1">{"fdsup://directions/FAT Viewer?action=UPDATE&amp;creator=factset&amp;DYN_ARGS=TRUE&amp;DOC_NAME=FAT:FQL_AUDITING_CLIENT_TEMPLATE.FAT&amp;display_string=Audit&amp;VAR:KEY=HATKVKBWZI&amp;VAR:QUERY=RkZfUkRfRVhQKENBTCw0MDE3OCwsLCwp&amp;WINDOW=FIRST_POPUP&amp;HEIGHT=450&amp;WIDTH=450&amp;START_MAXIMI","ZED=FALSE&amp;VAR:CALENDAR=US&amp;VAR:SYMBOL=711038&amp;VAR:INDEX=0"}</definedName>
    <definedName name="_3992__FDSAUDITLINK__" hidden="1">{"fdsup://directions/FAT Viewer?action=UPDATE&amp;creator=factset&amp;DYN_ARGS=TRUE&amp;DOC_NAME=FAT:FQL_AUDITING_CLIENT_TEMPLATE.FAT&amp;display_string=Audit&amp;VAR:KEY=XUXGPIZETA&amp;VAR:QUERY=RkZfUkRfRVhQKENBTCwzOTgxMywsLCwp&amp;WINDOW=FIRST_POPUP&amp;HEIGHT=450&amp;WIDTH=450&amp;START_MAXIMI","ZED=FALSE&amp;VAR:CALENDAR=US&amp;VAR:SYMBOL=711038&amp;VAR:INDEX=0"}</definedName>
    <definedName name="_3993__FDSAUDITLINK__" hidden="1">{"fdsup://directions/FAT Viewer?action=UPDATE&amp;creator=factset&amp;DYN_ARGS=TRUE&amp;DOC_NAME=FAT:FQL_AUDITING_CLIENT_TEMPLATE.FAT&amp;display_string=Audit&amp;VAR:KEY=JGLQLQPQDK&amp;VAR:QUERY=RkZfUkRfRVhQKENBTCw0MDU0MywsLCwp&amp;WINDOW=FIRST_POPUP&amp;HEIGHT=450&amp;WIDTH=450&amp;START_MAXIMI","ZED=FALSE&amp;VAR:CALENDAR=US&amp;VAR:SYMBOL=MRK&amp;VAR:INDEX=0"}</definedName>
    <definedName name="_3994__FDSAUDITLINK__" hidden="1">{"fdsup://directions/FAT Viewer?action=UPDATE&amp;creator=factset&amp;DYN_ARGS=TRUE&amp;DOC_NAME=FAT:FQL_AUDITING_CLIENT_TEMPLATE.FAT&amp;display_string=Audit&amp;VAR:KEY=BMVWPEJELU&amp;VAR:QUERY=RkZfUkRfRVhQKENBTCwzOTgxMywsLCwp&amp;WINDOW=FIRST_POPUP&amp;HEIGHT=450&amp;WIDTH=450&amp;START_MAXIMI","ZED=FALSE&amp;VAR:CALENDAR=US&amp;VAR:SYMBOL=MRK&amp;VAR:INDEX=0"}</definedName>
    <definedName name="_3995__FDSAUDITLINK__" hidden="1">{"fdsup://directions/FAT Viewer?action=UPDATE&amp;creator=factset&amp;DYN_ARGS=TRUE&amp;DOC_NAME=FAT:FQL_AUDITING_CLIENT_TEMPLATE.FAT&amp;display_string=Audit&amp;VAR:KEY=RULMZELIXK&amp;VAR:QUERY=RkZfUkRfRVhQKENBTCw0MDU0MywsLCwp&amp;WINDOW=FIRST_POPUP&amp;HEIGHT=450&amp;WIDTH=450&amp;START_MAXIMI","ZED=FALSE&amp;VAR:CALENDAR=US&amp;VAR:SYMBOL=PFE&amp;VAR:INDEX=0"}</definedName>
    <definedName name="_3996__FDSAUDITLINK__" hidden="1">{"fdsup://directions/FAT Viewer?action=UPDATE&amp;creator=factset&amp;DYN_ARGS=TRUE&amp;DOC_NAME=FAT:FQL_AUDITING_CLIENT_TEMPLATE.FAT&amp;display_string=Audit&amp;VAR:KEY=XAFSTKHGNY&amp;VAR:QUERY=RkZfUkRfRVhQKENBTCwzOTgxMywsLCwp&amp;WINDOW=FIRST_POPUP&amp;HEIGHT=450&amp;WIDTH=450&amp;START_MAXIMI","ZED=FALSE&amp;VAR:CALENDAR=US&amp;VAR:SYMBOL=PFE&amp;VAR:INDEX=0"}</definedName>
    <definedName name="_3997__FDSAUDITLINK__" hidden="1">{"fdsup://Directions/FactSet Auditing Viewer?action=AUDIT_VALUE&amp;DB=129&amp;ID1=36871040&amp;VALUEID=01001&amp;SDATE=200804&amp;PERIODTYPE=QTR_STD&amp;SCFT=3&amp;window=popup_no_bar&amp;width=385&amp;height=120&amp;START_MAXIMIZED=FALSE&amp;creator=factset&amp;display_string=Audit"}</definedName>
    <definedName name="_3998__FDSAUDITLINK__" hidden="1">{"fdsup://Directions/FactSet Auditing Viewer?action=AUDIT_VALUE&amp;DB=129&amp;ID1=36871040&amp;VALUEID=01001&amp;SDATE=200803&amp;PERIODTYPE=QTR_STD&amp;SCFT=3&amp;window=popup_no_bar&amp;width=385&amp;height=120&amp;START_MAXIMIZED=FALSE&amp;creator=factset&amp;display_string=Audit"}</definedName>
    <definedName name="_3999__FDSAUDITLINK__" hidden="1">{"fdsup://Directions/FactSet Auditing Viewer?action=AUDIT_VALUE&amp;DB=129&amp;ID1=36871040&amp;VALUEID=01001&amp;SDATE=200802&amp;PERIODTYPE=QTR_STD&amp;SCFT=3&amp;window=popup_no_bar&amp;width=385&amp;height=120&amp;START_MAXIMIZED=FALSE&amp;creator=factset&amp;display_string=Audit"}</definedName>
    <definedName name="_4__FDSAUDITLINK__" hidden="1">{"fdsup://directions/FAT%20Viewer?VAR:TM=NTMA&amp;VAR:PCT=0.287671&amp;VAR:Y0=2010&amp;VAR:Y1=2011&amp;VAR:V0=13.473859&amp;VAR:V1=11.749004&amp;VAR:V=12.198218&amp;VAR:AUDIT_ID=00000117&amp;VAR:DATE=20100917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Aggregates&amp;VAR:MEASURE=PE_MEAN&amp;VAR:CALC_MODE=PORTFOLIO&amp;VAR:CHGPERIOD=NA&amp;VAR:FQLFORMULA=FMA_PE&amp;VAR:CURRENCY=USD&amp;VAR:P=1","125.592464&amp;VAR:THRESH=||||||&amp;VAR:null=.html"}</definedName>
    <definedName name="_40__FDSAUDITLINK__" hidden="1">{"fdsup://directions/FAT%20Viewer?VAR:TM=NTMA&amp;VAR:PCT=0.978082&amp;VAR:Y0=2010&amp;VAR:Y1=2011&amp;VAR:V0=14.623482&amp;VAR:V1=12.088464&amp;VAR:V=14.556576&amp;VAR:AUDIT_ID=00000117&amp;VAR:DATE=20100108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Aggregates&amp;VAR:MEASURE=PE_MEAN&amp;VAR:CALC_MODE=PORTFOLIO&amp;VAR:CHGPERIOD=NA&amp;VAR:FQLFORMULA=FMA_PE&amp;VAR:CURRENCY=USD&amp;VAR:P=1","144.983058&amp;VAR:THRESH=||||||&amp;VAR:null=.html"}</definedName>
    <definedName name="_400__FDSAUDITLINK__" hidden="1">{"fdsup://directions/FAT%20Viewer?VAR:TM=NTMA&amp;VAR:PCT=0.876712&amp;VAR:Y0=2003&amp;VAR:Y1=2004&amp;VAR:V0=15.631350&amp;VAR:V1=13.573086&amp;VAR:V=15.344474&amp;VAR:AUDIT_ID=00000117&amp;VAR:DATE=20030214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Aggregates&amp;VAR:MEASURE=PE_MEAN&amp;VAR:CALC_MODE=PORTFOLIO&amp;VAR:CHGPERIOD=NA&amp;VAR:FQLFORMULA=FMA_PE&amp;VAR:CURRENCY=USD&amp;VAR:P=8","34.885440&amp;VAR:THRESH=||||||&amp;VAR:null=.html"}</definedName>
    <definedName name="_4000__FDSAUDITLINK__" hidden="1">{"fdsup://Directions/FactSet Auditing Viewer?action=AUDIT_VALUE&amp;DB=129&amp;ID1=36871040&amp;VALUEID=01001&amp;SDATE=200801&amp;PERIODTYPE=QTR_STD&amp;SCFT=3&amp;window=popup_no_bar&amp;width=385&amp;height=120&amp;START_MAXIMIZED=FALSE&amp;creator=factset&amp;display_string=Audit"}</definedName>
    <definedName name="_4001__FDSAUDITLINK__" hidden="1">{"fdsup://Directions/FactSet Auditing Viewer?action=AUDIT_VALUE&amp;DB=129&amp;ID1=36871040&amp;VALUEID=01001&amp;SDATE=200704&amp;PERIODTYPE=QTR_STD&amp;SCFT=3&amp;window=popup_no_bar&amp;width=385&amp;height=120&amp;START_MAXIMIZED=FALSE&amp;creator=factset&amp;display_string=Audit"}</definedName>
    <definedName name="_4002__FDSAUDITLINK__" hidden="1">{"fdsup://Directions/FactSet Auditing Viewer?action=AUDIT_VALUE&amp;DB=129&amp;ID1=36871040&amp;VALUEID=01001&amp;SDATE=200703&amp;PERIODTYPE=QTR_STD&amp;SCFT=3&amp;window=popup_no_bar&amp;width=385&amp;height=120&amp;START_MAXIMIZED=FALSE&amp;creator=factset&amp;display_string=Audit"}</definedName>
    <definedName name="_4003__FDSAUDITLINK__" hidden="1">{"fdsup://Directions/FactSet Auditing Viewer?action=AUDIT_VALUE&amp;DB=129&amp;ID1=36871040&amp;VALUEID=01001&amp;SDATE=200702&amp;PERIODTYPE=QTR_STD&amp;SCFT=3&amp;window=popup_no_bar&amp;width=385&amp;height=120&amp;START_MAXIMIZED=FALSE&amp;creator=factset&amp;display_string=Audit"}</definedName>
    <definedName name="_4004__FDSAUDITLINK__" hidden="1">{"fdsup://Directions/FactSet Auditing Viewer?action=AUDIT_VALUE&amp;DB=129&amp;ID1=36871040&amp;VALUEID=01001&amp;SDATE=200701&amp;PERIODTYPE=QTR_STD&amp;SCFT=3&amp;window=popup_no_bar&amp;width=385&amp;height=120&amp;START_MAXIMIZED=FALSE&amp;creator=factset&amp;display_string=Audit"}</definedName>
    <definedName name="_4005__FDSAUDITLINK__" hidden="1">{"fdsup://Directions/FactSet Auditing Viewer?action=AUDIT_VALUE&amp;DB=129&amp;ID1=98302410&amp;VALUEID=01001&amp;SDATE=200902&amp;PERIODTYPE=QTR_STD&amp;SCFT=3&amp;window=popup_no_bar&amp;width=385&amp;height=120&amp;START_MAXIMIZED=FALSE&amp;creator=factset&amp;display_string=Audit"}</definedName>
    <definedName name="_4006__FDSAUDITLINK__" hidden="1">{"fdsup://Directions/FactSet Auditing Viewer?action=AUDIT_VALUE&amp;DB=129&amp;ID1=98302410&amp;VALUEID=01001&amp;SDATE=200901&amp;PERIODTYPE=QTR_STD&amp;SCFT=3&amp;window=popup_no_bar&amp;width=385&amp;height=120&amp;START_MAXIMIZED=FALSE&amp;creator=factset&amp;display_string=Audit"}</definedName>
    <definedName name="_4007__FDSAUDITLINK__" hidden="1">{"fdsup://Directions/FactSet Auditing Viewer?action=AUDIT_VALUE&amp;DB=129&amp;ID1=98302410&amp;VALUEID=01001&amp;SDATE=200804&amp;PERIODTYPE=QTR_STD&amp;SCFT=3&amp;window=popup_no_bar&amp;width=385&amp;height=120&amp;START_MAXIMIZED=FALSE&amp;creator=factset&amp;display_string=Audit"}</definedName>
    <definedName name="_4008__FDSAUDITLINK__" hidden="1">{"fdsup://Directions/FactSet Auditing Viewer?action=AUDIT_VALUE&amp;DB=129&amp;ID1=98302410&amp;VALUEID=01001&amp;SDATE=200803&amp;PERIODTYPE=QTR_STD&amp;SCFT=3&amp;window=popup_no_bar&amp;width=385&amp;height=120&amp;START_MAXIMIZED=FALSE&amp;creator=factset&amp;display_string=Audit"}</definedName>
    <definedName name="_4009__FDSAUDITLINK__" hidden="1">{"fdsup://Directions/FactSet Auditing Viewer?action=AUDIT_VALUE&amp;DB=129&amp;ID1=98302410&amp;VALUEID=01001&amp;SDATE=200802&amp;PERIODTYPE=QTR_STD&amp;SCFT=3&amp;window=popup_no_bar&amp;width=385&amp;height=120&amp;START_MAXIMIZED=FALSE&amp;creator=factset&amp;display_string=Audit"}</definedName>
    <definedName name="_401__FDSAUDITLINK__" hidden="1">{"fdsup://directions/FAT%20Viewer?VAR:TM=NTMA&amp;VAR:PCT=0.895890&amp;VAR:Y0=2003&amp;VAR:Y1=2004&amp;VAR:V0=15.509253&amp;VAR:V1=13.508102&amp;VAR:V=15.273683&amp;VAR:AUDIT_ID=00000117&amp;VAR:DATE=20030207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Aggregates&amp;VAR:MEASURE=PE_MEAN&amp;VAR:CALC_MODE=PORTFOLIO&amp;VAR:CHGPERIOD=NA&amp;VAR:FQLFORMULA=FMA_PE&amp;VAR:CURRENCY=USD&amp;VAR:P=8","29.691800&amp;VAR:THRESH=||||||&amp;VAR:null=.html"}</definedName>
    <definedName name="_4010__FDSAUDITLINK__" hidden="1">{"fdsup://Directions/FactSet Auditing Viewer?action=AUDIT_VALUE&amp;DB=129&amp;ID1=98302410&amp;VALUEID=01001&amp;SDATE=200801&amp;PERIODTYPE=QTR_STD&amp;SCFT=3&amp;window=popup_no_bar&amp;width=385&amp;height=120&amp;START_MAXIMIZED=FALSE&amp;creator=factset&amp;display_string=Audit"}</definedName>
    <definedName name="_4011__FDSAUDITLINK__" hidden="1">{"fdsup://Directions/FactSet Auditing Viewer?action=AUDIT_VALUE&amp;DB=129&amp;ID1=98302410&amp;VALUEID=01001&amp;SDATE=200704&amp;PERIODTYPE=QTR_STD&amp;SCFT=3&amp;window=popup_no_bar&amp;width=385&amp;height=120&amp;START_MAXIMIZED=FALSE&amp;creator=factset&amp;display_string=Audit"}</definedName>
    <definedName name="_4012__FDSAUDITLINK__" hidden="1">{"fdsup://Directions/FactSet Auditing Viewer?action=AUDIT_VALUE&amp;DB=129&amp;ID1=98302410&amp;VALUEID=01001&amp;SDATE=200703&amp;PERIODTYPE=QTR_STD&amp;SCFT=3&amp;window=popup_no_bar&amp;width=385&amp;height=120&amp;START_MAXIMIZED=FALSE&amp;creator=factset&amp;display_string=Audit"}</definedName>
    <definedName name="_4013__FDSAUDITLINK__" hidden="1">{"fdsup://Directions/FactSet Auditing Viewer?action=AUDIT_VALUE&amp;DB=129&amp;ID1=80660510&amp;VALUEID=01001&amp;SDATE=200903&amp;PERIODTYPE=QTR_STD&amp;SCFT=3&amp;window=popup_no_bar&amp;width=385&amp;height=120&amp;START_MAXIMIZED=FALSE&amp;creator=factset&amp;display_string=Audit"}</definedName>
    <definedName name="_4014__FDSAUDITLINK__" hidden="1">{"fdsup://Directions/FactSet Auditing Viewer?action=AUDIT_VALUE&amp;DB=129&amp;ID1=80660510&amp;VALUEID=01001&amp;SDATE=200902&amp;PERIODTYPE=QTR_STD&amp;SCFT=3&amp;window=popup_no_bar&amp;width=385&amp;height=120&amp;START_MAXIMIZED=FALSE&amp;creator=factset&amp;display_string=Audit"}</definedName>
    <definedName name="_4015__FDSAUDITLINK__" hidden="1">{"fdsup://Directions/FactSet Auditing Viewer?action=AUDIT_VALUE&amp;DB=129&amp;ID1=80660510&amp;VALUEID=01001&amp;SDATE=200804&amp;PERIODTYPE=QTR_STD&amp;SCFT=3&amp;window=popup_no_bar&amp;width=385&amp;height=120&amp;START_MAXIMIZED=FALSE&amp;creator=factset&amp;display_string=Audit"}</definedName>
    <definedName name="_4016__FDSAUDITLINK__" hidden="1">{"fdsup://Directions/FactSet Auditing Viewer?action=AUDIT_VALUE&amp;DB=129&amp;ID1=80660510&amp;VALUEID=01001&amp;SDATE=200803&amp;PERIODTYPE=QTR_STD&amp;SCFT=3&amp;window=popup_no_bar&amp;width=385&amp;height=120&amp;START_MAXIMIZED=FALSE&amp;creator=factset&amp;display_string=Audit"}</definedName>
    <definedName name="_4017__FDSAUDITLINK__" hidden="1">{"fdsup://Directions/FactSet Auditing Viewer?action=AUDIT_VALUE&amp;DB=129&amp;ID1=80660510&amp;VALUEID=01001&amp;SDATE=200802&amp;PERIODTYPE=QTR_STD&amp;SCFT=3&amp;window=popup_no_bar&amp;width=385&amp;height=120&amp;START_MAXIMIZED=FALSE&amp;creator=factset&amp;display_string=Audit"}</definedName>
    <definedName name="_4018__FDSAUDITLINK__" hidden="1">{"fdsup://Directions/FactSet Auditing Viewer?action=AUDIT_VALUE&amp;DB=129&amp;ID1=80660510&amp;VALUEID=01001&amp;SDATE=200801&amp;PERIODTYPE=QTR_STD&amp;SCFT=3&amp;window=popup_no_bar&amp;width=385&amp;height=120&amp;START_MAXIMIZED=FALSE&amp;creator=factset&amp;display_string=Audit"}</definedName>
    <definedName name="_4019__FDSAUDITLINK__" hidden="1">{"fdsup://Directions/FactSet Auditing Viewer?action=AUDIT_VALUE&amp;DB=129&amp;ID1=80660510&amp;VALUEID=01001&amp;SDATE=200704&amp;PERIODTYPE=QTR_STD&amp;SCFT=3&amp;window=popup_no_bar&amp;width=385&amp;height=120&amp;START_MAXIMIZED=FALSE&amp;creator=factset&amp;display_string=Audit"}</definedName>
    <definedName name="_402__FDSAUDITLINK__" hidden="1">{"fdsup://directions/FAT%20Viewer?VAR:TM=NTMA&amp;VAR:PCT=0.915068&amp;VAR:Y0=2003&amp;VAR:Y1=2004&amp;VAR:V0=15.916362&amp;VAR:V1=13.919147&amp;VAR:V=15.724732&amp;VAR:AUDIT_ID=00000117&amp;VAR:DATE=20030131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Aggregates&amp;VAR:MEASURE=PE_MEAN&amp;VAR:CALC_MODE=PORTFOLIO&amp;VAR:CHGPERIOD=NA&amp;VAR:FQLFORMULA=FMA_PE&amp;VAR:CURRENCY=USD&amp;VAR:P=8","55.699900&amp;VAR:THRESH=||||||&amp;VAR:null=.html"}</definedName>
    <definedName name="_4020__FDSAUDITLINK__" hidden="1">{"fdsup://directions/FAT Viewer?action=UPDATE&amp;creator=factset&amp;DYN_ARGS=TRUE&amp;DOC_NAME=FAT:FQL_AUDITING_CLIENT_TEMPLATE.FAT&amp;display_string=Audit&amp;VAR:KEY=PSFYRIZWZC&amp;VAR:QUERY=RkZfU0FMRVMoQ0FMLDQwNTQzLCwsLFVTRCk=&amp;WINDOW=FIRST_POPUP&amp;HEIGHT=450&amp;WIDTH=450&amp;START_MA","XIMIZED=FALSE&amp;VAR:CALENDAR=US&amp;VAR:SYMBOL=BIIB&amp;VAR:INDEX=0"}</definedName>
    <definedName name="_4021__FDSAUDITLINK__" hidden="1">{"fdsup://directions/FAT Viewer?action=UPDATE&amp;creator=factset&amp;DYN_ARGS=TRUE&amp;DOC_NAME=FAT:FQL_AUDITING_CLIENT_TEMPLATE.FAT&amp;display_string=Audit&amp;VAR:KEY=PYFKPQPOHY&amp;VAR:QUERY=RkZfU0FMRVMoQ0FMLDQwNTQzLCwsLCk=&amp;WINDOW=FIRST_POPUP&amp;HEIGHT=450&amp;WIDTH=450&amp;START_MAXIMI","ZED=FALSE&amp;VAR:CALENDAR=US&amp;VAR:SYMBOL=BIIB&amp;VAR:INDEX=0"}</definedName>
    <definedName name="_4022__FDSAUDITLINK__" hidden="1">{"fdsup://directions/FAT Viewer?action=UPDATE&amp;creator=factset&amp;DYN_ARGS=TRUE&amp;DOC_NAME=FAT:FQL_AUDITING_CLIENT_TEMPLATE.FAT&amp;display_string=Audit&amp;VAR:KEY=ZQLUZKTERW&amp;VAR:QUERY=RkZfU0FMRVMoQ0FMLDQwMTc4LCwsLCk=&amp;WINDOW=FIRST_POPUP&amp;HEIGHT=450&amp;WIDTH=450&amp;START_MAXIMI","ZED=FALSE&amp;VAR:CALENDAR=US&amp;VAR:SYMBOL=BIIB&amp;VAR:INDEX=0"}</definedName>
    <definedName name="_4023__FDSAUDITLINK__" hidden="1">{"fdsup://directions/FAT Viewer?action=UPDATE&amp;creator=factset&amp;DYN_ARGS=TRUE&amp;DOC_NAME=FAT:FQL_AUDITING_CLIENT_TEMPLATE.FAT&amp;display_string=Audit&amp;VAR:KEY=XOLSHCXGBA&amp;VAR:QUERY=RkZfU0FMRVMoQ0FMLDM5ODEzLCwsLCk=&amp;WINDOW=FIRST_POPUP&amp;HEIGHT=450&amp;WIDTH=450&amp;START_MAXIMI","ZED=FALSE&amp;VAR:CALENDAR=US&amp;VAR:SYMBOL=BIIB&amp;VAR:INDEX=0"}</definedName>
    <definedName name="_4024__FDSAUDITLINK__" hidden="1">{"fdsup://directions/FAT Viewer?action=UPDATE&amp;creator=factset&amp;DYN_ARGS=TRUE&amp;DOC_NAME=FAT:FQL_AUDITING_CLIENT_TEMPLATE.FAT&amp;display_string=Audit&amp;VAR:KEY=FULAJKBUXO&amp;VAR:QUERY=RkZfU0FMRVMoQ0FMLDQwNTQzLCwsLFVTRCk=&amp;WINDOW=FIRST_POPUP&amp;HEIGHT=450&amp;WIDTH=450&amp;START_MA","XIMIZED=FALSE&amp;VAR:CALENDAR=US&amp;VAR:SYMBOL=707752&amp;VAR:INDEX=0"}</definedName>
    <definedName name="_4025__FDSAUDITLINK__" hidden="1">{"fdsup://directions/FAT Viewer?action=UPDATE&amp;creator=factset&amp;DYN_ARGS=TRUE&amp;DOC_NAME=FAT:FQL_AUDITING_CLIENT_TEMPLATE.FAT&amp;display_string=Audit&amp;VAR:KEY=PWBSNCLCBA&amp;VAR:QUERY=RkZfU0FMRVMoQ0FMLDQwNTQzLCwsLCk=&amp;WINDOW=FIRST_POPUP&amp;HEIGHT=450&amp;WIDTH=450&amp;START_MAXIMI","ZED=FALSE&amp;VAR:CALENDAR=US&amp;VAR:SYMBOL=707752&amp;VAR:INDEX=0"}</definedName>
    <definedName name="_4026__FDSAUDITLINK__" hidden="1">{"fdsup://directions/FAT Viewer?action=UPDATE&amp;creator=factset&amp;DYN_ARGS=TRUE&amp;DOC_NAME=FAT:FQL_AUDITING_CLIENT_TEMPLATE.FAT&amp;display_string=Audit&amp;VAR:KEY=LUHEVWHCDE&amp;VAR:QUERY=RkZfU0FMRVMoQ0FMLDQwMTc4LCwsLCk=&amp;WINDOW=FIRST_POPUP&amp;HEIGHT=450&amp;WIDTH=450&amp;START_MAXIMI","ZED=FALSE&amp;VAR:CALENDAR=US&amp;VAR:SYMBOL=707752&amp;VAR:INDEX=0"}</definedName>
    <definedName name="_4027__FDSAUDITLINK__" hidden="1">{"fdsup://directions/FAT Viewer?action=UPDATE&amp;creator=factset&amp;DYN_ARGS=TRUE&amp;DOC_NAME=FAT:FQL_AUDITING_CLIENT_TEMPLATE.FAT&amp;display_string=Audit&amp;VAR:KEY=JWVKFOHATC&amp;VAR:QUERY=RkZfU0FMRVMoQ0FMLDM5ODEzLCwsLCk=&amp;WINDOW=FIRST_POPUP&amp;HEIGHT=450&amp;WIDTH=450&amp;START_MAXIMI","ZED=FALSE&amp;VAR:CALENDAR=US&amp;VAR:SYMBOL=707752&amp;VAR:INDEX=0"}</definedName>
    <definedName name="_4028__FDSAUDITLINK__" hidden="1">{"fdsup://directions/FAT Viewer?action=UPDATE&amp;creator=factset&amp;DYN_ARGS=TRUE&amp;DOC_NAME=FAT:FQL_AUDITING_CLIENT_TEMPLATE.FAT&amp;display_string=Audit&amp;VAR:KEY=RIBWDWRERQ&amp;VAR:QUERY=RkZfU0FMRVMoQ0FMLDQwNTQzLCwsLFVTRCk=&amp;WINDOW=FIRST_POPUP&amp;HEIGHT=450&amp;WIDTH=450&amp;START_MA","XIMIZED=FALSE&amp;VAR:CALENDAR=US&amp;VAR:SYMBOL=630720&amp;VAR:INDEX=0"}</definedName>
    <definedName name="_4029__FDSAUDITLINK__" hidden="1">{"fdsup://directions/FAT Viewer?action=UPDATE&amp;creator=factset&amp;DYN_ARGS=TRUE&amp;DOC_NAME=FAT:FQL_AUDITING_CLIENT_TEMPLATE.FAT&amp;display_string=Audit&amp;VAR:KEY=XQPUJIHOVS&amp;VAR:QUERY=RkZfU0FMRVMoQ0FMLDQwNTQzLCwsLCk=&amp;WINDOW=FIRST_POPUP&amp;HEIGHT=450&amp;WIDTH=450&amp;START_MAXIMI","ZED=FALSE&amp;VAR:CALENDAR=US&amp;VAR:SYMBOL=630720&amp;VAR:INDEX=0"}</definedName>
    <definedName name="_403__FDSAUDITLINK__" hidden="1">{"fdsup://directions/FAT%20Viewer?VAR:TM=NTMA&amp;VAR:PCT=0.934247&amp;VAR:Y0=2003&amp;VAR:Y1=2004&amp;VAR:V0=15.888284&amp;VAR:V1=13.903700&amp;VAR:V=15.740551&amp;VAR:AUDIT_ID=00000117&amp;VAR:DATE=20030124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Aggregates&amp;VAR:MEASURE=PE_MEAN&amp;VAR:CALC_MODE=PORTFOLIO&amp;VAR:CHGPERIOD=NA&amp;VAR:FQLFORMULA=FMA_PE&amp;VAR:CURRENCY=USD&amp;VAR:P=8","61.402000&amp;VAR:THRESH=||||||&amp;VAR:null=.html"}</definedName>
    <definedName name="_4030__FDSAUDITLINK__" hidden="1">{"fdsup://directions/FAT Viewer?action=UPDATE&amp;creator=factset&amp;DYN_ARGS=TRUE&amp;DOC_NAME=FAT:FQL_AUDITING_CLIENT_TEMPLATE.FAT&amp;display_string=Audit&amp;VAR:KEY=ZEHGRSXYRY&amp;VAR:QUERY=RkZfU0FMRVMoQ0FMLDQwMTc4LCwsLCk=&amp;WINDOW=FIRST_POPUP&amp;HEIGHT=450&amp;WIDTH=450&amp;START_MAXIMI","ZED=FALSE&amp;VAR:CALENDAR=US&amp;VAR:SYMBOL=630720&amp;VAR:INDEX=0"}</definedName>
    <definedName name="_4031__FDSAUDITLINK__" hidden="1">{"fdsup://directions/FAT Viewer?action=UPDATE&amp;creator=factset&amp;DYN_ARGS=TRUE&amp;DOC_NAME=FAT:FQL_AUDITING_CLIENT_TEMPLATE.FAT&amp;display_string=Audit&amp;VAR:KEY=HADCZKLKPY&amp;VAR:QUERY=RkZfU0FMRVMoQ0FMLDM5ODEzLCwsLCk=&amp;WINDOW=FIRST_POPUP&amp;HEIGHT=450&amp;WIDTH=450&amp;START_MAXIMI","ZED=FALSE&amp;VAR:CALENDAR=US&amp;VAR:SYMBOL=630720&amp;VAR:INDEX=0"}</definedName>
    <definedName name="_4032__FDSAUDITLINK__" hidden="1">{"fdsup://directions/FAT Viewer?action=UPDATE&amp;creator=factset&amp;DYN_ARGS=TRUE&amp;DOC_NAME=FAT:FQL_AUDITING_CLIENT_TEMPLATE.FAT&amp;display_string=Audit&amp;VAR:KEY=HGDSFIHCJA&amp;VAR:QUERY=RkZfU0FMRVMoQ0FMLDQwNTQzLCwsLFVTRCk=&amp;WINDOW=FIRST_POPUP&amp;HEIGHT=450&amp;WIDTH=450&amp;START_MA","XIMIZED=FALSE&amp;VAR:CALENDAR=US&amp;VAR:SYMBOL=698538&amp;VAR:INDEX=0"}</definedName>
    <definedName name="_4033__FDSAUDITLINK__" hidden="1">{"fdsup://directions/FAT Viewer?action=UPDATE&amp;creator=factset&amp;DYN_ARGS=TRUE&amp;DOC_NAME=FAT:FQL_AUDITING_CLIENT_TEMPLATE.FAT&amp;display_string=Audit&amp;VAR:KEY=RWZSTULEFE&amp;VAR:QUERY=RkZfU0FMRVMoQ0FMLDQwNTQzLCwsLCk=&amp;WINDOW=FIRST_POPUP&amp;HEIGHT=450&amp;WIDTH=450&amp;START_MAXIMI","ZED=FALSE&amp;VAR:CALENDAR=US&amp;VAR:SYMBOL=698538&amp;VAR:INDEX=0"}</definedName>
    <definedName name="_4034__FDSAUDITLINK__" hidden="1">{"fdsup://directions/FAT Viewer?action=UPDATE&amp;creator=factset&amp;DYN_ARGS=TRUE&amp;DOC_NAME=FAT:FQL_AUDITING_CLIENT_TEMPLATE.FAT&amp;display_string=Audit&amp;VAR:KEY=XENCRATKNY&amp;VAR:QUERY=RkZfU0FMRVMoQ0FMLDQwMTc4LCwsLCk=&amp;WINDOW=FIRST_POPUP&amp;HEIGHT=450&amp;WIDTH=450&amp;START_MAXIMI","ZED=FALSE&amp;VAR:CALENDAR=US&amp;VAR:SYMBOL=698538&amp;VAR:INDEX=0"}</definedName>
    <definedName name="_4035__FDSAUDITLINK__" hidden="1">{"fdsup://directions/FAT Viewer?action=UPDATE&amp;creator=factset&amp;DYN_ARGS=TRUE&amp;DOC_NAME=FAT:FQL_AUDITING_CLIENT_TEMPLATE.FAT&amp;display_string=Audit&amp;VAR:KEY=DGVCLOXWNQ&amp;VAR:QUERY=RkZfU0FMRVMoQ0FMLDM5ODEzLCwsLCk=&amp;WINDOW=FIRST_POPUP&amp;HEIGHT=450&amp;WIDTH=450&amp;START_MAXIMI","ZED=FALSE&amp;VAR:CALENDAR=US&amp;VAR:SYMBOL=698538&amp;VAR:INDEX=0"}</definedName>
    <definedName name="_4036__FDSAUDITLINK__" hidden="1">{"fdsup://directions/FAT Viewer?action=UPDATE&amp;creator=factset&amp;DYN_ARGS=TRUE&amp;DOC_NAME=FAT:FQL_AUDITING_CLIENT_TEMPLATE.FAT&amp;display_string=Audit&amp;VAR:KEY=BQFYVIHSFI&amp;VAR:QUERY=RkZfU0FMRVMoQ0FMLDQwNTQzLCwsLFVTRCk=&amp;WINDOW=FIRST_POPUP&amp;HEIGHT=450&amp;WIDTH=450&amp;START_MA","XIMIZED=FALSE&amp;VAR:CALENDAR=US&amp;VAR:SYMBOL=474184&amp;VAR:INDEX=0"}</definedName>
    <definedName name="_4037__FDSAUDITLINK__" hidden="1">{"fdsup://directions/FAT Viewer?action=UPDATE&amp;creator=factset&amp;DYN_ARGS=TRUE&amp;DOC_NAME=FAT:FQL_AUDITING_CLIENT_TEMPLATE.FAT&amp;display_string=Audit&amp;VAR:KEY=XOBSPCJCDY&amp;VAR:QUERY=RkZfU0FMRVMoQ0FMLDQwNTQzLCwsLCk=&amp;WINDOW=FIRST_POPUP&amp;HEIGHT=450&amp;WIDTH=450&amp;START_MAXIMI","ZED=FALSE&amp;VAR:CALENDAR=US&amp;VAR:SYMBOL=474184&amp;VAR:INDEX=0"}</definedName>
    <definedName name="_4038__FDSAUDITLINK__" hidden="1">{"fdsup://directions/FAT Viewer?action=UPDATE&amp;creator=factset&amp;DYN_ARGS=TRUE&amp;DOC_NAME=FAT:FQL_AUDITING_CLIENT_TEMPLATE.FAT&amp;display_string=Audit&amp;VAR:KEY=BWJQJSRKZK&amp;VAR:QUERY=RkZfU0FMRVMoQ0FMLDQwMTc4LCwsLCk=&amp;WINDOW=FIRST_POPUP&amp;HEIGHT=450&amp;WIDTH=450&amp;START_MAXIMI","ZED=FALSE&amp;VAR:CALENDAR=US&amp;VAR:SYMBOL=474184&amp;VAR:INDEX=0"}</definedName>
    <definedName name="_4039__FDSAUDITLINK__" hidden="1">{"fdsup://directions/FAT Viewer?action=UPDATE&amp;creator=factset&amp;DYN_ARGS=TRUE&amp;DOC_NAME=FAT:FQL_AUDITING_CLIENT_TEMPLATE.FAT&amp;display_string=Audit&amp;VAR:KEY=FOZCTETIXS&amp;VAR:QUERY=RkZfU0FMRVMoQ0FMLDQwNTQzLCwsLFVTRCk=&amp;WINDOW=FIRST_POPUP&amp;HEIGHT=450&amp;WIDTH=450&amp;START_MA","XIMIZED=FALSE&amp;VAR:CALENDAR=US&amp;VAR:SYMBOL=B0J7D9&amp;VAR:INDEX=0"}</definedName>
    <definedName name="_404__FDSAUDITLINK__" hidden="1">{"fdsup://directions/FAT%20Viewer?VAR:TM=NTMA&amp;VAR:PCT=0.953425&amp;VAR:Y0=2003&amp;VAR:Y1=2004&amp;VAR:V0=16.581610&amp;VAR:V1=14.515875&amp;VAR:V=16.472429&amp;VAR:AUDIT_ID=00000117&amp;VAR:DATE=20030117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Aggregates&amp;VAR:MEASURE=PE_MEAN&amp;VAR:CALC_MODE=PORTFOLIO&amp;VAR:CHGPERIOD=NA&amp;VAR:FQLFORMULA=FMA_PE&amp;VAR:CURRENCY=USD&amp;VAR:P=9","01.784600&amp;VAR:THRESH=||||||&amp;VAR:null=.html"}</definedName>
    <definedName name="_4040__FDSAUDITLINK__" hidden="1">{"fdsup://directions/FAT Viewer?action=UPDATE&amp;creator=factset&amp;DYN_ARGS=TRUE&amp;DOC_NAME=FAT:FQL_AUDITING_CLIENT_TEMPLATE.FAT&amp;display_string=Audit&amp;VAR:KEY=ROPONUVCBK&amp;VAR:QUERY=RkZfU0FMRVMoQ0FMLDQwNTQzLCwsLCk=&amp;WINDOW=FIRST_POPUP&amp;HEIGHT=450&amp;WIDTH=450&amp;START_MAXIMI","ZED=FALSE&amp;VAR:CALENDAR=US&amp;VAR:SYMBOL=B0J7D9&amp;VAR:INDEX=0"}</definedName>
    <definedName name="_4041__FDSAUDITLINK__" hidden="1">{"fdsup://directions/FAT Viewer?action=UPDATE&amp;creator=factset&amp;DYN_ARGS=TRUE&amp;DOC_NAME=FAT:FQL_AUDITING_CLIENT_TEMPLATE.FAT&amp;display_string=Audit&amp;VAR:KEY=VIFIZWXYVO&amp;VAR:QUERY=RkZfU0FMRVMoQ0FMLDQwMTc4LCwsLCk=&amp;WINDOW=FIRST_POPUP&amp;HEIGHT=450&amp;WIDTH=450&amp;START_MAXIMI","ZED=FALSE&amp;VAR:CALENDAR=US&amp;VAR:SYMBOL=B0J7D9&amp;VAR:INDEX=0"}</definedName>
    <definedName name="_4042__FDSAUDITLINK__" hidden="1">{"fdsup://directions/FAT Viewer?action=UPDATE&amp;creator=factset&amp;DYN_ARGS=TRUE&amp;DOC_NAME=FAT:FQL_AUDITING_CLIENT_TEMPLATE.FAT&amp;display_string=Audit&amp;VAR:KEY=TYZOXMTCDS&amp;VAR:QUERY=RkZfU0FMRVMoQ0FMLDM5ODEzLCwsLCk=&amp;WINDOW=FIRST_POPUP&amp;HEIGHT=450&amp;WIDTH=450&amp;START_MAXIMI","ZED=FALSE&amp;VAR:CALENDAR=US&amp;VAR:SYMBOL=B0J7D9&amp;VAR:INDEX=0"}</definedName>
    <definedName name="_4043__FDSAUDITLINK__" hidden="1">{"fdsup://directions/FAT Viewer?action=UPDATE&amp;creator=factset&amp;DYN_ARGS=TRUE&amp;DOC_NAME=FAT:FQL_AUDITING_CLIENT_TEMPLATE.FAT&amp;display_string=Audit&amp;VAR:KEY=XWNMHODIRY&amp;VAR:QUERY=RkZfU0FMRVMoQ0FMLDQwNTQzLCwsLFVTRCk=&amp;WINDOW=FIRST_POPUP&amp;HEIGHT=450&amp;WIDTH=450&amp;START_MA","XIMIZED=FALSE&amp;VAR:CALENDAR=US&amp;VAR:SYMBOL=AMGN&amp;VAR:INDEX=0"}</definedName>
    <definedName name="_4044__FDSAUDITLINK__" hidden="1">{"fdsup://directions/FAT Viewer?action=UPDATE&amp;creator=factset&amp;DYN_ARGS=TRUE&amp;DOC_NAME=FAT:FQL_AUDITING_CLIENT_TEMPLATE.FAT&amp;display_string=Audit&amp;VAR:KEY=NIXKXSZYJO&amp;VAR:QUERY=RkZfU0FMRVMoQ0FMLDQwNTQzLCwsLCk=&amp;WINDOW=FIRST_POPUP&amp;HEIGHT=450&amp;WIDTH=450&amp;START_MAXIMI","ZED=FALSE&amp;VAR:CALENDAR=US&amp;VAR:SYMBOL=AMGN&amp;VAR:INDEX=0"}</definedName>
    <definedName name="_4045__FDSAUDITLINK__" hidden="1">{"fdsup://directions/FAT Viewer?action=UPDATE&amp;creator=factset&amp;DYN_ARGS=TRUE&amp;DOC_NAME=FAT:FQL_AUDITING_CLIENT_TEMPLATE.FAT&amp;display_string=Audit&amp;VAR:KEY=PSHENMBWRU&amp;VAR:QUERY=RkZfU0FMRVMoQ0FMLDQwMTc4LCwsLCk=&amp;WINDOW=FIRST_POPUP&amp;HEIGHT=450&amp;WIDTH=450&amp;START_MAXIMI","ZED=FALSE&amp;VAR:CALENDAR=US&amp;VAR:SYMBOL=AMGN&amp;VAR:INDEX=0"}</definedName>
    <definedName name="_4046__FDSAUDITLINK__" hidden="1">{"fdsup://directions/FAT Viewer?action=UPDATE&amp;creator=factset&amp;DYN_ARGS=TRUE&amp;DOC_NAME=FAT:FQL_AUDITING_CLIENT_TEMPLATE.FAT&amp;display_string=Audit&amp;VAR:KEY=HAHEZKBKHG&amp;VAR:QUERY=RkZfU0FMRVMoQ0FMLDM5ODEzLCwsLCk=&amp;WINDOW=FIRST_POPUP&amp;HEIGHT=450&amp;WIDTH=450&amp;START_MAXIMI","ZED=FALSE&amp;VAR:CALENDAR=US&amp;VAR:SYMBOL=AMGN&amp;VAR:INDEX=0"}</definedName>
    <definedName name="_4047__FDSAUDITLINK__" hidden="1">{"fdsup://directions/FAT Viewer?action=UPDATE&amp;creator=factset&amp;DYN_ARGS=TRUE&amp;DOC_NAME=FAT:FQL_AUDITING_CLIENT_TEMPLATE.FAT&amp;display_string=Audit&amp;VAR:KEY=PWBYBYZGVC&amp;VAR:QUERY=RkZfU0FMRVMoQ0FMLDQwNTQzLCwsLFVTRCk=&amp;WINDOW=FIRST_POPUP&amp;HEIGHT=450&amp;WIDTH=450&amp;START_MA","XIMIZED=FALSE&amp;VAR:CALENDAR=US&amp;VAR:SYMBOL=ABT&amp;VAR:INDEX=0"}</definedName>
    <definedName name="_4048__FDSAUDITLINK__" hidden="1">{"fdsup://directions/FAT Viewer?action=UPDATE&amp;creator=factset&amp;DYN_ARGS=TRUE&amp;DOC_NAME=FAT:FQL_AUDITING_CLIENT_TEMPLATE.FAT&amp;display_string=Audit&amp;VAR:KEY=LULCDIVYJK&amp;VAR:QUERY=RkZfU0FMRVMoQ0FMLDQwNTQzLCwsLCk=&amp;WINDOW=FIRST_POPUP&amp;HEIGHT=450&amp;WIDTH=450&amp;START_MAXIMI","ZED=FALSE&amp;VAR:CALENDAR=US&amp;VAR:SYMBOL=ABT&amp;VAR:INDEX=0"}</definedName>
    <definedName name="_4049__FDSAUDITLINK__" hidden="1">{"fdsup://directions/FAT Viewer?action=UPDATE&amp;creator=factset&amp;DYN_ARGS=TRUE&amp;DOC_NAME=FAT:FQL_AUDITING_CLIENT_TEMPLATE.FAT&amp;display_string=Audit&amp;VAR:KEY=XIHAFGFYLU&amp;VAR:QUERY=RkZfU0FMRVMoQ0FMLDQwMTc4LCwsLCk=&amp;WINDOW=FIRST_POPUP&amp;HEIGHT=450&amp;WIDTH=450&amp;START_MAXIMI","ZED=FALSE&amp;VAR:CALENDAR=US&amp;VAR:SYMBOL=ABT&amp;VAR:INDEX=0"}</definedName>
    <definedName name="_405__FDSAUDITLINK__" hidden="1">{"fdsup://directions/FAT%20Viewer?VAR:TM=NTMA&amp;VAR:PCT=0.972603&amp;VAR:Y0=2003&amp;VAR:Y1=2004&amp;VAR:V0=16.999361&amp;VAR:V1=14.937981&amp;VAR:V=16.935333&amp;VAR:AUDIT_ID=00000117&amp;VAR:DATE=20030110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Aggregates&amp;VAR:MEASURE=PE_MEAN&amp;VAR:CALC_MODE=PORTFOLIO&amp;VAR:CHGPERIOD=NA&amp;VAR:FQLFORMULA=FMA_PE&amp;VAR:CURRENCY=USD&amp;VAR:P=9","27.568400&amp;VAR:THRESH=||||||&amp;VAR:null=.html"}</definedName>
    <definedName name="_4050__FDSAUDITLINK__" hidden="1">{"fdsup://directions/FAT Viewer?action=UPDATE&amp;creator=factset&amp;DYN_ARGS=TRUE&amp;DOC_NAME=FAT:FQL_AUDITING_CLIENT_TEMPLATE.FAT&amp;display_string=Audit&amp;VAR:KEY=FAFWNGJOZC&amp;VAR:QUERY=RkZfU0FMRVMoQ0FMLDM5ODEzLCwsLCk=&amp;WINDOW=FIRST_POPUP&amp;HEIGHT=450&amp;WIDTH=450&amp;START_MAXIMI","ZED=FALSE&amp;VAR:CALENDAR=US&amp;VAR:SYMBOL=ABT&amp;VAR:INDEX=0"}</definedName>
    <definedName name="_4051__FDSAUDITLINK__" hidden="1">{"fdsup://directions/FAT Viewer?action=UPDATE&amp;creator=factset&amp;DYN_ARGS=TRUE&amp;DOC_NAME=FAT:FQL_AUDITING_CLIENT_TEMPLATE.FAT&amp;display_string=Audit&amp;VAR:KEY=HMVWDILITS&amp;VAR:QUERY=RkZfU0FMRVMoQ0FMLDQwNTQzLCwsLFVTRCk=&amp;WINDOW=FIRST_POPUP&amp;HEIGHT=450&amp;WIDTH=450&amp;START_MA","XIMIZED=FALSE&amp;VAR:CALENDAR=US&amp;VAR:SYMBOL=687044&amp;VAR:INDEX=0"}</definedName>
    <definedName name="_4052__FDSAUDITLINK__" hidden="1">{"fdsup://directions/FAT Viewer?action=UPDATE&amp;creator=factset&amp;DYN_ARGS=TRUE&amp;DOC_NAME=FAT:FQL_AUDITING_CLIENT_TEMPLATE.FAT&amp;display_string=Audit&amp;VAR:KEY=FGVODQPWLQ&amp;VAR:QUERY=RkZfU0FMRVMoQ0FMLDQwNTQzLCwsLCk=&amp;WINDOW=FIRST_POPUP&amp;HEIGHT=450&amp;WIDTH=450&amp;START_MAXIMI","ZED=FALSE&amp;VAR:CALENDAR=US&amp;VAR:SYMBOL=687044&amp;VAR:INDEX=0"}</definedName>
    <definedName name="_4053__FDSAUDITLINK__" hidden="1">{"fdsup://directions/FAT Viewer?action=UPDATE&amp;creator=factset&amp;DYN_ARGS=TRUE&amp;DOC_NAME=FAT:FQL_AUDITING_CLIENT_TEMPLATE.FAT&amp;display_string=Audit&amp;VAR:KEY=NGJYDUXCVO&amp;VAR:QUERY=RkZfU0FMRVMoQ0FMLDQwMTc4LCwsLCk=&amp;WINDOW=FIRST_POPUP&amp;HEIGHT=450&amp;WIDTH=450&amp;START_MAXIMI","ZED=FALSE&amp;VAR:CALENDAR=US&amp;VAR:SYMBOL=687044&amp;VAR:INDEX=0"}</definedName>
    <definedName name="_4054__FDSAUDITLINK__" hidden="1">{"fdsup://directions/FAT Viewer?action=UPDATE&amp;creator=factset&amp;DYN_ARGS=TRUE&amp;DOC_NAME=FAT:FQL_AUDITING_CLIENT_TEMPLATE.FAT&amp;display_string=Audit&amp;VAR:KEY=NWVWHILSTA&amp;VAR:QUERY=RkZfU0FMRVMoQ0FMLDM5ODEzLCwsLCk=&amp;WINDOW=FIRST_POPUP&amp;HEIGHT=450&amp;WIDTH=450&amp;START_MAXIMI","ZED=FALSE&amp;VAR:CALENDAR=US&amp;VAR:SYMBOL=687044&amp;VAR:INDEX=0"}</definedName>
    <definedName name="_4055__FDSAUDITLINK__" hidden="1">{"fdsup://directions/FAT Viewer?action=UPDATE&amp;creator=factset&amp;DYN_ARGS=TRUE&amp;DOC_NAME=FAT:FQL_AUDITING_CLIENT_TEMPLATE.FAT&amp;display_string=Audit&amp;VAR:KEY=DARUTYDUXC&amp;VAR:QUERY=RkZfU0FMRVMoQ0FMLDQwNTQzLCwsLFVTRCk=&amp;WINDOW=FIRST_POPUP&amp;HEIGHT=450&amp;WIDTH=450&amp;START_MA","XIMIZED=FALSE&amp;VAR:CALENDAR=US&amp;VAR:SYMBOL=BMY&amp;VAR:INDEX=0"}</definedName>
    <definedName name="_4056__FDSAUDITLINK__" hidden="1">{"fdsup://directions/FAT Viewer?action=UPDATE&amp;creator=factset&amp;DYN_ARGS=TRUE&amp;DOC_NAME=FAT:FQL_AUDITING_CLIENT_TEMPLATE.FAT&amp;display_string=Audit&amp;VAR:KEY=NMJKXQRIPK&amp;VAR:QUERY=RkZfU0FMRVMoQ0FMLDQwNTQzLCwsLCk=&amp;WINDOW=FIRST_POPUP&amp;HEIGHT=450&amp;WIDTH=450&amp;START_MAXIMI","ZED=FALSE&amp;VAR:CALENDAR=US&amp;VAR:SYMBOL=BMY&amp;VAR:INDEX=0"}</definedName>
    <definedName name="_4057__FDSAUDITLINK__" hidden="1">{"fdsup://directions/FAT Viewer?action=UPDATE&amp;creator=factset&amp;DYN_ARGS=TRUE&amp;DOC_NAME=FAT:FQL_AUDITING_CLIENT_TEMPLATE.FAT&amp;display_string=Audit&amp;VAR:KEY=BUJIHQJYLA&amp;VAR:QUERY=RkZfU0FMRVMoQ0FMLDQwMTc4LCwsLCk=&amp;WINDOW=FIRST_POPUP&amp;HEIGHT=450&amp;WIDTH=450&amp;START_MAXIMI","ZED=FALSE&amp;VAR:CALENDAR=US&amp;VAR:SYMBOL=BMY&amp;VAR:INDEX=0"}</definedName>
    <definedName name="_4058__FDSAUDITLINK__" hidden="1">{"fdsup://directions/FAT Viewer?action=UPDATE&amp;creator=factset&amp;DYN_ARGS=TRUE&amp;DOC_NAME=FAT:FQL_AUDITING_CLIENT_TEMPLATE.FAT&amp;display_string=Audit&amp;VAR:KEY=JIDAXAJARK&amp;VAR:QUERY=RkZfU0FMRVMoQ0FMLDM5ODEzLCwsLCk=&amp;WINDOW=FIRST_POPUP&amp;HEIGHT=450&amp;WIDTH=450&amp;START_MAXIMI","ZED=FALSE&amp;VAR:CALENDAR=US&amp;VAR:SYMBOL=BMY&amp;VAR:INDEX=0"}</definedName>
    <definedName name="_4059__FDSAUDITLINK__" hidden="1">{"fdsup://directions/FAT Viewer?action=UPDATE&amp;creator=factset&amp;DYN_ARGS=TRUE&amp;DOC_NAME=FAT:FQL_AUDITING_CLIENT_TEMPLATE.FAT&amp;display_string=Audit&amp;VAR:KEY=POPKTAPQJQ&amp;VAR:QUERY=RkZfU0FMRVMoQ0FMLDQwNTQzLCwsLFVTRCk=&amp;WINDOW=FIRST_POPUP&amp;HEIGHT=450&amp;WIDTH=450&amp;START_MA","XIMIZED=FALSE&amp;VAR:CALENDAR=US&amp;VAR:SYMBOL=LLY&amp;VAR:INDEX=0"}</definedName>
    <definedName name="_406__FDSAUDITLINK__" hidden="1">{"fdsup://directions/FAT%20Viewer?VAR:TM=NTMA&amp;VAR:PCT=0.991781&amp;VAR:Y0=2003&amp;VAR:Y1=2004&amp;VAR:V0=16.640562&amp;VAR:V1=14.794577&amp;VAR:V=16.623514&amp;VAR:AUDIT_ID=00000117&amp;VAR:DATE=20030103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Aggregates&amp;VAR:MEASURE=PE_MEAN&amp;VAR:CALC_MODE=PORTFOLIO&amp;VAR:CHGPERIOD=NA&amp;VAR:FQLFORMULA=FMA_PE&amp;VAR:CURRENCY=USD&amp;VAR:P=9","08.589700&amp;VAR:THRESH=||||||&amp;VAR:null=.html"}</definedName>
    <definedName name="_4060__FDSAUDITLINK__" hidden="1">{"fdsup://directions/FAT Viewer?action=UPDATE&amp;creator=factset&amp;DYN_ARGS=TRUE&amp;DOC_NAME=FAT:FQL_AUDITING_CLIENT_TEMPLATE.FAT&amp;display_string=Audit&amp;VAR:KEY=HGVUFQHQXY&amp;VAR:QUERY=RkZfU0FMRVMoQ0FMLDQwNTQzLCwsLCk=&amp;WINDOW=FIRST_POPUP&amp;HEIGHT=450&amp;WIDTH=450&amp;START_MAXIMI","ZED=FALSE&amp;VAR:CALENDAR=US&amp;VAR:SYMBOL=LLY&amp;VAR:INDEX=0"}</definedName>
    <definedName name="_4061__FDSAUDITLINK__" hidden="1">{"fdsup://directions/FAT Viewer?action=UPDATE&amp;creator=factset&amp;DYN_ARGS=TRUE&amp;DOC_NAME=FAT:FQL_AUDITING_CLIENT_TEMPLATE.FAT&amp;display_string=Audit&amp;VAR:KEY=BENYXWZQPA&amp;VAR:QUERY=RkZfU0FMRVMoQ0FMLDQwMTc4LCwsLCk=&amp;WINDOW=FIRST_POPUP&amp;HEIGHT=450&amp;WIDTH=450&amp;START_MAXIMI","ZED=FALSE&amp;VAR:CALENDAR=US&amp;VAR:SYMBOL=LLY&amp;VAR:INDEX=0"}</definedName>
    <definedName name="_4062__FDSAUDITLINK__" hidden="1">{"fdsup://directions/FAT Viewer?action=UPDATE&amp;creator=factset&amp;DYN_ARGS=TRUE&amp;DOC_NAME=FAT:FQL_AUDITING_CLIENT_TEMPLATE.FAT&amp;display_string=Audit&amp;VAR:KEY=TCDILENEJI&amp;VAR:QUERY=RkZfU0FMRVMoQ0FMLDM5ODEzLCwsLCk=&amp;WINDOW=FIRST_POPUP&amp;HEIGHT=450&amp;WIDTH=450&amp;START_MAXIMI","ZED=FALSE&amp;VAR:CALENDAR=US&amp;VAR:SYMBOL=LLY&amp;VAR:INDEX=0"}</definedName>
    <definedName name="_4063__FDSAUDITLINK__" hidden="1">{"fdsup://directions/FAT Viewer?action=UPDATE&amp;creator=factset&amp;DYN_ARGS=TRUE&amp;DOC_NAME=FAT:FQL_AUDITING_CLIENT_TEMPLATE.FAT&amp;display_string=Audit&amp;VAR:KEY=XOJCXURYNY&amp;VAR:QUERY=RkZfU0FMRVMoQ0FMLDQwNTQzLCwsLFVTRCk=&amp;WINDOW=FIRST_POPUP&amp;HEIGHT=450&amp;WIDTH=450&amp;START_MA","XIMIZED=FALSE&amp;VAR:CALENDAR=US&amp;VAR:SYMBOL=506921&amp;VAR:INDEX=0"}</definedName>
    <definedName name="_4064__FDSAUDITLINK__" hidden="1">{"fdsup://directions/FAT Viewer?action=UPDATE&amp;creator=factset&amp;DYN_ARGS=TRUE&amp;DOC_NAME=FAT:FQL_AUDITING_CLIENT_TEMPLATE.FAT&amp;display_string=Audit&amp;VAR:KEY=TYREZSHMJS&amp;VAR:QUERY=RkZfU0FMRVMoQ0FMLDQwNTQzLCwsLCk=&amp;WINDOW=FIRST_POPUP&amp;HEIGHT=450&amp;WIDTH=450&amp;START_MAXIMI","ZED=FALSE&amp;VAR:CALENDAR=US&amp;VAR:SYMBOL=506921&amp;VAR:INDEX=0"}</definedName>
    <definedName name="_4065__FDSAUDITLINK__" hidden="1">{"fdsup://directions/FAT Viewer?action=UPDATE&amp;creator=factset&amp;DYN_ARGS=TRUE&amp;DOC_NAME=FAT:FQL_AUDITING_CLIENT_TEMPLATE.FAT&amp;display_string=Audit&amp;VAR:KEY=VUTOPCHQXG&amp;VAR:QUERY=RkZfU0FMRVMoQ0FMLDQwMTc4LCwsLCk=&amp;WINDOW=FIRST_POPUP&amp;HEIGHT=450&amp;WIDTH=450&amp;START_MAXIMI","ZED=FALSE&amp;VAR:CALENDAR=US&amp;VAR:SYMBOL=506921&amp;VAR:INDEX=0"}</definedName>
    <definedName name="_4066__FDSAUDITLINK__" hidden="1">{"fdsup://directions/FAT Viewer?action=UPDATE&amp;creator=factset&amp;DYN_ARGS=TRUE&amp;DOC_NAME=FAT:FQL_AUDITING_CLIENT_TEMPLATE.FAT&amp;display_string=Audit&amp;VAR:KEY=DSVIFSTIRS&amp;VAR:QUERY=RkZfU0FMRVMoQ0FMLDM5ODEzLCwsLCk=&amp;WINDOW=FIRST_POPUP&amp;HEIGHT=450&amp;WIDTH=450&amp;START_MAXIMI","ZED=FALSE&amp;VAR:CALENDAR=US&amp;VAR:SYMBOL=506921&amp;VAR:INDEX=0"}</definedName>
    <definedName name="_4067__FDSAUDITLINK__" hidden="1">{"fdsup://directions/FAT Viewer?action=UPDATE&amp;creator=factset&amp;DYN_ARGS=TRUE&amp;DOC_NAME=FAT:FQL_AUDITING_CLIENT_TEMPLATE.FAT&amp;display_string=Audit&amp;VAR:KEY=VSPKTEVIFI&amp;VAR:QUERY=RkZfU0FMRVMoQ0FMLDQwNTQzLCwsLFVTRCk=&amp;WINDOW=FIRST_POPUP&amp;HEIGHT=450&amp;WIDTH=450&amp;START_MA","XIMIZED=FALSE&amp;VAR:CALENDAR=US&amp;VAR:SYMBOL=567173&amp;VAR:INDEX=0"}</definedName>
    <definedName name="_4068__FDSAUDITLINK__" hidden="1">{"fdsup://directions/FAT Viewer?action=UPDATE&amp;creator=factset&amp;DYN_ARGS=TRUE&amp;DOC_NAME=FAT:FQL_AUDITING_CLIENT_TEMPLATE.FAT&amp;display_string=Audit&amp;VAR:KEY=NKROBUBURI&amp;VAR:QUERY=RkZfU0FMRVMoQ0FMLDQwNTQzLCwsLCk=&amp;WINDOW=FIRST_POPUP&amp;HEIGHT=450&amp;WIDTH=450&amp;START_MAXIMI","ZED=FALSE&amp;VAR:CALENDAR=US&amp;VAR:SYMBOL=567173&amp;VAR:INDEX=0"}</definedName>
    <definedName name="_4069__FDSAUDITLINK__" hidden="1">{"fdsup://directions/FAT Viewer?action=UPDATE&amp;creator=factset&amp;DYN_ARGS=TRUE&amp;DOC_NAME=FAT:FQL_AUDITING_CLIENT_TEMPLATE.FAT&amp;display_string=Audit&amp;VAR:KEY=FUZMZEJUJU&amp;VAR:QUERY=RkZfU0FMRVMoQ0FMLDQwMTc4LCwsLCk=&amp;WINDOW=FIRST_POPUP&amp;HEIGHT=450&amp;WIDTH=450&amp;START_MAXIMI","ZED=FALSE&amp;VAR:CALENDAR=US&amp;VAR:SYMBOL=567173&amp;VAR:INDEX=0"}</definedName>
    <definedName name="_407__FDSAUDITLINK__" hidden="1">{"fdsup://directions/FAT%20Viewer?VAR:TM=NTMA&amp;VAR:PCT=0.010959&amp;VAR:Y0=2002&amp;VAR:Y1=2003&amp;VAR:V0=18.113293&amp;VAR:V1=16.003641&amp;VAR:V=16.024094&amp;VAR:AUDIT_ID=00000117&amp;VAR:DATE=20021227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Aggregates&amp;VAR:MEASURE=PE_MEAN&amp;VAR:CALC_MODE=PORTFOLIO&amp;VAR:CHGPERIOD=NA&amp;VAR:FQLFORMULA=FMA_PE&amp;VAR:CURRENCY=USD&amp;VAR:P=8","75.395260&amp;VAR:THRESH=||||||&amp;VAR:null=.html"}</definedName>
    <definedName name="_4070__FDSAUDITLINK__" hidden="1">{"fdsup://directions/FAT Viewer?action=UPDATE&amp;creator=factset&amp;DYN_ARGS=TRUE&amp;DOC_NAME=FAT:FQL_AUDITING_CLIENT_TEMPLATE.FAT&amp;display_string=Audit&amp;VAR:KEY=DQJIRINKTK&amp;VAR:QUERY=RkZfU0FMRVMoQ0FMLDM5ODEzLCwsLCk=&amp;WINDOW=FIRST_POPUP&amp;HEIGHT=450&amp;WIDTH=450&amp;START_MAXIMI","ZED=FALSE&amp;VAR:CALENDAR=US&amp;VAR:SYMBOL=567173&amp;VAR:INDEX=0"}</definedName>
    <definedName name="_4071__FDSAUDITLINK__" hidden="1">{"fdsup://directions/FAT Viewer?action=UPDATE&amp;creator=factset&amp;DYN_ARGS=TRUE&amp;DOC_NAME=FAT:FQL_AUDITING_CLIENT_TEMPLATE.FAT&amp;display_string=Audit&amp;VAR:KEY=BCLQRKPMJI&amp;VAR:QUERY=RkZfU0FMRVMoQ0FMLDQwNTQzLCwsLFVTRCk=&amp;WINDOW=FIRST_POPUP&amp;HEIGHT=450&amp;WIDTH=450&amp;START_MA","XIMIZED=FALSE&amp;VAR:CALENDAR=US&amp;VAR:SYMBOL=JNJ&amp;VAR:INDEX=0"}</definedName>
    <definedName name="_4072__FDSAUDITLINK__" hidden="1">{"fdsup://directions/FAT Viewer?action=UPDATE&amp;creator=factset&amp;DYN_ARGS=TRUE&amp;DOC_NAME=FAT:FQL_AUDITING_CLIENT_TEMPLATE.FAT&amp;display_string=Audit&amp;VAR:KEY=XEFEFEVSXG&amp;VAR:QUERY=RkZfU0FMRVMoQ0FMLDQwNTQzLCwsLCk=&amp;WINDOW=FIRST_POPUP&amp;HEIGHT=450&amp;WIDTH=450&amp;START_MAXIMI","ZED=FALSE&amp;VAR:CALENDAR=US&amp;VAR:SYMBOL=JNJ&amp;VAR:INDEX=0"}</definedName>
    <definedName name="_4073__FDSAUDITLINK__" hidden="1">{"fdsup://directions/FAT Viewer?action=UPDATE&amp;creator=factset&amp;DYN_ARGS=TRUE&amp;DOC_NAME=FAT:FQL_AUDITING_CLIENT_TEMPLATE.FAT&amp;display_string=Audit&amp;VAR:KEY=LULOTKLGHM&amp;VAR:QUERY=RkZfU0FMRVMoQ0FMLDQwMTc4LCwsLCk=&amp;WINDOW=FIRST_POPUP&amp;HEIGHT=450&amp;WIDTH=450&amp;START_MAXIMI","ZED=FALSE&amp;VAR:CALENDAR=US&amp;VAR:SYMBOL=JNJ&amp;VAR:INDEX=0"}</definedName>
    <definedName name="_4074__FDSAUDITLINK__" hidden="1">{"fdsup://directions/FAT Viewer?action=UPDATE&amp;creator=factset&amp;DYN_ARGS=TRUE&amp;DOC_NAME=FAT:FQL_AUDITING_CLIENT_TEMPLATE.FAT&amp;display_string=Audit&amp;VAR:KEY=TARITKLKZA&amp;VAR:QUERY=RkZfU0FMRVMoQ0FMLDM5ODEzLCwsLCk=&amp;WINDOW=FIRST_POPUP&amp;HEIGHT=450&amp;WIDTH=450&amp;START_MAXIMI","ZED=FALSE&amp;VAR:CALENDAR=US&amp;VAR:SYMBOL=JNJ&amp;VAR:INDEX=0"}</definedName>
    <definedName name="_4075__FDSAUDITLINK__" hidden="1">{"fdsup://directions/FAT Viewer?action=UPDATE&amp;creator=factset&amp;DYN_ARGS=TRUE&amp;DOC_NAME=FAT:FQL_AUDITING_CLIENT_TEMPLATE.FAT&amp;display_string=Audit&amp;VAR:KEY=VIFKZADUDQ&amp;VAR:QUERY=RkZfU0FMRVMoQ0FMLDQwNTQzLCwsLFVTRCk=&amp;WINDOW=FIRST_POPUP&amp;HEIGHT=450&amp;WIDTH=450&amp;START_MA","XIMIZED=FALSE&amp;VAR:CALENDAR=US&amp;VAR:SYMBOL=710306&amp;VAR:INDEX=0"}</definedName>
    <definedName name="_4076__FDSAUDITLINK__" hidden="1">{"fdsup://directions/FAT Viewer?action=UPDATE&amp;creator=factset&amp;DYN_ARGS=TRUE&amp;DOC_NAME=FAT:FQL_AUDITING_CLIENT_TEMPLATE.FAT&amp;display_string=Audit&amp;VAR:KEY=JUHUDIVEVG&amp;VAR:QUERY=RkZfU0FMRVMoQ0FMLDQwNTQzLCwsLCk=&amp;WINDOW=FIRST_POPUP&amp;HEIGHT=450&amp;WIDTH=450&amp;START_MAXIMI","ZED=FALSE&amp;VAR:CALENDAR=US&amp;VAR:SYMBOL=710306&amp;VAR:INDEX=0"}</definedName>
    <definedName name="_4077__FDSAUDITLINK__" hidden="1">{"fdsup://directions/FAT Viewer?action=UPDATE&amp;creator=factset&amp;DYN_ARGS=TRUE&amp;DOC_NAME=FAT:FQL_AUDITING_CLIENT_TEMPLATE.FAT&amp;display_string=Audit&amp;VAR:KEY=DOFYDCPMFC&amp;VAR:QUERY=RkZfU0FMRVMoQ0FMLDQwMTc4LCwsLCk=&amp;WINDOW=FIRST_POPUP&amp;HEIGHT=450&amp;WIDTH=450&amp;START_MAXIMI","ZED=FALSE&amp;VAR:CALENDAR=US&amp;VAR:SYMBOL=710306&amp;VAR:INDEX=0"}</definedName>
    <definedName name="_4078__FDSAUDITLINK__" hidden="1">{"fdsup://directions/FAT Viewer?action=UPDATE&amp;creator=factset&amp;DYN_ARGS=TRUE&amp;DOC_NAME=FAT:FQL_AUDITING_CLIENT_TEMPLATE.FAT&amp;display_string=Audit&amp;VAR:KEY=FEDEFEXKTO&amp;VAR:QUERY=RkZfU0FMRVMoQ0FMLDM5ODEzLCwsLCk=&amp;WINDOW=FIRST_POPUP&amp;HEIGHT=450&amp;WIDTH=450&amp;START_MAXIMI","ZED=FALSE&amp;VAR:CALENDAR=US&amp;VAR:SYMBOL=710306&amp;VAR:INDEX=0"}</definedName>
    <definedName name="_4079__FDSAUDITLINK__" hidden="1">{"fdsup://directions/FAT Viewer?action=UPDATE&amp;creator=factset&amp;DYN_ARGS=TRUE&amp;DOC_NAME=FAT:FQL_AUDITING_CLIENT_TEMPLATE.FAT&amp;display_string=Audit&amp;VAR:KEY=LUZWFQNOTG&amp;VAR:QUERY=RkZfU0FMRVMoQ0FMLDQwNTQzLCwsLFVTRCk=&amp;WINDOW=FIRST_POPUP&amp;HEIGHT=450&amp;WIDTH=450&amp;START_MA","XIMIZED=FALSE&amp;VAR:CALENDAR=US&amp;VAR:SYMBOL=711038&amp;VAR:INDEX=0"}</definedName>
    <definedName name="_408__FDSAUDITLINK__" hidden="1">{"fdsup://directions/FAT%20Viewer?VAR:TM=NTMA&amp;VAR:PCT=0.030137&amp;VAR:Y0=2002&amp;VAR:Y1=2003&amp;VAR:V0=18.523780&amp;VAR:V1=16.374302&amp;VAR:V=16.431765&amp;VAR:AUDIT_ID=00000117&amp;VAR:DATE=20021220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Aggregates&amp;VAR:MEASURE=PE_MEAN&amp;VAR:CALC_MODE=PORTFOLIO&amp;VAR:CHGPERIOD=NA&amp;VAR:FQLFORMULA=FMA_PE&amp;VAR:CURRENCY=USD&amp;VAR:P=8","95.746460&amp;VAR:THRESH=||||||&amp;VAR:null=.html"}</definedName>
    <definedName name="_4080__FDSAUDITLINK__" hidden="1">{"fdsup://directions/FAT Viewer?action=UPDATE&amp;creator=factset&amp;DYN_ARGS=TRUE&amp;DOC_NAME=FAT:FQL_AUDITING_CLIENT_TEMPLATE.FAT&amp;display_string=Audit&amp;VAR:KEY=HGBYRMPCTI&amp;VAR:QUERY=RkZfU0FMRVMoQ0FMLDQwNTQzLCwsLCk=&amp;WINDOW=FIRST_POPUP&amp;HEIGHT=450&amp;WIDTH=450&amp;START_MAXIMI","ZED=FALSE&amp;VAR:CALENDAR=US&amp;VAR:SYMBOL=711038&amp;VAR:INDEX=0"}</definedName>
    <definedName name="_4081__FDSAUDITLINK__" hidden="1">{"fdsup://directions/FAT Viewer?action=UPDATE&amp;creator=factset&amp;DYN_ARGS=TRUE&amp;DOC_NAME=FAT:FQL_AUDITING_CLIENT_TEMPLATE.FAT&amp;display_string=Audit&amp;VAR:KEY=DQVIXUTIHC&amp;VAR:QUERY=RkZfU0FMRVMoQ0FMLDQwMTc4LCwsLFVTRCk=&amp;WINDOW=FIRST_POPUP&amp;HEIGHT=450&amp;WIDTH=450&amp;START_MA","XIMIZED=FALSE&amp;VAR:CALENDAR=US&amp;VAR:SYMBOL=711038&amp;VAR:INDEX=0"}</definedName>
    <definedName name="_4082__FDSAUDITLINK__" hidden="1">{"fdsup://directions/FAT Viewer?action=UPDATE&amp;creator=factset&amp;DYN_ARGS=TRUE&amp;DOC_NAME=FAT:FQL_AUDITING_CLIENT_TEMPLATE.FAT&amp;display_string=Audit&amp;VAR:KEY=LANIXUPWJS&amp;VAR:QUERY=RkZfU0FMRVMoQ0FMLDM5ODEzLCwsLFVTRCk=&amp;WINDOW=FIRST_POPUP&amp;HEIGHT=450&amp;WIDTH=450&amp;START_MA","XIMIZED=FALSE&amp;VAR:CALENDAR=US&amp;VAR:SYMBOL=711038&amp;VAR:INDEX=0"}</definedName>
    <definedName name="_4083__FDSAUDITLINK__" hidden="1">{"fdsup://directions/FAT Viewer?action=UPDATE&amp;creator=factset&amp;DYN_ARGS=TRUE&amp;DOC_NAME=FAT:FQL_AUDITING_CLIENT_TEMPLATE.FAT&amp;display_string=Audit&amp;VAR:KEY=DMDIZURKRI&amp;VAR:QUERY=RkZfU0FMRVMoQ0FMLDQwNTQzLCwsLFVTRCk=&amp;WINDOW=FIRST_POPUP&amp;HEIGHT=450&amp;WIDTH=450&amp;START_MA","XIMIZED=FALSE&amp;VAR:CALENDAR=US&amp;VAR:SYMBOL=MRK&amp;VAR:INDEX=0"}</definedName>
    <definedName name="_4084__FDSAUDITLINK__" hidden="1">{"fdsup://directions/FAT Viewer?action=UPDATE&amp;creator=factset&amp;DYN_ARGS=TRUE&amp;DOC_NAME=FAT:FQL_AUDITING_CLIENT_TEMPLATE.FAT&amp;display_string=Audit&amp;VAR:KEY=RYVUVAXUDS&amp;VAR:QUERY=RkZfU0FMRVMoQ0FMLDQwNTQzLCwsLCk=&amp;WINDOW=FIRST_POPUP&amp;HEIGHT=450&amp;WIDTH=450&amp;START_MAXIMI","ZED=FALSE&amp;VAR:CALENDAR=US&amp;VAR:SYMBOL=MRK&amp;VAR:INDEX=0"}</definedName>
    <definedName name="_4085__FDSAUDITLINK__" hidden="1">{"fdsup://directions/FAT Viewer?action=UPDATE&amp;creator=factset&amp;DYN_ARGS=TRUE&amp;DOC_NAME=FAT:FQL_AUDITING_CLIENT_TEMPLATE.FAT&amp;display_string=Audit&amp;VAR:KEY=NITGVAHEXK&amp;VAR:QUERY=RkZfU0FMRVMoQ0FMLDQwMTc4LCwsLFVTRCk=&amp;WINDOW=FIRST_POPUP&amp;HEIGHT=450&amp;WIDTH=450&amp;START_MA","XIMIZED=FALSE&amp;VAR:CALENDAR=US&amp;VAR:SYMBOL=MRK&amp;VAR:INDEX=0"}</definedName>
    <definedName name="_4086__FDSAUDITLINK__" hidden="1">{"fdsup://directions/FAT Viewer?action=UPDATE&amp;creator=factset&amp;DYN_ARGS=TRUE&amp;DOC_NAME=FAT:FQL_AUDITING_CLIENT_TEMPLATE.FAT&amp;display_string=Audit&amp;VAR:KEY=PYDALOBCHY&amp;VAR:QUERY=RkZfU0FMRVMoQ0FMLDM5ODEzLCwsLFVTRCk=&amp;WINDOW=FIRST_POPUP&amp;HEIGHT=450&amp;WIDTH=450&amp;START_MA","XIMIZED=FALSE&amp;VAR:CALENDAR=US&amp;VAR:SYMBOL=MRK&amp;VAR:INDEX=0"}</definedName>
    <definedName name="_4087__FDSAUDITLINK__" hidden="1">{"fdsup://directions/FAT Viewer?action=UPDATE&amp;creator=factset&amp;DYN_ARGS=TRUE&amp;DOC_NAME=FAT:FQL_AUDITING_CLIENT_TEMPLATE.FAT&amp;display_string=Audit&amp;VAR:KEY=DIFWLOFKHK&amp;VAR:QUERY=RkZfU0FMRVMoQ0FMLDM5NDQ3LCwsLFVTRCk=&amp;WINDOW=FIRST_POPUP&amp;HEIGHT=450&amp;WIDTH=450&amp;START_MA","XIMIZED=FALSE&amp;VAR:CALENDAR=US&amp;VAR:SYMBOL=MRK&amp;VAR:INDEX=0"}</definedName>
    <definedName name="_4088__FDSAUDITLINK__" hidden="1">{"fdsup://directions/FAT Viewer?action=UPDATE&amp;creator=factset&amp;DYN_ARGS=TRUE&amp;DOC_NAME=FAT:FQL_AUDITING_CLIENT_TEMPLATE.FAT&amp;display_string=Audit&amp;VAR:KEY=HEPGNYVUHS&amp;VAR:QUERY=RkZfU0FMRVMoQ0FMLDM5MDgyLCwsLFVTRCk=&amp;WINDOW=FIRST_POPUP&amp;HEIGHT=450&amp;WIDTH=450&amp;START_MA","XIMIZED=FALSE&amp;VAR:CALENDAR=US&amp;VAR:SYMBOL=MRK&amp;VAR:INDEX=0"}</definedName>
    <definedName name="_4089__FDSAUDITLINK__" hidden="1">{"fdsup://directions/FAT Viewer?action=UPDATE&amp;creator=factset&amp;DYN_ARGS=TRUE&amp;DOC_NAME=FAT:FQL_AUDITING_CLIENT_TEMPLATE.FAT&amp;display_string=Audit&amp;VAR:KEY=LARWVSDIPK&amp;VAR:QUERY=RkZfU0FMRVMoQ0FMLDM4NzE3LCwsLFVTRCk=&amp;WINDOW=FIRST_POPUP&amp;HEIGHT=450&amp;WIDTH=450&amp;START_MA","XIMIZED=FALSE&amp;VAR:CALENDAR=US&amp;VAR:SYMBOL=MRK&amp;VAR:INDEX=0"}</definedName>
    <definedName name="_409__FDSAUDITLINK__" hidden="1">{"fdsup://directions/FAT%20Viewer?VAR:TM=NTMA&amp;VAR:PCT=0.049315&amp;VAR:Y0=2002&amp;VAR:Y1=2003&amp;VAR:V0=18.378489&amp;VAR:V1=16.253963&amp;VAR:V=16.347154&amp;VAR:AUDIT_ID=00000117&amp;VAR:DATE=20021213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Aggregates&amp;VAR:MEASURE=PE_MEAN&amp;VAR:CALC_MODE=PORTFOLIO&amp;VAR:CHGPERIOD=NA&amp;VAR:FQLFORMULA=FMA_PE&amp;VAR:CURRENCY=USD&amp;VAR:P=8","89.478330&amp;VAR:THRESH=||||||&amp;VAR:null=.html"}</definedName>
    <definedName name="_4090__FDSAUDITLINK__" hidden="1">{"fdsup://directions/FAT Viewer?action=UPDATE&amp;creator=factset&amp;DYN_ARGS=TRUE&amp;DOC_NAME=FAT:FQL_AUDITING_CLIENT_TEMPLATE.FAT&amp;display_string=Audit&amp;VAR:KEY=XINIZQTOTW&amp;VAR:QUERY=RkZfU0FMRVMoQ0FMLDM4MzUyLCwsLFVTRCk=&amp;WINDOW=FIRST_POPUP&amp;HEIGHT=450&amp;WIDTH=450&amp;START_MA","XIMIZED=FALSE&amp;VAR:CALENDAR=US&amp;VAR:SYMBOL=MRK&amp;VAR:INDEX=0"}</definedName>
    <definedName name="_4091__FDSAUDITLINK__" hidden="1">{"fdsup://directions/FAT Viewer?action=UPDATE&amp;creator=factset&amp;DYN_ARGS=TRUE&amp;DOC_NAME=FAT:FQL_AUDITING_CLIENT_TEMPLATE.FAT&amp;display_string=Audit&amp;VAR:KEY=HGVYHKXCNO&amp;VAR:QUERY=RkZfU0FMRVMoQ0FMLDQwNTQzLCwsLFVTRCk=&amp;WINDOW=FIRST_POPUP&amp;HEIGHT=450&amp;WIDTH=450&amp;START_MA","XIMIZED=FALSE&amp;VAR:CALENDAR=US&amp;VAR:SYMBOL=PFE&amp;VAR:INDEX=0"}</definedName>
    <definedName name="_4092__FDSAUDITLINK__" hidden="1">{"fdsup://directions/FAT Viewer?action=UPDATE&amp;creator=factset&amp;DYN_ARGS=TRUE&amp;DOC_NAME=FAT:FQL_AUDITING_CLIENT_TEMPLATE.FAT&amp;display_string=Audit&amp;VAR:KEY=LGHWFEBQFK&amp;VAR:QUERY=RkZfU0FMRVMoQ0FMLDQwNTQzLCwsLCk=&amp;WINDOW=FIRST_POPUP&amp;HEIGHT=450&amp;WIDTH=450&amp;START_MAXIMI","ZED=FALSE&amp;VAR:CALENDAR=US&amp;VAR:SYMBOL=PFE&amp;VAR:INDEX=0"}</definedName>
    <definedName name="_4093__FDSAUDITLINK__" hidden="1">{"fdsup://directions/FAT Viewer?action=UPDATE&amp;creator=factset&amp;DYN_ARGS=TRUE&amp;DOC_NAME=FAT:FQL_AUDITING_CLIENT_TEMPLATE.FAT&amp;display_string=Audit&amp;VAR:KEY=VUBGPEPQXE&amp;VAR:QUERY=RkZfU0FMRVMoQ0FMLDQwMTc4LCwsLFVTRCk=&amp;WINDOW=FIRST_POPUP&amp;HEIGHT=450&amp;WIDTH=450&amp;START_MA","XIMIZED=FALSE&amp;VAR:CALENDAR=US&amp;VAR:SYMBOL=PFE&amp;VAR:INDEX=0"}</definedName>
    <definedName name="_4094__FDSAUDITLINK__" hidden="1">{"fdsup://directions/FAT Viewer?action=UPDATE&amp;creator=factset&amp;DYN_ARGS=TRUE&amp;DOC_NAME=FAT:FQL_AUDITING_CLIENT_TEMPLATE.FAT&amp;display_string=Audit&amp;VAR:KEY=TALIFCXGLY&amp;VAR:QUERY=RkZfU0FMRVMoQ0FMLDM5ODEzLCwsLFVTRCk=&amp;WINDOW=FIRST_POPUP&amp;HEIGHT=450&amp;WIDTH=450&amp;START_MA","XIMIZED=FALSE&amp;VAR:CALENDAR=US&amp;VAR:SYMBOL=PFE&amp;VAR:INDEX=0"}</definedName>
    <definedName name="_4095__FDSAUDITLINK__" hidden="1">{"fdsup://directions/FAT Viewer?action=UPDATE&amp;creator=factset&amp;DYN_ARGS=TRUE&amp;DOC_NAME=FAT:FQL_AUDITING_CLIENT_TEMPLATE.FAT&amp;display_string=Audit&amp;VAR:KEY=XGZEZUPELA&amp;VAR:QUERY=RkZfU0FMRVMoQ0FMLDM5NDQ3LCwsLFVTRCk=&amp;WINDOW=FIRST_POPUP&amp;HEIGHT=450&amp;WIDTH=450&amp;START_MA","XIMIZED=FALSE&amp;VAR:CALENDAR=US&amp;VAR:SYMBOL=PFE&amp;VAR:INDEX=0"}</definedName>
    <definedName name="_4096__FDSAUDITLINK__" hidden="1">{"fdsup://directions/FAT Viewer?action=UPDATE&amp;creator=factset&amp;DYN_ARGS=TRUE&amp;DOC_NAME=FAT:FQL_AUDITING_CLIENT_TEMPLATE.FAT&amp;display_string=Audit&amp;VAR:KEY=VCRKNMRSXU&amp;VAR:QUERY=RkZfU0FMRVMoQ0FMLDM5MDgyLCwsLFVTRCk=&amp;WINDOW=FIRST_POPUP&amp;HEIGHT=450&amp;WIDTH=450&amp;START_MA","XIMIZED=FALSE&amp;VAR:CALENDAR=US&amp;VAR:SYMBOL=PFE&amp;VAR:INDEX=0"}</definedName>
    <definedName name="_4097__FDSAUDITLINK__" hidden="1">{"fdsup://directions/FAT Viewer?action=UPDATE&amp;creator=factset&amp;DYN_ARGS=TRUE&amp;DOC_NAME=FAT:FQL_AUDITING_CLIENT_TEMPLATE.FAT&amp;display_string=Audit&amp;VAR:KEY=XSFMPONEVU&amp;VAR:QUERY=RkZfU0FMRVMoQ0FMLDM4NzE3LCwsLFVTRCk=&amp;WINDOW=FIRST_POPUP&amp;HEIGHT=450&amp;WIDTH=450&amp;START_MA","XIMIZED=FALSE&amp;VAR:CALENDAR=US&amp;VAR:SYMBOL=PFE&amp;VAR:INDEX=0"}</definedName>
    <definedName name="_4098__FDSAUDITLINK__" hidden="1">{"fdsup://directions/FAT Viewer?action=UPDATE&amp;creator=factset&amp;DYN_ARGS=TRUE&amp;DOC_NAME=FAT:FQL_AUDITING_CLIENT_TEMPLATE.FAT&amp;display_string=Audit&amp;VAR:KEY=ZQNSHKVOTE&amp;VAR:QUERY=RkZfU0FMRVMoQ0FMLDM4MzUyLCwsLFVTRCk=&amp;WINDOW=FIRST_POPUP&amp;HEIGHT=450&amp;WIDTH=450&amp;START_MA","XIMIZED=FALSE&amp;VAR:CALENDAR=US&amp;VAR:SYMBOL=PFE&amp;VAR:INDEX=0"}</definedName>
    <definedName name="_4099__FDSAUDITLINK__" hidden="1">{"fdsup://directions/FAT Viewer?action=UPDATE&amp;creator=factset&amp;DYN_ARGS=TRUE&amp;DOC_NAME=FAT:FQL_AUDITING_CLIENT_TEMPLATE.FAT&amp;display_string=Audit&amp;VAR:KEY=DIVKNITAZM&amp;VAR:QUERY=RkZfUkRfRVhQKENBTCwyMDA4LCwsLFVTRCk=&amp;WINDOW=FIRST_POPUP&amp;HEIGHT=450&amp;WIDTH=450&amp;START_MA","XIMIZED=FALSE&amp;VAR:CALENDAR=US&amp;VAR:SYMBOL=WYE&amp;VAR:INDEX=0"}</definedName>
    <definedName name="_41__FDSAUDITLINK__" hidden="1">{"fdsup://directions/FAT%20Viewer?VAR:TM=NTMA&amp;VAR:PCT=0.000000&amp;VAR:Y0=2009&amp;VAR:Y1=2010&amp;VAR:V0=18.304518&amp;VAR:V1=14.260604&amp;VAR:V=14.260604&amp;VAR:AUDIT_ID=00000117&amp;VAR:DATE=20091231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Aggregates&amp;VAR:MEASURE=PE_MEAN&amp;VAR:CALC_MODE=PORTFOLIO&amp;VAR:CHGPERIOD=NA&amp;VAR:FQLFORMULA=FMA_PE&amp;VAR:CURRENCY=USD&amp;VAR:P=1","115.102681&amp;VAR:THRESH=||||||&amp;VAR:null=.html"}</definedName>
    <definedName name="_410__FDSAUDITLINK__" hidden="1">{"fdsup://directions/FAT%20Viewer?VAR:TM=NTMA&amp;VAR:PCT=0.068493&amp;VAR:Y0=2002&amp;VAR:Y1=2003&amp;VAR:V0=18.837280&amp;VAR:V1=16.633669&amp;VAR:V=16.768021&amp;VAR:AUDIT_ID=00000117&amp;VAR:DATE=20021206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Aggregates&amp;VAR:MEASURE=PE_MEAN&amp;VAR:CALC_MODE=PORTFOLIO&amp;VAR:CHGPERIOD=NA&amp;VAR:FQLFORMULA=FMA_PE&amp;VAR:CURRENCY=USD&amp;VAR:P=9","12.232900&amp;VAR:THRESH=||||||&amp;VAR:null=.html"}</definedName>
    <definedName name="_4100__FDSAUDITLINK__" hidden="1">{"fdsup://directions/FAT Viewer?action=UPDATE&amp;creator=factset&amp;DYN_ARGS=TRUE&amp;DOC_NAME=FAT:FQL_AUDITING_CLIENT_TEMPLATE.FAT&amp;display_string=Audit&amp;VAR:KEY=HCLYRIPKVQ&amp;VAR:QUERY=RkZfUkRfRVhQKENBTCwyMDA3LCwsLFVTRCk=&amp;WINDOW=FIRST_POPUP&amp;HEIGHT=450&amp;WIDTH=450&amp;START_MA","XIMIZED=FALSE&amp;VAR:CALENDAR=US&amp;VAR:SYMBOL=WYE&amp;VAR:INDEX=0"}</definedName>
    <definedName name="_4101__FDSAUDITLINK__" hidden="1">{"fdsup://directions/FAT Viewer?action=UPDATE&amp;creator=factset&amp;DYN_ARGS=TRUE&amp;DOC_NAME=FAT:FQL_AUDITING_CLIENT_TEMPLATE.FAT&amp;display_string=Audit&amp;VAR:KEY=XKJURUPUXI&amp;VAR:QUERY=RkZfUkRfRVhQKENBTCwyMDA4LCwsLFVTRCk=&amp;WINDOW=FIRST_POPUP&amp;HEIGHT=450&amp;WIDTH=450&amp;START_MA","XIMIZED=FALSE&amp;VAR:CALENDAR=US&amp;VAR:SYMBOL=BIIB&amp;VAR:INDEX=0"}</definedName>
    <definedName name="_4102__FDSAUDITLINK__" hidden="1">{"fdsup://directions/FAT Viewer?action=UPDATE&amp;creator=factset&amp;DYN_ARGS=TRUE&amp;DOC_NAME=FAT:FQL_AUDITING_CLIENT_TEMPLATE.FAT&amp;display_string=Audit&amp;VAR:KEY=DWTCTGDURW&amp;VAR:QUERY=RkZfUkRfRVhQKENBTCwyMDA3LCwsLFVTRCk=&amp;WINDOW=FIRST_POPUP&amp;HEIGHT=450&amp;WIDTH=450&amp;START_MA","XIMIZED=FALSE&amp;VAR:CALENDAR=US&amp;VAR:SYMBOL=BIIB&amp;VAR:INDEX=0"}</definedName>
    <definedName name="_4103__FDSAUDITLINK__" hidden="1">{"fdsup://directions/FAT Viewer?action=UPDATE&amp;creator=factset&amp;DYN_ARGS=TRUE&amp;DOC_NAME=FAT:FQL_AUDITING_CLIENT_TEMPLATE.FAT&amp;display_string=Audit&amp;VAR:KEY=ZKDQPGHSNO&amp;VAR:QUERY=RkZfUkRfRVhQKENBTCwyMDA4LCwsLFVTRCk=&amp;WINDOW=FIRST_POPUP&amp;HEIGHT=450&amp;WIDTH=450&amp;START_MA","XIMIZED=FALSE&amp;VAR:CALENDAR=US&amp;VAR:SYMBOL=707752&amp;VAR:INDEX=0"}</definedName>
    <definedName name="_4104__FDSAUDITLINK__" hidden="1">{"fdsup://directions/FAT Viewer?action=UPDATE&amp;creator=factset&amp;DYN_ARGS=TRUE&amp;DOC_NAME=FAT:FQL_AUDITING_CLIENT_TEMPLATE.FAT&amp;display_string=Audit&amp;VAR:KEY=HKJQHCVUFC&amp;VAR:QUERY=RkZfUkRfRVhQKENBTCwyMDA3LCwsLFVTRCk=&amp;WINDOW=FIRST_POPUP&amp;HEIGHT=450&amp;WIDTH=450&amp;START_MA","XIMIZED=FALSE&amp;VAR:CALENDAR=US&amp;VAR:SYMBOL=707752&amp;VAR:INDEX=0"}</definedName>
    <definedName name="_4105__FDSAUDITLINK__" hidden="1">{"fdsup://directions/FAT Viewer?action=UPDATE&amp;creator=factset&amp;DYN_ARGS=TRUE&amp;DOC_NAME=FAT:FQL_AUDITING_CLIENT_TEMPLATE.FAT&amp;display_string=Audit&amp;VAR:KEY=XSPCXOXWFG&amp;VAR:QUERY=RkZfUkRfRVhQKENBTCwyMDA4LCwsLFVTRCk=&amp;WINDOW=FIRST_POPUP&amp;HEIGHT=450&amp;WIDTH=450&amp;START_MA","XIMIZED=FALSE&amp;VAR:CALENDAR=US&amp;VAR:SYMBOL=630720&amp;VAR:INDEX=0"}</definedName>
    <definedName name="_4106__FDSAUDITLINK__" hidden="1">{"fdsup://directions/FAT Viewer?action=UPDATE&amp;creator=factset&amp;DYN_ARGS=TRUE&amp;DOC_NAME=FAT:FQL_AUDITING_CLIENT_TEMPLATE.FAT&amp;display_string=Audit&amp;VAR:KEY=BEDORSJANQ&amp;VAR:QUERY=RkZfUkRfRVhQKENBTCwyMDA3LCwsLFVTRCk=&amp;WINDOW=FIRST_POPUP&amp;HEIGHT=450&amp;WIDTH=450&amp;START_MA","XIMIZED=FALSE&amp;VAR:CALENDAR=US&amp;VAR:SYMBOL=630720&amp;VAR:INDEX=0"}</definedName>
    <definedName name="_4107__FDSAUDITLINK__" hidden="1">{"fdsup://directions/FAT Viewer?action=UPDATE&amp;creator=factset&amp;DYN_ARGS=TRUE&amp;DOC_NAME=FAT:FQL_AUDITING_CLIENT_TEMPLATE.FAT&amp;display_string=Audit&amp;VAR:KEY=ZEPGFQJADE&amp;VAR:QUERY=RkZfUkRfRVhQKENBTCwyMDA4LCwsLFVTRCk=&amp;WINDOW=FIRST_POPUP&amp;HEIGHT=450&amp;WIDTH=450&amp;START_MA","XIMIZED=FALSE&amp;VAR:CALENDAR=US&amp;VAR:SYMBOL=698538&amp;VAR:INDEX=0"}</definedName>
    <definedName name="_4108__FDSAUDITLINK__" hidden="1">{"fdsup://directions/FAT Viewer?action=UPDATE&amp;creator=factset&amp;DYN_ARGS=TRUE&amp;DOC_NAME=FAT:FQL_AUDITING_CLIENT_TEMPLATE.FAT&amp;display_string=Audit&amp;VAR:KEY=HALOFQXSVO&amp;VAR:QUERY=RkZfUkRfRVhQKENBTCwyMDA3LCwsLFVTRCk=&amp;WINDOW=FIRST_POPUP&amp;HEIGHT=450&amp;WIDTH=450&amp;START_MA","XIMIZED=FALSE&amp;VAR:CALENDAR=US&amp;VAR:SYMBOL=698538&amp;VAR:INDEX=0"}</definedName>
    <definedName name="_4109__FDSAUDITLINK__" hidden="1">{"fdsup://directions/FAT Viewer?action=UPDATE&amp;creator=factset&amp;DYN_ARGS=TRUE&amp;DOC_NAME=FAT:FQL_AUDITING_CLIENT_TEMPLATE.FAT&amp;display_string=Audit&amp;VAR:KEY=BURSXUHEJK&amp;VAR:QUERY=RkZfUkRfRVhQKENBTCwyMDA4LCwsLFVTRCk=&amp;WINDOW=FIRST_POPUP&amp;HEIGHT=450&amp;WIDTH=450&amp;START_MA","XIMIZED=FALSE&amp;VAR:CALENDAR=US&amp;VAR:SYMBOL=B0J7D9&amp;VAR:INDEX=0"}</definedName>
    <definedName name="_411__FDSAUDITLINK__" hidden="1">{"fdsup://directions/FAT%20Viewer?VAR:TM=NTMA&amp;VAR:PCT=0.087671&amp;VAR:Y0=2002&amp;VAR:Y1=2003&amp;VAR:V0=19.322590&amp;VAR:V1=17.011270&amp;VAR:V=17.191558&amp;VAR:AUDIT_ID=00000117&amp;VAR:DATE=20021129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Aggregates&amp;VAR:MEASURE=PE_MEAN&amp;VAR:CALC_MODE=PORTFOLIO&amp;VAR:CHGPERIOD=NA&amp;VAR:FQLFORMULA=FMA_PE&amp;VAR:CURRENCY=USD&amp;VAR:P=9","36.313660&amp;VAR:THRESH=||||||&amp;VAR:null=.html"}</definedName>
    <definedName name="_4110__FDSAUDITLINK__" hidden="1">{"fdsup://directions/FAT Viewer?action=UPDATE&amp;creator=factset&amp;DYN_ARGS=TRUE&amp;DOC_NAME=FAT:FQL_AUDITING_CLIENT_TEMPLATE.FAT&amp;display_string=Audit&amp;VAR:KEY=LABKHYRYVS&amp;VAR:QUERY=RkZfUkRfRVhQKENBTCwyMDA3LCwsLFVTRCk=&amp;WINDOW=FIRST_POPUP&amp;HEIGHT=450&amp;WIDTH=450&amp;START_MA","XIMIZED=FALSE&amp;VAR:CALENDAR=US&amp;VAR:SYMBOL=B0J7D9&amp;VAR:INDEX=0"}</definedName>
    <definedName name="_4111__FDSAUDITLINK__" hidden="1">{"fdsup://directions/FAT Viewer?action=UPDATE&amp;creator=factset&amp;DYN_ARGS=TRUE&amp;DOC_NAME=FAT:FQL_AUDITING_CLIENT_TEMPLATE.FAT&amp;display_string=Audit&amp;VAR:KEY=XQBYHAHMJE&amp;VAR:QUERY=RkZfUkRfRVhQKENBTCwyMDA4LCwsLFVTRCk=&amp;WINDOW=FIRST_POPUP&amp;HEIGHT=450&amp;WIDTH=450&amp;START_MA","XIMIZED=FALSE&amp;VAR:CALENDAR=US&amp;VAR:SYMBOL=AMGN&amp;VAR:INDEX=0"}</definedName>
    <definedName name="_4112__FDSAUDITLINK__" hidden="1">{"fdsup://directions/FAT Viewer?action=UPDATE&amp;creator=factset&amp;DYN_ARGS=TRUE&amp;DOC_NAME=FAT:FQL_AUDITING_CLIENT_TEMPLATE.FAT&amp;display_string=Audit&amp;VAR:KEY=RWVUPEFUXW&amp;VAR:QUERY=RkZfUkRfRVhQKENBTCwyMDA3LCwsLFVTRCk=&amp;WINDOW=FIRST_POPUP&amp;HEIGHT=450&amp;WIDTH=450&amp;START_MA","XIMIZED=FALSE&amp;VAR:CALENDAR=US&amp;VAR:SYMBOL=AMGN&amp;VAR:INDEX=0"}</definedName>
    <definedName name="_4113__FDSAUDITLINK__" hidden="1">{"fdsup://directions/FAT Viewer?action=UPDATE&amp;creator=factset&amp;DYN_ARGS=TRUE&amp;DOC_NAME=FAT:FQL_AUDITING_CLIENT_TEMPLATE.FAT&amp;display_string=Audit&amp;VAR:KEY=HUJQRCJEBE&amp;VAR:QUERY=RkZfUkRfRVhQKENBTCwyMDA4LCwsLFVTRCk=&amp;WINDOW=FIRST_POPUP&amp;HEIGHT=450&amp;WIDTH=450&amp;START_MA","XIMIZED=FALSE&amp;VAR:CALENDAR=US&amp;VAR:SYMBOL=ABT&amp;VAR:INDEX=0"}</definedName>
    <definedName name="_4114__FDSAUDITLINK__" hidden="1">{"fdsup://directions/FAT Viewer?action=UPDATE&amp;creator=factset&amp;DYN_ARGS=TRUE&amp;DOC_NAME=FAT:FQL_AUDITING_CLIENT_TEMPLATE.FAT&amp;display_string=Audit&amp;VAR:KEY=BYVWXYRQNK&amp;VAR:QUERY=RkZfUkRfRVhQKENBTCwyMDA3LCwsLFVTRCk=&amp;WINDOW=FIRST_POPUP&amp;HEIGHT=450&amp;WIDTH=450&amp;START_MA","XIMIZED=FALSE&amp;VAR:CALENDAR=US&amp;VAR:SYMBOL=ABT&amp;VAR:INDEX=0"}</definedName>
    <definedName name="_4115__FDSAUDITLINK__" hidden="1">{"fdsup://directions/FAT Viewer?action=UPDATE&amp;creator=factset&amp;DYN_ARGS=TRUE&amp;DOC_NAME=FAT:FQL_AUDITING_CLIENT_TEMPLATE.FAT&amp;display_string=Audit&amp;VAR:KEY=ZUPYRQFSRU&amp;VAR:QUERY=RkZfUkRfRVhQKENBTCwyMDA4LCwsLFVTRCk=&amp;WINDOW=FIRST_POPUP&amp;HEIGHT=450&amp;WIDTH=450&amp;START_MA","XIMIZED=FALSE&amp;VAR:CALENDAR=US&amp;VAR:SYMBOL=687044&amp;VAR:INDEX=0"}</definedName>
    <definedName name="_4116__FDSAUDITLINK__" hidden="1">{"fdsup://directions/FAT Viewer?action=UPDATE&amp;creator=factset&amp;DYN_ARGS=TRUE&amp;DOC_NAME=FAT:FQL_AUDITING_CLIENT_TEMPLATE.FAT&amp;display_string=Audit&amp;VAR:KEY=ZMRALSXARE&amp;VAR:QUERY=RkZfUkRfRVhQKENBTCwyMDA3LCwsLFVTRCk=&amp;WINDOW=FIRST_POPUP&amp;HEIGHT=450&amp;WIDTH=450&amp;START_MA","XIMIZED=FALSE&amp;VAR:CALENDAR=US&amp;VAR:SYMBOL=687044&amp;VAR:INDEX=0"}</definedName>
    <definedName name="_4117__FDSAUDITLINK__" hidden="1">{"fdsup://directions/FAT Viewer?action=UPDATE&amp;creator=factset&amp;DYN_ARGS=TRUE&amp;DOC_NAME=FAT:FQL_AUDITING_CLIENT_TEMPLATE.FAT&amp;display_string=Audit&amp;VAR:KEY=ZMZYLSXEVK&amp;VAR:QUERY=RkZfUkRfRVhQKENBTCwyMDA4LCwsLFVTRCk=&amp;WINDOW=FIRST_POPUP&amp;HEIGHT=450&amp;WIDTH=450&amp;START_MA","XIMIZED=FALSE&amp;VAR:CALENDAR=US&amp;VAR:SYMBOL=BMY&amp;VAR:INDEX=0"}</definedName>
    <definedName name="_4118__FDSAUDITLINK__" hidden="1">{"fdsup://directions/FAT Viewer?action=UPDATE&amp;creator=factset&amp;DYN_ARGS=TRUE&amp;DOC_NAME=FAT:FQL_AUDITING_CLIENT_TEMPLATE.FAT&amp;display_string=Audit&amp;VAR:KEY=RENSXGJCBC&amp;VAR:QUERY=RkZfUkRfRVhQKENBTCwyMDA3LCwsLFVTRCk=&amp;WINDOW=FIRST_POPUP&amp;HEIGHT=450&amp;WIDTH=450&amp;START_MA","XIMIZED=FALSE&amp;VAR:CALENDAR=US&amp;VAR:SYMBOL=BMY&amp;VAR:INDEX=0"}</definedName>
    <definedName name="_4119__FDSAUDITLINK__" hidden="1">{"fdsup://directions/FAT Viewer?action=UPDATE&amp;creator=factset&amp;DYN_ARGS=TRUE&amp;DOC_NAME=FAT:FQL_AUDITING_CLIENT_TEMPLATE.FAT&amp;display_string=Audit&amp;VAR:KEY=BSNATUHMFQ&amp;VAR:QUERY=RkZfUkRfRVhQKENBTCwyMDA4LCwsLFVTRCk=&amp;WINDOW=FIRST_POPUP&amp;HEIGHT=450&amp;WIDTH=450&amp;START_MA","XIMIZED=FALSE&amp;VAR:CALENDAR=US&amp;VAR:SYMBOL=LLY&amp;VAR:INDEX=0"}</definedName>
    <definedName name="_412__FDSAUDITLINK__" hidden="1">{"fdsup://directions/FAT%20Viewer?VAR:TM=NTMA&amp;VAR:PCT=0.106849&amp;VAR:Y0=2002&amp;VAR:Y1=2003&amp;VAR:V0=19.170547&amp;VAR:V1=16.851060&amp;VAR:V=17.071763&amp;VAR:AUDIT_ID=00000117&amp;VAR:DATE=20021122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Aggregates&amp;VAR:MEASURE=PE_MEAN&amp;VAR:CALC_MODE=PORTFOLIO&amp;VAR:CHGPERIOD=NA&amp;VAR:FQLFORMULA=FMA_PE&amp;VAR:CURRENCY=USD&amp;VAR:P=9","30.547900&amp;VAR:THRESH=||||||&amp;VAR:null=.html"}</definedName>
    <definedName name="_4120__FDSAUDITLINK__" hidden="1">{"fdsup://directions/FAT Viewer?action=UPDATE&amp;creator=factset&amp;DYN_ARGS=TRUE&amp;DOC_NAME=FAT:FQL_AUDITING_CLIENT_TEMPLATE.FAT&amp;display_string=Audit&amp;VAR:KEY=DOHSHEVKPM&amp;VAR:QUERY=RkZfUkRfRVhQKENBTCwyMDA3LCwsLFVTRCk=&amp;WINDOW=FIRST_POPUP&amp;HEIGHT=450&amp;WIDTH=450&amp;START_MA","XIMIZED=FALSE&amp;VAR:CALENDAR=US&amp;VAR:SYMBOL=LLY&amp;VAR:INDEX=0"}</definedName>
    <definedName name="_4121__FDSAUDITLINK__" hidden="1">{"fdsup://directions/FAT Viewer?action=UPDATE&amp;creator=factset&amp;DYN_ARGS=TRUE&amp;DOC_NAME=FAT:FQL_AUDITING_CLIENT_TEMPLATE.FAT&amp;display_string=Audit&amp;VAR:KEY=JKHWTOZSRO&amp;VAR:QUERY=RkZfUkRfRVhQKENBTCwyMDA4LCwsLFVTRCk=&amp;WINDOW=FIRST_POPUP&amp;HEIGHT=450&amp;WIDTH=450&amp;START_MA","XIMIZED=FALSE&amp;VAR:CALENDAR=US&amp;VAR:SYMBOL=506921&amp;VAR:INDEX=0"}</definedName>
    <definedName name="_4122__FDSAUDITLINK__" hidden="1">{"fdsup://directions/FAT Viewer?action=UPDATE&amp;creator=factset&amp;DYN_ARGS=TRUE&amp;DOC_NAME=FAT:FQL_AUDITING_CLIENT_TEMPLATE.FAT&amp;display_string=Audit&amp;VAR:KEY=RCZEJWXODC&amp;VAR:QUERY=RkZfUkRfRVhQKENBTCwyMDA3LCwsLFVTRCk=&amp;WINDOW=FIRST_POPUP&amp;HEIGHT=450&amp;WIDTH=450&amp;START_MA","XIMIZED=FALSE&amp;VAR:CALENDAR=US&amp;VAR:SYMBOL=506921&amp;VAR:INDEX=0"}</definedName>
    <definedName name="_4123__FDSAUDITLINK__" hidden="1">{"fdsup://directions/FAT Viewer?action=UPDATE&amp;creator=factset&amp;DYN_ARGS=TRUE&amp;DOC_NAME=FAT:FQL_AUDITING_CLIENT_TEMPLATE.FAT&amp;display_string=Audit&amp;VAR:KEY=NGTOJGBUXY&amp;VAR:QUERY=RkZfUkRfRVhQKENBTCwyMDA4LCwsLFVTRCk=&amp;WINDOW=FIRST_POPUP&amp;HEIGHT=450&amp;WIDTH=450&amp;START_MA","XIMIZED=FALSE&amp;VAR:CALENDAR=US&amp;VAR:SYMBOL=567173&amp;VAR:INDEX=0"}</definedName>
    <definedName name="_4124__FDSAUDITLINK__" hidden="1">{"fdsup://directions/FAT Viewer?action=UPDATE&amp;creator=factset&amp;DYN_ARGS=TRUE&amp;DOC_NAME=FAT:FQL_AUDITING_CLIENT_TEMPLATE.FAT&amp;display_string=Audit&amp;VAR:KEY=RAZEFOLQPC&amp;VAR:QUERY=RkZfUkRfRVhQKENBTCwyMDA3LCwsLFVTRCk=&amp;WINDOW=FIRST_POPUP&amp;HEIGHT=450&amp;WIDTH=450&amp;START_MA","XIMIZED=FALSE&amp;VAR:CALENDAR=US&amp;VAR:SYMBOL=567173&amp;VAR:INDEX=0"}</definedName>
    <definedName name="_4125__FDSAUDITLINK__" hidden="1">{"fdsup://directions/FAT Viewer?action=UPDATE&amp;creator=factset&amp;DYN_ARGS=TRUE&amp;DOC_NAME=FAT:FQL_AUDITING_CLIENT_TEMPLATE.FAT&amp;display_string=Audit&amp;VAR:KEY=XKRABGFMPG&amp;VAR:QUERY=RkZfUkRfRVhQKENBTCwyMDA4LCwsLFVTRCk=&amp;WINDOW=FIRST_POPUP&amp;HEIGHT=450&amp;WIDTH=450&amp;START_MA","XIMIZED=FALSE&amp;VAR:CALENDAR=US&amp;VAR:SYMBOL=JNJ&amp;VAR:INDEX=0"}</definedName>
    <definedName name="_4126__FDSAUDITLINK__" hidden="1">{"fdsup://directions/FAT Viewer?action=UPDATE&amp;creator=factset&amp;DYN_ARGS=TRUE&amp;DOC_NAME=FAT:FQL_AUDITING_CLIENT_TEMPLATE.FAT&amp;display_string=Audit&amp;VAR:KEY=LCJKLSDCRQ&amp;VAR:QUERY=RkZfUkRfRVhQKENBTCwyMDA3LCwsLFVTRCk=&amp;WINDOW=FIRST_POPUP&amp;HEIGHT=450&amp;WIDTH=450&amp;START_MA","XIMIZED=FALSE&amp;VAR:CALENDAR=US&amp;VAR:SYMBOL=JNJ&amp;VAR:INDEX=0"}</definedName>
    <definedName name="_4127__FDSAUDITLINK__" hidden="1">{"fdsup://directions/FAT Viewer?action=UPDATE&amp;creator=factset&amp;DYN_ARGS=TRUE&amp;DOC_NAME=FAT:FQL_AUDITING_CLIENT_TEMPLATE.FAT&amp;display_string=Audit&amp;VAR:KEY=LMTQHUVWVA&amp;VAR:QUERY=RkZfUkRfRVhQKENBTCwyMDA4LCwsLFVTRCk=&amp;WINDOW=FIRST_POPUP&amp;HEIGHT=450&amp;WIDTH=450&amp;START_MA","XIMIZED=FALSE&amp;VAR:CALENDAR=US&amp;VAR:SYMBOL=710306&amp;VAR:INDEX=0"}</definedName>
    <definedName name="_4128__FDSAUDITLINK__" hidden="1">{"fdsup://directions/FAT Viewer?action=UPDATE&amp;creator=factset&amp;DYN_ARGS=TRUE&amp;DOC_NAME=FAT:FQL_AUDITING_CLIENT_TEMPLATE.FAT&amp;display_string=Audit&amp;VAR:KEY=VYTORQNKTW&amp;VAR:QUERY=RkZfUkRfRVhQKENBTCwyMDA3LCwsLFVTRCk=&amp;WINDOW=FIRST_POPUP&amp;HEIGHT=450&amp;WIDTH=450&amp;START_MA","XIMIZED=FALSE&amp;VAR:CALENDAR=US&amp;VAR:SYMBOL=710306&amp;VAR:INDEX=0"}</definedName>
    <definedName name="_4129__FDSAUDITLINK__" hidden="1">{"fdsup://directions/FAT Viewer?action=UPDATE&amp;creator=factset&amp;DYN_ARGS=TRUE&amp;DOC_NAME=FAT:FQL_AUDITING_CLIENT_TEMPLATE.FAT&amp;display_string=Audit&amp;VAR:KEY=RAFAPGJURW&amp;VAR:QUERY=RkZfUkRfRVhQKENBTCwyMDA4LCwsLFVTRCk=&amp;WINDOW=FIRST_POPUP&amp;HEIGHT=450&amp;WIDTH=450&amp;START_MA","XIMIZED=FALSE&amp;VAR:CALENDAR=US&amp;VAR:SYMBOL=711038&amp;VAR:INDEX=0"}</definedName>
    <definedName name="_413__FDSAUDITLINK__" hidden="1">{"fdsup://directions/FAT%20Viewer?VAR:TM=NTMA&amp;VAR:PCT=0.126027&amp;VAR:Y0=2002&amp;VAR:Y1=2003&amp;VAR:V0=18.646944&amp;VAR:V1=16.370821&amp;VAR:V=16.626595&amp;VAR:AUDIT_ID=00000117&amp;VAR:DATE=20021115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Aggregates&amp;VAR:MEASURE=PE_MEAN&amp;VAR:CALC_MODE=PORTFOLIO&amp;VAR:CHGPERIOD=NA&amp;VAR:FQLFORMULA=FMA_PE&amp;VAR:CURRENCY=USD&amp;VAR:P=9","09.834660&amp;VAR:THRESH=||||||&amp;VAR:null=.html"}</definedName>
    <definedName name="_4130__FDSAUDITLINK__" hidden="1">{"fdsup://directions/FAT Viewer?action=UPDATE&amp;creator=factset&amp;DYN_ARGS=TRUE&amp;DOC_NAME=FAT:FQL_AUDITING_CLIENT_TEMPLATE.FAT&amp;display_string=Audit&amp;VAR:KEY=LKDSHOXEJE&amp;VAR:QUERY=RkZfUkRfRVhQKENBTCwyMDA4LCwsLFVTRCk=&amp;WINDOW=FIRST_POPUP&amp;HEIGHT=450&amp;WIDTH=450&amp;START_MA","XIMIZED=FALSE&amp;VAR:CALENDAR=US&amp;VAR:SYMBOL=MRK&amp;VAR:INDEX=0"}</definedName>
    <definedName name="_4131__FDSAUDITLINK__" hidden="1">{"fdsup://directions/FAT Viewer?action=UPDATE&amp;creator=factset&amp;DYN_ARGS=TRUE&amp;DOC_NAME=FAT:FQL_AUDITING_CLIENT_TEMPLATE.FAT&amp;display_string=Audit&amp;VAR:KEY=TILQDMTSFA&amp;VAR:QUERY=RkZfUkRfRVhQKENBTCwyMDA3LCwsLFVTRCk=&amp;WINDOW=FIRST_POPUP&amp;HEIGHT=450&amp;WIDTH=450&amp;START_MA","XIMIZED=FALSE&amp;VAR:CALENDAR=US&amp;VAR:SYMBOL=MRK&amp;VAR:INDEX=0"}</definedName>
    <definedName name="_4132__FDSAUDITLINK__" hidden="1">{"fdsup://directions/FAT Viewer?action=UPDATE&amp;creator=factset&amp;DYN_ARGS=TRUE&amp;DOC_NAME=FAT:FQL_AUDITING_CLIENT_TEMPLATE.FAT&amp;display_string=Audit&amp;VAR:KEY=JCJYXWPCFK&amp;VAR:QUERY=RkZfUkRfRVhQKENBTCwyMDA4LCwsLFVTRCk=&amp;WINDOW=FIRST_POPUP&amp;HEIGHT=450&amp;WIDTH=450&amp;START_MA","XIMIZED=FALSE&amp;VAR:CALENDAR=US&amp;VAR:SYMBOL=PFE&amp;VAR:INDEX=0"}</definedName>
    <definedName name="_4133__FDSAUDITLINK__" hidden="1">{"fdsup://directions/FAT Viewer?action=UPDATE&amp;creator=factset&amp;DYN_ARGS=TRUE&amp;DOC_NAME=FAT:FQL_AUDITING_CLIENT_TEMPLATE.FAT&amp;display_string=Audit&amp;VAR:KEY=VABOBMLSTS&amp;VAR:QUERY=RkZfUkRfRVhQKENBTCwyMDA3LCwsLFVTRCk=&amp;WINDOW=FIRST_POPUP&amp;HEIGHT=450&amp;WIDTH=450&amp;START_MA","XIMIZED=FALSE&amp;VAR:CALENDAR=US&amp;VAR:SYMBOL=PFE&amp;VAR:INDEX=0"}</definedName>
    <definedName name="_4134__FDSAUDITLINK__" hidden="1">{"fdsup://directions/FAT Viewer?action=UPDATE&amp;creator=factset&amp;DYN_ARGS=TRUE&amp;DOC_NAME=FAT:FQL_AUDITING_CLIENT_TEMPLATE.FAT&amp;display_string=Audit&amp;VAR:KEY=FADGZQHEFC&amp;VAR:QUERY=RkZfUkRfRVhQKENBTCw0MDU0MywsLCxVU0Qp&amp;WINDOW=FIRST_POPUP&amp;HEIGHT=450&amp;WIDTH=450&amp;START_MA","XIMIZED=FALSE&amp;VAR:CALENDAR=US&amp;VAR:SYMBOL=BIIB&amp;VAR:INDEX=0"}</definedName>
    <definedName name="_4135__FDSAUDITLINK__" hidden="1">{"fdsup://directions/FAT Viewer?action=UPDATE&amp;creator=factset&amp;DYN_ARGS=TRUE&amp;DOC_NAME=FAT:FQL_AUDITING_CLIENT_TEMPLATE.FAT&amp;display_string=Audit&amp;VAR:KEY=NSPUJGFSHI&amp;VAR:QUERY=RkZfUkRfRVhQKENBTCw0MDU0MywsLCxVU0Qp&amp;WINDOW=FIRST_POPUP&amp;HEIGHT=450&amp;WIDTH=450&amp;START_MA","XIMIZED=FALSE&amp;VAR:CALENDAR=US&amp;VAR:SYMBOL=707752&amp;VAR:INDEX=0"}</definedName>
    <definedName name="_4136__FDSAUDITLINK__" hidden="1">{"fdsup://directions/FAT Viewer?action=UPDATE&amp;creator=factset&amp;DYN_ARGS=TRUE&amp;DOC_NAME=FAT:FQL_AUDITING_CLIENT_TEMPLATE.FAT&amp;display_string=Audit&amp;VAR:KEY=PWJMJAPQXA&amp;VAR:QUERY=RkZfUkRfRVhQKENBTCw0MDU0MywsLCxVU0Qp&amp;WINDOW=FIRST_POPUP&amp;HEIGHT=450&amp;WIDTH=450&amp;START_MA","XIMIZED=FALSE&amp;VAR:CALENDAR=US&amp;VAR:SYMBOL=630720&amp;VAR:INDEX=0"}</definedName>
    <definedName name="_4137__FDSAUDITLINK__" hidden="1">{"fdsup://directions/FAT Viewer?action=UPDATE&amp;creator=factset&amp;DYN_ARGS=TRUE&amp;DOC_NAME=FAT:FQL_AUDITING_CLIENT_TEMPLATE.FAT&amp;display_string=Audit&amp;VAR:KEY=TQDGRYXUPO&amp;VAR:QUERY=RkZfUkRfRVhQKENBTCw0MDU0MywsLCxVU0Qp&amp;WINDOW=FIRST_POPUP&amp;HEIGHT=450&amp;WIDTH=450&amp;START_MA","XIMIZED=FALSE&amp;VAR:CALENDAR=US&amp;VAR:SYMBOL=698538&amp;VAR:INDEX=0"}</definedName>
    <definedName name="_4138__FDSAUDITLINK__" hidden="1">{"fdsup://directions/FAT Viewer?action=UPDATE&amp;creator=factset&amp;DYN_ARGS=TRUE&amp;DOC_NAME=FAT:FQL_AUDITING_CLIENT_TEMPLATE.FAT&amp;display_string=Audit&amp;VAR:KEY=LCNIRKJOVO&amp;VAR:QUERY=RkZfUkRfRVhQKENBTCw0MDU0MywsLCxVU0Qp&amp;WINDOW=FIRST_POPUP&amp;HEIGHT=450&amp;WIDTH=450&amp;START_MA","XIMIZED=FALSE&amp;VAR:CALENDAR=US&amp;VAR:SYMBOL=474184&amp;VAR:INDEX=0"}</definedName>
    <definedName name="_4139__FDSAUDITLINK__" hidden="1">{"fdsup://directions/FAT Viewer?action=UPDATE&amp;creator=factset&amp;DYN_ARGS=TRUE&amp;DOC_NAME=FAT:FQL_AUDITING_CLIENT_TEMPLATE.FAT&amp;display_string=Audit&amp;VAR:KEY=JAPATOHCPG&amp;VAR:QUERY=RkZfUkRfRVhQKENBTCw0MDU0MywsLCxVU0Qp&amp;WINDOW=FIRST_POPUP&amp;HEIGHT=450&amp;WIDTH=450&amp;START_MA","XIMIZED=FALSE&amp;VAR:CALENDAR=US&amp;VAR:SYMBOL=B0J7D9&amp;VAR:INDEX=0"}</definedName>
    <definedName name="_414__FDSAUDITLINK__" hidden="1">{"fdsup://directions/FAT%20Viewer?VAR:TM=NTMA&amp;VAR:PCT=0.145205&amp;VAR:Y0=2002&amp;VAR:Y1=2003&amp;VAR:V0=18.302273&amp;VAR:V1=16.042349&amp;VAR:V=16.335234&amp;VAR:AUDIT_ID=00000117&amp;VAR:DATE=20021108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Aggregates&amp;VAR:MEASURE=PE_MEAN&amp;VAR:CALC_MODE=PORTFOLIO&amp;VAR:CHGPERIOD=NA&amp;VAR:FQLFORMULA=FMA_PE&amp;VAR:CURRENCY=USD&amp;VAR:P=8","94.742300&amp;VAR:THRESH=||||||&amp;VAR:null=.html"}</definedName>
    <definedName name="_4140__FDSAUDITLINK__" hidden="1">{"fdsup://directions/FAT Viewer?action=UPDATE&amp;creator=factset&amp;DYN_ARGS=TRUE&amp;DOC_NAME=FAT:FQL_AUDITING_CLIENT_TEMPLATE.FAT&amp;display_string=Audit&amp;VAR:KEY=ZURSDKXMDW&amp;VAR:QUERY=RkZfUkRfRVhQKENBTCw0MDU0MywsLCxVU0Qp&amp;WINDOW=FIRST_POPUP&amp;HEIGHT=450&amp;WIDTH=450&amp;START_MA","XIMIZED=FALSE&amp;VAR:CALENDAR=US&amp;VAR:SYMBOL=AMGN&amp;VAR:INDEX=0"}</definedName>
    <definedName name="_4141__FDSAUDITLINK__" hidden="1">{"fdsup://directions/FAT Viewer?action=UPDATE&amp;creator=factset&amp;DYN_ARGS=TRUE&amp;DOC_NAME=FAT:FQL_AUDITING_CLIENT_TEMPLATE.FAT&amp;display_string=Audit&amp;VAR:KEY=JWREDEZOBE&amp;VAR:QUERY=RkZfUkRfRVhQKENBTCw0MDU0MywsLCxVU0Qp&amp;WINDOW=FIRST_POPUP&amp;HEIGHT=450&amp;WIDTH=450&amp;START_MA","XIMIZED=FALSE&amp;VAR:CALENDAR=US&amp;VAR:SYMBOL=ABT&amp;VAR:INDEX=0"}</definedName>
    <definedName name="_4142__FDSAUDITLINK__" hidden="1">{"fdsup://directions/FAT Viewer?action=UPDATE&amp;creator=factset&amp;DYN_ARGS=TRUE&amp;DOC_NAME=FAT:FQL_AUDITING_CLIENT_TEMPLATE.FAT&amp;display_string=Audit&amp;VAR:KEY=FMHOHWFCHA&amp;VAR:QUERY=RkZfUkRfRVhQKENBTCw0MDU0MywsLCxVU0Qp&amp;WINDOW=FIRST_POPUP&amp;HEIGHT=450&amp;WIDTH=450&amp;START_MA","XIMIZED=FALSE&amp;VAR:CALENDAR=US&amp;VAR:SYMBOL=687044&amp;VAR:INDEX=0"}</definedName>
    <definedName name="_4143__FDSAUDITLINK__" hidden="1">{"fdsup://directions/FAT Viewer?action=UPDATE&amp;creator=factset&amp;DYN_ARGS=TRUE&amp;DOC_NAME=FAT:FQL_AUDITING_CLIENT_TEMPLATE.FAT&amp;display_string=Audit&amp;VAR:KEY=BCRMHOHMDU&amp;VAR:QUERY=RkZfUkRfRVhQKENBTCw0MDU0MywsLCxVU0Qp&amp;WINDOW=FIRST_POPUP&amp;HEIGHT=450&amp;WIDTH=450&amp;START_MA","XIMIZED=FALSE&amp;VAR:CALENDAR=US&amp;VAR:SYMBOL=BMY&amp;VAR:INDEX=0"}</definedName>
    <definedName name="_4144__FDSAUDITLINK__" hidden="1">{"fdsup://directions/FAT Viewer?action=UPDATE&amp;creator=factset&amp;DYN_ARGS=TRUE&amp;DOC_NAME=FAT:FQL_AUDITING_CLIENT_TEMPLATE.FAT&amp;display_string=Audit&amp;VAR:KEY=RWHALYVQFE&amp;VAR:QUERY=RkZfUkRfRVhQKENBTCw0MDU0MywsLCxVU0Qp&amp;WINDOW=FIRST_POPUP&amp;HEIGHT=450&amp;WIDTH=450&amp;START_MA","XIMIZED=FALSE&amp;VAR:CALENDAR=US&amp;VAR:SYMBOL=LLY&amp;VAR:INDEX=0"}</definedName>
    <definedName name="_4145__FDSAUDITLINK__" hidden="1">{"fdsup://directions/FAT Viewer?action=UPDATE&amp;creator=factset&amp;DYN_ARGS=TRUE&amp;DOC_NAME=FAT:FQL_AUDITING_CLIENT_TEMPLATE.FAT&amp;display_string=Audit&amp;VAR:KEY=BOXSLUFEFY&amp;VAR:QUERY=RkZfUkRfRVhQKENBTCw0MDU0MywsLCxVU0Qp&amp;WINDOW=FIRST_POPUP&amp;HEIGHT=450&amp;WIDTH=450&amp;START_MA","XIMIZED=FALSE&amp;VAR:CALENDAR=US&amp;VAR:SYMBOL=506921&amp;VAR:INDEX=0"}</definedName>
    <definedName name="_4146__FDSAUDITLINK__" hidden="1">{"fdsup://directions/FAT Viewer?action=UPDATE&amp;creator=factset&amp;DYN_ARGS=TRUE&amp;DOC_NAME=FAT:FQL_AUDITING_CLIENT_TEMPLATE.FAT&amp;display_string=Audit&amp;VAR:KEY=BKNWZCJIZG&amp;VAR:QUERY=RkZfUkRfRVhQKENBTCw0MDU0MywsLCxVU0Qp&amp;WINDOW=FIRST_POPUP&amp;HEIGHT=450&amp;WIDTH=450&amp;START_MA","XIMIZED=FALSE&amp;VAR:CALENDAR=US&amp;VAR:SYMBOL=567173&amp;VAR:INDEX=0"}</definedName>
    <definedName name="_4147__FDSAUDITLINK__" hidden="1">{"fdsup://directions/FAT Viewer?action=UPDATE&amp;creator=factset&amp;DYN_ARGS=TRUE&amp;DOC_NAME=FAT:FQL_AUDITING_CLIENT_TEMPLATE.FAT&amp;display_string=Audit&amp;VAR:KEY=ZUTEDGBCXY&amp;VAR:QUERY=RkZfUkRfRVhQKENBTCw0MDU0MywsLCxVU0Qp&amp;WINDOW=FIRST_POPUP&amp;HEIGHT=450&amp;WIDTH=450&amp;START_MA","XIMIZED=FALSE&amp;VAR:CALENDAR=US&amp;VAR:SYMBOL=JNJ&amp;VAR:INDEX=0"}</definedName>
    <definedName name="_4148__FDSAUDITLINK__" hidden="1">{"fdsup://directions/FAT Viewer?action=UPDATE&amp;creator=factset&amp;DYN_ARGS=TRUE&amp;DOC_NAME=FAT:FQL_AUDITING_CLIENT_TEMPLATE.FAT&amp;display_string=Audit&amp;VAR:KEY=TYHWTQXSJO&amp;VAR:QUERY=RkZfUkRfRVhQKENBTCw0MDU0MywsLCxVU0Qp&amp;WINDOW=FIRST_POPUP&amp;HEIGHT=450&amp;WIDTH=450&amp;START_MA","XIMIZED=FALSE&amp;VAR:CALENDAR=US&amp;VAR:SYMBOL=710306&amp;VAR:INDEX=0"}</definedName>
    <definedName name="_4149__FDSAUDITLINK__" hidden="1">{"fdsup://directions/FAT Viewer?action=UPDATE&amp;creator=factset&amp;DYN_ARGS=TRUE&amp;DOC_NAME=FAT:FQL_AUDITING_CLIENT_TEMPLATE.FAT&amp;display_string=Audit&amp;VAR:KEY=BSFYPUHUXG&amp;VAR:QUERY=RkZfUkRfRVhQKENBTCw0MDU0MywsLCxVU0Qp&amp;WINDOW=FIRST_POPUP&amp;HEIGHT=450&amp;WIDTH=450&amp;START_MA","XIMIZED=FALSE&amp;VAR:CALENDAR=US&amp;VAR:SYMBOL=711038&amp;VAR:INDEX=0"}</definedName>
    <definedName name="_415__FDSAUDITLINK__" hidden="1">{"fdsup://directions/FAT%20Viewer?VAR:TM=NTMA&amp;VAR:PCT=0.164384&amp;VAR:Y0=2002&amp;VAR:Y1=2003&amp;VAR:V0=18.420502&amp;VAR:V1=16.077822&amp;VAR:V=16.421121&amp;VAR:AUDIT_ID=00000117&amp;VAR:DATE=20021101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Aggregates&amp;VAR:MEASURE=PE_MEAN&amp;VAR:CALC_MODE=PORTFOLIO&amp;VAR:CHGPERIOD=NA&amp;VAR:FQLFORMULA=FMA_PE&amp;VAR:CURRENCY=USD&amp;VAR:P=9","00.963600&amp;VAR:THRESH=||||||&amp;VAR:null=.html"}</definedName>
    <definedName name="_4150__FDSAUDITLINK__" hidden="1">{"fdsup://directions/FAT Viewer?action=UPDATE&amp;creator=factset&amp;DYN_ARGS=TRUE&amp;DOC_NAME=FAT:FQL_AUDITING_CLIENT_TEMPLATE.FAT&amp;display_string=Audit&amp;VAR:KEY=BQXQNYHAZC&amp;VAR:QUERY=RkZfUkRfRVhQKENBTCw0MDU0MywsLCxVU0Qp&amp;WINDOW=FIRST_POPUP&amp;HEIGHT=450&amp;WIDTH=450&amp;START_MA","XIMIZED=FALSE&amp;VAR:CALENDAR=US&amp;VAR:SYMBOL=MRK&amp;VAR:INDEX=0"}</definedName>
    <definedName name="_4151__FDSAUDITLINK__" hidden="1">{"fdsup://directions/FAT Viewer?action=UPDATE&amp;creator=factset&amp;DYN_ARGS=TRUE&amp;DOC_NAME=FAT:FQL_AUDITING_CLIENT_TEMPLATE.FAT&amp;display_string=Audit&amp;VAR:KEY=FADGZQHEFC&amp;VAR:QUERY=RkZfUkRfRVhQKENBTCw0MDU0MywsLCxVU0Qp&amp;WINDOW=FIRST_POPUP&amp;HEIGHT=450&amp;WIDTH=450&amp;START_MA","XIMIZED=FALSE&amp;VAR:CALENDAR=US&amp;VAR:SYMBOL=BIIB&amp;VAR:INDEX=0"}</definedName>
    <definedName name="_4152__FDSAUDITLINK__" hidden="1">{"fdsup://directions/FAT Viewer?action=UPDATE&amp;creator=factset&amp;DYN_ARGS=TRUE&amp;DOC_NAME=FAT:FQL_AUDITING_CLIENT_TEMPLATE.FAT&amp;display_string=Audit&amp;VAR:KEY=NSPUJGFSHI&amp;VAR:QUERY=RkZfUkRfRVhQKENBTCw0MDU0MywsLCxVU0Qp&amp;WINDOW=FIRST_POPUP&amp;HEIGHT=450&amp;WIDTH=450&amp;START_MA","XIMIZED=FALSE&amp;VAR:CALENDAR=US&amp;VAR:SYMBOL=707752&amp;VAR:INDEX=0"}</definedName>
    <definedName name="_4153__FDSAUDITLINK__" hidden="1">{"fdsup://directions/FAT Viewer?action=UPDATE&amp;creator=factset&amp;DYN_ARGS=TRUE&amp;DOC_NAME=FAT:FQL_AUDITING_CLIENT_TEMPLATE.FAT&amp;display_string=Audit&amp;VAR:KEY=PWJMJAPQXA&amp;VAR:QUERY=RkZfUkRfRVhQKENBTCw0MDU0MywsLCxVU0Qp&amp;WINDOW=FIRST_POPUP&amp;HEIGHT=450&amp;WIDTH=450&amp;START_MA","XIMIZED=FALSE&amp;VAR:CALENDAR=US&amp;VAR:SYMBOL=630720&amp;VAR:INDEX=0"}</definedName>
    <definedName name="_4154__FDSAUDITLINK__" hidden="1">{"fdsup://directions/FAT Viewer?action=UPDATE&amp;creator=factset&amp;DYN_ARGS=TRUE&amp;DOC_NAME=FAT:FQL_AUDITING_CLIENT_TEMPLATE.FAT&amp;display_string=Audit&amp;VAR:KEY=TQDGRYXUPO&amp;VAR:QUERY=RkZfUkRfRVhQKENBTCw0MDU0MywsLCxVU0Qp&amp;WINDOW=FIRST_POPUP&amp;HEIGHT=450&amp;WIDTH=450&amp;START_MA","XIMIZED=FALSE&amp;VAR:CALENDAR=US&amp;VAR:SYMBOL=698538&amp;VAR:INDEX=0"}</definedName>
    <definedName name="_4155__FDSAUDITLINK__" hidden="1">{"fdsup://directions/FAT Viewer?action=UPDATE&amp;creator=factset&amp;DYN_ARGS=TRUE&amp;DOC_NAME=FAT:FQL_AUDITING_CLIENT_TEMPLATE.FAT&amp;display_string=Audit&amp;VAR:KEY=LCNIRKJOVO&amp;VAR:QUERY=RkZfUkRfRVhQKENBTCw0MDU0MywsLCxVU0Qp&amp;WINDOW=FIRST_POPUP&amp;HEIGHT=450&amp;WIDTH=450&amp;START_MA","XIMIZED=FALSE&amp;VAR:CALENDAR=US&amp;VAR:SYMBOL=474184&amp;VAR:INDEX=0"}</definedName>
    <definedName name="_4156__FDSAUDITLINK__" hidden="1">{"fdsup://directions/FAT Viewer?action=UPDATE&amp;creator=factset&amp;DYN_ARGS=TRUE&amp;DOC_NAME=FAT:FQL_AUDITING_CLIENT_TEMPLATE.FAT&amp;display_string=Audit&amp;VAR:KEY=JAPATOHCPG&amp;VAR:QUERY=RkZfUkRfRVhQKENBTCw0MDU0MywsLCxVU0Qp&amp;WINDOW=FIRST_POPUP&amp;HEIGHT=450&amp;WIDTH=450&amp;START_MA","XIMIZED=FALSE&amp;VAR:CALENDAR=US&amp;VAR:SYMBOL=B0J7D9&amp;VAR:INDEX=0"}</definedName>
    <definedName name="_4157__FDSAUDITLINK__" hidden="1">{"fdsup://directions/FAT Viewer?action=UPDATE&amp;creator=factset&amp;DYN_ARGS=TRUE&amp;DOC_NAME=FAT:FQL_AUDITING_CLIENT_TEMPLATE.FAT&amp;display_string=Audit&amp;VAR:KEY=ZURSDKXMDW&amp;VAR:QUERY=RkZfUkRfRVhQKENBTCw0MDU0MywsLCxVU0Qp&amp;WINDOW=FIRST_POPUP&amp;HEIGHT=450&amp;WIDTH=450&amp;START_MA","XIMIZED=FALSE&amp;VAR:CALENDAR=US&amp;VAR:SYMBOL=AMGN&amp;VAR:INDEX=0"}</definedName>
    <definedName name="_4158__FDSAUDITLINK__" hidden="1">{"fdsup://directions/FAT Viewer?action=UPDATE&amp;creator=factset&amp;DYN_ARGS=TRUE&amp;DOC_NAME=FAT:FQL_AUDITING_CLIENT_TEMPLATE.FAT&amp;display_string=Audit&amp;VAR:KEY=JWREDEZOBE&amp;VAR:QUERY=RkZfUkRfRVhQKENBTCw0MDU0MywsLCxVU0Qp&amp;WINDOW=FIRST_POPUP&amp;HEIGHT=450&amp;WIDTH=450&amp;START_MA","XIMIZED=FALSE&amp;VAR:CALENDAR=US&amp;VAR:SYMBOL=ABT&amp;VAR:INDEX=0"}</definedName>
    <definedName name="_4159__FDSAUDITLINK__" hidden="1">{"fdsup://directions/FAT Viewer?action=UPDATE&amp;creator=factset&amp;DYN_ARGS=TRUE&amp;DOC_NAME=FAT:FQL_AUDITING_CLIENT_TEMPLATE.FAT&amp;display_string=Audit&amp;VAR:KEY=FMHOHWFCHA&amp;VAR:QUERY=RkZfUkRfRVhQKENBTCw0MDU0MywsLCxVU0Qp&amp;WINDOW=FIRST_POPUP&amp;HEIGHT=450&amp;WIDTH=450&amp;START_MA","XIMIZED=FALSE&amp;VAR:CALENDAR=US&amp;VAR:SYMBOL=687044&amp;VAR:INDEX=0"}</definedName>
    <definedName name="_416__FDSAUDITLINK__" hidden="1">{"fdsup://directions/FAT%20Viewer?VAR:TM=NTMA&amp;VAR:PCT=0.183562&amp;VAR:Y0=2002&amp;VAR:Y1=2003&amp;VAR:V0=18.326984&amp;VAR:V1=15.944178&amp;VAR:V=16.334005&amp;VAR:AUDIT_ID=00000117&amp;VAR:DATE=20021025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Aggregates&amp;VAR:MEASURE=PE_MEAN&amp;VAR:CALC_MODE=PORTFOLIO&amp;VAR:CHGPERIOD=NA&amp;VAR:FQLFORMULA=FMA_PE&amp;VAR:CURRENCY=USD&amp;VAR:P=8","97.649840&amp;VAR:THRESH=||||||&amp;VAR:null=.html"}</definedName>
    <definedName name="_4160__FDSAUDITLINK__" hidden="1">{"fdsup://directions/FAT Viewer?action=UPDATE&amp;creator=factset&amp;DYN_ARGS=TRUE&amp;DOC_NAME=FAT:FQL_AUDITING_CLIENT_TEMPLATE.FAT&amp;display_string=Audit&amp;VAR:KEY=BCRMHOHMDU&amp;VAR:QUERY=RkZfUkRfRVhQKENBTCw0MDU0MywsLCxVU0Qp&amp;WINDOW=FIRST_POPUP&amp;HEIGHT=450&amp;WIDTH=450&amp;START_MA","XIMIZED=FALSE&amp;VAR:CALENDAR=US&amp;VAR:SYMBOL=BMY&amp;VAR:INDEX=0"}</definedName>
    <definedName name="_4161__FDSAUDITLINK__" hidden="1">{"fdsup://directions/FAT Viewer?action=UPDATE&amp;creator=factset&amp;DYN_ARGS=TRUE&amp;DOC_NAME=FAT:FQL_AUDITING_CLIENT_TEMPLATE.FAT&amp;display_string=Audit&amp;VAR:KEY=RWHALYVQFE&amp;VAR:QUERY=RkZfUkRfRVhQKENBTCw0MDU0MywsLCxVU0Qp&amp;WINDOW=FIRST_POPUP&amp;HEIGHT=450&amp;WIDTH=450&amp;START_MA","XIMIZED=FALSE&amp;VAR:CALENDAR=US&amp;VAR:SYMBOL=LLY&amp;VAR:INDEX=0"}</definedName>
    <definedName name="_4162__FDSAUDITLINK__" hidden="1">{"fdsup://directions/FAT Viewer?action=UPDATE&amp;creator=factset&amp;DYN_ARGS=TRUE&amp;DOC_NAME=FAT:FQL_AUDITING_CLIENT_TEMPLATE.FAT&amp;display_string=Audit&amp;VAR:KEY=BOXSLUFEFY&amp;VAR:QUERY=RkZfUkRfRVhQKENBTCw0MDU0MywsLCxVU0Qp&amp;WINDOW=FIRST_POPUP&amp;HEIGHT=450&amp;WIDTH=450&amp;START_MA","XIMIZED=FALSE&amp;VAR:CALENDAR=US&amp;VAR:SYMBOL=506921&amp;VAR:INDEX=0"}</definedName>
    <definedName name="_4163__FDSAUDITLINK__" hidden="1">{"fdsup://directions/FAT Viewer?action=UPDATE&amp;creator=factset&amp;DYN_ARGS=TRUE&amp;DOC_NAME=FAT:FQL_AUDITING_CLIENT_TEMPLATE.FAT&amp;display_string=Audit&amp;VAR:KEY=BKNWZCJIZG&amp;VAR:QUERY=RkZfUkRfRVhQKENBTCw0MDU0MywsLCxVU0Qp&amp;WINDOW=FIRST_POPUP&amp;HEIGHT=450&amp;WIDTH=450&amp;START_MA","XIMIZED=FALSE&amp;VAR:CALENDAR=US&amp;VAR:SYMBOL=567173&amp;VAR:INDEX=0"}</definedName>
    <definedName name="_4164__FDSAUDITLINK__" hidden="1">{"fdsup://directions/FAT Viewer?action=UPDATE&amp;creator=factset&amp;DYN_ARGS=TRUE&amp;DOC_NAME=FAT:FQL_AUDITING_CLIENT_TEMPLATE.FAT&amp;display_string=Audit&amp;VAR:KEY=ZUTEDGBCXY&amp;VAR:QUERY=RkZfUkRfRVhQKENBTCw0MDU0MywsLCxVU0Qp&amp;WINDOW=FIRST_POPUP&amp;HEIGHT=450&amp;WIDTH=450&amp;START_MA","XIMIZED=FALSE&amp;VAR:CALENDAR=US&amp;VAR:SYMBOL=JNJ&amp;VAR:INDEX=0"}</definedName>
    <definedName name="_4165__FDSAUDITLINK__" hidden="1">{"fdsup://directions/FAT Viewer?action=UPDATE&amp;creator=factset&amp;DYN_ARGS=TRUE&amp;DOC_NAME=FAT:FQL_AUDITING_CLIENT_TEMPLATE.FAT&amp;display_string=Audit&amp;VAR:KEY=TYHWTQXSJO&amp;VAR:QUERY=RkZfUkRfRVhQKENBTCw0MDU0MywsLCxVU0Qp&amp;WINDOW=FIRST_POPUP&amp;HEIGHT=450&amp;WIDTH=450&amp;START_MA","XIMIZED=FALSE&amp;VAR:CALENDAR=US&amp;VAR:SYMBOL=710306&amp;VAR:INDEX=0"}</definedName>
    <definedName name="_4166__FDSAUDITLINK__" hidden="1">{"fdsup://directions/FAT Viewer?action=UPDATE&amp;creator=factset&amp;DYN_ARGS=TRUE&amp;DOC_NAME=FAT:FQL_AUDITING_CLIENT_TEMPLATE.FAT&amp;display_string=Audit&amp;VAR:KEY=BSFYPUHUXG&amp;VAR:QUERY=RkZfUkRfRVhQKENBTCw0MDU0MywsLCxVU0Qp&amp;WINDOW=FIRST_POPUP&amp;HEIGHT=450&amp;WIDTH=450&amp;START_MA","XIMIZED=FALSE&amp;VAR:CALENDAR=US&amp;VAR:SYMBOL=711038&amp;VAR:INDEX=0"}</definedName>
    <definedName name="_4167__FDSAUDITLINK__" hidden="1">{"fdsup://directions/FAT Viewer?action=UPDATE&amp;creator=factset&amp;DYN_ARGS=TRUE&amp;DOC_NAME=FAT:FQL_AUDITING_CLIENT_TEMPLATE.FAT&amp;display_string=Audit&amp;VAR:KEY=BQXQNYHAZC&amp;VAR:QUERY=RkZfUkRfRVhQKENBTCw0MDU0MywsLCxVU0Qp&amp;WINDOW=FIRST_POPUP&amp;HEIGHT=450&amp;WIDTH=450&amp;START_MA","XIMIZED=FALSE&amp;VAR:CALENDAR=US&amp;VAR:SYMBOL=MRK&amp;VAR:INDEX=0"}</definedName>
    <definedName name="_4168__FDSAUDITLINK__" hidden="1">{"fdsup://directions/FAT Viewer?action=UPDATE&amp;creator=factset&amp;DYN_ARGS=TRUE&amp;DOC_NAME=FAT:FQL_AUDITING_CLIENT_TEMPLATE.FAT&amp;display_string=Audit&amp;VAR:KEY=XMHMROTSFU&amp;VAR:QUERY=RkZfUkRfRVhQKENBTCw0MDE3OCwsLCxVU0Qp&amp;WINDOW=FIRST_POPUP&amp;HEIGHT=450&amp;WIDTH=450&amp;START_MA","XIMIZED=FALSE&amp;VAR:CALENDAR=US&amp;VAR:SYMBOL=MRK&amp;VAR:INDEX=0"}</definedName>
    <definedName name="_4169__FDSAUDITLINK__" hidden="1">{"fdsup://directions/FAT Viewer?action=UPDATE&amp;creator=factset&amp;DYN_ARGS=TRUE&amp;DOC_NAME=FAT:FQL_AUDITING_CLIENT_TEMPLATE.FAT&amp;display_string=Audit&amp;VAR:KEY=XADITGJORE&amp;VAR:QUERY=RkZfUkRfRVhQKENBTCw0MDE3OCwsLCxVU0Qp&amp;WINDOW=FIRST_POPUP&amp;HEIGHT=450&amp;WIDTH=450&amp;START_MA","XIMIZED=FALSE&amp;VAR:CALENDAR=US&amp;VAR:SYMBOL=PFE&amp;VAR:INDEX=0"}</definedName>
    <definedName name="_417__FDSAUDITLINK__" hidden="1">{"fdsup://directions/FAT%20Viewer?VAR:TM=NTMA&amp;VAR:PCT=0.202740&amp;VAR:Y0=2002&amp;VAR:Y1=2003&amp;VAR:V0=18.039015&amp;VAR:V1=15.618293&amp;VAR:V=16.055094&amp;VAR:AUDIT_ID=00000117&amp;VAR:DATE=20021018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Aggregates&amp;VAR:MEASURE=PE_MEAN&amp;VAR:CALC_MODE=PORTFOLIO&amp;VAR:CHGPERIOD=NA&amp;VAR:FQLFORMULA=FMA_PE&amp;VAR:CURRENCY=USD&amp;VAR:P=8","84.393500&amp;VAR:THRESH=||||||&amp;VAR:null=.html"}</definedName>
    <definedName name="_4170__FDSAUDITLINK__" hidden="1">{"fdsup://Directions/FactSet Auditing Viewer?action=AUDIT_VALUE&amp;DB=129&amp;ID1=36871040&amp;VALUEID=01001&amp;SDATE=200804&amp;PERIODTYPE=QTR_STD&amp;SCFT=3&amp;window=popup_no_bar&amp;width=385&amp;height=120&amp;START_MAXIMIZED=FALSE&amp;creator=factset&amp;display_string=Audit"}</definedName>
    <definedName name="_4171__FDSAUDITLINK__" hidden="1">{"fdsup://Directions/FactSet Auditing Viewer?action=AUDIT_VALUE&amp;DB=129&amp;ID1=36871040&amp;VALUEID=01001&amp;SDATE=200803&amp;PERIODTYPE=QTR_STD&amp;SCFT=3&amp;window=popup_no_bar&amp;width=385&amp;height=120&amp;START_MAXIMIZED=FALSE&amp;creator=factset&amp;display_string=Audit"}</definedName>
    <definedName name="_4172__FDSAUDITLINK__" hidden="1">{"fdsup://Directions/FactSet Auditing Viewer?action=AUDIT_VALUE&amp;DB=129&amp;ID1=36871040&amp;VALUEID=01001&amp;SDATE=200802&amp;PERIODTYPE=QTR_STD&amp;SCFT=3&amp;window=popup_no_bar&amp;width=385&amp;height=120&amp;START_MAXIMIZED=FALSE&amp;creator=factset&amp;display_string=Audit"}</definedName>
    <definedName name="_4173__FDSAUDITLINK__" hidden="1">{"fdsup://Directions/FactSet Auditing Viewer?action=AUDIT_VALUE&amp;DB=129&amp;ID1=36871040&amp;VALUEID=01001&amp;SDATE=200801&amp;PERIODTYPE=QTR_STD&amp;SCFT=3&amp;window=popup_no_bar&amp;width=385&amp;height=120&amp;START_MAXIMIZED=FALSE&amp;creator=factset&amp;display_string=Audit"}</definedName>
    <definedName name="_4174__FDSAUDITLINK__" hidden="1">{"fdsup://Directions/FactSet Auditing Viewer?action=AUDIT_VALUE&amp;DB=129&amp;ID1=36871040&amp;VALUEID=01001&amp;SDATE=200704&amp;PERIODTYPE=QTR_STD&amp;SCFT=3&amp;window=popup_no_bar&amp;width=385&amp;height=120&amp;START_MAXIMIZED=FALSE&amp;creator=factset&amp;display_string=Audit"}</definedName>
    <definedName name="_4175__FDSAUDITLINK__" hidden="1">{"fdsup://Directions/FactSet Auditing Viewer?action=AUDIT_VALUE&amp;DB=129&amp;ID1=36871040&amp;VALUEID=01001&amp;SDATE=200703&amp;PERIODTYPE=QTR_STD&amp;SCFT=3&amp;window=popup_no_bar&amp;width=385&amp;height=120&amp;START_MAXIMIZED=FALSE&amp;creator=factset&amp;display_string=Audit"}</definedName>
    <definedName name="_4176__FDSAUDITLINK__" hidden="1">{"fdsup://Directions/FactSet Auditing Viewer?action=AUDIT_VALUE&amp;DB=129&amp;ID1=36871040&amp;VALUEID=01001&amp;SDATE=200702&amp;PERIODTYPE=QTR_STD&amp;SCFT=3&amp;window=popup_no_bar&amp;width=385&amp;height=120&amp;START_MAXIMIZED=FALSE&amp;creator=factset&amp;display_string=Audit"}</definedName>
    <definedName name="_4177__FDSAUDITLINK__" hidden="1">{"fdsup://Directions/FactSet Auditing Viewer?action=AUDIT_VALUE&amp;DB=129&amp;ID1=36871040&amp;VALUEID=01001&amp;SDATE=200701&amp;PERIODTYPE=QTR_STD&amp;SCFT=3&amp;window=popup_no_bar&amp;width=385&amp;height=120&amp;START_MAXIMIZED=FALSE&amp;creator=factset&amp;display_string=Audit"}</definedName>
    <definedName name="_4178__FDSAUDITLINK__" hidden="1">{"fdsup://Directions/FactSet Auditing Viewer?action=AUDIT_VALUE&amp;DB=129&amp;ID1=98302410&amp;VALUEID=01001&amp;SDATE=200902&amp;PERIODTYPE=QTR_STD&amp;SCFT=3&amp;window=popup_no_bar&amp;width=385&amp;height=120&amp;START_MAXIMIZED=FALSE&amp;creator=factset&amp;display_string=Audit"}</definedName>
    <definedName name="_4179__FDSAUDITLINK__" hidden="1">{"fdsup://Directions/FactSet Auditing Viewer?action=AUDIT_VALUE&amp;DB=129&amp;ID1=98302410&amp;VALUEID=01001&amp;SDATE=200901&amp;PERIODTYPE=QTR_STD&amp;SCFT=3&amp;window=popup_no_bar&amp;width=385&amp;height=120&amp;START_MAXIMIZED=FALSE&amp;creator=factset&amp;display_string=Audit"}</definedName>
    <definedName name="_418__FDSAUDITLINK__" hidden="1">{"fdsup://directions/FAT%20Viewer?VAR:TM=NTMA&amp;VAR:PCT=0.221918&amp;VAR:Y0=2002&amp;VAR:Y1=2003&amp;VAR:V0=17.002070&amp;VAR:V1=14.646428&amp;VAR:V=15.111044&amp;VAR:AUDIT_ID=00000117&amp;VAR:DATE=20021011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Aggregates&amp;VAR:MEASURE=PE_MEAN&amp;VAR:CALC_MODE=PORTFOLIO&amp;VAR:CHGPERIOD=NA&amp;VAR:FQLFORMULA=FMA_PE&amp;VAR:CURRENCY=USD&amp;VAR:P=8","35.319030&amp;VAR:THRESH=||||||&amp;VAR:null=.html"}</definedName>
    <definedName name="_4180__FDSAUDITLINK__" hidden="1">{"fdsup://Directions/FactSet Auditing Viewer?action=AUDIT_VALUE&amp;DB=129&amp;ID1=98302410&amp;VALUEID=01001&amp;SDATE=200804&amp;PERIODTYPE=QTR_STD&amp;SCFT=3&amp;window=popup_no_bar&amp;width=385&amp;height=120&amp;START_MAXIMIZED=FALSE&amp;creator=factset&amp;display_string=Audit"}</definedName>
    <definedName name="_4181__FDSAUDITLINK__" hidden="1">{"fdsup://Directions/FactSet Auditing Viewer?action=AUDIT_VALUE&amp;DB=129&amp;ID1=98302410&amp;VALUEID=01001&amp;SDATE=200803&amp;PERIODTYPE=QTR_STD&amp;SCFT=3&amp;window=popup_no_bar&amp;width=385&amp;height=120&amp;START_MAXIMIZED=FALSE&amp;creator=factset&amp;display_string=Audit"}</definedName>
    <definedName name="_4182__FDSAUDITLINK__" hidden="1">{"fdsup://Directions/FactSet Auditing Viewer?action=AUDIT_VALUE&amp;DB=129&amp;ID1=98302410&amp;VALUEID=01001&amp;SDATE=200802&amp;PERIODTYPE=QTR_STD&amp;SCFT=3&amp;window=popup_no_bar&amp;width=385&amp;height=120&amp;START_MAXIMIZED=FALSE&amp;creator=factset&amp;display_string=Audit"}</definedName>
    <definedName name="_4183__FDSAUDITLINK__" hidden="1">{"fdsup://Directions/FactSet Auditing Viewer?action=AUDIT_VALUE&amp;DB=129&amp;ID1=98302410&amp;VALUEID=01001&amp;SDATE=200801&amp;PERIODTYPE=QTR_STD&amp;SCFT=3&amp;window=popup_no_bar&amp;width=385&amp;height=120&amp;START_MAXIMIZED=FALSE&amp;creator=factset&amp;display_string=Audit"}</definedName>
    <definedName name="_4184__FDSAUDITLINK__" hidden="1">{"fdsup://Directions/FactSet Auditing Viewer?action=AUDIT_VALUE&amp;DB=129&amp;ID1=98302410&amp;VALUEID=01001&amp;SDATE=200704&amp;PERIODTYPE=QTR_STD&amp;SCFT=3&amp;window=popup_no_bar&amp;width=385&amp;height=120&amp;START_MAXIMIZED=FALSE&amp;creator=factset&amp;display_string=Audit"}</definedName>
    <definedName name="_4185__FDSAUDITLINK__" hidden="1">{"fdsup://Directions/FactSet Auditing Viewer?action=AUDIT_VALUE&amp;DB=129&amp;ID1=98302410&amp;VALUEID=01001&amp;SDATE=200703&amp;PERIODTYPE=QTR_STD&amp;SCFT=3&amp;window=popup_no_bar&amp;width=385&amp;height=120&amp;START_MAXIMIZED=FALSE&amp;creator=factset&amp;display_string=Audit"}</definedName>
    <definedName name="_4186__FDSAUDITLINK__" hidden="1">{"fdsup://Directions/FactSet Auditing Viewer?action=AUDIT_VALUE&amp;DB=129&amp;ID1=80660510&amp;VALUEID=01001&amp;SDATE=200903&amp;PERIODTYPE=QTR_STD&amp;SCFT=3&amp;window=popup_no_bar&amp;width=385&amp;height=120&amp;START_MAXIMIZED=FALSE&amp;creator=factset&amp;display_string=Audit"}</definedName>
    <definedName name="_4187__FDSAUDITLINK__" hidden="1">{"fdsup://Directions/FactSet Auditing Viewer?action=AUDIT_VALUE&amp;DB=129&amp;ID1=80660510&amp;VALUEID=01001&amp;SDATE=200902&amp;PERIODTYPE=QTR_STD&amp;SCFT=3&amp;window=popup_no_bar&amp;width=385&amp;height=120&amp;START_MAXIMIZED=FALSE&amp;creator=factset&amp;display_string=Audit"}</definedName>
    <definedName name="_4188__FDSAUDITLINK__" hidden="1">{"fdsup://Directions/FactSet Auditing Viewer?action=AUDIT_VALUE&amp;DB=129&amp;ID1=80660510&amp;VALUEID=01001&amp;SDATE=200804&amp;PERIODTYPE=QTR_STD&amp;SCFT=3&amp;window=popup_no_bar&amp;width=385&amp;height=120&amp;START_MAXIMIZED=FALSE&amp;creator=factset&amp;display_string=Audit"}</definedName>
    <definedName name="_4189__FDSAUDITLINK__" hidden="1">{"fdsup://Directions/FactSet Auditing Viewer?action=AUDIT_VALUE&amp;DB=129&amp;ID1=80660510&amp;VALUEID=01001&amp;SDATE=200803&amp;PERIODTYPE=QTR_STD&amp;SCFT=3&amp;window=popup_no_bar&amp;width=385&amp;height=120&amp;START_MAXIMIZED=FALSE&amp;creator=factset&amp;display_string=Audit"}</definedName>
    <definedName name="_419__FDSAUDITLINK__" hidden="1">{"fdsup://directions/FAT%20Viewer?VAR:TM=NTMA&amp;VAR:PCT=0.241096&amp;VAR:Y0=2002&amp;VAR:Y1=2003&amp;VAR:V0=16.235937&amp;VAR:V1=13.943558&amp;VAR:V=14.434934&amp;VAR:AUDIT_ID=00000117&amp;VAR:DATE=20021004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Aggregates&amp;VAR:MEASURE=PE_MEAN&amp;VAR:CALC_MODE=PORTFOLIO&amp;VAR:CHGPERIOD=NA&amp;VAR:FQLFORMULA=FMA_PE&amp;VAR:CURRENCY=USD&amp;VAR:P=8","00.582640&amp;VAR:THRESH=||||||&amp;VAR:null=.html"}</definedName>
    <definedName name="_4190__FDSAUDITLINK__" hidden="1">{"fdsup://Directions/FactSet Auditing Viewer?action=AUDIT_VALUE&amp;DB=129&amp;ID1=80660510&amp;VALUEID=01001&amp;SDATE=200802&amp;PERIODTYPE=QTR_STD&amp;SCFT=3&amp;window=popup_no_bar&amp;width=385&amp;height=120&amp;START_MAXIMIZED=FALSE&amp;creator=factset&amp;display_string=Audit"}</definedName>
    <definedName name="_4191__FDSAUDITLINK__" hidden="1">{"fdsup://Directions/FactSet Auditing Viewer?action=AUDIT_VALUE&amp;DB=129&amp;ID1=80660510&amp;VALUEID=01001&amp;SDATE=200801&amp;PERIODTYPE=QTR_STD&amp;SCFT=3&amp;window=popup_no_bar&amp;width=385&amp;height=120&amp;START_MAXIMIZED=FALSE&amp;creator=factset&amp;display_string=Audit"}</definedName>
    <definedName name="_4192__FDSAUDITLINK__" hidden="1">{"fdsup://Directions/FactSet Auditing Viewer?action=AUDIT_VALUE&amp;DB=129&amp;ID1=80660510&amp;VALUEID=01001&amp;SDATE=200704&amp;PERIODTYPE=QTR_STD&amp;SCFT=3&amp;window=popup_no_bar&amp;width=385&amp;height=120&amp;START_MAXIMIZED=FALSE&amp;creator=factset&amp;display_string=Audit"}</definedName>
    <definedName name="_4193__FDSAUDITLINK__" hidden="1">{"fdsup://directions/FAT Viewer?action=UPDATE&amp;creator=factset&amp;DYN_ARGS=TRUE&amp;DOC_NAME=FAT:FQL_AUDITING_CLIENT_TEMPLATE.FAT&amp;display_string=Audit&amp;VAR:KEY=PSFYRIZWZC&amp;VAR:QUERY=RkZfU0FMRVMoQ0FMLDQwNTQzLCwsLFVTRCk=&amp;WINDOW=FIRST_POPUP&amp;HEIGHT=450&amp;WIDTH=450&amp;START_MA","XIMIZED=FALSE&amp;VAR:CALENDAR=US&amp;VAR:SYMBOL=BIIB&amp;VAR:INDEX=0"}</definedName>
    <definedName name="_4194__FDSAUDITLINK__" hidden="1">{"fdsup://directions/FAT Viewer?action=UPDATE&amp;creator=factset&amp;DYN_ARGS=TRUE&amp;DOC_NAME=FAT:FQL_AUDITING_CLIENT_TEMPLATE.FAT&amp;display_string=Audit&amp;VAR:KEY=FULAJKBUXO&amp;VAR:QUERY=RkZfU0FMRVMoQ0FMLDQwNTQzLCwsLFVTRCk=&amp;WINDOW=FIRST_POPUP&amp;HEIGHT=450&amp;WIDTH=450&amp;START_MA","XIMIZED=FALSE&amp;VAR:CALENDAR=US&amp;VAR:SYMBOL=707752&amp;VAR:INDEX=0"}</definedName>
    <definedName name="_4195__FDSAUDITLINK__" hidden="1">{"fdsup://directions/FAT Viewer?action=UPDATE&amp;creator=factset&amp;DYN_ARGS=TRUE&amp;DOC_NAME=FAT:FQL_AUDITING_CLIENT_TEMPLATE.FAT&amp;display_string=Audit&amp;VAR:KEY=RIBWDWRERQ&amp;VAR:QUERY=RkZfU0FMRVMoQ0FMLDQwNTQzLCwsLFVTRCk=&amp;WINDOW=FIRST_POPUP&amp;HEIGHT=450&amp;WIDTH=450&amp;START_MA","XIMIZED=FALSE&amp;VAR:CALENDAR=US&amp;VAR:SYMBOL=630720&amp;VAR:INDEX=0"}</definedName>
    <definedName name="_4196__FDSAUDITLINK__" hidden="1">{"fdsup://directions/FAT Viewer?action=UPDATE&amp;creator=factset&amp;DYN_ARGS=TRUE&amp;DOC_NAME=FAT:FQL_AUDITING_CLIENT_TEMPLATE.FAT&amp;display_string=Audit&amp;VAR:KEY=HGDSFIHCJA&amp;VAR:QUERY=RkZfU0FMRVMoQ0FMLDQwNTQzLCwsLFVTRCk=&amp;WINDOW=FIRST_POPUP&amp;HEIGHT=450&amp;WIDTH=450&amp;START_MA","XIMIZED=FALSE&amp;VAR:CALENDAR=US&amp;VAR:SYMBOL=698538&amp;VAR:INDEX=0"}</definedName>
    <definedName name="_4197__FDSAUDITLINK__" hidden="1">{"fdsup://directions/FAT Viewer?action=UPDATE&amp;creator=factset&amp;DYN_ARGS=TRUE&amp;DOC_NAME=FAT:FQL_AUDITING_CLIENT_TEMPLATE.FAT&amp;display_string=Audit&amp;VAR:KEY=BQFYVIHSFI&amp;VAR:QUERY=RkZfU0FMRVMoQ0FMLDQwNTQzLCwsLFVTRCk=&amp;WINDOW=FIRST_POPUP&amp;HEIGHT=450&amp;WIDTH=450&amp;START_MA","XIMIZED=FALSE&amp;VAR:CALENDAR=US&amp;VAR:SYMBOL=474184&amp;VAR:INDEX=0"}</definedName>
    <definedName name="_4198__FDSAUDITLINK__" hidden="1">{"fdsup://directions/FAT Viewer?action=UPDATE&amp;creator=factset&amp;DYN_ARGS=TRUE&amp;DOC_NAME=FAT:FQL_AUDITING_CLIENT_TEMPLATE.FAT&amp;display_string=Audit&amp;VAR:KEY=FOZCTETIXS&amp;VAR:QUERY=RkZfU0FMRVMoQ0FMLDQwNTQzLCwsLFVTRCk=&amp;WINDOW=FIRST_POPUP&amp;HEIGHT=450&amp;WIDTH=450&amp;START_MA","XIMIZED=FALSE&amp;VAR:CALENDAR=US&amp;VAR:SYMBOL=B0J7D9&amp;VAR:INDEX=0"}</definedName>
    <definedName name="_4199__FDSAUDITLINK__" hidden="1">{"fdsup://directions/FAT Viewer?action=UPDATE&amp;creator=factset&amp;DYN_ARGS=TRUE&amp;DOC_NAME=FAT:FQL_AUDITING_CLIENT_TEMPLATE.FAT&amp;display_string=Audit&amp;VAR:KEY=XWNMHODIRY&amp;VAR:QUERY=RkZfU0FMRVMoQ0FMLDQwNTQzLCwsLFVTRCk=&amp;WINDOW=FIRST_POPUP&amp;HEIGHT=450&amp;WIDTH=450&amp;START_MA","XIMIZED=FALSE&amp;VAR:CALENDAR=US&amp;VAR:SYMBOL=AMGN&amp;VAR:INDEX=0"}</definedName>
    <definedName name="_42__FDSAUDITLINK__" hidden="1">{"fdsup://directions/FAT%20Viewer?VAR:TM=NTMA&amp;VAR:PCT=0.019178&amp;VAR:Y0=2009&amp;VAR:Y1=2010&amp;VAR:V0=18.382290&amp;VAR:V1=14.409676&amp;VAR:V=14.469647&amp;VAR:AUDIT_ID=00000117&amp;VAR:DATE=20091224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Aggregates&amp;VAR:MEASURE=PE_MEAN&amp;VAR:CALC_MODE=PORTFOLIO&amp;VAR:CHGPERIOD=NA&amp;VAR:FQLFORMULA=FMA_PE&amp;VAR:CURRENCY=USD&amp;VAR:P=1","126.476047&amp;VAR:THRESH=||||||&amp;VAR:null=.html"}</definedName>
    <definedName name="_420__FDSAUDITLINK__" hidden="1">{"fdsup://directions/FAT%20Viewer?VAR:TM=NTMA&amp;VAR:PCT=0.260274&amp;VAR:Y0=2002&amp;VAR:Y1=2003&amp;VAR:V0=16.703222&amp;VAR:V1=14.304604&amp;VAR:V=14.860010&amp;VAR:AUDIT_ID=00000117&amp;VAR:DATE=20020927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Aggregates&amp;VAR:MEASURE=PE_MEAN&amp;VAR:CALC_MODE=PORTFOLIO&amp;VAR:CHGPERIOD=NA&amp;VAR:FQLFORMULA=FMA_PE&amp;VAR:CURRENCY=USD&amp;VAR:P=8","27.367500&amp;VAR:THRESH=||||||&amp;VAR:null=.html"}</definedName>
    <definedName name="_4200__FDSAUDITLINK__" hidden="1">{"fdsup://directions/FAT Viewer?action=UPDATE&amp;creator=factset&amp;DYN_ARGS=TRUE&amp;DOC_NAME=FAT:FQL_AUDITING_CLIENT_TEMPLATE.FAT&amp;display_string=Audit&amp;VAR:KEY=PWBYBYZGVC&amp;VAR:QUERY=RkZfU0FMRVMoQ0FMLDQwNTQzLCwsLFVTRCk=&amp;WINDOW=FIRST_POPUP&amp;HEIGHT=450&amp;WIDTH=450&amp;START_MA","XIMIZED=FALSE&amp;VAR:CALENDAR=US&amp;VAR:SYMBOL=ABT&amp;VAR:INDEX=0"}</definedName>
    <definedName name="_4201__FDSAUDITLINK__" hidden="1">{"fdsup://directions/FAT Viewer?action=UPDATE&amp;creator=factset&amp;DYN_ARGS=TRUE&amp;DOC_NAME=FAT:FQL_AUDITING_CLIENT_TEMPLATE.FAT&amp;display_string=Audit&amp;VAR:KEY=HMVWDILITS&amp;VAR:QUERY=RkZfU0FMRVMoQ0FMLDQwNTQzLCwsLFVTRCk=&amp;WINDOW=FIRST_POPUP&amp;HEIGHT=450&amp;WIDTH=450&amp;START_MA","XIMIZED=FALSE&amp;VAR:CALENDAR=US&amp;VAR:SYMBOL=687044&amp;VAR:INDEX=0"}</definedName>
    <definedName name="_4202__FDSAUDITLINK__" hidden="1">{"fdsup://directions/FAT Viewer?action=UPDATE&amp;creator=factset&amp;DYN_ARGS=TRUE&amp;DOC_NAME=FAT:FQL_AUDITING_CLIENT_TEMPLATE.FAT&amp;display_string=Audit&amp;VAR:KEY=DARUTYDUXC&amp;VAR:QUERY=RkZfU0FMRVMoQ0FMLDQwNTQzLCwsLFVTRCk=&amp;WINDOW=FIRST_POPUP&amp;HEIGHT=450&amp;WIDTH=450&amp;START_MA","XIMIZED=FALSE&amp;VAR:CALENDAR=US&amp;VAR:SYMBOL=BMY&amp;VAR:INDEX=0"}</definedName>
    <definedName name="_4203__FDSAUDITLINK__" hidden="1">{"fdsup://directions/FAT Viewer?action=UPDATE&amp;creator=factset&amp;DYN_ARGS=TRUE&amp;DOC_NAME=FAT:FQL_AUDITING_CLIENT_TEMPLATE.FAT&amp;display_string=Audit&amp;VAR:KEY=POPKTAPQJQ&amp;VAR:QUERY=RkZfU0FMRVMoQ0FMLDQwNTQzLCwsLFVTRCk=&amp;WINDOW=FIRST_POPUP&amp;HEIGHT=450&amp;WIDTH=450&amp;START_MA","XIMIZED=FALSE&amp;VAR:CALENDAR=US&amp;VAR:SYMBOL=LLY&amp;VAR:INDEX=0"}</definedName>
    <definedName name="_4204__FDSAUDITLINK__" hidden="1">{"fdsup://directions/FAT Viewer?action=UPDATE&amp;creator=factset&amp;DYN_ARGS=TRUE&amp;DOC_NAME=FAT:FQL_AUDITING_CLIENT_TEMPLATE.FAT&amp;display_string=Audit&amp;VAR:KEY=XOJCXURYNY&amp;VAR:QUERY=RkZfU0FMRVMoQ0FMLDQwNTQzLCwsLFVTRCk=&amp;WINDOW=FIRST_POPUP&amp;HEIGHT=450&amp;WIDTH=450&amp;START_MA","XIMIZED=FALSE&amp;VAR:CALENDAR=US&amp;VAR:SYMBOL=506921&amp;VAR:INDEX=0"}</definedName>
    <definedName name="_4205__FDSAUDITLINK__" hidden="1">{"fdsup://directions/FAT Viewer?action=UPDATE&amp;creator=factset&amp;DYN_ARGS=TRUE&amp;DOC_NAME=FAT:FQL_AUDITING_CLIENT_TEMPLATE.FAT&amp;display_string=Audit&amp;VAR:KEY=VSPKTEVIFI&amp;VAR:QUERY=RkZfU0FMRVMoQ0FMLDQwNTQzLCwsLFVTRCk=&amp;WINDOW=FIRST_POPUP&amp;HEIGHT=450&amp;WIDTH=450&amp;START_MA","XIMIZED=FALSE&amp;VAR:CALENDAR=US&amp;VAR:SYMBOL=567173&amp;VAR:INDEX=0"}</definedName>
    <definedName name="_4206__FDSAUDITLINK__" hidden="1">{"fdsup://directions/FAT Viewer?action=UPDATE&amp;creator=factset&amp;DYN_ARGS=TRUE&amp;DOC_NAME=FAT:FQL_AUDITING_CLIENT_TEMPLATE.FAT&amp;display_string=Audit&amp;VAR:KEY=BCLQRKPMJI&amp;VAR:QUERY=RkZfU0FMRVMoQ0FMLDQwNTQzLCwsLFVTRCk=&amp;WINDOW=FIRST_POPUP&amp;HEIGHT=450&amp;WIDTH=450&amp;START_MA","XIMIZED=FALSE&amp;VAR:CALENDAR=US&amp;VAR:SYMBOL=JNJ&amp;VAR:INDEX=0"}</definedName>
    <definedName name="_4207__FDSAUDITLINK__" hidden="1">{"fdsup://directions/FAT Viewer?action=UPDATE&amp;creator=factset&amp;DYN_ARGS=TRUE&amp;DOC_NAME=FAT:FQL_AUDITING_CLIENT_TEMPLATE.FAT&amp;display_string=Audit&amp;VAR:KEY=VIFKZADUDQ&amp;VAR:QUERY=RkZfU0FMRVMoQ0FMLDQwNTQzLCwsLFVTRCk=&amp;WINDOW=FIRST_POPUP&amp;HEIGHT=450&amp;WIDTH=450&amp;START_MA","XIMIZED=FALSE&amp;VAR:CALENDAR=US&amp;VAR:SYMBOL=710306&amp;VAR:INDEX=0"}</definedName>
    <definedName name="_4208__FDSAUDITLINK__" hidden="1">{"fdsup://directions/FAT Viewer?action=UPDATE&amp;creator=factset&amp;DYN_ARGS=TRUE&amp;DOC_NAME=FAT:FQL_AUDITING_CLIENT_TEMPLATE.FAT&amp;display_string=Audit&amp;VAR:KEY=LUZWFQNOTG&amp;VAR:QUERY=RkZfU0FMRVMoQ0FMLDQwNTQzLCwsLFVTRCk=&amp;WINDOW=FIRST_POPUP&amp;HEIGHT=450&amp;WIDTH=450&amp;START_MA","XIMIZED=FALSE&amp;VAR:CALENDAR=US&amp;VAR:SYMBOL=711038&amp;VAR:INDEX=0"}</definedName>
    <definedName name="_4209__FDSAUDITLINK__" hidden="1">{"fdsup://directions/FAT Viewer?action=UPDATE&amp;creator=factset&amp;DYN_ARGS=TRUE&amp;DOC_NAME=FAT:FQL_AUDITING_CLIENT_TEMPLATE.FAT&amp;display_string=Audit&amp;VAR:KEY=DMDIZURKRI&amp;VAR:QUERY=RkZfU0FMRVMoQ0FMLDQwNTQzLCwsLFVTRCk=&amp;WINDOW=FIRST_POPUP&amp;HEIGHT=450&amp;WIDTH=450&amp;START_MA","XIMIZED=FALSE&amp;VAR:CALENDAR=US&amp;VAR:SYMBOL=MRK&amp;VAR:INDEX=0"}</definedName>
    <definedName name="_421__FDSAUDITLINK__" hidden="1">{"fdsup://directions/FAT%20Viewer?VAR:TM=NTMA&amp;VAR:PCT=0.279452&amp;VAR:Y0=2002&amp;VAR:Y1=2003&amp;VAR:V0=16.959526&amp;VAR:V1=14.530696&amp;VAR:V=15.136477&amp;VAR:AUDIT_ID=00000117&amp;VAR:DATE=20020920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Aggregates&amp;VAR:MEASURE=PE_MEAN&amp;VAR:CALC_MODE=PORTFOLIO&amp;VAR:CHGPERIOD=NA&amp;VAR:FQLFORMULA=FMA_PE&amp;VAR:CURRENCY=USD&amp;VAR:P=8","45.390900&amp;VAR:THRESH=||||||&amp;VAR:null=.html"}</definedName>
    <definedName name="_4210__FDSAUDITLINK__" hidden="1">{"fdsup://directions/FAT Viewer?action=UPDATE&amp;creator=factset&amp;DYN_ARGS=TRUE&amp;DOC_NAME=FAT:FQL_AUDITING_CLIENT_TEMPLATE.FAT&amp;display_string=Audit&amp;VAR:KEY=HGVYHKXCNO&amp;VAR:QUERY=RkZfU0FMRVMoQ0FMLDQwNTQzLCwsLFVTRCk=&amp;WINDOW=FIRST_POPUP&amp;HEIGHT=450&amp;WIDTH=450&amp;START_MA","XIMIZED=FALSE&amp;VAR:CALENDAR=US&amp;VAR:SYMBOL=PFE&amp;VAR:INDEX=0"}</definedName>
    <definedName name="_4211__FDSAUDITLINK__" hidden="1">{"fdsup://directions/FAT Viewer?action=UPDATE&amp;creator=factset&amp;DYN_ARGS=TRUE&amp;DOC_NAME=FAT:FQL_AUDITING_CLIENT_TEMPLATE.FAT&amp;display_string=Audit&amp;VAR:KEY=PSFYRIZWZC&amp;VAR:QUERY=RkZfU0FMRVMoQ0FMLDQwNTQzLCwsLFVTRCk=&amp;WINDOW=FIRST_POPUP&amp;HEIGHT=450&amp;WIDTH=450&amp;START_MA","XIMIZED=FALSE&amp;VAR:CALENDAR=US&amp;VAR:SYMBOL=BIIB&amp;VAR:INDEX=0"}</definedName>
    <definedName name="_4212__FDSAUDITLINK__" hidden="1">{"fdsup://directions/FAT Viewer?action=UPDATE&amp;creator=factset&amp;DYN_ARGS=TRUE&amp;DOC_NAME=FAT:FQL_AUDITING_CLIENT_TEMPLATE.FAT&amp;display_string=Audit&amp;VAR:KEY=FULAJKBUXO&amp;VAR:QUERY=RkZfU0FMRVMoQ0FMLDQwNTQzLCwsLFVTRCk=&amp;WINDOW=FIRST_POPUP&amp;HEIGHT=450&amp;WIDTH=450&amp;START_MA","XIMIZED=FALSE&amp;VAR:CALENDAR=US&amp;VAR:SYMBOL=707752&amp;VAR:INDEX=0"}</definedName>
    <definedName name="_4213__FDSAUDITLINK__" hidden="1">{"fdsup://directions/FAT Viewer?action=UPDATE&amp;creator=factset&amp;DYN_ARGS=TRUE&amp;DOC_NAME=FAT:FQL_AUDITING_CLIENT_TEMPLATE.FAT&amp;display_string=Audit&amp;VAR:KEY=RIBWDWRERQ&amp;VAR:QUERY=RkZfU0FMRVMoQ0FMLDQwNTQzLCwsLFVTRCk=&amp;WINDOW=FIRST_POPUP&amp;HEIGHT=450&amp;WIDTH=450&amp;START_MA","XIMIZED=FALSE&amp;VAR:CALENDAR=US&amp;VAR:SYMBOL=630720&amp;VAR:INDEX=0"}</definedName>
    <definedName name="_4214__FDSAUDITLINK__" hidden="1">{"fdsup://directions/FAT Viewer?action=UPDATE&amp;creator=factset&amp;DYN_ARGS=TRUE&amp;DOC_NAME=FAT:FQL_AUDITING_CLIENT_TEMPLATE.FAT&amp;display_string=Audit&amp;VAR:KEY=HGDSFIHCJA&amp;VAR:QUERY=RkZfU0FMRVMoQ0FMLDQwNTQzLCwsLFVTRCk=&amp;WINDOW=FIRST_POPUP&amp;HEIGHT=450&amp;WIDTH=450&amp;START_MA","XIMIZED=FALSE&amp;VAR:CALENDAR=US&amp;VAR:SYMBOL=698538&amp;VAR:INDEX=0"}</definedName>
    <definedName name="_4215__FDSAUDITLINK__" hidden="1">{"fdsup://directions/FAT Viewer?action=UPDATE&amp;creator=factset&amp;DYN_ARGS=TRUE&amp;DOC_NAME=FAT:FQL_AUDITING_CLIENT_TEMPLATE.FAT&amp;display_string=Audit&amp;VAR:KEY=BQFYVIHSFI&amp;VAR:QUERY=RkZfU0FMRVMoQ0FMLDQwNTQzLCwsLFVTRCk=&amp;WINDOW=FIRST_POPUP&amp;HEIGHT=450&amp;WIDTH=450&amp;START_MA","XIMIZED=FALSE&amp;VAR:CALENDAR=US&amp;VAR:SYMBOL=474184&amp;VAR:INDEX=0"}</definedName>
    <definedName name="_4216__FDSAUDITLINK__" hidden="1">{"fdsup://directions/FAT Viewer?action=UPDATE&amp;creator=factset&amp;DYN_ARGS=TRUE&amp;DOC_NAME=FAT:FQL_AUDITING_CLIENT_TEMPLATE.FAT&amp;display_string=Audit&amp;VAR:KEY=FOZCTETIXS&amp;VAR:QUERY=RkZfU0FMRVMoQ0FMLDQwNTQzLCwsLFVTRCk=&amp;WINDOW=FIRST_POPUP&amp;HEIGHT=450&amp;WIDTH=450&amp;START_MA","XIMIZED=FALSE&amp;VAR:CALENDAR=US&amp;VAR:SYMBOL=B0J7D9&amp;VAR:INDEX=0"}</definedName>
    <definedName name="_4217__FDSAUDITLINK__" hidden="1">{"fdsup://directions/FAT Viewer?action=UPDATE&amp;creator=factset&amp;DYN_ARGS=TRUE&amp;DOC_NAME=FAT:FQL_AUDITING_CLIENT_TEMPLATE.FAT&amp;display_string=Audit&amp;VAR:KEY=XWNMHODIRY&amp;VAR:QUERY=RkZfU0FMRVMoQ0FMLDQwNTQzLCwsLFVTRCk=&amp;WINDOW=FIRST_POPUP&amp;HEIGHT=450&amp;WIDTH=450&amp;START_MA","XIMIZED=FALSE&amp;VAR:CALENDAR=US&amp;VAR:SYMBOL=AMGN&amp;VAR:INDEX=0"}</definedName>
    <definedName name="_4218__FDSAUDITLINK__" hidden="1">{"fdsup://directions/FAT Viewer?action=UPDATE&amp;creator=factset&amp;DYN_ARGS=TRUE&amp;DOC_NAME=FAT:FQL_AUDITING_CLIENT_TEMPLATE.FAT&amp;display_string=Audit&amp;VAR:KEY=PWBYBYZGVC&amp;VAR:QUERY=RkZfU0FMRVMoQ0FMLDQwNTQzLCwsLFVTRCk=&amp;WINDOW=FIRST_POPUP&amp;HEIGHT=450&amp;WIDTH=450&amp;START_MA","XIMIZED=FALSE&amp;VAR:CALENDAR=US&amp;VAR:SYMBOL=ABT&amp;VAR:INDEX=0"}</definedName>
    <definedName name="_4219__FDSAUDITLINK__" hidden="1">{"fdsup://directions/FAT Viewer?action=UPDATE&amp;creator=factset&amp;DYN_ARGS=TRUE&amp;DOC_NAME=FAT:FQL_AUDITING_CLIENT_TEMPLATE.FAT&amp;display_string=Audit&amp;VAR:KEY=HMVWDILITS&amp;VAR:QUERY=RkZfU0FMRVMoQ0FMLDQwNTQzLCwsLFVTRCk=&amp;WINDOW=FIRST_POPUP&amp;HEIGHT=450&amp;WIDTH=450&amp;START_MA","XIMIZED=FALSE&amp;VAR:CALENDAR=US&amp;VAR:SYMBOL=687044&amp;VAR:INDEX=0"}</definedName>
    <definedName name="_422__FDSAUDITLINK__" hidden="1">{"fdsup://directions/FAT%20Viewer?VAR:TM=NTMA&amp;VAR:PCT=0.298630&amp;VAR:Y0=2002&amp;VAR:Y1=2003&amp;VAR:V0=17.762087&amp;VAR:V1=15.192406&amp;VAR:V=15.878409&amp;VAR:AUDIT_ID=00000117&amp;VAR:DATE=20020913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Aggregates&amp;VAR:MEASURE=PE_MEAN&amp;VAR:CALC_MODE=PORTFOLIO&amp;VAR:CHGPERIOD=NA&amp;VAR:FQLFORMULA=FMA_PE&amp;VAR:CURRENCY=USD&amp;VAR:P=8","89.806150&amp;VAR:THRESH=||||||&amp;VAR:null=.html"}</definedName>
    <definedName name="_4220__FDSAUDITLINK__" hidden="1">{"fdsup://directions/FAT Viewer?action=UPDATE&amp;creator=factset&amp;DYN_ARGS=TRUE&amp;DOC_NAME=FAT:FQL_AUDITING_CLIENT_TEMPLATE.FAT&amp;display_string=Audit&amp;VAR:KEY=DARUTYDUXC&amp;VAR:QUERY=RkZfU0FMRVMoQ0FMLDQwNTQzLCwsLFVTRCk=&amp;WINDOW=FIRST_POPUP&amp;HEIGHT=450&amp;WIDTH=450&amp;START_MA","XIMIZED=FALSE&amp;VAR:CALENDAR=US&amp;VAR:SYMBOL=BMY&amp;VAR:INDEX=0"}</definedName>
    <definedName name="_4221__FDSAUDITLINK__" hidden="1">{"fdsup://directions/FAT Viewer?action=UPDATE&amp;creator=factset&amp;DYN_ARGS=TRUE&amp;DOC_NAME=FAT:FQL_AUDITING_CLIENT_TEMPLATE.FAT&amp;display_string=Audit&amp;VAR:KEY=POPKTAPQJQ&amp;VAR:QUERY=RkZfU0FMRVMoQ0FMLDQwNTQzLCwsLFVTRCk=&amp;WINDOW=FIRST_POPUP&amp;HEIGHT=450&amp;WIDTH=450&amp;START_MA","XIMIZED=FALSE&amp;VAR:CALENDAR=US&amp;VAR:SYMBOL=LLY&amp;VAR:INDEX=0"}</definedName>
    <definedName name="_4222__FDSAUDITLINK__" hidden="1">{"fdsup://directions/FAT Viewer?action=UPDATE&amp;creator=factset&amp;DYN_ARGS=TRUE&amp;DOC_NAME=FAT:FQL_AUDITING_CLIENT_TEMPLATE.FAT&amp;display_string=Audit&amp;VAR:KEY=XOJCXURYNY&amp;VAR:QUERY=RkZfU0FMRVMoQ0FMLDQwNTQzLCwsLFVTRCk=&amp;WINDOW=FIRST_POPUP&amp;HEIGHT=450&amp;WIDTH=450&amp;START_MA","XIMIZED=FALSE&amp;VAR:CALENDAR=US&amp;VAR:SYMBOL=506921&amp;VAR:INDEX=0"}</definedName>
    <definedName name="_4223__FDSAUDITLINK__" hidden="1">{"fdsup://directions/FAT Viewer?action=UPDATE&amp;creator=factset&amp;DYN_ARGS=TRUE&amp;DOC_NAME=FAT:FQL_AUDITING_CLIENT_TEMPLATE.FAT&amp;display_string=Audit&amp;VAR:KEY=VSPKTEVIFI&amp;VAR:QUERY=RkZfU0FMRVMoQ0FMLDQwNTQzLCwsLFVTRCk=&amp;WINDOW=FIRST_POPUP&amp;HEIGHT=450&amp;WIDTH=450&amp;START_MA","XIMIZED=FALSE&amp;VAR:CALENDAR=US&amp;VAR:SYMBOL=567173&amp;VAR:INDEX=0"}</definedName>
    <definedName name="_4224__FDSAUDITLINK__" hidden="1">{"fdsup://directions/FAT Viewer?action=UPDATE&amp;creator=factset&amp;DYN_ARGS=TRUE&amp;DOC_NAME=FAT:FQL_AUDITING_CLIENT_TEMPLATE.FAT&amp;display_string=Audit&amp;VAR:KEY=BCLQRKPMJI&amp;VAR:QUERY=RkZfU0FMRVMoQ0FMLDQwNTQzLCwsLFVTRCk=&amp;WINDOW=FIRST_POPUP&amp;HEIGHT=450&amp;WIDTH=450&amp;START_MA","XIMIZED=FALSE&amp;VAR:CALENDAR=US&amp;VAR:SYMBOL=JNJ&amp;VAR:INDEX=0"}</definedName>
    <definedName name="_4225__FDSAUDITLINK__" hidden="1">{"fdsup://directions/FAT Viewer?action=UPDATE&amp;creator=factset&amp;DYN_ARGS=TRUE&amp;DOC_NAME=FAT:FQL_AUDITING_CLIENT_TEMPLATE.FAT&amp;display_string=Audit&amp;VAR:KEY=VIFKZADUDQ&amp;VAR:QUERY=RkZfU0FMRVMoQ0FMLDQwNTQzLCwsLFVTRCk=&amp;WINDOW=FIRST_POPUP&amp;HEIGHT=450&amp;WIDTH=450&amp;START_MA","XIMIZED=FALSE&amp;VAR:CALENDAR=US&amp;VAR:SYMBOL=710306&amp;VAR:INDEX=0"}</definedName>
    <definedName name="_4226__FDSAUDITLINK__" hidden="1">{"fdsup://directions/FAT Viewer?action=UPDATE&amp;creator=factset&amp;DYN_ARGS=TRUE&amp;DOC_NAME=FAT:FQL_AUDITING_CLIENT_TEMPLATE.FAT&amp;display_string=Audit&amp;VAR:KEY=LUZWFQNOTG&amp;VAR:QUERY=RkZfU0FMRVMoQ0FMLDQwNTQzLCwsLFVTRCk=&amp;WINDOW=FIRST_POPUP&amp;HEIGHT=450&amp;WIDTH=450&amp;START_MA","XIMIZED=FALSE&amp;VAR:CALENDAR=US&amp;VAR:SYMBOL=711038&amp;VAR:INDEX=0"}</definedName>
    <definedName name="_4227__FDSAUDITLINK__" hidden="1">{"fdsup://directions/FAT Viewer?action=UPDATE&amp;creator=factset&amp;DYN_ARGS=TRUE&amp;DOC_NAME=FAT:FQL_AUDITING_CLIENT_TEMPLATE.FAT&amp;display_string=Audit&amp;VAR:KEY=DQVIXUTIHC&amp;VAR:QUERY=RkZfU0FMRVMoQ0FMLDQwMTc4LCwsLFVTRCk=&amp;WINDOW=FIRST_POPUP&amp;HEIGHT=450&amp;WIDTH=450&amp;START_MA","XIMIZED=FALSE&amp;VAR:CALENDAR=US&amp;VAR:SYMBOL=711038&amp;VAR:INDEX=0"}</definedName>
    <definedName name="_4228__FDSAUDITLINK__" hidden="1">{"fdsup://directions/FAT Viewer?action=UPDATE&amp;creator=factset&amp;DYN_ARGS=TRUE&amp;DOC_NAME=FAT:FQL_AUDITING_CLIENT_TEMPLATE.FAT&amp;display_string=Audit&amp;VAR:KEY=LANIXUPWJS&amp;VAR:QUERY=RkZfU0FMRVMoQ0FMLDM5ODEzLCwsLFVTRCk=&amp;WINDOW=FIRST_POPUP&amp;HEIGHT=450&amp;WIDTH=450&amp;START_MA","XIMIZED=FALSE&amp;VAR:CALENDAR=US&amp;VAR:SYMBOL=711038&amp;VAR:INDEX=0"}</definedName>
    <definedName name="_4229__FDSAUDITLINK__" hidden="1">{"fdsup://directions/FAT Viewer?action=UPDATE&amp;creator=factset&amp;DYN_ARGS=TRUE&amp;DOC_NAME=FAT:FQL_AUDITING_CLIENT_TEMPLATE.FAT&amp;display_string=Audit&amp;VAR:KEY=DMDIZURKRI&amp;VAR:QUERY=RkZfU0FMRVMoQ0FMLDQwNTQzLCwsLFVTRCk=&amp;WINDOW=FIRST_POPUP&amp;HEIGHT=450&amp;WIDTH=450&amp;START_MA","XIMIZED=FALSE&amp;VAR:CALENDAR=US&amp;VAR:SYMBOL=MRK&amp;VAR:INDEX=0"}</definedName>
    <definedName name="_423__FDSAUDITLINK__" hidden="1">{"fdsup://directions/FAT%20Viewer?VAR:TM=NTMA&amp;VAR:PCT=0.317808&amp;VAR:Y0=2002&amp;VAR:Y1=2003&amp;VAR:V0=17.848707&amp;VAR:V1=15.245147&amp;VAR:V=15.986239&amp;VAR:AUDIT_ID=00000117&amp;VAR:DATE=20020906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Aggregates&amp;VAR:MEASURE=PE_MEAN&amp;VAR:CALC_MODE=PORTFOLIO&amp;VAR:CHGPERIOD=NA&amp;VAR:FQLFORMULA=FMA_PE&amp;VAR:CURRENCY=USD&amp;VAR:P=8","93.916750&amp;VAR:THRESH=||||||&amp;VAR:null=.html"}</definedName>
    <definedName name="_4230__FDSAUDITLINK__" hidden="1">{"fdsup://directions/FAT Viewer?action=UPDATE&amp;creator=factset&amp;DYN_ARGS=TRUE&amp;DOC_NAME=FAT:FQL_AUDITING_CLIENT_TEMPLATE.FAT&amp;display_string=Audit&amp;VAR:KEY=NITGVAHEXK&amp;VAR:QUERY=RkZfU0FMRVMoQ0FMLDQwMTc4LCwsLFVTRCk=&amp;WINDOW=FIRST_POPUP&amp;HEIGHT=450&amp;WIDTH=450&amp;START_MA","XIMIZED=FALSE&amp;VAR:CALENDAR=US&amp;VAR:SYMBOL=MRK&amp;VAR:INDEX=0"}</definedName>
    <definedName name="_4231__FDSAUDITLINK__" hidden="1">{"fdsup://directions/FAT Viewer?action=UPDATE&amp;creator=factset&amp;DYN_ARGS=TRUE&amp;DOC_NAME=FAT:FQL_AUDITING_CLIENT_TEMPLATE.FAT&amp;display_string=Audit&amp;VAR:KEY=PYDALOBCHY&amp;VAR:QUERY=RkZfU0FMRVMoQ0FMLDM5ODEzLCwsLFVTRCk=&amp;WINDOW=FIRST_POPUP&amp;HEIGHT=450&amp;WIDTH=450&amp;START_MA","XIMIZED=FALSE&amp;VAR:CALENDAR=US&amp;VAR:SYMBOL=MRK&amp;VAR:INDEX=0"}</definedName>
    <definedName name="_4232__FDSAUDITLINK__" hidden="1">{"fdsup://directions/FAT Viewer?action=UPDATE&amp;creator=factset&amp;DYN_ARGS=TRUE&amp;DOC_NAME=FAT:FQL_AUDITING_CLIENT_TEMPLATE.FAT&amp;display_string=Audit&amp;VAR:KEY=DIFWLOFKHK&amp;VAR:QUERY=RkZfU0FMRVMoQ0FMLDM5NDQ3LCwsLFVTRCk=&amp;WINDOW=FIRST_POPUP&amp;HEIGHT=450&amp;WIDTH=450&amp;START_MA","XIMIZED=FALSE&amp;VAR:CALENDAR=US&amp;VAR:SYMBOL=MRK&amp;VAR:INDEX=0"}</definedName>
    <definedName name="_4233__FDSAUDITLINK__" hidden="1">{"fdsup://directions/FAT Viewer?action=UPDATE&amp;creator=factset&amp;DYN_ARGS=TRUE&amp;DOC_NAME=FAT:FQL_AUDITING_CLIENT_TEMPLATE.FAT&amp;display_string=Audit&amp;VAR:KEY=HEPGNYVUHS&amp;VAR:QUERY=RkZfU0FMRVMoQ0FMLDM5MDgyLCwsLFVTRCk=&amp;WINDOW=FIRST_POPUP&amp;HEIGHT=450&amp;WIDTH=450&amp;START_MA","XIMIZED=FALSE&amp;VAR:CALENDAR=US&amp;VAR:SYMBOL=MRK&amp;VAR:INDEX=0"}</definedName>
    <definedName name="_4234__FDSAUDITLINK__" hidden="1">{"fdsup://directions/FAT Viewer?action=UPDATE&amp;creator=factset&amp;DYN_ARGS=TRUE&amp;DOC_NAME=FAT:FQL_AUDITING_CLIENT_TEMPLATE.FAT&amp;display_string=Audit&amp;VAR:KEY=LARWVSDIPK&amp;VAR:QUERY=RkZfU0FMRVMoQ0FMLDM4NzE3LCwsLFVTRCk=&amp;WINDOW=FIRST_POPUP&amp;HEIGHT=450&amp;WIDTH=450&amp;START_MA","XIMIZED=FALSE&amp;VAR:CALENDAR=US&amp;VAR:SYMBOL=MRK&amp;VAR:INDEX=0"}</definedName>
    <definedName name="_4235__FDSAUDITLINK__" hidden="1">{"fdsup://directions/FAT Viewer?action=UPDATE&amp;creator=factset&amp;DYN_ARGS=TRUE&amp;DOC_NAME=FAT:FQL_AUDITING_CLIENT_TEMPLATE.FAT&amp;display_string=Audit&amp;VAR:KEY=XINIZQTOTW&amp;VAR:QUERY=RkZfU0FMRVMoQ0FMLDM4MzUyLCwsLFVTRCk=&amp;WINDOW=FIRST_POPUP&amp;HEIGHT=450&amp;WIDTH=450&amp;START_MA","XIMIZED=FALSE&amp;VAR:CALENDAR=US&amp;VAR:SYMBOL=MRK&amp;VAR:INDEX=0"}</definedName>
    <definedName name="_4236__FDSAUDITLINK__" hidden="1">{"fdsup://directions/FAT Viewer?action=UPDATE&amp;creator=factset&amp;DYN_ARGS=TRUE&amp;DOC_NAME=FAT:FQL_AUDITING_CLIENT_TEMPLATE.FAT&amp;display_string=Audit&amp;VAR:KEY=HGVYHKXCNO&amp;VAR:QUERY=RkZfU0FMRVMoQ0FMLDQwNTQzLCwsLFVTRCk=&amp;WINDOW=FIRST_POPUP&amp;HEIGHT=450&amp;WIDTH=450&amp;START_MA","XIMIZED=FALSE&amp;VAR:CALENDAR=US&amp;VAR:SYMBOL=PFE&amp;VAR:INDEX=0"}</definedName>
    <definedName name="_4237__FDSAUDITLINK__" hidden="1">{"fdsup://directions/FAT Viewer?action=UPDATE&amp;creator=factset&amp;DYN_ARGS=TRUE&amp;DOC_NAME=FAT:FQL_AUDITING_CLIENT_TEMPLATE.FAT&amp;display_string=Audit&amp;VAR:KEY=VUBGPEPQXE&amp;VAR:QUERY=RkZfU0FMRVMoQ0FMLDQwMTc4LCwsLFVTRCk=&amp;WINDOW=FIRST_POPUP&amp;HEIGHT=450&amp;WIDTH=450&amp;START_MA","XIMIZED=FALSE&amp;VAR:CALENDAR=US&amp;VAR:SYMBOL=PFE&amp;VAR:INDEX=0"}</definedName>
    <definedName name="_4238__FDSAUDITLINK__" hidden="1">{"fdsup://directions/FAT Viewer?action=UPDATE&amp;creator=factset&amp;DYN_ARGS=TRUE&amp;DOC_NAME=FAT:FQL_AUDITING_CLIENT_TEMPLATE.FAT&amp;display_string=Audit&amp;VAR:KEY=TALIFCXGLY&amp;VAR:QUERY=RkZfU0FMRVMoQ0FMLDM5ODEzLCwsLFVTRCk=&amp;WINDOW=FIRST_POPUP&amp;HEIGHT=450&amp;WIDTH=450&amp;START_MA","XIMIZED=FALSE&amp;VAR:CALENDAR=US&amp;VAR:SYMBOL=PFE&amp;VAR:INDEX=0"}</definedName>
    <definedName name="_4239__FDSAUDITLINK__" hidden="1">{"fdsup://directions/FAT Viewer?action=UPDATE&amp;creator=factset&amp;DYN_ARGS=TRUE&amp;DOC_NAME=FAT:FQL_AUDITING_CLIENT_TEMPLATE.FAT&amp;display_string=Audit&amp;VAR:KEY=XGZEZUPELA&amp;VAR:QUERY=RkZfU0FMRVMoQ0FMLDM5NDQ3LCwsLFVTRCk=&amp;WINDOW=FIRST_POPUP&amp;HEIGHT=450&amp;WIDTH=450&amp;START_MA","XIMIZED=FALSE&amp;VAR:CALENDAR=US&amp;VAR:SYMBOL=PFE&amp;VAR:INDEX=0"}</definedName>
    <definedName name="_424__FDSAUDITLINK__" hidden="1">{"fdsup://directions/FAT%20Viewer?VAR:TM=NTMA&amp;VAR:PCT=0.336986&amp;VAR:Y0=2002&amp;VAR:Y1=2003&amp;VAR:V0=18.273867&amp;VAR:V1=15.604545&amp;VAR:V=16.412442&amp;VAR:AUDIT_ID=00000117&amp;VAR:DATE=20020830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Aggregates&amp;VAR:MEASURE=PE_MEAN&amp;VAR:CALC_MODE=PORTFOLIO&amp;VAR:CHGPERIOD=NA&amp;VAR:FQLFORMULA=FMA_PE&amp;VAR:CURRENCY=USD&amp;VAR:P=9","16.073060&amp;VAR:THRESH=||||||&amp;VAR:null=.html"}</definedName>
    <definedName name="_4240__FDSAUDITLINK__" hidden="1">{"fdsup://directions/FAT Viewer?action=UPDATE&amp;creator=factset&amp;DYN_ARGS=TRUE&amp;DOC_NAME=FAT:FQL_AUDITING_CLIENT_TEMPLATE.FAT&amp;display_string=Audit&amp;VAR:KEY=VCRKNMRSXU&amp;VAR:QUERY=RkZfU0FMRVMoQ0FMLDM5MDgyLCwsLFVTRCk=&amp;WINDOW=FIRST_POPUP&amp;HEIGHT=450&amp;WIDTH=450&amp;START_MA","XIMIZED=FALSE&amp;VAR:CALENDAR=US&amp;VAR:SYMBOL=PFE&amp;VAR:INDEX=0"}</definedName>
    <definedName name="_4241__FDSAUDITLINK__" hidden="1">{"fdsup://directions/FAT Viewer?action=UPDATE&amp;creator=factset&amp;DYN_ARGS=TRUE&amp;DOC_NAME=FAT:FQL_AUDITING_CLIENT_TEMPLATE.FAT&amp;display_string=Audit&amp;VAR:KEY=XSFMPONEVU&amp;VAR:QUERY=RkZfU0FMRVMoQ0FMLDM4NzE3LCwsLFVTRCk=&amp;WINDOW=FIRST_POPUP&amp;HEIGHT=450&amp;WIDTH=450&amp;START_MA","XIMIZED=FALSE&amp;VAR:CALENDAR=US&amp;VAR:SYMBOL=PFE&amp;VAR:INDEX=0"}</definedName>
    <definedName name="_4242__FDSAUDITLINK__" hidden="1">{"fdsup://directions/FAT Viewer?action=UPDATE&amp;creator=factset&amp;DYN_ARGS=TRUE&amp;DOC_NAME=FAT:FQL_AUDITING_CLIENT_TEMPLATE.FAT&amp;display_string=Audit&amp;VAR:KEY=ZQNSHKVOTE&amp;VAR:QUERY=RkZfU0FMRVMoQ0FMLDM4MzUyLCwsLFVTRCk=&amp;WINDOW=FIRST_POPUP&amp;HEIGHT=450&amp;WIDTH=450&amp;START_MA","XIMIZED=FALSE&amp;VAR:CALENDAR=US&amp;VAR:SYMBOL=PFE&amp;VAR:INDEX=0"}</definedName>
    <definedName name="_4243__FDSAUDITLINK__" hidden="1">{"fdsup://Directions/FactSet Auditing Viewer?action=AUDIT_VALUE&amp;DB=129&amp;ID1=36871040&amp;VALUEID=01001&amp;SDATE=200804&amp;PERIODTYPE=QTR_STD&amp;SCFT=3&amp;window=popup_no_bar&amp;width=385&amp;height=120&amp;START_MAXIMIZED=FALSE&amp;creator=factset&amp;display_string=Audit"}</definedName>
    <definedName name="_4244__FDSAUDITLINK__" hidden="1">{"fdsup://Directions/FactSet Auditing Viewer?action=AUDIT_VALUE&amp;DB=129&amp;ID1=36871040&amp;VALUEID=01001&amp;SDATE=200803&amp;PERIODTYPE=QTR_STD&amp;SCFT=3&amp;window=popup_no_bar&amp;width=385&amp;height=120&amp;START_MAXIMIZED=FALSE&amp;creator=factset&amp;display_string=Audit"}</definedName>
    <definedName name="_4245__FDSAUDITLINK__" hidden="1">{"fdsup://Directions/FactSet Auditing Viewer?action=AUDIT_VALUE&amp;DB=129&amp;ID1=36871040&amp;VALUEID=01001&amp;SDATE=200802&amp;PERIODTYPE=QTR_STD&amp;SCFT=3&amp;window=popup_no_bar&amp;width=385&amp;height=120&amp;START_MAXIMIZED=FALSE&amp;creator=factset&amp;display_string=Audit"}</definedName>
    <definedName name="_4246__FDSAUDITLINK__" hidden="1">{"fdsup://Directions/FactSet Auditing Viewer?action=AUDIT_VALUE&amp;DB=129&amp;ID1=36871040&amp;VALUEID=01001&amp;SDATE=200801&amp;PERIODTYPE=QTR_STD&amp;SCFT=3&amp;window=popup_no_bar&amp;width=385&amp;height=120&amp;START_MAXIMIZED=FALSE&amp;creator=factset&amp;display_string=Audit"}</definedName>
    <definedName name="_4247__FDSAUDITLINK__" hidden="1">{"fdsup://Directions/FactSet Auditing Viewer?action=AUDIT_VALUE&amp;DB=129&amp;ID1=36871040&amp;VALUEID=01001&amp;SDATE=200704&amp;PERIODTYPE=QTR_STD&amp;SCFT=3&amp;window=popup_no_bar&amp;width=385&amp;height=120&amp;START_MAXIMIZED=FALSE&amp;creator=factset&amp;display_string=Audit"}</definedName>
    <definedName name="_4248__FDSAUDITLINK__" hidden="1">{"fdsup://Directions/FactSet Auditing Viewer?action=AUDIT_VALUE&amp;DB=129&amp;ID1=36871040&amp;VALUEID=01001&amp;SDATE=200703&amp;PERIODTYPE=QTR_STD&amp;SCFT=3&amp;window=popup_no_bar&amp;width=385&amp;height=120&amp;START_MAXIMIZED=FALSE&amp;creator=factset&amp;display_string=Audit"}</definedName>
    <definedName name="_4249__FDSAUDITLINK__" hidden="1">{"fdsup://Directions/FactSet Auditing Viewer?action=AUDIT_VALUE&amp;DB=129&amp;ID1=36871040&amp;VALUEID=01001&amp;SDATE=200702&amp;PERIODTYPE=QTR_STD&amp;SCFT=3&amp;window=popup_no_bar&amp;width=385&amp;height=120&amp;START_MAXIMIZED=FALSE&amp;creator=factset&amp;display_string=Audit"}</definedName>
    <definedName name="_425__FDSAUDITLINK__" hidden="1">{"fdsup://directions/FAT%20Viewer?VAR:TM=NTMA&amp;VAR:PCT=0.356164&amp;VAR:Y0=2002&amp;VAR:Y1=2003&amp;VAR:V0=18.737791&amp;VAR:V1=15.996821&amp;VAR:V=16.876061&amp;VAR:AUDIT_ID=00000117&amp;VAR:DATE=20020823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Aggregates&amp;VAR:MEASURE=PE_MEAN&amp;VAR:CALC_MODE=PORTFOLIO&amp;VAR:CHGPERIOD=NA&amp;VAR:FQLFORMULA=FMA_PE&amp;VAR:CURRENCY=USD&amp;VAR:P=9","40.864260&amp;VAR:THRESH=||||||&amp;VAR:null=.html"}</definedName>
    <definedName name="_4250__FDSAUDITLINK__" hidden="1">{"fdsup://Directions/FactSet Auditing Viewer?action=AUDIT_VALUE&amp;DB=129&amp;ID1=36871040&amp;VALUEID=01001&amp;SDATE=200701&amp;PERIODTYPE=QTR_STD&amp;SCFT=3&amp;window=popup_no_bar&amp;width=385&amp;height=120&amp;START_MAXIMIZED=FALSE&amp;creator=factset&amp;display_string=Audit"}</definedName>
    <definedName name="_4251__FDSAUDITLINK__" hidden="1">{"fdsup://Directions/FactSet Auditing Viewer?action=AUDIT_VALUE&amp;DB=129&amp;ID1=98302410&amp;VALUEID=01001&amp;SDATE=200902&amp;PERIODTYPE=QTR_STD&amp;SCFT=3&amp;window=popup_no_bar&amp;width=385&amp;height=120&amp;START_MAXIMIZED=FALSE&amp;creator=factset&amp;display_string=Audit"}</definedName>
    <definedName name="_4252__FDSAUDITLINK__" hidden="1">{"fdsup://Directions/FactSet Auditing Viewer?action=AUDIT_VALUE&amp;DB=129&amp;ID1=98302410&amp;VALUEID=01001&amp;SDATE=200901&amp;PERIODTYPE=QTR_STD&amp;SCFT=3&amp;window=popup_no_bar&amp;width=385&amp;height=120&amp;START_MAXIMIZED=FALSE&amp;creator=factset&amp;display_string=Audit"}</definedName>
    <definedName name="_4253__FDSAUDITLINK__" hidden="1">{"fdsup://Directions/FactSet Auditing Viewer?action=AUDIT_VALUE&amp;DB=129&amp;ID1=98302410&amp;VALUEID=01001&amp;SDATE=200804&amp;PERIODTYPE=QTR_STD&amp;SCFT=3&amp;window=popup_no_bar&amp;width=385&amp;height=120&amp;START_MAXIMIZED=FALSE&amp;creator=factset&amp;display_string=Audit"}</definedName>
    <definedName name="_4254__FDSAUDITLINK__" hidden="1">{"fdsup://Directions/FactSet Auditing Viewer?action=AUDIT_VALUE&amp;DB=129&amp;ID1=98302410&amp;VALUEID=01001&amp;SDATE=200803&amp;PERIODTYPE=QTR_STD&amp;SCFT=3&amp;window=popup_no_bar&amp;width=385&amp;height=120&amp;START_MAXIMIZED=FALSE&amp;creator=factset&amp;display_string=Audit"}</definedName>
    <definedName name="_4255__FDSAUDITLINK__" hidden="1">{"fdsup://Directions/FactSet Auditing Viewer?action=AUDIT_VALUE&amp;DB=129&amp;ID1=98302410&amp;VALUEID=01001&amp;SDATE=200802&amp;PERIODTYPE=QTR_STD&amp;SCFT=3&amp;window=popup_no_bar&amp;width=385&amp;height=120&amp;START_MAXIMIZED=FALSE&amp;creator=factset&amp;display_string=Audit"}</definedName>
    <definedName name="_4256__FDSAUDITLINK__" hidden="1">{"fdsup://Directions/FactSet Auditing Viewer?action=AUDIT_VALUE&amp;DB=129&amp;ID1=98302410&amp;VALUEID=01001&amp;SDATE=200801&amp;PERIODTYPE=QTR_STD&amp;SCFT=3&amp;window=popup_no_bar&amp;width=385&amp;height=120&amp;START_MAXIMIZED=FALSE&amp;creator=factset&amp;display_string=Audit"}</definedName>
    <definedName name="_4257__FDSAUDITLINK__" hidden="1">{"fdsup://Directions/FactSet Auditing Viewer?action=AUDIT_VALUE&amp;DB=129&amp;ID1=98302410&amp;VALUEID=01001&amp;SDATE=200704&amp;PERIODTYPE=QTR_STD&amp;SCFT=3&amp;window=popup_no_bar&amp;width=385&amp;height=120&amp;START_MAXIMIZED=FALSE&amp;creator=factset&amp;display_string=Audit"}</definedName>
    <definedName name="_4258__FDSAUDITLINK__" hidden="1">{"fdsup://Directions/FactSet Auditing Viewer?action=AUDIT_VALUE&amp;DB=129&amp;ID1=98302410&amp;VALUEID=01001&amp;SDATE=200703&amp;PERIODTYPE=QTR_STD&amp;SCFT=3&amp;window=popup_no_bar&amp;width=385&amp;height=120&amp;START_MAXIMIZED=FALSE&amp;creator=factset&amp;display_string=Audit"}</definedName>
    <definedName name="_4259__FDSAUDITLINK__" hidden="1">{"fdsup://Directions/FactSet Auditing Viewer?action=AUDIT_VALUE&amp;DB=129&amp;ID1=80660510&amp;VALUEID=01001&amp;SDATE=200903&amp;PERIODTYPE=QTR_STD&amp;SCFT=3&amp;window=popup_no_bar&amp;width=385&amp;height=120&amp;START_MAXIMIZED=FALSE&amp;creator=factset&amp;display_string=Audit"}</definedName>
    <definedName name="_426__FDSAUDITLINK__" hidden="1">{"fdsup://directions/FAT%20Viewer?VAR:TM=NTMA&amp;VAR:PCT=0.375342&amp;VAR:Y0=2002&amp;VAR:Y1=2003&amp;VAR:V0=18.476357&amp;VAR:V1=15.777829&amp;VAR:V=16.692934&amp;VAR:AUDIT_ID=00000117&amp;VAR:DATE=20020816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Aggregates&amp;VAR:MEASURE=PE_MEAN&amp;VAR:CALC_MODE=PORTFOLIO&amp;VAR:CHGPERIOD=NA&amp;VAR:FQLFORMULA=FMA_PE&amp;VAR:CURRENCY=USD&amp;VAR:P=9","28.772800&amp;VAR:THRESH=||||||&amp;VAR:null=.html"}</definedName>
    <definedName name="_4260__FDSAUDITLINK__" hidden="1">{"fdsup://Directions/FactSet Auditing Viewer?action=AUDIT_VALUE&amp;DB=129&amp;ID1=80660510&amp;VALUEID=01001&amp;SDATE=200902&amp;PERIODTYPE=QTR_STD&amp;SCFT=3&amp;window=popup_no_bar&amp;width=385&amp;height=120&amp;START_MAXIMIZED=FALSE&amp;creator=factset&amp;display_string=Audit"}</definedName>
    <definedName name="_4261__FDSAUDITLINK__" hidden="1">{"fdsup://Directions/FactSet Auditing Viewer?action=AUDIT_VALUE&amp;DB=129&amp;ID1=80660510&amp;VALUEID=01001&amp;SDATE=200804&amp;PERIODTYPE=QTR_STD&amp;SCFT=3&amp;window=popup_no_bar&amp;width=385&amp;height=120&amp;START_MAXIMIZED=FALSE&amp;creator=factset&amp;display_string=Audit"}</definedName>
    <definedName name="_4262__FDSAUDITLINK__" hidden="1">{"fdsup://Directions/FactSet Auditing Viewer?action=AUDIT_VALUE&amp;DB=129&amp;ID1=80660510&amp;VALUEID=01001&amp;SDATE=200803&amp;PERIODTYPE=QTR_STD&amp;SCFT=3&amp;window=popup_no_bar&amp;width=385&amp;height=120&amp;START_MAXIMIZED=FALSE&amp;creator=factset&amp;display_string=Audit"}</definedName>
    <definedName name="_4263__FDSAUDITLINK__" hidden="1">{"fdsup://Directions/FactSet Auditing Viewer?action=AUDIT_VALUE&amp;DB=129&amp;ID1=80660510&amp;VALUEID=01001&amp;SDATE=200802&amp;PERIODTYPE=QTR_STD&amp;SCFT=3&amp;window=popup_no_bar&amp;width=385&amp;height=120&amp;START_MAXIMIZED=FALSE&amp;creator=factset&amp;display_string=Audit"}</definedName>
    <definedName name="_4264__FDSAUDITLINK__" hidden="1">{"fdsup://Directions/FactSet Auditing Viewer?action=AUDIT_VALUE&amp;DB=129&amp;ID1=80660510&amp;VALUEID=01001&amp;SDATE=200801&amp;PERIODTYPE=QTR_STD&amp;SCFT=3&amp;window=popup_no_bar&amp;width=385&amp;height=120&amp;START_MAXIMIZED=FALSE&amp;creator=factset&amp;display_string=Audit"}</definedName>
    <definedName name="_4265__FDSAUDITLINK__" hidden="1">{"fdsup://Directions/FactSet Auditing Viewer?action=AUDIT_VALUE&amp;DB=129&amp;ID1=80660510&amp;VALUEID=01001&amp;SDATE=200704&amp;PERIODTYPE=QTR_STD&amp;SCFT=3&amp;window=popup_no_bar&amp;width=385&amp;height=120&amp;START_MAXIMIZED=FALSE&amp;creator=factset&amp;display_string=Audit"}</definedName>
    <definedName name="_4266__FDSAUDITLINK__" hidden="1">{"fdsup://Directions/FactSet Auditing Viewer?action=AUDIT_VALUE&amp;DB=129&amp;ID1=36871040&amp;VALUEID=01001&amp;SDATE=200804&amp;PERIODTYPE=QTR_STD&amp;SCFT=3&amp;window=popup_no_bar&amp;width=385&amp;height=120&amp;START_MAXIMIZED=FALSE&amp;creator=factset&amp;display_string=Audit"}</definedName>
    <definedName name="_4267__FDSAUDITLINK__" hidden="1">{"fdsup://Directions/FactSet Auditing Viewer?action=AUDIT_VALUE&amp;DB=129&amp;ID1=36871040&amp;VALUEID=01001&amp;SDATE=200803&amp;PERIODTYPE=QTR_STD&amp;SCFT=3&amp;window=popup_no_bar&amp;width=385&amp;height=120&amp;START_MAXIMIZED=FALSE&amp;creator=factset&amp;display_string=Audit"}</definedName>
    <definedName name="_4268__FDSAUDITLINK__" hidden="1">{"fdsup://Directions/FactSet Auditing Viewer?action=AUDIT_VALUE&amp;DB=129&amp;ID1=36871040&amp;VALUEID=01001&amp;SDATE=200802&amp;PERIODTYPE=QTR_STD&amp;SCFT=3&amp;window=popup_no_bar&amp;width=385&amp;height=120&amp;START_MAXIMIZED=FALSE&amp;creator=factset&amp;display_string=Audit"}</definedName>
    <definedName name="_4269__FDSAUDITLINK__" hidden="1">{"fdsup://Directions/FactSet Auditing Viewer?action=AUDIT_VALUE&amp;DB=129&amp;ID1=36871040&amp;VALUEID=01001&amp;SDATE=200801&amp;PERIODTYPE=QTR_STD&amp;SCFT=3&amp;window=popup_no_bar&amp;width=385&amp;height=120&amp;START_MAXIMIZED=FALSE&amp;creator=factset&amp;display_string=Audit"}</definedName>
    <definedName name="_427__FDSAUDITLINK__" hidden="1">{"fdsup://directions/FAT%20Viewer?VAR:TM=NTMA&amp;VAR:PCT=0.394521&amp;VAR:Y0=2002&amp;VAR:Y1=2003&amp;VAR:V0=18.044310&amp;VAR:V1=15.384070&amp;VAR:V=16.334119&amp;VAR:AUDIT_ID=00000117&amp;VAR:DATE=20020809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Aggregates&amp;VAR:MEASURE=PE_MEAN&amp;VAR:CALC_MODE=PORTFOLIO&amp;VAR:CHGPERIOD=NA&amp;VAR:FQLFORMULA=FMA_PE&amp;VAR:CURRENCY=USD&amp;VAR:P=9","08.636840&amp;VAR:THRESH=||||||&amp;VAR:null=.html"}</definedName>
    <definedName name="_4270__FDSAUDITLINK__" hidden="1">{"fdsup://Directions/FactSet Auditing Viewer?action=AUDIT_VALUE&amp;DB=129&amp;ID1=36871040&amp;VALUEID=01001&amp;SDATE=200704&amp;PERIODTYPE=QTR_STD&amp;SCFT=3&amp;window=popup_no_bar&amp;width=385&amp;height=120&amp;START_MAXIMIZED=FALSE&amp;creator=factset&amp;display_string=Audit"}</definedName>
    <definedName name="_4271__FDSAUDITLINK__" hidden="1">{"fdsup://Directions/FactSet Auditing Viewer?action=AUDIT_VALUE&amp;DB=129&amp;ID1=36871040&amp;VALUEID=01001&amp;SDATE=200703&amp;PERIODTYPE=QTR_STD&amp;SCFT=3&amp;window=popup_no_bar&amp;width=385&amp;height=120&amp;START_MAXIMIZED=FALSE&amp;creator=factset&amp;display_string=Audit"}</definedName>
    <definedName name="_4272__FDSAUDITLINK__" hidden="1">{"fdsup://Directions/FactSet Auditing Viewer?action=AUDIT_VALUE&amp;DB=129&amp;ID1=36871040&amp;VALUEID=01001&amp;SDATE=200702&amp;PERIODTYPE=QTR_STD&amp;SCFT=3&amp;window=popup_no_bar&amp;width=385&amp;height=120&amp;START_MAXIMIZED=FALSE&amp;creator=factset&amp;display_string=Audit"}</definedName>
    <definedName name="_4273__FDSAUDITLINK__" hidden="1">{"fdsup://Directions/FactSet Auditing Viewer?action=AUDIT_VALUE&amp;DB=129&amp;ID1=36871040&amp;VALUEID=01001&amp;SDATE=200701&amp;PERIODTYPE=QTR_STD&amp;SCFT=3&amp;window=popup_no_bar&amp;width=385&amp;height=120&amp;START_MAXIMIZED=FALSE&amp;creator=factset&amp;display_string=Audit"}</definedName>
    <definedName name="_4274__FDSAUDITLINK__" hidden="1">{"fdsup://Directions/FactSet Auditing Viewer?action=AUDIT_VALUE&amp;DB=129&amp;ID1=98302410&amp;VALUEID=01001&amp;SDATE=200902&amp;PERIODTYPE=QTR_STD&amp;SCFT=3&amp;window=popup_no_bar&amp;width=385&amp;height=120&amp;START_MAXIMIZED=FALSE&amp;creator=factset&amp;display_string=Audit"}</definedName>
    <definedName name="_4275__FDSAUDITLINK__" hidden="1">{"fdsup://Directions/FactSet Auditing Viewer?action=AUDIT_VALUE&amp;DB=129&amp;ID1=98302410&amp;VALUEID=01001&amp;SDATE=200901&amp;PERIODTYPE=QTR_STD&amp;SCFT=3&amp;window=popup_no_bar&amp;width=385&amp;height=120&amp;START_MAXIMIZED=FALSE&amp;creator=factset&amp;display_string=Audit"}</definedName>
    <definedName name="_4276__FDSAUDITLINK__" hidden="1">{"fdsup://Directions/FactSet Auditing Viewer?action=AUDIT_VALUE&amp;DB=129&amp;ID1=98302410&amp;VALUEID=01001&amp;SDATE=200804&amp;PERIODTYPE=QTR_STD&amp;SCFT=3&amp;window=popup_no_bar&amp;width=385&amp;height=120&amp;START_MAXIMIZED=FALSE&amp;creator=factset&amp;display_string=Audit"}</definedName>
    <definedName name="_4277__FDSAUDITLINK__" hidden="1">{"fdsup://Directions/FactSet Auditing Viewer?action=AUDIT_VALUE&amp;DB=129&amp;ID1=98302410&amp;VALUEID=01001&amp;SDATE=200803&amp;PERIODTYPE=QTR_STD&amp;SCFT=3&amp;window=popup_no_bar&amp;width=385&amp;height=120&amp;START_MAXIMIZED=FALSE&amp;creator=factset&amp;display_string=Audit"}</definedName>
    <definedName name="_4278__FDSAUDITLINK__" hidden="1">{"fdsup://Directions/FactSet Auditing Viewer?action=AUDIT_VALUE&amp;DB=129&amp;ID1=98302410&amp;VALUEID=01001&amp;SDATE=200802&amp;PERIODTYPE=QTR_STD&amp;SCFT=3&amp;window=popup_no_bar&amp;width=385&amp;height=120&amp;START_MAXIMIZED=FALSE&amp;creator=factset&amp;display_string=Audit"}</definedName>
    <definedName name="_4279__FDSAUDITLINK__" hidden="1">{"fdsup://Directions/FactSet Auditing Viewer?action=AUDIT_VALUE&amp;DB=129&amp;ID1=98302410&amp;VALUEID=01001&amp;SDATE=200801&amp;PERIODTYPE=QTR_STD&amp;SCFT=3&amp;window=popup_no_bar&amp;width=385&amp;height=120&amp;START_MAXIMIZED=FALSE&amp;creator=factset&amp;display_string=Audit"}</definedName>
    <definedName name="_428__FDSAUDITLINK__" hidden="1">{"fdsup://directions/FAT%20Viewer?VAR:TM=NTMA&amp;VAR:PCT=0.413699&amp;VAR:Y0=2002&amp;VAR:Y1=2003&amp;VAR:V0=17.129015&amp;VAR:V1=14.591056&amp;VAR:V=15.543840&amp;VAR:AUDIT_ID=00000117&amp;VAR:DATE=20020802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Aggregates&amp;VAR:MEASURE=PE_MEAN&amp;VAR:CALC_MODE=PORTFOLIO&amp;VAR:CHGPERIOD=NA&amp;VAR:FQLFORMULA=FMA_PE&amp;VAR:CURRENCY=USD&amp;VAR:P=8","64.244600&amp;VAR:THRESH=||||||&amp;VAR:null=.html"}</definedName>
    <definedName name="_4280__FDSAUDITLINK__" hidden="1">{"fdsup://Directions/FactSet Auditing Viewer?action=AUDIT_VALUE&amp;DB=129&amp;ID1=98302410&amp;VALUEID=01001&amp;SDATE=200704&amp;PERIODTYPE=QTR_STD&amp;SCFT=3&amp;window=popup_no_bar&amp;width=385&amp;height=120&amp;START_MAXIMIZED=FALSE&amp;creator=factset&amp;display_string=Audit"}</definedName>
    <definedName name="_4281__FDSAUDITLINK__" hidden="1">{"fdsup://Directions/FactSet Auditing Viewer?action=AUDIT_VALUE&amp;DB=129&amp;ID1=98302410&amp;VALUEID=01001&amp;SDATE=200703&amp;PERIODTYPE=QTR_STD&amp;SCFT=3&amp;window=popup_no_bar&amp;width=385&amp;height=120&amp;START_MAXIMIZED=FALSE&amp;creator=factset&amp;display_string=Audit"}</definedName>
    <definedName name="_4282__FDSAUDITLINK__" hidden="1">{"fdsup://Directions/FactSet Auditing Viewer?action=AUDIT_VALUE&amp;DB=129&amp;ID1=80660510&amp;VALUEID=01001&amp;SDATE=200903&amp;PERIODTYPE=QTR_STD&amp;SCFT=3&amp;window=popup_no_bar&amp;width=385&amp;height=120&amp;START_MAXIMIZED=FALSE&amp;creator=factset&amp;display_string=Audit"}</definedName>
    <definedName name="_4283__FDSAUDITLINK__" hidden="1">{"fdsup://Directions/FactSet Auditing Viewer?action=AUDIT_VALUE&amp;DB=129&amp;ID1=80660510&amp;VALUEID=01001&amp;SDATE=200902&amp;PERIODTYPE=QTR_STD&amp;SCFT=3&amp;window=popup_no_bar&amp;width=385&amp;height=120&amp;START_MAXIMIZED=FALSE&amp;creator=factset&amp;display_string=Audit"}</definedName>
    <definedName name="_4284__FDSAUDITLINK__" hidden="1">{"fdsup://Directions/FactSet Auditing Viewer?action=AUDIT_VALUE&amp;DB=129&amp;ID1=80660510&amp;VALUEID=01001&amp;SDATE=200804&amp;PERIODTYPE=QTR_STD&amp;SCFT=3&amp;window=popup_no_bar&amp;width=385&amp;height=120&amp;START_MAXIMIZED=FALSE&amp;creator=factset&amp;display_string=Audit"}</definedName>
    <definedName name="_4285__FDSAUDITLINK__" hidden="1">{"fdsup://Directions/FactSet Auditing Viewer?action=AUDIT_VALUE&amp;DB=129&amp;ID1=80660510&amp;VALUEID=01001&amp;SDATE=200803&amp;PERIODTYPE=QTR_STD&amp;SCFT=3&amp;window=popup_no_bar&amp;width=385&amp;height=120&amp;START_MAXIMIZED=FALSE&amp;creator=factset&amp;display_string=Audit"}</definedName>
    <definedName name="_4286__FDSAUDITLINK__" hidden="1">{"fdsup://Directions/FactSet Auditing Viewer?action=AUDIT_VALUE&amp;DB=129&amp;ID1=80660510&amp;VALUEID=01001&amp;SDATE=200802&amp;PERIODTYPE=QTR_STD&amp;SCFT=3&amp;window=popup_no_bar&amp;width=385&amp;height=120&amp;START_MAXIMIZED=FALSE&amp;creator=factset&amp;display_string=Audit"}</definedName>
    <definedName name="_4287__FDSAUDITLINK__" hidden="1">{"fdsup://Directions/FactSet Auditing Viewer?action=AUDIT_VALUE&amp;DB=129&amp;ID1=80660510&amp;VALUEID=01001&amp;SDATE=200801&amp;PERIODTYPE=QTR_STD&amp;SCFT=3&amp;window=popup_no_bar&amp;width=385&amp;height=120&amp;START_MAXIMIZED=FALSE&amp;creator=factset&amp;display_string=Audit"}</definedName>
    <definedName name="_4288__FDSAUDITLINK__" hidden="1">{"fdsup://Directions/FactSet Auditing Viewer?action=AUDIT_VALUE&amp;DB=129&amp;ID1=80660510&amp;VALUEID=01001&amp;SDATE=200704&amp;PERIODTYPE=QTR_STD&amp;SCFT=3&amp;window=popup_no_bar&amp;width=385&amp;height=120&amp;START_MAXIMIZED=FALSE&amp;creator=factset&amp;display_string=Audit"}</definedName>
    <definedName name="_4289__FDSAUDITLINK__" hidden="1">{"fdsup://Directions/FactSet Auditing Viewer?action=AUDIT_VALUE&amp;DB=129&amp;ID1=36871040&amp;VALUEID=01001&amp;SDATE=200804&amp;PERIODTYPE=QTR_STD&amp;SCFT=3&amp;window=popup_no_bar&amp;width=385&amp;height=120&amp;START_MAXIMIZED=FALSE&amp;creator=factset&amp;display_string=Audit"}</definedName>
    <definedName name="_429__FDSAUDITLINK__" hidden="1">{"fdsup://directions/FAT%20Viewer?VAR:TM=NTMA&amp;VAR:PCT=0.432877&amp;VAR:Y0=2002&amp;VAR:Y1=2003&amp;VAR:V0=16.808855&amp;VAR:V1=14.317569&amp;VAR:V=15.299128&amp;VAR:AUDIT_ID=00000117&amp;VAR:DATE=20020726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Aggregates&amp;VAR:MEASURE=PE_MEAN&amp;VAR:CALC_MODE=PORTFOLIO&amp;VAR:CHGPERIOD=NA&amp;VAR:FQLFORMULA=FMA_PE&amp;VAR:CURRENCY=USD&amp;VAR:P=8","52.836060&amp;VAR:THRESH=||||||&amp;VAR:null=.html"}</definedName>
    <definedName name="_4290__FDSAUDITLINK__" hidden="1">{"fdsup://Directions/FactSet Auditing Viewer?action=AUDIT_VALUE&amp;DB=129&amp;ID1=36871040&amp;VALUEID=01001&amp;SDATE=200803&amp;PERIODTYPE=QTR_STD&amp;SCFT=3&amp;window=popup_no_bar&amp;width=385&amp;height=120&amp;START_MAXIMIZED=FALSE&amp;creator=factset&amp;display_string=Audit"}</definedName>
    <definedName name="_4291__FDSAUDITLINK__" hidden="1">{"fdsup://Directions/FactSet Auditing Viewer?action=AUDIT_VALUE&amp;DB=129&amp;ID1=36871040&amp;VALUEID=01001&amp;SDATE=200802&amp;PERIODTYPE=QTR_STD&amp;SCFT=3&amp;window=popup_no_bar&amp;width=385&amp;height=120&amp;START_MAXIMIZED=FALSE&amp;creator=factset&amp;display_string=Audit"}</definedName>
    <definedName name="_4292__FDSAUDITLINK__" hidden="1">{"fdsup://Directions/FactSet Auditing Viewer?action=AUDIT_VALUE&amp;DB=129&amp;ID1=36871040&amp;VALUEID=01001&amp;SDATE=200801&amp;PERIODTYPE=QTR_STD&amp;SCFT=3&amp;window=popup_no_bar&amp;width=385&amp;height=120&amp;START_MAXIMIZED=FALSE&amp;creator=factset&amp;display_string=Audit"}</definedName>
    <definedName name="_4293__FDSAUDITLINK__" hidden="1">{"fdsup://Directions/FactSet Auditing Viewer?action=AUDIT_VALUE&amp;DB=129&amp;ID1=36871040&amp;VALUEID=01001&amp;SDATE=200704&amp;PERIODTYPE=QTR_STD&amp;SCFT=3&amp;window=popup_no_bar&amp;width=385&amp;height=120&amp;START_MAXIMIZED=FALSE&amp;creator=factset&amp;display_string=Audit"}</definedName>
    <definedName name="_4294__FDSAUDITLINK__" hidden="1">{"fdsup://Directions/FactSet Auditing Viewer?action=AUDIT_VALUE&amp;DB=129&amp;ID1=36871040&amp;VALUEID=01001&amp;SDATE=200703&amp;PERIODTYPE=QTR_STD&amp;SCFT=3&amp;window=popup_no_bar&amp;width=385&amp;height=120&amp;START_MAXIMIZED=FALSE&amp;creator=factset&amp;display_string=Audit"}</definedName>
    <definedName name="_4295__FDSAUDITLINK__" hidden="1">{"fdsup://Directions/FactSet Auditing Viewer?action=AUDIT_VALUE&amp;DB=129&amp;ID1=36871040&amp;VALUEID=01001&amp;SDATE=200702&amp;PERIODTYPE=QTR_STD&amp;SCFT=3&amp;window=popup_no_bar&amp;width=385&amp;height=120&amp;START_MAXIMIZED=FALSE&amp;creator=factset&amp;display_string=Audit"}</definedName>
    <definedName name="_4296__FDSAUDITLINK__" hidden="1">{"fdsup://Directions/FactSet Auditing Viewer?action=AUDIT_VALUE&amp;DB=129&amp;ID1=36871040&amp;VALUEID=01001&amp;SDATE=200701&amp;PERIODTYPE=QTR_STD&amp;SCFT=3&amp;window=popup_no_bar&amp;width=385&amp;height=120&amp;START_MAXIMIZED=FALSE&amp;creator=factset&amp;display_string=Audit"}</definedName>
    <definedName name="_4297__FDSAUDITLINK__" hidden="1">{"fdsup://Directions/FactSet Auditing Viewer?action=AUDIT_VALUE&amp;DB=129&amp;ID1=98302410&amp;VALUEID=01001&amp;SDATE=200902&amp;PERIODTYPE=QTR_STD&amp;SCFT=3&amp;window=popup_no_bar&amp;width=385&amp;height=120&amp;START_MAXIMIZED=FALSE&amp;creator=factset&amp;display_string=Audit"}</definedName>
    <definedName name="_4298__FDSAUDITLINK__" hidden="1">{"fdsup://Directions/FactSet Auditing Viewer?action=AUDIT_VALUE&amp;DB=129&amp;ID1=98302410&amp;VALUEID=01001&amp;SDATE=200901&amp;PERIODTYPE=QTR_STD&amp;SCFT=3&amp;window=popup_no_bar&amp;width=385&amp;height=120&amp;START_MAXIMIZED=FALSE&amp;creator=factset&amp;display_string=Audit"}</definedName>
    <definedName name="_4299__FDSAUDITLINK__" hidden="1">{"fdsup://Directions/FactSet Auditing Viewer?action=AUDIT_VALUE&amp;DB=129&amp;ID1=98302410&amp;VALUEID=01001&amp;SDATE=200804&amp;PERIODTYPE=QTR_STD&amp;SCFT=3&amp;window=popup_no_bar&amp;width=385&amp;height=120&amp;START_MAXIMIZED=FALSE&amp;creator=factset&amp;display_string=Audit"}</definedName>
    <definedName name="_43__FDSAUDITLINK__" hidden="1">{"fdsup://directions/FAT%20Viewer?VAR:TM=NTMA&amp;VAR:PCT=0.035616&amp;VAR:Y0=2009&amp;VAR:Y1=2010&amp;VAR:V0=17.809030&amp;VAR:V1=14.067546&amp;VAR:V=14.173602&amp;VAR:AUDIT_ID=00000117&amp;VAR:DATE=20091218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Aggregates&amp;VAR:MEASURE=PE_MEAN&amp;VAR:CALC_MODE=PORTFOLIO&amp;VAR:CHGPERIOD=NA&amp;VAR:FQLFORMULA=FMA_PE&amp;VAR:CURRENCY=USD&amp;VAR:P=1","102.465626&amp;VAR:THRESH=||||||&amp;VAR:null=.html"}</definedName>
    <definedName name="_430__FDSAUDITLINK__" hidden="1">{"fdsup://directions/FAT%20Viewer?VAR:TM=NTMA&amp;VAR:PCT=0.452055&amp;VAR:Y0=2002&amp;VAR:Y1=2003&amp;VAR:V0=16.564724&amp;VAR:V1=14.043794&amp;VAR:V=15.081341&amp;VAR:AUDIT_ID=00000117&amp;VAR:DATE=20020719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Aggregates&amp;VAR:MEASURE=PE_MEAN&amp;VAR:CALC_MODE=PORTFOLIO&amp;VAR:CHGPERIOD=NA&amp;VAR:FQLFORMULA=FMA_PE&amp;VAR:CURRENCY=USD&amp;VAR:P=8","47.761700&amp;VAR:THRESH=||||||&amp;VAR:null=.html"}</definedName>
    <definedName name="_4300__FDSAUDITLINK__" hidden="1">{"fdsup://Directions/FactSet Auditing Viewer?action=AUDIT_VALUE&amp;DB=129&amp;ID1=98302410&amp;VALUEID=01001&amp;SDATE=200803&amp;PERIODTYPE=QTR_STD&amp;SCFT=3&amp;window=popup_no_bar&amp;width=385&amp;height=120&amp;START_MAXIMIZED=FALSE&amp;creator=factset&amp;display_string=Audit"}</definedName>
    <definedName name="_4301__FDSAUDITLINK__" hidden="1">{"fdsup://Directions/FactSet Auditing Viewer?action=AUDIT_VALUE&amp;DB=129&amp;ID1=98302410&amp;VALUEID=01001&amp;SDATE=200802&amp;PERIODTYPE=QTR_STD&amp;SCFT=3&amp;window=popup_no_bar&amp;width=385&amp;height=120&amp;START_MAXIMIZED=FALSE&amp;creator=factset&amp;display_string=Audit"}</definedName>
    <definedName name="_4302__FDSAUDITLINK__" hidden="1">{"fdsup://Directions/FactSet Auditing Viewer?action=AUDIT_VALUE&amp;DB=129&amp;ID1=98302410&amp;VALUEID=01001&amp;SDATE=200801&amp;PERIODTYPE=QTR_STD&amp;SCFT=3&amp;window=popup_no_bar&amp;width=385&amp;height=120&amp;START_MAXIMIZED=FALSE&amp;creator=factset&amp;display_string=Audit"}</definedName>
    <definedName name="_4303__FDSAUDITLINK__" hidden="1">{"fdsup://Directions/FactSet Auditing Viewer?action=AUDIT_VALUE&amp;DB=129&amp;ID1=98302410&amp;VALUEID=01001&amp;SDATE=200704&amp;PERIODTYPE=QTR_STD&amp;SCFT=3&amp;window=popup_no_bar&amp;width=385&amp;height=120&amp;START_MAXIMIZED=FALSE&amp;creator=factset&amp;display_string=Audit"}</definedName>
    <definedName name="_4304__FDSAUDITLINK__" hidden="1">{"fdsup://Directions/FactSet Auditing Viewer?action=AUDIT_VALUE&amp;DB=129&amp;ID1=98302410&amp;VALUEID=01001&amp;SDATE=200703&amp;PERIODTYPE=QTR_STD&amp;SCFT=3&amp;window=popup_no_bar&amp;width=385&amp;height=120&amp;START_MAXIMIZED=FALSE&amp;creator=factset&amp;display_string=Audit"}</definedName>
    <definedName name="_4305__FDSAUDITLINK__" hidden="1">{"fdsup://Directions/FactSet Auditing Viewer?action=AUDIT_VALUE&amp;DB=129&amp;ID1=80660510&amp;VALUEID=01001&amp;SDATE=200903&amp;PERIODTYPE=QTR_STD&amp;SCFT=3&amp;window=popup_no_bar&amp;width=385&amp;height=120&amp;START_MAXIMIZED=FALSE&amp;creator=factset&amp;display_string=Audit"}</definedName>
    <definedName name="_4306__FDSAUDITLINK__" hidden="1">{"fdsup://Directions/FactSet Auditing Viewer?action=AUDIT_VALUE&amp;DB=129&amp;ID1=80660510&amp;VALUEID=01001&amp;SDATE=200902&amp;PERIODTYPE=QTR_STD&amp;SCFT=3&amp;window=popup_no_bar&amp;width=385&amp;height=120&amp;START_MAXIMIZED=FALSE&amp;creator=factset&amp;display_string=Audit"}</definedName>
    <definedName name="_4307__FDSAUDITLINK__" hidden="1">{"fdsup://Directions/FactSet Auditing Viewer?action=AUDIT_VALUE&amp;DB=129&amp;ID1=80660510&amp;VALUEID=01001&amp;SDATE=200804&amp;PERIODTYPE=QTR_STD&amp;SCFT=3&amp;window=popup_no_bar&amp;width=385&amp;height=120&amp;START_MAXIMIZED=FALSE&amp;creator=factset&amp;display_string=Audit"}</definedName>
    <definedName name="_4308__FDSAUDITLINK__" hidden="1">{"fdsup://Directions/FactSet Auditing Viewer?action=AUDIT_VALUE&amp;DB=129&amp;ID1=80660510&amp;VALUEID=01001&amp;SDATE=200803&amp;PERIODTYPE=QTR_STD&amp;SCFT=3&amp;window=popup_no_bar&amp;width=385&amp;height=120&amp;START_MAXIMIZED=FALSE&amp;creator=factset&amp;display_string=Audit"}</definedName>
    <definedName name="_4309__FDSAUDITLINK__" hidden="1">{"fdsup://Directions/FactSet Auditing Viewer?action=AUDIT_VALUE&amp;DB=129&amp;ID1=80660510&amp;VALUEID=01001&amp;SDATE=200802&amp;PERIODTYPE=QTR_STD&amp;SCFT=3&amp;window=popup_no_bar&amp;width=385&amp;height=120&amp;START_MAXIMIZED=FALSE&amp;creator=factset&amp;display_string=Audit"}</definedName>
    <definedName name="_431__FDSAUDITLINK__" hidden="1">{"fdsup://directions/FAT%20Viewer?VAR:TM=NTMA&amp;VAR:PCT=0.471233&amp;VAR:Y0=2002&amp;VAR:Y1=2003&amp;VAR:V0=18.109814&amp;VAR:V1=15.179103&amp;VAR:V=16.432218&amp;VAR:AUDIT_ID=00000117&amp;VAR:DATE=20020712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Aggregates&amp;VAR:MEASURE=PE_MEAN&amp;VAR:CALC_MODE=PORTFOLIO&amp;VAR:CHGPERIOD=NA&amp;VAR:FQLFORMULA=FMA_PE&amp;VAR:CURRENCY=USD&amp;VAR:P=9","21.392200&amp;VAR:THRESH=||||||&amp;VAR:null=.html"}</definedName>
    <definedName name="_4310__FDSAUDITLINK__" hidden="1">{"fdsup://Directions/FactSet Auditing Viewer?action=AUDIT_VALUE&amp;DB=129&amp;ID1=80660510&amp;VALUEID=01001&amp;SDATE=200801&amp;PERIODTYPE=QTR_STD&amp;SCFT=3&amp;window=popup_no_bar&amp;width=385&amp;height=120&amp;START_MAXIMIZED=FALSE&amp;creator=factset&amp;display_string=Audit"}</definedName>
    <definedName name="_4311__FDSAUDITLINK__" hidden="1">{"fdsup://Directions/FactSet Auditing Viewer?action=AUDIT_VALUE&amp;DB=129&amp;ID1=80660510&amp;VALUEID=01001&amp;SDATE=200704&amp;PERIODTYPE=QTR_STD&amp;SCFT=3&amp;window=popup_no_bar&amp;width=385&amp;height=120&amp;START_MAXIMIZED=FALSE&amp;creator=factset&amp;display_string=Audit"}</definedName>
    <definedName name="_4312__FDSAUDITLINK__" hidden="1">{"fdsup://directions/FAT Viewer?action=UPDATE&amp;creator=factset&amp;DYN_ARGS=TRUE&amp;DOC_NAME=FAT:FQL_AUDITING_CLIENT_TEMPLATE.FAT&amp;display_string=Audit&amp;VAR:KEY=HGBYRMPCTI&amp;VAR:QUERY=RkZfU0FMRVMoQ0FMLDQwNTQzLCwsLCk=&amp;WINDOW=FIRST_POPUP&amp;HEIGHT=450&amp;WIDTH=450&amp;START_MAXIMI","ZED=FALSE&amp;VAR:CALENDAR=US&amp;VAR:SYMBOL=711038&amp;VAR:INDEX=0"}</definedName>
    <definedName name="_4313__FDSAUDITLINK__" hidden="1">{"fdsup://directions/FAT Viewer?action=UPDATE&amp;creator=factset&amp;DYN_ARGS=TRUE&amp;DOC_NAME=FAT:FQL_AUDITING_CLIENT_TEMPLATE.FAT&amp;display_string=Audit&amp;VAR:KEY=DQVIXUTIHC&amp;VAR:QUERY=RkZfU0FMRVMoQ0FMLDQwMTc4LCwsLFVTRCk=&amp;WINDOW=FIRST_POPUP&amp;HEIGHT=450&amp;WIDTH=450&amp;START_MA","XIMIZED=FALSE&amp;VAR:CALENDAR=US&amp;VAR:SYMBOL=711038&amp;VAR:INDEX=0"}</definedName>
    <definedName name="_4314__FDSAUDITLINK__" hidden="1">{"fdsup://directions/FAT Viewer?action=UPDATE&amp;creator=factset&amp;DYN_ARGS=TRUE&amp;DOC_NAME=FAT:FQL_AUDITING_CLIENT_TEMPLATE.FAT&amp;display_string=Audit&amp;VAR:KEY=LANIXUPWJS&amp;VAR:QUERY=RkZfU0FMRVMoQ0FMLDM5ODEzLCwsLFVTRCk=&amp;WINDOW=FIRST_POPUP&amp;HEIGHT=450&amp;WIDTH=450&amp;START_MA","XIMIZED=FALSE&amp;VAR:CALENDAR=US&amp;VAR:SYMBOL=711038&amp;VAR:INDEX=0"}</definedName>
    <definedName name="_4315__FDSAUDITLINK__" hidden="1">{"fdsup://directions/FAT Viewer?action=UPDATE&amp;creator=factset&amp;DYN_ARGS=TRUE&amp;DOC_NAME=FAT:FQL_AUDITING_CLIENT_TEMPLATE.FAT&amp;display_string=Audit&amp;VAR:KEY=VKRQTKFUBW&amp;VAR:QUERY=RkZfU0FMRVMoQ0FMLDM5ODEzLCwsLCk=&amp;WINDOW=FIRST_POPUP&amp;HEIGHT=450&amp;WIDTH=450&amp;START_MAXIMI","ZED=FALSE&amp;VAR:CALENDAR=US&amp;VAR:SYMBOL=DNA&amp;VAR:INDEX=0"}</definedName>
    <definedName name="_4316__FDSAUDITLINK__" hidden="1">{"fdsup://directions/FAT Viewer?action=UPDATE&amp;creator=factset&amp;DYN_ARGS=TRUE&amp;DOC_NAME=FAT:FQL_AUDITING_CLIENT_TEMPLATE.FAT&amp;display_string=Audit&amp;VAR:KEY=XEDCREVYZS&amp;VAR:QUERY=RkZfU0FMRVMoQ0FMLDM5NDQ3LCwsLCk=&amp;WINDOW=FIRST_POPUP&amp;HEIGHT=450&amp;WIDTH=450&amp;START_MAXIMI","ZED=FALSE&amp;VAR:CALENDAR=US&amp;VAR:SYMBOL=DNA&amp;VAR:INDEX=0"}</definedName>
    <definedName name="_4317__FDSAUDITLINK__" hidden="1">{"fdsup://directions/FAT Viewer?action=UPDATE&amp;creator=factset&amp;DYN_ARGS=TRUE&amp;DOC_NAME=FAT:FQL_AUDITING_CLIENT_TEMPLATE.FAT&amp;display_string=Audit&amp;VAR:KEY=TOXMHYNEDQ&amp;VAR:QUERY=RkZfU0FMRVMoQ0FMLDM5MDgyLCwsLCk=&amp;WINDOW=FIRST_POPUP&amp;HEIGHT=450&amp;WIDTH=450&amp;START_MAXIMI","ZED=FALSE&amp;VAR:CALENDAR=US&amp;VAR:SYMBOL=DNA&amp;VAR:INDEX=0"}</definedName>
    <definedName name="_4318__FDSAUDITLINK__" hidden="1">{"fdsup://directions/FAT Viewer?action=UPDATE&amp;creator=factset&amp;DYN_ARGS=TRUE&amp;DOC_NAME=FAT:FQL_AUDITING_CLIENT_TEMPLATE.FAT&amp;display_string=Audit&amp;VAR:KEY=BKHAJUZULG&amp;VAR:QUERY=RkZfU0FMRVMoQ0FMLDM4NzE3LCwsLCk=&amp;WINDOW=FIRST_POPUP&amp;HEIGHT=450&amp;WIDTH=450&amp;START_MAXIMI","ZED=FALSE&amp;VAR:CALENDAR=US&amp;VAR:SYMBOL=DNA&amp;VAR:INDEX=0"}</definedName>
    <definedName name="_4319__FDSAUDITLINK__" hidden="1">{"fdsup://directions/FAT Viewer?action=UPDATE&amp;creator=factset&amp;DYN_ARGS=TRUE&amp;DOC_NAME=FAT:FQL_AUDITING_CLIENT_TEMPLATE.FAT&amp;display_string=Audit&amp;VAR:KEY=JYZKZGDIFI&amp;VAR:QUERY=RkZfU0FMRVMoQ0FMLDM4MzUyLCwsLCk=&amp;WINDOW=FIRST_POPUP&amp;HEIGHT=450&amp;WIDTH=450&amp;START_MAXIMI","ZED=FALSE&amp;VAR:CALENDAR=US&amp;VAR:SYMBOL=DNA&amp;VAR:INDEX=0"}</definedName>
    <definedName name="_432__FDSAUDITLINK__" hidden="1">{"fdsup://directions/FAT%20Viewer?VAR:TM=NTMA&amp;VAR:PCT=0.490411&amp;VAR:Y0=2002&amp;VAR:Y1=2003&amp;VAR:V0=19.404501&amp;VAR:V1=16.240776&amp;VAR:V=17.652192&amp;VAR:AUDIT_ID=00000117&amp;VAR:DATE=20020705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Aggregates&amp;VAR:MEASURE=PE_MEAN&amp;VAR:CALC_MODE=PORTFOLIO&amp;VAR:CHGPERIOD=NA&amp;VAR:FQLFORMULA=FMA_PE&amp;VAR:CURRENCY=USD&amp;VAR:P=9","89.025500&amp;VAR:THRESH=||||||&amp;VAR:null=.html"}</definedName>
    <definedName name="_4320__FDSAUDITLINK__" hidden="1">{"fdsup://directions/FAT Viewer?action=UPDATE&amp;creator=factset&amp;DYN_ARGS=TRUE&amp;DOC_NAME=FAT:FQL_AUDITING_CLIENT_TEMPLATE.FAT&amp;display_string=Audit&amp;VAR:KEY=RYVUVAXUDS&amp;VAR:QUERY=RkZfU0FMRVMoQ0FMLDQwNTQzLCwsLCk=&amp;WINDOW=FIRST_POPUP&amp;HEIGHT=450&amp;WIDTH=450&amp;START_MAXIMI","ZED=FALSE&amp;VAR:CALENDAR=US&amp;VAR:SYMBOL=MRK&amp;VAR:INDEX=0"}</definedName>
    <definedName name="_4321__FDSAUDITLINK__" hidden="1">{"fdsup://directions/FAT Viewer?action=UPDATE&amp;creator=factset&amp;DYN_ARGS=TRUE&amp;DOC_NAME=FAT:FQL_AUDITING_CLIENT_TEMPLATE.FAT&amp;display_string=Audit&amp;VAR:KEY=NITGVAHEXK&amp;VAR:QUERY=RkZfU0FMRVMoQ0FMLDQwMTc4LCwsLFVTRCk=&amp;WINDOW=FIRST_POPUP&amp;HEIGHT=450&amp;WIDTH=450&amp;START_MA","XIMIZED=FALSE&amp;VAR:CALENDAR=US&amp;VAR:SYMBOL=MRK&amp;VAR:INDEX=0"}</definedName>
    <definedName name="_4322__FDSAUDITLINK__" hidden="1">{"fdsup://directions/FAT Viewer?action=UPDATE&amp;creator=factset&amp;DYN_ARGS=TRUE&amp;DOC_NAME=FAT:FQL_AUDITING_CLIENT_TEMPLATE.FAT&amp;display_string=Audit&amp;VAR:KEY=PYDALOBCHY&amp;VAR:QUERY=RkZfU0FMRVMoQ0FMLDM5ODEzLCwsLFVTRCk=&amp;WINDOW=FIRST_POPUP&amp;HEIGHT=450&amp;WIDTH=450&amp;START_MA","XIMIZED=FALSE&amp;VAR:CALENDAR=US&amp;VAR:SYMBOL=MRK&amp;VAR:INDEX=0"}</definedName>
    <definedName name="_4323__FDSAUDITLINK__" hidden="1">{"fdsup://directions/FAT Viewer?action=UPDATE&amp;creator=factset&amp;DYN_ARGS=TRUE&amp;DOC_NAME=FAT:FQL_AUDITING_CLIENT_TEMPLATE.FAT&amp;display_string=Audit&amp;VAR:KEY=HONSVQVETW&amp;VAR:QUERY=RkZfU0FMRVMoQ0FMLDM5ODEzLCwsLCk=&amp;WINDOW=FIRST_POPUP&amp;HEIGHT=450&amp;WIDTH=450&amp;START_MAXIMI","ZED=FALSE&amp;VAR:CALENDAR=US&amp;VAR:SYMBOL=SGP&amp;VAR:INDEX=0"}</definedName>
    <definedName name="_4324__FDSAUDITLINK__" hidden="1">{"fdsup://directions/FAT Viewer?action=UPDATE&amp;creator=factset&amp;DYN_ARGS=TRUE&amp;DOC_NAME=FAT:FQL_AUDITING_CLIENT_TEMPLATE.FAT&amp;display_string=Audit&amp;VAR:KEY=DIFWLOFKHK&amp;VAR:QUERY=RkZfU0FMRVMoQ0FMLDM5NDQ3LCwsLFVTRCk=&amp;WINDOW=FIRST_POPUP&amp;HEIGHT=450&amp;WIDTH=450&amp;START_MA","XIMIZED=FALSE&amp;VAR:CALENDAR=US&amp;VAR:SYMBOL=MRK&amp;VAR:INDEX=0"}</definedName>
    <definedName name="_4325__FDSAUDITLINK__" hidden="1">{"fdsup://directions/FAT Viewer?action=UPDATE&amp;creator=factset&amp;DYN_ARGS=TRUE&amp;DOC_NAME=FAT:FQL_AUDITING_CLIENT_TEMPLATE.FAT&amp;display_string=Audit&amp;VAR:KEY=DGFOTSZMDS&amp;VAR:QUERY=RkZfU0FMRVMoQ0FMLDM5NDQ3LCwsLCk=&amp;WINDOW=FIRST_POPUP&amp;HEIGHT=450&amp;WIDTH=450&amp;START_MAXIMI","ZED=FALSE&amp;VAR:CALENDAR=US&amp;VAR:SYMBOL=SGP&amp;VAR:INDEX=0"}</definedName>
    <definedName name="_4326__FDSAUDITLINK__" hidden="1">{"fdsup://directions/FAT Viewer?action=UPDATE&amp;creator=factset&amp;DYN_ARGS=TRUE&amp;DOC_NAME=FAT:FQL_AUDITING_CLIENT_TEMPLATE.FAT&amp;display_string=Audit&amp;VAR:KEY=HEPGNYVUHS&amp;VAR:QUERY=RkZfU0FMRVMoQ0FMLDM5MDgyLCwsLFVTRCk=&amp;WINDOW=FIRST_POPUP&amp;HEIGHT=450&amp;WIDTH=450&amp;START_MA","XIMIZED=FALSE&amp;VAR:CALENDAR=US&amp;VAR:SYMBOL=MRK&amp;VAR:INDEX=0"}</definedName>
    <definedName name="_4327__FDSAUDITLINK__" hidden="1">{"fdsup://directions/FAT Viewer?action=UPDATE&amp;creator=factset&amp;DYN_ARGS=TRUE&amp;DOC_NAME=FAT:FQL_AUDITING_CLIENT_TEMPLATE.FAT&amp;display_string=Audit&amp;VAR:KEY=RMFKNYHWPS&amp;VAR:QUERY=RkZfU0FMRVMoQ0FMLDM5MDgyLCwsLCk=&amp;WINDOW=FIRST_POPUP&amp;HEIGHT=450&amp;WIDTH=450&amp;START_MAXIMI","ZED=FALSE&amp;VAR:CALENDAR=US&amp;VAR:SYMBOL=SGP&amp;VAR:INDEX=0"}</definedName>
    <definedName name="_4328__FDSAUDITLINK__" hidden="1">{"fdsup://directions/FAT Viewer?action=UPDATE&amp;creator=factset&amp;DYN_ARGS=TRUE&amp;DOC_NAME=FAT:FQL_AUDITING_CLIENT_TEMPLATE.FAT&amp;display_string=Audit&amp;VAR:KEY=LARWVSDIPK&amp;VAR:QUERY=RkZfU0FMRVMoQ0FMLDM4NzE3LCwsLFVTRCk=&amp;WINDOW=FIRST_POPUP&amp;HEIGHT=450&amp;WIDTH=450&amp;START_MA","XIMIZED=FALSE&amp;VAR:CALENDAR=US&amp;VAR:SYMBOL=MRK&amp;VAR:INDEX=0"}</definedName>
    <definedName name="_4329__FDSAUDITLINK__" hidden="1">{"fdsup://directions/FAT Viewer?action=UPDATE&amp;creator=factset&amp;DYN_ARGS=TRUE&amp;DOC_NAME=FAT:FQL_AUDITING_CLIENT_TEMPLATE.FAT&amp;display_string=Audit&amp;VAR:KEY=DKZQFGPGZY&amp;VAR:QUERY=RkZfU0FMRVMoQ0FMLDM4NzE3LCwsLCk=&amp;WINDOW=FIRST_POPUP&amp;HEIGHT=450&amp;WIDTH=450&amp;START_MAXIMI","ZED=FALSE&amp;VAR:CALENDAR=US&amp;VAR:SYMBOL=SGP&amp;VAR:INDEX=0"}</definedName>
    <definedName name="_433__FDSAUDITLINK__" hidden="1">{"fdsup://directions/FAT%20Viewer?VAR:TM=NTMA&amp;VAR:PCT=0.509589&amp;VAR:Y0=2002&amp;VAR:Y1=2003&amp;VAR:V0=19.392824&amp;VAR:V1=16.249320&amp;VAR:V=17.712409&amp;VAR:AUDIT_ID=00000117&amp;VAR:DATE=20020628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Aggregates&amp;VAR:MEASURE=PE_MEAN&amp;VAR:CALC_MODE=PORTFOLIO&amp;VAR:CHGPERIOD=NA&amp;VAR:FQLFORMULA=FMA_PE&amp;VAR:CURRENCY=USD&amp;VAR:P=9","89.814330&amp;VAR:THRESH=||||||&amp;VAR:null=.html"}</definedName>
    <definedName name="_4330__FDSAUDITLINK__" hidden="1">{"fdsup://directions/FAT Viewer?action=UPDATE&amp;creator=factset&amp;DYN_ARGS=TRUE&amp;DOC_NAME=FAT:FQL_AUDITING_CLIENT_TEMPLATE.FAT&amp;display_string=Audit&amp;VAR:KEY=XINIZQTOTW&amp;VAR:QUERY=RkZfU0FMRVMoQ0FMLDM4MzUyLCwsLFVTRCk=&amp;WINDOW=FIRST_POPUP&amp;HEIGHT=450&amp;WIDTH=450&amp;START_MA","XIMIZED=FALSE&amp;VAR:CALENDAR=US&amp;VAR:SYMBOL=MRK&amp;VAR:INDEX=0"}</definedName>
    <definedName name="_4331__FDSAUDITLINK__" hidden="1">{"fdsup://directions/FAT Viewer?action=UPDATE&amp;creator=factset&amp;DYN_ARGS=TRUE&amp;DOC_NAME=FAT:FQL_AUDITING_CLIENT_TEMPLATE.FAT&amp;display_string=Audit&amp;VAR:KEY=BSFAVMVYRK&amp;VAR:QUERY=RkZfU0FMRVMoQ0FMLDM4MzUyLCwsLCk=&amp;WINDOW=FIRST_POPUP&amp;HEIGHT=450&amp;WIDTH=450&amp;START_MAXIMI","ZED=FALSE&amp;VAR:CALENDAR=US&amp;VAR:SYMBOL=SGP&amp;VAR:INDEX=0"}</definedName>
    <definedName name="_4332__FDSAUDITLINK__" hidden="1">{"fdsup://directions/FAT Viewer?action=UPDATE&amp;creator=factset&amp;DYN_ARGS=TRUE&amp;DOC_NAME=FAT:FQL_AUDITING_CLIENT_TEMPLATE.FAT&amp;display_string=Audit&amp;VAR:KEY=LGHWFEBQFK&amp;VAR:QUERY=RkZfU0FMRVMoQ0FMLDQwNTQzLCwsLCk=&amp;WINDOW=FIRST_POPUP&amp;HEIGHT=450&amp;WIDTH=450&amp;START_MAXIMI","ZED=FALSE&amp;VAR:CALENDAR=US&amp;VAR:SYMBOL=PFE&amp;VAR:INDEX=0"}</definedName>
    <definedName name="_4333__FDSAUDITLINK__" hidden="1">{"fdsup://directions/FAT Viewer?action=UPDATE&amp;creator=factset&amp;DYN_ARGS=TRUE&amp;DOC_NAME=FAT:FQL_AUDITING_CLIENT_TEMPLATE.FAT&amp;display_string=Audit&amp;VAR:KEY=VUBGPEPQXE&amp;VAR:QUERY=RkZfU0FMRVMoQ0FMLDQwMTc4LCwsLFVTRCk=&amp;WINDOW=FIRST_POPUP&amp;HEIGHT=450&amp;WIDTH=450&amp;START_MA","XIMIZED=FALSE&amp;VAR:CALENDAR=US&amp;VAR:SYMBOL=PFE&amp;VAR:INDEX=0"}</definedName>
    <definedName name="_4334__FDSAUDITLINK__" hidden="1">{"fdsup://directions/FAT Viewer?action=UPDATE&amp;creator=factset&amp;DYN_ARGS=TRUE&amp;DOC_NAME=FAT:FQL_AUDITING_CLIENT_TEMPLATE.FAT&amp;display_string=Audit&amp;VAR:KEY=TALIFCXGLY&amp;VAR:QUERY=RkZfU0FMRVMoQ0FMLDM5ODEzLCwsLFVTRCk=&amp;WINDOW=FIRST_POPUP&amp;HEIGHT=450&amp;WIDTH=450&amp;START_MA","XIMIZED=FALSE&amp;VAR:CALENDAR=US&amp;VAR:SYMBOL=PFE&amp;VAR:INDEX=0"}</definedName>
    <definedName name="_4335__FDSAUDITLINK__" hidden="1">{"fdsup://directions/FAT Viewer?action=UPDATE&amp;creator=factset&amp;DYN_ARGS=TRUE&amp;DOC_NAME=FAT:FQL_AUDITING_CLIENT_TEMPLATE.FAT&amp;display_string=Audit&amp;VAR:KEY=VQLSXQNWTQ&amp;VAR:QUERY=RkZfU0FMRVMoQ0FMLDM5ODEzLCwsLCk=&amp;WINDOW=FIRST_POPUP&amp;HEIGHT=450&amp;WIDTH=450&amp;START_MAXIMI","ZED=FALSE&amp;VAR:CALENDAR=US&amp;VAR:SYMBOL=WYE&amp;VAR:INDEX=0"}</definedName>
    <definedName name="_4336__FDSAUDITLINK__" hidden="1">{"fdsup://directions/FAT Viewer?action=UPDATE&amp;creator=factset&amp;DYN_ARGS=TRUE&amp;DOC_NAME=FAT:FQL_AUDITING_CLIENT_TEMPLATE.FAT&amp;display_string=Audit&amp;VAR:KEY=XGZEZUPELA&amp;VAR:QUERY=RkZfU0FMRVMoQ0FMLDM5NDQ3LCwsLFVTRCk=&amp;WINDOW=FIRST_POPUP&amp;HEIGHT=450&amp;WIDTH=450&amp;START_MA","XIMIZED=FALSE&amp;VAR:CALENDAR=US&amp;VAR:SYMBOL=PFE&amp;VAR:INDEX=0"}</definedName>
    <definedName name="_4337__FDSAUDITLINK__" hidden="1">{"fdsup://directions/FAT Viewer?action=UPDATE&amp;creator=factset&amp;DYN_ARGS=TRUE&amp;DOC_NAME=FAT:FQL_AUDITING_CLIENT_TEMPLATE.FAT&amp;display_string=Audit&amp;VAR:KEY=LYBCHAXYFU&amp;VAR:QUERY=RkZfU0FMRVMoQ0FMLDM5NDQ3LCwsLCk=&amp;WINDOW=FIRST_POPUP&amp;HEIGHT=450&amp;WIDTH=450&amp;START_MAXIMI","ZED=FALSE&amp;VAR:CALENDAR=US&amp;VAR:SYMBOL=WYE&amp;VAR:INDEX=0"}</definedName>
    <definedName name="_4338__FDSAUDITLINK__" hidden="1">{"fdsup://directions/FAT Viewer?action=UPDATE&amp;creator=factset&amp;DYN_ARGS=TRUE&amp;DOC_NAME=FAT:FQL_AUDITING_CLIENT_TEMPLATE.FAT&amp;display_string=Audit&amp;VAR:KEY=VCRKNMRSXU&amp;VAR:QUERY=RkZfU0FMRVMoQ0FMLDM5MDgyLCwsLFVTRCk=&amp;WINDOW=FIRST_POPUP&amp;HEIGHT=450&amp;WIDTH=450&amp;START_MA","XIMIZED=FALSE&amp;VAR:CALENDAR=US&amp;VAR:SYMBOL=PFE&amp;VAR:INDEX=0"}</definedName>
    <definedName name="_4339__FDSAUDITLINK__" hidden="1">{"fdsup://directions/FAT Viewer?action=UPDATE&amp;creator=factset&amp;DYN_ARGS=TRUE&amp;DOC_NAME=FAT:FQL_AUDITING_CLIENT_TEMPLATE.FAT&amp;display_string=Audit&amp;VAR:KEY=VEPGFILCPM&amp;VAR:QUERY=RkZfU0FMRVMoQ0FMLDM5MDgyLCwsLCk=&amp;WINDOW=FIRST_POPUP&amp;HEIGHT=450&amp;WIDTH=450&amp;START_MAXIMI","ZED=FALSE&amp;VAR:CALENDAR=US&amp;VAR:SYMBOL=WYE&amp;VAR:INDEX=0"}</definedName>
    <definedName name="_434__FDSAUDITLINK__" hidden="1">{"fdsup://directions/FAT%20Viewer?VAR:TM=NTMA&amp;VAR:PCT=0.528767&amp;VAR:Y0=2002&amp;VAR:Y1=2003&amp;VAR:V0=19.274475&amp;VAR:V1=16.205563&amp;VAR:V=17.695355&amp;VAR:AUDIT_ID=00000117&amp;VAR:DATE=20020621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Aggregates&amp;VAR:MEASURE=PE_MEAN&amp;VAR:CALC_MODE=PORTFOLIO&amp;VAR:CHGPERIOD=NA&amp;VAR:FQLFORMULA=FMA_PE&amp;VAR:CURRENCY=USD&amp;VAR:P=9","89.135200&amp;VAR:THRESH=||||||&amp;VAR:null=.html"}</definedName>
    <definedName name="_4340__FDSAUDITLINK__" hidden="1">{"fdsup://directions/FAT Viewer?action=UPDATE&amp;creator=factset&amp;DYN_ARGS=TRUE&amp;DOC_NAME=FAT:FQL_AUDITING_CLIENT_TEMPLATE.FAT&amp;display_string=Audit&amp;VAR:KEY=XSFMPONEVU&amp;VAR:QUERY=RkZfU0FMRVMoQ0FMLDM4NzE3LCwsLFVTRCk=&amp;WINDOW=FIRST_POPUP&amp;HEIGHT=450&amp;WIDTH=450&amp;START_MA","XIMIZED=FALSE&amp;VAR:CALENDAR=US&amp;VAR:SYMBOL=PFE&amp;VAR:INDEX=0"}</definedName>
    <definedName name="_4341__FDSAUDITLINK__" hidden="1">{"fdsup://directions/FAT Viewer?action=UPDATE&amp;creator=factset&amp;DYN_ARGS=TRUE&amp;DOC_NAME=FAT:FQL_AUDITING_CLIENT_TEMPLATE.FAT&amp;display_string=Audit&amp;VAR:KEY=LIHSTKLYLI&amp;VAR:QUERY=RkZfU0FMRVMoQ0FMLDM4NzE3LCwsLCk=&amp;WINDOW=FIRST_POPUP&amp;HEIGHT=450&amp;WIDTH=450&amp;START_MAXIMI","ZED=FALSE&amp;VAR:CALENDAR=US&amp;VAR:SYMBOL=WYE&amp;VAR:INDEX=0"}</definedName>
    <definedName name="_4342__FDSAUDITLINK__" hidden="1">{"fdsup://directions/FAT Viewer?action=UPDATE&amp;creator=factset&amp;DYN_ARGS=TRUE&amp;DOC_NAME=FAT:FQL_AUDITING_CLIENT_TEMPLATE.FAT&amp;display_string=Audit&amp;VAR:KEY=ZQNSHKVOTE&amp;VAR:QUERY=RkZfU0FMRVMoQ0FMLDM4MzUyLCwsLFVTRCk=&amp;WINDOW=FIRST_POPUP&amp;HEIGHT=450&amp;WIDTH=450&amp;START_MA","XIMIZED=FALSE&amp;VAR:CALENDAR=US&amp;VAR:SYMBOL=PFE&amp;VAR:INDEX=0"}</definedName>
    <definedName name="_4343__FDSAUDITLINK__" hidden="1">{"fdsup://directions/FAT Viewer?action=UPDATE&amp;creator=factset&amp;DYN_ARGS=TRUE&amp;DOC_NAME=FAT:FQL_AUDITING_CLIENT_TEMPLATE.FAT&amp;display_string=Audit&amp;VAR:KEY=ZIFWJMBGTI&amp;VAR:QUERY=RkZfU0FMRVMoQ0FMLDM4MzUyLCwsLCk=&amp;WINDOW=FIRST_POPUP&amp;HEIGHT=450&amp;WIDTH=450&amp;START_MAXIMI","ZED=FALSE&amp;VAR:CALENDAR=US&amp;VAR:SYMBOL=WYE&amp;VAR:INDEX=0"}</definedName>
    <definedName name="_4344__FDSAUDITLINK__" hidden="1">{"fdsup://directions/FAT Viewer?action=UPDATE&amp;creator=factset&amp;DYN_ARGS=TRUE&amp;DOC_NAME=FAT:FQL_AUDITING_CLIENT_TEMPLATE.FAT&amp;display_string=Audit&amp;VAR:KEY=DIVKNITAZM&amp;VAR:QUERY=RkZfUkRfRVhQKENBTCwyMDA4LCwsLFVTRCk=&amp;WINDOW=FIRST_POPUP&amp;HEIGHT=450&amp;WIDTH=450&amp;START_MA","XIMIZED=FALSE&amp;VAR:CALENDAR=US&amp;VAR:SYMBOL=WYE&amp;VAR:INDEX=0"}</definedName>
    <definedName name="_4345__FDSAUDITLINK__" hidden="1">{"fdsup://directions/FAT Viewer?action=UPDATE&amp;creator=factset&amp;DYN_ARGS=TRUE&amp;DOC_NAME=FAT:FQL_AUDITING_CLIENT_TEMPLATE.FAT&amp;display_string=Audit&amp;VAR:KEY=HCLYRIPKVQ&amp;VAR:QUERY=RkZfUkRfRVhQKENBTCwyMDA3LCwsLFVTRCk=&amp;WINDOW=FIRST_POPUP&amp;HEIGHT=450&amp;WIDTH=450&amp;START_MA","XIMIZED=FALSE&amp;VAR:CALENDAR=US&amp;VAR:SYMBOL=WYE&amp;VAR:INDEX=0"}</definedName>
    <definedName name="_4346__FDSAUDITLINK__" hidden="1">{"fdsup://directions/FAT Viewer?action=UPDATE&amp;creator=factset&amp;DYN_ARGS=TRUE&amp;DOC_NAME=FAT:FQL_AUDITING_CLIENT_TEMPLATE.FAT&amp;display_string=Audit&amp;VAR:KEY=XKJURUPUXI&amp;VAR:QUERY=RkZfUkRfRVhQKENBTCwyMDA4LCwsLFVTRCk=&amp;WINDOW=FIRST_POPUP&amp;HEIGHT=450&amp;WIDTH=450&amp;START_MA","XIMIZED=FALSE&amp;VAR:CALENDAR=US&amp;VAR:SYMBOL=BIIB&amp;VAR:INDEX=0"}</definedName>
    <definedName name="_4347__FDSAUDITLINK__" hidden="1">{"fdsup://directions/FAT Viewer?action=UPDATE&amp;creator=factset&amp;DYN_ARGS=TRUE&amp;DOC_NAME=FAT:FQL_AUDITING_CLIENT_TEMPLATE.FAT&amp;display_string=Audit&amp;VAR:KEY=DWTCTGDURW&amp;VAR:QUERY=RkZfUkRfRVhQKENBTCwyMDA3LCwsLFVTRCk=&amp;WINDOW=FIRST_POPUP&amp;HEIGHT=450&amp;WIDTH=450&amp;START_MA","XIMIZED=FALSE&amp;VAR:CALENDAR=US&amp;VAR:SYMBOL=BIIB&amp;VAR:INDEX=0"}</definedName>
    <definedName name="_4348__FDSAUDITLINK__" hidden="1">{"fdsup://directions/FAT Viewer?action=UPDATE&amp;creator=factset&amp;DYN_ARGS=TRUE&amp;DOC_NAME=FAT:FQL_AUDITING_CLIENT_TEMPLATE.FAT&amp;display_string=Audit&amp;VAR:KEY=ZKDQPGHSNO&amp;VAR:QUERY=RkZfUkRfRVhQKENBTCwyMDA4LCwsLFVTRCk=&amp;WINDOW=FIRST_POPUP&amp;HEIGHT=450&amp;WIDTH=450&amp;START_MA","XIMIZED=FALSE&amp;VAR:CALENDAR=US&amp;VAR:SYMBOL=707752&amp;VAR:INDEX=0"}</definedName>
    <definedName name="_4349__FDSAUDITLINK__" hidden="1">{"fdsup://directions/FAT Viewer?action=UPDATE&amp;creator=factset&amp;DYN_ARGS=TRUE&amp;DOC_NAME=FAT:FQL_AUDITING_CLIENT_TEMPLATE.FAT&amp;display_string=Audit&amp;VAR:KEY=HKJQHCVUFC&amp;VAR:QUERY=RkZfUkRfRVhQKENBTCwyMDA3LCwsLFVTRCk=&amp;WINDOW=FIRST_POPUP&amp;HEIGHT=450&amp;WIDTH=450&amp;START_MA","XIMIZED=FALSE&amp;VAR:CALENDAR=US&amp;VAR:SYMBOL=707752&amp;VAR:INDEX=0"}</definedName>
    <definedName name="_435__FDSAUDITLINK__" hidden="1">{"fdsup://directions/FAT%20Viewer?VAR:TM=NTMA&amp;VAR:PCT=0.547945&amp;VAR:Y0=2002&amp;VAR:Y1=2003&amp;VAR:V0=19.618654&amp;VAR:V1=16.478455&amp;VAR:V=18.062642&amp;VAR:AUDIT_ID=00000117&amp;VAR:DATE=20020614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Aggregates&amp;VAR:MEASURE=PE_MEAN&amp;VAR:CALC_MODE=PORTFOLIO&amp;VAR:CHGPERIOD=NA&amp;VAR:FQLFORMULA=FMA_PE&amp;VAR:CURRENCY=USD&amp;VAR:P=1","007.274840&amp;VAR:THRESH=||||||&amp;VAR:null=.html"}</definedName>
    <definedName name="_4350__FDSAUDITLINK__" hidden="1">{"fdsup://directions/FAT Viewer?action=UPDATE&amp;creator=factset&amp;DYN_ARGS=TRUE&amp;DOC_NAME=FAT:FQL_AUDITING_CLIENT_TEMPLATE.FAT&amp;display_string=Audit&amp;VAR:KEY=XSPCXOXWFG&amp;VAR:QUERY=RkZfUkRfRVhQKENBTCwyMDA4LCwsLFVTRCk=&amp;WINDOW=FIRST_POPUP&amp;HEIGHT=450&amp;WIDTH=450&amp;START_MA","XIMIZED=FALSE&amp;VAR:CALENDAR=US&amp;VAR:SYMBOL=630720&amp;VAR:INDEX=0"}</definedName>
    <definedName name="_4351__FDSAUDITLINK__" hidden="1">{"fdsup://directions/FAT Viewer?action=UPDATE&amp;creator=factset&amp;DYN_ARGS=TRUE&amp;DOC_NAME=FAT:FQL_AUDITING_CLIENT_TEMPLATE.FAT&amp;display_string=Audit&amp;VAR:KEY=BEDORSJANQ&amp;VAR:QUERY=RkZfUkRfRVhQKENBTCwyMDA3LCwsLFVTRCk=&amp;WINDOW=FIRST_POPUP&amp;HEIGHT=450&amp;WIDTH=450&amp;START_MA","XIMIZED=FALSE&amp;VAR:CALENDAR=US&amp;VAR:SYMBOL=630720&amp;VAR:INDEX=0"}</definedName>
    <definedName name="_4352__FDSAUDITLINK__" hidden="1">{"fdsup://directions/FAT Viewer?action=UPDATE&amp;creator=factset&amp;DYN_ARGS=TRUE&amp;DOC_NAME=FAT:FQL_AUDITING_CLIENT_TEMPLATE.FAT&amp;display_string=Audit&amp;VAR:KEY=ZEPGFQJADE&amp;VAR:QUERY=RkZfUkRfRVhQKENBTCwyMDA4LCwsLFVTRCk=&amp;WINDOW=FIRST_POPUP&amp;HEIGHT=450&amp;WIDTH=450&amp;START_MA","XIMIZED=FALSE&amp;VAR:CALENDAR=US&amp;VAR:SYMBOL=698538&amp;VAR:INDEX=0"}</definedName>
    <definedName name="_4353__FDSAUDITLINK__" hidden="1">{"fdsup://directions/FAT Viewer?action=UPDATE&amp;creator=factset&amp;DYN_ARGS=TRUE&amp;DOC_NAME=FAT:FQL_AUDITING_CLIENT_TEMPLATE.FAT&amp;display_string=Audit&amp;VAR:KEY=HALOFQXSVO&amp;VAR:QUERY=RkZfUkRfRVhQKENBTCwyMDA3LCwsLFVTRCk=&amp;WINDOW=FIRST_POPUP&amp;HEIGHT=450&amp;WIDTH=450&amp;START_MA","XIMIZED=FALSE&amp;VAR:CALENDAR=US&amp;VAR:SYMBOL=698538&amp;VAR:INDEX=0"}</definedName>
    <definedName name="_4354__FDSAUDITLINK__" hidden="1">{"fdsup://directions/FAT Viewer?action=UPDATE&amp;creator=factset&amp;DYN_ARGS=TRUE&amp;DOC_NAME=FAT:FQL_AUDITING_CLIENT_TEMPLATE.FAT&amp;display_string=Audit&amp;VAR:KEY=BURSXUHEJK&amp;VAR:QUERY=RkZfUkRfRVhQKENBTCwyMDA4LCwsLFVTRCk=&amp;WINDOW=FIRST_POPUP&amp;HEIGHT=450&amp;WIDTH=450&amp;START_MA","XIMIZED=FALSE&amp;VAR:CALENDAR=US&amp;VAR:SYMBOL=B0J7D9&amp;VAR:INDEX=0"}</definedName>
    <definedName name="_4355__FDSAUDITLINK__" hidden="1">{"fdsup://directions/FAT Viewer?action=UPDATE&amp;creator=factset&amp;DYN_ARGS=TRUE&amp;DOC_NAME=FAT:FQL_AUDITING_CLIENT_TEMPLATE.FAT&amp;display_string=Audit&amp;VAR:KEY=LABKHYRYVS&amp;VAR:QUERY=RkZfUkRfRVhQKENBTCwyMDA3LCwsLFVTRCk=&amp;WINDOW=FIRST_POPUP&amp;HEIGHT=450&amp;WIDTH=450&amp;START_MA","XIMIZED=FALSE&amp;VAR:CALENDAR=US&amp;VAR:SYMBOL=B0J7D9&amp;VAR:INDEX=0"}</definedName>
    <definedName name="_4356__FDSAUDITLINK__" hidden="1">{"fdsup://directions/FAT Viewer?action=UPDATE&amp;creator=factset&amp;DYN_ARGS=TRUE&amp;DOC_NAME=FAT:FQL_AUDITING_CLIENT_TEMPLATE.FAT&amp;display_string=Audit&amp;VAR:KEY=XQBYHAHMJE&amp;VAR:QUERY=RkZfUkRfRVhQKENBTCwyMDA4LCwsLFVTRCk=&amp;WINDOW=FIRST_POPUP&amp;HEIGHT=450&amp;WIDTH=450&amp;START_MA","XIMIZED=FALSE&amp;VAR:CALENDAR=US&amp;VAR:SYMBOL=AMGN&amp;VAR:INDEX=0"}</definedName>
    <definedName name="_4357__FDSAUDITLINK__" hidden="1">{"fdsup://directions/FAT Viewer?action=UPDATE&amp;creator=factset&amp;DYN_ARGS=TRUE&amp;DOC_NAME=FAT:FQL_AUDITING_CLIENT_TEMPLATE.FAT&amp;display_string=Audit&amp;VAR:KEY=RWVUPEFUXW&amp;VAR:QUERY=RkZfUkRfRVhQKENBTCwyMDA3LCwsLFVTRCk=&amp;WINDOW=FIRST_POPUP&amp;HEIGHT=450&amp;WIDTH=450&amp;START_MA","XIMIZED=FALSE&amp;VAR:CALENDAR=US&amp;VAR:SYMBOL=AMGN&amp;VAR:INDEX=0"}</definedName>
    <definedName name="_4358__FDSAUDITLINK__" hidden="1">{"fdsup://directions/FAT Viewer?action=UPDATE&amp;creator=factset&amp;DYN_ARGS=TRUE&amp;DOC_NAME=FAT:FQL_AUDITING_CLIENT_TEMPLATE.FAT&amp;display_string=Audit&amp;VAR:KEY=HUJQRCJEBE&amp;VAR:QUERY=RkZfUkRfRVhQKENBTCwyMDA4LCwsLFVTRCk=&amp;WINDOW=FIRST_POPUP&amp;HEIGHT=450&amp;WIDTH=450&amp;START_MA","XIMIZED=FALSE&amp;VAR:CALENDAR=US&amp;VAR:SYMBOL=ABT&amp;VAR:INDEX=0"}</definedName>
    <definedName name="_4359__FDSAUDITLINK__" hidden="1">{"fdsup://directions/FAT Viewer?action=UPDATE&amp;creator=factset&amp;DYN_ARGS=TRUE&amp;DOC_NAME=FAT:FQL_AUDITING_CLIENT_TEMPLATE.FAT&amp;display_string=Audit&amp;VAR:KEY=BYVWXYRQNK&amp;VAR:QUERY=RkZfUkRfRVhQKENBTCwyMDA3LCwsLFVTRCk=&amp;WINDOW=FIRST_POPUP&amp;HEIGHT=450&amp;WIDTH=450&amp;START_MA","XIMIZED=FALSE&amp;VAR:CALENDAR=US&amp;VAR:SYMBOL=ABT&amp;VAR:INDEX=0"}</definedName>
    <definedName name="_436__FDSAUDITLINK__" hidden="1">{"fdsup://directions/FAT%20Viewer?VAR:TM=NTMA&amp;VAR:PCT=0.567123&amp;VAR:Y0=2002&amp;VAR:Y1=2003&amp;VAR:V0=19.951786&amp;VAR:V1=16.767262&amp;VAR:V=18.436079&amp;VAR:AUDIT_ID=00000117&amp;VAR:DATE=20020607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Aggregates&amp;VAR:MEASURE=PE_MEAN&amp;VAR:CALC_MODE=PORTFOLIO&amp;VAR:CHGPERIOD=NA&amp;VAR:FQLFORMULA=FMA_PE&amp;VAR:CURRENCY=USD&amp;VAR:P=1","027.527500&amp;VAR:THRESH=||||||&amp;VAR:null=.html"}</definedName>
    <definedName name="_4360__FDSAUDITLINK__" hidden="1">{"fdsup://directions/FAT Viewer?action=UPDATE&amp;creator=factset&amp;DYN_ARGS=TRUE&amp;DOC_NAME=FAT:FQL_AUDITING_CLIENT_TEMPLATE.FAT&amp;display_string=Audit&amp;VAR:KEY=ZUPYRQFSRU&amp;VAR:QUERY=RkZfUkRfRVhQKENBTCwyMDA4LCwsLFVTRCk=&amp;WINDOW=FIRST_POPUP&amp;HEIGHT=450&amp;WIDTH=450&amp;START_MA","XIMIZED=FALSE&amp;VAR:CALENDAR=US&amp;VAR:SYMBOL=687044&amp;VAR:INDEX=0"}</definedName>
    <definedName name="_4361__FDSAUDITLINK__" hidden="1">{"fdsup://directions/FAT Viewer?action=UPDATE&amp;creator=factset&amp;DYN_ARGS=TRUE&amp;DOC_NAME=FAT:FQL_AUDITING_CLIENT_TEMPLATE.FAT&amp;display_string=Audit&amp;VAR:KEY=ZMRALSXARE&amp;VAR:QUERY=RkZfUkRfRVhQKENBTCwyMDA3LCwsLFVTRCk=&amp;WINDOW=FIRST_POPUP&amp;HEIGHT=450&amp;WIDTH=450&amp;START_MA","XIMIZED=FALSE&amp;VAR:CALENDAR=US&amp;VAR:SYMBOL=687044&amp;VAR:INDEX=0"}</definedName>
    <definedName name="_4362__FDSAUDITLINK__" hidden="1">{"fdsup://directions/FAT Viewer?action=UPDATE&amp;creator=factset&amp;DYN_ARGS=TRUE&amp;DOC_NAME=FAT:FQL_AUDITING_CLIENT_TEMPLATE.FAT&amp;display_string=Audit&amp;VAR:KEY=ZMZYLSXEVK&amp;VAR:QUERY=RkZfUkRfRVhQKENBTCwyMDA4LCwsLFVTRCk=&amp;WINDOW=FIRST_POPUP&amp;HEIGHT=450&amp;WIDTH=450&amp;START_MA","XIMIZED=FALSE&amp;VAR:CALENDAR=US&amp;VAR:SYMBOL=BMY&amp;VAR:INDEX=0"}</definedName>
    <definedName name="_4363__FDSAUDITLINK__" hidden="1">{"fdsup://directions/FAT Viewer?action=UPDATE&amp;creator=factset&amp;DYN_ARGS=TRUE&amp;DOC_NAME=FAT:FQL_AUDITING_CLIENT_TEMPLATE.FAT&amp;display_string=Audit&amp;VAR:KEY=RENSXGJCBC&amp;VAR:QUERY=RkZfUkRfRVhQKENBTCwyMDA3LCwsLFVTRCk=&amp;WINDOW=FIRST_POPUP&amp;HEIGHT=450&amp;WIDTH=450&amp;START_MA","XIMIZED=FALSE&amp;VAR:CALENDAR=US&amp;VAR:SYMBOL=BMY&amp;VAR:INDEX=0"}</definedName>
    <definedName name="_4364__FDSAUDITLINK__" hidden="1">{"fdsup://directions/FAT Viewer?action=UPDATE&amp;creator=factset&amp;DYN_ARGS=TRUE&amp;DOC_NAME=FAT:FQL_AUDITING_CLIENT_TEMPLATE.FAT&amp;display_string=Audit&amp;VAR:KEY=BSNATUHMFQ&amp;VAR:QUERY=RkZfUkRfRVhQKENBTCwyMDA4LCwsLFVTRCk=&amp;WINDOW=FIRST_POPUP&amp;HEIGHT=450&amp;WIDTH=450&amp;START_MA","XIMIZED=FALSE&amp;VAR:CALENDAR=US&amp;VAR:SYMBOL=LLY&amp;VAR:INDEX=0"}</definedName>
    <definedName name="_4365__FDSAUDITLINK__" hidden="1">{"fdsup://directions/FAT Viewer?action=UPDATE&amp;creator=factset&amp;DYN_ARGS=TRUE&amp;DOC_NAME=FAT:FQL_AUDITING_CLIENT_TEMPLATE.FAT&amp;display_string=Audit&amp;VAR:KEY=DOHSHEVKPM&amp;VAR:QUERY=RkZfUkRfRVhQKENBTCwyMDA3LCwsLFVTRCk=&amp;WINDOW=FIRST_POPUP&amp;HEIGHT=450&amp;WIDTH=450&amp;START_MA","XIMIZED=FALSE&amp;VAR:CALENDAR=US&amp;VAR:SYMBOL=LLY&amp;VAR:INDEX=0"}</definedName>
    <definedName name="_4366__FDSAUDITLINK__" hidden="1">{"fdsup://directions/FAT Viewer?action=UPDATE&amp;creator=factset&amp;DYN_ARGS=TRUE&amp;DOC_NAME=FAT:FQL_AUDITING_CLIENT_TEMPLATE.FAT&amp;display_string=Audit&amp;VAR:KEY=JKHWTOZSRO&amp;VAR:QUERY=RkZfUkRfRVhQKENBTCwyMDA4LCwsLFVTRCk=&amp;WINDOW=FIRST_POPUP&amp;HEIGHT=450&amp;WIDTH=450&amp;START_MA","XIMIZED=FALSE&amp;VAR:CALENDAR=US&amp;VAR:SYMBOL=506921&amp;VAR:INDEX=0"}</definedName>
    <definedName name="_4367__FDSAUDITLINK__" hidden="1">{"fdsup://directions/FAT Viewer?action=UPDATE&amp;creator=factset&amp;DYN_ARGS=TRUE&amp;DOC_NAME=FAT:FQL_AUDITING_CLIENT_TEMPLATE.FAT&amp;display_string=Audit&amp;VAR:KEY=RCZEJWXODC&amp;VAR:QUERY=RkZfUkRfRVhQKENBTCwyMDA3LCwsLFVTRCk=&amp;WINDOW=FIRST_POPUP&amp;HEIGHT=450&amp;WIDTH=450&amp;START_MA","XIMIZED=FALSE&amp;VAR:CALENDAR=US&amp;VAR:SYMBOL=506921&amp;VAR:INDEX=0"}</definedName>
    <definedName name="_4368__FDSAUDITLINK__" hidden="1">{"fdsup://directions/FAT Viewer?action=UPDATE&amp;creator=factset&amp;DYN_ARGS=TRUE&amp;DOC_NAME=FAT:FQL_AUDITING_CLIENT_TEMPLATE.FAT&amp;display_string=Audit&amp;VAR:KEY=NGTOJGBUXY&amp;VAR:QUERY=RkZfUkRfRVhQKENBTCwyMDA4LCwsLFVTRCk=&amp;WINDOW=FIRST_POPUP&amp;HEIGHT=450&amp;WIDTH=450&amp;START_MA","XIMIZED=FALSE&amp;VAR:CALENDAR=US&amp;VAR:SYMBOL=567173&amp;VAR:INDEX=0"}</definedName>
    <definedName name="_4369__FDSAUDITLINK__" hidden="1">{"fdsup://directions/FAT Viewer?action=UPDATE&amp;creator=factset&amp;DYN_ARGS=TRUE&amp;DOC_NAME=FAT:FQL_AUDITING_CLIENT_TEMPLATE.FAT&amp;display_string=Audit&amp;VAR:KEY=RAZEFOLQPC&amp;VAR:QUERY=RkZfUkRfRVhQKENBTCwyMDA3LCwsLFVTRCk=&amp;WINDOW=FIRST_POPUP&amp;HEIGHT=450&amp;WIDTH=450&amp;START_MA","XIMIZED=FALSE&amp;VAR:CALENDAR=US&amp;VAR:SYMBOL=567173&amp;VAR:INDEX=0"}</definedName>
    <definedName name="_437__FDSAUDITLINK__" hidden="1">{"fdsup://directions/FAT%20Viewer?VAR:TM=NTMA&amp;VAR:PCT=0.586301&amp;VAR:Y0=2002&amp;VAR:Y1=2003&amp;VAR:V0=20.636023&amp;VAR:V1=17.329514&amp;VAR:V=19.126296&amp;VAR:AUDIT_ID=00000117&amp;VAR:DATE=20020531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Aggregates&amp;VAR:MEASURE=PE_MEAN&amp;VAR:CALC_MODE=PORTFOLIO&amp;VAR:CHGPERIOD=NA&amp;VAR:FQLFORMULA=FMA_PE&amp;VAR:CURRENCY=USD&amp;VAR:P=1","067.138100&amp;VAR:THRESH=||||||&amp;VAR:null=.html"}</definedName>
    <definedName name="_4370__FDSAUDITLINK__" hidden="1">{"fdsup://directions/FAT Viewer?action=UPDATE&amp;creator=factset&amp;DYN_ARGS=TRUE&amp;DOC_NAME=FAT:FQL_AUDITING_CLIENT_TEMPLATE.FAT&amp;display_string=Audit&amp;VAR:KEY=XKRABGFMPG&amp;VAR:QUERY=RkZfUkRfRVhQKENBTCwyMDA4LCwsLFVTRCk=&amp;WINDOW=FIRST_POPUP&amp;HEIGHT=450&amp;WIDTH=450&amp;START_MA","XIMIZED=FALSE&amp;VAR:CALENDAR=US&amp;VAR:SYMBOL=JNJ&amp;VAR:INDEX=0"}</definedName>
    <definedName name="_4371__FDSAUDITLINK__" hidden="1">{"fdsup://directions/FAT Viewer?action=UPDATE&amp;creator=factset&amp;DYN_ARGS=TRUE&amp;DOC_NAME=FAT:FQL_AUDITING_CLIENT_TEMPLATE.FAT&amp;display_string=Audit&amp;VAR:KEY=LCJKLSDCRQ&amp;VAR:QUERY=RkZfUkRfRVhQKENBTCwyMDA3LCwsLFVTRCk=&amp;WINDOW=FIRST_POPUP&amp;HEIGHT=450&amp;WIDTH=450&amp;START_MA","XIMIZED=FALSE&amp;VAR:CALENDAR=US&amp;VAR:SYMBOL=JNJ&amp;VAR:INDEX=0"}</definedName>
    <definedName name="_4372__FDSAUDITLINK__" hidden="1">{"fdsup://directions/FAT Viewer?action=UPDATE&amp;creator=factset&amp;DYN_ARGS=TRUE&amp;DOC_NAME=FAT:FQL_AUDITING_CLIENT_TEMPLATE.FAT&amp;display_string=Audit&amp;VAR:KEY=LMTQHUVWVA&amp;VAR:QUERY=RkZfUkRfRVhQKENBTCwyMDA4LCwsLFVTRCk=&amp;WINDOW=FIRST_POPUP&amp;HEIGHT=450&amp;WIDTH=450&amp;START_MA","XIMIZED=FALSE&amp;VAR:CALENDAR=US&amp;VAR:SYMBOL=710306&amp;VAR:INDEX=0"}</definedName>
    <definedName name="_4373__FDSAUDITLINK__" hidden="1">{"fdsup://directions/FAT Viewer?action=UPDATE&amp;creator=factset&amp;DYN_ARGS=TRUE&amp;DOC_NAME=FAT:FQL_AUDITING_CLIENT_TEMPLATE.FAT&amp;display_string=Audit&amp;VAR:KEY=VYTORQNKTW&amp;VAR:QUERY=RkZfUkRfRVhQKENBTCwyMDA3LCwsLFVTRCk=&amp;WINDOW=FIRST_POPUP&amp;HEIGHT=450&amp;WIDTH=450&amp;START_MA","XIMIZED=FALSE&amp;VAR:CALENDAR=US&amp;VAR:SYMBOL=710306&amp;VAR:INDEX=0"}</definedName>
    <definedName name="_4374__FDSAUDITLINK__" hidden="1">{"fdsup://directions/FAT Viewer?action=UPDATE&amp;creator=factset&amp;DYN_ARGS=TRUE&amp;DOC_NAME=FAT:FQL_AUDITING_CLIENT_TEMPLATE.FAT&amp;display_string=Audit&amp;VAR:KEY=RAFAPGJURW&amp;VAR:QUERY=RkZfUkRfRVhQKENBTCwyMDA4LCwsLFVTRCk=&amp;WINDOW=FIRST_POPUP&amp;HEIGHT=450&amp;WIDTH=450&amp;START_MA","XIMIZED=FALSE&amp;VAR:CALENDAR=US&amp;VAR:SYMBOL=711038&amp;VAR:INDEX=0"}</definedName>
    <definedName name="_4375__FDSAUDITLINK__" hidden="1">{"fdsup://directions/FAT Viewer?action=UPDATE&amp;creator=factset&amp;DYN_ARGS=TRUE&amp;DOC_NAME=FAT:FQL_AUDITING_CLIENT_TEMPLATE.FAT&amp;display_string=Audit&amp;VAR:KEY=LKDSHOXEJE&amp;VAR:QUERY=RkZfUkRfRVhQKENBTCwyMDA4LCwsLFVTRCk=&amp;WINDOW=FIRST_POPUP&amp;HEIGHT=450&amp;WIDTH=450&amp;START_MA","XIMIZED=FALSE&amp;VAR:CALENDAR=US&amp;VAR:SYMBOL=MRK&amp;VAR:INDEX=0"}</definedName>
    <definedName name="_4376__FDSAUDITLINK__" hidden="1">{"fdsup://directions/FAT Viewer?action=UPDATE&amp;creator=factset&amp;DYN_ARGS=TRUE&amp;DOC_NAME=FAT:FQL_AUDITING_CLIENT_TEMPLATE.FAT&amp;display_string=Audit&amp;VAR:KEY=TILQDMTSFA&amp;VAR:QUERY=RkZfUkRfRVhQKENBTCwyMDA3LCwsLFVTRCk=&amp;WINDOW=FIRST_POPUP&amp;HEIGHT=450&amp;WIDTH=450&amp;START_MA","XIMIZED=FALSE&amp;VAR:CALENDAR=US&amp;VAR:SYMBOL=MRK&amp;VAR:INDEX=0"}</definedName>
    <definedName name="_4377__FDSAUDITLINK__" hidden="1">{"fdsup://directions/FAT Viewer?action=UPDATE&amp;creator=factset&amp;DYN_ARGS=TRUE&amp;DOC_NAME=FAT:FQL_AUDITING_CLIENT_TEMPLATE.FAT&amp;display_string=Audit&amp;VAR:KEY=JCJYXWPCFK&amp;VAR:QUERY=RkZfUkRfRVhQKENBTCwyMDA4LCwsLFVTRCk=&amp;WINDOW=FIRST_POPUP&amp;HEIGHT=450&amp;WIDTH=450&amp;START_MA","XIMIZED=FALSE&amp;VAR:CALENDAR=US&amp;VAR:SYMBOL=PFE&amp;VAR:INDEX=0"}</definedName>
    <definedName name="_4378__FDSAUDITLINK__" hidden="1">{"fdsup://directions/FAT Viewer?action=UPDATE&amp;creator=factset&amp;DYN_ARGS=TRUE&amp;DOC_NAME=FAT:FQL_AUDITING_CLIENT_TEMPLATE.FAT&amp;display_string=Audit&amp;VAR:KEY=VABOBMLSTS&amp;VAR:QUERY=RkZfUkRfRVhQKENBTCwyMDA3LCwsLFVTRCk=&amp;WINDOW=FIRST_POPUP&amp;HEIGHT=450&amp;WIDTH=450&amp;START_MA","XIMIZED=FALSE&amp;VAR:CALENDAR=US&amp;VAR:SYMBOL=PFE&amp;VAR:INDEX=0"}</definedName>
    <definedName name="_4379__FDSAUDITLINK__" hidden="1">{"fdsup://directions/FAT Viewer?action=UPDATE&amp;creator=factset&amp;DYN_ARGS=TRUE&amp;DOC_NAME=FAT:FQL_AUDITING_CLIENT_TEMPLATE.FAT&amp;display_string=Audit&amp;VAR:KEY=FADGZQHEFC&amp;VAR:QUERY=RkZfUkRfRVhQKENBTCw0MDU0MywsLCxVU0Qp&amp;WINDOW=FIRST_POPUP&amp;HEIGHT=450&amp;WIDTH=450&amp;START_MA","XIMIZED=FALSE&amp;VAR:CALENDAR=US&amp;VAR:SYMBOL=BIIB&amp;VAR:INDEX=0"}</definedName>
    <definedName name="_438__FDSAUDITLINK__" hidden="1">{"fdsup://directions/FAT%20Viewer?VAR:TM=NTMA&amp;VAR:PCT=0.605479&amp;VAR:Y0=2002&amp;VAR:Y1=2003&amp;VAR:V0=20.936497&amp;VAR:V1=17.590694&amp;VAR:V=19.475105&amp;VAR:AUDIT_ID=00000117&amp;VAR:DATE=20020524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Aggregates&amp;VAR:MEASURE=PE_MEAN&amp;VAR:CALC_MODE=PORTFOLIO&amp;VAR:CHGPERIOD=NA&amp;VAR:FQLFORMULA=FMA_PE&amp;VAR:CURRENCY=USD&amp;VAR:P=1","083.821700&amp;VAR:THRESH=||||||&amp;VAR:null=.html"}</definedName>
    <definedName name="_4380__FDSAUDITLINK__" hidden="1">{"fdsup://directions/FAT Viewer?action=UPDATE&amp;creator=factset&amp;DYN_ARGS=TRUE&amp;DOC_NAME=FAT:FQL_AUDITING_CLIENT_TEMPLATE.FAT&amp;display_string=Audit&amp;VAR:KEY=NSPUJGFSHI&amp;VAR:QUERY=RkZfUkRfRVhQKENBTCw0MDU0MywsLCxVU0Qp&amp;WINDOW=FIRST_POPUP&amp;HEIGHT=450&amp;WIDTH=450&amp;START_MA","XIMIZED=FALSE&amp;VAR:CALENDAR=US&amp;VAR:SYMBOL=707752&amp;VAR:INDEX=0"}</definedName>
    <definedName name="_4381__FDSAUDITLINK__" hidden="1">{"fdsup://directions/FAT Viewer?action=UPDATE&amp;creator=factset&amp;DYN_ARGS=TRUE&amp;DOC_NAME=FAT:FQL_AUDITING_CLIENT_TEMPLATE.FAT&amp;display_string=Audit&amp;VAR:KEY=PWJMJAPQXA&amp;VAR:QUERY=RkZfUkRfRVhQKENBTCw0MDU0MywsLCxVU0Qp&amp;WINDOW=FIRST_POPUP&amp;HEIGHT=450&amp;WIDTH=450&amp;START_MA","XIMIZED=FALSE&amp;VAR:CALENDAR=US&amp;VAR:SYMBOL=630720&amp;VAR:INDEX=0"}</definedName>
    <definedName name="_4382__FDSAUDITLINK__" hidden="1">{"fdsup://directions/FAT Viewer?action=UPDATE&amp;creator=factset&amp;DYN_ARGS=TRUE&amp;DOC_NAME=FAT:FQL_AUDITING_CLIENT_TEMPLATE.FAT&amp;display_string=Audit&amp;VAR:KEY=TQDGRYXUPO&amp;VAR:QUERY=RkZfUkRfRVhQKENBTCw0MDU0MywsLCxVU0Qp&amp;WINDOW=FIRST_POPUP&amp;HEIGHT=450&amp;WIDTH=450&amp;START_MA","XIMIZED=FALSE&amp;VAR:CALENDAR=US&amp;VAR:SYMBOL=698538&amp;VAR:INDEX=0"}</definedName>
    <definedName name="_4383__FDSAUDITLINK__" hidden="1">{"fdsup://directions/FAT Viewer?action=UPDATE&amp;creator=factset&amp;DYN_ARGS=TRUE&amp;DOC_NAME=FAT:FQL_AUDITING_CLIENT_TEMPLATE.FAT&amp;display_string=Audit&amp;VAR:KEY=LCNIRKJOVO&amp;VAR:QUERY=RkZfUkRfRVhQKENBTCw0MDU0MywsLCxVU0Qp&amp;WINDOW=FIRST_POPUP&amp;HEIGHT=450&amp;WIDTH=450&amp;START_MA","XIMIZED=FALSE&amp;VAR:CALENDAR=US&amp;VAR:SYMBOL=474184&amp;VAR:INDEX=0"}</definedName>
    <definedName name="_4384__FDSAUDITLINK__" hidden="1">{"fdsup://directions/FAT Viewer?action=UPDATE&amp;creator=factset&amp;DYN_ARGS=TRUE&amp;DOC_NAME=FAT:FQL_AUDITING_CLIENT_TEMPLATE.FAT&amp;display_string=Audit&amp;VAR:KEY=JAPATOHCPG&amp;VAR:QUERY=RkZfUkRfRVhQKENBTCw0MDU0MywsLCxVU0Qp&amp;WINDOW=FIRST_POPUP&amp;HEIGHT=450&amp;WIDTH=450&amp;START_MA","XIMIZED=FALSE&amp;VAR:CALENDAR=US&amp;VAR:SYMBOL=B0J7D9&amp;VAR:INDEX=0"}</definedName>
    <definedName name="_4385__FDSAUDITLINK__" hidden="1">{"fdsup://directions/FAT Viewer?action=UPDATE&amp;creator=factset&amp;DYN_ARGS=TRUE&amp;DOC_NAME=FAT:FQL_AUDITING_CLIENT_TEMPLATE.FAT&amp;display_string=Audit&amp;VAR:KEY=ZURSDKXMDW&amp;VAR:QUERY=RkZfUkRfRVhQKENBTCw0MDU0MywsLCxVU0Qp&amp;WINDOW=FIRST_POPUP&amp;HEIGHT=450&amp;WIDTH=450&amp;START_MA","XIMIZED=FALSE&amp;VAR:CALENDAR=US&amp;VAR:SYMBOL=AMGN&amp;VAR:INDEX=0"}</definedName>
    <definedName name="_4386__FDSAUDITLINK__" hidden="1">{"fdsup://directions/FAT Viewer?action=UPDATE&amp;creator=factset&amp;DYN_ARGS=TRUE&amp;DOC_NAME=FAT:FQL_AUDITING_CLIENT_TEMPLATE.FAT&amp;display_string=Audit&amp;VAR:KEY=JWREDEZOBE&amp;VAR:QUERY=RkZfUkRfRVhQKENBTCw0MDU0MywsLCxVU0Qp&amp;WINDOW=FIRST_POPUP&amp;HEIGHT=450&amp;WIDTH=450&amp;START_MA","XIMIZED=FALSE&amp;VAR:CALENDAR=US&amp;VAR:SYMBOL=ABT&amp;VAR:INDEX=0"}</definedName>
    <definedName name="_4387__FDSAUDITLINK__" hidden="1">{"fdsup://directions/FAT Viewer?action=UPDATE&amp;creator=factset&amp;DYN_ARGS=TRUE&amp;DOC_NAME=FAT:FQL_AUDITING_CLIENT_TEMPLATE.FAT&amp;display_string=Audit&amp;VAR:KEY=FMHOHWFCHA&amp;VAR:QUERY=RkZfUkRfRVhQKENBTCw0MDU0MywsLCxVU0Qp&amp;WINDOW=FIRST_POPUP&amp;HEIGHT=450&amp;WIDTH=450&amp;START_MA","XIMIZED=FALSE&amp;VAR:CALENDAR=US&amp;VAR:SYMBOL=687044&amp;VAR:INDEX=0"}</definedName>
    <definedName name="_4388__FDSAUDITLINK__" hidden="1">{"fdsup://directions/FAT Viewer?action=UPDATE&amp;creator=factset&amp;DYN_ARGS=TRUE&amp;DOC_NAME=FAT:FQL_AUDITING_CLIENT_TEMPLATE.FAT&amp;display_string=Audit&amp;VAR:KEY=BCRMHOHMDU&amp;VAR:QUERY=RkZfUkRfRVhQKENBTCw0MDU0MywsLCxVU0Qp&amp;WINDOW=FIRST_POPUP&amp;HEIGHT=450&amp;WIDTH=450&amp;START_MA","XIMIZED=FALSE&amp;VAR:CALENDAR=US&amp;VAR:SYMBOL=BMY&amp;VAR:INDEX=0"}</definedName>
    <definedName name="_4389__FDSAUDITLINK__" hidden="1">{"fdsup://directions/FAT Viewer?action=UPDATE&amp;creator=factset&amp;DYN_ARGS=TRUE&amp;DOC_NAME=FAT:FQL_AUDITING_CLIENT_TEMPLATE.FAT&amp;display_string=Audit&amp;VAR:KEY=RWHALYVQFE&amp;VAR:QUERY=RkZfUkRfRVhQKENBTCw0MDU0MywsLCxVU0Qp&amp;WINDOW=FIRST_POPUP&amp;HEIGHT=450&amp;WIDTH=450&amp;START_MA","XIMIZED=FALSE&amp;VAR:CALENDAR=US&amp;VAR:SYMBOL=LLY&amp;VAR:INDEX=0"}</definedName>
    <definedName name="_439__FDSAUDITLINK__" hidden="1">{"fdsup://directions/FAT%20Viewer?VAR:TM=NTMA&amp;VAR:PCT=0.624658&amp;VAR:Y0=2002&amp;VAR:Y1=2003&amp;VAR:V0=21.412855&amp;VAR:V1=17.986795&amp;VAR:V=19.984113&amp;VAR:AUDIT_ID=00000117&amp;VAR:DATE=20020517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Aggregates&amp;VAR:MEASURE=PE_MEAN&amp;VAR:CALC_MODE=PORTFOLIO&amp;VAR:CHGPERIOD=NA&amp;VAR:FQLFORMULA=FMA_PE&amp;VAR:CURRENCY=USD&amp;VAR:P=1","106.592300&amp;VAR:THRESH=||||||&amp;VAR:null=.html"}</definedName>
    <definedName name="_4390__FDSAUDITLINK__" hidden="1">{"fdsup://directions/FAT Viewer?action=UPDATE&amp;creator=factset&amp;DYN_ARGS=TRUE&amp;DOC_NAME=FAT:FQL_AUDITING_CLIENT_TEMPLATE.FAT&amp;display_string=Audit&amp;VAR:KEY=BOXSLUFEFY&amp;VAR:QUERY=RkZfUkRfRVhQKENBTCw0MDU0MywsLCxVU0Qp&amp;WINDOW=FIRST_POPUP&amp;HEIGHT=450&amp;WIDTH=450&amp;START_MA","XIMIZED=FALSE&amp;VAR:CALENDAR=US&amp;VAR:SYMBOL=506921&amp;VAR:INDEX=0"}</definedName>
    <definedName name="_4391__FDSAUDITLINK__" hidden="1">{"fdsup://directions/FAT Viewer?action=UPDATE&amp;creator=factset&amp;DYN_ARGS=TRUE&amp;DOC_NAME=FAT:FQL_AUDITING_CLIENT_TEMPLATE.FAT&amp;display_string=Audit&amp;VAR:KEY=BKNWZCJIZG&amp;VAR:QUERY=RkZfUkRfRVhQKENBTCw0MDU0MywsLCxVU0Qp&amp;WINDOW=FIRST_POPUP&amp;HEIGHT=450&amp;WIDTH=450&amp;START_MA","XIMIZED=FALSE&amp;VAR:CALENDAR=US&amp;VAR:SYMBOL=567173&amp;VAR:INDEX=0"}</definedName>
    <definedName name="_4392__FDSAUDITLINK__" hidden="1">{"fdsup://directions/FAT Viewer?action=UPDATE&amp;creator=factset&amp;DYN_ARGS=TRUE&amp;DOC_NAME=FAT:FQL_AUDITING_CLIENT_TEMPLATE.FAT&amp;display_string=Audit&amp;VAR:KEY=ZUTEDGBCXY&amp;VAR:QUERY=RkZfUkRfRVhQKENBTCw0MDU0MywsLCxVU0Qp&amp;WINDOW=FIRST_POPUP&amp;HEIGHT=450&amp;WIDTH=450&amp;START_MA","XIMIZED=FALSE&amp;VAR:CALENDAR=US&amp;VAR:SYMBOL=JNJ&amp;VAR:INDEX=0"}</definedName>
    <definedName name="_4393__FDSAUDITLINK__" hidden="1">{"fdsup://directions/FAT Viewer?action=UPDATE&amp;creator=factset&amp;DYN_ARGS=TRUE&amp;DOC_NAME=FAT:FQL_AUDITING_CLIENT_TEMPLATE.FAT&amp;display_string=Audit&amp;VAR:KEY=TYHWTQXSJO&amp;VAR:QUERY=RkZfUkRfRVhQKENBTCw0MDU0MywsLCxVU0Qp&amp;WINDOW=FIRST_POPUP&amp;HEIGHT=450&amp;WIDTH=450&amp;START_MA","XIMIZED=FALSE&amp;VAR:CALENDAR=US&amp;VAR:SYMBOL=710306&amp;VAR:INDEX=0"}</definedName>
    <definedName name="_4394__FDSAUDITLINK__" hidden="1">{"fdsup://directions/FAT Viewer?action=UPDATE&amp;creator=factset&amp;DYN_ARGS=TRUE&amp;DOC_NAME=FAT:FQL_AUDITING_CLIENT_TEMPLATE.FAT&amp;display_string=Audit&amp;VAR:KEY=BSFYPUHUXG&amp;VAR:QUERY=RkZfUkRfRVhQKENBTCw0MDU0MywsLCxVU0Qp&amp;WINDOW=FIRST_POPUP&amp;HEIGHT=450&amp;WIDTH=450&amp;START_MA","XIMIZED=FALSE&amp;VAR:CALENDAR=US&amp;VAR:SYMBOL=711038&amp;VAR:INDEX=0"}</definedName>
    <definedName name="_4395__FDSAUDITLINK__" hidden="1">{"fdsup://directions/FAT Viewer?action=UPDATE&amp;creator=factset&amp;DYN_ARGS=TRUE&amp;DOC_NAME=FAT:FQL_AUDITING_CLIENT_TEMPLATE.FAT&amp;display_string=Audit&amp;VAR:KEY=BQXQNYHAZC&amp;VAR:QUERY=RkZfUkRfRVhQKENBTCw0MDU0MywsLCxVU0Qp&amp;WINDOW=FIRST_POPUP&amp;HEIGHT=450&amp;WIDTH=450&amp;START_MA","XIMIZED=FALSE&amp;VAR:CALENDAR=US&amp;VAR:SYMBOL=MRK&amp;VAR:INDEX=0"}</definedName>
    <definedName name="_4396__FDSAUDITLINK__" hidden="1">{"fdsup://directions/FAT Viewer?action=UPDATE&amp;creator=factset&amp;DYN_ARGS=TRUE&amp;DOC_NAME=FAT:FQL_AUDITING_CLIENT_TEMPLATE.FAT&amp;display_string=Audit&amp;VAR:KEY=XSXQHYLMVQ&amp;VAR:QUERY=RkZfUkRfRVhQKENBTCw0MDU0MywsLCwp&amp;WINDOW=FIRST_POPUP&amp;HEIGHT=450&amp;WIDTH=450&amp;START_MAXIMI","ZED=FALSE&amp;VAR:CALENDAR=US&amp;VAR:SYMBOL=BIIB&amp;VAR:INDEX=0"}</definedName>
    <definedName name="_4397__FDSAUDITLINK__" hidden="1">{"fdsup://directions/FAT Viewer?action=UPDATE&amp;creator=factset&amp;DYN_ARGS=TRUE&amp;DOC_NAME=FAT:FQL_AUDITING_CLIENT_TEMPLATE.FAT&amp;display_string=Audit&amp;VAR:KEY=LAJWREJCRQ&amp;VAR:QUERY=RkZfUkRfRVhQKENBTCw0MDE3OCwsLCwp&amp;WINDOW=FIRST_POPUP&amp;HEIGHT=450&amp;WIDTH=450&amp;START_MAXIMI","ZED=FALSE&amp;VAR:CALENDAR=US&amp;VAR:SYMBOL=BIIB&amp;VAR:INDEX=0"}</definedName>
    <definedName name="_4398__FDSAUDITLINK__" hidden="1">{"fdsup://directions/FAT Viewer?action=UPDATE&amp;creator=factset&amp;DYN_ARGS=TRUE&amp;DOC_NAME=FAT:FQL_AUDITING_CLIENT_TEMPLATE.FAT&amp;display_string=Audit&amp;VAR:KEY=TIJGJEBYTI&amp;VAR:QUERY=RkZfUkRfRVhQKENBTCwzOTgxMywsLCwp&amp;WINDOW=FIRST_POPUP&amp;HEIGHT=450&amp;WIDTH=450&amp;START_MAXIMI","ZED=FALSE&amp;VAR:CALENDAR=US&amp;VAR:SYMBOL=BIIB&amp;VAR:INDEX=0"}</definedName>
    <definedName name="_4399__FDSAUDITLINK__" hidden="1">{"fdsup://directions/FAT Viewer?action=UPDATE&amp;creator=factset&amp;DYN_ARGS=TRUE&amp;DOC_NAME=FAT:FQL_AUDITING_CLIENT_TEMPLATE.FAT&amp;display_string=Audit&amp;VAR:KEY=ROHGXITIHS&amp;VAR:QUERY=RkZfUkRfRVhQKENBTCw0MDU0MywsLCwp&amp;WINDOW=FIRST_POPUP&amp;HEIGHT=450&amp;WIDTH=450&amp;START_MAXIMI","ZED=FALSE&amp;VAR:CALENDAR=US&amp;VAR:SYMBOL=707752&amp;VAR:INDEX=0"}</definedName>
    <definedName name="_44__FDSAUDITLINK__" hidden="1">{"fdsup://directions/FAT%20Viewer?VAR:TM=NTMA&amp;VAR:PCT=0.054795&amp;VAR:Y0=2009&amp;VAR:Y1=2010&amp;VAR:V0=17.795202&amp;VAR:V1=14.135486&amp;VAR:V=14.296593&amp;VAR:AUDIT_ID=00000117&amp;VAR:DATE=20091211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Aggregates&amp;VAR:MEASURE=PE_MEAN&amp;VAR:CALC_MODE=PORTFOLIO&amp;VAR:CHGPERIOD=NA&amp;VAR:FQLFORMULA=FMA_PE&amp;VAR:CURRENCY=USD&amp;VAR:P=1","106.411427&amp;VAR:THRESH=||||||&amp;VAR:null=.html"}</definedName>
    <definedName name="_440__FDSAUDITLINK__" hidden="1">{"fdsup://directions/FAT%20Viewer?VAR:TM=NTMA&amp;VAR:PCT=0.643836&amp;VAR:Y0=2002&amp;VAR:Y1=2003&amp;VAR:V0=20.355944&amp;VAR:V1=17.133072&amp;VAR:V=19.077781&amp;VAR:AUDIT_ID=00000117&amp;VAR:DATE=20020510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Aggregates&amp;VAR:MEASURE=PE_MEAN&amp;VAR:CALC_MODE=PORTFOLIO&amp;VAR:CHGPERIOD=NA&amp;VAR:FQLFORMULA=FMA_PE&amp;VAR:CURRENCY=USD&amp;VAR:P=1","054.986100&amp;VAR:THRESH=||||||&amp;VAR:null=.html"}</definedName>
    <definedName name="_4400__FDSAUDITLINK__" hidden="1">{"fdsup://directions/FAT Viewer?action=UPDATE&amp;creator=factset&amp;DYN_ARGS=TRUE&amp;DOC_NAME=FAT:FQL_AUDITING_CLIENT_TEMPLATE.FAT&amp;display_string=Audit&amp;VAR:KEY=ZCPYBCXOHU&amp;VAR:QUERY=RkZfUkRfRVhQKENBTCw0MDE3OCwsLCwp&amp;WINDOW=FIRST_POPUP&amp;HEIGHT=450&amp;WIDTH=450&amp;START_MAXIMI","ZED=FALSE&amp;VAR:CALENDAR=US&amp;VAR:SYMBOL=707752&amp;VAR:INDEX=0"}</definedName>
    <definedName name="_4401__FDSAUDITLINK__" hidden="1">{"fdsup://directions/FAT Viewer?action=UPDATE&amp;creator=factset&amp;DYN_ARGS=TRUE&amp;DOC_NAME=FAT:FQL_AUDITING_CLIENT_TEMPLATE.FAT&amp;display_string=Audit&amp;VAR:KEY=RUHOZGXETS&amp;VAR:QUERY=RkZfUkRfRVhQKENBTCwzOTgxMywsLCwp&amp;WINDOW=FIRST_POPUP&amp;HEIGHT=450&amp;WIDTH=450&amp;START_MAXIMI","ZED=FALSE&amp;VAR:CALENDAR=US&amp;VAR:SYMBOL=707752&amp;VAR:INDEX=0"}</definedName>
    <definedName name="_4402__FDSAUDITLINK__" hidden="1">{"fdsup://directions/FAT Viewer?action=UPDATE&amp;creator=factset&amp;DYN_ARGS=TRUE&amp;DOC_NAME=FAT:FQL_AUDITING_CLIENT_TEMPLATE.FAT&amp;display_string=Audit&amp;VAR:KEY=XODONILQRS&amp;VAR:QUERY=RkZfUkRfRVhQKENBTCw0MDU0MywsLCwp&amp;WINDOW=FIRST_POPUP&amp;HEIGHT=450&amp;WIDTH=450&amp;START_MAXIMI","ZED=FALSE&amp;VAR:CALENDAR=US&amp;VAR:SYMBOL=630720&amp;VAR:INDEX=0"}</definedName>
    <definedName name="_4403__FDSAUDITLINK__" hidden="1">{"fdsup://directions/FAT Viewer?action=UPDATE&amp;creator=factset&amp;DYN_ARGS=TRUE&amp;DOC_NAME=FAT:FQL_AUDITING_CLIENT_TEMPLATE.FAT&amp;display_string=Audit&amp;VAR:KEY=FQTINILKPY&amp;VAR:QUERY=RkZfUkRfRVhQKENBTCw0MDE3OCwsLCwp&amp;WINDOW=FIRST_POPUP&amp;HEIGHT=450&amp;WIDTH=450&amp;START_MAXIMI","ZED=FALSE&amp;VAR:CALENDAR=US&amp;VAR:SYMBOL=630720&amp;VAR:INDEX=0"}</definedName>
    <definedName name="_4404__FDSAUDITLINK__" hidden="1">{"fdsup://directions/FAT Viewer?action=UPDATE&amp;creator=factset&amp;DYN_ARGS=TRUE&amp;DOC_NAME=FAT:FQL_AUDITING_CLIENT_TEMPLATE.FAT&amp;display_string=Audit&amp;VAR:KEY=VSZYNWJGTA&amp;VAR:QUERY=RkZfUkRfRVhQKENBTCwzOTgxMywsLCwp&amp;WINDOW=FIRST_POPUP&amp;HEIGHT=450&amp;WIDTH=450&amp;START_MAXIMI","ZED=FALSE&amp;VAR:CALENDAR=US&amp;VAR:SYMBOL=630720&amp;VAR:INDEX=0"}</definedName>
    <definedName name="_4405__FDSAUDITLINK__" hidden="1">{"fdsup://directions/FAT Viewer?action=UPDATE&amp;creator=factset&amp;DYN_ARGS=TRUE&amp;DOC_NAME=FAT:FQL_AUDITING_CLIENT_TEMPLATE.FAT&amp;display_string=Audit&amp;VAR:KEY=HMDKDGFUVI&amp;VAR:QUERY=RkZfUkRfRVhQKENBTCw0MDU0MywsLCwp&amp;WINDOW=FIRST_POPUP&amp;HEIGHT=450&amp;WIDTH=450&amp;START_MAXIMI","ZED=FALSE&amp;VAR:CALENDAR=US&amp;VAR:SYMBOL=698538&amp;VAR:INDEX=0"}</definedName>
    <definedName name="_4406__FDSAUDITLINK__" hidden="1">{"fdsup://directions/FAT Viewer?action=UPDATE&amp;creator=factset&amp;DYN_ARGS=TRUE&amp;DOC_NAME=FAT:FQL_AUDITING_CLIENT_TEMPLATE.FAT&amp;display_string=Audit&amp;VAR:KEY=XEFUVIRUFI&amp;VAR:QUERY=RkZfUkRfRVhQKENBTCw0MDE3OCwsLCwp&amp;WINDOW=FIRST_POPUP&amp;HEIGHT=450&amp;WIDTH=450&amp;START_MAXIMI","ZED=FALSE&amp;VAR:CALENDAR=US&amp;VAR:SYMBOL=698538&amp;VAR:INDEX=0"}</definedName>
    <definedName name="_4407__FDSAUDITLINK__" hidden="1">{"fdsup://directions/FAT Viewer?action=UPDATE&amp;creator=factset&amp;DYN_ARGS=TRUE&amp;DOC_NAME=FAT:FQL_AUDITING_CLIENT_TEMPLATE.FAT&amp;display_string=Audit&amp;VAR:KEY=HYTMLEDUVS&amp;VAR:QUERY=RkZfUkRfRVhQKENBTCwzOTgxMywsLCwp&amp;WINDOW=FIRST_POPUP&amp;HEIGHT=450&amp;WIDTH=450&amp;START_MAXIMI","ZED=FALSE&amp;VAR:CALENDAR=US&amp;VAR:SYMBOL=698538&amp;VAR:INDEX=0"}</definedName>
    <definedName name="_4408__FDSAUDITLINK__" hidden="1">{"fdsup://directions/FAT Viewer?action=UPDATE&amp;creator=factset&amp;DYN_ARGS=TRUE&amp;DOC_NAME=FAT:FQL_AUDITING_CLIENT_TEMPLATE.FAT&amp;display_string=Audit&amp;VAR:KEY=BIZIJKTURI&amp;VAR:QUERY=RkZfUkRfRVhQKENBTCw0MDU0MywsLCwp&amp;WINDOW=FIRST_POPUP&amp;HEIGHT=450&amp;WIDTH=450&amp;START_MAXIMI","ZED=FALSE&amp;VAR:CALENDAR=US&amp;VAR:SYMBOL=474184&amp;VAR:INDEX=0"}</definedName>
    <definedName name="_4409__FDSAUDITLINK__" hidden="1">{"fdsup://directions/FAT Viewer?action=UPDATE&amp;creator=factset&amp;DYN_ARGS=TRUE&amp;DOC_NAME=FAT:FQL_AUDITING_CLIENT_TEMPLATE.FAT&amp;display_string=Audit&amp;VAR:KEY=BCFCJCDITY&amp;VAR:QUERY=RkZfUkRfRVhQKENBTCw0MDE3OCwsLCwp&amp;WINDOW=FIRST_POPUP&amp;HEIGHT=450&amp;WIDTH=450&amp;START_MAXIMI","ZED=FALSE&amp;VAR:CALENDAR=US&amp;VAR:SYMBOL=474184&amp;VAR:INDEX=0"}</definedName>
    <definedName name="_441__FDSAUDITLINK__" hidden="1">{"fdsup://directions/FAT%20Viewer?VAR:TM=NTMA&amp;VAR:PCT=0.663014&amp;VAR:Y0=2002&amp;VAR:Y1=2003&amp;VAR:V0=20.734009&amp;VAR:V1=17.463955&amp;VAR:V=19.503361&amp;VAR:AUDIT_ID=00000117&amp;VAR:DATE=20020503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Aggregates&amp;VAR:MEASURE=PE_MEAN&amp;VAR:CALC_MODE=PORTFOLIO&amp;VAR:CHGPERIOD=NA&amp;VAR:FQLFORMULA=FMA_PE&amp;VAR:CURRENCY=USD&amp;VAR:P=1","073.426400&amp;VAR:THRESH=||||||&amp;VAR:null=.html"}</definedName>
    <definedName name="_4410__FDSAUDITLINK__" hidden="1">{"fdsup://directions/FAT Viewer?action=UPDATE&amp;creator=factset&amp;DYN_ARGS=TRUE&amp;DOC_NAME=FAT:FQL_AUDITING_CLIENT_TEMPLATE.FAT&amp;display_string=Audit&amp;VAR:KEY=RUVIBOLGPQ&amp;VAR:QUERY=RkZfUkRfRVhQKENBTCw0MDU0MywsLCwp&amp;WINDOW=FIRST_POPUP&amp;HEIGHT=450&amp;WIDTH=450&amp;START_MAXIMI","ZED=FALSE&amp;VAR:CALENDAR=US&amp;VAR:SYMBOL=B0J7D9&amp;VAR:INDEX=0"}</definedName>
    <definedName name="_4411__FDSAUDITLINK__" hidden="1">{"fdsup://directions/FAT Viewer?action=UPDATE&amp;creator=factset&amp;DYN_ARGS=TRUE&amp;DOC_NAME=FAT:FQL_AUDITING_CLIENT_TEMPLATE.FAT&amp;display_string=Audit&amp;VAR:KEY=ZSZUFATADA&amp;VAR:QUERY=RkZfUkRfRVhQKENBTCw0MDU0MywsLCwp&amp;WINDOW=FIRST_POPUP&amp;HEIGHT=450&amp;WIDTH=450&amp;START_MAXIMI","ZED=FALSE&amp;VAR:CALENDAR=US&amp;VAR:SYMBOL=AMGN&amp;VAR:INDEX=0"}</definedName>
    <definedName name="_4412__FDSAUDITLINK__" hidden="1">{"fdsup://directions/FAT Viewer?action=UPDATE&amp;creator=factset&amp;DYN_ARGS=TRUE&amp;DOC_NAME=FAT:FQL_AUDITING_CLIENT_TEMPLATE.FAT&amp;display_string=Audit&amp;VAR:KEY=NETMBUPAPS&amp;VAR:QUERY=RkZfUkRfRVhQKENBTCw0MDE3OCwsLCwp&amp;WINDOW=FIRST_POPUP&amp;HEIGHT=450&amp;WIDTH=450&amp;START_MAXIMI","ZED=FALSE&amp;VAR:CALENDAR=US&amp;VAR:SYMBOL=AMGN&amp;VAR:INDEX=0"}</definedName>
    <definedName name="_4413__FDSAUDITLINK__" hidden="1">{"fdsup://directions/FAT Viewer?action=UPDATE&amp;creator=factset&amp;DYN_ARGS=TRUE&amp;DOC_NAME=FAT:FQL_AUDITING_CLIENT_TEMPLATE.FAT&amp;display_string=Audit&amp;VAR:KEY=BWFKBKBAJS&amp;VAR:QUERY=RkZfUkRfRVhQKENBTCwzOTgxMywsLCwp&amp;WINDOW=FIRST_POPUP&amp;HEIGHT=450&amp;WIDTH=450&amp;START_MAXIMI","ZED=FALSE&amp;VAR:CALENDAR=US&amp;VAR:SYMBOL=AMGN&amp;VAR:INDEX=0"}</definedName>
    <definedName name="_4414__FDSAUDITLINK__" hidden="1">{"fdsup://directions/FAT Viewer?action=UPDATE&amp;creator=factset&amp;DYN_ARGS=TRUE&amp;DOC_NAME=FAT:FQL_AUDITING_CLIENT_TEMPLATE.FAT&amp;display_string=Audit&amp;VAR:KEY=LIRCBIRMZO&amp;VAR:QUERY=RkZfUkRfRVhQKENBTCw0MDU0MywsLCwp&amp;WINDOW=FIRST_POPUP&amp;HEIGHT=450&amp;WIDTH=450&amp;START_MAXIMI","ZED=FALSE&amp;VAR:CALENDAR=US&amp;VAR:SYMBOL=ABT&amp;VAR:INDEX=0"}</definedName>
    <definedName name="_4415__FDSAUDITLINK__" hidden="1">{"fdsup://directions/FAT Viewer?action=UPDATE&amp;creator=factset&amp;DYN_ARGS=TRUE&amp;DOC_NAME=FAT:FQL_AUDITING_CLIENT_TEMPLATE.FAT&amp;display_string=Audit&amp;VAR:KEY=FKDMVIHOJW&amp;VAR:QUERY=RkZfUkRfRVhQKENBTCw0MDE3OCwsLCwp&amp;WINDOW=FIRST_POPUP&amp;HEIGHT=450&amp;WIDTH=450&amp;START_MAXIMI","ZED=FALSE&amp;VAR:CALENDAR=US&amp;VAR:SYMBOL=ABT&amp;VAR:INDEX=0"}</definedName>
    <definedName name="_4416__FDSAUDITLINK__" hidden="1">{"fdsup://directions/FAT Viewer?action=UPDATE&amp;creator=factset&amp;DYN_ARGS=TRUE&amp;DOC_NAME=FAT:FQL_AUDITING_CLIENT_TEMPLATE.FAT&amp;display_string=Audit&amp;VAR:KEY=DEROHMZOBS&amp;VAR:QUERY=RkZfUkRfRVhQKENBTCwzOTgxMywsLCwp&amp;WINDOW=FIRST_POPUP&amp;HEIGHT=450&amp;WIDTH=450&amp;START_MAXIMI","ZED=FALSE&amp;VAR:CALENDAR=US&amp;VAR:SYMBOL=ABT&amp;VAR:INDEX=0"}</definedName>
    <definedName name="_4417__FDSAUDITLINK__" hidden="1">{"fdsup://directions/FAT Viewer?action=UPDATE&amp;creator=factset&amp;DYN_ARGS=TRUE&amp;DOC_NAME=FAT:FQL_AUDITING_CLIENT_TEMPLATE.FAT&amp;display_string=Audit&amp;VAR:KEY=JOTAHWPUXS&amp;VAR:QUERY=RkZfUkRfRVhQKENBTCw0MDU0MywsLCwp&amp;WINDOW=FIRST_POPUP&amp;HEIGHT=450&amp;WIDTH=450&amp;START_MAXIMI","ZED=FALSE&amp;VAR:CALENDAR=US&amp;VAR:SYMBOL=687044&amp;VAR:INDEX=0"}</definedName>
    <definedName name="_4418__FDSAUDITLINK__" hidden="1">{"fdsup://directions/FAT Viewer?action=UPDATE&amp;creator=factset&amp;DYN_ARGS=TRUE&amp;DOC_NAME=FAT:FQL_AUDITING_CLIENT_TEMPLATE.FAT&amp;display_string=Audit&amp;VAR:KEY=JSFKTSLWZU&amp;VAR:QUERY=RkZfUkRfRVhQKENBTCw0MDE3OCwsLCwp&amp;WINDOW=FIRST_POPUP&amp;HEIGHT=450&amp;WIDTH=450&amp;START_MAXIMI","ZED=FALSE&amp;VAR:CALENDAR=US&amp;VAR:SYMBOL=687044&amp;VAR:INDEX=0"}</definedName>
    <definedName name="_4419__FDSAUDITLINK__" hidden="1">{"fdsup://directions/FAT Viewer?action=UPDATE&amp;creator=factset&amp;DYN_ARGS=TRUE&amp;DOC_NAME=FAT:FQL_AUDITING_CLIENT_TEMPLATE.FAT&amp;display_string=Audit&amp;VAR:KEY=BWLSXWFQJQ&amp;VAR:QUERY=RkZfUkRfRVhQKENBTCwzOTgxMywsLCwp&amp;WINDOW=FIRST_POPUP&amp;HEIGHT=450&amp;WIDTH=450&amp;START_MAXIMI","ZED=FALSE&amp;VAR:CALENDAR=US&amp;VAR:SYMBOL=687044&amp;VAR:INDEX=0"}</definedName>
    <definedName name="_442__FDSAUDITLINK__" hidden="1">{"fdsup://directions/FAT%20Viewer?VAR:TM=NTMA&amp;VAR:PCT=0.682192&amp;VAR:Y0=2002&amp;VAR:Y1=2003&amp;VAR:V0=20.782845&amp;VAR:V1=17.482437&amp;VAR:V=19.606510&amp;VAR:AUDIT_ID=00000117&amp;VAR:DATE=20020426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Aggregates&amp;VAR:MEASURE=PE_MEAN&amp;VAR:CALC_MODE=PORTFOLIO&amp;VAR:CHGPERIOD=NA&amp;VAR:FQLFORMULA=FMA_PE&amp;VAR:CURRENCY=USD&amp;VAR:P=1","076.317000&amp;VAR:THRESH=||||||&amp;VAR:null=.html"}</definedName>
    <definedName name="_4420__FDSAUDITLINK__" hidden="1">{"fdsup://directions/FAT Viewer?action=UPDATE&amp;creator=factset&amp;DYN_ARGS=TRUE&amp;DOC_NAME=FAT:FQL_AUDITING_CLIENT_TEMPLATE.FAT&amp;display_string=Audit&amp;VAR:KEY=RQPKHUZILY&amp;VAR:QUERY=RkZfUkRfRVhQKENBTCw0MDU0MywsLCwp&amp;WINDOW=FIRST_POPUP&amp;HEIGHT=450&amp;WIDTH=450&amp;START_MAXIMI","ZED=FALSE&amp;VAR:CALENDAR=US&amp;VAR:SYMBOL=BMY&amp;VAR:INDEX=0"}</definedName>
    <definedName name="_4421__FDSAUDITLINK__" hidden="1">{"fdsup://directions/FAT Viewer?action=UPDATE&amp;creator=factset&amp;DYN_ARGS=TRUE&amp;DOC_NAME=FAT:FQL_AUDITING_CLIENT_TEMPLATE.FAT&amp;display_string=Audit&amp;VAR:KEY=ZKHEPOXWFO&amp;VAR:QUERY=RkZfUkRfRVhQKENBTCw0MDE3OCwsLCwp&amp;WINDOW=FIRST_POPUP&amp;HEIGHT=450&amp;WIDTH=450&amp;START_MAXIMI","ZED=FALSE&amp;VAR:CALENDAR=US&amp;VAR:SYMBOL=BMY&amp;VAR:INDEX=0"}</definedName>
    <definedName name="_4422__FDSAUDITLINK__" hidden="1">{"fdsup://directions/FAT Viewer?action=UPDATE&amp;creator=factset&amp;DYN_ARGS=TRUE&amp;DOC_NAME=FAT:FQL_AUDITING_CLIENT_TEMPLATE.FAT&amp;display_string=Audit&amp;VAR:KEY=NWVSBKDCPE&amp;VAR:QUERY=RkZfUkRfRVhQKENBTCwzOTgxMywsLCwp&amp;WINDOW=FIRST_POPUP&amp;HEIGHT=450&amp;WIDTH=450&amp;START_MAXIMI","ZED=FALSE&amp;VAR:CALENDAR=US&amp;VAR:SYMBOL=BMY&amp;VAR:INDEX=0"}</definedName>
    <definedName name="_4423__FDSAUDITLINK__" hidden="1">{"fdsup://directions/FAT Viewer?action=UPDATE&amp;creator=factset&amp;DYN_ARGS=TRUE&amp;DOC_NAME=FAT:FQL_AUDITING_CLIENT_TEMPLATE.FAT&amp;display_string=Audit&amp;VAR:KEY=BOHSRQTWRY&amp;VAR:QUERY=RkZfUkRfRVhQKENBTCw0MDU0MywsLCwp&amp;WINDOW=FIRST_POPUP&amp;HEIGHT=450&amp;WIDTH=450&amp;START_MAXIMI","ZED=FALSE&amp;VAR:CALENDAR=US&amp;VAR:SYMBOL=LLY&amp;VAR:INDEX=0"}</definedName>
    <definedName name="_4424__FDSAUDITLINK__" hidden="1">{"fdsup://directions/FAT Viewer?action=UPDATE&amp;creator=factset&amp;DYN_ARGS=TRUE&amp;DOC_NAME=FAT:FQL_AUDITING_CLIENT_TEMPLATE.FAT&amp;display_string=Audit&amp;VAR:KEY=BEDERGXQVO&amp;VAR:QUERY=RkZfUkRfRVhQKENBTCw0MDE3OCwsLCwp&amp;WINDOW=FIRST_POPUP&amp;HEIGHT=450&amp;WIDTH=450&amp;START_MAXIMI","ZED=FALSE&amp;VAR:CALENDAR=US&amp;VAR:SYMBOL=LLY&amp;VAR:INDEX=0"}</definedName>
    <definedName name="_4425__FDSAUDITLINK__" hidden="1">{"fdsup://directions/FAT Viewer?action=UPDATE&amp;creator=factset&amp;DYN_ARGS=TRUE&amp;DOC_NAME=FAT:FQL_AUDITING_CLIENT_TEMPLATE.FAT&amp;display_string=Audit&amp;VAR:KEY=RCRMLCNWPG&amp;VAR:QUERY=RkZfUkRfRVhQKENBTCwzOTgxMywsLCwp&amp;WINDOW=FIRST_POPUP&amp;HEIGHT=450&amp;WIDTH=450&amp;START_MAXIMI","ZED=FALSE&amp;VAR:CALENDAR=US&amp;VAR:SYMBOL=LLY&amp;VAR:INDEX=0"}</definedName>
    <definedName name="_4426__FDSAUDITLINK__" hidden="1">{"fdsup://directions/FAT Viewer?action=UPDATE&amp;creator=factset&amp;DYN_ARGS=TRUE&amp;DOC_NAME=FAT:FQL_AUDITING_CLIENT_TEMPLATE.FAT&amp;display_string=Audit&amp;VAR:KEY=HCLIXKLATC&amp;VAR:QUERY=RkZfUkRfRVhQKENBTCw0MDU0MywsLCwp&amp;WINDOW=FIRST_POPUP&amp;HEIGHT=450&amp;WIDTH=450&amp;START_MAXIMI","ZED=FALSE&amp;VAR:CALENDAR=US&amp;VAR:SYMBOL=506921&amp;VAR:INDEX=0"}</definedName>
    <definedName name="_4427__FDSAUDITLINK__" hidden="1">{"fdsup://directions/FAT Viewer?action=UPDATE&amp;creator=factset&amp;DYN_ARGS=TRUE&amp;DOC_NAME=FAT:FQL_AUDITING_CLIENT_TEMPLATE.FAT&amp;display_string=Audit&amp;VAR:KEY=ZSRUDMXUFC&amp;VAR:QUERY=RkZfUkRfRVhQKENBTCw0MDE3OCwsLCwp&amp;WINDOW=FIRST_POPUP&amp;HEIGHT=450&amp;WIDTH=450&amp;START_MAXIMI","ZED=FALSE&amp;VAR:CALENDAR=US&amp;VAR:SYMBOL=506921&amp;VAR:INDEX=0"}</definedName>
    <definedName name="_4428__FDSAUDITLINK__" hidden="1">{"fdsup://directions/FAT Viewer?action=UPDATE&amp;creator=factset&amp;DYN_ARGS=TRUE&amp;DOC_NAME=FAT:FQL_AUDITING_CLIENT_TEMPLATE.FAT&amp;display_string=Audit&amp;VAR:KEY=RAHQNINYXK&amp;VAR:QUERY=RkZfUkRfRVhQKENBTCwzOTgxMywsLCwp&amp;WINDOW=FIRST_POPUP&amp;HEIGHT=450&amp;WIDTH=450&amp;START_MAXIMI","ZED=FALSE&amp;VAR:CALENDAR=US&amp;VAR:SYMBOL=506921&amp;VAR:INDEX=0"}</definedName>
    <definedName name="_4429__FDSAUDITLINK__" hidden="1">{"fdsup://directions/FAT Viewer?action=UPDATE&amp;creator=factset&amp;DYN_ARGS=TRUE&amp;DOC_NAME=FAT:FQL_AUDITING_CLIENT_TEMPLATE.FAT&amp;display_string=Audit&amp;VAR:KEY=FINCFGZWNE&amp;VAR:QUERY=RkZfUkRfRVhQKENBTCw0MDU0MywsLCwp&amp;WINDOW=FIRST_POPUP&amp;HEIGHT=450&amp;WIDTH=450&amp;START_MAXIMI","ZED=FALSE&amp;VAR:CALENDAR=US&amp;VAR:SYMBOL=567173&amp;VAR:INDEX=0"}</definedName>
    <definedName name="_443__FDSAUDITLINK__" hidden="1">{"fdsup://directions/FAT%20Viewer?VAR:TM=NTMA&amp;VAR:PCT=0.701370&amp;VAR:Y0=2002&amp;VAR:Y1=2003&amp;VAR:V0=21.621065&amp;VAR:V1=18.182838&amp;VAR:V=20.465413&amp;VAR:AUDIT_ID=00000117&amp;VAR:DATE=20020419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Aggregates&amp;VAR:MEASURE=PE_MEAN&amp;VAR:CALC_MODE=PORTFOLIO&amp;VAR:CHGPERIOD=NA&amp;VAR:FQLFORMULA=FMA_PE&amp;VAR:CURRENCY=USD&amp;VAR:P=1","125.167800&amp;VAR:THRESH=||||||&amp;VAR:null=.html"}</definedName>
    <definedName name="_4430__FDSAUDITLINK__" hidden="1">{"fdsup://directions/FAT Viewer?action=UPDATE&amp;creator=factset&amp;DYN_ARGS=TRUE&amp;DOC_NAME=FAT:FQL_AUDITING_CLIENT_TEMPLATE.FAT&amp;display_string=Audit&amp;VAR:KEY=XKDWJCVMXO&amp;VAR:QUERY=RkZfUkRfRVhQKENBTCw0MDE3OCwsLCwp&amp;WINDOW=FIRST_POPUP&amp;HEIGHT=450&amp;WIDTH=450&amp;START_MAXIMI","ZED=FALSE&amp;VAR:CALENDAR=US&amp;VAR:SYMBOL=567173&amp;VAR:INDEX=0"}</definedName>
    <definedName name="_4431__FDSAUDITLINK__" hidden="1">{"fdsup://directions/FAT Viewer?action=UPDATE&amp;creator=factset&amp;DYN_ARGS=TRUE&amp;DOC_NAME=FAT:FQL_AUDITING_CLIENT_TEMPLATE.FAT&amp;display_string=Audit&amp;VAR:KEY=PGJGJQBYXO&amp;VAR:QUERY=RkZfUkRfRVhQKENBTCwzOTgxMywsLCwp&amp;WINDOW=FIRST_POPUP&amp;HEIGHT=450&amp;WIDTH=450&amp;START_MAXIMI","ZED=FALSE&amp;VAR:CALENDAR=US&amp;VAR:SYMBOL=567173&amp;VAR:INDEX=0"}</definedName>
    <definedName name="_4432__FDSAUDITLINK__" hidden="1">{"fdsup://directions/FAT Viewer?action=UPDATE&amp;creator=factset&amp;DYN_ARGS=TRUE&amp;DOC_NAME=FAT:FQL_AUDITING_CLIENT_TEMPLATE.FAT&amp;display_string=Audit&amp;VAR:KEY=LGVSXMXGRE&amp;VAR:QUERY=RkZfUkRfRVhQKENBTCw0MDU0MywsLCwp&amp;WINDOW=FIRST_POPUP&amp;HEIGHT=450&amp;WIDTH=450&amp;START_MAXIMI","ZED=FALSE&amp;VAR:CALENDAR=US&amp;VAR:SYMBOL=JNJ&amp;VAR:INDEX=0"}</definedName>
    <definedName name="_4433__FDSAUDITLINK__" hidden="1">{"fdsup://directions/FAT Viewer?action=UPDATE&amp;creator=factset&amp;DYN_ARGS=TRUE&amp;DOC_NAME=FAT:FQL_AUDITING_CLIENT_TEMPLATE.FAT&amp;display_string=Audit&amp;VAR:KEY=HIHGTUVWJM&amp;VAR:QUERY=RkZfUkRfRVhQKENBTCw0MDE3OCwsLCwp&amp;WINDOW=FIRST_POPUP&amp;HEIGHT=450&amp;WIDTH=450&amp;START_MAXIMI","ZED=FALSE&amp;VAR:CALENDAR=US&amp;VAR:SYMBOL=JNJ&amp;VAR:INDEX=0"}</definedName>
    <definedName name="_4434__FDSAUDITLINK__" hidden="1">{"fdsup://directions/FAT Viewer?action=UPDATE&amp;creator=factset&amp;DYN_ARGS=TRUE&amp;DOC_NAME=FAT:FQL_AUDITING_CLIENT_TEMPLATE.FAT&amp;display_string=Audit&amp;VAR:KEY=NQLIFKBKPW&amp;VAR:QUERY=RkZfUkRfRVhQKENBTCwzOTgxMywsLCwp&amp;WINDOW=FIRST_POPUP&amp;HEIGHT=450&amp;WIDTH=450&amp;START_MAXIMI","ZED=FALSE&amp;VAR:CALENDAR=US&amp;VAR:SYMBOL=JNJ&amp;VAR:INDEX=0"}</definedName>
    <definedName name="_4435__FDSAUDITLINK__" hidden="1">{"fdsup://directions/FAT Viewer?action=UPDATE&amp;creator=factset&amp;DYN_ARGS=TRUE&amp;DOC_NAME=FAT:FQL_AUDITING_CLIENT_TEMPLATE.FAT&amp;display_string=Audit&amp;VAR:KEY=LEFUXOTGLS&amp;VAR:QUERY=RkZfUkRfRVhQKENBTCw0MDU0MywsLCwp&amp;WINDOW=FIRST_POPUP&amp;HEIGHT=450&amp;WIDTH=450&amp;START_MAXIMI","ZED=FALSE&amp;VAR:CALENDAR=US&amp;VAR:SYMBOL=710306&amp;VAR:INDEX=0"}</definedName>
    <definedName name="_4436__FDSAUDITLINK__" hidden="1">{"fdsup://directions/FAT Viewer?action=UPDATE&amp;creator=factset&amp;DYN_ARGS=TRUE&amp;DOC_NAME=FAT:FQL_AUDITING_CLIENT_TEMPLATE.FAT&amp;display_string=Audit&amp;VAR:KEY=XUVINAFIPU&amp;VAR:QUERY=RkZfUkRfRVhQKENBTCw0MDE3OCwsLCwp&amp;WINDOW=FIRST_POPUP&amp;HEIGHT=450&amp;WIDTH=450&amp;START_MAXIMI","ZED=FALSE&amp;VAR:CALENDAR=US&amp;VAR:SYMBOL=710306&amp;VAR:INDEX=0"}</definedName>
    <definedName name="_4437__FDSAUDITLINK__" hidden="1">{"fdsup://directions/FAT Viewer?action=UPDATE&amp;creator=factset&amp;DYN_ARGS=TRUE&amp;DOC_NAME=FAT:FQL_AUDITING_CLIENT_TEMPLATE.FAT&amp;display_string=Audit&amp;VAR:KEY=HKXWJMJSZQ&amp;VAR:QUERY=RkZfUkRfRVhQKENBTCwzOTgxMywsLCwp&amp;WINDOW=FIRST_POPUP&amp;HEIGHT=450&amp;WIDTH=450&amp;START_MAXIMI","ZED=FALSE&amp;VAR:CALENDAR=US&amp;VAR:SYMBOL=710306&amp;VAR:INDEX=0"}</definedName>
    <definedName name="_4438__FDSAUDITLINK__" hidden="1">{"fdsup://directions/FAT Viewer?action=UPDATE&amp;creator=factset&amp;DYN_ARGS=TRUE&amp;DOC_NAME=FAT:FQL_AUDITING_CLIENT_TEMPLATE.FAT&amp;display_string=Audit&amp;VAR:KEY=JONIRWROFI&amp;VAR:QUERY=RkZfUkRfRVhQKENBTCwzOTQ0NywsLCwp&amp;WINDOW=FIRST_POPUP&amp;HEIGHT=450&amp;WIDTH=450&amp;START_MAXIMI","ZED=FALSE&amp;VAR:CALENDAR=US&amp;VAR:SYMBOL=710306&amp;VAR:INDEX=0"}</definedName>
    <definedName name="_4439__FDSAUDITLINK__" hidden="1">{"fdsup://directions/FAT Viewer?action=UPDATE&amp;creator=factset&amp;DYN_ARGS=TRUE&amp;DOC_NAME=FAT:FQL_AUDITING_CLIENT_TEMPLATE.FAT&amp;display_string=Audit&amp;VAR:KEY=BUHEBCVYDU&amp;VAR:QUERY=RkZfUkRfRVhQKENBTCw0MDU0MywsLCwp&amp;WINDOW=FIRST_POPUP&amp;HEIGHT=450&amp;WIDTH=450&amp;START_MAXIMI","ZED=FALSE&amp;VAR:CALENDAR=US&amp;VAR:SYMBOL=711038&amp;VAR:INDEX=0"}</definedName>
    <definedName name="_444__FDSAUDITLINK__" hidden="1">{"fdsup://directions/FAT%20Viewer?VAR:TM=NTMA&amp;VAR:PCT=0.720548&amp;VAR:Y0=2002&amp;VAR:Y1=2003&amp;VAR:V0=21.384008&amp;VAR:V1=17.938082&amp;VAR:V=20.294535&amp;VAR:AUDIT_ID=00000117&amp;VAR:DATE=20020412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Aggregates&amp;VAR:MEASURE=PE_MEAN&amp;VAR:CALC_MODE=PORTFOLIO&amp;VAR:CHGPERIOD=NA&amp;VAR:FQLFORMULA=FMA_PE&amp;VAR:CURRENCY=USD&amp;VAR:P=1","111.013500&amp;VAR:THRESH=||||||&amp;VAR:null=.html"}</definedName>
    <definedName name="_4440__FDSAUDITLINK__" hidden="1">{"fdsup://directions/FAT Viewer?action=UPDATE&amp;creator=factset&amp;DYN_ARGS=TRUE&amp;DOC_NAME=FAT:FQL_AUDITING_CLIENT_TEMPLATE.FAT&amp;display_string=Audit&amp;VAR:KEY=HATKVKBWZI&amp;VAR:QUERY=RkZfUkRfRVhQKENBTCw0MDE3OCwsLCwp&amp;WINDOW=FIRST_POPUP&amp;HEIGHT=450&amp;WIDTH=450&amp;START_MAXIMI","ZED=FALSE&amp;VAR:CALENDAR=US&amp;VAR:SYMBOL=711038&amp;VAR:INDEX=0"}</definedName>
    <definedName name="_4441__FDSAUDITLINK__" hidden="1">{"fdsup://directions/FAT Viewer?action=UPDATE&amp;creator=factset&amp;DYN_ARGS=TRUE&amp;DOC_NAME=FAT:FQL_AUDITING_CLIENT_TEMPLATE.FAT&amp;display_string=Audit&amp;VAR:KEY=XUXGPIZETA&amp;VAR:QUERY=RkZfUkRfRVhQKENBTCwzOTgxMywsLCwp&amp;WINDOW=FIRST_POPUP&amp;HEIGHT=450&amp;WIDTH=450&amp;START_MAXIMI","ZED=FALSE&amp;VAR:CALENDAR=US&amp;VAR:SYMBOL=711038&amp;VAR:INDEX=0"}</definedName>
    <definedName name="_4442__FDSAUDITLINK__" hidden="1">{"fdsup://directions/FAT Viewer?action=UPDATE&amp;creator=factset&amp;DYN_ARGS=TRUE&amp;DOC_NAME=FAT:FQL_AUDITING_CLIENT_TEMPLATE.FAT&amp;display_string=Audit&amp;VAR:KEY=JGLQLQPQDK&amp;VAR:QUERY=RkZfUkRfRVhQKENBTCw0MDU0MywsLCwp&amp;WINDOW=FIRST_POPUP&amp;HEIGHT=450&amp;WIDTH=450&amp;START_MAXIMI","ZED=FALSE&amp;VAR:CALENDAR=US&amp;VAR:SYMBOL=MRK&amp;VAR:INDEX=0"}</definedName>
    <definedName name="_4443__FDSAUDITLINK__" hidden="1">{"fdsup://directions/FAT Viewer?action=UPDATE&amp;creator=factset&amp;DYN_ARGS=TRUE&amp;DOC_NAME=FAT:FQL_AUDITING_CLIENT_TEMPLATE.FAT&amp;display_string=Audit&amp;VAR:KEY=BMVWPEJELU&amp;VAR:QUERY=RkZfUkRfRVhQKENBTCwzOTgxMywsLCwp&amp;WINDOW=FIRST_POPUP&amp;HEIGHT=450&amp;WIDTH=450&amp;START_MAXIMI","ZED=FALSE&amp;VAR:CALENDAR=US&amp;VAR:SYMBOL=MRK&amp;VAR:INDEX=0"}</definedName>
    <definedName name="_4444__FDSAUDITLINK__" hidden="1">{"fdsup://directions/FAT Viewer?action=UPDATE&amp;creator=factset&amp;DYN_ARGS=TRUE&amp;DOC_NAME=FAT:FQL_AUDITING_CLIENT_TEMPLATE.FAT&amp;display_string=Audit&amp;VAR:KEY=RULMZELIXK&amp;VAR:QUERY=RkZfUkRfRVhQKENBTCw0MDU0MywsLCwp&amp;WINDOW=FIRST_POPUP&amp;HEIGHT=450&amp;WIDTH=450&amp;START_MAXIMI","ZED=FALSE&amp;VAR:CALENDAR=US&amp;VAR:SYMBOL=PFE&amp;VAR:INDEX=0"}</definedName>
    <definedName name="_4445__FDSAUDITLINK__" hidden="1">{"fdsup://directions/FAT Viewer?action=UPDATE&amp;creator=factset&amp;DYN_ARGS=TRUE&amp;DOC_NAME=FAT:FQL_AUDITING_CLIENT_TEMPLATE.FAT&amp;display_string=Audit&amp;VAR:KEY=XAFSTKHGNY&amp;VAR:QUERY=RkZfUkRfRVhQKENBTCwzOTgxMywsLCwp&amp;WINDOW=FIRST_POPUP&amp;HEIGHT=450&amp;WIDTH=450&amp;START_MAXIMI","ZED=FALSE&amp;VAR:CALENDAR=US&amp;VAR:SYMBOL=PFE&amp;VAR:INDEX=0"}</definedName>
    <definedName name="_4446__FDSAUDITLINK__" hidden="1">{"fdsup://Directions/FactSet Auditing Viewer?action=AUDIT_VALUE&amp;DB=129&amp;ID1=36871040&amp;VALUEID=01001&amp;SDATE=200804&amp;PERIODTYPE=QTR_STD&amp;SCFT=3&amp;window=popup_no_bar&amp;width=385&amp;height=120&amp;START_MAXIMIZED=FALSE&amp;creator=factset&amp;display_string=Audit"}</definedName>
    <definedName name="_4447__FDSAUDITLINK__" hidden="1">{"fdsup://Directions/FactSet Auditing Viewer?action=AUDIT_VALUE&amp;DB=129&amp;ID1=36871040&amp;VALUEID=01001&amp;SDATE=200803&amp;PERIODTYPE=QTR_STD&amp;SCFT=3&amp;window=popup_no_bar&amp;width=385&amp;height=120&amp;START_MAXIMIZED=FALSE&amp;creator=factset&amp;display_string=Audit"}</definedName>
    <definedName name="_4448__FDSAUDITLINK__" hidden="1">{"fdsup://Directions/FactSet Auditing Viewer?action=AUDIT_VALUE&amp;DB=129&amp;ID1=36871040&amp;VALUEID=01001&amp;SDATE=200802&amp;PERIODTYPE=QTR_STD&amp;SCFT=3&amp;window=popup_no_bar&amp;width=385&amp;height=120&amp;START_MAXIMIZED=FALSE&amp;creator=factset&amp;display_string=Audit"}</definedName>
    <definedName name="_4449__FDSAUDITLINK__" hidden="1">{"fdsup://Directions/FactSet Auditing Viewer?action=AUDIT_VALUE&amp;DB=129&amp;ID1=36871040&amp;VALUEID=01001&amp;SDATE=200801&amp;PERIODTYPE=QTR_STD&amp;SCFT=3&amp;window=popup_no_bar&amp;width=385&amp;height=120&amp;START_MAXIMIZED=FALSE&amp;creator=factset&amp;display_string=Audit"}</definedName>
    <definedName name="_445__FDSAUDITLINK__" hidden="1">{"fdsup://directions/FAT%20Viewer?VAR:TM=NTMA&amp;VAR:PCT=0.739726&amp;VAR:Y0=2002&amp;VAR:Y1=2003&amp;VAR:V0=21.513186&amp;VAR:V1=18.031403&amp;VAR:V=20.483721&amp;VAR:AUDIT_ID=00000117&amp;VAR:DATE=20020405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Aggregates&amp;VAR:MEASURE=PE_MEAN&amp;VAR:CALC_MODE=PORTFOLIO&amp;VAR:CHGPERIOD=NA&amp;VAR:FQLFORMULA=FMA_PE&amp;VAR:CURRENCY=USD&amp;VAR:P=1","122.729500&amp;VAR:THRESH=||||||&amp;VAR:null=.html"}</definedName>
    <definedName name="_4450__FDSAUDITLINK__" hidden="1">{"fdsup://Directions/FactSet Auditing Viewer?action=AUDIT_VALUE&amp;DB=129&amp;ID1=36871040&amp;VALUEID=01001&amp;SDATE=200704&amp;PERIODTYPE=QTR_STD&amp;SCFT=3&amp;window=popup_no_bar&amp;width=385&amp;height=120&amp;START_MAXIMIZED=FALSE&amp;creator=factset&amp;display_string=Audit"}</definedName>
    <definedName name="_4451__FDSAUDITLINK__" hidden="1">{"fdsup://Directions/FactSet Auditing Viewer?action=AUDIT_VALUE&amp;DB=129&amp;ID1=36871040&amp;VALUEID=01001&amp;SDATE=200703&amp;PERIODTYPE=QTR_STD&amp;SCFT=3&amp;window=popup_no_bar&amp;width=385&amp;height=120&amp;START_MAXIMIZED=FALSE&amp;creator=factset&amp;display_string=Audit"}</definedName>
    <definedName name="_4452__FDSAUDITLINK__" hidden="1">{"fdsup://Directions/FactSet Auditing Viewer?action=AUDIT_VALUE&amp;DB=129&amp;ID1=36871040&amp;VALUEID=01001&amp;SDATE=200702&amp;PERIODTYPE=QTR_STD&amp;SCFT=3&amp;window=popup_no_bar&amp;width=385&amp;height=120&amp;START_MAXIMIZED=FALSE&amp;creator=factset&amp;display_string=Audit"}</definedName>
    <definedName name="_4453__FDSAUDITLINK__" hidden="1">{"fdsup://Directions/FactSet Auditing Viewer?action=AUDIT_VALUE&amp;DB=129&amp;ID1=36871040&amp;VALUEID=01001&amp;SDATE=200701&amp;PERIODTYPE=QTR_STD&amp;SCFT=3&amp;window=popup_no_bar&amp;width=385&amp;height=120&amp;START_MAXIMIZED=FALSE&amp;creator=factset&amp;display_string=Audit"}</definedName>
    <definedName name="_4454__FDSAUDITLINK__" hidden="1">{"fdsup://Directions/FactSet Auditing Viewer?action=AUDIT_VALUE&amp;DB=129&amp;ID1=98302410&amp;VALUEID=01001&amp;SDATE=200902&amp;PERIODTYPE=QTR_STD&amp;SCFT=3&amp;window=popup_no_bar&amp;width=385&amp;height=120&amp;START_MAXIMIZED=FALSE&amp;creator=factset&amp;display_string=Audit"}</definedName>
    <definedName name="_4455__FDSAUDITLINK__" hidden="1">{"fdsup://Directions/FactSet Auditing Viewer?action=AUDIT_VALUE&amp;DB=129&amp;ID1=98302410&amp;VALUEID=01001&amp;SDATE=200901&amp;PERIODTYPE=QTR_STD&amp;SCFT=3&amp;window=popup_no_bar&amp;width=385&amp;height=120&amp;START_MAXIMIZED=FALSE&amp;creator=factset&amp;display_string=Audit"}</definedName>
    <definedName name="_4456__FDSAUDITLINK__" hidden="1">{"fdsup://Directions/FactSet Auditing Viewer?action=AUDIT_VALUE&amp;DB=129&amp;ID1=98302410&amp;VALUEID=01001&amp;SDATE=200804&amp;PERIODTYPE=QTR_STD&amp;SCFT=3&amp;window=popup_no_bar&amp;width=385&amp;height=120&amp;START_MAXIMIZED=FALSE&amp;creator=factset&amp;display_string=Audit"}</definedName>
    <definedName name="_4457__FDSAUDITLINK__" hidden="1">{"fdsup://Directions/FactSet Auditing Viewer?action=AUDIT_VALUE&amp;DB=129&amp;ID1=98302410&amp;VALUEID=01001&amp;SDATE=200803&amp;PERIODTYPE=QTR_STD&amp;SCFT=3&amp;window=popup_no_bar&amp;width=385&amp;height=120&amp;START_MAXIMIZED=FALSE&amp;creator=factset&amp;display_string=Audit"}</definedName>
    <definedName name="_4458__FDSAUDITLINK__" hidden="1">{"fdsup://Directions/FactSet Auditing Viewer?action=AUDIT_VALUE&amp;DB=129&amp;ID1=98302410&amp;VALUEID=01001&amp;SDATE=200802&amp;PERIODTYPE=QTR_STD&amp;SCFT=3&amp;window=popup_no_bar&amp;width=385&amp;height=120&amp;START_MAXIMIZED=FALSE&amp;creator=factset&amp;display_string=Audit"}</definedName>
    <definedName name="_4459__FDSAUDITLINK__" hidden="1">{"fdsup://Directions/FactSet Auditing Viewer?action=AUDIT_VALUE&amp;DB=129&amp;ID1=98302410&amp;VALUEID=01001&amp;SDATE=200801&amp;PERIODTYPE=QTR_STD&amp;SCFT=3&amp;window=popup_no_bar&amp;width=385&amp;height=120&amp;START_MAXIMIZED=FALSE&amp;creator=factset&amp;display_string=Audit"}</definedName>
    <definedName name="_446__FDSAUDITLINK__" hidden="1">{"fdsup://directions/FAT%20Viewer?VAR:TM=NTMA&amp;VAR:PCT=0.761644&amp;VAR:Y0=2002&amp;VAR:Y1=2003&amp;VAR:V0=21.972010&amp;VAR:V1=18.415976&amp;VAR:V=21.005236&amp;VAR:AUDIT_ID=00000117&amp;VAR:DATE=20020328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Aggregates&amp;VAR:MEASURE=PE_MEAN&amp;VAR:CALC_MODE=PORTFOLIO&amp;VAR:CHGPERIOD=NA&amp;VAR:FQLFORMULA=FMA_PE&amp;VAR:CURRENCY=USD&amp;VAR:P=1","147.386500&amp;VAR:THRESH=||||||&amp;VAR:null=.html"}</definedName>
    <definedName name="_4460__FDSAUDITLINK__" hidden="1">{"fdsup://Directions/FactSet Auditing Viewer?action=AUDIT_VALUE&amp;DB=129&amp;ID1=98302410&amp;VALUEID=01001&amp;SDATE=200704&amp;PERIODTYPE=QTR_STD&amp;SCFT=3&amp;window=popup_no_bar&amp;width=385&amp;height=120&amp;START_MAXIMIZED=FALSE&amp;creator=factset&amp;display_string=Audit"}</definedName>
    <definedName name="_4461__FDSAUDITLINK__" hidden="1">{"fdsup://Directions/FactSet Auditing Viewer?action=AUDIT_VALUE&amp;DB=129&amp;ID1=98302410&amp;VALUEID=01001&amp;SDATE=200703&amp;PERIODTYPE=QTR_STD&amp;SCFT=3&amp;window=popup_no_bar&amp;width=385&amp;height=120&amp;START_MAXIMIZED=FALSE&amp;creator=factset&amp;display_string=Audit"}</definedName>
    <definedName name="_4462__FDSAUDITLINK__" hidden="1">{"fdsup://Directions/FactSet Auditing Viewer?action=AUDIT_VALUE&amp;DB=129&amp;ID1=80660510&amp;VALUEID=01001&amp;SDATE=200903&amp;PERIODTYPE=QTR_STD&amp;SCFT=3&amp;window=popup_no_bar&amp;width=385&amp;height=120&amp;START_MAXIMIZED=FALSE&amp;creator=factset&amp;display_string=Audit"}</definedName>
    <definedName name="_4463__FDSAUDITLINK__" hidden="1">{"fdsup://Directions/FactSet Auditing Viewer?action=AUDIT_VALUE&amp;DB=129&amp;ID1=80660510&amp;VALUEID=01001&amp;SDATE=200902&amp;PERIODTYPE=QTR_STD&amp;SCFT=3&amp;window=popup_no_bar&amp;width=385&amp;height=120&amp;START_MAXIMIZED=FALSE&amp;creator=factset&amp;display_string=Audit"}</definedName>
    <definedName name="_4464__FDSAUDITLINK__" hidden="1">{"fdsup://Directions/FactSet Auditing Viewer?action=AUDIT_VALUE&amp;DB=129&amp;ID1=80660510&amp;VALUEID=01001&amp;SDATE=200804&amp;PERIODTYPE=QTR_STD&amp;SCFT=3&amp;window=popup_no_bar&amp;width=385&amp;height=120&amp;START_MAXIMIZED=FALSE&amp;creator=factset&amp;display_string=Audit"}</definedName>
    <definedName name="_4465__FDSAUDITLINK__" hidden="1">{"fdsup://Directions/FactSet Auditing Viewer?action=AUDIT_VALUE&amp;DB=129&amp;ID1=80660510&amp;VALUEID=01001&amp;SDATE=200803&amp;PERIODTYPE=QTR_STD&amp;SCFT=3&amp;window=popup_no_bar&amp;width=385&amp;height=120&amp;START_MAXIMIZED=FALSE&amp;creator=factset&amp;display_string=Audit"}</definedName>
    <definedName name="_4466__FDSAUDITLINK__" hidden="1">{"fdsup://Directions/FactSet Auditing Viewer?action=AUDIT_VALUE&amp;DB=129&amp;ID1=80660510&amp;VALUEID=01001&amp;SDATE=200802&amp;PERIODTYPE=QTR_STD&amp;SCFT=3&amp;window=popup_no_bar&amp;width=385&amp;height=120&amp;START_MAXIMIZED=FALSE&amp;creator=factset&amp;display_string=Audit"}</definedName>
    <definedName name="_4467__FDSAUDITLINK__" hidden="1">{"fdsup://Directions/FactSet Auditing Viewer?action=AUDIT_VALUE&amp;DB=129&amp;ID1=80660510&amp;VALUEID=01001&amp;SDATE=200801&amp;PERIODTYPE=QTR_STD&amp;SCFT=3&amp;window=popup_no_bar&amp;width=385&amp;height=120&amp;START_MAXIMIZED=FALSE&amp;creator=factset&amp;display_string=Audit"}</definedName>
    <definedName name="_4468__FDSAUDITLINK__" hidden="1">{"fdsup://Directions/FactSet Auditing Viewer?action=AUDIT_VALUE&amp;DB=129&amp;ID1=80660510&amp;VALUEID=01001&amp;SDATE=200704&amp;PERIODTYPE=QTR_STD&amp;SCFT=3&amp;window=popup_no_bar&amp;width=385&amp;height=120&amp;START_MAXIMIZED=FALSE&amp;creator=factset&amp;display_string=Audit"}</definedName>
    <definedName name="_4469__FDSAUDITLINK__" hidden="1">{"fdsup://directions/FAT Viewer?action=UPDATE&amp;creator=factset&amp;DYN_ARGS=TRUE&amp;DOC_NAME=FAT:FQL_AUDITING_CLIENT_TEMPLATE.FAT&amp;display_string=Audit&amp;VAR:KEY=PSFYRIZWZC&amp;VAR:QUERY=RkZfU0FMRVMoQ0FMLDQwNTQzLCwsLFVTRCk=&amp;WINDOW=FIRST_POPUP&amp;HEIGHT=450&amp;WIDTH=450&amp;START_MA","XIMIZED=FALSE&amp;VAR:CALENDAR=US&amp;VAR:SYMBOL=BIIB&amp;VAR:INDEX=0"}</definedName>
    <definedName name="_447__FDSAUDITLINK__" hidden="1">{"fdsup://directions/FAT%20Viewer?VAR:TM=NTMA&amp;VAR:PCT=0.778082&amp;VAR:Y0=2002&amp;VAR:Y1=2003&amp;VAR:V0=21.992010&amp;VAR:V1=18.404089&amp;VAR:V=21.080017&amp;VAR:AUDIT_ID=00000117&amp;VAR:DATE=20020322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Aggregates&amp;VAR:MEASURE=PE_MEAN&amp;VAR:CALC_MODE=PORTFOLIO&amp;VAR:CHGPERIOD=NA&amp;VAR:FQLFORMULA=FMA_PE&amp;VAR:CURRENCY=USD&amp;VAR:P=1","148.695400&amp;VAR:THRESH=||||||&amp;VAR:null=.html"}</definedName>
    <definedName name="_4470__FDSAUDITLINK__" hidden="1">{"fdsup://directions/FAT Viewer?action=UPDATE&amp;creator=factset&amp;DYN_ARGS=TRUE&amp;DOC_NAME=FAT:FQL_AUDITING_CLIENT_TEMPLATE.FAT&amp;display_string=Audit&amp;VAR:KEY=PYFKPQPOHY&amp;VAR:QUERY=RkZfU0FMRVMoQ0FMLDQwNTQzLCwsLCk=&amp;WINDOW=FIRST_POPUP&amp;HEIGHT=450&amp;WIDTH=450&amp;START_MAXIMI","ZED=FALSE&amp;VAR:CALENDAR=US&amp;VAR:SYMBOL=BIIB&amp;VAR:INDEX=0"}</definedName>
    <definedName name="_4471__FDSAUDITLINK__" hidden="1">{"fdsup://directions/FAT Viewer?action=UPDATE&amp;creator=factset&amp;DYN_ARGS=TRUE&amp;DOC_NAME=FAT:FQL_AUDITING_CLIENT_TEMPLATE.FAT&amp;display_string=Audit&amp;VAR:KEY=ZQLUZKTERW&amp;VAR:QUERY=RkZfU0FMRVMoQ0FMLDQwMTc4LCwsLCk=&amp;WINDOW=FIRST_POPUP&amp;HEIGHT=450&amp;WIDTH=450&amp;START_MAXIMI","ZED=FALSE&amp;VAR:CALENDAR=US&amp;VAR:SYMBOL=BIIB&amp;VAR:INDEX=0"}</definedName>
    <definedName name="_4472__FDSAUDITLINK__" hidden="1">{"fdsup://directions/FAT Viewer?action=UPDATE&amp;creator=factset&amp;DYN_ARGS=TRUE&amp;DOC_NAME=FAT:FQL_AUDITING_CLIENT_TEMPLATE.FAT&amp;display_string=Audit&amp;VAR:KEY=XOLSHCXGBA&amp;VAR:QUERY=RkZfU0FMRVMoQ0FMLDM5ODEzLCwsLCk=&amp;WINDOW=FIRST_POPUP&amp;HEIGHT=450&amp;WIDTH=450&amp;START_MAXIMI","ZED=FALSE&amp;VAR:CALENDAR=US&amp;VAR:SYMBOL=BIIB&amp;VAR:INDEX=0"}</definedName>
    <definedName name="_4473__FDSAUDITLINK__" hidden="1">{"fdsup://directions/FAT Viewer?action=UPDATE&amp;creator=factset&amp;DYN_ARGS=TRUE&amp;DOC_NAME=FAT:FQL_AUDITING_CLIENT_TEMPLATE.FAT&amp;display_string=Audit&amp;VAR:KEY=FULAJKBUXO&amp;VAR:QUERY=RkZfU0FMRVMoQ0FMLDQwNTQzLCwsLFVTRCk=&amp;WINDOW=FIRST_POPUP&amp;HEIGHT=450&amp;WIDTH=450&amp;START_MA","XIMIZED=FALSE&amp;VAR:CALENDAR=US&amp;VAR:SYMBOL=707752&amp;VAR:INDEX=0"}</definedName>
    <definedName name="_4474__FDSAUDITLINK__" hidden="1">{"fdsup://directions/FAT Viewer?action=UPDATE&amp;creator=factset&amp;DYN_ARGS=TRUE&amp;DOC_NAME=FAT:FQL_AUDITING_CLIENT_TEMPLATE.FAT&amp;display_string=Audit&amp;VAR:KEY=PWBSNCLCBA&amp;VAR:QUERY=RkZfU0FMRVMoQ0FMLDQwNTQzLCwsLCk=&amp;WINDOW=FIRST_POPUP&amp;HEIGHT=450&amp;WIDTH=450&amp;START_MAXIMI","ZED=FALSE&amp;VAR:CALENDAR=US&amp;VAR:SYMBOL=707752&amp;VAR:INDEX=0"}</definedName>
    <definedName name="_4475__FDSAUDITLINK__" hidden="1">{"fdsup://directions/FAT Viewer?action=UPDATE&amp;creator=factset&amp;DYN_ARGS=TRUE&amp;DOC_NAME=FAT:FQL_AUDITING_CLIENT_TEMPLATE.FAT&amp;display_string=Audit&amp;VAR:KEY=LUHEVWHCDE&amp;VAR:QUERY=RkZfU0FMRVMoQ0FMLDQwMTc4LCwsLCk=&amp;WINDOW=FIRST_POPUP&amp;HEIGHT=450&amp;WIDTH=450&amp;START_MAXIMI","ZED=FALSE&amp;VAR:CALENDAR=US&amp;VAR:SYMBOL=707752&amp;VAR:INDEX=0"}</definedName>
    <definedName name="_4476__FDSAUDITLINK__" hidden="1">{"fdsup://directions/FAT Viewer?action=UPDATE&amp;creator=factset&amp;DYN_ARGS=TRUE&amp;DOC_NAME=FAT:FQL_AUDITING_CLIENT_TEMPLATE.FAT&amp;display_string=Audit&amp;VAR:KEY=JWVKFOHATC&amp;VAR:QUERY=RkZfU0FMRVMoQ0FMLDM5ODEzLCwsLCk=&amp;WINDOW=FIRST_POPUP&amp;HEIGHT=450&amp;WIDTH=450&amp;START_MAXIMI","ZED=FALSE&amp;VAR:CALENDAR=US&amp;VAR:SYMBOL=707752&amp;VAR:INDEX=0"}</definedName>
    <definedName name="_4477__FDSAUDITLINK__" hidden="1">{"fdsup://directions/FAT Viewer?action=UPDATE&amp;creator=factset&amp;DYN_ARGS=TRUE&amp;DOC_NAME=FAT:FQL_AUDITING_CLIENT_TEMPLATE.FAT&amp;display_string=Audit&amp;VAR:KEY=RIBWDWRERQ&amp;VAR:QUERY=RkZfU0FMRVMoQ0FMLDQwNTQzLCwsLFVTRCk=&amp;WINDOW=FIRST_POPUP&amp;HEIGHT=450&amp;WIDTH=450&amp;START_MA","XIMIZED=FALSE&amp;VAR:CALENDAR=US&amp;VAR:SYMBOL=630720&amp;VAR:INDEX=0"}</definedName>
    <definedName name="_4478__FDSAUDITLINK__" hidden="1">{"fdsup://directions/FAT Viewer?action=UPDATE&amp;creator=factset&amp;DYN_ARGS=TRUE&amp;DOC_NAME=FAT:FQL_AUDITING_CLIENT_TEMPLATE.FAT&amp;display_string=Audit&amp;VAR:KEY=XQPUJIHOVS&amp;VAR:QUERY=RkZfU0FMRVMoQ0FMLDQwNTQzLCwsLCk=&amp;WINDOW=FIRST_POPUP&amp;HEIGHT=450&amp;WIDTH=450&amp;START_MAXIMI","ZED=FALSE&amp;VAR:CALENDAR=US&amp;VAR:SYMBOL=630720&amp;VAR:INDEX=0"}</definedName>
    <definedName name="_4479__FDSAUDITLINK__" hidden="1">{"fdsup://directions/FAT Viewer?action=UPDATE&amp;creator=factset&amp;DYN_ARGS=TRUE&amp;DOC_NAME=FAT:FQL_AUDITING_CLIENT_TEMPLATE.FAT&amp;display_string=Audit&amp;VAR:KEY=ZEHGRSXYRY&amp;VAR:QUERY=RkZfU0FMRVMoQ0FMLDQwMTc4LCwsLCk=&amp;WINDOW=FIRST_POPUP&amp;HEIGHT=450&amp;WIDTH=450&amp;START_MAXIMI","ZED=FALSE&amp;VAR:CALENDAR=US&amp;VAR:SYMBOL=630720&amp;VAR:INDEX=0"}</definedName>
    <definedName name="_448__FDSAUDITLINK__" hidden="1">{"fdsup://directions/FAT%20Viewer?VAR:TM=NTMA&amp;VAR:PCT=0.797260&amp;VAR:Y0=2002&amp;VAR:Y1=2003&amp;VAR:V0=22.369495&amp;VAR:V1=18.669952&amp;VAR:V=21.505534&amp;VAR:AUDIT_ID=00000117&amp;VAR:DATE=20020315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Aggregates&amp;VAR:MEASURE=PE_MEAN&amp;VAR:CALC_MODE=PORTFOLIO&amp;VAR:CHGPERIOD=NA&amp;VAR:FQLFORMULA=FMA_PE&amp;VAR:CURRENCY=USD&amp;VAR:P=1","166.155300&amp;VAR:THRESH=||||||&amp;VAR:null=.html"}</definedName>
    <definedName name="_4480__FDSAUDITLINK__" hidden="1">{"fdsup://directions/FAT Viewer?action=UPDATE&amp;creator=factset&amp;DYN_ARGS=TRUE&amp;DOC_NAME=FAT:FQL_AUDITING_CLIENT_TEMPLATE.FAT&amp;display_string=Audit&amp;VAR:KEY=HADCZKLKPY&amp;VAR:QUERY=RkZfU0FMRVMoQ0FMLDM5ODEzLCwsLCk=&amp;WINDOW=FIRST_POPUP&amp;HEIGHT=450&amp;WIDTH=450&amp;START_MAXIMI","ZED=FALSE&amp;VAR:CALENDAR=US&amp;VAR:SYMBOL=630720&amp;VAR:INDEX=0"}</definedName>
    <definedName name="_4481__FDSAUDITLINK__" hidden="1">{"fdsup://directions/FAT Viewer?action=UPDATE&amp;creator=factset&amp;DYN_ARGS=TRUE&amp;DOC_NAME=FAT:FQL_AUDITING_CLIENT_TEMPLATE.FAT&amp;display_string=Audit&amp;VAR:KEY=HGDSFIHCJA&amp;VAR:QUERY=RkZfU0FMRVMoQ0FMLDQwNTQzLCwsLFVTRCk=&amp;WINDOW=FIRST_POPUP&amp;HEIGHT=450&amp;WIDTH=450&amp;START_MA","XIMIZED=FALSE&amp;VAR:CALENDAR=US&amp;VAR:SYMBOL=698538&amp;VAR:INDEX=0"}</definedName>
    <definedName name="_4482__FDSAUDITLINK__" hidden="1">{"fdsup://directions/FAT Viewer?action=UPDATE&amp;creator=factset&amp;DYN_ARGS=TRUE&amp;DOC_NAME=FAT:FQL_AUDITING_CLIENT_TEMPLATE.FAT&amp;display_string=Audit&amp;VAR:KEY=RWZSTULEFE&amp;VAR:QUERY=RkZfU0FMRVMoQ0FMLDQwNTQzLCwsLCk=&amp;WINDOW=FIRST_POPUP&amp;HEIGHT=450&amp;WIDTH=450&amp;START_MAXIMI","ZED=FALSE&amp;VAR:CALENDAR=US&amp;VAR:SYMBOL=698538&amp;VAR:INDEX=0"}</definedName>
    <definedName name="_4483__FDSAUDITLINK__" hidden="1">{"fdsup://directions/FAT Viewer?action=UPDATE&amp;creator=factset&amp;DYN_ARGS=TRUE&amp;DOC_NAME=FAT:FQL_AUDITING_CLIENT_TEMPLATE.FAT&amp;display_string=Audit&amp;VAR:KEY=XENCRATKNY&amp;VAR:QUERY=RkZfU0FMRVMoQ0FMLDQwMTc4LCwsLCk=&amp;WINDOW=FIRST_POPUP&amp;HEIGHT=450&amp;WIDTH=450&amp;START_MAXIMI","ZED=FALSE&amp;VAR:CALENDAR=US&amp;VAR:SYMBOL=698538&amp;VAR:INDEX=0"}</definedName>
    <definedName name="_4484__FDSAUDITLINK__" hidden="1">{"fdsup://directions/FAT Viewer?action=UPDATE&amp;creator=factset&amp;DYN_ARGS=TRUE&amp;DOC_NAME=FAT:FQL_AUDITING_CLIENT_TEMPLATE.FAT&amp;display_string=Audit&amp;VAR:KEY=DGVCLOXWNQ&amp;VAR:QUERY=RkZfU0FMRVMoQ0FMLDM5ODEzLCwsLCk=&amp;WINDOW=FIRST_POPUP&amp;HEIGHT=450&amp;WIDTH=450&amp;START_MAXIMI","ZED=FALSE&amp;VAR:CALENDAR=US&amp;VAR:SYMBOL=698538&amp;VAR:INDEX=0"}</definedName>
    <definedName name="_4485__FDSAUDITLINK__" hidden="1">{"fdsup://directions/FAT Viewer?action=UPDATE&amp;creator=factset&amp;DYN_ARGS=TRUE&amp;DOC_NAME=FAT:FQL_AUDITING_CLIENT_TEMPLATE.FAT&amp;display_string=Audit&amp;VAR:KEY=BQFYVIHSFI&amp;VAR:QUERY=RkZfU0FMRVMoQ0FMLDQwNTQzLCwsLFVTRCk=&amp;WINDOW=FIRST_POPUP&amp;HEIGHT=450&amp;WIDTH=450&amp;START_MA","XIMIZED=FALSE&amp;VAR:CALENDAR=US&amp;VAR:SYMBOL=474184&amp;VAR:INDEX=0"}</definedName>
    <definedName name="_4486__FDSAUDITLINK__" hidden="1">{"fdsup://directions/FAT Viewer?action=UPDATE&amp;creator=factset&amp;DYN_ARGS=TRUE&amp;DOC_NAME=FAT:FQL_AUDITING_CLIENT_TEMPLATE.FAT&amp;display_string=Audit&amp;VAR:KEY=XOBSPCJCDY&amp;VAR:QUERY=RkZfU0FMRVMoQ0FMLDQwNTQzLCwsLCk=&amp;WINDOW=FIRST_POPUP&amp;HEIGHT=450&amp;WIDTH=450&amp;START_MAXIMI","ZED=FALSE&amp;VAR:CALENDAR=US&amp;VAR:SYMBOL=474184&amp;VAR:INDEX=0"}</definedName>
    <definedName name="_4487__FDSAUDITLINK__" hidden="1">{"fdsup://directions/FAT Viewer?action=UPDATE&amp;creator=factset&amp;DYN_ARGS=TRUE&amp;DOC_NAME=FAT:FQL_AUDITING_CLIENT_TEMPLATE.FAT&amp;display_string=Audit&amp;VAR:KEY=BWJQJSRKZK&amp;VAR:QUERY=RkZfU0FMRVMoQ0FMLDQwMTc4LCwsLCk=&amp;WINDOW=FIRST_POPUP&amp;HEIGHT=450&amp;WIDTH=450&amp;START_MAXIMI","ZED=FALSE&amp;VAR:CALENDAR=US&amp;VAR:SYMBOL=474184&amp;VAR:INDEX=0"}</definedName>
    <definedName name="_4488__FDSAUDITLINK__" hidden="1">{"fdsup://directions/FAT Viewer?action=UPDATE&amp;creator=factset&amp;DYN_ARGS=TRUE&amp;DOC_NAME=FAT:FQL_AUDITING_CLIENT_TEMPLATE.FAT&amp;display_string=Audit&amp;VAR:KEY=FOZCTETIXS&amp;VAR:QUERY=RkZfU0FMRVMoQ0FMLDQwNTQzLCwsLFVTRCk=&amp;WINDOW=FIRST_POPUP&amp;HEIGHT=450&amp;WIDTH=450&amp;START_MA","XIMIZED=FALSE&amp;VAR:CALENDAR=US&amp;VAR:SYMBOL=B0J7D9&amp;VAR:INDEX=0"}</definedName>
    <definedName name="_4489__FDSAUDITLINK__" hidden="1">{"fdsup://directions/FAT Viewer?action=UPDATE&amp;creator=factset&amp;DYN_ARGS=TRUE&amp;DOC_NAME=FAT:FQL_AUDITING_CLIENT_TEMPLATE.FAT&amp;display_string=Audit&amp;VAR:KEY=ROPONUVCBK&amp;VAR:QUERY=RkZfU0FMRVMoQ0FMLDQwNTQzLCwsLCk=&amp;WINDOW=FIRST_POPUP&amp;HEIGHT=450&amp;WIDTH=450&amp;START_MAXIMI","ZED=FALSE&amp;VAR:CALENDAR=US&amp;VAR:SYMBOL=B0J7D9&amp;VAR:INDEX=0"}</definedName>
    <definedName name="_449__FDSAUDITLINK__" hidden="1">{"fdsup://directions/FAT%20Viewer?VAR:TM=NTMA&amp;VAR:PCT=0.816438&amp;VAR:Y0=2002&amp;VAR:Y1=2003&amp;VAR:V0=22.319853&amp;VAR:V1=18.602535&amp;VAR:V=21.530110&amp;VAR:AUDIT_ID=00000117&amp;VAR:DATE=20020308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Aggregates&amp;VAR:MEASURE=PE_MEAN&amp;VAR:CALC_MODE=PORTFOLIO&amp;VAR:CHGPERIOD=NA&amp;VAR:FQLFORMULA=FMA_PE&amp;VAR:CURRENCY=USD&amp;VAR:P=1","164.306200&amp;VAR:THRESH=||||||&amp;VAR:null=.html"}</definedName>
    <definedName name="_4490__FDSAUDITLINK__" hidden="1">{"fdsup://directions/FAT Viewer?action=UPDATE&amp;creator=factset&amp;DYN_ARGS=TRUE&amp;DOC_NAME=FAT:FQL_AUDITING_CLIENT_TEMPLATE.FAT&amp;display_string=Audit&amp;VAR:KEY=VIFIZWXYVO&amp;VAR:QUERY=RkZfU0FMRVMoQ0FMLDQwMTc4LCwsLCk=&amp;WINDOW=FIRST_POPUP&amp;HEIGHT=450&amp;WIDTH=450&amp;START_MAXIMI","ZED=FALSE&amp;VAR:CALENDAR=US&amp;VAR:SYMBOL=B0J7D9&amp;VAR:INDEX=0"}</definedName>
    <definedName name="_4491__FDSAUDITLINK__" hidden="1">{"fdsup://directions/FAT Viewer?action=UPDATE&amp;creator=factset&amp;DYN_ARGS=TRUE&amp;DOC_NAME=FAT:FQL_AUDITING_CLIENT_TEMPLATE.FAT&amp;display_string=Audit&amp;VAR:KEY=TYZOXMTCDS&amp;VAR:QUERY=RkZfU0FMRVMoQ0FMLDM5ODEzLCwsLCk=&amp;WINDOW=FIRST_POPUP&amp;HEIGHT=450&amp;WIDTH=450&amp;START_MAXIMI","ZED=FALSE&amp;VAR:CALENDAR=US&amp;VAR:SYMBOL=B0J7D9&amp;VAR:INDEX=0"}</definedName>
    <definedName name="_4492__FDSAUDITLINK__" hidden="1">{"fdsup://directions/FAT Viewer?action=UPDATE&amp;creator=factset&amp;DYN_ARGS=TRUE&amp;DOC_NAME=FAT:FQL_AUDITING_CLIENT_TEMPLATE.FAT&amp;display_string=Audit&amp;VAR:KEY=XWNMHODIRY&amp;VAR:QUERY=RkZfU0FMRVMoQ0FMLDQwNTQzLCwsLFVTRCk=&amp;WINDOW=FIRST_POPUP&amp;HEIGHT=450&amp;WIDTH=450&amp;START_MA","XIMIZED=FALSE&amp;VAR:CALENDAR=US&amp;VAR:SYMBOL=AMGN&amp;VAR:INDEX=0"}</definedName>
    <definedName name="_4493__FDSAUDITLINK__" hidden="1">{"fdsup://directions/FAT Viewer?action=UPDATE&amp;creator=factset&amp;DYN_ARGS=TRUE&amp;DOC_NAME=FAT:FQL_AUDITING_CLIENT_TEMPLATE.FAT&amp;display_string=Audit&amp;VAR:KEY=NIXKXSZYJO&amp;VAR:QUERY=RkZfU0FMRVMoQ0FMLDQwNTQzLCwsLCk=&amp;WINDOW=FIRST_POPUP&amp;HEIGHT=450&amp;WIDTH=450&amp;START_MAXIMI","ZED=FALSE&amp;VAR:CALENDAR=US&amp;VAR:SYMBOL=AMGN&amp;VAR:INDEX=0"}</definedName>
    <definedName name="_4494__FDSAUDITLINK__" hidden="1">{"fdsup://directions/FAT Viewer?action=UPDATE&amp;creator=factset&amp;DYN_ARGS=TRUE&amp;DOC_NAME=FAT:FQL_AUDITING_CLIENT_TEMPLATE.FAT&amp;display_string=Audit&amp;VAR:KEY=PSHENMBWRU&amp;VAR:QUERY=RkZfU0FMRVMoQ0FMLDQwMTc4LCwsLCk=&amp;WINDOW=FIRST_POPUP&amp;HEIGHT=450&amp;WIDTH=450&amp;START_MAXIMI","ZED=FALSE&amp;VAR:CALENDAR=US&amp;VAR:SYMBOL=AMGN&amp;VAR:INDEX=0"}</definedName>
    <definedName name="_4495__FDSAUDITLINK__" hidden="1">{"fdsup://directions/FAT Viewer?action=UPDATE&amp;creator=factset&amp;DYN_ARGS=TRUE&amp;DOC_NAME=FAT:FQL_AUDITING_CLIENT_TEMPLATE.FAT&amp;display_string=Audit&amp;VAR:KEY=HAHEZKBKHG&amp;VAR:QUERY=RkZfU0FMRVMoQ0FMLDM5ODEzLCwsLCk=&amp;WINDOW=FIRST_POPUP&amp;HEIGHT=450&amp;WIDTH=450&amp;START_MAXIMI","ZED=FALSE&amp;VAR:CALENDAR=US&amp;VAR:SYMBOL=AMGN&amp;VAR:INDEX=0"}</definedName>
    <definedName name="_4496__FDSAUDITLINK__" hidden="1">{"fdsup://directions/FAT Viewer?action=UPDATE&amp;creator=factset&amp;DYN_ARGS=TRUE&amp;DOC_NAME=FAT:FQL_AUDITING_CLIENT_TEMPLATE.FAT&amp;display_string=Audit&amp;VAR:KEY=PWBYBYZGVC&amp;VAR:QUERY=RkZfU0FMRVMoQ0FMLDQwNTQzLCwsLFVTRCk=&amp;WINDOW=FIRST_POPUP&amp;HEIGHT=450&amp;WIDTH=450&amp;START_MA","XIMIZED=FALSE&amp;VAR:CALENDAR=US&amp;VAR:SYMBOL=ABT&amp;VAR:INDEX=0"}</definedName>
    <definedName name="_4497__FDSAUDITLINK__" hidden="1">{"fdsup://directions/FAT Viewer?action=UPDATE&amp;creator=factset&amp;DYN_ARGS=TRUE&amp;DOC_NAME=FAT:FQL_AUDITING_CLIENT_TEMPLATE.FAT&amp;display_string=Audit&amp;VAR:KEY=LULCDIVYJK&amp;VAR:QUERY=RkZfU0FMRVMoQ0FMLDQwNTQzLCwsLCk=&amp;WINDOW=FIRST_POPUP&amp;HEIGHT=450&amp;WIDTH=450&amp;START_MAXIMI","ZED=FALSE&amp;VAR:CALENDAR=US&amp;VAR:SYMBOL=ABT&amp;VAR:INDEX=0"}</definedName>
    <definedName name="_4498__FDSAUDITLINK__" hidden="1">{"fdsup://directions/FAT Viewer?action=UPDATE&amp;creator=factset&amp;DYN_ARGS=TRUE&amp;DOC_NAME=FAT:FQL_AUDITING_CLIENT_TEMPLATE.FAT&amp;display_string=Audit&amp;VAR:KEY=XIHAFGFYLU&amp;VAR:QUERY=RkZfU0FMRVMoQ0FMLDQwMTc4LCwsLCk=&amp;WINDOW=FIRST_POPUP&amp;HEIGHT=450&amp;WIDTH=450&amp;START_MAXIMI","ZED=FALSE&amp;VAR:CALENDAR=US&amp;VAR:SYMBOL=ABT&amp;VAR:INDEX=0"}</definedName>
    <definedName name="_4499__FDSAUDITLINK__" hidden="1">{"fdsup://directions/FAT Viewer?action=UPDATE&amp;creator=factset&amp;DYN_ARGS=TRUE&amp;DOC_NAME=FAT:FQL_AUDITING_CLIENT_TEMPLATE.FAT&amp;display_string=Audit&amp;VAR:KEY=FAFWNGJOZC&amp;VAR:QUERY=RkZfU0FMRVMoQ0FMLDM5ODEzLCwsLCk=&amp;WINDOW=FIRST_POPUP&amp;HEIGHT=450&amp;WIDTH=450&amp;START_MAXIMI","ZED=FALSE&amp;VAR:CALENDAR=US&amp;VAR:SYMBOL=ABT&amp;VAR:INDEX=0"}</definedName>
    <definedName name="_45__FDSAUDITLINK__" hidden="1">{"fdsup://directions/FAT%20Viewer?VAR:TM=NTMA&amp;VAR:PCT=0.073973&amp;VAR:Y0=2009&amp;VAR:Y1=2010&amp;VAR:V0=17.710190&amp;VAR:V1=14.154676&amp;VAR:V=14.368053&amp;VAR:AUDIT_ID=00000117&amp;VAR:DATE=20091204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Aggregates&amp;VAR:MEASURE=PE_MEAN&amp;VAR:CALC_MODE=PORTFOLIO&amp;VAR:CHGPERIOD=NA&amp;VAR:FQLFORMULA=FMA_PE&amp;VAR:CURRENCY=USD&amp;VAR:P=1","105.975543&amp;VAR:THRESH=||||||&amp;VAR:null=.html"}</definedName>
    <definedName name="_450__FDSAUDITLINK__" hidden="1">{"fdsup://directions/FAT%20Viewer?VAR:TM=NTMA&amp;VAR:PCT=0.835616&amp;VAR:Y0=2002&amp;VAR:Y1=2003&amp;VAR:V0=21.630577&amp;VAR:V1=18.065990&amp;VAR:V=20.951043&amp;VAR:AUDIT_ID=00000117&amp;VAR:DATE=20020301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Aggregates&amp;VAR:MEASURE=PE_MEAN&amp;VAR:CALC_MODE=PORTFOLIO&amp;VAR:CHGPERIOD=NA&amp;VAR:FQLFORMULA=FMA_PE&amp;VAR:CURRENCY=USD&amp;VAR:P=1","131.783000&amp;VAR:THRESH=||||||&amp;VAR:null=.html"}</definedName>
    <definedName name="_4500__FDSAUDITLINK__" hidden="1">{"fdsup://directions/FAT Viewer?action=UPDATE&amp;creator=factset&amp;DYN_ARGS=TRUE&amp;DOC_NAME=FAT:FQL_AUDITING_CLIENT_TEMPLATE.FAT&amp;display_string=Audit&amp;VAR:KEY=HMVWDILITS&amp;VAR:QUERY=RkZfU0FMRVMoQ0FMLDQwNTQzLCwsLFVTRCk=&amp;WINDOW=FIRST_POPUP&amp;HEIGHT=450&amp;WIDTH=450&amp;START_MA","XIMIZED=FALSE&amp;VAR:CALENDAR=US&amp;VAR:SYMBOL=687044&amp;VAR:INDEX=0"}</definedName>
    <definedName name="_4501__FDSAUDITLINK__" hidden="1">{"fdsup://directions/FAT Viewer?action=UPDATE&amp;creator=factset&amp;DYN_ARGS=TRUE&amp;DOC_NAME=FAT:FQL_AUDITING_CLIENT_TEMPLATE.FAT&amp;display_string=Audit&amp;VAR:KEY=FGVODQPWLQ&amp;VAR:QUERY=RkZfU0FMRVMoQ0FMLDQwNTQzLCwsLCk=&amp;WINDOW=FIRST_POPUP&amp;HEIGHT=450&amp;WIDTH=450&amp;START_MAXIMI","ZED=FALSE&amp;VAR:CALENDAR=US&amp;VAR:SYMBOL=687044&amp;VAR:INDEX=0"}</definedName>
    <definedName name="_4502__FDSAUDITLINK__" hidden="1">{"fdsup://directions/FAT Viewer?action=UPDATE&amp;creator=factset&amp;DYN_ARGS=TRUE&amp;DOC_NAME=FAT:FQL_AUDITING_CLIENT_TEMPLATE.FAT&amp;display_string=Audit&amp;VAR:KEY=NGJYDUXCVO&amp;VAR:QUERY=RkZfU0FMRVMoQ0FMLDQwMTc4LCwsLCk=&amp;WINDOW=FIRST_POPUP&amp;HEIGHT=450&amp;WIDTH=450&amp;START_MAXIMI","ZED=FALSE&amp;VAR:CALENDAR=US&amp;VAR:SYMBOL=687044&amp;VAR:INDEX=0"}</definedName>
    <definedName name="_4503__FDSAUDITLINK__" hidden="1">{"fdsup://directions/FAT Viewer?action=UPDATE&amp;creator=factset&amp;DYN_ARGS=TRUE&amp;DOC_NAME=FAT:FQL_AUDITING_CLIENT_TEMPLATE.FAT&amp;display_string=Audit&amp;VAR:KEY=NWVWHILSTA&amp;VAR:QUERY=RkZfU0FMRVMoQ0FMLDM5ODEzLCwsLCk=&amp;WINDOW=FIRST_POPUP&amp;HEIGHT=450&amp;WIDTH=450&amp;START_MAXIMI","ZED=FALSE&amp;VAR:CALENDAR=US&amp;VAR:SYMBOL=687044&amp;VAR:INDEX=0"}</definedName>
    <definedName name="_4504__FDSAUDITLINK__" hidden="1">{"fdsup://directions/FAT Viewer?action=UPDATE&amp;creator=factset&amp;DYN_ARGS=TRUE&amp;DOC_NAME=FAT:FQL_AUDITING_CLIENT_TEMPLATE.FAT&amp;display_string=Audit&amp;VAR:KEY=DARUTYDUXC&amp;VAR:QUERY=RkZfU0FMRVMoQ0FMLDQwNTQzLCwsLFVTRCk=&amp;WINDOW=FIRST_POPUP&amp;HEIGHT=450&amp;WIDTH=450&amp;START_MA","XIMIZED=FALSE&amp;VAR:CALENDAR=US&amp;VAR:SYMBOL=BMY&amp;VAR:INDEX=0"}</definedName>
    <definedName name="_4505__FDSAUDITLINK__" hidden="1">{"fdsup://directions/FAT Viewer?action=UPDATE&amp;creator=factset&amp;DYN_ARGS=TRUE&amp;DOC_NAME=FAT:FQL_AUDITING_CLIENT_TEMPLATE.FAT&amp;display_string=Audit&amp;VAR:KEY=NMJKXQRIPK&amp;VAR:QUERY=RkZfU0FMRVMoQ0FMLDQwNTQzLCwsLCk=&amp;WINDOW=FIRST_POPUP&amp;HEIGHT=450&amp;WIDTH=450&amp;START_MAXIMI","ZED=FALSE&amp;VAR:CALENDAR=US&amp;VAR:SYMBOL=BMY&amp;VAR:INDEX=0"}</definedName>
    <definedName name="_4506__FDSAUDITLINK__" hidden="1">{"fdsup://directions/FAT Viewer?action=UPDATE&amp;creator=factset&amp;DYN_ARGS=TRUE&amp;DOC_NAME=FAT:FQL_AUDITING_CLIENT_TEMPLATE.FAT&amp;display_string=Audit&amp;VAR:KEY=BUJIHQJYLA&amp;VAR:QUERY=RkZfU0FMRVMoQ0FMLDQwMTc4LCwsLCk=&amp;WINDOW=FIRST_POPUP&amp;HEIGHT=450&amp;WIDTH=450&amp;START_MAXIMI","ZED=FALSE&amp;VAR:CALENDAR=US&amp;VAR:SYMBOL=BMY&amp;VAR:INDEX=0"}</definedName>
    <definedName name="_4507__FDSAUDITLINK__" hidden="1">{"fdsup://directions/FAT Viewer?action=UPDATE&amp;creator=factset&amp;DYN_ARGS=TRUE&amp;DOC_NAME=FAT:FQL_AUDITING_CLIENT_TEMPLATE.FAT&amp;display_string=Audit&amp;VAR:KEY=JIDAXAJARK&amp;VAR:QUERY=RkZfU0FMRVMoQ0FMLDM5ODEzLCwsLCk=&amp;WINDOW=FIRST_POPUP&amp;HEIGHT=450&amp;WIDTH=450&amp;START_MAXIMI","ZED=FALSE&amp;VAR:CALENDAR=US&amp;VAR:SYMBOL=BMY&amp;VAR:INDEX=0"}</definedName>
    <definedName name="_4508__FDSAUDITLINK__" hidden="1">{"fdsup://directions/FAT Viewer?action=UPDATE&amp;creator=factset&amp;DYN_ARGS=TRUE&amp;DOC_NAME=FAT:FQL_AUDITING_CLIENT_TEMPLATE.FAT&amp;display_string=Audit&amp;VAR:KEY=POPKTAPQJQ&amp;VAR:QUERY=RkZfU0FMRVMoQ0FMLDQwNTQzLCwsLFVTRCk=&amp;WINDOW=FIRST_POPUP&amp;HEIGHT=450&amp;WIDTH=450&amp;START_MA","XIMIZED=FALSE&amp;VAR:CALENDAR=US&amp;VAR:SYMBOL=LLY&amp;VAR:INDEX=0"}</definedName>
    <definedName name="_4509__FDSAUDITLINK__" hidden="1">{"fdsup://directions/FAT Viewer?action=UPDATE&amp;creator=factset&amp;DYN_ARGS=TRUE&amp;DOC_NAME=FAT:FQL_AUDITING_CLIENT_TEMPLATE.FAT&amp;display_string=Audit&amp;VAR:KEY=HGVUFQHQXY&amp;VAR:QUERY=RkZfU0FMRVMoQ0FMLDQwNTQzLCwsLCk=&amp;WINDOW=FIRST_POPUP&amp;HEIGHT=450&amp;WIDTH=450&amp;START_MAXIMI","ZED=FALSE&amp;VAR:CALENDAR=US&amp;VAR:SYMBOL=LLY&amp;VAR:INDEX=0"}</definedName>
    <definedName name="_451__FDSAUDITLINK__" hidden="1">{"fdsup://directions/FAT%20Viewer?VAR:TM=NTMA&amp;VAR:PCT=0.854795&amp;VAR:Y0=2002&amp;VAR:Y1=2003&amp;VAR:V0=20.850304&amp;VAR:V1=17.472092&amp;VAR:V=20.280911&amp;VAR:AUDIT_ID=00000117&amp;VAR:DATE=20020222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Aggregates&amp;VAR:MEASURE=PE_MEAN&amp;VAR:CALC_MODE=PORTFOLIO&amp;VAR:CHGPERIOD=NA&amp;VAR:FQLFORMULA=FMA_PE&amp;VAR:CURRENCY=USD&amp;VAR:P=1","089.837900&amp;VAR:THRESH=||||||&amp;VAR:null=.html"}</definedName>
    <definedName name="_4510__FDSAUDITLINK__" hidden="1">{"fdsup://directions/FAT Viewer?action=UPDATE&amp;creator=factset&amp;DYN_ARGS=TRUE&amp;DOC_NAME=FAT:FQL_AUDITING_CLIENT_TEMPLATE.FAT&amp;display_string=Audit&amp;VAR:KEY=BENYXWZQPA&amp;VAR:QUERY=RkZfU0FMRVMoQ0FMLDQwMTc4LCwsLCk=&amp;WINDOW=FIRST_POPUP&amp;HEIGHT=450&amp;WIDTH=450&amp;START_MAXIMI","ZED=FALSE&amp;VAR:CALENDAR=US&amp;VAR:SYMBOL=LLY&amp;VAR:INDEX=0"}</definedName>
    <definedName name="_4511__FDSAUDITLINK__" hidden="1">{"fdsup://directions/FAT Viewer?action=UPDATE&amp;creator=factset&amp;DYN_ARGS=TRUE&amp;DOC_NAME=FAT:FQL_AUDITING_CLIENT_TEMPLATE.FAT&amp;display_string=Audit&amp;VAR:KEY=TCDILENEJI&amp;VAR:QUERY=RkZfU0FMRVMoQ0FMLDM5ODEzLCwsLCk=&amp;WINDOW=FIRST_POPUP&amp;HEIGHT=450&amp;WIDTH=450&amp;START_MAXIMI","ZED=FALSE&amp;VAR:CALENDAR=US&amp;VAR:SYMBOL=LLY&amp;VAR:INDEX=0"}</definedName>
    <definedName name="_4512__FDSAUDITLINK__" hidden="1">{"fdsup://directions/FAT Viewer?action=UPDATE&amp;creator=factset&amp;DYN_ARGS=TRUE&amp;DOC_NAME=FAT:FQL_AUDITING_CLIENT_TEMPLATE.FAT&amp;display_string=Audit&amp;VAR:KEY=XOJCXURYNY&amp;VAR:QUERY=RkZfU0FMRVMoQ0FMLDQwNTQzLCwsLFVTRCk=&amp;WINDOW=FIRST_POPUP&amp;HEIGHT=450&amp;WIDTH=450&amp;START_MA","XIMIZED=FALSE&amp;VAR:CALENDAR=US&amp;VAR:SYMBOL=506921&amp;VAR:INDEX=0"}</definedName>
    <definedName name="_4513__FDSAUDITLINK__" hidden="1">{"fdsup://directions/FAT Viewer?action=UPDATE&amp;creator=factset&amp;DYN_ARGS=TRUE&amp;DOC_NAME=FAT:FQL_AUDITING_CLIENT_TEMPLATE.FAT&amp;display_string=Audit&amp;VAR:KEY=TYREZSHMJS&amp;VAR:QUERY=RkZfU0FMRVMoQ0FMLDQwNTQzLCwsLCk=&amp;WINDOW=FIRST_POPUP&amp;HEIGHT=450&amp;WIDTH=450&amp;START_MAXIMI","ZED=FALSE&amp;VAR:CALENDAR=US&amp;VAR:SYMBOL=506921&amp;VAR:INDEX=0"}</definedName>
    <definedName name="_4514__FDSAUDITLINK__" hidden="1">{"fdsup://directions/FAT Viewer?action=UPDATE&amp;creator=factset&amp;DYN_ARGS=TRUE&amp;DOC_NAME=FAT:FQL_AUDITING_CLIENT_TEMPLATE.FAT&amp;display_string=Audit&amp;VAR:KEY=VUTOPCHQXG&amp;VAR:QUERY=RkZfU0FMRVMoQ0FMLDQwMTc4LCwsLCk=&amp;WINDOW=FIRST_POPUP&amp;HEIGHT=450&amp;WIDTH=450&amp;START_MAXIMI","ZED=FALSE&amp;VAR:CALENDAR=US&amp;VAR:SYMBOL=506921&amp;VAR:INDEX=0"}</definedName>
    <definedName name="_4515__FDSAUDITLINK__" hidden="1">{"fdsup://directions/FAT Viewer?action=UPDATE&amp;creator=factset&amp;DYN_ARGS=TRUE&amp;DOC_NAME=FAT:FQL_AUDITING_CLIENT_TEMPLATE.FAT&amp;display_string=Audit&amp;VAR:KEY=DSVIFSTIRS&amp;VAR:QUERY=RkZfU0FMRVMoQ0FMLDM5ODEzLCwsLCk=&amp;WINDOW=FIRST_POPUP&amp;HEIGHT=450&amp;WIDTH=450&amp;START_MAXIMI","ZED=FALSE&amp;VAR:CALENDAR=US&amp;VAR:SYMBOL=506921&amp;VAR:INDEX=0"}</definedName>
    <definedName name="_4516__FDSAUDITLINK__" hidden="1">{"fdsup://directions/FAT Viewer?action=UPDATE&amp;creator=factset&amp;DYN_ARGS=TRUE&amp;DOC_NAME=FAT:FQL_AUDITING_CLIENT_TEMPLATE.FAT&amp;display_string=Audit&amp;VAR:KEY=VSPKTEVIFI&amp;VAR:QUERY=RkZfU0FMRVMoQ0FMLDQwNTQzLCwsLFVTRCk=&amp;WINDOW=FIRST_POPUP&amp;HEIGHT=450&amp;WIDTH=450&amp;START_MA","XIMIZED=FALSE&amp;VAR:CALENDAR=US&amp;VAR:SYMBOL=567173&amp;VAR:INDEX=0"}</definedName>
    <definedName name="_4517__FDSAUDITLINK__" hidden="1">{"fdsup://directions/FAT Viewer?action=UPDATE&amp;creator=factset&amp;DYN_ARGS=TRUE&amp;DOC_NAME=FAT:FQL_AUDITING_CLIENT_TEMPLATE.FAT&amp;display_string=Audit&amp;VAR:KEY=NKROBUBURI&amp;VAR:QUERY=RkZfU0FMRVMoQ0FMLDQwNTQzLCwsLCk=&amp;WINDOW=FIRST_POPUP&amp;HEIGHT=450&amp;WIDTH=450&amp;START_MAXIMI","ZED=FALSE&amp;VAR:CALENDAR=US&amp;VAR:SYMBOL=567173&amp;VAR:INDEX=0"}</definedName>
    <definedName name="_4518__FDSAUDITLINK__" hidden="1">{"fdsup://directions/FAT Viewer?action=UPDATE&amp;creator=factset&amp;DYN_ARGS=TRUE&amp;DOC_NAME=FAT:FQL_AUDITING_CLIENT_TEMPLATE.FAT&amp;display_string=Audit&amp;VAR:KEY=FUZMZEJUJU&amp;VAR:QUERY=RkZfU0FMRVMoQ0FMLDQwMTc4LCwsLCk=&amp;WINDOW=FIRST_POPUP&amp;HEIGHT=450&amp;WIDTH=450&amp;START_MAXIMI","ZED=FALSE&amp;VAR:CALENDAR=US&amp;VAR:SYMBOL=567173&amp;VAR:INDEX=0"}</definedName>
    <definedName name="_4519__FDSAUDITLINK__" hidden="1">{"fdsup://directions/FAT Viewer?action=UPDATE&amp;creator=factset&amp;DYN_ARGS=TRUE&amp;DOC_NAME=FAT:FQL_AUDITING_CLIENT_TEMPLATE.FAT&amp;display_string=Audit&amp;VAR:KEY=DQJIRINKTK&amp;VAR:QUERY=RkZfU0FMRVMoQ0FMLDM5ODEzLCwsLCk=&amp;WINDOW=FIRST_POPUP&amp;HEIGHT=450&amp;WIDTH=450&amp;START_MAXIMI","ZED=FALSE&amp;VAR:CALENDAR=US&amp;VAR:SYMBOL=567173&amp;VAR:INDEX=0"}</definedName>
    <definedName name="_452__FDSAUDITLINK__" hidden="1">{"fdsup://directions/FAT%20Viewer?VAR:TM=NTMA&amp;VAR:PCT=0.873973&amp;VAR:Y0=2002&amp;VAR:Y1=2003&amp;VAR:V0=21.091806&amp;VAR:V1=17.608257&amp;VAR:V=20.578721&amp;VAR:AUDIT_ID=00000117&amp;VAR:DATE=20020215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Aggregates&amp;VAR:MEASURE=PE_MEAN&amp;VAR:CALC_MODE=PORTFOLIO&amp;VAR:CHGPERIOD=NA&amp;VAR:FQLFORMULA=FMA_PE&amp;VAR:CURRENCY=USD&amp;VAR:P=1","104.184300&amp;VAR:THRESH=||||||&amp;VAR:null=.html"}</definedName>
    <definedName name="_4520__FDSAUDITLINK__" hidden="1">{"fdsup://directions/FAT Viewer?action=UPDATE&amp;creator=factset&amp;DYN_ARGS=TRUE&amp;DOC_NAME=FAT:FQL_AUDITING_CLIENT_TEMPLATE.FAT&amp;display_string=Audit&amp;VAR:KEY=BCLQRKPMJI&amp;VAR:QUERY=RkZfU0FMRVMoQ0FMLDQwNTQzLCwsLFVTRCk=&amp;WINDOW=FIRST_POPUP&amp;HEIGHT=450&amp;WIDTH=450&amp;START_MA","XIMIZED=FALSE&amp;VAR:CALENDAR=US&amp;VAR:SYMBOL=JNJ&amp;VAR:INDEX=0"}</definedName>
    <definedName name="_4521__FDSAUDITLINK__" hidden="1">{"fdsup://directions/FAT Viewer?action=UPDATE&amp;creator=factset&amp;DYN_ARGS=TRUE&amp;DOC_NAME=FAT:FQL_AUDITING_CLIENT_TEMPLATE.FAT&amp;display_string=Audit&amp;VAR:KEY=XEFEFEVSXG&amp;VAR:QUERY=RkZfU0FMRVMoQ0FMLDQwNTQzLCwsLCk=&amp;WINDOW=FIRST_POPUP&amp;HEIGHT=450&amp;WIDTH=450&amp;START_MAXIMI","ZED=FALSE&amp;VAR:CALENDAR=US&amp;VAR:SYMBOL=JNJ&amp;VAR:INDEX=0"}</definedName>
    <definedName name="_4522__FDSAUDITLINK__" hidden="1">{"fdsup://directions/FAT Viewer?action=UPDATE&amp;creator=factset&amp;DYN_ARGS=TRUE&amp;DOC_NAME=FAT:FQL_AUDITING_CLIENT_TEMPLATE.FAT&amp;display_string=Audit&amp;VAR:KEY=LULOTKLGHM&amp;VAR:QUERY=RkZfU0FMRVMoQ0FMLDQwMTc4LCwsLCk=&amp;WINDOW=FIRST_POPUP&amp;HEIGHT=450&amp;WIDTH=450&amp;START_MAXIMI","ZED=FALSE&amp;VAR:CALENDAR=US&amp;VAR:SYMBOL=JNJ&amp;VAR:INDEX=0"}</definedName>
    <definedName name="_4523__FDSAUDITLINK__" hidden="1">{"fdsup://directions/FAT Viewer?action=UPDATE&amp;creator=factset&amp;DYN_ARGS=TRUE&amp;DOC_NAME=FAT:FQL_AUDITING_CLIENT_TEMPLATE.FAT&amp;display_string=Audit&amp;VAR:KEY=TARITKLKZA&amp;VAR:QUERY=RkZfU0FMRVMoQ0FMLDM5ODEzLCwsLCk=&amp;WINDOW=FIRST_POPUP&amp;HEIGHT=450&amp;WIDTH=450&amp;START_MAXIMI","ZED=FALSE&amp;VAR:CALENDAR=US&amp;VAR:SYMBOL=JNJ&amp;VAR:INDEX=0"}</definedName>
    <definedName name="_4524__FDSAUDITLINK__" hidden="1">{"fdsup://directions/FAT Viewer?action=UPDATE&amp;creator=factset&amp;DYN_ARGS=TRUE&amp;DOC_NAME=FAT:FQL_AUDITING_CLIENT_TEMPLATE.FAT&amp;display_string=Audit&amp;VAR:KEY=VIFKZADUDQ&amp;VAR:QUERY=RkZfU0FMRVMoQ0FMLDQwNTQzLCwsLFVTRCk=&amp;WINDOW=FIRST_POPUP&amp;HEIGHT=450&amp;WIDTH=450&amp;START_MA","XIMIZED=FALSE&amp;VAR:CALENDAR=US&amp;VAR:SYMBOL=710306&amp;VAR:INDEX=0"}</definedName>
    <definedName name="_4525__FDSAUDITLINK__" hidden="1">{"fdsup://directions/FAT Viewer?action=UPDATE&amp;creator=factset&amp;DYN_ARGS=TRUE&amp;DOC_NAME=FAT:FQL_AUDITING_CLIENT_TEMPLATE.FAT&amp;display_string=Audit&amp;VAR:KEY=JUHUDIVEVG&amp;VAR:QUERY=RkZfU0FMRVMoQ0FMLDQwNTQzLCwsLCk=&amp;WINDOW=FIRST_POPUP&amp;HEIGHT=450&amp;WIDTH=450&amp;START_MAXIMI","ZED=FALSE&amp;VAR:CALENDAR=US&amp;VAR:SYMBOL=710306&amp;VAR:INDEX=0"}</definedName>
    <definedName name="_4526__FDSAUDITLINK__" hidden="1">{"fdsup://directions/FAT Viewer?action=UPDATE&amp;creator=factset&amp;DYN_ARGS=TRUE&amp;DOC_NAME=FAT:FQL_AUDITING_CLIENT_TEMPLATE.FAT&amp;display_string=Audit&amp;VAR:KEY=DOFYDCPMFC&amp;VAR:QUERY=RkZfU0FMRVMoQ0FMLDQwMTc4LCwsLCk=&amp;WINDOW=FIRST_POPUP&amp;HEIGHT=450&amp;WIDTH=450&amp;START_MAXIMI","ZED=FALSE&amp;VAR:CALENDAR=US&amp;VAR:SYMBOL=710306&amp;VAR:INDEX=0"}</definedName>
    <definedName name="_4527__FDSAUDITLINK__" hidden="1">{"fdsup://directions/FAT Viewer?action=UPDATE&amp;creator=factset&amp;DYN_ARGS=TRUE&amp;DOC_NAME=FAT:FQL_AUDITING_CLIENT_TEMPLATE.FAT&amp;display_string=Audit&amp;VAR:KEY=FEDEFEXKTO&amp;VAR:QUERY=RkZfU0FMRVMoQ0FMLDM5ODEzLCwsLCk=&amp;WINDOW=FIRST_POPUP&amp;HEIGHT=450&amp;WIDTH=450&amp;START_MAXIMI","ZED=FALSE&amp;VAR:CALENDAR=US&amp;VAR:SYMBOL=710306&amp;VAR:INDEX=0"}</definedName>
    <definedName name="_4528__FDSAUDITLINK__" hidden="1">{"fdsup://directions/FAT Viewer?action=UPDATE&amp;creator=factset&amp;DYN_ARGS=TRUE&amp;DOC_NAME=FAT:FQL_AUDITING_CLIENT_TEMPLATE.FAT&amp;display_string=Audit&amp;VAR:KEY=LUZWFQNOTG&amp;VAR:QUERY=RkZfU0FMRVMoQ0FMLDQwNTQzLCwsLFVTRCk=&amp;WINDOW=FIRST_POPUP&amp;HEIGHT=450&amp;WIDTH=450&amp;START_MA","XIMIZED=FALSE&amp;VAR:CALENDAR=US&amp;VAR:SYMBOL=711038&amp;VAR:INDEX=0"}</definedName>
    <definedName name="_4529__FDSAUDITLINK__" hidden="1">{"fdsup://directions/FAT Viewer?action=UPDATE&amp;creator=factset&amp;DYN_ARGS=TRUE&amp;DOC_NAME=FAT:FQL_AUDITING_CLIENT_TEMPLATE.FAT&amp;display_string=Audit&amp;VAR:KEY=HGBYRMPCTI&amp;VAR:QUERY=RkZfU0FMRVMoQ0FMLDQwNTQzLCwsLCk=&amp;WINDOW=FIRST_POPUP&amp;HEIGHT=450&amp;WIDTH=450&amp;START_MAXIMI","ZED=FALSE&amp;VAR:CALENDAR=US&amp;VAR:SYMBOL=711038&amp;VAR:INDEX=0"}</definedName>
    <definedName name="_453__FDSAUDITLINK__" hidden="1">{"fdsup://directions/FAT%20Viewer?VAR:TM=NTMA&amp;VAR:PCT=0.893151&amp;VAR:Y0=2002&amp;VAR:Y1=2003&amp;VAR:V0=20.948200&amp;VAR:V1=17.496916&amp;VAR:V=20.515806&amp;VAR:AUDIT_ID=00000117&amp;VAR:DATE=20020208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Aggregates&amp;VAR:MEASURE=PE_MEAN&amp;VAR:CALC_MODE=PORTFOLIO&amp;VAR:CHGPERIOD=NA&amp;VAR:FQLFORMULA=FMA_PE&amp;VAR:CURRENCY=USD&amp;VAR:P=1","096.224100&amp;VAR:THRESH=||||||&amp;VAR:null=.html"}</definedName>
    <definedName name="_4530__FDSAUDITLINK__" hidden="1">{"fdsup://directions/FAT Viewer?action=UPDATE&amp;creator=factset&amp;DYN_ARGS=TRUE&amp;DOC_NAME=FAT:FQL_AUDITING_CLIENT_TEMPLATE.FAT&amp;display_string=Audit&amp;VAR:KEY=DQVIXUTIHC&amp;VAR:QUERY=RkZfU0FMRVMoQ0FMLDQwMTc4LCwsLFVTRCk=&amp;WINDOW=FIRST_POPUP&amp;HEIGHT=450&amp;WIDTH=450&amp;START_MA","XIMIZED=FALSE&amp;VAR:CALENDAR=US&amp;VAR:SYMBOL=711038&amp;VAR:INDEX=0"}</definedName>
    <definedName name="_4531__FDSAUDITLINK__" hidden="1">{"fdsup://directions/FAT Viewer?action=UPDATE&amp;creator=factset&amp;DYN_ARGS=TRUE&amp;DOC_NAME=FAT:FQL_AUDITING_CLIENT_TEMPLATE.FAT&amp;display_string=Audit&amp;VAR:KEY=LANIXUPWJS&amp;VAR:QUERY=RkZfU0FMRVMoQ0FMLDM5ODEzLCwsLFVTRCk=&amp;WINDOW=FIRST_POPUP&amp;HEIGHT=450&amp;WIDTH=450&amp;START_MA","XIMIZED=FALSE&amp;VAR:CALENDAR=US&amp;VAR:SYMBOL=711038&amp;VAR:INDEX=0"}</definedName>
    <definedName name="_4532__FDSAUDITLINK__" hidden="1">{"fdsup://directions/FAT Viewer?action=UPDATE&amp;creator=factset&amp;DYN_ARGS=TRUE&amp;DOC_NAME=FAT:FQL_AUDITING_CLIENT_TEMPLATE.FAT&amp;display_string=Audit&amp;VAR:KEY=DMDIZURKRI&amp;VAR:QUERY=RkZfU0FMRVMoQ0FMLDQwNTQzLCwsLFVTRCk=&amp;WINDOW=FIRST_POPUP&amp;HEIGHT=450&amp;WIDTH=450&amp;START_MA","XIMIZED=FALSE&amp;VAR:CALENDAR=US&amp;VAR:SYMBOL=MRK&amp;VAR:INDEX=0"}</definedName>
    <definedName name="_4533__FDSAUDITLINK__" hidden="1">{"fdsup://directions/FAT Viewer?action=UPDATE&amp;creator=factset&amp;DYN_ARGS=TRUE&amp;DOC_NAME=FAT:FQL_AUDITING_CLIENT_TEMPLATE.FAT&amp;display_string=Audit&amp;VAR:KEY=RYVUVAXUDS&amp;VAR:QUERY=RkZfU0FMRVMoQ0FMLDQwNTQzLCwsLCk=&amp;WINDOW=FIRST_POPUP&amp;HEIGHT=450&amp;WIDTH=450&amp;START_MAXIMI","ZED=FALSE&amp;VAR:CALENDAR=US&amp;VAR:SYMBOL=MRK&amp;VAR:INDEX=0"}</definedName>
    <definedName name="_4534__FDSAUDITLINK__" hidden="1">{"fdsup://directions/FAT Viewer?action=UPDATE&amp;creator=factset&amp;DYN_ARGS=TRUE&amp;DOC_NAME=FAT:FQL_AUDITING_CLIENT_TEMPLATE.FAT&amp;display_string=Audit&amp;VAR:KEY=NITGVAHEXK&amp;VAR:QUERY=RkZfU0FMRVMoQ0FMLDQwMTc4LCwsLFVTRCk=&amp;WINDOW=FIRST_POPUP&amp;HEIGHT=450&amp;WIDTH=450&amp;START_MA","XIMIZED=FALSE&amp;VAR:CALENDAR=US&amp;VAR:SYMBOL=MRK&amp;VAR:INDEX=0"}</definedName>
    <definedName name="_4535__FDSAUDITLINK__" hidden="1">{"fdsup://directions/FAT Viewer?action=UPDATE&amp;creator=factset&amp;DYN_ARGS=TRUE&amp;DOC_NAME=FAT:FQL_AUDITING_CLIENT_TEMPLATE.FAT&amp;display_string=Audit&amp;VAR:KEY=PYDALOBCHY&amp;VAR:QUERY=RkZfU0FMRVMoQ0FMLDM5ODEzLCwsLFVTRCk=&amp;WINDOW=FIRST_POPUP&amp;HEIGHT=450&amp;WIDTH=450&amp;START_MA","XIMIZED=FALSE&amp;VAR:CALENDAR=US&amp;VAR:SYMBOL=MRK&amp;VAR:INDEX=0"}</definedName>
    <definedName name="_4536__FDSAUDITLINK__" hidden="1">{"fdsup://directions/FAT Viewer?action=UPDATE&amp;creator=factset&amp;DYN_ARGS=TRUE&amp;DOC_NAME=FAT:FQL_AUDITING_CLIENT_TEMPLATE.FAT&amp;display_string=Audit&amp;VAR:KEY=DIFWLOFKHK&amp;VAR:QUERY=RkZfU0FMRVMoQ0FMLDM5NDQ3LCwsLFVTRCk=&amp;WINDOW=FIRST_POPUP&amp;HEIGHT=450&amp;WIDTH=450&amp;START_MA","XIMIZED=FALSE&amp;VAR:CALENDAR=US&amp;VAR:SYMBOL=MRK&amp;VAR:INDEX=0"}</definedName>
    <definedName name="_4537__FDSAUDITLINK__" hidden="1">{"fdsup://directions/FAT Viewer?action=UPDATE&amp;creator=factset&amp;DYN_ARGS=TRUE&amp;DOC_NAME=FAT:FQL_AUDITING_CLIENT_TEMPLATE.FAT&amp;display_string=Audit&amp;VAR:KEY=HEPGNYVUHS&amp;VAR:QUERY=RkZfU0FMRVMoQ0FMLDM5MDgyLCwsLFVTRCk=&amp;WINDOW=FIRST_POPUP&amp;HEIGHT=450&amp;WIDTH=450&amp;START_MA","XIMIZED=FALSE&amp;VAR:CALENDAR=US&amp;VAR:SYMBOL=MRK&amp;VAR:INDEX=0"}</definedName>
    <definedName name="_4538__FDSAUDITLINK__" hidden="1">{"fdsup://directions/FAT Viewer?action=UPDATE&amp;creator=factset&amp;DYN_ARGS=TRUE&amp;DOC_NAME=FAT:FQL_AUDITING_CLIENT_TEMPLATE.FAT&amp;display_string=Audit&amp;VAR:KEY=LARWVSDIPK&amp;VAR:QUERY=RkZfU0FMRVMoQ0FMLDM4NzE3LCwsLFVTRCk=&amp;WINDOW=FIRST_POPUP&amp;HEIGHT=450&amp;WIDTH=450&amp;START_MA","XIMIZED=FALSE&amp;VAR:CALENDAR=US&amp;VAR:SYMBOL=MRK&amp;VAR:INDEX=0"}</definedName>
    <definedName name="_4539__FDSAUDITLINK__" hidden="1">{"fdsup://directions/FAT Viewer?action=UPDATE&amp;creator=factset&amp;DYN_ARGS=TRUE&amp;DOC_NAME=FAT:FQL_AUDITING_CLIENT_TEMPLATE.FAT&amp;display_string=Audit&amp;VAR:KEY=XINIZQTOTW&amp;VAR:QUERY=RkZfU0FMRVMoQ0FMLDM4MzUyLCwsLFVTRCk=&amp;WINDOW=FIRST_POPUP&amp;HEIGHT=450&amp;WIDTH=450&amp;START_MA","XIMIZED=FALSE&amp;VAR:CALENDAR=US&amp;VAR:SYMBOL=MRK&amp;VAR:INDEX=0"}</definedName>
    <definedName name="_454__FDSAUDITLINK__" hidden="1">{"fdsup://directions/FAT%20Viewer?VAR:TM=NTMA&amp;VAR:PCT=0.912329&amp;VAR:Y0=2002&amp;VAR:Y1=2003&amp;VAR:V0=21.387064&amp;VAR:V1=17.894356&amp;VAR:V=21.027244&amp;VAR:AUDIT_ID=00000117&amp;VAR:DATE=20020201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Aggregates&amp;VAR:MEASURE=PE_MEAN&amp;VAR:CALC_MODE=PORTFOLIO&amp;VAR:CHGPERIOD=NA&amp;VAR:FQLFORMULA=FMA_PE&amp;VAR:CURRENCY=USD&amp;VAR:P=1","122.195300&amp;VAR:THRESH=||||||&amp;VAR:null=.html"}</definedName>
    <definedName name="_4540__FDSAUDITLINK__" hidden="1">{"fdsup://directions/FAT Viewer?action=UPDATE&amp;creator=factset&amp;DYN_ARGS=TRUE&amp;DOC_NAME=FAT:FQL_AUDITING_CLIENT_TEMPLATE.FAT&amp;display_string=Audit&amp;VAR:KEY=HGVYHKXCNO&amp;VAR:QUERY=RkZfU0FMRVMoQ0FMLDQwNTQzLCwsLFVTRCk=&amp;WINDOW=FIRST_POPUP&amp;HEIGHT=450&amp;WIDTH=450&amp;START_MA","XIMIZED=FALSE&amp;VAR:CALENDAR=US&amp;VAR:SYMBOL=PFE&amp;VAR:INDEX=0"}</definedName>
    <definedName name="_4541__FDSAUDITLINK__" hidden="1">{"fdsup://directions/FAT Viewer?action=UPDATE&amp;creator=factset&amp;DYN_ARGS=TRUE&amp;DOC_NAME=FAT:FQL_AUDITING_CLIENT_TEMPLATE.FAT&amp;display_string=Audit&amp;VAR:KEY=LGHWFEBQFK&amp;VAR:QUERY=RkZfU0FMRVMoQ0FMLDQwNTQzLCwsLCk=&amp;WINDOW=FIRST_POPUP&amp;HEIGHT=450&amp;WIDTH=450&amp;START_MAXIMI","ZED=FALSE&amp;VAR:CALENDAR=US&amp;VAR:SYMBOL=PFE&amp;VAR:INDEX=0"}</definedName>
    <definedName name="_4542__FDSAUDITLINK__" hidden="1">{"fdsup://directions/FAT Viewer?action=UPDATE&amp;creator=factset&amp;DYN_ARGS=TRUE&amp;DOC_NAME=FAT:FQL_AUDITING_CLIENT_TEMPLATE.FAT&amp;display_string=Audit&amp;VAR:KEY=VUBGPEPQXE&amp;VAR:QUERY=RkZfU0FMRVMoQ0FMLDQwMTc4LCwsLFVTRCk=&amp;WINDOW=FIRST_POPUP&amp;HEIGHT=450&amp;WIDTH=450&amp;START_MA","XIMIZED=FALSE&amp;VAR:CALENDAR=US&amp;VAR:SYMBOL=PFE&amp;VAR:INDEX=0"}</definedName>
    <definedName name="_4543__FDSAUDITLINK__" hidden="1">{"fdsup://directions/FAT Viewer?action=UPDATE&amp;creator=factset&amp;DYN_ARGS=TRUE&amp;DOC_NAME=FAT:FQL_AUDITING_CLIENT_TEMPLATE.FAT&amp;display_string=Audit&amp;VAR:KEY=TALIFCXGLY&amp;VAR:QUERY=RkZfU0FMRVMoQ0FMLDM5ODEzLCwsLFVTRCk=&amp;WINDOW=FIRST_POPUP&amp;HEIGHT=450&amp;WIDTH=450&amp;START_MA","XIMIZED=FALSE&amp;VAR:CALENDAR=US&amp;VAR:SYMBOL=PFE&amp;VAR:INDEX=0"}</definedName>
    <definedName name="_4544__FDSAUDITLINK__" hidden="1">{"fdsup://directions/FAT Viewer?action=UPDATE&amp;creator=factset&amp;DYN_ARGS=TRUE&amp;DOC_NAME=FAT:FQL_AUDITING_CLIENT_TEMPLATE.FAT&amp;display_string=Audit&amp;VAR:KEY=XGZEZUPELA&amp;VAR:QUERY=RkZfU0FMRVMoQ0FMLDM5NDQ3LCwsLFVTRCk=&amp;WINDOW=FIRST_POPUP&amp;HEIGHT=450&amp;WIDTH=450&amp;START_MA","XIMIZED=FALSE&amp;VAR:CALENDAR=US&amp;VAR:SYMBOL=PFE&amp;VAR:INDEX=0"}</definedName>
    <definedName name="_4545__FDSAUDITLINK__" hidden="1">{"fdsup://directions/FAT Viewer?action=UPDATE&amp;creator=factset&amp;DYN_ARGS=TRUE&amp;DOC_NAME=FAT:FQL_AUDITING_CLIENT_TEMPLATE.FAT&amp;display_string=Audit&amp;VAR:KEY=VCRKNMRSXU&amp;VAR:QUERY=RkZfU0FMRVMoQ0FMLDM5MDgyLCwsLFVTRCk=&amp;WINDOW=FIRST_POPUP&amp;HEIGHT=450&amp;WIDTH=450&amp;START_MA","XIMIZED=FALSE&amp;VAR:CALENDAR=US&amp;VAR:SYMBOL=PFE&amp;VAR:INDEX=0"}</definedName>
    <definedName name="_4546__FDSAUDITLINK__" hidden="1">{"fdsup://directions/FAT Viewer?action=UPDATE&amp;creator=factset&amp;DYN_ARGS=TRUE&amp;DOC_NAME=FAT:FQL_AUDITING_CLIENT_TEMPLATE.FAT&amp;display_string=Audit&amp;VAR:KEY=XSFMPONEVU&amp;VAR:QUERY=RkZfU0FMRVMoQ0FMLDM4NzE3LCwsLFVTRCk=&amp;WINDOW=FIRST_POPUP&amp;HEIGHT=450&amp;WIDTH=450&amp;START_MA","XIMIZED=FALSE&amp;VAR:CALENDAR=US&amp;VAR:SYMBOL=PFE&amp;VAR:INDEX=0"}</definedName>
    <definedName name="_4547__FDSAUDITLINK__" hidden="1">{"fdsup://directions/FAT Viewer?action=UPDATE&amp;creator=factset&amp;DYN_ARGS=TRUE&amp;DOC_NAME=FAT:FQL_AUDITING_CLIENT_TEMPLATE.FAT&amp;display_string=Audit&amp;VAR:KEY=ZQNSHKVOTE&amp;VAR:QUERY=RkZfU0FMRVMoQ0FMLDM4MzUyLCwsLFVTRCk=&amp;WINDOW=FIRST_POPUP&amp;HEIGHT=450&amp;WIDTH=450&amp;START_MA","XIMIZED=FALSE&amp;VAR:CALENDAR=US&amp;VAR:SYMBOL=PFE&amp;VAR:INDEX=0"}</definedName>
    <definedName name="_4548__FDSAUDITLINK__" hidden="1">{"fdsup://directions/FAT Viewer?action=UPDATE&amp;creator=factset&amp;DYN_ARGS=TRUE&amp;DOC_NAME=FAT:FQL_AUDITING_CLIENT_TEMPLATE.FAT&amp;display_string=Audit&amp;VAR:KEY=DIVKNITAZM&amp;VAR:QUERY=RkZfUkRfRVhQKENBTCwyMDA4LCwsLFVTRCk=&amp;WINDOW=FIRST_POPUP&amp;HEIGHT=450&amp;WIDTH=450&amp;START_MA","XIMIZED=FALSE&amp;VAR:CALENDAR=US&amp;VAR:SYMBOL=WYE&amp;VAR:INDEX=0"}</definedName>
    <definedName name="_4549__FDSAUDITLINK__" hidden="1">{"fdsup://directions/FAT Viewer?action=UPDATE&amp;creator=factset&amp;DYN_ARGS=TRUE&amp;DOC_NAME=FAT:FQL_AUDITING_CLIENT_TEMPLATE.FAT&amp;display_string=Audit&amp;VAR:KEY=HCLYRIPKVQ&amp;VAR:QUERY=RkZfUkRfRVhQKENBTCwyMDA3LCwsLFVTRCk=&amp;WINDOW=FIRST_POPUP&amp;HEIGHT=450&amp;WIDTH=450&amp;START_MA","XIMIZED=FALSE&amp;VAR:CALENDAR=US&amp;VAR:SYMBOL=WYE&amp;VAR:INDEX=0"}</definedName>
    <definedName name="_455__FDSAUDITLINK__" hidden="1">{"fdsup://directions/FAT%20Viewer?VAR:TM=NTMA&amp;VAR:PCT=0.931507&amp;VAR:Y0=2002&amp;VAR:Y1=2003&amp;VAR:V0=21.555845&amp;VAR:V1=18.050362&amp;VAR:V=21.272878&amp;VAR:AUDIT_ID=00000117&amp;VAR:DATE=20020125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Aggregates&amp;VAR:MEASURE=PE_MEAN&amp;VAR:CALC_MODE=PORTFOLIO&amp;VAR:CHGPERIOD=NA&amp;VAR:FQLFORMULA=FMA_PE&amp;VAR:CURRENCY=USD&amp;VAR:P=1","133.283900&amp;VAR:THRESH=||||||&amp;VAR:null=.html"}</definedName>
    <definedName name="_4550__FDSAUDITLINK__" hidden="1">{"fdsup://directions/FAT Viewer?action=UPDATE&amp;creator=factset&amp;DYN_ARGS=TRUE&amp;DOC_NAME=FAT:FQL_AUDITING_CLIENT_TEMPLATE.FAT&amp;display_string=Audit&amp;VAR:KEY=XKJURUPUXI&amp;VAR:QUERY=RkZfUkRfRVhQKENBTCwyMDA4LCwsLFVTRCk=&amp;WINDOW=FIRST_POPUP&amp;HEIGHT=450&amp;WIDTH=450&amp;START_MA","XIMIZED=FALSE&amp;VAR:CALENDAR=US&amp;VAR:SYMBOL=BIIB&amp;VAR:INDEX=0"}</definedName>
    <definedName name="_4551__FDSAUDITLINK__" hidden="1">{"fdsup://directions/FAT Viewer?action=UPDATE&amp;creator=factset&amp;DYN_ARGS=TRUE&amp;DOC_NAME=FAT:FQL_AUDITING_CLIENT_TEMPLATE.FAT&amp;display_string=Audit&amp;VAR:KEY=DWTCTGDURW&amp;VAR:QUERY=RkZfUkRfRVhQKENBTCwyMDA3LCwsLFVTRCk=&amp;WINDOW=FIRST_POPUP&amp;HEIGHT=450&amp;WIDTH=450&amp;START_MA","XIMIZED=FALSE&amp;VAR:CALENDAR=US&amp;VAR:SYMBOL=BIIB&amp;VAR:INDEX=0"}</definedName>
    <definedName name="_4552__FDSAUDITLINK__" hidden="1">{"fdsup://directions/FAT Viewer?action=UPDATE&amp;creator=factset&amp;DYN_ARGS=TRUE&amp;DOC_NAME=FAT:FQL_AUDITING_CLIENT_TEMPLATE.FAT&amp;display_string=Audit&amp;VAR:KEY=ZKDQPGHSNO&amp;VAR:QUERY=RkZfUkRfRVhQKENBTCwyMDA4LCwsLFVTRCk=&amp;WINDOW=FIRST_POPUP&amp;HEIGHT=450&amp;WIDTH=450&amp;START_MA","XIMIZED=FALSE&amp;VAR:CALENDAR=US&amp;VAR:SYMBOL=707752&amp;VAR:INDEX=0"}</definedName>
    <definedName name="_4553__FDSAUDITLINK__" hidden="1">{"fdsup://directions/FAT Viewer?action=UPDATE&amp;creator=factset&amp;DYN_ARGS=TRUE&amp;DOC_NAME=FAT:FQL_AUDITING_CLIENT_TEMPLATE.FAT&amp;display_string=Audit&amp;VAR:KEY=HKJQHCVUFC&amp;VAR:QUERY=RkZfUkRfRVhQKENBTCwyMDA3LCwsLFVTRCk=&amp;WINDOW=FIRST_POPUP&amp;HEIGHT=450&amp;WIDTH=450&amp;START_MA","XIMIZED=FALSE&amp;VAR:CALENDAR=US&amp;VAR:SYMBOL=707752&amp;VAR:INDEX=0"}</definedName>
    <definedName name="_4554__FDSAUDITLINK__" hidden="1">{"fdsup://directions/FAT Viewer?action=UPDATE&amp;creator=factset&amp;DYN_ARGS=TRUE&amp;DOC_NAME=FAT:FQL_AUDITING_CLIENT_TEMPLATE.FAT&amp;display_string=Audit&amp;VAR:KEY=XSPCXOXWFG&amp;VAR:QUERY=RkZfUkRfRVhQKENBTCwyMDA4LCwsLFVTRCk=&amp;WINDOW=FIRST_POPUP&amp;HEIGHT=450&amp;WIDTH=450&amp;START_MA","XIMIZED=FALSE&amp;VAR:CALENDAR=US&amp;VAR:SYMBOL=630720&amp;VAR:INDEX=0"}</definedName>
    <definedName name="_4555__FDSAUDITLINK__" hidden="1">{"fdsup://directions/FAT Viewer?action=UPDATE&amp;creator=factset&amp;DYN_ARGS=TRUE&amp;DOC_NAME=FAT:FQL_AUDITING_CLIENT_TEMPLATE.FAT&amp;display_string=Audit&amp;VAR:KEY=BEDORSJANQ&amp;VAR:QUERY=RkZfUkRfRVhQKENBTCwyMDA3LCwsLFVTRCk=&amp;WINDOW=FIRST_POPUP&amp;HEIGHT=450&amp;WIDTH=450&amp;START_MA","XIMIZED=FALSE&amp;VAR:CALENDAR=US&amp;VAR:SYMBOL=630720&amp;VAR:INDEX=0"}</definedName>
    <definedName name="_4556__FDSAUDITLINK__" hidden="1">{"fdsup://directions/FAT Viewer?action=UPDATE&amp;creator=factset&amp;DYN_ARGS=TRUE&amp;DOC_NAME=FAT:FQL_AUDITING_CLIENT_TEMPLATE.FAT&amp;display_string=Audit&amp;VAR:KEY=ZEPGFQJADE&amp;VAR:QUERY=RkZfUkRfRVhQKENBTCwyMDA4LCwsLFVTRCk=&amp;WINDOW=FIRST_POPUP&amp;HEIGHT=450&amp;WIDTH=450&amp;START_MA","XIMIZED=FALSE&amp;VAR:CALENDAR=US&amp;VAR:SYMBOL=698538&amp;VAR:INDEX=0"}</definedName>
    <definedName name="_4557__FDSAUDITLINK__" hidden="1">{"fdsup://directions/FAT Viewer?action=UPDATE&amp;creator=factset&amp;DYN_ARGS=TRUE&amp;DOC_NAME=FAT:FQL_AUDITING_CLIENT_TEMPLATE.FAT&amp;display_string=Audit&amp;VAR:KEY=HALOFQXSVO&amp;VAR:QUERY=RkZfUkRfRVhQKENBTCwyMDA3LCwsLFVTRCk=&amp;WINDOW=FIRST_POPUP&amp;HEIGHT=450&amp;WIDTH=450&amp;START_MA","XIMIZED=FALSE&amp;VAR:CALENDAR=US&amp;VAR:SYMBOL=698538&amp;VAR:INDEX=0"}</definedName>
    <definedName name="_4558__FDSAUDITLINK__" hidden="1">{"fdsup://directions/FAT Viewer?action=UPDATE&amp;creator=factset&amp;DYN_ARGS=TRUE&amp;DOC_NAME=FAT:FQL_AUDITING_CLIENT_TEMPLATE.FAT&amp;display_string=Audit&amp;VAR:KEY=BURSXUHEJK&amp;VAR:QUERY=RkZfUkRfRVhQKENBTCwyMDA4LCwsLFVTRCk=&amp;WINDOW=FIRST_POPUP&amp;HEIGHT=450&amp;WIDTH=450&amp;START_MA","XIMIZED=FALSE&amp;VAR:CALENDAR=US&amp;VAR:SYMBOL=B0J7D9&amp;VAR:INDEX=0"}</definedName>
    <definedName name="_4559__FDSAUDITLINK__" hidden="1">{"fdsup://directions/FAT Viewer?action=UPDATE&amp;creator=factset&amp;DYN_ARGS=TRUE&amp;DOC_NAME=FAT:FQL_AUDITING_CLIENT_TEMPLATE.FAT&amp;display_string=Audit&amp;VAR:KEY=LABKHYRYVS&amp;VAR:QUERY=RkZfUkRfRVhQKENBTCwyMDA3LCwsLFVTRCk=&amp;WINDOW=FIRST_POPUP&amp;HEIGHT=450&amp;WIDTH=450&amp;START_MA","XIMIZED=FALSE&amp;VAR:CALENDAR=US&amp;VAR:SYMBOL=B0J7D9&amp;VAR:INDEX=0"}</definedName>
    <definedName name="_456__FDSAUDITLINK__" hidden="1">{"fdsup://directions/FAT%20Viewer?VAR:TM=NTMA&amp;VAR:PCT=0.950685&amp;VAR:Y0=2002&amp;VAR:Y1=2003&amp;VAR:V0=21.471907&amp;VAR:V1=18.047869&amp;VAR:V=21.272877&amp;VAR:AUDIT_ID=00000117&amp;VAR:DATE=20020118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Aggregates&amp;VAR:MEASURE=PE_MEAN&amp;VAR:CALC_MODE=PORTFOLIO&amp;VAR:CHGPERIOD=NA&amp;VAR:FQLFORMULA=FMA_PE&amp;VAR:CURRENCY=USD&amp;VAR:P=1","127.575300&amp;VAR:THRESH=||||||&amp;VAR:null=.html"}</definedName>
    <definedName name="_4560__FDSAUDITLINK__" hidden="1">{"fdsup://directions/FAT Viewer?action=UPDATE&amp;creator=factset&amp;DYN_ARGS=TRUE&amp;DOC_NAME=FAT:FQL_AUDITING_CLIENT_TEMPLATE.FAT&amp;display_string=Audit&amp;VAR:KEY=XQBYHAHMJE&amp;VAR:QUERY=RkZfUkRfRVhQKENBTCwyMDA4LCwsLFVTRCk=&amp;WINDOW=FIRST_POPUP&amp;HEIGHT=450&amp;WIDTH=450&amp;START_MA","XIMIZED=FALSE&amp;VAR:CALENDAR=US&amp;VAR:SYMBOL=AMGN&amp;VAR:INDEX=0"}</definedName>
    <definedName name="_4561__FDSAUDITLINK__" hidden="1">{"fdsup://directions/FAT Viewer?action=UPDATE&amp;creator=factset&amp;DYN_ARGS=TRUE&amp;DOC_NAME=FAT:FQL_AUDITING_CLIENT_TEMPLATE.FAT&amp;display_string=Audit&amp;VAR:KEY=RWVUPEFUXW&amp;VAR:QUERY=RkZfUkRfRVhQKENBTCwyMDA3LCwsLFVTRCk=&amp;WINDOW=FIRST_POPUP&amp;HEIGHT=450&amp;WIDTH=450&amp;START_MA","XIMIZED=FALSE&amp;VAR:CALENDAR=US&amp;VAR:SYMBOL=AMGN&amp;VAR:INDEX=0"}</definedName>
    <definedName name="_4562__FDSAUDITLINK__" hidden="1">{"fdsup://directions/FAT Viewer?action=UPDATE&amp;creator=factset&amp;DYN_ARGS=TRUE&amp;DOC_NAME=FAT:FQL_AUDITING_CLIENT_TEMPLATE.FAT&amp;display_string=Audit&amp;VAR:KEY=HUJQRCJEBE&amp;VAR:QUERY=RkZfUkRfRVhQKENBTCwyMDA4LCwsLFVTRCk=&amp;WINDOW=FIRST_POPUP&amp;HEIGHT=450&amp;WIDTH=450&amp;START_MA","XIMIZED=FALSE&amp;VAR:CALENDAR=US&amp;VAR:SYMBOL=ABT&amp;VAR:INDEX=0"}</definedName>
    <definedName name="_4563__FDSAUDITLINK__" hidden="1">{"fdsup://directions/FAT Viewer?action=UPDATE&amp;creator=factset&amp;DYN_ARGS=TRUE&amp;DOC_NAME=FAT:FQL_AUDITING_CLIENT_TEMPLATE.FAT&amp;display_string=Audit&amp;VAR:KEY=BYVWXYRQNK&amp;VAR:QUERY=RkZfUkRfRVhQKENBTCwyMDA3LCwsLFVTRCk=&amp;WINDOW=FIRST_POPUP&amp;HEIGHT=450&amp;WIDTH=450&amp;START_MA","XIMIZED=FALSE&amp;VAR:CALENDAR=US&amp;VAR:SYMBOL=ABT&amp;VAR:INDEX=0"}</definedName>
    <definedName name="_4564__FDSAUDITLINK__" hidden="1">{"fdsup://directions/FAT Viewer?action=UPDATE&amp;creator=factset&amp;DYN_ARGS=TRUE&amp;DOC_NAME=FAT:FQL_AUDITING_CLIENT_TEMPLATE.FAT&amp;display_string=Audit&amp;VAR:KEY=ZUPYRQFSRU&amp;VAR:QUERY=RkZfUkRfRVhQKENBTCwyMDA4LCwsLFVTRCk=&amp;WINDOW=FIRST_POPUP&amp;HEIGHT=450&amp;WIDTH=450&amp;START_MA","XIMIZED=FALSE&amp;VAR:CALENDAR=US&amp;VAR:SYMBOL=687044&amp;VAR:INDEX=0"}</definedName>
    <definedName name="_4565__FDSAUDITLINK__" hidden="1">{"fdsup://directions/FAT Viewer?action=UPDATE&amp;creator=factset&amp;DYN_ARGS=TRUE&amp;DOC_NAME=FAT:FQL_AUDITING_CLIENT_TEMPLATE.FAT&amp;display_string=Audit&amp;VAR:KEY=ZMRALSXARE&amp;VAR:QUERY=RkZfUkRfRVhQKENBTCwyMDA3LCwsLFVTRCk=&amp;WINDOW=FIRST_POPUP&amp;HEIGHT=450&amp;WIDTH=450&amp;START_MA","XIMIZED=FALSE&amp;VAR:CALENDAR=US&amp;VAR:SYMBOL=687044&amp;VAR:INDEX=0"}</definedName>
    <definedName name="_4566__FDSAUDITLINK__" hidden="1">{"fdsup://directions/FAT Viewer?action=UPDATE&amp;creator=factset&amp;DYN_ARGS=TRUE&amp;DOC_NAME=FAT:FQL_AUDITING_CLIENT_TEMPLATE.FAT&amp;display_string=Audit&amp;VAR:KEY=ZMZYLSXEVK&amp;VAR:QUERY=RkZfUkRfRVhQKENBTCwyMDA4LCwsLFVTRCk=&amp;WINDOW=FIRST_POPUP&amp;HEIGHT=450&amp;WIDTH=450&amp;START_MA","XIMIZED=FALSE&amp;VAR:CALENDAR=US&amp;VAR:SYMBOL=BMY&amp;VAR:INDEX=0"}</definedName>
    <definedName name="_4567__FDSAUDITLINK__" hidden="1">{"fdsup://directions/FAT Viewer?action=UPDATE&amp;creator=factset&amp;DYN_ARGS=TRUE&amp;DOC_NAME=FAT:FQL_AUDITING_CLIENT_TEMPLATE.FAT&amp;display_string=Audit&amp;VAR:KEY=RENSXGJCBC&amp;VAR:QUERY=RkZfUkRfRVhQKENBTCwyMDA3LCwsLFVTRCk=&amp;WINDOW=FIRST_POPUP&amp;HEIGHT=450&amp;WIDTH=450&amp;START_MA","XIMIZED=FALSE&amp;VAR:CALENDAR=US&amp;VAR:SYMBOL=BMY&amp;VAR:INDEX=0"}</definedName>
    <definedName name="_4568__FDSAUDITLINK__" hidden="1">{"fdsup://directions/FAT Viewer?action=UPDATE&amp;creator=factset&amp;DYN_ARGS=TRUE&amp;DOC_NAME=FAT:FQL_AUDITING_CLIENT_TEMPLATE.FAT&amp;display_string=Audit&amp;VAR:KEY=BSNATUHMFQ&amp;VAR:QUERY=RkZfUkRfRVhQKENBTCwyMDA4LCwsLFVTRCk=&amp;WINDOW=FIRST_POPUP&amp;HEIGHT=450&amp;WIDTH=450&amp;START_MA","XIMIZED=FALSE&amp;VAR:CALENDAR=US&amp;VAR:SYMBOL=LLY&amp;VAR:INDEX=0"}</definedName>
    <definedName name="_4569__FDSAUDITLINK__" hidden="1">{"fdsup://directions/FAT Viewer?action=UPDATE&amp;creator=factset&amp;DYN_ARGS=TRUE&amp;DOC_NAME=FAT:FQL_AUDITING_CLIENT_TEMPLATE.FAT&amp;display_string=Audit&amp;VAR:KEY=DOHSHEVKPM&amp;VAR:QUERY=RkZfUkRfRVhQKENBTCwyMDA3LCwsLFVTRCk=&amp;WINDOW=FIRST_POPUP&amp;HEIGHT=450&amp;WIDTH=450&amp;START_MA","XIMIZED=FALSE&amp;VAR:CALENDAR=US&amp;VAR:SYMBOL=LLY&amp;VAR:INDEX=0"}</definedName>
    <definedName name="_457__FDSAUDITLINK__" hidden="1">{"fdsup://directions/FAT%20Viewer?VAR:TM=NTMA&amp;VAR:PCT=0.969863&amp;VAR:Y0=2002&amp;VAR:Y1=2003&amp;VAR:V0=21.812096&amp;VAR:V1=18.500390&amp;VAR:V=21.695057&amp;VAR:AUDIT_ID=00000117&amp;VAR:DATE=20020111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Aggregates&amp;VAR:MEASURE=PE_MEAN&amp;VAR:CALC_MODE=PORTFOLIO&amp;VAR:CHGPERIOD=NA&amp;VAR:FQLFORMULA=FMA_PE&amp;VAR:CURRENCY=USD&amp;VAR:P=1","145.597400&amp;VAR:THRESH=||||||&amp;VAR:null=.html"}</definedName>
    <definedName name="_4570__FDSAUDITLINK__" hidden="1">{"fdsup://directions/FAT Viewer?action=UPDATE&amp;creator=factset&amp;DYN_ARGS=TRUE&amp;DOC_NAME=FAT:FQL_AUDITING_CLIENT_TEMPLATE.FAT&amp;display_string=Audit&amp;VAR:KEY=JKHWTOZSRO&amp;VAR:QUERY=RkZfUkRfRVhQKENBTCwyMDA4LCwsLFVTRCk=&amp;WINDOW=FIRST_POPUP&amp;HEIGHT=450&amp;WIDTH=450&amp;START_MA","XIMIZED=FALSE&amp;VAR:CALENDAR=US&amp;VAR:SYMBOL=506921&amp;VAR:INDEX=0"}</definedName>
    <definedName name="_4571__FDSAUDITLINK__" hidden="1">{"fdsup://directions/FAT Viewer?action=UPDATE&amp;creator=factset&amp;DYN_ARGS=TRUE&amp;DOC_NAME=FAT:FQL_AUDITING_CLIENT_TEMPLATE.FAT&amp;display_string=Audit&amp;VAR:KEY=RCZEJWXODC&amp;VAR:QUERY=RkZfUkRfRVhQKENBTCwyMDA3LCwsLFVTRCk=&amp;WINDOW=FIRST_POPUP&amp;HEIGHT=450&amp;WIDTH=450&amp;START_MA","XIMIZED=FALSE&amp;VAR:CALENDAR=US&amp;VAR:SYMBOL=506921&amp;VAR:INDEX=0"}</definedName>
    <definedName name="_4572__FDSAUDITLINK__" hidden="1">{"fdsup://directions/FAT Viewer?action=UPDATE&amp;creator=factset&amp;DYN_ARGS=TRUE&amp;DOC_NAME=FAT:FQL_AUDITING_CLIENT_TEMPLATE.FAT&amp;display_string=Audit&amp;VAR:KEY=NGTOJGBUXY&amp;VAR:QUERY=RkZfUkRfRVhQKENBTCwyMDA4LCwsLFVTRCk=&amp;WINDOW=FIRST_POPUP&amp;HEIGHT=450&amp;WIDTH=450&amp;START_MA","XIMIZED=FALSE&amp;VAR:CALENDAR=US&amp;VAR:SYMBOL=567173&amp;VAR:INDEX=0"}</definedName>
    <definedName name="_4573__FDSAUDITLINK__" hidden="1">{"fdsup://directions/FAT Viewer?action=UPDATE&amp;creator=factset&amp;DYN_ARGS=TRUE&amp;DOC_NAME=FAT:FQL_AUDITING_CLIENT_TEMPLATE.FAT&amp;display_string=Audit&amp;VAR:KEY=RAZEFOLQPC&amp;VAR:QUERY=RkZfUkRfRVhQKENBTCwyMDA3LCwsLFVTRCk=&amp;WINDOW=FIRST_POPUP&amp;HEIGHT=450&amp;WIDTH=450&amp;START_MA","XIMIZED=FALSE&amp;VAR:CALENDAR=US&amp;VAR:SYMBOL=567173&amp;VAR:INDEX=0"}</definedName>
    <definedName name="_4574__FDSAUDITLINK__" hidden="1">{"fdsup://directions/FAT Viewer?action=UPDATE&amp;creator=factset&amp;DYN_ARGS=TRUE&amp;DOC_NAME=FAT:FQL_AUDITING_CLIENT_TEMPLATE.FAT&amp;display_string=Audit&amp;VAR:KEY=XKRABGFMPG&amp;VAR:QUERY=RkZfUkRfRVhQKENBTCwyMDA4LCwsLFVTRCk=&amp;WINDOW=FIRST_POPUP&amp;HEIGHT=450&amp;WIDTH=450&amp;START_MA","XIMIZED=FALSE&amp;VAR:CALENDAR=US&amp;VAR:SYMBOL=JNJ&amp;VAR:INDEX=0"}</definedName>
    <definedName name="_4575__FDSAUDITLINK__" hidden="1">{"fdsup://directions/FAT Viewer?action=UPDATE&amp;creator=factset&amp;DYN_ARGS=TRUE&amp;DOC_NAME=FAT:FQL_AUDITING_CLIENT_TEMPLATE.FAT&amp;display_string=Audit&amp;VAR:KEY=LCJKLSDCRQ&amp;VAR:QUERY=RkZfUkRfRVhQKENBTCwyMDA3LCwsLFVTRCk=&amp;WINDOW=FIRST_POPUP&amp;HEIGHT=450&amp;WIDTH=450&amp;START_MA","XIMIZED=FALSE&amp;VAR:CALENDAR=US&amp;VAR:SYMBOL=JNJ&amp;VAR:INDEX=0"}</definedName>
    <definedName name="_4576__FDSAUDITLINK__" hidden="1">{"fdsup://directions/FAT Viewer?action=UPDATE&amp;creator=factset&amp;DYN_ARGS=TRUE&amp;DOC_NAME=FAT:FQL_AUDITING_CLIENT_TEMPLATE.FAT&amp;display_string=Audit&amp;VAR:KEY=LMTQHUVWVA&amp;VAR:QUERY=RkZfUkRfRVhQKENBTCwyMDA4LCwsLFVTRCk=&amp;WINDOW=FIRST_POPUP&amp;HEIGHT=450&amp;WIDTH=450&amp;START_MA","XIMIZED=FALSE&amp;VAR:CALENDAR=US&amp;VAR:SYMBOL=710306&amp;VAR:INDEX=0"}</definedName>
    <definedName name="_4577__FDSAUDITLINK__" hidden="1">{"fdsup://directions/FAT Viewer?action=UPDATE&amp;creator=factset&amp;DYN_ARGS=TRUE&amp;DOC_NAME=FAT:FQL_AUDITING_CLIENT_TEMPLATE.FAT&amp;display_string=Audit&amp;VAR:KEY=VYTORQNKTW&amp;VAR:QUERY=RkZfUkRfRVhQKENBTCwyMDA3LCwsLFVTRCk=&amp;WINDOW=FIRST_POPUP&amp;HEIGHT=450&amp;WIDTH=450&amp;START_MA","XIMIZED=FALSE&amp;VAR:CALENDAR=US&amp;VAR:SYMBOL=710306&amp;VAR:INDEX=0"}</definedName>
    <definedName name="_4578__FDSAUDITLINK__" hidden="1">{"fdsup://directions/FAT Viewer?action=UPDATE&amp;creator=factset&amp;DYN_ARGS=TRUE&amp;DOC_NAME=FAT:FQL_AUDITING_CLIENT_TEMPLATE.FAT&amp;display_string=Audit&amp;VAR:KEY=RAFAPGJURW&amp;VAR:QUERY=RkZfUkRfRVhQKENBTCwyMDA4LCwsLFVTRCk=&amp;WINDOW=FIRST_POPUP&amp;HEIGHT=450&amp;WIDTH=450&amp;START_MA","XIMIZED=FALSE&amp;VAR:CALENDAR=US&amp;VAR:SYMBOL=711038&amp;VAR:INDEX=0"}</definedName>
    <definedName name="_4579__FDSAUDITLINK__" hidden="1">{"fdsup://directions/FAT Viewer?action=UPDATE&amp;creator=factset&amp;DYN_ARGS=TRUE&amp;DOC_NAME=FAT:FQL_AUDITING_CLIENT_TEMPLATE.FAT&amp;display_string=Audit&amp;VAR:KEY=LKDSHOXEJE&amp;VAR:QUERY=RkZfUkRfRVhQKENBTCwyMDA4LCwsLFVTRCk=&amp;WINDOW=FIRST_POPUP&amp;HEIGHT=450&amp;WIDTH=450&amp;START_MA","XIMIZED=FALSE&amp;VAR:CALENDAR=US&amp;VAR:SYMBOL=MRK&amp;VAR:INDEX=0"}</definedName>
    <definedName name="_458__FDSAUDITLINK__" hidden="1">{"fdsup://directions/FAT%20Viewer?VAR:TM=NTMA&amp;VAR:PCT=0.989041&amp;VAR:Y0=2002&amp;VAR:Y1=2003&amp;VAR:V0=22.254670&amp;VAR:V1=19.047314&amp;VAR:V=22.213678&amp;VAR:AUDIT_ID=00000117&amp;VAR:DATE=20020104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Aggregates&amp;VAR:MEASURE=PE_MEAN&amp;VAR:CALC_MODE=PORTFOLIO&amp;VAR:CHGPERIOD=NA&amp;VAR:FQLFORMULA=FMA_PE&amp;VAR:CURRENCY=USD&amp;VAR:P=1","172.508300&amp;VAR:THRESH=||||||&amp;VAR:null=.html"}</definedName>
    <definedName name="_4580__FDSAUDITLINK__" hidden="1">{"fdsup://directions/FAT Viewer?action=UPDATE&amp;creator=factset&amp;DYN_ARGS=TRUE&amp;DOC_NAME=FAT:FQL_AUDITING_CLIENT_TEMPLATE.FAT&amp;display_string=Audit&amp;VAR:KEY=TILQDMTSFA&amp;VAR:QUERY=RkZfUkRfRVhQKENBTCwyMDA3LCwsLFVTRCk=&amp;WINDOW=FIRST_POPUP&amp;HEIGHT=450&amp;WIDTH=450&amp;START_MA","XIMIZED=FALSE&amp;VAR:CALENDAR=US&amp;VAR:SYMBOL=MRK&amp;VAR:INDEX=0"}</definedName>
    <definedName name="_4581__FDSAUDITLINK__" hidden="1">{"fdsup://directions/FAT Viewer?action=UPDATE&amp;creator=factset&amp;DYN_ARGS=TRUE&amp;DOC_NAME=FAT:FQL_AUDITING_CLIENT_TEMPLATE.FAT&amp;display_string=Audit&amp;VAR:KEY=JCJYXWPCFK&amp;VAR:QUERY=RkZfUkRfRVhQKENBTCwyMDA4LCwsLFVTRCk=&amp;WINDOW=FIRST_POPUP&amp;HEIGHT=450&amp;WIDTH=450&amp;START_MA","XIMIZED=FALSE&amp;VAR:CALENDAR=US&amp;VAR:SYMBOL=PFE&amp;VAR:INDEX=0"}</definedName>
    <definedName name="_4582__FDSAUDITLINK__" hidden="1">{"fdsup://directions/FAT Viewer?action=UPDATE&amp;creator=factset&amp;DYN_ARGS=TRUE&amp;DOC_NAME=FAT:FQL_AUDITING_CLIENT_TEMPLATE.FAT&amp;display_string=Audit&amp;VAR:KEY=VABOBMLSTS&amp;VAR:QUERY=RkZfUkRfRVhQKENBTCwyMDA3LCwsLFVTRCk=&amp;WINDOW=FIRST_POPUP&amp;HEIGHT=450&amp;WIDTH=450&amp;START_MA","XIMIZED=FALSE&amp;VAR:CALENDAR=US&amp;VAR:SYMBOL=PFE&amp;VAR:INDEX=0"}</definedName>
    <definedName name="_4583__FDSAUDITLINK__" hidden="1">{"fdsup://directions/FAT Viewer?action=UPDATE&amp;creator=factset&amp;DYN_ARGS=TRUE&amp;DOC_NAME=FAT:FQL_AUDITING_CLIENT_TEMPLATE.FAT&amp;display_string=Audit&amp;VAR:KEY=FADGZQHEFC&amp;VAR:QUERY=RkZfUkRfRVhQKENBTCw0MDU0MywsLCxVU0Qp&amp;WINDOW=FIRST_POPUP&amp;HEIGHT=450&amp;WIDTH=450&amp;START_MA","XIMIZED=FALSE&amp;VAR:CALENDAR=US&amp;VAR:SYMBOL=BIIB&amp;VAR:INDEX=0"}</definedName>
    <definedName name="_4584__FDSAUDITLINK__" hidden="1">{"fdsup://directions/FAT Viewer?action=UPDATE&amp;creator=factset&amp;DYN_ARGS=TRUE&amp;DOC_NAME=FAT:FQL_AUDITING_CLIENT_TEMPLATE.FAT&amp;display_string=Audit&amp;VAR:KEY=NSPUJGFSHI&amp;VAR:QUERY=RkZfUkRfRVhQKENBTCw0MDU0MywsLCxVU0Qp&amp;WINDOW=FIRST_POPUP&amp;HEIGHT=450&amp;WIDTH=450&amp;START_MA","XIMIZED=FALSE&amp;VAR:CALENDAR=US&amp;VAR:SYMBOL=707752&amp;VAR:INDEX=0"}</definedName>
    <definedName name="_4585__FDSAUDITLINK__" hidden="1">{"fdsup://directions/FAT Viewer?action=UPDATE&amp;creator=factset&amp;DYN_ARGS=TRUE&amp;DOC_NAME=FAT:FQL_AUDITING_CLIENT_TEMPLATE.FAT&amp;display_string=Audit&amp;VAR:KEY=PWJMJAPQXA&amp;VAR:QUERY=RkZfUkRfRVhQKENBTCw0MDU0MywsLCxVU0Qp&amp;WINDOW=FIRST_POPUP&amp;HEIGHT=450&amp;WIDTH=450&amp;START_MA","XIMIZED=FALSE&amp;VAR:CALENDAR=US&amp;VAR:SYMBOL=630720&amp;VAR:INDEX=0"}</definedName>
    <definedName name="_4586__FDSAUDITLINK__" hidden="1">{"fdsup://directions/FAT Viewer?action=UPDATE&amp;creator=factset&amp;DYN_ARGS=TRUE&amp;DOC_NAME=FAT:FQL_AUDITING_CLIENT_TEMPLATE.FAT&amp;display_string=Audit&amp;VAR:KEY=TQDGRYXUPO&amp;VAR:QUERY=RkZfUkRfRVhQKENBTCw0MDU0MywsLCxVU0Qp&amp;WINDOW=FIRST_POPUP&amp;HEIGHT=450&amp;WIDTH=450&amp;START_MA","XIMIZED=FALSE&amp;VAR:CALENDAR=US&amp;VAR:SYMBOL=698538&amp;VAR:INDEX=0"}</definedName>
    <definedName name="_4587__FDSAUDITLINK__" hidden="1">{"fdsup://directions/FAT Viewer?action=UPDATE&amp;creator=factset&amp;DYN_ARGS=TRUE&amp;DOC_NAME=FAT:FQL_AUDITING_CLIENT_TEMPLATE.FAT&amp;display_string=Audit&amp;VAR:KEY=LCNIRKJOVO&amp;VAR:QUERY=RkZfUkRfRVhQKENBTCw0MDU0MywsLCxVU0Qp&amp;WINDOW=FIRST_POPUP&amp;HEIGHT=450&amp;WIDTH=450&amp;START_MA","XIMIZED=FALSE&amp;VAR:CALENDAR=US&amp;VAR:SYMBOL=474184&amp;VAR:INDEX=0"}</definedName>
    <definedName name="_4588__FDSAUDITLINK__" hidden="1">{"fdsup://directions/FAT Viewer?action=UPDATE&amp;creator=factset&amp;DYN_ARGS=TRUE&amp;DOC_NAME=FAT:FQL_AUDITING_CLIENT_TEMPLATE.FAT&amp;display_string=Audit&amp;VAR:KEY=JAPATOHCPG&amp;VAR:QUERY=RkZfUkRfRVhQKENBTCw0MDU0MywsLCxVU0Qp&amp;WINDOW=FIRST_POPUP&amp;HEIGHT=450&amp;WIDTH=450&amp;START_MA","XIMIZED=FALSE&amp;VAR:CALENDAR=US&amp;VAR:SYMBOL=B0J7D9&amp;VAR:INDEX=0"}</definedName>
    <definedName name="_4589__FDSAUDITLINK__" hidden="1">{"fdsup://directions/FAT Viewer?action=UPDATE&amp;creator=factset&amp;DYN_ARGS=TRUE&amp;DOC_NAME=FAT:FQL_AUDITING_CLIENT_TEMPLATE.FAT&amp;display_string=Audit&amp;VAR:KEY=ZURSDKXMDW&amp;VAR:QUERY=RkZfUkRfRVhQKENBTCw0MDU0MywsLCxVU0Qp&amp;WINDOW=FIRST_POPUP&amp;HEIGHT=450&amp;WIDTH=450&amp;START_MA","XIMIZED=FALSE&amp;VAR:CALENDAR=US&amp;VAR:SYMBOL=AMGN&amp;VAR:INDEX=0"}</definedName>
    <definedName name="_459__FDSAUDITLINK__" hidden="1">{"fdsup://directions/FAT%20Viewer?VAR:TM=NTMA&amp;VAR:PCT=0.008219&amp;VAR:Y0=2001&amp;VAR:Y1=2002&amp;VAR:V0=25.004168&amp;VAR:V1=21.961407&amp;VAR:V=21.983395&amp;VAR:AUDIT_ID=00000117&amp;VAR:DATE=20011228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Aggregates&amp;VAR:MEASURE=PE_MEAN&amp;VAR:CALC_MODE=PORTFOLIO&amp;VAR:CHGPERIOD=NA&amp;VAR:FQLFORMULA=FMA_PE&amp;VAR:CURRENCY=USD&amp;VAR:P=1","161.020000&amp;VAR:THRESH=||||||&amp;VAR:null=.html"}</definedName>
    <definedName name="_4590__FDSAUDITLINK__" hidden="1">{"fdsup://directions/FAT Viewer?action=UPDATE&amp;creator=factset&amp;DYN_ARGS=TRUE&amp;DOC_NAME=FAT:FQL_AUDITING_CLIENT_TEMPLATE.FAT&amp;display_string=Audit&amp;VAR:KEY=JWREDEZOBE&amp;VAR:QUERY=RkZfUkRfRVhQKENBTCw0MDU0MywsLCxVU0Qp&amp;WINDOW=FIRST_POPUP&amp;HEIGHT=450&amp;WIDTH=450&amp;START_MA","XIMIZED=FALSE&amp;VAR:CALENDAR=US&amp;VAR:SYMBOL=ABT&amp;VAR:INDEX=0"}</definedName>
    <definedName name="_4591__FDSAUDITLINK__" hidden="1">{"fdsup://directions/FAT Viewer?action=UPDATE&amp;creator=factset&amp;DYN_ARGS=TRUE&amp;DOC_NAME=FAT:FQL_AUDITING_CLIENT_TEMPLATE.FAT&amp;display_string=Audit&amp;VAR:KEY=FMHOHWFCHA&amp;VAR:QUERY=RkZfUkRfRVhQKENBTCw0MDU0MywsLCxVU0Qp&amp;WINDOW=FIRST_POPUP&amp;HEIGHT=450&amp;WIDTH=450&amp;START_MA","XIMIZED=FALSE&amp;VAR:CALENDAR=US&amp;VAR:SYMBOL=687044&amp;VAR:INDEX=0"}</definedName>
    <definedName name="_4592__FDSAUDITLINK__" hidden="1">{"fdsup://directions/FAT Viewer?action=UPDATE&amp;creator=factset&amp;DYN_ARGS=TRUE&amp;DOC_NAME=FAT:FQL_AUDITING_CLIENT_TEMPLATE.FAT&amp;display_string=Audit&amp;VAR:KEY=BCRMHOHMDU&amp;VAR:QUERY=RkZfUkRfRVhQKENBTCw0MDU0MywsLCxVU0Qp&amp;WINDOW=FIRST_POPUP&amp;HEIGHT=450&amp;WIDTH=450&amp;START_MA","XIMIZED=FALSE&amp;VAR:CALENDAR=US&amp;VAR:SYMBOL=BMY&amp;VAR:INDEX=0"}</definedName>
    <definedName name="_4593__FDSAUDITLINK__" hidden="1">{"fdsup://directions/FAT Viewer?action=UPDATE&amp;creator=factset&amp;DYN_ARGS=TRUE&amp;DOC_NAME=FAT:FQL_AUDITING_CLIENT_TEMPLATE.FAT&amp;display_string=Audit&amp;VAR:KEY=RWHALYVQFE&amp;VAR:QUERY=RkZfUkRfRVhQKENBTCw0MDU0MywsLCxVU0Qp&amp;WINDOW=FIRST_POPUP&amp;HEIGHT=450&amp;WIDTH=450&amp;START_MA","XIMIZED=FALSE&amp;VAR:CALENDAR=US&amp;VAR:SYMBOL=LLY&amp;VAR:INDEX=0"}</definedName>
    <definedName name="_4594__FDSAUDITLINK__" hidden="1">{"fdsup://directions/FAT Viewer?action=UPDATE&amp;creator=factset&amp;DYN_ARGS=TRUE&amp;DOC_NAME=FAT:FQL_AUDITING_CLIENT_TEMPLATE.FAT&amp;display_string=Audit&amp;VAR:KEY=BOXSLUFEFY&amp;VAR:QUERY=RkZfUkRfRVhQKENBTCw0MDU0MywsLCxVU0Qp&amp;WINDOW=FIRST_POPUP&amp;HEIGHT=450&amp;WIDTH=450&amp;START_MA","XIMIZED=FALSE&amp;VAR:CALENDAR=US&amp;VAR:SYMBOL=506921&amp;VAR:INDEX=0"}</definedName>
    <definedName name="_4595__FDSAUDITLINK__" hidden="1">{"fdsup://directions/FAT Viewer?action=UPDATE&amp;creator=factset&amp;DYN_ARGS=TRUE&amp;DOC_NAME=FAT:FQL_AUDITING_CLIENT_TEMPLATE.FAT&amp;display_string=Audit&amp;VAR:KEY=BKNWZCJIZG&amp;VAR:QUERY=RkZfUkRfRVhQKENBTCw0MDU0MywsLCxVU0Qp&amp;WINDOW=FIRST_POPUP&amp;HEIGHT=450&amp;WIDTH=450&amp;START_MA","XIMIZED=FALSE&amp;VAR:CALENDAR=US&amp;VAR:SYMBOL=567173&amp;VAR:INDEX=0"}</definedName>
    <definedName name="_4596__FDSAUDITLINK__" hidden="1">{"fdsup://directions/FAT Viewer?action=UPDATE&amp;creator=factset&amp;DYN_ARGS=TRUE&amp;DOC_NAME=FAT:FQL_AUDITING_CLIENT_TEMPLATE.FAT&amp;display_string=Audit&amp;VAR:KEY=ZUTEDGBCXY&amp;VAR:QUERY=RkZfUkRfRVhQKENBTCw0MDU0MywsLCxVU0Qp&amp;WINDOW=FIRST_POPUP&amp;HEIGHT=450&amp;WIDTH=450&amp;START_MA","XIMIZED=FALSE&amp;VAR:CALENDAR=US&amp;VAR:SYMBOL=JNJ&amp;VAR:INDEX=0"}</definedName>
    <definedName name="_4597__FDSAUDITLINK__" hidden="1">{"fdsup://directions/FAT Viewer?action=UPDATE&amp;creator=factset&amp;DYN_ARGS=TRUE&amp;DOC_NAME=FAT:FQL_AUDITING_CLIENT_TEMPLATE.FAT&amp;display_string=Audit&amp;VAR:KEY=TYHWTQXSJO&amp;VAR:QUERY=RkZfUkRfRVhQKENBTCw0MDU0MywsLCxVU0Qp&amp;WINDOW=FIRST_POPUP&amp;HEIGHT=450&amp;WIDTH=450&amp;START_MA","XIMIZED=FALSE&amp;VAR:CALENDAR=US&amp;VAR:SYMBOL=710306&amp;VAR:INDEX=0"}</definedName>
    <definedName name="_4598__FDSAUDITLINK__" hidden="1">{"fdsup://directions/FAT Viewer?action=UPDATE&amp;creator=factset&amp;DYN_ARGS=TRUE&amp;DOC_NAME=FAT:FQL_AUDITING_CLIENT_TEMPLATE.FAT&amp;display_string=Audit&amp;VAR:KEY=BSFYPUHUXG&amp;VAR:QUERY=RkZfUkRfRVhQKENBTCw0MDU0MywsLCxVU0Qp&amp;WINDOW=FIRST_POPUP&amp;HEIGHT=450&amp;WIDTH=450&amp;START_MA","XIMIZED=FALSE&amp;VAR:CALENDAR=US&amp;VAR:SYMBOL=711038&amp;VAR:INDEX=0"}</definedName>
    <definedName name="_4599__FDSAUDITLINK__" hidden="1">{"fdsup://directions/FAT Viewer?action=UPDATE&amp;creator=factset&amp;DYN_ARGS=TRUE&amp;DOC_NAME=FAT:FQL_AUDITING_CLIENT_TEMPLATE.FAT&amp;display_string=Audit&amp;VAR:KEY=BQXQNYHAZC&amp;VAR:QUERY=RkZfUkRfRVhQKENBTCw0MDU0MywsLCxVU0Qp&amp;WINDOW=FIRST_POPUP&amp;HEIGHT=450&amp;WIDTH=450&amp;START_MA","XIMIZED=FALSE&amp;VAR:CALENDAR=US&amp;VAR:SYMBOL=MRK&amp;VAR:INDEX=0"}</definedName>
    <definedName name="_46__FDSAUDITLINK__" hidden="1">{"fdsup://directions/FAT%20Viewer?VAR:TM=NTMA&amp;VAR:PCT=0.093151&amp;VAR:Y0=2009&amp;VAR:Y1=2010&amp;VAR:V0=17.408491&amp;VAR:V1=13.997716&amp;VAR:V=14.257932&amp;VAR:AUDIT_ID=00000117&amp;VAR:DATE=20091127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Aggregates&amp;VAR:MEASURE=PE_MEAN&amp;VAR:CALC_MODE=PORTFOLIO&amp;VAR:CHGPERIOD=NA&amp;VAR:FQLFORMULA=FMA_PE&amp;VAR:CURRENCY=USD&amp;VAR:P=1","091.491214&amp;VAR:THRESH=||||||&amp;VAR:null=.html"}</definedName>
    <definedName name="_460__FDSAUDITLINK__" hidden="1">{"fdsup://directions/FAT%20Viewer?VAR:TM=NTMA&amp;VAR:PCT=0.027397&amp;VAR:Y0=2001&amp;VAR:Y1=2002&amp;VAR:V0=24.605715&amp;VAR:V1=21.646545&amp;VAR:V=21.718104&amp;VAR:AUDIT_ID=00000117&amp;VAR:DATE=20011221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Aggregates&amp;VAR:MEASURE=PE_MEAN&amp;VAR:CALC_MODE=PORTFOLIO&amp;VAR:CHGPERIOD=NA&amp;VAR:FQLFORMULA=FMA_PE&amp;VAR:CURRENCY=USD&amp;VAR:P=1","144.890000&amp;VAR:THRESH=||||||&amp;VAR:null=.html"}</definedName>
    <definedName name="_4600__FDSAUDITLINK__" hidden="1">{"fdsup://directions/FAT Viewer?action=UPDATE&amp;creator=factset&amp;DYN_ARGS=TRUE&amp;DOC_NAME=FAT:FQL_AUDITING_CLIENT_TEMPLATE.FAT&amp;display_string=Audit&amp;VAR:KEY=FADGZQHEFC&amp;VAR:QUERY=RkZfUkRfRVhQKENBTCw0MDU0MywsLCxVU0Qp&amp;WINDOW=FIRST_POPUP&amp;HEIGHT=450&amp;WIDTH=450&amp;START_MA","XIMIZED=FALSE&amp;VAR:CALENDAR=US&amp;VAR:SYMBOL=BIIB&amp;VAR:INDEX=0"}</definedName>
    <definedName name="_4601__FDSAUDITLINK__" hidden="1">{"fdsup://directions/FAT Viewer?action=UPDATE&amp;creator=factset&amp;DYN_ARGS=TRUE&amp;DOC_NAME=FAT:FQL_AUDITING_CLIENT_TEMPLATE.FAT&amp;display_string=Audit&amp;VAR:KEY=NSPUJGFSHI&amp;VAR:QUERY=RkZfUkRfRVhQKENBTCw0MDU0MywsLCxVU0Qp&amp;WINDOW=FIRST_POPUP&amp;HEIGHT=450&amp;WIDTH=450&amp;START_MA","XIMIZED=FALSE&amp;VAR:CALENDAR=US&amp;VAR:SYMBOL=707752&amp;VAR:INDEX=0"}</definedName>
    <definedName name="_4602__FDSAUDITLINK__" hidden="1">{"fdsup://directions/FAT Viewer?action=UPDATE&amp;creator=factset&amp;DYN_ARGS=TRUE&amp;DOC_NAME=FAT:FQL_AUDITING_CLIENT_TEMPLATE.FAT&amp;display_string=Audit&amp;VAR:KEY=PWJMJAPQXA&amp;VAR:QUERY=RkZfUkRfRVhQKENBTCw0MDU0MywsLCxVU0Qp&amp;WINDOW=FIRST_POPUP&amp;HEIGHT=450&amp;WIDTH=450&amp;START_MA","XIMIZED=FALSE&amp;VAR:CALENDAR=US&amp;VAR:SYMBOL=630720&amp;VAR:INDEX=0"}</definedName>
    <definedName name="_4603__FDSAUDITLINK__" hidden="1">{"fdsup://directions/FAT Viewer?action=UPDATE&amp;creator=factset&amp;DYN_ARGS=TRUE&amp;DOC_NAME=FAT:FQL_AUDITING_CLIENT_TEMPLATE.FAT&amp;display_string=Audit&amp;VAR:KEY=TQDGRYXUPO&amp;VAR:QUERY=RkZfUkRfRVhQKENBTCw0MDU0MywsLCxVU0Qp&amp;WINDOW=FIRST_POPUP&amp;HEIGHT=450&amp;WIDTH=450&amp;START_MA","XIMIZED=FALSE&amp;VAR:CALENDAR=US&amp;VAR:SYMBOL=698538&amp;VAR:INDEX=0"}</definedName>
    <definedName name="_4604__FDSAUDITLINK__" hidden="1">{"fdsup://directions/FAT Viewer?action=UPDATE&amp;creator=factset&amp;DYN_ARGS=TRUE&amp;DOC_NAME=FAT:FQL_AUDITING_CLIENT_TEMPLATE.FAT&amp;display_string=Audit&amp;VAR:KEY=LCNIRKJOVO&amp;VAR:QUERY=RkZfUkRfRVhQKENBTCw0MDU0MywsLCxVU0Qp&amp;WINDOW=FIRST_POPUP&amp;HEIGHT=450&amp;WIDTH=450&amp;START_MA","XIMIZED=FALSE&amp;VAR:CALENDAR=US&amp;VAR:SYMBOL=474184&amp;VAR:INDEX=0"}</definedName>
    <definedName name="_4605__FDSAUDITLINK__" hidden="1">{"fdsup://directions/FAT Viewer?action=UPDATE&amp;creator=factset&amp;DYN_ARGS=TRUE&amp;DOC_NAME=FAT:FQL_AUDITING_CLIENT_TEMPLATE.FAT&amp;display_string=Audit&amp;VAR:KEY=JAPATOHCPG&amp;VAR:QUERY=RkZfUkRfRVhQKENBTCw0MDU0MywsLCxVU0Qp&amp;WINDOW=FIRST_POPUP&amp;HEIGHT=450&amp;WIDTH=450&amp;START_MA","XIMIZED=FALSE&amp;VAR:CALENDAR=US&amp;VAR:SYMBOL=B0J7D9&amp;VAR:INDEX=0"}</definedName>
    <definedName name="_4606__FDSAUDITLINK__" hidden="1">{"fdsup://directions/FAT Viewer?action=UPDATE&amp;creator=factset&amp;DYN_ARGS=TRUE&amp;DOC_NAME=FAT:FQL_AUDITING_CLIENT_TEMPLATE.FAT&amp;display_string=Audit&amp;VAR:KEY=ZURSDKXMDW&amp;VAR:QUERY=RkZfUkRfRVhQKENBTCw0MDU0MywsLCxVU0Qp&amp;WINDOW=FIRST_POPUP&amp;HEIGHT=450&amp;WIDTH=450&amp;START_MA","XIMIZED=FALSE&amp;VAR:CALENDAR=US&amp;VAR:SYMBOL=AMGN&amp;VAR:INDEX=0"}</definedName>
    <definedName name="_4607__FDSAUDITLINK__" hidden="1">{"fdsup://directions/FAT Viewer?action=UPDATE&amp;creator=factset&amp;DYN_ARGS=TRUE&amp;DOC_NAME=FAT:FQL_AUDITING_CLIENT_TEMPLATE.FAT&amp;display_string=Audit&amp;VAR:KEY=JWREDEZOBE&amp;VAR:QUERY=RkZfUkRfRVhQKENBTCw0MDU0MywsLCxVU0Qp&amp;WINDOW=FIRST_POPUP&amp;HEIGHT=450&amp;WIDTH=450&amp;START_MA","XIMIZED=FALSE&amp;VAR:CALENDAR=US&amp;VAR:SYMBOL=ABT&amp;VAR:INDEX=0"}</definedName>
    <definedName name="_4608__FDSAUDITLINK__" hidden="1">{"fdsup://directions/FAT Viewer?action=UPDATE&amp;creator=factset&amp;DYN_ARGS=TRUE&amp;DOC_NAME=FAT:FQL_AUDITING_CLIENT_TEMPLATE.FAT&amp;display_string=Audit&amp;VAR:KEY=FMHOHWFCHA&amp;VAR:QUERY=RkZfUkRfRVhQKENBTCw0MDU0MywsLCxVU0Qp&amp;WINDOW=FIRST_POPUP&amp;HEIGHT=450&amp;WIDTH=450&amp;START_MA","XIMIZED=FALSE&amp;VAR:CALENDAR=US&amp;VAR:SYMBOL=687044&amp;VAR:INDEX=0"}</definedName>
    <definedName name="_4609__FDSAUDITLINK__" hidden="1">{"fdsup://directions/FAT Viewer?action=UPDATE&amp;creator=factset&amp;DYN_ARGS=TRUE&amp;DOC_NAME=FAT:FQL_AUDITING_CLIENT_TEMPLATE.FAT&amp;display_string=Audit&amp;VAR:KEY=BCRMHOHMDU&amp;VAR:QUERY=RkZfUkRfRVhQKENBTCw0MDU0MywsLCxVU0Qp&amp;WINDOW=FIRST_POPUP&amp;HEIGHT=450&amp;WIDTH=450&amp;START_MA","XIMIZED=FALSE&amp;VAR:CALENDAR=US&amp;VAR:SYMBOL=BMY&amp;VAR:INDEX=0"}</definedName>
    <definedName name="_461__FDSAUDITLINK__" hidden="1">{"fdsup://directions/FAT%20Viewer?VAR:TM=NTMA&amp;VAR:PCT=0.046575&amp;VAR:Y0=2001&amp;VAR:Y1=2002&amp;VAR:V0=24.095406&amp;VAR:V1=21.201567&amp;VAR:V=21.320828&amp;VAR:AUDIT_ID=00000117&amp;VAR:DATE=20011214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Aggregates&amp;VAR:MEASURE=PE_MEAN&amp;VAR:CALC_MODE=PORTFOLIO&amp;VAR:CHGPERIOD=NA&amp;VAR:FQLFORMULA=FMA_PE&amp;VAR:CURRENCY=USD&amp;VAR:P=1","123.090000&amp;VAR:THRESH=||||||&amp;VAR:null=.html"}</definedName>
    <definedName name="_4610__FDSAUDITLINK__" hidden="1">{"fdsup://directions/FAT Viewer?action=UPDATE&amp;creator=factset&amp;DYN_ARGS=TRUE&amp;DOC_NAME=FAT:FQL_AUDITING_CLIENT_TEMPLATE.FAT&amp;display_string=Audit&amp;VAR:KEY=RWHALYVQFE&amp;VAR:QUERY=RkZfUkRfRVhQKENBTCw0MDU0MywsLCxVU0Qp&amp;WINDOW=FIRST_POPUP&amp;HEIGHT=450&amp;WIDTH=450&amp;START_MA","XIMIZED=FALSE&amp;VAR:CALENDAR=US&amp;VAR:SYMBOL=LLY&amp;VAR:INDEX=0"}</definedName>
    <definedName name="_4611__FDSAUDITLINK__" hidden="1">{"fdsup://directions/FAT Viewer?action=UPDATE&amp;creator=factset&amp;DYN_ARGS=TRUE&amp;DOC_NAME=FAT:FQL_AUDITING_CLIENT_TEMPLATE.FAT&amp;display_string=Audit&amp;VAR:KEY=BOXSLUFEFY&amp;VAR:QUERY=RkZfUkRfRVhQKENBTCw0MDU0MywsLCxVU0Qp&amp;WINDOW=FIRST_POPUP&amp;HEIGHT=450&amp;WIDTH=450&amp;START_MA","XIMIZED=FALSE&amp;VAR:CALENDAR=US&amp;VAR:SYMBOL=506921&amp;VAR:INDEX=0"}</definedName>
    <definedName name="_4612__FDSAUDITLINK__" hidden="1">{"fdsup://directions/FAT Viewer?action=UPDATE&amp;creator=factset&amp;DYN_ARGS=TRUE&amp;DOC_NAME=FAT:FQL_AUDITING_CLIENT_TEMPLATE.FAT&amp;display_string=Audit&amp;VAR:KEY=BKNWZCJIZG&amp;VAR:QUERY=RkZfUkRfRVhQKENBTCw0MDU0MywsLCxVU0Qp&amp;WINDOW=FIRST_POPUP&amp;HEIGHT=450&amp;WIDTH=450&amp;START_MA","XIMIZED=FALSE&amp;VAR:CALENDAR=US&amp;VAR:SYMBOL=567173&amp;VAR:INDEX=0"}</definedName>
    <definedName name="_4613__FDSAUDITLINK__" hidden="1">{"fdsup://directions/FAT Viewer?action=UPDATE&amp;creator=factset&amp;DYN_ARGS=TRUE&amp;DOC_NAME=FAT:FQL_AUDITING_CLIENT_TEMPLATE.FAT&amp;display_string=Audit&amp;VAR:KEY=ZUTEDGBCXY&amp;VAR:QUERY=RkZfUkRfRVhQKENBTCw0MDU0MywsLCxVU0Qp&amp;WINDOW=FIRST_POPUP&amp;HEIGHT=450&amp;WIDTH=450&amp;START_MA","XIMIZED=FALSE&amp;VAR:CALENDAR=US&amp;VAR:SYMBOL=JNJ&amp;VAR:INDEX=0"}</definedName>
    <definedName name="_4614__FDSAUDITLINK__" hidden="1">{"fdsup://directions/FAT Viewer?action=UPDATE&amp;creator=factset&amp;DYN_ARGS=TRUE&amp;DOC_NAME=FAT:FQL_AUDITING_CLIENT_TEMPLATE.FAT&amp;display_string=Audit&amp;VAR:KEY=TYHWTQXSJO&amp;VAR:QUERY=RkZfUkRfRVhQKENBTCw0MDU0MywsLCxVU0Qp&amp;WINDOW=FIRST_POPUP&amp;HEIGHT=450&amp;WIDTH=450&amp;START_MA","XIMIZED=FALSE&amp;VAR:CALENDAR=US&amp;VAR:SYMBOL=710306&amp;VAR:INDEX=0"}</definedName>
    <definedName name="_4615__FDSAUDITLINK__" hidden="1">{"fdsup://directions/FAT Viewer?action=UPDATE&amp;creator=factset&amp;DYN_ARGS=TRUE&amp;DOC_NAME=FAT:FQL_AUDITING_CLIENT_TEMPLATE.FAT&amp;display_string=Audit&amp;VAR:KEY=BSFYPUHUXG&amp;VAR:QUERY=RkZfUkRfRVhQKENBTCw0MDU0MywsLCxVU0Qp&amp;WINDOW=FIRST_POPUP&amp;HEIGHT=450&amp;WIDTH=450&amp;START_MA","XIMIZED=FALSE&amp;VAR:CALENDAR=US&amp;VAR:SYMBOL=711038&amp;VAR:INDEX=0"}</definedName>
    <definedName name="_4616__FDSAUDITLINK__" hidden="1">{"fdsup://directions/FAT Viewer?action=UPDATE&amp;creator=factset&amp;DYN_ARGS=TRUE&amp;DOC_NAME=FAT:FQL_AUDITING_CLIENT_TEMPLATE.FAT&amp;display_string=Audit&amp;VAR:KEY=BQXQNYHAZC&amp;VAR:QUERY=RkZfUkRfRVhQKENBTCw0MDU0MywsLCxVU0Qp&amp;WINDOW=FIRST_POPUP&amp;HEIGHT=450&amp;WIDTH=450&amp;START_MA","XIMIZED=FALSE&amp;VAR:CALENDAR=US&amp;VAR:SYMBOL=MRK&amp;VAR:INDEX=0"}</definedName>
    <definedName name="_4617__FDSAUDITLINK__" hidden="1">{"fdsup://directions/FAT Viewer?action=UPDATE&amp;creator=factset&amp;DYN_ARGS=TRUE&amp;DOC_NAME=FAT:FQL_AUDITING_CLIENT_TEMPLATE.FAT&amp;display_string=Audit&amp;VAR:KEY=XMHMROTSFU&amp;VAR:QUERY=RkZfUkRfRVhQKENBTCw0MDE3OCwsLCxVU0Qp&amp;WINDOW=FIRST_POPUP&amp;HEIGHT=450&amp;WIDTH=450&amp;START_MA","XIMIZED=FALSE&amp;VAR:CALENDAR=US&amp;VAR:SYMBOL=MRK&amp;VAR:INDEX=0"}</definedName>
    <definedName name="_4618__FDSAUDITLINK__" hidden="1">{"fdsup://directions/FAT Viewer?action=UPDATE&amp;creator=factset&amp;DYN_ARGS=TRUE&amp;DOC_NAME=FAT:FQL_AUDITING_CLIENT_TEMPLATE.FAT&amp;display_string=Audit&amp;VAR:KEY=XADITGJORE&amp;VAR:QUERY=RkZfUkRfRVhQKENBTCw0MDE3OCwsLCxVU0Qp&amp;WINDOW=FIRST_POPUP&amp;HEIGHT=450&amp;WIDTH=450&amp;START_MA","XIMIZED=FALSE&amp;VAR:CALENDAR=US&amp;VAR:SYMBOL=PFE&amp;VAR:INDEX=0"}</definedName>
    <definedName name="_4619__FDSAUDITLINK__" hidden="1">{"fdsup://Directions/FactSet Auditing Viewer?action=AUDIT_VALUE&amp;DB=129&amp;ID1=36871040&amp;VALUEID=01001&amp;SDATE=200804&amp;PERIODTYPE=QTR_STD&amp;SCFT=3&amp;window=popup_no_bar&amp;width=385&amp;height=120&amp;START_MAXIMIZED=FALSE&amp;creator=factset&amp;display_string=Audit"}</definedName>
    <definedName name="_462__FDSAUDITLINK__" hidden="1">{"fdsup://directions/FAT%20Viewer?VAR:TM=NTMA&amp;VAR:PCT=0.065753&amp;VAR:Y0=2001&amp;VAR:Y1=2002&amp;VAR:V0=24.719450&amp;VAR:V1=21.780151&amp;VAR:V=21.951781&amp;VAR:AUDIT_ID=00000117&amp;VAR:DATE=20011207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Aggregates&amp;VAR:MEASURE=PE_MEAN&amp;VAR:CALC_MODE=PORTFOLIO&amp;VAR:CHGPERIOD=NA&amp;VAR:FQLFORMULA=FMA_PE&amp;VAR:CURRENCY=USD&amp;VAR:P=1","158.310000&amp;VAR:THRESH=||||||&amp;VAR:null=.html"}</definedName>
    <definedName name="_4620__FDSAUDITLINK__" hidden="1">{"fdsup://Directions/FactSet Auditing Viewer?action=AUDIT_VALUE&amp;DB=129&amp;ID1=36871040&amp;VALUEID=01001&amp;SDATE=200803&amp;PERIODTYPE=QTR_STD&amp;SCFT=3&amp;window=popup_no_bar&amp;width=385&amp;height=120&amp;START_MAXIMIZED=FALSE&amp;creator=factset&amp;display_string=Audit"}</definedName>
    <definedName name="_4621__FDSAUDITLINK__" hidden="1">{"fdsup://Directions/FactSet Auditing Viewer?action=AUDIT_VALUE&amp;DB=129&amp;ID1=36871040&amp;VALUEID=01001&amp;SDATE=200802&amp;PERIODTYPE=QTR_STD&amp;SCFT=3&amp;window=popup_no_bar&amp;width=385&amp;height=120&amp;START_MAXIMIZED=FALSE&amp;creator=factset&amp;display_string=Audit"}</definedName>
    <definedName name="_4622__FDSAUDITLINK__" hidden="1">{"fdsup://Directions/FactSet Auditing Viewer?action=AUDIT_VALUE&amp;DB=129&amp;ID1=36871040&amp;VALUEID=01001&amp;SDATE=200801&amp;PERIODTYPE=QTR_STD&amp;SCFT=3&amp;window=popup_no_bar&amp;width=385&amp;height=120&amp;START_MAXIMIZED=FALSE&amp;creator=factset&amp;display_string=Audit"}</definedName>
    <definedName name="_4623__FDSAUDITLINK__" hidden="1">{"fdsup://Directions/FactSet Auditing Viewer?action=AUDIT_VALUE&amp;DB=129&amp;ID1=36871040&amp;VALUEID=01001&amp;SDATE=200704&amp;PERIODTYPE=QTR_STD&amp;SCFT=3&amp;window=popup_no_bar&amp;width=385&amp;height=120&amp;START_MAXIMIZED=FALSE&amp;creator=factset&amp;display_string=Audit"}</definedName>
    <definedName name="_4624__FDSAUDITLINK__" hidden="1">{"fdsup://Directions/FactSet Auditing Viewer?action=AUDIT_VALUE&amp;DB=129&amp;ID1=36871040&amp;VALUEID=01001&amp;SDATE=200703&amp;PERIODTYPE=QTR_STD&amp;SCFT=3&amp;window=popup_no_bar&amp;width=385&amp;height=120&amp;START_MAXIMIZED=FALSE&amp;creator=factset&amp;display_string=Audit"}</definedName>
    <definedName name="_4625__FDSAUDITLINK__" hidden="1">{"fdsup://Directions/FactSet Auditing Viewer?action=AUDIT_VALUE&amp;DB=129&amp;ID1=36871040&amp;VALUEID=01001&amp;SDATE=200702&amp;PERIODTYPE=QTR_STD&amp;SCFT=3&amp;window=popup_no_bar&amp;width=385&amp;height=120&amp;START_MAXIMIZED=FALSE&amp;creator=factset&amp;display_string=Audit"}</definedName>
    <definedName name="_4626__FDSAUDITLINK__" hidden="1">{"fdsup://Directions/FactSet Auditing Viewer?action=AUDIT_VALUE&amp;DB=129&amp;ID1=36871040&amp;VALUEID=01001&amp;SDATE=200701&amp;PERIODTYPE=QTR_STD&amp;SCFT=3&amp;window=popup_no_bar&amp;width=385&amp;height=120&amp;START_MAXIMIZED=FALSE&amp;creator=factset&amp;display_string=Audit"}</definedName>
    <definedName name="_4627__FDSAUDITLINK__" hidden="1">{"fdsup://Directions/FactSet Auditing Viewer?action=AUDIT_VALUE&amp;DB=129&amp;ID1=98302410&amp;VALUEID=01001&amp;SDATE=200902&amp;PERIODTYPE=QTR_STD&amp;SCFT=3&amp;window=popup_no_bar&amp;width=385&amp;height=120&amp;START_MAXIMIZED=FALSE&amp;creator=factset&amp;display_string=Audit"}</definedName>
    <definedName name="_4628__FDSAUDITLINK__" hidden="1">{"fdsup://Directions/FactSet Auditing Viewer?action=AUDIT_VALUE&amp;DB=129&amp;ID1=98302410&amp;VALUEID=01001&amp;SDATE=200901&amp;PERIODTYPE=QTR_STD&amp;SCFT=3&amp;window=popup_no_bar&amp;width=385&amp;height=120&amp;START_MAXIMIZED=FALSE&amp;creator=factset&amp;display_string=Audit"}</definedName>
    <definedName name="_4629__FDSAUDITLINK__" hidden="1">{"fdsup://Directions/FactSet Auditing Viewer?action=AUDIT_VALUE&amp;DB=129&amp;ID1=98302410&amp;VALUEID=01001&amp;SDATE=200804&amp;PERIODTYPE=QTR_STD&amp;SCFT=3&amp;window=popup_no_bar&amp;width=385&amp;height=120&amp;START_MAXIMIZED=FALSE&amp;creator=factset&amp;display_string=Audit"}</definedName>
    <definedName name="_463__FDSAUDITLINK__" hidden="1">{"fdsup://directions/FAT%20Viewer?VAR:TM=NTMA&amp;VAR:PCT=0.084932&amp;VAR:Y0=2001&amp;VAR:Y1=2002&amp;VAR:V0=24.278374&amp;VAR:V1=21.310417&amp;VAR:V=21.533996&amp;VAR:AUDIT_ID=00000117&amp;VAR:DATE=20011130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Aggregates&amp;VAR:MEASURE=PE_MEAN&amp;VAR:CALC_MODE=PORTFOLIO&amp;VAR:CHGPERIOD=NA&amp;VAR:FQLFORMULA=FMA_PE&amp;VAR:CURRENCY=USD&amp;VAR:P=1","139.450000&amp;VAR:THRESH=||||||&amp;VAR:null=.html"}</definedName>
    <definedName name="_4630__FDSAUDITLINK__" hidden="1">{"fdsup://Directions/FactSet Auditing Viewer?action=AUDIT_VALUE&amp;DB=129&amp;ID1=98302410&amp;VALUEID=01001&amp;SDATE=200803&amp;PERIODTYPE=QTR_STD&amp;SCFT=3&amp;window=popup_no_bar&amp;width=385&amp;height=120&amp;START_MAXIMIZED=FALSE&amp;creator=factset&amp;display_string=Audit"}</definedName>
    <definedName name="_4631__FDSAUDITLINK__" hidden="1">{"fdsup://Directions/FactSet Auditing Viewer?action=AUDIT_VALUE&amp;DB=129&amp;ID1=98302410&amp;VALUEID=01001&amp;SDATE=200802&amp;PERIODTYPE=QTR_STD&amp;SCFT=3&amp;window=popup_no_bar&amp;width=385&amp;height=120&amp;START_MAXIMIZED=FALSE&amp;creator=factset&amp;display_string=Audit"}</definedName>
    <definedName name="_4632__FDSAUDITLINK__" hidden="1">{"fdsup://Directions/FactSet Auditing Viewer?action=AUDIT_VALUE&amp;DB=129&amp;ID1=98302410&amp;VALUEID=01001&amp;SDATE=200801&amp;PERIODTYPE=QTR_STD&amp;SCFT=3&amp;window=popup_no_bar&amp;width=385&amp;height=120&amp;START_MAXIMIZED=FALSE&amp;creator=factset&amp;display_string=Audit"}</definedName>
    <definedName name="_4633__FDSAUDITLINK__" hidden="1">{"fdsup://Directions/FactSet Auditing Viewer?action=AUDIT_VALUE&amp;DB=129&amp;ID1=98302410&amp;VALUEID=01001&amp;SDATE=200704&amp;PERIODTYPE=QTR_STD&amp;SCFT=3&amp;window=popup_no_bar&amp;width=385&amp;height=120&amp;START_MAXIMIZED=FALSE&amp;creator=factset&amp;display_string=Audit"}</definedName>
    <definedName name="_4634__FDSAUDITLINK__" hidden="1">{"fdsup://Directions/FactSet Auditing Viewer?action=AUDIT_VALUE&amp;DB=129&amp;ID1=98302410&amp;VALUEID=01001&amp;SDATE=200703&amp;PERIODTYPE=QTR_STD&amp;SCFT=3&amp;window=popup_no_bar&amp;width=385&amp;height=120&amp;START_MAXIMIZED=FALSE&amp;creator=factset&amp;display_string=Audit"}</definedName>
    <definedName name="_4635__FDSAUDITLINK__" hidden="1">{"fdsup://Directions/FactSet Auditing Viewer?action=AUDIT_VALUE&amp;DB=129&amp;ID1=80660510&amp;VALUEID=01001&amp;SDATE=200903&amp;PERIODTYPE=QTR_STD&amp;SCFT=3&amp;window=popup_no_bar&amp;width=385&amp;height=120&amp;START_MAXIMIZED=FALSE&amp;creator=factset&amp;display_string=Audit"}</definedName>
    <definedName name="_4636__FDSAUDITLINK__" hidden="1">{"fdsup://Directions/FactSet Auditing Viewer?action=AUDIT_VALUE&amp;DB=129&amp;ID1=80660510&amp;VALUEID=01001&amp;SDATE=200902&amp;PERIODTYPE=QTR_STD&amp;SCFT=3&amp;window=popup_no_bar&amp;width=385&amp;height=120&amp;START_MAXIMIZED=FALSE&amp;creator=factset&amp;display_string=Audit"}</definedName>
    <definedName name="_4637__FDSAUDITLINK__" hidden="1">{"fdsup://Directions/FactSet Auditing Viewer?action=AUDIT_VALUE&amp;DB=129&amp;ID1=80660510&amp;VALUEID=01001&amp;SDATE=200804&amp;PERIODTYPE=QTR_STD&amp;SCFT=3&amp;window=popup_no_bar&amp;width=385&amp;height=120&amp;START_MAXIMIZED=FALSE&amp;creator=factset&amp;display_string=Audit"}</definedName>
    <definedName name="_4638__FDSAUDITLINK__" hidden="1">{"fdsup://Directions/FactSet Auditing Viewer?action=AUDIT_VALUE&amp;DB=129&amp;ID1=80660510&amp;VALUEID=01001&amp;SDATE=200803&amp;PERIODTYPE=QTR_STD&amp;SCFT=3&amp;window=popup_no_bar&amp;width=385&amp;height=120&amp;START_MAXIMIZED=FALSE&amp;creator=factset&amp;display_string=Audit"}</definedName>
    <definedName name="_4639__FDSAUDITLINK__" hidden="1">{"fdsup://Directions/FactSet Auditing Viewer?action=AUDIT_VALUE&amp;DB=129&amp;ID1=80660510&amp;VALUEID=01001&amp;SDATE=200802&amp;PERIODTYPE=QTR_STD&amp;SCFT=3&amp;window=popup_no_bar&amp;width=385&amp;height=120&amp;START_MAXIMIZED=FALSE&amp;creator=factset&amp;display_string=Audit"}</definedName>
    <definedName name="_464__FDSAUDITLINK__" hidden="1">{"fdsup://directions/FAT%20Viewer?VAR:TM=NTMA&amp;VAR:PCT=0.104110&amp;VAR:Y0=2001&amp;VAR:Y1=2002&amp;VAR:V0=24.392668&amp;VAR:V1=21.423042&amp;VAR:V=21.698055&amp;VAR:AUDIT_ID=00000117&amp;VAR:DATE=20011123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Aggregates&amp;VAR:MEASURE=PE_MEAN&amp;VAR:CALC_MODE=PORTFOLIO&amp;VAR:CHGPERIOD=NA&amp;VAR:FQLFORMULA=FMA_PE&amp;VAR:CURRENCY=USD&amp;VAR:P=1","150.340000&amp;VAR:THRESH=||||||&amp;VAR:null=.html"}</definedName>
    <definedName name="_4640__FDSAUDITLINK__" hidden="1">{"fdsup://Directions/FactSet Auditing Viewer?action=AUDIT_VALUE&amp;DB=129&amp;ID1=80660510&amp;VALUEID=01001&amp;SDATE=200801&amp;PERIODTYPE=QTR_STD&amp;SCFT=3&amp;window=popup_no_bar&amp;width=385&amp;height=120&amp;START_MAXIMIZED=FALSE&amp;creator=factset&amp;display_string=Audit"}</definedName>
    <definedName name="_4641__FDSAUDITLINK__" hidden="1">{"fdsup://Directions/FactSet Auditing Viewer?action=AUDIT_VALUE&amp;DB=129&amp;ID1=80660510&amp;VALUEID=01001&amp;SDATE=200704&amp;PERIODTYPE=QTR_STD&amp;SCFT=3&amp;window=popup_no_bar&amp;width=385&amp;height=120&amp;START_MAXIMIZED=FALSE&amp;creator=factset&amp;display_string=Audit"}</definedName>
    <definedName name="_4642__FDSAUDITLINK__" hidden="1">{"fdsup://directions/FAT Viewer?action=UPDATE&amp;creator=factset&amp;DYN_ARGS=TRUE&amp;DOC_NAME=FAT:FQL_AUDITING_CLIENT_TEMPLATE.FAT&amp;display_string=Audit&amp;VAR:KEY=PSFYRIZWZC&amp;VAR:QUERY=RkZfU0FMRVMoQ0FMLDQwNTQzLCwsLFVTRCk=&amp;WINDOW=FIRST_POPUP&amp;HEIGHT=450&amp;WIDTH=450&amp;START_MA","XIMIZED=FALSE&amp;VAR:CALENDAR=US&amp;VAR:SYMBOL=BIIB&amp;VAR:INDEX=0"}</definedName>
    <definedName name="_4643__FDSAUDITLINK__" hidden="1">{"fdsup://directions/FAT Viewer?action=UPDATE&amp;creator=factset&amp;DYN_ARGS=TRUE&amp;DOC_NAME=FAT:FQL_AUDITING_CLIENT_TEMPLATE.FAT&amp;display_string=Audit&amp;VAR:KEY=FULAJKBUXO&amp;VAR:QUERY=RkZfU0FMRVMoQ0FMLDQwNTQzLCwsLFVTRCk=&amp;WINDOW=FIRST_POPUP&amp;HEIGHT=450&amp;WIDTH=450&amp;START_MA","XIMIZED=FALSE&amp;VAR:CALENDAR=US&amp;VAR:SYMBOL=707752&amp;VAR:INDEX=0"}</definedName>
    <definedName name="_4644__FDSAUDITLINK__" hidden="1">{"fdsup://directions/FAT Viewer?action=UPDATE&amp;creator=factset&amp;DYN_ARGS=TRUE&amp;DOC_NAME=FAT:FQL_AUDITING_CLIENT_TEMPLATE.FAT&amp;display_string=Audit&amp;VAR:KEY=RIBWDWRERQ&amp;VAR:QUERY=RkZfU0FMRVMoQ0FMLDQwNTQzLCwsLFVTRCk=&amp;WINDOW=FIRST_POPUP&amp;HEIGHT=450&amp;WIDTH=450&amp;START_MA","XIMIZED=FALSE&amp;VAR:CALENDAR=US&amp;VAR:SYMBOL=630720&amp;VAR:INDEX=0"}</definedName>
    <definedName name="_4645__FDSAUDITLINK__" hidden="1">{"fdsup://directions/FAT Viewer?action=UPDATE&amp;creator=factset&amp;DYN_ARGS=TRUE&amp;DOC_NAME=FAT:FQL_AUDITING_CLIENT_TEMPLATE.FAT&amp;display_string=Audit&amp;VAR:KEY=HGDSFIHCJA&amp;VAR:QUERY=RkZfU0FMRVMoQ0FMLDQwNTQzLCwsLFVTRCk=&amp;WINDOW=FIRST_POPUP&amp;HEIGHT=450&amp;WIDTH=450&amp;START_MA","XIMIZED=FALSE&amp;VAR:CALENDAR=US&amp;VAR:SYMBOL=698538&amp;VAR:INDEX=0"}</definedName>
    <definedName name="_4646__FDSAUDITLINK__" hidden="1">{"fdsup://directions/FAT Viewer?action=UPDATE&amp;creator=factset&amp;DYN_ARGS=TRUE&amp;DOC_NAME=FAT:FQL_AUDITING_CLIENT_TEMPLATE.FAT&amp;display_string=Audit&amp;VAR:KEY=BQFYVIHSFI&amp;VAR:QUERY=RkZfU0FMRVMoQ0FMLDQwNTQzLCwsLFVTRCk=&amp;WINDOW=FIRST_POPUP&amp;HEIGHT=450&amp;WIDTH=450&amp;START_MA","XIMIZED=FALSE&amp;VAR:CALENDAR=US&amp;VAR:SYMBOL=474184&amp;VAR:INDEX=0"}</definedName>
    <definedName name="_4647__FDSAUDITLINK__" hidden="1">{"fdsup://directions/FAT Viewer?action=UPDATE&amp;creator=factset&amp;DYN_ARGS=TRUE&amp;DOC_NAME=FAT:FQL_AUDITING_CLIENT_TEMPLATE.FAT&amp;display_string=Audit&amp;VAR:KEY=FOZCTETIXS&amp;VAR:QUERY=RkZfU0FMRVMoQ0FMLDQwNTQzLCwsLFVTRCk=&amp;WINDOW=FIRST_POPUP&amp;HEIGHT=450&amp;WIDTH=450&amp;START_MA","XIMIZED=FALSE&amp;VAR:CALENDAR=US&amp;VAR:SYMBOL=B0J7D9&amp;VAR:INDEX=0"}</definedName>
    <definedName name="_4648__FDSAUDITLINK__" hidden="1">{"fdsup://directions/FAT Viewer?action=UPDATE&amp;creator=factset&amp;DYN_ARGS=TRUE&amp;DOC_NAME=FAT:FQL_AUDITING_CLIENT_TEMPLATE.FAT&amp;display_string=Audit&amp;VAR:KEY=XWNMHODIRY&amp;VAR:QUERY=RkZfU0FMRVMoQ0FMLDQwNTQzLCwsLFVTRCk=&amp;WINDOW=FIRST_POPUP&amp;HEIGHT=450&amp;WIDTH=450&amp;START_MA","XIMIZED=FALSE&amp;VAR:CALENDAR=US&amp;VAR:SYMBOL=AMGN&amp;VAR:INDEX=0"}</definedName>
    <definedName name="_4649__FDSAUDITLINK__" hidden="1">{"fdsup://directions/FAT Viewer?action=UPDATE&amp;creator=factset&amp;DYN_ARGS=TRUE&amp;DOC_NAME=FAT:FQL_AUDITING_CLIENT_TEMPLATE.FAT&amp;display_string=Audit&amp;VAR:KEY=PWBYBYZGVC&amp;VAR:QUERY=RkZfU0FMRVMoQ0FMLDQwNTQzLCwsLFVTRCk=&amp;WINDOW=FIRST_POPUP&amp;HEIGHT=450&amp;WIDTH=450&amp;START_MA","XIMIZED=FALSE&amp;VAR:CALENDAR=US&amp;VAR:SYMBOL=ABT&amp;VAR:INDEX=0"}</definedName>
    <definedName name="_465__FDSAUDITLINK__" hidden="1">{"fdsup://directions/FAT%20Viewer?VAR:TM=NTMA&amp;VAR:PCT=0.123288&amp;VAR:Y0=2001&amp;VAR:Y1=2002&amp;VAR:V0=24.121292&amp;VAR:V1=21.076176&amp;VAR:V=21.409393&amp;VAR:AUDIT_ID=00000117&amp;VAR:DATE=20011116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Aggregates&amp;VAR:MEASURE=PE_MEAN&amp;VAR:CALC_MODE=PORTFOLIO&amp;VAR:CHGPERIOD=NA&amp;VAR:FQLFORMULA=FMA_PE&amp;VAR:CURRENCY=USD&amp;VAR:P=1","138.650000&amp;VAR:THRESH=||||||&amp;VAR:null=.html"}</definedName>
    <definedName name="_4650__FDSAUDITLINK__" hidden="1">{"fdsup://directions/FAT Viewer?action=UPDATE&amp;creator=factset&amp;DYN_ARGS=TRUE&amp;DOC_NAME=FAT:FQL_AUDITING_CLIENT_TEMPLATE.FAT&amp;display_string=Audit&amp;VAR:KEY=HMVWDILITS&amp;VAR:QUERY=RkZfU0FMRVMoQ0FMLDQwNTQzLCwsLFVTRCk=&amp;WINDOW=FIRST_POPUP&amp;HEIGHT=450&amp;WIDTH=450&amp;START_MA","XIMIZED=FALSE&amp;VAR:CALENDAR=US&amp;VAR:SYMBOL=687044&amp;VAR:INDEX=0"}</definedName>
    <definedName name="_4651__FDSAUDITLINK__" hidden="1">{"fdsup://directions/FAT Viewer?action=UPDATE&amp;creator=factset&amp;DYN_ARGS=TRUE&amp;DOC_NAME=FAT:FQL_AUDITING_CLIENT_TEMPLATE.FAT&amp;display_string=Audit&amp;VAR:KEY=DARUTYDUXC&amp;VAR:QUERY=RkZfU0FMRVMoQ0FMLDQwNTQzLCwsLFVTRCk=&amp;WINDOW=FIRST_POPUP&amp;HEIGHT=450&amp;WIDTH=450&amp;START_MA","XIMIZED=FALSE&amp;VAR:CALENDAR=US&amp;VAR:SYMBOL=BMY&amp;VAR:INDEX=0"}</definedName>
    <definedName name="_4652__FDSAUDITLINK__" hidden="1">{"fdsup://directions/FAT Viewer?action=UPDATE&amp;creator=factset&amp;DYN_ARGS=TRUE&amp;DOC_NAME=FAT:FQL_AUDITING_CLIENT_TEMPLATE.FAT&amp;display_string=Audit&amp;VAR:KEY=POPKTAPQJQ&amp;VAR:QUERY=RkZfU0FMRVMoQ0FMLDQwNTQzLCwsLFVTRCk=&amp;WINDOW=FIRST_POPUP&amp;HEIGHT=450&amp;WIDTH=450&amp;START_MA","XIMIZED=FALSE&amp;VAR:CALENDAR=US&amp;VAR:SYMBOL=LLY&amp;VAR:INDEX=0"}</definedName>
    <definedName name="_4653__FDSAUDITLINK__" hidden="1">{"fdsup://directions/FAT Viewer?action=UPDATE&amp;creator=factset&amp;DYN_ARGS=TRUE&amp;DOC_NAME=FAT:FQL_AUDITING_CLIENT_TEMPLATE.FAT&amp;display_string=Audit&amp;VAR:KEY=XOJCXURYNY&amp;VAR:QUERY=RkZfU0FMRVMoQ0FMLDQwNTQzLCwsLFVTRCk=&amp;WINDOW=FIRST_POPUP&amp;HEIGHT=450&amp;WIDTH=450&amp;START_MA","XIMIZED=FALSE&amp;VAR:CALENDAR=US&amp;VAR:SYMBOL=506921&amp;VAR:INDEX=0"}</definedName>
    <definedName name="_4654__FDSAUDITLINK__" hidden="1">{"fdsup://directions/FAT Viewer?action=UPDATE&amp;creator=factset&amp;DYN_ARGS=TRUE&amp;DOC_NAME=FAT:FQL_AUDITING_CLIENT_TEMPLATE.FAT&amp;display_string=Audit&amp;VAR:KEY=VSPKTEVIFI&amp;VAR:QUERY=RkZfU0FMRVMoQ0FMLDQwNTQzLCwsLFVTRCk=&amp;WINDOW=FIRST_POPUP&amp;HEIGHT=450&amp;WIDTH=450&amp;START_MA","XIMIZED=FALSE&amp;VAR:CALENDAR=US&amp;VAR:SYMBOL=567173&amp;VAR:INDEX=0"}</definedName>
    <definedName name="_4655__FDSAUDITLINK__" hidden="1">{"fdsup://directions/FAT Viewer?action=UPDATE&amp;creator=factset&amp;DYN_ARGS=TRUE&amp;DOC_NAME=FAT:FQL_AUDITING_CLIENT_TEMPLATE.FAT&amp;display_string=Audit&amp;VAR:KEY=BCLQRKPMJI&amp;VAR:QUERY=RkZfU0FMRVMoQ0FMLDQwNTQzLCwsLFVTRCk=&amp;WINDOW=FIRST_POPUP&amp;HEIGHT=450&amp;WIDTH=450&amp;START_MA","XIMIZED=FALSE&amp;VAR:CALENDAR=US&amp;VAR:SYMBOL=JNJ&amp;VAR:INDEX=0"}</definedName>
    <definedName name="_4656__FDSAUDITLINK__" hidden="1">{"fdsup://directions/FAT Viewer?action=UPDATE&amp;creator=factset&amp;DYN_ARGS=TRUE&amp;DOC_NAME=FAT:FQL_AUDITING_CLIENT_TEMPLATE.FAT&amp;display_string=Audit&amp;VAR:KEY=VIFKZADUDQ&amp;VAR:QUERY=RkZfU0FMRVMoQ0FMLDQwNTQzLCwsLFVTRCk=&amp;WINDOW=FIRST_POPUP&amp;HEIGHT=450&amp;WIDTH=450&amp;START_MA","XIMIZED=FALSE&amp;VAR:CALENDAR=US&amp;VAR:SYMBOL=710306&amp;VAR:INDEX=0"}</definedName>
    <definedName name="_4657__FDSAUDITLINK__" hidden="1">{"fdsup://directions/FAT Viewer?action=UPDATE&amp;creator=factset&amp;DYN_ARGS=TRUE&amp;DOC_NAME=FAT:FQL_AUDITING_CLIENT_TEMPLATE.FAT&amp;display_string=Audit&amp;VAR:KEY=LUZWFQNOTG&amp;VAR:QUERY=RkZfU0FMRVMoQ0FMLDQwNTQzLCwsLFVTRCk=&amp;WINDOW=FIRST_POPUP&amp;HEIGHT=450&amp;WIDTH=450&amp;START_MA","XIMIZED=FALSE&amp;VAR:CALENDAR=US&amp;VAR:SYMBOL=711038&amp;VAR:INDEX=0"}</definedName>
    <definedName name="_4658__FDSAUDITLINK__" hidden="1">{"fdsup://directions/FAT Viewer?action=UPDATE&amp;creator=factset&amp;DYN_ARGS=TRUE&amp;DOC_NAME=FAT:FQL_AUDITING_CLIENT_TEMPLATE.FAT&amp;display_string=Audit&amp;VAR:KEY=DMDIZURKRI&amp;VAR:QUERY=RkZfU0FMRVMoQ0FMLDQwNTQzLCwsLFVTRCk=&amp;WINDOW=FIRST_POPUP&amp;HEIGHT=450&amp;WIDTH=450&amp;START_MA","XIMIZED=FALSE&amp;VAR:CALENDAR=US&amp;VAR:SYMBOL=MRK&amp;VAR:INDEX=0"}</definedName>
    <definedName name="_4659__FDSAUDITLINK__" hidden="1">{"fdsup://directions/FAT Viewer?action=UPDATE&amp;creator=factset&amp;DYN_ARGS=TRUE&amp;DOC_NAME=FAT:FQL_AUDITING_CLIENT_TEMPLATE.FAT&amp;display_string=Audit&amp;VAR:KEY=HGVYHKXCNO&amp;VAR:QUERY=RkZfU0FMRVMoQ0FMLDQwNTQzLCwsLFVTRCk=&amp;WINDOW=FIRST_POPUP&amp;HEIGHT=450&amp;WIDTH=450&amp;START_MA","XIMIZED=FALSE&amp;VAR:CALENDAR=US&amp;VAR:SYMBOL=PFE&amp;VAR:INDEX=0"}</definedName>
    <definedName name="_466__FDSAUDITLINK__" hidden="1">{"fdsup://directions/FAT%20Viewer?VAR:TM=NTMA&amp;VAR:PCT=0.142466&amp;VAR:Y0=2001&amp;VAR:Y1=2002&amp;VAR:V0=23.636223&amp;VAR:V1=20.521965&amp;VAR:V=20.914552&amp;VAR:AUDIT_ID=00000117&amp;VAR:DATE=20011109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Aggregates&amp;VAR:MEASURE=PE_MEAN&amp;VAR:CALC_MODE=PORTFOLIO&amp;VAR:CHGPERIOD=NA&amp;VAR:FQLFORMULA=FMA_PE&amp;VAR:CURRENCY=USD&amp;VAR:P=1","120.310000&amp;VAR:THRESH=||||||&amp;VAR:null=.html"}</definedName>
    <definedName name="_4660__FDSAUDITLINK__" hidden="1">{"fdsup://directions/FAT Viewer?action=UPDATE&amp;creator=factset&amp;DYN_ARGS=TRUE&amp;DOC_NAME=FAT:FQL_AUDITING_CLIENT_TEMPLATE.FAT&amp;display_string=Audit&amp;VAR:KEY=PSFYRIZWZC&amp;VAR:QUERY=RkZfU0FMRVMoQ0FMLDQwNTQzLCwsLFVTRCk=&amp;WINDOW=FIRST_POPUP&amp;HEIGHT=450&amp;WIDTH=450&amp;START_MA","XIMIZED=FALSE&amp;VAR:CALENDAR=US&amp;VAR:SYMBOL=BIIB&amp;VAR:INDEX=0"}</definedName>
    <definedName name="_4661__FDSAUDITLINK__" hidden="1">{"fdsup://directions/FAT Viewer?action=UPDATE&amp;creator=factset&amp;DYN_ARGS=TRUE&amp;DOC_NAME=FAT:FQL_AUDITING_CLIENT_TEMPLATE.FAT&amp;display_string=Audit&amp;VAR:KEY=FULAJKBUXO&amp;VAR:QUERY=RkZfU0FMRVMoQ0FMLDQwNTQzLCwsLFVTRCk=&amp;WINDOW=FIRST_POPUP&amp;HEIGHT=450&amp;WIDTH=450&amp;START_MA","XIMIZED=FALSE&amp;VAR:CALENDAR=US&amp;VAR:SYMBOL=707752&amp;VAR:INDEX=0"}</definedName>
    <definedName name="_4662__FDSAUDITLINK__" hidden="1">{"fdsup://directions/FAT Viewer?action=UPDATE&amp;creator=factset&amp;DYN_ARGS=TRUE&amp;DOC_NAME=FAT:FQL_AUDITING_CLIENT_TEMPLATE.FAT&amp;display_string=Audit&amp;VAR:KEY=RIBWDWRERQ&amp;VAR:QUERY=RkZfU0FMRVMoQ0FMLDQwNTQzLCwsLFVTRCk=&amp;WINDOW=FIRST_POPUP&amp;HEIGHT=450&amp;WIDTH=450&amp;START_MA","XIMIZED=FALSE&amp;VAR:CALENDAR=US&amp;VAR:SYMBOL=630720&amp;VAR:INDEX=0"}</definedName>
    <definedName name="_4663__FDSAUDITLINK__" hidden="1">{"fdsup://directions/FAT Viewer?action=UPDATE&amp;creator=factset&amp;DYN_ARGS=TRUE&amp;DOC_NAME=FAT:FQL_AUDITING_CLIENT_TEMPLATE.FAT&amp;display_string=Audit&amp;VAR:KEY=HGDSFIHCJA&amp;VAR:QUERY=RkZfU0FMRVMoQ0FMLDQwNTQzLCwsLFVTRCk=&amp;WINDOW=FIRST_POPUP&amp;HEIGHT=450&amp;WIDTH=450&amp;START_MA","XIMIZED=FALSE&amp;VAR:CALENDAR=US&amp;VAR:SYMBOL=698538&amp;VAR:INDEX=0"}</definedName>
    <definedName name="_4664__FDSAUDITLINK__" hidden="1">{"fdsup://directions/FAT Viewer?action=UPDATE&amp;creator=factset&amp;DYN_ARGS=TRUE&amp;DOC_NAME=FAT:FQL_AUDITING_CLIENT_TEMPLATE.FAT&amp;display_string=Audit&amp;VAR:KEY=BQFYVIHSFI&amp;VAR:QUERY=RkZfU0FMRVMoQ0FMLDQwNTQzLCwsLFVTRCk=&amp;WINDOW=FIRST_POPUP&amp;HEIGHT=450&amp;WIDTH=450&amp;START_MA","XIMIZED=FALSE&amp;VAR:CALENDAR=US&amp;VAR:SYMBOL=474184&amp;VAR:INDEX=0"}</definedName>
    <definedName name="_4665__FDSAUDITLINK__" hidden="1">{"fdsup://directions/FAT Viewer?action=UPDATE&amp;creator=factset&amp;DYN_ARGS=TRUE&amp;DOC_NAME=FAT:FQL_AUDITING_CLIENT_TEMPLATE.FAT&amp;display_string=Audit&amp;VAR:KEY=FOZCTETIXS&amp;VAR:QUERY=RkZfU0FMRVMoQ0FMLDQwNTQzLCwsLFVTRCk=&amp;WINDOW=FIRST_POPUP&amp;HEIGHT=450&amp;WIDTH=450&amp;START_MA","XIMIZED=FALSE&amp;VAR:CALENDAR=US&amp;VAR:SYMBOL=B0J7D9&amp;VAR:INDEX=0"}</definedName>
    <definedName name="_4666__FDSAUDITLINK__" hidden="1">{"fdsup://directions/FAT Viewer?action=UPDATE&amp;creator=factset&amp;DYN_ARGS=TRUE&amp;DOC_NAME=FAT:FQL_AUDITING_CLIENT_TEMPLATE.FAT&amp;display_string=Audit&amp;VAR:KEY=XWNMHODIRY&amp;VAR:QUERY=RkZfU0FMRVMoQ0FMLDQwNTQzLCwsLFVTRCk=&amp;WINDOW=FIRST_POPUP&amp;HEIGHT=450&amp;WIDTH=450&amp;START_MA","XIMIZED=FALSE&amp;VAR:CALENDAR=US&amp;VAR:SYMBOL=AMGN&amp;VAR:INDEX=0"}</definedName>
    <definedName name="_4667__FDSAUDITLINK__" hidden="1">{"fdsup://directions/FAT Viewer?action=UPDATE&amp;creator=factset&amp;DYN_ARGS=TRUE&amp;DOC_NAME=FAT:FQL_AUDITING_CLIENT_TEMPLATE.FAT&amp;display_string=Audit&amp;VAR:KEY=PWBYBYZGVC&amp;VAR:QUERY=RkZfU0FMRVMoQ0FMLDQwNTQzLCwsLFVTRCk=&amp;WINDOW=FIRST_POPUP&amp;HEIGHT=450&amp;WIDTH=450&amp;START_MA","XIMIZED=FALSE&amp;VAR:CALENDAR=US&amp;VAR:SYMBOL=ABT&amp;VAR:INDEX=0"}</definedName>
    <definedName name="_4668__FDSAUDITLINK__" hidden="1">{"fdsup://directions/FAT Viewer?action=UPDATE&amp;creator=factset&amp;DYN_ARGS=TRUE&amp;DOC_NAME=FAT:FQL_AUDITING_CLIENT_TEMPLATE.FAT&amp;display_string=Audit&amp;VAR:KEY=HMVWDILITS&amp;VAR:QUERY=RkZfU0FMRVMoQ0FMLDQwNTQzLCwsLFVTRCk=&amp;WINDOW=FIRST_POPUP&amp;HEIGHT=450&amp;WIDTH=450&amp;START_MA","XIMIZED=FALSE&amp;VAR:CALENDAR=US&amp;VAR:SYMBOL=687044&amp;VAR:INDEX=0"}</definedName>
    <definedName name="_4669__FDSAUDITLINK__" hidden="1">{"fdsup://directions/FAT Viewer?action=UPDATE&amp;creator=factset&amp;DYN_ARGS=TRUE&amp;DOC_NAME=FAT:FQL_AUDITING_CLIENT_TEMPLATE.FAT&amp;display_string=Audit&amp;VAR:KEY=DARUTYDUXC&amp;VAR:QUERY=RkZfU0FMRVMoQ0FMLDQwNTQzLCwsLFVTRCk=&amp;WINDOW=FIRST_POPUP&amp;HEIGHT=450&amp;WIDTH=450&amp;START_MA","XIMIZED=FALSE&amp;VAR:CALENDAR=US&amp;VAR:SYMBOL=BMY&amp;VAR:INDEX=0"}</definedName>
    <definedName name="_467__FDSAUDITLINK__" hidden="1">{"fdsup://directions/FAT%20Viewer?VAR:TM=NTMA&amp;VAR:PCT=0.161644&amp;VAR:Y0=2001&amp;VAR:Y1=2002&amp;VAR:V0=22.832123&amp;VAR:V1=19.763004&amp;VAR:V=20.201959&amp;VAR:AUDIT_ID=00000117&amp;VAR:DATE=20011102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Aggregates&amp;VAR:MEASURE=PE_MEAN&amp;VAR:CALC_MODE=PORTFOLIO&amp;VAR:CHGPERIOD=NA&amp;VAR:FQLFORMULA=FMA_PE&amp;VAR:CURRENCY=USD&amp;VAR:P=1","087.200000&amp;VAR:THRESH=||||||&amp;VAR:null=.html"}</definedName>
    <definedName name="_4670__FDSAUDITLINK__" hidden="1">{"fdsup://directions/FAT Viewer?action=UPDATE&amp;creator=factset&amp;DYN_ARGS=TRUE&amp;DOC_NAME=FAT:FQL_AUDITING_CLIENT_TEMPLATE.FAT&amp;display_string=Audit&amp;VAR:KEY=POPKTAPQJQ&amp;VAR:QUERY=RkZfU0FMRVMoQ0FMLDQwNTQzLCwsLFVTRCk=&amp;WINDOW=FIRST_POPUP&amp;HEIGHT=450&amp;WIDTH=450&amp;START_MA","XIMIZED=FALSE&amp;VAR:CALENDAR=US&amp;VAR:SYMBOL=LLY&amp;VAR:INDEX=0"}</definedName>
    <definedName name="_4671__FDSAUDITLINK__" hidden="1">{"fdsup://directions/FAT Viewer?action=UPDATE&amp;creator=factset&amp;DYN_ARGS=TRUE&amp;DOC_NAME=FAT:FQL_AUDITING_CLIENT_TEMPLATE.FAT&amp;display_string=Audit&amp;VAR:KEY=XOJCXURYNY&amp;VAR:QUERY=RkZfU0FMRVMoQ0FMLDQwNTQzLCwsLFVTRCk=&amp;WINDOW=FIRST_POPUP&amp;HEIGHT=450&amp;WIDTH=450&amp;START_MA","XIMIZED=FALSE&amp;VAR:CALENDAR=US&amp;VAR:SYMBOL=506921&amp;VAR:INDEX=0"}</definedName>
    <definedName name="_4672__FDSAUDITLINK__" hidden="1">{"fdsup://directions/FAT Viewer?action=UPDATE&amp;creator=factset&amp;DYN_ARGS=TRUE&amp;DOC_NAME=FAT:FQL_AUDITING_CLIENT_TEMPLATE.FAT&amp;display_string=Audit&amp;VAR:KEY=VSPKTEVIFI&amp;VAR:QUERY=RkZfU0FMRVMoQ0FMLDQwNTQzLCwsLFVTRCk=&amp;WINDOW=FIRST_POPUP&amp;HEIGHT=450&amp;WIDTH=450&amp;START_MA","XIMIZED=FALSE&amp;VAR:CALENDAR=US&amp;VAR:SYMBOL=567173&amp;VAR:INDEX=0"}</definedName>
    <definedName name="_4673__FDSAUDITLINK__" hidden="1">{"fdsup://directions/FAT Viewer?action=UPDATE&amp;creator=factset&amp;DYN_ARGS=TRUE&amp;DOC_NAME=FAT:FQL_AUDITING_CLIENT_TEMPLATE.FAT&amp;display_string=Audit&amp;VAR:KEY=BCLQRKPMJI&amp;VAR:QUERY=RkZfU0FMRVMoQ0FMLDQwNTQzLCwsLFVTRCk=&amp;WINDOW=FIRST_POPUP&amp;HEIGHT=450&amp;WIDTH=450&amp;START_MA","XIMIZED=FALSE&amp;VAR:CALENDAR=US&amp;VAR:SYMBOL=JNJ&amp;VAR:INDEX=0"}</definedName>
    <definedName name="_4674__FDSAUDITLINK__" hidden="1">{"fdsup://directions/FAT Viewer?action=UPDATE&amp;creator=factset&amp;DYN_ARGS=TRUE&amp;DOC_NAME=FAT:FQL_AUDITING_CLIENT_TEMPLATE.FAT&amp;display_string=Audit&amp;VAR:KEY=VIFKZADUDQ&amp;VAR:QUERY=RkZfU0FMRVMoQ0FMLDQwNTQzLCwsLFVTRCk=&amp;WINDOW=FIRST_POPUP&amp;HEIGHT=450&amp;WIDTH=450&amp;START_MA","XIMIZED=FALSE&amp;VAR:CALENDAR=US&amp;VAR:SYMBOL=710306&amp;VAR:INDEX=0"}</definedName>
    <definedName name="_4675__FDSAUDITLINK__" hidden="1">{"fdsup://directions/FAT Viewer?action=UPDATE&amp;creator=factset&amp;DYN_ARGS=TRUE&amp;DOC_NAME=FAT:FQL_AUDITING_CLIENT_TEMPLATE.FAT&amp;display_string=Audit&amp;VAR:KEY=LUZWFQNOTG&amp;VAR:QUERY=RkZfU0FMRVMoQ0FMLDQwNTQzLCwsLFVTRCk=&amp;WINDOW=FIRST_POPUP&amp;HEIGHT=450&amp;WIDTH=450&amp;START_MA","XIMIZED=FALSE&amp;VAR:CALENDAR=US&amp;VAR:SYMBOL=711038&amp;VAR:INDEX=0"}</definedName>
    <definedName name="_4676__FDSAUDITLINK__" hidden="1">{"fdsup://directions/FAT Viewer?action=UPDATE&amp;creator=factset&amp;DYN_ARGS=TRUE&amp;DOC_NAME=FAT:FQL_AUDITING_CLIENT_TEMPLATE.FAT&amp;display_string=Audit&amp;VAR:KEY=DQVIXUTIHC&amp;VAR:QUERY=RkZfU0FMRVMoQ0FMLDQwMTc4LCwsLFVTRCk=&amp;WINDOW=FIRST_POPUP&amp;HEIGHT=450&amp;WIDTH=450&amp;START_MA","XIMIZED=FALSE&amp;VAR:CALENDAR=US&amp;VAR:SYMBOL=711038&amp;VAR:INDEX=0"}</definedName>
    <definedName name="_4677__FDSAUDITLINK__" hidden="1">{"fdsup://directions/FAT Viewer?action=UPDATE&amp;creator=factset&amp;DYN_ARGS=TRUE&amp;DOC_NAME=FAT:FQL_AUDITING_CLIENT_TEMPLATE.FAT&amp;display_string=Audit&amp;VAR:KEY=LANIXUPWJS&amp;VAR:QUERY=RkZfU0FMRVMoQ0FMLDM5ODEzLCwsLFVTRCk=&amp;WINDOW=FIRST_POPUP&amp;HEIGHT=450&amp;WIDTH=450&amp;START_MA","XIMIZED=FALSE&amp;VAR:CALENDAR=US&amp;VAR:SYMBOL=711038&amp;VAR:INDEX=0"}</definedName>
    <definedName name="_4678__FDSAUDITLINK__" hidden="1">{"fdsup://directions/FAT Viewer?action=UPDATE&amp;creator=factset&amp;DYN_ARGS=TRUE&amp;DOC_NAME=FAT:FQL_AUDITING_CLIENT_TEMPLATE.FAT&amp;display_string=Audit&amp;VAR:KEY=DMDIZURKRI&amp;VAR:QUERY=RkZfU0FMRVMoQ0FMLDQwNTQzLCwsLFVTRCk=&amp;WINDOW=FIRST_POPUP&amp;HEIGHT=450&amp;WIDTH=450&amp;START_MA","XIMIZED=FALSE&amp;VAR:CALENDAR=US&amp;VAR:SYMBOL=MRK&amp;VAR:INDEX=0"}</definedName>
    <definedName name="_4679__FDSAUDITLINK__" hidden="1">{"fdsup://directions/FAT Viewer?action=UPDATE&amp;creator=factset&amp;DYN_ARGS=TRUE&amp;DOC_NAME=FAT:FQL_AUDITING_CLIENT_TEMPLATE.FAT&amp;display_string=Audit&amp;VAR:KEY=NITGVAHEXK&amp;VAR:QUERY=RkZfU0FMRVMoQ0FMLDQwMTc4LCwsLFVTRCk=&amp;WINDOW=FIRST_POPUP&amp;HEIGHT=450&amp;WIDTH=450&amp;START_MA","XIMIZED=FALSE&amp;VAR:CALENDAR=US&amp;VAR:SYMBOL=MRK&amp;VAR:INDEX=0"}</definedName>
    <definedName name="_468__FDSAUDITLINK__" hidden="1">{"fdsup://directions/FAT%20Viewer?VAR:TM=NTMA&amp;VAR:PCT=0.180822&amp;VAR:Y0=2001&amp;VAR:Y1=2002&amp;VAR:V0=23.000732&amp;VAR:V1=19.866903&amp;VAR:V=20.368724&amp;VAR:AUDIT_ID=00000117&amp;VAR:DATE=20011026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Aggregates&amp;VAR:MEASURE=PE_MEAN&amp;VAR:CALC_MODE=PORTFOLIO&amp;VAR:CHGPERIOD=NA&amp;VAR:FQLFORMULA=FMA_PE&amp;VAR:CURRENCY=USD&amp;VAR:P=1","104.610000&amp;VAR:THRESH=||||||&amp;VAR:null=.html"}</definedName>
    <definedName name="_4680__FDSAUDITLINK__" hidden="1">{"fdsup://directions/FAT Viewer?action=UPDATE&amp;creator=factset&amp;DYN_ARGS=TRUE&amp;DOC_NAME=FAT:FQL_AUDITING_CLIENT_TEMPLATE.FAT&amp;display_string=Audit&amp;VAR:KEY=PYDALOBCHY&amp;VAR:QUERY=RkZfU0FMRVMoQ0FMLDM5ODEzLCwsLFVTRCk=&amp;WINDOW=FIRST_POPUP&amp;HEIGHT=450&amp;WIDTH=450&amp;START_MA","XIMIZED=FALSE&amp;VAR:CALENDAR=US&amp;VAR:SYMBOL=MRK&amp;VAR:INDEX=0"}</definedName>
    <definedName name="_4681__FDSAUDITLINK__" hidden="1">{"fdsup://directions/FAT Viewer?action=UPDATE&amp;creator=factset&amp;DYN_ARGS=TRUE&amp;DOC_NAME=FAT:FQL_AUDITING_CLIENT_TEMPLATE.FAT&amp;display_string=Audit&amp;VAR:KEY=DIFWLOFKHK&amp;VAR:QUERY=RkZfU0FMRVMoQ0FMLDM5NDQ3LCwsLFVTRCk=&amp;WINDOW=FIRST_POPUP&amp;HEIGHT=450&amp;WIDTH=450&amp;START_MA","XIMIZED=FALSE&amp;VAR:CALENDAR=US&amp;VAR:SYMBOL=MRK&amp;VAR:INDEX=0"}</definedName>
    <definedName name="_4682__FDSAUDITLINK__" hidden="1">{"fdsup://directions/FAT Viewer?action=UPDATE&amp;creator=factset&amp;DYN_ARGS=TRUE&amp;DOC_NAME=FAT:FQL_AUDITING_CLIENT_TEMPLATE.FAT&amp;display_string=Audit&amp;VAR:KEY=HEPGNYVUHS&amp;VAR:QUERY=RkZfU0FMRVMoQ0FMLDM5MDgyLCwsLFVTRCk=&amp;WINDOW=FIRST_POPUP&amp;HEIGHT=450&amp;WIDTH=450&amp;START_MA","XIMIZED=FALSE&amp;VAR:CALENDAR=US&amp;VAR:SYMBOL=MRK&amp;VAR:INDEX=0"}</definedName>
    <definedName name="_4683__FDSAUDITLINK__" hidden="1">{"fdsup://directions/FAT Viewer?action=UPDATE&amp;creator=factset&amp;DYN_ARGS=TRUE&amp;DOC_NAME=FAT:FQL_AUDITING_CLIENT_TEMPLATE.FAT&amp;display_string=Audit&amp;VAR:KEY=LARWVSDIPK&amp;VAR:QUERY=RkZfU0FMRVMoQ0FMLDM4NzE3LCwsLFVTRCk=&amp;WINDOW=FIRST_POPUP&amp;HEIGHT=450&amp;WIDTH=450&amp;START_MA","XIMIZED=FALSE&amp;VAR:CALENDAR=US&amp;VAR:SYMBOL=MRK&amp;VAR:INDEX=0"}</definedName>
    <definedName name="_4684__FDSAUDITLINK__" hidden="1">{"fdsup://directions/FAT Viewer?action=UPDATE&amp;creator=factset&amp;DYN_ARGS=TRUE&amp;DOC_NAME=FAT:FQL_AUDITING_CLIENT_TEMPLATE.FAT&amp;display_string=Audit&amp;VAR:KEY=XINIZQTOTW&amp;VAR:QUERY=RkZfU0FMRVMoQ0FMLDM4MzUyLCwsLFVTRCk=&amp;WINDOW=FIRST_POPUP&amp;HEIGHT=450&amp;WIDTH=450&amp;START_MA","XIMIZED=FALSE&amp;VAR:CALENDAR=US&amp;VAR:SYMBOL=MRK&amp;VAR:INDEX=0"}</definedName>
    <definedName name="_4685__FDSAUDITLINK__" hidden="1">{"fdsup://directions/FAT Viewer?action=UPDATE&amp;creator=factset&amp;DYN_ARGS=TRUE&amp;DOC_NAME=FAT:FQL_AUDITING_CLIENT_TEMPLATE.FAT&amp;display_string=Audit&amp;VAR:KEY=HGVYHKXCNO&amp;VAR:QUERY=RkZfU0FMRVMoQ0FMLDQwNTQzLCwsLFVTRCk=&amp;WINDOW=FIRST_POPUP&amp;HEIGHT=450&amp;WIDTH=450&amp;START_MA","XIMIZED=FALSE&amp;VAR:CALENDAR=US&amp;VAR:SYMBOL=PFE&amp;VAR:INDEX=0"}</definedName>
    <definedName name="_4686__FDSAUDITLINK__" hidden="1">{"fdsup://directions/FAT Viewer?action=UPDATE&amp;creator=factset&amp;DYN_ARGS=TRUE&amp;DOC_NAME=FAT:FQL_AUDITING_CLIENT_TEMPLATE.FAT&amp;display_string=Audit&amp;VAR:KEY=VUBGPEPQXE&amp;VAR:QUERY=RkZfU0FMRVMoQ0FMLDQwMTc4LCwsLFVTRCk=&amp;WINDOW=FIRST_POPUP&amp;HEIGHT=450&amp;WIDTH=450&amp;START_MA","XIMIZED=FALSE&amp;VAR:CALENDAR=US&amp;VAR:SYMBOL=PFE&amp;VAR:INDEX=0"}</definedName>
    <definedName name="_4687__FDSAUDITLINK__" hidden="1">{"fdsup://directions/FAT Viewer?action=UPDATE&amp;creator=factset&amp;DYN_ARGS=TRUE&amp;DOC_NAME=FAT:FQL_AUDITING_CLIENT_TEMPLATE.FAT&amp;display_string=Audit&amp;VAR:KEY=TALIFCXGLY&amp;VAR:QUERY=RkZfU0FMRVMoQ0FMLDM5ODEzLCwsLFVTRCk=&amp;WINDOW=FIRST_POPUP&amp;HEIGHT=450&amp;WIDTH=450&amp;START_MA","XIMIZED=FALSE&amp;VAR:CALENDAR=US&amp;VAR:SYMBOL=PFE&amp;VAR:INDEX=0"}</definedName>
    <definedName name="_4688__FDSAUDITLINK__" hidden="1">{"fdsup://directions/FAT Viewer?action=UPDATE&amp;creator=factset&amp;DYN_ARGS=TRUE&amp;DOC_NAME=FAT:FQL_AUDITING_CLIENT_TEMPLATE.FAT&amp;display_string=Audit&amp;VAR:KEY=XGZEZUPELA&amp;VAR:QUERY=RkZfU0FMRVMoQ0FMLDM5NDQ3LCwsLFVTRCk=&amp;WINDOW=FIRST_POPUP&amp;HEIGHT=450&amp;WIDTH=450&amp;START_MA","XIMIZED=FALSE&amp;VAR:CALENDAR=US&amp;VAR:SYMBOL=PFE&amp;VAR:INDEX=0"}</definedName>
    <definedName name="_4689__FDSAUDITLINK__" hidden="1">{"fdsup://directions/FAT Viewer?action=UPDATE&amp;creator=factset&amp;DYN_ARGS=TRUE&amp;DOC_NAME=FAT:FQL_AUDITING_CLIENT_TEMPLATE.FAT&amp;display_string=Audit&amp;VAR:KEY=VCRKNMRSXU&amp;VAR:QUERY=RkZfU0FMRVMoQ0FMLDM5MDgyLCwsLFVTRCk=&amp;WINDOW=FIRST_POPUP&amp;HEIGHT=450&amp;WIDTH=450&amp;START_MA","XIMIZED=FALSE&amp;VAR:CALENDAR=US&amp;VAR:SYMBOL=PFE&amp;VAR:INDEX=0"}</definedName>
    <definedName name="_469__FDSAUDITLINK__" hidden="1">{"fdsup://directions/FAT%20Viewer?VAR:TM=NTMA&amp;VAR:PCT=0.200000&amp;VAR:Y0=2001&amp;VAR:Y1=2002&amp;VAR:V0=22.085823&amp;VAR:V1=18.974660&amp;VAR:V=19.524738&amp;VAR:AUDIT_ID=00000117&amp;VAR:DATE=20011019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Aggregates&amp;VAR:MEASURE=PE_MEAN&amp;VAR:CALC_MODE=PORTFOLIO&amp;VAR:CHGPERIOD=NA&amp;VAR:FQLFORMULA=FMA_PE&amp;VAR:CURRENCY=USD&amp;VAR:P=1","073.480000&amp;VAR:THRESH=||||||&amp;VAR:null=.html"}</definedName>
    <definedName name="_4690__FDSAUDITLINK__" hidden="1">{"fdsup://directions/FAT Viewer?action=UPDATE&amp;creator=factset&amp;DYN_ARGS=TRUE&amp;DOC_NAME=FAT:FQL_AUDITING_CLIENT_TEMPLATE.FAT&amp;display_string=Audit&amp;VAR:KEY=XSFMPONEVU&amp;VAR:QUERY=RkZfU0FMRVMoQ0FMLDM4NzE3LCwsLFVTRCk=&amp;WINDOW=FIRST_POPUP&amp;HEIGHT=450&amp;WIDTH=450&amp;START_MA","XIMIZED=FALSE&amp;VAR:CALENDAR=US&amp;VAR:SYMBOL=PFE&amp;VAR:INDEX=0"}</definedName>
    <definedName name="_4691__FDSAUDITLINK__" hidden="1">{"fdsup://directions/FAT Viewer?action=UPDATE&amp;creator=factset&amp;DYN_ARGS=TRUE&amp;DOC_NAME=FAT:FQL_AUDITING_CLIENT_TEMPLATE.FAT&amp;display_string=Audit&amp;VAR:KEY=ZQNSHKVOTE&amp;VAR:QUERY=RkZfU0FMRVMoQ0FMLDM4MzUyLCwsLFVTRCk=&amp;WINDOW=FIRST_POPUP&amp;HEIGHT=450&amp;WIDTH=450&amp;START_MA","XIMIZED=FALSE&amp;VAR:CALENDAR=US&amp;VAR:SYMBOL=PFE&amp;VAR:INDEX=0"}</definedName>
    <definedName name="_4692__FDSAUDITLINK__" hidden="1">{"fdsup://Directions/FactSet Auditing Viewer?action=AUDIT_VALUE&amp;DB=129&amp;ID1=36871040&amp;VALUEID=01001&amp;SDATE=200804&amp;PERIODTYPE=QTR_STD&amp;SCFT=3&amp;window=popup_no_bar&amp;width=385&amp;height=120&amp;START_MAXIMIZED=FALSE&amp;creator=factset&amp;display_string=Audit"}</definedName>
    <definedName name="_4693__FDSAUDITLINK__" hidden="1">{"fdsup://Directions/FactSet Auditing Viewer?action=AUDIT_VALUE&amp;DB=129&amp;ID1=36871040&amp;VALUEID=01001&amp;SDATE=200803&amp;PERIODTYPE=QTR_STD&amp;SCFT=3&amp;window=popup_no_bar&amp;width=385&amp;height=120&amp;START_MAXIMIZED=FALSE&amp;creator=factset&amp;display_string=Audit"}</definedName>
    <definedName name="_4694__FDSAUDITLINK__" hidden="1">{"fdsup://Directions/FactSet Auditing Viewer?action=AUDIT_VALUE&amp;DB=129&amp;ID1=36871040&amp;VALUEID=01001&amp;SDATE=200802&amp;PERIODTYPE=QTR_STD&amp;SCFT=3&amp;window=popup_no_bar&amp;width=385&amp;height=120&amp;START_MAXIMIZED=FALSE&amp;creator=factset&amp;display_string=Audit"}</definedName>
    <definedName name="_4695__FDSAUDITLINK__" hidden="1">{"fdsup://Directions/FactSet Auditing Viewer?action=AUDIT_VALUE&amp;DB=129&amp;ID1=36871040&amp;VALUEID=01001&amp;SDATE=200801&amp;PERIODTYPE=QTR_STD&amp;SCFT=3&amp;window=popup_no_bar&amp;width=385&amp;height=120&amp;START_MAXIMIZED=FALSE&amp;creator=factset&amp;display_string=Audit"}</definedName>
    <definedName name="_4696__FDSAUDITLINK__" hidden="1">{"fdsup://Directions/FactSet Auditing Viewer?action=AUDIT_VALUE&amp;DB=129&amp;ID1=36871040&amp;VALUEID=01001&amp;SDATE=200704&amp;PERIODTYPE=QTR_STD&amp;SCFT=3&amp;window=popup_no_bar&amp;width=385&amp;height=120&amp;START_MAXIMIZED=FALSE&amp;creator=factset&amp;display_string=Audit"}</definedName>
    <definedName name="_4697__FDSAUDITLINK__" hidden="1">{"fdsup://Directions/FactSet Auditing Viewer?action=AUDIT_VALUE&amp;DB=129&amp;ID1=36871040&amp;VALUEID=01001&amp;SDATE=200703&amp;PERIODTYPE=QTR_STD&amp;SCFT=3&amp;window=popup_no_bar&amp;width=385&amp;height=120&amp;START_MAXIMIZED=FALSE&amp;creator=factset&amp;display_string=Audit"}</definedName>
    <definedName name="_4698__FDSAUDITLINK__" hidden="1">{"fdsup://Directions/FactSet Auditing Viewer?action=AUDIT_VALUE&amp;DB=129&amp;ID1=36871040&amp;VALUEID=01001&amp;SDATE=200702&amp;PERIODTYPE=QTR_STD&amp;SCFT=3&amp;window=popup_no_bar&amp;width=385&amp;height=120&amp;START_MAXIMIZED=FALSE&amp;creator=factset&amp;display_string=Audit"}</definedName>
    <definedName name="_4699__FDSAUDITLINK__" hidden="1">{"fdsup://Directions/FactSet Auditing Viewer?action=AUDIT_VALUE&amp;DB=129&amp;ID1=36871040&amp;VALUEID=01001&amp;SDATE=200701&amp;PERIODTYPE=QTR_STD&amp;SCFT=3&amp;window=popup_no_bar&amp;width=385&amp;height=120&amp;START_MAXIMIZED=FALSE&amp;creator=factset&amp;display_string=Audit"}</definedName>
    <definedName name="_47__FDSAUDITLINK__" hidden="1">{"fdsup://directions/FAT%20Viewer?VAR:TM=NTMA&amp;VAR:PCT=0.112329&amp;VAR:Y0=2009&amp;VAR:Y1=2010&amp;VAR:V0=17.422127&amp;VAR:V1=14.004956&amp;VAR:V=14.320466&amp;VAR:AUDIT_ID=00000117&amp;VAR:DATE=20091120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Aggregates&amp;VAR:MEASURE=PE_MEAN&amp;VAR:CALC_MODE=PORTFOLIO&amp;VAR:CHGPERIOD=NA&amp;VAR:FQLFORMULA=FMA_PE&amp;VAR:CURRENCY=USD&amp;VAR:P=1","091.376937&amp;VAR:THRESH=||||||&amp;VAR:null=.html"}</definedName>
    <definedName name="_470__FDSAUDITLINK__" hidden="1">{"fdsup://directions/FAT%20Viewer?VAR:TM=NTMA&amp;VAR:PCT=0.219178&amp;VAR:Y0=2001&amp;VAR:Y1=2002&amp;VAR:V0=22.162024&amp;VAR:V1=19.076954&amp;VAR:V=19.677324&amp;VAR:AUDIT_ID=00000117&amp;VAR:DATE=20011012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Aggregates&amp;VAR:MEASURE=PE_MEAN&amp;VAR:CALC_MODE=PORTFOLIO&amp;VAR:CHGPERIOD=NA&amp;VAR:FQLFORMULA=FMA_PE&amp;VAR:CURRENCY=USD&amp;VAR:P=1","091.650000&amp;VAR:THRESH=||||||&amp;VAR:null=.html"}</definedName>
    <definedName name="_4700__FDSAUDITLINK__" hidden="1">{"fdsup://Directions/FactSet Auditing Viewer?action=AUDIT_VALUE&amp;DB=129&amp;ID1=98302410&amp;VALUEID=01001&amp;SDATE=200902&amp;PERIODTYPE=QTR_STD&amp;SCFT=3&amp;window=popup_no_bar&amp;width=385&amp;height=120&amp;START_MAXIMIZED=FALSE&amp;creator=factset&amp;display_string=Audit"}</definedName>
    <definedName name="_4701__FDSAUDITLINK__" hidden="1">{"fdsup://Directions/FactSet Auditing Viewer?action=AUDIT_VALUE&amp;DB=129&amp;ID1=98302410&amp;VALUEID=01001&amp;SDATE=200901&amp;PERIODTYPE=QTR_STD&amp;SCFT=3&amp;window=popup_no_bar&amp;width=385&amp;height=120&amp;START_MAXIMIZED=FALSE&amp;creator=factset&amp;display_string=Audit"}</definedName>
    <definedName name="_4702__FDSAUDITLINK__" hidden="1">{"fdsup://Directions/FactSet Auditing Viewer?action=AUDIT_VALUE&amp;DB=129&amp;ID1=98302410&amp;VALUEID=01001&amp;SDATE=200804&amp;PERIODTYPE=QTR_STD&amp;SCFT=3&amp;window=popup_no_bar&amp;width=385&amp;height=120&amp;START_MAXIMIZED=FALSE&amp;creator=factset&amp;display_string=Audit"}</definedName>
    <definedName name="_4703__FDSAUDITLINK__" hidden="1">{"fdsup://Directions/FactSet Auditing Viewer?action=AUDIT_VALUE&amp;DB=129&amp;ID1=98302410&amp;VALUEID=01001&amp;SDATE=200803&amp;PERIODTYPE=QTR_STD&amp;SCFT=3&amp;window=popup_no_bar&amp;width=385&amp;height=120&amp;START_MAXIMIZED=FALSE&amp;creator=factset&amp;display_string=Audit"}</definedName>
    <definedName name="_4704__FDSAUDITLINK__" hidden="1">{"fdsup://Directions/FactSet Auditing Viewer?action=AUDIT_VALUE&amp;DB=129&amp;ID1=98302410&amp;VALUEID=01001&amp;SDATE=200802&amp;PERIODTYPE=QTR_STD&amp;SCFT=3&amp;window=popup_no_bar&amp;width=385&amp;height=120&amp;START_MAXIMIZED=FALSE&amp;creator=factset&amp;display_string=Audit"}</definedName>
    <definedName name="_4705__FDSAUDITLINK__" hidden="1">{"fdsup://Directions/FactSet Auditing Viewer?action=AUDIT_VALUE&amp;DB=129&amp;ID1=98302410&amp;VALUEID=01001&amp;SDATE=200801&amp;PERIODTYPE=QTR_STD&amp;SCFT=3&amp;window=popup_no_bar&amp;width=385&amp;height=120&amp;START_MAXIMIZED=FALSE&amp;creator=factset&amp;display_string=Audit"}</definedName>
    <definedName name="_4706__FDSAUDITLINK__" hidden="1">{"fdsup://Directions/FactSet Auditing Viewer?action=AUDIT_VALUE&amp;DB=129&amp;ID1=98302410&amp;VALUEID=01001&amp;SDATE=200704&amp;PERIODTYPE=QTR_STD&amp;SCFT=3&amp;window=popup_no_bar&amp;width=385&amp;height=120&amp;START_MAXIMIZED=FALSE&amp;creator=factset&amp;display_string=Audit"}</definedName>
    <definedName name="_4707__FDSAUDITLINK__" hidden="1">{"fdsup://Directions/FactSet Auditing Viewer?action=AUDIT_VALUE&amp;DB=129&amp;ID1=98302410&amp;VALUEID=01001&amp;SDATE=200703&amp;PERIODTYPE=QTR_STD&amp;SCFT=3&amp;window=popup_no_bar&amp;width=385&amp;height=120&amp;START_MAXIMIZED=FALSE&amp;creator=factset&amp;display_string=Audit"}</definedName>
    <definedName name="_4708__FDSAUDITLINK__" hidden="1">{"fdsup://Directions/FactSet Auditing Viewer?action=AUDIT_VALUE&amp;DB=129&amp;ID1=80660510&amp;VALUEID=01001&amp;SDATE=200903&amp;PERIODTYPE=QTR_STD&amp;SCFT=3&amp;window=popup_no_bar&amp;width=385&amp;height=120&amp;START_MAXIMIZED=FALSE&amp;creator=factset&amp;display_string=Audit"}</definedName>
    <definedName name="_4709__FDSAUDITLINK__" hidden="1">{"fdsup://Directions/FactSet Auditing Viewer?action=AUDIT_VALUE&amp;DB=129&amp;ID1=80660510&amp;VALUEID=01001&amp;SDATE=200902&amp;PERIODTYPE=QTR_STD&amp;SCFT=3&amp;window=popup_no_bar&amp;width=385&amp;height=120&amp;START_MAXIMIZED=FALSE&amp;creator=factset&amp;display_string=Audit"}</definedName>
    <definedName name="_471__FDSAUDITLINK__" hidden="1">{"fdsup://directions/FAT%20Viewer?VAR:TM=NTMA&amp;VAR:PCT=0.238356&amp;VAR:Y0=2001&amp;VAR:Y1=2002&amp;VAR:V0=21.806509&amp;VAR:V1=18.719595&amp;VAR:V=19.373279&amp;VAR:AUDIT_ID=00000117&amp;VAR:DATE=20011005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Aggregates&amp;VAR:MEASURE=PE_MEAN&amp;VAR:CALC_MODE=PORTFOLIO&amp;VAR:CHGPERIOD=NA&amp;VAR:FQLFORMULA=FMA_PE&amp;VAR:CURRENCY=USD&amp;VAR:P=1","071.380000&amp;VAR:THRESH=||||||&amp;VAR:null=.html"}</definedName>
    <definedName name="_4710__FDSAUDITLINK__" hidden="1">{"fdsup://Directions/FactSet Auditing Viewer?action=AUDIT_VALUE&amp;DB=129&amp;ID1=80660510&amp;VALUEID=01001&amp;SDATE=200804&amp;PERIODTYPE=QTR_STD&amp;SCFT=3&amp;window=popup_no_bar&amp;width=385&amp;height=120&amp;START_MAXIMIZED=FALSE&amp;creator=factset&amp;display_string=Audit"}</definedName>
    <definedName name="_4711__FDSAUDITLINK__" hidden="1">{"fdsup://Directions/FactSet Auditing Viewer?action=AUDIT_VALUE&amp;DB=129&amp;ID1=80660510&amp;VALUEID=01001&amp;SDATE=200803&amp;PERIODTYPE=QTR_STD&amp;SCFT=3&amp;window=popup_no_bar&amp;width=385&amp;height=120&amp;START_MAXIMIZED=FALSE&amp;creator=factset&amp;display_string=Audit"}</definedName>
    <definedName name="_4712__FDSAUDITLINK__" hidden="1">{"fdsup://Directions/FactSet Auditing Viewer?action=AUDIT_VALUE&amp;DB=129&amp;ID1=80660510&amp;VALUEID=01001&amp;SDATE=200802&amp;PERIODTYPE=QTR_STD&amp;SCFT=3&amp;window=popup_no_bar&amp;width=385&amp;height=120&amp;START_MAXIMIZED=FALSE&amp;creator=factset&amp;display_string=Audit"}</definedName>
    <definedName name="_4713__FDSAUDITLINK__" hidden="1">{"fdsup://Directions/FactSet Auditing Viewer?action=AUDIT_VALUE&amp;DB=129&amp;ID1=80660510&amp;VALUEID=01001&amp;SDATE=200801&amp;PERIODTYPE=QTR_STD&amp;SCFT=3&amp;window=popup_no_bar&amp;width=385&amp;height=120&amp;START_MAXIMIZED=FALSE&amp;creator=factset&amp;display_string=Audit"}</definedName>
    <definedName name="_4714__FDSAUDITLINK__" hidden="1">{"fdsup://Directions/FactSet Auditing Viewer?action=AUDIT_VALUE&amp;DB=129&amp;ID1=80660510&amp;VALUEID=01001&amp;SDATE=200704&amp;PERIODTYPE=QTR_STD&amp;SCFT=3&amp;window=popup_no_bar&amp;width=385&amp;height=120&amp;START_MAXIMIZED=FALSE&amp;creator=factset&amp;display_string=Audit"}</definedName>
    <definedName name="_4715__FDSAUDITLINK__" hidden="1">{"fdsup://directions/FAT%20Viewer?WINDOW=first_popup&amp;DYN_ARGS=TRUE&amp;START_MAXIMIZED=FALSE&amp;TITLEBAR=FactSet Market Aggregates&amp;ACTION=UPDATE&amp;CREATOR=FACTSET&amp;HEIGHT=450&amp;WIDTH=500&amp;DOC_NAME=FAT:FMA_AUDIT_TM.FAT&amp;VAR:CURRENCY=USD&amp;VAR:AUDIT_ID=INDEX%3APERSONAL%3APBM",".OFDB&amp;VAR:CALC_MODE=AGGREGATE&amp;VAR:CHGPERIOD=NA&amp;DISPLAY_STRING=audit&amp;VAR:FQLFORMULA=FMA_PE&amp;VAR:MEASURE=PE&amp;VAR:NULL=.HTML&amp;VAR:TM=NTMA&amp;VAR:PCT=0.594521&amp;VAR:V=13.076996&amp;VAR:V0=14.556887&amp;VAR:V1=12.229073&amp;VAR:Y0=2011&amp;VAR:Y1=2012&amp;VAR:P=5388.220215&amp;VAR:DATE=20110","805&amp;VAR:THRESH=-|-|-|-|-|-|-"}</definedName>
    <definedName name="_4716__FDSAUDITLINK__" hidden="1">{"fdsup://directions/FAT%20Viewer?WINDOW=first_popup&amp;DYN_ARGS=TRUE&amp;START_MAXIMIZED=FALSE&amp;TITLEBAR=FactSet Market Aggregates&amp;ACTION=UPDATE&amp;CREATOR=FACTSET&amp;HEIGHT=450&amp;WIDTH=500&amp;DOC_NAME=FAT:FMA_AUDIT_TM.FAT&amp;VAR:CURRENCY=USD&amp;VAR:AUDIT_ID=INDEX%3APERSONAL%3APBM",".OFDB&amp;VAR:CALC_MODE=AGGREGATE&amp;VAR:CHGPERIOD=NA&amp;DISPLAY_STRING=audit&amp;VAR:FQLFORMULA=FMA_PE&amp;VAR:MEASURE=PE&amp;VAR:NULL=.HTML&amp;VAR:TM=NTMA&amp;VAR:PCT=0.575342&amp;VAR:V=14.579122&amp;VAR:V0=16.174491&amp;VAR:V1=13.589761&amp;VAR:Y0=2011&amp;VAR:Y1=2012&amp;VAR:P=5991.818848&amp;VAR:DATE=20110","729&amp;VAR:THRESH=-|-|-|-|-|-|-"}</definedName>
    <definedName name="_4717__FDSAUDITLINK__" hidden="1">{"fdsup://directions/FAT%20Viewer?WINDOW=first_popup&amp;DYN_ARGS=TRUE&amp;START_MAXIMIZED=FALSE&amp;TITLEBAR=FactSet Market Aggregates&amp;ACTION=UPDATE&amp;CREATOR=FACTSET&amp;HEIGHT=450&amp;WIDTH=500&amp;DOC_NAME=FAT:FMA_AUDIT_TM.FAT&amp;VAR:CURRENCY=USD&amp;VAR:AUDIT_ID=INDEX%3APERSONAL%3APBM",".OFDB&amp;VAR:CALC_MODE=AGGREGATE&amp;VAR:CHGPERIOD=NA&amp;DISPLAY_STRING=audit&amp;VAR:FQLFORMULA=FMA_PE&amp;VAR:MEASURE=PE&amp;VAR:NULL=.HTML&amp;VAR:TM=NTMA&amp;VAR:PCT=0.556164&amp;VAR:V=15.389941&amp;VAR:V0=17.012050&amp;VAR:V1=14.301688&amp;VAR:Y0=2011&amp;VAR:Y1=2012&amp;VAR:P=6308.202148&amp;VAR:DATE=20110","722&amp;VAR:THRESH=-|-|-|-|-|-|-"}</definedName>
    <definedName name="_4718__FDSAUDITLINK__" hidden="1">{"fdsup://directions/FAT%20Viewer?WINDOW=first_popup&amp;DYN_ARGS=TRUE&amp;START_MAXIMIZED=FALSE&amp;TITLEBAR=FactSet Market Aggregates&amp;ACTION=UPDATE&amp;CREATOR=FACTSET&amp;HEIGHT=450&amp;WIDTH=500&amp;DOC_NAME=FAT:FMA_AUDIT_SUMMARY.FAT&amp;VAR:CURRENCY=USD&amp;VAR:AUDIT_ID=INDEX%3APERSONAL%","3APBM.OFDB&amp;VAR:CALC_MODE=AGGREGATE&amp;VAR:CHGPERIOD=NA&amp;DISPLAY_STRING=audit&amp;VAR:FQLFORMULA=FMA_PE&amp;VAR:MEASURE=PE&amp;VAR:NULL=.HTML&amp;VAR:PED=2012&amp;VAR:PERIOD=CY&amp;VAR:THRESH=-|-|-|-|-|-&amp;VAR:PCT=N&amp;VAR:V=12.229073&amp;VAR:P=1&amp;VAR:DATE=20110805"}</definedName>
    <definedName name="_4719__FDSAUDITLINK__" hidden="1">{"fdsup://directions/FAT%20Viewer?WINDOW=first_popup&amp;DYN_ARGS=TRUE&amp;START_MAXIMIZED=FALSE&amp;TITLEBAR=FactSet Market Aggregates&amp;ACTION=UPDATE&amp;CREATOR=FACTSET&amp;HEIGHT=450&amp;WIDTH=500&amp;DOC_NAME=FAT:FMA_AUDIT_SUMMARY.FAT&amp;VAR:CURRENCY=USD&amp;VAR:AUDIT_ID=INDEX%3APERSONAL%","3APBM.OFDB&amp;VAR:CALC_MODE=AGGREGATE&amp;VAR:CHGPERIOD=NA&amp;DISPLAY_STRING=audit&amp;VAR:FQLFORMULA=FMA_PE&amp;VAR:MEASURE=PE&amp;VAR:NULL=.HTML&amp;VAR:PED=2012&amp;VAR:PERIOD=CY&amp;VAR:THRESH=-|-|-|-|-|-&amp;VAR:PCT=N&amp;VAR:V=13.589761&amp;VAR:P=1&amp;VAR:DATE=20110729"}</definedName>
    <definedName name="_472__FDSAUDITLINK__" hidden="1">{"fdsup://directions/FAT%20Viewer?VAR:TM=NTMA&amp;VAR:PCT=0.257534&amp;VAR:Y0=2001&amp;VAR:Y1=2002&amp;VAR:V0=20.924225&amp;VAR:V1=17.906311&amp;VAR:V=18.597087&amp;VAR:AUDIT_ID=00000117&amp;VAR:DATE=20010928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Aggregates&amp;VAR:MEASURE=PE_MEAN&amp;VAR:CALC_MODE=PORTFOLIO&amp;VAR:CHGPERIOD=NA&amp;VAR:FQLFORMULA=FMA_PE&amp;VAR:CURRENCY=USD&amp;VAR:P=1","040.940000&amp;VAR:THRESH=||||||&amp;VAR:null=.html"}</definedName>
    <definedName name="_4720__FDSAUDITLINK__" hidden="1">{"fdsup://directions/FAT%20Viewer?WINDOW=first_popup&amp;DYN_ARGS=TRUE&amp;START_MAXIMIZED=FALSE&amp;TITLEBAR=FactSet Market Aggregates&amp;ACTION=UPDATE&amp;CREATOR=FACTSET&amp;HEIGHT=450&amp;WIDTH=500&amp;DOC_NAME=FAT:FMA_AUDIT_SUMMARY.FAT&amp;VAR:CURRENCY=USD&amp;VAR:AUDIT_ID=INDEX%3APERSONAL%","3APBM.OFDB&amp;VAR:CALC_MODE=AGGREGATE&amp;VAR:CHGPERIOD=NA&amp;DISPLAY_STRING=audit&amp;VAR:FQLFORMULA=FMA_PE&amp;VAR:MEASURE=PE&amp;VAR:NULL=.HTML&amp;VAR:PED=2012&amp;VAR:PERIOD=CY&amp;VAR:THRESH=-|-|-|-|-|-&amp;VAR:PCT=N&amp;VAR:V=14.301688&amp;VAR:P=1&amp;VAR:DATE=20110722"}</definedName>
    <definedName name="_473__FDSAUDITLINK__" hidden="1">{"fdsup://directions/FAT%20Viewer?VAR:TM=NTMA&amp;VAR:PCT=0.276712&amp;VAR:Y0=2001&amp;VAR:Y1=2002&amp;VAR:V0=19.311367&amp;VAR:V1=16.473959&amp;VAR:V=17.172129&amp;VAR:AUDIT_ID=00000117&amp;VAR:DATE=20010921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Aggregates&amp;VAR:MEASURE=PE_MEAN&amp;VAR:CALC_MODE=PORTFOLIO&amp;VAR:CHGPERIOD=NA&amp;VAR:FQLFORMULA=FMA_PE&amp;VAR:CURRENCY=USD&amp;VAR:P=9","65.800000&amp;VAR:THRESH=||||||&amp;VAR:null=.html"}</definedName>
    <definedName name="_474__FDSAUDITLINK__" hidden="1">{"fdsup://directions/FAT%20Viewer?VAR:TM=NTMA&amp;VAR:PCT=0.306849&amp;VAR:Y0=2001&amp;VAR:Y1=2002&amp;VAR:V0=21.707033&amp;VAR:V1=18.485468&amp;VAR:V=19.367459&amp;VAR:AUDIT_ID=00000117&amp;VAR:DATE=20010910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Aggregates&amp;VAR:MEASURE=PE_MEAN&amp;VAR:CALC_MODE=PORTFOLIO&amp;VAR:CHGPERIOD=NA&amp;VAR:FQLFORMULA=FMA_PE&amp;VAR:CURRENCY=USD&amp;VAR:P=1","092.540000&amp;VAR:THRESH=||||||&amp;VAR:null=.html"}</definedName>
    <definedName name="_475__FDSAUDITLINK__" hidden="1">{"fdsup://directions/FAT%20Viewer?VAR:TM=NTMA&amp;VAR:PCT=0.315068&amp;VAR:Y0=2001&amp;VAR:Y1=2002&amp;VAR:V0=21.523605&amp;VAR:V1=18.362291&amp;VAR:V=19.253258&amp;VAR:AUDIT_ID=00000117&amp;VAR:DATE=20010907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Aggregates&amp;VAR:MEASURE=PE_MEAN&amp;VAR:CALC_MODE=PORTFOLIO&amp;VAR:CHGPERIOD=NA&amp;VAR:FQLFORMULA=FMA_PE&amp;VAR:CURRENCY=USD&amp;VAR:P=1","085.780000&amp;VAR:THRESH=||||||&amp;VAR:null=.html"}</definedName>
    <definedName name="_476__FDSAUDITLINK__" hidden="1">{"fdsup://directions/FAT%20Viewer?VAR:TM=NTMA&amp;VAR:PCT=0.334247&amp;VAR:Y0=2001&amp;VAR:Y1=2002&amp;VAR:V0=22.378572&amp;VAR:V1=19.067352&amp;VAR:V=20.059419&amp;VAR:AUDIT_ID=00000117&amp;VAR:DATE=20010831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Aggregates&amp;VAR:MEASURE=PE_MEAN&amp;VAR:CALC_MODE=PORTFOLIO&amp;VAR:CHGPERIOD=NA&amp;VAR:FQLFORMULA=FMA_PE&amp;VAR:CURRENCY=USD&amp;VAR:P=1","133.587900&amp;VAR:THRESH=||||||&amp;VAR:null=.html"}</definedName>
    <definedName name="_477__FDSAUDITLINK__" hidden="1">{"fdsup://directions/FAT%20Viewer?VAR:TM=NTMA&amp;VAR:PCT=0.353425&amp;VAR:Y0=2001&amp;VAR:Y1=2002&amp;VAR:V0=23.231989&amp;VAR:V1=19.788198&amp;VAR:V=20.882214&amp;VAR:AUDIT_ID=00000117&amp;VAR:DATE=20010824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Aggregates&amp;VAR:MEASURE=PE_MEAN&amp;VAR:CALC_MODE=PORTFOLIO&amp;VAR:CHGPERIOD=NA&amp;VAR:FQLFORMULA=FMA_PE&amp;VAR:CURRENCY=USD&amp;VAR:P=1","184.930000&amp;VAR:THRESH=||||||&amp;VAR:null=.html"}</definedName>
    <definedName name="_478__FDSAUDITLINK__" hidden="1">{"fdsup://directions/FAT%20Viewer?VAR:TM=NTMA&amp;VAR:PCT=0.372603&amp;VAR:Y0=2001&amp;VAR:Y1=2002&amp;VAR:V0=22.747976&amp;VAR:V1=19.391123&amp;VAR:V=20.519357&amp;VAR:AUDIT_ID=00000117&amp;VAR:DATE=20010817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Aggregates&amp;VAR:MEASURE=PE_MEAN&amp;VAR:CALC_MODE=PORTFOLIO&amp;VAR:CHGPERIOD=NA&amp;VAR:FQLFORMULA=FMA_PE&amp;VAR:CURRENCY=USD&amp;VAR:P=1","161.970000&amp;VAR:THRESH=||||||&amp;VAR:null=.html"}</definedName>
    <definedName name="_479__FDSAUDITLINK__" hidden="1">{"fdsup://directions/FAT%20Viewer?VAR:TM=NTMA&amp;VAR:PCT=0.391781&amp;VAR:Y0=2001&amp;VAR:Y1=2002&amp;VAR:V0=23.281720&amp;VAR:V1=19.859324&amp;VAR:V=21.072947&amp;VAR:AUDIT_ID=00000117&amp;VAR:DATE=20010810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Aggregates&amp;VAR:MEASURE=PE_MEAN&amp;VAR:CALC_MODE=PORTFOLIO&amp;VAR:CHGPERIOD=NA&amp;VAR:FQLFORMULA=FMA_PE&amp;VAR:CURRENCY=USD&amp;VAR:P=1","190.160000&amp;VAR:THRESH=||||||&amp;VAR:null=.html"}</definedName>
    <definedName name="_48__FDSAUDITLINK__" hidden="1">{"fdsup://directions/FAT%20Viewer?VAR:TM=NTMA&amp;VAR:PCT=0.131507&amp;VAR:Y0=2009&amp;VAR:Y1=2010&amp;VAR:V0=17.428194&amp;VAR:V1=14.052209&amp;VAR:V=14.419532&amp;VAR:AUDIT_ID=00000117&amp;VAR:DATE=20091113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Aggregates&amp;VAR:MEASURE=PE_MEAN&amp;VAR:CALC_MODE=PORTFOLIO&amp;VAR:CHGPERIOD=NA&amp;VAR:FQLFORMULA=FMA_PE&amp;VAR:CURRENCY=USD&amp;VAR:P=1","093.480688&amp;VAR:THRESH=||||||&amp;VAR:null=.html"}</definedName>
    <definedName name="_480__FDSAUDITLINK__" hidden="1">{"fdsup://directions/FAT%20Viewer?VAR:TM=NTMA&amp;VAR:PCT=0.410959&amp;VAR:Y0=2001&amp;VAR:Y1=2002&amp;VAR:V0=23.738808&amp;VAR:V1=20.282137&amp;VAR:V=21.573088&amp;VAR:AUDIT_ID=00000117&amp;VAR:DATE=20010803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Aggregates&amp;VAR:MEASURE=PE_MEAN&amp;VAR:CALC_MODE=PORTFOLIO&amp;VAR:CHGPERIOD=NA&amp;VAR:FQLFORMULA=FMA_PE&amp;VAR:CURRENCY=USD&amp;VAR:P=1","214.350000&amp;VAR:THRESH=||||||&amp;VAR:null=.html"}</definedName>
    <definedName name="_481__FDSAUDITLINK__" hidden="1">{"fdsup://directions/FAT%20Viewer?VAR:TM=NTMA&amp;VAR:PCT=0.430137&amp;VAR:Y0=2001&amp;VAR:Y1=2002&amp;VAR:V0=23.225475&amp;VAR:V1=20.033480&amp;VAR:V=21.292187&amp;VAR:AUDIT_ID=00000117&amp;VAR:DATE=20010727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Aggregates&amp;VAR:MEASURE=PE_MEAN&amp;VAR:CALC_MODE=PORTFOLIO&amp;VAR:CHGPERIOD=NA&amp;VAR:FQLFORMULA=FMA_PE&amp;VAR:CURRENCY=USD&amp;VAR:P=1","205.820000&amp;VAR:THRESH=||||||&amp;VAR:null=.html"}</definedName>
    <definedName name="_482__FDSAUDITLINK__" hidden="1">{"fdsup://directions/FAT%20Viewer?VAR:TM=NTMA&amp;VAR:PCT=0.449315&amp;VAR:Y0=2001&amp;VAR:Y1=2002&amp;VAR:V0=23.071900&amp;VAR:V1=19.936514&amp;VAR:V=21.233007&amp;VAR:AUDIT_ID=00000117&amp;VAR:DATE=20010720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Aggregates&amp;VAR:MEASURE=PE_MEAN&amp;VAR:CALC_MODE=PORTFOLIO&amp;VAR:CHGPERIOD=NA&amp;VAR:FQLFORMULA=FMA_PE&amp;VAR:CURRENCY=USD&amp;VAR:P=1","210.850000&amp;VAR:THRESH=||||||&amp;VAR:null=.html"}</definedName>
    <definedName name="_483__FDSAUDITLINK__" hidden="1">{"fdsup://directions/FAT%20Viewer?VAR:TM=NTMA&amp;VAR:PCT=0.468493&amp;VAR:Y0=2001&amp;VAR:Y1=2002&amp;VAR:V0=23.071161&amp;VAR:V1=19.832962&amp;VAR:V=21.228895&amp;VAR:AUDIT_ID=00000117&amp;VAR:DATE=20010713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Aggregates&amp;VAR:MEASURE=PE_MEAN&amp;VAR:CALC_MODE=PORTFOLIO&amp;VAR:CHGPERIOD=NA&amp;VAR:FQLFORMULA=FMA_PE&amp;VAR:CURRENCY=USD&amp;VAR:P=1","215.680000&amp;VAR:THRESH=||||||&amp;VAR:null=.html"}</definedName>
    <definedName name="_484__FDSAUDITLINK__" hidden="1">{"fdsup://directions/FAT%20Viewer?VAR:TM=NTMA&amp;VAR:PCT=0.487671&amp;VAR:Y0=2001&amp;VAR:Y1=2002&amp;VAR:V0=22.371315&amp;VAR:V1=19.258280&amp;VAR:V=20.660307&amp;VAR:AUDIT_ID=00000117&amp;VAR:DATE=20010706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Aggregates&amp;VAR:MEASURE=PE_MEAN&amp;VAR:CALC_MODE=PORTFOLIO&amp;VAR:CHGPERIOD=NA&amp;VAR:FQLFORMULA=FMA_PE&amp;VAR:CURRENCY=USD&amp;VAR:P=1","190.590000&amp;VAR:THRESH=||||||&amp;VAR:null=.html"}</definedName>
    <definedName name="_485__FDSAUDITLINK__" hidden="1">{"fdsup://directions/FAT%20Viewer?VAR:TM=NTMA&amp;VAR:PCT=0.506849&amp;VAR:Y0=2001&amp;VAR:Y1=2002&amp;VAR:V0=22.888212&amp;VAR:V1=19.803425&amp;VAR:V=21.255408&amp;VAR:AUDIT_ID=00000117&amp;VAR:DATE=20010629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Aggregates&amp;VAR:MEASURE=PE_MEAN&amp;VAR:CALC_MODE=PORTFOLIO&amp;VAR:CHGPERIOD=NA&amp;VAR:FQLFORMULA=FMA_PE&amp;VAR:CURRENCY=USD&amp;VAR:P=1","224.420000&amp;VAR:THRESH=||||||&amp;VAR:null=.html"}</definedName>
    <definedName name="_486__FDSAUDITLINK__" hidden="1">{"fdsup://directions/FAT%20Viewer?VAR:TM=NTMA&amp;VAR:PCT=0.526027&amp;VAR:Y0=2001&amp;VAR:Y1=2002&amp;VAR:V0=22.874527&amp;VAR:V1=19.778870&amp;VAR:V=21.294813&amp;VAR:AUDIT_ID=00000117&amp;VAR:DATE=20010622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Aggregates&amp;VAR:MEASURE=PE_MEAN&amp;VAR:CALC_MODE=PORTFOLIO&amp;VAR:CHGPERIOD=NA&amp;VAR:FQLFORMULA=FMA_PE&amp;VAR:CURRENCY=USD&amp;VAR:P=1","225.350000&amp;VAR:THRESH=||||||&amp;VAR:null=.html"}</definedName>
    <definedName name="_487__FDSAUDITLINK__" hidden="1">{"fdsup://directions/FAT%20Viewer?VAR:TM=NTMA&amp;VAR:PCT=0.545205&amp;VAR:Y0=2001&amp;VAR:Y1=2002&amp;VAR:V0=22.521030&amp;VAR:V1=19.525764&amp;VAR:V=21.052299&amp;VAR:AUDIT_ID=00000117&amp;VAR:DATE=20010615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Aggregates&amp;VAR:MEASURE=PE_MEAN&amp;VAR:CALC_MODE=PORTFOLIO&amp;VAR:CHGPERIOD=NA&amp;VAR:FQLFORMULA=FMA_PE&amp;VAR:CURRENCY=USD&amp;VAR:P=1","214.360000&amp;VAR:THRESH=||||||&amp;VAR:null=.html"}</definedName>
    <definedName name="_488__FDSAUDITLINK__" hidden="1">{"fdsup://directions/FAT%20Viewer?VAR:TM=NTMA&amp;VAR:PCT=0.564384&amp;VAR:Y0=2001&amp;VAR:Y1=2002&amp;VAR:V0=23.414553&amp;VAR:V1=20.290520&amp;VAR:V=21.942851&amp;VAR:AUDIT_ID=00000117&amp;VAR:DATE=20010608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Aggregates&amp;VAR:MEASURE=PE_MEAN&amp;VAR:CALC_MODE=PORTFOLIO&amp;VAR:CHGPERIOD=NA&amp;VAR:FQLFORMULA=FMA_PE&amp;VAR:CURRENCY=USD&amp;VAR:P=1","264.960000&amp;VAR:THRESH=||||||&amp;VAR:null=.html"}</definedName>
    <definedName name="_489__FDSAUDITLINK__" hidden="1">{"fdsup://directions/FAT%20Viewer?VAR:TM=NTMA&amp;VAR:PCT=0.583562&amp;VAR:Y0=2001&amp;VAR:Y1=2002&amp;VAR:V0=23.148556&amp;VAR:V1=20.240614&amp;VAR:V=21.841781&amp;VAR:AUDIT_ID=00000117&amp;VAR:DATE=20010601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Aggregates&amp;VAR:MEASURE=PE_MEAN&amp;VAR:CALC_MODE=PORTFOLIO&amp;VAR:CHGPERIOD=NA&amp;VAR:FQLFORMULA=FMA_PE&amp;VAR:CURRENCY=USD&amp;VAR:P=1","260.670000&amp;VAR:THRESH=||||||&amp;VAR:null=.html"}</definedName>
    <definedName name="_49__FDSAUDITLINK__" hidden="1">{"fdsup://directions/FAT%20Viewer?VAR:TM=NTMA&amp;VAR:PCT=0.150685&amp;VAR:Y0=2009&amp;VAR:Y1=2010&amp;VAR:V0=17.080658&amp;VAR:V1=13.740876&amp;VAR:V=14.158020&amp;VAR:AUDIT_ID=00000117&amp;VAR:DATE=20091106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Aggregates&amp;VAR:MEASURE=PE_MEAN&amp;VAR:CALC_MODE=PORTFOLIO&amp;VAR:CHGPERIOD=NA&amp;VAR:FQLFORMULA=FMA_PE&amp;VAR:CURRENCY=USD&amp;VAR:P=1","069.300601&amp;VAR:THRESH=||||||&amp;VAR:null=.html"}</definedName>
    <definedName name="_490__FDSAUDITLINK__" hidden="1">{"fdsup://directions/FAT%20Viewer?VAR:TM=NTMA&amp;VAR:PCT=0.602740&amp;VAR:Y0=2001&amp;VAR:Y1=2002&amp;VAR:V0=23.439405&amp;VAR:V1=20.521269&amp;VAR:V=22.186098&amp;VAR:AUDIT_ID=00000117&amp;VAR:DATE=20010525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Aggregates&amp;VAR:MEASURE=PE_MEAN&amp;VAR:CALC_MODE=PORTFOLIO&amp;VAR:CHGPERIOD=NA&amp;VAR:FQLFORMULA=FMA_PE&amp;VAR:CURRENCY=USD&amp;VAR:P=1","277.890000&amp;VAR:THRESH=||||||&amp;VAR:null=.html"}</definedName>
    <definedName name="_491__FDSAUDITLINK__" hidden="1">{"fdsup://directions/FAT%20Viewer?VAR:TM=NTMA&amp;VAR:PCT=0.621918&amp;VAR:Y0=2001&amp;VAR:Y1=2002&amp;VAR:V0=23.639590&amp;VAR:V1=20.410965&amp;VAR:V=22.305595&amp;VAR:AUDIT_ID=00000117&amp;VAR:DATE=20010518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Aggregates&amp;VAR:MEASURE=PE_MEAN&amp;VAR:CALC_MODE=PORTFOLIO&amp;VAR:CHGPERIOD=NA&amp;VAR:FQLFORMULA=FMA_PE&amp;VAR:CURRENCY=USD&amp;VAR:P=1","291.960000&amp;VAR:THRESH=||||||&amp;VAR:null=.html"}</definedName>
    <definedName name="_492__FDSAUDITLINK__" hidden="1">{"fdsup://directions/FAT%20Viewer?VAR:TM=NTMA&amp;VAR:PCT=0.641096&amp;VAR:Y0=2001&amp;VAR:Y1=2002&amp;VAR:V0=22.729588&amp;VAR:V1=19.634740&amp;VAR:V=21.512602&amp;VAR:AUDIT_ID=00000117&amp;VAR:DATE=20010511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Aggregates&amp;VAR:MEASURE=PE_MEAN&amp;VAR:CALC_MODE=PORTFOLIO&amp;VAR:CHGPERIOD=NA&amp;VAR:FQLFORMULA=FMA_PE&amp;VAR:CURRENCY=USD&amp;VAR:P=1","245.670000&amp;VAR:THRESH=||||||&amp;VAR:null=.html"}</definedName>
    <definedName name="_493__FDSAUDITLINK__" hidden="1">{"fdsup://directions/FAT%20Viewer?VAR:TM=NTMA&amp;VAR:PCT=0.660274&amp;VAR:Y0=2001&amp;VAR:Y1=2002&amp;VAR:V0=23.025444&amp;VAR:V1=19.889248&amp;VAR:V=21.854709&amp;VAR:AUDIT_ID=00000117&amp;VAR:DATE=20010504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Aggregates&amp;VAR:MEASURE=PE_MEAN&amp;VAR:CALC_MODE=PORTFOLIO&amp;VAR:CHGPERIOD=NA&amp;VAR:FQLFORMULA=FMA_PE&amp;VAR:CURRENCY=USD&amp;VAR:P=1","266.610000&amp;VAR:THRESH=||||||&amp;VAR:null=.html"}</definedName>
    <definedName name="_494__FDSAUDITLINK__" hidden="1">{"fdsup://directions/FAT%20Viewer?VAR:TM=NTMA&amp;VAR:PCT=0.679452&amp;VAR:Y0=2001&amp;VAR:Y1=2002&amp;VAR:V0=22.662510&amp;VAR:V1=19.636340&amp;VAR:V=21.595686&amp;VAR:AUDIT_ID=00000117&amp;VAR:DATE=20010427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Aggregates&amp;VAR:MEASURE=PE_MEAN&amp;VAR:CALC_MODE=PORTFOLIO&amp;VAR:CHGPERIOD=NA&amp;VAR:FQLFORMULA=FMA_PE&amp;VAR:CURRENCY=USD&amp;VAR:P=1","253.050000&amp;VAR:THRESH=||||||&amp;VAR:null=.html"}</definedName>
    <definedName name="_495__FDSAUDITLINK__" hidden="1">{"fdsup://directions/FAT%20Viewer?VAR:TM=NTMA&amp;VAR:PCT=0.698630&amp;VAR:Y0=2001&amp;VAR:Y1=2002&amp;VAR:V0=22.295664&amp;VAR:V1=19.241330&amp;VAR:V=21.277759&amp;VAR:AUDIT_ID=00000117&amp;VAR:DATE=20010420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Aggregates&amp;VAR:MEASURE=PE_MEAN&amp;VAR:CALC_MODE=PORTFOLIO&amp;VAR:CHGPERIOD=NA&amp;VAR:FQLFORMULA=FMA_PE&amp;VAR:CURRENCY=USD&amp;VAR:P=1","242.980000&amp;VAR:THRESH=||||||&amp;VAR:null=.html"}</definedName>
    <definedName name="_496__FDSAUDITLINK__" hidden="1">{"fdsup://directions/FAT%20Viewer?VAR:TM=NTMA&amp;VAR:PCT=0.720548&amp;VAR:Y0=2001&amp;VAR:Y1=2002&amp;VAR:V0=21.000347&amp;VAR:V1=18.217812&amp;VAR:V=20.140688&amp;VAR:AUDIT_ID=00000117&amp;VAR:DATE=20010412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Aggregates&amp;VAR:MEASURE=PE_MEAN&amp;VAR:CALC_MODE=PORTFOLIO&amp;VAR:CHGPERIOD=NA&amp;VAR:FQLFORMULA=FMA_PE&amp;VAR:CURRENCY=USD&amp;VAR:P=1","183.500000&amp;VAR:THRESH=||||||&amp;VAR:null=.html"}</definedName>
    <definedName name="_497__FDSAUDITLINK__" hidden="1">{"fdsup://directions/FAT%20Viewer?VAR:TM=NTMA&amp;VAR:PCT=0.736986&amp;VAR:Y0=2001&amp;VAR:Y1=2002&amp;VAR:V0=19.956238&amp;VAR:V1=17.463903&amp;VAR:V=19.234268&amp;VAR:AUDIT_ID=00000117&amp;VAR:DATE=20010406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Aggregates&amp;VAR:MEASURE=PE_MEAN&amp;VAR:CALC_MODE=PORTFOLIO&amp;VAR:CHGPERIOD=NA&amp;VAR:FQLFORMULA=FMA_PE&amp;VAR:CURRENCY=USD&amp;VAR:P=1","128.430000&amp;VAR:THRESH=||||||&amp;VAR:null=.html"}</definedName>
    <definedName name="_498__FDSAUDITLINK__" hidden="1">{"fdsup://directions/FAT%20Viewer?VAR:TM=NTMA&amp;VAR:PCT=0.756164&amp;VAR:Y0=2001&amp;VAR:Y1=2002&amp;VAR:V0=20.350607&amp;VAR:V1=17.896147&amp;VAR:V=19.692063&amp;VAR:AUDIT_ID=00000117&amp;VAR:DATE=20010330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Aggregates&amp;VAR:MEASURE=PE_MEAN&amp;VAR:CALC_MODE=PORTFOLIO&amp;VAR:CHGPERIOD=NA&amp;VAR:FQLFORMULA=FMA_PE&amp;VAR:CURRENCY=USD&amp;VAR:P=1","160.330000&amp;VAR:THRESH=||||||&amp;VAR:null=.html"}</definedName>
    <definedName name="_499__FDSAUDITLINK__" hidden="1">{"fdsup://directions/FAT%20Viewer?VAR:TM=NTMA&amp;VAR:PCT=0.775342&amp;VAR:Y0=2001&amp;VAR:Y1=2002&amp;VAR:V0=19.805477&amp;VAR:V1=17.362900&amp;VAR:V=19.198714&amp;VAR:AUDIT_ID=00000117&amp;VAR:DATE=20010323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Aggregates&amp;VAR:MEASURE=PE_MEAN&amp;VAR:CALC_MODE=PORTFOLIO&amp;VAR:CHGPERIOD=NA&amp;VAR:FQLFORMULA=FMA_PE&amp;VAR:CURRENCY=USD&amp;VAR:P=1","139.830000&amp;VAR:THRESH=||||||&amp;VAR:null=.html"}</definedName>
    <definedName name="_5__FDSAUDITLINK__" hidden="1">{"fdsup://directions/FAT%20Viewer?VAR:TM=NTMA&amp;VAR:PCT=0.306849&amp;VAR:Y0=2010&amp;VAR:Y1=2011&amp;VAR:V0=13.279544&amp;VAR:V1=11.576964&amp;VAR:V=12.051070&amp;VAR:AUDIT_ID=00000117&amp;VAR:DATE=20100910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Aggregates&amp;VAR:MEASURE=PE_MEAN&amp;VAR:CALC_MODE=PORTFOLIO&amp;VAR:CHGPERIOD=NA&amp;VAR:FQLFORMULA=FMA_PE&amp;VAR:CURRENCY=USD&amp;VAR:P=1","109.552053&amp;VAR:THRESH=||||||&amp;VAR:null=.html"}</definedName>
    <definedName name="_50__FDSAUDITLINK__" hidden="1">{"fdsup://directions/FAT%20Viewer?VAR:TM=NTMA&amp;VAR:PCT=0.169863&amp;VAR:Y0=2009&amp;VAR:Y1=2010&amp;VAR:V0=16.764140&amp;VAR:V1=13.394112&amp;VAR:V=13.867649&amp;VAR:AUDIT_ID=00000117&amp;VAR:DATE=20091030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Aggregates&amp;VAR:MEASURE=PE_MEAN&amp;VAR:CALC_MODE=PORTFOLIO&amp;VAR:CHGPERIOD=NA&amp;VAR:FQLFORMULA=FMA_PE&amp;VAR:CURRENCY=USD&amp;VAR:P=1","036.194537&amp;VAR:THRESH=||||||&amp;VAR:null=.html"}</definedName>
    <definedName name="_500__FDSAUDITLINK__" hidden="1">{"fdsup://directions/FAT%20Viewer?VAR:TM=NTMA&amp;VAR:PCT=0.794521&amp;VAR:Y0=2001&amp;VAR:Y1=2002&amp;VAR:V0=19.839360&amp;VAR:V1=17.545345&amp;VAR:V=19.320301&amp;VAR:AUDIT_ID=00000117&amp;VAR:DATE=20010316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Aggregates&amp;VAR:MEASURE=PE_MEAN&amp;VAR:CALC_MODE=PORTFOLIO&amp;VAR:CHGPERIOD=NA&amp;VAR:FQLFORMULA=FMA_PE&amp;VAR:CURRENCY=USD&amp;VAR:P=1","150.530000&amp;VAR:THRESH=||||||&amp;VAR:null=.html"}</definedName>
    <definedName name="_501__FDSAUDITLINK__" hidden="1">{"fdsup://directions/FAT%20Viewer?VAR:TM=NTMA&amp;VAR:PCT=0.813699&amp;VAR:Y0=2001&amp;VAR:Y1=2002&amp;VAR:V0=21.168573&amp;VAR:V1=18.766205&amp;VAR:V=20.675473&amp;VAR:AUDIT_ID=00000117&amp;VAR:DATE=20010309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Aggregates&amp;VAR:MEASURE=PE_MEAN&amp;VAR:CALC_MODE=PORTFOLIO&amp;VAR:CHGPERIOD=NA&amp;VAR:FQLFORMULA=FMA_PE&amp;VAR:CURRENCY=USD&amp;VAR:P=1","233.420000&amp;VAR:THRESH=||||||&amp;VAR:null=.html"}</definedName>
    <definedName name="_502__FDSAUDITLINK__" hidden="1">{"fdsup://directions/FAT%20Viewer?VAR:TM=NTMA&amp;VAR:PCT=0.832877&amp;VAR:Y0=2001&amp;VAR:Y1=2002&amp;VAR:V0=21.133755&amp;VAR:V1=18.698850&amp;VAR:V=20.683632&amp;VAR:AUDIT_ID=00000117&amp;VAR:DATE=20010302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Aggregates&amp;VAR:MEASURE=PE_MEAN&amp;VAR:CALC_MODE=PORTFOLIO&amp;VAR:CHGPERIOD=NA&amp;VAR:FQLFORMULA=FMA_PE&amp;VAR:CURRENCY=USD&amp;VAR:P=1","234.180000&amp;VAR:THRESH=||||||&amp;VAR:null=.html"}</definedName>
    <definedName name="_503__FDSAUDITLINK__" hidden="1">{"fdsup://directions/FAT%20Viewer?VAR:TM=NTMA&amp;VAR:PCT=0.852055&amp;VAR:Y0=2001&amp;VAR:Y1=2002&amp;VAR:V0=21.249514&amp;VAR:V1=18.841272&amp;VAR:V=20.855144&amp;VAR:AUDIT_ID=00000117&amp;VAR:DATE=20010223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Aggregates&amp;VAR:MEASURE=PE_MEAN&amp;VAR:CALC_MODE=PORTFOLIO&amp;VAR:CHGPERIOD=NA&amp;VAR:FQLFORMULA=FMA_PE&amp;VAR:CURRENCY=USD&amp;VAR:P=1","245.860000&amp;VAR:THRESH=||||||&amp;VAR:null=.html"}</definedName>
    <definedName name="_504__FDSAUDITLINK__" hidden="1">{"fdsup://directions/FAT%20Viewer?VAR:TM=NTMA&amp;VAR:PCT=0.871233&amp;VAR:Y0=2001&amp;VAR:Y1=2002&amp;VAR:V0=22.034084&amp;VAR:V1=19.582178&amp;VAR:V=21.684464&amp;VAR:AUDIT_ID=00000117&amp;VAR:DATE=20010216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Aggregates&amp;VAR:MEASURE=PE_MEAN&amp;VAR:CALC_MODE=PORTFOLIO&amp;VAR:CHGPERIOD=NA&amp;VAR:FQLFORMULA=FMA_PE&amp;VAR:CURRENCY=USD&amp;VAR:P=1","301.530000&amp;VAR:THRESH=||||||&amp;VAR:null=.html"}</definedName>
    <definedName name="_505__FDSAUDITLINK__" hidden="1">{"fdsup://directions/FAT%20Viewer?VAR:TM=NTMA&amp;VAR:PCT=0.890411&amp;VAR:Y0=2001&amp;VAR:Y1=2002&amp;VAR:V0=22.082323&amp;VAR:V1=19.668360&amp;VAR:V=21.789253&amp;VAR:AUDIT_ID=00000117&amp;VAR:DATE=20010209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Aggregates&amp;VAR:MEASURE=PE_MEAN&amp;VAR:CALC_MODE=PORTFOLIO&amp;VAR:CHGPERIOD=NA&amp;VAR:FQLFORMULA=FMA_PE&amp;VAR:CURRENCY=USD&amp;VAR:P=1","314.760000&amp;VAR:THRESH=||||||&amp;VAR:null=.html"}</definedName>
    <definedName name="_506__FDSAUDITLINK__" hidden="1">{"fdsup://directions/FAT%20Viewer?VAR:TM=NTMA&amp;VAR:PCT=0.909589&amp;VAR:Y0=2001&amp;VAR:Y1=2002&amp;VAR:V0=22.646160&amp;VAR:V1=20.190973&amp;VAR:V=22.399900&amp;VAR:AUDIT_ID=00000117&amp;VAR:DATE=20010202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Aggregates&amp;VAR:MEASURE=PE_MEAN&amp;VAR:CALC_MODE=PORTFOLIO&amp;VAR:CHGPERIOD=NA&amp;VAR:FQLFORMULA=FMA_PE&amp;VAR:CURRENCY=USD&amp;VAR:P=1","349.470000&amp;VAR:THRESH=||||||&amp;VAR:null=.html"}</definedName>
    <definedName name="_507__FDSAUDITLINK__" hidden="1">{"fdsup://directions/FAT%20Viewer?VAR:TM=NTMA&amp;VAR:PCT=0.928767&amp;VAR:Y0=2001&amp;VAR:Y1=2002&amp;VAR:V0=22.588410&amp;VAR:V1=19.923862&amp;VAR:V=22.375254&amp;VAR:AUDIT_ID=00000117&amp;VAR:DATE=20010126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Aggregates&amp;VAR:MEASURE=PE_MEAN&amp;VAR:CALC_MODE=PORTFOLIO&amp;VAR:CHGPERIOD=NA&amp;VAR:FQLFORMULA=FMA_PE&amp;VAR:CURRENCY=USD&amp;VAR:P=1","354.950000&amp;VAR:THRESH=||||||&amp;VAR:null=.html"}</definedName>
    <definedName name="_508__FDSAUDITLINK__" hidden="1">{"fdsup://directions/FAT%20Viewer?VAR:TM=NTMA&amp;VAR:PCT=0.947945&amp;VAR:Y0=2001&amp;VAR:Y1=2002&amp;VAR:V0=22.125420&amp;VAR:V1=19.631048&amp;VAR:V=21.980039&amp;VAR:AUDIT_ID=00000117&amp;VAR:DATE=20010119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Aggregates&amp;VAR:MEASURE=PE_MEAN&amp;VAR:CALC_MODE=PORTFOLIO&amp;VAR:CHGPERIOD=NA&amp;VAR:FQLFORMULA=FMA_PE&amp;VAR:CURRENCY=USD&amp;VAR:P=1","342.540000&amp;VAR:THRESH=||||||&amp;VAR:null=.html"}</definedName>
    <definedName name="_509__FDSAUDITLINK__" hidden="1">{"fdsup://directions/FAT%20Viewer?VAR:TM=NTMA&amp;VAR:PCT=0.967123&amp;VAR:Y0=2001&amp;VAR:Y1=2002&amp;VAR:V0=21.404024&amp;VAR:V1=19.048592&amp;VAR:V=21.317362&amp;VAR:AUDIT_ID=00000117&amp;VAR:DATE=20010112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Aggregates&amp;VAR:MEASURE=PE_MEAN&amp;VAR:CALC_MODE=PORTFOLIO&amp;VAR:CHGPERIOD=NA&amp;VAR:FQLFORMULA=FMA_PE&amp;VAR:CURRENCY=USD&amp;VAR:P=1","318.320000&amp;VAR:THRESH=||||||&amp;VAR:null=.html"}</definedName>
    <definedName name="_51__FDSAUDITLINK__" hidden="1">{"fdsup://directions/FAT%20Viewer?VAR:TM=NTMA&amp;VAR:PCT=0.189041&amp;VAR:Y0=2009&amp;VAR:Y1=2010&amp;VAR:V0=17.580545&amp;VAR:V1=13.987382&amp;VAR:V=14.549529&amp;VAR:AUDIT_ID=00000117&amp;VAR:DATE=20091023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Aggregates&amp;VAR:MEASURE=PE_MEAN&amp;VAR:CALC_MODE=PORTFOLIO&amp;VAR:CHGPERIOD=NA&amp;VAR:FQLFORMULA=FMA_PE&amp;VAR:CURRENCY=USD&amp;VAR:P=1","079.602440&amp;VAR:THRESH=||||||&amp;VAR:null=.html"}</definedName>
    <definedName name="_510__FDSAUDITLINK__" hidden="1">{"fdsup://directions/FAT%20Viewer?VAR:TM=NTMA&amp;VAR:PCT=0.986301&amp;VAR:Y0=2001&amp;VAR:Y1=2002&amp;VAR:V0=21.093508&amp;VAR:V1=19.635775&amp;VAR:V=21.072078&amp;VAR:AUDIT_ID=00000117&amp;VAR:DATE=20010105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Aggregates&amp;VAR:MEASURE=PE_MEAN&amp;VAR:CALC_MODE=PORTFOLIO&amp;VAR:CHGPERIOD=NA&amp;VAR:FQLFORMULA=FMA_PE&amp;VAR:CURRENCY=USD&amp;VAR:P=1","298.350000&amp;VAR:THRESH=||||||&amp;VAR:null=.html"}</definedName>
    <definedName name="_511__FDSAUDITLINK__" hidden="1">{"fdsup://directions/FAT%20Viewer?VAR:TM=NTMA&amp;VAR:PCT=0.005464&amp;VAR:Y0=2000&amp;VAR:Y1=2001&amp;VAR:V0=23.970520&amp;VAR:V1=21.306316&amp;VAR:V=21.319264&amp;VAR:AUDIT_ID=00000117&amp;VAR:DATE=20001229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Aggregates&amp;VAR:MEASURE=PE_MEAN&amp;VAR:CALC_MODE=PORTFOLIO&amp;VAR:CHGPERIOD=NA&amp;VAR:FQLFORMULA=FMA_PE&amp;VAR:CURRENCY=USD&amp;VAR:P=1","320.280000&amp;VAR:THRESH=||||||&amp;VAR:null=.html"}</definedName>
    <definedName name="_512__FDSAUDITLINK__" hidden="1">{"fdsup://directions/FAT%20Viewer?VAR:TM=NTMA&amp;VAR:PCT=0.024590&amp;VAR:Y0=2000&amp;VAR:Y1=2001&amp;VAR:V0=23.678930&amp;VAR:V1=20.989952&amp;VAR:V=21.048730&amp;VAR:AUDIT_ID=00000117&amp;VAR:DATE=20001222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Aggregates&amp;VAR:MEASURE=PE_MEAN&amp;VAR:CALC_MODE=PORTFOLIO&amp;VAR:CHGPERIOD=NA&amp;VAR:FQLFORMULA=FMA_PE&amp;VAR:CURRENCY=USD&amp;VAR:P=1","305.970000&amp;VAR:THRESH=||||||&amp;VAR:null=.html"}</definedName>
    <definedName name="_513__FDSAUDITLINK__" hidden="1">{"fdsup://directions/FAT%20Viewer?VAR:TM=NTMA&amp;VAR:PCT=0.043716&amp;VAR:Y0=2000&amp;VAR:Y1=2001&amp;VAR:V0=23.657310&amp;VAR:V1=20.968344&amp;VAR:V=21.073054&amp;VAR:AUDIT_ID=00000117&amp;VAR:DATE=20001215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Aggregates&amp;VAR:MEASURE=PE_MEAN&amp;VAR:CALC_MODE=PORTFOLIO&amp;VAR:CHGPERIOD=NA&amp;VAR:FQLFORMULA=FMA_PE&amp;VAR:CURRENCY=USD&amp;VAR:P=1","312.150000&amp;VAR:THRESH=||||||&amp;VAR:null=.html"}</definedName>
    <definedName name="_514__FDSAUDITLINK__" hidden="1">{"fdsup://directions/FAT%20Viewer?VAR:TM=NTMA&amp;VAR:PCT=0.062842&amp;VAR:Y0=2000&amp;VAR:Y1=2001&amp;VAR:V0=24.692848&amp;VAR:V1=21.865288&amp;VAR:V=22.023770&amp;VAR:AUDIT_ID=00000117&amp;VAR:DATE=20001208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Aggregates&amp;VAR:MEASURE=PE_MEAN&amp;VAR:CALC_MODE=PORTFOLIO&amp;VAR:CHGPERIOD=NA&amp;VAR:FQLFORMULA=FMA_PE&amp;VAR:CURRENCY=USD&amp;VAR:P=1","369.890000&amp;VAR:THRESH=||||||&amp;VAR:null=.html"}</definedName>
    <definedName name="_515__FDSAUDITLINK__" hidden="1">{"fdsup://directions/FAT%20Viewer?VAR:TM=NTMA&amp;VAR:PCT=0.081967&amp;VAR:Y0=2000&amp;VAR:Y1=2001&amp;VAR:V0=23.633993&amp;VAR:V1=20.813288&amp;VAR:V=21.018911&amp;VAR:AUDIT_ID=00000117&amp;VAR:DATE=20001201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Aggregates&amp;VAR:MEASURE=PE_MEAN&amp;VAR:CALC_MODE=PORTFOLIO&amp;VAR:CHGPERIOD=NA&amp;VAR:FQLFORMULA=FMA_PE&amp;VAR:CURRENCY=USD&amp;VAR:P=1","315.230000&amp;VAR:THRESH=||||||&amp;VAR:null=.html"}</definedName>
    <definedName name="_516__FDSAUDITLINK__" hidden="1">{"fdsup://directions/FAT%20Viewer?VAR:TM=NTMA&amp;VAR:PCT=0.101093&amp;VAR:Y0=2000&amp;VAR:Y1=2001&amp;VAR:V0=24.118752&amp;VAR:V1=21.167105&amp;VAR:V=21.432259&amp;VAR:AUDIT_ID=00000117&amp;VAR:DATE=20001124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Aggregates&amp;VAR:MEASURE=PE_MEAN&amp;VAR:CALC_MODE=PORTFOLIO&amp;VAR:CHGPERIOD=NA&amp;VAR:FQLFORMULA=FMA_PE&amp;VAR:CURRENCY=USD&amp;VAR:P=1","341.770000&amp;VAR:THRESH=||||||&amp;VAR:null=.html"}</definedName>
    <definedName name="_517__FDSAUDITLINK__" hidden="1">{"fdsup://directions/FAT%20Viewer?VAR:TM=NTMA&amp;VAR:PCT=0.120219&amp;VAR:Y0=2000&amp;VAR:Y1=2001&amp;VAR:V0=24.530210&amp;VAR:V1=21.525093&amp;VAR:V=21.846844&amp;VAR:AUDIT_ID=00000117&amp;VAR:DATE=20001117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Aggregates&amp;VAR:MEASURE=PE_MEAN&amp;VAR:CALC_MODE=PORTFOLIO&amp;VAR:CHGPERIOD=NA&amp;VAR:FQLFORMULA=FMA_PE&amp;VAR:CURRENCY=USD&amp;VAR:P=1","367.720000&amp;VAR:THRESH=||||||&amp;VAR:null=.html"}</definedName>
    <definedName name="_518__FDSAUDITLINK__" hidden="1">{"fdsup://directions/FAT%20Viewer?VAR:TM=NTMA&amp;VAR:PCT=0.139344&amp;VAR:Y0=2000&amp;VAR:Y1=2001&amp;VAR:V0=24.506666&amp;VAR:V1=21.452713&amp;VAR:V=21.831816&amp;VAR:AUDIT_ID=00000117&amp;VAR:DATE=20001110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Aggregates&amp;VAR:MEASURE=PE_MEAN&amp;VAR:CALC_MODE=PORTFOLIO&amp;VAR:CHGPERIOD=NA&amp;VAR:FQLFORMULA=FMA_PE&amp;VAR:CURRENCY=USD&amp;VAR:P=1","365.980000&amp;VAR:THRESH=||||||&amp;VAR:null=.html"}</definedName>
    <definedName name="_519__FDSAUDITLINK__" hidden="1">{"fdsup://directions/FAT%20Viewer?VAR:TM=NTMA&amp;VAR:PCT=0.158470&amp;VAR:Y0=2000&amp;VAR:Y1=2001&amp;VAR:V0=25.520681&amp;VAR:V1=22.353777&amp;VAR:V=22.802177&amp;VAR:AUDIT_ID=00000117&amp;VAR:DATE=20001103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Aggregates&amp;VAR:MEASURE=PE_MEAN&amp;VAR:CALC_MODE=PORTFOLIO&amp;VAR:CHGPERIOD=NA&amp;VAR:FQLFORMULA=FMA_PE&amp;VAR:CURRENCY=USD&amp;VAR:P=1","426.690000&amp;VAR:THRESH=||||||&amp;VAR:null=.html"}</definedName>
    <definedName name="_52__FDSAUDITLINK__" hidden="1">{"fdsup://directions/FAT%20Viewer?VAR:TM=NTMA&amp;VAR:PCT=0.208219&amp;VAR:Y0=2009&amp;VAR:Y1=2010&amp;VAR:V0=17.966030&amp;VAR:V1=14.258114&amp;VAR:V=14.898345&amp;VAR:AUDIT_ID=00000117&amp;VAR:DATE=20091016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Aggregates&amp;VAR:MEASURE=PE_MEAN&amp;VAR:CALC_MODE=PORTFOLIO&amp;VAR:CHGPERIOD=NA&amp;VAR:FQLFORMULA=FMA_PE&amp;VAR:CURRENCY=USD&amp;VAR:P=1","087.682343&amp;VAR:THRESH=||||||&amp;VAR:null=.html"}</definedName>
    <definedName name="_520__FDSAUDITLINK__" hidden="1">{"fdsup://directions/FAT%20Viewer?VAR:TM=NTMA&amp;VAR:PCT=0.177596&amp;VAR:Y0=2000&amp;VAR:Y1=2001&amp;VAR:V0=24.667906&amp;VAR:V1=21.527153&amp;VAR:V=22.025180&amp;VAR:AUDIT_ID=00000117&amp;VAR:DATE=20001027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Aggregates&amp;VAR:MEASURE=PE_MEAN&amp;VAR:CALC_MODE=PORTFOLIO&amp;VAR:CHGPERIOD=NA&amp;VAR:FQLFORMULA=FMA_PE&amp;VAR:CURRENCY=USD&amp;VAR:P=1","379.580000&amp;VAR:THRESH=||||||&amp;VAR:null=.html"}</definedName>
    <definedName name="_521__FDSAUDITLINK__" hidden="1">{"fdsup://directions/FAT%20Viewer?VAR:TM=NTMA&amp;VAR:PCT=0.196721&amp;VAR:Y0=2000&amp;VAR:Y1=2001&amp;VAR:V0=24.941616&amp;VAR:V1=21.779495&amp;VAR:V=22.336581&amp;VAR:AUDIT_ID=00000117&amp;VAR:DATE=20001020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Aggregates&amp;VAR:MEASURE=PE_MEAN&amp;VAR:CALC_MODE=PORTFOLIO&amp;VAR:CHGPERIOD=NA&amp;VAR:FQLFORMULA=FMA_PE&amp;VAR:CURRENCY=USD&amp;VAR:P=1","396.930000&amp;VAR:THRESH=||||||&amp;VAR:null=.html"}</definedName>
    <definedName name="_522__FDSAUDITLINK__" hidden="1">{"fdsup://directions/FAT%20Viewer?VAR:TM=NTMA&amp;VAR:PCT=0.215847&amp;VAR:Y0=2000&amp;VAR:Y1=2001&amp;VAR:V0=24.532862&amp;VAR:V1=21.424818&amp;VAR:V=22.027160&amp;VAR:AUDIT_ID=00000117&amp;VAR:DATE=20001013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Aggregates&amp;VAR:MEASURE=PE_MEAN&amp;VAR:CALC_MODE=PORTFOLIO&amp;VAR:CHGPERIOD=NA&amp;VAR:FQLFORMULA=FMA_PE&amp;VAR:CURRENCY=USD&amp;VAR:P=1","374.170000&amp;VAR:THRESH=||||||&amp;VAR:null=.html"}</definedName>
    <definedName name="_523__FDSAUDITLINK__" hidden="1">{"fdsup://directions/FAT%20Viewer?VAR:TM=NTMA&amp;VAR:PCT=0.234973&amp;VAR:Y0=2000&amp;VAR:Y1=2001&amp;VAR:V0=25.066662&amp;VAR:V1=21.934528&amp;VAR:V=22.598014&amp;VAR:AUDIT_ID=00000117&amp;VAR:DATE=20001006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Aggregates&amp;VAR:MEASURE=PE_MEAN&amp;VAR:CALC_MODE=PORTFOLIO&amp;VAR:CHGPERIOD=NA&amp;VAR:FQLFORMULA=FMA_PE&amp;VAR:CURRENCY=USD&amp;VAR:P=1","408.990000&amp;VAR:THRESH=||||||&amp;VAR:null=.html"}</definedName>
    <definedName name="_524__FDSAUDITLINK__" hidden="1">{"fdsup://directions/FAT%20Viewer?VAR:TM=NTMA&amp;VAR:PCT=0.254098&amp;VAR:Y0=2000&amp;VAR:Y1=2001&amp;VAR:V0=25.491816&amp;VAR:V1=22.310682&amp;VAR:V=23.041299&amp;VAR:AUDIT_ID=00000117&amp;VAR:DATE=20000929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Aggregates&amp;VAR:MEASURE=PE_MEAN&amp;VAR:CALC_MODE=PORTFOLIO&amp;VAR:CHGPERIOD=NA&amp;VAR:FQLFORMULA=FMA_PE&amp;VAR:CURRENCY=USD&amp;VAR:P=1","436.510000&amp;VAR:THRESH=||||||&amp;VAR:null=.html"}</definedName>
    <definedName name="_525__FDSAUDITLINK__" hidden="1">{"fdsup://directions/FAT%20Viewer?VAR:TM=NTMA&amp;VAR:PCT=0.273224&amp;VAR:Y0=2000&amp;VAR:Y1=2001&amp;VAR:V0=25.710050&amp;VAR:V1=22.492504&amp;VAR:V=23.288825&amp;VAR:AUDIT_ID=00000117&amp;VAR:DATE=20000922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Aggregates&amp;VAR:MEASURE=PE_MEAN&amp;VAR:CALC_MODE=PORTFOLIO&amp;VAR:CHGPERIOD=NA&amp;VAR:FQLFORMULA=FMA_PE&amp;VAR:CURRENCY=USD&amp;VAR:P=1","448.720000&amp;VAR:THRESH=||||||&amp;VAR:null=.html"}</definedName>
    <definedName name="_526__FDSAUDITLINK__" hidden="1">{"fdsup://directions/FAT%20Viewer?VAR:TM=NTMA&amp;VAR:PCT=0.292350&amp;VAR:Y0=2000&amp;VAR:Y1=2001&amp;VAR:V0=25.871893&amp;VAR:V1=22.622261&amp;VAR:V=23.484628&amp;VAR:AUDIT_ID=00000117&amp;VAR:DATE=20000915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Aggregates&amp;VAR:MEASURE=PE_MEAN&amp;VAR:CALC_MODE=PORTFOLIO&amp;VAR:CHGPERIOD=NA&amp;VAR:FQLFORMULA=FMA_PE&amp;VAR:CURRENCY=USD&amp;VAR:P=1","465.810000&amp;VAR:THRESH=||||||&amp;VAR:null=.html"}</definedName>
    <definedName name="_527__FDSAUDITLINK__" hidden="1">{"fdsup://directions/FAT%20Viewer?VAR:TM=NTMA&amp;VAR:PCT=0.311475&amp;VAR:Y0=2000&amp;VAR:Y1=2001&amp;VAR:V0=26.392527&amp;VAR:V1=23.109983&amp;VAR:V=24.041331&amp;VAR:AUDIT_ID=00000117&amp;VAR:DATE=20000908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Aggregates&amp;VAR:MEASURE=PE_MEAN&amp;VAR:CALC_MODE=PORTFOLIO&amp;VAR:CHGPERIOD=NA&amp;VAR:FQLFORMULA=FMA_PE&amp;VAR:CURRENCY=USD&amp;VAR:P=1","494.500000&amp;VAR:THRESH=||||||&amp;VAR:null=.html"}</definedName>
    <definedName name="_528__FDSAUDITLINK__" hidden="1">{"fdsup://directions/FAT%20Viewer?VAR:TM=NTMA&amp;VAR:PCT=0.330601&amp;VAR:Y0=2000&amp;VAR:Y1=2001&amp;VAR:V0=26.875881&amp;VAR:V1=23.432196&amp;VAR:V=24.468712&amp;VAR:AUDIT_ID=00000117&amp;VAR:DATE=20000901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Aggregates&amp;VAR:MEASURE=PE_MEAN&amp;VAR:CALC_MODE=PORTFOLIO&amp;VAR:CHGPERIOD=NA&amp;VAR:FQLFORMULA=FMA_PE&amp;VAR:CURRENCY=USD&amp;VAR:P=1","520.770000&amp;VAR:THRESH=||||||&amp;VAR:null=.html"}</definedName>
    <definedName name="_529__FDSAUDITLINK__" hidden="1">{"fdsup://directions/FAT%20Viewer?VAR:TM=NTMA&amp;VAR:PCT=0.349727&amp;VAR:Y0=2000&amp;VAR:Y1=2001&amp;VAR:V0=26.605452&amp;VAR:V1=23.160763&amp;VAR:V=24.259225&amp;VAR:AUDIT_ID=00000117&amp;VAR:DATE=20000825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Aggregates&amp;VAR:MEASURE=PE_MEAN&amp;VAR:CALC_MODE=PORTFOLIO&amp;VAR:CHGPERIOD=NA&amp;VAR:FQLFORMULA=FMA_PE&amp;VAR:CURRENCY=USD&amp;VAR:P=1","506.450000&amp;VAR:THRESH=||||||&amp;VAR:null=.html"}</definedName>
    <definedName name="_53__FDSAUDITLINK__" hidden="1">{"fdsup://directions/FAT%20Viewer?VAR:TM=NTMA&amp;VAR:PCT=0.227397&amp;VAR:Y0=2009&amp;VAR:Y1=2010&amp;VAR:V0=17.840680&amp;VAR:V1=14.141189&amp;VAR:V=14.840997&amp;VAR:AUDIT_ID=00000117&amp;VAR:DATE=20091009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Aggregates&amp;VAR:MEASURE=PE_MEAN&amp;VAR:CALC_MODE=PORTFOLIO&amp;VAR:CHGPERIOD=NA&amp;VAR:FQLFORMULA=FMA_PE&amp;VAR:CURRENCY=USD&amp;VAR:P=1","071.489222&amp;VAR:THRESH=||||||&amp;VAR:null=.html"}</definedName>
    <definedName name="_530__FDSAUDITLINK__" hidden="1">{"fdsup://directions/FAT%20Viewer?VAR:TM=NTMA&amp;VAR:PCT=0.368852&amp;VAR:Y0=2000&amp;VAR:Y1=2001&amp;VAR:V0=26.329830&amp;VAR:V1=22.933230&amp;VAR:V=24.078972&amp;VAR:AUDIT_ID=00000117&amp;VAR:DATE=20000818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Aggregates&amp;VAR:MEASURE=PE_MEAN&amp;VAR:CALC_MODE=PORTFOLIO&amp;VAR:CHGPERIOD=NA&amp;VAR:FQLFORMULA=FMA_PE&amp;VAR:CURRENCY=USD&amp;VAR:P=1","491.720000&amp;VAR:THRESH=||||||&amp;VAR:null=.html"}</definedName>
    <definedName name="_531__FDSAUDITLINK__" hidden="1">{"fdsup://directions/FAT%20Viewer?VAR:TM=NTMA&amp;VAR:PCT=0.387978&amp;VAR:Y0=2000&amp;VAR:Y1=2001&amp;VAR:V0=26.051064&amp;VAR:V1=22.402594&amp;VAR:V=23.689819&amp;VAR:AUDIT_ID=00000117&amp;VAR:DATE=20000811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Aggregates&amp;VAR:MEASURE=PE_MEAN&amp;VAR:CALC_MODE=PORTFOLIO&amp;VAR:CHGPERIOD=NA&amp;VAR:FQLFORMULA=FMA_PE&amp;VAR:CURRENCY=USD&amp;VAR:P=1","471.840000&amp;VAR:THRESH=||||||&amp;VAR:null=.html"}</definedName>
    <definedName name="_532__FDSAUDITLINK__" hidden="1">{"fdsup://directions/FAT%20Viewer?VAR:TM=NTMA&amp;VAR:PCT=0.407104&amp;VAR:Y0=2000&amp;VAR:Y1=2001&amp;VAR:V0=25.848948&amp;VAR:V1=22.287533&amp;VAR:V=23.611924&amp;VAR:AUDIT_ID=00000117&amp;VAR:DATE=20000804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Aggregates&amp;VAR:MEASURE=PE_MEAN&amp;VAR:CALC_MODE=PORTFOLIO&amp;VAR:CHGPERIOD=NA&amp;VAR:FQLFORMULA=FMA_PE&amp;VAR:CURRENCY=USD&amp;VAR:P=1","462.930000&amp;VAR:THRESH=||||||&amp;VAR:null=.html"}</definedName>
    <definedName name="_533__FDSAUDITLINK__" hidden="1">{"fdsup://directions/FAT%20Viewer?VAR:TM=NTMA&amp;VAR:PCT=0.426230&amp;VAR:Y0=2000&amp;VAR:Y1=2001&amp;VAR:V0=25.215466&amp;VAR:V1=21.734365&amp;VAR:V=23.093235&amp;VAR:AUDIT_ID=00000117&amp;VAR:DATE=20000728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Aggregates&amp;VAR:MEASURE=PE_MEAN&amp;VAR:CALC_MODE=PORTFOLIO&amp;VAR:CHGPERIOD=NA&amp;VAR:FQLFORMULA=FMA_PE&amp;VAR:CURRENCY=USD&amp;VAR:P=1","419.890000&amp;VAR:THRESH=||||||&amp;VAR:null=.html"}</definedName>
    <definedName name="_534__FDSAUDITLINK__" hidden="1">{"fdsup://directions/FAT%20Viewer?VAR:TM=NTMA&amp;VAR:PCT=0.445355&amp;VAR:Y0=2000&amp;VAR:Y1=2001&amp;VAR:V0=25.984032&amp;VAR:V1=22.420813&amp;VAR:V=23.879162&amp;VAR:AUDIT_ID=00000117&amp;VAR:DATE=20000721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Aggregates&amp;VAR:MEASURE=PE_MEAN&amp;VAR:CALC_MODE=PORTFOLIO&amp;VAR:CHGPERIOD=NA&amp;VAR:FQLFORMULA=FMA_PE&amp;VAR:CURRENCY=USD&amp;VAR:P=1","480.190000&amp;VAR:THRESH=||||||&amp;VAR:null=.html"}</definedName>
    <definedName name="_535__FDSAUDITLINK__" hidden="1">{"fdsup://directions/FAT%20Viewer?VAR:TM=NTMA&amp;VAR:PCT=0.464481&amp;VAR:Y0=2000&amp;VAR:Y1=2001&amp;VAR:V0=26.496552&amp;VAR:V1=22.873570&amp;VAR:V=24.424798&amp;VAR:AUDIT_ID=00000117&amp;VAR:DATE=20000714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Aggregates&amp;VAR:MEASURE=PE_MEAN&amp;VAR:CALC_MODE=PORTFOLIO&amp;VAR:CHGPERIOD=NA&amp;VAR:FQLFORMULA=FMA_PE&amp;VAR:CURRENCY=USD&amp;VAR:P=1","509.980000&amp;VAR:THRESH=||||||&amp;VAR:null=.html"}</definedName>
    <definedName name="_536__FDSAUDITLINK__" hidden="1">{"fdsup://directions/FAT%20Viewer?VAR:TM=NTMA&amp;VAR:PCT=0.483607&amp;VAR:Y0=2000&amp;VAR:Y1=2001&amp;VAR:V0=26.011827&amp;VAR:V1=22.499708&amp;VAR:V=24.071495&amp;VAR:AUDIT_ID=00000117&amp;VAR:DATE=20000707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Aggregates&amp;VAR:MEASURE=PE_MEAN&amp;VAR:CALC_MODE=PORTFOLIO&amp;VAR:CHGPERIOD=NA&amp;VAR:FQLFORMULA=FMA_PE&amp;VAR:CURRENCY=USD&amp;VAR:P=1","478.900000&amp;VAR:THRESH=||||||&amp;VAR:null=.html"}</definedName>
    <definedName name="_537__FDSAUDITLINK__" hidden="1">{"fdsup://directions/FAT%20Viewer?VAR:TM=NTMA&amp;VAR:PCT=0.502732&amp;VAR:Y0=2000&amp;VAR:Y1=2001&amp;VAR:V0=25.357458&amp;VAR:V1=21.914219&amp;VAR:V=23.519798&amp;VAR:AUDIT_ID=00000117&amp;VAR:DATE=20000630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Aggregates&amp;VAR:MEASURE=PE_MEAN&amp;VAR:CALC_MODE=PORTFOLIO&amp;VAR:CHGPERIOD=NA&amp;VAR:FQLFORMULA=FMA_PE&amp;VAR:CURRENCY=USD&amp;VAR:P=1","454.600000&amp;VAR:THRESH=||||||&amp;VAR:null=.html"}</definedName>
    <definedName name="_538__FDSAUDITLINK__" hidden="1">{"fdsup://directions/FAT%20Viewer?VAR:TM=NTMA&amp;VAR:PCT=0.521858&amp;VAR:Y0=2000&amp;VAR:Y1=2001&amp;VAR:V0=25.167877&amp;VAR:V1=21.727169&amp;VAR:V=23.396343&amp;VAR:AUDIT_ID=00000117&amp;VAR:DATE=20000623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Aggregates&amp;VAR:MEASURE=PE_MEAN&amp;VAR:CALC_MODE=PORTFOLIO&amp;VAR:CHGPERIOD=NA&amp;VAR:FQLFORMULA=FMA_PE&amp;VAR:CURRENCY=USD&amp;VAR:P=1","441.480000&amp;VAR:THRESH=||||||&amp;VAR:null=.html"}</definedName>
    <definedName name="_539__FDSAUDITLINK__" hidden="1">{"fdsup://directions/FAT%20Viewer?VAR:TM=NTMA&amp;VAR:PCT=0.540984&amp;VAR:Y0=2000&amp;VAR:Y1=2001&amp;VAR:V0=25.355347&amp;VAR:V1=21.939991&amp;VAR:V=23.664425&amp;VAR:AUDIT_ID=00000117&amp;VAR:DATE=20000616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Aggregates&amp;VAR:MEASURE=PE_MEAN&amp;VAR:CALC_MODE=PORTFOLIO&amp;VAR:CHGPERIOD=NA&amp;VAR:FQLFORMULA=FMA_PE&amp;VAR:CURRENCY=USD&amp;VAR:P=1","464.460000&amp;VAR:THRESH=||||||&amp;VAR:null=.html"}</definedName>
    <definedName name="_54__FDSAUDITLINK__" hidden="1">{"fdsup://directions/FAT%20Viewer?VAR:TM=NTMA&amp;VAR:PCT=0.246575&amp;VAR:Y0=2009&amp;VAR:Y1=2010&amp;VAR:V0=17.031720&amp;VAR:V1=13.554140&amp;VAR:V=14.272720&amp;VAR:AUDIT_ID=00000117&amp;VAR:DATE=20091002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Aggregates&amp;VAR:MEASURE=PE_MEAN&amp;VAR:CALC_MODE=PORTFOLIO&amp;VAR:CHGPERIOD=NA&amp;VAR:FQLFORMULA=FMA_PE&amp;VAR:CURRENCY=USD&amp;VAR:P=1","025.210463&amp;VAR:THRESH=||||||&amp;VAR:null=.html"}</definedName>
    <definedName name="_540__FDSAUDITLINK__" hidden="1">{"fdsup://directions/FAT%20Viewer?VAR:TM=NTMA&amp;VAR:PCT=0.560109&amp;VAR:Y0=2000&amp;VAR:Y1=2001&amp;VAR:V0=25.281530&amp;VAR:V1=21.790977&amp;VAR:V=23.617374&amp;VAR:AUDIT_ID=00000117&amp;VAR:DATE=20000609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Aggregates&amp;VAR:MEASURE=PE_MEAN&amp;VAR:CALC_MODE=PORTFOLIO&amp;VAR:CHGPERIOD=NA&amp;VAR:FQLFORMULA=FMA_PE&amp;VAR:CURRENCY=USD&amp;VAR:P=1","456.950000&amp;VAR:THRESH=||||||&amp;VAR:null=.html"}</definedName>
    <definedName name="_541__FDSAUDITLINK__" hidden="1">{"fdsup://directions/FAT%20Viewer?VAR:TM=NTMA&amp;VAR:PCT=0.579235&amp;VAR:Y0=2000&amp;VAR:Y1=2001&amp;VAR:V0=25.607052&amp;VAR:V1=22.110134&amp;VAR:V=24.009287&amp;VAR:AUDIT_ID=00000117&amp;VAR:DATE=20000602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Aggregates&amp;VAR:MEASURE=PE_MEAN&amp;VAR:CALC_MODE=PORTFOLIO&amp;VAR:CHGPERIOD=NA&amp;VAR:FQLFORMULA=FMA_PE&amp;VAR:CURRENCY=USD&amp;VAR:P=1","477.260000&amp;VAR:THRESH=||||||&amp;VAR:null=.html"}</definedName>
    <definedName name="_542__FDSAUDITLINK__" hidden="1">{"fdsup://directions/FAT%20Viewer?VAR:TM=NTMA&amp;VAR:PCT=0.598361&amp;VAR:Y0=2000&amp;VAR:Y1=2001&amp;VAR:V0=23.985712&amp;VAR:V1=20.860903&amp;VAR:V=22.624560&amp;VAR:AUDIT_ID=00000117&amp;VAR:DATE=20000526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Aggregates&amp;VAR:MEASURE=PE_MEAN&amp;VAR:CALC_MODE=PORTFOLIO&amp;VAR:CHGPERIOD=NA&amp;VAR:FQLFORMULA=FMA_PE&amp;VAR:CURRENCY=USD&amp;VAR:P=1","378.020000&amp;VAR:THRESH=||||||&amp;VAR:null=.html"}</definedName>
    <definedName name="_543__FDSAUDITLINK__" hidden="1">{"fdsup://directions/FAT%20Viewer?VAR:TM=NTMA&amp;VAR:PCT=0.617486&amp;VAR:Y0=2000&amp;VAR:Y1=2001&amp;VAR:V0=24.459929&amp;VAR:V1=21.236570&amp;VAR:V=23.117731&amp;VAR:AUDIT_ID=00000117&amp;VAR:DATE=20000519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Aggregates&amp;VAR:MEASURE=PE_MEAN&amp;VAR:CALC_MODE=PORTFOLIO&amp;VAR:CHGPERIOD=NA&amp;VAR:FQLFORMULA=FMA_PE&amp;VAR:CURRENCY=USD&amp;VAR:P=1","406.950000&amp;VAR:THRESH=||||||&amp;VAR:null=.html"}</definedName>
    <definedName name="_544__FDSAUDITLINK__" hidden="1">{"fdsup://directions/FAT%20Viewer?VAR:TM=NTMA&amp;VAR:PCT=0.636612&amp;VAR:Y0=2000&amp;VAR:Y1=2001&amp;VAR:V0=24.765455&amp;VAR:V1=21.436932&amp;VAR:V=23.442735&amp;VAR:AUDIT_ID=00000117&amp;VAR:DATE=20000512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Aggregates&amp;VAR:MEASURE=PE_MEAN&amp;VAR:CALC_MODE=PORTFOLIO&amp;VAR:CHGPERIOD=NA&amp;VAR:FQLFORMULA=FMA_PE&amp;VAR:CURRENCY=USD&amp;VAR:P=1","420.960000&amp;VAR:THRESH=||||||&amp;VAR:null=.html"}</definedName>
    <definedName name="_545__FDSAUDITLINK__" hidden="1">{"fdsup://directions/FAT%20Viewer?VAR:TM=NTMA&amp;VAR:PCT=0.655738&amp;VAR:Y0=2000&amp;VAR:Y1=2001&amp;VAR:V0=24.979761&amp;VAR:V1=21.609540&amp;VAR:V=23.706911&amp;VAR:AUDIT_ID=00000117&amp;VAR:DATE=20000505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Aggregates&amp;VAR:MEASURE=PE_MEAN&amp;VAR:CALC_MODE=PORTFOLIO&amp;VAR:CHGPERIOD=NA&amp;VAR:FQLFORMULA=FMA_PE&amp;VAR:CURRENCY=USD&amp;VAR:P=1","432.630000&amp;VAR:THRESH=||||||&amp;VAR:null=.html"}</definedName>
    <definedName name="_546__FDSAUDITLINK__" hidden="1">{"fdsup://directions/FAT%20Viewer?VAR:TM=NTMA&amp;VAR:PCT=0.674863&amp;VAR:Y0=2000&amp;VAR:Y1=2001&amp;VAR:V0=25.348540&amp;VAR:V1=21.747652&amp;VAR:V=24.053618&amp;VAR:AUDIT_ID=00000117&amp;VAR:DATE=20000428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Aggregates&amp;VAR:MEASURE=PE_MEAN&amp;VAR:CALC_MODE=PORTFOLIO&amp;VAR:CHGPERIOD=NA&amp;VAR:FQLFORMULA=FMA_PE&amp;VAR:CURRENCY=USD&amp;VAR:P=1","452.430000&amp;VAR:THRESH=||||||&amp;VAR:null=.html"}</definedName>
    <definedName name="_547__FDSAUDITLINK__" hidden="1">{"fdsup://directions/FAT%20Viewer?VAR:TM=NTMA&amp;VAR:PCT=0.696721&amp;VAR:Y0=2000&amp;VAR:Y1=2001&amp;VAR:V0=25.039652&amp;VAR:V1=21.406300&amp;VAR:V=23.813804&amp;VAR:AUDIT_ID=00000117&amp;VAR:DATE=20000420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Aggregates&amp;VAR:MEASURE=PE_MEAN&amp;VAR:CALC_MODE=PORTFOLIO&amp;VAR:CHGPERIOD=NA&amp;VAR:FQLFORMULA=FMA_PE&amp;VAR:CURRENCY=USD&amp;VAR:P=1","434.540000&amp;VAR:THRESH=||||||&amp;VAR:null=.html"}</definedName>
    <definedName name="_548__FDSAUDITLINK__" hidden="1">{"fdsup://directions/FAT%20Viewer?VAR:TM=NTMA&amp;VAR:PCT=0.713115&amp;VAR:Y0=2000&amp;VAR:Y1=2001&amp;VAR:V0=23.673656&amp;VAR:V1=20.199740&amp;VAR:V=22.560562&amp;VAR:AUDIT_ID=00000117&amp;VAR:DATE=20000414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Aggregates&amp;VAR:MEASURE=PE_MEAN&amp;VAR:CALC_MODE=PORTFOLIO&amp;VAR:CHGPERIOD=NA&amp;VAR:FQLFORMULA=FMA_PE&amp;VAR:CURRENCY=USD&amp;VAR:P=1","356.560000&amp;VAR:THRESH=||||||&amp;VAR:null=.html"}</definedName>
    <definedName name="_549__FDSAUDITLINK__" hidden="1">{"fdsup://directions/FAT%20Viewer?VAR:TM=NTMA&amp;VAR:PCT=0.732240&amp;VAR:Y0=2000&amp;VAR:Y1=2001&amp;VAR:V0=26.440758&amp;VAR:V1=22.463892&amp;VAR:V=25.244124&amp;VAR:AUDIT_ID=00000117&amp;VAR:DATE=20000407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Aggregates&amp;VAR:MEASURE=PE_MEAN&amp;VAR:CALC_MODE=PORTFOLIO&amp;VAR:CHGPERIOD=NA&amp;VAR:FQLFORMULA=FMA_PE&amp;VAR:CURRENCY=USD&amp;VAR:P=1","516.350000&amp;VAR:THRESH=||||||&amp;VAR:null=.html"}</definedName>
    <definedName name="_55__FDSAUDITLINK__" hidden="1">{"fdsup://directions/FAT%20Viewer?VAR:TM=NTMA&amp;VAR:PCT=0.265753&amp;VAR:Y0=2009&amp;VAR:Y1=2010&amp;VAR:V0=17.317488&amp;VAR:V1=13.815020&amp;VAR:V=14.599737&amp;VAR:AUDIT_ID=00000117&amp;VAR:DATE=20090925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Aggregates&amp;VAR:MEASURE=PE_MEAN&amp;VAR:CALC_MODE=PORTFOLIO&amp;VAR:CHGPERIOD=NA&amp;VAR:FQLFORMULA=FMA_PE&amp;VAR:CURRENCY=USD&amp;VAR:P=1","044.382375&amp;VAR:THRESH=||||||&amp;VAR:null=.html"}</definedName>
    <definedName name="_550__FDSAUDITLINK__" hidden="1">{"fdsup://directions/FAT%20Viewer?VAR:TM=NTMA&amp;VAR:PCT=0.751366&amp;VAR:Y0=2000&amp;VAR:Y1=2001&amp;VAR:V0=26.096607&amp;VAR:V1=22.225760&amp;VAR:V=25.013469&amp;VAR:AUDIT_ID=00000117&amp;VAR:DATE=20000331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Aggregates&amp;VAR:MEASURE=PE_MEAN&amp;VAR:CALC_MODE=PORTFOLIO&amp;VAR:CHGPERIOD=NA&amp;VAR:FQLFORMULA=FMA_PE&amp;VAR:CURRENCY=USD&amp;VAR:P=1","498.580000&amp;VAR:THRESH=||||||&amp;VAR:null=.html"}</definedName>
    <definedName name="_551__FDSAUDITLINK__" hidden="1">{"fdsup://directions/FAT%20Viewer?VAR:TM=NTMA&amp;VAR:PCT=0.770492&amp;VAR:Y0=2000&amp;VAR:Y1=2001&amp;VAR:V0=26.634150&amp;VAR:V1=22.548769&amp;VAR:V=25.570856&amp;VAR:AUDIT_ID=00000117&amp;VAR:DATE=20000324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Aggregates&amp;VAR:MEASURE=PE_MEAN&amp;VAR:CALC_MODE=PORTFOLIO&amp;VAR:CHGPERIOD=NA&amp;VAR:FQLFORMULA=FMA_PE&amp;VAR:CURRENCY=USD&amp;VAR:P=1","527.460000&amp;VAR:THRESH=||||||&amp;VAR:null=.html"}</definedName>
    <definedName name="_552__FDSAUDITLINK__" hidden="1">{"fdsup://directions/FAT%20Viewer?VAR:TM=NTMA&amp;VAR:PCT=0.789617&amp;VAR:Y0=2000&amp;VAR:Y1=2001&amp;VAR:V0=25.477755&amp;VAR:V1=21.544773&amp;VAR:V=24.535466&amp;VAR:AUDIT_ID=00000117&amp;VAR:DATE=20000317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Aggregates&amp;VAR:MEASURE=PE_MEAN&amp;VAR:CALC_MODE=PORTFOLIO&amp;VAR:CHGPERIOD=NA&amp;VAR:FQLFORMULA=FMA_PE&amp;VAR:CURRENCY=USD&amp;VAR:P=1","464.470000&amp;VAR:THRESH=||||||&amp;VAR:null=.html"}</definedName>
    <definedName name="_553__FDSAUDITLINK__" hidden="1">{"fdsup://directions/FAT%20Viewer?VAR:TM=NTMA&amp;VAR:PCT=0.808743&amp;VAR:Y0=2000&amp;VAR:Y1=2001&amp;VAR:V0=24.244665&amp;VAR:V1=20.423851&amp;VAR:V=23.407166&amp;VAR:AUDIT_ID=00000117&amp;VAR:DATE=20000310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Aggregates&amp;VAR:MEASURE=PE_MEAN&amp;VAR:CALC_MODE=PORTFOLIO&amp;VAR:CHGPERIOD=NA&amp;VAR:FQLFORMULA=FMA_PE&amp;VAR:CURRENCY=USD&amp;VAR:P=1","395.070000&amp;VAR:THRESH=||||||&amp;VAR:null=.html"}</definedName>
    <definedName name="_554__FDSAUDITLINK__" hidden="1">{"fdsup://directions/FAT%20Viewer?VAR:TM=NTMA&amp;VAR:PCT=0.827869&amp;VAR:Y0=2000&amp;VAR:Y1=2001&amp;VAR:V0=24.503160&amp;VAR:V1=20.758308&amp;VAR:V=23.765182&amp;VAR:AUDIT_ID=00000117&amp;VAR:DATE=20000303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Aggregates&amp;VAR:MEASURE=PE_MEAN&amp;VAR:CALC_MODE=PORTFOLIO&amp;VAR:CHGPERIOD=NA&amp;VAR:FQLFORMULA=FMA_PE&amp;VAR:CURRENCY=USD&amp;VAR:P=1","409.170000&amp;VAR:THRESH=||||||&amp;VAR:null=.html"}</definedName>
    <definedName name="_555__FDSAUDITLINK__" hidden="1">{"fdsup://directions/FAT%20Viewer?VAR:TM=NTMA&amp;VAR:PCT=0.846995&amp;VAR:Y0=2000&amp;VAR:Y1=2001&amp;VAR:V0=23.246260&amp;VAR:V1=19.771072&amp;VAR:V=22.637449&amp;VAR:AUDIT_ID=00000117&amp;VAR:DATE=20000225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Aggregates&amp;VAR:MEASURE=PE_MEAN&amp;VAR:CALC_MODE=PORTFOLIO&amp;VAR:CHGPERIOD=NA&amp;VAR:FQLFORMULA=FMA_PE&amp;VAR:CURRENCY=USD&amp;VAR:P=1","333.360000&amp;VAR:THRESH=||||||&amp;VAR:null=.html"}</definedName>
    <definedName name="_556__FDSAUDITLINK__" hidden="1">{"fdsup://directions/FAT%20Viewer?VAR:TM=NTMA&amp;VAR:PCT=0.866120&amp;VAR:Y0=2000&amp;VAR:Y1=2001&amp;VAR:V0=23.406654&amp;VAR:V1=19.949465&amp;VAR:V=22.875910&amp;VAR:AUDIT_ID=00000117&amp;VAR:DATE=20000218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Aggregates&amp;VAR:MEASURE=PE_MEAN&amp;VAR:CALC_MODE=PORTFOLIO&amp;VAR:CHGPERIOD=NA&amp;VAR:FQLFORMULA=FMA_PE&amp;VAR:CURRENCY=USD&amp;VAR:P=1","346.090000&amp;VAR:THRESH=||||||&amp;VAR:null=.html"}</definedName>
    <definedName name="_557__FDSAUDITLINK__" hidden="1">{"fdsup://directions/FAT%20Viewer?VAR:TM=NTMA&amp;VAR:PCT=0.885246&amp;VAR:Y0=2000&amp;VAR:Y1=2001&amp;VAR:V0=24.115067&amp;VAR:V1=20.620811&amp;VAR:V=23.655084&amp;VAR:AUDIT_ID=00000117&amp;VAR:DATE=20000211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Aggregates&amp;VAR:MEASURE=PE_MEAN&amp;VAR:CALC_MODE=PORTFOLIO&amp;VAR:CHGPERIOD=NA&amp;VAR:FQLFORMULA=FMA_PE&amp;VAR:CURRENCY=USD&amp;VAR:P=1","387.120000&amp;VAR:THRESH=||||||&amp;VAR:null=.html"}</definedName>
    <definedName name="_558__FDSAUDITLINK__" hidden="1">{"fdsup://directions/FAT%20Viewer?VAR:TM=NTMA&amp;VAR:PCT=0.904372&amp;VAR:Y0=2000&amp;VAR:Y1=2001&amp;VAR:V0=24.756449&amp;VAR:V1=20.660748&amp;VAR:V=24.295873&amp;VAR:AUDIT_ID=00000117&amp;VAR:DATE=20000204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Aggregates&amp;VAR:MEASURE=PE_MEAN&amp;VAR:CALC_MODE=PORTFOLIO&amp;VAR:CHGPERIOD=NA&amp;VAR:FQLFORMULA=FMA_PE&amp;VAR:CURRENCY=USD&amp;VAR:P=1","424.370000&amp;VAR:THRESH=||||||&amp;VAR:null=.html"}</definedName>
    <definedName name="_559__FDSAUDITLINK__" hidden="1">{"fdsup://directions/FAT%20Viewer?VAR:TM=NTMA&amp;VAR:PCT=0.923497&amp;VAR:Y0=2000&amp;VAR:Y1=2001&amp;VAR:V0=23.617811&amp;VAR:V1=19.472126&amp;VAR:V=23.239296&amp;VAR:AUDIT_ID=00000117&amp;VAR:DATE=20000128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Aggregates&amp;VAR:MEASURE=PE_MEAN&amp;VAR:CALC_MODE=PORTFOLIO&amp;VAR:CHGPERIOD=NA&amp;VAR:FQLFORMULA=FMA_PE&amp;VAR:CURRENCY=USD&amp;VAR:P=1","360.160000&amp;VAR:THRESH=||||||&amp;VAR:null=.html"}</definedName>
    <definedName name="_56__FDSAUDITLINK__" hidden="1">{"fdsup://directions/FAT%20Viewer?VAR:TM=NTMA&amp;VAR:PCT=0.284932&amp;VAR:Y0=2009&amp;VAR:Y1=2010&amp;VAR:V0=17.671541&amp;VAR:V1=14.132638&amp;VAR:V=14.987851&amp;VAR:AUDIT_ID=00000117&amp;VAR:DATE=20090918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Aggregates&amp;VAR:MEASURE=PE_MEAN&amp;VAR:CALC_MODE=PORTFOLIO&amp;VAR:CHGPERIOD=NA&amp;VAR:FQLFORMULA=FMA_PE&amp;VAR:CURRENCY=USD&amp;VAR:P=1","068.295328&amp;VAR:THRESH=||||||&amp;VAR:null=.html"}</definedName>
    <definedName name="_560__FDSAUDITLINK__" hidden="1">{"fdsup://directions/FAT%20Viewer?VAR:TM=NTMA&amp;VAR:PCT=0.942623&amp;VAR:Y0=2000&amp;VAR:Y1=2001&amp;VAR:V0=25.090927&amp;VAR:V1=20.816572&amp;VAR:V=24.798761&amp;VAR:AUDIT_ID=00000117&amp;VAR:DATE=20000121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Aggregates&amp;VAR:MEASURE=PE_MEAN&amp;VAR:CALC_MODE=PORTFOLIO&amp;VAR:CHGPERIOD=NA&amp;VAR:FQLFORMULA=FMA_PE&amp;VAR:CURRENCY=USD&amp;VAR:P=1","441.360000&amp;VAR:THRESH=||||||&amp;VAR:null=.html"}</definedName>
    <definedName name="_561__FDSAUDITLINK__" hidden="1">{"fdsup://directions/FAT%20Viewer?VAR:TM=NTMA&amp;VAR:PCT=0.961749&amp;VAR:Y0=2000&amp;VAR:Y1=2001&amp;VAR:V0=25.477392&amp;VAR:V1=21.219364&amp;VAR:V=25.283323&amp;VAR:AUDIT_ID=00000117&amp;VAR:DATE=20000114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Aggregates&amp;VAR:MEASURE=PE_MEAN&amp;VAR:CALC_MODE=PORTFOLIO&amp;VAR:CHGPERIOD=NA&amp;VAR:FQLFORMULA=FMA_PE&amp;VAR:CURRENCY=USD&amp;VAR:P=1","465.150000&amp;VAR:THRESH=||||||&amp;VAR:null=.html"}</definedName>
    <definedName name="_562__FDSAUDITLINK__" hidden="1">{"fdsup://directions/FAT%20Viewer?VAR:TM=NTMA&amp;VAR:PCT=0.980874&amp;VAR:Y0=2000&amp;VAR:Y1=2001&amp;VAR:V0=25.061665&amp;VAR:V1=20.850370&amp;VAR:V=24.965226&amp;VAR:AUDIT_ID=00000117&amp;VAR:DATE=20000107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Aggregates&amp;VAR:MEASURE=PE_MEAN&amp;VAR:CALC_MODE=PORTFOLIO&amp;VAR:CHGPERIOD=NA&amp;VAR:FQLFORMULA=FMA_PE&amp;VAR:CURRENCY=USD&amp;VAR:P=1","441.470000&amp;VAR:THRESH=||||||&amp;VAR:null=.html"}</definedName>
    <definedName name="_563__FDSAUDITLINK__" hidden="1">{"fdsup://directions/FAT%20Viewer?VAR:TM=NTMA&amp;VAR:PCT=0.000000&amp;VAR:Y0=1999&amp;VAR:Y1=2000&amp;VAR:V0=30.009277&amp;VAR:V1=25.505710&amp;VAR:V=25.505710&amp;VAR:AUDIT_ID=00000117&amp;VAR:DATE=19991231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Aggregates&amp;VAR:MEASURE=PE_MEAN&amp;VAR:CALC_MODE=PORTFOLIO&amp;VAR:CHGPERIOD=NA&amp;VAR:FQLFORMULA=FMA_PE&amp;VAR:CURRENCY=USD&amp;VAR:P=1","469.250000&amp;VAR:THRESH=||||||&amp;VAR:null=.html"}</definedName>
    <definedName name="_564__FDSAUDITLINK__" hidden="1">{"fdsup://directions/FAT%20Viewer?VAR:TM=NTMA&amp;VAR:PCT=0.021918&amp;VAR:Y0=1999&amp;VAR:Y1=2000&amp;VAR:V0=29.793520&amp;VAR:V1=25.324144&amp;VAR:V=25.407683&amp;VAR:AUDIT_ID=00000117&amp;VAR:DATE=19991223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Aggregates&amp;VAR:MEASURE=PE_MEAN&amp;VAR:CALC_MODE=PORTFOLIO&amp;VAR:CHGPERIOD=NA&amp;VAR:FQLFORMULA=FMA_PE&amp;VAR:CURRENCY=USD&amp;VAR:P=1","458.340000&amp;VAR:THRESH=||||||&amp;VAR:null=.html"}</definedName>
    <definedName name="_565__FDSAUDITLINK__" hidden="1">{"fdsup://directions/FAT%20Viewer?VAR:TM=NTMA&amp;VAR:PCT=0.038356&amp;VAR:Y0=1999&amp;VAR:Y1=2000&amp;VAR:V0=28.927340&amp;VAR:V1=24.646301&amp;VAR:V=24.787003&amp;VAR:AUDIT_ID=00000117&amp;VAR:DATE=19991217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Aggregates&amp;VAR:MEASURE=PE_MEAN&amp;VAR:CALC_MODE=PORTFOLIO&amp;VAR:CHGPERIOD=NA&amp;VAR:FQLFORMULA=FMA_PE&amp;VAR:CURRENCY=USD&amp;VAR:P=1","421.030000&amp;VAR:THRESH=||||||&amp;VAR:null=.html"}</definedName>
    <definedName name="_566__FDSAUDITLINK__" hidden="1">{"fdsup://directions/FAT%20Viewer?VAR:TM=NTMA&amp;VAR:PCT=0.057534&amp;VAR:Y0=1999&amp;VAR:Y1=2000&amp;VAR:V0=28.759235&amp;VAR:V1=24.490675&amp;VAR:V=24.701613&amp;VAR:AUDIT_ID=00000117&amp;VAR:DATE=19991210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Aggregates&amp;VAR:MEASURE=PE_MEAN&amp;VAR:CALC_MODE=PORTFOLIO&amp;VAR:CHGPERIOD=NA&amp;VAR:FQLFORMULA=FMA_PE&amp;VAR:CURRENCY=USD&amp;VAR:P=1","417.040000&amp;VAR:THRESH=||||||&amp;VAR:null=.html"}</definedName>
    <definedName name="_567__FDSAUDITLINK__" hidden="1">{"fdsup://directions/FAT%20Viewer?VAR:TM=NTMA&amp;VAR:PCT=0.076712&amp;VAR:Y0=1999&amp;VAR:Y1=2000&amp;VAR:V0=28.838936&amp;VAR:V1=24.558567&amp;VAR:V=24.841409&amp;VAR:AUDIT_ID=00000117&amp;VAR:DATE=19991203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Aggregates&amp;VAR:MEASURE=PE_MEAN&amp;VAR:CALC_MODE=PORTFOLIO&amp;VAR:CHGPERIOD=NA&amp;VAR:FQLFORMULA=FMA_PE&amp;VAR:CURRENCY=USD&amp;VAR:P=1","433.300000&amp;VAR:THRESH=||||||&amp;VAR:null=.html"}</definedName>
    <definedName name="_568__FDSAUDITLINK__" hidden="1">{"fdsup://directions/FAT%20Viewer?VAR:TM=NTMA&amp;VAR:PCT=0.095890&amp;VAR:Y0=1999&amp;VAR:Y1=2000&amp;VAR:V0=28.435465&amp;VAR:V1=24.234983&amp;VAR:V=24.583202&amp;VAR:AUDIT_ID=00000117&amp;VAR:DATE=19991126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Aggregates&amp;VAR:MEASURE=PE_MEAN&amp;VAR:CALC_MODE=PORTFOLIO&amp;VAR:CHGPERIOD=NA&amp;VAR:FQLFORMULA=FMA_PE&amp;VAR:CURRENCY=USD&amp;VAR:P=1","416.620000&amp;VAR:THRESH=||||||&amp;VAR:null=.html"}</definedName>
    <definedName name="_569__FDSAUDITLINK__" hidden="1">{"fdsup://directions/FAT%20Viewer?VAR:TM=NTMA&amp;VAR:PCT=0.115068&amp;VAR:Y0=1999&amp;VAR:Y1=2000&amp;VAR:V0=28.596035&amp;VAR:V1=24.361591&amp;VAR:V=24.783886&amp;VAR:AUDIT_ID=00000117&amp;VAR:DATE=19991119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Aggregates&amp;VAR:MEASURE=PE_MEAN&amp;VAR:CALC_MODE=PORTFOLIO&amp;VAR:CHGPERIOD=NA&amp;VAR:FQLFORMULA=FMA_PE&amp;VAR:CURRENCY=USD&amp;VAR:P=1","422.000000&amp;VAR:THRESH=||||||&amp;VAR:null=.html"}</definedName>
    <definedName name="_57__FDSAUDITLINK__" hidden="1">{"fdsup://directions/FAT%20Viewer?VAR:TM=NTMA&amp;VAR:PCT=0.304110&amp;VAR:Y0=2009&amp;VAR:Y1=2010&amp;VAR:V0=17.255785&amp;VAR:V1=13.805658&amp;VAR:V=14.699439&amp;VAR:AUDIT_ID=00000117&amp;VAR:DATE=20090911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Aggregates&amp;VAR:MEASURE=PE_MEAN&amp;VAR:CALC_MODE=PORTFOLIO&amp;VAR:CHGPERIOD=NA&amp;VAR:FQLFORMULA=FMA_PE&amp;VAR:CURRENCY=USD&amp;VAR:P=1","042.732183&amp;VAR:THRESH=||||||&amp;VAR:null=.html"}</definedName>
    <definedName name="_570__FDSAUDITLINK__" hidden="1">{"fdsup://directions/FAT%20Viewer?VAR:TM=NTMA&amp;VAR:PCT=0.134247&amp;VAR:Y0=1999&amp;VAR:Y1=2000&amp;VAR:V0=28.002361&amp;VAR:V1=23.843498&amp;VAR:V=24.328563&amp;VAR:AUDIT_ID=00000117&amp;VAR:DATE=19991112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Aggregates&amp;VAR:MEASURE=PE_MEAN&amp;VAR:CALC_MODE=PORTFOLIO&amp;VAR:CHGPERIOD=NA&amp;VAR:FQLFORMULA=FMA_PE&amp;VAR:CURRENCY=USD&amp;VAR:P=1","396.060000&amp;VAR:THRESH=||||||&amp;VAR:null=.html"}</definedName>
    <definedName name="_571__FDSAUDITLINK__" hidden="1">{"fdsup://directions/FAT%20Viewer?VAR:TM=NTMA&amp;VAR:PCT=0.153425&amp;VAR:Y0=1999&amp;VAR:Y1=2000&amp;VAR:V0=27.484724&amp;VAR:V1=23.387365&amp;VAR:V=23.934807&amp;VAR:AUDIT_ID=00000117&amp;VAR:DATE=19991105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Aggregates&amp;VAR:MEASURE=PE_MEAN&amp;VAR:CALC_MODE=PORTFOLIO&amp;VAR:CHGPERIOD=NA&amp;VAR:FQLFORMULA=FMA_PE&amp;VAR:CURRENCY=USD&amp;VAR:P=1","370.230000&amp;VAR:THRESH=||||||&amp;VAR:null=.html"}</definedName>
    <definedName name="_572__FDSAUDITLINK__" hidden="1">{"fdsup://directions/FAT%20Viewer?VAR:TM=NTMA&amp;VAR:PCT=0.172603&amp;VAR:Y0=1999&amp;VAR:Y1=2000&amp;VAR:V0=27.261621&amp;VAR:V1=23.228764&amp;VAR:V=23.837414&amp;VAR:AUDIT_ID=00000117&amp;VAR:DATE=19991029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Aggregates&amp;VAR:MEASURE=PE_MEAN&amp;VAR:CALC_MODE=PORTFOLIO&amp;VAR:CHGPERIOD=NA&amp;VAR:FQLFORMULA=FMA_PE&amp;VAR:CURRENCY=USD&amp;VAR:P=1","362.930000&amp;VAR:THRESH=||||||&amp;VAR:null=.html"}</definedName>
    <definedName name="_573__FDSAUDITLINK__" hidden="1">{"fdsup://directions/FAT%20Viewer?VAR:TM=NTMA&amp;VAR:PCT=0.191781&amp;VAR:Y0=1999&amp;VAR:Y1=2000&amp;VAR:V0=25.967903&amp;VAR:V1=22.228080&amp;VAR:V=22.859452&amp;VAR:AUDIT_ID=00000117&amp;VAR:DATE=19991022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Aggregates&amp;VAR:MEASURE=PE_MEAN&amp;VAR:CALC_MODE=PORTFOLIO&amp;VAR:CHGPERIOD=NA&amp;VAR:FQLFORMULA=FMA_PE&amp;VAR:CURRENCY=USD&amp;VAR:P=1","301.650000&amp;VAR:THRESH=||||||&amp;VAR:null=.html"}</definedName>
    <definedName name="_574__FDSAUDITLINK__" hidden="1">{"fdsup://directions/FAT%20Viewer?VAR:TM=NTMA&amp;VAR:PCT=0.210959&amp;VAR:Y0=1999&amp;VAR:Y1=2000&amp;VAR:V0=24.798826&amp;VAR:V1=21.191334&amp;VAR:V=21.862248&amp;VAR:AUDIT_ID=00000117&amp;VAR:DATE=19991015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Aggregates&amp;VAR:MEASURE=PE_MEAN&amp;VAR:CALC_MODE=PORTFOLIO&amp;VAR:CHGPERIOD=NA&amp;VAR:FQLFORMULA=FMA_PE&amp;VAR:CURRENCY=USD&amp;VAR:P=1","247.410000&amp;VAR:THRESH=||||||&amp;VAR:null=.html"}</definedName>
    <definedName name="_575__FDSAUDITLINK__" hidden="1">{"fdsup://directions/FAT%20Viewer?VAR:TM=NTMA&amp;VAR:PCT=0.230137&amp;VAR:Y0=1999&amp;VAR:Y1=2000&amp;VAR:V0=26.559020&amp;VAR:V1=22.729904&amp;VAR:V=23.509958&amp;VAR:AUDIT_ID=00000117&amp;VAR:DATE=19991008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Aggregates&amp;VAR:MEASURE=PE_MEAN&amp;VAR:CALC_MODE=PORTFOLIO&amp;VAR:CHGPERIOD=NA&amp;VAR:FQLFORMULA=FMA_PE&amp;VAR:CURRENCY=USD&amp;VAR:P=1","336.020000&amp;VAR:THRESH=||||||&amp;VAR:null=.html"}</definedName>
    <definedName name="_576__FDSAUDITLINK__" hidden="1">{"fdsup://directions/FAT%20Viewer?VAR:TM=NTMA&amp;VAR:PCT=0.249315&amp;VAR:Y0=1999&amp;VAR:Y1=2000&amp;VAR:V0=25.499475&amp;VAR:V1=21.843939&amp;VAR:V=22.653605&amp;VAR:AUDIT_ID=00000117&amp;VAR:DATE=19991001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Aggregates&amp;VAR:MEASURE=PE_MEAN&amp;VAR:CALC_MODE=PORTFOLIO&amp;VAR:CHGPERIOD=NA&amp;VAR:FQLFORMULA=FMA_PE&amp;VAR:CURRENCY=USD&amp;VAR:P=1","282.810000&amp;VAR:THRESH=||||||&amp;VAR:null=.html"}</definedName>
    <definedName name="_577__FDSAUDITLINK__" hidden="1">{"fdsup://directions/FAT%20Viewer?VAR:TM=NTMA&amp;VAR:PCT=0.268493&amp;VAR:Y0=1999&amp;VAR:Y1=2000&amp;VAR:V0=25.299696&amp;VAR:V1=21.514341&amp;VAR:V=22.414790&amp;VAR:AUDIT_ID=00000117&amp;VAR:DATE=19990924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Aggregates&amp;VAR:MEASURE=PE_MEAN&amp;VAR:CALC_MODE=PORTFOLIO&amp;VAR:CHGPERIOD=NA&amp;VAR:FQLFORMULA=FMA_PE&amp;VAR:CURRENCY=USD&amp;VAR:P=1","277.360000&amp;VAR:THRESH=||||||&amp;VAR:null=.html"}</definedName>
    <definedName name="_578__FDSAUDITLINK__" hidden="1">{"fdsup://directions/FAT%20Viewer?VAR:TM=NTMA&amp;VAR:PCT=0.287671&amp;VAR:Y0=1999&amp;VAR:Y1=2000&amp;VAR:V0=26.374546&amp;VAR:V1=22.402323&amp;VAR:V=23.416874&amp;VAR:AUDIT_ID=00000117&amp;VAR:DATE=19990917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Aggregates&amp;VAR:MEASURE=PE_MEAN&amp;VAR:CALC_MODE=PORTFOLIO&amp;VAR:CHGPERIOD=NA&amp;VAR:FQLFORMULA=FMA_PE&amp;VAR:CURRENCY=USD&amp;VAR:P=1","335.420000&amp;VAR:THRESH=||||||&amp;VAR:null=.html"}</definedName>
    <definedName name="_579__FDSAUDITLINK__" hidden="1">{"fdsup://directions/FAT%20Viewer?VAR:TM=NTMA&amp;VAR:PCT=0.306849&amp;VAR:Y0=1999&amp;VAR:Y1=2000&amp;VAR:V0=26.681156&amp;VAR:V1=22.646914&amp;VAR:V=23.748767&amp;VAR:AUDIT_ID=00000117&amp;VAR:DATE=19990910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Aggregates&amp;VAR:MEASURE=PE_MEAN&amp;VAR:CALC_MODE=PORTFOLIO&amp;VAR:CHGPERIOD=NA&amp;VAR:FQLFORMULA=FMA_PE&amp;VAR:CURRENCY=USD&amp;VAR:P=1","351.660000&amp;VAR:THRESH=||||||&amp;VAR:null=.html"}</definedName>
    <definedName name="_58__FDSAUDITLINK__" hidden="1">{"fdsup://directions/FAT%20Viewer?VAR:TM=NTMA&amp;VAR:PCT=0.323288&amp;VAR:Y0=2009&amp;VAR:Y1=2010&amp;VAR:V0=16.879585&amp;VAR:V1=13.471202&amp;VAR:V=14.412008&amp;VAR:AUDIT_ID=00000117&amp;VAR:DATE=20090904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Aggregates&amp;VAR:MEASURE=PE_MEAN&amp;VAR:CALC_MODE=PORTFOLIO&amp;VAR:CHGPERIOD=NA&amp;VAR:FQLFORMULA=FMA_PE&amp;VAR:CURRENCY=USD&amp;VAR:P=1","016.403643&amp;VAR:THRESH=||||||&amp;VAR:null=.html"}</definedName>
    <definedName name="_580__FDSAUDITLINK__" hidden="1">{"fdsup://directions/FAT%20Viewer?VAR:TM=NTMA&amp;VAR:PCT=0.326027&amp;VAR:Y0=1999&amp;VAR:Y1=2000&amp;VAR:V0=26.819939&amp;VAR:V1=22.733230&amp;VAR:V=23.921625&amp;VAR:AUDIT_ID=00000117&amp;VAR:DATE=19990903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Aggregates&amp;VAR:MEASURE=PE_MEAN&amp;VAR:CALC_MODE=PORTFOLIO&amp;VAR:CHGPERIOD=NA&amp;VAR:FQLFORMULA=FMA_PE&amp;VAR:CURRENCY=USD&amp;VAR:P=1","357.240000&amp;VAR:THRESH=||||||&amp;VAR:null=.html"}</definedName>
    <definedName name="_581__FDSAUDITLINK__" hidden="1">{"fdsup://directions/FAT%20Viewer?VAR:TM=NTMA&amp;VAR:PCT=0.345205&amp;VAR:Y0=1999&amp;VAR:Y1=2000&amp;VAR:V0=26.605648&amp;VAR:V1=22.566557&amp;VAR:V=23.814604&amp;VAR:AUDIT_ID=00000117&amp;VAR:DATE=19990827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Aggregates&amp;VAR:MEASURE=PE_MEAN&amp;VAR:CALC_MODE=PORTFOLIO&amp;VAR:CHGPERIOD=NA&amp;VAR:FQLFORMULA=FMA_PE&amp;VAR:CURRENCY=USD&amp;VAR:P=1","348.270000&amp;VAR:THRESH=||||||&amp;VAR:null=.html"}</definedName>
    <definedName name="_582__FDSAUDITLINK__" hidden="1">{"fdsup://directions/FAT%20Viewer?VAR:TM=NTMA&amp;VAR:PCT=0.364384&amp;VAR:Y0=1999&amp;VAR:Y1=2000&amp;VAR:V0=26.340929&amp;VAR:V1=22.340553&amp;VAR:V=23.649272&amp;VAR:AUDIT_ID=00000117&amp;VAR:DATE=19990820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Aggregates&amp;VAR:MEASURE=PE_MEAN&amp;VAR:CALC_MODE=PORTFOLIO&amp;VAR:CHGPERIOD=NA&amp;VAR:FQLFORMULA=FMA_PE&amp;VAR:CURRENCY=USD&amp;VAR:P=1","336.610000&amp;VAR:THRESH=||||||&amp;VAR:null=.html"}</definedName>
    <definedName name="_583__FDSAUDITLINK__" hidden="1">{"fdsup://directions/FAT%20Viewer?VAR:TM=NTMA&amp;VAR:PCT=0.383562&amp;VAR:Y0=1999&amp;VAR:Y1=2000&amp;VAR:V0=26.170599&amp;VAR:V1=22.176113&amp;VAR:V=23.555124&amp;VAR:AUDIT_ID=00000117&amp;VAR:DATE=19990813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Aggregates&amp;VAR:MEASURE=PE_MEAN&amp;VAR:CALC_MODE=PORTFOLIO&amp;VAR:CHGPERIOD=NA&amp;VAR:FQLFORMULA=FMA_PE&amp;VAR:CURRENCY=USD&amp;VAR:P=1","327.680000&amp;VAR:THRESH=||||||&amp;VAR:null=.html"}</definedName>
    <definedName name="_584__FDSAUDITLINK__" hidden="1">{"fdsup://directions/FAT%20Viewer?VAR:TM=NTMA&amp;VAR:PCT=0.402740&amp;VAR:Y0=1999&amp;VAR:Y1=2000&amp;VAR:V0=25.623772&amp;VAR:V1=21.719400&amp;VAR:V=23.139387&amp;VAR:AUDIT_ID=00000117&amp;VAR:DATE=19990806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Aggregates&amp;VAR:MEASURE=PE_MEAN&amp;VAR:CALC_MODE=PORTFOLIO&amp;VAR:CHGPERIOD=NA&amp;VAR:FQLFORMULA=FMA_PE&amp;VAR:CURRENCY=USD&amp;VAR:P=1","300.290000&amp;VAR:THRESH=||||||&amp;VAR:null=.html"}</definedName>
    <definedName name="_585__FDSAUDITLINK__" hidden="1">{"fdsup://directions/FAT%20Viewer?VAR:TM=NTMA&amp;VAR:PCT=0.421918&amp;VAR:Y0=1999&amp;VAR:Y1=2000&amp;VAR:V0=26.160963&amp;VAR:V1=22.195309&amp;VAR:V=23.711851&amp;VAR:AUDIT_ID=00000117&amp;VAR:DATE=19990730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Aggregates&amp;VAR:MEASURE=PE_MEAN&amp;VAR:CALC_MODE=PORTFOLIO&amp;VAR:CHGPERIOD=NA&amp;VAR:FQLFORMULA=FMA_PE&amp;VAR:CURRENCY=USD&amp;VAR:P=1","328.720000&amp;VAR:THRESH=||||||&amp;VAR:null=.html"}</definedName>
    <definedName name="_586__FDSAUDITLINK__" hidden="1">{"fdsup://directions/FAT%20Viewer?VAR:TM=NTMA&amp;VAR:PCT=0.441096&amp;VAR:Y0=1999&amp;VAR:Y1=2000&amp;VAR:V0=26.671041&amp;VAR:V1=22.634617&amp;VAR:V=24.253695&amp;VAR:AUDIT_ID=00000117&amp;VAR:DATE=19990723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Aggregates&amp;VAR:MEASURE=PE_MEAN&amp;VAR:CALC_MODE=PORTFOLIO&amp;VAR:CHGPERIOD=NA&amp;VAR:FQLFORMULA=FMA_PE&amp;VAR:CURRENCY=USD&amp;VAR:P=1","356.940000&amp;VAR:THRESH=||||||&amp;VAR:null=.html"}</definedName>
    <definedName name="_587__FDSAUDITLINK__" hidden="1">{"fdsup://directions/FAT%20Viewer?VAR:TM=NTMA&amp;VAR:PCT=0.460274&amp;VAR:Y0=1999&amp;VAR:Y1=2000&amp;VAR:V0=27.787256&amp;VAR:V1=23.680029&amp;VAR:V=25.408655&amp;VAR:AUDIT_ID=00000117&amp;VAR:DATE=19990716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Aggregates&amp;VAR:MEASURE=PE_MEAN&amp;VAR:CALC_MODE=PORTFOLIO&amp;VAR:CHGPERIOD=NA&amp;VAR:FQLFORMULA=FMA_PE&amp;VAR:CURRENCY=USD&amp;VAR:P=1","418.780000&amp;VAR:THRESH=||||||&amp;VAR:null=.html"}</definedName>
    <definedName name="_588__FDSAUDITLINK__" hidden="1">{"fdsup://directions/FAT%20Viewer?VAR:TM=NTMA&amp;VAR:PCT=0.479452&amp;VAR:Y0=1999&amp;VAR:Y1=2000&amp;VAR:V0=27.484293&amp;VAR:V1=23.418486&amp;VAR:V=25.206274&amp;VAR:AUDIT_ID=00000117&amp;VAR:DATE=19990709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Aggregates&amp;VAR:MEASURE=PE_MEAN&amp;VAR:CALC_MODE=PORTFOLIO&amp;VAR:CHGPERIOD=NA&amp;VAR:FQLFORMULA=FMA_PE&amp;VAR:CURRENCY=USD&amp;VAR:P=1","403.280000&amp;VAR:THRESH=||||||&amp;VAR:null=.html"}</definedName>
    <definedName name="_589__FDSAUDITLINK__" hidden="1">{"fdsup://directions/FAT%20Viewer?VAR:TM=NTMA&amp;VAR:PCT=0.498630&amp;VAR:Y0=1999&amp;VAR:Y1=2000&amp;VAR:V0=27.276173&amp;VAR:V1=23.267294&amp;VAR:V=25.107295&amp;VAR:AUDIT_ID=00000117&amp;VAR:DATE=19990702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Aggregates&amp;VAR:MEASURE=PE_MEAN&amp;VAR:CALC_MODE=PORTFOLIO&amp;VAR:CHGPERIOD=NA&amp;VAR:FQLFORMULA=FMA_PE&amp;VAR:CURRENCY=USD&amp;VAR:P=1","391.220000&amp;VAR:THRESH=||||||&amp;VAR:null=.html"}</definedName>
    <definedName name="_59__FDSAUDITLINK__" hidden="1">{"fdsup://directions/FAT%20Viewer?VAR:TM=NTMA&amp;VAR:PCT=0.342466&amp;VAR:Y0=2009&amp;VAR:Y1=2010&amp;VAR:V0=17.103111&amp;VAR:V1=13.655600&amp;VAR:V=14.668166&amp;VAR:AUDIT_ID=00000117&amp;VAR:DATE=20090828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Aggregates&amp;VAR:MEASURE=PE_MEAN&amp;VAR:CALC_MODE=PORTFOLIO&amp;VAR:CHGPERIOD=NA&amp;VAR:FQLFORMULA=FMA_PE&amp;VAR:CURRENCY=USD&amp;VAR:P=1","028.931723&amp;VAR:THRESH=||||||&amp;VAR:null=.html"}</definedName>
    <definedName name="_590__FDSAUDITLINK__" hidden="1">{"fdsup://directions/FAT%20Viewer?VAR:TM=NTMA&amp;VAR:PCT=0.517808&amp;VAR:Y0=1999&amp;VAR:Y1=2000&amp;VAR:V0=25.830793&amp;VAR:V1=22.034376&amp;VAR:V=23.849401&amp;VAR:AUDIT_ID=00000117&amp;VAR:DATE=19990625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Aggregates&amp;VAR:MEASURE=PE_MEAN&amp;VAR:CALC_MODE=PORTFOLIO&amp;VAR:CHGPERIOD=NA&amp;VAR:FQLFORMULA=FMA_PE&amp;VAR:CURRENCY=USD&amp;VAR:P=1","315.310000&amp;VAR:THRESH=||||||&amp;VAR:null=.html"}</definedName>
    <definedName name="_591__FDSAUDITLINK__" hidden="1">{"fdsup://directions/FAT%20Viewer?VAR:TM=NTMA&amp;VAR:PCT=0.536986&amp;VAR:Y0=1999&amp;VAR:Y1=2000&amp;VAR:V0=26.285526&amp;VAR:V1=22.518566&amp;VAR:V=24.395960&amp;VAR:AUDIT_ID=00000117&amp;VAR:DATE=19990618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Aggregates&amp;VAR:MEASURE=PE_MEAN&amp;VAR:CALC_MODE=PORTFOLIO&amp;VAR:CHGPERIOD=NA&amp;VAR:FQLFORMULA=FMA_PE&amp;VAR:CURRENCY=USD&amp;VAR:P=1","342.840000&amp;VAR:THRESH=||||||&amp;VAR:null=.html"}</definedName>
    <definedName name="_592__FDSAUDITLINK__" hidden="1">{"fdsup://directions/FAT%20Viewer?VAR:TM=NTMA&amp;VAR:PCT=0.556164&amp;VAR:Y0=1999&amp;VAR:Y1=2000&amp;VAR:V0=25.311659&amp;VAR:V1=21.721220&amp;VAR:V=23.581608&amp;VAR:AUDIT_ID=00000117&amp;VAR:DATE=19990611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Aggregates&amp;VAR:MEASURE=PE_MEAN&amp;VAR:CALC_MODE=PORTFOLIO&amp;VAR:CHGPERIOD=NA&amp;VAR:FQLFORMULA=FMA_PE&amp;VAR:CURRENCY=USD&amp;VAR:P=1","293.640000&amp;VAR:THRESH=||||||&amp;VAR:null=.html"}</definedName>
    <definedName name="_593__FDSAUDITLINK__" hidden="1">{"fdsup://directions/FAT%20Viewer?VAR:TM=NTMA&amp;VAR:PCT=0.575342&amp;VAR:Y0=1999&amp;VAR:Y1=2000&amp;VAR:V0=26.016886&amp;VAR:V1=22.356575&amp;VAR:V=24.325607&amp;VAR:AUDIT_ID=00000117&amp;VAR:DATE=19990604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Aggregates&amp;VAR:MEASURE=PE_MEAN&amp;VAR:CALC_MODE=PORTFOLIO&amp;VAR:CHGPERIOD=NA&amp;VAR:FQLFORMULA=FMA_PE&amp;VAR:CURRENCY=USD&amp;VAR:P=1","327.750000&amp;VAR:THRESH=||||||&amp;VAR:null=.html"}</definedName>
    <definedName name="_594__FDSAUDITLINK__" hidden="1">{"fdsup://directions/FAT%20Viewer?VAR:TM=NTMA&amp;VAR:PCT=0.594521&amp;VAR:Y0=1999&amp;VAR:Y1=2000&amp;VAR:V0=25.455017&amp;VAR:V1=21.641730&amp;VAR:V=23.757635&amp;VAR:AUDIT_ID=00000117&amp;VAR:DATE=19990528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Aggregates&amp;VAR:MEASURE=PE_MEAN&amp;VAR:CALC_MODE=PORTFOLIO&amp;VAR:CHGPERIOD=NA&amp;VAR:FQLFORMULA=FMA_PE&amp;VAR:CURRENCY=USD&amp;VAR:P=1","301.840000&amp;VAR:THRESH=||||||&amp;VAR:null=.html"}</definedName>
    <definedName name="_595__FDSAUDITLINK__" hidden="1">{"fdsup://directions/FAT%20Viewer?VAR:TM=NTMA&amp;VAR:PCT=0.613699&amp;VAR:Y0=1999&amp;VAR:Y1=2000&amp;VAR:V0=26.055351&amp;VAR:V1=22.172024&amp;VAR:V=24.404191&amp;VAR:AUDIT_ID=00000117&amp;VAR:DATE=19990521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Aggregates&amp;VAR:MEASURE=PE_MEAN&amp;VAR:CALC_MODE=PORTFOLIO&amp;VAR:CHGPERIOD=NA&amp;VAR:FQLFORMULA=FMA_PE&amp;VAR:CURRENCY=USD&amp;VAR:P=1","330.290000&amp;VAR:THRESH=||||||&amp;VAR:null=.html"}</definedName>
    <definedName name="_596__FDSAUDITLINK__" hidden="1">{"fdsup://directions/FAT%20Viewer?VAR:TM=NTMA&amp;VAR:PCT=0.632877&amp;VAR:Y0=1999&amp;VAR:Y1=2000&amp;VAR:V0=26.245518&amp;VAR:V1=22.371193&amp;VAR:V=24.676587&amp;VAR:AUDIT_ID=00000117&amp;VAR:DATE=19990514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Aggregates&amp;VAR:MEASURE=PE_MEAN&amp;VAR:CALC_MODE=PORTFOLIO&amp;VAR:CHGPERIOD=NA&amp;VAR:FQLFORMULA=FMA_PE&amp;VAR:CURRENCY=USD&amp;VAR:P=1","337.800000&amp;VAR:THRESH=||||||&amp;VAR:null=.html"}</definedName>
    <definedName name="_597__FDSAUDITLINK__" hidden="1">{"fdsup://directions/FAT%20Viewer?VAR:TM=NTMA&amp;VAR:PCT=0.652055&amp;VAR:Y0=1999&amp;VAR:Y1=2000&amp;VAR:V0=26.444544&amp;VAR:V1=22.578460&amp;VAR:V=24.957613&amp;VAR:AUDIT_ID=00000117&amp;VAR:DATE=19990507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Aggregates&amp;VAR:MEASURE=PE_MEAN&amp;VAR:CALC_MODE=PORTFOLIO&amp;VAR:CHGPERIOD=NA&amp;VAR:FQLFORMULA=FMA_PE&amp;VAR:CURRENCY=USD&amp;VAR:P=1","345.000000&amp;VAR:THRESH=||||||&amp;VAR:null=.html"}</definedName>
    <definedName name="_598__FDSAUDITLINK__" hidden="1">{"fdsup://directions/FAT%20Viewer?VAR:TM=NTMA&amp;VAR:PCT=0.671233&amp;VAR:Y0=1999&amp;VAR:Y1=2000&amp;VAR:V0=26.318590&amp;VAR:V1=22.457320&amp;VAR:V=24.910461&amp;VAR:AUDIT_ID=00000117&amp;VAR:DATE=19990430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Aggregates&amp;VAR:MEASURE=PE_MEAN&amp;VAR:CALC_MODE=PORTFOLIO&amp;VAR:CHGPERIOD=NA&amp;VAR:FQLFORMULA=FMA_PE&amp;VAR:CURRENCY=USD&amp;VAR:P=1","335.180000&amp;VAR:THRESH=||||||&amp;VAR:null=.html"}</definedName>
    <definedName name="_599__FDSAUDITLINK__" hidden="1">{"fdsup://directions/FAT%20Viewer?VAR:TM=NTMA&amp;VAR:PCT=0.690411&amp;VAR:Y0=1999&amp;VAR:Y1=2000&amp;VAR:V0=26.805424&amp;VAR:V1=22.895006&amp;VAR:V=25.459213&amp;VAR:AUDIT_ID=00000117&amp;VAR:DATE=19990423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Aggregates&amp;VAR:MEASURE=PE_MEAN&amp;VAR:CALC_MODE=PORTFOLIO&amp;VAR:CHGPERIOD=NA&amp;VAR:FQLFORMULA=FMA_PE&amp;VAR:CURRENCY=USD&amp;VAR:P=1","356.850000&amp;VAR:THRESH=||||||&amp;VAR:null=.html"}</definedName>
    <definedName name="_6__FDSAUDITLINK__" hidden="1">{"fdsup://directions/FAT%20Viewer?VAR:TM=NTMA&amp;VAR:PCT=0.326027&amp;VAR:Y0=2010&amp;VAR:Y1=2011&amp;VAR:V0=13.212447&amp;VAR:V1=11.511198&amp;VAR:V=12.015609&amp;VAR:AUDIT_ID=00000117&amp;VAR:DATE=20100903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Aggregates&amp;VAR:MEASURE=PE_MEAN&amp;VAR:CALC_MODE=PORTFOLIO&amp;VAR:CHGPERIOD=NA&amp;VAR:FQLFORMULA=FMA_PE&amp;VAR:CURRENCY=USD&amp;VAR:P=1","104.506616&amp;VAR:THRESH=||||||&amp;VAR:null=.html"}</definedName>
    <definedName name="_60__FDSAUDITLINK__" hidden="1">{"fdsup://directions/FAT%20Viewer?VAR:TM=NTMA&amp;VAR:PCT=0.361644&amp;VAR:Y0=2009&amp;VAR:Y1=2010&amp;VAR:V0=17.030197&amp;VAR:V1=13.641829&amp;VAR:V=14.699510&amp;VAR:AUDIT_ID=00000117&amp;VAR:DATE=20090821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Aggregates&amp;VAR:MEASURE=PE_MEAN&amp;VAR:CALC_MODE=PORTFOLIO&amp;VAR:CHGPERIOD=NA&amp;VAR:FQLFORMULA=FMA_PE&amp;VAR:CURRENCY=USD&amp;VAR:P=1","026.129799&amp;VAR:THRESH=||||||&amp;VAR:null=.html"}</definedName>
    <definedName name="_600__FDSAUDITLINK__" hidden="1">{"fdsup://directions/FAT%20Viewer?VAR:TM=NTMA&amp;VAR:PCT=0.709589&amp;VAR:Y0=1999&amp;VAR:Y1=2000&amp;VAR:V0=26.013342&amp;VAR:V1=22.223600&amp;VAR:V=24.785868&amp;VAR:AUDIT_ID=00000117&amp;VAR:DATE=19990416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Aggregates&amp;VAR:MEASURE=PE_MEAN&amp;VAR:CALC_MODE=PORTFOLIO&amp;VAR:CHGPERIOD=NA&amp;VAR:FQLFORMULA=FMA_PE&amp;VAR:CURRENCY=USD&amp;VAR:P=1","319.000000&amp;VAR:THRESH=||||||&amp;VAR:null=.html"}</definedName>
    <definedName name="_601__FDSAUDITLINK__" hidden="1">{"fdsup://directions/FAT%20Viewer?VAR:TM=NTMA&amp;VAR:PCT=0.728767&amp;VAR:Y0=1999&amp;VAR:Y1=2000&amp;VAR:V0=26.635788&amp;VAR:V1=21.981070&amp;VAR:V=25.189022&amp;VAR:AUDIT_ID=00000117&amp;VAR:DATE=19990409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Aggregates&amp;VAR:MEASURE=PE_MEAN&amp;VAR:CALC_MODE=PORTFOLIO&amp;VAR:CHGPERIOD=NA&amp;VAR:FQLFORMULA=FMA_PE&amp;VAR:CURRENCY=USD&amp;VAR:P=1","348.350000&amp;VAR:THRESH=||||||&amp;VAR:null=.html"}</definedName>
    <definedName name="_602__FDSAUDITLINK__" hidden="1">{"fdsup://directions/FAT%20Viewer?VAR:TM=NTMA&amp;VAR:PCT=0.750685&amp;VAR:Y0=1999&amp;VAR:Y1=2000&amp;VAR:V0=25.545630&amp;VAR:V1=21.077032&amp;VAR:V=24.263131&amp;VAR:AUDIT_ID=00000117&amp;VAR:DATE=19990401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Aggregates&amp;VAR:MEASURE=PE_MEAN&amp;VAR:CALC_MODE=PORTFOLIO&amp;VAR:CHGPERIOD=NA&amp;VAR:FQLFORMULA=FMA_PE&amp;VAR:CURRENCY=USD&amp;VAR:P=1","293.720000&amp;VAR:THRESH=||||||&amp;VAR:null=.html"}</definedName>
    <definedName name="_603__FDSAUDITLINK__" hidden="1">{"fdsup://directions/FAT%20Viewer?VAR:TM=NTMA&amp;VAR:PCT=0.767123&amp;VAR:Y0=1999&amp;VAR:Y1=2000&amp;VAR:V0=25.282413&amp;VAR:V1=20.959724&amp;VAR:V=24.123795&amp;VAR:AUDIT_ID=00000117&amp;VAR:DATE=19990326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Aggregates&amp;VAR:MEASURE=PE_MEAN&amp;VAR:CALC_MODE=PORTFOLIO&amp;VAR:CHGPERIOD=NA&amp;VAR:FQLFORMULA=FMA_PE&amp;VAR:CURRENCY=USD&amp;VAR:P=1","282.800000&amp;VAR:THRESH=||||||&amp;VAR:null=.html"}</definedName>
    <definedName name="_604__FDSAUDITLINK__" hidden="1">{"fdsup://directions/FAT%20Viewer?VAR:TM=NTMA&amp;VAR:PCT=0.786301&amp;VAR:Y0=1999&amp;VAR:Y1=2000&amp;VAR:V0=25.577090&amp;VAR:V1=21.293009&amp;VAR:V=24.522725&amp;VAR:AUDIT_ID=00000117&amp;VAR:DATE=19990319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Aggregates&amp;VAR:MEASURE=PE_MEAN&amp;VAR:CALC_MODE=PORTFOLIO&amp;VAR:CHGPERIOD=NA&amp;VAR:FQLFORMULA=FMA_PE&amp;VAR:CURRENCY=USD&amp;VAR:P=1","299.290000&amp;VAR:THRESH=||||||&amp;VAR:null=.html"}</definedName>
    <definedName name="_605__FDSAUDITLINK__" hidden="1">{"fdsup://directions/FAT%20Viewer?VAR:TM=NTMA&amp;VAR:PCT=0.805479&amp;VAR:Y0=1999&amp;VAR:Y1=2000&amp;VAR:V0=25.449783&amp;VAR:V1=21.289879&amp;VAR:V=24.517905&amp;VAR:AUDIT_ID=00000117&amp;VAR:DATE=19990312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Aggregates&amp;VAR:MEASURE=PE_MEAN&amp;VAR:CALC_MODE=PORTFOLIO&amp;VAR:CHGPERIOD=NA&amp;VAR:FQLFORMULA=FMA_PE&amp;VAR:CURRENCY=USD&amp;VAR:P=1","294.590000&amp;VAR:THRESH=||||||&amp;VAR:null=.html"}</definedName>
    <definedName name="_606__FDSAUDITLINK__" hidden="1">{"fdsup://directions/FAT%20Viewer?VAR:TM=NTMA&amp;VAR:PCT=0.824658&amp;VAR:Y0=1999&amp;VAR:Y1=2000&amp;VAR:V0=25.131315&amp;VAR:V1=21.080020&amp;VAR:V=24.312037&amp;VAR:AUDIT_ID=00000117&amp;VAR:DATE=19990305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Aggregates&amp;VAR:MEASURE=PE_MEAN&amp;VAR:CALC_MODE=PORTFOLIO&amp;VAR:CHGPERIOD=NA&amp;VAR:FQLFORMULA=FMA_PE&amp;VAR:CURRENCY=USD&amp;VAR:P=1","275.470000&amp;VAR:THRESH=||||||&amp;VAR:null=.html"}</definedName>
    <definedName name="_607__FDSAUDITLINK__" hidden="1">{"fdsup://directions/FAT%20Viewer?VAR:TM=NTMA&amp;VAR:PCT=0.843836&amp;VAR:Y0=1999&amp;VAR:Y1=2000&amp;VAR:V0=24.401949&amp;VAR:V1=20.473211&amp;VAR:V=23.691962&amp;VAR:AUDIT_ID=00000117&amp;VAR:DATE=19990226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Aggregates&amp;VAR:MEASURE=PE_MEAN&amp;VAR:CALC_MODE=PORTFOLIO&amp;VAR:CHGPERIOD=NA&amp;VAR:FQLFORMULA=FMA_PE&amp;VAR:CURRENCY=USD&amp;VAR:P=1","238.330000&amp;VAR:THRESH=||||||&amp;VAR:null=.html"}</definedName>
    <definedName name="_608__FDSAUDITLINK__" hidden="1">{"fdsup://directions/FAT%20Viewer?VAR:TM=NTMA&amp;VAR:PCT=0.863014&amp;VAR:Y0=1999&amp;VAR:Y1=2000&amp;VAR:V0=24.415274&amp;VAR:V1=20.350449&amp;VAR:V=23.765020&amp;VAR:AUDIT_ID=00000117&amp;VAR:DATE=19990219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Aggregates&amp;VAR:MEASURE=PE_MEAN&amp;VAR:CALC_MODE=PORTFOLIO&amp;VAR:CHGPERIOD=NA&amp;VAR:FQLFORMULA=FMA_PE&amp;VAR:CURRENCY=USD&amp;VAR:P=1","239.220000&amp;VAR:THRESH=||||||&amp;VAR:null=.html"}</definedName>
    <definedName name="_609__FDSAUDITLINK__" hidden="1">{"fdsup://directions/FAT%20Viewer?VAR:TM=NTMA&amp;VAR:PCT=0.882192&amp;VAR:Y0=1999&amp;VAR:Y1=2000&amp;VAR:V0=24.229351&amp;VAR:V1=20.081429&amp;VAR:V=23.653763&amp;VAR:AUDIT_ID=00000117&amp;VAR:DATE=19990212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Aggregates&amp;VAR:MEASURE=PE_MEAN&amp;VAR:CALC_MODE=PORTFOLIO&amp;VAR:CHGPERIOD=NA&amp;VAR:FQLFORMULA=FMA_PE&amp;VAR:CURRENCY=USD&amp;VAR:P=1","230.130000&amp;VAR:THRESH=||||||&amp;VAR:null=.html"}</definedName>
    <definedName name="_61__FDSAUDITLINK__" hidden="1">{"fdsup://directions/FAT%20Viewer?VAR:TM=NTMA&amp;VAR:PCT=0.380822&amp;VAR:Y0=2009&amp;VAR:Y1=2010&amp;VAR:V0=16.674664&amp;VAR:V1=13.366375&amp;VAR:V=14.458824&amp;VAR:AUDIT_ID=00000117&amp;VAR:DATE=20090814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Aggregates&amp;VAR:MEASURE=PE_MEAN&amp;VAR:CALC_MODE=PORTFOLIO&amp;VAR:CHGPERIOD=NA&amp;VAR:FQLFORMULA=FMA_PE&amp;VAR:CURRENCY=USD&amp;VAR:P=1","004.094121&amp;VAR:THRESH=||||||&amp;VAR:null=.html"}</definedName>
    <definedName name="_610__FDSAUDITLINK__" hidden="1">{"fdsup://directions/FAT%20Viewer?VAR:TM=NTMA&amp;VAR:PCT=0.901370&amp;VAR:Y0=1999&amp;VAR:Y1=2000&amp;VAR:V0=24.352507&amp;VAR:V1=20.221327&amp;VAR:V=23.871497&amp;VAR:AUDIT_ID=00000117&amp;VAR:DATE=19990205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Aggregates&amp;VAR:MEASURE=PE_MEAN&amp;VAR:CALC_MODE=PORTFOLIO&amp;VAR:CHGPERIOD=NA&amp;VAR:FQLFORMULA=FMA_PE&amp;VAR:CURRENCY=USD&amp;VAR:P=1","239.400000&amp;VAR:THRESH=||||||&amp;VAR:null=.html"}</definedName>
    <definedName name="_611__FDSAUDITLINK__" hidden="1">{"fdsup://directions/FAT%20Viewer?VAR:TM=NTMA&amp;VAR:PCT=0.920548&amp;VAR:Y0=1999&amp;VAR:Y1=2000&amp;VAR:V0=25.164720&amp;VAR:V1=20.785921&amp;VAR:V=24.750459&amp;VAR:AUDIT_ID=00000117&amp;VAR:DATE=19990129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Aggregates&amp;VAR:MEASURE=PE_MEAN&amp;VAR:CALC_MODE=PORTFOLIO&amp;VAR:CHGPERIOD=NA&amp;VAR:FQLFORMULA=FMA_PE&amp;VAR:CURRENCY=USD&amp;VAR:P=1","279.640000&amp;VAR:THRESH=||||||&amp;VAR:null=.html"}</definedName>
    <definedName name="_612__FDSAUDITLINK__" hidden="1">{"fdsup://directions/FAT%20Viewer?VAR:TM=NTMA&amp;VAR:PCT=0.939726&amp;VAR:Y0=1999&amp;VAR:Y1=2000&amp;VAR:V0=23.992752&amp;VAR:V1=20.003263&amp;VAR:V=23.707757&amp;VAR:AUDIT_ID=00000117&amp;VAR:DATE=19990122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Aggregates&amp;VAR:MEASURE=PE_MEAN&amp;VAR:CALC_MODE=PORTFOLIO&amp;VAR:CHGPERIOD=NA&amp;VAR:FQLFORMULA=FMA_PE&amp;VAR:CURRENCY=USD&amp;VAR:P=1","225.190000&amp;VAR:THRESH=||||||&amp;VAR:null=.html"}</definedName>
    <definedName name="_613__FDSAUDITLINK__" hidden="1">{"fdsup://directions/FAT%20Viewer?VAR:TM=NTMA&amp;VAR:PCT=0.958904&amp;VAR:Y0=1999&amp;VAR:Y1=2000&amp;VAR:V0=24.283257&amp;VAR:V1=20.479984&amp;VAR:V=24.099336&amp;VAR:AUDIT_ID=00000117&amp;VAR:DATE=19990115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Aggregates&amp;VAR:MEASURE=PE_MEAN&amp;VAR:CALC_MODE=PORTFOLIO&amp;VAR:CHGPERIOD=NA&amp;VAR:FQLFORMULA=FMA_PE&amp;VAR:CURRENCY=USD&amp;VAR:P=1","243.260000&amp;VAR:THRESH=||||||&amp;VAR:null=.html"}</definedName>
    <definedName name="_614__FDSAUDITLINK__" hidden="1">{"fdsup://directions/FAT%20Viewer?VAR:TM=NTMA&amp;VAR:PCT=0.978082&amp;VAR:Y0=1999&amp;VAR:Y1=2000&amp;VAR:V0=24.856840&amp;VAR:V1=20.892780&amp;VAR:V=24.753900&amp;VAR:AUDIT_ID=00000117&amp;VAR:DATE=19990108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Aggregates&amp;VAR:MEASURE=PE_MEAN&amp;VAR:CALC_MODE=PORTFOLIO&amp;VAR:CHGPERIOD=NA&amp;VAR:FQLFORMULA=FMA_PE&amp;VAR:CURRENCY=USD&amp;VAR:P=1","275.090000&amp;VAR:THRESH=||||||&amp;VAR:null=.html"}</definedName>
    <definedName name="_615__FDSAUDITLINK__" hidden="1">{"fdsup://directions/FAT%20Viewer?VAR:TM=NTMA&amp;VAR:PCT=0.000000&amp;VAR:Y0=1998&amp;VAR:Y1=1999&amp;VAR:V0=28.184908&amp;VAR:V1=23.924640&amp;VAR:V=23.924640&amp;VAR:AUDIT_ID=00000117&amp;VAR:DATE=19981231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Aggregates&amp;VAR:MEASURE=PE_MEAN&amp;VAR:CALC_MODE=PORTFOLIO&amp;VAR:CHGPERIOD=NA&amp;VAR:FQLFORMULA=FMA_PE&amp;VAR:CURRENCY=USD&amp;VAR:P=1","229.230000&amp;VAR:THRESH=||||||&amp;VAR:null=.html"}</definedName>
    <definedName name="_616__FDSAUDITLINK__" hidden="1">{"fdsup://directions/FAT%20Viewer?VAR:TM=NTMA&amp;VAR:PCT=0.019178&amp;VAR:Y0=1998&amp;VAR:Y1=1999&amp;VAR:V0=28.041490&amp;VAR:V1=23.809180&amp;VAR:V=23.878297&amp;VAR:AUDIT_ID=00000117&amp;VAR:DATE=19981224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Aggregates&amp;VAR:MEASURE=PE_MEAN&amp;VAR:CALC_MODE=PORTFOLIO&amp;VAR:CHGPERIOD=NA&amp;VAR:FQLFORMULA=FMA_PE&amp;VAR:CURRENCY=USD&amp;VAR:P=1","226.270000&amp;VAR:THRESH=||||||&amp;VAR:null=.html"}</definedName>
    <definedName name="_617__FDSAUDITLINK__" hidden="1">{"fdsup://directions/FAT%20Viewer?VAR:TM=NTMA&amp;VAR:PCT=0.035616&amp;VAR:Y0=1998&amp;VAR:Y1=1999&amp;VAR:V0=27.068160&amp;VAR:V1=22.973026&amp;VAR:V=23.097484&amp;VAR:AUDIT_ID=00000117&amp;VAR:DATE=19981218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Aggregates&amp;VAR:MEASURE=PE_MEAN&amp;VAR:CALC_MODE=PORTFOLIO&amp;VAR:CHGPERIOD=NA&amp;VAR:FQLFORMULA=FMA_PE&amp;VAR:CURRENCY=USD&amp;VAR:P=1","188.030000&amp;VAR:THRESH=||||||&amp;VAR:null=.html"}</definedName>
    <definedName name="_618__FDSAUDITLINK__" hidden="1">{"fdsup://directions/FAT%20Viewer?VAR:TM=NTMA&amp;VAR:PCT=0.054795&amp;VAR:Y0=1998&amp;VAR:Y1=1999&amp;VAR:V0=26.332762&amp;VAR:V1=22.388868&amp;VAR:V=22.574126&amp;VAR:AUDIT_ID=00000117&amp;VAR:DATE=19981211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Aggregates&amp;VAR:MEASURE=PE_MEAN&amp;VAR:CALC_MODE=PORTFOLIO&amp;VAR:CHGPERIOD=NA&amp;VAR:FQLFORMULA=FMA_PE&amp;VAR:CURRENCY=USD&amp;VAR:P=1","166.460000&amp;VAR:THRESH=||||||&amp;VAR:null=.html"}</definedName>
    <definedName name="_619__FDSAUDITLINK__" hidden="1">{"fdsup://directions/FAT%20Viewer?VAR:TM=NTMA&amp;VAR:PCT=0.073973&amp;VAR:Y0=1998&amp;VAR:Y1=1999&amp;VAR:V0=26.536448&amp;VAR:V1=22.555424&amp;VAR:V=22.808540&amp;VAR:AUDIT_ID=00000117&amp;VAR:DATE=19981204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Aggregates&amp;VAR:MEASURE=PE_MEAN&amp;VAR:CALC_MODE=PORTFOLIO&amp;VAR:CHGPERIOD=NA&amp;VAR:FQLFORMULA=FMA_PE&amp;VAR:CURRENCY=USD&amp;VAR:P=1","176.740000&amp;VAR:THRESH=||||||&amp;VAR:null=.html"}</definedName>
    <definedName name="_62__FDSAUDITLINK__" hidden="1">{"fdsup://directions/FAT%20Viewer?VAR:TM=NTMA&amp;VAR:PCT=0.400000&amp;VAR:Y0=2009&amp;VAR:Y1=2010&amp;VAR:V0=16.820710&amp;VAR:V1=13.436977&amp;VAR:V=14.612810&amp;VAR:AUDIT_ID=00000117&amp;VAR:DATE=20090807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Aggregates&amp;VAR:MEASURE=PE_MEAN&amp;VAR:CALC_MODE=PORTFOLIO&amp;VAR:CHGPERIOD=NA&amp;VAR:FQLFORMULA=FMA_PE&amp;VAR:CURRENCY=USD&amp;VAR:P=1","010.475123&amp;VAR:THRESH=||||||&amp;VAR:null=.html"}</definedName>
    <definedName name="_620__FDSAUDITLINK__" hidden="1">{"fdsup://directions/FAT%20Viewer?VAR:TM=NTMA&amp;VAR:PCT=0.093151&amp;VAR:Y0=1998&amp;VAR:Y1=1999&amp;VAR:V0=26.660566&amp;VAR:V1=22.538588&amp;VAR:V=22.867932&amp;VAR:AUDIT_ID=00000117&amp;VAR:DATE=19981127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Aggregates&amp;VAR:MEASURE=PE_MEAN&amp;VAR:CALC_MODE=PORTFOLIO&amp;VAR:CHGPERIOD=NA&amp;VAR:FQLFORMULA=FMA_PE&amp;VAR:CURRENCY=USD&amp;VAR:P=1","192.330000&amp;VAR:THRESH=||||||&amp;VAR:null=.html"}</definedName>
    <definedName name="_621__FDSAUDITLINK__" hidden="1">{"fdsup://directions/FAT%20Viewer?VAR:TM=NTMA&amp;VAR:PCT=0.112329&amp;VAR:Y0=1998&amp;VAR:Y1=1999&amp;VAR:V0=25.971401&amp;VAR:V1=21.968613&amp;VAR:V=22.355644&amp;VAR:AUDIT_ID=00000117&amp;VAR:DATE=19981120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Aggregates&amp;VAR:MEASURE=PE_MEAN&amp;VAR:CALC_MODE=PORTFOLIO&amp;VAR:CHGPERIOD=NA&amp;VAR:FQLFORMULA=FMA_PE&amp;VAR:CURRENCY=USD&amp;VAR:P=1","163.550000&amp;VAR:THRESH=||||||&amp;VAR:null=.html"}</definedName>
    <definedName name="_622__FDSAUDITLINK__" hidden="1">{"fdsup://directions/FAT%20Viewer?VAR:TM=NTMA&amp;VAR:PCT=0.131507&amp;VAR:Y0=1998&amp;VAR:Y1=1999&amp;VAR:V0=25.094519&amp;VAR:V1=21.140324&amp;VAR:V=21.587659&amp;VAR:AUDIT_ID=00000117&amp;VAR:DATE=19981113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Aggregates&amp;VAR:MEASURE=PE_MEAN&amp;VAR:CALC_MODE=PORTFOLIO&amp;VAR:CHGPERIOD=NA&amp;VAR:FQLFORMULA=FMA_PE&amp;VAR:CURRENCY=USD&amp;VAR:P=1","125.720000&amp;VAR:THRESH=||||||&amp;VAR:null=.html"}</definedName>
    <definedName name="_623__FDSAUDITLINK__" hidden="1">{"fdsup://directions/FAT%20Viewer?VAR:TM=NTMA&amp;VAR:PCT=0.150685&amp;VAR:Y0=1998&amp;VAR:Y1=1999&amp;VAR:V0=25.224947&amp;VAR:V1=21.232292&amp;VAR:V=21.751071&amp;VAR:AUDIT_ID=00000117&amp;VAR:DATE=19981106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Aggregates&amp;VAR:MEASURE=PE_MEAN&amp;VAR:CALC_MODE=PORTFOLIO&amp;VAR:CHGPERIOD=NA&amp;VAR:FQLFORMULA=FMA_PE&amp;VAR:CURRENCY=USD&amp;VAR:P=1","141.010000&amp;VAR:THRESH=||||||&amp;VAR:null=.html"}</definedName>
    <definedName name="_624__FDSAUDITLINK__" hidden="1">{"fdsup://directions/FAT%20Viewer?VAR:TM=NTMA&amp;VAR:PCT=0.169863&amp;VAR:Y0=1998&amp;VAR:Y1=1999&amp;VAR:V0=24.258827&amp;VAR:V1=20.408062&amp;VAR:V=20.973583&amp;VAR:AUDIT_ID=00000117&amp;VAR:DATE=19981030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Aggregates&amp;VAR:MEASURE=PE_MEAN&amp;VAR:CALC_MODE=PORTFOLIO&amp;VAR:CHGPERIOD=NA&amp;VAR:FQLFORMULA=FMA_PE&amp;VAR:CURRENCY=USD&amp;VAR:P=1","098.670000&amp;VAR:THRESH=||||||&amp;VAR:null=.html"}</definedName>
    <definedName name="_625__FDSAUDITLINK__" hidden="1">{"fdsup://directions/FAT%20Viewer?VAR:TM=NTMA&amp;VAR:PCT=0.189041&amp;VAR:Y0=1998&amp;VAR:Y1=1999&amp;VAR:V0=23.601141&amp;VAR:V1=19.845760&amp;VAR:V=20.461233&amp;VAR:AUDIT_ID=00000117&amp;VAR:DATE=19981023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Aggregates&amp;VAR:MEASURE=PE_MEAN&amp;VAR:CALC_MODE=PORTFOLIO&amp;VAR:CHGPERIOD=NA&amp;VAR:FQLFORMULA=FMA_PE&amp;VAR:CURRENCY=USD&amp;VAR:P=1","070.670000&amp;VAR:THRESH=||||||&amp;VAR:null=.html"}</definedName>
    <definedName name="_626__FDSAUDITLINK__" hidden="1">{"fdsup://directions/FAT%20Viewer?VAR:TM=NTMA&amp;VAR:PCT=0.208219&amp;VAR:Y0=1998&amp;VAR:Y1=1999&amp;VAR:V0=23.261860&amp;VAR:V1=19.582506&amp;VAR:V=20.249405&amp;VAR:AUDIT_ID=00000117&amp;VAR:DATE=19981016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Aggregates&amp;VAR:MEASURE=PE_MEAN&amp;VAR:CALC_MODE=PORTFOLIO&amp;VAR:CHGPERIOD=NA&amp;VAR:FQLFORMULA=FMA_PE&amp;VAR:CURRENCY=USD&amp;VAR:P=1","056.420000&amp;VAR:THRESH=||||||&amp;VAR:null=.html"}</definedName>
    <definedName name="_627__FDSAUDITLINK__" hidden="1">{"fdsup://directions/FAT%20Viewer?VAR:TM=NTMA&amp;VAR:PCT=0.227397&amp;VAR:Y0=1998&amp;VAR:Y1=1999&amp;VAR:V0=21.555660&amp;VAR:V1=18.176214&amp;VAR:V=18.848166&amp;VAR:AUDIT_ID=00000117&amp;VAR:DATE=19981009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Aggregates&amp;VAR:MEASURE=PE_MEAN&amp;VAR:CALC_MODE=PORTFOLIO&amp;VAR:CHGPERIOD=NA&amp;VAR:FQLFORMULA=FMA_PE&amp;VAR:CURRENCY=USD&amp;VAR:P=9","84.390000&amp;VAR:THRESH=||||||&amp;VAR:null=.html"}</definedName>
    <definedName name="_628__FDSAUDITLINK__" hidden="1">{"fdsup://directions/FAT%20Viewer?VAR:TM=NTMA&amp;VAR:PCT=0.246575&amp;VAR:Y0=1998&amp;VAR:Y1=1999&amp;VAR:V0=21.824982&amp;VAR:V1=18.432848&amp;VAR:V=19.167417&amp;VAR:AUDIT_ID=00000117&amp;VAR:DATE=19981002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Aggregates&amp;VAR:MEASURE=PE_MEAN&amp;VAR:CALC_MODE=PORTFOLIO&amp;VAR:CHGPERIOD=NA&amp;VAR:FQLFORMULA=FMA_PE&amp;VAR:CURRENCY=USD&amp;VAR:P=1","002.600000&amp;VAR:THRESH=||||||&amp;VAR:null=.html"}</definedName>
    <definedName name="_629__FDSAUDITLINK__" hidden="1">{"fdsup://directions/FAT%20Viewer?VAR:TM=NTMA&amp;VAR:PCT=0.265753&amp;VAR:Y0=1998&amp;VAR:Y1=1999&amp;VAR:V0=22.534151&amp;VAR:V1=19.076534&amp;VAR:V=19.887485&amp;VAR:AUDIT_ID=00000117&amp;VAR:DATE=19980925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Aggregates&amp;VAR:MEASURE=PE_MEAN&amp;VAR:CALC_MODE=PORTFOLIO&amp;VAR:CHGPERIOD=NA&amp;VAR:FQLFORMULA=FMA_PE&amp;VAR:CURRENCY=USD&amp;VAR:P=1","044.750000&amp;VAR:THRESH=||||||&amp;VAR:null=.html"}</definedName>
    <definedName name="_63__FDSAUDITLINK__" hidden="1">{"fdsup://directions/FAT%20Viewer?VAR:TM=NTMA&amp;VAR:PCT=0.419178&amp;VAR:Y0=2009&amp;VAR:Y1=2010&amp;VAR:V0=16.318420&amp;VAR:V1=13.139128&amp;VAR:V=14.307598&amp;VAR:AUDIT_ID=00000117&amp;VAR:DATE=20090731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Aggregates&amp;VAR:MEASURE=PE_MEAN&amp;VAR:CALC_MODE=PORTFOLIO&amp;VAR:CHGPERIOD=NA&amp;VAR:FQLFORMULA=FMA_PE&amp;VAR:CURRENCY=USD&amp;VAR:P=9","87.475178&amp;VAR:THRESH=||||||&amp;VAR:null=.html"}</definedName>
    <definedName name="_630__FDSAUDITLINK__" hidden="1">{"fdsup://directions/FAT%20Viewer?VAR:TM=NTMA&amp;VAR:PCT=0.284932&amp;VAR:Y0=1998&amp;VAR:Y1=1999&amp;VAR:V0=21.912190&amp;VAR:V1=18.604856&amp;VAR:V=19.440940&amp;VAR:AUDIT_ID=00000117&amp;VAR:DATE=19980918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Aggregates&amp;VAR:MEASURE=PE_MEAN&amp;VAR:CALC_MODE=PORTFOLIO&amp;VAR:CHGPERIOD=NA&amp;VAR:FQLFORMULA=FMA_PE&amp;VAR:CURRENCY=USD&amp;VAR:P=1","020.090000&amp;VAR:THRESH=||||||&amp;VAR:null=.html"}</definedName>
    <definedName name="_631__FDSAUDITLINK__" hidden="1">{"fdsup://directions/FAT%20Viewer?VAR:TM=NTMA&amp;VAR:PCT=0.304110&amp;VAR:Y0=1998&amp;VAR:Y1=1999&amp;VAR:V0=21.706730&amp;VAR:V1=18.416033&amp;VAR:V=19.306090&amp;VAR:AUDIT_ID=00000117&amp;VAR:DATE=19980911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Aggregates&amp;VAR:MEASURE=PE_MEAN&amp;VAR:CALC_MODE=PORTFOLIO&amp;VAR:CHGPERIOD=NA&amp;VAR:FQLFORMULA=FMA_PE&amp;VAR:CURRENCY=USD&amp;VAR:P=1","009.060000&amp;VAR:THRESH=||||||&amp;VAR:null=.html"}</definedName>
    <definedName name="_632__FDSAUDITLINK__" hidden="1">{"fdsup://directions/FAT%20Viewer?VAR:TM=NTMA&amp;VAR:PCT=0.323288&amp;VAR:Y0=1998&amp;VAR:Y1=1999&amp;VAR:V0=20.902248&amp;VAR:V1=17.767460&amp;VAR:V=18.672805&amp;VAR:AUDIT_ID=00000117&amp;VAR:DATE=19980904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Aggregates&amp;VAR:MEASURE=PE_MEAN&amp;VAR:CALC_MODE=PORTFOLIO&amp;VAR:CHGPERIOD=NA&amp;VAR:FQLFORMULA=FMA_PE&amp;VAR:CURRENCY=USD&amp;VAR:P=9","73.890000&amp;VAR:THRESH=||||||&amp;VAR:null=.html"}</definedName>
    <definedName name="_633__FDSAUDITLINK__" hidden="1">{"fdsup://directions/FAT%20Viewer?VAR:TM=NTMA&amp;VAR:PCT=0.342466&amp;VAR:Y0=1998&amp;VAR:Y1=1999&amp;VAR:V0=21.896778&amp;VAR:V1=18.774763&amp;VAR:V=19.738564&amp;VAR:AUDIT_ID=00000117&amp;VAR:DATE=19980828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Aggregates&amp;VAR:MEASURE=PE_MEAN&amp;VAR:CALC_MODE=PORTFOLIO&amp;VAR:CHGPERIOD=NA&amp;VAR:FQLFORMULA=FMA_PE&amp;VAR:CURRENCY=USD&amp;VAR:P=1","027.140000&amp;VAR:THRESH=||||||&amp;VAR:null=.html"}</definedName>
    <definedName name="_634__FDSAUDITLINK__" hidden="1">{"fdsup://directions/FAT%20Viewer?VAR:TM=NTMA&amp;VAR:PCT=0.361644&amp;VAR:Y0=1998&amp;VAR:Y1=1999&amp;VAR:V0=23.087334&amp;VAR:V1=19.724966&amp;VAR:V=20.821613&amp;VAR:AUDIT_ID=00000117&amp;VAR:DATE=19980821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Aggregates&amp;VAR:MEASURE=PE_MEAN&amp;VAR:CALC_MODE=PORTFOLIO&amp;VAR:CHGPERIOD=NA&amp;VAR:FQLFORMULA=FMA_PE&amp;VAR:CURRENCY=USD&amp;VAR:P=1","081.240000&amp;VAR:THRESH=||||||&amp;VAR:null=.html"}</definedName>
    <definedName name="_635__FDSAUDITLINK__" hidden="1">{"fdsup://directions/FAT%20Viewer?VAR:TM=NTMA&amp;VAR:PCT=0.380822&amp;VAR:Y0=1998&amp;VAR:Y1=1999&amp;VAR:V0=22.604826&amp;VAR:V1=19.330570&amp;VAR:V=20.459119&amp;VAR:AUDIT_ID=00000117&amp;VAR:DATE=19980814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Aggregates&amp;VAR:MEASURE=PE_MEAN&amp;VAR:CALC_MODE=PORTFOLIO&amp;VAR:CHGPERIOD=NA&amp;VAR:FQLFORMULA=FMA_PE&amp;VAR:CURRENCY=USD&amp;VAR:P=1","062.750000&amp;VAR:THRESH=||||||&amp;VAR:null=.html"}</definedName>
    <definedName name="_636__FDSAUDITLINK__" hidden="1">{"fdsup://directions/FAT%20Viewer?VAR:TM=NTMA&amp;VAR:PCT=0.400000&amp;VAR:Y0=1998&amp;VAR:Y1=1999&amp;VAR:V0=23.085005&amp;VAR:V1=19.762236&amp;VAR:V=20.969547&amp;VAR:AUDIT_ID=00000117&amp;VAR:DATE=19980807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Aggregates&amp;VAR:MEASURE=PE_MEAN&amp;VAR:CALC_MODE=PORTFOLIO&amp;VAR:CHGPERIOD=NA&amp;VAR:FQLFORMULA=FMA_PE&amp;VAR:CURRENCY=USD&amp;VAR:P=1","089.450000&amp;VAR:THRESH=||||||&amp;VAR:null=.html"}</definedName>
    <definedName name="_637__FDSAUDITLINK__" hidden="1">{"fdsup://directions/FAT%20Viewer?VAR:TM=NTMA&amp;VAR:PCT=0.419178&amp;VAR:Y0=1998&amp;VAR:Y1=1999&amp;VAR:V0=23.642933&amp;VAR:V1=20.358034&amp;VAR:V=21.617002&amp;VAR:AUDIT_ID=00000117&amp;VAR:DATE=19980731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Aggregates&amp;VAR:MEASURE=PE_MEAN&amp;VAR:CALC_MODE=PORTFOLIO&amp;VAR:CHGPERIOD=NA&amp;VAR:FQLFORMULA=FMA_PE&amp;VAR:CURRENCY=USD&amp;VAR:P=1","120.670000&amp;VAR:THRESH=||||||&amp;VAR:null=.html"}</definedName>
    <definedName name="_638__FDSAUDITLINK__" hidden="1">{"fdsup://directions/FAT%20Viewer?VAR:TM=NTMA&amp;VAR:PCT=0.438356&amp;VAR:Y0=1998&amp;VAR:Y1=1999&amp;VAR:V0=24.022768&amp;VAR:V1=20.645400&amp;VAR:V=22.001310&amp;VAR:AUDIT_ID=00000117&amp;VAR:DATE=19980724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Aggregates&amp;VAR:MEASURE=PE_MEAN&amp;VAR:CALC_MODE=PORTFOLIO&amp;VAR:CHGPERIOD=NA&amp;VAR:FQLFORMULA=FMA_PE&amp;VAR:CURRENCY=USD&amp;VAR:P=1","140.800000&amp;VAR:THRESH=||||||&amp;VAR:null=.html"}</definedName>
    <definedName name="_639__FDSAUDITLINK__" hidden="1">{"fdsup://directions/FAT%20Viewer?VAR:TM=NTMA&amp;VAR:PCT=0.457534&amp;VAR:Y0=1998&amp;VAR:Y1=1999&amp;VAR:V0=25.003513&amp;VAR:V1=21.388401&amp;VAR:V=22.903519&amp;VAR:AUDIT_ID=00000117&amp;VAR:DATE=19980717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Aggregates&amp;VAR:MEASURE=PE_MEAN&amp;VAR:CALC_MODE=PORTFOLIO&amp;VAR:CHGPERIOD=NA&amp;VAR:FQLFORMULA=FMA_PE&amp;VAR:CURRENCY=USD&amp;VAR:P=1","186.750000&amp;VAR:THRESH=||||||&amp;VAR:null=.html"}</definedName>
    <definedName name="_64__FDSAUDITLINK__" hidden="1">{"fdsup://directions/FAT%20Viewer?VAR:TM=NTMA&amp;VAR:PCT=0.438356&amp;VAR:Y0=2009&amp;VAR:Y1=2010&amp;VAR:V0=16.218435&amp;VAR:V1=13.005631&amp;VAR:V=14.242391&amp;VAR:AUDIT_ID=00000117&amp;VAR:DATE=20090724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Aggregates&amp;VAR:MEASURE=PE_MEAN&amp;VAR:CALC_MODE=PORTFOLIO&amp;VAR:CHGPERIOD=NA&amp;VAR:FQLFORMULA=FMA_PE&amp;VAR:CURRENCY=USD&amp;VAR:P=9","79.262658&amp;VAR:THRESH=||||||&amp;VAR:null=.html"}</definedName>
    <definedName name="_640__FDSAUDITLINK__" hidden="1">{"fdsup://directions/FAT%20Viewer?VAR:TM=NTMA&amp;VAR:PCT=0.476712&amp;VAR:Y0=1998&amp;VAR:Y1=1999&amp;VAR:V0=24.490202&amp;VAR:V1=20.968206&amp;VAR:V=22.511533&amp;VAR:AUDIT_ID=00000117&amp;VAR:DATE=19980710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Aggregates&amp;VAR:MEASURE=PE_MEAN&amp;VAR:CALC_MODE=PORTFOLIO&amp;VAR:CHGPERIOD=NA&amp;VAR:FQLFORMULA=FMA_PE&amp;VAR:CURRENCY=USD&amp;VAR:P=1","164.330000&amp;VAR:THRESH=||||||&amp;VAR:null=.html"}</definedName>
    <definedName name="_641__FDSAUDITLINK__" hidden="1">{"fdsup://directions/FAT%20Viewer?VAR:TM=NTMA&amp;VAR:PCT=0.498630&amp;VAR:Y0=1998&amp;VAR:Y1=1999&amp;VAR:V0=24.067846&amp;VAR:V1=20.603848&amp;VAR:V=22.196826&amp;VAR:AUDIT_ID=00000117&amp;VAR:DATE=19980702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Aggregates&amp;VAR:MEASURE=PE_MEAN&amp;VAR:CALC_MODE=PORTFOLIO&amp;VAR:CHGPERIOD=NA&amp;VAR:FQLFORMULA=FMA_PE&amp;VAR:CURRENCY=USD&amp;VAR:P=1","146.420000&amp;VAR:THRESH=||||||&amp;VAR:null=.html"}</definedName>
    <definedName name="_642__FDSAUDITLINK__" hidden="1">{"fdsup://directions/FAT%20Viewer?VAR:TM=NTMA&amp;VAR:PCT=0.515068&amp;VAR:Y0=1998&amp;VAR:Y1=1999&amp;VAR:V0=23.725208&amp;VAR:V1=20.315933&amp;VAR:V=21.939797&amp;VAR:AUDIT_ID=00000117&amp;VAR:DATE=19980626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Aggregates&amp;VAR:MEASURE=PE_MEAN&amp;VAR:CALC_MODE=PORTFOLIO&amp;VAR:CHGPERIOD=NA&amp;VAR:FQLFORMULA=FMA_PE&amp;VAR:CURRENCY=USD&amp;VAR:P=1","133.200000&amp;VAR:THRESH=||||||&amp;VAR:null=.html"}</definedName>
    <definedName name="_643__FDSAUDITLINK__" hidden="1">{"fdsup://directions/FAT%20Viewer?VAR:TM=NTMA&amp;VAR:PCT=0.534247&amp;VAR:Y0=1998&amp;VAR:Y1=1999&amp;VAR:V0=22.973572&amp;VAR:V1=19.666773&amp;VAR:V=21.305116&amp;VAR:AUDIT_ID=00000117&amp;VAR:DATE=19980619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Aggregates&amp;VAR:MEASURE=PE_MEAN&amp;VAR:CALC_MODE=PORTFOLIO&amp;VAR:CHGPERIOD=NA&amp;VAR:FQLFORMULA=FMA_PE&amp;VAR:CURRENCY=USD&amp;VAR:P=1","100.650000&amp;VAR:THRESH=||||||&amp;VAR:null=.html"}</definedName>
    <definedName name="_644__FDSAUDITLINK__" hidden="1">{"fdsup://directions/FAT%20Viewer?VAR:TM=NTMA&amp;VAR:PCT=0.553425&amp;VAR:Y0=1998&amp;VAR:Y1=1999&amp;VAR:V0=22.923130&amp;VAR:V1=19.549368&amp;VAR:V=21.282891&amp;VAR:AUDIT_ID=00000117&amp;VAR:DATE=19980612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Aggregates&amp;VAR:MEASURE=PE_MEAN&amp;VAR:CALC_MODE=PORTFOLIO&amp;VAR:CHGPERIOD=NA&amp;VAR:FQLFORMULA=FMA_PE&amp;VAR:CURRENCY=USD&amp;VAR:P=1","098.840000&amp;VAR:THRESH=||||||&amp;VAR:null=.html"}</definedName>
    <definedName name="_645__FDSAUDITLINK__" hidden="1">{"fdsup://directions/FAT%20Viewer?VAR:TM=NTMA&amp;VAR:PCT=0.572603&amp;VAR:Y0=1998&amp;VAR:Y1=1999&amp;VAR:V0=23.142420&amp;VAR:V1=19.777340&amp;VAR:V=21.573571&amp;VAR:AUDIT_ID=00000117&amp;VAR:DATE=19980605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Aggregates&amp;VAR:MEASURE=PE_MEAN&amp;VAR:CALC_MODE=PORTFOLIO&amp;VAR:CHGPERIOD=NA&amp;VAR:FQLFORMULA=FMA_PE&amp;VAR:CURRENCY=USD&amp;VAR:P=1","113.860000&amp;VAR:THRESH=||||||&amp;VAR:null=.html"}</definedName>
    <definedName name="_646__FDSAUDITLINK__" hidden="1">{"fdsup://directions/FAT%20Viewer?VAR:TM=NTMA&amp;VAR:PCT=0.591781&amp;VAR:Y0=1998&amp;VAR:Y1=1999&amp;VAR:V0=22.646341&amp;VAR:V1=19.358349&amp;VAR:V=21.177956&amp;VAR:AUDIT_ID=00000117&amp;VAR:DATE=19980529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Aggregates&amp;VAR:MEASURE=PE_MEAN&amp;VAR:CALC_MODE=PORTFOLIO&amp;VAR:CHGPERIOD=NA&amp;VAR:FQLFORMULA=FMA_PE&amp;VAR:CURRENCY=USD&amp;VAR:P=1","090.820000&amp;VAR:THRESH=||||||&amp;VAR:null=.html"}</definedName>
    <definedName name="_647__FDSAUDITLINK__" hidden="1">{"fdsup://directions/FAT%20Viewer?VAR:TM=NTMA&amp;VAR:PCT=0.610959&amp;VAR:Y0=1998&amp;VAR:Y1=1999&amp;VAR:V0=23.052126&amp;VAR:V1=19.694460&amp;VAR:V=21.618257&amp;VAR:AUDIT_ID=00000117&amp;VAR:DATE=19980522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Aggregates&amp;VAR:MEASURE=PE_MEAN&amp;VAR:CALC_MODE=PORTFOLIO&amp;VAR:CHGPERIOD=NA&amp;VAR:FQLFORMULA=FMA_PE&amp;VAR:CURRENCY=USD&amp;VAR:P=1","110.470000&amp;VAR:THRESH=||||||&amp;VAR:null=.html"}</definedName>
    <definedName name="_648__FDSAUDITLINK__" hidden="1">{"fdsup://directions/FAT%20Viewer?VAR:TM=NTMA&amp;VAR:PCT=0.630137&amp;VAR:Y0=1998&amp;VAR:Y1=1999&amp;VAR:V0=22.985834&amp;VAR:V1=19.683104&amp;VAR:V=21.642664&amp;VAR:AUDIT_ID=00000117&amp;VAR:DATE=19980515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Aggregates&amp;VAR:MEASURE=PE_MEAN&amp;VAR:CALC_MODE=PORTFOLIO&amp;VAR:CHGPERIOD=NA&amp;VAR:FQLFORMULA=FMA_PE&amp;VAR:CURRENCY=USD&amp;VAR:P=1","108.730000&amp;VAR:THRESH=||||||&amp;VAR:null=.html"}</definedName>
    <definedName name="_649__FDSAUDITLINK__" hidden="1">{"fdsup://directions/FAT%20Viewer?VAR:TM=NTMA&amp;VAR:PCT=0.649315&amp;VAR:Y0=1998&amp;VAR:Y1=1999&amp;VAR:V0=22.960024&amp;VAR:V1=19.636536&amp;VAR:V=21.673619&amp;VAR:AUDIT_ID=00000117&amp;VAR:DATE=19980508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Aggregates&amp;VAR:MEASURE=PE_MEAN&amp;VAR:CALC_MODE=PORTFOLIO&amp;VAR:CHGPERIOD=NA&amp;VAR:FQLFORMULA=FMA_PE&amp;VAR:CURRENCY=USD&amp;VAR:P=1","108.140000&amp;VAR:THRESH=||||||&amp;VAR:null=.html"}</definedName>
    <definedName name="_65__FDSAUDITLINK__" hidden="1">{"fdsup://directions/FAT%20Viewer?VAR:TM=NTMA&amp;VAR:PCT=0.457534&amp;VAR:Y0=2009&amp;VAR:Y1=2010&amp;VAR:V0=15.708340&amp;VAR:V1=12.512605&amp;VAR:V=13.796837&amp;VAR:AUDIT_ID=00000117&amp;VAR:DATE=20090717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Aggregates&amp;VAR:MEASURE=PE_MEAN&amp;VAR:CALC_MODE=PORTFOLIO&amp;VAR:CHGPERIOD=NA&amp;VAR:FQLFORMULA=FMA_PE&amp;VAR:CURRENCY=USD&amp;VAR:P=9","40.376345&amp;VAR:THRESH=||||||&amp;VAR:null=.html"}</definedName>
    <definedName name="_650__FDSAUDITLINK__" hidden="1">{"fdsup://directions/FAT%20Viewer?VAR:TM=NTMA&amp;VAR:PCT=0.668493&amp;VAR:Y0=1998&amp;VAR:Y1=1999&amp;VAR:V0=23.177742&amp;VAR:V1=19.946820&amp;VAR:V=21.996603&amp;VAR:AUDIT_ID=00000117&amp;VAR:DATE=19980501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Aggregates&amp;VAR:MEASURE=PE_MEAN&amp;VAR:CALC_MODE=PORTFOLIO&amp;VAR:CHGPERIOD=NA&amp;VAR:FQLFORMULA=FMA_PE&amp;VAR:CURRENCY=USD&amp;VAR:P=1","121.000000&amp;VAR:THRESH=||||||&amp;VAR:null=.html"}</definedName>
    <definedName name="_651__FDSAUDITLINK__" hidden="1">{"fdsup://directions/FAT%20Viewer?VAR:TM=NTMA&amp;VAR:PCT=0.687671&amp;VAR:Y0=1998&amp;VAR:Y1=1999&amp;VAR:V0=22.872263&amp;VAR:V1=19.740152&amp;VAR:V=21.792317&amp;VAR:AUDIT_ID=00000117&amp;VAR:DATE=19980424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Aggregates&amp;VAR:MEASURE=PE_MEAN&amp;VAR:CALC_MODE=PORTFOLIO&amp;VAR:CHGPERIOD=NA&amp;VAR:FQLFORMULA=FMA_PE&amp;VAR:CURRENCY=USD&amp;VAR:P=1","107.900000&amp;VAR:THRESH=||||||&amp;VAR:null=.html"}</definedName>
    <definedName name="_652__FDSAUDITLINK__" hidden="1">{"fdsup://directions/FAT%20Viewer?VAR:TM=NTMA&amp;VAR:PCT=0.706849&amp;VAR:Y0=1998&amp;VAR:Y1=1999&amp;VAR:V0=23.098846&amp;VAR:V1=20.004234&amp;VAR:V=22.096763&amp;VAR:AUDIT_ID=00000117&amp;VAR:DATE=19980417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Aggregates&amp;VAR:MEASURE=PE_MEAN&amp;VAR:CALC_MODE=PORTFOLIO&amp;VAR:CHGPERIOD=NA&amp;VAR:FQLFORMULA=FMA_PE&amp;VAR:CURRENCY=USD&amp;VAR:P=1","122.720000&amp;VAR:THRESH=||||||&amp;VAR:null=.html"}</definedName>
    <definedName name="_653__FDSAUDITLINK__" hidden="1">{"fdsup://directions/FAT%20Viewer?VAR:TM=NTMA&amp;VAR:PCT=0.728767&amp;VAR:Y0=1998&amp;VAR:Y1=1999&amp;VAR:V0=22.722107&amp;VAR:V1=19.718020&amp;VAR:V=21.820422&amp;VAR:AUDIT_ID=00000117&amp;VAR:DATE=19980409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Aggregates&amp;VAR:MEASURE=PE_MEAN&amp;VAR:CALC_MODE=PORTFOLIO&amp;VAR:CHGPERIOD=NA&amp;VAR:FQLFORMULA=FMA_PE&amp;VAR:CURRENCY=USD&amp;VAR:P=1","110.670000&amp;VAR:THRESH=||||||&amp;VAR:null=.html"}</definedName>
    <definedName name="_654__FDSAUDITLINK__" hidden="1">{"fdsup://directions/FAT%20Viewer?VAR:TM=NTMA&amp;VAR:PCT=0.745205&amp;VAR:Y0=1998&amp;VAR:Y1=1999&amp;VAR:V0=22.937859&amp;VAR:V1=19.973227&amp;VAR:V=22.101979&amp;VAR:AUDIT_ID=00000117&amp;VAR:DATE=19980403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Aggregates&amp;VAR:MEASURE=PE_MEAN&amp;VAR:CALC_MODE=PORTFOLIO&amp;VAR:CHGPERIOD=NA&amp;VAR:FQLFORMULA=FMA_PE&amp;VAR:CURRENCY=USD&amp;VAR:P=1","122.700000&amp;VAR:THRESH=||||||&amp;VAR:null=.html"}</definedName>
    <definedName name="_655__FDSAUDITLINK__" hidden="1">{"fdsup://directions/FAT%20Viewer?VAR:TM=NTMA&amp;VAR:PCT=0.764384&amp;VAR:Y0=1998&amp;VAR:Y1=1999&amp;VAR:V0=22.208742&amp;VAR:V1=19.026031&amp;VAR:V=21.366591&amp;VAR:AUDIT_ID=00000117&amp;VAR:DATE=19980327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Aggregates&amp;VAR:MEASURE=PE_MEAN&amp;VAR:CALC_MODE=PORTFOLIO&amp;VAR:CHGPERIOD=NA&amp;VAR:FQLFORMULA=FMA_PE&amp;VAR:CURRENCY=USD&amp;VAR:P=1","095.440000&amp;VAR:THRESH=||||||&amp;VAR:null=.html"}</definedName>
    <definedName name="_656__FDSAUDITLINK__" hidden="1">{"fdsup://directions/FAT%20Viewer?VAR:TM=NTMA&amp;VAR:PCT=0.783562&amp;VAR:Y0=1998&amp;VAR:Y1=1999&amp;VAR:V0=22.154740&amp;VAR:V1=19.131039&amp;VAR:V=21.421927&amp;VAR:AUDIT_ID=00000117&amp;VAR:DATE=19980320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Aggregates&amp;VAR:MEASURE=PE_MEAN&amp;VAR:CALC_MODE=PORTFOLIO&amp;VAR:CHGPERIOD=NA&amp;VAR:FQLFORMULA=FMA_PE&amp;VAR:CURRENCY=USD&amp;VAR:P=1","099.160000&amp;VAR:THRESH=||||||&amp;VAR:null=.html"}</definedName>
    <definedName name="_657__FDSAUDITLINK__" hidden="1">{"fdsup://directions/FAT%20Viewer?VAR:TM=NTMA&amp;VAR:PCT=0.802740&amp;VAR:Y0=1998&amp;VAR:Y1=1999&amp;VAR:V0=21.496202&amp;VAR:V1=18.399776&amp;VAR:V=20.805538&amp;VAR:AUDIT_ID=00000117&amp;VAR:DATE=19980313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Aggregates&amp;VAR:MEASURE=PE_MEAN&amp;VAR:CALC_MODE=PORTFOLIO&amp;VAR:CHGPERIOD=NA&amp;VAR:FQLFORMULA=FMA_PE&amp;VAR:CURRENCY=USD&amp;VAR:P=1","068.610000&amp;VAR:THRESH=||||||&amp;VAR:null=.html"}</definedName>
    <definedName name="_658__FDSAUDITLINK__" hidden="1">{"fdsup://directions/FAT%20Viewer?VAR:TM=NTMA&amp;VAR:PCT=0.821918&amp;VAR:Y0=1998&amp;VAR:Y1=1999&amp;VAR:V0=21.158170&amp;VAR:V1=18.150915&amp;VAR:V=20.551794&amp;VAR:AUDIT_ID=00000117&amp;VAR:DATE=19980306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Aggregates&amp;VAR:MEASURE=PE_MEAN&amp;VAR:CALC_MODE=PORTFOLIO&amp;VAR:CHGPERIOD=NA&amp;VAR:FQLFORMULA=FMA_PE&amp;VAR:CURRENCY=USD&amp;VAR:P=1","055.690000&amp;VAR:THRESH=||||||&amp;VAR:null=.html"}</definedName>
    <definedName name="_659__FDSAUDITLINK__" hidden="1">{"fdsup://directions/FAT%20Viewer?VAR:TM=NTMA&amp;VAR:PCT=0.841096&amp;VAR:Y0=1998&amp;VAR:Y1=1999&amp;VAR:V0=20.958042&amp;VAR:V1=17.916227&amp;VAR:V=20.407474&amp;VAR:AUDIT_ID=00000117&amp;VAR:DATE=19980227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Aggregates&amp;VAR:MEASURE=PE_MEAN&amp;VAR:CALC_MODE=PORTFOLIO&amp;VAR:CHGPERIOD=NA&amp;VAR:FQLFORMULA=FMA_PE&amp;VAR:CURRENCY=USD&amp;VAR:P=1","049.340000&amp;VAR:THRESH=||||||&amp;VAR:null=.html"}</definedName>
    <definedName name="_66__FDSAUDITLINK__" hidden="1">{"fdsup://directions/FAT%20Viewer?VAR:TM=NTMA&amp;VAR:PCT=0.476712&amp;VAR:Y0=2009&amp;VAR:Y1=2010&amp;VAR:V0=14.837311&amp;VAR:V1=11.763633&amp;VAR:V=13.052649&amp;VAR:AUDIT_ID=00000117&amp;VAR:DATE=20090710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Aggregates&amp;VAR:MEASURE=PE_MEAN&amp;VAR:CALC_MODE=PORTFOLIO&amp;VAR:CHGPERIOD=NA&amp;VAR:FQLFORMULA=FMA_PE&amp;VAR:CURRENCY=USD&amp;VAR:P=8","79.128333&amp;VAR:THRESH=||||||&amp;VAR:null=.html"}</definedName>
    <definedName name="_660__FDSAUDITLINK__" hidden="1">{"fdsup://directions/FAT%20Viewer?VAR:TM=NTMA&amp;VAR:PCT=0.860274&amp;VAR:Y0=1998&amp;VAR:Y1=1999&amp;VAR:V0=20.600718&amp;VAR:V1=17.705680&amp;VAR:V=20.140577&amp;VAR:AUDIT_ID=00000117&amp;VAR:DATE=19980220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Aggregates&amp;VAR:MEASURE=PE_MEAN&amp;VAR:CALC_MODE=PORTFOLIO&amp;VAR:CHGPERIOD=NA&amp;VAR:FQLFORMULA=FMA_PE&amp;VAR:CURRENCY=USD&amp;VAR:P=1","034.210000&amp;VAR:THRESH=||||||&amp;VAR:null=.html"}</definedName>
    <definedName name="_661__FDSAUDITLINK__" hidden="1">{"fdsup://directions/FAT%20Viewer?VAR:TM=NTMA&amp;VAR:PCT=0.879452&amp;VAR:Y0=1998&amp;VAR:Y1=1999&amp;VAR:V0=20.347198&amp;VAR:V1=17.509115&amp;VAR:V=19.957237&amp;VAR:AUDIT_ID=00000117&amp;VAR:DATE=19980213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Aggregates&amp;VAR:MEASURE=PE_MEAN&amp;VAR:CALC_MODE=PORTFOLIO&amp;VAR:CHGPERIOD=NA&amp;VAR:FQLFORMULA=FMA_PE&amp;VAR:CURRENCY=USD&amp;VAR:P=1","020.090000&amp;VAR:THRESH=||||||&amp;VAR:null=.html"}</definedName>
    <definedName name="_662__FDSAUDITLINK__" hidden="1">{"fdsup://directions/FAT%20Viewer?VAR:TM=NTMA&amp;VAR:PCT=0.898630&amp;VAR:Y0=1998&amp;VAR:Y1=1999&amp;VAR:V0=20.160254&amp;VAR:V1=17.368376&amp;VAR:V=19.837016&amp;VAR:AUDIT_ID=00000117&amp;VAR:DATE=19980206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Aggregates&amp;VAR:MEASURE=PE_MEAN&amp;VAR:CALC_MODE=PORTFOLIO&amp;VAR:CHGPERIOD=NA&amp;VAR:FQLFORMULA=FMA_PE&amp;VAR:CURRENCY=USD&amp;VAR:P=1","012.460000&amp;VAR:THRESH=||||||&amp;VAR:null=.html"}</definedName>
    <definedName name="_663__FDSAUDITLINK__" hidden="1">{"fdsup://directions/FAT%20Viewer?VAR:TM=NTMA&amp;VAR:PCT=0.917808&amp;VAR:Y0=1998&amp;VAR:Y1=1999&amp;VAR:V0=19.450886&amp;VAR:V1=16.836676&amp;VAR:V=19.205785&amp;VAR:AUDIT_ID=00000117&amp;VAR:DATE=19980130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Aggregates&amp;VAR:MEASURE=PE_MEAN&amp;VAR:CALC_MODE=PORTFOLIO&amp;VAR:CHGPERIOD=NA&amp;VAR:FQLFORMULA=FMA_PE&amp;VAR:CURRENCY=USD&amp;VAR:P=9","80.280000&amp;VAR:THRESH=||||||&amp;VAR:null=.html"}</definedName>
    <definedName name="_664__FDSAUDITLINK__" hidden="1">{"fdsup://directions/FAT%20Viewer?VAR:TM=NTMA&amp;VAR:PCT=0.936986&amp;VAR:Y0=1998&amp;VAR:Y1=1999&amp;VAR:V0=18.892800&amp;VAR:V1=16.143492&amp;VAR:V=18.692204&amp;VAR:AUDIT_ID=00000117&amp;VAR:DATE=19980123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Aggregates&amp;VAR:MEASURE=PE_MEAN&amp;VAR:CALC_MODE=PORTFOLIO&amp;VAR:CHGPERIOD=NA&amp;VAR:FQLFORMULA=FMA_PE&amp;VAR:CURRENCY=USD&amp;VAR:P=9","57.590000&amp;VAR:THRESH=||||||&amp;VAR:null=.html"}</definedName>
    <definedName name="_665__FDSAUDITLINK__" hidden="1">{"fdsup://directions/FAT%20Viewer?VAR:TM=NTMA&amp;VAR:PCT=0.956164&amp;VAR:Y0=1998&amp;VAR:Y1=1999&amp;VAR:V0=18.845175&amp;VAR:V1=16.779032&amp;VAR:V=18.743998&amp;VAR:AUDIT_ID=00000117&amp;VAR:DATE=19980116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Aggregates&amp;VAR:MEASURE=PE_MEAN&amp;VAR:CALC_MODE=PORTFOLIO&amp;VAR:CHGPERIOD=NA&amp;VAR:FQLFORMULA=FMA_PE&amp;VAR:CURRENCY=USD&amp;VAR:P=9","61.510000&amp;VAR:THRESH=||||||&amp;VAR:null=.html"}</definedName>
    <definedName name="_666__FDSAUDITLINK__" hidden="1">{"fdsup://directions/FAT%20Viewer?VAR:TM=NTMA&amp;VAR:PCT=0.975342&amp;VAR:Y0=1998&amp;VAR:Y1=1999&amp;VAR:V0=18.100964&amp;VAR:V1=16.223988&amp;VAR:V=18.049475&amp;VAR:AUDIT_ID=00000117&amp;VAR:DATE=19980109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Aggregates&amp;VAR:MEASURE=PE_MEAN&amp;VAR:CALC_MODE=PORTFOLIO&amp;VAR:CHGPERIOD=NA&amp;VAR:FQLFORMULA=FMA_PE&amp;VAR:CURRENCY=USD&amp;VAR:P=9","27.690000&amp;VAR:THRESH=||||||&amp;VAR:null=.html"}</definedName>
    <definedName name="_667__FDSAUDITLINK__" hidden="1">{"fdsup://directions/FAT%20Viewer?VAR:TM=NTMA&amp;VAR:PCT=0.994521&amp;VAR:Y0=1998&amp;VAR:Y1=1999&amp;VAR:V0=19.018885&amp;VAR:V1=17.135740&amp;VAR:V=19.007439&amp;VAR:AUDIT_ID=00000117&amp;VAR:DATE=19980102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Aggregates&amp;VAR:MEASURE=PE_MEAN&amp;VAR:CALC_MODE=PORTFOLIO&amp;VAR:CHGPERIOD=NA&amp;VAR:FQLFORMULA=FMA_PE&amp;VAR:CURRENCY=USD&amp;VAR:P=9","75.040000&amp;VAR:THRESH=||||||&amp;VAR:null=.html"}</definedName>
    <definedName name="_668__FDSAUDITLINK__" hidden="1">{"fdsup://directions/FAT%20Viewer?VAR:TM=NTMA&amp;VAR:PCT=0.013699&amp;VAR:Y0=1997&amp;VAR:Y1=1998&amp;VAR:V0=20.883154&amp;VAR:V1=18.234722&amp;VAR:V=18.266456&amp;VAR:AUDIT_ID=00000117&amp;VAR:DATE=19971226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Aggregates&amp;VAR:MEASURE=PE_MEAN&amp;VAR:CALC_MODE=PORTFOLIO&amp;VAR:CHGPERIOD=NA&amp;VAR:FQLFORMULA=FMA_PE&amp;VAR:CURRENCY=USD&amp;VAR:P=9","36.460000&amp;VAR:THRESH=||||||&amp;VAR:null=.html"}</definedName>
    <definedName name="_669__FDSAUDITLINK__" hidden="1">{"fdsup://directions/FAT%20Viewer?VAR:TM=NTMA&amp;VAR:PCT=0.032877&amp;VAR:Y0=1997&amp;VAR:Y1=1998&amp;VAR:V0=21.085200&amp;VAR:V1=18.390247&amp;VAR:V=18.467850&amp;VAR:AUDIT_ID=00000117&amp;VAR:DATE=19971219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Aggregates&amp;VAR:MEASURE=PE_MEAN&amp;VAR:CALC_MODE=PORTFOLIO&amp;VAR:CHGPERIOD=NA&amp;VAR:FQLFORMULA=FMA_PE&amp;VAR:CURRENCY=USD&amp;VAR:P=9","46.780000&amp;VAR:THRESH=||||||&amp;VAR:null=.html"}</definedName>
    <definedName name="_67__FDSAUDITLINK__" hidden="1">{"fdsup://directions/FAT%20Viewer?VAR:TM=NTMA&amp;VAR:PCT=0.498630&amp;VAR:Y0=2009&amp;VAR:Y1=2010&amp;VAR:V0=15.136355&amp;VAR:V1=12.026159&amp;VAR:V=13.398990&amp;VAR:AUDIT_ID=00000117&amp;VAR:DATE=20090702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Aggregates&amp;VAR:MEASURE=PE_MEAN&amp;VAR:CALC_MODE=PORTFOLIO&amp;VAR:CHGPERIOD=NA&amp;VAR:FQLFORMULA=FMA_PE&amp;VAR:CURRENCY=USD&amp;VAR:P=8","96.423078&amp;VAR:THRESH=||||||&amp;VAR:null=.html"}</definedName>
    <definedName name="_670__FDSAUDITLINK__" hidden="1">{"fdsup://directions/FAT%20Viewer?VAR:TM=NTMA&amp;VAR:PCT=0.052055&amp;VAR:Y0=1997&amp;VAR:Y1=1998&amp;VAR:V0=21.221970&amp;VAR:V1=18.472893&amp;VAR:V=18.598304&amp;VAR:AUDIT_ID=00000117&amp;VAR:DATE=19971212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Aggregates&amp;VAR:MEASURE=PE_MEAN&amp;VAR:CALC_MODE=PORTFOLIO&amp;VAR:CHGPERIOD=NA&amp;VAR:FQLFORMULA=FMA_PE&amp;VAR:CURRENCY=USD&amp;VAR:P=9","53.390000&amp;VAR:THRESH=||||||&amp;VAR:null=.html"}</definedName>
    <definedName name="_671__FDSAUDITLINK__" hidden="1">{"fdsup://directions/FAT%20Viewer?VAR:TM=NTMA&amp;VAR:PCT=0.071233&amp;VAR:Y0=1997&amp;VAR:Y1=1998&amp;VAR:V0=21.906837&amp;VAR:V1=19.034374&amp;VAR:V=19.213835&amp;VAR:AUDIT_ID=00000117&amp;VAR:DATE=19971205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Aggregates&amp;VAR:MEASURE=PE_MEAN&amp;VAR:CALC_MODE=PORTFOLIO&amp;VAR:CHGPERIOD=NA&amp;VAR:FQLFORMULA=FMA_PE&amp;VAR:CURRENCY=USD&amp;VAR:P=9","83.790000&amp;VAR:THRESH=||||||&amp;VAR:null=.html"}</definedName>
    <definedName name="_672__FDSAUDITLINK__" hidden="1">{"fdsup://directions/FAT%20Viewer?VAR:TM=NTMA&amp;VAR:PCT=0.090411&amp;VAR:Y0=1997&amp;VAR:Y1=1998&amp;VAR:V0=21.287275&amp;VAR:V1=18.501312&amp;VAR:V=18.722850&amp;VAR:AUDIT_ID=00000117&amp;VAR:DATE=19971128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Aggregates&amp;VAR:MEASURE=PE_MEAN&amp;VAR:CALC_MODE=PORTFOLIO&amp;VAR:CHGPERIOD=NA&amp;VAR:FQLFORMULA=FMA_PE&amp;VAR:CURRENCY=USD&amp;VAR:P=9","55.400000&amp;VAR:THRESH=||||||&amp;VAR:null=.html"}</definedName>
    <definedName name="_673__FDSAUDITLINK__" hidden="1">{"fdsup://directions/FAT%20Viewer?VAR:TM=NTMA&amp;VAR:PCT=0.109589&amp;VAR:Y0=1997&amp;VAR:Y1=1998&amp;VAR:V0=21.420954&amp;VAR:V1=18.632614&amp;VAR:V=18.902256&amp;VAR:AUDIT_ID=00000117&amp;VAR:DATE=19971121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Aggregates&amp;VAR:MEASURE=PE_MEAN&amp;VAR:CALC_MODE=PORTFOLIO&amp;VAR:CHGPERIOD=NA&amp;VAR:FQLFORMULA=FMA_PE&amp;VAR:CURRENCY=USD&amp;VAR:P=9","63.090000&amp;VAR:THRESH=||||||&amp;VAR:null=.html"}</definedName>
    <definedName name="_674__FDSAUDITLINK__" hidden="1">{"fdsup://directions/FAT%20Viewer?VAR:TM=NTMA&amp;VAR:PCT=0.128767&amp;VAR:Y0=1997&amp;VAR:Y1=1998&amp;VAR:V0=20.633692&amp;VAR:V1=17.947634&amp;VAR:V=18.253613&amp;VAR:AUDIT_ID=00000117&amp;VAR:DATE=19971114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Aggregates&amp;VAR:MEASURE=PE_MEAN&amp;VAR:CALC_MODE=PORTFOLIO&amp;VAR:CHGPERIOD=NA&amp;VAR:FQLFORMULA=FMA_PE&amp;VAR:CURRENCY=USD&amp;VAR:P=9","28.350000&amp;VAR:THRESH=||||||&amp;VAR:null=.html"}</definedName>
    <definedName name="_675__FDSAUDITLINK__" hidden="1">{"fdsup://directions/FAT%20Viewer?VAR:TM=NTMA&amp;VAR:PCT=0.147945&amp;VAR:Y0=1997&amp;VAR:Y1=1998&amp;VAR:V0=20.574730&amp;VAR:V1=17.896387&amp;VAR:V=18.247821&amp;VAR:AUDIT_ID=00000117&amp;VAR:DATE=19971107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Aggregates&amp;VAR:MEASURE=PE_MEAN&amp;VAR:CALC_MODE=PORTFOLIO&amp;VAR:CHGPERIOD=NA&amp;VAR:FQLFORMULA=FMA_PE&amp;VAR:CURRENCY=USD&amp;VAR:P=9","27.510000&amp;VAR:THRESH=||||||&amp;VAR:null=.html"}</definedName>
    <definedName name="_676__FDSAUDITLINK__" hidden="1">{"fdsup://directions/FAT%20Viewer?VAR:TM=NTMA&amp;VAR:PCT=0.167123&amp;VAR:Y0=1997&amp;VAR:Y1=1998&amp;VAR:V0=20.274906&amp;VAR:V1=17.635849&amp;VAR:V=18.028019&amp;VAR:AUDIT_ID=00000117&amp;VAR:DATE=19971031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Aggregates&amp;VAR:MEASURE=PE_MEAN&amp;VAR:CALC_MODE=PORTFOLIO&amp;VAR:CHGPERIOD=NA&amp;VAR:FQLFORMULA=FMA_PE&amp;VAR:CURRENCY=USD&amp;VAR:P=9","14.620000&amp;VAR:THRESH=||||||&amp;VAR:null=.html"}</definedName>
    <definedName name="_677__FDSAUDITLINK__" hidden="1">{"fdsup://directions/FAT%20Viewer?VAR:TM=NTMA&amp;VAR:PCT=0.186301&amp;VAR:Y0=1997&amp;VAR:Y1=1998&amp;VAR:V0=20.853123&amp;VAR:V1=18.137610&amp;VAR:V=18.588575&amp;VAR:AUDIT_ID=00000117&amp;VAR:DATE=19971024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Aggregates&amp;VAR:MEASURE=PE_MEAN&amp;VAR:CALC_MODE=PORTFOLIO&amp;VAR:CHGPERIOD=NA&amp;VAR:FQLFORMULA=FMA_PE&amp;VAR:CURRENCY=USD&amp;VAR:P=9","41.640000&amp;VAR:THRESH=||||||&amp;VAR:null=.html"}</definedName>
    <definedName name="_678__FDSAUDITLINK__" hidden="1">{"fdsup://directions/FAT%20Viewer?VAR:TM=NTMA&amp;VAR:PCT=0.205479&amp;VAR:Y0=1997&amp;VAR:Y1=1998&amp;VAR:V0=20.865955&amp;VAR:V1=18.145489&amp;VAR:V=18.644989&amp;VAR:AUDIT_ID=00000117&amp;VAR:DATE=19971017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Aggregates&amp;VAR:MEASURE=PE_MEAN&amp;VAR:CALC_MODE=PORTFOLIO&amp;VAR:CHGPERIOD=NA&amp;VAR:FQLFORMULA=FMA_PE&amp;VAR:CURRENCY=USD&amp;VAR:P=9","44.160000&amp;VAR:THRESH=||||||&amp;VAR:null=.html"}</definedName>
    <definedName name="_679__FDSAUDITLINK__" hidden="1">{"fdsup://directions/FAT%20Viewer?VAR:TM=NTMA&amp;VAR:PCT=0.224658&amp;VAR:Y0=1997&amp;VAR:Y1=1998&amp;VAR:V0=21.349148&amp;VAR:V1=18.548595&amp;VAR:V=19.111826&amp;VAR:AUDIT_ID=00000117&amp;VAR:DATE=19971010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Aggregates&amp;VAR:MEASURE=PE_MEAN&amp;VAR:CALC_MODE=PORTFOLIO&amp;VAR:CHGPERIOD=NA&amp;VAR:FQLFORMULA=FMA_PE&amp;VAR:CURRENCY=USD&amp;VAR:P=9","66.980000&amp;VAR:THRESH=||||||&amp;VAR:null=.html"}</definedName>
    <definedName name="_68__FDSAUDITLINK__" hidden="1">{"fdsup://directions/FAT%20Viewer?VAR:TM=NTMA&amp;VAR:PCT=0.515068&amp;VAR:Y0=2009&amp;VAR:Y1=2010&amp;VAR:V0=15.541708&amp;VAR:V1=12.263889&amp;VAR:V=13.758477&amp;VAR:AUDIT_ID=00000117&amp;VAR:DATE=20090626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Aggregates&amp;VAR:MEASURE=PE_MEAN&amp;VAR:CALC_MODE=PORTFOLIO&amp;VAR:CHGPERIOD=NA&amp;VAR:FQLFORMULA=FMA_PE&amp;VAR:CURRENCY=USD&amp;VAR:P=9","18.904472&amp;VAR:THRESH=||||||&amp;VAR:null=.html"}</definedName>
    <definedName name="_680__FDSAUDITLINK__" hidden="1">{"fdsup://directions/FAT%20Viewer?VAR:TM=NTMA&amp;VAR:PCT=0.243836&amp;VAR:Y0=1997&amp;VAR:Y1=1998&amp;VAR:V0=21.311150&amp;VAR:V1=18.433556&amp;VAR:V=19.061135&amp;VAR:AUDIT_ID=00000117&amp;VAR:DATE=19971003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Aggregates&amp;VAR:MEASURE=PE_MEAN&amp;VAR:CALC_MODE=PORTFOLIO&amp;VAR:CHGPERIOD=NA&amp;VAR:FQLFORMULA=FMA_PE&amp;VAR:CURRENCY=USD&amp;VAR:P=9","65.030000&amp;VAR:THRESH=||||||&amp;VAR:null=.html"}</definedName>
    <definedName name="_681__FDSAUDITLINK__" hidden="1">{"fdsup://directions/FAT%20Viewer?VAR:TM=NTMA&amp;VAR:PCT=0.263014&amp;VAR:Y0=1997&amp;VAR:Y1=1998&amp;VAR:V0=20.852291&amp;VAR:V1=18.042137&amp;VAR:V=18.705140&amp;VAR:AUDIT_ID=00000117&amp;VAR:DATE=19970926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Aggregates&amp;VAR:MEASURE=PE_MEAN&amp;VAR:CALC_MODE=PORTFOLIO&amp;VAR:CHGPERIOD=NA&amp;VAR:FQLFORMULA=FMA_PE&amp;VAR:CURRENCY=USD&amp;VAR:P=9","45.220000&amp;VAR:THRESH=||||||&amp;VAR:null=.html"}</definedName>
    <definedName name="_682__FDSAUDITLINK__" hidden="1">{"fdsup://directions/FAT%20Viewer?VAR:TM=NTMA&amp;VAR:PCT=0.282192&amp;VAR:Y0=1997&amp;VAR:Y1=1998&amp;VAR:V0=20.927692&amp;VAR:V1=18.128647&amp;VAR:V=18.839708&amp;VAR:AUDIT_ID=00000117&amp;VAR:DATE=19970919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Aggregates&amp;VAR:MEASURE=PE_MEAN&amp;VAR:CALC_MODE=PORTFOLIO&amp;VAR:CHGPERIOD=NA&amp;VAR:FQLFORMULA=FMA_PE&amp;VAR:CURRENCY=USD&amp;VAR:P=9","50.510000&amp;VAR:THRESH=||||||&amp;VAR:null=.html"}</definedName>
    <definedName name="_683__FDSAUDITLINK__" hidden="1">{"fdsup://directions/FAT%20Viewer?VAR:TM=NTMA&amp;VAR:PCT=0.301370&amp;VAR:Y0=1997&amp;VAR:Y1=1998&amp;VAR:V0=20.309635&amp;VAR:V1=17.599665&amp;VAR:V=18.337045&amp;VAR:AUDIT_ID=00000117&amp;VAR:DATE=19970912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Aggregates&amp;VAR:MEASURE=PE_MEAN&amp;VAR:CALC_MODE=PORTFOLIO&amp;VAR:CHGPERIOD=NA&amp;VAR:FQLFORMULA=FMA_PE&amp;VAR:CURRENCY=USD&amp;VAR:P=9","23.910000&amp;VAR:THRESH=||||||&amp;VAR:null=.html"}</definedName>
    <definedName name="_684__FDSAUDITLINK__" hidden="1">{"fdsup://directions/FAT%20Viewer?VAR:TM=NTMA&amp;VAR:PCT=0.320548&amp;VAR:Y0=1997&amp;VAR:Y1=1998&amp;VAR:V0=20.399818&amp;VAR:V1=17.719835&amp;VAR:V=18.498846&amp;VAR:AUDIT_ID=00000117&amp;VAR:DATE=19970905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Aggregates&amp;VAR:MEASURE=PE_MEAN&amp;VAR:CALC_MODE=PORTFOLIO&amp;VAR:CHGPERIOD=NA&amp;VAR:FQLFORMULA=FMA_PE&amp;VAR:CURRENCY=USD&amp;VAR:P=9","29.050000&amp;VAR:THRESH=||||||&amp;VAR:null=.html"}</definedName>
    <definedName name="_685__FDSAUDITLINK__" hidden="1">{"fdsup://directions/FAT%20Viewer?VAR:TM=NTMA&amp;VAR:PCT=0.339726&amp;VAR:Y0=1997&amp;VAR:Y1=1998&amp;VAR:V0=19.773842&amp;VAR:V1=17.171267&amp;VAR:V=17.974996&amp;VAR:AUDIT_ID=00000117&amp;VAR:DATE=19970829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Aggregates&amp;VAR:MEASURE=PE_MEAN&amp;VAR:CALC_MODE=PORTFOLIO&amp;VAR:CHGPERIOD=NA&amp;VAR:FQLFORMULA=FMA_PE&amp;VAR:CURRENCY=USD&amp;VAR:P=8","99.470000&amp;VAR:THRESH=||||||&amp;VAR:null=.html"}</definedName>
    <definedName name="_686__FDSAUDITLINK__" hidden="1">{"fdsup://directions/FAT%20Viewer?VAR:TM=NTMA&amp;VAR:PCT=0.358904&amp;VAR:Y0=1997&amp;VAR:Y1=1998&amp;VAR:V0=20.300388&amp;VAR:V1=17.691544&amp;VAR:V=18.546996&amp;VAR:AUDIT_ID=00000117&amp;VAR:DATE=19970822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Aggregates&amp;VAR:MEASURE=PE_MEAN&amp;VAR:CALC_MODE=PORTFOLIO&amp;VAR:CHGPERIOD=NA&amp;VAR:FQLFORMULA=FMA_PE&amp;VAR:CURRENCY=USD&amp;VAR:P=9","23.550000&amp;VAR:THRESH=||||||&amp;VAR:null=.html"}</definedName>
    <definedName name="_687__FDSAUDITLINK__" hidden="1">{"fdsup://directions/FAT%20Viewer?VAR:TM=NTMA&amp;VAR:PCT=0.378082&amp;VAR:Y0=1997&amp;VAR:Y1=1998&amp;VAR:V0=19.854218&amp;VAR:V1=17.233150&amp;VAR:V=18.138493&amp;VAR:AUDIT_ID=00000117&amp;VAR:DATE=19970815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Aggregates&amp;VAR:MEASURE=PE_MEAN&amp;VAR:CALC_MODE=PORTFOLIO&amp;VAR:CHGPERIOD=NA&amp;VAR:FQLFORMULA=FMA_PE&amp;VAR:CURRENCY=USD&amp;VAR:P=9","00.810000&amp;VAR:THRESH=||||||&amp;VAR:null=.html"}</definedName>
    <definedName name="_688__FDSAUDITLINK__" hidden="1">{"fdsup://directions/FAT%20Viewer?VAR:TM=NTMA&amp;VAR:PCT=0.397260&amp;VAR:Y0=1997&amp;VAR:Y1=1998&amp;VAR:V0=20.539043&amp;VAR:V1=17.812254&amp;VAR:V=18.803991&amp;VAR:AUDIT_ID=00000117&amp;VAR:DATE=19970808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Aggregates&amp;VAR:MEASURE=PE_MEAN&amp;VAR:CALC_MODE=PORTFOLIO&amp;VAR:CHGPERIOD=NA&amp;VAR:FQLFORMULA=FMA_PE&amp;VAR:CURRENCY=USD&amp;VAR:P=9","33.540000&amp;VAR:THRESH=||||||&amp;VAR:null=.html"}</definedName>
    <definedName name="_689__FDSAUDITLINK__" hidden="1">{"fdsup://directions/FAT%20Viewer?VAR:TM=NTMA&amp;VAR:PCT=0.416438&amp;VAR:Y0=1997&amp;VAR:Y1=1998&amp;VAR:V0=20.838476&amp;VAR:V1=18.101072&amp;VAR:V=19.148587&amp;VAR:AUDIT_ID=00000117&amp;VAR:DATE=19970801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Aggregates&amp;VAR:MEASURE=PE_MEAN&amp;VAR:CALC_MODE=PORTFOLIO&amp;VAR:CHGPERIOD=NA&amp;VAR:FQLFORMULA=FMA_PE&amp;VAR:CURRENCY=USD&amp;VAR:P=9","47.140000&amp;VAR:THRESH=||||||&amp;VAR:null=.html"}</definedName>
    <definedName name="_69__FDSAUDITLINK__" hidden="1">{"fdsup://directions/FAT%20Viewer?VAR:TM=NTMA&amp;VAR:PCT=0.534247&amp;VAR:Y0=2009&amp;VAR:Y1=2010&amp;VAR:V0=15.484918&amp;VAR:V1=12.328210&amp;VAR:V=13.834975&amp;VAR:AUDIT_ID=00000117&amp;VAR:DATE=20090619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Aggregates&amp;VAR:MEASURE=PE_MEAN&amp;VAR:CALC_MODE=PORTFOLIO&amp;VAR:CHGPERIOD=NA&amp;VAR:FQLFORMULA=FMA_PE&amp;VAR:CURRENCY=USD&amp;VAR:P=9","21.226597&amp;VAR:THRESH=||||||&amp;VAR:null=.html"}</definedName>
    <definedName name="_690__FDSAUDITLINK__" hidden="1">{"fdsup://directions/FAT%20Viewer?VAR:TM=NTMA&amp;VAR:PCT=0.435616&amp;VAR:Y0=1997&amp;VAR:Y1=1998&amp;VAR:V0=20.643044&amp;VAR:V1=17.920395&amp;VAR:V=19.012759&amp;VAR:AUDIT_ID=00000117&amp;VAR:DATE=19970725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Aggregates&amp;VAR:MEASURE=PE_MEAN&amp;VAR:CALC_MODE=PORTFOLIO&amp;VAR:CHGPERIOD=NA&amp;VAR:FQLFORMULA=FMA_PE&amp;VAR:CURRENCY=USD&amp;VAR:P=9","38.790000&amp;VAR:THRESH=||||||&amp;VAR:null=.html"}</definedName>
    <definedName name="_691__FDSAUDITLINK__" hidden="1">{"fdsup://directions/FAT%20Viewer?VAR:TM=NTMA&amp;VAR:PCT=0.454795&amp;VAR:Y0=1997&amp;VAR:Y1=1998&amp;VAR:V0=20.142586&amp;VAR:V1=17.487091&amp;VAR:V=18.602453&amp;VAR:AUDIT_ID=00000117&amp;VAR:DATE=19970718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Aggregates&amp;VAR:MEASURE=PE_MEAN&amp;VAR:CALC_MODE=PORTFOLIO&amp;VAR:CHGPERIOD=NA&amp;VAR:FQLFORMULA=FMA_PE&amp;VAR:CURRENCY=USD&amp;VAR:P=9","15.300000&amp;VAR:THRESH=||||||&amp;VAR:null=.html"}</definedName>
    <definedName name="_692__FDSAUDITLINK__" hidden="1">{"fdsup://directions/FAT%20Viewer?VAR:TM=NTMA&amp;VAR:PCT=0.473973&amp;VAR:Y0=1997&amp;VAR:Y1=1998&amp;VAR:V0=20.125246&amp;VAR:V1=17.479400&amp;VAR:V=18.640969&amp;VAR:AUDIT_ID=00000117&amp;VAR:DATE=19970711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Aggregates&amp;VAR:MEASURE=PE_MEAN&amp;VAR:CALC_MODE=PORTFOLIO&amp;VAR:CHGPERIOD=NA&amp;VAR:FQLFORMULA=FMA_PE&amp;VAR:CURRENCY=USD&amp;VAR:P=9","16.680000&amp;VAR:THRESH=||||||&amp;VAR:null=.html"}</definedName>
    <definedName name="_693__FDSAUDITLINK__" hidden="1">{"fdsup://directions/FAT%20Viewer?VAR:TM=NTMA&amp;VAR:PCT=0.495890&amp;VAR:Y0=1997&amp;VAR:Y1=1998&amp;VAR:V0=20.084923&amp;VAR:V1=17.423010&amp;VAR:V=18.648631&amp;VAR:AUDIT_ID=00000117&amp;VAR:DATE=19970703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Aggregates&amp;VAR:MEASURE=PE_MEAN&amp;VAR:CALC_MODE=PORTFOLIO&amp;VAR:CHGPERIOD=NA&amp;VAR:FQLFORMULA=FMA_PE&amp;VAR:CURRENCY=USD&amp;VAR:P=9","16.920000&amp;VAR:THRESH=||||||&amp;VAR:null=.html"}</definedName>
    <definedName name="_694__FDSAUDITLINK__" hidden="1">{"fdsup://directions/FAT%20Viewer?VAR:TM=NTMA&amp;VAR:PCT=0.512329&amp;VAR:Y0=1997&amp;VAR:Y1=1998&amp;VAR:V0=19.451065&amp;VAR:V1=16.885218&amp;VAR:V=18.109080&amp;VAR:AUDIT_ID=00000117&amp;VAR:DATE=19970627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Aggregates&amp;VAR:MEASURE=PE_MEAN&amp;VAR:CALC_MODE=PORTFOLIO&amp;VAR:CHGPERIOD=NA&amp;VAR:FQLFORMULA=FMA_PE&amp;VAR:CURRENCY=USD&amp;VAR:P=8","87.300000&amp;VAR:THRESH=||||||&amp;VAR:null=.html"}</definedName>
    <definedName name="_695__FDSAUDITLINK__" hidden="1">{"fdsup://directions/FAT%20Viewer?VAR:TM=NTMA&amp;VAR:PCT=0.531507&amp;VAR:Y0=1997&amp;VAR:Y1=1998&amp;VAR:V0=19.668730&amp;VAR:V1=17.039423&amp;VAR:V=18.342701&amp;VAR:AUDIT_ID=00000117&amp;VAR:DATE=19970620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Aggregates&amp;VAR:MEASURE=PE_MEAN&amp;VAR:CALC_MODE=PORTFOLIO&amp;VAR:CHGPERIOD=NA&amp;VAR:FQLFORMULA=FMA_PE&amp;VAR:CURRENCY=USD&amp;VAR:P=8","98.700000&amp;VAR:THRESH=||||||&amp;VAR:null=.html"}</definedName>
    <definedName name="_696__FDSAUDITLINK__" hidden="1">{"fdsup://directions/FAT%20Viewer?VAR:TM=NTMA&amp;VAR:PCT=0.550685&amp;VAR:Y0=1997&amp;VAR:Y1=1998&amp;VAR:V0=19.516703&amp;VAR:V1=16.921413&amp;VAR:V=18.258460&amp;VAR:AUDIT_ID=00000117&amp;VAR:DATE=19970613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Aggregates&amp;VAR:MEASURE=PE_MEAN&amp;VAR:CALC_MODE=PORTFOLIO&amp;VAR:CHGPERIOD=NA&amp;VAR:FQLFORMULA=FMA_PE&amp;VAR:CURRENCY=USD&amp;VAR:P=8","93.270000&amp;VAR:THRESH=||||||&amp;VAR:null=.html"}</definedName>
    <definedName name="_697__FDSAUDITLINK__" hidden="1">{"fdsup://directions/FAT%20Viewer?VAR:TM=NTMA&amp;VAR:PCT=0.569863&amp;VAR:Y0=1997&amp;VAR:Y1=1998&amp;VAR:V0=18.769161&amp;VAR:V1=15.968356&amp;VAR:V=17.452463&amp;VAR:AUDIT_ID=00000117&amp;VAR:DATE=19970606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Aggregates&amp;VAR:MEASURE=PE_MEAN&amp;VAR:CALC_MODE=PORTFOLIO&amp;VAR:CHGPERIOD=NA&amp;VAR:FQLFORMULA=FMA_PE&amp;VAR:CURRENCY=USD&amp;VAR:P=8","58.010000&amp;VAR:THRESH=||||||&amp;VAR:null=.html"}</definedName>
    <definedName name="_698__FDSAUDITLINK__" hidden="1">{"fdsup://directions/FAT%20Viewer?VAR:TM=NTMA&amp;VAR:PCT=0.589041&amp;VAR:Y0=1997&amp;VAR:Y1=1998&amp;VAR:V0=18.537403&amp;VAR:V1=15.746010&amp;VAR:V=17.278601&amp;VAR:AUDIT_ID=00000117&amp;VAR:DATE=19970530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Aggregates&amp;VAR:MEASURE=PE_MEAN&amp;VAR:CALC_MODE=PORTFOLIO&amp;VAR:CHGPERIOD=NA&amp;VAR:FQLFORMULA=FMA_PE&amp;VAR:CURRENCY=USD&amp;VAR:P=8","48.280000&amp;VAR:THRESH=||||||&amp;VAR:null=.html"}</definedName>
    <definedName name="_699__FDSAUDITLINK__" hidden="1">{"fdsup://directions/FAT%20Viewer?VAR:TM=NTMA&amp;VAR:PCT=0.608219&amp;VAR:Y0=1997&amp;VAR:Y1=1998&amp;VAR:V0=18.451183&amp;VAR:V1=15.686417&amp;VAR:V=17.259384&amp;VAR:AUDIT_ID=00000117&amp;VAR:DATE=19970523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Aggregates&amp;VAR:MEASURE=PE_MEAN&amp;VAR:CALC_MODE=PORTFOLIO&amp;VAR:CHGPERIOD=NA&amp;VAR:FQLFORMULA=FMA_PE&amp;VAR:CURRENCY=USD&amp;VAR:P=8","47.030000&amp;VAR:THRESH=||||||&amp;VAR:null=.html"}</definedName>
    <definedName name="_7__FDSAUDITLINK__" hidden="1">{"fdsup://directions/FAT%20Viewer?VAR:TM=NTMA&amp;VAR:PCT=0.345205&amp;VAR:Y0=2010&amp;VAR:Y1=2011&amp;VAR:V0=12.722534&amp;VAR:V1=11.069604&amp;VAR:V=11.589383&amp;VAR:AUDIT_ID=00000117&amp;VAR:DATE=20100827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Aggregates&amp;VAR:MEASURE=PE_MEAN&amp;VAR:CALC_MODE=PORTFOLIO&amp;VAR:CHGPERIOD=NA&amp;VAR:FQLFORMULA=FMA_PE&amp;VAR:CURRENCY=USD&amp;VAR:P=1","064.590620&amp;VAR:THRESH=||||||&amp;VAR:null=.html"}</definedName>
    <definedName name="_70__FDSAUDITLINK__" hidden="1">{"fdsup://directions/FAT%20Viewer?VAR:TM=NTMA&amp;VAR:PCT=0.553425&amp;VAR:Y0=2009&amp;VAR:Y1=2010&amp;VAR:V0=15.930672&amp;VAR:V1=12.687410&amp;VAR:V=14.298404&amp;VAR:AUDIT_ID=00000117&amp;VAR:DATE=20090612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Aggregates&amp;VAR:MEASURE=PE_MEAN&amp;VAR:CALC_MODE=PORTFOLIO&amp;VAR:CHGPERIOD=NA&amp;VAR:FQLFORMULA=FMA_PE&amp;VAR:CURRENCY=USD&amp;VAR:P=9","46.207083&amp;VAR:THRESH=||||||&amp;VAR:null=.html"}</definedName>
    <definedName name="_700__FDSAUDITLINK__" hidden="1">{"fdsup://directions/FAT%20Viewer?VAR:TM=NTMA&amp;VAR:PCT=0.627397&amp;VAR:Y0=1997&amp;VAR:Y1=1998&amp;VAR:V0=18.091010&amp;VAR:V1=15.422887&amp;VAR:V=16.995491&amp;VAR:AUDIT_ID=00000117&amp;VAR:DATE=19970516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Aggregates&amp;VAR:MEASURE=PE_MEAN&amp;VAR:CALC_MODE=PORTFOLIO&amp;VAR:CHGPERIOD=NA&amp;VAR:FQLFORMULA=FMA_PE&amp;VAR:CURRENCY=USD&amp;VAR:P=8","29.750000&amp;VAR:THRESH=||||||&amp;VAR:null=.html"}</definedName>
    <definedName name="_701__FDSAUDITLINK__" hidden="1">{"fdsup://directions/FAT%20Viewer?VAR:TM=NTMA&amp;VAR:PCT=0.646575&amp;VAR:Y0=1997&amp;VAR:Y1=1998&amp;VAR:V0=17.984146&amp;VAR:V1=15.312455&amp;VAR:V=16.939569&amp;VAR:AUDIT_ID=00000117&amp;VAR:DATE=19970509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Aggregates&amp;VAR:MEASURE=PE_MEAN&amp;VAR:CALC_MODE=PORTFOLIO&amp;VAR:CHGPERIOD=NA&amp;VAR:FQLFORMULA=FMA_PE&amp;VAR:CURRENCY=USD&amp;VAR:P=8","24.780000&amp;VAR:THRESH=||||||&amp;VAR:null=.html"}</definedName>
    <definedName name="_702__FDSAUDITLINK__" hidden="1">{"fdsup://directions/FAT%20Viewer?VAR:TM=NTMA&amp;VAR:PCT=0.665753&amp;VAR:Y0=1997&amp;VAR:Y1=1998&amp;VAR:V0=17.724653&amp;VAR:V1=15.096492&amp;VAR:V=16.749984&amp;VAR:AUDIT_ID=00000117&amp;VAR:DATE=19970502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Aggregates&amp;VAR:MEASURE=PE_MEAN&amp;VAR:CALC_MODE=PORTFOLIO&amp;VAR:CHGPERIOD=NA&amp;VAR:FQLFORMULA=FMA_PE&amp;VAR:CURRENCY=USD&amp;VAR:P=8","12.970000&amp;VAR:THRESH=||||||&amp;VAR:null=.html"}</definedName>
    <definedName name="_703__FDSAUDITLINK__" hidden="1">{"fdsup://directions/FAT%20Viewer?VAR:TM=NTMA&amp;VAR:PCT=0.684932&amp;VAR:Y0=1997&amp;VAR:Y1=1998&amp;VAR:V0=16.645536&amp;VAR:V1=14.206331&amp;VAR:V=15.791279&amp;VAR:AUDIT_ID=00000117&amp;VAR:DATE=19970425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Aggregates&amp;VAR:MEASURE=PE_MEAN&amp;VAR:CALC_MODE=PORTFOLIO&amp;VAR:CHGPERIOD=NA&amp;VAR:FQLFORMULA=FMA_PE&amp;VAR:CURRENCY=USD&amp;VAR:P=7","65.370000&amp;VAR:THRESH=||||||&amp;VAR:null=.html"}</definedName>
    <definedName name="_704__FDSAUDITLINK__" hidden="1">{"fdsup://directions/FAT%20Viewer?VAR:TM=NTMA&amp;VAR:PCT=0.704110&amp;VAR:Y0=1997&amp;VAR:Y1=1998&amp;VAR:V0=16.616829&amp;VAR:V1=14.191408&amp;VAR:V=15.816966&amp;VAR:AUDIT_ID=00000117&amp;VAR:DATE=19970418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Aggregates&amp;VAR:MEASURE=PE_MEAN&amp;VAR:CALC_MODE=PORTFOLIO&amp;VAR:CHGPERIOD=NA&amp;VAR:FQLFORMULA=FMA_PE&amp;VAR:CURRENCY=USD&amp;VAR:P=7","66.340000&amp;VAR:THRESH=||||||&amp;VAR:null=.html"}</definedName>
    <definedName name="_705__FDSAUDITLINK__" hidden="1">{"fdsup://directions/FAT%20Viewer?VAR:TM=NTMA&amp;VAR:PCT=0.723288&amp;VAR:Y0=1997&amp;VAR:Y1=1998&amp;VAR:V0=16.024532&amp;VAR:V1=13.703996&amp;VAR:V=15.307287&amp;VAR:AUDIT_ID=00000117&amp;VAR:DATE=19970411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Aggregates&amp;VAR:MEASURE=PE_MEAN&amp;VAR:CALC_MODE=PORTFOLIO&amp;VAR:CHGPERIOD=NA&amp;VAR:FQLFORMULA=FMA_PE&amp;VAR:CURRENCY=USD&amp;VAR:P=7","37.650000&amp;VAR:THRESH=||||||&amp;VAR:null=.html"}</definedName>
    <definedName name="_706__FDSAUDITLINK__" hidden="1">{"fdsup://directions/FAT%20Viewer?VAR:TM=NTMA&amp;VAR:PCT=0.742466&amp;VAR:Y0=1997&amp;VAR:Y1=1998&amp;VAR:V0=16.487390&amp;VAR:V1=14.028739&amp;VAR:V=15.775369&amp;VAR:AUDIT_ID=00000117&amp;VAR:DATE=19970404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Aggregates&amp;VAR:MEASURE=PE_MEAN&amp;VAR:CALC_MODE=PORTFOLIO&amp;VAR:CHGPERIOD=NA&amp;VAR:FQLFORMULA=FMA_PE&amp;VAR:CURRENCY=USD&amp;VAR:P=7","57.900000&amp;VAR:THRESH=||||||&amp;VAR:null=.html"}</definedName>
    <definedName name="_707__FDSAUDITLINK__" hidden="1">{"fdsup://directions/FAT%20Viewer?VAR:TM=NTMA&amp;VAR:PCT=0.764384&amp;VAR:Y0=1997&amp;VAR:Y1=1998&amp;VAR:V0=16.813310&amp;VAR:V1=14.335907&amp;VAR:V=16.155504&amp;VAR:AUDIT_ID=00000117&amp;VAR:DATE=19970327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Aggregates&amp;VAR:MEASURE=PE_MEAN&amp;VAR:CALC_MODE=PORTFOLIO&amp;VAR:CHGPERIOD=NA&amp;VAR:FQLFORMULA=FMA_PE&amp;VAR:CURRENCY=USD&amp;VAR:P=7","73.880000&amp;VAR:THRESH=||||||&amp;VAR:null=.html"}</definedName>
    <definedName name="_708__FDSAUDITLINK__" hidden="1">{"fdsup://directions/FAT%20Viewer?VAR:TM=NTMA&amp;VAR:PCT=0.780822&amp;VAR:Y0=1997&amp;VAR:Y1=1998&amp;VAR:V0=17.049540&amp;VAR:V1=14.560233&amp;VAR:V=16.433735&amp;VAR:AUDIT_ID=00000117&amp;VAR:DATE=19970321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Aggregates&amp;VAR:MEASURE=PE_MEAN&amp;VAR:CALC_MODE=PORTFOLIO&amp;VAR:CHGPERIOD=NA&amp;VAR:FQLFORMULA=FMA_PE&amp;VAR:CURRENCY=USD&amp;VAR:P=7","84.100000&amp;VAR:THRESH=||||||&amp;VAR:null=.html"}</definedName>
    <definedName name="_709__FDSAUDITLINK__" hidden="1">{"fdsup://directions/FAT%20Viewer?VAR:TM=NTMA&amp;VAR:PCT=0.800000&amp;VAR:Y0=1997&amp;VAR:Y1=1998&amp;VAR:V0=17.202456&amp;VAR:V1=14.673924&amp;VAR:V=16.629359&amp;VAR:AUDIT_ID=00000117&amp;VAR:DATE=19970314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Aggregates&amp;VAR:MEASURE=PE_MEAN&amp;VAR:CALC_MODE=PORTFOLIO&amp;VAR:CHGPERIOD=NA&amp;VAR:FQLFORMULA=FMA_PE&amp;VAR:CURRENCY=USD&amp;VAR:P=7","93.170000&amp;VAR:THRESH=||||||&amp;VAR:null=.html"}</definedName>
    <definedName name="_71__FDSAUDITLINK__" hidden="1">{"fdsup://directions/FAT%20Viewer?VAR:TM=NTMA&amp;VAR:PCT=0.572603&amp;VAR:Y0=2009&amp;VAR:Y1=2010&amp;VAR:V0=15.839932&amp;VAR:V1=12.609508&amp;VAR:V=14.276708&amp;VAR:AUDIT_ID=00000117&amp;VAR:DATE=20090605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Aggregates&amp;VAR:MEASURE=PE_MEAN&amp;VAR:CALC_MODE=PORTFOLIO&amp;VAR:CHGPERIOD=NA&amp;VAR:FQLFORMULA=FMA_PE&amp;VAR:CURRENCY=USD&amp;VAR:P=9","40.088199&amp;VAR:THRESH=||||||&amp;VAR:null=.html"}</definedName>
    <definedName name="_710__FDSAUDITLINK__" hidden="1">{"fdsup://directions/FAT%20Viewer?VAR:TM=NTMA&amp;VAR:PCT=0.819178&amp;VAR:Y0=1997&amp;VAR:Y1=1998&amp;VAR:V0=17.414516&amp;VAR:V1=14.899911&amp;VAR:V=16.898820&amp;VAR:AUDIT_ID=00000117&amp;VAR:DATE=19970307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Aggregates&amp;VAR:MEASURE=PE_MEAN&amp;VAR:CALC_MODE=PORTFOLIO&amp;VAR:CHGPERIOD=NA&amp;VAR:FQLFORMULA=FMA_PE&amp;VAR:CURRENCY=USD&amp;VAR:P=8","04.970000&amp;VAR:THRESH=||||||&amp;VAR:null=.html"}</definedName>
    <definedName name="_711__FDSAUDITLINK__" hidden="1">{"fdsup://directions/FAT%20Viewer?VAR:TM=NTMA&amp;VAR:PCT=0.838356&amp;VAR:Y0=1997&amp;VAR:Y1=1998&amp;VAR:V0=17.076736&amp;VAR:V1=14.598245&amp;VAR:V=16.620602&amp;VAR:AUDIT_ID=00000117&amp;VAR:DATE=19970228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Aggregates&amp;VAR:MEASURE=PE_MEAN&amp;VAR:CALC_MODE=PORTFOLIO&amp;VAR:CHGPERIOD=NA&amp;VAR:FQLFORMULA=FMA_PE&amp;VAR:CURRENCY=USD&amp;VAR:P=7","90.820000&amp;VAR:THRESH=||||||&amp;VAR:null=.html"}</definedName>
    <definedName name="_712__FDSAUDITLINK__" hidden="1">{"fdsup://directions/FAT%20Viewer?VAR:TM=NTMA&amp;VAR:PCT=0.857534&amp;VAR:Y0=1997&amp;VAR:Y1=1998&amp;VAR:V0=17.298513&amp;VAR:V1=14.808544&amp;VAR:V=16.893825&amp;VAR:AUDIT_ID=00000117&amp;VAR:DATE=19970221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Aggregates&amp;VAR:MEASURE=PE_MEAN&amp;VAR:CALC_MODE=PORTFOLIO&amp;VAR:CHGPERIOD=NA&amp;VAR:FQLFORMULA=FMA_PE&amp;VAR:CURRENCY=USD&amp;VAR:P=8","01.770000&amp;VAR:THRESH=||||||&amp;VAR:null=.html"}</definedName>
    <definedName name="_713__FDSAUDITLINK__" hidden="1">{"fdsup://directions/FAT%20Viewer?VAR:TM=NTMA&amp;VAR:PCT=0.876712&amp;VAR:Y0=1997&amp;VAR:Y1=1998&amp;VAR:V0=17.440866&amp;VAR:V1=14.873468&amp;VAR:V=17.077434&amp;VAR:AUDIT_ID=00000117&amp;VAR:DATE=19970214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Aggregates&amp;VAR:MEASURE=PE_MEAN&amp;VAR:CALC_MODE=PORTFOLIO&amp;VAR:CHGPERIOD=NA&amp;VAR:FQLFORMULA=FMA_PE&amp;VAR:CURRENCY=USD&amp;VAR:P=8","08.480000&amp;VAR:THRESH=||||||&amp;VAR:null=.html"}</definedName>
    <definedName name="_714__FDSAUDITLINK__" hidden="1">{"fdsup://directions/FAT%20Viewer?VAR:TM=NTMA&amp;VAR:PCT=0.895890&amp;VAR:Y0=1997&amp;VAR:Y1=1998&amp;VAR:V0=17.018341&amp;VAR:V1=14.492742&amp;VAR:V=16.715082&amp;VAR:AUDIT_ID=00000117&amp;VAR:DATE=19970207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Aggregates&amp;VAR:MEASURE=PE_MEAN&amp;VAR:CALC_MODE=PORTFOLIO&amp;VAR:CHGPERIOD=NA&amp;VAR:FQLFORMULA=FMA_PE&amp;VAR:CURRENCY=USD&amp;VAR:P=7","89.560000&amp;VAR:THRESH=||||||&amp;VAR:null=.html"}</definedName>
    <definedName name="_715__FDSAUDITLINK__" hidden="1">{"fdsup://directions/FAT%20Viewer?VAR:TM=NTMA&amp;VAR:PCT=0.915068&amp;VAR:Y0=1997&amp;VAR:Y1=1998&amp;VAR:V0=16.966177&amp;VAR:V1=14.477413&amp;VAR:V=16.722030&amp;VAR:AUDIT_ID=00000117&amp;VAR:DATE=19970131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Aggregates&amp;VAR:MEASURE=PE_MEAN&amp;VAR:CALC_MODE=PORTFOLIO&amp;VAR:CHGPERIOD=NA&amp;VAR:FQLFORMULA=FMA_PE&amp;VAR:CURRENCY=USD&amp;VAR:P=7","86.160000&amp;VAR:THRESH=||||||&amp;VAR:null=.html"}</definedName>
    <definedName name="_716__FDSAUDITLINK__" hidden="1">{"fdsup://directions/FAT%20Viewer?VAR:TM=NTMA&amp;VAR:PCT=0.934247&amp;VAR:Y0=1997&amp;VAR:Y1=1998&amp;VAR:V0=16.625523&amp;VAR:V1=14.176065&amp;VAR:V=16.438755&amp;VAR:AUDIT_ID=00000117&amp;VAR:DATE=19970124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Aggregates&amp;VAR:MEASURE=PE_MEAN&amp;VAR:CALC_MODE=PORTFOLIO&amp;VAR:CHGPERIOD=NA&amp;VAR:FQLFORMULA=FMA_PE&amp;VAR:CURRENCY=USD&amp;VAR:P=7","70.520000&amp;VAR:THRESH=||||||&amp;VAR:null=.html"}</definedName>
    <definedName name="_717__FDSAUDITLINK__" hidden="1">{"fdsup://directions/FAT%20Viewer?VAR:TM=NTMA&amp;VAR:PCT=0.953425&amp;VAR:Y0=1997&amp;VAR:Y1=1998&amp;VAR:V0=16.820179&amp;VAR:V1=14.573170&amp;VAR:V=16.700248&amp;VAR:AUDIT_ID=00000117&amp;VAR:DATE=19970117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Aggregates&amp;VAR:MEASURE=PE_MEAN&amp;VAR:CALC_MODE=PORTFOLIO&amp;VAR:CHGPERIOD=NA&amp;VAR:FQLFORMULA=FMA_PE&amp;VAR:CURRENCY=USD&amp;VAR:P=7","76.170000&amp;VAR:THRESH=||||||&amp;VAR:null=.html"}</definedName>
    <definedName name="_718__FDSAUDITLINK__" hidden="1">{"fdsup://directions/FAT%20Viewer?VAR:TM=NTMA&amp;VAR:PCT=0.972603&amp;VAR:Y0=1997&amp;VAR:Y1=1998&amp;VAR:V0=16.464233&amp;VAR:V1=14.052964&amp;VAR:V=16.387198&amp;VAR:AUDIT_ID=00000117&amp;VAR:DATE=19970110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Aggregates&amp;VAR:MEASURE=PE_MEAN&amp;VAR:CALC_MODE=PORTFOLIO&amp;VAR:CHGPERIOD=NA&amp;VAR:FQLFORMULA=FMA_PE&amp;VAR:CURRENCY=USD&amp;VAR:P=7","59.500000&amp;VAR:THRESH=||||||&amp;VAR:null=.html"}</definedName>
    <definedName name="_719__FDSAUDITLINK__" hidden="1">{"fdsup://directions/FAT%20Viewer?VAR:TM=NTMA&amp;VAR:PCT=0.991781&amp;VAR:Y0=1997&amp;VAR:Y1=1998&amp;VAR:V0=16.192873&amp;VAR:V1=14.099956&amp;VAR:V=16.173142&amp;VAR:AUDIT_ID=00000117&amp;VAR:DATE=19970103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Aggregates&amp;VAR:MEASURE=PE_MEAN&amp;VAR:CALC_MODE=PORTFOLIO&amp;VAR:CHGPERIOD=NA&amp;VAR:FQLFORMULA=FMA_PE&amp;VAR:CURRENCY=USD&amp;VAR:P=7","48.030000&amp;VAR:THRESH=||||||&amp;VAR:null=.html"}</definedName>
    <definedName name="_72__FDSAUDITLINK__" hidden="1">{"fdsup://directions/FAT%20Viewer?VAR:TM=NTMA&amp;VAR:PCT=0.591781&amp;VAR:Y0=2009&amp;VAR:Y1=2010&amp;VAR:V0=15.979866&amp;VAR:V1=12.482467&amp;VAR:V=14.339732&amp;VAR:AUDIT_ID=00000117&amp;VAR:DATE=20090529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Aggregates&amp;VAR:MEASURE=PE_MEAN&amp;VAR:CALC_MODE=PORTFOLIO&amp;VAR:CHGPERIOD=NA&amp;VAR:FQLFORMULA=FMA_PE&amp;VAR:CURRENCY=USD&amp;VAR:P=9","19.139863&amp;VAR:THRESH=||||||&amp;VAR:null=.html"}</definedName>
    <definedName name="_720__FDSAUDITLINK__" hidden="1">{"fdsup://directions/FAT%20Viewer?VAR:TM=NTMA&amp;VAR:PCT=0.010929&amp;VAR:Y0=1996&amp;VAR:Y1=1997&amp;VAR:V0=18.690393&amp;VAR:V1=16.317154&amp;VAR:V=16.339829&amp;VAR:AUDIT_ID=00000117&amp;VAR:DATE=19961227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Aggregates&amp;VAR:MEASURE=PE_MEAN&amp;VAR:CALC_MODE=PORTFOLIO&amp;VAR:CHGPERIOD=NA&amp;VAR:FQLFORMULA=FMA_PE&amp;VAR:CURRENCY=USD&amp;VAR:P=7","56.790000&amp;VAR:THRESH=||||||&amp;VAR:null=.html"}</definedName>
    <definedName name="_721__FDSAUDITLINK__" hidden="1">{"fdsup://directions/FAT%20Viewer?VAR:TM=NTMA&amp;VAR:PCT=0.030055&amp;VAR:Y0=1996&amp;VAR:Y1=1997&amp;VAR:V0=18.533543&amp;VAR:V1=16.187084&amp;VAR:V=16.248913&amp;VAR:AUDIT_ID=00000117&amp;VAR:DATE=19961220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Aggregates&amp;VAR:MEASURE=PE_MEAN&amp;VAR:CALC_MODE=PORTFOLIO&amp;VAR:CHGPERIOD=NA&amp;VAR:FQLFORMULA=FMA_PE&amp;VAR:CURRENCY=USD&amp;VAR:P=7","48.870000&amp;VAR:THRESH=||||||&amp;VAR:null=.html"}</definedName>
    <definedName name="_722__FDSAUDITLINK__" hidden="1">{"fdsup://directions/FAT%20Viewer?VAR:TM=NTMA&amp;VAR:PCT=0.049180&amp;VAR:Y0=1996&amp;VAR:Y1=1997&amp;VAR:V0=17.984486&amp;VAR:V1=15.743558&amp;VAR:V=15.840630&amp;VAR:AUDIT_ID=00000117&amp;VAR:DATE=19961213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Aggregates&amp;VAR:MEASURE=PE_MEAN&amp;VAR:CALC_MODE=PORTFOLIO&amp;VAR:CHGPERIOD=NA&amp;VAR:FQLFORMULA=FMA_PE&amp;VAR:CURRENCY=USD&amp;VAR:P=7","28.640000&amp;VAR:THRESH=||||||&amp;VAR:null=.html"}</definedName>
    <definedName name="_723__FDSAUDITLINK__" hidden="1">{"fdsup://directions/FAT%20Viewer?VAR:TM=NTMA&amp;VAR:PCT=0.068306&amp;VAR:Y0=1996&amp;VAR:Y1=1997&amp;VAR:V0=18.264372&amp;VAR:V1=15.986680&amp;VAR:V=16.124028&amp;VAR:AUDIT_ID=00000117&amp;VAR:DATE=19961206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Aggregates&amp;VAR:MEASURE=PE_MEAN&amp;VAR:CALC_MODE=PORTFOLIO&amp;VAR:CHGPERIOD=NA&amp;VAR:FQLFORMULA=FMA_PE&amp;VAR:CURRENCY=USD&amp;VAR:P=7","39.600000&amp;VAR:THRESH=||||||&amp;VAR:null=.html"}</definedName>
    <definedName name="_724__FDSAUDITLINK__" hidden="1">{"fdsup://directions/FAT%20Viewer?VAR:TM=NTMA&amp;VAR:PCT=0.087432&amp;VAR:Y0=1996&amp;VAR:Y1=1997&amp;VAR:V0=18.746582&amp;VAR:V1=16.419083&amp;VAR:V=16.599271&amp;VAR:AUDIT_ID=00000117&amp;VAR:DATE=19961129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Aggregates&amp;VAR:MEASURE=PE_MEAN&amp;VAR:CALC_MODE=PORTFOLIO&amp;VAR:CHGPERIOD=NA&amp;VAR:FQLFORMULA=FMA_PE&amp;VAR:CURRENCY=USD&amp;VAR:P=7","57.020000&amp;VAR:THRESH=||||||&amp;VAR:null=.html"}</definedName>
    <definedName name="_725__FDSAUDITLINK__" hidden="1">{"fdsup://directions/FAT%20Viewer?VAR:TM=NTMA&amp;VAR:PCT=0.106557&amp;VAR:Y0=1996&amp;VAR:Y1=1997&amp;VAR:V0=18.512510&amp;VAR:V1=16.209160&amp;VAR:V=16.426949&amp;VAR:AUDIT_ID=00000117&amp;VAR:DATE=19961122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Aggregates&amp;VAR:MEASURE=PE_MEAN&amp;VAR:CALC_MODE=PORTFOLIO&amp;VAR:CHGPERIOD=NA&amp;VAR:FQLFORMULA=FMA_PE&amp;VAR:CURRENCY=USD&amp;VAR:P=7","48.730000&amp;VAR:THRESH=||||||&amp;VAR:null=.html"}</definedName>
    <definedName name="_726__FDSAUDITLINK__" hidden="1">{"fdsup://directions/FAT%20Viewer?VAR:TM=NTMA&amp;VAR:PCT=0.125683&amp;VAR:Y0=1996&amp;VAR:Y1=1997&amp;VAR:V0=18.201450&amp;VAR:V1=15.982831&amp;VAR:V=16.231494&amp;VAR:AUDIT_ID=00000117&amp;VAR:DATE=19961115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Aggregates&amp;VAR:MEASURE=PE_MEAN&amp;VAR:CALC_MODE=PORTFOLIO&amp;VAR:CHGPERIOD=NA&amp;VAR:FQLFORMULA=FMA_PE&amp;VAR:CURRENCY=USD&amp;VAR:P=7","37.620000&amp;VAR:THRESH=||||||&amp;VAR:null=.html"}</definedName>
    <definedName name="_727__FDSAUDITLINK__" hidden="1">{"fdsup://directions/FAT%20Viewer?VAR:TM=NTMA&amp;VAR:PCT=0.144809&amp;VAR:Y0=1996&amp;VAR:Y1=1997&amp;VAR:V0=18.046917&amp;VAR:V1=15.863919&amp;VAR:V=16.146752&amp;VAR:AUDIT_ID=00000117&amp;VAR:DATE=19961108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Aggregates&amp;VAR:MEASURE=PE_MEAN&amp;VAR:CALC_MODE=PORTFOLIO&amp;VAR:CHGPERIOD=NA&amp;VAR:FQLFORMULA=FMA_PE&amp;VAR:CURRENCY=USD&amp;VAR:P=7","30.820000&amp;VAR:THRESH=||||||&amp;VAR:null=.html"}</definedName>
    <definedName name="_728__FDSAUDITLINK__" hidden="1">{"fdsup://directions/FAT%20Viewer?VAR:TM=NTMA&amp;VAR:PCT=0.163934&amp;VAR:Y0=1996&amp;VAR:Y1=1997&amp;VAR:V0=17.367628&amp;VAR:V1=15.272341&amp;VAR:V=15.580485&amp;VAR:AUDIT_ID=00000117&amp;VAR:DATE=19961101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Aggregates&amp;VAR:MEASURE=PE_MEAN&amp;VAR:CALC_MODE=PORTFOLIO&amp;VAR:CHGPERIOD=NA&amp;VAR:FQLFORMULA=FMA_PE&amp;VAR:CURRENCY=USD&amp;VAR:P=7","03.770000&amp;VAR:THRESH=||||||&amp;VAR:null=.html"}</definedName>
    <definedName name="_729__FDSAUDITLINK__" hidden="1">{"fdsup://directions/FAT%20Viewer?VAR:TM=NTMA&amp;VAR:PCT=0.183060&amp;VAR:Y0=1996&amp;VAR:Y1=1997&amp;VAR:V0=17.276660&amp;VAR:V1=15.185528&amp;VAR:V=15.529621&amp;VAR:AUDIT_ID=00000117&amp;VAR:DATE=19961025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Aggregates&amp;VAR:MEASURE=PE_MEAN&amp;VAR:CALC_MODE=PORTFOLIO&amp;VAR:CHGPERIOD=NA&amp;VAR:FQLFORMULA=FMA_PE&amp;VAR:CURRENCY=USD&amp;VAR:P=7","00.920000&amp;VAR:THRESH=||||||&amp;VAR:null=.html"}</definedName>
    <definedName name="_73__FDSAUDITLINK__" hidden="1">{"fdsup://directions/FAT%20Viewer?VAR:TM=NTMA&amp;VAR:PCT=0.610959&amp;VAR:Y0=2009&amp;VAR:Y1=2010&amp;VAR:V0=15.477050&amp;VAR:V1=12.080042&amp;VAR:V=13.950809&amp;VAR:AUDIT_ID=00000117&amp;VAR:DATE=20090522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Aggregates&amp;VAR:MEASURE=PE_MEAN&amp;VAR:CALC_MODE=PORTFOLIO&amp;VAR:CHGPERIOD=NA&amp;VAR:FQLFORMULA=FMA_PE&amp;VAR:CURRENCY=USD&amp;VAR:P=8","87.001450&amp;VAR:THRESH=||||||&amp;VAR:null=.html"}</definedName>
    <definedName name="_730__FDSAUDITLINK__" hidden="1">{"fdsup://directions/FAT%20Viewer?VAR:TM=NTMA&amp;VAR:PCT=0.202186&amp;VAR:Y0=1996&amp;VAR:Y1=1997&amp;VAR:V0=17.493124&amp;VAR:V1=15.400206&amp;VAR:V=15.781972&amp;VAR:AUDIT_ID=00000117&amp;VAR:DATE=19961018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Aggregates&amp;VAR:MEASURE=PE_MEAN&amp;VAR:CALC_MODE=PORTFOLIO&amp;VAR:CHGPERIOD=NA&amp;VAR:FQLFORMULA=FMA_PE&amp;VAR:CURRENCY=USD&amp;VAR:P=7","10.820000&amp;VAR:THRESH=||||||&amp;VAR:null=.html"}</definedName>
    <definedName name="_731__FDSAUDITLINK__" hidden="1">{"fdsup://directions/FAT%20Viewer?VAR:TM=NTMA&amp;VAR:PCT=0.221311&amp;VAR:Y0=1996&amp;VAR:Y1=1997&amp;VAR:V0=17.224405&amp;VAR:V1=15.160292&amp;VAR:V=15.573315&amp;VAR:AUDIT_ID=00000117&amp;VAR:DATE=19961011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Aggregates&amp;VAR:MEASURE=PE_MEAN&amp;VAR:CALC_MODE=PORTFOLIO&amp;VAR:CHGPERIOD=NA&amp;VAR:FQLFORMULA=FMA_PE&amp;VAR:CURRENCY=USD&amp;VAR:P=7","00.660000&amp;VAR:THRESH=||||||&amp;VAR:null=.html"}</definedName>
    <definedName name="_732__FDSAUDITLINK__" hidden="1">{"fdsup://directions/FAT%20Viewer?VAR:TM=NTMA&amp;VAR:PCT=0.240437&amp;VAR:Y0=1996&amp;VAR:Y1=1997&amp;VAR:V0=17.202055&amp;VAR:V1=15.110502&amp;VAR:V=15.565547&amp;VAR:AUDIT_ID=00000117&amp;VAR:DATE=19961004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Aggregates&amp;VAR:MEASURE=PE_MEAN&amp;VAR:CALC_MODE=PORTFOLIO&amp;VAR:CHGPERIOD=NA&amp;VAR:FQLFORMULA=FMA_PE&amp;VAR:CURRENCY=USD&amp;VAR:P=7","01.460000&amp;VAR:THRESH=||||||&amp;VAR:null=.html"}</definedName>
    <definedName name="_733__FDSAUDITLINK__" hidden="1">{"fdsup://directions/FAT%20Viewer?VAR:TM=NTMA&amp;VAR:PCT=0.259563&amp;VAR:Y0=1996&amp;VAR:Y1=1997&amp;VAR:V0=16.825851&amp;VAR:V1=14.569608&amp;VAR:V=15.095001&amp;VAR:AUDIT_ID=00000117&amp;VAR:DATE=19960927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Aggregates&amp;VAR:MEASURE=PE_MEAN&amp;VAR:CALC_MODE=PORTFOLIO&amp;VAR:CHGPERIOD=NA&amp;VAR:FQLFORMULA=FMA_PE&amp;VAR:CURRENCY=USD&amp;VAR:P=6","86.190000&amp;VAR:THRESH=||||||&amp;VAR:null=.html"}</definedName>
    <definedName name="_734__FDSAUDITLINK__" hidden="1">{"fdsup://directions/FAT%20Viewer?VAR:TM=NTMA&amp;VAR:PCT=0.278689&amp;VAR:Y0=1996&amp;VAR:Y1=1997&amp;VAR:V0=16.833162&amp;VAR:V1=14.589756&amp;VAR:V=15.152547&amp;VAR:AUDIT_ID=00000117&amp;VAR:DATE=19960920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Aggregates&amp;VAR:MEASURE=PE_MEAN&amp;VAR:CALC_MODE=PORTFOLIO&amp;VAR:CHGPERIOD=NA&amp;VAR:FQLFORMULA=FMA_PE&amp;VAR:CURRENCY=USD&amp;VAR:P=6","87.030000&amp;VAR:THRESH=||||||&amp;VAR:null=.html"}</definedName>
    <definedName name="_735__FDSAUDITLINK__" hidden="1">{"fdsup://directions/FAT%20Viewer?VAR:TM=NTMA&amp;VAR:PCT=0.297814&amp;VAR:Y0=1996&amp;VAR:Y1=1997&amp;VAR:V0=16.675467&amp;VAR:V1=14.500977&amp;VAR:V=15.086878&amp;VAR:AUDIT_ID=00000117&amp;VAR:DATE=19960913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Aggregates&amp;VAR:MEASURE=PE_MEAN&amp;VAR:CALC_MODE=PORTFOLIO&amp;VAR:CHGPERIOD=NA&amp;VAR:FQLFORMULA=FMA_PE&amp;VAR:CURRENCY=USD&amp;VAR:P=6","80.540000&amp;VAR:THRESH=||||||&amp;VAR:null=.html"}</definedName>
    <definedName name="_736__FDSAUDITLINK__" hidden="1">{"fdsup://directions/FAT%20Viewer?VAR:TM=NTMA&amp;VAR:PCT=0.316940&amp;VAR:Y0=1996&amp;VAR:Y1=1997&amp;VAR:V0=16.019358&amp;VAR:V1=13.857076&amp;VAR:V=14.476380&amp;VAR:AUDIT_ID=00000117&amp;VAR:DATE=19960906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Aggregates&amp;VAR:MEASURE=PE_MEAN&amp;VAR:CALC_MODE=PORTFOLIO&amp;VAR:CHGPERIOD=NA&amp;VAR:FQLFORMULA=FMA_PE&amp;VAR:CURRENCY=USD&amp;VAR:P=6","55.680000&amp;VAR:THRESH=||||||&amp;VAR:null=.html"}</definedName>
    <definedName name="_737__FDSAUDITLINK__" hidden="1">{"fdsup://directions/FAT%20Viewer?VAR:TM=NTMA&amp;VAR:PCT=0.336066&amp;VAR:Y0=1996&amp;VAR:Y1=1997&amp;VAR:V0=15.868505&amp;VAR:V1=13.751290&amp;VAR:V=14.396825&amp;VAR:AUDIT_ID=00000117&amp;VAR:DATE=19960830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Aggregates&amp;VAR:MEASURE=PE_MEAN&amp;VAR:CALC_MODE=PORTFOLIO&amp;VAR:CHGPERIOD=NA&amp;VAR:FQLFORMULA=FMA_PE&amp;VAR:CURRENCY=USD&amp;VAR:P=6","51.990000&amp;VAR:THRESH=||||||&amp;VAR:null=.html"}</definedName>
    <definedName name="_738__FDSAUDITLINK__" hidden="1">{"fdsup://directions/FAT%20Viewer?VAR:TM=NTMA&amp;VAR:PCT=0.355191&amp;VAR:Y0=1996&amp;VAR:Y1=1997&amp;VAR:V0=16.222950&amp;VAR:V1=14.037538&amp;VAR:V=14.742962&amp;VAR:AUDIT_ID=00000117&amp;VAR:DATE=19960823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Aggregates&amp;VAR:MEASURE=PE_MEAN&amp;VAR:CALC_MODE=PORTFOLIO&amp;VAR:CHGPERIOD=NA&amp;VAR:FQLFORMULA=FMA_PE&amp;VAR:CURRENCY=USD&amp;VAR:P=6","67.030000&amp;VAR:THRESH=||||||&amp;VAR:null=.html"}</definedName>
    <definedName name="_739__FDSAUDITLINK__" hidden="1">{"fdsup://directions/FAT%20Viewer?VAR:TM=NTMA&amp;VAR:PCT=0.374317&amp;VAR:Y0=1996&amp;VAR:Y1=1997&amp;VAR:V0=16.128729&amp;VAR:V1=13.965504&amp;VAR:V=14.703693&amp;VAR:AUDIT_ID=00000117&amp;VAR:DATE=19960816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Aggregates&amp;VAR:MEASURE=PE_MEAN&amp;VAR:CALC_MODE=PORTFOLIO&amp;VAR:CHGPERIOD=NA&amp;VAR:FQLFORMULA=FMA_PE&amp;VAR:CURRENCY=USD&amp;VAR:P=6","65.210000&amp;VAR:THRESH=||||||&amp;VAR:null=.html"}</definedName>
    <definedName name="_74__FDSAUDITLINK__" hidden="1">{"fdsup://directions/FAT%20Viewer?VAR:TM=NTMA&amp;VAR:PCT=0.630137&amp;VAR:Y0=2009&amp;VAR:Y1=2010&amp;VAR:V0=15.352791&amp;VAR:V1=12.023758&amp;VAR:V=13.926641&amp;VAR:AUDIT_ID=00000117&amp;VAR:DATE=20090515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Aggregates&amp;VAR:MEASURE=PE_MEAN&amp;VAR:CALC_MODE=PORTFOLIO&amp;VAR:CHGPERIOD=NA&amp;VAR:FQLFORMULA=FMA_PE&amp;VAR:CURRENCY=USD&amp;VAR:P=8","82.875286&amp;VAR:THRESH=||||||&amp;VAR:null=.html"}</definedName>
    <definedName name="_740__FDSAUDITLINK__" hidden="1">{"fdsup://directions/FAT%20Viewer?VAR:TM=NTMA&amp;VAR:PCT=0.393443&amp;VAR:Y0=1996&amp;VAR:Y1=1997&amp;VAR:V0=15.986540&amp;VAR:V1=13.742837&amp;VAR:V=14.546063&amp;VAR:AUDIT_ID=00000117&amp;VAR:DATE=19960809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Aggregates&amp;VAR:MEASURE=PE_MEAN&amp;VAR:CALC_MODE=PORTFOLIO&amp;VAR:CHGPERIOD=NA&amp;VAR:FQLFORMULA=FMA_PE&amp;VAR:CURRENCY=USD&amp;VAR:P=6","62.100000&amp;VAR:THRESH=||||||&amp;VAR:null=.html"}</definedName>
    <definedName name="_741__FDSAUDITLINK__" hidden="1">{"fdsup://directions/FAT%20Viewer?VAR:TM=NTMA&amp;VAR:PCT=0.412568&amp;VAR:Y0=1996&amp;VAR:Y1=1997&amp;VAR:V0=15.988765&amp;VAR:V1=13.723249&amp;VAR:V=14.575300&amp;VAR:AUDIT_ID=00000117&amp;VAR:DATE=19960802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Aggregates&amp;VAR:MEASURE=PE_MEAN&amp;VAR:CALC_MODE=PORTFOLIO&amp;VAR:CHGPERIOD=NA&amp;VAR:FQLFORMULA=FMA_PE&amp;VAR:CURRENCY=USD&amp;VAR:P=6","62.490000&amp;VAR:THRESH=||||||&amp;VAR:null=.html"}</definedName>
    <definedName name="_742__FDSAUDITLINK__" hidden="1">{"fdsup://directions/FAT%20Viewer?VAR:TM=NTMA&amp;VAR:PCT=0.431694&amp;VAR:Y0=1996&amp;VAR:Y1=1997&amp;VAR:V0=15.339868&amp;VAR:V1=13.180616&amp;VAR:V=14.033361&amp;VAR:AUDIT_ID=00000117&amp;VAR:DATE=19960726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Aggregates&amp;VAR:MEASURE=PE_MEAN&amp;VAR:CALC_MODE=PORTFOLIO&amp;VAR:CHGPERIOD=NA&amp;VAR:FQLFORMULA=FMA_PE&amp;VAR:CURRENCY=USD&amp;VAR:P=6","35.900000&amp;VAR:THRESH=||||||&amp;VAR:null=.html"}</definedName>
    <definedName name="_743__FDSAUDITLINK__" hidden="1">{"fdsup://directions/FAT%20Viewer?VAR:TM=NTMA&amp;VAR:PCT=0.450820&amp;VAR:Y0=1996&amp;VAR:Y1=1997&amp;VAR:V0=15.482916&amp;VAR:V1=13.345491&amp;VAR:V=14.231181&amp;VAR:AUDIT_ID=00000117&amp;VAR:DATE=19960719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Aggregates&amp;VAR:MEASURE=PE_MEAN&amp;VAR:CALC_MODE=PORTFOLIO&amp;VAR:CHGPERIOD=NA&amp;VAR:FQLFORMULA=FMA_PE&amp;VAR:CURRENCY=USD&amp;VAR:P=6","38.730000&amp;VAR:THRESH=||||||&amp;VAR:null=.html"}</definedName>
    <definedName name="_744__FDSAUDITLINK__" hidden="1">{"fdsup://directions/FAT%20Viewer?VAR:TM=NTMA&amp;VAR:PCT=0.469945&amp;VAR:Y0=1996&amp;VAR:Y1=1997&amp;VAR:V0=15.626603&amp;VAR:V1=13.457999&amp;VAR:V=14.396928&amp;VAR:AUDIT_ID=00000117&amp;VAR:DATE=19960712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Aggregates&amp;VAR:MEASURE=PE_MEAN&amp;VAR:CALC_MODE=PORTFOLIO&amp;VAR:CHGPERIOD=NA&amp;VAR:FQLFORMULA=FMA_PE&amp;VAR:CURRENCY=USD&amp;VAR:P=6","46.190000&amp;VAR:THRESH=||||||&amp;VAR:null=.html"}</definedName>
    <definedName name="_745__FDSAUDITLINK__" hidden="1">{"fdsup://directions/FAT%20Viewer?VAR:TM=NTMA&amp;VAR:PCT=0.489071&amp;VAR:Y0=1996&amp;VAR:Y1=1997&amp;VAR:V0=15.899238&amp;VAR:V1=13.627922&amp;VAR:V=14.651587&amp;VAR:AUDIT_ID=00000117&amp;VAR:DATE=19960705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Aggregates&amp;VAR:MEASURE=PE_MEAN&amp;VAR:CALC_MODE=PORTFOLIO&amp;VAR:CHGPERIOD=NA&amp;VAR:FQLFORMULA=FMA_PE&amp;VAR:CURRENCY=USD&amp;VAR:P=6","57.440000&amp;VAR:THRESH=||||||&amp;VAR:null=.html"}</definedName>
    <definedName name="_746__FDSAUDITLINK__" hidden="1">{"fdsup://directions/FAT%20Viewer?VAR:TM=NTMA&amp;VAR:PCT=0.508197&amp;VAR:Y0=1996&amp;VAR:Y1=1997&amp;VAR:V0=16.196163&amp;VAR:V1=13.877958&amp;VAR:V=14.966626&amp;VAR:AUDIT_ID=00000117&amp;VAR:DATE=19960628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Aggregates&amp;VAR:MEASURE=PE_MEAN&amp;VAR:CALC_MODE=PORTFOLIO&amp;VAR:CHGPERIOD=NA&amp;VAR:FQLFORMULA=FMA_PE&amp;VAR:CURRENCY=USD&amp;VAR:P=6","70.630000&amp;VAR:THRESH=||||||&amp;VAR:null=.html"}</definedName>
    <definedName name="_747__FDSAUDITLINK__" hidden="1">{"fdsup://directions/FAT%20Viewer?VAR:TM=NTMA&amp;VAR:PCT=0.527322&amp;VAR:Y0=1996&amp;VAR:Y1=1997&amp;VAR:V0=16.093450&amp;VAR:V1=13.747923&amp;VAR:V=14.892472&amp;VAR:AUDIT_ID=00000117&amp;VAR:DATE=19960621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Aggregates&amp;VAR:MEASURE=PE_MEAN&amp;VAR:CALC_MODE=PORTFOLIO&amp;VAR:CHGPERIOD=NA&amp;VAR:FQLFORMULA=FMA_PE&amp;VAR:CURRENCY=USD&amp;VAR:P=6","66.840000&amp;VAR:THRESH=||||||&amp;VAR:null=.html"}</definedName>
    <definedName name="_748__FDSAUDITLINK__" hidden="1">{"fdsup://directions/FAT%20Viewer?VAR:TM=NTMA&amp;VAR:PCT=0.546448&amp;VAR:Y0=1996&amp;VAR:Y1=1997&amp;VAR:V0=16.035849&amp;VAR:V1=13.705853&amp;VAR:V=14.887932&amp;VAR:AUDIT_ID=00000117&amp;VAR:DATE=19960614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Aggregates&amp;VAR:MEASURE=PE_MEAN&amp;VAR:CALC_MODE=PORTFOLIO&amp;VAR:CHGPERIOD=NA&amp;VAR:FQLFORMULA=FMA_PE&amp;VAR:CURRENCY=USD&amp;VAR:P=6","65.850000&amp;VAR:THRESH=||||||&amp;VAR:null=.html"}</definedName>
    <definedName name="_749__FDSAUDITLINK__" hidden="1">{"fdsup://directions/FAT%20Viewer?VAR:TM=NTMA&amp;VAR:PCT=0.565574&amp;VAR:Y0=1996&amp;VAR:Y1=1997&amp;VAR:V0=16.181032&amp;VAR:V1=13.821888&amp;VAR:V=15.064053&amp;VAR:AUDIT_ID=00000117&amp;VAR:DATE=19960607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Aggregates&amp;VAR:MEASURE=PE_MEAN&amp;VAR:CALC_MODE=PORTFOLIO&amp;VAR:CHGPERIOD=NA&amp;VAR:FQLFORMULA=FMA_PE&amp;VAR:CURRENCY=USD&amp;VAR:P=6","73.310000&amp;VAR:THRESH=||||||&amp;VAR:null=.html"}</definedName>
    <definedName name="_75__FDSAUDITLINK__" hidden="1">{"fdsup://directions/FAT%20Viewer?VAR:TM=NTMA&amp;VAR:PCT=0.649315&amp;VAR:Y0=2009&amp;VAR:Y1=2010&amp;VAR:V0=16.097534&amp;VAR:V1=12.627748&amp;VAR:V=14.682717&amp;VAR:AUDIT_ID=00000117&amp;VAR:DATE=20090508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Aggregates&amp;VAR:MEASURE=PE_MEAN&amp;VAR:CALC_MODE=PORTFOLIO&amp;VAR:CHGPERIOD=NA&amp;VAR:FQLFORMULA=FMA_PE&amp;VAR:CURRENCY=USD&amp;VAR:P=9","29.231057&amp;VAR:THRESH=||||||&amp;VAR:null=.html"}</definedName>
    <definedName name="_750__FDSAUDITLINK__" hidden="1">{"fdsup://directions/FAT%20Viewer?VAR:TM=NTMA&amp;VAR:PCT=0.584699&amp;VAR:Y0=1996&amp;VAR:Y1=1997&amp;VAR:V0=16.040970&amp;VAR:V1=13.707253&amp;VAR:V=14.981667&amp;VAR:AUDIT_ID=00000117&amp;VAR:DATE=19960531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Aggregates&amp;VAR:MEASURE=PE_MEAN&amp;VAR:CALC_MODE=PORTFOLIO&amp;VAR:CHGPERIOD=NA&amp;VAR:FQLFORMULA=FMA_PE&amp;VAR:CURRENCY=USD&amp;VAR:P=6","69.120000&amp;VAR:THRESH=||||||&amp;VAR:null=.html"}</definedName>
    <definedName name="_751__FDSAUDITLINK__" hidden="1">{"fdsup://directions/FAT%20Viewer?VAR:TM=NTMA&amp;VAR:PCT=0.603825&amp;VAR:Y0=1996&amp;VAR:Y1=1997&amp;VAR:V0=16.287312&amp;VAR:V1=13.928443&amp;VAR:V=15.263230&amp;VAR:AUDIT_ID=00000117&amp;VAR:DATE=19960524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Aggregates&amp;VAR:MEASURE=PE_MEAN&amp;VAR:CALC_MODE=PORTFOLIO&amp;VAR:CHGPERIOD=NA&amp;VAR:FQLFORMULA=FMA_PE&amp;VAR:CURRENCY=USD&amp;VAR:P=6","78.510000&amp;VAR:THRESH=||||||&amp;VAR:null=.html"}</definedName>
    <definedName name="_752__FDSAUDITLINK__" hidden="1">{"fdsup://directions/FAT%20Viewer?VAR:TM=NTMA&amp;VAR:PCT=0.622951&amp;VAR:Y0=1996&amp;VAR:Y1=1997&amp;VAR:V0=16.048475&amp;VAR:V1=13.718746&amp;VAR:V=15.082716&amp;VAR:AUDIT_ID=00000117&amp;VAR:DATE=19960517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Aggregates&amp;VAR:MEASURE=PE_MEAN&amp;VAR:CALC_MODE=PORTFOLIO&amp;VAR:CHGPERIOD=NA&amp;VAR:FQLFORMULA=FMA_PE&amp;VAR:CURRENCY=USD&amp;VAR:P=6","68.910000&amp;VAR:THRESH=||||||&amp;VAR:null=.html"}</definedName>
    <definedName name="_753__FDSAUDITLINK__" hidden="1">{"fdsup://directions/FAT%20Viewer?VAR:TM=NTMA&amp;VAR:PCT=0.642077&amp;VAR:Y0=1996&amp;VAR:Y1=1997&amp;VAR:V0=15.622443&amp;VAR:V1=13.351965&amp;VAR:V=14.726147&amp;VAR:AUDIT_ID=00000117&amp;VAR:DATE=19960510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Aggregates&amp;VAR:MEASURE=PE_MEAN&amp;VAR:CALC_MODE=PORTFOLIO&amp;VAR:CHGPERIOD=NA&amp;VAR:FQLFORMULA=FMA_PE&amp;VAR:CURRENCY=USD&amp;VAR:P=6","52.090000&amp;VAR:THRESH=||||||&amp;VAR:null=.html"}</definedName>
    <definedName name="_754__FDSAUDITLINK__" hidden="1">{"fdsup://directions/FAT%20Viewer?VAR:TM=NTMA&amp;VAR:PCT=0.661202&amp;VAR:Y0=1996&amp;VAR:Y1=1997&amp;VAR:V0=15.364145&amp;VAR:V1=13.169725&amp;VAR:V=14.543147&amp;VAR:AUDIT_ID=00000117&amp;VAR:DATE=19960503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Aggregates&amp;VAR:MEASURE=PE_MEAN&amp;VAR:CALC_MODE=PORTFOLIO&amp;VAR:CHGPERIOD=NA&amp;VAR:FQLFORMULA=FMA_PE&amp;VAR:CURRENCY=USD&amp;VAR:P=6","41.630000&amp;VAR:THRESH=||||||&amp;VAR:null=.html"}</definedName>
    <definedName name="_755__FDSAUDITLINK__" hidden="1">{"fdsup://directions/FAT%20Viewer?VAR:TM=NTMA&amp;VAR:PCT=0.680328&amp;VAR:Y0=1996&amp;VAR:Y1=1997&amp;VAR:V0=15.671145&amp;VAR:V1=13.380736&amp;VAR:V=14.858124&amp;VAR:AUDIT_ID=00000117&amp;VAR:DATE=19960426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Aggregates&amp;VAR:MEASURE=PE_MEAN&amp;VAR:CALC_MODE=PORTFOLIO&amp;VAR:CHGPERIOD=NA&amp;VAR:FQLFORMULA=FMA_PE&amp;VAR:CURRENCY=USD&amp;VAR:P=6","53.460000&amp;VAR:THRESH=||||||&amp;VAR:null=.html"}</definedName>
    <definedName name="_756__FDSAUDITLINK__" hidden="1">{"fdsup://directions/FAT%20Viewer?VAR:TM=NTMA&amp;VAR:PCT=0.699454&amp;VAR:Y0=1996&amp;VAR:Y1=1997&amp;VAR:V0=15.500672&amp;VAR:V1=13.274066&amp;VAR:V=14.756727&amp;VAR:AUDIT_ID=00000117&amp;VAR:DATE=19960419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Aggregates&amp;VAR:MEASURE=PE_MEAN&amp;VAR:CALC_MODE=PORTFOLIO&amp;VAR:CHGPERIOD=NA&amp;VAR:FQLFORMULA=FMA_PE&amp;VAR:CURRENCY=USD&amp;VAR:P=6","45.070000&amp;VAR:THRESH=||||||&amp;VAR:null=.html"}</definedName>
    <definedName name="_757__FDSAUDITLINK__" hidden="1">{"fdsup://directions/FAT%20Viewer?VAR:TM=NTMA&amp;VAR:PCT=0.718579&amp;VAR:Y0=1996&amp;VAR:Y1=1997&amp;VAR:V0=15.279149&amp;VAR:V1=13.153998&amp;VAR:V=14.614676&amp;VAR:AUDIT_ID=00000117&amp;VAR:DATE=19960412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Aggregates&amp;VAR:MEASURE=PE_MEAN&amp;VAR:CALC_MODE=PORTFOLIO&amp;VAR:CHGPERIOD=NA&amp;VAR:FQLFORMULA=FMA_PE&amp;VAR:CURRENCY=USD&amp;VAR:P=6","36.710000&amp;VAR:THRESH=||||||&amp;VAR:null=.html"}</definedName>
    <definedName name="_758__FDSAUDITLINK__" hidden="1">{"fdsup://directions/FAT%20Viewer?VAR:TM=NTMA&amp;VAR:PCT=0.740437&amp;VAR:Y0=1996&amp;VAR:Y1=1997&amp;VAR:V0=15.753525&amp;VAR:V1=13.560270&amp;VAR:V=15.118807&amp;VAR:AUDIT_ID=00000117&amp;VAR:DATE=19960404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Aggregates&amp;VAR:MEASURE=PE_MEAN&amp;VAR:CALC_MODE=PORTFOLIO&amp;VAR:CHGPERIOD=NA&amp;VAR:FQLFORMULA=FMA_PE&amp;VAR:CURRENCY=USD&amp;VAR:P=6","55.860000&amp;VAR:THRESH=||||||&amp;VAR:null=.html"}</definedName>
    <definedName name="_759__FDSAUDITLINK__" hidden="1">{"fdsup://directions/FAT%20Viewer?VAR:TM=NTMA&amp;VAR:PCT=0.756831&amp;VAR:Y0=1996&amp;VAR:Y1=1997&amp;VAR:V0=15.518269&amp;VAR:V1=13.329700&amp;VAR:V=14.922483&amp;VAR:AUDIT_ID=00000117&amp;VAR:DATE=19960329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Aggregates&amp;VAR:MEASURE=PE_MEAN&amp;VAR:CALC_MODE=PORTFOLIO&amp;VAR:CHGPERIOD=NA&amp;VAR:FQLFORMULA=FMA_PE&amp;VAR:CURRENCY=USD&amp;VAR:P=6","45.500000&amp;VAR:THRESH=||||||&amp;VAR:null=.html"}</definedName>
    <definedName name="_76__FDSAUDITLINK__" hidden="1">{"fdsup://directions/FAT%20Viewer?VAR:TM=NTMA&amp;VAR:PCT=0.668493&amp;VAR:Y0=2009&amp;VAR:Y1=2010&amp;VAR:V0=15.046494&amp;VAR:V1=11.883936&amp;VAR:V=13.826693&amp;VAR:AUDIT_ID=00000117&amp;VAR:DATE=20090501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Aggregates&amp;VAR:MEASURE=PE_MEAN&amp;VAR:CALC_MODE=PORTFOLIO&amp;VAR:CHGPERIOD=NA&amp;VAR:FQLFORMULA=FMA_PE&amp;VAR:CURRENCY=USD&amp;VAR:P=8","77.522986&amp;VAR:THRESH=||||||&amp;VAR:null=.html"}</definedName>
    <definedName name="_760__FDSAUDITLINK__" hidden="1">{"fdsup://directions/FAT%20Viewer?VAR:TM=NTMA&amp;VAR:PCT=0.775956&amp;VAR:Y0=1996&amp;VAR:Y1=1997&amp;VAR:V0=15.532405&amp;VAR:V1=13.394361&amp;VAR:V=14.996107&amp;VAR:AUDIT_ID=00000117&amp;VAR:DATE=19960322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Aggregates&amp;VAR:MEASURE=PE_MEAN&amp;VAR:CALC_MODE=PORTFOLIO&amp;VAR:CHGPERIOD=NA&amp;VAR:FQLFORMULA=FMA_PE&amp;VAR:CURRENCY=USD&amp;VAR:P=6","50.620000&amp;VAR:THRESH=||||||&amp;VAR:null=.html"}</definedName>
    <definedName name="_761__FDSAUDITLINK__" hidden="1">{"fdsup://directions/FAT%20Viewer?VAR:TM=NTMA&amp;VAR:PCT=0.795082&amp;VAR:Y0=1996&amp;VAR:Y1=1997&amp;VAR:V0=15.238716&amp;VAR:V1=13.176095&amp;VAR:V=14.765076&amp;VAR:AUDIT_ID=00000117&amp;VAR:DATE=19960315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Aggregates&amp;VAR:MEASURE=PE_MEAN&amp;VAR:CALC_MODE=PORTFOLIO&amp;VAR:CHGPERIOD=NA&amp;VAR:FQLFORMULA=FMA_PE&amp;VAR:CURRENCY=USD&amp;VAR:P=6","41.430000&amp;VAR:THRESH=||||||&amp;VAR:null=.html"}</definedName>
    <definedName name="_762__FDSAUDITLINK__" hidden="1">{"fdsup://directions/FAT%20Viewer?VAR:TM=NTMA&amp;VAR:PCT=0.814208&amp;VAR:Y0=1996&amp;VAR:Y1=1997&amp;VAR:V0=14.994933&amp;VAR:V1=13.126389&amp;VAR:V=14.608572&amp;VAR:AUDIT_ID=00000117&amp;VAR:DATE=19960308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Aggregates&amp;VAR:MEASURE=PE_MEAN&amp;VAR:CALC_MODE=PORTFOLIO&amp;VAR:CHGPERIOD=NA&amp;VAR:FQLFORMULA=FMA_PE&amp;VAR:CURRENCY=USD&amp;VAR:P=6","33.500000&amp;VAR:THRESH=||||||&amp;VAR:null=.html"}</definedName>
    <definedName name="_763__FDSAUDITLINK__" hidden="1">{"fdsup://directions/FAT%20Viewer?VAR:TM=NTMA&amp;VAR:PCT=0.833333&amp;VAR:Y0=1996&amp;VAR:Y1=1997&amp;VAR:V0=15.236732&amp;VAR:V1=13.392927&amp;VAR:V=14.894967&amp;VAR:AUDIT_ID=00000117&amp;VAR:DATE=19960301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Aggregates&amp;VAR:MEASURE=PE_MEAN&amp;VAR:CALC_MODE=PORTFOLIO&amp;VAR:CHGPERIOD=NA&amp;VAR:FQLFORMULA=FMA_PE&amp;VAR:CURRENCY=USD&amp;VAR:P=6","44.370000&amp;VAR:THRESH=||||||&amp;VAR:null=.html"}</definedName>
    <definedName name="_764__FDSAUDITLINK__" hidden="1">{"fdsup://directions/FAT%20Viewer?VAR:TM=NTMA&amp;VAR:PCT=0.852459&amp;VAR:Y0=1996&amp;VAR:Y1=1997&amp;VAR:V0=15.523462&amp;VAR:V1=13.663777&amp;VAR:V=15.217875&amp;VAR:AUDIT_ID=00000117&amp;VAR:DATE=19960223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Aggregates&amp;VAR:MEASURE=PE_MEAN&amp;VAR:CALC_MODE=PORTFOLIO&amp;VAR:CHGPERIOD=NA&amp;VAR:FQLFORMULA=FMA_PE&amp;VAR:CURRENCY=USD&amp;VAR:P=6","59.080000&amp;VAR:THRESH=||||||&amp;VAR:null=.html"}</definedName>
    <definedName name="_765__FDSAUDITLINK__" hidden="1">{"fdsup://directions/FAT%20Viewer?VAR:TM=NTMA&amp;VAR:PCT=0.871585&amp;VAR:Y0=1996&amp;VAR:Y1=1997&amp;VAR:V0=15.232054&amp;VAR:V1=13.394354&amp;VAR:V=14.968334&amp;VAR:AUDIT_ID=00000117&amp;VAR:DATE=19960216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Aggregates&amp;VAR:MEASURE=PE_MEAN&amp;VAR:CALC_MODE=PORTFOLIO&amp;VAR:CHGPERIOD=NA&amp;VAR:FQLFORMULA=FMA_PE&amp;VAR:CURRENCY=USD&amp;VAR:P=6","47.980000&amp;VAR:THRESH=||||||&amp;VAR:null=.html"}</definedName>
    <definedName name="_766__FDSAUDITLINK__" hidden="1">{"fdsup://directions/FAT%20Viewer?VAR:TM=NTMA&amp;VAR:PCT=0.890710&amp;VAR:Y0=1996&amp;VAR:Y1=1997&amp;VAR:V0=15.416817&amp;VAR:V1=13.541476&amp;VAR:V=15.186957&amp;VAR:AUDIT_ID=00000117&amp;VAR:DATE=19960209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Aggregates&amp;VAR:MEASURE=PE_MEAN&amp;VAR:CALC_MODE=PORTFOLIO&amp;VAR:CHGPERIOD=NA&amp;VAR:FQLFORMULA=FMA_PE&amp;VAR:CURRENCY=USD&amp;VAR:P=6","56.370000&amp;VAR:THRESH=||||||&amp;VAR:null=.html"}</definedName>
    <definedName name="_767__FDSAUDITLINK__" hidden="1">{"fdsup://directions/FAT%20Viewer?VAR:TM=NTMA&amp;VAR:PCT=0.909836&amp;VAR:Y0=1996&amp;VAR:Y1=1997&amp;VAR:V0=14.884540&amp;VAR:V1=12.978873&amp;VAR:V=14.690064&amp;VAR:AUDIT_ID=00000117&amp;VAR:DATE=19960202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Aggregates&amp;VAR:MEASURE=PE_MEAN&amp;VAR:CALC_MODE=PORTFOLIO&amp;VAR:CHGPERIOD=NA&amp;VAR:FQLFORMULA=FMA_PE&amp;VAR:CURRENCY=USD&amp;VAR:P=6","35.840000&amp;VAR:THRESH=||||||&amp;VAR:null=.html"}</definedName>
    <definedName name="_768__FDSAUDITLINK__" hidden="1">{"fdsup://directions/FAT%20Viewer?VAR:TM=NTMA&amp;VAR:PCT=0.928962&amp;VAR:Y0=1996&amp;VAR:Y1=1997&amp;VAR:V0=14.522923&amp;VAR:V1=12.664258&amp;VAR:V=14.373071&amp;VAR:AUDIT_ID=00000117&amp;VAR:DATE=19960126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Aggregates&amp;VAR:MEASURE=PE_MEAN&amp;VAR:CALC_MODE=PORTFOLIO&amp;VAR:CHGPERIOD=NA&amp;VAR:FQLFORMULA=FMA_PE&amp;VAR:CURRENCY=USD&amp;VAR:P=6","21.620000&amp;VAR:THRESH=||||||&amp;VAR:null=.html"}</definedName>
    <definedName name="_769__FDSAUDITLINK__" hidden="1">{"fdsup://directions/FAT%20Viewer?VAR:TM=NTMA&amp;VAR:PCT=0.948087&amp;VAR:Y0=1996&amp;VAR:Y1=1997&amp;VAR:V0=14.223345&amp;VAR:V1=12.405931&amp;VAR:V=14.115993&amp;VAR:AUDIT_ID=00000117&amp;VAR:DATE=19960119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Aggregates&amp;VAR:MEASURE=PE_MEAN&amp;VAR:CALC_MODE=PORTFOLIO&amp;VAR:CHGPERIOD=NA&amp;VAR:FQLFORMULA=FMA_PE&amp;VAR:CURRENCY=USD&amp;VAR:P=6","11.830000&amp;VAR:THRESH=||||||&amp;VAR:null=.html"}</definedName>
    <definedName name="_77__FDSAUDITLINK__" hidden="1">{"fdsup://directions/FAT%20Viewer?VAR:TM=NTMA&amp;VAR:PCT=0.687671&amp;VAR:Y0=2009&amp;VAR:Y1=2010&amp;VAR:V0=14.798654&amp;VAR:V1=11.679909&amp;VAR:V=13.659488&amp;VAR:AUDIT_ID=00000117&amp;VAR:DATE=20090424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Aggregates&amp;VAR:MEASURE=PE_MEAN&amp;VAR:CALC_MODE=PORTFOLIO&amp;VAR:CHGPERIOD=NA&amp;VAR:FQLFORMULA=FMA_PE&amp;VAR:CURRENCY=USD&amp;VAR:P=8","66.229346&amp;VAR:THRESH=||||||&amp;VAR:null=.html"}</definedName>
    <definedName name="_770__FDSAUDITLINK__" hidden="1">{"fdsup://directions/FAT%20Viewer?VAR:TM=NTMA&amp;VAR:PCT=0.967213&amp;VAR:Y0=1996&amp;VAR:Y1=1997&amp;VAR:V0=13.940865&amp;VAR:V1=12.253038&amp;VAR:V=13.878187&amp;VAR:AUDIT_ID=00000117&amp;VAR:DATE=19960112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Aggregates&amp;VAR:MEASURE=PE_MEAN&amp;VAR:CALC_MODE=PORTFOLIO&amp;VAR:CHGPERIOD=NA&amp;VAR:FQLFORMULA=FMA_PE&amp;VAR:CURRENCY=USD&amp;VAR:P=6","01.810000&amp;VAR:THRESH=||||||&amp;VAR:null=.html"}</definedName>
    <definedName name="_771__FDSAUDITLINK__" hidden="1">{"fdsup://directions/FAT%20Viewer?VAR:TM=NTMA&amp;VAR:PCT=0.986339&amp;VAR:Y0=1996&amp;VAR:Y1=1997&amp;VAR:V0=14.095795&amp;VAR:V1=12.677446&amp;VAR:V=14.074284&amp;VAR:AUDIT_ID=00000117&amp;VAR:DATE=19960105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Aggregates&amp;VAR:MEASURE=PE_MEAN&amp;VAR:CALC_MODE=PORTFOLIO&amp;VAR:CHGPERIOD=NA&amp;VAR:FQLFORMULA=FMA_PE&amp;VAR:CURRENCY=USD&amp;VAR:P=6","16.710000&amp;VAR:THRESH=||||||&amp;VAR:null=.html"}</definedName>
    <definedName name="_772__FDSAUDITLINK__" hidden="1">{"fdsup://directions/FAT%20Viewer?VAR:TM=NTMA&amp;VAR:PCT=0.005479&amp;VAR:Y0=1995&amp;VAR:Y1=1996&amp;VAR:V0=16.091898&amp;VAR:V1=14.054860&amp;VAR:V=14.064616&amp;VAR:AUDIT_ID=00000117&amp;VAR:DATE=19951229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Aggregates&amp;VAR:MEASURE=PE_MEAN&amp;VAR:CALC_MODE=PORTFOLIO&amp;VAR:CHGPERIOD=NA&amp;VAR:FQLFORMULA=FMA_PE&amp;VAR:CURRENCY=USD&amp;VAR:P=6","15.930000&amp;VAR:THRESH=||||||&amp;VAR:null=.html"}</definedName>
    <definedName name="_773__FDSAUDITLINK__" hidden="1">{"fdsup://directions/FAT%20Viewer?VAR:TM=NTMA&amp;VAR:PCT=0.024658&amp;VAR:Y0=1995&amp;VAR:Y1=1996&amp;VAR:V0=15.966858&amp;VAR:V1=13.940268&amp;VAR:V=13.984033&amp;VAR:AUDIT_ID=00000117&amp;VAR:DATE=19951222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Aggregates&amp;VAR:MEASURE=PE_MEAN&amp;VAR:CALC_MODE=PORTFOLIO&amp;VAR:CHGPERIOD=NA&amp;VAR:FQLFORMULA=FMA_PE&amp;VAR:CURRENCY=USD&amp;VAR:P=6","11.960000&amp;VAR:THRESH=||||||&amp;VAR:null=.html"}</definedName>
    <definedName name="_774__FDSAUDITLINK__" hidden="1">{"fdsup://directions/FAT%20Viewer?VAR:TM=NTMA&amp;VAR:PCT=0.043836&amp;VAR:Y0=1995&amp;VAR:Y1=1996&amp;VAR:V0=16.093657&amp;VAR:V1=14.020300&amp;VAR:V=14.099928&amp;VAR:AUDIT_ID=00000117&amp;VAR:DATE=19951215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Aggregates&amp;VAR:MEASURE=PE_MEAN&amp;VAR:CALC_MODE=PORTFOLIO&amp;VAR:CHGPERIOD=NA&amp;VAR:FQLFORMULA=FMA_PE&amp;VAR:CURRENCY=USD&amp;VAR:P=6","16.340000&amp;VAR:THRESH=||||||&amp;VAR:null=.html"}</definedName>
    <definedName name="_775__FDSAUDITLINK__" hidden="1">{"fdsup://directions/FAT%20Viewer?VAR:TM=NTMA&amp;VAR:PCT=0.063014&amp;VAR:Y0=1995&amp;VAR:Y1=1996&amp;VAR:V0=16.147284&amp;VAR:V1=14.040824&amp;VAR:V=14.157201&amp;VAR:AUDIT_ID=00000117&amp;VAR:DATE=19951208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Aggregates&amp;VAR:MEASURE=PE_MEAN&amp;VAR:CALC_MODE=PORTFOLIO&amp;VAR:CHGPERIOD=NA&amp;VAR:FQLFORMULA=FMA_PE&amp;VAR:CURRENCY=USD&amp;VAR:P=6","17.480000&amp;VAR:THRESH=||||||&amp;VAR:null=.html"}</definedName>
    <definedName name="_776__FDSAUDITLINK__" hidden="1">{"fdsup://directions/FAT%20Viewer?VAR:TM=NTMA&amp;VAR:PCT=0.082192&amp;VAR:Y0=1995&amp;VAR:Y1=1996&amp;VAR:V0=15.823233&amp;VAR:V1=13.740918&amp;VAR:V=13.891169&amp;VAR:AUDIT_ID=00000117&amp;VAR:DATE=19951201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Aggregates&amp;VAR:MEASURE=PE_MEAN&amp;VAR:CALC_MODE=PORTFOLIO&amp;VAR:CHGPERIOD=NA&amp;VAR:FQLFORMULA=FMA_PE&amp;VAR:CURRENCY=USD&amp;VAR:P=6","06.980000&amp;VAR:THRESH=||||||&amp;VAR:null=.html"}</definedName>
    <definedName name="_777__FDSAUDITLINK__" hidden="1">{"fdsup://directions/FAT%20Viewer?VAR:TM=NTMA&amp;VAR:PCT=0.101370&amp;VAR:Y0=1995&amp;VAR:Y1=1996&amp;VAR:V0=15.742322&amp;VAR:V1=13.666557&amp;VAR:V=13.851706&amp;VAR:AUDIT_ID=00000117&amp;VAR:DATE=19951124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Aggregates&amp;VAR:MEASURE=PE_MEAN&amp;VAR:CALC_MODE=PORTFOLIO&amp;VAR:CHGPERIOD=NA&amp;VAR:FQLFORMULA=FMA_PE&amp;VAR:CURRENCY=USD&amp;VAR:P=5","99.970000&amp;VAR:THRESH=||||||&amp;VAR:null=.html"}</definedName>
    <definedName name="_778__FDSAUDITLINK__" hidden="1">{"fdsup://directions/FAT%20Viewer?VAR:TM=NTMA&amp;VAR:PCT=0.120548&amp;VAR:Y0=1995&amp;VAR:Y1=1996&amp;VAR:V0=15.722077&amp;VAR:V1=13.609901&amp;VAR:V=13.833941&amp;VAR:AUDIT_ID=00000117&amp;VAR:DATE=19951117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Aggregates&amp;VAR:MEASURE=PE_MEAN&amp;VAR:CALC_MODE=PORTFOLIO&amp;VAR:CHGPERIOD=NA&amp;VAR:FQLFORMULA=FMA_PE&amp;VAR:CURRENCY=USD&amp;VAR:P=6","00.070000&amp;VAR:THRESH=||||||&amp;VAR:null=.html"}</definedName>
    <definedName name="_779__FDSAUDITLINK__" hidden="1">{"fdsup://directions/FAT%20Viewer?VAR:TM=NTMA&amp;VAR:PCT=0.139726&amp;VAR:Y0=1995&amp;VAR:Y1=1996&amp;VAR:V0=15.445477&amp;VAR:V1=13.374765&amp;VAR:V=13.630091&amp;VAR:AUDIT_ID=00000117&amp;VAR:DATE=19951110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Aggregates&amp;VAR:MEASURE=PE_MEAN&amp;VAR:CALC_MODE=PORTFOLIO&amp;VAR:CHGPERIOD=NA&amp;VAR:FQLFORMULA=FMA_PE&amp;VAR:CURRENCY=USD&amp;VAR:P=5","92.720000&amp;VAR:THRESH=||||||&amp;VAR:null=.html"}</definedName>
    <definedName name="_78__FDSAUDITLINK__" hidden="1">{"fdsup://directions/FAT%20Viewer?VAR:TM=NTMA&amp;VAR:PCT=0.706849&amp;VAR:Y0=2009&amp;VAR:Y1=2010&amp;VAR:V0=14.679303&amp;VAR:V1=11.638740&amp;VAR:V=13.635072&amp;VAR:AUDIT_ID=00000117&amp;VAR:DATE=20090417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Aggregates&amp;VAR:MEASURE=PE_MEAN&amp;VAR:CALC_MODE=PORTFOLIO&amp;VAR:CHGPERIOD=NA&amp;VAR:FQLFORMULA=FMA_PE&amp;VAR:CURRENCY=USD&amp;VAR:P=8","69.595504&amp;VAR:THRESH=||||||&amp;VAR:null=.html"}</definedName>
    <definedName name="_780__FDSAUDITLINK__" hidden="1">{"fdsup://directions/FAT%20Viewer?VAR:TM=NTMA&amp;VAR:PCT=0.158904&amp;VAR:Y0=1995&amp;VAR:Y1=1996&amp;VAR:V0=15.354518&amp;VAR:V1=13.317646&amp;VAR:V=13.604422&amp;VAR:AUDIT_ID=00000117&amp;VAR:DATE=19951103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Aggregates&amp;VAR:MEASURE=PE_MEAN&amp;VAR:CALC_MODE=PORTFOLIO&amp;VAR:CHGPERIOD=NA&amp;VAR:FQLFORMULA=FMA_PE&amp;VAR:CURRENCY=USD&amp;VAR:P=5","90.570000&amp;VAR:THRESH=||||||&amp;VAR:null=.html"}</definedName>
    <definedName name="_781__FDSAUDITLINK__" hidden="1">{"fdsup://directions/FAT%20Viewer?VAR:TM=NTMA&amp;VAR:PCT=0.178082&amp;VAR:Y0=1995&amp;VAR:Y1=1996&amp;VAR:V0=15.156100&amp;VAR:V1=13.102384&amp;VAR:V=13.426374&amp;VAR:AUDIT_ID=00000117&amp;VAR:DATE=19951027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Aggregates&amp;VAR:MEASURE=PE_MEAN&amp;VAR:CALC_MODE=PORTFOLIO&amp;VAR:CHGPERIOD=NA&amp;VAR:FQLFORMULA=FMA_PE&amp;VAR:CURRENCY=USD&amp;VAR:P=5","79.700000&amp;VAR:THRESH=||||||&amp;VAR:null=.html"}</definedName>
    <definedName name="_782__FDSAUDITLINK__" hidden="1">{"fdsup://directions/FAT%20Viewer?VAR:TM=NTMA&amp;VAR:PCT=0.197260&amp;VAR:Y0=1995&amp;VAR:Y1=1996&amp;VAR:V0=15.295354&amp;VAR:V1=13.213938&amp;VAR:V=13.578430&amp;VAR:AUDIT_ID=00000117&amp;VAR:DATE=19951020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Aggregates&amp;VAR:MEASURE=PE_MEAN&amp;VAR:CALC_MODE=PORTFOLIO&amp;VAR:CHGPERIOD=NA&amp;VAR:FQLFORMULA=FMA_PE&amp;VAR:CURRENCY=USD&amp;VAR:P=5","87.460000&amp;VAR:THRESH=||||||&amp;VAR:null=.html"}</definedName>
    <definedName name="_783__FDSAUDITLINK__" hidden="1">{"fdsup://directions/FAT%20Viewer?VAR:TM=NTMA&amp;VAR:PCT=0.216438&amp;VAR:Y0=1995&amp;VAR:Y1=1996&amp;VAR:V0=15.007403&amp;VAR:V1=13.031760&amp;VAR:V=13.413963&amp;VAR:AUDIT_ID=00000117&amp;VAR:DATE=19951013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Aggregates&amp;VAR:MEASURE=PE_MEAN&amp;VAR:CALC_MODE=PORTFOLIO&amp;VAR:CHGPERIOD=NA&amp;VAR:FQLFORMULA=FMA_PE&amp;VAR:CURRENCY=USD&amp;VAR:P=5","84.500000&amp;VAR:THRESH=||||||&amp;VAR:null=.html"}</definedName>
    <definedName name="_784__FDSAUDITLINK__" hidden="1">{"fdsup://directions/FAT%20Viewer?VAR:TM=NTMA&amp;VAR:PCT=0.235616&amp;VAR:Y0=1995&amp;VAR:Y1=1996&amp;VAR:V0=14.857586&amp;VAR:V1=13.122931&amp;VAR:V=13.494138&amp;VAR:AUDIT_ID=00000117&amp;VAR:DATE=19951006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Aggregates&amp;VAR:MEASURE=PE_MEAN&amp;VAR:CALC_MODE=PORTFOLIO&amp;VAR:CHGPERIOD=NA&amp;VAR:FQLFORMULA=FMA_PE&amp;VAR:CURRENCY=USD&amp;VAR:P=5","82.490000&amp;VAR:THRESH=||||||&amp;VAR:null=.html"}</definedName>
    <definedName name="_785__FDSAUDITLINK__" hidden="1">{"fdsup://directions/FAT%20Viewer?VAR:TM=NTMA&amp;VAR:PCT=0.254795&amp;VAR:Y0=1995&amp;VAR:Y1=1996&amp;VAR:V0=14.594100&amp;VAR:V1=12.806499&amp;VAR:V=13.219056&amp;VAR:AUDIT_ID=00000117&amp;VAR:DATE=19950929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Aggregates&amp;VAR:MEASURE=PE_MEAN&amp;VAR:CALC_MODE=PORTFOLIO&amp;VAR:CHGPERIOD=NA&amp;VAR:FQLFORMULA=FMA_PE&amp;VAR:CURRENCY=USD&amp;VAR:P=5","84.410000&amp;VAR:THRESH=||||||&amp;VAR:null=.html"}</definedName>
    <definedName name="_786__FDSAUDITLINK__" hidden="1">{"fdsup://directions/FAT%20Viewer?VAR:TM=NTMA&amp;VAR:PCT=0.273973&amp;VAR:Y0=1995&amp;VAR:Y1=1996&amp;VAR:V0=14.752868&amp;VAR:V1=12.795574&amp;VAR:V=13.278218&amp;VAR:AUDIT_ID=00000117&amp;VAR:DATE=19950922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Aggregates&amp;VAR:MEASURE=PE_MEAN&amp;VAR:CALC_MODE=PORTFOLIO&amp;VAR:CHGPERIOD=NA&amp;VAR:FQLFORMULA=FMA_PE&amp;VAR:CURRENCY=USD&amp;VAR:P=5","81.730000&amp;VAR:THRESH=||||||&amp;VAR:null=.html"}</definedName>
    <definedName name="_787__FDSAUDITLINK__" hidden="1">{"fdsup://directions/FAT%20Viewer?VAR:TM=NTMA&amp;VAR:PCT=0.293151&amp;VAR:Y0=1995&amp;VAR:Y1=1996&amp;VAR:V0=14.715352&amp;VAR:V1=12.772759&amp;VAR:V=13.286953&amp;VAR:AUDIT_ID=00000117&amp;VAR:DATE=19950915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Aggregates&amp;VAR:MEASURE=PE_MEAN&amp;VAR:CALC_MODE=PORTFOLIO&amp;VAR:CHGPERIOD=NA&amp;VAR:FQLFORMULA=FMA_PE&amp;VAR:CURRENCY=USD&amp;VAR:P=5","83.350000&amp;VAR:THRESH=||||||&amp;VAR:null=.html"}</definedName>
    <definedName name="_788__FDSAUDITLINK__" hidden="1">{"fdsup://directions/FAT%20Viewer?VAR:TM=NTMA&amp;VAR:PCT=0.312329&amp;VAR:Y0=1995&amp;VAR:Y1=1996&amp;VAR:V0=15.007655&amp;VAR:V1=13.140318&amp;VAR:V=13.671620&amp;VAR:AUDIT_ID=00000117&amp;VAR:DATE=19950908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Aggregates&amp;VAR:MEASURE=PE_MEAN&amp;VAR:CALC_MODE=PORTFOLIO&amp;VAR:CHGPERIOD=NA&amp;VAR:FQLFORMULA=FMA_PE&amp;VAR:CURRENCY=USD&amp;VAR:P=5","72.680000&amp;VAR:THRESH=||||||&amp;VAR:null=.html"}</definedName>
    <definedName name="_789__FDSAUDITLINK__" hidden="1">{"fdsup://directions/FAT%20Viewer?VAR:TM=NTMA&amp;VAR:PCT=0.331507&amp;VAR:Y0=1995&amp;VAR:Y1=1996&amp;VAR:V0=14.850753&amp;VAR:V1=12.971186&amp;VAR:V=13.539249&amp;VAR:AUDIT_ID=00000117&amp;VAR:DATE=19950901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Aggregates&amp;VAR:MEASURE=PE_MEAN&amp;VAR:CALC_MODE=PORTFOLIO&amp;VAR:CHGPERIOD=NA&amp;VAR:FQLFORMULA=FMA_PE&amp;VAR:CURRENCY=USD&amp;VAR:P=5","63.840000&amp;VAR:THRESH=||||||&amp;VAR:null=.html"}</definedName>
    <definedName name="_79__FDSAUDITLINK__" hidden="1">{"fdsup://directions/FAT%20Viewer?VAR:TM=NTMA&amp;VAR:PCT=0.728767&amp;VAR:Y0=2009&amp;VAR:Y1=2010&amp;VAR:V0=14.367440&amp;VAR:V1=11.383958&amp;VAR:V=13.413923&amp;VAR:AUDIT_ID=00000117&amp;VAR:DATE=20090409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Aggregates&amp;VAR:MEASURE=PE_MEAN&amp;VAR:CALC_MODE=PORTFOLIO&amp;VAR:CHGPERIOD=NA&amp;VAR:FQLFORMULA=FMA_PE&amp;VAR:CURRENCY=USD&amp;VAR:P=8","56.559664&amp;VAR:THRESH=||||||&amp;VAR:null=.html"}</definedName>
    <definedName name="_790__FDSAUDITLINK__" hidden="1">{"fdsup://directions/FAT%20Viewer?VAR:TM=NTMA&amp;VAR:PCT=0.350685&amp;VAR:Y0=1995&amp;VAR:Y1=1996&amp;VAR:V0=14.773201&amp;VAR:V1=12.941365&amp;VAR:V=13.529689&amp;VAR:AUDIT_ID=00000117&amp;VAR:DATE=19950825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Aggregates&amp;VAR:MEASURE=PE_MEAN&amp;VAR:CALC_MODE=PORTFOLIO&amp;VAR:CHGPERIOD=NA&amp;VAR:FQLFORMULA=FMA_PE&amp;VAR:CURRENCY=USD&amp;VAR:P=5","60.100000&amp;VAR:THRESH=||||||&amp;VAR:null=.html"}</definedName>
    <definedName name="_791__FDSAUDITLINK__" hidden="1">{"fdsup://directions/FAT%20Viewer?VAR:TM=NTMA&amp;VAR:PCT=0.369863&amp;VAR:Y0=1995&amp;VAR:Y1=1996&amp;VAR:V0=14.715779&amp;VAR:V1=12.887090&amp;VAR:V=13.507940&amp;VAR:AUDIT_ID=00000117&amp;VAR:DATE=19950818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Aggregates&amp;VAR:MEASURE=PE_MEAN&amp;VAR:CALC_MODE=PORTFOLIO&amp;VAR:CHGPERIOD=NA&amp;VAR:FQLFORMULA=FMA_PE&amp;VAR:CURRENCY=USD&amp;VAR:P=5","59.210000&amp;VAR:THRESH=||||||&amp;VAR:null=.html"}</definedName>
    <definedName name="_792__FDSAUDITLINK__" hidden="1">{"fdsup://directions/FAT%20Viewer?VAR:TM=NTMA&amp;VAR:PCT=0.389041&amp;VAR:Y0=1995&amp;VAR:Y1=1996&amp;VAR:V0=14.809572&amp;VAR:V1=12.955843&amp;VAR:V=13.619045&amp;VAR:AUDIT_ID=00000117&amp;VAR:DATE=19950811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Aggregates&amp;VAR:MEASURE=PE_MEAN&amp;VAR:CALC_MODE=PORTFOLIO&amp;VAR:CHGPERIOD=NA&amp;VAR:FQLFORMULA=FMA_PE&amp;VAR:CURRENCY=USD&amp;VAR:P=5","55.110000&amp;VAR:THRESH=||||||&amp;VAR:null=.html"}</definedName>
    <definedName name="_793__FDSAUDITLINK__" hidden="1">{"fdsup://directions/FAT%20Viewer?VAR:TM=NTMA&amp;VAR:PCT=0.408219&amp;VAR:Y0=1995&amp;VAR:Y1=1996&amp;VAR:V0=14.942450&amp;VAR:V1=13.076667&amp;VAR:V=13.779013&amp;VAR:AUDIT_ID=00000117&amp;VAR:DATE=19950804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Aggregates&amp;VAR:MEASURE=PE_MEAN&amp;VAR:CALC_MODE=PORTFOLIO&amp;VAR:CHGPERIOD=NA&amp;VAR:FQLFORMULA=FMA_PE&amp;VAR:CURRENCY=USD&amp;VAR:P=5","58.940000&amp;VAR:THRESH=||||||&amp;VAR:null=.html"}</definedName>
    <definedName name="_794__FDSAUDITLINK__" hidden="1">{"fdsup://directions/FAT%20Viewer?VAR:TM=NTMA&amp;VAR:PCT=0.427397&amp;VAR:Y0=1995&amp;VAR:Y1=1996&amp;VAR:V0=15.087139&amp;VAR:V1=13.203918&amp;VAR:V=13.948031&amp;VAR:AUDIT_ID=00000117&amp;VAR:DATE=19950728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Aggregates&amp;VAR:MEASURE=PE_MEAN&amp;VAR:CALC_MODE=PORTFOLIO&amp;VAR:CHGPERIOD=NA&amp;VAR:FQLFORMULA=FMA_PE&amp;VAR:CURRENCY=USD&amp;VAR:P=5","62.930000&amp;VAR:THRESH=||||||&amp;VAR:null=.html"}</definedName>
    <definedName name="_795__FDSAUDITLINK__" hidden="1">{"fdsup://directions/FAT%20Viewer?VAR:TM=NTMA&amp;VAR:PCT=0.446575&amp;VAR:Y0=1995&amp;VAR:Y1=1996&amp;VAR:V0=14.800597&amp;VAR:V1=13.003703&amp;VAR:V=13.749145&amp;VAR:AUDIT_ID=00000117&amp;VAR:DATE=19950721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Aggregates&amp;VAR:MEASURE=PE_MEAN&amp;VAR:CALC_MODE=PORTFOLIO&amp;VAR:CHGPERIOD=NA&amp;VAR:FQLFORMULA=FMA_PE&amp;VAR:CURRENCY=USD&amp;VAR:P=5","53.620000&amp;VAR:THRESH=||||||&amp;VAR:null=.html"}</definedName>
    <definedName name="_796__FDSAUDITLINK__" hidden="1">{"fdsup://directions/FAT%20Viewer?VAR:TM=NTMA&amp;VAR:PCT=0.465753&amp;VAR:Y0=1995&amp;VAR:Y1=1996&amp;VAR:V0=14.819413&amp;VAR:V1=13.062652&amp;VAR:V=13.826022&amp;VAR:AUDIT_ID=00000117&amp;VAR:DATE=19950714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Aggregates&amp;VAR:MEASURE=PE_MEAN&amp;VAR:CALC_MODE=PORTFOLIO&amp;VAR:CHGPERIOD=NA&amp;VAR:FQLFORMULA=FMA_PE&amp;VAR:CURRENCY=USD&amp;VAR:P=5","59.890000&amp;VAR:THRESH=||||||&amp;VAR:null=.html"}</definedName>
    <definedName name="_797__FDSAUDITLINK__" hidden="1">{"fdsup://directions/FAT%20Viewer?VAR:TM=NTMA&amp;VAR:PCT=0.484932&amp;VAR:Y0=1995&amp;VAR:Y1=1996&amp;VAR:V0=14.716206&amp;VAR:V1=12.945504&amp;VAR:V=13.747660&amp;VAR:AUDIT_ID=00000117&amp;VAR:DATE=19950707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Aggregates&amp;VAR:MEASURE=PE_MEAN&amp;VAR:CALC_MODE=PORTFOLIO&amp;VAR:CHGPERIOD=NA&amp;VAR:FQLFORMULA=FMA_PE&amp;VAR:CURRENCY=USD&amp;VAR:P=5","56.370000&amp;VAR:THRESH=||||||&amp;VAR:null=.html"}</definedName>
    <definedName name="_798__FDSAUDITLINK__" hidden="1">{"fdsup://directions/FAT%20Viewer?VAR:TM=NTMA&amp;VAR:PCT=0.504110&amp;VAR:Y0=1995&amp;VAR:Y1=1996&amp;VAR:V0=14.608591&amp;VAR:V1=12.737507&amp;VAR:V=13.616695&amp;VAR:AUDIT_ID=00000117&amp;VAR:DATE=19950630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Aggregates&amp;VAR:MEASURE=PE_MEAN&amp;VAR:CALC_MODE=PORTFOLIO&amp;VAR:CHGPERIOD=NA&amp;VAR:FQLFORMULA=FMA_PE&amp;VAR:CURRENCY=USD&amp;VAR:P=5","44.750000&amp;VAR:THRESH=||||||&amp;VAR:null=.html"}</definedName>
    <definedName name="_799__FDSAUDITLINK__" hidden="1">{"fdsup://directions/FAT%20Viewer?VAR:TM=NTMA&amp;VAR:PCT=0.523288&amp;VAR:Y0=1995&amp;VAR:Y1=1996&amp;VAR:V0=14.676003&amp;VAR:V1=12.700107&amp;VAR:V=13.662678&amp;VAR:AUDIT_ID=00000117&amp;VAR:DATE=19950623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Aggregates&amp;VAR:MEASURE=PE_MEAN&amp;VAR:CALC_MODE=PORTFOLIO&amp;VAR:CHGPERIOD=NA&amp;VAR:FQLFORMULA=FMA_PE&amp;VAR:CURRENCY=USD&amp;VAR:P=5","49.710000&amp;VAR:THRESH=||||||&amp;VAR:null=.html"}</definedName>
    <definedName name="_8__FDSAUDITLINK__" hidden="1">{"fdsup://directions/FAT%20Viewer?VAR:TM=NTMA&amp;VAR:PCT=0.364384&amp;VAR:Y0=2010&amp;VAR:Y1=2011&amp;VAR:V0=12.796826&amp;VAR:V1=11.117394&amp;VAR:V=11.675740&amp;VAR:AUDIT_ID=00000117&amp;VAR:DATE=20100820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Aggregates&amp;VAR:MEASURE=PE_MEAN&amp;VAR:CALC_MODE=PORTFOLIO&amp;VAR:CHGPERIOD=NA&amp;VAR:FQLFORMULA=FMA_PE&amp;VAR:CURRENCY=USD&amp;VAR:P=1","071.692217&amp;VAR:THRESH=||||||&amp;VAR:null=.html"}</definedName>
    <definedName name="_80__FDSAUDITLINK__" hidden="1">{"fdsup://directions/FAT%20Viewer?VAR:TM=NTMA&amp;VAR:PCT=0.745205&amp;VAR:Y0=2009&amp;VAR:Y1=2010&amp;VAR:V0=13.949054&amp;VAR:V1=11.086900&amp;VAR:V=13.088157&amp;VAR:AUDIT_ID=00000117&amp;VAR:DATE=20090403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Aggregates&amp;VAR:MEASURE=PE_MEAN&amp;VAR:CALC_MODE=PORTFOLIO&amp;VAR:CHGPERIOD=NA&amp;VAR:FQLFORMULA=FMA_PE&amp;VAR:CURRENCY=USD&amp;VAR:P=8","42.500407&amp;VAR:THRESH=||||||&amp;VAR:null=.html"}</definedName>
    <definedName name="_800__FDSAUDITLINK__" hidden="1">{"fdsup://directions/FAT%20Viewer?VAR:TM=NTMA&amp;VAR:PCT=0.542466&amp;VAR:Y0=1995&amp;VAR:Y1=1996&amp;VAR:V0=14.409695&amp;VAR:V1=12.457890&amp;VAR:V=13.445857&amp;VAR:AUDIT_ID=00000117&amp;VAR:DATE=19950616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Aggregates&amp;VAR:MEASURE=PE_MEAN&amp;VAR:CALC_MODE=PORTFOLIO&amp;VAR:CHGPERIOD=NA&amp;VAR:FQLFORMULA=FMA_PE&amp;VAR:CURRENCY=USD&amp;VAR:P=5","39.830000&amp;VAR:THRESH=||||||&amp;VAR:null=.html"}</definedName>
    <definedName name="_801__FDSAUDITLINK__" hidden="1">{"fdsup://directions/FAT%20Viewer?VAR:TM=NTMA&amp;VAR:PCT=0.561644&amp;VAR:Y0=1995&amp;VAR:Y1=1996&amp;VAR:V0=14.132947&amp;VAR:V1=12.204852&amp;VAR:V=13.217620&amp;VAR:AUDIT_ID=00000117&amp;VAR:DATE=19950609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Aggregates&amp;VAR:MEASURE=PE_MEAN&amp;VAR:CALC_MODE=PORTFOLIO&amp;VAR:CHGPERIOD=NA&amp;VAR:FQLFORMULA=FMA_PE&amp;VAR:CURRENCY=USD&amp;VAR:P=5","27.940000&amp;VAR:THRESH=||||||&amp;VAR:null=.html"}</definedName>
    <definedName name="_802__FDSAUDITLINK__" hidden="1">{"fdsup://directions/FAT%20Viewer?VAR:TM=NTMA&amp;VAR:PCT=0.580822&amp;VAR:Y0=1995&amp;VAR:Y1=1996&amp;VAR:V0=14.225801&amp;VAR:V1=12.283649&amp;VAR:V=13.341578&amp;VAR:AUDIT_ID=00000117&amp;VAR:DATE=19950602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Aggregates&amp;VAR:MEASURE=PE_MEAN&amp;VAR:CALC_MODE=PORTFOLIO&amp;VAR:CHGPERIOD=NA&amp;VAR:FQLFORMULA=FMA_PE&amp;VAR:CURRENCY=USD&amp;VAR:P=5","32.510000&amp;VAR:THRESH=||||||&amp;VAR:null=.html"}</definedName>
    <definedName name="_803__FDSAUDITLINK__" hidden="1">{"fdsup://directions/FAT%20Viewer?VAR:TM=NTMA&amp;VAR:PCT=0.600000&amp;VAR:Y0=1995&amp;VAR:Y1=1996&amp;VAR:V0=13.901923&amp;VAR:V1=12.011655&amp;VAR:V=13.078651&amp;VAR:AUDIT_ID=00000117&amp;VAR:DATE=19950526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Aggregates&amp;VAR:MEASURE=PE_MEAN&amp;VAR:CALC_MODE=PORTFOLIO&amp;VAR:CHGPERIOD=NA&amp;VAR:FQLFORMULA=FMA_PE&amp;VAR:CURRENCY=USD&amp;VAR:P=5","23.650000&amp;VAR:THRESH=||||||&amp;VAR:null=.html"}</definedName>
    <definedName name="_804__FDSAUDITLINK__" hidden="1">{"fdsup://directions/FAT%20Viewer?VAR:TM=NTMA&amp;VAR:PCT=0.619178&amp;VAR:Y0=1995&amp;VAR:Y1=1996&amp;VAR:V0=13.774917&amp;VAR:V1=11.802563&amp;VAR:V=12.950732&amp;VAR:AUDIT_ID=00000117&amp;VAR:DATE=19950519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Aggregates&amp;VAR:MEASURE=PE_MEAN&amp;VAR:CALC_MODE=PORTFOLIO&amp;VAR:CHGPERIOD=NA&amp;VAR:FQLFORMULA=FMA_PE&amp;VAR:CURRENCY=USD&amp;VAR:P=5","19.190000&amp;VAR:THRESH=||||||&amp;VAR:null=.html"}</definedName>
    <definedName name="_805__FDSAUDITLINK__" hidden="1">{"fdsup://directions/FAT%20Viewer?VAR:TM=NTMA&amp;VAR:PCT=0.638356&amp;VAR:Y0=1995&amp;VAR:Y1=1996&amp;VAR:V0=14.007788&amp;VAR:V1=11.988968&amp;VAR:V=13.203719&amp;VAR:AUDIT_ID=00000117&amp;VAR:DATE=19950512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Aggregates&amp;VAR:MEASURE=PE_MEAN&amp;VAR:CALC_MODE=PORTFOLIO&amp;VAR:CHGPERIOD=NA&amp;VAR:FQLFORMULA=FMA_PE&amp;VAR:CURRENCY=USD&amp;VAR:P=5","25.550000&amp;VAR:THRESH=||||||&amp;VAR:null=.html"}</definedName>
    <definedName name="_806__FDSAUDITLINK__" hidden="1">{"fdsup://directions/FAT%20Viewer?VAR:TM=NTMA&amp;VAR:PCT=0.657534&amp;VAR:Y0=1995&amp;VAR:Y1=1996&amp;VAR:V0=14.071877&amp;VAR:V1=12.068200&amp;VAR:V=13.314805&amp;VAR:AUDIT_ID=00000117&amp;VAR:DATE=19950505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Aggregates&amp;VAR:MEASURE=PE_MEAN&amp;VAR:CALC_MODE=PORTFOLIO&amp;VAR:CHGPERIOD=NA&amp;VAR:FQLFORMULA=FMA_PE&amp;VAR:CURRENCY=USD&amp;VAR:P=5","20.120000&amp;VAR:THRESH=||||||&amp;VAR:null=.html"}</definedName>
    <definedName name="_807__FDSAUDITLINK__" hidden="1">{"fdsup://directions/FAT%20Viewer?VAR:TM=NTMA&amp;VAR:PCT=0.676712&amp;VAR:Y0=1995&amp;VAR:Y1=1996&amp;VAR:V0=14.123024&amp;VAR:V1=12.074747&amp;VAR:V=13.388779&amp;VAR:AUDIT_ID=00000117&amp;VAR:DATE=19950428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Aggregates&amp;VAR:MEASURE=PE_MEAN&amp;VAR:CALC_MODE=PORTFOLIO&amp;VAR:CHGPERIOD=NA&amp;VAR:FQLFORMULA=FMA_PE&amp;VAR:CURRENCY=USD&amp;VAR:P=5","14.710000&amp;VAR:THRESH=||||||&amp;VAR:null=.html"}</definedName>
    <definedName name="_808__FDSAUDITLINK__" hidden="1">{"fdsup://directions/FAT%20Viewer?VAR:TM=NTMA&amp;VAR:PCT=0.695890&amp;VAR:Y0=1995&amp;VAR:Y1=1996&amp;VAR:V0=14.150217&amp;VAR:V1=12.147591&amp;VAR:V=13.474666&amp;VAR:AUDIT_ID=00000117&amp;VAR:DATE=19950421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Aggregates&amp;VAR:MEASURE=PE_MEAN&amp;VAR:CALC_MODE=PORTFOLIO&amp;VAR:CHGPERIOD=NA&amp;VAR:FQLFORMULA=FMA_PE&amp;VAR:CURRENCY=USD&amp;VAR:P=5","08.490000&amp;VAR:THRESH=||||||&amp;VAR:null=.html"}</definedName>
    <definedName name="_809__FDSAUDITLINK__" hidden="1">{"fdsup://directions/FAT%20Viewer?VAR:TM=NTMA&amp;VAR:PCT=0.717808&amp;VAR:Y0=1995&amp;VAR:Y1=1996&amp;VAR:V0=14.135711&amp;VAR:V1=12.064393&amp;VAR:V=13.482496&amp;VAR:AUDIT_ID=00000117&amp;VAR:DATE=19950413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Aggregates&amp;VAR:MEASURE=PE_MEAN&amp;VAR:CALC_MODE=PORTFOLIO&amp;VAR:CHGPERIOD=NA&amp;VAR:FQLFORMULA=FMA_PE&amp;VAR:CURRENCY=USD&amp;VAR:P=5","09.230000&amp;VAR:THRESH=||||||&amp;VAR:null=.html"}</definedName>
    <definedName name="_81__FDSAUDITLINK__" hidden="1">{"fdsup://directions/FAT%20Viewer?VAR:TM=NTMA&amp;VAR:PCT=0.764384&amp;VAR:Y0=2009&amp;VAR:Y1=2010&amp;VAR:V0=13.410341&amp;VAR:V1=10.673400&amp;VAR:V=12.646275&amp;VAR:AUDIT_ID=00000117&amp;VAR:DATE=20090327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Aggregates&amp;VAR:MEASURE=PE_MEAN&amp;VAR:CALC_MODE=PORTFOLIO&amp;VAR:CHGPERIOD=NA&amp;VAR:FQLFORMULA=FMA_PE&amp;VAR:CURRENCY=USD&amp;VAR:P=8","15.938461&amp;VAR:THRESH=||||||&amp;VAR:null=.html"}</definedName>
    <definedName name="_810__FDSAUDITLINK__" hidden="1">{"fdsup://directions/FAT%20Viewer?VAR:TM=NTMA&amp;VAR:PCT=0.734247&amp;VAR:Y0=1995&amp;VAR:Y1=1996&amp;VAR:V0=13.983392&amp;VAR:V1=11.899927&amp;VAR:V=13.361690&amp;VAR:AUDIT_ID=00000117&amp;VAR:DATE=19950407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Aggregates&amp;VAR:MEASURE=PE_MEAN&amp;VAR:CALC_MODE=PORTFOLIO&amp;VAR:CHGPERIOD=NA&amp;VAR:FQLFORMULA=FMA_PE&amp;VAR:CURRENCY=USD&amp;VAR:P=5","06.420000&amp;VAR:THRESH=||||||&amp;VAR:null=.html"}</definedName>
    <definedName name="_811__FDSAUDITLINK__" hidden="1">{"fdsup://directions/FAT%20Viewer?VAR:TM=NTMA&amp;VAR:PCT=0.753425&amp;VAR:Y0=1995&amp;VAR:Y1=1996&amp;VAR:V0=13.855094&amp;VAR:V1=11.783700&amp;VAR:V=13.279505&amp;VAR:AUDIT_ID=00000117&amp;VAR:DATE=19950331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Aggregates&amp;VAR:MEASURE=PE_MEAN&amp;VAR:CALC_MODE=PORTFOLIO&amp;VAR:CHGPERIOD=NA&amp;VAR:FQLFORMULA=FMA_PE&amp;VAR:CURRENCY=USD&amp;VAR:P=5","00.710000&amp;VAR:THRESH=||||||&amp;VAR:null=.html"}</definedName>
    <definedName name="_812__FDSAUDITLINK__" hidden="1">{"fdsup://directions/FAT%20Viewer?VAR:TM=NTMA&amp;VAR:PCT=0.772603&amp;VAR:Y0=1995&amp;VAR:Y1=1996&amp;VAR:V0=13.984592&amp;VAR:V1=11.881256&amp;VAR:V=13.443413&amp;VAR:AUDIT_ID=00000117&amp;VAR:DATE=19950324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Aggregates&amp;VAR:MEASURE=PE_MEAN&amp;VAR:CALC_MODE=PORTFOLIO&amp;VAR:CHGPERIOD=NA&amp;VAR:FQLFORMULA=FMA_PE&amp;VAR:CURRENCY=USD&amp;VAR:P=5","00.970000&amp;VAR:THRESH=||||||&amp;VAR:null=.html"}</definedName>
    <definedName name="_813__FDSAUDITLINK__" hidden="1">{"fdsup://directions/FAT%20Viewer?VAR:TM=NTMA&amp;VAR:PCT=0.791781&amp;VAR:Y0=1995&amp;VAR:Y1=1996&amp;VAR:V0=13.849599&amp;VAR:V1=11.755241&amp;VAR:V=13.354197&amp;VAR:AUDIT_ID=00000117&amp;VAR:DATE=19950317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Aggregates&amp;VAR:MEASURE=PE_MEAN&amp;VAR:CALC_MODE=PORTFOLIO&amp;VAR:CHGPERIOD=NA&amp;VAR:FQLFORMULA=FMA_PE&amp;VAR:CURRENCY=USD&amp;VAR:P=4","95.520000&amp;VAR:THRESH=||||||&amp;VAR:null=.html"}</definedName>
    <definedName name="_814__FDSAUDITLINK__" hidden="1">{"fdsup://directions/FAT%20Viewer?VAR:TM=NTMA&amp;VAR:PCT=0.810959&amp;VAR:Y0=1995&amp;VAR:Y1=1996&amp;VAR:V0=13.594391&amp;VAR:V1=11.540166&amp;VAR:V=13.151825&amp;VAR:AUDIT_ID=00000117&amp;VAR:DATE=19950310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Aggregates&amp;VAR:MEASURE=PE_MEAN&amp;VAR:CALC_MODE=PORTFOLIO&amp;VAR:CHGPERIOD=NA&amp;VAR:FQLFORMULA=FMA_PE&amp;VAR:CURRENCY=USD&amp;VAR:P=4","89.570000&amp;VAR:THRESH=||||||&amp;VAR:null=.html"}</definedName>
    <definedName name="_815__FDSAUDITLINK__" hidden="1">{"fdsup://directions/FAT%20Viewer?VAR:TM=NTMA&amp;VAR:PCT=0.830137&amp;VAR:Y0=1995&amp;VAR:Y1=1996&amp;VAR:V0=13.406925&amp;VAR:V1=11.427047&amp;VAR:V=13.023628&amp;VAR:AUDIT_ID=00000117&amp;VAR:DATE=19950303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Aggregates&amp;VAR:MEASURE=PE_MEAN&amp;VAR:CALC_MODE=PORTFOLIO&amp;VAR:CHGPERIOD=NA&amp;VAR:FQLFORMULA=FMA_PE&amp;VAR:CURRENCY=USD&amp;VAR:P=4","85.420000&amp;VAR:THRESH=||||||&amp;VAR:null=.html"}</definedName>
    <definedName name="_816__FDSAUDITLINK__" hidden="1">{"fdsup://directions/FAT%20Viewer?VAR:TM=NTMA&amp;VAR:PCT=0.849315&amp;VAR:Y0=1995&amp;VAR:Y1=1996&amp;VAR:V0=13.455241&amp;VAR:V1=11.428023&amp;VAR:V=13.104946&amp;VAR:AUDIT_ID=00000117&amp;VAR:DATE=19950224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Aggregates&amp;VAR:MEASURE=PE_MEAN&amp;VAR:CALC_MODE=PORTFOLIO&amp;VAR:CHGPERIOD=NA&amp;VAR:FQLFORMULA=FMA_PE&amp;VAR:CURRENCY=USD&amp;VAR:P=4","88.110000&amp;VAR:THRESH=||||||&amp;VAR:null=.html"}</definedName>
    <definedName name="_817__FDSAUDITLINK__" hidden="1">{"fdsup://directions/FAT%20Viewer?VAR:TM=NTMA&amp;VAR:PCT=0.868493&amp;VAR:Y0=1995&amp;VAR:Y1=1996&amp;VAR:V0=13.297588&amp;VAR:V1=11.137325&amp;VAR:V=12.966832&amp;VAR:AUDIT_ID=00000117&amp;VAR:DATE=19950217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Aggregates&amp;VAR:MEASURE=PE_MEAN&amp;VAR:CALC_MODE=PORTFOLIO&amp;VAR:CHGPERIOD=NA&amp;VAR:FQLFORMULA=FMA_PE&amp;VAR:CURRENCY=USD&amp;VAR:P=4","81.970000&amp;VAR:THRESH=||||||&amp;VAR:null=.html"}</definedName>
    <definedName name="_818__FDSAUDITLINK__" hidden="1">{"fdsup://directions/FAT%20Viewer?VAR:TM=NTMA&amp;VAR:PCT=0.887671&amp;VAR:Y0=1995&amp;VAR:Y1=1996&amp;VAR:V0=13.221024&amp;VAR:V1=10.991095&amp;VAR:V=12.926433&amp;VAR:AUDIT_ID=00000117&amp;VAR:DATE=19950210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Aggregates&amp;VAR:MEASURE=PE_MEAN&amp;VAR:CALC_MODE=PORTFOLIO&amp;VAR:CHGPERIOD=NA&amp;VAR:FQLFORMULA=FMA_PE&amp;VAR:CURRENCY=USD&amp;VAR:P=4","81.460000&amp;VAR:THRESH=||||||&amp;VAR:null=.html"}</definedName>
    <definedName name="_819__FDSAUDITLINK__" hidden="1">{"fdsup://directions/FAT%20Viewer?VAR:TM=NTMA&amp;VAR:PCT=0.906849&amp;VAR:Y0=1995&amp;VAR:Y1=1996&amp;VAR:V0=13.188733&amp;VAR:V1=10.756894&amp;VAR:V=12.916722&amp;VAR:AUDIT_ID=00000117&amp;VAR:DATE=19950203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Aggregates&amp;VAR:MEASURE=PE_MEAN&amp;VAR:CALC_MODE=PORTFOLIO&amp;VAR:CHGPERIOD=NA&amp;VAR:FQLFORMULA=FMA_PE&amp;VAR:CURRENCY=USD&amp;VAR:P=4","78.640000&amp;VAR:THRESH=||||||&amp;VAR:null=.html"}</definedName>
    <definedName name="_82__FDSAUDITLINK__" hidden="1">{"fdsup://directions/FAT%20Viewer?VAR:TM=NTMA&amp;VAR:PCT=0.783562&amp;VAR:Y0=2009&amp;VAR:Y1=2010&amp;VAR:V0=12.557300&amp;VAR:V1=10.003462&amp;VAR:V=11.899770&amp;VAR:AUDIT_ID=00000117&amp;VAR:DATE=20090320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Aggregates&amp;VAR:MEASURE=PE_MEAN&amp;VAR:CALC_MODE=PORTFOLIO&amp;VAR:CHGPERIOD=NA&amp;VAR:FQLFORMULA=FMA_PE&amp;VAR:CURRENCY=USD&amp;VAR:P=7","68.544110&amp;VAR:THRESH=||||||&amp;VAR:null=.html"}</definedName>
    <definedName name="_820__FDSAUDITLINK__" hidden="1">{"fdsup://directions/FAT%20Viewer?VAR:TM=NTMA&amp;VAR:PCT=0.926027&amp;VAR:Y0=1995&amp;VAR:Y1=1996&amp;VAR:V0=12.987422&amp;VAR:V1=10.284128&amp;VAR:V=12.739705&amp;VAR:AUDIT_ID=00000117&amp;VAR:DATE=19950127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Aggregates&amp;VAR:MEASURE=PE_MEAN&amp;VAR:CALC_MODE=PORTFOLIO&amp;VAR:CHGPERIOD=NA&amp;VAR:FQLFORMULA=FMA_PE&amp;VAR:CURRENCY=USD&amp;VAR:P=4","70.390000&amp;VAR:THRESH=||||||&amp;VAR:null=.html"}</definedName>
    <definedName name="_821__FDSAUDITLINK__" hidden="1">{"fdsup://directions/FAT%20Viewer?VAR:TM=NTMA&amp;VAR:PCT=0.945205&amp;VAR:Y0=1995&amp;VAR:Y1=1996&amp;VAR:V0=12.913013&amp;VAR:V1=10.160052&amp;VAR:V=12.724097&amp;VAR:AUDIT_ID=00000117&amp;VAR:DATE=19950120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Aggregates&amp;VAR:MEASURE=PE_MEAN&amp;VAR:CALC_MODE=PORTFOLIO&amp;VAR:CHGPERIOD=NA&amp;VAR:FQLFORMULA=FMA_PE&amp;VAR:CURRENCY=USD&amp;VAR:P=4","64.780000&amp;VAR:THRESH=||||||&amp;VAR:null=.html"}</definedName>
    <definedName name="_822__FDSAUDITLINK__" hidden="1">{"fdsup://directions/FAT%20Viewer?VAR:TM=NTMA&amp;VAR:PCT=0.964384&amp;VAR:Y0=1995&amp;VAR:Y1=1996&amp;VAR:V0=12.935840&amp;VAR:V1=10.232475&amp;VAR:V=12.815253&amp;VAR:AUDIT_ID=00000117&amp;VAR:DATE=19950113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Aggregates&amp;VAR:MEASURE=PE_MEAN&amp;VAR:CALC_MODE=PORTFOLIO&amp;VAR:CHGPERIOD=NA&amp;VAR:FQLFORMULA=FMA_PE&amp;VAR:CURRENCY=USD&amp;VAR:P=4","65.970000&amp;VAR:THRESH=||||||&amp;VAR:null=.html"}</definedName>
    <definedName name="_823__FDSAUDITLINK__" hidden="1">{"fdsup://directions/FAT%20Viewer?VAR:TM=NTMA&amp;VAR:PCT=0.983562&amp;VAR:Y0=1995&amp;VAR:Y1=1996&amp;VAR:V0=12.875044&amp;VAR:V1=10.264736&amp;VAR:V=12.821447&amp;VAR:AUDIT_ID=00000117&amp;VAR:DATE=19950106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Aggregates&amp;VAR:MEASURE=PE_MEAN&amp;VAR:CALC_MODE=PORTFOLIO&amp;VAR:CHGPERIOD=NA&amp;VAR:FQLFORMULA=FMA_PE&amp;VAR:CURRENCY=USD&amp;VAR:P=4","60.680000&amp;VAR:THRESH=||||||&amp;VAR:null=.html"}</definedName>
    <definedName name="_824__FDSAUDITLINK__" hidden="1">{"fdsup://directions/FAT%20Viewer?VAR:TM=NTMA&amp;VAR:PCT=0.002740&amp;VAR:Y0=1994&amp;VAR:Y1=1995&amp;VAR:V0=15.169042&amp;VAR:V1=12.816511&amp;VAR:V=12.821959&amp;VAR:AUDIT_ID=00000117&amp;VAR:DATE=19941230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Aggregates&amp;VAR:MEASURE=PE_MEAN&amp;VAR:CALC_MODE=PORTFOLIO&amp;VAR:CHGPERIOD=NA&amp;VAR:FQLFORMULA=FMA_PE&amp;VAR:CURRENCY=USD&amp;VAR:P=4","59.270000&amp;VAR:THRESH=||||||&amp;VAR:null=.html"}</definedName>
    <definedName name="_825__FDSAUDITLINK__" hidden="1">{"fdsup://directions/FAT%20Viewer?VAR:TM=NTMA&amp;VAR:PCT=0.021918&amp;VAR:Y0=1994&amp;VAR:Y1=1995&amp;VAR:V0=15.194844&amp;VAR:V1=12.861038&amp;VAR:V=12.904480&amp;VAR:AUDIT_ID=00000117&amp;VAR:DATE=19941223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Aggregates&amp;VAR:MEASURE=PE_MEAN&amp;VAR:CALC_MODE=PORTFOLIO&amp;VAR:CHGPERIOD=NA&amp;VAR:FQLFORMULA=FMA_PE&amp;VAR:CURRENCY=USD&amp;VAR:P=4","59.830000&amp;VAR:THRESH=||||||&amp;VAR:null=.html"}</definedName>
    <definedName name="_826__FDSAUDITLINK__" hidden="1">{"fdsup://directions/FAT%20Viewer?VAR:TM=NTMA&amp;VAR:PCT=0.041096&amp;VAR:Y0=1994&amp;VAR:Y1=1995&amp;VAR:V0=15.063400&amp;VAR:V1=12.772222&amp;VAR:V=12.852561&amp;VAR:AUDIT_ID=00000117&amp;VAR:DATE=19941216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Aggregates&amp;VAR:MEASURE=PE_MEAN&amp;VAR:CALC_MODE=PORTFOLIO&amp;VAR:CHGPERIOD=NA&amp;VAR:FQLFORMULA=FMA_PE&amp;VAR:CURRENCY=USD&amp;VAR:P=4","58.800000&amp;VAR:THRESH=||||||&amp;VAR:null=.html"}</definedName>
    <definedName name="_827__FDSAUDITLINK__" hidden="1">{"fdsup://directions/FAT%20Viewer?VAR:TM=NTMA&amp;VAR:PCT=0.060274&amp;VAR:Y0=1994&amp;VAR:Y1=1995&amp;VAR:V0=14.676174&amp;VAR:V1=12.444864&amp;VAR:V=12.559961&amp;VAR:AUDIT_ID=00000117&amp;VAR:DATE=19941209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Aggregates&amp;VAR:MEASURE=PE_MEAN&amp;VAR:CALC_MODE=PORTFOLIO&amp;VAR:CHGPERIOD=NA&amp;VAR:FQLFORMULA=FMA_PE&amp;VAR:CURRENCY=USD&amp;VAR:P=4","46.960000&amp;VAR:THRESH=||||||&amp;VAR:null=.html"}</definedName>
    <definedName name="_828__FDSAUDITLINK__" hidden="1">{"fdsup://directions/FAT%20Viewer?VAR:TM=NTMA&amp;VAR:PCT=0.079452&amp;VAR:Y0=1994&amp;VAR:Y1=1995&amp;VAR:V0=14.798840&amp;VAR:V1=12.547628&amp;VAR:V=12.701138&amp;VAR:AUDIT_ID=00000117&amp;VAR:DATE=19941202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Aggregates&amp;VAR:MEASURE=PE_MEAN&amp;VAR:CALC_MODE=PORTFOLIO&amp;VAR:CHGPERIOD=NA&amp;VAR:FQLFORMULA=FMA_PE&amp;VAR:CURRENCY=USD&amp;VAR:P=4","53.300000&amp;VAR:THRESH=||||||&amp;VAR:null=.html"}</definedName>
    <definedName name="_829__FDSAUDITLINK__" hidden="1">{"fdsup://directions/FAT%20Viewer?VAR:TM=NTMA&amp;VAR:PCT=0.098630&amp;VAR:Y0=1994&amp;VAR:Y1=1995&amp;VAR:V0=14.722250&amp;VAR:V1=12.495763&amp;VAR:V=12.684973&amp;VAR:AUDIT_ID=00000117&amp;VAR:DATE=19941125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Aggregates&amp;VAR:MEASURE=PE_MEAN&amp;VAR:CALC_MODE=PORTFOLIO&amp;VAR:CHGPERIOD=NA&amp;VAR:FQLFORMULA=FMA_PE&amp;VAR:CURRENCY=USD&amp;VAR:P=4","52.290000&amp;VAR:THRESH=||||||&amp;VAR:null=.html"}</definedName>
    <definedName name="_83__FDSAUDITLINK__" hidden="1">{"fdsup://directions/FAT%20Viewer?VAR:TM=NTMA&amp;VAR:PCT=0.802740&amp;VAR:Y0=2009&amp;VAR:Y1=2010&amp;VAR:V0=12.151150&amp;VAR:V1=9.705639&amp;VAR:V=11.575795&amp;VAR:AUDIT_ID=00000117&amp;VAR:DATE=20090313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Aggregates&amp;VAR:MEASURE=PE_MEAN&amp;VAR:CALC_MODE=PORTFOLIO&amp;VAR:CHGPERIOD=NA&amp;VAR:FQLFORMULA=FMA_PE&amp;VAR:CURRENCY=USD&amp;VAR:P=75","6.553170&amp;VAR:THRESH=||||||&amp;VAR:null=.html"}</definedName>
    <definedName name="_830__FDSAUDITLINK__" hidden="1">{"fdsup://directions/FAT%20Viewer?VAR:TM=NTMA&amp;VAR:PCT=0.117808&amp;VAR:Y0=1994&amp;VAR:Y1=1995&amp;VAR:V0=15.128084&amp;VAR:V1=12.835382&amp;VAR:V=13.068713&amp;VAR:AUDIT_ID=00000117&amp;VAR:DATE=19941118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Aggregates&amp;VAR:MEASURE=PE_MEAN&amp;VAR:CALC_MODE=PORTFOLIO&amp;VAR:CHGPERIOD=NA&amp;VAR:FQLFORMULA=FMA_PE&amp;VAR:CURRENCY=USD&amp;VAR:P=4","61.470000&amp;VAR:THRESH=||||||&amp;VAR:null=.html"}</definedName>
    <definedName name="_831__FDSAUDITLINK__" hidden="1">{"fdsup://directions/FAT%20Viewer?VAR:TM=NTMA&amp;VAR:PCT=0.136986&amp;VAR:Y0=1994&amp;VAR:Y1=1995&amp;VAR:V0=14.986210&amp;VAR:V1=12.738070&amp;VAR:V=13.005328&amp;VAR:AUDIT_ID=00000117&amp;VAR:DATE=19941111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Aggregates&amp;VAR:MEASURE=PE_MEAN&amp;VAR:CALC_MODE=PORTFOLIO&amp;VAR:CHGPERIOD=NA&amp;VAR:FQLFORMULA=FMA_PE&amp;VAR:CURRENCY=USD&amp;VAR:P=4","62.350000&amp;VAR:THRESH=||||||&amp;VAR:null=.html"}</definedName>
    <definedName name="_832__FDSAUDITLINK__" hidden="1">{"fdsup://directions/FAT%20Viewer?VAR:TM=NTMA&amp;VAR:PCT=0.156164&amp;VAR:Y0=1994&amp;VAR:Y1=1995&amp;VAR:V0=14.902886&amp;VAR:V1=12.646651&amp;VAR:V=12.952892&amp;VAR:AUDIT_ID=00000117&amp;VAR:DATE=19941104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Aggregates&amp;VAR:MEASURE=PE_MEAN&amp;VAR:CALC_MODE=PORTFOLIO&amp;VAR:CHGPERIOD=NA&amp;VAR:FQLFORMULA=FMA_PE&amp;VAR:CURRENCY=USD&amp;VAR:P=4","62.280000&amp;VAR:THRESH=||||||&amp;VAR:null=.html"}</definedName>
    <definedName name="_833__FDSAUDITLINK__" hidden="1">{"fdsup://directions/FAT%20Viewer?VAR:TM=NTMA&amp;VAR:PCT=0.175342&amp;VAR:Y0=1994&amp;VAR:Y1=1995&amp;VAR:V0=15.353969&amp;VAR:V1=13.060858&amp;VAR:V=13.412085&amp;VAR:AUDIT_ID=00000117&amp;VAR:DATE=19941028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Aggregates&amp;VAR:MEASURE=PE_MEAN&amp;VAR:CALC_MODE=PORTFOLIO&amp;VAR:CHGPERIOD=NA&amp;VAR:FQLFORMULA=FMA_PE&amp;VAR:CURRENCY=USD&amp;VAR:P=4","73.770000&amp;VAR:THRESH=||||||&amp;VAR:null=.html"}</definedName>
    <definedName name="_834__FDSAUDITLINK__" hidden="1">{"fdsup://directions/FAT%20Viewer?VAR:TM=NTMA&amp;VAR:PCT=0.194521&amp;VAR:Y0=1994&amp;VAR:Y1=1995&amp;VAR:V0=15.127408&amp;VAR:V1=12.905177&amp;VAR:V=13.284793&amp;VAR:AUDIT_ID=00000117&amp;VAR:DATE=19941021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Aggregates&amp;VAR:MEASURE=PE_MEAN&amp;VAR:CALC_MODE=PORTFOLIO&amp;VAR:CHGPERIOD=NA&amp;VAR:FQLFORMULA=FMA_PE&amp;VAR:CURRENCY=USD&amp;VAR:P=4","64.890000&amp;VAR:THRESH=||||||&amp;VAR:null=.html"}</definedName>
    <definedName name="_835__FDSAUDITLINK__" hidden="1">{"fdsup://directions/FAT%20Viewer?VAR:TM=NTMA&amp;VAR:PCT=0.213699&amp;VAR:Y0=1994&amp;VAR:Y1=1995&amp;VAR:V0=15.233327&amp;VAR:V1=13.019963&amp;VAR:V=13.437186&amp;VAR:AUDIT_ID=00000117&amp;VAR:DATE=19941014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Aggregates&amp;VAR:MEASURE=PE_MEAN&amp;VAR:CALC_MODE=PORTFOLIO&amp;VAR:CHGPERIOD=NA&amp;VAR:FQLFORMULA=FMA_PE&amp;VAR:CURRENCY=USD&amp;VAR:P=4","69.100000&amp;VAR:THRESH=||||||&amp;VAR:null=.html"}</definedName>
    <definedName name="_836__FDSAUDITLINK__" hidden="1">{"fdsup://directions/FAT%20Viewer?VAR:TM=NTMA&amp;VAR:PCT=0.232877&amp;VAR:Y0=1994&amp;VAR:Y1=1995&amp;VAR:V0=14.750242&amp;VAR:V1=12.602770&amp;VAR:V=13.045053&amp;VAR:AUDIT_ID=00000117&amp;VAR:DATE=19941007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Aggregates&amp;VAR:MEASURE=PE_MEAN&amp;VAR:CALC_MODE=PORTFOLIO&amp;VAR:CHGPERIOD=NA&amp;VAR:FQLFORMULA=FMA_PE&amp;VAR:CURRENCY=USD&amp;VAR:P=4","55.100000&amp;VAR:THRESH=||||||&amp;VAR:null=.html"}</definedName>
    <definedName name="_837__FDSAUDITLINK__" hidden="1">{"fdsup://directions/FAT%20Viewer?VAR:TM=NTMA&amp;VAR:PCT=0.252055&amp;VAR:Y0=1994&amp;VAR:Y1=1995&amp;VAR:V0=14.922802&amp;VAR:V1=12.737734&amp;VAR:V=13.225862&amp;VAR:AUDIT_ID=00000117&amp;VAR:DATE=19940930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Aggregates&amp;VAR:MEASURE=PE_MEAN&amp;VAR:CALC_MODE=PORTFOLIO&amp;VAR:CHGPERIOD=NA&amp;VAR:FQLFORMULA=FMA_PE&amp;VAR:CURRENCY=USD&amp;VAR:P=4","62.690000&amp;VAR:THRESH=||||||&amp;VAR:null=.html"}</definedName>
    <definedName name="_838__FDSAUDITLINK__" hidden="1">{"fdsup://directions/FAT%20Viewer?VAR:TM=NTMA&amp;VAR:PCT=0.271233&amp;VAR:Y0=1994&amp;VAR:Y1=1995&amp;VAR:V0=14.824052&amp;VAR:V1=12.725533&amp;VAR:V=13.233655&amp;VAR:AUDIT_ID=00000117&amp;VAR:DATE=19940923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Aggregates&amp;VAR:MEASURE=PE_MEAN&amp;VAR:CALC_MODE=PORTFOLIO&amp;VAR:CHGPERIOD=NA&amp;VAR:FQLFORMULA=FMA_PE&amp;VAR:CURRENCY=USD&amp;VAR:P=4","59.670000&amp;VAR:THRESH=||||||&amp;VAR:null=.html"}</definedName>
    <definedName name="_839__FDSAUDITLINK__" hidden="1">{"fdsup://directions/FAT%20Viewer?VAR:TM=NTMA&amp;VAR:PCT=0.290411&amp;VAR:Y0=1994&amp;VAR:Y1=1995&amp;VAR:V0=15.118115&amp;VAR:V1=12.989599&amp;VAR:V=13.543355&amp;VAR:AUDIT_ID=00000117&amp;VAR:DATE=19940916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Aggregates&amp;VAR:MEASURE=PE_MEAN&amp;VAR:CALC_MODE=PORTFOLIO&amp;VAR:CHGPERIOD=NA&amp;VAR:FQLFORMULA=FMA_PE&amp;VAR:CURRENCY=USD&amp;VAR:P=4","71.190000&amp;VAR:THRESH=||||||&amp;VAR:null=.html"}</definedName>
    <definedName name="_84__FDSAUDITLINK__" hidden="1">{"fdsup://directions/FAT%20Viewer?VAR:TM=NTMA&amp;VAR:PCT=0.821918&amp;VAR:Y0=2009&amp;VAR:Y1=2010&amp;VAR:V0=10.873647&amp;VAR:V1=8.628825&amp;VAR:V=10.392190&amp;VAR:AUDIT_ID=00000117&amp;VAR:DATE=20090306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Aggregates&amp;VAR:MEASURE=PE_MEAN&amp;VAR:CALC_MODE=PORTFOLIO&amp;VAR:CHGPERIOD=NA&amp;VAR:FQLFORMULA=FMA_PE&amp;VAR:CURRENCY=USD&amp;VAR:P=68","3.384059&amp;VAR:THRESH=||||||&amp;VAR:null=.html"}</definedName>
    <definedName name="_840__FDSAUDITLINK__" hidden="1">{"fdsup://directions/FAT%20Viewer?VAR:TM=NTMA&amp;VAR:PCT=0.309589&amp;VAR:Y0=1994&amp;VAR:Y1=1995&amp;VAR:V0=14.925870&amp;VAR:V1=12.812052&amp;VAR:V=13.399546&amp;VAR:AUDIT_ID=00000117&amp;VAR:DATE=19940909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Aggregates&amp;VAR:MEASURE=PE_MEAN&amp;VAR:CALC_MODE=PORTFOLIO&amp;VAR:CHGPERIOD=NA&amp;VAR:FQLFORMULA=FMA_PE&amp;VAR:CURRENCY=USD&amp;VAR:P=4","68.180000&amp;VAR:THRESH=||||||&amp;VAR:null=.html"}</definedName>
    <definedName name="_841__FDSAUDITLINK__" hidden="1">{"fdsup://directions/FAT%20Viewer?VAR:TM=NTMA&amp;VAR:PCT=0.328767&amp;VAR:Y0=1994&amp;VAR:Y1=1995&amp;VAR:V0=15.024598&amp;VAR:V1=12.879258&amp;VAR:V=13.513645&amp;VAR:AUDIT_ID=00000117&amp;VAR:DATE=19940902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Aggregates&amp;VAR:MEASURE=PE_MEAN&amp;VAR:CALC_MODE=PORTFOLIO&amp;VAR:CHGPERIOD=NA&amp;VAR:FQLFORMULA=FMA_PE&amp;VAR:CURRENCY=USD&amp;VAR:P=4","70.990000&amp;VAR:THRESH=||||||&amp;VAR:null=.html"}</definedName>
    <definedName name="_842__FDSAUDITLINK__" hidden="1">{"fdsup://directions/FAT%20Viewer?VAR:TM=NTMA&amp;VAR:PCT=0.347945&amp;VAR:Y0=1994&amp;VAR:Y1=1995&amp;VAR:V0=15.112433&amp;VAR:V1=12.956115&amp;VAR:V=13.632944&amp;VAR:AUDIT_ID=00000117&amp;VAR:DATE=19940826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Aggregates&amp;VAR:MEASURE=PE_MEAN&amp;VAR:CALC_MODE=PORTFOLIO&amp;VAR:CHGPERIOD=NA&amp;VAR:FQLFORMULA=FMA_PE&amp;VAR:CURRENCY=USD&amp;VAR:P=4","73.800000&amp;VAR:THRESH=||||||&amp;VAR:null=.html"}</definedName>
    <definedName name="_843__FDSAUDITLINK__" hidden="1">{"fdsup://directions/FAT%20Viewer?VAR:TM=NTMA&amp;VAR:PCT=0.367123&amp;VAR:Y0=1994&amp;VAR:Y1=1995&amp;VAR:V0=14.798714&amp;VAR:V1=12.676858&amp;VAR:V=13.381226&amp;VAR:AUDIT_ID=00000117&amp;VAR:DATE=19940819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Aggregates&amp;VAR:MEASURE=PE_MEAN&amp;VAR:CALC_MODE=PORTFOLIO&amp;VAR:CHGPERIOD=NA&amp;VAR:FQLFORMULA=FMA_PE&amp;VAR:CURRENCY=USD&amp;VAR:P=4","63.680000&amp;VAR:THRESH=||||||&amp;VAR:null=.html"}</definedName>
    <definedName name="_844__FDSAUDITLINK__" hidden="1">{"fdsup://directions/FAT%20Viewer?VAR:TM=NTMA&amp;VAR:PCT=0.386301&amp;VAR:Y0=1994&amp;VAR:Y1=1995&amp;VAR:V0=14.642952&amp;VAR:V1=12.552670&amp;VAR:V=13.285281&amp;VAR:AUDIT_ID=00000117&amp;VAR:DATE=19940812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Aggregates&amp;VAR:MEASURE=PE_MEAN&amp;VAR:CALC_MODE=PORTFOLIO&amp;VAR:CHGPERIOD=NA&amp;VAR:FQLFORMULA=FMA_PE&amp;VAR:CURRENCY=USD&amp;VAR:P=4","61.940000&amp;VAR:THRESH=||||||&amp;VAR:null=.html"}</definedName>
    <definedName name="_845__FDSAUDITLINK__" hidden="1">{"fdsup://directions/FAT%20Viewer?VAR:TM=NTMA&amp;VAR:PCT=0.405479&amp;VAR:Y0=1994&amp;VAR:Y1=1995&amp;VAR:V0=14.389737&amp;VAR:V1=12.332446&amp;VAR:V=13.091367&amp;VAR:AUDIT_ID=00000117&amp;VAR:DATE=19940805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Aggregates&amp;VAR:MEASURE=PE_MEAN&amp;VAR:CALC_MODE=PORTFOLIO&amp;VAR:CHGPERIOD=NA&amp;VAR:FQLFORMULA=FMA_PE&amp;VAR:CURRENCY=USD&amp;VAR:P=4","57.090000&amp;VAR:THRESH=||||||&amp;VAR:null=.html"}</definedName>
    <definedName name="_846__FDSAUDITLINK__" hidden="1">{"fdsup://directions/FAT%20Viewer?VAR:TM=NTMA&amp;VAR:PCT=0.424658&amp;VAR:Y0=1994&amp;VAR:Y1=1995&amp;VAR:V0=14.397713&amp;VAR:V1=12.348475&amp;VAR:V=13.142853&amp;VAR:AUDIT_ID=00000117&amp;VAR:DATE=19940729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Aggregates&amp;VAR:MEASURE=PE_MEAN&amp;VAR:CALC_MODE=PORTFOLIO&amp;VAR:CHGPERIOD=NA&amp;VAR:FQLFORMULA=FMA_PE&amp;VAR:CURRENCY=USD&amp;VAR:P=4","58.260000&amp;VAR:THRESH=||||||&amp;VAR:null=.html"}</definedName>
    <definedName name="_847__FDSAUDITLINK__" hidden="1">{"fdsup://directions/FAT%20Viewer?VAR:TM=NTMA&amp;VAR:PCT=0.443836&amp;VAR:Y0=1994&amp;VAR:Y1=1995&amp;VAR:V0=14.317582&amp;VAR:V1=12.167079&amp;VAR:V=13.036121&amp;VAR:AUDIT_ID=00000117&amp;VAR:DATE=19940722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Aggregates&amp;VAR:MEASURE=PE_MEAN&amp;VAR:CALC_MODE=PORTFOLIO&amp;VAR:CHGPERIOD=NA&amp;VAR:FQLFORMULA=FMA_PE&amp;VAR:CURRENCY=USD&amp;VAR:P=4","53.110000&amp;VAR:THRESH=||||||&amp;VAR:null=.html"}</definedName>
    <definedName name="_848__FDSAUDITLINK__" hidden="1">{"fdsup://directions/FAT%20Viewer?VAR:TM=NTMA&amp;VAR:PCT=0.463014&amp;VAR:Y0=1994&amp;VAR:Y1=1995&amp;VAR:V0=14.381948&amp;VAR:V1=12.154979&amp;VAR:V=13.093738&amp;VAR:AUDIT_ID=00000117&amp;VAR:DATE=19940715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Aggregates&amp;VAR:MEASURE=PE_MEAN&amp;VAR:CALC_MODE=PORTFOLIO&amp;VAR:CHGPERIOD=NA&amp;VAR:FQLFORMULA=FMA_PE&amp;VAR:CURRENCY=USD&amp;VAR:P=4","54.160000&amp;VAR:THRESH=||||||&amp;VAR:null=.html"}</definedName>
    <definedName name="_849__FDSAUDITLINK__" hidden="1">{"fdsup://directions/FAT%20Viewer?VAR:TM=NTMA&amp;VAR:PCT=0.482192&amp;VAR:Y0=1994&amp;VAR:Y1=1995&amp;VAR:V0=14.326757&amp;VAR:V1=12.120199&amp;VAR:V=13.092522&amp;VAR:AUDIT_ID=00000117&amp;VAR:DATE=19940708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Aggregates&amp;VAR:MEASURE=PE_MEAN&amp;VAR:CALC_MODE=PORTFOLIO&amp;VAR:CHGPERIOD=NA&amp;VAR:FQLFORMULA=FMA_PE&amp;VAR:CURRENCY=USD&amp;VAR:P=4","49.550000&amp;VAR:THRESH=||||||&amp;VAR:null=.html"}</definedName>
    <definedName name="_85__FDSAUDITLINK__" hidden="1">{"fdsup://directions/FAT%20Viewer?VAR:TM=NTMA&amp;VAR:PCT=0.841096&amp;VAR:Y0=2009&amp;VAR:Y1=2010&amp;VAR:V0=11.600349&amp;VAR:V1=9.188040&amp;VAR:V=11.135764&amp;VAR:AUDIT_ID=00000117&amp;VAR:DATE=20090227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Aggregates&amp;VAR:MEASURE=PE_MEAN&amp;VAR:CALC_MODE=PORTFOLIO&amp;VAR:CHGPERIOD=NA&amp;VAR:FQLFORMULA=FMA_PE&amp;VAR:CURRENCY=USD&amp;VAR:P=73","5.092182&amp;VAR:THRESH=||||||&amp;VAR:null=.html"}</definedName>
    <definedName name="_850__FDSAUDITLINK__" hidden="1">{"fdsup://directions/FAT%20Viewer?VAR:TM=NTMA&amp;VAR:PCT=0.501370&amp;VAR:Y0=1994&amp;VAR:Y1=1995&amp;VAR:V0=14.158194&amp;VAR:V1=11.993519&amp;VAR:V=12.989213&amp;VAR:AUDIT_ID=00000117&amp;VAR:DATE=19940701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Aggregates&amp;VAR:MEASURE=PE_MEAN&amp;VAR:CALC_MODE=PORTFOLIO&amp;VAR:CHGPERIOD=NA&amp;VAR:FQLFORMULA=FMA_PE&amp;VAR:CURRENCY=USD&amp;VAR:P=4","46.200000&amp;VAR:THRESH=||||||&amp;VAR:null=.html"}</definedName>
    <definedName name="_851__FDSAUDITLINK__" hidden="1">{"fdsup://directions/FAT%20Viewer?VAR:TM=NTMA&amp;VAR:PCT=0.520548&amp;VAR:Y0=1994&amp;VAR:Y1=1995&amp;VAR:V0=14.114883&amp;VAR:V1=11.963117&amp;VAR:V=12.994289&amp;VAR:AUDIT_ID=00000117&amp;VAR:DATE=19940624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Aggregates&amp;VAR:MEASURE=PE_MEAN&amp;VAR:CALC_MODE=PORTFOLIO&amp;VAR:CHGPERIOD=NA&amp;VAR:FQLFORMULA=FMA_PE&amp;VAR:CURRENCY=USD&amp;VAR:P=4","42.800000&amp;VAR:THRESH=||||||&amp;VAR:null=.html"}</definedName>
    <definedName name="_852__FDSAUDITLINK__" hidden="1">{"fdsup://directions/FAT%20Viewer?VAR:TM=NTMA&amp;VAR:PCT=0.539726&amp;VAR:Y0=1994&amp;VAR:Y1=1995&amp;VAR:V0=14.599699&amp;VAR:V1=12.361090&amp;VAR:V=13.476361&amp;VAR:AUDIT_ID=00000117&amp;VAR:DATE=19940617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Aggregates&amp;VAR:MEASURE=PE_MEAN&amp;VAR:CALC_MODE=PORTFOLIO&amp;VAR:CHGPERIOD=NA&amp;VAR:FQLFORMULA=FMA_PE&amp;VAR:CURRENCY=USD&amp;VAR:P=4","58.450000&amp;VAR:THRESH=||||||&amp;VAR:null=.html"}</definedName>
    <definedName name="_853__FDSAUDITLINK__" hidden="1">{"fdsup://directions/FAT%20Viewer?VAR:TM=NTMA&amp;VAR:PCT=0.558904&amp;VAR:Y0=1994&amp;VAR:Y1=1995&amp;VAR:V0=14.625396&amp;VAR:V1=12.400076&amp;VAR:V=13.552585&amp;VAR:AUDIT_ID=00000117&amp;VAR:DATE=19940610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Aggregates&amp;VAR:MEASURE=PE_MEAN&amp;VAR:CALC_MODE=PORTFOLIO&amp;VAR:CHGPERIOD=NA&amp;VAR:FQLFORMULA=FMA_PE&amp;VAR:CURRENCY=USD&amp;VAR:P=4","58.670000&amp;VAR:THRESH=||||||&amp;VAR:null=.html"}</definedName>
    <definedName name="_854__FDSAUDITLINK__" hidden="1">{"fdsup://directions/FAT%20Viewer?VAR:TM=NTMA&amp;VAR:PCT=0.578082&amp;VAR:Y0=1994&amp;VAR:Y1=1995&amp;VAR:V0=14.735913&amp;VAR:V1=12.519796&amp;VAR:V=13.711866&amp;VAR:AUDIT_ID=00000117&amp;VAR:DATE=19940603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Aggregates&amp;VAR:MEASURE=PE_MEAN&amp;VAR:CALC_MODE=PORTFOLIO&amp;VAR:CHGPERIOD=NA&amp;VAR:FQLFORMULA=FMA_PE&amp;VAR:CURRENCY=USD&amp;VAR:P=4","60.130000&amp;VAR:THRESH=||||||&amp;VAR:null=.html"}</definedName>
    <definedName name="_855__FDSAUDITLINK__" hidden="1">{"fdsup://directions/FAT%20Viewer?VAR:TM=NTMA&amp;VAR:PCT=0.597260&amp;VAR:Y0=1994&amp;VAR:Y1=1995&amp;VAR:V0=14.667652&amp;VAR:V1=12.481005&amp;VAR:V=13.700926&amp;VAR:AUDIT_ID=00000117&amp;VAR:DATE=19940527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Aggregates&amp;VAR:MEASURE=PE_MEAN&amp;VAR:CALC_MODE=PORTFOLIO&amp;VAR:CHGPERIOD=NA&amp;VAR:FQLFORMULA=FMA_PE&amp;VAR:CURRENCY=USD&amp;VAR:P=4","57.330000&amp;VAR:THRESH=||||||&amp;VAR:null=.html"}</definedName>
    <definedName name="_856__FDSAUDITLINK__" hidden="1">{"fdsup://directions/FAT%20Viewer?VAR:TM=NTMA&amp;VAR:PCT=0.616438&amp;VAR:Y0=1994&amp;VAR:Y1=1995&amp;VAR:V0=14.539228&amp;VAR:V1=12.377218&amp;VAR:V=13.626278&amp;VAR:AUDIT_ID=00000117&amp;VAR:DATE=19940520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Aggregates&amp;VAR:MEASURE=PE_MEAN&amp;VAR:CALC_MODE=PORTFOLIO&amp;VAR:CHGPERIOD=NA&amp;VAR:FQLFORMULA=FMA_PE&amp;VAR:CURRENCY=USD&amp;VAR:P=4","54.920000&amp;VAR:THRESH=||||||&amp;VAR:null=.html"}</definedName>
    <definedName name="_857__FDSAUDITLINK__" hidden="1">{"fdsup://directions/FAT%20Viewer?VAR:TM=NTMA&amp;VAR:PCT=0.635616&amp;VAR:Y0=1994&amp;VAR:Y1=1995&amp;VAR:V0=14.226004&amp;VAR:V1=12.115283&amp;VAR:V=13.376807&amp;VAR:AUDIT_ID=00000117&amp;VAR:DATE=19940513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Aggregates&amp;VAR:MEASURE=PE_MEAN&amp;VAR:CALC_MODE=PORTFOLIO&amp;VAR:CHGPERIOD=NA&amp;VAR:FQLFORMULA=FMA_PE&amp;VAR:CURRENCY=USD&amp;VAR:P=4","44.140000&amp;VAR:THRESH=||||||&amp;VAR:null=.html"}</definedName>
    <definedName name="_858__FDSAUDITLINK__" hidden="1">{"fdsup://directions/FAT%20Viewer?VAR:TM=NTMA&amp;VAR:PCT=0.654795&amp;VAR:Y0=1994&amp;VAR:Y1=1995&amp;VAR:V0=14.278486&amp;VAR:V1=12.202192&amp;VAR:V=13.486310&amp;VAR:AUDIT_ID=00000117&amp;VAR:DATE=19940506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Aggregates&amp;VAR:MEASURE=PE_MEAN&amp;VAR:CALC_MODE=PORTFOLIO&amp;VAR:CHGPERIOD=NA&amp;VAR:FQLFORMULA=FMA_PE&amp;VAR:CURRENCY=USD&amp;VAR:P=4","47.820000&amp;VAR:THRESH=||||||&amp;VAR:null=.html"}</definedName>
    <definedName name="_859__FDSAUDITLINK__" hidden="1">{"fdsup://directions/FAT%20Viewer?VAR:TM=NTMA&amp;VAR:PCT=0.673973&amp;VAR:Y0=1994&amp;VAR:Y1=1995&amp;VAR:V0=14.372841&amp;VAR:V1=12.264744&amp;VAR:V=13.610149&amp;VAR:AUDIT_ID=00000117&amp;VAR:DATE=19940429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Aggregates&amp;VAR:MEASURE=PE_MEAN&amp;VAR:CALC_MODE=PORTFOLIO&amp;VAR:CHGPERIOD=NA&amp;VAR:FQLFORMULA=FMA_PE&amp;VAR:CURRENCY=USD&amp;VAR:P=4","50.910000&amp;VAR:THRESH=||||||&amp;VAR:null=.html"}</definedName>
    <definedName name="_86__FDSAUDITLINK__" hidden="1">{"fdsup://directions/FAT%20Viewer?VAR:TM=NTMA&amp;VAR:PCT=0.860274&amp;VAR:Y0=2009&amp;VAR:Y1=2010&amp;VAR:V0=12.138169&amp;VAR:V1=9.509950&amp;VAR:V=11.686876&amp;VAR:AUDIT_ID=00000117&amp;VAR:DATE=20090220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Aggregates&amp;VAR:MEASURE=PE_MEAN&amp;VAR:CALC_MODE=PORTFOLIO&amp;VAR:CHGPERIOD=NA&amp;VAR:FQLFORMULA=FMA_PE&amp;VAR:CURRENCY=USD&amp;VAR:P=77","0.047285&amp;VAR:THRESH=||||||&amp;VAR:null=.html"}</definedName>
    <definedName name="_860__FDSAUDITLINK__" hidden="1">{"fdsup://directions/FAT%20Viewer?VAR:TM=NTMA&amp;VAR:PCT=0.693151&amp;VAR:Y0=1994&amp;VAR:Y1=1995&amp;VAR:V0=14.331847&amp;VAR:V1=12.184798&amp;VAR:V=13.596687&amp;VAR:AUDIT_ID=00000117&amp;VAR:DATE=19940422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Aggregates&amp;VAR:MEASURE=PE_MEAN&amp;VAR:CALC_MODE=PORTFOLIO&amp;VAR:CHGPERIOD=NA&amp;VAR:FQLFORMULA=FMA_PE&amp;VAR:CURRENCY=USD&amp;VAR:P=4","47.630000&amp;VAR:THRESH=||||||&amp;VAR:null=.html"}</definedName>
    <definedName name="_861__FDSAUDITLINK__" hidden="1">{"fdsup://directions/FAT%20Viewer?VAR:TM=NTMA&amp;VAR:PCT=0.712329&amp;VAR:Y0=1994&amp;VAR:Y1=1995&amp;VAR:V0=14.202864&amp;VAR:V1=12.079447&amp;VAR:V=13.519211&amp;VAR:AUDIT_ID=00000117&amp;VAR:DATE=19940415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Aggregates&amp;VAR:MEASURE=PE_MEAN&amp;VAR:CALC_MODE=PORTFOLIO&amp;VAR:CHGPERIOD=NA&amp;VAR:FQLFORMULA=FMA_PE&amp;VAR:CURRENCY=USD&amp;VAR:P=4","46.180000&amp;VAR:THRESH=||||||&amp;VAR:null=.html"}</definedName>
    <definedName name="_862__FDSAUDITLINK__" hidden="1">{"fdsup://directions/FAT%20Viewer?VAR:TM=NTMA&amp;VAR:PCT=0.731507&amp;VAR:Y0=1994&amp;VAR:Y1=1995&amp;VAR:V0=14.159051&amp;VAR:V1=12.087064&amp;VAR:V=13.536046&amp;VAR:AUDIT_ID=00000117&amp;VAR:DATE=19940408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Aggregates&amp;VAR:MEASURE=PE_MEAN&amp;VAR:CALC_MODE=PORTFOLIO&amp;VAR:CHGPERIOD=NA&amp;VAR:FQLFORMULA=FMA_PE&amp;VAR:CURRENCY=USD&amp;VAR:P=4","47.100000&amp;VAR:THRESH=||||||&amp;VAR:null=.html"}</definedName>
    <definedName name="_863__FDSAUDITLINK__" hidden="1">{"fdsup://directions/FAT%20Viewer?VAR:TM=NTMA&amp;VAR:PCT=0.753425&amp;VAR:Y0=1994&amp;VAR:Y1=1995&amp;VAR:V0=14.153227&amp;VAR:V1=12.053061&amp;VAR:V=13.570196&amp;VAR:AUDIT_ID=00000117&amp;VAR:DATE=19940331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Aggregates&amp;VAR:MEASURE=PE_MEAN&amp;VAR:CALC_MODE=PORTFOLIO&amp;VAR:CHGPERIOD=NA&amp;VAR:FQLFORMULA=FMA_PE&amp;VAR:CURRENCY=USD&amp;VAR:P=4","45.770000&amp;VAR:THRESH=||||||&amp;VAR:null=.html"}</definedName>
    <definedName name="_864__FDSAUDITLINK__" hidden="1">{"fdsup://directions/FAT%20Viewer?VAR:TM=NTMA&amp;VAR:PCT=0.769863&amp;VAR:Y0=1994&amp;VAR:Y1=1995&amp;VAR:V0=14.517449&amp;VAR:V1=12.386169&amp;VAR:V=13.964463&amp;VAR:AUDIT_ID=00000117&amp;VAR:DATE=19940325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Aggregates&amp;VAR:MEASURE=PE_MEAN&amp;VAR:CALC_MODE=PORTFOLIO&amp;VAR:CHGPERIOD=NA&amp;VAR:FQLFORMULA=FMA_PE&amp;VAR:CURRENCY=USD&amp;VAR:P=4","60.580000&amp;VAR:THRESH=||||||&amp;VAR:null=.html"}</definedName>
    <definedName name="_865__FDSAUDITLINK__" hidden="1">{"fdsup://directions/FAT%20Viewer?VAR:TM=NTMA&amp;VAR:PCT=0.789041&amp;VAR:Y0=1994&amp;VAR:Y1=1995&amp;VAR:V0=14.920795&amp;VAR:V1=12.728683&amp;VAR:V=14.397712&amp;VAR:AUDIT_ID=00000117&amp;VAR:DATE=19940318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Aggregates&amp;VAR:MEASURE=PE_MEAN&amp;VAR:CALC_MODE=PORTFOLIO&amp;VAR:CHGPERIOD=NA&amp;VAR:FQLFORMULA=FMA_PE&amp;VAR:CURRENCY=USD&amp;VAR:P=4","71.060000&amp;VAR:THRESH=||||||&amp;VAR:null=.html"}</definedName>
    <definedName name="_866__FDSAUDITLINK__" hidden="1">{"fdsup://directions/FAT%20Viewer?VAR:TM=NTMA&amp;VAR:PCT=0.808219&amp;VAR:Y0=1994&amp;VAR:Y1=1995&amp;VAR:V0=14.825487&amp;VAR:V1=12.668568&amp;VAR:V=14.356710&amp;VAR:AUDIT_ID=00000117&amp;VAR:DATE=19940311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Aggregates&amp;VAR:MEASURE=PE_MEAN&amp;VAR:CALC_MODE=PORTFOLIO&amp;VAR:CHGPERIOD=NA&amp;VAR:FQLFORMULA=FMA_PE&amp;VAR:CURRENCY=USD&amp;VAR:P=4","66.440000&amp;VAR:THRESH=||||||&amp;VAR:null=.html"}</definedName>
    <definedName name="_867__FDSAUDITLINK__" hidden="1">{"fdsup://directions/FAT%20Viewer?VAR:TM=NTMA&amp;VAR:PCT=0.827397&amp;VAR:Y0=1994&amp;VAR:Y1=1995&amp;VAR:V0=14.748204&amp;VAR:V1=12.596446&amp;VAR:V=14.325815&amp;VAR:AUDIT_ID=00000117&amp;VAR:DATE=19940304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Aggregates&amp;VAR:MEASURE=PE_MEAN&amp;VAR:CALC_MODE=PORTFOLIO&amp;VAR:CHGPERIOD=NA&amp;VAR:FQLFORMULA=FMA_PE&amp;VAR:CURRENCY=USD&amp;VAR:P=4","64.740000&amp;VAR:THRESH=||||||&amp;VAR:null=.html"}</definedName>
    <definedName name="_868__FDSAUDITLINK__" hidden="1">{"fdsup://directions/FAT%20Viewer?VAR:TM=NTMA&amp;VAR:PCT=0.846575&amp;VAR:Y0=1994&amp;VAR:Y1=1995&amp;VAR:V0=14.804842&amp;VAR:V1=12.522840&amp;VAR:V=14.402184&amp;VAR:AUDIT_ID=00000117&amp;VAR:DATE=19940225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Aggregates&amp;VAR:MEASURE=PE_MEAN&amp;VAR:CALC_MODE=PORTFOLIO&amp;VAR:CHGPERIOD=NA&amp;VAR:FQLFORMULA=FMA_PE&amp;VAR:CURRENCY=USD&amp;VAR:P=4","66.070000&amp;VAR:THRESH=||||||&amp;VAR:null=.html"}</definedName>
    <definedName name="_869__FDSAUDITLINK__" hidden="1">{"fdsup://directions/FAT%20Viewer?VAR:TM=NTMA&amp;VAR:PCT=0.865753&amp;VAR:Y0=1994&amp;VAR:Y1=1995&amp;VAR:V0=14.900204&amp;VAR:V1=12.620867&amp;VAR:V=14.547500&amp;VAR:AUDIT_ID=00000117&amp;VAR:DATE=19940218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Aggregates&amp;VAR:MEASURE=PE_MEAN&amp;VAR:CALC_MODE=PORTFOLIO&amp;VAR:CHGPERIOD=NA&amp;VAR:FQLFORMULA=FMA_PE&amp;VAR:CURRENCY=USD&amp;VAR:P=4","67.690000&amp;VAR:THRESH=||||||&amp;VAR:null=.html"}</definedName>
    <definedName name="_87__FDSAUDITLINK__" hidden="1">{"fdsup://directions/FAT%20Viewer?VAR:TM=NTMA&amp;VAR:PCT=0.879452&amp;VAR:Y0=2009&amp;VAR:Y1=2010&amp;VAR:V0=12.911613&amp;VAR:V1=10.085974&amp;VAR:V=12.489805&amp;VAR:AUDIT_ID=00000117&amp;VAR:DATE=20090213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Aggregates&amp;VAR:MEASURE=PE_MEAN&amp;VAR:CALC_MODE=PORTFOLIO&amp;VAR:CHGPERIOD=NA&amp;VAR:FQLFORMULA=FMA_PE&amp;VAR:CURRENCY=USD&amp;VAR:P=8","26.843487&amp;VAR:THRESH=||||||&amp;VAR:null=.html"}</definedName>
    <definedName name="_870__FDSAUDITLINK__" hidden="1">{"fdsup://directions/FAT%20Viewer?VAR:TM=NTMA&amp;VAR:PCT=0.884932&amp;VAR:Y0=1994&amp;VAR:Y1=1995&amp;VAR:V0=15.016991&amp;VAR:V1=12.705725&amp;VAR:V=14.709103&amp;VAR:AUDIT_ID=00000117&amp;VAR:DATE=19940211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Aggregates&amp;VAR:MEASURE=PE_MEAN&amp;VAR:CALC_MODE=PORTFOLIO&amp;VAR:CHGPERIOD=NA&amp;VAR:FQLFORMULA=FMA_PE&amp;VAR:CURRENCY=USD&amp;VAR:P=4","70.180000&amp;VAR:THRESH=||||||&amp;VAR:null=.html"}</definedName>
    <definedName name="_871__FDSAUDITLINK__" hidden="1">{"fdsup://directions/FAT%20Viewer?VAR:TM=NTMA&amp;VAR:PCT=0.904110&amp;VAR:Y0=1994&amp;VAR:Y1=1995&amp;VAR:V0=14.973080&amp;VAR:V1=12.693437&amp;VAR:V=14.719591&amp;VAR:AUDIT_ID=00000117&amp;VAR:DATE=19940204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Aggregates&amp;VAR:MEASURE=PE_MEAN&amp;VAR:CALC_MODE=PORTFOLIO&amp;VAR:CHGPERIOD=NA&amp;VAR:FQLFORMULA=FMA_PE&amp;VAR:CURRENCY=USD&amp;VAR:P=4","69.810000&amp;VAR:THRESH=||||||&amp;VAR:null=.html"}</definedName>
    <definedName name="_872__FDSAUDITLINK__" hidden="1">{"fdsup://directions/FAT%20Viewer?VAR:TM=NTMA&amp;VAR:PCT=0.923288&amp;VAR:Y0=1994&amp;VAR:Y1=1995&amp;VAR:V0=15.279545&amp;VAR:V1=12.891762&amp;VAR:V=15.065487&amp;VAR:AUDIT_ID=00000117&amp;VAR:DATE=19940128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Aggregates&amp;VAR:MEASURE=PE_MEAN&amp;VAR:CALC_MODE=PORTFOLIO&amp;VAR:CHGPERIOD=NA&amp;VAR:FQLFORMULA=FMA_PE&amp;VAR:CURRENCY=USD&amp;VAR:P=4","78.700000&amp;VAR:THRESH=||||||&amp;VAR:null=.html"}</definedName>
    <definedName name="_873__FDSAUDITLINK__" hidden="1">{"fdsup://directions/FAT%20Viewer?VAR:TM=NTMA&amp;VAR:PCT=0.942466&amp;VAR:Y0=1994&amp;VAR:Y1=1995&amp;VAR:V0=15.141704&amp;VAR:V1=12.619863&amp;VAR:V=14.969597&amp;VAR:AUDIT_ID=00000117&amp;VAR:DATE=19940121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Aggregates&amp;VAR:MEASURE=PE_MEAN&amp;VAR:CALC_MODE=PORTFOLIO&amp;VAR:CHGPERIOD=NA&amp;VAR:FQLFORMULA=FMA_PE&amp;VAR:CURRENCY=USD&amp;VAR:P=4","74.720000&amp;VAR:THRESH=||||||&amp;VAR:null=.html"}</definedName>
    <definedName name="_874__FDSAUDITLINK__" hidden="1">{"fdsup://directions/FAT%20Viewer?VAR:TM=NTMA&amp;VAR:PCT=0.961644&amp;VAR:Y0=1994&amp;VAR:Y1=1995&amp;VAR:V0=15.066935&amp;VAR:V1=12.501016&amp;VAR:V=14.949242&amp;VAR:AUDIT_ID=00000117&amp;VAR:DATE=19940114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Aggregates&amp;VAR:MEASURE=PE_MEAN&amp;VAR:CALC_MODE=PORTFOLIO&amp;VAR:CHGPERIOD=NA&amp;VAR:FQLFORMULA=FMA_PE&amp;VAR:CURRENCY=USD&amp;VAR:P=4","74.910000&amp;VAR:THRESH=||||||&amp;VAR:null=.html"}</definedName>
    <definedName name="_875__FDSAUDITLINK__" hidden="1">{"fdsup://directions/FAT%20Viewer?VAR:TM=NTMA&amp;VAR:PCT=0.980822&amp;VAR:Y0=1994&amp;VAR:Y1=1995&amp;VAR:V0=14.820850&amp;VAR:V1=12.326214&amp;VAR:V=14.763548&amp;VAR:AUDIT_ID=00000117&amp;VAR:DATE=19940107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Aggregates&amp;VAR:MEASURE=PE_MEAN&amp;VAR:CALC_MODE=PORTFOLIO&amp;VAR:CHGPERIOD=NA&amp;VAR:FQLFORMULA=FMA_PE&amp;VAR:CURRENCY=USD&amp;VAR:P=4","69.900000&amp;VAR:THRESH=||||||&amp;VAR:null=.html"}</definedName>
    <definedName name="_876__FDSAUDITLINK__" hidden="1">{"fdsup://directions/FAT%20Viewer?VAR:TM=NTMA&amp;VAR:PCT=0.000000&amp;VAR:Y0=1993&amp;VAR:Y1=1994&amp;VAR:V0=17.217178&amp;VAR:V1=14.664143&amp;VAR:V=14.664143&amp;VAR:AUDIT_ID=00000117&amp;VAR:DATE=19931231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Aggregates&amp;VAR:MEASURE=PE_MEAN&amp;VAR:CALC_MODE=PORTFOLIO&amp;VAR:CHGPERIOD=NA&amp;VAR:FQLFORMULA=FMA_PE&amp;VAR:CURRENCY=USD&amp;VAR:P=4","66.450000&amp;VAR:THRESH=||||||&amp;VAR:null=.html"}</definedName>
    <definedName name="_877__FDSAUDITLINK__" hidden="1">{"fdsup://directions/FAT%20Viewer?VAR:TM=NTMA&amp;VAR:PCT=0.021918&amp;VAR:Y0=1993&amp;VAR:Y1=1994&amp;VAR:V0=17.066057&amp;VAR:V1=14.242799&amp;VAR:V=14.294630&amp;VAR:AUDIT_ID=00000117&amp;VAR:DATE=19931223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Aggregates&amp;VAR:MEASURE=PE_MEAN&amp;VAR:CALC_MODE=PORTFOLIO&amp;VAR:CHGPERIOD=NA&amp;VAR:FQLFORMULA=FMA_PE&amp;VAR:CURRENCY=USD&amp;VAR:P=4","67.380000&amp;VAR:THRESH=||||||&amp;VAR:null=.html"}</definedName>
    <definedName name="_878__FDSAUDITLINK__" hidden="1">{"fdsup://directions/FAT%20Viewer?VAR:TM=NTMA&amp;VAR:PCT=0.038356&amp;VAR:Y0=1993&amp;VAR:Y1=1994&amp;VAR:V0=16.837004&amp;VAR:V1=14.004192&amp;VAR:V=14.095154&amp;VAR:AUDIT_ID=00000117&amp;VAR:DATE=19931217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Aggregates&amp;VAR:MEASURE=PE_MEAN&amp;VAR:CALC_MODE=PORTFOLIO&amp;VAR:CHGPERIOD=NA&amp;VAR:FQLFORMULA=FMA_PE&amp;VAR:CURRENCY=USD&amp;VAR:P=4","66.380000&amp;VAR:THRESH=||||||&amp;VAR:null=.html"}</definedName>
    <definedName name="_879__FDSAUDITLINK__" hidden="1">{"fdsup://directions/FAT%20Viewer?VAR:TM=NTMA&amp;VAR:PCT=0.057534&amp;VAR:Y0=1993&amp;VAR:Y1=1994&amp;VAR:V0=16.971928&amp;VAR:V1=14.144347&amp;VAR:V=14.281238&amp;VAR:AUDIT_ID=00000117&amp;VAR:DATE=19931210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Aggregates&amp;VAR:MEASURE=PE_MEAN&amp;VAR:CALC_MODE=PORTFOLIO&amp;VAR:CHGPERIOD=NA&amp;VAR:FQLFORMULA=FMA_PE&amp;VAR:CURRENCY=USD&amp;VAR:P=4","63.930000&amp;VAR:THRESH=||||||&amp;VAR:null=.html"}</definedName>
    <definedName name="_88__FDSAUDITLINK__" hidden="1">{"fdsup://directions/FAT%20Viewer?VAR:TM=NTMA&amp;VAR:PCT=0.898630&amp;VAR:Y0=2009&amp;VAR:Y1=2010&amp;VAR:V0=13.436274&amp;VAR:V1=10.511009&amp;VAR:V=13.067614&amp;VAR:AUDIT_ID=00000117&amp;VAR:DATE=20090206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Aggregates&amp;VAR:MEASURE=PE_MEAN&amp;VAR:CALC_MODE=PORTFOLIO&amp;VAR:CHGPERIOD=NA&amp;VAR:FQLFORMULA=FMA_PE&amp;VAR:CURRENCY=USD&amp;VAR:P=8","68.603258&amp;VAR:THRESH=||||||&amp;VAR:null=.html"}</definedName>
    <definedName name="_880__FDSAUDITLINK__" hidden="1">{"fdsup://directions/FAT%20Viewer?VAR:TM=NTMA&amp;VAR:PCT=0.076712&amp;VAR:Y0=1993&amp;VAR:Y1=1994&amp;VAR:V0=16.976004&amp;VAR:V1=14.190391&amp;VAR:V=14.371294&amp;VAR:AUDIT_ID=00000117&amp;VAR:DATE=19931203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Aggregates&amp;VAR:MEASURE=PE_MEAN&amp;VAR:CALC_MODE=PORTFOLIO&amp;VAR:CHGPERIOD=NA&amp;VAR:FQLFORMULA=FMA_PE&amp;VAR:CURRENCY=USD&amp;VAR:P=4","64.890000&amp;VAR:THRESH=||||||&amp;VAR:null=.html"}</definedName>
    <definedName name="_881__FDSAUDITLINK__" hidden="1">{"fdsup://directions/FAT%20Viewer?VAR:TM=NTMA&amp;VAR:PCT=0.095890&amp;VAR:Y0=1993&amp;VAR:Y1=1994&amp;VAR:V0=16.387363&amp;VAR:V1=13.932010&amp;VAR:V=14.135095&amp;VAR:AUDIT_ID=00000117&amp;VAR:DATE=19931126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Aggregates&amp;VAR:MEASURE=PE_MEAN&amp;VAR:CALC_MODE=PORTFOLIO&amp;VAR:CHGPERIOD=NA&amp;VAR:FQLFORMULA=FMA_PE&amp;VAR:CURRENCY=USD&amp;VAR:P=4","63.060000&amp;VAR:THRESH=||||||&amp;VAR:null=.html"}</definedName>
    <definedName name="_882__FDSAUDITLINK__" hidden="1">{"fdsup://directions/FAT%20Viewer?VAR:TM=NTMA&amp;VAR:PCT=0.115068&amp;VAR:Y0=1993&amp;VAR:Y1=1994&amp;VAR:V0=16.423508&amp;VAR:V1=13.979870&amp;VAR:V=14.223388&amp;VAR:AUDIT_ID=00000117&amp;VAR:DATE=19931119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Aggregates&amp;VAR:MEASURE=PE_MEAN&amp;VAR:CALC_MODE=PORTFOLIO&amp;VAR:CHGPERIOD=NA&amp;VAR:FQLFORMULA=FMA_PE&amp;VAR:CURRENCY=USD&amp;VAR:P=4","62.600000&amp;VAR:THRESH=||||||&amp;VAR:null=.html"}</definedName>
    <definedName name="_883__FDSAUDITLINK__" hidden="1">{"fdsup://directions/FAT%20Viewer?VAR:TM=NTMA&amp;VAR:PCT=0.134247&amp;VAR:Y0=1993&amp;VAR:Y1=1994&amp;VAR:V0=16.162159&amp;VAR:V1=13.760329&amp;VAR:V=14.040438&amp;VAR:AUDIT_ID=00000117&amp;VAR:DATE=19931112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Aggregates&amp;VAR:MEASURE=PE_MEAN&amp;VAR:CALC_MODE=PORTFOLIO&amp;VAR:CHGPERIOD=NA&amp;VAR:FQLFORMULA=FMA_PE&amp;VAR:CURRENCY=USD&amp;VAR:P=4","65.390000&amp;VAR:THRESH=||||||&amp;VAR:null=.html"}</definedName>
    <definedName name="_884__FDSAUDITLINK__" hidden="1">{"fdsup://directions/FAT%20Viewer?VAR:TM=NTMA&amp;VAR:PCT=0.153425&amp;VAR:Y0=1993&amp;VAR:Y1=1994&amp;VAR:V0=15.971780&amp;VAR:V1=13.609172&amp;VAR:V=13.925207&amp;VAR:AUDIT_ID=00000117&amp;VAR:DATE=19931105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Aggregates&amp;VAR:MEASURE=PE_MEAN&amp;VAR:CALC_MODE=PORTFOLIO&amp;VAR:CHGPERIOD=NA&amp;VAR:FQLFORMULA=FMA_PE&amp;VAR:CURRENCY=USD&amp;VAR:P=4","59.570000&amp;VAR:THRESH=||||||&amp;VAR:null=.html"}</definedName>
    <definedName name="_885__FDSAUDITLINK__" hidden="1">{"fdsup://directions/FAT%20Viewer?VAR:TM=NTMA&amp;VAR:PCT=0.172603&amp;VAR:Y0=1993&amp;VAR:Y1=1994&amp;VAR:V0=16.096080&amp;VAR:V1=13.634439&amp;VAR:V=14.004103&amp;VAR:AUDIT_ID=00000117&amp;VAR:DATE=19931029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Aggregates&amp;VAR:MEASURE=PE_MEAN&amp;VAR:CALC_MODE=PORTFOLIO&amp;VAR:CHGPERIOD=NA&amp;VAR:FQLFORMULA=FMA_PE&amp;VAR:CURRENCY=USD&amp;VAR:P=4","67.830000&amp;VAR:THRESH=||||||&amp;VAR:null=.html"}</definedName>
    <definedName name="_886__FDSAUDITLINK__" hidden="1">{"fdsup://directions/FAT%20Viewer?VAR:TM=NTMA&amp;VAR:PCT=0.191781&amp;VAR:Y0=1993&amp;VAR:Y1=1994&amp;VAR:V0=16.062168&amp;VAR:V1=13.291693&amp;VAR:V=13.746414&amp;VAR:AUDIT_ID=00000117&amp;VAR:DATE=19931022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Aggregates&amp;VAR:MEASURE=PE_MEAN&amp;VAR:CALC_MODE=PORTFOLIO&amp;VAR:CHGPERIOD=NA&amp;VAR:FQLFORMULA=FMA_PE&amp;VAR:CURRENCY=USD&amp;VAR:P=4","63.270000&amp;VAR:THRESH=||||||&amp;VAR:null=.html"}</definedName>
    <definedName name="_887__FDSAUDITLINK__" hidden="1">{"fdsup://directions/FAT%20Viewer?VAR:TM=NTMA&amp;VAR:PCT=0.210959&amp;VAR:Y0=1993&amp;VAR:Y1=1994&amp;VAR:V0=16.135569&amp;VAR:V1=13.289050&amp;VAR:V=13.802730&amp;VAR:AUDIT_ID=00000117&amp;VAR:DATE=19931015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Aggregates&amp;VAR:MEASURE=PE_MEAN&amp;VAR:CALC_MODE=PORTFOLIO&amp;VAR:CHGPERIOD=NA&amp;VAR:FQLFORMULA=FMA_PE&amp;VAR:CURRENCY=USD&amp;VAR:P=4","69.500000&amp;VAR:THRESH=||||||&amp;VAR:null=.html"}</definedName>
    <definedName name="_888__FDSAUDITLINK__" hidden="1">{"fdsup://directions/FAT%20Viewer?VAR:TM=NTMA&amp;VAR:PCT=0.230137&amp;VAR:Y0=1993&amp;VAR:Y1=1994&amp;VAR:V0=15.245688&amp;VAR:V1=12.507647&amp;VAR:V=13.046893&amp;VAR:AUDIT_ID=00000117&amp;VAR:DATE=19931008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Aggregates&amp;VAR:MEASURE=PE_MEAN&amp;VAR:CALC_MODE=PORTFOLIO&amp;VAR:CHGPERIOD=NA&amp;VAR:FQLFORMULA=FMA_PE&amp;VAR:CURRENCY=USD&amp;VAR:P=4","60.310000&amp;VAR:THRESH=||||||&amp;VAR:null=.html"}</definedName>
    <definedName name="_889__FDSAUDITLINK__" hidden="1">{"fdsup://directions/FAT%20Viewer?VAR:TM=NTMA&amp;VAR:PCT=0.249315&amp;VAR:Y0=1993&amp;VAR:Y1=1994&amp;VAR:V0=15.295330&amp;VAR:V1=12.493234&amp;VAR:V=13.091165&amp;VAR:AUDIT_ID=00000117&amp;VAR:DATE=19931001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Aggregates&amp;VAR:MEASURE=PE_MEAN&amp;VAR:CALC_MODE=PORTFOLIO&amp;VAR:CHGPERIOD=NA&amp;VAR:FQLFORMULA=FMA_PE&amp;VAR:CURRENCY=USD&amp;VAR:P=4","61.290000&amp;VAR:THRESH=||||||&amp;VAR:null=.html"}</definedName>
    <definedName name="_89__FDSAUDITLINK__" hidden="1">{"fdsup://directions/FAT%20Viewer?VAR:TM=NTMA&amp;VAR:PCT=0.917808&amp;VAR:Y0=2009&amp;VAR:Y1=2010&amp;VAR:V0=12.450606&amp;VAR:V1=9.844510&amp;VAR:V=12.185471&amp;VAR:AUDIT_ID=00000117&amp;VAR:DATE=20090130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Aggregates&amp;VAR:MEASURE=PE_MEAN&amp;VAR:CALC_MODE=PORTFOLIO&amp;VAR:CHGPERIOD=NA&amp;VAR:FQLFORMULA=FMA_PE&amp;VAR:CURRENCY=USD&amp;VAR:P=82","5.881653&amp;VAR:THRESH=||||||&amp;VAR:null=.html"}</definedName>
    <definedName name="_890__FDSAUDITLINK__" hidden="1">{"fdsup://directions/FAT%20Viewer?VAR:TM=NTMA&amp;VAR:PCT=0.268493&amp;VAR:Y0=1993&amp;VAR:Y1=1994&amp;VAR:V0=15.557338&amp;VAR:V1=12.654983&amp;VAR:V=13.322293&amp;VAR:AUDIT_ID=00000117&amp;VAR:DATE=19930924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Aggregates&amp;VAR:MEASURE=PE_MEAN&amp;VAR:CALC_MODE=PORTFOLIO&amp;VAR:CHGPERIOD=NA&amp;VAR:FQLFORMULA=FMA_PE&amp;VAR:CURRENCY=USD&amp;VAR:P=4","57.630000&amp;VAR:THRESH=||||||&amp;VAR:null=.html"}</definedName>
    <definedName name="_891__FDSAUDITLINK__" hidden="1">{"fdsup://directions/FAT%20Viewer?VAR:TM=NTMA&amp;VAR:PCT=0.287671&amp;VAR:Y0=1993&amp;VAR:Y1=1994&amp;VAR:V0=15.475013&amp;VAR:V1=12.587043&amp;VAR:V=13.301122&amp;VAR:AUDIT_ID=00000117&amp;VAR:DATE=19930917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Aggregates&amp;VAR:MEASURE=PE_MEAN&amp;VAR:CALC_MODE=PORTFOLIO&amp;VAR:CHGPERIOD=NA&amp;VAR:FQLFORMULA=FMA_PE&amp;VAR:CURRENCY=USD&amp;VAR:P=4","58.830000&amp;VAR:THRESH=||||||&amp;VAR:null=.html"}</definedName>
    <definedName name="_892__FDSAUDITLINK__" hidden="1">{"fdsup://directions/FAT%20Viewer?VAR:TM=NTMA&amp;VAR:PCT=0.306849&amp;VAR:Y0=1993&amp;VAR:Y1=1994&amp;VAR:V0=15.494812&amp;VAR:V1=12.588416&amp;VAR:V=13.357209&amp;VAR:AUDIT_ID=00000117&amp;VAR:DATE=19930910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Aggregates&amp;VAR:MEASURE=PE_MEAN&amp;VAR:CALC_MODE=PORTFOLIO&amp;VAR:CHGPERIOD=NA&amp;VAR:FQLFORMULA=FMA_PE&amp;VAR:CURRENCY=USD&amp;VAR:P=4","61.720000&amp;VAR:THRESH=||||||&amp;VAR:null=.html"}</definedName>
    <definedName name="_893__FDSAUDITLINK__" hidden="1">{"fdsup://directions/FAT%20Viewer?VAR:TM=NTMA&amp;VAR:PCT=0.326027&amp;VAR:Y0=1993&amp;VAR:Y1=1994&amp;VAR:V0=15.711490&amp;VAR:V1=13.826396&amp;VAR:V=14.389266&amp;VAR:AUDIT_ID=00000117&amp;VAR:DATE=19930903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Aggregates&amp;VAR:MEASURE=PE_MEAN&amp;VAR:CALC_MODE=PORTFOLIO&amp;VAR:CHGPERIOD=NA&amp;VAR:FQLFORMULA=FMA_PE&amp;VAR:CURRENCY=USD&amp;VAR:P=4","61.340000&amp;VAR:THRESH=||||||&amp;VAR:null=.html"}</definedName>
    <definedName name="_894__FDSAUDITLINK__" hidden="1">{"fdsup://directions/FAT%20Viewer?VAR:TM=NTMA&amp;VAR:PCT=0.345205&amp;VAR:Y0=1993&amp;VAR:Y1=1994&amp;VAR:V0=15.622368&amp;VAR:V1=13.704906&amp;VAR:V=14.311273&amp;VAR:AUDIT_ID=00000117&amp;VAR:DATE=19930827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Aggregates&amp;VAR:MEASURE=PE_MEAN&amp;VAR:CALC_MODE=PORTFOLIO&amp;VAR:CHGPERIOD=NA&amp;VAR:FQLFORMULA=FMA_PE&amp;VAR:CURRENCY=USD&amp;VAR:P=4","60.540000&amp;VAR:THRESH=||||||&amp;VAR:null=.html"}</definedName>
    <definedName name="_895__FDSAUDITLINK__" hidden="1">{"fdsup://directions/FAT%20Viewer?VAR:TM=NTMA&amp;VAR:PCT=0.364384&amp;VAR:Y0=1993&amp;VAR:Y1=1994&amp;VAR:V0=15.573754&amp;VAR:V1=13.662187&amp;VAR:V=14.301844&amp;VAR:AUDIT_ID=00000117&amp;VAR:DATE=19930820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Aggregates&amp;VAR:MEASURE=PE_MEAN&amp;VAR:CALC_MODE=PORTFOLIO&amp;VAR:CHGPERIOD=NA&amp;VAR:FQLFORMULA=FMA_PE&amp;VAR:CURRENCY=USD&amp;VAR:P=4","56.160000&amp;VAR:THRESH=||||||&amp;VAR:null=.html"}</definedName>
    <definedName name="_896__FDSAUDITLINK__" hidden="1">{"fdsup://directions/FAT%20Viewer?VAR:TM=NTMA&amp;VAR:PCT=0.383562&amp;VAR:Y0=1993&amp;VAR:Y1=1994&amp;VAR:V0=14.928517&amp;VAR:V1=13.104024&amp;VAR:V=13.748514&amp;VAR:AUDIT_ID=00000117&amp;VAR:DATE=19930813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Aggregates&amp;VAR:MEASURE=PE_MEAN&amp;VAR:CALC_MODE=PORTFOLIO&amp;VAR:CHGPERIOD=NA&amp;VAR:FQLFORMULA=FMA_PE&amp;VAR:CURRENCY=USD&amp;VAR:P=4","50.140000&amp;VAR:THRESH=||||||&amp;VAR:null=.html"}</definedName>
    <definedName name="_897__FDSAUDITLINK__" hidden="1">{"fdsup://directions/FAT%20Viewer?VAR:TM=NTMA&amp;VAR:PCT=0.402740&amp;VAR:Y0=1993&amp;VAR:Y1=1994&amp;VAR:V0=15.122287&amp;VAR:V1=13.298378&amp;VAR:V=13.977322&amp;VAR:AUDIT_ID=00000117&amp;VAR:DATE=19930806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Aggregates&amp;VAR:MEASURE=PE_MEAN&amp;VAR:CALC_MODE=PORTFOLIO&amp;VAR:CHGPERIOD=NA&amp;VAR:FQLFORMULA=FMA_PE&amp;VAR:CURRENCY=USD&amp;VAR:P=4","48.680000&amp;VAR:THRESH=||||||&amp;VAR:null=.html"}</definedName>
    <definedName name="_898__FDSAUDITLINK__" hidden="1">{"fdsup://directions/FAT%20Viewer?VAR:TM=NTMA&amp;VAR:PCT=0.421918&amp;VAR:Y0=1993&amp;VAR:Y1=1994&amp;VAR:V0=15.248082&amp;VAR:V1=13.390096&amp;VAR:V=14.115802&amp;VAR:AUDIT_ID=00000117&amp;VAR:DATE=19930730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Aggregates&amp;VAR:MEASURE=PE_MEAN&amp;VAR:CALC_MODE=PORTFOLIO&amp;VAR:CHGPERIOD=NA&amp;VAR:FQLFORMULA=FMA_PE&amp;VAR:CURRENCY=USD&amp;VAR:P=4","48.130000&amp;VAR:THRESH=||||||&amp;VAR:null=.html"}</definedName>
    <definedName name="_899__FDSAUDITLINK__" hidden="1">{"fdsup://directions/FAT%20Viewer?VAR:TM=NTMA&amp;VAR:PCT=0.441096&amp;VAR:Y0=1993&amp;VAR:Y1=1994&amp;VAR:V0=15.494120&amp;VAR:V1=13.602416&amp;VAR:V=14.376659&amp;VAR:AUDIT_ID=00000117&amp;VAR:DATE=19930723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Aggregates&amp;VAR:MEASURE=PE_MEAN&amp;VAR:CALC_MODE=PORTFOLIO&amp;VAR:CHGPERIOD=NA&amp;VAR:FQLFORMULA=FMA_PE&amp;VAR:CURRENCY=USD&amp;VAR:P=4","47.100000&amp;VAR:THRESH=||||||&amp;VAR:null=.html"}</definedName>
    <definedName name="_9__FDSAUDITLINK__" hidden="1">{"fdsup://directions/FAT%20Viewer?VAR:TM=NTMA&amp;VAR:PCT=0.383562&amp;VAR:Y0=2010&amp;VAR:Y1=2011&amp;VAR:V0=12.893812&amp;VAR:V1=11.197005&amp;VAR:V=11.792232&amp;VAR:AUDIT_ID=00000117&amp;VAR:DATE=20100813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Aggregates&amp;VAR:MEASURE=PE_MEAN&amp;VAR:CALC_MODE=PORTFOLIO&amp;VAR:CHGPERIOD=NA&amp;VAR:FQLFORMULA=FMA_PE&amp;VAR:CURRENCY=USD&amp;VAR:P=1","079.246441&amp;VAR:THRESH=||||||&amp;VAR:null=.html"}</definedName>
    <definedName name="_90__FDSAUDITLINK__" hidden="1">{"fdsup://directions/FAT%20Viewer?VAR:TM=NTMA&amp;VAR:PCT=0.936986&amp;VAR:Y0=2009&amp;VAR:Y1=2010&amp;VAR:V0=11.862979&amp;VAR:V1=9.654763&amp;VAR:V=11.694435&amp;VAR:AUDIT_ID=00000117&amp;VAR:DATE=20090123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Aggregates&amp;VAR:MEASURE=PE_MEAN&amp;VAR:CALC_MODE=PORTFOLIO&amp;VAR:CHGPERIOD=NA&amp;VAR:FQLFORMULA=FMA_PE&amp;VAR:CURRENCY=USD&amp;VAR:P=83","1.951671&amp;VAR:THRESH=||||||&amp;VAR:null=.html"}</definedName>
    <definedName name="_900__FDSAUDITLINK__" hidden="1">{"fdsup://directions/FAT%20Viewer?VAR:TM=NTMA&amp;VAR:PCT=0.460274&amp;VAR:Y0=1993&amp;VAR:Y1=1994&amp;VAR:V0=14.631104&amp;VAR:V1=13.953912&amp;VAR:V=14.257650&amp;VAR:AUDIT_ID=00000117&amp;VAR:DATE=19930716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Aggregates&amp;VAR:MEASURE=PE_MEAN&amp;VAR:CALC_MODE=PORTFOLIO&amp;VAR:CHGPERIOD=NA&amp;VAR:FQLFORMULA=FMA_PE&amp;VAR:CURRENCY=USD&amp;VAR:P=4","45.750000&amp;VAR:THRESH=||||||&amp;VAR:null=.html"}</definedName>
    <definedName name="_901__FDSAUDITLINK__" hidden="1">{"fdsup://directions/FAT%20Viewer?VAR:TM=NTMA&amp;VAR:PCT=0.479452&amp;VAR:Y0=1993&amp;VAR:Y1=1994&amp;VAR:V0=14.824929&amp;VAR:V1=14.139152&amp;VAR:V=14.459852&amp;VAR:AUDIT_ID=00000117&amp;VAR:DATE=19930709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Aggregates&amp;VAR:MEASURE=PE_MEAN&amp;VAR:CALC_MODE=PORTFOLIO&amp;VAR:CHGPERIOD=NA&amp;VAR:FQLFORMULA=FMA_PE&amp;VAR:CURRENCY=USD&amp;VAR:P=4","48.130000&amp;VAR:THRESH=||||||&amp;VAR:null=.html"}</definedName>
    <definedName name="_902__FDSAUDITLINK__" hidden="1">{"fdsup://directions/FAT%20Viewer?VAR:TM=NTMA&amp;VAR:PCT=0.498630&amp;VAR:Y0=1993&amp;VAR:Y1=1994&amp;VAR:V0=14.769375&amp;VAR:V1=14.068171&amp;VAR:V=14.409288&amp;VAR:AUDIT_ID=00000117&amp;VAR:DATE=19930702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Aggregates&amp;VAR:MEASURE=PE_MEAN&amp;VAR:CALC_MODE=PORTFOLIO&amp;VAR:CHGPERIOD=NA&amp;VAR:FQLFORMULA=FMA_PE&amp;VAR:CURRENCY=USD&amp;VAR:P=4","45.840000&amp;VAR:THRESH=||||||&amp;VAR:null=.html"}</definedName>
    <definedName name="_903__FDSAUDITLINK__" hidden="1">{"fdsup://directions/FAT%20Viewer?VAR:TM=NTMA&amp;VAR:PCT=0.517808&amp;VAR:Y0=1993&amp;VAR:Y1=1994&amp;VAR:V0=15.161476&amp;VAR:V1=14.417113&amp;VAR:V=14.793188&amp;VAR:AUDIT_ID=00000117&amp;VAR:DATE=19930625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Aggregates&amp;VAR:MEASURE=PE_MEAN&amp;VAR:CALC_MODE=PORTFOLIO&amp;VAR:CHGPERIOD=NA&amp;VAR:FQLFORMULA=FMA_PE&amp;VAR:CURRENCY=USD&amp;VAR:P=4","47.600000&amp;VAR:THRESH=||||||&amp;VAR:null=.html"}</definedName>
    <definedName name="_904__FDSAUDITLINK__" hidden="1">{"fdsup://directions/FAT%20Viewer?VAR:TM=NTMA&amp;VAR:PCT=0.536986&amp;VAR:Y0=1993&amp;VAR:Y1=1994&amp;VAR:V0=15.156214&amp;VAR:V1=14.481919&amp;VAR:V=14.836365&amp;VAR:AUDIT_ID=00000117&amp;VAR:DATE=19930618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Aggregates&amp;VAR:MEASURE=PE_MEAN&amp;VAR:CALC_MODE=PORTFOLIO&amp;VAR:CHGPERIOD=NA&amp;VAR:FQLFORMULA=FMA_PE&amp;VAR:CURRENCY=USD&amp;VAR:P=4","43.680000&amp;VAR:THRESH=||||||&amp;VAR:null=.html"}</definedName>
    <definedName name="_905__FDSAUDITLINK__" hidden="1">{"fdsup://directions/FAT%20Viewer?VAR:TM=NTMA&amp;VAR:PCT=0.556164&amp;VAR:Y0=1993&amp;VAR:Y1=1994&amp;VAR:V0=15.264205&amp;VAR:V1=14.595527&amp;VAR:V=14.960011&amp;VAR:AUDIT_ID=00000117&amp;VAR:DATE=19930611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Aggregates&amp;VAR:MEASURE=PE_MEAN&amp;VAR:CALC_MODE=PORTFOLIO&amp;VAR:CHGPERIOD=NA&amp;VAR:FQLFORMULA=FMA_PE&amp;VAR:CURRENCY=USD&amp;VAR:P=4","47.260000&amp;VAR:THRESH=||||||&amp;VAR:null=.html"}</definedName>
    <definedName name="_906__FDSAUDITLINK__" hidden="1">{"fdsup://directions/FAT%20Viewer?VAR:TM=NTMA&amp;VAR:PCT=0.575342&amp;VAR:Y0=1993&amp;VAR:Y1=1994&amp;VAR:V0=15.109090&amp;VAR:V1=14.452317&amp;VAR:V=14.823032&amp;VAR:AUDIT_ID=00000117&amp;VAR:DATE=19930604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Aggregates&amp;VAR:MEASURE=PE_MEAN&amp;VAR:CALC_MODE=PORTFOLIO&amp;VAR:CHGPERIOD=NA&amp;VAR:FQLFORMULA=FMA_PE&amp;VAR:CURRENCY=USD&amp;VAR:P=4","50.060000&amp;VAR:THRESH=||||||&amp;VAR:null=.html"}</definedName>
    <definedName name="_907__FDSAUDITLINK__" hidden="1">{"fdsup://directions/FAT%20Viewer?VAR:TM=NTMA&amp;VAR:PCT=0.594521&amp;VAR:Y0=1993&amp;VAR:Y1=1994&amp;VAR:V0=15.309871&amp;VAR:V1=14.613229&amp;VAR:V=15.019543&amp;VAR:AUDIT_ID=00000117&amp;VAR:DATE=19930528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Aggregates&amp;VAR:MEASURE=PE_MEAN&amp;VAR:CALC_MODE=PORTFOLIO&amp;VAR:CHGPERIOD=NA&amp;VAR:FQLFORMULA=FMA_PE&amp;VAR:CURRENCY=USD&amp;VAR:P=4","50.190000&amp;VAR:THRESH=||||||&amp;VAR:null=.html"}</definedName>
    <definedName name="_908__FDSAUDITLINK__" hidden="1">{"fdsup://directions/FAT%20Viewer?VAR:TM=NTMA&amp;VAR:PCT=0.613699&amp;VAR:Y0=1993&amp;VAR:Y1=1994&amp;VAR:V0=15.302828&amp;VAR:V1=14.594190&amp;VAR:V=15.021073&amp;VAR:AUDIT_ID=00000117&amp;VAR:DATE=19930521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Aggregates&amp;VAR:MEASURE=PE_MEAN&amp;VAR:CALC_MODE=PORTFOLIO&amp;VAR:CHGPERIOD=NA&amp;VAR:FQLFORMULA=FMA_PE&amp;VAR:CURRENCY=USD&amp;VAR:P=4","45.840000&amp;VAR:THRESH=||||||&amp;VAR:null=.html"}</definedName>
    <definedName name="_909__FDSAUDITLINK__" hidden="1">{"fdsup://directions/FAT%20Viewer?VAR:TM=NTMA&amp;VAR:PCT=0.632877&amp;VAR:Y0=1993&amp;VAR:Y1=1994&amp;VAR:V0=15.064156&amp;VAR:V1=14.372561&amp;VAR:V=14.802657&amp;VAR:AUDIT_ID=00000117&amp;VAR:DATE=19930514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Aggregates&amp;VAR:MEASURE=PE_MEAN&amp;VAR:CALC_MODE=PORTFOLIO&amp;VAR:CHGPERIOD=NA&amp;VAR:FQLFORMULA=FMA_PE&amp;VAR:CURRENCY=USD&amp;VAR:P=4","39.560000&amp;VAR:THRESH=||||||&amp;VAR:null=.html"}</definedName>
    <definedName name="_91__FDSAUDITLINK__" hidden="1">{"fdsup://directions/FAT%20Viewer?VAR:TM=NTMA&amp;VAR:PCT=0.956164&amp;VAR:Y0=2009&amp;VAR:Y1=2010&amp;VAR:V0=11.665396&amp;VAR:V1=9.614187&amp;VAR:V=11.557307&amp;VAR:AUDIT_ID=00000117&amp;VAR:DATE=20090116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Aggregates&amp;VAR:MEASURE=PE_MEAN&amp;VAR:CALC_MODE=PORTFOLIO&amp;VAR:CHGPERIOD=NA&amp;VAR:FQLFORMULA=FMA_PE&amp;VAR:CURRENCY=USD&amp;VAR:P=85","0.120455&amp;VAR:THRESH=||||||&amp;VAR:null=.html"}</definedName>
    <definedName name="_910__FDSAUDITLINK__" hidden="1">{"fdsup://directions/FAT%20Viewer?VAR:TM=NTMA&amp;VAR:PCT=0.652055&amp;VAR:Y0=1993&amp;VAR:Y1=1994&amp;VAR:V0=15.134258&amp;VAR:V1=14.421806&amp;VAR:V=14.878513&amp;VAR:AUDIT_ID=00000117&amp;VAR:DATE=19930507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Aggregates&amp;VAR:MEASURE=PE_MEAN&amp;VAR:CALC_MODE=PORTFOLIO&amp;VAR:CHGPERIOD=NA&amp;VAR:FQLFORMULA=FMA_PE&amp;VAR:CURRENCY=USD&amp;VAR:P=4","42.310000&amp;VAR:THRESH=||||||&amp;VAR:null=.html"}</definedName>
    <definedName name="_911__FDSAUDITLINK__" hidden="1">{"fdsup://directions/FAT%20Viewer?VAR:TM=NTMA&amp;VAR:PCT=0.671233&amp;VAR:Y0=1993&amp;VAR:Y1=1994&amp;VAR:V0=15.060266&amp;VAR:V1=14.422495&amp;VAR:V=14.844453&amp;VAR:AUDIT_ID=00000117&amp;VAR:DATE=19930430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Aggregates&amp;VAR:MEASURE=PE_MEAN&amp;VAR:CALC_MODE=PORTFOLIO&amp;VAR:CHGPERIOD=NA&amp;VAR:FQLFORMULA=FMA_PE&amp;VAR:CURRENCY=USD&amp;VAR:P=4","40.190000&amp;VAR:THRESH=||||||&amp;VAR:null=.html"}</definedName>
    <definedName name="_912__FDSAUDITLINK__" hidden="1">{"fdsup://directions/FAT%20Viewer?VAR:TM=NTMA&amp;VAR:PCT=0.690411&amp;VAR:Y0=1993&amp;VAR:Y1=1994&amp;VAR:V0=14.707965&amp;VAR:V1=14.283726&amp;VAR:V=14.573957&amp;VAR:AUDIT_ID=00000117&amp;VAR:DATE=19930423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Aggregates&amp;VAR:MEASURE=PE_MEAN&amp;VAR:CALC_MODE=PORTFOLIO&amp;VAR:CHGPERIOD=NA&amp;VAR:FQLFORMULA=FMA_PE&amp;VAR:CURRENCY=USD&amp;VAR:P=4","37.030000&amp;VAR:THRESH=||||||&amp;VAR:null=.html"}</definedName>
    <definedName name="_913__FDSAUDITLINK__" hidden="1">{"fdsup://directions/FAT%20Viewer?VAR:TM=NTMA&amp;VAR:PCT=0.709589&amp;VAR:Y0=1993&amp;VAR:Y1=1994&amp;VAR:V0=14.838941&amp;VAR:V1=14.514972&amp;VAR:V=14.743376&amp;VAR:AUDIT_ID=00000117&amp;VAR:DATE=19930416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Aggregates&amp;VAR:MEASURE=PE_MEAN&amp;VAR:CALC_MODE=PORTFOLIO&amp;VAR:CHGPERIOD=NA&amp;VAR:FQLFORMULA=FMA_PE&amp;VAR:CURRENCY=USD&amp;VAR:P=4","48.940000&amp;VAR:THRESH=||||||&amp;VAR:null=.html"}</definedName>
    <definedName name="_914__FDSAUDITLINK__" hidden="1">{"fdsup://directions/FAT%20Viewer?VAR:TM=NTMA&amp;VAR:PCT=0.731507&amp;VAR:Y0=1993&amp;VAR:Y1=1994&amp;VAR:V0=14.450232&amp;VAR:V1=14.133998&amp;VAR:V=14.363944&amp;VAR:AUDIT_ID=00000117&amp;VAR:DATE=19930408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Aggregates&amp;VAR:MEASURE=PE_MEAN&amp;VAR:CALC_MODE=PORTFOLIO&amp;VAR:CHGPERIOD=NA&amp;VAR:FQLFORMULA=FMA_PE&amp;VAR:CURRENCY=USD&amp;VAR:P=4","41.840000&amp;VAR:THRESH=||||||&amp;VAR:null=.html"}</definedName>
    <definedName name="_915__FDSAUDITLINK__" hidden="1">{"fdsup://directions/FAT%20Viewer?VAR:TM=NTMA&amp;VAR:PCT=0.747945&amp;VAR:Y0=1993&amp;VAR:Y1=1994&amp;VAR:V0=14.474814&amp;VAR:V1=14.129442&amp;VAR:V=14.386180&amp;VAR:AUDIT_ID=00000117&amp;VAR:DATE=19930402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Aggregates&amp;VAR:MEASURE=PE_MEAN&amp;VAR:CALC_MODE=PORTFOLIO&amp;VAR:CHGPERIOD=NA&amp;VAR:FQLFORMULA=FMA_PE&amp;VAR:CURRENCY=USD&amp;VAR:P=4","41.390000&amp;VAR:THRESH=||||||&amp;VAR:null=.html"}</definedName>
    <definedName name="_916__FDSAUDITLINK__" hidden="1">{"fdsup://directions/FAT%20Viewer?VAR:TM=NTMA&amp;VAR:PCT=0.767123&amp;VAR:Y0=1993&amp;VAR:Y1=1994&amp;VAR:V0=14.458385&amp;VAR:V1=14.123867&amp;VAR:V=14.379076&amp;VAR:AUDIT_ID=00000117&amp;VAR:DATE=19930326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Aggregates&amp;VAR:MEASURE=PE_MEAN&amp;VAR:CALC_MODE=PORTFOLIO&amp;VAR:CHGPERIOD=NA&amp;VAR:FQLFORMULA=FMA_PE&amp;VAR:CURRENCY=USD&amp;VAR:P=4","47.780000&amp;VAR:THRESH=||||||&amp;VAR:null=.html"}</definedName>
    <definedName name="_917__FDSAUDITLINK__" hidden="1">{"fdsup://directions/FAT%20Viewer?VAR:TM=NTMA&amp;VAR:PCT=0.786301&amp;VAR:Y0=1993&amp;VAR:Y1=1994&amp;VAR:V0=14.577355&amp;VAR:V1=15.225871&amp;VAR:V=14.711258&amp;VAR:AUDIT_ID=00000117&amp;VAR:DATE=19930319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Aggregates&amp;VAR:MEASURE=PE_MEAN&amp;VAR:CALC_MODE=PORTFOLIO&amp;VAR:CHGPERIOD=NA&amp;VAR:FQLFORMULA=FMA_PE&amp;VAR:CURRENCY=USD&amp;VAR:P=4","50.180000&amp;VAR:THRESH=||||||&amp;VAR:null=.html"}</definedName>
    <definedName name="_918__FDSAUDITLINK__" hidden="1">{"fdsup://directions/FAT%20Viewer?VAR:TM=NTMA&amp;VAR:PCT=0.805479&amp;VAR:Y0=1993&amp;VAR:Y1=1994&amp;VAR:V0=14.690136&amp;VAR:V1=15.078710&amp;VAR:V=14.764145&amp;VAR:AUDIT_ID=00000117&amp;VAR:DATE=19930312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Aggregates&amp;VAR:MEASURE=PE_MEAN&amp;VAR:CALC_MODE=PORTFOLIO&amp;VAR:CHGPERIOD=NA&amp;VAR:FQLFORMULA=FMA_PE&amp;VAR:CURRENCY=USD&amp;VAR:P=4","49.830000&amp;VAR:THRESH=||||||&amp;VAR:null=.html"}</definedName>
    <definedName name="_919__FDSAUDITLINK__" hidden="1">{"fdsup://directions/FAT%20Viewer?VAR:TM=NTMA&amp;VAR:PCT=0.000000&amp;VAR:Y0=1992&amp;VAR:Y1=1993&amp;VAR:V0=16.861986&amp;VAR:V1=15.013749&amp;VAR:V=15.013749&amp;VAR:AUDIT_ID=00000117&amp;VAR:DATE=19921231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Aggregates&amp;VAR:MEASURE=PE_MEAN&amp;VAR:CALC_MODE=PORTFOLIO&amp;VAR:CHGPERIOD=NA&amp;VAR:FQLFORMULA=FMA_PE&amp;VAR:CURRENCY=USD&amp;VAR:P=4","35.710000&amp;VAR:THRESH=||||||&amp;VAR:null=.html"}</definedName>
    <definedName name="_92__FDSAUDITLINK__" hidden="1">{"fdsup://directions/FAT%20Viewer?VAR:TM=NTMA&amp;VAR:PCT=0.975342&amp;VAR:Y0=2009&amp;VAR:Y1=2010&amp;VAR:V0=11.871811&amp;VAR:V1=9.875048&amp;VAR:V=11.812914&amp;VAR:AUDIT_ID=00000117&amp;VAR:DATE=20090109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Aggregates&amp;VAR:MEASURE=PE_MEAN&amp;VAR:CALC_MODE=PORTFOLIO&amp;VAR:CHGPERIOD=NA&amp;VAR:FQLFORMULA=FMA_PE&amp;VAR:CURRENCY=USD&amp;VAR:P=89","0.349957&amp;VAR:THRESH=||||||&amp;VAR:null=.html"}</definedName>
    <definedName name="_920__FDSAUDITLINK__" hidden="1">{"fdsup://directions/FAT%20Viewer?VAR:TM=NTMA&amp;VAR:PCT=0.019126&amp;VAR:Y0=1992&amp;VAR:Y1=1993&amp;VAR:V0=17.233278&amp;VAR:V1=15.362102&amp;VAR:V=15.394070&amp;VAR:AUDIT_ID=00000117&amp;VAR:DATE=19921224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Aggregates&amp;VAR:MEASURE=PE_MEAN&amp;VAR:CALC_MODE=PORTFOLIO&amp;VAR:CHGPERIOD=NA&amp;VAR:FQLFORMULA=FMA_PE&amp;VAR:CURRENCY=USD&amp;VAR:P=4","39.770000&amp;VAR:THRESH=||||||&amp;VAR:null=.html"}</definedName>
    <definedName name="_921__FDSAUDITLINK__" hidden="1">{"fdsup://directions/FAT%20Viewer?VAR:TM=NTMA&amp;VAR:PCT=0.035519&amp;VAR:Y0=1992&amp;VAR:Y1=1993&amp;VAR:V0=18.123980&amp;VAR:V1=16.169022&amp;VAR:V=16.231209&amp;VAR:AUDIT_ID=00000117&amp;VAR:DATE=19921218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Aggregates&amp;VAR:MEASURE=PE_MEAN&amp;VAR:CALC_MODE=PORTFOLIO&amp;VAR:CHGPERIOD=NA&amp;VAR:FQLFORMULA=FMA_PE&amp;VAR:CURRENCY=USD&amp;VAR:P=4","41.280000&amp;VAR:THRESH=||||||&amp;VAR:null=.html"}</definedName>
    <definedName name="_922__FDSAUDITLINK__" hidden="1">{"fdsup://directions/FAT%20Viewer?VAR:TM=NTMA&amp;VAR:PCT=0.054645&amp;VAR:Y0=1992&amp;VAR:Y1=1993&amp;VAR:V0=18.009708&amp;VAR:V1=16.048223&amp;VAR:V=16.144306&amp;VAR:AUDIT_ID=00000117&amp;VAR:DATE=19921211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Aggregates&amp;VAR:MEASURE=PE_MEAN&amp;VAR:CALC_MODE=PORTFOLIO&amp;VAR:CHGPERIOD=NA&amp;VAR:FQLFORMULA=FMA_PE&amp;VAR:CURRENCY=USD&amp;VAR:P=4","33.730000&amp;VAR:THRESH=||||||&amp;VAR:null=.html"}</definedName>
    <definedName name="_923__FDSAUDITLINK__" hidden="1">{"fdsup://directions/FAT%20Viewer?VAR:TM=NTMA&amp;VAR:PCT=0.073770&amp;VAR:Y0=1992&amp;VAR:Y1=1993&amp;VAR:V0=17.547058&amp;VAR:V1=15.627371&amp;VAR:V=15.754520&amp;VAR:AUDIT_ID=00000117&amp;VAR:DATE=19921204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Aggregates&amp;VAR:MEASURE=PE_MEAN&amp;VAR:CALC_MODE=PORTFOLIO&amp;VAR:CHGPERIOD=NA&amp;VAR:FQLFORMULA=FMA_PE&amp;VAR:CURRENCY=USD&amp;VAR:P=4","32.060000&amp;VAR:THRESH=||||||&amp;VAR:null=.html"}</definedName>
    <definedName name="_924__FDSAUDITLINK__" hidden="1">{"fdsup://directions/FAT%20Viewer?VAR:TM=NTMA&amp;VAR:PCT=0.092896&amp;VAR:Y0=1992&amp;VAR:Y1=1993&amp;VAR:V0=17.564192&amp;VAR:V1=15.666612&amp;VAR:V=15.825439&amp;VAR:AUDIT_ID=00000117&amp;VAR:DATE=19921127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Aggregates&amp;VAR:MEASURE=PE_MEAN&amp;VAR:CALC_MODE=PORTFOLIO&amp;VAR:CHGPERIOD=NA&amp;VAR:FQLFORMULA=FMA_PE&amp;VAR:CURRENCY=USD&amp;VAR:P=4","30.160000&amp;VAR:THRESH=||||||&amp;VAR:null=.html"}</definedName>
    <definedName name="_925__FDSAUDITLINK__" hidden="1">{"fdsup://directions/FAT%20Viewer?VAR:TM=NTMA&amp;VAR:PCT=0.112022&amp;VAR:Y0=1992&amp;VAR:Y1=1993&amp;VAR:V0=17.737656&amp;VAR:V1=15.770934&amp;VAR:V=15.969285&amp;VAR:AUDIT_ID=00000117&amp;VAR:DATE=19921120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Aggregates&amp;VAR:MEASURE=PE_MEAN&amp;VAR:CALC_MODE=PORTFOLIO&amp;VAR:CHGPERIOD=NA&amp;VAR:FQLFORMULA=FMA_PE&amp;VAR:CURRENCY=USD&amp;VAR:P=4","26.650000&amp;VAR:THRESH=||||||&amp;VAR:null=.html"}</definedName>
    <definedName name="_926__FDSAUDITLINK__" hidden="1">{"fdsup://directions/FAT%20Viewer?VAR:TM=NTMA&amp;VAR:PCT=0.131148&amp;VAR:Y0=1992&amp;VAR:Y1=1993&amp;VAR:V0=12.158203&amp;VAR:V1=10.732758&amp;VAR:V=10.900362&amp;VAR:AUDIT_ID=00000117&amp;VAR:DATE=19921113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Aggregates&amp;VAR:MEASURE=PE_MEAN&amp;VAR:CALC_MODE=PORTFOLIO&amp;VAR:CHGPERIOD=NA&amp;VAR:FQLFORMULA=FMA_PE&amp;VAR:CURRENCY=USD&amp;VAR:P=4","22.430000&amp;VAR:THRESH=||||||&amp;VAR:null=.html"}</definedName>
    <definedName name="_927__FDSAUDITLINK__" hidden="1">{"fdsup://directions/FAT%20Viewer?VAR:TM=NTMA&amp;VAR:PCT=0.150273&amp;VAR:Y0=1992&amp;VAR:Y1=1993&amp;VAR:V0=11.987305&amp;VAR:V1=10.581897&amp;VAR:V=10.771675&amp;VAR:AUDIT_ID=00000117&amp;VAR:DATE=19921106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Aggregates&amp;VAR:MEASURE=PE_MEAN&amp;VAR:CALC_MODE=PORTFOLIO&amp;VAR:CHGPERIOD=NA&amp;VAR:FQLFORMULA=FMA_PE&amp;VAR:CURRENCY=USD&amp;VAR:P=4","17.580000&amp;VAR:THRESH=||||||&amp;VAR:null=.html"}</definedName>
    <definedName name="_928__FDSAUDITLINK__" hidden="1">{"fdsup://directions/FAT%20Viewer?VAR:TM=NTMA&amp;VAR:PCT=0.169399&amp;VAR:Y0=1992&amp;VAR:Y1=1993&amp;VAR:V0=12.036133&amp;VAR:V1=10.625000&amp;VAR:V=10.840294&amp;VAR:AUDIT_ID=00000117&amp;VAR:DATE=19921030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Aggregates&amp;VAR:MEASURE=PE_MEAN&amp;VAR:CALC_MODE=PORTFOLIO&amp;VAR:CHGPERIOD=NA&amp;VAR:FQLFORMULA=FMA_PE&amp;VAR:CURRENCY=USD&amp;VAR:P=4","18.680000&amp;VAR:THRESH=||||||&amp;VAR:null=.html"}</definedName>
    <definedName name="_929__FDSAUDITLINK__" hidden="1">{"fdsup://directions/FAT%20Viewer?VAR:TM=NTMA&amp;VAR:PCT=0.188525&amp;VAR:Y0=1992&amp;VAR:Y1=1993&amp;VAR:V0=11.499023&amp;VAR:V1=10.150862&amp;VAR:V=10.380296&amp;VAR:AUDIT_ID=00000117&amp;VAR:DATE=19921023&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Aggregates&amp;VAR:MEASURE=PE_MEAN&amp;VAR:CALC_MODE=PORTFOLIO&amp;VAR:CHGPERIOD=NA&amp;VAR:FQLFORMULA=FMA_PE&amp;VAR:CURRENCY=USD&amp;VAR:P=4","14.100000&amp;VAR:THRESH=||||||&amp;VAR:null=.html"}</definedName>
    <definedName name="_93__FDSAUDITLINK__" hidden="1">{"fdsup://directions/FAT%20Viewer?VAR:TM=NTMA&amp;VAR:PCT=0.994521&amp;VAR:Y0=2009&amp;VAR:Y1=2010&amp;VAR:V0=12.068336&amp;VAR:V1=10.085959&amp;VAR:V=12.055353&amp;VAR:AUDIT_ID=00000117&amp;VAR:DATE=20090102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Aggregates&amp;VAR:MEASURE=PE_MEAN&amp;VAR:CALC_MODE=PORTFOLIO&amp;VAR:CHGPERIOD=NA&amp;VAR:FQLFORMULA=FMA_PE&amp;VAR:CURRENCY=USD&amp;VAR:P=9","31.800806&amp;VAR:THRESH=||||||&amp;VAR:null=.html"}</definedName>
    <definedName name="_930__FDSAUDITLINK__" hidden="1">{"fdsup://directions/FAT%20Viewer?VAR:TM=NTMA&amp;VAR:PCT=0.207650&amp;VAR:Y0=1992&amp;VAR:Y1=1993&amp;VAR:V0=11.718750&amp;VAR:V1=10.344828&amp;VAR:V=10.602959&amp;VAR:AUDIT_ID=00000117&amp;VAR:DATE=19921016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Aggregates&amp;VAR:MEASURE=PE_MEAN&amp;VAR:CALC_MODE=PORTFOLIO&amp;VAR:CHGPERIOD=NA&amp;VAR:FQLFORMULA=FMA_PE&amp;VAR:CURRENCY=USD&amp;VAR:P=4","11.730000&amp;VAR:THRESH=||||||&amp;VAR:null=.html"}</definedName>
    <definedName name="_931__FDSAUDITLINK__" hidden="1">{"fdsup://directions/FAT%20Viewer?VAR:TM=NTMA&amp;VAR:PCT=0.226776&amp;VAR:Y0=1992&amp;VAR:Y1=1993&amp;VAR:V0=11.621094&amp;VAR:V1=10.258620&amp;VAR:V=10.538821&amp;VAR:AUDIT_ID=00000117&amp;VAR:DATE=19921009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Aggregates&amp;VAR:MEASURE=PE_MEAN&amp;VAR:CALC_MODE=PORTFOLIO&amp;VAR:CHGPERIOD=NA&amp;VAR:FQLFORMULA=FMA_PE&amp;VAR:CURRENCY=USD&amp;VAR:P=4","02.660000&amp;VAR:THRESH=||||||&amp;VAR:null=.html"}</definedName>
    <definedName name="_932__FDSAUDITLINK__" hidden="1">{"fdsup://directions/FAT%20Viewer?VAR:TM=NTMA&amp;VAR:PCT=0.245902&amp;VAR:Y0=1992&amp;VAR:Y1=1993&amp;VAR:V0=11.840820&amp;VAR:V1=10.452586&amp;VAR:V=10.762878&amp;VAR:AUDIT_ID=00000117&amp;VAR:DATE=19921002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Aggregates&amp;VAR:MEASURE=PE_MEAN&amp;VAR:CALC_MODE=PORTFOLIO&amp;VAR:CHGPERIOD=NA&amp;VAR:FQLFORMULA=FMA_PE&amp;VAR:CURRENCY=USD&amp;VAR:P=4","10.470000&amp;VAR:THRESH=||||||&amp;VAR:null=.html"}</definedName>
    <definedName name="_933__FDSAUDITLINK__" hidden="1">{"fdsup://directions/FAT%20Viewer?VAR:TM=NTMA&amp;VAR:PCT=0.265027&amp;VAR:Y0=1992&amp;VAR:Y1=1993&amp;VAR:V0=12.402344&amp;VAR:V1=10.948276&amp;VAR:V=11.299372&amp;VAR:AUDIT_ID=00000117&amp;VAR:DATE=19920925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Aggregates&amp;VAR:MEASURE=PE_MEAN&amp;VAR:CALC_MODE=PORTFOLIO&amp;VAR:CHGPERIOD=NA&amp;VAR:FQLFORMULA=FMA_PE&amp;VAR:CURRENCY=USD&amp;VAR:P=4","14.350000&amp;VAR:THRESH=||||||&amp;VAR:null=.html"}</definedName>
    <definedName name="_934__FDSAUDITLINK__" hidden="1">{"fdsup://directions/FAT%20Viewer?VAR:TM=NTMA&amp;VAR:PCT=0.284153&amp;VAR:Y0=1992&amp;VAR:Y1=1993&amp;VAR:V0=13.037109&amp;VAR:V1=11.508620&amp;VAR:V=11.905237&amp;VAR:AUDIT_ID=00000117&amp;VAR:DATE=19920918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Aggregates&amp;VAR:MEASURE=PE_MEAN&amp;VAR:CALC_MODE=PORTFOLIO&amp;VAR:CHGPERIOD=NA&amp;VAR:FQLFORMULA=FMA_PE&amp;VAR:CURRENCY=USD&amp;VAR:P=4","22.930000&amp;VAR:THRESH=||||||&amp;VAR:null=.html"}</definedName>
    <definedName name="_935__FDSAUDITLINK__" hidden="1">{"fdsup://directions/FAT%20Viewer?VAR:TM=NTMA&amp;VAR:PCT=0.303279&amp;VAR:Y0=1992&amp;VAR:Y1=1993&amp;VAR:V0=13.134766&amp;VAR:V1=11.594828&amp;VAR:V=12.022303&amp;VAR:AUDIT_ID=00000117&amp;VAR:DATE=19920911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Aggregates&amp;VAR:MEASURE=PE_MEAN&amp;VAR:CALC_MODE=PORTFOLIO&amp;VAR:CHGPERIOD=NA&amp;VAR:FQLFORMULA=FMA_PE&amp;VAR:CURRENCY=USD&amp;VAR:P=4","19.580000&amp;VAR:THRESH=||||||&amp;VAR:null=.html"}</definedName>
    <definedName name="_936__FDSAUDITLINK__" hidden="1">{"fdsup://directions/FAT%20Viewer?VAR:TM=NTMA&amp;VAR:PCT=0.322404&amp;VAR:Y0=1992&amp;VAR:Y1=1993&amp;VAR:V0=12.890625&amp;VAR:V1=11.379311&amp;VAR:V=11.826336&amp;VAR:AUDIT_ID=00000117&amp;VAR:DATE=19920904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Aggregates&amp;VAR:MEASURE=PE_MEAN&amp;VAR:CALC_MODE=PORTFOLIO&amp;VAR:CHGPERIOD=NA&amp;VAR:FQLFORMULA=FMA_PE&amp;VAR:CURRENCY=USD&amp;VAR:P=4","17.080000&amp;VAR:THRESH=||||||&amp;VAR:null=.html"}</definedName>
    <definedName name="_937__FDSAUDITLINK__" hidden="1">{"fdsup://directions/FAT%20Viewer?VAR:TM=NTMA&amp;VAR:PCT=0.341530&amp;VAR:Y0=1992&amp;VAR:Y1=1993&amp;VAR:V0=12.792969&amp;VAR:V1=11.293103&amp;VAR:V=11.764157&amp;VAR:AUDIT_ID=00000117&amp;VAR:DATE=19920828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Aggregates&amp;VAR:MEASURE=PE_MEAN&amp;VAR:CALC_MODE=PORTFOLIO&amp;VAR:CHGPERIOD=NA&amp;VAR:FQLFORMULA=FMA_PE&amp;VAR:CURRENCY=USD&amp;VAR:P=4","14.840000&amp;VAR:THRESH=||||||&amp;VAR:null=.html"}</definedName>
    <definedName name="_938__FDSAUDITLINK__" hidden="1">{"fdsup://directions/FAT%20Viewer?VAR:TM=NTMA&amp;VAR:PCT=0.360656&amp;VAR:Y0=1992&amp;VAR:Y1=1993&amp;VAR:V0=13.037109&amp;VAR:V1=11.508620&amp;VAR:V=12.016733&amp;VAR:AUDIT_ID=00000117&amp;VAR:DATE=19920821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Aggregates&amp;VAR:MEASURE=PE_MEAN&amp;VAR:CALC_MODE=PORTFOLIO&amp;VAR:CHGPERIOD=NA&amp;VAR:FQLFORMULA=FMA_PE&amp;VAR:CURRENCY=USD&amp;VAR:P=4","14.850000&amp;VAR:THRESH=||||||&amp;VAR:null=.html"}</definedName>
    <definedName name="_939__FDSAUDITLINK__" hidden="1">{"fdsup://directions/FAT%20Viewer?VAR:TM=NTMA&amp;VAR:PCT=0.379781&amp;VAR:Y0=1992&amp;VAR:Y1=1993&amp;VAR:V0=13.671875&amp;VAR:V1=12.068966&amp;VAR:V=12.631392&amp;VAR:AUDIT_ID=00000117&amp;VAR:DATE=19920814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Aggregates&amp;VAR:MEASURE=PE_MEAN&amp;VAR:CALC_MODE=PORTFOLIO&amp;VAR:CHGPERIOD=NA&amp;VAR:FQLFORMULA=FMA_PE&amp;VAR:CURRENCY=USD&amp;VAR:P=4","19.910000&amp;VAR:THRESH=||||||&amp;VAR:null=.html"}</definedName>
    <definedName name="_94__FDSAUDITLINK__" hidden="1">{"fdsup://directions/FAT%20Viewer?VAR:TM=NTMA&amp;VAR:PCT=0.013661&amp;VAR:Y0=2008&amp;VAR:Y1=2009&amp;VAR:V0=12.042924&amp;VAR:V1=11.241704&amp;VAR:V=11.251931&amp;VAR:AUDIT_ID=00000117&amp;VAR:DATE=20081226&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Aggregates&amp;VAR:MEASURE=PE_MEAN&amp;VAR:CALC_MODE=PORTFOLIO&amp;VAR:CHGPERIOD=NA&amp;VAR:FQLFORMULA=FMA_PE&amp;VAR:CURRENCY=USD&amp;VAR:P=8","72.797455&amp;VAR:THRESH=||||||&amp;VAR:null=.html"}</definedName>
    <definedName name="_940__FDSAUDITLINK__" hidden="1">{"fdsup://directions/FAT%20Viewer?VAR:TM=NTMA&amp;VAR:PCT=0.398907&amp;VAR:Y0=1992&amp;VAR:Y1=1993&amp;VAR:V0=13.867188&amp;VAR:V1=12.241380&amp;VAR:V=12.841979&amp;VAR:AUDIT_ID=00000117&amp;VAR:DATE=19920807&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Aggregates&amp;VAR:MEASURE=PE_MEAN&amp;VAR:CALC_MODE=PORTFOLIO&amp;VAR:CHGPERIOD=NA&amp;VAR:FQLFORMULA=FMA_PE&amp;VAR:CURRENCY=USD&amp;VAR:P=4","18.880000&amp;VAR:THRESH=||||||&amp;VAR:null=.html"}</definedName>
    <definedName name="_941__FDSAUDITLINK__" hidden="1">{"fdsup://directions/FAT%20Viewer?VAR:TM=NTMA&amp;VAR:PCT=0.418033&amp;VAR:Y0=1992&amp;VAR:Y1=1993&amp;VAR:V0=13.793945&amp;VAR:V1=12.176724&amp;VAR:V=12.804271&amp;VAR:AUDIT_ID=00000117&amp;VAR:DATE=19920731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Aggregates&amp;VAR:MEASURE=PE_MEAN&amp;VAR:CALC_MODE=PORTFOLIO&amp;VAR:CHGPERIOD=NA&amp;VAR:FQLFORMULA=FMA_PE&amp;VAR:CURRENCY=USD&amp;VAR:P=4","24.210000&amp;VAR:THRESH=||||||&amp;VAR:null=.html"}</definedName>
    <definedName name="_942__FDSAUDITLINK__" hidden="1">{"fdsup://directions/FAT%20Viewer?VAR:TM=NTMA&amp;VAR:PCT=0.437158&amp;VAR:Y0=1992&amp;VAR:Y1=1993&amp;VAR:V0=13.378906&amp;VAR:V1=11.810345&amp;VAR:V=12.448361&amp;VAR:AUDIT_ID=00000117&amp;VAR:DATE=19920724&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Aggregates&amp;VAR:MEASURE=PE_MEAN&amp;VAR:CALC_MODE=PORTFOLIO&amp;VAR:CHGPERIOD=NA&amp;VAR:FQLFORMULA=FMA_PE&amp;VAR:CURRENCY=USD&amp;VAR:P=4","11.600000&amp;VAR:THRESH=||||||&amp;VAR:null=.html"}</definedName>
    <definedName name="_943__FDSAUDITLINK__" hidden="1">{"fdsup://directions/FAT%20Viewer?WINDOW=first_popup&amp;DYN_ARGS=TRUE&amp;START_MAXIMIZED=FALSE&amp;TITLEBAR=FactSet Market Aggregates&amp;ACTION=UPDATE&amp;CREATOR=FACTSET&amp;HEIGHT=450&amp;WIDTH=500&amp;DOC_NAME=FAT:FMA_AUDIT_TM.FAT&amp;VAR:CURRENCY=USD&amp;VAR:AUDIT_ID=INDEX%3APERSONAL%3APBM",".OFDB&amp;VAR:CALC_MODE=AGGREGATE&amp;VAR:CHGPERIOD=NA&amp;DISPLAY_STRING=audit&amp;VAR:FQLFORMULA=FMA_PE&amp;VAR:MEASURE=PE&amp;VAR:NULL=.HTML&amp;VAR:TM=NTMA&amp;VAR:PCT=0.594521&amp;VAR:V=13.076996&amp;VAR:V0=14.556887&amp;VAR:V1=12.229073&amp;VAR:Y0=2011&amp;VAR:Y1=2012&amp;VAR:P=5388.220215&amp;VAR:DATE=20110","805&amp;VAR:THRESH=-|-|-|-|-|-|-"}</definedName>
    <definedName name="_944__FDSAUDITLINK__" hidden="1">{"fdsup://directions/FAT%20Viewer?WINDOW=first_popup&amp;DYN_ARGS=TRUE&amp;START_MAXIMIZED=FALSE&amp;TITLEBAR=FactSet Market Aggregates&amp;ACTION=UPDATE&amp;CREATOR=FACTSET&amp;HEIGHT=450&amp;WIDTH=500&amp;DOC_NAME=FAT:FMA_AUDIT_TM.FAT&amp;VAR:CURRENCY=USD&amp;VAR:AUDIT_ID=INDEX%3APERSONAL%3APBM",".OFDB&amp;VAR:CALC_MODE=AGGREGATE&amp;VAR:CHGPERIOD=NA&amp;DISPLAY_STRING=audit&amp;VAR:FQLFORMULA=FMA_PE&amp;VAR:MEASURE=PE&amp;VAR:NULL=.HTML&amp;VAR:TM=NTMA&amp;VAR:PCT=0.575342&amp;VAR:V=14.579122&amp;VAR:V0=16.174491&amp;VAR:V1=13.589761&amp;VAR:Y0=2011&amp;VAR:Y1=2012&amp;VAR:P=5991.818848&amp;VAR:DATE=20110","729&amp;VAR:THRESH=-|-|-|-|-|-|-"}</definedName>
    <definedName name="_945__FDSAUDITLINK__" hidden="1">{"fdsup://directions/FAT%20Viewer?WINDOW=first_popup&amp;DYN_ARGS=TRUE&amp;START_MAXIMIZED=FALSE&amp;TITLEBAR=FactSet Market Aggregates&amp;ACTION=UPDATE&amp;CREATOR=FACTSET&amp;HEIGHT=450&amp;WIDTH=500&amp;DOC_NAME=FAT:FMA_AUDIT_TM.FAT&amp;VAR:CURRENCY=USD&amp;VAR:AUDIT_ID=INDEX%3APERSONAL%3APBM",".OFDB&amp;VAR:CALC_MODE=AGGREGATE&amp;VAR:CHGPERIOD=NA&amp;DISPLAY_STRING=audit&amp;VAR:FQLFORMULA=FMA_PE&amp;VAR:MEASURE=PE&amp;VAR:NULL=.HTML&amp;VAR:TM=NTMA&amp;VAR:PCT=0.556164&amp;VAR:V=15.389941&amp;VAR:V0=17.012050&amp;VAR:V1=14.301688&amp;VAR:Y0=2011&amp;VAR:Y1=2012&amp;VAR:P=6308.202148&amp;VAR:DATE=20110","722&amp;VAR:THRESH=-|-|-|-|-|-|-"}</definedName>
    <definedName name="_94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0.536986&amp;VAR:V=12.411263&amp;VAR:V0=13.398957&amp;VAR:V1=11.669549&amp;VAR:Y0=2011&amp;VAR:Y1=2012&amp;VAR:P=1316.144225&amp;VAR:DATE=20110715&amp;VAR:THRESH=-|-|","-|-|-|-|-"}</definedName>
    <definedName name="_94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0.517808&amp;VAR:V=12.714868&amp;VAR:V0=13.679311&amp;VAR:V1=11.931513&amp;VAR:Y0=2011&amp;VAR:Y1=2012&amp;VAR:P=1343.804017&amp;VAR:DATE=20110708&amp;VAR:THRESH=-|-|","-|-|-|-|-"}</definedName>
    <definedName name="_94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0.498630&amp;VAR:V=12.676946&amp;VAR:V0=13.610826&amp;VAR:V1=11.858808&amp;VAR:Y0=2011&amp;VAR:Y1=2012&amp;VAR:P=1339.668742&amp;VAR:DATE=20110701&amp;VAR:THRESH=-|-|","-|-|-|-|-"}</definedName>
    <definedName name="_94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0.479452&amp;VAR:V=11.941479&amp;VAR:V0=12.703549&amp;VAR:V1=11.211282&amp;VAR:Y0=2011&amp;VAR:Y1=2012&amp;VAR:P=1268.445198&amp;VAR:DATE=20110624&amp;VAR:THRESH=-|-|","-|-|-|-|-"}</definedName>
    <definedName name="_95__FDSAUDITLINK__" hidden="1">{"fdsup://directions/FAT%20Viewer?VAR:TM=NTMA&amp;VAR:PCT=0.032787&amp;VAR:Y0=2008&amp;VAR:Y1=2009&amp;VAR:V0=12.144395&amp;VAR:V1=11.286830&amp;VAR:V=11.313022&amp;VAR:AUDIT_ID=00000117&amp;VAR:DATE=20081219&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Aggregates&amp;VAR:MEASURE=PE_MEAN&amp;VAR:CALC_MODE=PORTFOLIO&amp;VAR:CHGPERIOD=NA&amp;VAR:FQLFORMULA=FMA_PE&amp;VAR:CURRENCY=USD&amp;VAR:P=8","87.881262&amp;VAR:THRESH=||||||&amp;VAR:null=.html"}</definedName>
    <definedName name="_95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0.460274&amp;VAR:V=11.985044&amp;VAR:V0=12.720270&amp;VAR:V1=11.224296&amp;VAR:Y0=2011&amp;VAR:Y1=2012&amp;VAR:P=1271.503229&amp;VAR:DATE=20110617&amp;VAR:THRESH=-|-|","-|-|-|-|-"}</definedName>
    <definedName name="_95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0.441096&amp;VAR:V=12.005824&amp;VAR:V0=12.705725&amp;VAR:V1=11.222517&amp;VAR:Y0=2011&amp;VAR:Y1=2012&amp;VAR:P=1270.979329&amp;VAR:DATE=20110610&amp;VAR:THRESH=-|-|","-|-|-|-|-"}</definedName>
    <definedName name="_95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0.421918&amp;VAR:V=12.310556&amp;VAR:V0=12.991170&amp;VAR:V1=11.486065&amp;VAR:Y0=2011&amp;VAR:Y1=2012&amp;VAR:P=1300.162574&amp;VAR:DATE=20110603&amp;VAR:THRESH=-|-|","-|-|-|-|-"}</definedName>
    <definedName name="_95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0.402740&amp;VAR:V=12.631739&amp;VAR:V0=13.297838&amp;VAR:V1=11.758284&amp;VAR:Y0=2011&amp;VAR:Y1=2012&amp;VAR:P=1331.103823&amp;VAR:DATE=20110527&amp;VAR:THRESH=-|-|","-|-|-|-|-"}</definedName>
    <definedName name="_95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0.383562&amp;VAR:V=12.687420&amp;VAR:V0=13.323275&amp;VAR:V1=11.783604&amp;VAR:Y0=2011&amp;VAR:Y1=2012&amp;VAR:P=1333.269188&amp;VAR:DATE=20110520&amp;VAR:THRESH=-|-|","-|-|-|-|-"}</definedName>
    <definedName name="_95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0.364384&amp;VAR:V=12.771882&amp;VAR:V0=13.376473&amp;VAR:V1=11.838512&amp;VAR:Y0=2011&amp;VAR:Y1=2012&amp;VAR:P=1337.774980&amp;VAR:DATE=20110513&amp;VAR:THRESH=-|-|","-|-|-|-|-"}</definedName>
    <definedName name="_95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0.345205&amp;VAR:V=12.832180&amp;VAR:V0=13.411661&amp;VAR:V1=11.860162&amp;VAR:Y0=2011&amp;VAR:Y1=2012&amp;VAR:P=1340.202897&amp;VAR:DATE=20110506&amp;VAR:THRESH=-|-|","-|-|-|-|-"}</definedName>
    <definedName name="_95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0.326027&amp;VAR:V=13.099547&amp;VAR:V0=13.656454&amp;VAR:V1=12.081098&amp;VAR:Y0=2011&amp;VAR:Y1=2012&amp;VAR:P=1363.612210&amp;VAR:DATE=20110429&amp;VAR:THRESH=-|-|","-|-|-|-|-"}</definedName>
    <definedName name="_95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0.304110&amp;VAR:V=12.965334&amp;VAR:V0=13.487184&amp;VAR:V1=11.910765&amp;VAR:Y0=2011&amp;VAR:Y1=2012&amp;VAR:P=1337.384852&amp;VAR:DATE=20110421&amp;VAR:THRESH=-|-|","-|-|-|-|-"}</definedName>
    <definedName name="_95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0.287671&amp;VAR:V=12.897815&amp;VAR:V0=13.387047&amp;VAR:V1=11.827509&amp;VAR:Y0=2011&amp;VAR:Y1=2012&amp;VAR:P=1319.677906&amp;VAR:DATE=20110415&amp;VAR:THRESH=-|-|","-|-|-|-|-"}</definedName>
    <definedName name="_96__FDSAUDITLINK__" hidden="1">{"fdsup://directions/FAT%20Viewer?VAR:TM=NTMA&amp;VAR:PCT=0.051913&amp;VAR:Y0=2008&amp;VAR:Y1=2009&amp;VAR:V0=11.828384&amp;VAR:V1=10.890355&amp;VAR:V=10.935374&amp;VAR:AUDIT_ID=00000117&amp;VAR:DATE=20081212&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Aggregates&amp;VAR:MEASURE=PE_MEAN&amp;VAR:CALC_MODE=PORTFOLIO&amp;VAR:CHGPERIOD=NA&amp;VAR:FQLFORMULA=FMA_PE&amp;VAR:CURRENCY=USD&amp;VAR:P=8","79.732876&amp;VAR:THRESH=||||||&amp;VAR:null=.html"}</definedName>
    <definedName name="_96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0.268493&amp;VAR:V=13.033998&amp;VAR:V0=13.499995&amp;VAR:V1=11.913586&amp;VAR:Y0=2011&amp;VAR:Y1=2012&amp;VAR:P=1328.166767&amp;VAR:DATE=20110408&amp;VAR:THRESH=-|-|","-|-|-|-|-"}</definedName>
    <definedName name="_96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0.249315&amp;VAR:V=13.183509&amp;VAR:V0=13.626123&amp;VAR:V1=12.008967&amp;VAR:Y0=2011&amp;VAR:Y1=2012&amp;VAR:P=1332.413123&amp;VAR:DATE=20110401&amp;VAR:THRESH=-|-|","-|-|-|-|-"}</definedName>
    <definedName name="_96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0.230137&amp;VAR:V=13.014789&amp;VAR:V0=13.410141&amp;VAR:V1=11.846456&amp;VAR:Y0=2011&amp;VAR:Y1=2012&amp;VAR:P=1313.802081&amp;VAR:DATE=20110325&amp;VAR:THRESH=-|-|","-|-|-|-|-"}</definedName>
    <definedName name="_963__FDSAUDITLINK__" hidden="1">{"fdsup://directions/FAT%20Viewer?WINDOW=first_popup&amp;DYN_ARGS=TRUE&amp;START_MAXIMIZED=FALSE&amp;TITLEBAR=FactSet Market Aggregates&amp;ACTION=UPDATE&amp;CREATOR=FACTSET&amp;HEIGHT=450&amp;WIDTH=500&amp;DOC_NAME=FAT:FMA_AUDIT_TM.FAT&amp;VAR:CURRENCY=USD&amp;VAR:AUDIT_ID=INDEX%3APERSONAL%3APBM",".OFDB&amp;VAR:CALC_MODE=AGGREGATE&amp;VAR:CHGPERIOD=NA&amp;DISPLAY_STRING=audit&amp;VAR:FQLFORMULA=FMA_PE&amp;VAR:MEASURE=PE&amp;VAR:NULL=.HTML&amp;VAR:TM=NTMA&amp;VAR:PCT=0.594521&amp;VAR:V=13.076996&amp;VAR:V0=14.556887&amp;VAR:V1=12.229073&amp;VAR:Y0=2011&amp;VAR:Y1=2012&amp;VAR:P=5388.220215&amp;VAR:DATE=20110","805&amp;VAR:THRESH=-|-|-|-|-|-|-"}</definedName>
    <definedName name="_964__FDSAUDITLINK__" hidden="1">{"fdsup://directions/FAT%20Viewer?WINDOW=first_popup&amp;DYN_ARGS=TRUE&amp;START_MAXIMIZED=FALSE&amp;TITLEBAR=FactSet Market Aggregates&amp;ACTION=UPDATE&amp;CREATOR=FACTSET&amp;HEIGHT=450&amp;WIDTH=500&amp;DOC_NAME=FAT:FMA_AUDIT_TM.FAT&amp;VAR:CURRENCY=USD&amp;VAR:AUDIT_ID=INDEX%3APERSONAL%3APBM",".OFDB&amp;VAR:CALC_MODE=AGGREGATE&amp;VAR:CHGPERIOD=NA&amp;DISPLAY_STRING=audit&amp;VAR:FQLFORMULA=FMA_PE&amp;VAR:MEASURE=PE&amp;VAR:NULL=.HTML&amp;VAR:TM=NTMA&amp;VAR:PCT=0.575342&amp;VAR:V=14.579122&amp;VAR:V0=16.174491&amp;VAR:V1=13.589761&amp;VAR:Y0=2011&amp;VAR:Y1=2012&amp;VAR:P=5991.818848&amp;VAR:DATE=20110","729&amp;VAR:THRESH=-|-|-|-|-|-|-"}</definedName>
    <definedName name="_965__FDSAUDITLINK__" hidden="1">{"fdsup://directions/FAT%20Viewer?WINDOW=first_popup&amp;DYN_ARGS=TRUE&amp;START_MAXIMIZED=FALSE&amp;TITLEBAR=FactSet Market Aggregates&amp;ACTION=UPDATE&amp;CREATOR=FACTSET&amp;HEIGHT=450&amp;WIDTH=500&amp;DOC_NAME=FAT:FMA_AUDIT_TM.FAT&amp;VAR:CURRENCY=USD&amp;VAR:AUDIT_ID=INDEX%3APERSONAL%3APBM",".OFDB&amp;VAR:CALC_MODE=AGGREGATE&amp;VAR:CHGPERIOD=NA&amp;DISPLAY_STRING=audit&amp;VAR:FQLFORMULA=FMA_PE&amp;VAR:MEASURE=PE&amp;VAR:NULL=.HTML&amp;VAR:TM=NTMA&amp;VAR:PCT=0.556164&amp;VAR:V=15.389941&amp;VAR:V0=17.012050&amp;VAR:V1=14.301688&amp;VAR:Y0=2011&amp;VAR:Y1=2012&amp;VAR:P=6308.202148&amp;VAR:DATE=20110","722&amp;VAR:THRESH=-|-|-|-|-|-|-"}</definedName>
    <definedName name="_966__FDSAUDITLINK__" hidden="1">{"fdsup://directions/FAT%20Viewer?WINDOW=first_popup&amp;DYN_ARGS=TRUE&amp;START_MAXIMIZED=FALSE&amp;TITLEBAR=FactSet Market Aggregates&amp;ACTION=UPDATE&amp;CREATOR=FACTSET&amp;HEIGHT=450&amp;WIDTH=500&amp;DOC_NAME=FAT:FMA_AUDIT_SUMMARY.FAT&amp;VAR:CURRENCY=USD&amp;VAR:AUDIT_ID=INDEX%3APERSONAL%","3APBM.OFDB&amp;VAR:CALC_MODE=AGGREGATE&amp;VAR:CHGPERIOD=NA&amp;DISPLAY_STRING=audit&amp;VAR:FQLFORMULA=FMA_PE&amp;VAR:MEASURE=PE&amp;VAR:NULL=.HTML&amp;VAR:PED=2012&amp;VAR:PERIOD=CY&amp;VAR:THRESH=-|-|-|-|-|-&amp;VAR:PCT=N&amp;VAR:V=12.229073&amp;VAR:P=1&amp;VAR:DATE=20110805"}</definedName>
    <definedName name="_967__FDSAUDITLINK__" hidden="1">{"fdsup://directions/FAT%20Viewer?WINDOW=first_popup&amp;DYN_ARGS=TRUE&amp;START_MAXIMIZED=FALSE&amp;TITLEBAR=FactSet Market Aggregates&amp;ACTION=UPDATE&amp;CREATOR=FACTSET&amp;HEIGHT=450&amp;WIDTH=500&amp;DOC_NAME=FAT:FMA_AUDIT_SUMMARY.FAT&amp;VAR:CURRENCY=USD&amp;VAR:AUDIT_ID=INDEX%3APERSONAL%","3APBM.OFDB&amp;VAR:CALC_MODE=AGGREGATE&amp;VAR:CHGPERIOD=NA&amp;DISPLAY_STRING=audit&amp;VAR:FQLFORMULA=FMA_PE&amp;VAR:MEASURE=PE&amp;VAR:NULL=.HTML&amp;VAR:PED=2012&amp;VAR:PERIOD=CY&amp;VAR:THRESH=-|-|-|-|-|-&amp;VAR:PCT=N&amp;VAR:V=13.589761&amp;VAR:P=1&amp;VAR:DATE=20110729"}</definedName>
    <definedName name="_968__FDSAUDITLINK__" hidden="1">{"fdsup://directions/FAT%20Viewer?WINDOW=first_popup&amp;DYN_ARGS=TRUE&amp;START_MAXIMIZED=FALSE&amp;TITLEBAR=FactSet Market Aggregates&amp;ACTION=UPDATE&amp;CREATOR=FACTSET&amp;HEIGHT=450&amp;WIDTH=500&amp;DOC_NAME=FAT:FMA_AUDIT_SUMMARY.FAT&amp;VAR:CURRENCY=USD&amp;VAR:AUDIT_ID=INDEX%3APERSONAL%","3APBM.OFDB&amp;VAR:CALC_MODE=AGGREGATE&amp;VAR:CHGPERIOD=NA&amp;DISPLAY_STRING=audit&amp;VAR:FQLFORMULA=FMA_PE&amp;VAR:MEASURE=PE&amp;VAR:NULL=.HTML&amp;VAR:PED=2012&amp;VAR:PERIOD=CY&amp;VAR:THRESH=-|-|-|-|-|-&amp;VAR:PCT=N&amp;VAR:V=14.301688&amp;VAR:P=1&amp;VAR:DATE=20110722"}</definedName>
    <definedName name="_969__FDSAUDITLINK__" hidden="1">{"fdsup://directions/FAT Viewer?action=UPDATE&amp;creator=factset&amp;DYN_ARGS=TRUE&amp;DOC_NAME=FAT:FQL_AUDITING_CLIENT_TEMPLATE.FAT&amp;display_string=Audit&amp;VAR:KEY=DIVKNITAZM&amp;VAR:QUERY=RkZfUkRfRVhQKENBTCwyMDA4LCwsLFVTRCk=&amp;WINDOW=FIRST_POPUP&amp;HEIGHT=450&amp;WIDTH=450&amp;START_MA","XIMIZED=FALSE&amp;VAR:CALENDAR=US&amp;VAR:SYMBOL=WYE&amp;VAR:INDEX=0"}</definedName>
    <definedName name="_97__FDSAUDITLINK__" hidden="1">{"fdsup://directions/FAT%20Viewer?VAR:TM=NTMA&amp;VAR:PCT=0.071038&amp;VAR:Y0=2008&amp;VAR:Y1=2009&amp;VAR:V0=11.663338&amp;VAR:V1=10.610974&amp;VAR:V=10.679426&amp;VAR:AUDIT_ID=00000117&amp;VAR:DATE=20081205&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Aggregates&amp;VAR:MEASURE=PE_MEAN&amp;VAR:CALC_MODE=PORTFOLIO&amp;VAR:CHGPERIOD=NA&amp;VAR:FQLFORMULA=FMA_PE&amp;VAR:CURRENCY=USD&amp;VAR:P=8","76.067187&amp;VAR:THRESH=||||||&amp;VAR:null=.html"}</definedName>
    <definedName name="_970__FDSAUDITLINK__" hidden="1">{"fdsup://directions/FAT Viewer?action=UPDATE&amp;creator=factset&amp;DYN_ARGS=TRUE&amp;DOC_NAME=FAT:FQL_AUDITING_CLIENT_TEMPLATE.FAT&amp;display_string=Audit&amp;VAR:KEY=HCLYRIPKVQ&amp;VAR:QUERY=RkZfUkRfRVhQKENBTCwyMDA3LCwsLFVTRCk=&amp;WINDOW=FIRST_POPUP&amp;HEIGHT=450&amp;WIDTH=450&amp;START_MA","XIMIZED=FALSE&amp;VAR:CALENDAR=US&amp;VAR:SYMBOL=WYE&amp;VAR:INDEX=0"}</definedName>
    <definedName name="_971__FDSAUDITLINK__" hidden="1">{"fdsup://directions/FAT Viewer?action=UPDATE&amp;creator=factset&amp;DYN_ARGS=TRUE&amp;DOC_NAME=FAT:FQL_AUDITING_CLIENT_TEMPLATE.FAT&amp;display_string=Audit&amp;VAR:KEY=XKJURUPUXI&amp;VAR:QUERY=RkZfUkRfRVhQKENBTCwyMDA4LCwsLFVTRCk=&amp;WINDOW=FIRST_POPUP&amp;HEIGHT=450&amp;WIDTH=450&amp;START_MA","XIMIZED=FALSE&amp;VAR:CALENDAR=US&amp;VAR:SYMBOL=BIIB&amp;VAR:INDEX=0"}</definedName>
    <definedName name="_972__FDSAUDITLINK__" hidden="1">{"fdsup://directions/FAT Viewer?action=UPDATE&amp;creator=factset&amp;DYN_ARGS=TRUE&amp;DOC_NAME=FAT:FQL_AUDITING_CLIENT_TEMPLATE.FAT&amp;display_string=Audit&amp;VAR:KEY=DWTCTGDURW&amp;VAR:QUERY=RkZfUkRfRVhQKENBTCwyMDA3LCwsLFVTRCk=&amp;WINDOW=FIRST_POPUP&amp;HEIGHT=450&amp;WIDTH=450&amp;START_MA","XIMIZED=FALSE&amp;VAR:CALENDAR=US&amp;VAR:SYMBOL=BIIB&amp;VAR:INDEX=0"}</definedName>
    <definedName name="_973__FDSAUDITLINK__" hidden="1">{"fdsup://directions/FAT Viewer?action=UPDATE&amp;creator=factset&amp;DYN_ARGS=TRUE&amp;DOC_NAME=FAT:FQL_AUDITING_CLIENT_TEMPLATE.FAT&amp;display_string=Audit&amp;VAR:KEY=ZKDQPGHSNO&amp;VAR:QUERY=RkZfUkRfRVhQKENBTCwyMDA4LCwsLFVTRCk=&amp;WINDOW=FIRST_POPUP&amp;HEIGHT=450&amp;WIDTH=450&amp;START_MA","XIMIZED=FALSE&amp;VAR:CALENDAR=US&amp;VAR:SYMBOL=707752&amp;VAR:INDEX=0"}</definedName>
    <definedName name="_974__FDSAUDITLINK__" hidden="1">{"fdsup://directions/FAT Viewer?action=UPDATE&amp;creator=factset&amp;DYN_ARGS=TRUE&amp;DOC_NAME=FAT:FQL_AUDITING_CLIENT_TEMPLATE.FAT&amp;display_string=Audit&amp;VAR:KEY=HKJQHCVUFC&amp;VAR:QUERY=RkZfUkRfRVhQKENBTCwyMDA3LCwsLFVTRCk=&amp;WINDOW=FIRST_POPUP&amp;HEIGHT=450&amp;WIDTH=450&amp;START_MA","XIMIZED=FALSE&amp;VAR:CALENDAR=US&amp;VAR:SYMBOL=707752&amp;VAR:INDEX=0"}</definedName>
    <definedName name="_975__FDSAUDITLINK__" hidden="1">{"fdsup://directions/FAT Viewer?action=UPDATE&amp;creator=factset&amp;DYN_ARGS=TRUE&amp;DOC_NAME=FAT:FQL_AUDITING_CLIENT_TEMPLATE.FAT&amp;display_string=Audit&amp;VAR:KEY=XSPCXOXWFG&amp;VAR:QUERY=RkZfUkRfRVhQKENBTCwyMDA4LCwsLFVTRCk=&amp;WINDOW=FIRST_POPUP&amp;HEIGHT=450&amp;WIDTH=450&amp;START_MA","XIMIZED=FALSE&amp;VAR:CALENDAR=US&amp;VAR:SYMBOL=630720&amp;VAR:INDEX=0"}</definedName>
    <definedName name="_976__FDSAUDITLINK__" hidden="1">{"fdsup://directions/FAT Viewer?action=UPDATE&amp;creator=factset&amp;DYN_ARGS=TRUE&amp;DOC_NAME=FAT:FQL_AUDITING_CLIENT_TEMPLATE.FAT&amp;display_string=Audit&amp;VAR:KEY=BEDORSJANQ&amp;VAR:QUERY=RkZfUkRfRVhQKENBTCwyMDA3LCwsLFVTRCk=&amp;WINDOW=FIRST_POPUP&amp;HEIGHT=450&amp;WIDTH=450&amp;START_MA","XIMIZED=FALSE&amp;VAR:CALENDAR=US&amp;VAR:SYMBOL=630720&amp;VAR:INDEX=0"}</definedName>
    <definedName name="_977__FDSAUDITLINK__" hidden="1">{"fdsup://directions/FAT Viewer?action=UPDATE&amp;creator=factset&amp;DYN_ARGS=TRUE&amp;DOC_NAME=FAT:FQL_AUDITING_CLIENT_TEMPLATE.FAT&amp;display_string=Audit&amp;VAR:KEY=ZEPGFQJADE&amp;VAR:QUERY=RkZfUkRfRVhQKENBTCwyMDA4LCwsLFVTRCk=&amp;WINDOW=FIRST_POPUP&amp;HEIGHT=450&amp;WIDTH=450&amp;START_MA","XIMIZED=FALSE&amp;VAR:CALENDAR=US&amp;VAR:SYMBOL=698538&amp;VAR:INDEX=0"}</definedName>
    <definedName name="_978__FDSAUDITLINK__" hidden="1">{"fdsup://directions/FAT Viewer?action=UPDATE&amp;creator=factset&amp;DYN_ARGS=TRUE&amp;DOC_NAME=FAT:FQL_AUDITING_CLIENT_TEMPLATE.FAT&amp;display_string=Audit&amp;VAR:KEY=HALOFQXSVO&amp;VAR:QUERY=RkZfUkRfRVhQKENBTCwyMDA3LCwsLFVTRCk=&amp;WINDOW=FIRST_POPUP&amp;HEIGHT=450&amp;WIDTH=450&amp;START_MA","XIMIZED=FALSE&amp;VAR:CALENDAR=US&amp;VAR:SYMBOL=698538&amp;VAR:INDEX=0"}</definedName>
    <definedName name="_979__FDSAUDITLINK__" hidden="1">{"fdsup://directions/FAT Viewer?action=UPDATE&amp;creator=factset&amp;DYN_ARGS=TRUE&amp;DOC_NAME=FAT:FQL_AUDITING_CLIENT_TEMPLATE.FAT&amp;display_string=Audit&amp;VAR:KEY=BURSXUHEJK&amp;VAR:QUERY=RkZfUkRfRVhQKENBTCwyMDA4LCwsLFVTRCk=&amp;WINDOW=FIRST_POPUP&amp;HEIGHT=450&amp;WIDTH=450&amp;START_MA","XIMIZED=FALSE&amp;VAR:CALENDAR=US&amp;VAR:SYMBOL=B0J7D9&amp;VAR:INDEX=0"}</definedName>
    <definedName name="_98__FDSAUDITLINK__" hidden="1">{"fdsup://directions/FAT%20Viewer?VAR:TM=NTMA&amp;VAR:PCT=0.090164&amp;VAR:Y0=2008&amp;VAR:Y1=2009&amp;VAR:V0=11.809280&amp;VAR:V1=10.579000&amp;VAR:V=10.679312&amp;VAR:AUDIT_ID=00000117&amp;VAR:DATE=20081128&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Aggregates&amp;VAR:MEASURE=PE_MEAN&amp;VAR:CALC_MODE=PORTFOLIO&amp;VAR:CHGPERIOD=NA&amp;VAR:FQLFORMULA=FMA_PE&amp;VAR:CURRENCY=USD&amp;VAR:P=8","96.237136&amp;VAR:THRESH=||||||&amp;VAR:null=.html"}</definedName>
    <definedName name="_980__FDSAUDITLINK__" hidden="1">{"fdsup://directions/FAT Viewer?action=UPDATE&amp;creator=factset&amp;DYN_ARGS=TRUE&amp;DOC_NAME=FAT:FQL_AUDITING_CLIENT_TEMPLATE.FAT&amp;display_string=Audit&amp;VAR:KEY=LABKHYRYVS&amp;VAR:QUERY=RkZfUkRfRVhQKENBTCwyMDA3LCwsLFVTRCk=&amp;WINDOW=FIRST_POPUP&amp;HEIGHT=450&amp;WIDTH=450&amp;START_MA","XIMIZED=FALSE&amp;VAR:CALENDAR=US&amp;VAR:SYMBOL=B0J7D9&amp;VAR:INDEX=0"}</definedName>
    <definedName name="_981__FDSAUDITLINK__" hidden="1">{"fdsup://directions/FAT Viewer?action=UPDATE&amp;creator=factset&amp;DYN_ARGS=TRUE&amp;DOC_NAME=FAT:FQL_AUDITING_CLIENT_TEMPLATE.FAT&amp;display_string=Audit&amp;VAR:KEY=XQBYHAHMJE&amp;VAR:QUERY=RkZfUkRfRVhQKENBTCwyMDA4LCwsLFVTRCk=&amp;WINDOW=FIRST_POPUP&amp;HEIGHT=450&amp;WIDTH=450&amp;START_MA","XIMIZED=FALSE&amp;VAR:CALENDAR=US&amp;VAR:SYMBOL=AMGN&amp;VAR:INDEX=0"}</definedName>
    <definedName name="_982__FDSAUDITLINK__" hidden="1">{"fdsup://directions/FAT Viewer?action=UPDATE&amp;creator=factset&amp;DYN_ARGS=TRUE&amp;DOC_NAME=FAT:FQL_AUDITING_CLIENT_TEMPLATE.FAT&amp;display_string=Audit&amp;VAR:KEY=RWVUPEFUXW&amp;VAR:QUERY=RkZfUkRfRVhQKENBTCwyMDA3LCwsLFVTRCk=&amp;WINDOW=FIRST_POPUP&amp;HEIGHT=450&amp;WIDTH=450&amp;START_MA","XIMIZED=FALSE&amp;VAR:CALENDAR=US&amp;VAR:SYMBOL=AMGN&amp;VAR:INDEX=0"}</definedName>
    <definedName name="_983__FDSAUDITLINK__" hidden="1">{"fdsup://directions/FAT Viewer?action=UPDATE&amp;creator=factset&amp;DYN_ARGS=TRUE&amp;DOC_NAME=FAT:FQL_AUDITING_CLIENT_TEMPLATE.FAT&amp;display_string=Audit&amp;VAR:KEY=HUJQRCJEBE&amp;VAR:QUERY=RkZfUkRfRVhQKENBTCwyMDA4LCwsLFVTRCk=&amp;WINDOW=FIRST_POPUP&amp;HEIGHT=450&amp;WIDTH=450&amp;START_MA","XIMIZED=FALSE&amp;VAR:CALENDAR=US&amp;VAR:SYMBOL=ABT&amp;VAR:INDEX=0"}</definedName>
    <definedName name="_984__FDSAUDITLINK__" hidden="1">{"fdsup://directions/FAT Viewer?action=UPDATE&amp;creator=factset&amp;DYN_ARGS=TRUE&amp;DOC_NAME=FAT:FQL_AUDITING_CLIENT_TEMPLATE.FAT&amp;display_string=Audit&amp;VAR:KEY=BYVWXYRQNK&amp;VAR:QUERY=RkZfUkRfRVhQKENBTCwyMDA3LCwsLFVTRCk=&amp;WINDOW=FIRST_POPUP&amp;HEIGHT=450&amp;WIDTH=450&amp;START_MA","XIMIZED=FALSE&amp;VAR:CALENDAR=US&amp;VAR:SYMBOL=ABT&amp;VAR:INDEX=0"}</definedName>
    <definedName name="_985__FDSAUDITLINK__" hidden="1">{"fdsup://directions/FAT Viewer?action=UPDATE&amp;creator=factset&amp;DYN_ARGS=TRUE&amp;DOC_NAME=FAT:FQL_AUDITING_CLIENT_TEMPLATE.FAT&amp;display_string=Audit&amp;VAR:KEY=ZUPYRQFSRU&amp;VAR:QUERY=RkZfUkRfRVhQKENBTCwyMDA4LCwsLFVTRCk=&amp;WINDOW=FIRST_POPUP&amp;HEIGHT=450&amp;WIDTH=450&amp;START_MA","XIMIZED=FALSE&amp;VAR:CALENDAR=US&amp;VAR:SYMBOL=687044&amp;VAR:INDEX=0"}</definedName>
    <definedName name="_986__FDSAUDITLINK__" hidden="1">{"fdsup://directions/FAT Viewer?action=UPDATE&amp;creator=factset&amp;DYN_ARGS=TRUE&amp;DOC_NAME=FAT:FQL_AUDITING_CLIENT_TEMPLATE.FAT&amp;display_string=Audit&amp;VAR:KEY=ZMRALSXARE&amp;VAR:QUERY=RkZfUkRfRVhQKENBTCwyMDA3LCwsLFVTRCk=&amp;WINDOW=FIRST_POPUP&amp;HEIGHT=450&amp;WIDTH=450&amp;START_MA","XIMIZED=FALSE&amp;VAR:CALENDAR=US&amp;VAR:SYMBOL=687044&amp;VAR:INDEX=0"}</definedName>
    <definedName name="_987__FDSAUDITLINK__" hidden="1">{"fdsup://directions/FAT Viewer?action=UPDATE&amp;creator=factset&amp;DYN_ARGS=TRUE&amp;DOC_NAME=FAT:FQL_AUDITING_CLIENT_TEMPLATE.FAT&amp;display_string=Audit&amp;VAR:KEY=ZMZYLSXEVK&amp;VAR:QUERY=RkZfUkRfRVhQKENBTCwyMDA4LCwsLFVTRCk=&amp;WINDOW=FIRST_POPUP&amp;HEIGHT=450&amp;WIDTH=450&amp;START_MA","XIMIZED=FALSE&amp;VAR:CALENDAR=US&amp;VAR:SYMBOL=BMY&amp;VAR:INDEX=0"}</definedName>
    <definedName name="_988__FDSAUDITLINK__" hidden="1">{"fdsup://directions/FAT Viewer?action=UPDATE&amp;creator=factset&amp;DYN_ARGS=TRUE&amp;DOC_NAME=FAT:FQL_AUDITING_CLIENT_TEMPLATE.FAT&amp;display_string=Audit&amp;VAR:KEY=RENSXGJCBC&amp;VAR:QUERY=RkZfUkRfRVhQKENBTCwyMDA3LCwsLFVTRCk=&amp;WINDOW=FIRST_POPUP&amp;HEIGHT=450&amp;WIDTH=450&amp;START_MA","XIMIZED=FALSE&amp;VAR:CALENDAR=US&amp;VAR:SYMBOL=BMY&amp;VAR:INDEX=0"}</definedName>
    <definedName name="_989__FDSAUDITLINK__" hidden="1">{"fdsup://directions/FAT Viewer?action=UPDATE&amp;creator=factset&amp;DYN_ARGS=TRUE&amp;DOC_NAME=FAT:FQL_AUDITING_CLIENT_TEMPLATE.FAT&amp;display_string=Audit&amp;VAR:KEY=BSNATUHMFQ&amp;VAR:QUERY=RkZfUkRfRVhQKENBTCwyMDA4LCwsLFVTRCk=&amp;WINDOW=FIRST_POPUP&amp;HEIGHT=450&amp;WIDTH=450&amp;START_MA","XIMIZED=FALSE&amp;VAR:CALENDAR=US&amp;VAR:SYMBOL=LLY&amp;VAR:INDEX=0"}</definedName>
    <definedName name="_99__FDSAUDITLINK__" hidden="1">{"fdsup://directions/FAT%20Viewer?VAR:TM=NTMA&amp;VAR:PCT=0.109290&amp;VAR:Y0=2008&amp;VAR:Y1=2009&amp;VAR:V0=10.454008&amp;VAR:V1=9.308667&amp;VAR:V=9.421478&amp;VAR:AUDIT_ID=00000117&amp;VAR:DATE=20081121&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Aggregates&amp;VAR:MEASURE=PE_MEAN&amp;VAR:CALC_MODE=PORTFOLIO&amp;VAR:CHGPERIOD=NA&amp;VAR:FQLFORMULA=FMA_PE&amp;VAR:CURRENCY=USD&amp;VAR:P=800",".032543&amp;VAR:THRESH=||||||&amp;VAR:null=.html"}</definedName>
    <definedName name="_990__FDSAUDITLINK__" hidden="1">{"fdsup://directions/FAT Viewer?action=UPDATE&amp;creator=factset&amp;DYN_ARGS=TRUE&amp;DOC_NAME=FAT:FQL_AUDITING_CLIENT_TEMPLATE.FAT&amp;display_string=Audit&amp;VAR:KEY=DOHSHEVKPM&amp;VAR:QUERY=RkZfUkRfRVhQKENBTCwyMDA3LCwsLFVTRCk=&amp;WINDOW=FIRST_POPUP&amp;HEIGHT=450&amp;WIDTH=450&amp;START_MA","XIMIZED=FALSE&amp;VAR:CALENDAR=US&amp;VAR:SYMBOL=LLY&amp;VAR:INDEX=0"}</definedName>
    <definedName name="_991__FDSAUDITLINK__" hidden="1">{"fdsup://directions/FAT Viewer?action=UPDATE&amp;creator=factset&amp;DYN_ARGS=TRUE&amp;DOC_NAME=FAT:FQL_AUDITING_CLIENT_TEMPLATE.FAT&amp;display_string=Audit&amp;VAR:KEY=JKHWTOZSRO&amp;VAR:QUERY=RkZfUkRfRVhQKENBTCwyMDA4LCwsLFVTRCk=&amp;WINDOW=FIRST_POPUP&amp;HEIGHT=450&amp;WIDTH=450&amp;START_MA","XIMIZED=FALSE&amp;VAR:CALENDAR=US&amp;VAR:SYMBOL=506921&amp;VAR:INDEX=0"}</definedName>
    <definedName name="_992__FDSAUDITLINK__" hidden="1">{"fdsup://directions/FAT Viewer?action=UPDATE&amp;creator=factset&amp;DYN_ARGS=TRUE&amp;DOC_NAME=FAT:FQL_AUDITING_CLIENT_TEMPLATE.FAT&amp;display_string=Audit&amp;VAR:KEY=RCZEJWXODC&amp;VAR:QUERY=RkZfUkRfRVhQKENBTCwyMDA3LCwsLFVTRCk=&amp;WINDOW=FIRST_POPUP&amp;HEIGHT=450&amp;WIDTH=450&amp;START_MA","XIMIZED=FALSE&amp;VAR:CALENDAR=US&amp;VAR:SYMBOL=506921&amp;VAR:INDEX=0"}</definedName>
    <definedName name="_993__FDSAUDITLINK__" hidden="1">{"fdsup://directions/FAT Viewer?action=UPDATE&amp;creator=factset&amp;DYN_ARGS=TRUE&amp;DOC_NAME=FAT:FQL_AUDITING_CLIENT_TEMPLATE.FAT&amp;display_string=Audit&amp;VAR:KEY=NGTOJGBUXY&amp;VAR:QUERY=RkZfUkRfRVhQKENBTCwyMDA4LCwsLFVTRCk=&amp;WINDOW=FIRST_POPUP&amp;HEIGHT=450&amp;WIDTH=450&amp;START_MA","XIMIZED=FALSE&amp;VAR:CALENDAR=US&amp;VAR:SYMBOL=567173&amp;VAR:INDEX=0"}</definedName>
    <definedName name="_994__FDSAUDITLINK__" hidden="1">{"fdsup://directions/FAT Viewer?action=UPDATE&amp;creator=factset&amp;DYN_ARGS=TRUE&amp;DOC_NAME=FAT:FQL_AUDITING_CLIENT_TEMPLATE.FAT&amp;display_string=Audit&amp;VAR:KEY=RAZEFOLQPC&amp;VAR:QUERY=RkZfUkRfRVhQKENBTCwyMDA3LCwsLFVTRCk=&amp;WINDOW=FIRST_POPUP&amp;HEIGHT=450&amp;WIDTH=450&amp;START_MA","XIMIZED=FALSE&amp;VAR:CALENDAR=US&amp;VAR:SYMBOL=567173&amp;VAR:INDEX=0"}</definedName>
    <definedName name="_995__FDSAUDITLINK__" hidden="1">{"fdsup://directions/FAT Viewer?action=UPDATE&amp;creator=factset&amp;DYN_ARGS=TRUE&amp;DOC_NAME=FAT:FQL_AUDITING_CLIENT_TEMPLATE.FAT&amp;display_string=Audit&amp;VAR:KEY=XKRABGFMPG&amp;VAR:QUERY=RkZfUkRfRVhQKENBTCwyMDA4LCwsLFVTRCk=&amp;WINDOW=FIRST_POPUP&amp;HEIGHT=450&amp;WIDTH=450&amp;START_MA","XIMIZED=FALSE&amp;VAR:CALENDAR=US&amp;VAR:SYMBOL=JNJ&amp;VAR:INDEX=0"}</definedName>
    <definedName name="_996__FDSAUDITLINK__" hidden="1">{"fdsup://directions/FAT Viewer?action=UPDATE&amp;creator=factset&amp;DYN_ARGS=TRUE&amp;DOC_NAME=FAT:FQL_AUDITING_CLIENT_TEMPLATE.FAT&amp;display_string=Audit&amp;VAR:KEY=LCJKLSDCRQ&amp;VAR:QUERY=RkZfUkRfRVhQKENBTCwyMDA3LCwsLFVTRCk=&amp;WINDOW=FIRST_POPUP&amp;HEIGHT=450&amp;WIDTH=450&amp;START_MA","XIMIZED=FALSE&amp;VAR:CALENDAR=US&amp;VAR:SYMBOL=JNJ&amp;VAR:INDEX=0"}</definedName>
    <definedName name="_997__FDSAUDITLINK__" hidden="1">{"fdsup://directions/FAT Viewer?action=UPDATE&amp;creator=factset&amp;DYN_ARGS=TRUE&amp;DOC_NAME=FAT:FQL_AUDITING_CLIENT_TEMPLATE.FAT&amp;display_string=Audit&amp;VAR:KEY=LMTQHUVWVA&amp;VAR:QUERY=RkZfUkRfRVhQKENBTCwyMDA4LCwsLFVTRCk=&amp;WINDOW=FIRST_POPUP&amp;HEIGHT=450&amp;WIDTH=450&amp;START_MA","XIMIZED=FALSE&amp;VAR:CALENDAR=US&amp;VAR:SYMBOL=710306&amp;VAR:INDEX=0"}</definedName>
    <definedName name="_998__FDSAUDITLINK__" hidden="1">{"fdsup://directions/FAT Viewer?action=UPDATE&amp;creator=factset&amp;DYN_ARGS=TRUE&amp;DOC_NAME=FAT:FQL_AUDITING_CLIENT_TEMPLATE.FAT&amp;display_string=Audit&amp;VAR:KEY=VYTORQNKTW&amp;VAR:QUERY=RkZfUkRfRVhQKENBTCwyMDA3LCwsLFVTRCk=&amp;WINDOW=FIRST_POPUP&amp;HEIGHT=450&amp;WIDTH=450&amp;START_MA","XIMIZED=FALSE&amp;VAR:CALENDAR=US&amp;VAR:SYMBOL=710306&amp;VAR:INDEX=0"}</definedName>
    <definedName name="_999__FDSAUDITLINK__" hidden="1">{"fdsup://directions/FAT Viewer?action=UPDATE&amp;creator=factset&amp;DYN_ARGS=TRUE&amp;DOC_NAME=FAT:FQL_AUDITING_CLIENT_TEMPLATE.FAT&amp;display_string=Audit&amp;VAR:KEY=RAFAPGJURW&amp;VAR:QUERY=RkZfUkRfRVhQKENBTCwyMDA4LCwsLFVTRCk=&amp;WINDOW=FIRST_POPUP&amp;HEIGHT=450&amp;WIDTH=450&amp;START_MA","XIMIZED=FALSE&amp;VAR:CALENDAR=US&amp;VAR:SYMBOL=711038&amp;VAR:INDEX=0"}</definedName>
    <definedName name="_ASM2" localSheetId="7">{9}</definedName>
    <definedName name="_ASM2">{9}</definedName>
    <definedName name="_bdm.0D79BC7FE3214F01833C8477FC12C53A.edm" hidden="1">'[1]MHS Charts'!$A:$IV</definedName>
    <definedName name="_bdm.0FC1A0FCB0584AA1BE80909E39C5230B.edm" hidden="1">'[2]MWA RR'!$A:$IV</definedName>
    <definedName name="_bdm.1BCEBA7AE01B490DA8720801641E5EF7.edm" localSheetId="5" hidden="1">'BS and CFS'!$B$8:$CZ$65</definedName>
    <definedName name="_bdm.1BDE0C52B3434D929F3DE62FA386FB89.edm" hidden="1">PBM!$1:$1048576</definedName>
    <definedName name="_bdm.1FF1108B998444F3BC09E131B5971850.edm" localSheetId="4" hidden="1">IS!$B$5:$DJ$37</definedName>
    <definedName name="_bdm.1FF1108B998444F3BC09E131B5971850.edm" localSheetId="7" hidden="1">Retail!$B$5:$DJ$38</definedName>
    <definedName name="_bdm.3357AD2525014B51AF7F6CFCA91C8CC1.edm" localSheetId="4" hidden="1">IS!$B$5:$BV$52</definedName>
    <definedName name="_bdm.3357AD2525014B51AF7F6CFCA91C8CC1.edm" localSheetId="7" hidden="1">Retail!$B$5:$BV$176</definedName>
    <definedName name="_bdm.41B7AEE260174BF98FC2EC047E80626E.edm" localSheetId="4" hidden="1">IS!$B$5:$DJ$79</definedName>
    <definedName name="_bdm.459AE3F6FAF64249925584789DC53297.edm" localSheetId="4" hidden="1">IS!$B$5:$CK$36</definedName>
    <definedName name="_bdm.459AE3F6FAF64249925584789DC53297.edm" localSheetId="7" hidden="1">Retail!$B$5:$CK$38</definedName>
    <definedName name="_bdm.4C5E6DE5FA4C4DA7AF59693C4F2E8F84.edm" hidden="1">IS!$1:$1048576</definedName>
    <definedName name="_bdm.540A333383234D08BF9179A8931BC1EC.edm" localSheetId="5" hidden="1">'BS and CFS'!$B$134:$CZ$191</definedName>
    <definedName name="_bdm.744A5B4AFFB0432E9D2B4C509B709F17.edm" localSheetId="4" hidden="1">IS!$B$5:$DJ$51</definedName>
    <definedName name="_bdm.8CFAA947D51E4CD9BEDEF9870FB16163.edm" localSheetId="4" hidden="1">IS!$B$5:$CF$52</definedName>
    <definedName name="_bdm.8CFAA947D51E4CD9BEDEF9870FB16163.edm" localSheetId="7" hidden="1">Retail!$B$5:$CF$176</definedName>
    <definedName name="_bdm.918E6AC63ED0416EACAE585D1DC4E10B.edm" localSheetId="5" hidden="1">'BS and CFS'!$DZ$5:$DZ$65</definedName>
    <definedName name="_bdm.925181A65A2B40199DBADF0938BFEABB.edm" localSheetId="5" hidden="1">'BS and CFS'!$DZ$134:$DZ$181</definedName>
    <definedName name="_bdm.9726626C24A1424AB776B359C27BF868.edm" hidden="1">'BS and CFS'!$1:$1048576</definedName>
    <definedName name="_bdm.98E2B11D939F43E88B5BB6685C6D40E9.edm" localSheetId="8" hidden="1">PBM!$B$5:$CZ$101</definedName>
    <definedName name="_bdm.B44448AA195447E0B165452ACD5499D1.edm" localSheetId="7" hidden="1">Retail!$B$5:$DJ$41</definedName>
    <definedName name="_bdm.BD5A0B84B78040AFB612046F3EED5810.edm" localSheetId="4" hidden="1">IS!$B$5:$DJ$52</definedName>
    <definedName name="_bdm.BD5A0B84B78040AFB612046F3EED5810.edm" localSheetId="7" hidden="1">Retail!$B$5:$DJ$176</definedName>
    <definedName name="_bdm.C32BF0A46A8F4F5FA2D2F8C0C3A6982E.edm" localSheetId="7" hidden="1">Retail!$B$7:$CK$41</definedName>
    <definedName name="_bdm.C48267FB8F594493A3BA71F91EC50C04.edm" localSheetId="4" hidden="1">IS!$B$5:$DJ$52</definedName>
    <definedName name="_bdm.C48267FB8F594493A3BA71F91EC50C04.edm" localSheetId="7" hidden="1">Retail!$B$5:$DJ$38</definedName>
    <definedName name="_bdm.C6267EF9F6F1458FB4A79A104E1F59C4.edm" localSheetId="5" hidden="1">'BS and CFS'!$B$5:$CK$65</definedName>
    <definedName name="_bdm.C669031EEFFA485CBA89FAB65161395F.edm" hidden="1">[2]Variance!$A:$IV</definedName>
    <definedName name="_bdm.C9C3657C896846EEB41B53631D2803FF.edm" hidden="1">Retail!$1:$1048576</definedName>
    <definedName name="_bdm.CA16AA3DA59645D8AA2AFF8B95BDD8A7.edm" localSheetId="8" hidden="1">PBM!$B$8:$DJ$71</definedName>
    <definedName name="_bdm.CBC53F374616477E8442DD367481FDA9.edm" hidden="1">'[2]Per claim analysis'!$A:$IV</definedName>
    <definedName name="_bdm.D2DB327102C7432A92084FDA36A981B8.edm" hidden="1">'[1]ESRX Charts'!$A:$IV</definedName>
    <definedName name="_bdm.D6335B7CFEB84355BE1AF7DAE59CC4F1.edm" localSheetId="5" hidden="1">'BS and CFS'!$B$134:$CZ$179</definedName>
    <definedName name="_bdm.DE607BABD8724C068BBED1F918C7C7F9.edm" localSheetId="7" hidden="1">Retail!$B$7:$DJ$41</definedName>
    <definedName name="_bdm.DF7C79F5B2C54173AADDDE12064734A3.edm" hidden="1">[2]Valuation!$A:$IV</definedName>
    <definedName name="_bdm.DFABD624A7584AEF97952A6AB2CF07C8.edm" localSheetId="4" hidden="1">IS!$B$5:$CZ$72</definedName>
    <definedName name="_bdm.DFE56492250D4CC1BF0E949E55426164.edm" hidden="1">[2]Guidance!$A:$IV</definedName>
    <definedName name="_bdm.ECBA7193504F4554BB7C6A29FEE0A390.edm" localSheetId="4" hidden="1">IS!$CE$24:$CP$35</definedName>
    <definedName name="_bdm.EE4C1F383D484F21BFF8366839558F94.edm" localSheetId="5" hidden="1">'BS and CFS'!$DZ$134:$DZ$179</definedName>
    <definedName name="_bdm.EF18DA671E4D49A585989598AFCDAA0C.edm" localSheetId="4" hidden="1">IS!$B$5:$DJ$36</definedName>
    <definedName name="_bdm.EF18DA671E4D49A585989598AFCDAA0C.edm" localSheetId="7" hidden="1">Retail!$B$5:$DJ$38</definedName>
    <definedName name="_bdm.F3650FE847534E6BBCE3091CC0BAC958.edm" localSheetId="8" hidden="1">PBM!$B$5:$DJ$71</definedName>
    <definedName name="_bdm.F71514C84EF2402C8E98EE5D13F14935.edm" hidden="1">[2]Model!$A:$IV</definedName>
    <definedName name="_bdm.FA62468BE29C42CEBF033FDBE05623E5.edm" localSheetId="5" hidden="1">'BS and CFS'!$B$5:$CZ$65</definedName>
    <definedName name="_bdm.FD9F986D2E244C80A4620DDB1182C3AA.edm" localSheetId="7" hidden="1">Retail!$B$5:$CZ$41</definedName>
    <definedName name="_Fig1" localSheetId="7">Retail!$B$2:$DJ$176</definedName>
    <definedName name="_Fig1">IS!$B$2:$DJ$52</definedName>
    <definedName name="_Order1" hidden="1">255</definedName>
    <definedName name="Act_Price">OFFSET(Date_Range,0,1,,1)</definedName>
    <definedName name="AdditionalInstructions">IndexInformation!$B$42</definedName>
    <definedName name="Address" localSheetId="0">ImportantDisclosures!$A$2:$A$2</definedName>
    <definedName name="AllTables" localSheetId="7">{9}</definedName>
    <definedName name="AllTables">{9}</definedName>
    <definedName name="ANA" localSheetId="12">ModPubIndex!$A$7</definedName>
    <definedName name="anscount" hidden="1">1</definedName>
    <definedName name="ASM" localSheetId="7">{9}</definedName>
    <definedName name="ASM">{9}</definedName>
    <definedName name="Authors" localSheetId="0">ImportantDisclosures!$A$7</definedName>
    <definedName name="Authors" localSheetId="11">IndexInformation!$B$18</definedName>
    <definedName name="BRO" localSheetId="12">ModPubIndex!$A$1</definedName>
    <definedName name="bs_cfs_table">[3]Model!$B$76:$AG$180</definedName>
    <definedName name="Buttons" localSheetId="2">CircularReferenceAlert!$B$13:$B$15</definedName>
    <definedName name="ci">Debt!$CD$13</definedName>
    <definedName name="Circ2">'[4]Key Inputs and Scenarios'!$C$211</definedName>
    <definedName name="Circularity">'Key Inputs and Scenarios'!$C$288</definedName>
    <definedName name="CompanyName">[5]summary!$J$7</definedName>
    <definedName name="CompanyTicker">[5]summary!$J$8</definedName>
    <definedName name="copy" localSheetId="7">{9}</definedName>
    <definedName name="copy">{9}</definedName>
    <definedName name="CopyrightStamp">ImportantDisclosures!$A$27</definedName>
    <definedName name="COU" localSheetId="12">ModPubIndex!$A$5</definedName>
    <definedName name="CQEnd" localSheetId="11">IndexInformation!$B$31</definedName>
    <definedName name="cu102.ShareScalingFactor" hidden="1">1000000</definedName>
    <definedName name="cu103.EmployeeScalingFactor" hidden="1">1000</definedName>
    <definedName name="cu107.DPSSymbol" hidden="1">"US$"</definedName>
    <definedName name="cu107.EPSSymbol" hidden="1">"US$"</definedName>
    <definedName name="cu71.ScalingFactor" hidden="1">1000000</definedName>
    <definedName name="Currency" localSheetId="11">IndexInformation!$B$24</definedName>
    <definedName name="CurrentStockPrice" localSheetId="11">IndexInformation!$B$23</definedName>
    <definedName name="CurrQtrEPS" localSheetId="11">IndexInformation!$B$29</definedName>
    <definedName name="CurrYearEPS" localSheetId="11">IndexInformation!$B$11</definedName>
    <definedName name="CurrYearTotalRevenue" localSheetId="11">IndexInformation!$B$10</definedName>
    <definedName name="CurrYearTotalRevenueActual" localSheetId="11">IndexInformation!$B$32</definedName>
    <definedName name="CUSIP" localSheetId="11">IndexInformation!$B$20</definedName>
    <definedName name="CYEnd" localSheetId="11">IndexInformation!$B$30</definedName>
    <definedName name="d10ka.htm_tx668_8" localSheetId="8">PBM!$B$573:$BG$610</definedName>
    <definedName name="Date" localSheetId="0">ImportantDisclosures!$A$8</definedName>
    <definedName name="DB">"WIRENYPROD"</definedName>
    <definedName name="Deleted" localSheetId="11">IndexInformation!$B$27</definedName>
    <definedName name="Description" localSheetId="11">IndexInformation!$B$7</definedName>
    <definedName name="DEVELOPMENT">5</definedName>
    <definedName name="Discipline" localSheetId="11">IndexInformation!$B$3</definedName>
    <definedName name="DISCIPLINE" localSheetId="12">ModPubIndex!$A$12</definedName>
    <definedName name="DisclosuresText">ImportantDisclosures!$A$22</definedName>
    <definedName name="Distribution" localSheetId="11">IndexInformation!$B$26</definedName>
    <definedName name="DistTable" localSheetId="0">ImportantDisclosures!#REF!</definedName>
    <definedName name="DistTablePreamble" localSheetId="0">ImportantDisclosures!#REF!</definedName>
    <definedName name="DOCDAT" localSheetId="12">ModPubIndex!$A$2</definedName>
    <definedName name="DOCTIME" localSheetId="12">ModPubIndex!$A$3</definedName>
    <definedName name="DocType" localSheetId="11">IndexInformation!$B$5</definedName>
    <definedName name="Download_series">[6]!Download_series</definedName>
    <definedName name="DtLastUpdt">[5]summary!$J$14</definedName>
    <definedName name="DYNO">"TARGET"</definedName>
    <definedName name="EMAIL_ALERT" localSheetId="12">ModPubIndex!$A$10</definedName>
    <definedName name="EmailAlert" localSheetId="11">IndexInformation!$B$28</definedName>
    <definedName name="FiveYearGrowthRate" localSheetId="11">IndexInformation!$B$16</definedName>
    <definedName name="FollowingYearEPS" localSheetId="11">IndexInformation!$B$15</definedName>
    <definedName name="FollowingYearTotalRevenue" localSheetId="11">IndexInformation!$B$14</definedName>
    <definedName name="FollowingYearTotalRevenueActual" localSheetId="11">IndexInformation!$B$34</definedName>
    <definedName name="FR_CODE_COPY_LINK">" "</definedName>
    <definedName name="FR_CODE_DOWNLOAD_START">" "</definedName>
    <definedName name="FR_CODE_STOCK_LINK">" "</definedName>
    <definedName name="FR_COM_ABBR">" "</definedName>
    <definedName name="FR_COM_ABBR_LINK">" "</definedName>
    <definedName name="FR_COM_AGG">0</definedName>
    <definedName name="FR_COM_NAME_LINK">" "</definedName>
    <definedName name="FR_COU_ABBR">" "</definedName>
    <definedName name="FR_COU_ABBR_LINK">" "</definedName>
    <definedName name="FR_COU_NAME_LINK">" "</definedName>
    <definedName name="FR_DATABOX_DOWNLOAD">"N"</definedName>
    <definedName name="FR_DISP_HIDDEN">FALSE</definedName>
    <definedName name="FR_END_DATE">"'"</definedName>
    <definedName name="FR_LINKS_OVERRUN">TRUE</definedName>
    <definedName name="FR_LOG_END_DATE">"'"</definedName>
    <definedName name="FR_LOG_START_DATE">"'"</definedName>
    <definedName name="FR_REPORT_TYPE">""</definedName>
    <definedName name="FR_RPT_AREA_LINK">" "</definedName>
    <definedName name="FR_RPT_FOOTER_LINK">" "</definedName>
    <definedName name="FR_RPT_HEADER_LINK">" "</definedName>
    <definedName name="FR_RPT_LINE_SPACING">1</definedName>
    <definedName name="FR_RPT_PAGE_BREAK">0</definedName>
    <definedName name="FR_SHOW_LINK_MARKER">TRUE</definedName>
    <definedName name="FR_START_DATE">"'"</definedName>
    <definedName name="FR_USE_BILLIONS">FALSE</definedName>
    <definedName name="FR_USE_DIMFAC">TRUE</definedName>
    <definedName name="FR_USE_LOCAL_CCY">TRUE</definedName>
    <definedName name="FR_WORKBOOK">"H:\EDGE\Biotech\ABI.xls"</definedName>
    <definedName name="HL" localSheetId="12">ModPubIndex!$A$8</definedName>
    <definedName name="inc_sta_table">[3]Model!$D$4:$AG$72</definedName>
    <definedName name="IND" localSheetId="12">ModPubIndex!$A$9</definedName>
    <definedName name="Industry" localSheetId="0">ImportantDisclosures!$A$12</definedName>
    <definedName name="IndustryId">IndexInformation!$B$40</definedName>
    <definedName name="IndustryRating" localSheetId="0">ImportantDisclosures!$A$13</definedName>
    <definedName name="Inv">[2]Model!$A$82:$IV$82</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DIN" hidden="1">"AUTO"</definedName>
    <definedName name="IQ_ADJ_AVG_BANK_ASSETS" hidden="1">"c2671"</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REUT" hidden="1">"c3630"</definedName>
    <definedName name="IQ_AVG_DAILY_VOL" hidden="1">"c65"</definedName>
    <definedName name="IQ_AVG_INDUSTRY_REC" hidden="1">"c4455"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SHAREOUTSTANDING" hidden="1">"c83"</definedName>
    <definedName name="IQ_AVG_TEV" hidden="1">"c84"</definedName>
    <definedName name="IQ_AVG_VOLUME" hidden="1">"c1346"</definedName>
    <definedName name="IQ_BANK_DEBT" hidden="1">"c2544"</definedName>
    <definedName name="IQ_BANK_DEBT_PCT" hidden="1">"c2545"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ROK_COMISSION" hidden="1">"c98"</definedName>
    <definedName name="IQ_BROK_COMMISSION" hidden="1">"c3514"</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OVER_SHARES" hidden="1">"c1349"</definedName>
    <definedName name="IQ_BV_SHARE" hidden="1">"c100"</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Y" hidden="1">"c102"</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IZED_INTEREST" hidden="1">"c2076"</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"c1458"</definedName>
    <definedName name="IQ_CASH_ACQUIRE_CF" hidden="1">"c116"</definedName>
    <definedName name="IQ_CASH_CONVERSION" hidden="1">"c117"</definedName>
    <definedName name="IQ_CASH_DUE_BANKS" hidden="1">"c1351"</definedName>
    <definedName name="IQ_CASH_EQUIV" hidden="1">"c118"</definedName>
    <definedName name="IQ_CASH_FINAN" hidden="1">"c119"</definedName>
    <definedName name="IQ_CASH_FLOW_ACT_OR_EST" hidden="1">"c4154"</definedName>
    <definedName name="IQ_CASH_INTEREST" hidden="1">"c120"</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ED" hidden="1">"c2681"</definedName>
    <definedName name="IQ_CLASSA_OPTIONS_GRANTED" hidden="1">"c2680"</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NV_DATE" hidden="1">"c2191"</definedName>
    <definedName name="IQ_CONV_EXP_DATE" hidden="1">"c3043"</definedName>
    <definedName name="IQ_CONV_PREMIUM" hidden="1">"c2195"</definedName>
    <definedName name="IQ_CONV_PRICE" hidden="1">"c2193"</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ST_BORROWING" hidden="1">"c2936"</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ILY" hidden="1">500000</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OSITS_INTEREST_SECURITIES" hidden="1">"c5509"</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"c1366"</definedName>
    <definedName name="IQ_DIVIDEND_YIELD" hidden="1">"c332"</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DURATION" hidden="1">"c2181"</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EQ_INC" hidden="1">"c3498"</definedName>
    <definedName name="IQ_EBIT_EQ_INC_EXCL_SBC" hidden="1">"c3502"</definedName>
    <definedName name="IQ_EBIT_EXCL_SBC" hidden="1">"c3082"</definedName>
    <definedName name="IQ_EBIT_GW_ACT_OR_EST" hidden="1">"c4306"</definedName>
    <definedName name="IQ_EBIT_INT" hidden="1">"c360"</definedName>
    <definedName name="IQ_EBIT_MARGIN" hidden="1">"c359"</definedName>
    <definedName name="IQ_EBIT_OVER_IE" hidden="1">"c1369"</definedName>
    <definedName name="IQ_EBIT_SBC_ACT_OR_EST" hidden="1">"c4316"</definedName>
    <definedName name="IQ_EBIT_SBC_GW_ACT_OR_EST" hidden="1">"c4320"</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ACT_OR_EST" hidden="1">"c2215"</definedName>
    <definedName name="IQ_EBITDA_CAPEX_INT" hidden="1">"c368"</definedName>
    <definedName name="IQ_EBITDA_CAPEX_OVER_TOTAL_IE" hidden="1">"c1370"</definedName>
    <definedName name="IQ_EBITDA_EQ_INC" hidden="1">"c3496"</definedName>
    <definedName name="IQ_EBITDA_EQ_INC_EXCL_SBC" hidden="1">"c3500"</definedName>
    <definedName name="IQ_EBITDA_EST" hidden="1">"c369"</definedName>
    <definedName name="IQ_EBITDA_EST_REUT" hidden="1">"c3640"</definedName>
    <definedName name="IQ_EBITDA_EXCL_SBC" hidden="1">"c3081"</definedName>
    <definedName name="IQ_EBITDA_HIGH_EST" hidden="1">"c370"</definedName>
    <definedName name="IQ_EBITDA_HIGH_EST_REUT" hidden="1">"c3642"</definedName>
    <definedName name="IQ_EBITDA_INT" hidden="1">"c373"</definedName>
    <definedName name="IQ_EBITDA_LOW_EST" hidden="1">"c371"</definedName>
    <definedName name="IQ_EBITDA_LOW_EST_REUT" hidden="1">"c3643"</definedName>
    <definedName name="IQ_EBITDA_MARGIN" hidden="1">"c372"</definedName>
    <definedName name="IQ_EBITDA_MEDIAN_EST" hidden="1">"c1663"</definedName>
    <definedName name="IQ_EBITDA_MEDIAN_EST_REUT" hidden="1">"c3641"</definedName>
    <definedName name="IQ_EBITDA_NUM_EST" hidden="1">"c374"</definedName>
    <definedName name="IQ_EBITDA_NUM_EST_REUT" hidden="1">"c3644"</definedName>
    <definedName name="IQ_EBITDA_OVER_TOTAL_IE" hidden="1">"c1371"</definedName>
    <definedName name="IQ_EBITDA_SBC_ACT_OR_EST" hidden="1">"c4337"</definedName>
    <definedName name="IQ_EBITDA_STDDEV_EST" hidden="1">"c375"</definedName>
    <definedName name="IQ_EBITDA_STDDEV_EST_REUT" hidden="1">"c3645"</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SBC_ACT_OR_EST" hidden="1">"c4350"</definedName>
    <definedName name="IQ_EBT_SBC_GW_ACT_OR_EST" hidden="1">"c4354"</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EST" hidden="1">"c399"</definedName>
    <definedName name="IQ_EPS_EST_REUT" hidden="1">"c5453"</definedName>
    <definedName name="IQ_EPS_HIGH_EST" hidden="1">"c400"</definedName>
    <definedName name="IQ_EPS_HIGH_EST_REUT" hidden="1">"c5454"</definedName>
    <definedName name="IQ_EPS_LOW_EST" hidden="1">"c401"</definedName>
    <definedName name="IQ_EPS_LOW_EST_REUT" hidden="1">"c5455"</definedName>
    <definedName name="IQ_EPS_MEDIAN_EST" hidden="1">"c1661"</definedName>
    <definedName name="IQ_EPS_MEDIAN_EST_REUT" hidden="1">"c5456"</definedName>
    <definedName name="IQ_EPS_NORM" hidden="1">"c1902"</definedName>
    <definedName name="IQ_EPS_NUM_EST" hidden="1">"c402"</definedName>
    <definedName name="IQ_EPS_NUM_EST_REUT" hidden="1">"c5451"</definedName>
    <definedName name="IQ_EPS_SBC_ACT_OR_EST" hidden="1">"c4376"</definedName>
    <definedName name="IQ_EPS_SBC_GW_ACT_OR_EST" hidden="1">"c4380"</definedName>
    <definedName name="IQ_EPS_STDDEV_EST" hidden="1">"c403"</definedName>
    <definedName name="IQ_EPS_STDDEV_EST_REUT" hidden="1">"c5452"</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CURRENCY" hidden="1">"c2140"</definedName>
    <definedName name="IQ_EST_CURRENCY_REUT" hidden="1">"c5437"</definedName>
    <definedName name="IQ_EST_DATE" hidden="1">"c1634"</definedName>
    <definedName name="IQ_EST_DATE_REUT" hidden="1">"c5438"</definedName>
    <definedName name="IQ_EST_EPS_GROWTH_1YR" hidden="1">"c1636"</definedName>
    <definedName name="IQ_EST_EPS_GROWTH_1YR_REUT" hidden="1">"c3646"</definedName>
    <definedName name="IQ_EST_EPS_GROWTH_5YR" hidden="1">"c1655"</definedName>
    <definedName name="IQ_EST_EPS_GROWTH_5YR_REUT" hidden="1">"c3633"</definedName>
    <definedName name="IQ_EST_EPS_GROWTH_Q_1YR" hidden="1">"c1641"</definedName>
    <definedName name="IQ_EST_EPS_GROWTH_Q_1YR_REUT" hidden="1">"c5410"</definedName>
    <definedName name="IQ_EST_VENDOR" hidden="1">"c5564"</definedName>
    <definedName name="IQ_EV_OVER_EMPLOYEE" hidden="1">"c1428"</definedName>
    <definedName name="IQ_EV_OVER_LTM_EBIT" hidden="1">"c1426"</definedName>
    <definedName name="IQ_EV_OVER_LTM_EBITDA" hidden="1">"c1427"</definedName>
    <definedName name="IQ_EV_OVER_LTM_REVENUE" hidden="1">"c1429"</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ENSE_CODE_">"019802400"</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EDFUNDS_SOLD" hidden="1">"c2256"</definedName>
    <definedName name="IQ_FFO" hidden="1">"c1574"</definedName>
    <definedName name="IQ_FFO_ADJ_ACT_OR_EST" hidden="1">"c4435"</definedName>
    <definedName name="IQ_FFO_PAYOUT_RATIO" hidden="1">"c3492"</definedName>
    <definedName name="IQ_FFO_SHARE_ACT_OR_EST" hidden="1">"c4446"</definedName>
    <definedName name="IQ_FH" hidden="1">100000</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IV_ASSETS_CURRENT" hidden="1">"c427"</definedName>
    <definedName name="IQ_FIN_DIV_ASSETS_LT" hidden="1">"c428"</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NOTES_PAY_TOTAL" hidden="1">"c5522"</definedName>
    <definedName name="IQ_FIN_DIV_REV" hidden="1">"c437"</definedName>
    <definedName name="IQ_FIN_DIV_ST_DEBT_TOTAL" hidden="1">"c5527"</definedName>
    <definedName name="IQ_FINANCING_CASH" hidden="1">"c1405"</definedName>
    <definedName name="IQ_FINANCING_CASH_SUPPL" hidden="1">"c1406"</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 hidden="1">500</definedName>
    <definedName name="IQ_FUEL" hidden="1">"c449"</definedName>
    <definedName name="IQ_FULL_TIME" hidden="1">"c450"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Y" hidden="1">1000</definedName>
    <definedName name="IQ_GA_EXP" hidden="1">"c2241"</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C_EARNED" hidden="1">"c2747"</definedName>
    <definedName name="IQ_GROSS_PROFIT" hidden="1">"c1378"</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_TARGET_PRICE" hidden="1">"c1651"</definedName>
    <definedName name="IQ_HIGH_TARGET_PRICE_REUT" hidden="1">"c5317"</definedName>
    <definedName name="IQ_HIGHPRICE" hidden="1">"c545"</definedName>
    <definedName name="IQ_HOMEOWNERS_WRITTEN" hidden="1">"c546"</definedName>
    <definedName name="IQ_IMPAIR_OIL" hidden="1">"c547"</definedName>
    <definedName name="IQ_IMPAIRMENT_GW" hidden="1">"c548"</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NVEST_SECURITY_SUPPL" hidden="1">"c5511"</definedName>
    <definedName name="IQ_IPRD" hidden="1">"c644"</definedName>
    <definedName name="IQ_ISS_DEBT_NET" hidden="1">"c1391"</definedName>
    <definedName name="IQ_ISS_STOCK_NET" hidden="1">"c1601"</definedName>
    <definedName name="IQ_ISSUE_CURRENCY" hidden="1">"c2156"</definedName>
    <definedName name="IQ_ISSUE_NAME" hidden="1">"c2142"</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K" hidden="1">1000</definedName>
    <definedName name="IQ_LATESTQ" hidden="1">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SS_TO_NET_EARNED" hidden="1">"c2751"</definedName>
    <definedName name="IQ_LOW_TARGET_PRICE" hidden="1">"c1652"</definedName>
    <definedName name="IQ_LOW_TARGET_PRICE_REUT" hidden="1">"c5318"</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LTMMONTH" hidden="1">120000</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C_RATIO" hidden="1">"c2783"</definedName>
    <definedName name="IQ_MC_STATUTORY_SURPLUS" hidden="1">"c2772"</definedName>
    <definedName name="IQ_MEDIAN_TARGET_PRICE" hidden="1">"c1650"</definedName>
    <definedName name="IQ_MEDIAN_TARGET_PRICE_REUT" hidden="1">"c5316"</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M_ACCOUNT" hidden="1">"c743"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SERV_RIGHTS" hidden="1">"c2242"</definedName>
    <definedName name="IQ_MTD" hidden="1">800000</definedName>
    <definedName name="IQ_NAMES_REVISION_DATE_" hidden="1">41541.7844907407</definedName>
    <definedName name="IQ_NET_CHANGE" hidden="1">"c749"</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EBITDA" hidden="1">"c750"</definedName>
    <definedName name="IQ_NET_DEBT_EBITDA_CAPEX" hidden="1">"c2949"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EARNED" hidden="1">"c2734"</definedName>
    <definedName name="IQ_NET_INC" hidden="1">"c1394"</definedName>
    <definedName name="IQ_NET_INC_BEFORE" hidden="1">"c1368"</definedName>
    <definedName name="IQ_NET_INC_CF" hidden="1">"c1397"</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IFE_INS_IN_FORCE" hidden="1">"c2769"</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MARGIN" hidden="1">"c794"</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SBC_ACT_OR_EST" hidden="1">"c4474"</definedName>
    <definedName name="IQ_NI_SBC_GW_ACT_OR_EST" hidden="1">"c4478"</definedName>
    <definedName name="IQ_NI_SFAS" hidden="1">"c795"</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CASH_PENSION_EXP" hidden="1">"c3000"</definedName>
    <definedName name="IQ_NONRECOURSE_DEBT" hidden="1">"c2550"</definedName>
    <definedName name="IQ_NONRECOURSE_DEBT_PCT" hidden="1">"c2551"</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UNRECOG_PRIOR" hidden="1">"c3320"</definedName>
    <definedName name="IQ_OPEB_UNRECOG_PRIOR_DOM" hidden="1">"c3318"</definedName>
    <definedName name="IQ_OPEB_UNRECOG_PRIOR_FOREIGN" hidden="1">"c3319"</definedName>
    <definedName name="IQ_OPENPRICE" hidden="1">"c848"</definedName>
    <definedName name="IQ_OPER_INC" hidden="1">"c849"</definedName>
    <definedName name="IQ_OPER_INC_BR" hidden="1">"c850"</definedName>
    <definedName name="IQ_OPER_INC_FIN" hidden="1">"c851"</definedName>
    <definedName name="IQ_OPER_INC_INS" hidden="1">"c852"</definedName>
    <definedName name="IQ_OPER_INC_MARGIN" hidden="1">"c1448"</definedName>
    <definedName name="IQ_OPER_INC_REIT" hidden="1">"c853"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GRANTED" hidden="1">"c2673"</definedName>
    <definedName name="IQ_OPTIONS_ISSUED" hidden="1">"c857"</definedName>
    <definedName name="IQ_OPTIONS_STRIKE_PRICE_GRANTED" hidden="1">"c2678"</definedName>
    <definedName name="IQ_OPTIONS_STRIKE_PRICE_OS" hidden="1">"c2677"</definedName>
    <definedName name="IQ_ORDER_BACKLOG" hidden="1">"c2090"</definedName>
    <definedName name="IQ_OTHER_ADJUST_GROSS_LOANS" hidden="1">"c859"</definedName>
    <definedName name="IQ_OTHER_AMORT" hidden="1">"c5563"</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BT" hidden="1">"c2507"</definedName>
    <definedName name="IQ_OTHER_DEBT_PCT" hidden="1">"c2508"</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ED" hidden="1">"c2688"</definedName>
    <definedName name="IQ_OTHER_OPTIONS_GRANTED" hidden="1">"c2687"</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STRIKE_PRICE_GRANTED" hidden="1">"c2692"</definedName>
    <definedName name="IQ_OTHER_UNDRAWN" hidden="1">"c2522"</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"c1023"</definedName>
    <definedName name="IQ_OWNERSHIP" hidden="1">"c2160"</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NORMALIZED" hidden="1">"c2207"</definedName>
    <definedName name="IQ_PE_RATIO" hidden="1">"c1610"</definedName>
    <definedName name="IQ_PEG_FWD" hidden="1">"c1863"</definedName>
    <definedName name="IQ_PEG_FWD_REUT" hidden="1">"c4052"</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RE_OPEN_COST" hidden="1">"c1040"</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ICE_OVER_BVPS" hidden="1">"c1412"</definedName>
    <definedName name="IQ_PRICE_OVER_LTM_EPS" hidden="1">"c1413"</definedName>
    <definedName name="IQ_PRICE_TARGET" hidden="1">"c82"</definedName>
    <definedName name="IQ_PRICE_TARGET_REUT" hidden="1">"c3631"</definedName>
    <definedName name="IQ_PRICEDATE" hidden="1">"c1069"</definedName>
    <definedName name="IQ_PRICING_DATE" hidden="1">"c1613"</definedName>
    <definedName name="IQ_PRIMARY_INDUSTRY" hidden="1">"c1070"</definedName>
    <definedName name="IQ_PRINCIPAL_AMT" hidden="1">"c2157"</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PUT_DATE_SCHEDULE" hidden="1">"c2483"</definedName>
    <definedName name="IQ_PUT_NOTIFICATION" hidden="1">"c2485"</definedName>
    <definedName name="IQ_PUT_PRICE_SCHEDULE" hidden="1">"c2484"</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CURRING_PROFIT_ACT_OR_EST" hidden="1">"c4507"</definedName>
    <definedName name="IQ_RECURRING_PROFIT_SHARE_ACT_OR_EST" hidden="1">"c4508"</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CQUIRED_FRANCHISE_STORES" hidden="1">"c2903"</definedName>
    <definedName name="IQ_RETAIL_ACQUIRED_OWNED_STORES" hidden="1">"c2895"</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"c1420"</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"c1421"</definedName>
    <definedName name="IQ_REV" hidden="1">"c1122"</definedName>
    <definedName name="IQ_REV_BEFORE_LL" hidden="1">"c1123"</definedName>
    <definedName name="IQ_REV_STDDEV_EST" hidden="1">"c1124"</definedName>
    <definedName name="IQ_REV_STDDEV_EST_REUT" hidden="1">"c3639"</definedName>
    <definedName name="IQ_REV_UTI" hidden="1">"c1125"</definedName>
    <definedName name="IQ_REVENUE" hidden="1">"c1422"</definedName>
    <definedName name="IQ_REVENUE_ACT_OR_EST" hidden="1">"c2214"</definedName>
    <definedName name="IQ_REVENUE_EST" hidden="1">"c1126"</definedName>
    <definedName name="IQ_REVENUE_EST_REUT" hidden="1">"c3634"</definedName>
    <definedName name="IQ_REVENUE_HIGH_EST" hidden="1">"c1127"</definedName>
    <definedName name="IQ_REVENUE_HIGH_EST_REUT" hidden="1">"c3636"</definedName>
    <definedName name="IQ_REVENUE_LOW_EST" hidden="1">"c1128"</definedName>
    <definedName name="IQ_REVENUE_LOW_EST_REUT" hidden="1">"c3637"</definedName>
    <definedName name="IQ_REVENUE_MEDIAN_EST" hidden="1">"c1662"</definedName>
    <definedName name="IQ_REVENUE_MEDIAN_EST_REUT" hidden="1">"c3635"</definedName>
    <definedName name="IQ_REVENUE_NUM_EST" hidden="1">"c1129"</definedName>
    <definedName name="IQ_REVENUE_NUM_EST_REUT" hidden="1">"c3638"</definedName>
    <definedName name="IQ_REVISION_DATE_" hidden="1">39244.4711574074</definedName>
    <definedName name="IQ_RISK_ADJ_BANK_ASSETS" hidden="1">"c2670"</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DEBT" hidden="1">"c2546"</definedName>
    <definedName name="IQ_SECURED_DEBT_PCT" hidden="1">"c2547"</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PCT" hidden="1">"c2539"</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RGET_PRICE_NUM" hidden="1">"c1653"</definedName>
    <definedName name="IQ_TARGET_PRICE_NUM_REUT" hidden="1">"c5319"</definedName>
    <definedName name="IQ_TARGET_PRICE_STDDEV" hidden="1">"c1654"</definedName>
    <definedName name="IQ_TARGET_PRICE_STDDEV_REUT" hidden="1">"c5320"</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BITDA_FWD" hidden="1">"c1224"</definedName>
    <definedName name="IQ_TEV_EBITDA_FWD_REUT" hidden="1">"c4050"</definedName>
    <definedName name="IQ_TEV_EMPLOYEE_AVG" hidden="1">"c1225"</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UFCF" hidden="1">"c2208"</definedName>
    <definedName name="IQ_TIER_ONE_CAPITAL" hidden="1">"c2667"</definedName>
    <definedName name="IQ_TIER_ONE_RATIO" hidden="1">"c1229"</definedName>
    <definedName name="IQ_TIER_TWO_CAPITAL" hidden="1">"c2669"</definedName>
    <definedName name="IQ_TIME_DEP" hidden="1">"c1230"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 hidden="1">"c2141"</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SSETS" hidden="1">"c1310"</definedName>
    <definedName name="IQ_TRADING_CURRENCY" hidden="1">"c2212"</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TRUST_PREFERRED" hidden="1">"c3029"</definedName>
    <definedName name="IQ_TRUST_PREFERRED_PCT" hidden="1">"c3030"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SECURED_DEBT" hidden="1">"c2548"</definedName>
    <definedName name="IQ_UNSECURED_DEBT_PCT" hidden="1">"c2549"</definedName>
    <definedName name="IQ_UNUSUAL_EXP" hidden="1">"c1456"</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IP_INV" hidden="1">"c1335"</definedName>
    <definedName name="IQ_WORKING_CAP" hidden="1">"c3494"</definedName>
    <definedName name="IQ_WORKMEN_WRITTEN" hidden="1">"c1336"</definedName>
    <definedName name="IQ_XDIV_DATE" hidden="1">"c2203"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KeepVersions" localSheetId="11">IndexInformation!$B$8</definedName>
    <definedName name="LanguageCode">IndexInformation!$B$38</definedName>
    <definedName name="LastCell" localSheetId="0">ImportantDisclosures!$A$22</definedName>
    <definedName name="Linking_1">Guidance!$B$19:$AK$32</definedName>
    <definedName name="Linking_Range_1">IS!$B$5:$DJ$79</definedName>
    <definedName name="Linking_Range_10">Guidance!$B$2:$N$32</definedName>
    <definedName name="Linking_Range_11">Guidance!$B$35:$K$61</definedName>
    <definedName name="Linking_Range_12">Guidance!$B$63:$K$75</definedName>
    <definedName name="Linking_Range_13">Guidance!$B$77:$K$89</definedName>
    <definedName name="Linking_Range_14">Guidance!$B$2:$K$32</definedName>
    <definedName name="Linking_Range_15">Guidance!$B$2:$K$8</definedName>
    <definedName name="Linking_Range_16">Guidance!$B$19:$K$24</definedName>
    <definedName name="Linking_Range_17">Guidance!$B$3:$K$24</definedName>
    <definedName name="Linking_Range_18">Guidance!$B$3:$J$32</definedName>
    <definedName name="Linking_Range_19">Guidance!$B$19:$J$24</definedName>
    <definedName name="Linking_Range_2">'BS and CFS'!$B$134:$CZ$191</definedName>
    <definedName name="Linking_Range_20">Guidance!$B$25:$J$32</definedName>
    <definedName name="Linking_Range_21">Guidance!$B$4:$K$8</definedName>
    <definedName name="Linking_Range_22">Guidance!$B$3:$N$32</definedName>
    <definedName name="Linking_Range_23">Guidance!$B$37:$K$61</definedName>
    <definedName name="Linking_Range_24">Guidance!$B$65:$J$75</definedName>
    <definedName name="Linking_Range_25">Guidance!$B$79:$J$89</definedName>
    <definedName name="Linking_Range_26">'BS and CFS'!$B$134:$CZ$179</definedName>
    <definedName name="Linking_Range_27">'BS and CFS'!$B$5:$CZ$61</definedName>
    <definedName name="Linking_Range_28">Guidance!$B$35:$T$89</definedName>
    <definedName name="Linking_Range_29">Guidance!$B$35:$U$89</definedName>
    <definedName name="Linking_Range_3">'BS and CFS'!$B$5:$CZ$65</definedName>
    <definedName name="Linking_Range_30">Guidance!$B$35:$V$89</definedName>
    <definedName name="Linking_Range_31">Guidance!$B$35:$I$61</definedName>
    <definedName name="Linking_Range_32">Guidance!$B$4:$I$8</definedName>
    <definedName name="Linking_Range_33">Guidance!$B$63:$I$75</definedName>
    <definedName name="Linking_Range_34">Guidance!$B$19:$I$24</definedName>
    <definedName name="Linking_Range_36">Guidance!$B$4:$T$8</definedName>
    <definedName name="Linking_Range_37">Guidance!$B$19:$T$32</definedName>
    <definedName name="Linking_Range_38">Guidance!$B$4:$V$8</definedName>
    <definedName name="Linking_Range_39">Guidance!$B$19:$V$28</definedName>
    <definedName name="Linking_Range_4">PBM!$B$5:$CZ$101</definedName>
    <definedName name="Linking_Range_40">Guidance!$B$4:$X$8</definedName>
    <definedName name="Linking_Range_44">IS!$B$5:$CZ$72</definedName>
    <definedName name="Linking_Range_45">Guidance!$B$4:$U$8</definedName>
    <definedName name="Linking_Range_46">IS!$B$5:$DE$79</definedName>
    <definedName name="Linking_Range_47">Guidance!$B$19:$AB$32</definedName>
    <definedName name="Linking_Range_48">Guidance!$B$4:$AB$8</definedName>
    <definedName name="Linking_Range_49">Guidance!$B$19:$AB$28</definedName>
    <definedName name="Linking_Range_5">Retail!$B$5:$CZ$41</definedName>
    <definedName name="Linking_Range_50">Guidance!$B$4:$AF$8</definedName>
    <definedName name="Linking_Range_51">Guidance!$B$19:$AF$28</definedName>
    <definedName name="Linking_Range_52">Guidance!$B$4:$AK$32</definedName>
    <definedName name="Linking_Range_53">Guidance!$B$37:$AK$61</definedName>
    <definedName name="Linking_Range_54">Guidance!$B$65:$AK$75</definedName>
    <definedName name="Linking_Range_55">Guidance!$B$79:$AK$89</definedName>
    <definedName name="Linking_Range_56">Guidance!$B$4:$AK$8</definedName>
    <definedName name="Linking_Range_57">Guidance!$B$19:$AK$28</definedName>
    <definedName name="Linking_Range_7">IS!$B$5:$CZ$79</definedName>
    <definedName name="Linking_Range_8">IS!$B$2:$DJ$79</definedName>
    <definedName name="Linking_Range_9">'BS and CFS'!$B$5:$CZ$191</definedName>
    <definedName name="LTD">[2]Model!$A$98:$IV$98</definedName>
    <definedName name="MacroVersion" localSheetId="11">IndexInformation!$B$1</definedName>
    <definedName name="Mail">258.7/(258.7+1097.6)</definedName>
    <definedName name="MaxChange" localSheetId="2">CircularReferenceAlert!$B$9</definedName>
    <definedName name="MaxIterations" localSheetId="2">CircularReferenceAlert!$B$8</definedName>
    <definedName name="ModelPrice" localSheetId="0">ImportantDisclosures!$A$14</definedName>
    <definedName name="Multiplier" localSheetId="11">IndexInformation!$B$35</definedName>
    <definedName name="NetRev">[2]Model!$A$8:$IV$8</definedName>
    <definedName name="NextYearEPS" localSheetId="11">IndexInformation!$B$13</definedName>
    <definedName name="NextYearTotalRevenue" localSheetId="11">IndexInformation!$B$12</definedName>
    <definedName name="NextYearTotalRevenueActual" localSheetId="11">IndexInformation!$B$33</definedName>
    <definedName name="ObjectType">IndexInformation!$B$37</definedName>
    <definedName name="PANA" localSheetId="12">ModPubIndex!$A$11</definedName>
    <definedName name="PathName" localSheetId="11">IndexInformation!$B$25</definedName>
    <definedName name="_xlnm.Print_Area" localSheetId="5">'BS and CFS'!$B$2:$CZ$192</definedName>
    <definedName name="_xlnm.Print_Area" localSheetId="3">Cover!$A$1:$N$21</definedName>
    <definedName name="_xlnm.Print_Area" localSheetId="6">Guidance!$B$2:$AX$90</definedName>
    <definedName name="_xlnm.Print_Area" localSheetId="4">IS!$B$2:$DT$79</definedName>
    <definedName name="_xlnm.Print_Area" localSheetId="8">PBM!$A$1:$DJ$662</definedName>
    <definedName name="_xlnm.Print_Area" localSheetId="7">Retail!$B$5:$DJ$176</definedName>
    <definedName name="_xlnm.Print_Area">"Formula removed, name can be deleted."</definedName>
    <definedName name="Print_ibt">[7]!Print_ibt</definedName>
    <definedName name="Print_image">[7]!Print_image</definedName>
    <definedName name="_xlnm.Print_Titles" localSheetId="8">PBM!$5:$6</definedName>
    <definedName name="_xlnm.Print_Titles" localSheetId="7">Retail!$5:$6</definedName>
    <definedName name="_xlnm.Print_Titles">"Formula removed, name can be deleted."</definedName>
    <definedName name="Print_valmat">[7]!Print_valmat</definedName>
    <definedName name="Print_Valmax">[8]!Print_Valmax</definedName>
    <definedName name="PrintModelReports">[9]!PrintModelReports</definedName>
    <definedName name="PrintPreviewModelReports">[9]!PrintPreviewModelReports</definedName>
    <definedName name="PRODUCT" localSheetId="12">ModPubIndex!$A$6</definedName>
    <definedName name="ProjectName" localSheetId="10">{"Client Name or Project Name"}</definedName>
    <definedName name="ProjectName" localSheetId="7">{"Cereva Networks, Inc"}</definedName>
    <definedName name="ProjectName">{"Cereva Networks, Inc"}</definedName>
    <definedName name="PSYM" localSheetId="12">ModPubIndex!$A$4</definedName>
    <definedName name="PublishDate" localSheetId="11">IndexInformation!$B$2</definedName>
    <definedName name="Rating" localSheetId="11">IndexInformation!$B$9</definedName>
    <definedName name="Rating">[5]summary!$J$12</definedName>
    <definedName name="RatingsDefined" localSheetId="0">ImportantDisclosures!$A$21</definedName>
    <definedName name="RatingsDefs" localSheetId="0">ImportantDisclosures!#REF!</definedName>
    <definedName name="RegACDisclosure" localSheetId="0">ImportantDisclosures!#REF!</definedName>
    <definedName name="Rel_Forw">OFFSET(Date_Range,0,10,,1)</definedName>
    <definedName name="ResearchTopic" localSheetId="11">IndexInformation!$B$4</definedName>
    <definedName name="Retail">1097.6/(258.7+1097.6)</definedName>
    <definedName name="RIC" localSheetId="11">IndexInformation!$B$21</definedName>
    <definedName name="rngPriceTarget">Cover!$A$5</definedName>
    <definedName name="SECSettlement" localSheetId="0">ImportantDisclosures!#REF!</definedName>
    <definedName name="SEDOL" localSheetId="11">IndexInformation!$B$22</definedName>
    <definedName name="shrs_out_dil">[2]Model!$A$29:$IV$29</definedName>
    <definedName name="solver_adj" localSheetId="9" hidden="1">Debt!$CB$9</definedName>
    <definedName name="solver_adj" localSheetId="8" hidden="1">PBM!$CI$189</definedName>
    <definedName name="solver_adj" localSheetId="7" hidden="1">Retail!$CI$122</definedName>
    <definedName name="solver_cvg" localSheetId="9" hidden="1">0.0001</definedName>
    <definedName name="solver_cvg" localSheetId="8" hidden="1">0.0001</definedName>
    <definedName name="solver_cvg" localSheetId="7" hidden="1">0.0001</definedName>
    <definedName name="solver_drv" localSheetId="9" hidden="1">1</definedName>
    <definedName name="solver_drv" localSheetId="8" hidden="1">1</definedName>
    <definedName name="solver_drv" localSheetId="7" hidden="1">1</definedName>
    <definedName name="solver_est" localSheetId="9" hidden="1">1</definedName>
    <definedName name="solver_est" localSheetId="8" hidden="1">1</definedName>
    <definedName name="solver_est" localSheetId="7" hidden="1">1</definedName>
    <definedName name="solver_itr" localSheetId="9" hidden="1">100</definedName>
    <definedName name="solver_itr" localSheetId="8" hidden="1">100</definedName>
    <definedName name="solver_itr" localSheetId="7" hidden="1">100</definedName>
    <definedName name="solver_lhs1" localSheetId="9" hidden="1">Debt!$BW$15:$BZ$15</definedName>
    <definedName name="solver_lin" localSheetId="9" hidden="1">2</definedName>
    <definedName name="solver_lin" localSheetId="8" hidden="1">2</definedName>
    <definedName name="solver_lin" localSheetId="7" hidden="1">2</definedName>
    <definedName name="solver_neg" localSheetId="9" hidden="1">2</definedName>
    <definedName name="solver_neg" localSheetId="8" hidden="1">2</definedName>
    <definedName name="solver_neg" localSheetId="7" hidden="1">2</definedName>
    <definedName name="solver_num" localSheetId="9" hidden="1">0</definedName>
    <definedName name="solver_num" localSheetId="8" hidden="1">0</definedName>
    <definedName name="solver_num" localSheetId="7" hidden="1">0</definedName>
    <definedName name="solver_nwt" localSheetId="9" hidden="1">1</definedName>
    <definedName name="solver_nwt" localSheetId="8" hidden="1">1</definedName>
    <definedName name="solver_nwt" localSheetId="7" hidden="1">1</definedName>
    <definedName name="solver_opt" localSheetId="9" hidden="1">Debt!$CB$15</definedName>
    <definedName name="solver_opt" localSheetId="8" hidden="1">PBM!$CI$225</definedName>
    <definedName name="solver_opt" localSheetId="7" hidden="1">Retail!$CI$94</definedName>
    <definedName name="solver_pre" localSheetId="9" hidden="1">0.000001</definedName>
    <definedName name="solver_pre" localSheetId="8" hidden="1">0.000001</definedName>
    <definedName name="solver_pre" localSheetId="7" hidden="1">0.000001</definedName>
    <definedName name="solver_rel1" localSheetId="9" hidden="1">2</definedName>
    <definedName name="solver_rhs1" localSheetId="9" hidden="1">0</definedName>
    <definedName name="solver_scl" localSheetId="9" hidden="1">2</definedName>
    <definedName name="solver_scl" localSheetId="8" hidden="1">2</definedName>
    <definedName name="solver_scl" localSheetId="7" hidden="1">2</definedName>
    <definedName name="solver_sho" localSheetId="9" hidden="1">2</definedName>
    <definedName name="solver_sho" localSheetId="8" hidden="1">2</definedName>
    <definedName name="solver_sho" localSheetId="7" hidden="1">2</definedName>
    <definedName name="solver_tim" localSheetId="9" hidden="1">100</definedName>
    <definedName name="solver_tim" localSheetId="8" hidden="1">100</definedName>
    <definedName name="solver_tim" localSheetId="7" hidden="1">100</definedName>
    <definedName name="solver_tol" localSheetId="9" hidden="1">0.05</definedName>
    <definedName name="solver_tol" localSheetId="8" hidden="1">0.05</definedName>
    <definedName name="solver_tol" localSheetId="7" hidden="1">0.05</definedName>
    <definedName name="solver_typ" localSheetId="9" hidden="1">3</definedName>
    <definedName name="solver_typ" localSheetId="8" hidden="1">3</definedName>
    <definedName name="solver_typ" localSheetId="7" hidden="1">3</definedName>
    <definedName name="solver_val" localSheetId="9" hidden="1">0</definedName>
    <definedName name="solver_val" localSheetId="8" hidden="1">0</definedName>
    <definedName name="solver_val" localSheetId="7" hidden="1">0</definedName>
    <definedName name="SourceDefined" localSheetId="0">ImportantDisclosures!$A$19</definedName>
    <definedName name="SpecAdj">[2]Specialty!$C$28</definedName>
    <definedName name="Stand1" localSheetId="7">{"Client Name or Project Name"}</definedName>
    <definedName name="Stand1">{"Client Name or Project Name"}</definedName>
    <definedName name="StockRating" localSheetId="0">ImportantDisclosures!$A$11</definedName>
    <definedName name="SubjectCode" localSheetId="11">IndexInformation!$B$6</definedName>
    <definedName name="SubmitterUserId">IndexInformation!$B$39</definedName>
    <definedName name="SUPPRESSED" localSheetId="12">ModPubIndex!$A$13</definedName>
    <definedName name="TargetPrice" localSheetId="0">ImportantDisclosures!$A$15</definedName>
    <definedName name="Template.WIRE">"DBACCESS"</definedName>
    <definedName name="TemplateRegion">IndexInformation!$B$36</definedName>
    <definedName name="Ticker" localSheetId="0">ImportantDisclosures!$A$10</definedName>
    <definedName name="Ticker">'BS and CFS'!$B$2</definedName>
    <definedName name="TickerRegion">IndexInformation!$B$41</definedName>
    <definedName name="Tickers" localSheetId="11">IndexInformation!$B$19</definedName>
    <definedName name="TotalEquity">[2]Model!$A$108:$IV$108</definedName>
    <definedName name="trc_XLS_DATASHEET_ProtectDate">36886.46375</definedName>
    <definedName name="Update_This">[6]!Update_This</definedName>
    <definedName name="UpdateReason" localSheetId="11">IndexInformation!$B$17</definedName>
    <definedName name="USRegDisclosures" localSheetId="0">ImportantDisclosures!#REF!</definedName>
    <definedName name="Version">"June 29, 2004"</definedName>
    <definedName name="Version.WIRE">1</definedName>
    <definedName name="WAGMktShare">'[10]WAG Generic Synergies'!$A$30</definedName>
    <definedName name="wrn.complete." hidden="1">{"assumptions",#N/A,FALSE,"QTRTEMP";"wwsales",#N/A,FALSE,"QTRTEMP";"wwgrowth",#N/A,FALSE,"QTRTEMP";"ussales",#N/A,FALSE,"QTRTEMP";"usgrowth",#N/A,FALSE,"QTRTEMP";"nonsales",#N/A,FALSE,"QTRTEMP";"nongrowth",#N/A,FALSE,"QTRTEMP";"pl growth",#N/A,FALSE,"QTRTEMP";"cashflow",#N/A,FALSE,"QTRTEMP"}</definedName>
    <definedName name="wrn.ENTIRE." hidden="1">{"INCOMEannual1",#N/A,FALSE,"income";"INCOMEannual2",#N/A,FALSE,"income";"INCOMEquarterly1",#N/A,FALSE,"income";"INCOMEquarterly2",#N/A,FALSE,"income";"INCOMEcalendarized1",#N/A,FALSE,"income";"INCOMEcalendarized2",#N/A,FALSE,"income";"QTRSTATISTICSstatistics",#N/A,FALSE,"Qtr statistics";"YEARSTATISTICSstatistics",#N/A,FALSE,"Yr statistics";"CASHFLOWcashflow",#N/A,FALSE,"cash flow";"DEBTdebt1",#N/A,FALSE,"debt";"DEBTdebt2",#N/A,FALSE,"debt";"VALUATIONprice",#N/A,FALSE,"valuation"}</definedName>
    <definedName name="wrn.entireINCOME." hidden="1">{"INCOMEannual2",#N/A,FALSE,"income";"INCOMEannual1",#N/A,FALSE,"income";"INCOMEquarterly1",#N/A,FALSE,"income";"INCOMEquarterly2",#N/A,FALSE,"income";"INCOMEcalendarized1",#N/A,FALSE,"income"}</definedName>
    <definedName name="wrn.INCOME." hidden="1">{"INCOMEquarterly1",#N/A,TRUE,"income";"INCOMEquarterly2",#N/A,TRUE,"income"}</definedName>
  </definedNames>
  <calcPr calcId="145621" iterate="1"/>
</workbook>
</file>

<file path=xl/calcChain.xml><?xml version="1.0" encoding="utf-8"?>
<calcChain xmlns="http://schemas.openxmlformats.org/spreadsheetml/2006/main">
  <c r="BL24" i="5" l="1"/>
  <c r="DK102" i="6"/>
  <c r="DL433" i="8" l="1"/>
  <c r="DL172" i="2" l="1"/>
  <c r="DL23" i="7"/>
  <c r="DK23" i="7"/>
  <c r="BA82" i="9"/>
  <c r="AZ82" i="9"/>
  <c r="AY82" i="9"/>
  <c r="BA182" i="9"/>
  <c r="AY182" i="9"/>
  <c r="AZ182" i="9"/>
  <c r="BA185" i="9"/>
  <c r="AZ185" i="9"/>
  <c r="AY185" i="9"/>
  <c r="BA181" i="9"/>
  <c r="AZ181" i="9"/>
  <c r="AY181" i="9"/>
  <c r="AZ189" i="9"/>
  <c r="BA189" i="9"/>
  <c r="AY189" i="9"/>
  <c r="AX159" i="9"/>
  <c r="AY159" i="9"/>
  <c r="AZ159" i="9"/>
  <c r="BA159" i="9"/>
  <c r="DK11" i="3"/>
  <c r="DJ71" i="7"/>
  <c r="DI71" i="7"/>
  <c r="DH71" i="7"/>
  <c r="DG71" i="7"/>
  <c r="DF71" i="7"/>
  <c r="AX62" i="9"/>
  <c r="BH44" i="5"/>
  <c r="BH82" i="5"/>
  <c r="BH81" i="5"/>
  <c r="BH80" i="5"/>
  <c r="BH67" i="5"/>
  <c r="BH66" i="5"/>
  <c r="BH28" i="5"/>
  <c r="BI25" i="5"/>
  <c r="BH27" i="5"/>
  <c r="BH26" i="5"/>
  <c r="BH20" i="5"/>
  <c r="BI16" i="5"/>
  <c r="DI85" i="3"/>
  <c r="DI84" i="3"/>
  <c r="DI123" i="3"/>
  <c r="DI117" i="3"/>
  <c r="DI104" i="3"/>
  <c r="DI107" i="3"/>
  <c r="DI94" i="3" l="1"/>
  <c r="DI72" i="3"/>
  <c r="DI8" i="3" s="1"/>
  <c r="DI192" i="3"/>
  <c r="DI189" i="3"/>
  <c r="DI190" i="3" s="1"/>
  <c r="DI185" i="3"/>
  <c r="DI187" i="3" s="1"/>
  <c r="DI188" i="3" s="1"/>
  <c r="DI178" i="3"/>
  <c r="DI160" i="3"/>
  <c r="DI165" i="3" s="1"/>
  <c r="DI143" i="3"/>
  <c r="DI152" i="3" s="1"/>
  <c r="DF69" i="3"/>
  <c r="DI129" i="3"/>
  <c r="DI124" i="3"/>
  <c r="DI110" i="3"/>
  <c r="DI98" i="3"/>
  <c r="DI77" i="3"/>
  <c r="DI75" i="3" s="1"/>
  <c r="DI62" i="3"/>
  <c r="DI60" i="3"/>
  <c r="DI59" i="3"/>
  <c r="DI58" i="3"/>
  <c r="DI57" i="3"/>
  <c r="DI56" i="3"/>
  <c r="DI52" i="3"/>
  <c r="DI51" i="3"/>
  <c r="DI53" i="3" s="1"/>
  <c r="DI49" i="3"/>
  <c r="DI50" i="3" s="1"/>
  <c r="DI48" i="3"/>
  <c r="DI44" i="3"/>
  <c r="DI43" i="3"/>
  <c r="DI41" i="3"/>
  <c r="DI40" i="3"/>
  <c r="DI39" i="3"/>
  <c r="DI38" i="3"/>
  <c r="DI37" i="3"/>
  <c r="DI33" i="3"/>
  <c r="DI32" i="3"/>
  <c r="DI31" i="3"/>
  <c r="DI30" i="3"/>
  <c r="DI29" i="3"/>
  <c r="DI28" i="3"/>
  <c r="DI23" i="3"/>
  <c r="DI22" i="3"/>
  <c r="DI21" i="3"/>
  <c r="DI20" i="3"/>
  <c r="DI19" i="3"/>
  <c r="DI18" i="3"/>
  <c r="DI17" i="3"/>
  <c r="DI16" i="3"/>
  <c r="DI15" i="3"/>
  <c r="DI14" i="3"/>
  <c r="DI13" i="3"/>
  <c r="DI11" i="3"/>
  <c r="DI12" i="3" s="1"/>
  <c r="DI18" i="2"/>
  <c r="DI34" i="3" l="1"/>
  <c r="DI99" i="3"/>
  <c r="DI128" i="3" s="1"/>
  <c r="DI130" i="3" s="1"/>
  <c r="DI179" i="3"/>
  <c r="DI181" i="3" s="1"/>
  <c r="DI186" i="3"/>
  <c r="DI45" i="3"/>
  <c r="DI61" i="3"/>
  <c r="DI35" i="3"/>
  <c r="DI42" i="3"/>
  <c r="DI26" i="3"/>
  <c r="DI63" i="3" l="1"/>
  <c r="BI4" i="5" l="1"/>
  <c r="BH9" i="5"/>
  <c r="BH5" i="5"/>
  <c r="BH39" i="5"/>
  <c r="BH38" i="5"/>
  <c r="BE49" i="5"/>
  <c r="BE48" i="5"/>
  <c r="BE47" i="5"/>
  <c r="BE46" i="5"/>
  <c r="BE44" i="5"/>
  <c r="BE39" i="5"/>
  <c r="BE38" i="5"/>
  <c r="BE65" i="5"/>
  <c r="BE79" i="5" s="1"/>
  <c r="BD65" i="5"/>
  <c r="BD79" i="5" s="1"/>
  <c r="BH65" i="5"/>
  <c r="BH79" i="5" s="1"/>
  <c r="BG65" i="5"/>
  <c r="BG79" i="5" s="1"/>
  <c r="BF79" i="5"/>
  <c r="BF78" i="5"/>
  <c r="BF77" i="5"/>
  <c r="BF65" i="5"/>
  <c r="BF64" i="5"/>
  <c r="BF63" i="5"/>
  <c r="BC79" i="5"/>
  <c r="BC78" i="5"/>
  <c r="BC77" i="5"/>
  <c r="BC65" i="5"/>
  <c r="BC64" i="5"/>
  <c r="BC63" i="5"/>
  <c r="DI330" i="6"/>
  <c r="DI321" i="6"/>
  <c r="DI324" i="6" s="1"/>
  <c r="DI325" i="6" s="1"/>
  <c r="DI316" i="6"/>
  <c r="DI315" i="6"/>
  <c r="DI313" i="6"/>
  <c r="DI312" i="6"/>
  <c r="DI310" i="6"/>
  <c r="DI309" i="6"/>
  <c r="DI295" i="6"/>
  <c r="DI296" i="6" s="1"/>
  <c r="DI256" i="6"/>
  <c r="DI301" i="6" s="1"/>
  <c r="DI242" i="6"/>
  <c r="DI243" i="6" s="1"/>
  <c r="DI244" i="6" s="1"/>
  <c r="DI221" i="6"/>
  <c r="DI179" i="6"/>
  <c r="DI180" i="6" s="1"/>
  <c r="DI141" i="6"/>
  <c r="DI142" i="6" s="1"/>
  <c r="DI133" i="6"/>
  <c r="DI122" i="6"/>
  <c r="DI124" i="6" s="1"/>
  <c r="DI99" i="6"/>
  <c r="DI96" i="6"/>
  <c r="DI101" i="6" s="1"/>
  <c r="DI93" i="6"/>
  <c r="DI94" i="6" s="1"/>
  <c r="DI91" i="6"/>
  <c r="DI89" i="6"/>
  <c r="DI88" i="6"/>
  <c r="DI80" i="6"/>
  <c r="DI78" i="6"/>
  <c r="DI77" i="6"/>
  <c r="DI60" i="6"/>
  <c r="DI223" i="6" s="1"/>
  <c r="DI55" i="6"/>
  <c r="DI51" i="6"/>
  <c r="DI48" i="6"/>
  <c r="DI47" i="6"/>
  <c r="DI44" i="6"/>
  <c r="DI42" i="6"/>
  <c r="DI43" i="6" s="1"/>
  <c r="DI34" i="6"/>
  <c r="DI50" i="6" s="1"/>
  <c r="DI26" i="6"/>
  <c r="DI247" i="6" s="1"/>
  <c r="DI25" i="6"/>
  <c r="DI20" i="6"/>
  <c r="DI222" i="6" s="1"/>
  <c r="DI17" i="6"/>
  <c r="DI15" i="6"/>
  <c r="DI194" i="7"/>
  <c r="DI170" i="7"/>
  <c r="DI169" i="7"/>
  <c r="DI159" i="7"/>
  <c r="DI155" i="7"/>
  <c r="DI131" i="7"/>
  <c r="DI110" i="7"/>
  <c r="DI87" i="7"/>
  <c r="DI86" i="7"/>
  <c r="DI72" i="7"/>
  <c r="DI68" i="7"/>
  <c r="DI65" i="7"/>
  <c r="DI136" i="7"/>
  <c r="DI142" i="7" s="1"/>
  <c r="DI154" i="7" s="1"/>
  <c r="DI54" i="7"/>
  <c r="DI80" i="7" s="1"/>
  <c r="DI49" i="7"/>
  <c r="DI45" i="7"/>
  <c r="DI36" i="7"/>
  <c r="DI38" i="7" s="1"/>
  <c r="DI26" i="7"/>
  <c r="DI28" i="7" s="1"/>
  <c r="DI25" i="7"/>
  <c r="DI22" i="7"/>
  <c r="DI23" i="7" s="1"/>
  <c r="DI20" i="7"/>
  <c r="DI18" i="7"/>
  <c r="DI14" i="7"/>
  <c r="DI93" i="7" s="1"/>
  <c r="DI12" i="7"/>
  <c r="DI11" i="7"/>
  <c r="DI10" i="7"/>
  <c r="DI132" i="2"/>
  <c r="DI126" i="2"/>
  <c r="DI110" i="2"/>
  <c r="DI94" i="2"/>
  <c r="DI89" i="2"/>
  <c r="DI84" i="2"/>
  <c r="DI60" i="2"/>
  <c r="DI51" i="2"/>
  <c r="DI49" i="2"/>
  <c r="DI45" i="2"/>
  <c r="DI38" i="2" s="1"/>
  <c r="DI39" i="2"/>
  <c r="DI20" i="2"/>
  <c r="DI14" i="2"/>
  <c r="DI8" i="2"/>
  <c r="DI31" i="7" l="1"/>
  <c r="DI32" i="7" s="1"/>
  <c r="DI82" i="7"/>
  <c r="DI61" i="6"/>
  <c r="DI224" i="6" s="1"/>
  <c r="DI58" i="6"/>
  <c r="DI143" i="6"/>
  <c r="DI245" i="6"/>
  <c r="DI250" i="6"/>
  <c r="DI248" i="6"/>
  <c r="DI249" i="6" s="1"/>
  <c r="DI27" i="6"/>
  <c r="DI10" i="6"/>
  <c r="DI67" i="6"/>
  <c r="DI125" i="6"/>
  <c r="DI257" i="6"/>
  <c r="DI258" i="6"/>
  <c r="DI300" i="6"/>
  <c r="DI327" i="6"/>
  <c r="DI328" i="6" s="1"/>
  <c r="DI216" i="6"/>
  <c r="DI35" i="6"/>
  <c r="DI37" i="6" s="1"/>
  <c r="DI56" i="6"/>
  <c r="DI29" i="6"/>
  <c r="DI36" i="6"/>
  <c r="DI82" i="6"/>
  <c r="DI90" i="7"/>
  <c r="DI91" i="7" s="1"/>
  <c r="DI100" i="2"/>
  <c r="DI15" i="7"/>
  <c r="DI29" i="7"/>
  <c r="DI37" i="7"/>
  <c r="DI69" i="7"/>
  <c r="DI118" i="7"/>
  <c r="DI167" i="7"/>
  <c r="DI179" i="7"/>
  <c r="DI153" i="7"/>
  <c r="DI141" i="7" s="1"/>
  <c r="DI173" i="7"/>
  <c r="DI79" i="7"/>
  <c r="DI27" i="7"/>
  <c r="DI73" i="7"/>
  <c r="DI63" i="7"/>
  <c r="DI64" i="7" s="1"/>
  <c r="DI174" i="7"/>
  <c r="DL173" i="2"/>
  <c r="DQ452" i="8"/>
  <c r="DQ451" i="8"/>
  <c r="DQ450" i="8"/>
  <c r="DI65" i="6" l="1"/>
  <c r="DI68" i="6"/>
  <c r="DI63" i="6"/>
  <c r="DI297" i="6"/>
  <c r="DI302" i="6" s="1"/>
  <c r="DI30" i="6"/>
  <c r="DI127" i="7"/>
  <c r="DI215" i="7"/>
  <c r="DI168" i="7"/>
  <c r="DI183" i="7"/>
  <c r="DI188" i="7" s="1"/>
  <c r="DI198" i="7"/>
  <c r="DI201" i="7"/>
  <c r="DI197" i="7"/>
  <c r="DI117" i="7"/>
  <c r="DI122" i="7" s="1"/>
  <c r="DI107" i="7"/>
  <c r="DI102" i="7" s="1"/>
  <c r="DI116" i="7"/>
  <c r="DI121" i="7" s="1"/>
  <c r="DI106" i="7"/>
  <c r="DI92" i="7"/>
  <c r="DI200" i="7"/>
  <c r="DI74" i="7"/>
  <c r="DI97" i="7" s="1"/>
  <c r="DK449" i="8"/>
  <c r="DK448" i="8"/>
  <c r="DK447" i="8"/>
  <c r="DI108" i="7" l="1"/>
  <c r="DI210" i="7"/>
  <c r="DI96" i="7"/>
  <c r="DI98" i="7" s="1"/>
  <c r="DI75" i="7" s="1"/>
  <c r="DI101" i="7"/>
  <c r="DI103" i="7" s="1"/>
  <c r="DI129" i="7"/>
  <c r="DI172" i="7" s="1"/>
  <c r="DI128" i="7" l="1"/>
  <c r="DI109" i="7"/>
  <c r="DI161" i="7"/>
  <c r="DI162" i="7" s="1"/>
  <c r="DI171" i="7"/>
  <c r="DI113" i="7"/>
  <c r="AX82" i="9" l="1"/>
  <c r="AX181" i="9"/>
  <c r="AX185" i="9"/>
  <c r="EB23" i="6" l="1"/>
  <c r="EA23" i="6"/>
  <c r="BI65" i="5" l="1"/>
  <c r="BI79" i="5" s="1"/>
  <c r="DX198" i="3" l="1"/>
  <c r="DW198" i="3"/>
  <c r="DV198" i="3"/>
  <c r="DU198" i="3"/>
  <c r="DS198" i="3"/>
  <c r="DR198" i="3"/>
  <c r="DQ198" i="3"/>
  <c r="DP198" i="3"/>
  <c r="DN37" i="3" l="1"/>
  <c r="DS37" i="3" s="1"/>
  <c r="DX38" i="3"/>
  <c r="DW38" i="3"/>
  <c r="DV38" i="3"/>
  <c r="DU38" i="3"/>
  <c r="DS38" i="3"/>
  <c r="DR38" i="3"/>
  <c r="DQ38" i="3"/>
  <c r="DP38" i="3"/>
  <c r="DN38" i="3"/>
  <c r="DM38" i="3"/>
  <c r="DL38" i="3"/>
  <c r="DK38" i="3"/>
  <c r="DX37" i="3" l="1"/>
  <c r="DY327" i="3" l="1"/>
  <c r="DX327" i="3"/>
  <c r="DW327" i="3"/>
  <c r="DV327" i="3"/>
  <c r="DU327" i="3"/>
  <c r="DX322" i="3"/>
  <c r="DW322" i="3"/>
  <c r="DV322" i="3"/>
  <c r="DU322" i="3"/>
  <c r="DX321" i="3"/>
  <c r="DW321" i="3"/>
  <c r="DV321" i="3"/>
  <c r="DU321" i="3"/>
  <c r="DX318" i="3"/>
  <c r="DW318" i="3"/>
  <c r="DV318" i="3"/>
  <c r="DU318" i="3"/>
  <c r="DX317" i="3"/>
  <c r="DW317" i="3"/>
  <c r="DV317" i="3"/>
  <c r="DU317" i="3"/>
  <c r="DX316" i="3"/>
  <c r="DX319" i="3" s="1"/>
  <c r="DW316" i="3"/>
  <c r="DW319" i="3" s="1"/>
  <c r="DV316" i="3"/>
  <c r="DV319" i="3" s="1"/>
  <c r="DU316" i="3"/>
  <c r="DU319" i="3" s="1"/>
  <c r="DU323" i="3" s="1"/>
  <c r="DU325" i="3" s="1"/>
  <c r="DY271" i="3"/>
  <c r="DY256" i="3"/>
  <c r="DX256" i="3"/>
  <c r="DX271" i="3" s="1"/>
  <c r="DW256" i="3"/>
  <c r="DW271" i="3" s="1"/>
  <c r="DV256" i="3"/>
  <c r="DV271" i="3" s="1"/>
  <c r="DU256" i="3"/>
  <c r="DU271" i="3" s="1"/>
  <c r="DV217" i="3"/>
  <c r="DW217" i="3"/>
  <c r="DU217" i="3"/>
  <c r="DY206" i="3"/>
  <c r="DY207" i="3" s="1"/>
  <c r="DU206" i="3"/>
  <c r="DY197" i="3"/>
  <c r="DX190" i="3"/>
  <c r="DW190" i="3"/>
  <c r="DV190" i="3"/>
  <c r="DX186" i="3"/>
  <c r="DW186" i="3"/>
  <c r="DV186" i="3"/>
  <c r="DU186" i="3"/>
  <c r="DY60" i="3"/>
  <c r="DX59" i="3"/>
  <c r="DW59" i="3"/>
  <c r="DV59" i="3"/>
  <c r="DU59" i="3"/>
  <c r="DY57" i="3"/>
  <c r="DY56" i="3"/>
  <c r="DX56" i="3"/>
  <c r="DW56" i="3"/>
  <c r="DV56" i="3"/>
  <c r="DU56" i="3"/>
  <c r="DY53" i="3"/>
  <c r="DX53" i="3"/>
  <c r="DW53" i="3"/>
  <c r="DV53" i="3"/>
  <c r="DU53" i="3"/>
  <c r="DY52" i="3"/>
  <c r="DY51" i="3"/>
  <c r="DX49" i="3"/>
  <c r="DW49" i="3"/>
  <c r="DV49" i="3"/>
  <c r="DU49" i="3"/>
  <c r="DX48" i="3"/>
  <c r="DX50" i="3" s="1"/>
  <c r="DW48" i="3"/>
  <c r="DW50" i="3" s="1"/>
  <c r="DV48" i="3"/>
  <c r="DV50" i="3" s="1"/>
  <c r="DU48" i="3"/>
  <c r="DY47" i="3"/>
  <c r="DY44" i="3"/>
  <c r="DY43" i="3"/>
  <c r="DY42" i="3"/>
  <c r="DY41" i="3"/>
  <c r="DY40" i="3"/>
  <c r="DY39" i="3"/>
  <c r="DY38" i="3"/>
  <c r="DY322" i="3" s="1"/>
  <c r="DY23" i="3"/>
  <c r="DY22" i="3"/>
  <c r="DY18" i="3"/>
  <c r="DY17" i="3"/>
  <c r="DY16" i="3"/>
  <c r="DY15" i="3"/>
  <c r="DY6" i="3"/>
  <c r="DY135" i="3" s="1"/>
  <c r="DX6" i="3"/>
  <c r="DX135" i="3" s="1"/>
  <c r="DW6" i="3"/>
  <c r="DW135" i="3" s="1"/>
  <c r="DV6" i="3"/>
  <c r="DV135" i="3" s="1"/>
  <c r="DU6" i="3"/>
  <c r="DU135" i="3" s="1"/>
  <c r="DY4" i="3"/>
  <c r="DY138" i="2"/>
  <c r="DW136" i="2"/>
  <c r="DY130" i="2"/>
  <c r="DY129" i="2"/>
  <c r="DX125" i="2"/>
  <c r="DW125" i="2"/>
  <c r="DV125" i="2"/>
  <c r="DU125" i="2"/>
  <c r="DY84" i="2"/>
  <c r="DX84" i="2"/>
  <c r="DW84" i="2"/>
  <c r="DV84" i="2"/>
  <c r="DU84" i="2"/>
  <c r="DU83" i="2"/>
  <c r="DY82" i="2"/>
  <c r="DY72" i="2"/>
  <c r="DY54" i="2"/>
  <c r="DY28" i="2"/>
  <c r="DY26" i="2"/>
  <c r="DY25" i="2"/>
  <c r="DY4" i="2"/>
  <c r="DT4" i="2"/>
  <c r="DT25" i="2"/>
  <c r="DT26" i="2"/>
  <c r="DT28" i="2"/>
  <c r="DT54" i="2"/>
  <c r="DT72" i="2"/>
  <c r="DT82" i="2"/>
  <c r="DP83" i="2"/>
  <c r="DP84" i="2"/>
  <c r="DQ84" i="2"/>
  <c r="DR84" i="2"/>
  <c r="DS84" i="2"/>
  <c r="DT84" i="2"/>
  <c r="DP125" i="2"/>
  <c r="DQ125" i="2"/>
  <c r="DR125" i="2"/>
  <c r="DS125" i="2"/>
  <c r="DT129" i="2"/>
  <c r="DT130" i="2"/>
  <c r="DR136" i="2"/>
  <c r="DT138" i="2"/>
  <c r="BK280" i="9"/>
  <c r="BJ280" i="9"/>
  <c r="BI280" i="9"/>
  <c r="BH280" i="9"/>
  <c r="BK279" i="9"/>
  <c r="BK281" i="9" s="1"/>
  <c r="BJ279" i="9"/>
  <c r="BJ281" i="9" s="1"/>
  <c r="BI279" i="9"/>
  <c r="BI281" i="9" s="1"/>
  <c r="BH279" i="9"/>
  <c r="BH281" i="9" s="1"/>
  <c r="BK262" i="9"/>
  <c r="BJ262" i="9"/>
  <c r="BI262" i="9"/>
  <c r="BH262" i="9"/>
  <c r="BK261" i="9"/>
  <c r="BJ261" i="9"/>
  <c r="BI261" i="9"/>
  <c r="BH261" i="9"/>
  <c r="BK243" i="9"/>
  <c r="BJ243" i="9"/>
  <c r="BI243" i="9"/>
  <c r="BH243" i="9"/>
  <c r="BK242" i="9"/>
  <c r="BJ242" i="9"/>
  <c r="BI242" i="9"/>
  <c r="BH242" i="9"/>
  <c r="BK204" i="9"/>
  <c r="BJ204" i="9"/>
  <c r="BI204" i="9"/>
  <c r="BH204" i="9"/>
  <c r="BK168" i="9"/>
  <c r="BJ168" i="9"/>
  <c r="BI168" i="9"/>
  <c r="BH168" i="9"/>
  <c r="BK159" i="9"/>
  <c r="BJ159" i="9"/>
  <c r="BI159" i="9"/>
  <c r="BH159" i="9"/>
  <c r="BK158" i="9"/>
  <c r="BJ158" i="9"/>
  <c r="BI158" i="9"/>
  <c r="BH158" i="9"/>
  <c r="BL121" i="9"/>
  <c r="BL118" i="9"/>
  <c r="BL117" i="9"/>
  <c r="BL114" i="9"/>
  <c r="BL113" i="9"/>
  <c r="BL109" i="9"/>
  <c r="BL108" i="9"/>
  <c r="BK103" i="9"/>
  <c r="BJ103" i="9"/>
  <c r="BI103" i="9"/>
  <c r="BH103" i="9"/>
  <c r="BK95" i="9"/>
  <c r="BJ95" i="9"/>
  <c r="BI95" i="9"/>
  <c r="BH95" i="9"/>
  <c r="BK92" i="9"/>
  <c r="BJ92" i="9"/>
  <c r="BI92" i="9"/>
  <c r="BH92" i="9"/>
  <c r="BK90" i="9"/>
  <c r="BJ90" i="9"/>
  <c r="BI90" i="9"/>
  <c r="BH90" i="9"/>
  <c r="BK84" i="9"/>
  <c r="BK101" i="9" s="1"/>
  <c r="BJ84" i="9"/>
  <c r="BJ101" i="9" s="1"/>
  <c r="BI84" i="9"/>
  <c r="BI101" i="9" s="1"/>
  <c r="BH84" i="9"/>
  <c r="BH101" i="9" s="1"/>
  <c r="BK83" i="9"/>
  <c r="BK100" i="9" s="1"/>
  <c r="BJ83" i="9"/>
  <c r="BJ100" i="9" s="1"/>
  <c r="BI83" i="9"/>
  <c r="BI100" i="9" s="1"/>
  <c r="BH83" i="9"/>
  <c r="BH100" i="9" s="1"/>
  <c r="BK69" i="9"/>
  <c r="BJ69" i="9"/>
  <c r="BI69" i="9"/>
  <c r="BH69" i="9"/>
  <c r="BK67" i="9"/>
  <c r="BJ67" i="9"/>
  <c r="BI67" i="9"/>
  <c r="BH67" i="9"/>
  <c r="BK66" i="9"/>
  <c r="BJ66" i="9"/>
  <c r="BI66" i="9"/>
  <c r="BH66" i="9"/>
  <c r="BK62" i="9"/>
  <c r="BJ62" i="9"/>
  <c r="BI62" i="9"/>
  <c r="BH62" i="9"/>
  <c r="BK61" i="9"/>
  <c r="BJ61" i="9"/>
  <c r="BI61" i="9"/>
  <c r="BH61" i="9"/>
  <c r="BK56" i="9"/>
  <c r="BJ56" i="9"/>
  <c r="BI56" i="9"/>
  <c r="BH56" i="9"/>
  <c r="BL21" i="9"/>
  <c r="BL19" i="9"/>
  <c r="BL18" i="9"/>
  <c r="BL17" i="9"/>
  <c r="BL14" i="9"/>
  <c r="BL13" i="9"/>
  <c r="BL10" i="9"/>
  <c r="BK10" i="9"/>
  <c r="DX138" i="7" s="1"/>
  <c r="BJ10" i="9"/>
  <c r="DW138" i="7" s="1"/>
  <c r="BI10" i="9"/>
  <c r="BH10" i="9"/>
  <c r="DU138" i="7" s="1"/>
  <c r="BL8" i="9"/>
  <c r="BK8" i="9"/>
  <c r="DX58" i="7" s="1"/>
  <c r="DX136" i="7" s="1"/>
  <c r="BJ8" i="9"/>
  <c r="BI8" i="9"/>
  <c r="BH8" i="9"/>
  <c r="DU58" i="7" s="1"/>
  <c r="DU136" i="7" s="1"/>
  <c r="BL6" i="9"/>
  <c r="DX438" i="8"/>
  <c r="DW438" i="8"/>
  <c r="DV438" i="8"/>
  <c r="DU438" i="8"/>
  <c r="DY437" i="8"/>
  <c r="DX437" i="8"/>
  <c r="DW437" i="8"/>
  <c r="DV437" i="8"/>
  <c r="DU437" i="8"/>
  <c r="DX434" i="8"/>
  <c r="DW434" i="8"/>
  <c r="DV434" i="8"/>
  <c r="DU434" i="8"/>
  <c r="DY430" i="8"/>
  <c r="DX423" i="8"/>
  <c r="DW423" i="8"/>
  <c r="DV423" i="8"/>
  <c r="DU423" i="8"/>
  <c r="DY419" i="8"/>
  <c r="DY418" i="8"/>
  <c r="DY420" i="8" s="1"/>
  <c r="DU418" i="8"/>
  <c r="DU420" i="8" s="1"/>
  <c r="DV418" i="8" s="1"/>
  <c r="DV420" i="8" s="1"/>
  <c r="DW418" i="8" s="1"/>
  <c r="DW420" i="8" s="1"/>
  <c r="DX418" i="8" s="1"/>
  <c r="DX420" i="8" s="1"/>
  <c r="DU416" i="8"/>
  <c r="DV416" i="8" s="1"/>
  <c r="DX412" i="8"/>
  <c r="DW412" i="8"/>
  <c r="DV412" i="8"/>
  <c r="DU412" i="8"/>
  <c r="DY408" i="8"/>
  <c r="DY407" i="8"/>
  <c r="DY409" i="8" s="1"/>
  <c r="DU407" i="8"/>
  <c r="DU409" i="8" s="1"/>
  <c r="DV407" i="8" s="1"/>
  <c r="DV409" i="8" s="1"/>
  <c r="DW407" i="8" s="1"/>
  <c r="DW409" i="8" s="1"/>
  <c r="DX407" i="8" s="1"/>
  <c r="DX409" i="8" s="1"/>
  <c r="DU405" i="8"/>
  <c r="DV405" i="8" s="1"/>
  <c r="DX401" i="8"/>
  <c r="DW401" i="8"/>
  <c r="DV401" i="8"/>
  <c r="DU401" i="8"/>
  <c r="DY397" i="8"/>
  <c r="DY396" i="8"/>
  <c r="DY398" i="8" s="1"/>
  <c r="DU396" i="8"/>
  <c r="DU398" i="8" s="1"/>
  <c r="DV396" i="8" s="1"/>
  <c r="DV398" i="8" s="1"/>
  <c r="DW396" i="8" s="1"/>
  <c r="DW398" i="8" s="1"/>
  <c r="DX396" i="8" s="1"/>
  <c r="DX398" i="8" s="1"/>
  <c r="DU394" i="8"/>
  <c r="DV394" i="8" s="1"/>
  <c r="DX390" i="8"/>
  <c r="DW390" i="8"/>
  <c r="DV390" i="8"/>
  <c r="DU390" i="8"/>
  <c r="DY386" i="8"/>
  <c r="DY385" i="8"/>
  <c r="DY387" i="8" s="1"/>
  <c r="DU385" i="8"/>
  <c r="DU387" i="8" s="1"/>
  <c r="DV385" i="8" s="1"/>
  <c r="DV387" i="8" s="1"/>
  <c r="DW385" i="8" s="1"/>
  <c r="DW387" i="8" s="1"/>
  <c r="DX385" i="8" s="1"/>
  <c r="DX387" i="8" s="1"/>
  <c r="DU383" i="8"/>
  <c r="DV383" i="8" s="1"/>
  <c r="DX379" i="8"/>
  <c r="DW379" i="8"/>
  <c r="DV379" i="8"/>
  <c r="DU379" i="8"/>
  <c r="DY375" i="8"/>
  <c r="DY374" i="8"/>
  <c r="DY376" i="8" s="1"/>
  <c r="DU374" i="8"/>
  <c r="DU376" i="8" s="1"/>
  <c r="DV374" i="8" s="1"/>
  <c r="DV376" i="8" s="1"/>
  <c r="DW374" i="8" s="1"/>
  <c r="DW376" i="8" s="1"/>
  <c r="DX374" i="8" s="1"/>
  <c r="DX376" i="8" s="1"/>
  <c r="DU372" i="8"/>
  <c r="DV372" i="8" s="1"/>
  <c r="DX368" i="8"/>
  <c r="DW368" i="8"/>
  <c r="DV368" i="8"/>
  <c r="DU368" i="8"/>
  <c r="DY364" i="8"/>
  <c r="DY363" i="8"/>
  <c r="DY365" i="8" s="1"/>
  <c r="DU363" i="8"/>
  <c r="DU365" i="8" s="1"/>
  <c r="DV363" i="8" s="1"/>
  <c r="DV365" i="8" s="1"/>
  <c r="DW363" i="8" s="1"/>
  <c r="DW365" i="8" s="1"/>
  <c r="DX363" i="8" s="1"/>
  <c r="DX365" i="8" s="1"/>
  <c r="DU361" i="8"/>
  <c r="DV361" i="8" s="1"/>
  <c r="DX357" i="8"/>
  <c r="DW357" i="8"/>
  <c r="DV357" i="8"/>
  <c r="DU357" i="8"/>
  <c r="DY353" i="8"/>
  <c r="DY352" i="8"/>
  <c r="DY354" i="8" s="1"/>
  <c r="DU352" i="8"/>
  <c r="DU354" i="8" s="1"/>
  <c r="DV352" i="8" s="1"/>
  <c r="DV354" i="8" s="1"/>
  <c r="DW352" i="8" s="1"/>
  <c r="DW354" i="8" s="1"/>
  <c r="DX352" i="8" s="1"/>
  <c r="DX354" i="8" s="1"/>
  <c r="DU350" i="8"/>
  <c r="DV350" i="8" s="1"/>
  <c r="DX346" i="8"/>
  <c r="DW346" i="8"/>
  <c r="DV346" i="8"/>
  <c r="DU346" i="8"/>
  <c r="DY342" i="8"/>
  <c r="DY341" i="8"/>
  <c r="DY343" i="8" s="1"/>
  <c r="DU341" i="8"/>
  <c r="DU343" i="8" s="1"/>
  <c r="DV341" i="8" s="1"/>
  <c r="DV343" i="8" s="1"/>
  <c r="DW341" i="8" s="1"/>
  <c r="DW343" i="8" s="1"/>
  <c r="DX341" i="8" s="1"/>
  <c r="DX343" i="8" s="1"/>
  <c r="DU339" i="8"/>
  <c r="DV339" i="8" s="1"/>
  <c r="DX335" i="8"/>
  <c r="DW335" i="8"/>
  <c r="DV335" i="8"/>
  <c r="DU335" i="8"/>
  <c r="DY331" i="8"/>
  <c r="DY330" i="8"/>
  <c r="DY332" i="8" s="1"/>
  <c r="DU330" i="8"/>
  <c r="DU332" i="8" s="1"/>
  <c r="DV330" i="8" s="1"/>
  <c r="DV332" i="8" s="1"/>
  <c r="DW330" i="8" s="1"/>
  <c r="DW332" i="8" s="1"/>
  <c r="DX330" i="8" s="1"/>
  <c r="DX332" i="8" s="1"/>
  <c r="DU328" i="8"/>
  <c r="DV328" i="8" s="1"/>
  <c r="DX324" i="8"/>
  <c r="DW324" i="8"/>
  <c r="DV324" i="8"/>
  <c r="DU324" i="8"/>
  <c r="DY320" i="8"/>
  <c r="DY319" i="8"/>
  <c r="DY321" i="8" s="1"/>
  <c r="DU319" i="8"/>
  <c r="DU321" i="8" s="1"/>
  <c r="DV319" i="8" s="1"/>
  <c r="DV321" i="8" s="1"/>
  <c r="DW319" i="8" s="1"/>
  <c r="DW321" i="8" s="1"/>
  <c r="DX319" i="8" s="1"/>
  <c r="DX321" i="8" s="1"/>
  <c r="DU317" i="8"/>
  <c r="DV317" i="8" s="1"/>
  <c r="DX313" i="8"/>
  <c r="DW313" i="8"/>
  <c r="DV313" i="8"/>
  <c r="DU313" i="8"/>
  <c r="DY309" i="8"/>
  <c r="DY308" i="8"/>
  <c r="DY310" i="8" s="1"/>
  <c r="DU308" i="8"/>
  <c r="DU310" i="8" s="1"/>
  <c r="DV308" i="8" s="1"/>
  <c r="DV310" i="8" s="1"/>
  <c r="DW308" i="8" s="1"/>
  <c r="DW310" i="8" s="1"/>
  <c r="DX308" i="8" s="1"/>
  <c r="DX310" i="8" s="1"/>
  <c r="DU306" i="8"/>
  <c r="DV306" i="8" s="1"/>
  <c r="DX302" i="8"/>
  <c r="DW302" i="8"/>
  <c r="DV302" i="8"/>
  <c r="DU302" i="8"/>
  <c r="DY298" i="8"/>
  <c r="DY297" i="8"/>
  <c r="DY299" i="8" s="1"/>
  <c r="DU297" i="8"/>
  <c r="DU299" i="8" s="1"/>
  <c r="DV297" i="8" s="1"/>
  <c r="DV299" i="8" s="1"/>
  <c r="DW297" i="8" s="1"/>
  <c r="DW299" i="8" s="1"/>
  <c r="DX297" i="8" s="1"/>
  <c r="DX299" i="8" s="1"/>
  <c r="DU295" i="8"/>
  <c r="DV295" i="8" s="1"/>
  <c r="DX291" i="8"/>
  <c r="DW291" i="8"/>
  <c r="DV291" i="8"/>
  <c r="DU291" i="8"/>
  <c r="DY287" i="8"/>
  <c r="DY286" i="8"/>
  <c r="DY288" i="8" s="1"/>
  <c r="DU286" i="8"/>
  <c r="DU288" i="8" s="1"/>
  <c r="DV286" i="8" s="1"/>
  <c r="DV288" i="8" s="1"/>
  <c r="DW286" i="8" s="1"/>
  <c r="DW288" i="8" s="1"/>
  <c r="DX286" i="8" s="1"/>
  <c r="DX288" i="8" s="1"/>
  <c r="DU284" i="8"/>
  <c r="DV284" i="8" s="1"/>
  <c r="DX280" i="8"/>
  <c r="DW280" i="8"/>
  <c r="DV280" i="8"/>
  <c r="DU280" i="8"/>
  <c r="DY276" i="8"/>
  <c r="DY275" i="8"/>
  <c r="DY277" i="8" s="1"/>
  <c r="DU275" i="8"/>
  <c r="DU277" i="8" s="1"/>
  <c r="DV275" i="8" s="1"/>
  <c r="DV277" i="8" s="1"/>
  <c r="DW275" i="8" s="1"/>
  <c r="DW277" i="8" s="1"/>
  <c r="DX275" i="8" s="1"/>
  <c r="DX277" i="8" s="1"/>
  <c r="DU273" i="8"/>
  <c r="DV273" i="8" s="1"/>
  <c r="DX269" i="8"/>
  <c r="DW269" i="8"/>
  <c r="DV269" i="8"/>
  <c r="DU269" i="8"/>
  <c r="DY265" i="8"/>
  <c r="DY264" i="8"/>
  <c r="DY266" i="8" s="1"/>
  <c r="DU264" i="8"/>
  <c r="DU266" i="8" s="1"/>
  <c r="DV264" i="8" s="1"/>
  <c r="DV266" i="8" s="1"/>
  <c r="DW264" i="8" s="1"/>
  <c r="DW266" i="8" s="1"/>
  <c r="DX264" i="8" s="1"/>
  <c r="DX266" i="8" s="1"/>
  <c r="DU262" i="8"/>
  <c r="DX258" i="8"/>
  <c r="DW258" i="8"/>
  <c r="DV258" i="8"/>
  <c r="DU258" i="8"/>
  <c r="DW255" i="8"/>
  <c r="DX253" i="8" s="1"/>
  <c r="DX255" i="8" s="1"/>
  <c r="DY254" i="8"/>
  <c r="DY253" i="8"/>
  <c r="DY255" i="8" s="1"/>
  <c r="DU253" i="8"/>
  <c r="DU255" i="8" s="1"/>
  <c r="DV253" i="8" s="1"/>
  <c r="DV255" i="8" s="1"/>
  <c r="DW253" i="8" s="1"/>
  <c r="DU251" i="8"/>
  <c r="DX247" i="8"/>
  <c r="DW247" i="8"/>
  <c r="DV247" i="8"/>
  <c r="DU247" i="8"/>
  <c r="DU244" i="8"/>
  <c r="DY243" i="8"/>
  <c r="DY244" i="8" s="1"/>
  <c r="DY40" i="8" s="1"/>
  <c r="DY242" i="8"/>
  <c r="DV242" i="8"/>
  <c r="DV244" i="8" s="1"/>
  <c r="DU242" i="8"/>
  <c r="DV240" i="8"/>
  <c r="DV246" i="8" s="1"/>
  <c r="DU240" i="8"/>
  <c r="DX236" i="8"/>
  <c r="DW236" i="8"/>
  <c r="DV236" i="8"/>
  <c r="DU236" i="8"/>
  <c r="DU233" i="8"/>
  <c r="DY232" i="8"/>
  <c r="DY233" i="8" s="1"/>
  <c r="DY39" i="8" s="1"/>
  <c r="DY231" i="8"/>
  <c r="DV231" i="8"/>
  <c r="DV233" i="8" s="1"/>
  <c r="DU231" i="8"/>
  <c r="DV229" i="8"/>
  <c r="DW229" i="8" s="1"/>
  <c r="DU229" i="8"/>
  <c r="DU235" i="8" s="1"/>
  <c r="DX225" i="8"/>
  <c r="DW225" i="8"/>
  <c r="DV225" i="8"/>
  <c r="DU225" i="8"/>
  <c r="DU222" i="8"/>
  <c r="DY221" i="8"/>
  <c r="DY222" i="8" s="1"/>
  <c r="DY38" i="8" s="1"/>
  <c r="DY220" i="8"/>
  <c r="DV220" i="8"/>
  <c r="DV222" i="8" s="1"/>
  <c r="DU220" i="8"/>
  <c r="DV218" i="8"/>
  <c r="DW218" i="8" s="1"/>
  <c r="DU218" i="8"/>
  <c r="DU224" i="8" s="1"/>
  <c r="DX214" i="8"/>
  <c r="DW214" i="8"/>
  <c r="DV214" i="8"/>
  <c r="DU214" i="8"/>
  <c r="DU211" i="8"/>
  <c r="DY210" i="8"/>
  <c r="DY211" i="8" s="1"/>
  <c r="DY37" i="8" s="1"/>
  <c r="DY209" i="8"/>
  <c r="DV209" i="8"/>
  <c r="DV211" i="8" s="1"/>
  <c r="DU209" i="8"/>
  <c r="DV207" i="8"/>
  <c r="DW207" i="8" s="1"/>
  <c r="DU207" i="8"/>
  <c r="DU213" i="8" s="1"/>
  <c r="DX203" i="8"/>
  <c r="DW203" i="8"/>
  <c r="DV203" i="8"/>
  <c r="DU203" i="8"/>
  <c r="DU200" i="8"/>
  <c r="DY199" i="8"/>
  <c r="DY200" i="8" s="1"/>
  <c r="DY36" i="8" s="1"/>
  <c r="DY198" i="8"/>
  <c r="DV198" i="8"/>
  <c r="DV200" i="8" s="1"/>
  <c r="DU198" i="8"/>
  <c r="DV196" i="8"/>
  <c r="DW196" i="8" s="1"/>
  <c r="DU196" i="8"/>
  <c r="DU202" i="8" s="1"/>
  <c r="DX192" i="8"/>
  <c r="DW192" i="8"/>
  <c r="DV192" i="8"/>
  <c r="DU192" i="8"/>
  <c r="DU189" i="8"/>
  <c r="DY188" i="8"/>
  <c r="DY189" i="8" s="1"/>
  <c r="DY35" i="8" s="1"/>
  <c r="DY187" i="8"/>
  <c r="DV187" i="8"/>
  <c r="DV189" i="8" s="1"/>
  <c r="DU187" i="8"/>
  <c r="DV185" i="8"/>
  <c r="DW185" i="8" s="1"/>
  <c r="DU185" i="8"/>
  <c r="DU191" i="8" s="1"/>
  <c r="DX181" i="8"/>
  <c r="DW181" i="8"/>
  <c r="DV181" i="8"/>
  <c r="DU181" i="8"/>
  <c r="DU178" i="8"/>
  <c r="DY177" i="8"/>
  <c r="DY178" i="8" s="1"/>
  <c r="DY34" i="8" s="1"/>
  <c r="DY176" i="8"/>
  <c r="DV176" i="8"/>
  <c r="DV178" i="8" s="1"/>
  <c r="DW176" i="8" s="1"/>
  <c r="DW178" i="8" s="1"/>
  <c r="DU176" i="8"/>
  <c r="DV174" i="8"/>
  <c r="DW174" i="8" s="1"/>
  <c r="DU174" i="8"/>
  <c r="DU180" i="8" s="1"/>
  <c r="DX170" i="8"/>
  <c r="DW170" i="8"/>
  <c r="DV170" i="8"/>
  <c r="DU170" i="8"/>
  <c r="DU167" i="8"/>
  <c r="DY166" i="8"/>
  <c r="DY167" i="8" s="1"/>
  <c r="DY33" i="8" s="1"/>
  <c r="DY165" i="8"/>
  <c r="DV165" i="8"/>
  <c r="DV167" i="8" s="1"/>
  <c r="DU165" i="8"/>
  <c r="DV163" i="8"/>
  <c r="DW163" i="8" s="1"/>
  <c r="DU163" i="8"/>
  <c r="DU169" i="8" s="1"/>
  <c r="DX159" i="8"/>
  <c r="DW159" i="8"/>
  <c r="DV159" i="8"/>
  <c r="DU159" i="8"/>
  <c r="DU156" i="8"/>
  <c r="DY155" i="8"/>
  <c r="DY156" i="8" s="1"/>
  <c r="DY32" i="8" s="1"/>
  <c r="DY154" i="8"/>
  <c r="DV154" i="8"/>
  <c r="DV156" i="8" s="1"/>
  <c r="DU154" i="8"/>
  <c r="DV152" i="8"/>
  <c r="DW152" i="8" s="1"/>
  <c r="DU152" i="8"/>
  <c r="DU158" i="8" s="1"/>
  <c r="DX148" i="8"/>
  <c r="DW148" i="8"/>
  <c r="DV148" i="8"/>
  <c r="DU148" i="8"/>
  <c r="DU145" i="8"/>
  <c r="DY144" i="8"/>
  <c r="DY145" i="8" s="1"/>
  <c r="DY143" i="8"/>
  <c r="DV143" i="8"/>
  <c r="DV145" i="8" s="1"/>
  <c r="DU143" i="8"/>
  <c r="DV141" i="8"/>
  <c r="DW141" i="8" s="1"/>
  <c r="DU141" i="8"/>
  <c r="DU147" i="8" s="1"/>
  <c r="DX137" i="8"/>
  <c r="DW137" i="8"/>
  <c r="DV137" i="8"/>
  <c r="DU137" i="8"/>
  <c r="DU134" i="8"/>
  <c r="DY133" i="8"/>
  <c r="DY134" i="8" s="1"/>
  <c r="DY30" i="8" s="1"/>
  <c r="DY132" i="8"/>
  <c r="DV132" i="8"/>
  <c r="DV134" i="8" s="1"/>
  <c r="DW132" i="8" s="1"/>
  <c r="DW134" i="8" s="1"/>
  <c r="DU132" i="8"/>
  <c r="DV130" i="8"/>
  <c r="DW130" i="8" s="1"/>
  <c r="DU130" i="8"/>
  <c r="DU136" i="8" s="1"/>
  <c r="DX126" i="8"/>
  <c r="DW126" i="8"/>
  <c r="DV126" i="8"/>
  <c r="DU126" i="8"/>
  <c r="DU123" i="8"/>
  <c r="DY122" i="8"/>
  <c r="DY123" i="8" s="1"/>
  <c r="DY29" i="8" s="1"/>
  <c r="DY121" i="8"/>
  <c r="DV121" i="8"/>
  <c r="DV123" i="8" s="1"/>
  <c r="DU121" i="8"/>
  <c r="DV119" i="8"/>
  <c r="DW119" i="8" s="1"/>
  <c r="DU119" i="8"/>
  <c r="DU125" i="8" s="1"/>
  <c r="DX115" i="8"/>
  <c r="DW115" i="8"/>
  <c r="DV115" i="8"/>
  <c r="DU115" i="8"/>
  <c r="DU112" i="8"/>
  <c r="DY111" i="8"/>
  <c r="DY112" i="8" s="1"/>
  <c r="DY28" i="8" s="1"/>
  <c r="DY110" i="8"/>
  <c r="DV110" i="8"/>
  <c r="DV112" i="8" s="1"/>
  <c r="DU110" i="8"/>
  <c r="DV108" i="8"/>
  <c r="DW108" i="8" s="1"/>
  <c r="DU108" i="8"/>
  <c r="DU114" i="8" s="1"/>
  <c r="DX104" i="8"/>
  <c r="DW104" i="8"/>
  <c r="DV104" i="8"/>
  <c r="DU104" i="8"/>
  <c r="DU101" i="8"/>
  <c r="DY100" i="8"/>
  <c r="DY101" i="8" s="1"/>
  <c r="DY99" i="8"/>
  <c r="DV99" i="8"/>
  <c r="DV101" i="8" s="1"/>
  <c r="DU99" i="8"/>
  <c r="DV97" i="8"/>
  <c r="DW97" i="8" s="1"/>
  <c r="DU97" i="8"/>
  <c r="DU103" i="8" s="1"/>
  <c r="DX93" i="8"/>
  <c r="DW93" i="8"/>
  <c r="DV93" i="8"/>
  <c r="DU93" i="8"/>
  <c r="DU90" i="8"/>
  <c r="DY89" i="8"/>
  <c r="DY90" i="8" s="1"/>
  <c r="DY26" i="8" s="1"/>
  <c r="DY88" i="8"/>
  <c r="DV88" i="8"/>
  <c r="DV90" i="8" s="1"/>
  <c r="DW88" i="8" s="1"/>
  <c r="DW90" i="8" s="1"/>
  <c r="DX88" i="8" s="1"/>
  <c r="DX90" i="8" s="1"/>
  <c r="DX26" i="8" s="1"/>
  <c r="DU88" i="8"/>
  <c r="DV86" i="8"/>
  <c r="DW86" i="8" s="1"/>
  <c r="DU86" i="8"/>
  <c r="DU92" i="8" s="1"/>
  <c r="DX82" i="8"/>
  <c r="DW82" i="8"/>
  <c r="DV82" i="8"/>
  <c r="DU82" i="8"/>
  <c r="DU79" i="8"/>
  <c r="DY78" i="8"/>
  <c r="DY438" i="8" s="1"/>
  <c r="DY77" i="8"/>
  <c r="DV77" i="8"/>
  <c r="DV79" i="8" s="1"/>
  <c r="DU77" i="8"/>
  <c r="DV75" i="8"/>
  <c r="DW75" i="8" s="1"/>
  <c r="DU75" i="8"/>
  <c r="DU81" i="8" s="1"/>
  <c r="DY56" i="8"/>
  <c r="DX56" i="8"/>
  <c r="DW56" i="8"/>
  <c r="DV56" i="8"/>
  <c r="DU56" i="8"/>
  <c r="DY55" i="8"/>
  <c r="DX55" i="8"/>
  <c r="DW55" i="8"/>
  <c r="DV55" i="8"/>
  <c r="DU55" i="8"/>
  <c r="DY54" i="8"/>
  <c r="DX54" i="8"/>
  <c r="DW54" i="8"/>
  <c r="DV54" i="8"/>
  <c r="DU54" i="8"/>
  <c r="DY53" i="8"/>
  <c r="DX53" i="8"/>
  <c r="DW53" i="8"/>
  <c r="DV53" i="8"/>
  <c r="DU53" i="8"/>
  <c r="DY52" i="8"/>
  <c r="DX52" i="8"/>
  <c r="DW52" i="8"/>
  <c r="DV52" i="8"/>
  <c r="DU52" i="8"/>
  <c r="DY51" i="8"/>
  <c r="DX51" i="8"/>
  <c r="DW51" i="8"/>
  <c r="DV51" i="8"/>
  <c r="DU51" i="8"/>
  <c r="DY50" i="8"/>
  <c r="DX50" i="8"/>
  <c r="DW50" i="8"/>
  <c r="DV50" i="8"/>
  <c r="DU50" i="8"/>
  <c r="DY49" i="8"/>
  <c r="DX49" i="8"/>
  <c r="DW49" i="8"/>
  <c r="DV49" i="8"/>
  <c r="DU49" i="8"/>
  <c r="DY48" i="8"/>
  <c r="DX48" i="8"/>
  <c r="DW48" i="8"/>
  <c r="DV48" i="8"/>
  <c r="DU48" i="8"/>
  <c r="DY47" i="8"/>
  <c r="DX47" i="8"/>
  <c r="DW47" i="8"/>
  <c r="DV47" i="8"/>
  <c r="DU47" i="8"/>
  <c r="DY46" i="8"/>
  <c r="DX46" i="8"/>
  <c r="DW46" i="8"/>
  <c r="DV46" i="8"/>
  <c r="DU46" i="8"/>
  <c r="DY45" i="8"/>
  <c r="DX45" i="8"/>
  <c r="DW45" i="8"/>
  <c r="DV45" i="8"/>
  <c r="DU45" i="8"/>
  <c r="DY44" i="8"/>
  <c r="DX44" i="8"/>
  <c r="DW44" i="8"/>
  <c r="DV44" i="8"/>
  <c r="DU44" i="8"/>
  <c r="DY43" i="8"/>
  <c r="DX43" i="8"/>
  <c r="DW43" i="8"/>
  <c r="DV43" i="8"/>
  <c r="DU43" i="8"/>
  <c r="DY42" i="8"/>
  <c r="DX42" i="8"/>
  <c r="DW42" i="8"/>
  <c r="DV42" i="8"/>
  <c r="DU42" i="8"/>
  <c r="DY41" i="8"/>
  <c r="DX41" i="8"/>
  <c r="DW41" i="8"/>
  <c r="DV41" i="8"/>
  <c r="DU41" i="8"/>
  <c r="DU40" i="8"/>
  <c r="DU39" i="8"/>
  <c r="DU38" i="8"/>
  <c r="DU37" i="8"/>
  <c r="DU36" i="8"/>
  <c r="DU35" i="8"/>
  <c r="DV34" i="8"/>
  <c r="DU34" i="8"/>
  <c r="DU33" i="8"/>
  <c r="DU32" i="8"/>
  <c r="DY31" i="8"/>
  <c r="DU31" i="8"/>
  <c r="DV30" i="8"/>
  <c r="DU30" i="8"/>
  <c r="DU29" i="8"/>
  <c r="DU28" i="8"/>
  <c r="DY27" i="8"/>
  <c r="DU27" i="8"/>
  <c r="DW26" i="8"/>
  <c r="DV26" i="8"/>
  <c r="DU26" i="8"/>
  <c r="DU25" i="8"/>
  <c r="DY6" i="8"/>
  <c r="DX6" i="8"/>
  <c r="DW6" i="8"/>
  <c r="DV6" i="8"/>
  <c r="DU6" i="8"/>
  <c r="DY174" i="6"/>
  <c r="DY163" i="6"/>
  <c r="DX43" i="6"/>
  <c r="DW43" i="6"/>
  <c r="DV43" i="6"/>
  <c r="DU43" i="6"/>
  <c r="DY6" i="6"/>
  <c r="DX6" i="6"/>
  <c r="DW6" i="6"/>
  <c r="DV6" i="6"/>
  <c r="DU6" i="6"/>
  <c r="DU5" i="6"/>
  <c r="DY194" i="7"/>
  <c r="DX194" i="7"/>
  <c r="DW194" i="7"/>
  <c r="DV194" i="7"/>
  <c r="DU194" i="7"/>
  <c r="DY192" i="7"/>
  <c r="DX147" i="7"/>
  <c r="DV138" i="7"/>
  <c r="DW58" i="7"/>
  <c r="DW136" i="7" s="1"/>
  <c r="DV58" i="7"/>
  <c r="DV136" i="7" s="1"/>
  <c r="DY52" i="7"/>
  <c r="DX49" i="7"/>
  <c r="DW49" i="7"/>
  <c r="DV49" i="7"/>
  <c r="DU49" i="7"/>
  <c r="DY48" i="7"/>
  <c r="DY47" i="7"/>
  <c r="DY49" i="7" s="1"/>
  <c r="DY6" i="7"/>
  <c r="DX6" i="7"/>
  <c r="DW6" i="7"/>
  <c r="DV6" i="7"/>
  <c r="DU6" i="7"/>
  <c r="DU5" i="7"/>
  <c r="DU333" i="3"/>
  <c r="DY333" i="3"/>
  <c r="DV333" i="3"/>
  <c r="DW333" i="3"/>
  <c r="DX333" i="3"/>
  <c r="DY59" i="3" l="1"/>
  <c r="DU142" i="7"/>
  <c r="DY48" i="3"/>
  <c r="DU50" i="3"/>
  <c r="DV142" i="7"/>
  <c r="DV323" i="3"/>
  <c r="DV325" i="3" s="1"/>
  <c r="DY49" i="3"/>
  <c r="DY50" i="3" s="1"/>
  <c r="DW323" i="3"/>
  <c r="DX323" i="3"/>
  <c r="DV206" i="3"/>
  <c r="DX217" i="3"/>
  <c r="DW142" i="7"/>
  <c r="DW77" i="8"/>
  <c r="DW79" i="8" s="1"/>
  <c r="DV25" i="8"/>
  <c r="DX97" i="8"/>
  <c r="DW121" i="8"/>
  <c r="DW123" i="8" s="1"/>
  <c r="DV29" i="8"/>
  <c r="DX141" i="8"/>
  <c r="DW165" i="8"/>
  <c r="DW167" i="8" s="1"/>
  <c r="DV33" i="8"/>
  <c r="DX185" i="8"/>
  <c r="DW209" i="8"/>
  <c r="DW211" i="8" s="1"/>
  <c r="DV37" i="8"/>
  <c r="DX229" i="8"/>
  <c r="DW92" i="8"/>
  <c r="DX86" i="8"/>
  <c r="DX92" i="8" s="1"/>
  <c r="DW110" i="8"/>
  <c r="DW112" i="8" s="1"/>
  <c r="DV28" i="8"/>
  <c r="DW136" i="8"/>
  <c r="DX130" i="8"/>
  <c r="DW154" i="8"/>
  <c r="DW156" i="8" s="1"/>
  <c r="DV32" i="8"/>
  <c r="DW180" i="8"/>
  <c r="DX174" i="8"/>
  <c r="DW198" i="8"/>
  <c r="DW200" i="8" s="1"/>
  <c r="DV36" i="8"/>
  <c r="DX218" i="8"/>
  <c r="DW242" i="8"/>
  <c r="DW244" i="8" s="1"/>
  <c r="DV40" i="8"/>
  <c r="DW81" i="8"/>
  <c r="DX75" i="8"/>
  <c r="DW99" i="8"/>
  <c r="DW101" i="8" s="1"/>
  <c r="DV27" i="8"/>
  <c r="DW125" i="8"/>
  <c r="DX119" i="8"/>
  <c r="DW143" i="8"/>
  <c r="DW145" i="8" s="1"/>
  <c r="DV31" i="8"/>
  <c r="DW169" i="8"/>
  <c r="DX163" i="8"/>
  <c r="DW187" i="8"/>
  <c r="DW189" i="8" s="1"/>
  <c r="DV35" i="8"/>
  <c r="DW213" i="8"/>
  <c r="DX207" i="8"/>
  <c r="DW231" i="8"/>
  <c r="DW233" i="8" s="1"/>
  <c r="DV39" i="8"/>
  <c r="DW114" i="8"/>
  <c r="DX108" i="8"/>
  <c r="DW30" i="8"/>
  <c r="DX132" i="8"/>
  <c r="DX134" i="8" s="1"/>
  <c r="DX30" i="8" s="1"/>
  <c r="DW158" i="8"/>
  <c r="DX152" i="8"/>
  <c r="DW34" i="8"/>
  <c r="DX176" i="8"/>
  <c r="DX178" i="8" s="1"/>
  <c r="DX34" i="8" s="1"/>
  <c r="DW202" i="8"/>
  <c r="DX196" i="8"/>
  <c r="DW220" i="8"/>
  <c r="DW222" i="8" s="1"/>
  <c r="DV38" i="8"/>
  <c r="DV251" i="8"/>
  <c r="DU257" i="8"/>
  <c r="DV81" i="8"/>
  <c r="DV92" i="8"/>
  <c r="DY92" i="8" s="1"/>
  <c r="DV103" i="8"/>
  <c r="DV114" i="8"/>
  <c r="DV125" i="8"/>
  <c r="DV136" i="8"/>
  <c r="DV147" i="8"/>
  <c r="DV158" i="8"/>
  <c r="DV169" i="8"/>
  <c r="DV180" i="8"/>
  <c r="DV191" i="8"/>
  <c r="DV202" i="8"/>
  <c r="DV213" i="8"/>
  <c r="DV224" i="8"/>
  <c r="DV235" i="8"/>
  <c r="DU246" i="8"/>
  <c r="DV262" i="8"/>
  <c r="DU268" i="8"/>
  <c r="DV279" i="8"/>
  <c r="DW273" i="8"/>
  <c r="DV290" i="8"/>
  <c r="DW284" i="8"/>
  <c r="DV301" i="8"/>
  <c r="DW295" i="8"/>
  <c r="DV312" i="8"/>
  <c r="DW306" i="8"/>
  <c r="DV323" i="8"/>
  <c r="DW317" i="8"/>
  <c r="DV334" i="8"/>
  <c r="DW328" i="8"/>
  <c r="DV345" i="8"/>
  <c r="DW339" i="8"/>
  <c r="DV356" i="8"/>
  <c r="DW350" i="8"/>
  <c r="DV367" i="8"/>
  <c r="DW361" i="8"/>
  <c r="DV378" i="8"/>
  <c r="DW372" i="8"/>
  <c r="DV389" i="8"/>
  <c r="DW383" i="8"/>
  <c r="DV400" i="8"/>
  <c r="DW394" i="8"/>
  <c r="DV411" i="8"/>
  <c r="DW405" i="8"/>
  <c r="DV422" i="8"/>
  <c r="DW416" i="8"/>
  <c r="DY79" i="8"/>
  <c r="DW240" i="8"/>
  <c r="DU279" i="8"/>
  <c r="DU290" i="8"/>
  <c r="DU301" i="8"/>
  <c r="DU312" i="8"/>
  <c r="DU323" i="8"/>
  <c r="DU334" i="8"/>
  <c r="DU345" i="8"/>
  <c r="DU356" i="8"/>
  <c r="DU367" i="8"/>
  <c r="DU378" i="8"/>
  <c r="DU389" i="8"/>
  <c r="DU400" i="8"/>
  <c r="DU411" i="8"/>
  <c r="DU422" i="8"/>
  <c r="DX142" i="7"/>
  <c r="AY199" i="9"/>
  <c r="AZ199" i="9"/>
  <c r="AX199" i="9"/>
  <c r="DP186" i="3"/>
  <c r="DQ186" i="3"/>
  <c r="DR186" i="3"/>
  <c r="DS186" i="3"/>
  <c r="DN188" i="3"/>
  <c r="DS188" i="3" s="1"/>
  <c r="DX188" i="3" s="1"/>
  <c r="DW325" i="3" l="1"/>
  <c r="DW206" i="3"/>
  <c r="DX325" i="3"/>
  <c r="DY158" i="8"/>
  <c r="DY125" i="8"/>
  <c r="DY301" i="8"/>
  <c r="DY25" i="8"/>
  <c r="DW251" i="8"/>
  <c r="DV257" i="8"/>
  <c r="DW38" i="8"/>
  <c r="DX220" i="8"/>
  <c r="DX222" i="8" s="1"/>
  <c r="DX38" i="8" s="1"/>
  <c r="DX213" i="8"/>
  <c r="DY213" i="8" s="1"/>
  <c r="DX187" i="8"/>
  <c r="DX189" i="8" s="1"/>
  <c r="DX35" i="8" s="1"/>
  <c r="DW35" i="8"/>
  <c r="DW224" i="8"/>
  <c r="DX180" i="8"/>
  <c r="DY180" i="8" s="1"/>
  <c r="DW32" i="8"/>
  <c r="DX154" i="8"/>
  <c r="DX156" i="8" s="1"/>
  <c r="DX32" i="8" s="1"/>
  <c r="DW191" i="8"/>
  <c r="DX147" i="8"/>
  <c r="DX121" i="8"/>
  <c r="DX123" i="8" s="1"/>
  <c r="DX29" i="8" s="1"/>
  <c r="DW29" i="8"/>
  <c r="DY334" i="8"/>
  <c r="DY290" i="8"/>
  <c r="DW422" i="8"/>
  <c r="DY422" i="8" s="1"/>
  <c r="DX416" i="8"/>
  <c r="DX422" i="8" s="1"/>
  <c r="DW400" i="8"/>
  <c r="DX394" i="8"/>
  <c r="DX400" i="8" s="1"/>
  <c r="DY400" i="8" s="1"/>
  <c r="DW378" i="8"/>
  <c r="DX372" i="8"/>
  <c r="DX378" i="8" s="1"/>
  <c r="DY378" i="8" s="1"/>
  <c r="DW356" i="8"/>
  <c r="DX350" i="8"/>
  <c r="DX356" i="8" s="1"/>
  <c r="DY356" i="8" s="1"/>
  <c r="DW334" i="8"/>
  <c r="DX328" i="8"/>
  <c r="DX334" i="8" s="1"/>
  <c r="DW312" i="8"/>
  <c r="DX306" i="8"/>
  <c r="DX312" i="8" s="1"/>
  <c r="DW290" i="8"/>
  <c r="DX284" i="8"/>
  <c r="DX290" i="8" s="1"/>
  <c r="DX202" i="8"/>
  <c r="DY202" i="8" s="1"/>
  <c r="DX143" i="8"/>
  <c r="DX145" i="8" s="1"/>
  <c r="DX31" i="8" s="1"/>
  <c r="DW31" i="8"/>
  <c r="DX136" i="8"/>
  <c r="DY136" i="8" s="1"/>
  <c r="DW28" i="8"/>
  <c r="DX110" i="8"/>
  <c r="DX112" i="8" s="1"/>
  <c r="DX28" i="8" s="1"/>
  <c r="DW147" i="8"/>
  <c r="DY147" i="8" s="1"/>
  <c r="DX103" i="8"/>
  <c r="DV268" i="8"/>
  <c r="DW262" i="8"/>
  <c r="DX158" i="8"/>
  <c r="DX125" i="8"/>
  <c r="DX99" i="8"/>
  <c r="DX101" i="8" s="1"/>
  <c r="DX27" i="8" s="1"/>
  <c r="DW27" i="8"/>
  <c r="DW40" i="8"/>
  <c r="DX242" i="8"/>
  <c r="DX244" i="8" s="1"/>
  <c r="DX40" i="8" s="1"/>
  <c r="DW37" i="8"/>
  <c r="DX209" i="8"/>
  <c r="DX211" i="8" s="1"/>
  <c r="DX37" i="8" s="1"/>
  <c r="DW103" i="8"/>
  <c r="DY103" i="8" s="1"/>
  <c r="DX77" i="8"/>
  <c r="DX79" i="8" s="1"/>
  <c r="DW25" i="8"/>
  <c r="DY312" i="8"/>
  <c r="DW246" i="8"/>
  <c r="DX240" i="8"/>
  <c r="DX246" i="8" s="1"/>
  <c r="DY246" i="8" s="1"/>
  <c r="DW411" i="8"/>
  <c r="DY411" i="8" s="1"/>
  <c r="DX405" i="8"/>
  <c r="DX411" i="8" s="1"/>
  <c r="DW389" i="8"/>
  <c r="DY389" i="8" s="1"/>
  <c r="DX383" i="8"/>
  <c r="DX389" i="8" s="1"/>
  <c r="DW367" i="8"/>
  <c r="DY367" i="8" s="1"/>
  <c r="DX361" i="8"/>
  <c r="DX367" i="8" s="1"/>
  <c r="DW345" i="8"/>
  <c r="DY345" i="8" s="1"/>
  <c r="DX339" i="8"/>
  <c r="DX345" i="8" s="1"/>
  <c r="DW323" i="8"/>
  <c r="DX317" i="8"/>
  <c r="DX323" i="8" s="1"/>
  <c r="DY323" i="8" s="1"/>
  <c r="DW301" i="8"/>
  <c r="DX295" i="8"/>
  <c r="DX301" i="8" s="1"/>
  <c r="DW279" i="8"/>
  <c r="DY279" i="8" s="1"/>
  <c r="DX273" i="8"/>
  <c r="DX279" i="8" s="1"/>
  <c r="DX114" i="8"/>
  <c r="DY114" i="8" s="1"/>
  <c r="DX231" i="8"/>
  <c r="DX233" i="8" s="1"/>
  <c r="DX39" i="8" s="1"/>
  <c r="DW39" i="8"/>
  <c r="DX224" i="8"/>
  <c r="DY224" i="8" s="1"/>
  <c r="DW36" i="8"/>
  <c r="DX198" i="8"/>
  <c r="DX200" i="8" s="1"/>
  <c r="DX36" i="8" s="1"/>
  <c r="DW235" i="8"/>
  <c r="DX165" i="8"/>
  <c r="DX167" i="8" s="1"/>
  <c r="DX33" i="8" s="1"/>
  <c r="DW33" i="8"/>
  <c r="DX206" i="3" l="1"/>
  <c r="DX25" i="8"/>
  <c r="DX191" i="8"/>
  <c r="DX81" i="8"/>
  <c r="DX169" i="8"/>
  <c r="DY169" i="8" s="1"/>
  <c r="DX235" i="8"/>
  <c r="DY235" i="8" s="1"/>
  <c r="DW268" i="8"/>
  <c r="DY268" i="8" s="1"/>
  <c r="DX262" i="8"/>
  <c r="DX268" i="8" s="1"/>
  <c r="DY191" i="8"/>
  <c r="DW257" i="8"/>
  <c r="DY257" i="8" s="1"/>
  <c r="DX251" i="8"/>
  <c r="DX257" i="8" s="1"/>
  <c r="DY81" i="8" l="1"/>
  <c r="BA199" i="9" l="1"/>
  <c r="DH107" i="3" l="1"/>
  <c r="DH94" i="3"/>
  <c r="DH192" i="3"/>
  <c r="DH185" i="3"/>
  <c r="DH187" i="3" s="1"/>
  <c r="DH188" i="3" s="1"/>
  <c r="DM188" i="3" s="1"/>
  <c r="DR188" i="3" s="1"/>
  <c r="DW188" i="3" s="1"/>
  <c r="DH178" i="3"/>
  <c r="DH160" i="3"/>
  <c r="DH165" i="3" s="1"/>
  <c r="DH143" i="3"/>
  <c r="DH152" i="3" s="1"/>
  <c r="DH124" i="3"/>
  <c r="DH110" i="3"/>
  <c r="DH98" i="3"/>
  <c r="DH99" i="3" s="1"/>
  <c r="DH77" i="3"/>
  <c r="DH75" i="3" s="1"/>
  <c r="DH62" i="3"/>
  <c r="DH60" i="3"/>
  <c r="DH59" i="3"/>
  <c r="DH197" i="3" s="1"/>
  <c r="DH58" i="3"/>
  <c r="DH57" i="3"/>
  <c r="DH56" i="3"/>
  <c r="DH52" i="3"/>
  <c r="DH51" i="3"/>
  <c r="DH49" i="3"/>
  <c r="DH48" i="3"/>
  <c r="DH50" i="3" s="1"/>
  <c r="DH44" i="3"/>
  <c r="DH43" i="3"/>
  <c r="DH42" i="3"/>
  <c r="DH41" i="3"/>
  <c r="DH40" i="3"/>
  <c r="DH39" i="3"/>
  <c r="DH38" i="3"/>
  <c r="DH37" i="3"/>
  <c r="DM37" i="3" s="1"/>
  <c r="DR37" i="3" s="1"/>
  <c r="DH33" i="3"/>
  <c r="DH32" i="3"/>
  <c r="DH31" i="3"/>
  <c r="DH30" i="3"/>
  <c r="DH29" i="3"/>
  <c r="DH28" i="3"/>
  <c r="DH23" i="3"/>
  <c r="DH22" i="3"/>
  <c r="DH21" i="3"/>
  <c r="DH20" i="3"/>
  <c r="DH19" i="3"/>
  <c r="DH18" i="3"/>
  <c r="DH17" i="3"/>
  <c r="DH16" i="3"/>
  <c r="DH15" i="3"/>
  <c r="DH14" i="3"/>
  <c r="DH13" i="3"/>
  <c r="DH11" i="3" s="1"/>
  <c r="DH12" i="3" s="1"/>
  <c r="DH8" i="3"/>
  <c r="DH132" i="2"/>
  <c r="DH130" i="2"/>
  <c r="DH136" i="2" s="1"/>
  <c r="DH129" i="2"/>
  <c r="DH135" i="2" s="1"/>
  <c r="DH126" i="2"/>
  <c r="DH110" i="2"/>
  <c r="DH100" i="2"/>
  <c r="DH94" i="2"/>
  <c r="DH89" i="2"/>
  <c r="DH221" i="6"/>
  <c r="DH141" i="6"/>
  <c r="DH133" i="6"/>
  <c r="DH122" i="6"/>
  <c r="DG141" i="6"/>
  <c r="DG133" i="6"/>
  <c r="DG122" i="6"/>
  <c r="DW37" i="3" l="1"/>
  <c r="DH124" i="6"/>
  <c r="DG143" i="6"/>
  <c r="DG179" i="6"/>
  <c r="DG180" i="6" s="1"/>
  <c r="DH45" i="3"/>
  <c r="DH131" i="2"/>
  <c r="DH186" i="3"/>
  <c r="DH179" i="3"/>
  <c r="DH128" i="3"/>
  <c r="DH26" i="3"/>
  <c r="DH34" i="3"/>
  <c r="DH35" i="3" s="1"/>
  <c r="DH53" i="3"/>
  <c r="DH61" i="3" s="1"/>
  <c r="DH143" i="6"/>
  <c r="DH179" i="6"/>
  <c r="DG124" i="6"/>
  <c r="DH180" i="6" l="1"/>
  <c r="DH216" i="6"/>
  <c r="DH63" i="3"/>
  <c r="DH93" i="6" l="1"/>
  <c r="DH316" i="6" l="1"/>
  <c r="DH315" i="6"/>
  <c r="DH313" i="6"/>
  <c r="DH312" i="6"/>
  <c r="DH310" i="6"/>
  <c r="DH309" i="6"/>
  <c r="DH295" i="6"/>
  <c r="DH256" i="6"/>
  <c r="DH242" i="6"/>
  <c r="DH99" i="6"/>
  <c r="DH96" i="6"/>
  <c r="DH101" i="6" s="1"/>
  <c r="DH91" i="6"/>
  <c r="DH89" i="6"/>
  <c r="DH88" i="6"/>
  <c r="DH80" i="6"/>
  <c r="DH78" i="6"/>
  <c r="DH77" i="6"/>
  <c r="DH60" i="6"/>
  <c r="DH223" i="6" s="1"/>
  <c r="DH55" i="6"/>
  <c r="DH51" i="6"/>
  <c r="DH48" i="6"/>
  <c r="DH47" i="6"/>
  <c r="DH44" i="6"/>
  <c r="DH42" i="6"/>
  <c r="DH41" i="6"/>
  <c r="DH34" i="6"/>
  <c r="DH26" i="6"/>
  <c r="DH247" i="6" s="1"/>
  <c r="DH25" i="6"/>
  <c r="DH20" i="6"/>
  <c r="DH222" i="6" s="1"/>
  <c r="DH17" i="6"/>
  <c r="DH189" i="3" s="1"/>
  <c r="DH190" i="3" s="1"/>
  <c r="DH15" i="6"/>
  <c r="DH194" i="7"/>
  <c r="DH170" i="7"/>
  <c r="DH169" i="7"/>
  <c r="DH159" i="7"/>
  <c r="DH155" i="7"/>
  <c r="DH148" i="7"/>
  <c r="DH131" i="7"/>
  <c r="DH110" i="7"/>
  <c r="DH87" i="7"/>
  <c r="DH86" i="7"/>
  <c r="DH72" i="7"/>
  <c r="DH79" i="7" s="1"/>
  <c r="DH68" i="7"/>
  <c r="DH69" i="7" s="1"/>
  <c r="DH65" i="7"/>
  <c r="DH63" i="7"/>
  <c r="DH64" i="7" s="1"/>
  <c r="DH49" i="7"/>
  <c r="DH36" i="7"/>
  <c r="DH26" i="7"/>
  <c r="DH25" i="7"/>
  <c r="DH22" i="7"/>
  <c r="DH20" i="7"/>
  <c r="DH18" i="7"/>
  <c r="DH14" i="7"/>
  <c r="DH15" i="7" s="1"/>
  <c r="DH12" i="7"/>
  <c r="DH11" i="7"/>
  <c r="DH10" i="7"/>
  <c r="DH84" i="2"/>
  <c r="DH60" i="2"/>
  <c r="DH51" i="2"/>
  <c r="DH45" i="2"/>
  <c r="DH38" i="2" s="1"/>
  <c r="DH39" i="2"/>
  <c r="DH20" i="2"/>
  <c r="DH14" i="2"/>
  <c r="DH8" i="2"/>
  <c r="DH50" i="6" l="1"/>
  <c r="DH29" i="6"/>
  <c r="DH243" i="6"/>
  <c r="DH73" i="7"/>
  <c r="DH74" i="7" s="1"/>
  <c r="DH31" i="7"/>
  <c r="DH32" i="7" s="1"/>
  <c r="DH58" i="6"/>
  <c r="DH10" i="6"/>
  <c r="DH61" i="6"/>
  <c r="DH224" i="6" s="1"/>
  <c r="DH248" i="6"/>
  <c r="DH67" i="6"/>
  <c r="DH257" i="6"/>
  <c r="DH258" i="6"/>
  <c r="DH27" i="6"/>
  <c r="DH35" i="6"/>
  <c r="DH82" i="6"/>
  <c r="DH37" i="7"/>
  <c r="DH29" i="7"/>
  <c r="DH28" i="7"/>
  <c r="DH93" i="7"/>
  <c r="DH127" i="7"/>
  <c r="DH65" i="6" l="1"/>
  <c r="DH68" i="6"/>
  <c r="DH63" i="6"/>
  <c r="DH105" i="2" s="1"/>
  <c r="DH297" i="6"/>
  <c r="DH30" i="6"/>
  <c r="DH118" i="7"/>
  <c r="DH90" i="7"/>
  <c r="DH91" i="7" s="1"/>
  <c r="DH129" i="7"/>
  <c r="DH115" i="2" l="1"/>
  <c r="DH106" i="2"/>
  <c r="DH106" i="7"/>
  <c r="DH92" i="7"/>
  <c r="DH116" i="7"/>
  <c r="DH117" i="7"/>
  <c r="DH107" i="7"/>
  <c r="DH102" i="7" s="1"/>
  <c r="DH128" i="7"/>
  <c r="DH111" i="2" l="1"/>
  <c r="DH101" i="2"/>
  <c r="DH108" i="7"/>
  <c r="DH109" i="7" s="1"/>
  <c r="DH97" i="7"/>
  <c r="DH101" i="7"/>
  <c r="DH103" i="7" s="1"/>
  <c r="DH96" i="7"/>
  <c r="DH113" i="7" l="1"/>
  <c r="DH161" i="7"/>
  <c r="DH162" i="7" s="1"/>
  <c r="DH98" i="7"/>
  <c r="BF82" i="9" l="1"/>
  <c r="BK82" i="9" s="1"/>
  <c r="BE82" i="9"/>
  <c r="BJ82" i="9" s="1"/>
  <c r="BD82" i="9"/>
  <c r="BI82" i="9" s="1"/>
  <c r="BC82" i="9"/>
  <c r="BH82" i="9" s="1"/>
  <c r="BD189" i="9"/>
  <c r="BI189" i="9" s="1"/>
  <c r="BE189" i="9"/>
  <c r="BJ189" i="9" s="1"/>
  <c r="BF189" i="9"/>
  <c r="BK189" i="9" s="1"/>
  <c r="BC189" i="9"/>
  <c r="BH189" i="9" s="1"/>
  <c r="BJ207" i="9" l="1"/>
  <c r="BJ171" i="9"/>
  <c r="BK207" i="9"/>
  <c r="BK171" i="9"/>
  <c r="BI207" i="9"/>
  <c r="BI171" i="9"/>
  <c r="BH207" i="9"/>
  <c r="BH171" i="9"/>
  <c r="BI99" i="9"/>
  <c r="BI65" i="9"/>
  <c r="BK99" i="9"/>
  <c r="BK65" i="9"/>
  <c r="BJ99" i="9"/>
  <c r="BJ65" i="9"/>
  <c r="BH99" i="9"/>
  <c r="BH65" i="9"/>
  <c r="BF84" i="9"/>
  <c r="BE84" i="9"/>
  <c r="BD84" i="9"/>
  <c r="BC84" i="9"/>
  <c r="BA84" i="9"/>
  <c r="AZ84" i="9"/>
  <c r="AY84" i="9"/>
  <c r="AX84" i="9"/>
  <c r="DG110" i="7" l="1"/>
  <c r="DF110" i="7"/>
  <c r="BA83" i="9" l="1"/>
  <c r="AZ83" i="9"/>
  <c r="AY83" i="9"/>
  <c r="AX83" i="9"/>
  <c r="DF133" i="6" l="1"/>
  <c r="DD133" i="6"/>
  <c r="DC133" i="6"/>
  <c r="DB133" i="6"/>
  <c r="B12" i="9"/>
  <c r="AJ13" i="9" s="1"/>
  <c r="AU10" i="9"/>
  <c r="AU8" i="9"/>
  <c r="DH58" i="7" s="1"/>
  <c r="DH136" i="7" s="1"/>
  <c r="DH142" i="7" s="1"/>
  <c r="DH154" i="7" s="1"/>
  <c r="AV10" i="9"/>
  <c r="AV8" i="9"/>
  <c r="BB65" i="5"/>
  <c r="BB79" i="5" s="1"/>
  <c r="AY65" i="5"/>
  <c r="AY79" i="5" s="1"/>
  <c r="AY63" i="5"/>
  <c r="BI19" i="5"/>
  <c r="AY19" i="5"/>
  <c r="DG124" i="3"/>
  <c r="DG123" i="3"/>
  <c r="DG110" i="3"/>
  <c r="DG97" i="3"/>
  <c r="DG98" i="3"/>
  <c r="DG94" i="3"/>
  <c r="DG77" i="3"/>
  <c r="DG75" i="3" s="1"/>
  <c r="DF77" i="3"/>
  <c r="DF75" i="3" s="1"/>
  <c r="DG8" i="3"/>
  <c r="DG14" i="3"/>
  <c r="DG15" i="3"/>
  <c r="DJ15" i="3" s="1"/>
  <c r="DG16" i="3"/>
  <c r="DG17" i="3"/>
  <c r="DG18" i="3"/>
  <c r="DG19" i="3"/>
  <c r="DG20" i="3"/>
  <c r="DG21" i="3"/>
  <c r="DG22" i="3"/>
  <c r="DG23" i="3"/>
  <c r="DG28" i="3"/>
  <c r="DG29" i="3"/>
  <c r="DG30" i="3"/>
  <c r="DG31" i="3"/>
  <c r="DG32" i="3"/>
  <c r="DG33" i="3"/>
  <c r="DG37" i="3"/>
  <c r="DL37" i="3" s="1"/>
  <c r="DQ37" i="3" s="1"/>
  <c r="DG38" i="3"/>
  <c r="DG300" i="3" s="1"/>
  <c r="DG39" i="3"/>
  <c r="DG40" i="3"/>
  <c r="DG41" i="3"/>
  <c r="DG42" i="3"/>
  <c r="DJ42" i="3" s="1"/>
  <c r="DG43" i="3"/>
  <c r="DG44" i="3"/>
  <c r="DG56" i="3"/>
  <c r="DG57" i="3"/>
  <c r="DJ57" i="3" s="1"/>
  <c r="DG58" i="3"/>
  <c r="DG59" i="3"/>
  <c r="DG197" i="3" s="1"/>
  <c r="DG60" i="3"/>
  <c r="DG51" i="3"/>
  <c r="DG53" i="3" s="1"/>
  <c r="DG52" i="3"/>
  <c r="DG48" i="3"/>
  <c r="DG50" i="3" s="1"/>
  <c r="DG49" i="3"/>
  <c r="DG62" i="3"/>
  <c r="DG13" i="3"/>
  <c r="DG11" i="3" s="1"/>
  <c r="DG12" i="3" s="1"/>
  <c r="DG192" i="3"/>
  <c r="DG185" i="3"/>
  <c r="DG187" i="3" s="1"/>
  <c r="DG188" i="3" s="1"/>
  <c r="DL188" i="3" s="1"/>
  <c r="DQ188" i="3" s="1"/>
  <c r="DV188" i="3" s="1"/>
  <c r="DG160" i="3"/>
  <c r="DG165" i="3"/>
  <c r="DG143" i="3"/>
  <c r="DG152" i="3"/>
  <c r="DG130" i="2"/>
  <c r="DG132" i="2"/>
  <c r="DG129" i="2"/>
  <c r="DG126" i="2"/>
  <c r="DG110" i="2"/>
  <c r="DG94" i="2"/>
  <c r="DG97" i="2" s="1"/>
  <c r="DG89" i="2"/>
  <c r="DG316" i="6"/>
  <c r="DG315" i="6"/>
  <c r="DG313" i="6"/>
  <c r="DG312" i="6"/>
  <c r="DB77" i="6"/>
  <c r="DB78" i="6"/>
  <c r="DG309" i="6"/>
  <c r="DG256" i="6"/>
  <c r="DG242" i="6"/>
  <c r="DG243" i="6" s="1"/>
  <c r="DG96" i="6"/>
  <c r="DG101" i="6" s="1"/>
  <c r="DG99" i="6"/>
  <c r="DG93" i="6"/>
  <c r="DG91" i="6"/>
  <c r="DG89" i="6"/>
  <c r="DG88" i="6"/>
  <c r="DG80" i="6"/>
  <c r="DG78" i="6"/>
  <c r="DG77" i="6"/>
  <c r="DG34" i="6"/>
  <c r="DG39" i="2"/>
  <c r="DG55" i="6"/>
  <c r="DG9" i="2" s="1"/>
  <c r="DG67" i="6"/>
  <c r="DG68" i="6" s="1"/>
  <c r="DG65" i="6"/>
  <c r="DG60" i="6"/>
  <c r="DG63" i="6" s="1"/>
  <c r="DG105" i="2" s="1"/>
  <c r="DG58" i="6"/>
  <c r="DG51" i="6"/>
  <c r="DG50" i="6"/>
  <c r="DG48" i="6"/>
  <c r="DG47" i="6"/>
  <c r="DG44" i="6"/>
  <c r="DG42" i="6"/>
  <c r="DG41" i="6"/>
  <c r="DG35" i="6"/>
  <c r="DG29" i="6"/>
  <c r="DG26" i="6"/>
  <c r="DG258" i="6" s="1"/>
  <c r="DG25" i="6"/>
  <c r="DG20" i="6"/>
  <c r="DG17" i="6"/>
  <c r="DG189" i="3" s="1"/>
  <c r="DG190" i="3" s="1"/>
  <c r="DG15" i="6"/>
  <c r="DG10" i="6"/>
  <c r="DG14" i="7"/>
  <c r="DG15" i="7" s="1"/>
  <c r="DG93" i="7"/>
  <c r="DG90" i="7"/>
  <c r="DG91" i="7" s="1"/>
  <c r="DG170" i="7"/>
  <c r="DG169" i="7"/>
  <c r="DG159" i="7"/>
  <c r="DG155" i="7"/>
  <c r="AT8" i="9"/>
  <c r="DG58" i="7" s="1"/>
  <c r="DG136" i="7" s="1"/>
  <c r="DG142" i="7" s="1"/>
  <c r="DG154" i="7" s="1"/>
  <c r="DG148" i="7"/>
  <c r="DG131" i="7"/>
  <c r="DG72" i="7"/>
  <c r="DG73" i="7"/>
  <c r="DG74" i="7"/>
  <c r="DG87" i="7"/>
  <c r="DG86" i="7"/>
  <c r="DG79" i="7"/>
  <c r="DG68" i="7"/>
  <c r="DG69" i="7"/>
  <c r="DG65" i="7"/>
  <c r="DG63" i="7"/>
  <c r="DG64" i="7" s="1"/>
  <c r="DG49" i="7"/>
  <c r="DG36" i="7"/>
  <c r="DG38" i="7" s="1"/>
  <c r="DG31" i="7"/>
  <c r="DG32" i="7" s="1"/>
  <c r="DG26" i="7"/>
  <c r="DG173" i="7" s="1"/>
  <c r="DG28" i="7"/>
  <c r="DG25" i="7"/>
  <c r="DG22" i="7"/>
  <c r="DG20" i="7"/>
  <c r="DG18" i="7"/>
  <c r="DG11" i="7"/>
  <c r="DG8" i="2"/>
  <c r="DG60" i="2"/>
  <c r="DG51" i="2"/>
  <c r="DG45" i="2"/>
  <c r="DG38" i="2"/>
  <c r="DG20" i="2"/>
  <c r="DG14" i="2"/>
  <c r="DD39" i="2"/>
  <c r="DJ42" i="2"/>
  <c r="BE171" i="9"/>
  <c r="AS171" i="9"/>
  <c r="AT171" i="9"/>
  <c r="AU171" i="9"/>
  <c r="AV171" i="9"/>
  <c r="DF427" i="8"/>
  <c r="DG427" i="8"/>
  <c r="DF72" i="7"/>
  <c r="AU189" i="9"/>
  <c r="AV189" i="9"/>
  <c r="AT189" i="9"/>
  <c r="AT163" i="9"/>
  <c r="AT195" i="9"/>
  <c r="AT158" i="9"/>
  <c r="DF141" i="6"/>
  <c r="DF122" i="6"/>
  <c r="DF125" i="6" s="1"/>
  <c r="DD141" i="6"/>
  <c r="DD143" i="6"/>
  <c r="DC141" i="6"/>
  <c r="DH142" i="6" s="1"/>
  <c r="DB141" i="6"/>
  <c r="DA141" i="6"/>
  <c r="DA143" i="6" s="1"/>
  <c r="DD122" i="6"/>
  <c r="DD125" i="6" s="1"/>
  <c r="DC122" i="6"/>
  <c r="DH125" i="6" s="1"/>
  <c r="DB122" i="6"/>
  <c r="DG125" i="6" s="1"/>
  <c r="DB124" i="6"/>
  <c r="DA122" i="6"/>
  <c r="CY122" i="6"/>
  <c r="CX122" i="6"/>
  <c r="CW122" i="6"/>
  <c r="CW124" i="6" s="1"/>
  <c r="CV122" i="6"/>
  <c r="DB125" i="6"/>
  <c r="DC143" i="6"/>
  <c r="DA124" i="6"/>
  <c r="CY124" i="6"/>
  <c r="DF51" i="2"/>
  <c r="DF52" i="7"/>
  <c r="DF256" i="6"/>
  <c r="DF327" i="3"/>
  <c r="DF322" i="3"/>
  <c r="DF321" i="3"/>
  <c r="DF317" i="3"/>
  <c r="DF316" i="3"/>
  <c r="DF305" i="3"/>
  <c r="DF241" i="3"/>
  <c r="DF240" i="3"/>
  <c r="DF244" i="3"/>
  <c r="DF245" i="3"/>
  <c r="DF246" i="3" s="1"/>
  <c r="DF250" i="3"/>
  <c r="DF251" i="3"/>
  <c r="DF252" i="3"/>
  <c r="DF255" i="3"/>
  <c r="DF256" i="3"/>
  <c r="DF262" i="3"/>
  <c r="DF263" i="3" s="1"/>
  <c r="DF282" i="3" s="1"/>
  <c r="DF216" i="3"/>
  <c r="DF192" i="3"/>
  <c r="DF185" i="3"/>
  <c r="DF187" i="3" s="1"/>
  <c r="DF188" i="3" s="1"/>
  <c r="DK188" i="3" s="1"/>
  <c r="DP188" i="3" s="1"/>
  <c r="DU188" i="3" s="1"/>
  <c r="DF132" i="2"/>
  <c r="DF130" i="2"/>
  <c r="DF136" i="2" s="1"/>
  <c r="DF129" i="2"/>
  <c r="DF135" i="2" s="1"/>
  <c r="DF126" i="2"/>
  <c r="DF110" i="2"/>
  <c r="DF94" i="2"/>
  <c r="DF97" i="2" s="1"/>
  <c r="DF89" i="2"/>
  <c r="DF60" i="2"/>
  <c r="DF20" i="2"/>
  <c r="DD123" i="3"/>
  <c r="DC123" i="3"/>
  <c r="DD60" i="3"/>
  <c r="DB123" i="3"/>
  <c r="DB124" i="3"/>
  <c r="DA123" i="3"/>
  <c r="DB60" i="3"/>
  <c r="DD114" i="3"/>
  <c r="DD124" i="3"/>
  <c r="DC114" i="3"/>
  <c r="DD48" i="3"/>
  <c r="DD107" i="3"/>
  <c r="DD110" i="3"/>
  <c r="DC107" i="3"/>
  <c r="DC42" i="3"/>
  <c r="DB107" i="3"/>
  <c r="DB110" i="3"/>
  <c r="DA107" i="3"/>
  <c r="DA42" i="3"/>
  <c r="DD97" i="3"/>
  <c r="DC97" i="3"/>
  <c r="DC33" i="3"/>
  <c r="DB97" i="3"/>
  <c r="DA97" i="3"/>
  <c r="DA33" i="3"/>
  <c r="DD94" i="3"/>
  <c r="DD98" i="3"/>
  <c r="DC94" i="3"/>
  <c r="DD30" i="3"/>
  <c r="DB94" i="3"/>
  <c r="DB98" i="3"/>
  <c r="DB99" i="3" s="1"/>
  <c r="DA94" i="3"/>
  <c r="DB30" i="3"/>
  <c r="DC92" i="3"/>
  <c r="DD75" i="3"/>
  <c r="DC75" i="3"/>
  <c r="DB75" i="3"/>
  <c r="DA75" i="3"/>
  <c r="DA62" i="3"/>
  <c r="DE62" i="3" s="1"/>
  <c r="DA60" i="3"/>
  <c r="DD59" i="3"/>
  <c r="DC59" i="3"/>
  <c r="DB59" i="3"/>
  <c r="DA59" i="3"/>
  <c r="DD58" i="3"/>
  <c r="DD302" i="3" s="1"/>
  <c r="DC58" i="3"/>
  <c r="DB58" i="3"/>
  <c r="DA58" i="3"/>
  <c r="DD57" i="3"/>
  <c r="DC57" i="3"/>
  <c r="DB57" i="3"/>
  <c r="DA57" i="3"/>
  <c r="DE56" i="3"/>
  <c r="DD56" i="3"/>
  <c r="DC56" i="3"/>
  <c r="DB56" i="3"/>
  <c r="DA56" i="3"/>
  <c r="DD52" i="3"/>
  <c r="DC52" i="3"/>
  <c r="DB52" i="3"/>
  <c r="DA52" i="3"/>
  <c r="DD51" i="3"/>
  <c r="DD53" i="3" s="1"/>
  <c r="DC51" i="3"/>
  <c r="DC53" i="3" s="1"/>
  <c r="DB51" i="3"/>
  <c r="DA51" i="3"/>
  <c r="DD49" i="3"/>
  <c r="DC49" i="3"/>
  <c r="DB49" i="3"/>
  <c r="DB50" i="3" s="1"/>
  <c r="DA49" i="3"/>
  <c r="DC48" i="3"/>
  <c r="DC50" i="3" s="1"/>
  <c r="DB48" i="3"/>
  <c r="DA48" i="3"/>
  <c r="DA50" i="3" s="1"/>
  <c r="DE47" i="3"/>
  <c r="DD44" i="3"/>
  <c r="DC44" i="3"/>
  <c r="DB44" i="3"/>
  <c r="DA44" i="3"/>
  <c r="DD43" i="3"/>
  <c r="DC43" i="3"/>
  <c r="DB43" i="3"/>
  <c r="DA43" i="3"/>
  <c r="DD42" i="3"/>
  <c r="DD45" i="3" s="1"/>
  <c r="DD41" i="3"/>
  <c r="DC41" i="3"/>
  <c r="DE41" i="3" s="1"/>
  <c r="DB41" i="3"/>
  <c r="DA41" i="3"/>
  <c r="DD40" i="3"/>
  <c r="DC40" i="3"/>
  <c r="DB40" i="3"/>
  <c r="DA40" i="3"/>
  <c r="DD39" i="3"/>
  <c r="DC39" i="3"/>
  <c r="DB39" i="3"/>
  <c r="DA39" i="3"/>
  <c r="DD38" i="3"/>
  <c r="DC38" i="3"/>
  <c r="DB38" i="3"/>
  <c r="DA38" i="3"/>
  <c r="DD37" i="3"/>
  <c r="DC37" i="3"/>
  <c r="DB37" i="3"/>
  <c r="DA37" i="3"/>
  <c r="DD33" i="3"/>
  <c r="DD32" i="3"/>
  <c r="DC32" i="3"/>
  <c r="DB32" i="3"/>
  <c r="DA32" i="3"/>
  <c r="DD31" i="3"/>
  <c r="DC31" i="3"/>
  <c r="DB31" i="3"/>
  <c r="DA31" i="3"/>
  <c r="DC30" i="3"/>
  <c r="DD29" i="3"/>
  <c r="DC29" i="3"/>
  <c r="DB29" i="3"/>
  <c r="DA29" i="3"/>
  <c r="DE29" i="3" s="1"/>
  <c r="DD28" i="3"/>
  <c r="DC28" i="3"/>
  <c r="DB28" i="3"/>
  <c r="DA28" i="3"/>
  <c r="DE24" i="3"/>
  <c r="DD23" i="3"/>
  <c r="DC23" i="3"/>
  <c r="DB23" i="3"/>
  <c r="DA23" i="3"/>
  <c r="DD22" i="3"/>
  <c r="DC22" i="3"/>
  <c r="DB22" i="3"/>
  <c r="DA22" i="3"/>
  <c r="DD21" i="3"/>
  <c r="DC21" i="3"/>
  <c r="DB21" i="3"/>
  <c r="DA21" i="3"/>
  <c r="DD20" i="3"/>
  <c r="DC20" i="3"/>
  <c r="DB20" i="3"/>
  <c r="DA20" i="3"/>
  <c r="DD19" i="3"/>
  <c r="DC19" i="3"/>
  <c r="DB19" i="3"/>
  <c r="DA19" i="3"/>
  <c r="DD18" i="3"/>
  <c r="DC18" i="3"/>
  <c r="DB18" i="3"/>
  <c r="DA18" i="3"/>
  <c r="DD17" i="3"/>
  <c r="DC17" i="3"/>
  <c r="DB17" i="3"/>
  <c r="DA17" i="3"/>
  <c r="DD16" i="3"/>
  <c r="DC16" i="3"/>
  <c r="DB16" i="3"/>
  <c r="DA16" i="3"/>
  <c r="DD15" i="3"/>
  <c r="DC15" i="3"/>
  <c r="DB15" i="3"/>
  <c r="DB26" i="3" s="1"/>
  <c r="DA15" i="3"/>
  <c r="DD14" i="3"/>
  <c r="DC14" i="3"/>
  <c r="DB14" i="3"/>
  <c r="DB298" i="3" s="1"/>
  <c r="DA14" i="3"/>
  <c r="DD12" i="3"/>
  <c r="DC12" i="3"/>
  <c r="DB12" i="3"/>
  <c r="DA12" i="3"/>
  <c r="DD8" i="3"/>
  <c r="DC8" i="3"/>
  <c r="DB8" i="3"/>
  <c r="DB210" i="3" s="1"/>
  <c r="DA8" i="3"/>
  <c r="DA30" i="3"/>
  <c r="DB33" i="3"/>
  <c r="DA45" i="3"/>
  <c r="DB42" i="3"/>
  <c r="DE44" i="3"/>
  <c r="DC60" i="3"/>
  <c r="DA26" i="3"/>
  <c r="DC26" i="3"/>
  <c r="DE48" i="3"/>
  <c r="DA98" i="3"/>
  <c r="DC98" i="3"/>
  <c r="DC99" i="3" s="1"/>
  <c r="DA110" i="3"/>
  <c r="DC110" i="3"/>
  <c r="DA124" i="3"/>
  <c r="DC124" i="3"/>
  <c r="AW63" i="5"/>
  <c r="DF270" i="3"/>
  <c r="DF271" i="3"/>
  <c r="DF278" i="3"/>
  <c r="DF279" i="3" s="1"/>
  <c r="DF284" i="3" s="1"/>
  <c r="DF143" i="3"/>
  <c r="DF22" i="3"/>
  <c r="DJ22" i="3" s="1"/>
  <c r="DF62" i="3"/>
  <c r="DF60" i="3"/>
  <c r="DF59" i="3"/>
  <c r="DF197" i="3" s="1"/>
  <c r="DF58" i="3"/>
  <c r="DF57" i="3"/>
  <c r="DF56" i="3"/>
  <c r="DF52" i="3"/>
  <c r="DF51" i="3"/>
  <c r="DF49" i="3"/>
  <c r="DF48" i="3"/>
  <c r="DF50" i="3" s="1"/>
  <c r="DF44" i="3"/>
  <c r="DF43" i="3"/>
  <c r="DJ43" i="3" s="1"/>
  <c r="DF42" i="3"/>
  <c r="DF41" i="3"/>
  <c r="DJ41" i="3" s="1"/>
  <c r="DF40" i="3"/>
  <c r="DF39" i="3"/>
  <c r="DF38" i="3"/>
  <c r="DF37" i="3"/>
  <c r="DF33" i="3"/>
  <c r="DF32" i="3"/>
  <c r="DF31" i="3"/>
  <c r="DF29" i="3"/>
  <c r="DF28" i="3"/>
  <c r="DF23" i="3"/>
  <c r="DF21" i="3"/>
  <c r="DF20" i="3"/>
  <c r="DF19" i="3"/>
  <c r="DF18" i="3"/>
  <c r="DJ18" i="3" s="1"/>
  <c r="DF17" i="3"/>
  <c r="DF16" i="3"/>
  <c r="DF15" i="3"/>
  <c r="DF14" i="3"/>
  <c r="DF298" i="3" s="1"/>
  <c r="DF13" i="3"/>
  <c r="DF11" i="3" s="1"/>
  <c r="DF12" i="3" s="1"/>
  <c r="DF8" i="3"/>
  <c r="DF97" i="3"/>
  <c r="DF94" i="3"/>
  <c r="DF30" i="3"/>
  <c r="CY77" i="3"/>
  <c r="CY75" i="3" s="1"/>
  <c r="CX77" i="3"/>
  <c r="CX75" i="3" s="1"/>
  <c r="CW77" i="3"/>
  <c r="CW75" i="3" s="1"/>
  <c r="CV77" i="3"/>
  <c r="CV75" i="3" s="1"/>
  <c r="DF124" i="3"/>
  <c r="DF110" i="3"/>
  <c r="DF98" i="3"/>
  <c r="DF26" i="3"/>
  <c r="DF26" i="2"/>
  <c r="DF45" i="2"/>
  <c r="DF14" i="2"/>
  <c r="DF8" i="2"/>
  <c r="DF315" i="6"/>
  <c r="DF312" i="6"/>
  <c r="DF310" i="6"/>
  <c r="DF309" i="6"/>
  <c r="DF91" i="6"/>
  <c r="DF89" i="6"/>
  <c r="DF88" i="6"/>
  <c r="DF80" i="6"/>
  <c r="DF78" i="6"/>
  <c r="DF77" i="6"/>
  <c r="DF60" i="6"/>
  <c r="DF61" i="6" s="1"/>
  <c r="DF224" i="6" s="1"/>
  <c r="DF55" i="6"/>
  <c r="DF51" i="6"/>
  <c r="DF48" i="6"/>
  <c r="DF47" i="6"/>
  <c r="DF44" i="6"/>
  <c r="DF42" i="6"/>
  <c r="DF41" i="6"/>
  <c r="DF34" i="6"/>
  <c r="DF145" i="2"/>
  <c r="DF26" i="6"/>
  <c r="DF25" i="6"/>
  <c r="DF159" i="7"/>
  <c r="DF148" i="7"/>
  <c r="DF131" i="7"/>
  <c r="DF87" i="7"/>
  <c r="DF73" i="7"/>
  <c r="DF79" i="7"/>
  <c r="DF65" i="7"/>
  <c r="DF63" i="7"/>
  <c r="DF64" i="7" s="1"/>
  <c r="DF36" i="7"/>
  <c r="DF26" i="7"/>
  <c r="DF100" i="2" s="1"/>
  <c r="DF25" i="7"/>
  <c r="DF22" i="7"/>
  <c r="DF20" i="7"/>
  <c r="DF18" i="7"/>
  <c r="DF11" i="7"/>
  <c r="DF28" i="7"/>
  <c r="DF50" i="6"/>
  <c r="DF67" i="6"/>
  <c r="DF65" i="6" s="1"/>
  <c r="DF9" i="2"/>
  <c r="DF10" i="2" s="1"/>
  <c r="DF29" i="6"/>
  <c r="DF35" i="6"/>
  <c r="DF63" i="6"/>
  <c r="DF105" i="2" s="1"/>
  <c r="DF58" i="6"/>
  <c r="DF68" i="6"/>
  <c r="DF74" i="7"/>
  <c r="DF31" i="7"/>
  <c r="DF158" i="2" s="1"/>
  <c r="DF37" i="7"/>
  <c r="DF32" i="7"/>
  <c r="DF30" i="6"/>
  <c r="DF159" i="2"/>
  <c r="DS438" i="8"/>
  <c r="DR438" i="8"/>
  <c r="DQ438" i="8"/>
  <c r="DP438" i="8"/>
  <c r="DT437" i="8"/>
  <c r="DS437" i="8"/>
  <c r="DR437" i="8"/>
  <c r="DQ437" i="8"/>
  <c r="DP437" i="8"/>
  <c r="DS434" i="8"/>
  <c r="DR434" i="8"/>
  <c r="DQ434" i="8"/>
  <c r="DP434" i="8"/>
  <c r="DT430" i="8"/>
  <c r="DS423" i="8"/>
  <c r="DR423" i="8"/>
  <c r="DQ423" i="8"/>
  <c r="DP423" i="8"/>
  <c r="DT419" i="8"/>
  <c r="DS412" i="8"/>
  <c r="DR412" i="8"/>
  <c r="DQ412" i="8"/>
  <c r="DP412" i="8"/>
  <c r="DT408" i="8"/>
  <c r="DS401" i="8"/>
  <c r="DR401" i="8"/>
  <c r="DQ401" i="8"/>
  <c r="DP401" i="8"/>
  <c r="DT397" i="8"/>
  <c r="DS390" i="8"/>
  <c r="DR390" i="8"/>
  <c r="DQ390" i="8"/>
  <c r="DP390" i="8"/>
  <c r="DT386" i="8"/>
  <c r="DS379" i="8"/>
  <c r="DR379" i="8"/>
  <c r="DQ379" i="8"/>
  <c r="DP379" i="8"/>
  <c r="DT375" i="8"/>
  <c r="DS368" i="8"/>
  <c r="DR368" i="8"/>
  <c r="DQ368" i="8"/>
  <c r="DP368" i="8"/>
  <c r="DT364" i="8"/>
  <c r="DS357" i="8"/>
  <c r="DR357" i="8"/>
  <c r="DQ357" i="8"/>
  <c r="DP357" i="8"/>
  <c r="DT353" i="8"/>
  <c r="DS346" i="8"/>
  <c r="DR346" i="8"/>
  <c r="DQ346" i="8"/>
  <c r="DP346" i="8"/>
  <c r="DT342" i="8"/>
  <c r="DS335" i="8"/>
  <c r="DR335" i="8"/>
  <c r="DQ335" i="8"/>
  <c r="DP335" i="8"/>
  <c r="DT331" i="8"/>
  <c r="DS324" i="8"/>
  <c r="DR324" i="8"/>
  <c r="DQ324" i="8"/>
  <c r="DP324" i="8"/>
  <c r="DT320" i="8"/>
  <c r="DS313" i="8"/>
  <c r="DR313" i="8"/>
  <c r="DQ313" i="8"/>
  <c r="DP313" i="8"/>
  <c r="DT309" i="8"/>
  <c r="DS302" i="8"/>
  <c r="DR302" i="8"/>
  <c r="DQ302" i="8"/>
  <c r="DP302" i="8"/>
  <c r="DT298" i="8"/>
  <c r="DS291" i="8"/>
  <c r="DR291" i="8"/>
  <c r="DQ291" i="8"/>
  <c r="DP291" i="8"/>
  <c r="DT287" i="8"/>
  <c r="DS280" i="8"/>
  <c r="DR280" i="8"/>
  <c r="DQ280" i="8"/>
  <c r="DP280" i="8"/>
  <c r="DT276" i="8"/>
  <c r="DS269" i="8"/>
  <c r="DR269" i="8"/>
  <c r="DQ269" i="8"/>
  <c r="DP269" i="8"/>
  <c r="DT265" i="8"/>
  <c r="DS258" i="8"/>
  <c r="DR258" i="8"/>
  <c r="DQ258" i="8"/>
  <c r="DP258" i="8"/>
  <c r="DT254" i="8"/>
  <c r="DS247" i="8"/>
  <c r="DR247" i="8"/>
  <c r="DQ247" i="8"/>
  <c r="DP247" i="8"/>
  <c r="DT243" i="8"/>
  <c r="DS236" i="8"/>
  <c r="DR236" i="8"/>
  <c r="DQ236" i="8"/>
  <c r="DP236" i="8"/>
  <c r="DT232" i="8"/>
  <c r="DS225" i="8"/>
  <c r="DR225" i="8"/>
  <c r="DQ225" i="8"/>
  <c r="DP225" i="8"/>
  <c r="DT221" i="8"/>
  <c r="DS214" i="8"/>
  <c r="DR214" i="8"/>
  <c r="DQ214" i="8"/>
  <c r="DP214" i="8"/>
  <c r="DT210" i="8"/>
  <c r="DS203" i="8"/>
  <c r="DR203" i="8"/>
  <c r="DQ203" i="8"/>
  <c r="DP203" i="8"/>
  <c r="DT199" i="8"/>
  <c r="DS192" i="8"/>
  <c r="DR192" i="8"/>
  <c r="DQ192" i="8"/>
  <c r="DP192" i="8"/>
  <c r="DT188" i="8"/>
  <c r="DS181" i="8"/>
  <c r="DR181" i="8"/>
  <c r="DQ181" i="8"/>
  <c r="DP181" i="8"/>
  <c r="DT177" i="8"/>
  <c r="DS170" i="8"/>
  <c r="DR170" i="8"/>
  <c r="DQ170" i="8"/>
  <c r="DP170" i="8"/>
  <c r="DT166" i="8"/>
  <c r="DS159" i="8"/>
  <c r="DR159" i="8"/>
  <c r="DQ159" i="8"/>
  <c r="DP159" i="8"/>
  <c r="DT155" i="8"/>
  <c r="DS148" i="8"/>
  <c r="DR148" i="8"/>
  <c r="DQ148" i="8"/>
  <c r="DP148" i="8"/>
  <c r="DT144" i="8"/>
  <c r="DS137" i="8"/>
  <c r="DR137" i="8"/>
  <c r="DQ137" i="8"/>
  <c r="DP137" i="8"/>
  <c r="DT133" i="8"/>
  <c r="DS126" i="8"/>
  <c r="DR126" i="8"/>
  <c r="DQ126" i="8"/>
  <c r="DP126" i="8"/>
  <c r="DT122" i="8"/>
  <c r="DS115" i="8"/>
  <c r="DR115" i="8"/>
  <c r="DQ115" i="8"/>
  <c r="DP115" i="8"/>
  <c r="DT111" i="8"/>
  <c r="DS104" i="8"/>
  <c r="DR104" i="8"/>
  <c r="DQ104" i="8"/>
  <c r="DP104" i="8"/>
  <c r="DT100" i="8"/>
  <c r="DS93" i="8"/>
  <c r="DR93" i="8"/>
  <c r="DQ93" i="8"/>
  <c r="DP93" i="8"/>
  <c r="DT89" i="8"/>
  <c r="DS82" i="8"/>
  <c r="DR82" i="8"/>
  <c r="DQ82" i="8"/>
  <c r="DP82" i="8"/>
  <c r="DT78" i="8"/>
  <c r="DT6" i="8"/>
  <c r="DS6" i="8"/>
  <c r="DR6" i="8"/>
  <c r="DQ6" i="8"/>
  <c r="DP6" i="8"/>
  <c r="DG196" i="3"/>
  <c r="DH196" i="3"/>
  <c r="DL196" i="3"/>
  <c r="DM196" i="3" s="1"/>
  <c r="DA96" i="6"/>
  <c r="DA82" i="6" s="1"/>
  <c r="AU83" i="9"/>
  <c r="AV83" i="9"/>
  <c r="AT83" i="9"/>
  <c r="AS83" i="9"/>
  <c r="AU65" i="9"/>
  <c r="AV65" i="9"/>
  <c r="DB111" i="7"/>
  <c r="DC111" i="7"/>
  <c r="DD111" i="7"/>
  <c r="DA111" i="7"/>
  <c r="DB110" i="7"/>
  <c r="DC110" i="7"/>
  <c r="DD110" i="7"/>
  <c r="DA110" i="7"/>
  <c r="DD72" i="7"/>
  <c r="DC72" i="7"/>
  <c r="DC79" i="7" s="1"/>
  <c r="DB72" i="7"/>
  <c r="DA72" i="7"/>
  <c r="CY72" i="7"/>
  <c r="CX72" i="7"/>
  <c r="CW72" i="7"/>
  <c r="CV72" i="7"/>
  <c r="CZ72" i="7"/>
  <c r="CT72" i="7"/>
  <c r="CS72" i="7"/>
  <c r="CR72" i="7"/>
  <c r="CQ72" i="7"/>
  <c r="CO72" i="7"/>
  <c r="CN72" i="7"/>
  <c r="CM72" i="7"/>
  <c r="CL72" i="7"/>
  <c r="DD68" i="7"/>
  <c r="DD69" i="7"/>
  <c r="DC68" i="7"/>
  <c r="DC69" i="7" s="1"/>
  <c r="DB68" i="7"/>
  <c r="DB69" i="7"/>
  <c r="DA68" i="7"/>
  <c r="DA69" i="7" s="1"/>
  <c r="CY68" i="7"/>
  <c r="CY69" i="7"/>
  <c r="CX68" i="7"/>
  <c r="CW68" i="7"/>
  <c r="CW69" i="7" s="1"/>
  <c r="CV68" i="7"/>
  <c r="CV69" i="7"/>
  <c r="CT68" i="7"/>
  <c r="CT69" i="7" s="1"/>
  <c r="CS68" i="7"/>
  <c r="CR68" i="7"/>
  <c r="CR69" i="7" s="1"/>
  <c r="CQ68" i="7"/>
  <c r="CQ69" i="7" s="1"/>
  <c r="CO68" i="7"/>
  <c r="CO69" i="7" s="1"/>
  <c r="CN68" i="7"/>
  <c r="CN69" i="7" s="1"/>
  <c r="CM68" i="7"/>
  <c r="CM69" i="7" s="1"/>
  <c r="CL68" i="7"/>
  <c r="CL69" i="7" s="1"/>
  <c r="CJ68" i="7"/>
  <c r="CJ69" i="7" s="1"/>
  <c r="CI68" i="7"/>
  <c r="CI69" i="7" s="1"/>
  <c r="CH68" i="7"/>
  <c r="CH69" i="7" s="1"/>
  <c r="CG68" i="7"/>
  <c r="CK68" i="7" s="1"/>
  <c r="AX65" i="5"/>
  <c r="AX79" i="5" s="1"/>
  <c r="AW65" i="5"/>
  <c r="AW79" i="5" s="1"/>
  <c r="AX19" i="5"/>
  <c r="AW19" i="5"/>
  <c r="DS322" i="3"/>
  <c r="DR322" i="3"/>
  <c r="DQ322" i="3"/>
  <c r="DP322" i="3"/>
  <c r="DS321" i="3"/>
  <c r="DR321" i="3"/>
  <c r="DQ321" i="3"/>
  <c r="DP321" i="3"/>
  <c r="DS318" i="3"/>
  <c r="DR318" i="3"/>
  <c r="DQ318" i="3"/>
  <c r="DP318" i="3"/>
  <c r="DS317" i="3"/>
  <c r="DR317" i="3"/>
  <c r="DQ317" i="3"/>
  <c r="DP317" i="3"/>
  <c r="DS316" i="3"/>
  <c r="DS319" i="3"/>
  <c r="DR316" i="3"/>
  <c r="DR319" i="3"/>
  <c r="DR323" i="3" s="1"/>
  <c r="DQ316" i="3"/>
  <c r="DQ319" i="3"/>
  <c r="DP316" i="3"/>
  <c r="DT271" i="3"/>
  <c r="DT256" i="3"/>
  <c r="DS256" i="3"/>
  <c r="DS271" i="3" s="1"/>
  <c r="DR256" i="3"/>
  <c r="DR271" i="3" s="1"/>
  <c r="DQ256" i="3"/>
  <c r="DQ271" i="3"/>
  <c r="DP256" i="3"/>
  <c r="DP271" i="3" s="1"/>
  <c r="DT197" i="3"/>
  <c r="DT60" i="3"/>
  <c r="DS59" i="3"/>
  <c r="DR59" i="3"/>
  <c r="DQ59" i="3"/>
  <c r="DP59" i="3"/>
  <c r="DT57" i="3"/>
  <c r="DT56" i="3"/>
  <c r="DS56" i="3"/>
  <c r="DR56" i="3"/>
  <c r="DQ56" i="3"/>
  <c r="DP56" i="3"/>
  <c r="DS53" i="3"/>
  <c r="DR53" i="3"/>
  <c r="DQ53" i="3"/>
  <c r="DP53" i="3"/>
  <c r="DT52" i="3"/>
  <c r="DT51" i="3"/>
  <c r="DS49" i="3"/>
  <c r="DR49" i="3"/>
  <c r="DQ49" i="3"/>
  <c r="DP49" i="3"/>
  <c r="DS48" i="3"/>
  <c r="DS50" i="3" s="1"/>
  <c r="DR48" i="3"/>
  <c r="DR50" i="3" s="1"/>
  <c r="DQ48" i="3"/>
  <c r="DP48" i="3"/>
  <c r="DT47" i="3"/>
  <c r="DT44" i="3"/>
  <c r="DT43" i="3"/>
  <c r="DT42" i="3"/>
  <c r="DT41" i="3"/>
  <c r="DT40" i="3"/>
  <c r="DT39" i="3"/>
  <c r="DT23" i="3"/>
  <c r="DT22" i="3"/>
  <c r="DT18" i="3"/>
  <c r="DT17" i="3"/>
  <c r="DT16" i="3"/>
  <c r="DT15" i="3"/>
  <c r="DT6" i="3"/>
  <c r="DT135" i="3" s="1"/>
  <c r="DS6" i="3"/>
  <c r="DS135" i="3" s="1"/>
  <c r="DR6" i="3"/>
  <c r="DR135" i="3" s="1"/>
  <c r="DQ6" i="3"/>
  <c r="DQ135" i="3" s="1"/>
  <c r="DP6" i="3"/>
  <c r="DP135" i="3" s="1"/>
  <c r="DT4" i="3"/>
  <c r="BF280" i="9"/>
  <c r="BE280" i="9"/>
  <c r="BD280" i="9"/>
  <c r="BC280" i="9"/>
  <c r="BF279" i="9"/>
  <c r="BF281" i="9"/>
  <c r="BE279" i="9"/>
  <c r="BE281" i="9"/>
  <c r="BD279" i="9"/>
  <c r="BD281" i="9"/>
  <c r="BC279" i="9"/>
  <c r="BC281" i="9"/>
  <c r="BF262" i="9"/>
  <c r="BE262" i="9"/>
  <c r="BD262" i="9"/>
  <c r="BC262" i="9"/>
  <c r="BF261" i="9"/>
  <c r="BE261" i="9"/>
  <c r="BD261" i="9"/>
  <c r="BC261" i="9"/>
  <c r="BF243" i="9"/>
  <c r="BE243" i="9"/>
  <c r="BD243" i="9"/>
  <c r="BC243" i="9"/>
  <c r="BF242" i="9"/>
  <c r="BE242" i="9"/>
  <c r="BD242" i="9"/>
  <c r="BC242" i="9"/>
  <c r="BE207" i="9"/>
  <c r="BD207" i="9"/>
  <c r="BF204" i="9"/>
  <c r="BE204" i="9"/>
  <c r="BD204" i="9"/>
  <c r="BC204" i="9"/>
  <c r="BD171" i="9"/>
  <c r="BF168" i="9"/>
  <c r="BE168" i="9"/>
  <c r="BD168" i="9"/>
  <c r="BC168" i="9"/>
  <c r="BF159" i="9"/>
  <c r="BE159" i="9"/>
  <c r="BD159" i="9"/>
  <c r="BC159" i="9"/>
  <c r="BF158" i="9"/>
  <c r="BE158" i="9"/>
  <c r="BD158" i="9"/>
  <c r="BC158" i="9"/>
  <c r="BG121" i="9"/>
  <c r="BG118" i="9"/>
  <c r="BG117" i="9"/>
  <c r="BG114" i="9"/>
  <c r="BG113" i="9"/>
  <c r="BG109" i="9"/>
  <c r="BG108" i="9"/>
  <c r="BF103" i="9"/>
  <c r="BE103" i="9"/>
  <c r="BD103" i="9"/>
  <c r="BC103" i="9"/>
  <c r="BF95" i="9"/>
  <c r="BE95" i="9"/>
  <c r="BD95" i="9"/>
  <c r="BC95" i="9"/>
  <c r="BF92" i="9"/>
  <c r="BE92" i="9"/>
  <c r="BD92" i="9"/>
  <c r="BC92" i="9"/>
  <c r="BF90" i="9"/>
  <c r="BE90" i="9"/>
  <c r="BD90" i="9"/>
  <c r="BC90" i="9"/>
  <c r="BF69" i="9"/>
  <c r="BE69" i="9"/>
  <c r="BD69" i="9"/>
  <c r="BC69" i="9"/>
  <c r="BF62" i="9"/>
  <c r="BE62" i="9"/>
  <c r="BD62" i="9"/>
  <c r="BC62" i="9"/>
  <c r="BF61" i="9"/>
  <c r="BE61" i="9"/>
  <c r="BD61" i="9"/>
  <c r="BC61" i="9"/>
  <c r="BF56" i="9"/>
  <c r="BE56" i="9"/>
  <c r="BD56" i="9"/>
  <c r="BC56" i="9"/>
  <c r="BG21" i="9"/>
  <c r="BG19" i="9"/>
  <c r="BG18" i="9"/>
  <c r="BG17" i="9"/>
  <c r="BG14" i="9"/>
  <c r="BG13" i="9"/>
  <c r="BG10" i="9"/>
  <c r="BF10" i="9"/>
  <c r="BE10" i="9"/>
  <c r="BD10" i="9"/>
  <c r="DQ138" i="7" s="1"/>
  <c r="BC10" i="9"/>
  <c r="DP138" i="7" s="1"/>
  <c r="BG8" i="9"/>
  <c r="BF8" i="9"/>
  <c r="DS58" i="7" s="1"/>
  <c r="DS136" i="7" s="1"/>
  <c r="BE8" i="9"/>
  <c r="DR58" i="7" s="1"/>
  <c r="DR136" i="7" s="1"/>
  <c r="BD8" i="9"/>
  <c r="DQ58" i="7" s="1"/>
  <c r="DQ136" i="7" s="1"/>
  <c r="BC8" i="9"/>
  <c r="DP58" i="7" s="1"/>
  <c r="DP136" i="7" s="1"/>
  <c r="BG6" i="9"/>
  <c r="DS194" i="7"/>
  <c r="DR194" i="7"/>
  <c r="DQ194" i="7"/>
  <c r="DP194" i="7"/>
  <c r="DT192" i="7"/>
  <c r="DT194" i="7" s="1"/>
  <c r="DS147" i="7"/>
  <c r="DS138" i="7"/>
  <c r="DR138" i="7"/>
  <c r="DT52" i="7"/>
  <c r="DS49" i="7"/>
  <c r="DR49" i="7"/>
  <c r="DQ49" i="7"/>
  <c r="DP49" i="7"/>
  <c r="DT48" i="7"/>
  <c r="DT47" i="7"/>
  <c r="DT6" i="7"/>
  <c r="DS6" i="7"/>
  <c r="DR6" i="7"/>
  <c r="DQ6" i="7"/>
  <c r="DP6" i="7"/>
  <c r="DP5" i="7"/>
  <c r="DT174" i="6"/>
  <c r="DT163" i="6"/>
  <c r="DS43" i="6"/>
  <c r="DR43" i="6"/>
  <c r="DQ43" i="6"/>
  <c r="DP43" i="6"/>
  <c r="DT6" i="6"/>
  <c r="DS6" i="6"/>
  <c r="DR6" i="6"/>
  <c r="DQ6" i="6"/>
  <c r="DP6" i="6"/>
  <c r="DP5" i="6"/>
  <c r="DD322" i="3"/>
  <c r="DD321" i="3"/>
  <c r="DD317" i="3"/>
  <c r="DD316" i="3"/>
  <c r="DD305" i="3"/>
  <c r="DD278" i="3"/>
  <c r="DD279" i="3" s="1"/>
  <c r="DD284" i="3" s="1"/>
  <c r="DD270" i="3"/>
  <c r="DD262" i="3"/>
  <c r="DD263" i="3" s="1"/>
  <c r="DD282" i="3" s="1"/>
  <c r="DD255" i="3"/>
  <c r="DD192" i="3"/>
  <c r="DD216" i="3"/>
  <c r="DD185" i="3"/>
  <c r="DD178" i="3"/>
  <c r="DD160" i="3"/>
  <c r="DD143" i="3"/>
  <c r="DD290" i="3"/>
  <c r="DD132" i="2"/>
  <c r="DD130" i="2"/>
  <c r="DD129" i="2"/>
  <c r="DD135" i="2" s="1"/>
  <c r="DD126" i="2"/>
  <c r="DD110" i="2"/>
  <c r="DD94" i="2"/>
  <c r="DI97" i="2" s="1"/>
  <c r="DD89" i="2"/>
  <c r="DI92" i="2" s="1"/>
  <c r="DD316" i="6"/>
  <c r="DD315" i="6"/>
  <c r="DD313" i="6"/>
  <c r="DD312" i="6"/>
  <c r="DD310" i="6"/>
  <c r="DD309" i="6"/>
  <c r="DD295" i="6"/>
  <c r="DD256" i="6"/>
  <c r="DD242" i="6"/>
  <c r="DD243" i="6" s="1"/>
  <c r="DD99" i="6"/>
  <c r="DD96" i="6"/>
  <c r="DD93" i="6"/>
  <c r="DD91" i="6"/>
  <c r="DD89" i="6"/>
  <c r="DD88" i="6"/>
  <c r="DD80" i="6"/>
  <c r="DD78" i="6"/>
  <c r="DD77" i="6"/>
  <c r="DD60" i="6"/>
  <c r="DD55" i="6"/>
  <c r="DD51" i="6"/>
  <c r="DD48" i="6"/>
  <c r="DD47" i="6"/>
  <c r="DD44" i="6"/>
  <c r="DD42" i="6"/>
  <c r="DD41" i="6"/>
  <c r="DD34" i="6"/>
  <c r="DD50" i="6"/>
  <c r="DD26" i="6"/>
  <c r="DD27" i="6" s="1"/>
  <c r="DD25" i="6"/>
  <c r="DD20" i="6"/>
  <c r="DD17" i="6"/>
  <c r="DD189" i="3"/>
  <c r="DD190" i="3" s="1"/>
  <c r="DS190" i="3"/>
  <c r="DD15" i="6"/>
  <c r="DD258" i="6"/>
  <c r="DD247" i="6"/>
  <c r="DD248" i="6"/>
  <c r="DD257" i="6"/>
  <c r="DD165" i="3"/>
  <c r="DD240" i="3"/>
  <c r="DD35" i="6"/>
  <c r="DD67" i="6"/>
  <c r="DD61" i="6"/>
  <c r="DD29" i="6"/>
  <c r="CT14" i="7"/>
  <c r="CR14" i="7"/>
  <c r="CQ14" i="7"/>
  <c r="CY14" i="7"/>
  <c r="DD14" i="7"/>
  <c r="DD159" i="7"/>
  <c r="DD155" i="7"/>
  <c r="DD148" i="7"/>
  <c r="DD87" i="7"/>
  <c r="DD86" i="7"/>
  <c r="DD65" i="7"/>
  <c r="DD63" i="7"/>
  <c r="DD64" i="7" s="1"/>
  <c r="DD49" i="7"/>
  <c r="DD36" i="7"/>
  <c r="DD26" i="7"/>
  <c r="DD25" i="7"/>
  <c r="DD22" i="7"/>
  <c r="DD20" i="7"/>
  <c r="DD18" i="7"/>
  <c r="DD256" i="3" s="1"/>
  <c r="DD257" i="3" s="1"/>
  <c r="DD11" i="7"/>
  <c r="DD10" i="7"/>
  <c r="DD30" i="6"/>
  <c r="DD297" i="6"/>
  <c r="DD63" i="6"/>
  <c r="DD105" i="2"/>
  <c r="DD79" i="7"/>
  <c r="DD73" i="7"/>
  <c r="DD74" i="7" s="1"/>
  <c r="DD31" i="7"/>
  <c r="DD32" i="7" s="1"/>
  <c r="DD60" i="2"/>
  <c r="DD51" i="2"/>
  <c r="DD45" i="2"/>
  <c r="DD38" i="2"/>
  <c r="DD14" i="2"/>
  <c r="AQ65" i="9"/>
  <c r="DB79" i="7"/>
  <c r="DE67" i="7"/>
  <c r="CZ67" i="7"/>
  <c r="CU67" i="7"/>
  <c r="CP67" i="7"/>
  <c r="CK67" i="7"/>
  <c r="AT65" i="9"/>
  <c r="AV66" i="9"/>
  <c r="AU66" i="9"/>
  <c r="AT66" i="9"/>
  <c r="AS65" i="9"/>
  <c r="AS90" i="9"/>
  <c r="AT90" i="9"/>
  <c r="AU90" i="9"/>
  <c r="AV90" i="9"/>
  <c r="AX90" i="9"/>
  <c r="AY90" i="9"/>
  <c r="AZ90" i="9"/>
  <c r="BA90" i="9"/>
  <c r="AV65" i="5"/>
  <c r="AV79" i="5" s="1"/>
  <c r="AU65" i="5"/>
  <c r="AU79" i="5" s="1"/>
  <c r="AU63" i="5"/>
  <c r="AV19" i="5"/>
  <c r="AU19" i="5"/>
  <c r="A5" i="1"/>
  <c r="AV99" i="9"/>
  <c r="AU99" i="9"/>
  <c r="AT99" i="9"/>
  <c r="AS99" i="9"/>
  <c r="AT203" i="9"/>
  <c r="AU203" i="9"/>
  <c r="AV203" i="9"/>
  <c r="AS203" i="9"/>
  <c r="DC197" i="3"/>
  <c r="DD197" i="3"/>
  <c r="BA158" i="9"/>
  <c r="AZ158" i="9"/>
  <c r="AY158" i="9"/>
  <c r="AX158" i="9"/>
  <c r="AV163" i="9"/>
  <c r="AU163" i="9"/>
  <c r="AS163" i="9"/>
  <c r="AV61" i="9"/>
  <c r="AU61" i="9"/>
  <c r="AT61" i="9"/>
  <c r="AS61" i="9"/>
  <c r="AY167" i="9"/>
  <c r="BF181" i="9"/>
  <c r="BF163" i="9" s="1"/>
  <c r="BE181" i="9"/>
  <c r="BD181" i="9"/>
  <c r="BC181" i="9"/>
  <c r="AU158" i="9"/>
  <c r="AV158" i="9"/>
  <c r="AS158" i="9"/>
  <c r="AV159" i="9"/>
  <c r="AU159" i="9"/>
  <c r="AT159" i="9"/>
  <c r="AS159" i="9"/>
  <c r="BF185" i="9"/>
  <c r="BA203" i="9"/>
  <c r="BA167" i="9"/>
  <c r="BA65" i="9"/>
  <c r="AT18" i="5"/>
  <c r="AT65" i="5"/>
  <c r="AT79" i="5" s="1"/>
  <c r="AS65" i="5"/>
  <c r="AS79" i="5" s="1"/>
  <c r="AS63" i="5"/>
  <c r="AT19" i="5"/>
  <c r="AS19" i="5"/>
  <c r="EA140" i="3"/>
  <c r="EA139" i="3"/>
  <c r="EA138" i="3"/>
  <c r="DC322" i="3"/>
  <c r="DC321" i="3"/>
  <c r="DC317" i="3"/>
  <c r="DC316" i="3"/>
  <c r="DC305" i="3"/>
  <c r="DC278" i="3"/>
  <c r="DC279" i="3" s="1"/>
  <c r="DC284" i="3" s="1"/>
  <c r="DC270" i="3"/>
  <c r="DC262" i="3"/>
  <c r="DC263" i="3" s="1"/>
  <c r="DC282" i="3" s="1"/>
  <c r="DC255" i="3"/>
  <c r="DC192" i="3"/>
  <c r="DC216" i="3"/>
  <c r="DC185" i="3"/>
  <c r="DC186" i="3" s="1"/>
  <c r="DC178" i="3"/>
  <c r="DC160" i="3"/>
  <c r="DC143" i="3"/>
  <c r="DC132" i="2"/>
  <c r="DC130" i="2"/>
  <c r="DC129" i="2"/>
  <c r="DC110" i="2"/>
  <c r="DC94" i="2"/>
  <c r="DC89" i="2"/>
  <c r="DH92" i="2" s="1"/>
  <c r="DC60" i="2"/>
  <c r="DC51" i="2"/>
  <c r="DC45" i="2"/>
  <c r="DC38" i="2" s="1"/>
  <c r="DC39" i="2"/>
  <c r="DC14" i="2"/>
  <c r="DC8" i="2"/>
  <c r="DC170" i="7"/>
  <c r="DC169" i="7"/>
  <c r="DC155" i="7"/>
  <c r="DC148" i="7"/>
  <c r="DC87" i="7"/>
  <c r="DC86" i="7"/>
  <c r="DC65" i="7"/>
  <c r="DC63" i="7"/>
  <c r="DC64" i="7" s="1"/>
  <c r="DC49" i="7"/>
  <c r="DC36" i="7"/>
  <c r="DC26" i="7"/>
  <c r="DC25" i="7"/>
  <c r="DC22" i="7"/>
  <c r="DH23" i="7" s="1"/>
  <c r="DC20" i="7"/>
  <c r="DC18" i="7"/>
  <c r="DC256" i="3" s="1"/>
  <c r="DC271" i="3" s="1"/>
  <c r="DC12" i="7"/>
  <c r="DC11" i="7"/>
  <c r="DC10" i="7"/>
  <c r="DC316" i="6"/>
  <c r="DC315" i="6"/>
  <c r="DC313" i="6"/>
  <c r="DC312" i="6"/>
  <c r="DC310" i="6"/>
  <c r="DC309" i="6"/>
  <c r="DC295" i="6"/>
  <c r="DC256" i="6"/>
  <c r="DH301" i="6" s="1"/>
  <c r="DC242" i="6"/>
  <c r="DC221" i="6"/>
  <c r="DC179" i="6"/>
  <c r="DC99" i="6"/>
  <c r="DC96" i="6"/>
  <c r="DC93" i="6"/>
  <c r="DH94" i="6" s="1"/>
  <c r="DC91" i="6"/>
  <c r="DC89" i="6"/>
  <c r="DC88" i="6"/>
  <c r="DC80" i="6"/>
  <c r="DC78" i="6"/>
  <c r="DC77" i="6"/>
  <c r="DC60" i="6"/>
  <c r="DC223" i="6"/>
  <c r="DC55" i="6"/>
  <c r="DH56" i="6" s="1"/>
  <c r="DC51" i="6"/>
  <c r="DC48" i="6"/>
  <c r="DC47" i="6"/>
  <c r="DC44" i="6"/>
  <c r="DC42" i="6"/>
  <c r="DH43" i="6" s="1"/>
  <c r="DC34" i="6"/>
  <c r="DC26" i="6"/>
  <c r="DC25" i="6"/>
  <c r="DC20" i="6"/>
  <c r="DC222" i="6" s="1"/>
  <c r="DC17" i="6"/>
  <c r="DC189" i="3" s="1"/>
  <c r="DC190" i="3" s="1"/>
  <c r="DR190" i="3"/>
  <c r="DC15" i="6"/>
  <c r="DC50" i="6"/>
  <c r="DC9" i="2"/>
  <c r="DC165" i="3"/>
  <c r="DC179" i="3"/>
  <c r="DC73" i="7"/>
  <c r="DC74" i="7"/>
  <c r="DC58" i="6"/>
  <c r="DC35" i="6"/>
  <c r="DH37" i="6" s="1"/>
  <c r="DC67" i="6"/>
  <c r="DC68" i="6" s="1"/>
  <c r="DC29" i="6"/>
  <c r="DC61" i="6"/>
  <c r="DC224" i="6" s="1"/>
  <c r="DC65" i="6"/>
  <c r="DC63" i="6"/>
  <c r="DC105" i="2" s="1"/>
  <c r="AQ167" i="9"/>
  <c r="DB322" i="3"/>
  <c r="DB321" i="3"/>
  <c r="DB317" i="3"/>
  <c r="DB316" i="3"/>
  <c r="DB305" i="3"/>
  <c r="DB302" i="3"/>
  <c r="DB270" i="3"/>
  <c r="DB255" i="3"/>
  <c r="DB185" i="3"/>
  <c r="DB187" i="3" s="1"/>
  <c r="DB188" i="3" s="1"/>
  <c r="DB178" i="3"/>
  <c r="DB160" i="3"/>
  <c r="DB143" i="3"/>
  <c r="DB132" i="2"/>
  <c r="DB130" i="2"/>
  <c r="DB129" i="2"/>
  <c r="DB126" i="2"/>
  <c r="DB110" i="2"/>
  <c r="DB94" i="2"/>
  <c r="DB89" i="2"/>
  <c r="DB26" i="2"/>
  <c r="DB60" i="2"/>
  <c r="DB51" i="2"/>
  <c r="DB45" i="2"/>
  <c r="DB38" i="2" s="1"/>
  <c r="DB39" i="2"/>
  <c r="DB14" i="2"/>
  <c r="DB8" i="2"/>
  <c r="DB170" i="7"/>
  <c r="DB169" i="7"/>
  <c r="DB155" i="7"/>
  <c r="DB148" i="7"/>
  <c r="DB87" i="7"/>
  <c r="DB86" i="7"/>
  <c r="DB73" i="7"/>
  <c r="DB65" i="7"/>
  <c r="DB63" i="7"/>
  <c r="DB64" i="7" s="1"/>
  <c r="DB49" i="7"/>
  <c r="DB36" i="7"/>
  <c r="DB26" i="7"/>
  <c r="DG27" i="7" s="1"/>
  <c r="DB25" i="7"/>
  <c r="DB22" i="7"/>
  <c r="DB20" i="7"/>
  <c r="DB18" i="7"/>
  <c r="DB256" i="3" s="1"/>
  <c r="DB271" i="3" s="1"/>
  <c r="DB11" i="7"/>
  <c r="DB316" i="6"/>
  <c r="DB315" i="6"/>
  <c r="DB313" i="6"/>
  <c r="DB312" i="6"/>
  <c r="DB309" i="6"/>
  <c r="DB295" i="6"/>
  <c r="DB256" i="6"/>
  <c r="DB242" i="6"/>
  <c r="DB243" i="6" s="1"/>
  <c r="DB221" i="6"/>
  <c r="DA221" i="6"/>
  <c r="DB99" i="6"/>
  <c r="DB96" i="6"/>
  <c r="DB82" i="6" s="1"/>
  <c r="DB93" i="6"/>
  <c r="DB91" i="6"/>
  <c r="DB89" i="6"/>
  <c r="DB88" i="6"/>
  <c r="DB80" i="6"/>
  <c r="DB60" i="6"/>
  <c r="DB55" i="6"/>
  <c r="DB9" i="2" s="1"/>
  <c r="DB51" i="6"/>
  <c r="DB48" i="6"/>
  <c r="DB47" i="6"/>
  <c r="DB44" i="6"/>
  <c r="DB42" i="6"/>
  <c r="DB34" i="6"/>
  <c r="DG36" i="6" s="1"/>
  <c r="DB26" i="6"/>
  <c r="DB247" i="6" s="1"/>
  <c r="DB248" i="6" s="1"/>
  <c r="DB25" i="6"/>
  <c r="DB20" i="6"/>
  <c r="DB222" i="6" s="1"/>
  <c r="DB17" i="6"/>
  <c r="DB189" i="3" s="1"/>
  <c r="DB190" i="3" s="1"/>
  <c r="DQ190" i="3"/>
  <c r="DB15" i="6"/>
  <c r="DB74" i="7"/>
  <c r="DB37" i="7"/>
  <c r="DB58" i="6"/>
  <c r="DB50" i="6"/>
  <c r="AR28" i="5"/>
  <c r="AR19" i="5"/>
  <c r="AR65" i="5"/>
  <c r="AR79" i="5" s="1"/>
  <c r="AQ65" i="5"/>
  <c r="AQ79" i="5" s="1"/>
  <c r="AQ63" i="5"/>
  <c r="AQ19" i="5"/>
  <c r="AV96" i="9"/>
  <c r="AU96" i="9"/>
  <c r="AT96" i="9"/>
  <c r="AS96" i="9"/>
  <c r="AU207" i="9"/>
  <c r="AT207" i="9"/>
  <c r="AS207" i="9"/>
  <c r="AV195" i="9"/>
  <c r="AU195" i="9"/>
  <c r="AS195" i="9"/>
  <c r="AV194" i="9"/>
  <c r="AU194" i="9"/>
  <c r="AT194" i="9"/>
  <c r="AS194" i="9"/>
  <c r="AX164" i="9"/>
  <c r="AP65" i="9"/>
  <c r="AO65" i="9"/>
  <c r="AN65" i="9"/>
  <c r="AU67" i="9"/>
  <c r="AQ67" i="9"/>
  <c r="AP67" i="9"/>
  <c r="AO67" i="9"/>
  <c r="AQ66" i="9"/>
  <c r="AP66" i="9"/>
  <c r="AO66" i="9"/>
  <c r="AN67" i="9"/>
  <c r="AN66" i="9"/>
  <c r="BA62" i="9"/>
  <c r="AZ62" i="9"/>
  <c r="AY62" i="9"/>
  <c r="AV62" i="9"/>
  <c r="AU62" i="9"/>
  <c r="AT62" i="9"/>
  <c r="AS62" i="9"/>
  <c r="AQ62" i="9"/>
  <c r="AP62" i="9"/>
  <c r="AO62" i="9"/>
  <c r="AN62" i="9"/>
  <c r="BA61" i="9"/>
  <c r="BA56" i="9"/>
  <c r="AZ61" i="9"/>
  <c r="AZ56" i="9"/>
  <c r="AY61" i="9"/>
  <c r="AY56" i="9"/>
  <c r="AX61" i="9"/>
  <c r="AX56" i="9" s="1"/>
  <c r="AQ61" i="9"/>
  <c r="AP61" i="9"/>
  <c r="AO61" i="9"/>
  <c r="AN61" i="9"/>
  <c r="AT199" i="9"/>
  <c r="AS199" i="9"/>
  <c r="AQ199" i="9"/>
  <c r="AP199" i="9"/>
  <c r="AO199" i="9"/>
  <c r="AN199" i="9"/>
  <c r="AQ207" i="9"/>
  <c r="AP207" i="9"/>
  <c r="AO207" i="9"/>
  <c r="AN207" i="9"/>
  <c r="AQ203" i="9"/>
  <c r="AP203" i="9"/>
  <c r="AO203" i="9"/>
  <c r="AN203" i="9"/>
  <c r="AY99" i="9"/>
  <c r="AQ99" i="9"/>
  <c r="AP99" i="9"/>
  <c r="AO99" i="9"/>
  <c r="AN99" i="9"/>
  <c r="AQ96" i="9"/>
  <c r="AP96" i="9"/>
  <c r="AO96" i="9"/>
  <c r="AN96" i="9"/>
  <c r="BA95" i="9"/>
  <c r="AZ95" i="9"/>
  <c r="AY95" i="9"/>
  <c r="AX95" i="9"/>
  <c r="AV95" i="9"/>
  <c r="AU95" i="9"/>
  <c r="AT95" i="9"/>
  <c r="AS95" i="9"/>
  <c r="AQ95" i="9"/>
  <c r="AP95" i="9"/>
  <c r="AO95" i="9"/>
  <c r="AN95" i="9"/>
  <c r="AS66" i="9"/>
  <c r="DA185" i="3"/>
  <c r="DA187" i="3" s="1"/>
  <c r="DA188" i="3" s="1"/>
  <c r="DA196" i="3"/>
  <c r="AU199" i="9"/>
  <c r="AV67" i="9"/>
  <c r="AZ101" i="9"/>
  <c r="AT67" i="9"/>
  <c r="AS84" i="9"/>
  <c r="AS101" i="9"/>
  <c r="CY52" i="6"/>
  <c r="CX52" i="6"/>
  <c r="CW52" i="6"/>
  <c r="CV52" i="6"/>
  <c r="DA256" i="6"/>
  <c r="CV130" i="2"/>
  <c r="CV129" i="2"/>
  <c r="CW130" i="2"/>
  <c r="CW136" i="2" s="1"/>
  <c r="CW129" i="2"/>
  <c r="CX130" i="2"/>
  <c r="CX129" i="2"/>
  <c r="CY130" i="2"/>
  <c r="CY136" i="2" s="1"/>
  <c r="CY129" i="2"/>
  <c r="DA129" i="2"/>
  <c r="DA130" i="2"/>
  <c r="DA12" i="6"/>
  <c r="CQ15" i="7"/>
  <c r="CV14" i="7"/>
  <c r="CR15" i="7"/>
  <c r="AP65" i="5"/>
  <c r="AP79" i="5" s="1"/>
  <c r="AO65" i="5"/>
  <c r="AO79" i="5" s="1"/>
  <c r="AO63" i="5"/>
  <c r="AP19" i="5"/>
  <c r="AO19" i="5"/>
  <c r="DA178" i="3"/>
  <c r="DA160" i="3"/>
  <c r="DA165" i="3"/>
  <c r="DA179" i="3"/>
  <c r="DA143" i="3"/>
  <c r="DA152" i="3"/>
  <c r="DA252" i="3"/>
  <c r="DA132" i="2"/>
  <c r="DA126" i="2"/>
  <c r="DA110" i="2"/>
  <c r="DE110" i="2" s="1"/>
  <c r="DA94" i="2"/>
  <c r="DA89" i="2"/>
  <c r="DA92" i="2" s="1"/>
  <c r="DA60" i="2"/>
  <c r="DA26" i="2"/>
  <c r="DA51" i="2"/>
  <c r="DA45" i="2"/>
  <c r="DA39" i="2"/>
  <c r="DA14" i="2"/>
  <c r="DE14" i="2"/>
  <c r="DA8" i="2"/>
  <c r="DA315" i="6"/>
  <c r="DA312" i="6"/>
  <c r="DA310" i="6"/>
  <c r="DA309" i="6"/>
  <c r="DA99" i="6"/>
  <c r="DA93" i="6"/>
  <c r="DA91" i="6"/>
  <c r="DA89" i="6"/>
  <c r="DE89" i="6"/>
  <c r="DA88" i="6"/>
  <c r="DA80" i="6"/>
  <c r="DA78" i="6"/>
  <c r="DE78" i="6" s="1"/>
  <c r="DA77" i="6"/>
  <c r="DE77" i="6" s="1"/>
  <c r="DE79" i="6" s="1"/>
  <c r="DA60" i="6"/>
  <c r="DA223" i="6"/>
  <c r="DA55" i="6"/>
  <c r="DA9" i="2" s="1"/>
  <c r="DF56" i="6"/>
  <c r="DA51" i="6"/>
  <c r="DA48" i="6"/>
  <c r="DA47" i="6"/>
  <c r="DA44" i="6"/>
  <c r="DA42" i="6"/>
  <c r="DA41" i="6"/>
  <c r="DA34" i="6"/>
  <c r="DA26" i="6"/>
  <c r="DA25" i="6"/>
  <c r="DA20" i="6"/>
  <c r="DA222" i="6" s="1"/>
  <c r="DA17" i="6"/>
  <c r="DA189" i="3" s="1"/>
  <c r="DA190" i="3" s="1"/>
  <c r="DA15" i="6"/>
  <c r="DA58" i="6"/>
  <c r="DA35" i="6"/>
  <c r="DF37" i="6" s="1"/>
  <c r="DA29" i="6"/>
  <c r="DA50" i="6"/>
  <c r="DA170" i="7"/>
  <c r="DA169" i="7"/>
  <c r="DA155" i="7"/>
  <c r="DA148" i="7"/>
  <c r="DA87" i="7"/>
  <c r="DA65" i="7"/>
  <c r="DA63" i="7"/>
  <c r="DA64" i="7"/>
  <c r="DA73" i="7"/>
  <c r="DA49" i="7"/>
  <c r="DA36" i="7"/>
  <c r="DA31" i="7"/>
  <c r="DA32" i="7" s="1"/>
  <c r="DA26" i="7"/>
  <c r="DA25" i="7"/>
  <c r="DA22" i="7"/>
  <c r="DA20" i="7"/>
  <c r="DA18" i="7"/>
  <c r="DA11" i="7"/>
  <c r="DA28" i="7"/>
  <c r="DA100" i="2"/>
  <c r="DA158" i="2"/>
  <c r="DA37" i="7"/>
  <c r="DA74" i="7"/>
  <c r="N327" i="3"/>
  <c r="S327" i="3"/>
  <c r="J327" i="3"/>
  <c r="H327" i="3"/>
  <c r="G327" i="3"/>
  <c r="F327" i="3"/>
  <c r="E327" i="3"/>
  <c r="DN322" i="3"/>
  <c r="DM322" i="3"/>
  <c r="DL322" i="3"/>
  <c r="DK322" i="3"/>
  <c r="DI322" i="3"/>
  <c r="DH322" i="3"/>
  <c r="DG322" i="3"/>
  <c r="DA322" i="3"/>
  <c r="CY322" i="3"/>
  <c r="CX322" i="3"/>
  <c r="CW322" i="3"/>
  <c r="CV322" i="3"/>
  <c r="CT322" i="3"/>
  <c r="CS322" i="3"/>
  <c r="CR322" i="3"/>
  <c r="CQ322" i="3"/>
  <c r="CO322" i="3"/>
  <c r="CN322" i="3"/>
  <c r="CM322" i="3"/>
  <c r="CL322" i="3"/>
  <c r="CJ322" i="3"/>
  <c r="CI322" i="3"/>
  <c r="CH322" i="3"/>
  <c r="CG322" i="3"/>
  <c r="CE322" i="3"/>
  <c r="CD322" i="3"/>
  <c r="CC322" i="3"/>
  <c r="CB322" i="3"/>
  <c r="BZ322" i="3"/>
  <c r="BY322" i="3"/>
  <c r="BX322" i="3"/>
  <c r="BW322" i="3"/>
  <c r="BV322" i="3"/>
  <c r="BT322" i="3"/>
  <c r="BS322" i="3"/>
  <c r="BR322" i="3"/>
  <c r="BQ322" i="3"/>
  <c r="BO322" i="3"/>
  <c r="BN322" i="3"/>
  <c r="BM322" i="3"/>
  <c r="BL322" i="3"/>
  <c r="DN321" i="3"/>
  <c r="DM321" i="3"/>
  <c r="DL321" i="3"/>
  <c r="DK321" i="3"/>
  <c r="DI321" i="3"/>
  <c r="DH321" i="3"/>
  <c r="DG321" i="3"/>
  <c r="DA321" i="3"/>
  <c r="CY321" i="3"/>
  <c r="CX321" i="3"/>
  <c r="CW321" i="3"/>
  <c r="CV321" i="3"/>
  <c r="CT321" i="3"/>
  <c r="CS321" i="3"/>
  <c r="CR321" i="3"/>
  <c r="CQ321" i="3"/>
  <c r="CO321" i="3"/>
  <c r="CN321" i="3"/>
  <c r="CM321" i="3"/>
  <c r="CL321" i="3"/>
  <c r="CJ321" i="3"/>
  <c r="CI321" i="3"/>
  <c r="CH321" i="3"/>
  <c r="CG321" i="3"/>
  <c r="CE321" i="3"/>
  <c r="CD321" i="3"/>
  <c r="CC321" i="3"/>
  <c r="CB321" i="3"/>
  <c r="BZ321" i="3"/>
  <c r="BY321" i="3"/>
  <c r="BX321" i="3"/>
  <c r="BW321" i="3"/>
  <c r="BV321" i="3"/>
  <c r="BT321" i="3"/>
  <c r="BS321" i="3"/>
  <c r="BR321" i="3"/>
  <c r="BQ321" i="3"/>
  <c r="BO321" i="3"/>
  <c r="BN321" i="3"/>
  <c r="BM321" i="3"/>
  <c r="BL321" i="3"/>
  <c r="DN318" i="3"/>
  <c r="DM318" i="3"/>
  <c r="DL318" i="3"/>
  <c r="DK318" i="3"/>
  <c r="DI318" i="3"/>
  <c r="DH318" i="3"/>
  <c r="DN317" i="3"/>
  <c r="DM317" i="3"/>
  <c r="DM319" i="3" s="1"/>
  <c r="DL317" i="3"/>
  <c r="DK317" i="3"/>
  <c r="DI317" i="3"/>
  <c r="DH317" i="3"/>
  <c r="DG317" i="3"/>
  <c r="DA317" i="3"/>
  <c r="CY317" i="3"/>
  <c r="CX317" i="3"/>
  <c r="CW317" i="3"/>
  <c r="CV317" i="3"/>
  <c r="CT317" i="3"/>
  <c r="CS317" i="3"/>
  <c r="CR317" i="3"/>
  <c r="CQ317" i="3"/>
  <c r="CO317" i="3"/>
  <c r="CN317" i="3"/>
  <c r="CM317" i="3"/>
  <c r="CL317" i="3"/>
  <c r="CJ317" i="3"/>
  <c r="CI317" i="3"/>
  <c r="CH317" i="3"/>
  <c r="CG317" i="3"/>
  <c r="CE317" i="3"/>
  <c r="CD317" i="3"/>
  <c r="CC317" i="3"/>
  <c r="CB317" i="3"/>
  <c r="BZ317" i="3"/>
  <c r="BY317" i="3"/>
  <c r="BX317" i="3"/>
  <c r="BW317" i="3"/>
  <c r="BV317" i="3"/>
  <c r="BT317" i="3"/>
  <c r="BS317" i="3"/>
  <c r="BR317" i="3"/>
  <c r="BQ317" i="3"/>
  <c r="BO317" i="3"/>
  <c r="BN317" i="3"/>
  <c r="BM317" i="3"/>
  <c r="BL317" i="3"/>
  <c r="DN316" i="3"/>
  <c r="DM316" i="3"/>
  <c r="DL316" i="3"/>
  <c r="DL319" i="3"/>
  <c r="DK316" i="3"/>
  <c r="DI316" i="3"/>
  <c r="DH316" i="3"/>
  <c r="DG316" i="3"/>
  <c r="DA316" i="3"/>
  <c r="CY316" i="3"/>
  <c r="CX316" i="3"/>
  <c r="CW316" i="3"/>
  <c r="CV316" i="3"/>
  <c r="CT316" i="3"/>
  <c r="CS316" i="3"/>
  <c r="CR316" i="3"/>
  <c r="CR319" i="3" s="1"/>
  <c r="CR323" i="3" s="1"/>
  <c r="CR325" i="3" s="1"/>
  <c r="BQ316" i="3"/>
  <c r="BL316" i="3"/>
  <c r="BG305" i="3"/>
  <c r="BB305" i="3"/>
  <c r="D305" i="3"/>
  <c r="CY305" i="3"/>
  <c r="CX305" i="3"/>
  <c r="CV305" i="3"/>
  <c r="CT305" i="3"/>
  <c r="CS305" i="3"/>
  <c r="CR305" i="3"/>
  <c r="CQ305" i="3"/>
  <c r="CO305" i="3"/>
  <c r="CN305" i="3"/>
  <c r="CM305" i="3"/>
  <c r="CL305" i="3"/>
  <c r="CJ305" i="3"/>
  <c r="CI305" i="3"/>
  <c r="CH305" i="3"/>
  <c r="CG305" i="3"/>
  <c r="CE305" i="3"/>
  <c r="CD305" i="3"/>
  <c r="CC305" i="3"/>
  <c r="CB305" i="3"/>
  <c r="BZ305" i="3"/>
  <c r="BY305" i="3"/>
  <c r="BX305" i="3"/>
  <c r="BW305" i="3"/>
  <c r="BV305" i="3"/>
  <c r="BU305" i="3"/>
  <c r="BT305" i="3"/>
  <c r="BS305" i="3"/>
  <c r="BR305" i="3"/>
  <c r="BQ305" i="3"/>
  <c r="BP305" i="3"/>
  <c r="BO305" i="3"/>
  <c r="BN305" i="3"/>
  <c r="BM305" i="3"/>
  <c r="BL305" i="3"/>
  <c r="BG302" i="3"/>
  <c r="BG298" i="3"/>
  <c r="BB302" i="3"/>
  <c r="BB300" i="3"/>
  <c r="BB298" i="3"/>
  <c r="AW302" i="3"/>
  <c r="AW300" i="3"/>
  <c r="AW298" i="3"/>
  <c r="AR302" i="3"/>
  <c r="AR300" i="3"/>
  <c r="AR298" i="3"/>
  <c r="AM302" i="3"/>
  <c r="AM300" i="3"/>
  <c r="AM298" i="3"/>
  <c r="AH302" i="3"/>
  <c r="AH300" i="3"/>
  <c r="AH298" i="3"/>
  <c r="AC302" i="3"/>
  <c r="AC300" i="3"/>
  <c r="AC298" i="3"/>
  <c r="X302" i="3"/>
  <c r="X300" i="3"/>
  <c r="X298" i="3"/>
  <c r="S302" i="3"/>
  <c r="S300" i="3"/>
  <c r="S298" i="3"/>
  <c r="N302" i="3"/>
  <c r="N300" i="3"/>
  <c r="N298" i="3"/>
  <c r="I302" i="3"/>
  <c r="I300" i="3"/>
  <c r="I298" i="3"/>
  <c r="D302" i="3"/>
  <c r="D300" i="3"/>
  <c r="D299" i="3"/>
  <c r="D298" i="3"/>
  <c r="D297" i="3"/>
  <c r="BV302" i="3"/>
  <c r="BQ302" i="3"/>
  <c r="BL302" i="3"/>
  <c r="CV300" i="3"/>
  <c r="BV300" i="3"/>
  <c r="BQ300" i="3"/>
  <c r="BL300" i="3"/>
  <c r="BV298" i="3"/>
  <c r="BQ298" i="3"/>
  <c r="BL298" i="3"/>
  <c r="BG290" i="3"/>
  <c r="BB290" i="3"/>
  <c r="AW290" i="3"/>
  <c r="S290" i="3"/>
  <c r="N290" i="3"/>
  <c r="CV290" i="3"/>
  <c r="BV290" i="3"/>
  <c r="BQ290" i="3"/>
  <c r="BL290" i="3"/>
  <c r="BG278" i="3"/>
  <c r="BG279" i="3" s="1"/>
  <c r="BG284" i="3" s="1"/>
  <c r="BB278" i="3"/>
  <c r="BB279" i="3" s="1"/>
  <c r="BB284" i="3" s="1"/>
  <c r="S278" i="3"/>
  <c r="S279" i="3" s="1"/>
  <c r="S284" i="3" s="1"/>
  <c r="CY278" i="3"/>
  <c r="CY279" i="3" s="1"/>
  <c r="CY284" i="3" s="1"/>
  <c r="CX278" i="3"/>
  <c r="CX279" i="3" s="1"/>
  <c r="CX284" i="3" s="1"/>
  <c r="CV278" i="3"/>
  <c r="CV279" i="3" s="1"/>
  <c r="CV284" i="3" s="1"/>
  <c r="CT278" i="3"/>
  <c r="CT279" i="3" s="1"/>
  <c r="CT284" i="3" s="1"/>
  <c r="CS278" i="3"/>
  <c r="CS279" i="3" s="1"/>
  <c r="CS284" i="3" s="1"/>
  <c r="CQ278" i="3"/>
  <c r="CQ279" i="3" s="1"/>
  <c r="CQ284" i="3" s="1"/>
  <c r="CO278" i="3"/>
  <c r="CO279" i="3" s="1"/>
  <c r="CO284" i="3" s="1"/>
  <c r="CN278" i="3"/>
  <c r="CN279" i="3" s="1"/>
  <c r="CN284" i="3" s="1"/>
  <c r="CL278" i="3"/>
  <c r="CL279" i="3" s="1"/>
  <c r="CL284" i="3" s="1"/>
  <c r="CJ278" i="3"/>
  <c r="CJ279" i="3" s="1"/>
  <c r="CJ284" i="3" s="1"/>
  <c r="CI278" i="3"/>
  <c r="CI279" i="3" s="1"/>
  <c r="CI284" i="3" s="1"/>
  <c r="CG278" i="3"/>
  <c r="CG279" i="3" s="1"/>
  <c r="CG284" i="3" s="1"/>
  <c r="CE278" i="3"/>
  <c r="CE279" i="3" s="1"/>
  <c r="CE284" i="3" s="1"/>
  <c r="CD278" i="3"/>
  <c r="CD279" i="3" s="1"/>
  <c r="CD284" i="3" s="1"/>
  <c r="CB278" i="3"/>
  <c r="CB279" i="3" s="1"/>
  <c r="CB284" i="3" s="1"/>
  <c r="BZ278" i="3"/>
  <c r="BZ279" i="3" s="1"/>
  <c r="BZ284" i="3" s="1"/>
  <c r="BY278" i="3"/>
  <c r="BY279" i="3" s="1"/>
  <c r="BY284" i="3" s="1"/>
  <c r="BX278" i="3"/>
  <c r="BX279" i="3" s="1"/>
  <c r="BX284" i="3" s="1"/>
  <c r="BW278" i="3"/>
  <c r="BW279" i="3" s="1"/>
  <c r="BW284" i="3" s="1"/>
  <c r="BU278" i="3"/>
  <c r="BU279" i="3" s="1"/>
  <c r="BU284" i="3" s="1"/>
  <c r="BT278" i="3"/>
  <c r="BT279" i="3" s="1"/>
  <c r="BT284" i="3" s="1"/>
  <c r="BS278" i="3"/>
  <c r="BS279" i="3" s="1"/>
  <c r="BS284" i="3" s="1"/>
  <c r="BR278" i="3"/>
  <c r="BR279" i="3" s="1"/>
  <c r="BR284" i="3" s="1"/>
  <c r="BQ278" i="3"/>
  <c r="BQ279" i="3" s="1"/>
  <c r="BQ284" i="3" s="1"/>
  <c r="BP278" i="3"/>
  <c r="BP279" i="3" s="1"/>
  <c r="BP284" i="3" s="1"/>
  <c r="BO278" i="3"/>
  <c r="BO279" i="3" s="1"/>
  <c r="BO284" i="3" s="1"/>
  <c r="BN278" i="3"/>
  <c r="BN279" i="3" s="1"/>
  <c r="BN284" i="3" s="1"/>
  <c r="BM278" i="3"/>
  <c r="BM279" i="3" s="1"/>
  <c r="BM284" i="3" s="1"/>
  <c r="BL278" i="3"/>
  <c r="BL279" i="3" s="1"/>
  <c r="BL284" i="3" s="1"/>
  <c r="BG270" i="3"/>
  <c r="BB270" i="3"/>
  <c r="AW270" i="3"/>
  <c r="AR270" i="3"/>
  <c r="AM270" i="3"/>
  <c r="AH270" i="3"/>
  <c r="AC270" i="3"/>
  <c r="X270" i="3"/>
  <c r="S270" i="3"/>
  <c r="N270" i="3"/>
  <c r="DO271" i="3"/>
  <c r="DJ271" i="3"/>
  <c r="DE271" i="3"/>
  <c r="CY270" i="3"/>
  <c r="CX270" i="3"/>
  <c r="CW270" i="3"/>
  <c r="CV270" i="3"/>
  <c r="CT270" i="3"/>
  <c r="CS270" i="3"/>
  <c r="CR270" i="3"/>
  <c r="CQ270" i="3"/>
  <c r="CO270" i="3"/>
  <c r="CN270" i="3"/>
  <c r="CM270" i="3"/>
  <c r="CL270" i="3"/>
  <c r="CJ270" i="3"/>
  <c r="CI270" i="3"/>
  <c r="CH270" i="3"/>
  <c r="CG270" i="3"/>
  <c r="CE270" i="3"/>
  <c r="CD270" i="3"/>
  <c r="CC270" i="3"/>
  <c r="CB270" i="3"/>
  <c r="BZ270" i="3"/>
  <c r="BY270" i="3"/>
  <c r="BX270" i="3"/>
  <c r="BW270" i="3"/>
  <c r="BU270" i="3"/>
  <c r="BT270" i="3"/>
  <c r="BS270" i="3"/>
  <c r="BR270" i="3"/>
  <c r="BQ270" i="3"/>
  <c r="BP270" i="3"/>
  <c r="BO270" i="3"/>
  <c r="BN270" i="3"/>
  <c r="BM270" i="3"/>
  <c r="BL270" i="3"/>
  <c r="BG262" i="3"/>
  <c r="BG263" i="3" s="1"/>
  <c r="BG282" i="3" s="1"/>
  <c r="BB262" i="3"/>
  <c r="BB263" i="3" s="1"/>
  <c r="BB282" i="3" s="1"/>
  <c r="S262" i="3"/>
  <c r="S263" i="3" s="1"/>
  <c r="S282" i="3" s="1"/>
  <c r="CY262" i="3"/>
  <c r="CY263" i="3" s="1"/>
  <c r="CY282" i="3" s="1"/>
  <c r="CX262" i="3"/>
  <c r="CX263" i="3" s="1"/>
  <c r="CX282" i="3" s="1"/>
  <c r="CV262" i="3"/>
  <c r="CV263" i="3" s="1"/>
  <c r="CV282" i="3" s="1"/>
  <c r="CT262" i="3"/>
  <c r="CT263" i="3" s="1"/>
  <c r="CT282" i="3" s="1"/>
  <c r="CS262" i="3"/>
  <c r="CS263" i="3" s="1"/>
  <c r="CS282" i="3" s="1"/>
  <c r="CQ262" i="3"/>
  <c r="CQ263" i="3" s="1"/>
  <c r="CQ282" i="3" s="1"/>
  <c r="CO262" i="3"/>
  <c r="CO263" i="3" s="1"/>
  <c r="CO282" i="3" s="1"/>
  <c r="CN262" i="3"/>
  <c r="CN263" i="3" s="1"/>
  <c r="CN282" i="3" s="1"/>
  <c r="CL262" i="3"/>
  <c r="CL263" i="3" s="1"/>
  <c r="CL282" i="3" s="1"/>
  <c r="CJ262" i="3"/>
  <c r="CJ263" i="3" s="1"/>
  <c r="CJ282" i="3" s="1"/>
  <c r="CI262" i="3"/>
  <c r="CI263" i="3" s="1"/>
  <c r="CI282" i="3" s="1"/>
  <c r="CG262" i="3"/>
  <c r="CG263" i="3" s="1"/>
  <c r="CG282" i="3" s="1"/>
  <c r="CE262" i="3"/>
  <c r="CE263" i="3" s="1"/>
  <c r="CE282" i="3" s="1"/>
  <c r="CD262" i="3"/>
  <c r="CD263" i="3" s="1"/>
  <c r="CD282" i="3" s="1"/>
  <c r="CB262" i="3"/>
  <c r="CB263" i="3" s="1"/>
  <c r="CB282" i="3" s="1"/>
  <c r="BZ262" i="3"/>
  <c r="BZ263" i="3" s="1"/>
  <c r="BZ282" i="3" s="1"/>
  <c r="BY262" i="3"/>
  <c r="BY263" i="3" s="1"/>
  <c r="BY282" i="3" s="1"/>
  <c r="BX262" i="3"/>
  <c r="BX263" i="3" s="1"/>
  <c r="BX282" i="3" s="1"/>
  <c r="BW262" i="3"/>
  <c r="BW263" i="3" s="1"/>
  <c r="BW282" i="3" s="1"/>
  <c r="BU262" i="3"/>
  <c r="BU263" i="3" s="1"/>
  <c r="BU282" i="3" s="1"/>
  <c r="BT262" i="3"/>
  <c r="BT263" i="3" s="1"/>
  <c r="BT282" i="3" s="1"/>
  <c r="BS262" i="3"/>
  <c r="BS263" i="3" s="1"/>
  <c r="BS282" i="3" s="1"/>
  <c r="BR262" i="3"/>
  <c r="BR263" i="3" s="1"/>
  <c r="BR282" i="3" s="1"/>
  <c r="BQ262" i="3"/>
  <c r="BQ263" i="3" s="1"/>
  <c r="BQ282" i="3" s="1"/>
  <c r="BP262" i="3"/>
  <c r="BP263" i="3" s="1"/>
  <c r="BP282" i="3" s="1"/>
  <c r="BO262" i="3"/>
  <c r="BO263" i="3" s="1"/>
  <c r="BO282" i="3" s="1"/>
  <c r="BN262" i="3"/>
  <c r="BN263" i="3" s="1"/>
  <c r="BN282" i="3" s="1"/>
  <c r="BM262" i="3"/>
  <c r="BM263" i="3" s="1"/>
  <c r="BM282" i="3" s="1"/>
  <c r="BL262" i="3"/>
  <c r="BL263" i="3" s="1"/>
  <c r="BL282" i="3" s="1"/>
  <c r="BG255" i="3"/>
  <c r="BB255" i="3"/>
  <c r="AW255" i="3"/>
  <c r="AR255" i="3"/>
  <c r="AM255" i="3"/>
  <c r="AH255" i="3"/>
  <c r="AC255" i="3"/>
  <c r="X255" i="3"/>
  <c r="S255" i="3"/>
  <c r="N255" i="3"/>
  <c r="DO256" i="3"/>
  <c r="DN256" i="3"/>
  <c r="DN271" i="3" s="1"/>
  <c r="DM256" i="3"/>
  <c r="DM271" i="3" s="1"/>
  <c r="DL256" i="3"/>
  <c r="DL271" i="3" s="1"/>
  <c r="DK256" i="3"/>
  <c r="DK271" i="3" s="1"/>
  <c r="DJ256" i="3"/>
  <c r="DI256" i="3"/>
  <c r="DI271" i="3" s="1"/>
  <c r="DH256" i="3"/>
  <c r="DH271" i="3" s="1"/>
  <c r="DG256" i="3"/>
  <c r="DG271" i="3" s="1"/>
  <c r="DE256" i="3"/>
  <c r="CY255" i="3"/>
  <c r="CX255" i="3"/>
  <c r="CW255" i="3"/>
  <c r="CV255" i="3"/>
  <c r="CT255" i="3"/>
  <c r="CS255" i="3"/>
  <c r="CR255" i="3"/>
  <c r="CQ255" i="3"/>
  <c r="CO255" i="3"/>
  <c r="CN255" i="3"/>
  <c r="CM255" i="3"/>
  <c r="CL255" i="3"/>
  <c r="CJ255" i="3"/>
  <c r="CI255" i="3"/>
  <c r="CH255" i="3"/>
  <c r="CG255" i="3"/>
  <c r="CE255" i="3"/>
  <c r="CD255" i="3"/>
  <c r="CC255" i="3"/>
  <c r="CB255" i="3"/>
  <c r="BZ255" i="3"/>
  <c r="BY255" i="3"/>
  <c r="BX255" i="3"/>
  <c r="BW255" i="3"/>
  <c r="BU255" i="3"/>
  <c r="BT255" i="3"/>
  <c r="BS255" i="3"/>
  <c r="BR255" i="3"/>
  <c r="BQ255" i="3"/>
  <c r="BP255" i="3"/>
  <c r="BO255" i="3"/>
  <c r="BN255" i="3"/>
  <c r="BM255" i="3"/>
  <c r="BL255" i="3"/>
  <c r="DG249" i="3"/>
  <c r="DA241" i="3"/>
  <c r="CV241" i="3"/>
  <c r="CM249" i="3"/>
  <c r="CL241" i="3"/>
  <c r="CH241" i="3"/>
  <c r="CG241" i="3"/>
  <c r="BQ210" i="3"/>
  <c r="CU206" i="3"/>
  <c r="BL204" i="3"/>
  <c r="BZ206" i="3"/>
  <c r="BY206" i="3"/>
  <c r="BX206" i="3"/>
  <c r="BW206" i="3"/>
  <c r="BW204" i="3" s="1"/>
  <c r="BW205" i="3" s="1"/>
  <c r="BU206" i="3"/>
  <c r="BV204" i="3"/>
  <c r="BV206" i="3" s="1"/>
  <c r="BQ204" i="3"/>
  <c r="BG204" i="3"/>
  <c r="BG209" i="3" s="1"/>
  <c r="BB204" i="3"/>
  <c r="BB206" i="3" s="1"/>
  <c r="AW204" i="3"/>
  <c r="AW209" i="3" s="1"/>
  <c r="AR204" i="3"/>
  <c r="AR206" i="3" s="1"/>
  <c r="AM204" i="3"/>
  <c r="AM209" i="3" s="1"/>
  <c r="AH204" i="3"/>
  <c r="AH209" i="3" s="1"/>
  <c r="AC204" i="3"/>
  <c r="X204" i="3"/>
  <c r="S204" i="3"/>
  <c r="S209" i="3" s="1"/>
  <c r="N204" i="3"/>
  <c r="I204" i="3"/>
  <c r="BQ202" i="3"/>
  <c r="BL202" i="3"/>
  <c r="DI200" i="3"/>
  <c r="DH200" i="3"/>
  <c r="DG200" i="3"/>
  <c r="DD200" i="3"/>
  <c r="DF200" i="3"/>
  <c r="DC200" i="3"/>
  <c r="DB200" i="3"/>
  <c r="DA200" i="3"/>
  <c r="CY200" i="3"/>
  <c r="CX200" i="3"/>
  <c r="CW200" i="3"/>
  <c r="CV200" i="3"/>
  <c r="CT200" i="3"/>
  <c r="CT202" i="3"/>
  <c r="CT49" i="2" s="1"/>
  <c r="CA200" i="3"/>
  <c r="BV200" i="3"/>
  <c r="CV198" i="3"/>
  <c r="CV202" i="3"/>
  <c r="CV49" i="2" s="1"/>
  <c r="CU198" i="3"/>
  <c r="CP198" i="3"/>
  <c r="CJ198" i="3"/>
  <c r="CK198" i="3"/>
  <c r="CD198" i="3"/>
  <c r="BU198" i="3"/>
  <c r="DO197" i="3"/>
  <c r="BI51" i="5" s="1"/>
  <c r="DJ197" i="3"/>
  <c r="BB51" i="5" s="1"/>
  <c r="DE197" i="3"/>
  <c r="AR51" i="5"/>
  <c r="BV197" i="3"/>
  <c r="BV198" i="3"/>
  <c r="BV202" i="3"/>
  <c r="BL197" i="3"/>
  <c r="BL210" i="3" s="1"/>
  <c r="BG197" i="3"/>
  <c r="BG210" i="3" s="1"/>
  <c r="BB197" i="3"/>
  <c r="BB210" i="3" s="1"/>
  <c r="AW197" i="3"/>
  <c r="AW210" i="3" s="1"/>
  <c r="AR197" i="3"/>
  <c r="AR210" i="3" s="1"/>
  <c r="AM197" i="3"/>
  <c r="AM210" i="3" s="1"/>
  <c r="AH197" i="3"/>
  <c r="AH210" i="3" s="1"/>
  <c r="AC197" i="3"/>
  <c r="AC210" i="3" s="1"/>
  <c r="X197" i="3"/>
  <c r="X210" i="3" s="1"/>
  <c r="S197" i="3"/>
  <c r="S210" i="3" s="1"/>
  <c r="N197" i="3"/>
  <c r="N210" i="3" s="1"/>
  <c r="I197" i="3"/>
  <c r="DB198" i="3"/>
  <c r="CX196" i="3"/>
  <c r="CY196" i="3"/>
  <c r="BX196" i="3"/>
  <c r="BY196" i="3"/>
  <c r="BQ196" i="3"/>
  <c r="BL196" i="3"/>
  <c r="AW192" i="3"/>
  <c r="AR192" i="3"/>
  <c r="AR216" i="3"/>
  <c r="AM192" i="3"/>
  <c r="AM216" i="3"/>
  <c r="AH192" i="3"/>
  <c r="AH216" i="3"/>
  <c r="AC192" i="3"/>
  <c r="AC216" i="3"/>
  <c r="X192" i="3"/>
  <c r="S192" i="3"/>
  <c r="N192" i="3"/>
  <c r="N216" i="3"/>
  <c r="I192" i="3"/>
  <c r="CY192" i="3"/>
  <c r="CY216" i="3"/>
  <c r="CX192" i="3"/>
  <c r="CX216" i="3"/>
  <c r="CW192" i="3"/>
  <c r="CW216" i="3"/>
  <c r="CV192" i="3"/>
  <c r="CV216" i="3"/>
  <c r="CT192" i="3"/>
  <c r="CT216" i="3"/>
  <c r="CS192" i="3"/>
  <c r="CS216" i="3"/>
  <c r="CR192" i="3"/>
  <c r="CR216" i="3"/>
  <c r="CO192" i="3"/>
  <c r="CO216" i="3"/>
  <c r="CN192" i="3"/>
  <c r="CN216" i="3"/>
  <c r="CM192" i="3"/>
  <c r="CM216" i="3"/>
  <c r="CL192" i="3"/>
  <c r="CL216" i="3"/>
  <c r="CJ192" i="3"/>
  <c r="CJ216" i="3"/>
  <c r="CI192" i="3"/>
  <c r="CI216" i="3"/>
  <c r="CH192" i="3"/>
  <c r="CH216" i="3"/>
  <c r="CG192" i="3"/>
  <c r="CG216" i="3"/>
  <c r="CE192" i="3"/>
  <c r="CE216" i="3"/>
  <c r="CD192" i="3"/>
  <c r="CD216" i="3"/>
  <c r="CC192" i="3"/>
  <c r="CC216" i="3"/>
  <c r="CB192" i="3"/>
  <c r="CB216" i="3"/>
  <c r="BZ192" i="3"/>
  <c r="BY192" i="3"/>
  <c r="BX192" i="3"/>
  <c r="BW192" i="3"/>
  <c r="BU192" i="3"/>
  <c r="BU216" i="3"/>
  <c r="BT192" i="3"/>
  <c r="BT216" i="3"/>
  <c r="BS192" i="3"/>
  <c r="BS216" i="3"/>
  <c r="BR192" i="3"/>
  <c r="BR216" i="3"/>
  <c r="BQ192" i="3"/>
  <c r="BQ216" i="3"/>
  <c r="BP192" i="3"/>
  <c r="BP216" i="3"/>
  <c r="BO192" i="3"/>
  <c r="BO216" i="3"/>
  <c r="BN192" i="3"/>
  <c r="BN216" i="3"/>
  <c r="BM192" i="3"/>
  <c r="BM216" i="3"/>
  <c r="BL192" i="3"/>
  <c r="BK192" i="3"/>
  <c r="BJ192" i="3"/>
  <c r="BI192" i="3"/>
  <c r="BH192" i="3"/>
  <c r="BG192" i="3"/>
  <c r="BG216" i="3"/>
  <c r="BF192" i="3"/>
  <c r="BE192" i="3"/>
  <c r="BD192" i="3"/>
  <c r="BC192" i="3"/>
  <c r="BB192" i="3"/>
  <c r="BB216" i="3"/>
  <c r="S185" i="3"/>
  <c r="S187" i="3" s="1"/>
  <c r="S188" i="3" s="1"/>
  <c r="I183" i="3"/>
  <c r="I184" i="3" s="1"/>
  <c r="CY185" i="3"/>
  <c r="CX185" i="3"/>
  <c r="CX187" i="3" s="1"/>
  <c r="CX188" i="3" s="1"/>
  <c r="CW185" i="3"/>
  <c r="CW187" i="3" s="1"/>
  <c r="CW188" i="3" s="1"/>
  <c r="CV185" i="3"/>
  <c r="CT185" i="3"/>
  <c r="CS185" i="3"/>
  <c r="CS186" i="3" s="1"/>
  <c r="CR185" i="3"/>
  <c r="CR187" i="3" s="1"/>
  <c r="CR188" i="3" s="1"/>
  <c r="CQ185" i="3"/>
  <c r="CO185" i="3"/>
  <c r="CO187" i="3" s="1"/>
  <c r="CO188" i="3" s="1"/>
  <c r="CN185" i="3"/>
  <c r="CN187" i="3" s="1"/>
  <c r="CN188" i="3" s="1"/>
  <c r="CM185" i="3"/>
  <c r="CM186" i="3" s="1"/>
  <c r="CL185" i="3"/>
  <c r="CJ185" i="3"/>
  <c r="CJ187" i="3" s="1"/>
  <c r="CJ188" i="3" s="1"/>
  <c r="CI185" i="3"/>
  <c r="CI187" i="3" s="1"/>
  <c r="CI188" i="3" s="1"/>
  <c r="CH185" i="3"/>
  <c r="CH187" i="3" s="1"/>
  <c r="CH188" i="3" s="1"/>
  <c r="CG185" i="3"/>
  <c r="CG186" i="3" s="1"/>
  <c r="CE185" i="3"/>
  <c r="CD185" i="3"/>
  <c r="CD187" i="3" s="1"/>
  <c r="CD188" i="3" s="1"/>
  <c r="CC185" i="3"/>
  <c r="CC186" i="3" s="1"/>
  <c r="CB185" i="3"/>
  <c r="CB187" i="3" s="1"/>
  <c r="CB188" i="3" s="1"/>
  <c r="BZ185" i="3"/>
  <c r="BZ186" i="3" s="1"/>
  <c r="BY185" i="3"/>
  <c r="BY186" i="3" s="1"/>
  <c r="BX185" i="3"/>
  <c r="BX187" i="3" s="1"/>
  <c r="BX188" i="3" s="1"/>
  <c r="BW185" i="3"/>
  <c r="BU185" i="3"/>
  <c r="BU187" i="3" s="1"/>
  <c r="BU188" i="3" s="1"/>
  <c r="BT185" i="3"/>
  <c r="BS185" i="3"/>
  <c r="BS186" i="3" s="1"/>
  <c r="BR185" i="3"/>
  <c r="BR187" i="3" s="1"/>
  <c r="BR188" i="3" s="1"/>
  <c r="BQ185" i="3"/>
  <c r="BP185" i="3"/>
  <c r="BO185" i="3"/>
  <c r="BO186" i="3" s="1"/>
  <c r="BN185" i="3"/>
  <c r="BN187" i="3" s="1"/>
  <c r="BN188" i="3" s="1"/>
  <c r="BM185" i="3"/>
  <c r="BL185" i="3"/>
  <c r="BL186" i="3" s="1"/>
  <c r="BK185" i="3"/>
  <c r="BK186" i="3" s="1"/>
  <c r="BJ185" i="3"/>
  <c r="BJ187" i="3" s="1"/>
  <c r="BJ188" i="3" s="1"/>
  <c r="BI185" i="3"/>
  <c r="BH185" i="3"/>
  <c r="BH187" i="3" s="1"/>
  <c r="BH188" i="3" s="1"/>
  <c r="BG185" i="3"/>
  <c r="BG186" i="3" s="1"/>
  <c r="BF185" i="3"/>
  <c r="BE185" i="3"/>
  <c r="BD185" i="3"/>
  <c r="BC185" i="3"/>
  <c r="BC187" i="3" s="1"/>
  <c r="BC188" i="3" s="1"/>
  <c r="BB185" i="3"/>
  <c r="BB186" i="3" s="1"/>
  <c r="AW178" i="3"/>
  <c r="AM178" i="3"/>
  <c r="AH178" i="3"/>
  <c r="AC178" i="3"/>
  <c r="X178" i="3"/>
  <c r="X223" i="3"/>
  <c r="S178" i="3"/>
  <c r="N178" i="3"/>
  <c r="I178" i="3"/>
  <c r="CY178" i="3"/>
  <c r="CX178" i="3"/>
  <c r="CW178" i="3"/>
  <c r="CV178" i="3"/>
  <c r="CR178" i="3"/>
  <c r="CO178" i="3"/>
  <c r="CN178" i="3"/>
  <c r="CM178" i="3"/>
  <c r="CL178" i="3"/>
  <c r="CI178" i="3"/>
  <c r="CH178" i="3"/>
  <c r="CE178" i="3"/>
  <c r="CD178" i="3"/>
  <c r="CC178" i="3"/>
  <c r="CB178" i="3"/>
  <c r="BT178" i="3"/>
  <c r="BS178" i="3"/>
  <c r="BR178" i="3"/>
  <c r="BQ178" i="3"/>
  <c r="BQ223" i="3"/>
  <c r="BP178" i="3"/>
  <c r="BO178" i="3"/>
  <c r="BN178" i="3"/>
  <c r="BM178" i="3"/>
  <c r="BK178" i="3"/>
  <c r="BJ178" i="3"/>
  <c r="BI178" i="3"/>
  <c r="BH178" i="3"/>
  <c r="BG178" i="3"/>
  <c r="BG223" i="3"/>
  <c r="BF178" i="3"/>
  <c r="BE178" i="3"/>
  <c r="BD178" i="3"/>
  <c r="BC178" i="3"/>
  <c r="BB178" i="3"/>
  <c r="BB223" i="3"/>
  <c r="CU176" i="3"/>
  <c r="CU175" i="3"/>
  <c r="CU174" i="3"/>
  <c r="CU173" i="3"/>
  <c r="CU172" i="3"/>
  <c r="CU171" i="3"/>
  <c r="CU167" i="3"/>
  <c r="CP176" i="3"/>
  <c r="CK176" i="3"/>
  <c r="CF176" i="3"/>
  <c r="BV176" i="3"/>
  <c r="CP174" i="3"/>
  <c r="CP173" i="3"/>
  <c r="CP172" i="3"/>
  <c r="CQ172" i="3"/>
  <c r="CP171" i="3"/>
  <c r="CP170" i="3"/>
  <c r="CQ170" i="3"/>
  <c r="CP169" i="3"/>
  <c r="CP168" i="3"/>
  <c r="CQ168" i="3"/>
  <c r="CP167" i="3"/>
  <c r="CK174" i="3"/>
  <c r="CK173" i="3"/>
  <c r="CK172" i="3"/>
  <c r="CK171" i="3"/>
  <c r="CK167" i="3"/>
  <c r="CF174" i="3"/>
  <c r="CF173" i="3"/>
  <c r="CF172" i="3"/>
  <c r="CF171" i="3"/>
  <c r="CF170" i="3"/>
  <c r="CG170" i="3"/>
  <c r="CF169" i="3"/>
  <c r="CG169" i="3"/>
  <c r="CF168" i="3"/>
  <c r="CG168" i="3"/>
  <c r="CF167" i="3"/>
  <c r="CF178" i="3"/>
  <c r="BV174" i="3"/>
  <c r="BV173" i="3"/>
  <c r="BV172" i="3"/>
  <c r="BV171" i="3"/>
  <c r="CG173" i="3"/>
  <c r="CA173" i="3"/>
  <c r="CA172" i="3"/>
  <c r="CA171" i="3"/>
  <c r="CA170" i="3"/>
  <c r="CA169" i="3"/>
  <c r="CA168" i="3"/>
  <c r="CA167" i="3"/>
  <c r="BY173" i="3"/>
  <c r="CQ171" i="3"/>
  <c r="CQ169" i="3"/>
  <c r="BL171" i="3"/>
  <c r="BL178" i="3"/>
  <c r="CJ170" i="3"/>
  <c r="CK170" i="3"/>
  <c r="CJ169" i="3"/>
  <c r="CK169" i="3"/>
  <c r="CJ168" i="3"/>
  <c r="BU170" i="3"/>
  <c r="BV170" i="3"/>
  <c r="BU169" i="3"/>
  <c r="BV169" i="3"/>
  <c r="BU168" i="3"/>
  <c r="BV168" i="3"/>
  <c r="BU167" i="3"/>
  <c r="CS170" i="3"/>
  <c r="CT170" i="3"/>
  <c r="CU170" i="3"/>
  <c r="CS169" i="3"/>
  <c r="CT169" i="3"/>
  <c r="CU169" i="3"/>
  <c r="CS168" i="3"/>
  <c r="BW168" i="3"/>
  <c r="BX168" i="3"/>
  <c r="CZ176" i="3"/>
  <c r="CZ175" i="3"/>
  <c r="DE175" i="3"/>
  <c r="DJ175" i="3"/>
  <c r="DK175" i="3" s="1"/>
  <c r="DL175" i="3" s="1"/>
  <c r="DM175" i="3" s="1"/>
  <c r="DN175" i="3" s="1"/>
  <c r="DO175" i="3" s="1"/>
  <c r="DP175" i="3" s="1"/>
  <c r="DQ175" i="3" s="1"/>
  <c r="DR175" i="3" s="1"/>
  <c r="DS175" i="3" s="1"/>
  <c r="DT175" i="3" s="1"/>
  <c r="DU175" i="3" s="1"/>
  <c r="DV175" i="3" s="1"/>
  <c r="DW175" i="3" s="1"/>
  <c r="DX175" i="3" s="1"/>
  <c r="DY175" i="3" s="1"/>
  <c r="CZ174" i="3"/>
  <c r="CZ173" i="3"/>
  <c r="DE173" i="3"/>
  <c r="DJ173" i="3"/>
  <c r="DK173" i="3" s="1"/>
  <c r="DL173" i="3" s="1"/>
  <c r="DM173" i="3" s="1"/>
  <c r="DN173" i="3" s="1"/>
  <c r="DO173" i="3" s="1"/>
  <c r="DP173" i="3" s="1"/>
  <c r="DQ173" i="3" s="1"/>
  <c r="DR173" i="3" s="1"/>
  <c r="DS173" i="3" s="1"/>
  <c r="DT173" i="3" s="1"/>
  <c r="DU173" i="3" s="1"/>
  <c r="DV173" i="3" s="1"/>
  <c r="DW173" i="3" s="1"/>
  <c r="DX173" i="3" s="1"/>
  <c r="DY173" i="3" s="1"/>
  <c r="CZ172" i="3"/>
  <c r="DE172" i="3"/>
  <c r="DJ172" i="3"/>
  <c r="DK172" i="3" s="1"/>
  <c r="DL172" i="3" s="1"/>
  <c r="DM172" i="3" s="1"/>
  <c r="DN172" i="3" s="1"/>
  <c r="DO172" i="3" s="1"/>
  <c r="DP172" i="3" s="1"/>
  <c r="DQ172" i="3" s="1"/>
  <c r="DR172" i="3" s="1"/>
  <c r="DS172" i="3" s="1"/>
  <c r="DT172" i="3" s="1"/>
  <c r="DU172" i="3" s="1"/>
  <c r="DV172" i="3" s="1"/>
  <c r="DW172" i="3" s="1"/>
  <c r="DX172" i="3" s="1"/>
  <c r="DY172" i="3" s="1"/>
  <c r="CZ171" i="3"/>
  <c r="CZ170" i="3"/>
  <c r="DE170" i="3"/>
  <c r="DJ170" i="3"/>
  <c r="DK170" i="3" s="1"/>
  <c r="DL170" i="3" s="1"/>
  <c r="DM170" i="3" s="1"/>
  <c r="DN170" i="3" s="1"/>
  <c r="DO170" i="3" s="1"/>
  <c r="DP170" i="3" s="1"/>
  <c r="DQ170" i="3" s="1"/>
  <c r="DR170" i="3" s="1"/>
  <c r="DS170" i="3" s="1"/>
  <c r="DT170" i="3" s="1"/>
  <c r="DU170" i="3" s="1"/>
  <c r="DV170" i="3" s="1"/>
  <c r="DW170" i="3" s="1"/>
  <c r="DX170" i="3" s="1"/>
  <c r="DY170" i="3" s="1"/>
  <c r="CZ169" i="3"/>
  <c r="DE169" i="3"/>
  <c r="DJ169" i="3"/>
  <c r="DK169" i="3" s="1"/>
  <c r="DL169" i="3" s="1"/>
  <c r="DM169" i="3" s="1"/>
  <c r="DN169" i="3" s="1"/>
  <c r="DO169" i="3" s="1"/>
  <c r="DP169" i="3" s="1"/>
  <c r="DQ169" i="3" s="1"/>
  <c r="DR169" i="3" s="1"/>
  <c r="DS169" i="3" s="1"/>
  <c r="DT169" i="3" s="1"/>
  <c r="DU169" i="3" s="1"/>
  <c r="DV169" i="3" s="1"/>
  <c r="DW169" i="3" s="1"/>
  <c r="DX169" i="3" s="1"/>
  <c r="DY169" i="3" s="1"/>
  <c r="CZ168" i="3"/>
  <c r="DE168" i="3"/>
  <c r="DJ168" i="3"/>
  <c r="DK168" i="3" s="1"/>
  <c r="DL168" i="3" s="1"/>
  <c r="DM168" i="3" s="1"/>
  <c r="DN168" i="3" s="1"/>
  <c r="DO168" i="3" s="1"/>
  <c r="DP168" i="3" s="1"/>
  <c r="DQ168" i="3" s="1"/>
  <c r="DR168" i="3" s="1"/>
  <c r="DS168" i="3" s="1"/>
  <c r="DT168" i="3" s="1"/>
  <c r="DU168" i="3" s="1"/>
  <c r="DV168" i="3" s="1"/>
  <c r="DW168" i="3" s="1"/>
  <c r="DX168" i="3" s="1"/>
  <c r="DY168" i="3" s="1"/>
  <c r="CZ167" i="3"/>
  <c r="AR167" i="3"/>
  <c r="AR178" i="3"/>
  <c r="AR164" i="3"/>
  <c r="DE164" i="3"/>
  <c r="CY164" i="3"/>
  <c r="CZ164" i="3"/>
  <c r="CU164" i="3"/>
  <c r="CU163" i="3"/>
  <c r="CU162" i="3"/>
  <c r="CP164" i="3"/>
  <c r="CP163" i="3"/>
  <c r="CP162" i="3"/>
  <c r="CP65" i="8"/>
  <c r="CK164" i="3"/>
  <c r="CK163" i="3"/>
  <c r="CK162" i="3"/>
  <c r="CF164" i="3"/>
  <c r="CF163" i="3"/>
  <c r="CF162" i="3"/>
  <c r="CF65" i="8"/>
  <c r="CA164" i="3"/>
  <c r="CA163" i="3"/>
  <c r="CA162" i="3"/>
  <c r="BY164" i="3"/>
  <c r="BU164" i="3"/>
  <c r="BV164" i="3"/>
  <c r="BV163" i="3"/>
  <c r="BV162" i="3"/>
  <c r="BV65" i="8"/>
  <c r="DE163" i="3"/>
  <c r="CZ163" i="3"/>
  <c r="CZ162" i="3"/>
  <c r="CY160" i="3"/>
  <c r="CX160" i="3"/>
  <c r="CW160" i="3"/>
  <c r="CV160" i="3"/>
  <c r="CV165" i="3"/>
  <c r="CT160" i="3"/>
  <c r="CS160" i="3"/>
  <c r="CS165" i="3"/>
  <c r="CR160" i="3"/>
  <c r="CR165" i="3"/>
  <c r="CR179" i="3"/>
  <c r="CO160" i="3"/>
  <c r="CN160" i="3"/>
  <c r="CN165" i="3"/>
  <c r="CN179" i="3"/>
  <c r="CM160" i="3"/>
  <c r="CM245" i="3"/>
  <c r="CL160" i="3"/>
  <c r="CJ160" i="3"/>
  <c r="CI160" i="3"/>
  <c r="CH160" i="3"/>
  <c r="CG160" i="3"/>
  <c r="CE160" i="3"/>
  <c r="CD160" i="3"/>
  <c r="CC160" i="3"/>
  <c r="CB160" i="3"/>
  <c r="BZ160" i="3"/>
  <c r="BY160" i="3"/>
  <c r="BX160" i="3"/>
  <c r="BW160" i="3"/>
  <c r="BU160" i="3"/>
  <c r="BU165" i="3"/>
  <c r="BT160" i="3"/>
  <c r="BT165" i="3"/>
  <c r="BT179" i="3"/>
  <c r="BS160" i="3"/>
  <c r="BR160" i="3"/>
  <c r="BQ160" i="3"/>
  <c r="BQ165" i="3"/>
  <c r="BQ179" i="3"/>
  <c r="BP160" i="3"/>
  <c r="BP165" i="3"/>
  <c r="BP179" i="3"/>
  <c r="BO160" i="3"/>
  <c r="BO240" i="3"/>
  <c r="BN160" i="3"/>
  <c r="BM160" i="3"/>
  <c r="BL160" i="3"/>
  <c r="BK160" i="3"/>
  <c r="BK165" i="3"/>
  <c r="BK179" i="3"/>
  <c r="BJ160" i="3"/>
  <c r="BJ165" i="3"/>
  <c r="BJ179" i="3"/>
  <c r="BI160" i="3"/>
  <c r="BI165" i="3"/>
  <c r="BI179" i="3"/>
  <c r="BH160" i="3"/>
  <c r="BH165" i="3"/>
  <c r="BG160" i="3"/>
  <c r="BF160" i="3"/>
  <c r="BF165" i="3"/>
  <c r="BF179" i="3"/>
  <c r="BE160" i="3"/>
  <c r="BE165" i="3"/>
  <c r="BD160" i="3"/>
  <c r="BD165" i="3"/>
  <c r="BD179" i="3"/>
  <c r="BC160" i="3"/>
  <c r="BC165" i="3"/>
  <c r="BB160" i="3"/>
  <c r="BB240" i="3"/>
  <c r="AW160" i="3"/>
  <c r="AW165" i="3"/>
  <c r="AR160" i="3"/>
  <c r="AM160" i="3"/>
  <c r="AH160" i="3"/>
  <c r="AC160" i="3"/>
  <c r="X160" i="3"/>
  <c r="S160" i="3"/>
  <c r="N160" i="3"/>
  <c r="I160" i="3"/>
  <c r="CU159" i="3"/>
  <c r="CU158" i="3"/>
  <c r="CU157" i="3"/>
  <c r="CU156" i="3"/>
  <c r="CU155" i="3"/>
  <c r="CP159" i="3"/>
  <c r="CP158" i="3"/>
  <c r="CP157" i="3"/>
  <c r="CP156" i="3"/>
  <c r="CP155" i="3"/>
  <c r="CK159" i="3"/>
  <c r="CK158" i="3"/>
  <c r="CK157" i="3"/>
  <c r="CK156" i="3"/>
  <c r="CK155" i="3"/>
  <c r="CF159" i="3"/>
  <c r="CF192" i="3"/>
  <c r="CF158" i="3"/>
  <c r="CF157" i="3"/>
  <c r="CF156" i="3"/>
  <c r="CF155" i="3"/>
  <c r="CA159" i="3"/>
  <c r="CA158" i="3"/>
  <c r="CA192" i="3"/>
  <c r="CA157" i="3"/>
  <c r="CA156" i="3"/>
  <c r="CA155" i="3"/>
  <c r="BV159" i="3"/>
  <c r="BV158" i="3"/>
  <c r="BV157" i="3"/>
  <c r="BV156" i="3"/>
  <c r="BV155" i="3"/>
  <c r="DE159" i="3"/>
  <c r="DJ159" i="3"/>
  <c r="CZ159" i="3"/>
  <c r="CZ158" i="3"/>
  <c r="CZ157" i="3"/>
  <c r="CZ156" i="3"/>
  <c r="CZ155" i="3"/>
  <c r="CU150" i="3"/>
  <c r="CU149" i="3"/>
  <c r="CU148" i="3"/>
  <c r="CP150" i="3"/>
  <c r="CP149" i="3"/>
  <c r="CP148" i="3"/>
  <c r="CK150" i="3"/>
  <c r="CK149" i="3"/>
  <c r="CK148" i="3"/>
  <c r="CF150" i="3"/>
  <c r="CF149" i="3"/>
  <c r="CF148" i="3"/>
  <c r="CA150" i="3"/>
  <c r="CA149" i="3"/>
  <c r="CA148" i="3"/>
  <c r="CA145" i="3"/>
  <c r="BV150" i="3"/>
  <c r="BV149" i="3"/>
  <c r="BV148" i="3"/>
  <c r="BV145" i="3"/>
  <c r="CZ150" i="3"/>
  <c r="DE150" i="3"/>
  <c r="CZ149" i="3"/>
  <c r="CZ148" i="3"/>
  <c r="BN148" i="3"/>
  <c r="BK148" i="3"/>
  <c r="BJ148" i="3"/>
  <c r="BI148" i="3"/>
  <c r="BH148" i="3"/>
  <c r="BG148" i="3"/>
  <c r="BF148" i="3"/>
  <c r="BE148" i="3"/>
  <c r="BD148" i="3"/>
  <c r="BC148" i="3"/>
  <c r="BB148" i="3"/>
  <c r="AW148" i="3"/>
  <c r="AM148" i="3"/>
  <c r="AM144" i="3"/>
  <c r="BQ146" i="3"/>
  <c r="BV146" i="3" s="1"/>
  <c r="CZ145" i="3"/>
  <c r="DB290" i="3"/>
  <c r="CU145" i="3"/>
  <c r="CP145" i="3"/>
  <c r="CK145" i="3"/>
  <c r="CF145" i="3"/>
  <c r="AM145" i="3"/>
  <c r="AR290" i="3"/>
  <c r="AM143" i="3"/>
  <c r="AH145" i="3"/>
  <c r="AM290" i="3"/>
  <c r="AC145" i="3"/>
  <c r="AH290" i="3"/>
  <c r="X145" i="3"/>
  <c r="AC290" i="3"/>
  <c r="S145" i="3"/>
  <c r="X290" i="3"/>
  <c r="CY143" i="3"/>
  <c r="CX143" i="3"/>
  <c r="CX152" i="3"/>
  <c r="CX252" i="3"/>
  <c r="CW143" i="3"/>
  <c r="CW244" i="3"/>
  <c r="CV143" i="3"/>
  <c r="CV152" i="3"/>
  <c r="CV252" i="3"/>
  <c r="CT143" i="3"/>
  <c r="CS143" i="3"/>
  <c r="CS152" i="3"/>
  <c r="CS252" i="3"/>
  <c r="CR143" i="3"/>
  <c r="CQ143" i="3"/>
  <c r="CO143" i="3"/>
  <c r="CN143" i="3"/>
  <c r="CN152" i="3"/>
  <c r="CN252" i="3"/>
  <c r="CM143" i="3"/>
  <c r="CL143" i="3"/>
  <c r="CJ143" i="3"/>
  <c r="CI143" i="3"/>
  <c r="CH143" i="3"/>
  <c r="CH244" i="3"/>
  <c r="CG143" i="3"/>
  <c r="CG152" i="3"/>
  <c r="CG252" i="3"/>
  <c r="CE143" i="3"/>
  <c r="CD143" i="3"/>
  <c r="CC143" i="3"/>
  <c r="CB143" i="3"/>
  <c r="CB152" i="3"/>
  <c r="CB252" i="3"/>
  <c r="BW143" i="3"/>
  <c r="BU143" i="3"/>
  <c r="BT143" i="3"/>
  <c r="BS143" i="3"/>
  <c r="BS152" i="3"/>
  <c r="BS252" i="3"/>
  <c r="BR143" i="3"/>
  <c r="BQ143" i="3"/>
  <c r="BO143" i="3"/>
  <c r="BN143" i="3"/>
  <c r="BM143" i="3"/>
  <c r="BK143" i="3"/>
  <c r="BK152" i="3"/>
  <c r="BJ143" i="3"/>
  <c r="BI143" i="3"/>
  <c r="BI152" i="3"/>
  <c r="BH143" i="3"/>
  <c r="BG143" i="3"/>
  <c r="BG244" i="3"/>
  <c r="BF143" i="3"/>
  <c r="BE143" i="3"/>
  <c r="BE152" i="3"/>
  <c r="BD143" i="3"/>
  <c r="BC143" i="3"/>
  <c r="BC152" i="3"/>
  <c r="BB143" i="3"/>
  <c r="AW143" i="3"/>
  <c r="AW152" i="3"/>
  <c r="AW252" i="3"/>
  <c r="AR143" i="3"/>
  <c r="AH143" i="3"/>
  <c r="AC143" i="3"/>
  <c r="N143" i="3"/>
  <c r="CU142" i="3"/>
  <c r="CU141" i="3"/>
  <c r="CU140" i="3"/>
  <c r="CU139" i="3"/>
  <c r="CU138" i="3"/>
  <c r="CU137" i="3"/>
  <c r="CP142" i="3"/>
  <c r="CP141" i="3"/>
  <c r="CP140" i="3"/>
  <c r="CP139" i="3"/>
  <c r="CP138" i="3"/>
  <c r="CP137" i="3"/>
  <c r="CP143" i="3"/>
  <c r="CK142" i="3"/>
  <c r="CK141" i="3"/>
  <c r="CK140" i="3"/>
  <c r="CK139" i="3"/>
  <c r="CK138" i="3"/>
  <c r="CK137" i="3"/>
  <c r="CF142" i="3"/>
  <c r="CF141" i="3"/>
  <c r="CF140" i="3"/>
  <c r="CF139" i="3"/>
  <c r="CF138" i="3"/>
  <c r="CF137" i="3"/>
  <c r="CF11" i="8"/>
  <c r="CA142" i="3"/>
  <c r="CA141" i="3"/>
  <c r="CA140" i="3"/>
  <c r="CA139" i="3"/>
  <c r="CA138" i="3"/>
  <c r="BV142" i="3"/>
  <c r="BV141" i="3"/>
  <c r="BV140" i="3"/>
  <c r="BV139" i="3"/>
  <c r="BV138" i="3"/>
  <c r="BV137" i="3"/>
  <c r="BV11" i="8"/>
  <c r="BP142" i="3"/>
  <c r="BP143" i="3"/>
  <c r="BX138" i="3"/>
  <c r="CZ142" i="3"/>
  <c r="CZ141" i="3"/>
  <c r="CZ140" i="3"/>
  <c r="DB262" i="3"/>
  <c r="DB263" i="3" s="1"/>
  <c r="DB282" i="3" s="1"/>
  <c r="CZ139" i="3"/>
  <c r="DE138" i="3"/>
  <c r="DJ138" i="3"/>
  <c r="DK138" i="3" s="1"/>
  <c r="DL138" i="3" s="1"/>
  <c r="DM138" i="3" s="1"/>
  <c r="DN138" i="3" s="1"/>
  <c r="DO138" i="3" s="1"/>
  <c r="DP138" i="3" s="1"/>
  <c r="CZ138" i="3"/>
  <c r="CZ137" i="3"/>
  <c r="BL137" i="3"/>
  <c r="I137" i="3"/>
  <c r="BP127" i="3"/>
  <c r="CW124" i="3"/>
  <c r="CV124" i="3"/>
  <c r="CT124" i="3"/>
  <c r="CS124" i="3"/>
  <c r="CR124" i="3"/>
  <c r="CR128" i="3" s="1"/>
  <c r="CY123" i="3"/>
  <c r="CX123" i="3"/>
  <c r="CX124" i="3"/>
  <c r="CM123" i="3"/>
  <c r="CN60" i="3"/>
  <c r="CH123" i="3"/>
  <c r="CE123" i="3"/>
  <c r="CD123" i="3"/>
  <c r="BZ123" i="3"/>
  <c r="BZ60" i="3"/>
  <c r="BY123" i="3"/>
  <c r="BX123" i="3"/>
  <c r="BX60" i="3"/>
  <c r="BT123" i="3"/>
  <c r="BP123" i="3"/>
  <c r="BP122" i="3"/>
  <c r="BP121" i="3"/>
  <c r="BP120" i="3"/>
  <c r="BP118" i="3"/>
  <c r="BP117" i="3"/>
  <c r="BP119" i="3"/>
  <c r="BP115" i="3"/>
  <c r="BP49" i="3"/>
  <c r="BP114" i="3"/>
  <c r="BP113" i="3"/>
  <c r="BP47" i="3"/>
  <c r="BU122" i="3"/>
  <c r="BU121" i="3"/>
  <c r="BU58" i="3"/>
  <c r="BU302" i="3" s="1"/>
  <c r="BU120" i="3"/>
  <c r="BU118" i="3"/>
  <c r="BU52" i="3"/>
  <c r="BU53" i="3" s="1"/>
  <c r="BU117" i="3"/>
  <c r="BU115" i="3"/>
  <c r="BU49" i="3"/>
  <c r="BU114" i="3"/>
  <c r="BU116" i="3"/>
  <c r="BU113" i="3"/>
  <c r="CQ119" i="3"/>
  <c r="CO119" i="3"/>
  <c r="CO124" i="3" s="1"/>
  <c r="CN119" i="3"/>
  <c r="CM119" i="3"/>
  <c r="CL119" i="3"/>
  <c r="CJ119" i="3"/>
  <c r="CI119" i="3"/>
  <c r="CH119" i="3"/>
  <c r="CG119" i="3"/>
  <c r="CE119" i="3"/>
  <c r="CE124" i="3" s="1"/>
  <c r="CD119" i="3"/>
  <c r="CC119" i="3"/>
  <c r="CB119" i="3"/>
  <c r="BZ119" i="3"/>
  <c r="BZ124" i="3" s="1"/>
  <c r="BY119" i="3"/>
  <c r="BX119" i="3"/>
  <c r="BW119" i="3"/>
  <c r="BT119" i="3"/>
  <c r="BT124" i="3" s="1"/>
  <c r="BS119" i="3"/>
  <c r="BR119" i="3"/>
  <c r="BO119" i="3"/>
  <c r="BN119" i="3"/>
  <c r="BN124" i="3" s="1"/>
  <c r="BM119" i="3"/>
  <c r="CQ116" i="3"/>
  <c r="CO116" i="3"/>
  <c r="CN116" i="3"/>
  <c r="CM116" i="3"/>
  <c r="CL116" i="3"/>
  <c r="CL124" i="3"/>
  <c r="CJ116" i="3"/>
  <c r="CI116" i="3"/>
  <c r="CH116" i="3"/>
  <c r="CH124" i="3"/>
  <c r="CG116" i="3"/>
  <c r="CG124" i="3" s="1"/>
  <c r="CE116" i="3"/>
  <c r="CD116" i="3"/>
  <c r="CC116" i="3"/>
  <c r="CB116" i="3"/>
  <c r="CB124" i="3" s="1"/>
  <c r="BZ116" i="3"/>
  <c r="BY116" i="3"/>
  <c r="BX116" i="3"/>
  <c r="BX124" i="3"/>
  <c r="BW116" i="3"/>
  <c r="BT116" i="3"/>
  <c r="BS116" i="3"/>
  <c r="BR116" i="3"/>
  <c r="BR124" i="3" s="1"/>
  <c r="BO116" i="3"/>
  <c r="BO124" i="3" s="1"/>
  <c r="BN116" i="3"/>
  <c r="BM116" i="3"/>
  <c r="CY115" i="3"/>
  <c r="CS110" i="3"/>
  <c r="CR110" i="3"/>
  <c r="CQ110" i="3"/>
  <c r="CM110" i="3"/>
  <c r="CL110" i="3"/>
  <c r="CI110" i="3"/>
  <c r="CH110" i="3"/>
  <c r="CB110" i="3"/>
  <c r="BZ110" i="3"/>
  <c r="BY110" i="3"/>
  <c r="BX110" i="3"/>
  <c r="BW110" i="3"/>
  <c r="BT110" i="3"/>
  <c r="BS110" i="3"/>
  <c r="BR110" i="3"/>
  <c r="BO110" i="3"/>
  <c r="BN110" i="3"/>
  <c r="BM110" i="3"/>
  <c r="BU109" i="3"/>
  <c r="BU108" i="3"/>
  <c r="BU107" i="3"/>
  <c r="BU106" i="3"/>
  <c r="BU105" i="3"/>
  <c r="BU104" i="3"/>
  <c r="BU103" i="3"/>
  <c r="BU322" i="3"/>
  <c r="BU102" i="3"/>
  <c r="BU321" i="3"/>
  <c r="BP109" i="3"/>
  <c r="BP108" i="3"/>
  <c r="BP43" i="3"/>
  <c r="BP107" i="3"/>
  <c r="BP106" i="3"/>
  <c r="BP41" i="3"/>
  <c r="BP105" i="3"/>
  <c r="BP104" i="3"/>
  <c r="BP103" i="3"/>
  <c r="BP102" i="3"/>
  <c r="CY107" i="3"/>
  <c r="CX107" i="3"/>
  <c r="CX110" i="3"/>
  <c r="CW107" i="3"/>
  <c r="CV107" i="3"/>
  <c r="CV110" i="3"/>
  <c r="CD107" i="3"/>
  <c r="CD110" i="3"/>
  <c r="CC107" i="3"/>
  <c r="CC110" i="3"/>
  <c r="CJ105" i="3"/>
  <c r="CJ110" i="3"/>
  <c r="CE105" i="3"/>
  <c r="CE110" i="3"/>
  <c r="CT104" i="3"/>
  <c r="CT110" i="3"/>
  <c r="CO104" i="3"/>
  <c r="CO110" i="3"/>
  <c r="CN104" i="3"/>
  <c r="CN110" i="3"/>
  <c r="CG104" i="3"/>
  <c r="CG110" i="3"/>
  <c r="CQ98" i="3"/>
  <c r="CQ318" i="3" s="1"/>
  <c r="CV98" i="3"/>
  <c r="CT98" i="3"/>
  <c r="CS98" i="3"/>
  <c r="CR98" i="3"/>
  <c r="CO98" i="3"/>
  <c r="CO318" i="3" s="1"/>
  <c r="CN98" i="3"/>
  <c r="CN318" i="3" s="1"/>
  <c r="CM98" i="3"/>
  <c r="CM318" i="3" s="1"/>
  <c r="CJ98" i="3"/>
  <c r="CJ318" i="3"/>
  <c r="CI98" i="3"/>
  <c r="CI318" i="3" s="1"/>
  <c r="CH98" i="3"/>
  <c r="CH318" i="3"/>
  <c r="CG98" i="3"/>
  <c r="CG318" i="3" s="1"/>
  <c r="CD98" i="3"/>
  <c r="CD318" i="3" s="1"/>
  <c r="CC98" i="3"/>
  <c r="CC318" i="3" s="1"/>
  <c r="CB98" i="3"/>
  <c r="CB318" i="3" s="1"/>
  <c r="BZ98" i="3"/>
  <c r="BZ318" i="3" s="1"/>
  <c r="BX98" i="3"/>
  <c r="BX318" i="3"/>
  <c r="BW98" i="3"/>
  <c r="BW318" i="3" s="1"/>
  <c r="BT98" i="3"/>
  <c r="BT318" i="3"/>
  <c r="BS98" i="3"/>
  <c r="BS318" i="3" s="1"/>
  <c r="BR98" i="3"/>
  <c r="BR318" i="3" s="1"/>
  <c r="BO98" i="3"/>
  <c r="BO318" i="3" s="1"/>
  <c r="BN98" i="3"/>
  <c r="BN318" i="3" s="1"/>
  <c r="BM98" i="3"/>
  <c r="BM318" i="3" s="1"/>
  <c r="CW97" i="3"/>
  <c r="CX33" i="3"/>
  <c r="BU97" i="3"/>
  <c r="BU96" i="3"/>
  <c r="BU32" i="3"/>
  <c r="BU95" i="3"/>
  <c r="BU94" i="3"/>
  <c r="BU30" i="3"/>
  <c r="BU93" i="3"/>
  <c r="BU92" i="3"/>
  <c r="BP97" i="3"/>
  <c r="BP96" i="3"/>
  <c r="BP95" i="3"/>
  <c r="BP94" i="3"/>
  <c r="BP93" i="3"/>
  <c r="BP92" i="3"/>
  <c r="BP98" i="3"/>
  <c r="BY95" i="3"/>
  <c r="BY98" i="3"/>
  <c r="BY318" i="3"/>
  <c r="CY94" i="3"/>
  <c r="CY98" i="3"/>
  <c r="CX94" i="3"/>
  <c r="CW94" i="3"/>
  <c r="CL94" i="3"/>
  <c r="CL98" i="3"/>
  <c r="CL318" i="3" s="1"/>
  <c r="CE94" i="3"/>
  <c r="CE98" i="3"/>
  <c r="CE318" i="3"/>
  <c r="BU88" i="3"/>
  <c r="BU24" i="3"/>
  <c r="BU87" i="3"/>
  <c r="BU86" i="3"/>
  <c r="BU85" i="3"/>
  <c r="BU21" i="3"/>
  <c r="BU84" i="3"/>
  <c r="BU20" i="3"/>
  <c r="BU83" i="3"/>
  <c r="BU19" i="3"/>
  <c r="BU82" i="3"/>
  <c r="BU18" i="3"/>
  <c r="BU81" i="3"/>
  <c r="BU17" i="3"/>
  <c r="BU80" i="3"/>
  <c r="BU16" i="3"/>
  <c r="BU79" i="3"/>
  <c r="BU15" i="3"/>
  <c r="BU78" i="3"/>
  <c r="BP88" i="3"/>
  <c r="BP24" i="3"/>
  <c r="BP87" i="3"/>
  <c r="BP23" i="3"/>
  <c r="BP86" i="3"/>
  <c r="BP85" i="3"/>
  <c r="BP21" i="3"/>
  <c r="BP84" i="3"/>
  <c r="BP83" i="3"/>
  <c r="BP82" i="3"/>
  <c r="BP81" i="3"/>
  <c r="BP17" i="3"/>
  <c r="BP80" i="3"/>
  <c r="BP79" i="3"/>
  <c r="BP15" i="3"/>
  <c r="BP78" i="3"/>
  <c r="CU86" i="3"/>
  <c r="CS85" i="3"/>
  <c r="CS99" i="3"/>
  <c r="CT77" i="3"/>
  <c r="CT75" i="3" s="1"/>
  <c r="CS77" i="3"/>
  <c r="CS75" i="3" s="1"/>
  <c r="CR77" i="3"/>
  <c r="CR75" i="3" s="1"/>
  <c r="CQ77" i="3"/>
  <c r="CQ75" i="3" s="1"/>
  <c r="CO77" i="3"/>
  <c r="CO75" i="3" s="1"/>
  <c r="CN77" i="3"/>
  <c r="CN75" i="3" s="1"/>
  <c r="CM77" i="3"/>
  <c r="CM75" i="3" s="1"/>
  <c r="CL77" i="3"/>
  <c r="CL75" i="3" s="1"/>
  <c r="CJ77" i="3"/>
  <c r="CJ75" i="3" s="1"/>
  <c r="CI77" i="3"/>
  <c r="CI75" i="3" s="1"/>
  <c r="CH77" i="3"/>
  <c r="CH75" i="3" s="1"/>
  <c r="CG77" i="3"/>
  <c r="CG75" i="3" s="1"/>
  <c r="CE77" i="3"/>
  <c r="CE75" i="3" s="1"/>
  <c r="CD77" i="3"/>
  <c r="CD75" i="3" s="1"/>
  <c r="CC77" i="3"/>
  <c r="CC75" i="3" s="1"/>
  <c r="CB77" i="3"/>
  <c r="CB75" i="3" s="1"/>
  <c r="BZ77" i="3"/>
  <c r="BZ75" i="3" s="1"/>
  <c r="BY77" i="3"/>
  <c r="BY75" i="3" s="1"/>
  <c r="BX77" i="3"/>
  <c r="BX75" i="3" s="1"/>
  <c r="BW77" i="3"/>
  <c r="BW75" i="3" s="1"/>
  <c r="BT75" i="3"/>
  <c r="BS75" i="3"/>
  <c r="BR75" i="3"/>
  <c r="BO75" i="3"/>
  <c r="BN75" i="3"/>
  <c r="BM75" i="3"/>
  <c r="BP73" i="3"/>
  <c r="BP72" i="3"/>
  <c r="BP316" i="3"/>
  <c r="CQ72" i="3"/>
  <c r="CQ99" i="3"/>
  <c r="AM64" i="3"/>
  <c r="CT64" i="3"/>
  <c r="CS64" i="3"/>
  <c r="CQ64" i="3"/>
  <c r="CU64" i="3"/>
  <c r="CZ62" i="3"/>
  <c r="CZ56" i="3"/>
  <c r="CT62" i="3"/>
  <c r="CS62" i="3"/>
  <c r="D61" i="3"/>
  <c r="DO60" i="3"/>
  <c r="DO57" i="3"/>
  <c r="DO56" i="3"/>
  <c r="DJ56" i="3"/>
  <c r="CY60" i="3"/>
  <c r="CX60" i="3"/>
  <c r="CW60" i="3"/>
  <c r="CV60" i="3"/>
  <c r="CT60" i="3"/>
  <c r="CS60" i="3"/>
  <c r="CR60" i="3"/>
  <c r="CQ60" i="3"/>
  <c r="CO60" i="3"/>
  <c r="CM60" i="3"/>
  <c r="CL60" i="3"/>
  <c r="CJ60" i="3"/>
  <c r="CI60" i="3"/>
  <c r="CH60" i="3"/>
  <c r="CG60" i="3"/>
  <c r="CE60" i="3"/>
  <c r="CD60" i="3"/>
  <c r="CC60" i="3"/>
  <c r="CB60" i="3"/>
  <c r="BY60" i="3"/>
  <c r="BW60" i="3"/>
  <c r="BV60" i="3"/>
  <c r="BT60" i="3"/>
  <c r="BS60" i="3"/>
  <c r="BR60" i="3"/>
  <c r="DN59" i="3"/>
  <c r="DM59" i="3"/>
  <c r="DL59" i="3"/>
  <c r="DK59" i="3"/>
  <c r="BU59" i="3"/>
  <c r="BU197" i="3" s="1"/>
  <c r="BT59" i="3"/>
  <c r="BS59" i="3"/>
  <c r="BS197" i="3" s="1"/>
  <c r="BR59" i="3"/>
  <c r="BR197" i="3" s="1"/>
  <c r="BT58" i="3"/>
  <c r="BS58" i="3"/>
  <c r="BR58" i="3"/>
  <c r="BU57" i="3"/>
  <c r="BT57" i="3"/>
  <c r="BS57" i="3"/>
  <c r="BR57" i="3"/>
  <c r="BP60" i="3"/>
  <c r="BO60" i="3"/>
  <c r="BN60" i="3"/>
  <c r="BM60" i="3"/>
  <c r="BP59" i="3"/>
  <c r="BP197" i="3" s="1"/>
  <c r="BO59" i="3"/>
  <c r="BO197" i="3" s="1"/>
  <c r="BN59" i="3"/>
  <c r="BN197" i="3" s="1"/>
  <c r="BM59" i="3"/>
  <c r="BM197" i="3" s="1"/>
  <c r="BP58" i="3"/>
  <c r="BP204" i="3" s="1"/>
  <c r="BP205" i="3" s="1"/>
  <c r="BO58" i="3"/>
  <c r="BN58" i="3"/>
  <c r="BN204" i="3"/>
  <c r="BN206" i="3" s="1"/>
  <c r="BM58" i="3"/>
  <c r="BP57" i="3"/>
  <c r="BO57" i="3"/>
  <c r="BN57" i="3"/>
  <c r="BM57" i="3"/>
  <c r="DN56" i="3"/>
  <c r="DM56" i="3"/>
  <c r="DL56" i="3"/>
  <c r="DK56" i="3"/>
  <c r="CY59" i="3"/>
  <c r="CX59" i="3"/>
  <c r="CX197" i="3" s="1"/>
  <c r="CX198" i="3" s="1"/>
  <c r="CX202" i="3" s="1"/>
  <c r="CX49" i="2" s="1"/>
  <c r="CW59" i="3"/>
  <c r="CW197" i="3" s="1"/>
  <c r="CV59" i="3"/>
  <c r="CT59" i="3"/>
  <c r="CS59" i="3"/>
  <c r="CR59" i="3"/>
  <c r="CQ59" i="3"/>
  <c r="CO59" i="3"/>
  <c r="CO197" i="3" s="1"/>
  <c r="CN59" i="3"/>
  <c r="CM59" i="3"/>
  <c r="CM197" i="3" s="1"/>
  <c r="CL59" i="3"/>
  <c r="CJ59" i="3"/>
  <c r="CI59" i="3"/>
  <c r="CI197" i="3" s="1"/>
  <c r="CI196" i="3" s="1"/>
  <c r="CH59" i="3"/>
  <c r="CH197" i="3"/>
  <c r="CH196" i="3" s="1"/>
  <c r="CG59" i="3"/>
  <c r="CG197" i="3" s="1"/>
  <c r="CE59" i="3"/>
  <c r="CE197" i="3" s="1"/>
  <c r="CE196" i="3" s="1"/>
  <c r="CD59" i="3"/>
  <c r="CC59" i="3"/>
  <c r="CC197" i="3" s="1"/>
  <c r="CC196" i="3" s="1"/>
  <c r="CB59" i="3"/>
  <c r="BZ59" i="3"/>
  <c r="BZ176" i="3" s="1"/>
  <c r="CA176" i="3" s="1"/>
  <c r="BY59" i="3"/>
  <c r="BX59" i="3"/>
  <c r="BW59" i="3"/>
  <c r="BW197" i="3" s="1"/>
  <c r="BW198" i="3" s="1"/>
  <c r="BW202" i="3" s="1"/>
  <c r="BW49" i="2" s="1"/>
  <c r="CY58" i="3"/>
  <c r="CY302" i="3" s="1"/>
  <c r="CX58" i="3"/>
  <c r="CX302" i="3" s="1"/>
  <c r="CW58" i="3"/>
  <c r="CW302" i="3" s="1"/>
  <c r="CV58" i="3"/>
  <c r="CV302" i="3" s="1"/>
  <c r="CT58" i="3"/>
  <c r="CT302" i="3" s="1"/>
  <c r="CS58" i="3"/>
  <c r="CS302" i="3" s="1"/>
  <c r="CR58" i="3"/>
  <c r="CR302" i="3" s="1"/>
  <c r="CQ58" i="3"/>
  <c r="CO58" i="3"/>
  <c r="CO204" i="3"/>
  <c r="CN58" i="3"/>
  <c r="CM58" i="3"/>
  <c r="CL58" i="3"/>
  <c r="CJ58" i="3"/>
  <c r="CJ302" i="3" s="1"/>
  <c r="CI58" i="3"/>
  <c r="CH58" i="3"/>
  <c r="CG58" i="3"/>
  <c r="CE58" i="3"/>
  <c r="CD58" i="3"/>
  <c r="CC58" i="3"/>
  <c r="CB58" i="3"/>
  <c r="BZ58" i="3"/>
  <c r="BY58" i="3"/>
  <c r="BY302" i="3"/>
  <c r="BX58" i="3"/>
  <c r="BW58" i="3"/>
  <c r="CY57" i="3"/>
  <c r="CX57" i="3"/>
  <c r="CW57" i="3"/>
  <c r="CV57" i="3"/>
  <c r="CZ57" i="3" s="1"/>
  <c r="CT57" i="3"/>
  <c r="CS57" i="3"/>
  <c r="CR57" i="3"/>
  <c r="CQ57" i="3"/>
  <c r="CO57" i="3"/>
  <c r="CN57" i="3"/>
  <c r="CM57" i="3"/>
  <c r="CL57" i="3"/>
  <c r="CJ57" i="3"/>
  <c r="CI57" i="3"/>
  <c r="CH57" i="3"/>
  <c r="CG57" i="3"/>
  <c r="CE57" i="3"/>
  <c r="CD57" i="3"/>
  <c r="CC57" i="3"/>
  <c r="CB57" i="3"/>
  <c r="CF57" i="3" s="1"/>
  <c r="BZ57" i="3"/>
  <c r="BY57" i="3"/>
  <c r="BX57" i="3"/>
  <c r="BW57" i="3"/>
  <c r="CY56" i="3"/>
  <c r="CX56" i="3"/>
  <c r="CW56" i="3"/>
  <c r="CV56" i="3"/>
  <c r="CU56" i="3"/>
  <c r="CT56" i="3"/>
  <c r="CS56" i="3"/>
  <c r="CR56" i="3"/>
  <c r="CQ56" i="3"/>
  <c r="CP56" i="3"/>
  <c r="CO56" i="3"/>
  <c r="CN56" i="3"/>
  <c r="CM56" i="3"/>
  <c r="CL56" i="3"/>
  <c r="CK56" i="3"/>
  <c r="CJ56" i="3"/>
  <c r="CI56" i="3"/>
  <c r="CH56" i="3"/>
  <c r="CG56" i="3"/>
  <c r="CF56" i="3"/>
  <c r="CE56" i="3"/>
  <c r="CD56" i="3"/>
  <c r="CC56" i="3"/>
  <c r="CB56" i="3"/>
  <c r="CA56" i="3"/>
  <c r="BZ56" i="3"/>
  <c r="BY56" i="3"/>
  <c r="BX56" i="3"/>
  <c r="BW56" i="3"/>
  <c r="DN53" i="3"/>
  <c r="DM53" i="3"/>
  <c r="DL53" i="3"/>
  <c r="DK53" i="3"/>
  <c r="CV53" i="3"/>
  <c r="BV53" i="3"/>
  <c r="BQ53" i="3"/>
  <c r="BL53" i="3"/>
  <c r="BG53" i="3"/>
  <c r="BB53" i="3"/>
  <c r="AW53" i="3"/>
  <c r="AR53" i="3"/>
  <c r="AM53" i="3"/>
  <c r="AH53" i="3"/>
  <c r="AC53" i="3"/>
  <c r="X53" i="3"/>
  <c r="S53" i="3"/>
  <c r="N53" i="3"/>
  <c r="I53" i="3"/>
  <c r="DO52" i="3"/>
  <c r="DO51" i="3"/>
  <c r="DO53" i="3"/>
  <c r="DO47" i="3"/>
  <c r="DJ52" i="3"/>
  <c r="DJ47" i="3"/>
  <c r="CY52" i="3"/>
  <c r="CX52" i="3"/>
  <c r="CW52" i="3"/>
  <c r="CY51" i="3"/>
  <c r="CY53" i="3"/>
  <c r="CX51" i="3"/>
  <c r="CW51" i="3"/>
  <c r="CT52" i="3"/>
  <c r="CS52" i="3"/>
  <c r="CS53" i="3" s="1"/>
  <c r="CR52" i="3"/>
  <c r="CQ52" i="3"/>
  <c r="CO52" i="3"/>
  <c r="CN52" i="3"/>
  <c r="CM52" i="3"/>
  <c r="CL52" i="3"/>
  <c r="CJ52" i="3"/>
  <c r="CI52" i="3"/>
  <c r="CH52" i="3"/>
  <c r="CG52" i="3"/>
  <c r="CE52" i="3"/>
  <c r="CD52" i="3"/>
  <c r="CC52" i="3"/>
  <c r="CB52" i="3"/>
  <c r="BZ52" i="3"/>
  <c r="BY52" i="3"/>
  <c r="CA52" i="3" s="1"/>
  <c r="BX52" i="3"/>
  <c r="BW52" i="3"/>
  <c r="CT51" i="3"/>
  <c r="CT53" i="3"/>
  <c r="CS51" i="3"/>
  <c r="CR51" i="3"/>
  <c r="CQ51" i="3"/>
  <c r="CO51" i="3"/>
  <c r="CO53" i="3" s="1"/>
  <c r="CN51" i="3"/>
  <c r="CM51" i="3"/>
  <c r="CL51" i="3"/>
  <c r="CJ51" i="3"/>
  <c r="CJ53" i="3" s="1"/>
  <c r="CI51" i="3"/>
  <c r="CH51" i="3"/>
  <c r="CG51" i="3"/>
  <c r="CE51" i="3"/>
  <c r="CD51" i="3"/>
  <c r="CC51" i="3"/>
  <c r="CC53" i="3"/>
  <c r="CB51" i="3"/>
  <c r="BZ51" i="3"/>
  <c r="BY51" i="3"/>
  <c r="BY53" i="3" s="1"/>
  <c r="BX51" i="3"/>
  <c r="BW51" i="3"/>
  <c r="BT52" i="3"/>
  <c r="BS52" i="3"/>
  <c r="BR52" i="3"/>
  <c r="BU51" i="3"/>
  <c r="BT51" i="3"/>
  <c r="BT53" i="3" s="1"/>
  <c r="BS51" i="3"/>
  <c r="BS53" i="3" s="1"/>
  <c r="BS61" i="3" s="1"/>
  <c r="BR51" i="3"/>
  <c r="BR53" i="3" s="1"/>
  <c r="BP52" i="3"/>
  <c r="BO52" i="3"/>
  <c r="BN52" i="3"/>
  <c r="BM52" i="3"/>
  <c r="BO51" i="3"/>
  <c r="BN51" i="3"/>
  <c r="BN53" i="3" s="1"/>
  <c r="BM51" i="3"/>
  <c r="BV50" i="3"/>
  <c r="BQ50" i="3"/>
  <c r="BG50" i="3"/>
  <c r="AR50" i="3"/>
  <c r="AR61" i="3"/>
  <c r="AM50" i="3"/>
  <c r="AM61" i="3"/>
  <c r="AH50" i="3"/>
  <c r="AH61" i="3"/>
  <c r="AC50" i="3"/>
  <c r="AC61" i="3"/>
  <c r="X50" i="3"/>
  <c r="X61" i="3"/>
  <c r="S50" i="3"/>
  <c r="S61" i="3"/>
  <c r="N50" i="3"/>
  <c r="N61" i="3"/>
  <c r="I50" i="3"/>
  <c r="I61" i="3"/>
  <c r="CX49" i="3"/>
  <c r="CW49" i="3"/>
  <c r="CV49" i="3"/>
  <c r="CT49" i="3"/>
  <c r="CT50" i="3" s="1"/>
  <c r="CS49" i="3"/>
  <c r="CR49" i="3"/>
  <c r="CQ49" i="3"/>
  <c r="CU49" i="3"/>
  <c r="CO49" i="3"/>
  <c r="CN49" i="3"/>
  <c r="CM49" i="3"/>
  <c r="CL49" i="3"/>
  <c r="CJ49" i="3"/>
  <c r="CI49" i="3"/>
  <c r="CH49" i="3"/>
  <c r="CG49" i="3"/>
  <c r="CE49" i="3"/>
  <c r="CD49" i="3"/>
  <c r="CC49" i="3"/>
  <c r="CB49" i="3"/>
  <c r="CF49" i="3" s="1"/>
  <c r="BZ49" i="3"/>
  <c r="BY49" i="3"/>
  <c r="BX49" i="3"/>
  <c r="BW49" i="3"/>
  <c r="CY48" i="3"/>
  <c r="CX48" i="3"/>
  <c r="CX50" i="3" s="1"/>
  <c r="CW48" i="3"/>
  <c r="CT48" i="3"/>
  <c r="CS48" i="3"/>
  <c r="CS50" i="3" s="1"/>
  <c r="CR48" i="3"/>
  <c r="CU48" i="3" s="1"/>
  <c r="CQ48" i="3"/>
  <c r="CO48" i="3"/>
  <c r="CO50" i="3"/>
  <c r="CN48" i="3"/>
  <c r="CN50" i="3"/>
  <c r="CM48" i="3"/>
  <c r="CM50" i="3"/>
  <c r="CL48" i="3"/>
  <c r="CJ48" i="3"/>
  <c r="CI48" i="3"/>
  <c r="CI50" i="3"/>
  <c r="CH48" i="3"/>
  <c r="CH50" i="3" s="1"/>
  <c r="CG48" i="3"/>
  <c r="CE48" i="3"/>
  <c r="CD48" i="3"/>
  <c r="CD50" i="3" s="1"/>
  <c r="CC48" i="3"/>
  <c r="CC50" i="3" s="1"/>
  <c r="CB48" i="3"/>
  <c r="BZ48" i="3"/>
  <c r="BZ50" i="3" s="1"/>
  <c r="BY48" i="3"/>
  <c r="BY50" i="3" s="1"/>
  <c r="BX48" i="3"/>
  <c r="BX50" i="3" s="1"/>
  <c r="BW48" i="3"/>
  <c r="BL48" i="3"/>
  <c r="BL50" i="3"/>
  <c r="BL61" i="3"/>
  <c r="BB48" i="3"/>
  <c r="BB50" i="3"/>
  <c r="BB61" i="3"/>
  <c r="AW48" i="3"/>
  <c r="AW50" i="3"/>
  <c r="CZ47" i="3"/>
  <c r="CU47" i="3"/>
  <c r="CO47" i="3"/>
  <c r="CN47" i="3"/>
  <c r="CM47" i="3"/>
  <c r="CL47" i="3"/>
  <c r="CI47" i="3"/>
  <c r="CH47" i="3"/>
  <c r="CG47" i="3"/>
  <c r="CE47" i="3"/>
  <c r="CD47" i="3"/>
  <c r="CC47" i="3"/>
  <c r="CB47" i="3"/>
  <c r="BZ47" i="3"/>
  <c r="BY47" i="3"/>
  <c r="BX47" i="3"/>
  <c r="CA47" i="3" s="1"/>
  <c r="BW47" i="3"/>
  <c r="BT49" i="3"/>
  <c r="BS49" i="3"/>
  <c r="BR49" i="3"/>
  <c r="BU48" i="3"/>
  <c r="BU50" i="3" s="1"/>
  <c r="BT48" i="3"/>
  <c r="BS48" i="3"/>
  <c r="BR48" i="3"/>
  <c r="BU47" i="3"/>
  <c r="BT47" i="3"/>
  <c r="BS47" i="3"/>
  <c r="BR47" i="3"/>
  <c r="BO49" i="3"/>
  <c r="BN49" i="3"/>
  <c r="BN50" i="3" s="1"/>
  <c r="BM49" i="3"/>
  <c r="BP48" i="3"/>
  <c r="BO48" i="3"/>
  <c r="BO50" i="3" s="1"/>
  <c r="BN48" i="3"/>
  <c r="BM48" i="3"/>
  <c r="BM50" i="3" s="1"/>
  <c r="BO47" i="3"/>
  <c r="BN47" i="3"/>
  <c r="BM47" i="3"/>
  <c r="CV45" i="3"/>
  <c r="BV45" i="3"/>
  <c r="BQ45" i="3"/>
  <c r="BL45" i="3"/>
  <c r="BB45" i="3"/>
  <c r="AW45" i="3"/>
  <c r="AR45" i="3"/>
  <c r="AM45" i="3"/>
  <c r="AH45" i="3"/>
  <c r="AC45" i="3"/>
  <c r="X45" i="3"/>
  <c r="S45" i="3"/>
  <c r="N45" i="3"/>
  <c r="I45" i="3"/>
  <c r="DO44" i="3"/>
  <c r="DO43" i="3"/>
  <c r="DO42" i="3"/>
  <c r="DO41" i="3"/>
  <c r="DO40" i="3"/>
  <c r="DO39" i="3"/>
  <c r="DJ44" i="3"/>
  <c r="DJ40" i="3"/>
  <c r="CY44" i="3"/>
  <c r="CX44" i="3"/>
  <c r="CW44" i="3"/>
  <c r="CY43" i="3"/>
  <c r="CX43" i="3"/>
  <c r="CW43" i="3"/>
  <c r="CY41" i="3"/>
  <c r="CX41" i="3"/>
  <c r="CW41" i="3"/>
  <c r="CY40" i="3"/>
  <c r="CX40" i="3"/>
  <c r="CW40" i="3"/>
  <c r="CY39" i="3"/>
  <c r="CX39" i="3"/>
  <c r="CW39" i="3"/>
  <c r="CY38" i="3"/>
  <c r="CX38" i="3"/>
  <c r="CZ38" i="3" s="1"/>
  <c r="CZ322" i="3" s="1"/>
  <c r="CW38" i="3"/>
  <c r="BG38" i="3"/>
  <c r="DO38" i="3"/>
  <c r="DO322" i="3" s="1"/>
  <c r="DH300" i="3"/>
  <c r="CY37" i="3"/>
  <c r="CX37" i="3"/>
  <c r="CW37" i="3"/>
  <c r="CT44" i="3"/>
  <c r="CS44" i="3"/>
  <c r="CR44" i="3"/>
  <c r="CQ44" i="3"/>
  <c r="CO44" i="3"/>
  <c r="CN44" i="3"/>
  <c r="CM44" i="3"/>
  <c r="CL44" i="3"/>
  <c r="CJ44" i="3"/>
  <c r="CI44" i="3"/>
  <c r="CH44" i="3"/>
  <c r="CG44" i="3"/>
  <c r="CK44" i="3" s="1"/>
  <c r="CE44" i="3"/>
  <c r="CD44" i="3"/>
  <c r="CC44" i="3"/>
  <c r="CB44" i="3"/>
  <c r="CF44" i="3" s="1"/>
  <c r="BZ44" i="3"/>
  <c r="BY44" i="3"/>
  <c r="BX44" i="3"/>
  <c r="BW44" i="3"/>
  <c r="CT43" i="3"/>
  <c r="CS43" i="3"/>
  <c r="CR43" i="3"/>
  <c r="CQ43" i="3"/>
  <c r="CO43" i="3"/>
  <c r="CN43" i="3"/>
  <c r="CM43" i="3"/>
  <c r="CL43" i="3"/>
  <c r="CJ43" i="3"/>
  <c r="CI43" i="3"/>
  <c r="CH43" i="3"/>
  <c r="CK43" i="3" s="1"/>
  <c r="CG43" i="3"/>
  <c r="CE43" i="3"/>
  <c r="CD43" i="3"/>
  <c r="CC43" i="3"/>
  <c r="CB43" i="3"/>
  <c r="BZ43" i="3"/>
  <c r="BY43" i="3"/>
  <c r="BX43" i="3"/>
  <c r="CA43" i="3" s="1"/>
  <c r="BW43" i="3"/>
  <c r="CT42" i="3"/>
  <c r="CS42" i="3"/>
  <c r="CR42" i="3"/>
  <c r="CQ42" i="3"/>
  <c r="CO42" i="3"/>
  <c r="CN42" i="3"/>
  <c r="CM42" i="3"/>
  <c r="CP42" i="3" s="1"/>
  <c r="CL42" i="3"/>
  <c r="CJ42" i="3"/>
  <c r="CI42" i="3"/>
  <c r="CH42" i="3"/>
  <c r="CG42" i="3"/>
  <c r="CE42" i="3"/>
  <c r="CD42" i="3"/>
  <c r="CC42" i="3"/>
  <c r="CB42" i="3"/>
  <c r="BZ42" i="3"/>
  <c r="BY42" i="3"/>
  <c r="BX42" i="3"/>
  <c r="BW42" i="3"/>
  <c r="CT41" i="3"/>
  <c r="CS41" i="3"/>
  <c r="CR41" i="3"/>
  <c r="CQ41" i="3"/>
  <c r="CO41" i="3"/>
  <c r="CN41" i="3"/>
  <c r="CM41" i="3"/>
  <c r="CL41" i="3"/>
  <c r="CJ41" i="3"/>
  <c r="CI41" i="3"/>
  <c r="CH41" i="3"/>
  <c r="CG41" i="3"/>
  <c r="CE41" i="3"/>
  <c r="CD41" i="3"/>
  <c r="CC41" i="3"/>
  <c r="CB41" i="3"/>
  <c r="BZ41" i="3"/>
  <c r="BY41" i="3"/>
  <c r="BX41" i="3"/>
  <c r="BW41" i="3"/>
  <c r="CA41" i="3" s="1"/>
  <c r="CT40" i="3"/>
  <c r="CU40" i="3" s="1"/>
  <c r="CS40" i="3"/>
  <c r="CR40" i="3"/>
  <c r="CQ40" i="3"/>
  <c r="CO40" i="3"/>
  <c r="CP40" i="3" s="1"/>
  <c r="CN40" i="3"/>
  <c r="CM40" i="3"/>
  <c r="CL40" i="3"/>
  <c r="CJ40" i="3"/>
  <c r="CI40" i="3"/>
  <c r="CH40" i="3"/>
  <c r="CG40" i="3"/>
  <c r="CE40" i="3"/>
  <c r="CF40" i="3" s="1"/>
  <c r="CD40" i="3"/>
  <c r="CC40" i="3"/>
  <c r="CB40" i="3"/>
  <c r="BZ40" i="3"/>
  <c r="CA40" i="3" s="1"/>
  <c r="BY40" i="3"/>
  <c r="BX40" i="3"/>
  <c r="BW40" i="3"/>
  <c r="CT39" i="3"/>
  <c r="CU39" i="3" s="1"/>
  <c r="CS39" i="3"/>
  <c r="CR39" i="3"/>
  <c r="CQ39" i="3"/>
  <c r="CO39" i="3"/>
  <c r="CN39" i="3"/>
  <c r="CM39" i="3"/>
  <c r="CL39" i="3"/>
  <c r="CJ39" i="3"/>
  <c r="CI39" i="3"/>
  <c r="CH39" i="3"/>
  <c r="CG39" i="3"/>
  <c r="CE39" i="3"/>
  <c r="CF39" i="3" s="1"/>
  <c r="CD39" i="3"/>
  <c r="CC39" i="3"/>
  <c r="CB39" i="3"/>
  <c r="BZ39" i="3"/>
  <c r="CA39" i="3" s="1"/>
  <c r="BY39" i="3"/>
  <c r="BX39" i="3"/>
  <c r="BW39" i="3"/>
  <c r="CT38" i="3"/>
  <c r="CS38" i="3"/>
  <c r="CR38" i="3"/>
  <c r="CQ38" i="3"/>
  <c r="CO38" i="3"/>
  <c r="CO300" i="3" s="1"/>
  <c r="CN38" i="3"/>
  <c r="CM38" i="3"/>
  <c r="CL38" i="3"/>
  <c r="CJ38" i="3"/>
  <c r="CI38" i="3"/>
  <c r="CH38" i="3"/>
  <c r="CG38" i="3"/>
  <c r="CK38" i="3"/>
  <c r="CK322" i="3" s="1"/>
  <c r="CE38" i="3"/>
  <c r="CD38" i="3"/>
  <c r="CC38" i="3"/>
  <c r="CB38" i="3"/>
  <c r="CF38" i="3" s="1"/>
  <c r="CF322" i="3" s="1"/>
  <c r="BZ38" i="3"/>
  <c r="BY38" i="3"/>
  <c r="BX38" i="3"/>
  <c r="BW38" i="3"/>
  <c r="CT37" i="3"/>
  <c r="CS37" i="3"/>
  <c r="CR37" i="3"/>
  <c r="CR300" i="3" s="1"/>
  <c r="CQ37" i="3"/>
  <c r="CQ290" i="3" s="1"/>
  <c r="CO37" i="3"/>
  <c r="CN37" i="3"/>
  <c r="CN45" i="3" s="1"/>
  <c r="CM37" i="3"/>
  <c r="CL37" i="3"/>
  <c r="CJ37" i="3"/>
  <c r="CI37" i="3"/>
  <c r="CH37" i="3"/>
  <c r="CG37" i="3"/>
  <c r="CE37" i="3"/>
  <c r="CD37" i="3"/>
  <c r="CC37" i="3"/>
  <c r="CB37" i="3"/>
  <c r="BZ37" i="3"/>
  <c r="BY37" i="3"/>
  <c r="BX37" i="3"/>
  <c r="BX290" i="3" s="1"/>
  <c r="BW37" i="3"/>
  <c r="BU44" i="3"/>
  <c r="BT44" i="3"/>
  <c r="BS44" i="3"/>
  <c r="BR44" i="3"/>
  <c r="BU43" i="3"/>
  <c r="BT43" i="3"/>
  <c r="BS43" i="3"/>
  <c r="BR43" i="3"/>
  <c r="BU42" i="3"/>
  <c r="BT42" i="3"/>
  <c r="BS42" i="3"/>
  <c r="BR42" i="3"/>
  <c r="BU41" i="3"/>
  <c r="BT41" i="3"/>
  <c r="BS41" i="3"/>
  <c r="BR41" i="3"/>
  <c r="BU40" i="3"/>
  <c r="BT40" i="3"/>
  <c r="BS40" i="3"/>
  <c r="BR40" i="3"/>
  <c r="BU39" i="3"/>
  <c r="BT39" i="3"/>
  <c r="BS39" i="3"/>
  <c r="BR39" i="3"/>
  <c r="BU38" i="3"/>
  <c r="BT38" i="3"/>
  <c r="BS38" i="3"/>
  <c r="BR38" i="3"/>
  <c r="BU37" i="3"/>
  <c r="BT37" i="3"/>
  <c r="BS37" i="3"/>
  <c r="BR37" i="3"/>
  <c r="BR45" i="3"/>
  <c r="BP44" i="3"/>
  <c r="BO44" i="3"/>
  <c r="BN44" i="3"/>
  <c r="BM44" i="3"/>
  <c r="BO43" i="3"/>
  <c r="BN43" i="3"/>
  <c r="BM43" i="3"/>
  <c r="BP42" i="3"/>
  <c r="BO42" i="3"/>
  <c r="BN42" i="3"/>
  <c r="BN45" i="3" s="1"/>
  <c r="BM42" i="3"/>
  <c r="BO41" i="3"/>
  <c r="BN41" i="3"/>
  <c r="BM41" i="3"/>
  <c r="BP40" i="3"/>
  <c r="BO40" i="3"/>
  <c r="BN40" i="3"/>
  <c r="BM40" i="3"/>
  <c r="BP39" i="3"/>
  <c r="BO39" i="3"/>
  <c r="BN39" i="3"/>
  <c r="BM39" i="3"/>
  <c r="BO38" i="3"/>
  <c r="BN38" i="3"/>
  <c r="BM38" i="3"/>
  <c r="BO37" i="3"/>
  <c r="BN37" i="3"/>
  <c r="BM37" i="3"/>
  <c r="BG35" i="3"/>
  <c r="BG34" i="3"/>
  <c r="BG299" i="3"/>
  <c r="BB34" i="3"/>
  <c r="AW34" i="3"/>
  <c r="AR34" i="3"/>
  <c r="AR299" i="3"/>
  <c r="AH34" i="3"/>
  <c r="AH299" i="3"/>
  <c r="AC34" i="3"/>
  <c r="X34" i="3"/>
  <c r="X299" i="3"/>
  <c r="S35" i="3"/>
  <c r="S312" i="3"/>
  <c r="S34" i="3"/>
  <c r="S299" i="3"/>
  <c r="N34" i="3"/>
  <c r="N299" i="3"/>
  <c r="I34" i="3"/>
  <c r="I299" i="3"/>
  <c r="CV34" i="3"/>
  <c r="CV299" i="3"/>
  <c r="BV34" i="3"/>
  <c r="BQ34" i="3"/>
  <c r="BL31" i="3"/>
  <c r="BL34" i="3"/>
  <c r="AM31" i="3"/>
  <c r="AM29" i="3"/>
  <c r="AM28" i="3"/>
  <c r="CY33" i="3"/>
  <c r="CW33" i="3"/>
  <c r="CY32" i="3"/>
  <c r="CX32" i="3"/>
  <c r="CW32" i="3"/>
  <c r="CY31" i="3"/>
  <c r="CX31" i="3"/>
  <c r="CW31" i="3"/>
  <c r="CY29" i="3"/>
  <c r="CZ29" i="3" s="1"/>
  <c r="CX29" i="3"/>
  <c r="CW29" i="3"/>
  <c r="CY28" i="3"/>
  <c r="CX28" i="3"/>
  <c r="CW28" i="3"/>
  <c r="CT33" i="3"/>
  <c r="CS33" i="3"/>
  <c r="CR33" i="3"/>
  <c r="CQ33" i="3"/>
  <c r="CO33" i="3"/>
  <c r="CN33" i="3"/>
  <c r="CM33" i="3"/>
  <c r="CM34" i="3" s="1"/>
  <c r="CM299" i="3" s="1"/>
  <c r="CL33" i="3"/>
  <c r="CJ33" i="3"/>
  <c r="CI33" i="3"/>
  <c r="CH33" i="3"/>
  <c r="CG33" i="3"/>
  <c r="CE33" i="3"/>
  <c r="CD33" i="3"/>
  <c r="CC33" i="3"/>
  <c r="CF33" i="3" s="1"/>
  <c r="CB33" i="3"/>
  <c r="BZ33" i="3"/>
  <c r="BY33" i="3"/>
  <c r="BX33" i="3"/>
  <c r="BW33" i="3"/>
  <c r="CT32" i="3"/>
  <c r="CS32" i="3"/>
  <c r="CR32" i="3"/>
  <c r="CQ32" i="3"/>
  <c r="CO32" i="3"/>
  <c r="CN32" i="3"/>
  <c r="CM32" i="3"/>
  <c r="CL32" i="3"/>
  <c r="CJ32" i="3"/>
  <c r="CI32" i="3"/>
  <c r="CH32" i="3"/>
  <c r="CG32" i="3"/>
  <c r="CE32" i="3"/>
  <c r="CD32" i="3"/>
  <c r="CC32" i="3"/>
  <c r="CB32" i="3"/>
  <c r="BZ32" i="3"/>
  <c r="BY32" i="3"/>
  <c r="BX32" i="3"/>
  <c r="BW32" i="3"/>
  <c r="CT31" i="3"/>
  <c r="CS31" i="3"/>
  <c r="CU31" i="3" s="1"/>
  <c r="CR31" i="3"/>
  <c r="CQ31" i="3"/>
  <c r="CO31" i="3"/>
  <c r="CN31" i="3"/>
  <c r="CM31" i="3"/>
  <c r="CL31" i="3"/>
  <c r="CP31" i="3" s="1"/>
  <c r="CJ31" i="3"/>
  <c r="CK31" i="3" s="1"/>
  <c r="CI31" i="3"/>
  <c r="CH31" i="3"/>
  <c r="CG31" i="3"/>
  <c r="CE31" i="3"/>
  <c r="CD31" i="3"/>
  <c r="CC31" i="3"/>
  <c r="CB31" i="3"/>
  <c r="BZ31" i="3"/>
  <c r="BY31" i="3"/>
  <c r="BX31" i="3"/>
  <c r="BW31" i="3"/>
  <c r="CT30" i="3"/>
  <c r="CS30" i="3"/>
  <c r="CR30" i="3"/>
  <c r="CQ30" i="3"/>
  <c r="CO30" i="3"/>
  <c r="CN30" i="3"/>
  <c r="CM30" i="3"/>
  <c r="CL30" i="3"/>
  <c r="CJ30" i="3"/>
  <c r="CK30" i="3" s="1"/>
  <c r="CI30" i="3"/>
  <c r="CH30" i="3"/>
  <c r="CG30" i="3"/>
  <c r="CE30" i="3"/>
  <c r="CD30" i="3"/>
  <c r="CC30" i="3"/>
  <c r="CB30" i="3"/>
  <c r="BZ30" i="3"/>
  <c r="BY30" i="3"/>
  <c r="BX30" i="3"/>
  <c r="BW30" i="3"/>
  <c r="CT29" i="3"/>
  <c r="CS29" i="3"/>
  <c r="CR29" i="3"/>
  <c r="CQ29" i="3"/>
  <c r="CU29" i="3"/>
  <c r="CO29" i="3"/>
  <c r="CN29" i="3"/>
  <c r="CM29" i="3"/>
  <c r="CL29" i="3"/>
  <c r="CP29" i="3" s="1"/>
  <c r="CJ29" i="3"/>
  <c r="CI29" i="3"/>
  <c r="CH29" i="3"/>
  <c r="CG29" i="3"/>
  <c r="CK29" i="3" s="1"/>
  <c r="CE29" i="3"/>
  <c r="CD29" i="3"/>
  <c r="CC29" i="3"/>
  <c r="CB29" i="3"/>
  <c r="BZ29" i="3"/>
  <c r="BY29" i="3"/>
  <c r="BX29" i="3"/>
  <c r="BW29" i="3"/>
  <c r="CT28" i="3"/>
  <c r="CS28" i="3"/>
  <c r="CR28" i="3"/>
  <c r="CQ28" i="3"/>
  <c r="CO28" i="3"/>
  <c r="CN28" i="3"/>
  <c r="CM28" i="3"/>
  <c r="CL28" i="3"/>
  <c r="CJ28" i="3"/>
  <c r="CI28" i="3"/>
  <c r="CH28" i="3"/>
  <c r="CG28" i="3"/>
  <c r="CE28" i="3"/>
  <c r="CD28" i="3"/>
  <c r="CD34" i="3"/>
  <c r="CD299" i="3" s="1"/>
  <c r="CC28" i="3"/>
  <c r="CB28" i="3"/>
  <c r="CF28" i="3" s="1"/>
  <c r="BZ28" i="3"/>
  <c r="BY28" i="3"/>
  <c r="BX28" i="3"/>
  <c r="BW28" i="3"/>
  <c r="BU33" i="3"/>
  <c r="BT33" i="3"/>
  <c r="BS33" i="3"/>
  <c r="BR33" i="3"/>
  <c r="BT32" i="3"/>
  <c r="BS32" i="3"/>
  <c r="BR32" i="3"/>
  <c r="BU31" i="3"/>
  <c r="BT31" i="3"/>
  <c r="BS31" i="3"/>
  <c r="BR31" i="3"/>
  <c r="BT30" i="3"/>
  <c r="BS30" i="3"/>
  <c r="BR30" i="3"/>
  <c r="BU29" i="3"/>
  <c r="BT29" i="3"/>
  <c r="BS29" i="3"/>
  <c r="BR29" i="3"/>
  <c r="BT28" i="3"/>
  <c r="BS28" i="3"/>
  <c r="BR28" i="3"/>
  <c r="BP33" i="3"/>
  <c r="BO33" i="3"/>
  <c r="BN33" i="3"/>
  <c r="BM33" i="3"/>
  <c r="BP32" i="3"/>
  <c r="BO32" i="3"/>
  <c r="BN32" i="3"/>
  <c r="BM32" i="3"/>
  <c r="BP31" i="3"/>
  <c r="BO31" i="3"/>
  <c r="BN31" i="3"/>
  <c r="BM31" i="3"/>
  <c r="BP30" i="3"/>
  <c r="BO30" i="3"/>
  <c r="BN30" i="3"/>
  <c r="BM30" i="3"/>
  <c r="BP29" i="3"/>
  <c r="BO29" i="3"/>
  <c r="BN29" i="3"/>
  <c r="BM29" i="3"/>
  <c r="BP28" i="3"/>
  <c r="BP34" i="3" s="1"/>
  <c r="BP299" i="3" s="1"/>
  <c r="BO28" i="3"/>
  <c r="BO34" i="3"/>
  <c r="BO299" i="3" s="1"/>
  <c r="BN28" i="3"/>
  <c r="BM28" i="3"/>
  <c r="BM34" i="3" s="1"/>
  <c r="BM299" i="3" s="1"/>
  <c r="CV26" i="3"/>
  <c r="BV26" i="3"/>
  <c r="BQ26" i="3"/>
  <c r="BL26" i="3"/>
  <c r="BG26" i="3"/>
  <c r="BB26" i="3"/>
  <c r="AW26" i="3"/>
  <c r="AR26" i="3"/>
  <c r="AM26" i="3"/>
  <c r="AH26" i="3"/>
  <c r="AC26" i="3"/>
  <c r="X26" i="3"/>
  <c r="S26" i="3"/>
  <c r="N26" i="3"/>
  <c r="I26" i="3"/>
  <c r="CZ24" i="3"/>
  <c r="CU24" i="3"/>
  <c r="CO24" i="3"/>
  <c r="CN24" i="3"/>
  <c r="CM24" i="3"/>
  <c r="CL24" i="3"/>
  <c r="CJ24" i="3"/>
  <c r="CI24" i="3"/>
  <c r="CH24" i="3"/>
  <c r="CG24" i="3"/>
  <c r="CK24" i="3" s="1"/>
  <c r="CE24" i="3"/>
  <c r="CD24" i="3"/>
  <c r="CC24" i="3"/>
  <c r="CB24" i="3"/>
  <c r="CF24" i="3" s="1"/>
  <c r="BZ24" i="3"/>
  <c r="BY24" i="3"/>
  <c r="BX24" i="3"/>
  <c r="BW24" i="3"/>
  <c r="DO23" i="3"/>
  <c r="DO22" i="3"/>
  <c r="DO18" i="3"/>
  <c r="DO17" i="3"/>
  <c r="DO16" i="3"/>
  <c r="DO15" i="3"/>
  <c r="DJ17" i="3"/>
  <c r="CY23" i="3"/>
  <c r="CX23" i="3"/>
  <c r="CZ23" i="3" s="1"/>
  <c r="CW23" i="3"/>
  <c r="CY22" i="3"/>
  <c r="CZ22" i="3" s="1"/>
  <c r="CX22" i="3"/>
  <c r="CW22" i="3"/>
  <c r="CY21" i="3"/>
  <c r="CX21" i="3"/>
  <c r="CW21" i="3"/>
  <c r="CY20" i="3"/>
  <c r="CX20" i="3"/>
  <c r="CW20" i="3"/>
  <c r="CZ20" i="3" s="1"/>
  <c r="CY19" i="3"/>
  <c r="CX19" i="3"/>
  <c r="CW19" i="3"/>
  <c r="CY18" i="3"/>
  <c r="CX18" i="3"/>
  <c r="CW18" i="3"/>
  <c r="CY17" i="3"/>
  <c r="CX17" i="3"/>
  <c r="CW17" i="3"/>
  <c r="CY16" i="3"/>
  <c r="CX16" i="3"/>
  <c r="CW16" i="3"/>
  <c r="CY15" i="3"/>
  <c r="CX15" i="3"/>
  <c r="CW15" i="3"/>
  <c r="BT24" i="3"/>
  <c r="BS24" i="3"/>
  <c r="BR24" i="3"/>
  <c r="BT23" i="3"/>
  <c r="BS23" i="3"/>
  <c r="BR23" i="3"/>
  <c r="BU22" i="3"/>
  <c r="BT22" i="3"/>
  <c r="BS22" i="3"/>
  <c r="BR22" i="3"/>
  <c r="BT21" i="3"/>
  <c r="BS21" i="3"/>
  <c r="BR21" i="3"/>
  <c r="BT20" i="3"/>
  <c r="BS20" i="3"/>
  <c r="BR20" i="3"/>
  <c r="BT19" i="3"/>
  <c r="BS19" i="3"/>
  <c r="BR19" i="3"/>
  <c r="BT18" i="3"/>
  <c r="BS18" i="3"/>
  <c r="BS26" i="3" s="1"/>
  <c r="BR18" i="3"/>
  <c r="BT17" i="3"/>
  <c r="BS17" i="3"/>
  <c r="BR17" i="3"/>
  <c r="BR26" i="3" s="1"/>
  <c r="BT16" i="3"/>
  <c r="BS16" i="3"/>
  <c r="BR16" i="3"/>
  <c r="BT15" i="3"/>
  <c r="BT26" i="3" s="1"/>
  <c r="BS15" i="3"/>
  <c r="BR15" i="3"/>
  <c r="BO24" i="3"/>
  <c r="BN24" i="3"/>
  <c r="BM24" i="3"/>
  <c r="BO23" i="3"/>
  <c r="BN23" i="3"/>
  <c r="BM23" i="3"/>
  <c r="BP22" i="3"/>
  <c r="BO22" i="3"/>
  <c r="BN22" i="3"/>
  <c r="BM22" i="3"/>
  <c r="BO21" i="3"/>
  <c r="BN21" i="3"/>
  <c r="BM21" i="3"/>
  <c r="BP20" i="3"/>
  <c r="BO20" i="3"/>
  <c r="BN20" i="3"/>
  <c r="BM20" i="3"/>
  <c r="BO19" i="3"/>
  <c r="BN19" i="3"/>
  <c r="BM19" i="3"/>
  <c r="BP18" i="3"/>
  <c r="BO18" i="3"/>
  <c r="BO26" i="3" s="1"/>
  <c r="BN18" i="3"/>
  <c r="BM18" i="3"/>
  <c r="BO17" i="3"/>
  <c r="BN17" i="3"/>
  <c r="BM17" i="3"/>
  <c r="BP16" i="3"/>
  <c r="BO16" i="3"/>
  <c r="BN16" i="3"/>
  <c r="BM16" i="3"/>
  <c r="BO15" i="3"/>
  <c r="BN15" i="3"/>
  <c r="BM15" i="3"/>
  <c r="CY14" i="3"/>
  <c r="CY298" i="3"/>
  <c r="CX14" i="3"/>
  <c r="CX298" i="3" s="1"/>
  <c r="CW14" i="3"/>
  <c r="CW298" i="3" s="1"/>
  <c r="CY13" i="3"/>
  <c r="CY11" i="3" s="1"/>
  <c r="CY12" i="3" s="1"/>
  <c r="CX13" i="3"/>
  <c r="CX11" i="3" s="1"/>
  <c r="CX12" i="3" s="1"/>
  <c r="CW13" i="3"/>
  <c r="CW11" i="3" s="1"/>
  <c r="CV13" i="3"/>
  <c r="CV11" i="3" s="1"/>
  <c r="CV14" i="3" s="1"/>
  <c r="BG13" i="3"/>
  <c r="BG11" i="3" s="1"/>
  <c r="BG12" i="3" s="1"/>
  <c r="BG138" i="2" s="1"/>
  <c r="BB13" i="3"/>
  <c r="BB11" i="3" s="1"/>
  <c r="BB12" i="3" s="1"/>
  <c r="BB138" i="2" s="1"/>
  <c r="AW13" i="3"/>
  <c r="AW11" i="3" s="1"/>
  <c r="AW12" i="3" s="1"/>
  <c r="AW138" i="2" s="1"/>
  <c r="AR13" i="3"/>
  <c r="AR11" i="3" s="1"/>
  <c r="AR12" i="3" s="1"/>
  <c r="AR138" i="2" s="1"/>
  <c r="AM13" i="3"/>
  <c r="AM11" i="3" s="1"/>
  <c r="AM12" i="3" s="1"/>
  <c r="AM138" i="2" s="1"/>
  <c r="AH13" i="3"/>
  <c r="AH11" i="3" s="1"/>
  <c r="AH12" i="3" s="1"/>
  <c r="AH138" i="2" s="1"/>
  <c r="D13" i="3"/>
  <c r="AC11" i="3"/>
  <c r="AC12" i="3" s="1"/>
  <c r="AC138" i="2" s="1"/>
  <c r="X11" i="3"/>
  <c r="X12" i="3" s="1"/>
  <c r="X138" i="2" s="1"/>
  <c r="S11" i="3"/>
  <c r="S12" i="3" s="1"/>
  <c r="S138" i="2" s="1"/>
  <c r="N11" i="3"/>
  <c r="N12" i="3" s="1"/>
  <c r="N138" i="2" s="1"/>
  <c r="CT23" i="3"/>
  <c r="CS23" i="3"/>
  <c r="CR23" i="3"/>
  <c r="CQ23" i="3"/>
  <c r="CU23" i="3" s="1"/>
  <c r="CO23" i="3"/>
  <c r="CN23" i="3"/>
  <c r="CM23" i="3"/>
  <c r="CL23" i="3"/>
  <c r="CP23" i="3" s="1"/>
  <c r="CJ23" i="3"/>
  <c r="CI23" i="3"/>
  <c r="CH23" i="3"/>
  <c r="CG23" i="3"/>
  <c r="CK23" i="3" s="1"/>
  <c r="CE23" i="3"/>
  <c r="CD23" i="3"/>
  <c r="CC23" i="3"/>
  <c r="CB23" i="3"/>
  <c r="CF23" i="3" s="1"/>
  <c r="BZ23" i="3"/>
  <c r="BY23" i="3"/>
  <c r="BX23" i="3"/>
  <c r="BW23" i="3"/>
  <c r="CT22" i="3"/>
  <c r="CS22" i="3"/>
  <c r="CR22" i="3"/>
  <c r="CQ22" i="3"/>
  <c r="CO22" i="3"/>
  <c r="CN22" i="3"/>
  <c r="CM22" i="3"/>
  <c r="CL22" i="3"/>
  <c r="CP22" i="3" s="1"/>
  <c r="CJ22" i="3"/>
  <c r="CI22" i="3"/>
  <c r="CH22" i="3"/>
  <c r="CG22" i="3"/>
  <c r="CK22" i="3" s="1"/>
  <c r="CE22" i="3"/>
  <c r="CD22" i="3"/>
  <c r="CC22" i="3"/>
  <c r="CB22" i="3"/>
  <c r="BZ22" i="3"/>
  <c r="BY22" i="3"/>
  <c r="BX22" i="3"/>
  <c r="BW22" i="3"/>
  <c r="CT21" i="3"/>
  <c r="CS21" i="3"/>
  <c r="CR21" i="3"/>
  <c r="CQ21" i="3"/>
  <c r="CO21" i="3"/>
  <c r="CN21" i="3"/>
  <c r="CM21" i="3"/>
  <c r="CL21" i="3"/>
  <c r="CP21" i="3" s="1"/>
  <c r="CJ21" i="3"/>
  <c r="CI21" i="3"/>
  <c r="CH21" i="3"/>
  <c r="CG21" i="3"/>
  <c r="CE21" i="3"/>
  <c r="CD21" i="3"/>
  <c r="CC21" i="3"/>
  <c r="CB21" i="3"/>
  <c r="BZ21" i="3"/>
  <c r="BY21" i="3"/>
  <c r="BX21" i="3"/>
  <c r="BW21" i="3"/>
  <c r="CT20" i="3"/>
  <c r="CS20" i="3"/>
  <c r="CR20" i="3"/>
  <c r="CQ20" i="3"/>
  <c r="CO20" i="3"/>
  <c r="CN20" i="3"/>
  <c r="CM20" i="3"/>
  <c r="CL20" i="3"/>
  <c r="CP20" i="3" s="1"/>
  <c r="CJ20" i="3"/>
  <c r="CI20" i="3"/>
  <c r="CH20" i="3"/>
  <c r="CG20" i="3"/>
  <c r="CE20" i="3"/>
  <c r="CD20" i="3"/>
  <c r="CC20" i="3"/>
  <c r="CB20" i="3"/>
  <c r="CF20" i="3" s="1"/>
  <c r="BZ20" i="3"/>
  <c r="BY20" i="3"/>
  <c r="BX20" i="3"/>
  <c r="BW20" i="3"/>
  <c r="CT19" i="3"/>
  <c r="CS19" i="3"/>
  <c r="CR19" i="3"/>
  <c r="CQ19" i="3"/>
  <c r="CO19" i="3"/>
  <c r="CN19" i="3"/>
  <c r="CM19" i="3"/>
  <c r="CL19" i="3"/>
  <c r="CJ19" i="3"/>
  <c r="CI19" i="3"/>
  <c r="CH19" i="3"/>
  <c r="CG19" i="3"/>
  <c r="CE19" i="3"/>
  <c r="CD19" i="3"/>
  <c r="CC19" i="3"/>
  <c r="CB19" i="3"/>
  <c r="BZ19" i="3"/>
  <c r="BY19" i="3"/>
  <c r="BX19" i="3"/>
  <c r="BW19" i="3"/>
  <c r="CT18" i="3"/>
  <c r="CS18" i="3"/>
  <c r="CR18" i="3"/>
  <c r="CQ18" i="3"/>
  <c r="CO18" i="3"/>
  <c r="CN18" i="3"/>
  <c r="CM18" i="3"/>
  <c r="CL18" i="3"/>
  <c r="CJ18" i="3"/>
  <c r="CI18" i="3"/>
  <c r="CH18" i="3"/>
  <c r="CG18" i="3"/>
  <c r="CE18" i="3"/>
  <c r="CD18" i="3"/>
  <c r="CC18" i="3"/>
  <c r="CB18" i="3"/>
  <c r="BZ18" i="3"/>
  <c r="BY18" i="3"/>
  <c r="BX18" i="3"/>
  <c r="BW18" i="3"/>
  <c r="CT17" i="3"/>
  <c r="CS17" i="3"/>
  <c r="CR17" i="3"/>
  <c r="CQ17" i="3"/>
  <c r="CO17" i="3"/>
  <c r="CN17" i="3"/>
  <c r="CM17" i="3"/>
  <c r="CL17" i="3"/>
  <c r="CJ17" i="3"/>
  <c r="CI17" i="3"/>
  <c r="CH17" i="3"/>
  <c r="CG17" i="3"/>
  <c r="CE17" i="3"/>
  <c r="CD17" i="3"/>
  <c r="CC17" i="3"/>
  <c r="CB17" i="3"/>
  <c r="BZ17" i="3"/>
  <c r="BY17" i="3"/>
  <c r="BX17" i="3"/>
  <c r="BW17" i="3"/>
  <c r="CT16" i="3"/>
  <c r="CS16" i="3"/>
  <c r="CR16" i="3"/>
  <c r="CQ16" i="3"/>
  <c r="CO16" i="3"/>
  <c r="CN16" i="3"/>
  <c r="CM16" i="3"/>
  <c r="CL16" i="3"/>
  <c r="CJ16" i="3"/>
  <c r="CI16" i="3"/>
  <c r="CH16" i="3"/>
  <c r="CG16" i="3"/>
  <c r="CE16" i="3"/>
  <c r="CD16" i="3"/>
  <c r="CC16" i="3"/>
  <c r="CB16" i="3"/>
  <c r="CF16" i="3" s="1"/>
  <c r="BZ16" i="3"/>
  <c r="BY16" i="3"/>
  <c r="BX16" i="3"/>
  <c r="BW16" i="3"/>
  <c r="CT15" i="3"/>
  <c r="CS15" i="3"/>
  <c r="CR15" i="3"/>
  <c r="CQ15" i="3"/>
  <c r="CO15" i="3"/>
  <c r="CN15" i="3"/>
  <c r="CM15" i="3"/>
  <c r="CL15" i="3"/>
  <c r="CJ15" i="3"/>
  <c r="CI15" i="3"/>
  <c r="CH15" i="3"/>
  <c r="CG15" i="3"/>
  <c r="CE15" i="3"/>
  <c r="CF15" i="3" s="1"/>
  <c r="CD15" i="3"/>
  <c r="CC15" i="3"/>
  <c r="CB15" i="3"/>
  <c r="BZ15" i="3"/>
  <c r="BY15" i="3"/>
  <c r="BX15" i="3"/>
  <c r="BW15" i="3"/>
  <c r="CT14" i="3"/>
  <c r="CT298" i="3" s="1"/>
  <c r="CS14" i="3"/>
  <c r="CS298" i="3"/>
  <c r="CR14" i="3"/>
  <c r="CQ14" i="3"/>
  <c r="CQ298" i="3" s="1"/>
  <c r="CT13" i="3"/>
  <c r="CT11" i="3" s="1"/>
  <c r="CT12" i="3" s="1"/>
  <c r="CS13" i="3"/>
  <c r="CS11" i="3" s="1"/>
  <c r="CS12" i="3" s="1"/>
  <c r="CR13" i="3"/>
  <c r="CQ13" i="3"/>
  <c r="CQ11" i="3" s="1"/>
  <c r="CO13" i="3"/>
  <c r="CO11" i="3" s="1"/>
  <c r="CN13" i="3"/>
  <c r="CM13" i="3"/>
  <c r="CL13" i="3"/>
  <c r="CJ13" i="3"/>
  <c r="CI13" i="3"/>
  <c r="CH13" i="3"/>
  <c r="CG13" i="3"/>
  <c r="CE13" i="3"/>
  <c r="CD13" i="3"/>
  <c r="CC13" i="3"/>
  <c r="CB13" i="3"/>
  <c r="BZ13" i="3"/>
  <c r="BY13" i="3"/>
  <c r="BX13" i="3"/>
  <c r="BW13" i="3"/>
  <c r="BV13" i="3"/>
  <c r="BU13" i="3"/>
  <c r="BT13" i="3"/>
  <c r="BS13" i="3"/>
  <c r="BR13" i="3"/>
  <c r="BQ13" i="3"/>
  <c r="BP77" i="3" s="1"/>
  <c r="BP13" i="3"/>
  <c r="BO13" i="3"/>
  <c r="BN13" i="3"/>
  <c r="BM13" i="3"/>
  <c r="BL13" i="3"/>
  <c r="BL11" i="3" s="1"/>
  <c r="BL12" i="3" s="1"/>
  <c r="BL138" i="2" s="1"/>
  <c r="I11" i="3"/>
  <c r="BV9" i="3"/>
  <c r="BU73" i="3" s="1"/>
  <c r="CY8" i="3"/>
  <c r="CX8" i="3"/>
  <c r="CW8" i="3"/>
  <c r="CT8" i="3"/>
  <c r="CS8" i="3"/>
  <c r="CS210" i="3" s="1"/>
  <c r="CR8" i="3"/>
  <c r="DO6" i="3"/>
  <c r="DO135" i="3" s="1"/>
  <c r="DN6" i="3"/>
  <c r="DN135" i="3" s="1"/>
  <c r="DM6" i="3"/>
  <c r="DM135" i="3" s="1"/>
  <c r="DL6" i="3"/>
  <c r="DL135" i="3" s="1"/>
  <c r="DK6" i="3"/>
  <c r="DK135" i="3" s="1"/>
  <c r="DJ6" i="3"/>
  <c r="DI6" i="3"/>
  <c r="DH6" i="3"/>
  <c r="DG6" i="3"/>
  <c r="DF6" i="3"/>
  <c r="DE6" i="3"/>
  <c r="DE135" i="3" s="1"/>
  <c r="DD6" i="3"/>
  <c r="DD135" i="3" s="1"/>
  <c r="DC6" i="3"/>
  <c r="DC135" i="3" s="1"/>
  <c r="DB6" i="3"/>
  <c r="DB135" i="3" s="1"/>
  <c r="DA6" i="3"/>
  <c r="DA135" i="3" s="1"/>
  <c r="CZ6" i="3"/>
  <c r="CZ135" i="3" s="1"/>
  <c r="CY6" i="3"/>
  <c r="CY135" i="3" s="1"/>
  <c r="CX6" i="3"/>
  <c r="CX135" i="3" s="1"/>
  <c r="CW6" i="3"/>
  <c r="CW135" i="3" s="1"/>
  <c r="CV6" i="3"/>
  <c r="CU6" i="3"/>
  <c r="CU135" i="3" s="1"/>
  <c r="CT6" i="3"/>
  <c r="CS6" i="3"/>
  <c r="CS70" i="3" s="1"/>
  <c r="CR6" i="3"/>
  <c r="CQ6" i="3"/>
  <c r="CP6" i="3"/>
  <c r="CP135" i="3" s="1"/>
  <c r="CO6" i="3"/>
  <c r="CO135" i="3" s="1"/>
  <c r="CN6" i="3"/>
  <c r="CM6" i="3"/>
  <c r="CL6" i="3"/>
  <c r="CL135" i="3" s="1"/>
  <c r="CK6" i="3"/>
  <c r="CK135" i="3" s="1"/>
  <c r="CJ6" i="3"/>
  <c r="CJ135" i="3" s="1"/>
  <c r="CI6" i="3"/>
  <c r="CI135" i="3" s="1"/>
  <c r="CH6" i="3"/>
  <c r="CH135" i="3" s="1"/>
  <c r="CG6" i="3"/>
  <c r="CG135" i="3" s="1"/>
  <c r="CF6" i="3"/>
  <c r="CF135" i="3" s="1"/>
  <c r="CE6" i="3"/>
  <c r="CE135" i="3" s="1"/>
  <c r="CD6" i="3"/>
  <c r="CD135" i="3" s="1"/>
  <c r="CC6" i="3"/>
  <c r="CC135" i="3" s="1"/>
  <c r="CB6" i="3"/>
  <c r="CB135" i="3" s="1"/>
  <c r="CA6" i="3"/>
  <c r="CA135" i="3" s="1"/>
  <c r="BZ6" i="3"/>
  <c r="BZ135" i="3" s="1"/>
  <c r="BY6" i="3"/>
  <c r="BY135" i="3" s="1"/>
  <c r="BX6" i="3"/>
  <c r="BX135" i="3" s="1"/>
  <c r="BW6" i="3"/>
  <c r="BW135" i="3" s="1"/>
  <c r="BV6" i="3"/>
  <c r="BV135" i="3" s="1"/>
  <c r="BU6" i="3"/>
  <c r="BT6" i="3"/>
  <c r="BS6" i="3"/>
  <c r="BR6" i="3"/>
  <c r="BQ6" i="3"/>
  <c r="BP6" i="3"/>
  <c r="BO6" i="3"/>
  <c r="BN6" i="3"/>
  <c r="BM6" i="3"/>
  <c r="BL6" i="3"/>
  <c r="BK6" i="3"/>
  <c r="BJ6" i="3"/>
  <c r="BI6" i="3"/>
  <c r="BH6" i="3"/>
  <c r="BG6" i="3"/>
  <c r="BF6" i="3"/>
  <c r="BE6" i="3"/>
  <c r="BD6" i="3"/>
  <c r="BC6" i="3"/>
  <c r="BB6" i="3"/>
  <c r="BA6" i="3"/>
  <c r="AZ6" i="3"/>
  <c r="AY6" i="3"/>
  <c r="AX6" i="3"/>
  <c r="AW6" i="3"/>
  <c r="AV6" i="3"/>
  <c r="AU6" i="3"/>
  <c r="AT6" i="3"/>
  <c r="AS6" i="3"/>
  <c r="AR6" i="3"/>
  <c r="AQ6" i="3"/>
  <c r="AP6" i="3"/>
  <c r="AO6" i="3"/>
  <c r="AN6" i="3"/>
  <c r="AM6" i="3"/>
  <c r="AL6" i="3"/>
  <c r="AK6" i="3"/>
  <c r="AJ6" i="3"/>
  <c r="AI6" i="3"/>
  <c r="AH6" i="3"/>
  <c r="AG6" i="3"/>
  <c r="AF6" i="3"/>
  <c r="AE6" i="3"/>
  <c r="AD6" i="3"/>
  <c r="AC6" i="3"/>
  <c r="AB6" i="3"/>
  <c r="AA6" i="3"/>
  <c r="Z6" i="3"/>
  <c r="Y6" i="3"/>
  <c r="X6" i="3"/>
  <c r="W6" i="3"/>
  <c r="V6" i="3"/>
  <c r="U6" i="3"/>
  <c r="T6" i="3"/>
  <c r="S6" i="3"/>
  <c r="R6" i="3"/>
  <c r="Q6" i="3"/>
  <c r="P6" i="3"/>
  <c r="O6" i="3"/>
  <c r="N6" i="3"/>
  <c r="M6" i="3"/>
  <c r="L6" i="3"/>
  <c r="K6" i="3"/>
  <c r="J6" i="3"/>
  <c r="I6" i="3"/>
  <c r="H6" i="3"/>
  <c r="G6" i="3"/>
  <c r="F6" i="3"/>
  <c r="E6" i="3"/>
  <c r="DO4" i="3"/>
  <c r="DJ4" i="3"/>
  <c r="DE4" i="3"/>
  <c r="CZ4" i="3"/>
  <c r="CU4" i="3"/>
  <c r="CP4" i="3"/>
  <c r="CK4" i="3"/>
  <c r="CF4" i="3"/>
  <c r="CA4" i="3"/>
  <c r="BV4" i="3"/>
  <c r="BQ4" i="3"/>
  <c r="BL4" i="3"/>
  <c r="BG4" i="3"/>
  <c r="BB4" i="3"/>
  <c r="AW4" i="3"/>
  <c r="AR4" i="3"/>
  <c r="AM4" i="3"/>
  <c r="AH4" i="3"/>
  <c r="B3" i="3"/>
  <c r="DC1" i="3"/>
  <c r="CX43" i="2"/>
  <c r="CX39" i="2"/>
  <c r="AC152" i="3"/>
  <c r="AC252" i="3"/>
  <c r="DA298" i="3"/>
  <c r="BL299" i="3"/>
  <c r="BT300" i="3"/>
  <c r="BT290" i="3"/>
  <c r="CC290" i="3"/>
  <c r="CG290" i="3"/>
  <c r="CG300" i="3"/>
  <c r="CY300" i="3"/>
  <c r="CY290" i="3"/>
  <c r="CQ50" i="3"/>
  <c r="BW53" i="3"/>
  <c r="CQ53" i="3"/>
  <c r="CB302" i="3"/>
  <c r="CB204" i="3"/>
  <c r="CN302" i="3"/>
  <c r="CN204" i="3"/>
  <c r="BP302" i="3"/>
  <c r="BQ35" i="3"/>
  <c r="BQ312" i="3"/>
  <c r="BZ290" i="3"/>
  <c r="CD300" i="3"/>
  <c r="CD290" i="3"/>
  <c r="CH290" i="3"/>
  <c r="CL290" i="3"/>
  <c r="CP48" i="3"/>
  <c r="CK52" i="3"/>
  <c r="CC302" i="3"/>
  <c r="CG302" i="3"/>
  <c r="CG204" i="3"/>
  <c r="CG206" i="3" s="1"/>
  <c r="BM302" i="3"/>
  <c r="BM204" i="3"/>
  <c r="BM206" i="3" s="1"/>
  <c r="BV318" i="3"/>
  <c r="BV299" i="3"/>
  <c r="BM290" i="3"/>
  <c r="BM300" i="3"/>
  <c r="BR300" i="3"/>
  <c r="BR290" i="3"/>
  <c r="BW290" i="3"/>
  <c r="BW146" i="3"/>
  <c r="BX146" i="3" s="1"/>
  <c r="BY146" i="3" s="1"/>
  <c r="BZ146" i="3" s="1"/>
  <c r="CI300" i="3"/>
  <c r="CQ300" i="3"/>
  <c r="BT45" i="3"/>
  <c r="DE162" i="3"/>
  <c r="DA192" i="3"/>
  <c r="CD302" i="3"/>
  <c r="CD204" i="3"/>
  <c r="CL302" i="3"/>
  <c r="CL204" i="3"/>
  <c r="CZ58" i="3"/>
  <c r="CZ302" i="3" s="1"/>
  <c r="CS128" i="3"/>
  <c r="CP244" i="3"/>
  <c r="N35" i="3"/>
  <c r="N312" i="3"/>
  <c r="X35" i="3"/>
  <c r="X312" i="3"/>
  <c r="AH35" i="3"/>
  <c r="AH312" i="3"/>
  <c r="AR35" i="3"/>
  <c r="BN300" i="3"/>
  <c r="BN290" i="3"/>
  <c r="BS300" i="3"/>
  <c r="CN300" i="3"/>
  <c r="CN290" i="3"/>
  <c r="CR290" i="3"/>
  <c r="CZ51" i="3"/>
  <c r="CI302" i="3"/>
  <c r="CI204" i="3"/>
  <c r="CQ302" i="3"/>
  <c r="CQ204" i="3"/>
  <c r="CU58" i="3"/>
  <c r="CU302" i="3" s="1"/>
  <c r="BO302" i="3"/>
  <c r="BO204" i="3"/>
  <c r="BO205" i="3" s="1"/>
  <c r="BT302" i="3"/>
  <c r="BT204" i="3"/>
  <c r="BT205" i="3" s="1"/>
  <c r="CM124" i="3"/>
  <c r="CS318" i="3"/>
  <c r="CZ255" i="3"/>
  <c r="CC262" i="3"/>
  <c r="CC263" i="3" s="1"/>
  <c r="CC282" i="3" s="1"/>
  <c r="CA255" i="3"/>
  <c r="CM262" i="3"/>
  <c r="CM263" i="3" s="1"/>
  <c r="CM282" i="3" s="1"/>
  <c r="CK255" i="3"/>
  <c r="CU255" i="3"/>
  <c r="N250" i="3"/>
  <c r="N244" i="3"/>
  <c r="N239" i="3"/>
  <c r="AH250" i="3"/>
  <c r="AH244" i="3"/>
  <c r="AH239" i="3"/>
  <c r="BG250" i="3"/>
  <c r="BS239" i="3"/>
  <c r="BW239" i="3"/>
  <c r="CI244" i="3"/>
  <c r="CU143" i="3"/>
  <c r="CM278" i="3"/>
  <c r="CM279" i="3" s="1"/>
  <c r="CM284" i="3" s="1"/>
  <c r="N251" i="3"/>
  <c r="N245" i="3"/>
  <c r="N240" i="3"/>
  <c r="AH251" i="3"/>
  <c r="AH245" i="3"/>
  <c r="AH240" i="3"/>
  <c r="BN251" i="3"/>
  <c r="BN245" i="3"/>
  <c r="BN240" i="3"/>
  <c r="BZ245" i="3"/>
  <c r="BZ240" i="3"/>
  <c r="CH251" i="3"/>
  <c r="CH245" i="3"/>
  <c r="CH246" i="3" s="1"/>
  <c r="CH240" i="3"/>
  <c r="CL245" i="3"/>
  <c r="CT251" i="3"/>
  <c r="CT240" i="3"/>
  <c r="CX251" i="3"/>
  <c r="CX245" i="3"/>
  <c r="CX240" i="3"/>
  <c r="N165" i="3"/>
  <c r="AH165" i="3"/>
  <c r="BW169" i="3"/>
  <c r="BX169" i="3"/>
  <c r="BY169" i="3"/>
  <c r="BL187" i="3"/>
  <c r="BL188" i="3" s="1"/>
  <c r="CN186" i="3"/>
  <c r="BL251" i="3"/>
  <c r="CF270" i="3"/>
  <c r="CF143" i="3"/>
  <c r="CN244" i="3"/>
  <c r="CR250" i="3"/>
  <c r="CV250" i="3"/>
  <c r="CV244" i="3"/>
  <c r="AM239" i="3"/>
  <c r="BG245" i="3"/>
  <c r="BG246" i="3" s="1"/>
  <c r="BS251" i="3"/>
  <c r="BS245" i="3"/>
  <c r="BS240" i="3"/>
  <c r="CA160" i="3"/>
  <c r="CE251" i="3"/>
  <c r="CE245" i="3"/>
  <c r="CE240" i="3"/>
  <c r="CM251" i="3"/>
  <c r="CM240" i="3"/>
  <c r="I251" i="3"/>
  <c r="BV262" i="3"/>
  <c r="BV263" i="3" s="1"/>
  <c r="BV282" i="3" s="1"/>
  <c r="BV255" i="3"/>
  <c r="BV257" i="3" s="1"/>
  <c r="CH262" i="3"/>
  <c r="CH263" i="3" s="1"/>
  <c r="CH282" i="3" s="1"/>
  <c r="CF255" i="3"/>
  <c r="CR262" i="3"/>
  <c r="CR263" i="3" s="1"/>
  <c r="CR282" i="3" s="1"/>
  <c r="CP255" i="3"/>
  <c r="AW250" i="3"/>
  <c r="AW244" i="3"/>
  <c r="AW239" i="3"/>
  <c r="BM244" i="3"/>
  <c r="BQ244" i="3"/>
  <c r="CC239" i="3"/>
  <c r="CO244" i="3"/>
  <c r="CS244" i="3"/>
  <c r="CW250" i="3"/>
  <c r="N152" i="3"/>
  <c r="N252" i="3"/>
  <c r="AH152" i="3"/>
  <c r="AH252" i="3"/>
  <c r="CF216" i="3"/>
  <c r="X245" i="3"/>
  <c r="X240" i="3"/>
  <c r="AR251" i="3"/>
  <c r="AR240" i="3"/>
  <c r="BT251" i="3"/>
  <c r="BX240" i="3"/>
  <c r="CJ251" i="3"/>
  <c r="CJ240" i="3"/>
  <c r="CR251" i="3"/>
  <c r="CR240" i="3"/>
  <c r="CR245" i="3"/>
  <c r="CV251" i="3"/>
  <c r="CV240" i="3"/>
  <c r="CV245" i="3"/>
  <c r="CV246" i="3" s="1"/>
  <c r="X165" i="3"/>
  <c r="X179" i="3"/>
  <c r="BN165" i="3"/>
  <c r="BN179" i="3"/>
  <c r="BZ165" i="3"/>
  <c r="CH165" i="3"/>
  <c r="CH179" i="3"/>
  <c r="CL165" i="3"/>
  <c r="CX165" i="3"/>
  <c r="I143" i="3"/>
  <c r="AC244" i="3"/>
  <c r="BB250" i="3"/>
  <c r="BB239" i="3"/>
  <c r="BB241" i="3" s="1"/>
  <c r="BN244" i="3"/>
  <c r="CX250" i="3"/>
  <c r="CX244" i="3"/>
  <c r="CE152" i="3"/>
  <c r="CE252" i="3"/>
  <c r="CI152" i="3"/>
  <c r="CI252" i="3"/>
  <c r="CM152" i="3"/>
  <c r="CM252" i="3"/>
  <c r="CH278" i="3"/>
  <c r="CH279" i="3" s="1"/>
  <c r="CH284" i="3" s="1"/>
  <c r="I245" i="3"/>
  <c r="AW251" i="3"/>
  <c r="AW245" i="3"/>
  <c r="AW246" i="3" s="1"/>
  <c r="AW240" i="3"/>
  <c r="AW241" i="3" s="1"/>
  <c r="BM240" i="3"/>
  <c r="BQ251" i="3"/>
  <c r="BQ245" i="3"/>
  <c r="BQ246" i="3" s="1"/>
  <c r="BQ240" i="3"/>
  <c r="BQ249" i="3" s="1"/>
  <c r="BU251" i="3"/>
  <c r="BU245" i="3"/>
  <c r="BU240" i="3"/>
  <c r="CC245" i="3"/>
  <c r="CC240" i="3"/>
  <c r="CO240" i="3"/>
  <c r="CS245" i="3"/>
  <c r="BG165" i="3"/>
  <c r="BS165" i="3"/>
  <c r="BS179" i="3"/>
  <c r="BS181" i="3" s="1"/>
  <c r="CE165" i="3"/>
  <c r="CM165" i="3"/>
  <c r="DA202" i="3"/>
  <c r="DA49" i="2" s="1"/>
  <c r="BL209" i="3"/>
  <c r="AC209" i="3"/>
  <c r="CE198" i="3"/>
  <c r="CF198" i="3"/>
  <c r="S206" i="3"/>
  <c r="AW206" i="3"/>
  <c r="BW178" i="3"/>
  <c r="BP206" i="3"/>
  <c r="BU207" i="3" s="1"/>
  <c r="I239" i="3"/>
  <c r="AR312" i="3"/>
  <c r="DB192" i="3"/>
  <c r="DD63" i="8"/>
  <c r="CG205" i="3"/>
  <c r="DE167" i="3"/>
  <c r="DJ167" i="3"/>
  <c r="DK167" i="3" s="1"/>
  <c r="DL167" i="3" s="1"/>
  <c r="DM167" i="3" s="1"/>
  <c r="DN167" i="3" s="1"/>
  <c r="DO167" i="3" s="1"/>
  <c r="DP167" i="3" s="1"/>
  <c r="DQ167" i="3" s="1"/>
  <c r="DR167" i="3" s="1"/>
  <c r="DS167" i="3" s="1"/>
  <c r="DT167" i="3" s="1"/>
  <c r="DU167" i="3" s="1"/>
  <c r="DV167" i="3" s="1"/>
  <c r="DW167" i="3" s="1"/>
  <c r="DX167" i="3" s="1"/>
  <c r="DY167" i="3" s="1"/>
  <c r="AV207" i="9"/>
  <c r="BA103" i="9"/>
  <c r="AZ103" i="9"/>
  <c r="AY103" i="9"/>
  <c r="AX103" i="9"/>
  <c r="AV103" i="9"/>
  <c r="AU103" i="9"/>
  <c r="AT103" i="9"/>
  <c r="AS103" i="9"/>
  <c r="BE67" i="9"/>
  <c r="BD67" i="9"/>
  <c r="BD83" i="9"/>
  <c r="BD66" i="9"/>
  <c r="DF198" i="3"/>
  <c r="DF202" i="3" s="1"/>
  <c r="AY207" i="9"/>
  <c r="AZ207" i="9"/>
  <c r="AN194" i="9"/>
  <c r="AO194" i="9"/>
  <c r="AP194" i="9"/>
  <c r="AQ194" i="9"/>
  <c r="AN195" i="9"/>
  <c r="AO195" i="9"/>
  <c r="AP195" i="9"/>
  <c r="AQ195" i="9"/>
  <c r="CY39" i="2"/>
  <c r="CY26" i="2"/>
  <c r="CY132" i="2"/>
  <c r="CY126" i="2"/>
  <c r="CY110" i="2"/>
  <c r="CY94" i="2"/>
  <c r="CY89" i="2"/>
  <c r="DD92" i="2" s="1"/>
  <c r="CY60" i="2"/>
  <c r="CY45" i="2"/>
  <c r="CY38" i="2"/>
  <c r="CY14" i="2"/>
  <c r="CY8" i="2"/>
  <c r="CY316" i="6"/>
  <c r="CY315" i="6"/>
  <c r="CY313" i="6"/>
  <c r="CY312" i="6"/>
  <c r="CY310" i="6"/>
  <c r="CY309" i="6"/>
  <c r="CY295" i="6"/>
  <c r="CY256" i="6"/>
  <c r="DD301" i="6"/>
  <c r="CY242" i="6"/>
  <c r="DD245" i="6"/>
  <c r="CY221" i="6"/>
  <c r="CY99" i="6"/>
  <c r="CY96" i="6"/>
  <c r="CY101" i="6" s="1"/>
  <c r="CY93" i="6"/>
  <c r="DD94" i="6"/>
  <c r="CY91" i="6"/>
  <c r="CY89" i="6"/>
  <c r="CY88" i="6"/>
  <c r="CY80" i="6"/>
  <c r="CY78" i="6"/>
  <c r="CY77" i="6"/>
  <c r="CY60" i="6"/>
  <c r="CY223" i="6" s="1"/>
  <c r="CY55" i="6"/>
  <c r="CY51" i="6"/>
  <c r="CY48" i="6"/>
  <c r="CY47" i="6"/>
  <c r="CY44" i="6"/>
  <c r="CY42" i="6"/>
  <c r="DD43" i="6" s="1"/>
  <c r="CY41" i="6"/>
  <c r="CY34" i="6"/>
  <c r="CY50" i="6"/>
  <c r="CY26" i="6"/>
  <c r="CY25" i="6"/>
  <c r="CY20" i="6"/>
  <c r="CY222" i="6" s="1"/>
  <c r="CY17" i="6"/>
  <c r="CY189" i="3"/>
  <c r="CY190" i="3" s="1"/>
  <c r="CY170" i="7"/>
  <c r="CY169" i="7"/>
  <c r="CY155" i="7"/>
  <c r="CY148" i="7"/>
  <c r="CY87" i="7"/>
  <c r="CY86" i="7"/>
  <c r="CY65" i="7"/>
  <c r="CY63" i="7"/>
  <c r="CY49" i="7"/>
  <c r="CY45" i="7"/>
  <c r="CY54" i="7"/>
  <c r="CY36" i="7"/>
  <c r="CY26" i="7"/>
  <c r="CY28" i="7" s="1"/>
  <c r="CY25" i="7"/>
  <c r="CY22" i="7"/>
  <c r="DD23" i="7"/>
  <c r="CY20" i="7"/>
  <c r="CY18" i="7"/>
  <c r="CY256" i="3" s="1"/>
  <c r="CY271" i="3" s="1"/>
  <c r="CY272" i="3" s="1"/>
  <c r="CY12" i="7"/>
  <c r="AK27" i="5"/>
  <c r="CY11" i="7"/>
  <c r="CY10" i="7"/>
  <c r="CY100" i="2"/>
  <c r="DA45" i="7"/>
  <c r="DA54" i="7" s="1"/>
  <c r="CY144" i="2"/>
  <c r="CY61" i="6"/>
  <c r="CY224" i="6" s="1"/>
  <c r="CY35" i="6"/>
  <c r="CY67" i="6"/>
  <c r="CY63" i="6"/>
  <c r="CY105" i="2" s="1"/>
  <c r="CY257" i="6"/>
  <c r="CY247" i="6"/>
  <c r="DD250" i="6"/>
  <c r="CY27" i="6"/>
  <c r="CY29" i="6"/>
  <c r="CY30" i="6" s="1"/>
  <c r="CY82" i="6"/>
  <c r="CY31" i="7"/>
  <c r="CY32" i="7" s="1"/>
  <c r="CY158" i="2"/>
  <c r="CY73" i="7"/>
  <c r="CY65" i="6"/>
  <c r="CY248" i="6"/>
  <c r="CY13" i="6"/>
  <c r="CY141" i="6" s="1"/>
  <c r="DD142" i="6" s="1"/>
  <c r="CY10" i="6"/>
  <c r="AO103" i="9"/>
  <c r="AP103" i="9"/>
  <c r="AQ103" i="9"/>
  <c r="AN103" i="9"/>
  <c r="AN65" i="5"/>
  <c r="AN79" i="5" s="1"/>
  <c r="AM65" i="5"/>
  <c r="AM79" i="5" s="1"/>
  <c r="AM63" i="5"/>
  <c r="AN19" i="5"/>
  <c r="AM19" i="5"/>
  <c r="BA280" i="9"/>
  <c r="AZ280" i="9"/>
  <c r="AY280" i="9"/>
  <c r="AX280" i="9"/>
  <c r="BA279" i="9"/>
  <c r="BA281" i="9"/>
  <c r="AZ279" i="9"/>
  <c r="AZ281" i="9"/>
  <c r="AY279" i="9"/>
  <c r="AY281" i="9"/>
  <c r="AX279" i="9"/>
  <c r="AX281" i="9"/>
  <c r="BA262" i="9"/>
  <c r="AZ262" i="9"/>
  <c r="AY262" i="9"/>
  <c r="AX262" i="9"/>
  <c r="BA261" i="9"/>
  <c r="AZ261" i="9"/>
  <c r="AY261" i="9"/>
  <c r="AX261" i="9"/>
  <c r="BA243" i="9"/>
  <c r="AZ243" i="9"/>
  <c r="AY243" i="9"/>
  <c r="AX243" i="9"/>
  <c r="BA242" i="9"/>
  <c r="AZ242" i="9"/>
  <c r="AY242" i="9"/>
  <c r="AX242" i="9"/>
  <c r="AX204" i="9"/>
  <c r="AY171" i="9"/>
  <c r="AX171" i="9"/>
  <c r="AX168" i="9"/>
  <c r="BA101" i="9"/>
  <c r="AY101" i="9"/>
  <c r="AX100" i="9"/>
  <c r="BA92" i="9"/>
  <c r="AZ92" i="9"/>
  <c r="AY92" i="9"/>
  <c r="AX92" i="9"/>
  <c r="BA69" i="9"/>
  <c r="AZ69" i="9"/>
  <c r="AY69" i="9"/>
  <c r="AX69" i="9"/>
  <c r="BB21" i="9"/>
  <c r="BB19" i="9"/>
  <c r="BB18" i="9"/>
  <c r="BB17" i="9"/>
  <c r="BB14" i="9"/>
  <c r="BB13" i="9"/>
  <c r="BB10" i="9"/>
  <c r="BA10" i="9"/>
  <c r="DN138" i="7" s="1"/>
  <c r="AZ10" i="9"/>
  <c r="DM138" i="7" s="1"/>
  <c r="AY10" i="9"/>
  <c r="DL138" i="7" s="1"/>
  <c r="AX10" i="9"/>
  <c r="DK138" i="7" s="1"/>
  <c r="BB8" i="9"/>
  <c r="BA8" i="9"/>
  <c r="DN58" i="7" s="1"/>
  <c r="DN136" i="7" s="1"/>
  <c r="AZ8" i="9"/>
  <c r="DM58" i="7" s="1"/>
  <c r="DM136" i="7" s="1"/>
  <c r="AY8" i="9"/>
  <c r="DL58" i="7" s="1"/>
  <c r="DL136" i="7" s="1"/>
  <c r="AX8" i="9"/>
  <c r="DK58" i="7" s="1"/>
  <c r="DK136" i="7" s="1"/>
  <c r="BB6" i="9"/>
  <c r="DN438" i="8"/>
  <c r="DN48" i="3"/>
  <c r="DM438" i="8"/>
  <c r="DM48" i="3"/>
  <c r="DL438" i="8"/>
  <c r="DL48" i="3" s="1"/>
  <c r="DO48" i="3" s="1"/>
  <c r="DK438" i="8"/>
  <c r="DK48" i="3"/>
  <c r="DO437" i="8"/>
  <c r="DN437" i="8"/>
  <c r="DM437" i="8"/>
  <c r="DL437" i="8"/>
  <c r="DK437" i="8"/>
  <c r="DN434" i="8"/>
  <c r="DM434" i="8"/>
  <c r="DL434" i="8"/>
  <c r="DK434" i="8"/>
  <c r="DO430" i="8"/>
  <c r="DO438" i="8" s="1"/>
  <c r="DN423" i="8"/>
  <c r="DM423" i="8"/>
  <c r="DL423" i="8"/>
  <c r="DK423" i="8"/>
  <c r="DO419" i="8"/>
  <c r="DN412" i="8"/>
  <c r="DM412" i="8"/>
  <c r="DL412" i="8"/>
  <c r="DK412" i="8"/>
  <c r="DO408" i="8"/>
  <c r="DN401" i="8"/>
  <c r="DM401" i="8"/>
  <c r="DL401" i="8"/>
  <c r="DK401" i="8"/>
  <c r="DO397" i="8"/>
  <c r="DN390" i="8"/>
  <c r="DM390" i="8"/>
  <c r="DL390" i="8"/>
  <c r="DK390" i="8"/>
  <c r="DO386" i="8"/>
  <c r="DN379" i="8"/>
  <c r="DM379" i="8"/>
  <c r="DL379" i="8"/>
  <c r="DK379" i="8"/>
  <c r="DO375" i="8"/>
  <c r="DN368" i="8"/>
  <c r="DM368" i="8"/>
  <c r="DL368" i="8"/>
  <c r="DK368" i="8"/>
  <c r="DO364" i="8"/>
  <c r="DN357" i="8"/>
  <c r="DM357" i="8"/>
  <c r="DL357" i="8"/>
  <c r="DK357" i="8"/>
  <c r="DO353" i="8"/>
  <c r="DN346" i="8"/>
  <c r="DM346" i="8"/>
  <c r="DL346" i="8"/>
  <c r="DK346" i="8"/>
  <c r="DO342" i="8"/>
  <c r="DN335" i="8"/>
  <c r="DM335" i="8"/>
  <c r="DL335" i="8"/>
  <c r="DK335" i="8"/>
  <c r="DO331" i="8"/>
  <c r="DN324" i="8"/>
  <c r="DM324" i="8"/>
  <c r="DL324" i="8"/>
  <c r="DK324" i="8"/>
  <c r="DO320" i="8"/>
  <c r="DN313" i="8"/>
  <c r="DM313" i="8"/>
  <c r="DL313" i="8"/>
  <c r="DK313" i="8"/>
  <c r="DO309" i="8"/>
  <c r="DN302" i="8"/>
  <c r="DM302" i="8"/>
  <c r="DL302" i="8"/>
  <c r="DK302" i="8"/>
  <c r="DO298" i="8"/>
  <c r="DN291" i="8"/>
  <c r="DM291" i="8"/>
  <c r="DL291" i="8"/>
  <c r="DK291" i="8"/>
  <c r="DO287" i="8"/>
  <c r="DN280" i="8"/>
  <c r="DM280" i="8"/>
  <c r="DL280" i="8"/>
  <c r="DK280" i="8"/>
  <c r="DO276" i="8"/>
  <c r="DN269" i="8"/>
  <c r="DM269" i="8"/>
  <c r="DL269" i="8"/>
  <c r="DK269" i="8"/>
  <c r="DO265" i="8"/>
  <c r="DN258" i="8"/>
  <c r="DM258" i="8"/>
  <c r="DL258" i="8"/>
  <c r="DK258" i="8"/>
  <c r="DO254" i="8"/>
  <c r="DN247" i="8"/>
  <c r="DM247" i="8"/>
  <c r="DL247" i="8"/>
  <c r="DK247" i="8"/>
  <c r="DO243" i="8"/>
  <c r="DN236" i="8"/>
  <c r="DM236" i="8"/>
  <c r="DL236" i="8"/>
  <c r="DK236" i="8"/>
  <c r="DO232" i="8"/>
  <c r="DN225" i="8"/>
  <c r="DM225" i="8"/>
  <c r="DL225" i="8"/>
  <c r="DK225" i="8"/>
  <c r="DO221" i="8"/>
  <c r="DN214" i="8"/>
  <c r="DM214" i="8"/>
  <c r="DL214" i="8"/>
  <c r="DK214" i="8"/>
  <c r="DO210" i="8"/>
  <c r="DN203" i="8"/>
  <c r="DM203" i="8"/>
  <c r="DL203" i="8"/>
  <c r="DK203" i="8"/>
  <c r="DO199" i="8"/>
  <c r="DN192" i="8"/>
  <c r="DM192" i="8"/>
  <c r="DL192" i="8"/>
  <c r="DK192" i="8"/>
  <c r="DO188" i="8"/>
  <c r="DN181" i="8"/>
  <c r="DM181" i="8"/>
  <c r="DL181" i="8"/>
  <c r="DK181" i="8"/>
  <c r="DO177" i="8"/>
  <c r="DN170" i="8"/>
  <c r="DM170" i="8"/>
  <c r="DL170" i="8"/>
  <c r="DK170" i="8"/>
  <c r="DO166" i="8"/>
  <c r="DN159" i="8"/>
  <c r="DM159" i="8"/>
  <c r="DL159" i="8"/>
  <c r="DK159" i="8"/>
  <c r="DO155" i="8"/>
  <c r="DN148" i="8"/>
  <c r="DM148" i="8"/>
  <c r="DL148" i="8"/>
  <c r="DK148" i="8"/>
  <c r="DO144" i="8"/>
  <c r="DN137" i="8"/>
  <c r="DM137" i="8"/>
  <c r="DL137" i="8"/>
  <c r="DK137" i="8"/>
  <c r="DO133" i="8"/>
  <c r="DN126" i="8"/>
  <c r="DM126" i="8"/>
  <c r="DL126" i="8"/>
  <c r="DK126" i="8"/>
  <c r="DO122" i="8"/>
  <c r="DN115" i="8"/>
  <c r="DM115" i="8"/>
  <c r="DL115" i="8"/>
  <c r="DK115" i="8"/>
  <c r="DO111" i="8"/>
  <c r="DN104" i="8"/>
  <c r="DM104" i="8"/>
  <c r="DL104" i="8"/>
  <c r="DK104" i="8"/>
  <c r="DO100" i="8"/>
  <c r="DN93" i="8"/>
  <c r="DM93" i="8"/>
  <c r="DL93" i="8"/>
  <c r="DK93" i="8"/>
  <c r="DO89" i="8"/>
  <c r="DN82" i="8"/>
  <c r="DM82" i="8"/>
  <c r="DL82" i="8"/>
  <c r="DK82" i="8"/>
  <c r="DO78" i="8"/>
  <c r="DO6" i="8"/>
  <c r="DN6" i="8"/>
  <c r="DM6" i="8"/>
  <c r="DL6" i="8"/>
  <c r="DK6" i="8"/>
  <c r="DN194" i="7"/>
  <c r="DM194" i="7"/>
  <c r="DL194" i="7"/>
  <c r="DK194" i="7"/>
  <c r="DO192" i="7"/>
  <c r="DO194" i="7"/>
  <c r="DN147" i="7"/>
  <c r="DO52" i="7"/>
  <c r="DN49" i="7"/>
  <c r="DM49" i="7"/>
  <c r="DL49" i="7"/>
  <c r="DK49" i="7"/>
  <c r="DO48" i="7"/>
  <c r="DO47" i="7"/>
  <c r="DO49" i="7" s="1"/>
  <c r="DO6" i="7"/>
  <c r="DN6" i="7"/>
  <c r="DM6" i="7"/>
  <c r="DL6" i="7"/>
  <c r="DK6" i="7"/>
  <c r="DK5" i="7"/>
  <c r="DO174" i="6"/>
  <c r="DO163" i="6"/>
  <c r="DN43" i="6"/>
  <c r="DM43" i="6"/>
  <c r="DL43" i="6"/>
  <c r="DO6" i="6"/>
  <c r="DN6" i="6"/>
  <c r="DM6" i="6"/>
  <c r="DL6" i="6"/>
  <c r="DK6" i="6"/>
  <c r="DK5" i="6"/>
  <c r="DO138" i="2"/>
  <c r="DM136" i="2"/>
  <c r="DO130" i="2"/>
  <c r="DO129" i="2"/>
  <c r="DO84" i="2"/>
  <c r="DN84" i="2"/>
  <c r="DM84" i="2"/>
  <c r="DL84" i="2"/>
  <c r="DK84" i="2"/>
  <c r="DK83" i="2"/>
  <c r="DO82" i="2"/>
  <c r="DO72" i="2"/>
  <c r="BI49" i="5" s="1"/>
  <c r="DO54" i="2"/>
  <c r="DO28" i="2"/>
  <c r="DO26" i="2"/>
  <c r="DO25" i="2"/>
  <c r="DO4" i="2"/>
  <c r="AV101" i="9"/>
  <c r="AU101" i="9"/>
  <c r="AT101" i="9"/>
  <c r="AO101" i="9"/>
  <c r="AP101" i="9"/>
  <c r="AQ101" i="9"/>
  <c r="AN101" i="9"/>
  <c r="AV243" i="9"/>
  <c r="AU243" i="9"/>
  <c r="AT243" i="9"/>
  <c r="AS243" i="9"/>
  <c r="AV242" i="9"/>
  <c r="AU242" i="9"/>
  <c r="AT242" i="9"/>
  <c r="AS242" i="9"/>
  <c r="AQ243" i="9"/>
  <c r="AP243" i="9"/>
  <c r="AN243" i="9"/>
  <c r="AQ242" i="9"/>
  <c r="AP242" i="9"/>
  <c r="AN242" i="9"/>
  <c r="AO243" i="9"/>
  <c r="AO242" i="9"/>
  <c r="AB283" i="9"/>
  <c r="AA283" i="9"/>
  <c r="Z283" i="9"/>
  <c r="Y283" i="9"/>
  <c r="AQ281" i="9"/>
  <c r="AP281" i="9"/>
  <c r="AO281" i="9"/>
  <c r="AN281" i="9"/>
  <c r="AQ280" i="9"/>
  <c r="AP280" i="9"/>
  <c r="AO280" i="9"/>
  <c r="AN280" i="9"/>
  <c r="AV280" i="9"/>
  <c r="AU280" i="9"/>
  <c r="AT280" i="9"/>
  <c r="AS280" i="9"/>
  <c r="AV279" i="9"/>
  <c r="AV281" i="9"/>
  <c r="AU279" i="9"/>
  <c r="AU281" i="9"/>
  <c r="AT279" i="9"/>
  <c r="AT281" i="9"/>
  <c r="AS279" i="9"/>
  <c r="AS281" i="9"/>
  <c r="AB276" i="9"/>
  <c r="AA276" i="9"/>
  <c r="Z276" i="9"/>
  <c r="Y276" i="9"/>
  <c r="AB275" i="9"/>
  <c r="AA275" i="9"/>
  <c r="Z275" i="9"/>
  <c r="Y275" i="9"/>
  <c r="AB271" i="9"/>
  <c r="AA271" i="9"/>
  <c r="Z271" i="9"/>
  <c r="Y271" i="9"/>
  <c r="AB270" i="9"/>
  <c r="AA270" i="9"/>
  <c r="Z270" i="9"/>
  <c r="Y270" i="9"/>
  <c r="W283" i="9"/>
  <c r="V283" i="9"/>
  <c r="U283" i="9"/>
  <c r="T283" i="9"/>
  <c r="R283" i="9"/>
  <c r="Q283" i="9"/>
  <c r="P283" i="9"/>
  <c r="O283" i="9"/>
  <c r="M283" i="9"/>
  <c r="L283" i="9"/>
  <c r="K283" i="9"/>
  <c r="J283" i="9"/>
  <c r="H283" i="9"/>
  <c r="G283" i="9"/>
  <c r="F283" i="9"/>
  <c r="E283" i="9"/>
  <c r="AV262" i="9"/>
  <c r="AU262" i="9"/>
  <c r="AT262" i="9"/>
  <c r="AS262" i="9"/>
  <c r="AV261" i="9"/>
  <c r="AU261" i="9"/>
  <c r="AT261" i="9"/>
  <c r="AS261" i="9"/>
  <c r="AQ262" i="9"/>
  <c r="AP262" i="9"/>
  <c r="AO262" i="9"/>
  <c r="AN262" i="9"/>
  <c r="AQ261" i="9"/>
  <c r="AP261" i="9"/>
  <c r="AO261" i="9"/>
  <c r="AN261" i="9"/>
  <c r="W276" i="9"/>
  <c r="V276" i="9"/>
  <c r="U276" i="9"/>
  <c r="T276" i="9"/>
  <c r="R276" i="9"/>
  <c r="Q276" i="9"/>
  <c r="P276" i="9"/>
  <c r="O276" i="9"/>
  <c r="W275" i="9"/>
  <c r="V275" i="9"/>
  <c r="U275" i="9"/>
  <c r="T275" i="9"/>
  <c r="R275" i="9"/>
  <c r="Q275" i="9"/>
  <c r="P275" i="9"/>
  <c r="O275" i="9"/>
  <c r="M276" i="9"/>
  <c r="L276" i="9"/>
  <c r="K276" i="9"/>
  <c r="J276" i="9"/>
  <c r="M275" i="9"/>
  <c r="L275" i="9"/>
  <c r="K275" i="9"/>
  <c r="J275" i="9"/>
  <c r="H276" i="9"/>
  <c r="G276" i="9"/>
  <c r="F276" i="9"/>
  <c r="E276" i="9"/>
  <c r="H275" i="9"/>
  <c r="G275" i="9"/>
  <c r="F275" i="9"/>
  <c r="E275" i="9"/>
  <c r="W271" i="9"/>
  <c r="V271" i="9"/>
  <c r="U271" i="9"/>
  <c r="T271" i="9"/>
  <c r="R271" i="9"/>
  <c r="Q271" i="9"/>
  <c r="P271" i="9"/>
  <c r="O271" i="9"/>
  <c r="W270" i="9"/>
  <c r="V270" i="9"/>
  <c r="U270" i="9"/>
  <c r="T270" i="9"/>
  <c r="R270" i="9"/>
  <c r="Q270" i="9"/>
  <c r="P270" i="9"/>
  <c r="O270" i="9"/>
  <c r="M271" i="9"/>
  <c r="L271" i="9"/>
  <c r="K271" i="9"/>
  <c r="J271" i="9"/>
  <c r="M270" i="9"/>
  <c r="L270" i="9"/>
  <c r="K270" i="9"/>
  <c r="J270" i="9"/>
  <c r="H271" i="9"/>
  <c r="G271" i="9"/>
  <c r="F271" i="9"/>
  <c r="E271" i="9"/>
  <c r="H270" i="9"/>
  <c r="G270" i="9"/>
  <c r="F270" i="9"/>
  <c r="E270" i="9"/>
  <c r="AD207" i="9"/>
  <c r="C207" i="9"/>
  <c r="C204" i="9"/>
  <c r="C203" i="9"/>
  <c r="C202" i="9"/>
  <c r="AK204" i="9"/>
  <c r="AJ204" i="9"/>
  <c r="AI204" i="9"/>
  <c r="AL203" i="9"/>
  <c r="AK203" i="9"/>
  <c r="AJ203" i="9"/>
  <c r="AI203" i="9"/>
  <c r="AG204" i="9"/>
  <c r="AF204" i="9"/>
  <c r="AE204" i="9"/>
  <c r="AD204" i="9"/>
  <c r="AG203" i="9"/>
  <c r="AF203" i="9"/>
  <c r="AE203" i="9"/>
  <c r="AD203" i="9"/>
  <c r="C200" i="9"/>
  <c r="C199" i="9"/>
  <c r="C198" i="9"/>
  <c r="C197" i="9"/>
  <c r="AQ200" i="9"/>
  <c r="AP200" i="9"/>
  <c r="AO200" i="9"/>
  <c r="AN200" i="9"/>
  <c r="AL200" i="9"/>
  <c r="AK200" i="9"/>
  <c r="AJ200" i="9"/>
  <c r="AI200" i="9"/>
  <c r="AL199" i="9"/>
  <c r="AK199" i="9"/>
  <c r="AJ199" i="9"/>
  <c r="AI199" i="9"/>
  <c r="AG200" i="9"/>
  <c r="AF200" i="9"/>
  <c r="AE200" i="9"/>
  <c r="AD200" i="9"/>
  <c r="AG199" i="9"/>
  <c r="AF199" i="9"/>
  <c r="AE199" i="9"/>
  <c r="AD199" i="9"/>
  <c r="C195" i="9"/>
  <c r="C194" i="9"/>
  <c r="C193" i="9"/>
  <c r="AG194" i="9"/>
  <c r="AF194" i="9"/>
  <c r="AE194" i="9"/>
  <c r="AD194" i="9"/>
  <c r="C189" i="9"/>
  <c r="AQ204" i="9"/>
  <c r="AP204" i="9"/>
  <c r="AT186" i="9"/>
  <c r="AS186" i="9"/>
  <c r="AS204" i="9"/>
  <c r="AL186" i="9"/>
  <c r="AL204" i="9"/>
  <c r="C186" i="9"/>
  <c r="C185" i="9"/>
  <c r="C184" i="9"/>
  <c r="AV167" i="9"/>
  <c r="AU167" i="9"/>
  <c r="AB186" i="9"/>
  <c r="AB204" i="9"/>
  <c r="AA186" i="9"/>
  <c r="Z186" i="9"/>
  <c r="Z204" i="9"/>
  <c r="W186" i="9"/>
  <c r="V186" i="9"/>
  <c r="V204" i="9"/>
  <c r="U186" i="9"/>
  <c r="U204" i="9" s="1"/>
  <c r="T186" i="9"/>
  <c r="R186" i="9"/>
  <c r="R204" i="9" s="1"/>
  <c r="Q186" i="9"/>
  <c r="P186" i="9"/>
  <c r="P204" i="9" s="1"/>
  <c r="O186" i="9"/>
  <c r="AB185" i="9"/>
  <c r="AB203" i="9" s="1"/>
  <c r="AA185" i="9"/>
  <c r="AA203" i="9" s="1"/>
  <c r="Z185" i="9"/>
  <c r="Z203" i="9"/>
  <c r="Y185" i="9"/>
  <c r="Y203" i="9" s="1"/>
  <c r="W185" i="9"/>
  <c r="W203" i="9" s="1"/>
  <c r="V185" i="9"/>
  <c r="U185" i="9"/>
  <c r="T185" i="9"/>
  <c r="R185" i="9"/>
  <c r="R203" i="9" s="1"/>
  <c r="Q185" i="9"/>
  <c r="Q203" i="9" s="1"/>
  <c r="P185" i="9"/>
  <c r="P203" i="9" s="1"/>
  <c r="O185" i="9"/>
  <c r="O167" i="9" s="1"/>
  <c r="M186" i="9"/>
  <c r="L186" i="9"/>
  <c r="L204" i="9" s="1"/>
  <c r="K186" i="9"/>
  <c r="J186" i="9"/>
  <c r="M185" i="9"/>
  <c r="M203" i="9" s="1"/>
  <c r="L185" i="9"/>
  <c r="L203" i="9" s="1"/>
  <c r="K185" i="9"/>
  <c r="J185" i="9"/>
  <c r="H186" i="9"/>
  <c r="G186" i="9"/>
  <c r="G204" i="9" s="1"/>
  <c r="F186" i="9"/>
  <c r="F204" i="9" s="1"/>
  <c r="E186" i="9"/>
  <c r="E204" i="9"/>
  <c r="H185" i="9"/>
  <c r="G185" i="9"/>
  <c r="F185" i="9"/>
  <c r="F203" i="9"/>
  <c r="E185" i="9"/>
  <c r="C182" i="9"/>
  <c r="C181" i="9"/>
  <c r="C180" i="9"/>
  <c r="C179" i="9"/>
  <c r="AV182" i="9"/>
  <c r="BF182" i="9"/>
  <c r="BK182" i="9" s="1"/>
  <c r="BK164" i="9" s="1"/>
  <c r="AU182" i="9"/>
  <c r="AT182" i="9"/>
  <c r="BD182" i="9"/>
  <c r="BI182" i="9" s="1"/>
  <c r="BI164" i="9" s="1"/>
  <c r="AT200" i="9"/>
  <c r="AS182" i="9"/>
  <c r="BC182" i="9"/>
  <c r="BH182" i="9" s="1"/>
  <c r="BH164" i="9" s="1"/>
  <c r="AS200" i="9"/>
  <c r="AB182" i="9"/>
  <c r="AA182" i="9"/>
  <c r="Z182" i="9"/>
  <c r="Z200" i="9"/>
  <c r="Y182" i="9"/>
  <c r="Y200" i="9" s="1"/>
  <c r="W182" i="9"/>
  <c r="V182" i="9"/>
  <c r="U182" i="9"/>
  <c r="T182" i="9"/>
  <c r="T200" i="9" s="1"/>
  <c r="R182" i="9"/>
  <c r="Q182" i="9"/>
  <c r="P182" i="9"/>
  <c r="P200" i="9" s="1"/>
  <c r="O182" i="9"/>
  <c r="AB181" i="9"/>
  <c r="AA181" i="9"/>
  <c r="AA199" i="9" s="1"/>
  <c r="Z181" i="9"/>
  <c r="Y181" i="9"/>
  <c r="W181" i="9"/>
  <c r="V181" i="9"/>
  <c r="V163" i="9" s="1"/>
  <c r="U181" i="9"/>
  <c r="U163" i="9" s="1"/>
  <c r="T181" i="9"/>
  <c r="T199" i="9" s="1"/>
  <c r="R181" i="9"/>
  <c r="R199" i="9" s="1"/>
  <c r="Q181" i="9"/>
  <c r="P181" i="9"/>
  <c r="O181" i="9"/>
  <c r="O199" i="9" s="1"/>
  <c r="M182" i="9"/>
  <c r="M200" i="9" s="1"/>
  <c r="L182" i="9"/>
  <c r="K182" i="9"/>
  <c r="J182" i="9"/>
  <c r="J200" i="9" s="1"/>
  <c r="M181" i="9"/>
  <c r="L181" i="9"/>
  <c r="K181" i="9"/>
  <c r="K199" i="9" s="1"/>
  <c r="J181" i="9"/>
  <c r="J199" i="9" s="1"/>
  <c r="H182" i="9"/>
  <c r="H200" i="9" s="1"/>
  <c r="G182" i="9"/>
  <c r="G200" i="9" s="1"/>
  <c r="F182" i="9"/>
  <c r="E182" i="9"/>
  <c r="E200" i="9" s="1"/>
  <c r="H181" i="9"/>
  <c r="H199" i="9" s="1"/>
  <c r="G181" i="9"/>
  <c r="F181" i="9"/>
  <c r="F199" i="9" s="1"/>
  <c r="E181" i="9"/>
  <c r="C177" i="9"/>
  <c r="C176" i="9"/>
  <c r="C175" i="9"/>
  <c r="AQ171" i="9"/>
  <c r="AP171" i="9"/>
  <c r="AO171" i="9"/>
  <c r="AN171" i="9"/>
  <c r="C171" i="9"/>
  <c r="C168" i="9"/>
  <c r="C167" i="9"/>
  <c r="C166" i="9"/>
  <c r="AV168" i="9"/>
  <c r="AU168" i="9"/>
  <c r="AS167" i="9"/>
  <c r="AQ168" i="9"/>
  <c r="AP168" i="9"/>
  <c r="AO168" i="9"/>
  <c r="AN168" i="9"/>
  <c r="AP167" i="9"/>
  <c r="AO167" i="9"/>
  <c r="AN167" i="9"/>
  <c r="AL168" i="9"/>
  <c r="AK168" i="9"/>
  <c r="AJ168" i="9"/>
  <c r="AI168" i="9"/>
  <c r="AL167" i="9"/>
  <c r="AK167" i="9"/>
  <c r="AJ167" i="9"/>
  <c r="AI167" i="9"/>
  <c r="AG168" i="9"/>
  <c r="AF168" i="9"/>
  <c r="AE168" i="9"/>
  <c r="AD168" i="9"/>
  <c r="AG167" i="9"/>
  <c r="AF167" i="9"/>
  <c r="AE167" i="9"/>
  <c r="AD167" i="9"/>
  <c r="AA167" i="9"/>
  <c r="Z167" i="9"/>
  <c r="W167" i="9"/>
  <c r="R168" i="9"/>
  <c r="P168" i="9"/>
  <c r="P167" i="9"/>
  <c r="M167" i="9"/>
  <c r="F167" i="9"/>
  <c r="C164" i="9"/>
  <c r="C163" i="9"/>
  <c r="C162" i="9"/>
  <c r="C161" i="9"/>
  <c r="AV164" i="9"/>
  <c r="AU164" i="9"/>
  <c r="AT164" i="9"/>
  <c r="AS164" i="9"/>
  <c r="AQ164" i="9"/>
  <c r="AP164" i="9"/>
  <c r="AO164" i="9"/>
  <c r="AN164" i="9"/>
  <c r="AQ163" i="9"/>
  <c r="AP163" i="9"/>
  <c r="AO163" i="9"/>
  <c r="AN163" i="9"/>
  <c r="AL164" i="9"/>
  <c r="AK164" i="9"/>
  <c r="AJ164" i="9"/>
  <c r="AI164" i="9"/>
  <c r="AL163" i="9"/>
  <c r="AK163" i="9"/>
  <c r="AJ163" i="9"/>
  <c r="AI163" i="9"/>
  <c r="AG164" i="9"/>
  <c r="AF164" i="9"/>
  <c r="AE164" i="9"/>
  <c r="AD164" i="9"/>
  <c r="AG163" i="9"/>
  <c r="AF163" i="9"/>
  <c r="AE163" i="9"/>
  <c r="AD163" i="9"/>
  <c r="Z164" i="9"/>
  <c r="P164" i="9"/>
  <c r="R163" i="9"/>
  <c r="M164" i="9"/>
  <c r="K163" i="9"/>
  <c r="C159" i="9"/>
  <c r="C158" i="9"/>
  <c r="C157" i="9"/>
  <c r="AQ159" i="9"/>
  <c r="AP159" i="9"/>
  <c r="AO159" i="9"/>
  <c r="AN159" i="9"/>
  <c r="AQ158" i="9"/>
  <c r="AP158" i="9"/>
  <c r="AO158" i="9"/>
  <c r="AN158" i="9"/>
  <c r="AG158" i="9"/>
  <c r="AF158" i="9"/>
  <c r="AE158" i="9"/>
  <c r="AD158" i="9"/>
  <c r="AB118" i="9"/>
  <c r="AA118" i="9"/>
  <c r="Z118" i="9"/>
  <c r="W118" i="9"/>
  <c r="V118" i="9"/>
  <c r="U118" i="9"/>
  <c r="T118" i="9"/>
  <c r="R118" i="9"/>
  <c r="Q118" i="9"/>
  <c r="P118" i="9"/>
  <c r="O118" i="9"/>
  <c r="M118" i="9"/>
  <c r="L118" i="9"/>
  <c r="K118" i="9"/>
  <c r="J118" i="9"/>
  <c r="H118" i="9"/>
  <c r="G118" i="9"/>
  <c r="F118" i="9"/>
  <c r="E118" i="9"/>
  <c r="AB117" i="9"/>
  <c r="AA117" i="9"/>
  <c r="Z117" i="9"/>
  <c r="Y117" i="9"/>
  <c r="W117" i="9"/>
  <c r="V117" i="9"/>
  <c r="U117" i="9"/>
  <c r="T117" i="9"/>
  <c r="R117" i="9"/>
  <c r="Q117" i="9"/>
  <c r="P117" i="9"/>
  <c r="O117" i="9"/>
  <c r="M117" i="9"/>
  <c r="L117" i="9"/>
  <c r="K117" i="9"/>
  <c r="J117" i="9"/>
  <c r="H117" i="9"/>
  <c r="G117" i="9"/>
  <c r="F117" i="9"/>
  <c r="E117" i="9"/>
  <c r="AB114" i="9"/>
  <c r="AA114" i="9"/>
  <c r="Z114" i="9"/>
  <c r="Y114" i="9"/>
  <c r="W114" i="9"/>
  <c r="V114" i="9"/>
  <c r="U114" i="9"/>
  <c r="T114" i="9"/>
  <c r="R114" i="9"/>
  <c r="Q114" i="9"/>
  <c r="P114" i="9"/>
  <c r="O114" i="9"/>
  <c r="M114" i="9"/>
  <c r="L114" i="9"/>
  <c r="K114" i="9"/>
  <c r="J114" i="9"/>
  <c r="H114" i="9"/>
  <c r="G114" i="9"/>
  <c r="F114" i="9"/>
  <c r="E114" i="9"/>
  <c r="AB113" i="9"/>
  <c r="AA113" i="9"/>
  <c r="Z113" i="9"/>
  <c r="Y113" i="9"/>
  <c r="W113" i="9"/>
  <c r="V113" i="9"/>
  <c r="U113" i="9"/>
  <c r="T113" i="9"/>
  <c r="R113" i="9"/>
  <c r="Q113" i="9"/>
  <c r="P113" i="9"/>
  <c r="O113" i="9"/>
  <c r="M113" i="9"/>
  <c r="L113" i="9"/>
  <c r="K113" i="9"/>
  <c r="J113" i="9"/>
  <c r="H113" i="9"/>
  <c r="G113" i="9"/>
  <c r="F113" i="9"/>
  <c r="E113" i="9"/>
  <c r="C103" i="9"/>
  <c r="AV100" i="9"/>
  <c r="AT100" i="9"/>
  <c r="AS100" i="9"/>
  <c r="AQ100" i="9"/>
  <c r="AP100" i="9"/>
  <c r="AL101" i="9"/>
  <c r="AK101" i="9"/>
  <c r="AJ101" i="9"/>
  <c r="AI101" i="9"/>
  <c r="AK100" i="9"/>
  <c r="AJ100" i="9"/>
  <c r="AI100" i="9"/>
  <c r="AL99" i="9"/>
  <c r="AK99" i="9"/>
  <c r="AJ99" i="9"/>
  <c r="AI99" i="9"/>
  <c r="AG101" i="9"/>
  <c r="AF101" i="9"/>
  <c r="AE101" i="9"/>
  <c r="AD101" i="9"/>
  <c r="AG100" i="9"/>
  <c r="AF100" i="9"/>
  <c r="AE100" i="9"/>
  <c r="AD100" i="9"/>
  <c r="AG99" i="9"/>
  <c r="AF99" i="9"/>
  <c r="AE99" i="9"/>
  <c r="AD99" i="9"/>
  <c r="AL96" i="9"/>
  <c r="AK96" i="9"/>
  <c r="AJ96" i="9"/>
  <c r="AI96" i="9"/>
  <c r="AL95" i="9"/>
  <c r="AK95" i="9"/>
  <c r="AJ95" i="9"/>
  <c r="AI95" i="9"/>
  <c r="AG96" i="9"/>
  <c r="AF96" i="9"/>
  <c r="AE96" i="9"/>
  <c r="AD96" i="9"/>
  <c r="AG95" i="9"/>
  <c r="AF95" i="9"/>
  <c r="AE95" i="9"/>
  <c r="AD95" i="9"/>
  <c r="C94" i="9"/>
  <c r="AV92" i="9"/>
  <c r="AU92" i="9"/>
  <c r="AT92" i="9"/>
  <c r="AS92" i="9"/>
  <c r="AQ92" i="9"/>
  <c r="AP92" i="9"/>
  <c r="AO92" i="9"/>
  <c r="AN92" i="9"/>
  <c r="AL92" i="9"/>
  <c r="AK92" i="9"/>
  <c r="AJ92" i="9"/>
  <c r="AI92" i="9"/>
  <c r="AG92" i="9"/>
  <c r="AF92" i="9"/>
  <c r="AE92" i="9"/>
  <c r="AD92" i="9"/>
  <c r="AQ90" i="9"/>
  <c r="AP90" i="9"/>
  <c r="AO90" i="9"/>
  <c r="AN90" i="9"/>
  <c r="AL90" i="9"/>
  <c r="AK90" i="9"/>
  <c r="AJ90" i="9"/>
  <c r="AI90" i="9"/>
  <c r="AG90" i="9"/>
  <c r="AF90" i="9"/>
  <c r="AE90" i="9"/>
  <c r="AD90" i="9"/>
  <c r="C86" i="9"/>
  <c r="AO100" i="9"/>
  <c r="AN100" i="9"/>
  <c r="AL100" i="9"/>
  <c r="AB78" i="9"/>
  <c r="AB95" i="9" s="1"/>
  <c r="AA78" i="9"/>
  <c r="AA95" i="9" s="1"/>
  <c r="Z78" i="9"/>
  <c r="Z95" i="9" s="1"/>
  <c r="Y78" i="9"/>
  <c r="W78" i="9"/>
  <c r="W95" i="9" s="1"/>
  <c r="V78" i="9"/>
  <c r="V95" i="9" s="1"/>
  <c r="U78" i="9"/>
  <c r="T78" i="9"/>
  <c r="R78" i="9"/>
  <c r="Q78" i="9"/>
  <c r="Q95" i="9" s="1"/>
  <c r="P78" i="9"/>
  <c r="P95" i="9" s="1"/>
  <c r="O78" i="9"/>
  <c r="M78" i="9"/>
  <c r="L78" i="9"/>
  <c r="L95" i="9" s="1"/>
  <c r="K78" i="9"/>
  <c r="K95" i="9" s="1"/>
  <c r="J78" i="9"/>
  <c r="J95" i="9" s="1"/>
  <c r="H78" i="9"/>
  <c r="H61" i="9" s="1"/>
  <c r="G78" i="9"/>
  <c r="G95" i="9" s="1"/>
  <c r="F78" i="9"/>
  <c r="E78" i="9"/>
  <c r="E61" i="9" s="1"/>
  <c r="C77" i="9"/>
  <c r="AV69" i="9"/>
  <c r="AU69" i="9"/>
  <c r="AT69" i="9"/>
  <c r="AS69" i="9"/>
  <c r="AQ69" i="9"/>
  <c r="AP69" i="9"/>
  <c r="AO69" i="9"/>
  <c r="AN69" i="9"/>
  <c r="AK69" i="9"/>
  <c r="AJ69" i="9"/>
  <c r="AI69" i="9"/>
  <c r="AG69" i="9"/>
  <c r="AF69" i="9"/>
  <c r="AE69" i="9"/>
  <c r="AD69" i="9"/>
  <c r="C69" i="9"/>
  <c r="AL66" i="9"/>
  <c r="AK66" i="9"/>
  <c r="AJ66" i="9"/>
  <c r="AI66" i="9"/>
  <c r="AL65" i="9"/>
  <c r="AK65" i="9"/>
  <c r="AJ65" i="9"/>
  <c r="AI65" i="9"/>
  <c r="AG66" i="9"/>
  <c r="AF66" i="9"/>
  <c r="AE66" i="9"/>
  <c r="AD66" i="9"/>
  <c r="AG65" i="9"/>
  <c r="AF65" i="9"/>
  <c r="AE65" i="9"/>
  <c r="AD65" i="9"/>
  <c r="AL62" i="9"/>
  <c r="AK62" i="9"/>
  <c r="AJ62" i="9"/>
  <c r="AI62" i="9"/>
  <c r="AL61" i="9"/>
  <c r="AK61" i="9"/>
  <c r="AJ61" i="9"/>
  <c r="AI61" i="9"/>
  <c r="AG62" i="9"/>
  <c r="AF62" i="9"/>
  <c r="AE62" i="9"/>
  <c r="AD62" i="9"/>
  <c r="AG61" i="9"/>
  <c r="AF61" i="9"/>
  <c r="AE61" i="9"/>
  <c r="AD61" i="9"/>
  <c r="AB61" i="9"/>
  <c r="C60" i="9"/>
  <c r="AK26" i="9"/>
  <c r="AJ26" i="9"/>
  <c r="AI26" i="9"/>
  <c r="AG26" i="9"/>
  <c r="AF26" i="9"/>
  <c r="AE26" i="9"/>
  <c r="AD26" i="9"/>
  <c r="AB26" i="9"/>
  <c r="AA26" i="9"/>
  <c r="Z26" i="9"/>
  <c r="Y26" i="9"/>
  <c r="W26" i="9"/>
  <c r="V26" i="9"/>
  <c r="U26" i="9"/>
  <c r="T26" i="9"/>
  <c r="R26" i="9"/>
  <c r="Q26" i="9"/>
  <c r="P26" i="9"/>
  <c r="O26" i="9"/>
  <c r="M26" i="9"/>
  <c r="L26" i="9"/>
  <c r="K26" i="9"/>
  <c r="J26" i="9"/>
  <c r="I26" i="9"/>
  <c r="H26" i="9"/>
  <c r="G26" i="9"/>
  <c r="F26" i="9"/>
  <c r="E26" i="9"/>
  <c r="AW21" i="9"/>
  <c r="AW19" i="9"/>
  <c r="AW18" i="9"/>
  <c r="AW17" i="9"/>
  <c r="AF18" i="9"/>
  <c r="AE18" i="9"/>
  <c r="AD18" i="9"/>
  <c r="AA18" i="9"/>
  <c r="AA83" i="9" s="1"/>
  <c r="Z18" i="9"/>
  <c r="Z83" i="9" s="1"/>
  <c r="Y18" i="9"/>
  <c r="Y83" i="9"/>
  <c r="Y66" i="9" s="1"/>
  <c r="W18" i="9"/>
  <c r="W83" i="9" s="1"/>
  <c r="W100" i="9" s="1"/>
  <c r="V18" i="9"/>
  <c r="V83" i="9" s="1"/>
  <c r="U18" i="9"/>
  <c r="U83" i="9" s="1"/>
  <c r="U100" i="9" s="1"/>
  <c r="T18" i="9"/>
  <c r="T83" i="9" s="1"/>
  <c r="T100" i="9" s="1"/>
  <c r="R18" i="9"/>
  <c r="R83" i="9" s="1"/>
  <c r="R66" i="9" s="1"/>
  <c r="Q18" i="9"/>
  <c r="Q83" i="9" s="1"/>
  <c r="Q100" i="9" s="1"/>
  <c r="P18" i="9"/>
  <c r="P83" i="9" s="1"/>
  <c r="P66" i="9" s="1"/>
  <c r="O18" i="9"/>
  <c r="O83" i="9" s="1"/>
  <c r="M18" i="9"/>
  <c r="M83" i="9" s="1"/>
  <c r="M100" i="9" s="1"/>
  <c r="L18" i="9"/>
  <c r="L83" i="9" s="1"/>
  <c r="K18" i="9"/>
  <c r="K83" i="9" s="1"/>
  <c r="J18" i="9"/>
  <c r="J83" i="9" s="1"/>
  <c r="H18" i="9"/>
  <c r="H83" i="9" s="1"/>
  <c r="G18" i="9"/>
  <c r="G83" i="9" s="1"/>
  <c r="F18" i="9"/>
  <c r="F83" i="9" s="1"/>
  <c r="E18" i="9"/>
  <c r="E83" i="9"/>
  <c r="AF17" i="9"/>
  <c r="AE17" i="9"/>
  <c r="AD17" i="9"/>
  <c r="AA17" i="9"/>
  <c r="AA82" i="9" s="1"/>
  <c r="AA99" i="9" s="1"/>
  <c r="Z17" i="9"/>
  <c r="Z82" i="9" s="1"/>
  <c r="Y17" i="9"/>
  <c r="Y82" i="9" s="1"/>
  <c r="Y65" i="9" s="1"/>
  <c r="W17" i="9"/>
  <c r="W82" i="9" s="1"/>
  <c r="V17" i="9"/>
  <c r="V82" i="9" s="1"/>
  <c r="V99" i="9" s="1"/>
  <c r="U17" i="9"/>
  <c r="U82" i="9" s="1"/>
  <c r="U99" i="9" s="1"/>
  <c r="T17" i="9"/>
  <c r="T82" i="9" s="1"/>
  <c r="T99" i="9" s="1"/>
  <c r="R17" i="9"/>
  <c r="R82" i="9" s="1"/>
  <c r="Q17" i="9"/>
  <c r="Q82" i="9" s="1"/>
  <c r="P17" i="9"/>
  <c r="P82" i="9" s="1"/>
  <c r="O17" i="9"/>
  <c r="O82" i="9" s="1"/>
  <c r="M17" i="9"/>
  <c r="M82" i="9" s="1"/>
  <c r="L17" i="9"/>
  <c r="L82" i="9" s="1"/>
  <c r="L65" i="9" s="1"/>
  <c r="K17" i="9"/>
  <c r="K82" i="9" s="1"/>
  <c r="K99" i="9" s="1"/>
  <c r="J17" i="9"/>
  <c r="J82" i="9" s="1"/>
  <c r="H17" i="9"/>
  <c r="H82" i="9" s="1"/>
  <c r="G17" i="9"/>
  <c r="G82" i="9" s="1"/>
  <c r="F17" i="9"/>
  <c r="F82" i="9" s="1"/>
  <c r="E17" i="9"/>
  <c r="E82" i="9" s="1"/>
  <c r="H14" i="9"/>
  <c r="H79" i="9" s="1"/>
  <c r="G14" i="9"/>
  <c r="G79" i="9" s="1"/>
  <c r="F14" i="9"/>
  <c r="F79" i="9" s="1"/>
  <c r="E14" i="9"/>
  <c r="E79" i="9" s="1"/>
  <c r="AW14" i="9"/>
  <c r="AW13" i="9"/>
  <c r="AF14" i="9"/>
  <c r="AE14" i="9"/>
  <c r="AD14" i="9"/>
  <c r="AA14" i="9"/>
  <c r="AA79" i="9" s="1"/>
  <c r="Z14" i="9"/>
  <c r="Z79" i="9" s="1"/>
  <c r="Z96" i="9" s="1"/>
  <c r="Y14" i="9"/>
  <c r="Y79" i="9" s="1"/>
  <c r="W14" i="9"/>
  <c r="W79" i="9" s="1"/>
  <c r="W96" i="9" s="1"/>
  <c r="V14" i="9"/>
  <c r="V79" i="9" s="1"/>
  <c r="U14" i="9"/>
  <c r="U79" i="9" s="1"/>
  <c r="T14" i="9"/>
  <c r="T79" i="9" s="1"/>
  <c r="R14" i="9"/>
  <c r="R79" i="9" s="1"/>
  <c r="Q14" i="9"/>
  <c r="Q79" i="9" s="1"/>
  <c r="P14" i="9"/>
  <c r="P79" i="9" s="1"/>
  <c r="P96" i="9" s="1"/>
  <c r="O14" i="9"/>
  <c r="O79" i="9" s="1"/>
  <c r="M14" i="9"/>
  <c r="M79" i="9" s="1"/>
  <c r="M62" i="9" s="1"/>
  <c r="L14" i="9"/>
  <c r="L79" i="9" s="1"/>
  <c r="L96" i="9" s="1"/>
  <c r="K14" i="9"/>
  <c r="K79" i="9" s="1"/>
  <c r="J14" i="9"/>
  <c r="J79" i="9" s="1"/>
  <c r="AF13" i="9"/>
  <c r="AE13" i="9"/>
  <c r="AD13" i="9"/>
  <c r="AA13" i="9"/>
  <c r="Z13" i="9"/>
  <c r="Y13" i="9"/>
  <c r="W13" i="9"/>
  <c r="V13" i="9"/>
  <c r="U13" i="9"/>
  <c r="T13" i="9"/>
  <c r="Q13" i="9"/>
  <c r="P13" i="9"/>
  <c r="O13" i="9"/>
  <c r="M13" i="9"/>
  <c r="L13" i="9"/>
  <c r="K13" i="9"/>
  <c r="J13" i="9"/>
  <c r="H13" i="9"/>
  <c r="G13" i="9"/>
  <c r="F13" i="9"/>
  <c r="E13" i="9"/>
  <c r="AW10" i="9"/>
  <c r="AT10" i="9"/>
  <c r="AS10" i="9"/>
  <c r="AQ10" i="9"/>
  <c r="AP10" i="9"/>
  <c r="AO10" i="9"/>
  <c r="AN10" i="9"/>
  <c r="AL10" i="9"/>
  <c r="AK10" i="9"/>
  <c r="AJ10" i="9"/>
  <c r="AI10" i="9"/>
  <c r="CV138" i="7" s="1"/>
  <c r="AG10" i="9"/>
  <c r="AF10" i="9"/>
  <c r="AE10" i="9"/>
  <c r="AD10" i="9"/>
  <c r="AW8" i="9"/>
  <c r="AS8" i="9"/>
  <c r="DF58" i="7" s="1"/>
  <c r="DF136" i="7" s="1"/>
  <c r="DF142" i="7" s="1"/>
  <c r="DF154" i="7" s="1"/>
  <c r="AQ8" i="9"/>
  <c r="DD58" i="7" s="1"/>
  <c r="DD136" i="7" s="1"/>
  <c r="DD142" i="7" s="1"/>
  <c r="DD154" i="7" s="1"/>
  <c r="AP8" i="9"/>
  <c r="DC58" i="7" s="1"/>
  <c r="DC136" i="7" s="1"/>
  <c r="DC142" i="7" s="1"/>
  <c r="DC154" i="7" s="1"/>
  <c r="AO8" i="9"/>
  <c r="DB58" i="7" s="1"/>
  <c r="DB136" i="7" s="1"/>
  <c r="DB142" i="7" s="1"/>
  <c r="DB154" i="7" s="1"/>
  <c r="AN8" i="9"/>
  <c r="DA58" i="7" s="1"/>
  <c r="DA136" i="7" s="1"/>
  <c r="DA142" i="7" s="1"/>
  <c r="DA154" i="7" s="1"/>
  <c r="AL8" i="9"/>
  <c r="AK8" i="9"/>
  <c r="AJ8" i="9"/>
  <c r="AI8" i="9"/>
  <c r="AG8" i="9"/>
  <c r="AW6" i="9"/>
  <c r="AR6" i="9"/>
  <c r="AQ6" i="9"/>
  <c r="AV6" i="9" s="1"/>
  <c r="BA6" i="9" s="1"/>
  <c r="BF6" i="9" s="1"/>
  <c r="BK6" i="9" s="1"/>
  <c r="AP6" i="9"/>
  <c r="AU6" i="9" s="1"/>
  <c r="AZ6" i="9" s="1"/>
  <c r="BE6" i="9" s="1"/>
  <c r="BJ6" i="9" s="1"/>
  <c r="AO6" i="9"/>
  <c r="AT6" i="9" s="1"/>
  <c r="AY6" i="9" s="1"/>
  <c r="BD6" i="9" s="1"/>
  <c r="BI6" i="9" s="1"/>
  <c r="AN6" i="9"/>
  <c r="AS6" i="9" s="1"/>
  <c r="AX6" i="9" s="1"/>
  <c r="BC6" i="9" s="1"/>
  <c r="BH6" i="9" s="1"/>
  <c r="AM6" i="9"/>
  <c r="AL6" i="9"/>
  <c r="AK6" i="9"/>
  <c r="AJ6" i="9"/>
  <c r="AI6" i="9"/>
  <c r="AH6" i="9"/>
  <c r="AG6" i="9"/>
  <c r="AF6" i="9"/>
  <c r="AE6" i="9"/>
  <c r="AD6" i="9"/>
  <c r="AC6" i="9"/>
  <c r="AB6" i="9"/>
  <c r="AA6" i="9"/>
  <c r="Z6" i="9"/>
  <c r="Y6" i="9"/>
  <c r="X6" i="9"/>
  <c r="W6" i="9"/>
  <c r="V6" i="9"/>
  <c r="U6" i="9"/>
  <c r="T6" i="9"/>
  <c r="S6" i="9"/>
  <c r="R6" i="9"/>
  <c r="Q6" i="9"/>
  <c r="P6" i="9"/>
  <c r="O6" i="9"/>
  <c r="N6" i="9"/>
  <c r="C3" i="9"/>
  <c r="BV437" i="8"/>
  <c r="BQ437" i="8"/>
  <c r="BL438" i="8"/>
  <c r="BL437" i="8"/>
  <c r="DI438" i="8"/>
  <c r="DJ48" i="3"/>
  <c r="DH438" i="8"/>
  <c r="DG438" i="8"/>
  <c r="DF438" i="8"/>
  <c r="DD438" i="8"/>
  <c r="DC438" i="8"/>
  <c r="DB438" i="8"/>
  <c r="DA438" i="8"/>
  <c r="CY438" i="8"/>
  <c r="CX438" i="8"/>
  <c r="CW438" i="8"/>
  <c r="CV438" i="8"/>
  <c r="CV48" i="3"/>
  <c r="CT438" i="8"/>
  <c r="CS438" i="8"/>
  <c r="CR438" i="8"/>
  <c r="CQ438" i="8"/>
  <c r="CO438" i="8"/>
  <c r="CN438" i="8"/>
  <c r="CM438" i="8"/>
  <c r="CL438" i="8"/>
  <c r="CI438" i="8"/>
  <c r="CG438" i="8"/>
  <c r="CD438" i="8"/>
  <c r="DJ437" i="8"/>
  <c r="DI437" i="8"/>
  <c r="DH437" i="8"/>
  <c r="DG437" i="8"/>
  <c r="DF437" i="8"/>
  <c r="DE437" i="8"/>
  <c r="DD437" i="8"/>
  <c r="DC437" i="8"/>
  <c r="DB437" i="8"/>
  <c r="DA437" i="8"/>
  <c r="CZ437" i="8"/>
  <c r="CY437" i="8"/>
  <c r="CX437" i="8"/>
  <c r="CW437" i="8"/>
  <c r="CV437" i="8"/>
  <c r="CU437" i="8"/>
  <c r="CT437" i="8"/>
  <c r="CS437" i="8"/>
  <c r="CR437" i="8"/>
  <c r="CQ437" i="8"/>
  <c r="CP437" i="8"/>
  <c r="CO437" i="8"/>
  <c r="CN437" i="8"/>
  <c r="CM437" i="8"/>
  <c r="CL437" i="8"/>
  <c r="CK437" i="8"/>
  <c r="CJ437" i="8"/>
  <c r="CI437" i="8"/>
  <c r="CH437" i="8"/>
  <c r="CG437" i="8"/>
  <c r="CF437" i="8"/>
  <c r="CE437" i="8"/>
  <c r="CD437" i="8"/>
  <c r="CC437" i="8"/>
  <c r="CB437" i="8"/>
  <c r="CA437" i="8"/>
  <c r="DI434" i="8"/>
  <c r="DH434" i="8"/>
  <c r="DG434" i="8"/>
  <c r="DF434" i="8"/>
  <c r="DD434" i="8"/>
  <c r="DC434" i="8"/>
  <c r="DB434" i="8"/>
  <c r="DA434" i="8"/>
  <c r="CY434" i="8"/>
  <c r="CX434" i="8"/>
  <c r="CW434" i="8"/>
  <c r="CV434" i="8"/>
  <c r="CT434" i="8"/>
  <c r="CS434" i="8"/>
  <c r="CR434" i="8"/>
  <c r="CQ434" i="8"/>
  <c r="CO434" i="8"/>
  <c r="CN434" i="8"/>
  <c r="CM434" i="8"/>
  <c r="CL434" i="8"/>
  <c r="CJ434" i="8"/>
  <c r="CI434" i="8"/>
  <c r="CH434" i="8"/>
  <c r="CG434" i="8"/>
  <c r="CE434" i="8"/>
  <c r="CD434" i="8"/>
  <c r="CC434" i="8"/>
  <c r="CB434" i="8"/>
  <c r="BL433" i="8"/>
  <c r="DJ430" i="8"/>
  <c r="DE430" i="8"/>
  <c r="CZ430" i="8"/>
  <c r="CU430" i="8"/>
  <c r="CP430" i="8"/>
  <c r="CE430" i="8"/>
  <c r="CE438" i="8"/>
  <c r="BV429" i="8"/>
  <c r="BV433" i="8"/>
  <c r="BQ429" i="8"/>
  <c r="CF429" i="8"/>
  <c r="CB429" i="8"/>
  <c r="CA429" i="8"/>
  <c r="CL427" i="8"/>
  <c r="CM427" i="8"/>
  <c r="CN427" i="8"/>
  <c r="CO427" i="8"/>
  <c r="CQ427" i="8"/>
  <c r="CR427" i="8"/>
  <c r="CH427" i="8"/>
  <c r="DI423" i="8"/>
  <c r="DH423" i="8"/>
  <c r="DG423" i="8"/>
  <c r="DF423" i="8"/>
  <c r="DD423" i="8"/>
  <c r="DC423" i="8"/>
  <c r="DB423" i="8"/>
  <c r="DA423" i="8"/>
  <c r="CY423" i="8"/>
  <c r="CX423" i="8"/>
  <c r="CW423" i="8"/>
  <c r="CV423" i="8"/>
  <c r="CT423" i="8"/>
  <c r="CS423" i="8"/>
  <c r="CR423" i="8"/>
  <c r="CQ423" i="8"/>
  <c r="CO423" i="8"/>
  <c r="CN423" i="8"/>
  <c r="CM423" i="8"/>
  <c r="CL423" i="8"/>
  <c r="CJ423" i="8"/>
  <c r="CI423" i="8"/>
  <c r="CH423" i="8"/>
  <c r="CG423" i="8"/>
  <c r="CE423" i="8"/>
  <c r="CD423" i="8"/>
  <c r="CC423" i="8"/>
  <c r="CB423" i="8"/>
  <c r="BL422" i="8"/>
  <c r="CB420" i="8"/>
  <c r="DJ419" i="8"/>
  <c r="DE419" i="8"/>
  <c r="CZ419" i="8"/>
  <c r="CU419" i="8"/>
  <c r="CP419" i="8"/>
  <c r="CK419" i="8"/>
  <c r="CF418" i="8"/>
  <c r="BV418" i="8"/>
  <c r="BQ418" i="8"/>
  <c r="CC418" i="8"/>
  <c r="CB418" i="8"/>
  <c r="CB419" i="8"/>
  <c r="CA418" i="8"/>
  <c r="CA419" i="8"/>
  <c r="CR416" i="8"/>
  <c r="CS416" i="8"/>
  <c r="CT416" i="8"/>
  <c r="CV416" i="8"/>
  <c r="CG416" i="8"/>
  <c r="CH416" i="8"/>
  <c r="CI416" i="8"/>
  <c r="CJ416" i="8"/>
  <c r="DI412" i="8"/>
  <c r="DH412" i="8"/>
  <c r="DG412" i="8"/>
  <c r="DF412" i="8"/>
  <c r="DD412" i="8"/>
  <c r="DC412" i="8"/>
  <c r="DB412" i="8"/>
  <c r="DA412" i="8"/>
  <c r="CY412" i="8"/>
  <c r="CX412" i="8"/>
  <c r="CW412" i="8"/>
  <c r="CV412" i="8"/>
  <c r="CT412" i="8"/>
  <c r="CS412" i="8"/>
  <c r="CR412" i="8"/>
  <c r="CQ412" i="8"/>
  <c r="CO412" i="8"/>
  <c r="CN412" i="8"/>
  <c r="CM412" i="8"/>
  <c r="CL412" i="8"/>
  <c r="CJ412" i="8"/>
  <c r="CI412" i="8"/>
  <c r="CH412" i="8"/>
  <c r="CG412" i="8"/>
  <c r="CE412" i="8"/>
  <c r="CD412" i="8"/>
  <c r="CC412" i="8"/>
  <c r="CB412" i="8"/>
  <c r="BL411" i="8"/>
  <c r="CB409" i="8"/>
  <c r="CC409" i="8"/>
  <c r="CC408" i="8"/>
  <c r="CF408" i="8"/>
  <c r="CF409" i="8"/>
  <c r="DJ408" i="8"/>
  <c r="DE408" i="8"/>
  <c r="CZ408" i="8"/>
  <c r="CU408" i="8"/>
  <c r="CP408" i="8"/>
  <c r="CK408" i="8"/>
  <c r="CF407" i="8"/>
  <c r="BV407" i="8"/>
  <c r="BV411" i="8"/>
  <c r="BQ407" i="8"/>
  <c r="CC407" i="8"/>
  <c r="CB407" i="8"/>
  <c r="CB408" i="8"/>
  <c r="CA407" i="8"/>
  <c r="CA411" i="8"/>
  <c r="CG405" i="8"/>
  <c r="CH405" i="8"/>
  <c r="CI405" i="8"/>
  <c r="CJ405" i="8"/>
  <c r="DI401" i="8"/>
  <c r="DH401" i="8"/>
  <c r="DG401" i="8"/>
  <c r="DF401" i="8"/>
  <c r="DD401" i="8"/>
  <c r="DC401" i="8"/>
  <c r="DB401" i="8"/>
  <c r="DA401" i="8"/>
  <c r="CY401" i="8"/>
  <c r="CX401" i="8"/>
  <c r="CW401" i="8"/>
  <c r="CV401" i="8"/>
  <c r="CT401" i="8"/>
  <c r="CS401" i="8"/>
  <c r="CR401" i="8"/>
  <c r="CQ401" i="8"/>
  <c r="CO401" i="8"/>
  <c r="CN401" i="8"/>
  <c r="CM401" i="8"/>
  <c r="CL401" i="8"/>
  <c r="CJ401" i="8"/>
  <c r="CI401" i="8"/>
  <c r="CH401" i="8"/>
  <c r="CG401" i="8"/>
  <c r="CE401" i="8"/>
  <c r="CD401" i="8"/>
  <c r="CC401" i="8"/>
  <c r="CB401" i="8"/>
  <c r="DJ397" i="8"/>
  <c r="DE397" i="8"/>
  <c r="CZ397" i="8"/>
  <c r="CZ396" i="8"/>
  <c r="CV396" i="8"/>
  <c r="CV398" i="8"/>
  <c r="CY394" i="8"/>
  <c r="CG394" i="8"/>
  <c r="CH394" i="8"/>
  <c r="CI394" i="8"/>
  <c r="CJ394" i="8"/>
  <c r="CL394" i="8"/>
  <c r="CM394" i="8"/>
  <c r="CN394" i="8"/>
  <c r="CO394" i="8"/>
  <c r="CQ394" i="8"/>
  <c r="CR394" i="8"/>
  <c r="CS394" i="8"/>
  <c r="CT394" i="8"/>
  <c r="DI390" i="8"/>
  <c r="DH390" i="8"/>
  <c r="DG390" i="8"/>
  <c r="DF390" i="8"/>
  <c r="DD390" i="8"/>
  <c r="DC390" i="8"/>
  <c r="DB390" i="8"/>
  <c r="DA390" i="8"/>
  <c r="CY390" i="8"/>
  <c r="CX390" i="8"/>
  <c r="CW390" i="8"/>
  <c r="CV390" i="8"/>
  <c r="CT390" i="8"/>
  <c r="CS390" i="8"/>
  <c r="CR390" i="8"/>
  <c r="CQ390" i="8"/>
  <c r="CO390" i="8"/>
  <c r="CN390" i="8"/>
  <c r="CM390" i="8"/>
  <c r="CL390" i="8"/>
  <c r="CJ390" i="8"/>
  <c r="CI390" i="8"/>
  <c r="CH390" i="8"/>
  <c r="CG390" i="8"/>
  <c r="CE390" i="8"/>
  <c r="CD390" i="8"/>
  <c r="CC390" i="8"/>
  <c r="CB390" i="8"/>
  <c r="DJ386" i="8"/>
  <c r="DE386" i="8"/>
  <c r="CZ386" i="8"/>
  <c r="CZ385" i="8"/>
  <c r="CZ387" i="8"/>
  <c r="CV385" i="8"/>
  <c r="CV387" i="8"/>
  <c r="CY383" i="8"/>
  <c r="DA383" i="8"/>
  <c r="CG383" i="8"/>
  <c r="CH383" i="8"/>
  <c r="CI383" i="8"/>
  <c r="CJ383" i="8"/>
  <c r="CL383" i="8"/>
  <c r="CM383" i="8"/>
  <c r="CN383" i="8"/>
  <c r="CO383" i="8"/>
  <c r="CQ383" i="8"/>
  <c r="CR383" i="8"/>
  <c r="CS383" i="8"/>
  <c r="CT383" i="8"/>
  <c r="DI379" i="8"/>
  <c r="DH379" i="8"/>
  <c r="DG379" i="8"/>
  <c r="DF379" i="8"/>
  <c r="DD379" i="8"/>
  <c r="DC379" i="8"/>
  <c r="DB379" i="8"/>
  <c r="DA379" i="8"/>
  <c r="CY379" i="8"/>
  <c r="CX379" i="8"/>
  <c r="CW379" i="8"/>
  <c r="CV379" i="8"/>
  <c r="CT379" i="8"/>
  <c r="CS379" i="8"/>
  <c r="CR379" i="8"/>
  <c r="CQ379" i="8"/>
  <c r="CO379" i="8"/>
  <c r="CN379" i="8"/>
  <c r="CM379" i="8"/>
  <c r="CL379" i="8"/>
  <c r="CJ379" i="8"/>
  <c r="CI379" i="8"/>
  <c r="CH379" i="8"/>
  <c r="CG379" i="8"/>
  <c r="CE379" i="8"/>
  <c r="CD379" i="8"/>
  <c r="CC379" i="8"/>
  <c r="CB379" i="8"/>
  <c r="DJ375" i="8"/>
  <c r="DE375" i="8"/>
  <c r="CZ375" i="8"/>
  <c r="CZ374" i="8"/>
  <c r="CZ376" i="8"/>
  <c r="CV374" i="8"/>
  <c r="CV376" i="8"/>
  <c r="CY372" i="8"/>
  <c r="DA372" i="8"/>
  <c r="DB372" i="8"/>
  <c r="DC372" i="8"/>
  <c r="DD372" i="8"/>
  <c r="CG372" i="8"/>
  <c r="CH372" i="8"/>
  <c r="CI372" i="8"/>
  <c r="CJ372" i="8"/>
  <c r="CL372" i="8"/>
  <c r="CM372" i="8"/>
  <c r="CN372" i="8"/>
  <c r="CO372" i="8"/>
  <c r="CQ372" i="8"/>
  <c r="CR372" i="8"/>
  <c r="CS372" i="8"/>
  <c r="CT372" i="8"/>
  <c r="DI368" i="8"/>
  <c r="DH368" i="8"/>
  <c r="DG368" i="8"/>
  <c r="DF368" i="8"/>
  <c r="DD368" i="8"/>
  <c r="DC368" i="8"/>
  <c r="DB368" i="8"/>
  <c r="DA368" i="8"/>
  <c r="CY368" i="8"/>
  <c r="CX368" i="8"/>
  <c r="CW368" i="8"/>
  <c r="CV368" i="8"/>
  <c r="CT368" i="8"/>
  <c r="CS368" i="8"/>
  <c r="CR368" i="8"/>
  <c r="CQ368" i="8"/>
  <c r="CO368" i="8"/>
  <c r="CN368" i="8"/>
  <c r="CM368" i="8"/>
  <c r="CL368" i="8"/>
  <c r="CJ368" i="8"/>
  <c r="CI368" i="8"/>
  <c r="CH368" i="8"/>
  <c r="CG368" i="8"/>
  <c r="CE368" i="8"/>
  <c r="CD368" i="8"/>
  <c r="CC368" i="8"/>
  <c r="CB368" i="8"/>
  <c r="DJ364" i="8"/>
  <c r="DE364" i="8"/>
  <c r="CZ364" i="8"/>
  <c r="CZ363" i="8"/>
  <c r="CV363" i="8"/>
  <c r="CV365" i="8"/>
  <c r="CV51" i="8"/>
  <c r="CY361" i="8"/>
  <c r="CG361" i="8"/>
  <c r="CH361" i="8"/>
  <c r="CI361" i="8"/>
  <c r="CJ361" i="8"/>
  <c r="CL361" i="8"/>
  <c r="CM361" i="8"/>
  <c r="CN361" i="8"/>
  <c r="CO361" i="8"/>
  <c r="CQ361" i="8"/>
  <c r="CR361" i="8"/>
  <c r="CS361" i="8"/>
  <c r="CT361" i="8"/>
  <c r="DI357" i="8"/>
  <c r="DH357" i="8"/>
  <c r="DG357" i="8"/>
  <c r="DF357" i="8"/>
  <c r="DD357" i="8"/>
  <c r="DC357" i="8"/>
  <c r="DB357" i="8"/>
  <c r="DA357" i="8"/>
  <c r="CY357" i="8"/>
  <c r="CX357" i="8"/>
  <c r="CW357" i="8"/>
  <c r="CV357" i="8"/>
  <c r="CT357" i="8"/>
  <c r="CS357" i="8"/>
  <c r="CR357" i="8"/>
  <c r="CQ357" i="8"/>
  <c r="CO357" i="8"/>
  <c r="CN357" i="8"/>
  <c r="CM357" i="8"/>
  <c r="CL357" i="8"/>
  <c r="CJ357" i="8"/>
  <c r="CI357" i="8"/>
  <c r="CH357" i="8"/>
  <c r="CG357" i="8"/>
  <c r="CE357" i="8"/>
  <c r="CD357" i="8"/>
  <c r="CC357" i="8"/>
  <c r="CB357" i="8"/>
  <c r="DJ353" i="8"/>
  <c r="DE353" i="8"/>
  <c r="CZ353" i="8"/>
  <c r="CZ352" i="8"/>
  <c r="CV352" i="8"/>
  <c r="CV354" i="8"/>
  <c r="CY350" i="8"/>
  <c r="CG350" i="8"/>
  <c r="DI346" i="8"/>
  <c r="DH346" i="8"/>
  <c r="DG346" i="8"/>
  <c r="DF346" i="8"/>
  <c r="DD346" i="8"/>
  <c r="DC346" i="8"/>
  <c r="DB346" i="8"/>
  <c r="DA346" i="8"/>
  <c r="CY346" i="8"/>
  <c r="CX346" i="8"/>
  <c r="CW346" i="8"/>
  <c r="CV346" i="8"/>
  <c r="CT346" i="8"/>
  <c r="CS346" i="8"/>
  <c r="CR346" i="8"/>
  <c r="CQ346" i="8"/>
  <c r="CO346" i="8"/>
  <c r="CN346" i="8"/>
  <c r="CM346" i="8"/>
  <c r="CL346" i="8"/>
  <c r="CJ346" i="8"/>
  <c r="CI346" i="8"/>
  <c r="CH346" i="8"/>
  <c r="CG346" i="8"/>
  <c r="CE346" i="8"/>
  <c r="CD346" i="8"/>
  <c r="CC346" i="8"/>
  <c r="CB346" i="8"/>
  <c r="DJ342" i="8"/>
  <c r="DE342" i="8"/>
  <c r="CZ342" i="8"/>
  <c r="CZ341" i="8"/>
  <c r="CZ343" i="8"/>
  <c r="CV341" i="8"/>
  <c r="CV343" i="8"/>
  <c r="DA339" i="8"/>
  <c r="DI335" i="8"/>
  <c r="DH335" i="8"/>
  <c r="DG335" i="8"/>
  <c r="DF335" i="8"/>
  <c r="DD335" i="8"/>
  <c r="DC335" i="8"/>
  <c r="DB335" i="8"/>
  <c r="DA335" i="8"/>
  <c r="CY335" i="8"/>
  <c r="CX335" i="8"/>
  <c r="CW335" i="8"/>
  <c r="CV335" i="8"/>
  <c r="CT335" i="8"/>
  <c r="CS335" i="8"/>
  <c r="CR335" i="8"/>
  <c r="CQ335" i="8"/>
  <c r="CO335" i="8"/>
  <c r="CN335" i="8"/>
  <c r="CM335" i="8"/>
  <c r="CL335" i="8"/>
  <c r="CJ335" i="8"/>
  <c r="CI335" i="8"/>
  <c r="CH335" i="8"/>
  <c r="CG335" i="8"/>
  <c r="CE335" i="8"/>
  <c r="CD335" i="8"/>
  <c r="CC335" i="8"/>
  <c r="CB335" i="8"/>
  <c r="CB332" i="8"/>
  <c r="CB330" i="8"/>
  <c r="DJ331" i="8"/>
  <c r="DE331" i="8"/>
  <c r="CZ331" i="8"/>
  <c r="CU331" i="8"/>
  <c r="CP331" i="8"/>
  <c r="CK331" i="8"/>
  <c r="CF330" i="8"/>
  <c r="CC330" i="8"/>
  <c r="CC334" i="8"/>
  <c r="CD330" i="8"/>
  <c r="CD332" i="8"/>
  <c r="CE330" i="8"/>
  <c r="CG328" i="8"/>
  <c r="CH328" i="8"/>
  <c r="CI328" i="8"/>
  <c r="DI324" i="8"/>
  <c r="DH324" i="8"/>
  <c r="DG324" i="8"/>
  <c r="DF324" i="8"/>
  <c r="DD324" i="8"/>
  <c r="DC324" i="8"/>
  <c r="DB324" i="8"/>
  <c r="DA324" i="8"/>
  <c r="CY324" i="8"/>
  <c r="CX324" i="8"/>
  <c r="CW324" i="8"/>
  <c r="CV324" i="8"/>
  <c r="CT324" i="8"/>
  <c r="CS324" i="8"/>
  <c r="CR324" i="8"/>
  <c r="CQ324" i="8"/>
  <c r="CO324" i="8"/>
  <c r="CN324" i="8"/>
  <c r="CM324" i="8"/>
  <c r="CL324" i="8"/>
  <c r="CJ324" i="8"/>
  <c r="CJ321" i="8"/>
  <c r="CJ323" i="8"/>
  <c r="CK323" i="8"/>
  <c r="DJ320" i="8"/>
  <c r="DE320" i="8"/>
  <c r="CZ320" i="8"/>
  <c r="CU320" i="8"/>
  <c r="CP320" i="8"/>
  <c r="CK320" i="8"/>
  <c r="CK319" i="8"/>
  <c r="CK321" i="8"/>
  <c r="CP319" i="8"/>
  <c r="CP321" i="8"/>
  <c r="CL319" i="8"/>
  <c r="CL321" i="8"/>
  <c r="CL47" i="8"/>
  <c r="CL317" i="8"/>
  <c r="DI313" i="8"/>
  <c r="DH313" i="8"/>
  <c r="DG313" i="8"/>
  <c r="DF313" i="8"/>
  <c r="DD313" i="8"/>
  <c r="DC313" i="8"/>
  <c r="DB313" i="8"/>
  <c r="DA313" i="8"/>
  <c r="CY313" i="8"/>
  <c r="CX313" i="8"/>
  <c r="CW313" i="8"/>
  <c r="CV313" i="8"/>
  <c r="CT313" i="8"/>
  <c r="CS313" i="8"/>
  <c r="CR313" i="8"/>
  <c r="CQ313" i="8"/>
  <c r="CO313" i="8"/>
  <c r="CN313" i="8"/>
  <c r="CM313" i="8"/>
  <c r="CL313" i="8"/>
  <c r="CJ313" i="8"/>
  <c r="CI313" i="8"/>
  <c r="CH313" i="8"/>
  <c r="CG313" i="8"/>
  <c r="CE313" i="8"/>
  <c r="CD313" i="8"/>
  <c r="CC313" i="8"/>
  <c r="CB313" i="8"/>
  <c r="CB310" i="8"/>
  <c r="CC310" i="8"/>
  <c r="CB312" i="8"/>
  <c r="DJ309" i="8"/>
  <c r="DE309" i="8"/>
  <c r="CZ309" i="8"/>
  <c r="CU309" i="8"/>
  <c r="CP309" i="8"/>
  <c r="CK309" i="8"/>
  <c r="CF308" i="8"/>
  <c r="CC308" i="8"/>
  <c r="CB308" i="8"/>
  <c r="CB309" i="8"/>
  <c r="CA308" i="8"/>
  <c r="CA309" i="8"/>
  <c r="CG306" i="8"/>
  <c r="CH306" i="8"/>
  <c r="DI302" i="8"/>
  <c r="DH302" i="8"/>
  <c r="DG302" i="8"/>
  <c r="DF302" i="8"/>
  <c r="DD302" i="8"/>
  <c r="DC302" i="8"/>
  <c r="DB302" i="8"/>
  <c r="DA302" i="8"/>
  <c r="CY302" i="8"/>
  <c r="CX302" i="8"/>
  <c r="CW302" i="8"/>
  <c r="CV302" i="8"/>
  <c r="CT302" i="8"/>
  <c r="CS302" i="8"/>
  <c r="CR302" i="8"/>
  <c r="CQ302" i="8"/>
  <c r="CO302" i="8"/>
  <c r="CN302" i="8"/>
  <c r="CM302" i="8"/>
  <c r="CL302" i="8"/>
  <c r="CJ302" i="8"/>
  <c r="CI302" i="8"/>
  <c r="CH302" i="8"/>
  <c r="CG302" i="8"/>
  <c r="CE302" i="8"/>
  <c r="CD302" i="8"/>
  <c r="CC302" i="8"/>
  <c r="CB302" i="8"/>
  <c r="BL301" i="8"/>
  <c r="CC299" i="8"/>
  <c r="CB299" i="8"/>
  <c r="DJ298" i="8"/>
  <c r="DE298" i="8"/>
  <c r="CZ298" i="8"/>
  <c r="CU298" i="8"/>
  <c r="CP298" i="8"/>
  <c r="CK298" i="8"/>
  <c r="CF297" i="8"/>
  <c r="BV297" i="8"/>
  <c r="BV298" i="8"/>
  <c r="BQ297" i="8"/>
  <c r="BQ301" i="8"/>
  <c r="CB297" i="8"/>
  <c r="CA297" i="8"/>
  <c r="CA298" i="8"/>
  <c r="CH295" i="8"/>
  <c r="CG295" i="8"/>
  <c r="DI291" i="8"/>
  <c r="DH291" i="8"/>
  <c r="DG291" i="8"/>
  <c r="DF291" i="8"/>
  <c r="DD291" i="8"/>
  <c r="DC291" i="8"/>
  <c r="DB291" i="8"/>
  <c r="DA291" i="8"/>
  <c r="CY291" i="8"/>
  <c r="CX291" i="8"/>
  <c r="CW291" i="8"/>
  <c r="CV291" i="8"/>
  <c r="CT291" i="8"/>
  <c r="CS291" i="8"/>
  <c r="CR291" i="8"/>
  <c r="CQ291" i="8"/>
  <c r="CO291" i="8"/>
  <c r="CN291" i="8"/>
  <c r="CM291" i="8"/>
  <c r="CL291" i="8"/>
  <c r="CJ291" i="8"/>
  <c r="CI291" i="8"/>
  <c r="CH291" i="8"/>
  <c r="CG291" i="8"/>
  <c r="CE291" i="8"/>
  <c r="CD291" i="8"/>
  <c r="CC291" i="8"/>
  <c r="CB291" i="8"/>
  <c r="BL290" i="8"/>
  <c r="CB288" i="8"/>
  <c r="CC288" i="8"/>
  <c r="DJ287" i="8"/>
  <c r="DE287" i="8"/>
  <c r="CZ287" i="8"/>
  <c r="CU287" i="8"/>
  <c r="CP287" i="8"/>
  <c r="CK287" i="8"/>
  <c r="CF286" i="8"/>
  <c r="BV286" i="8"/>
  <c r="BV287" i="8"/>
  <c r="BQ286" i="8"/>
  <c r="CD286" i="8"/>
  <c r="CD288" i="8"/>
  <c r="CC286" i="8"/>
  <c r="CB286" i="8"/>
  <c r="CB287" i="8"/>
  <c r="CA286" i="8"/>
  <c r="CA290" i="8"/>
  <c r="CG284" i="8"/>
  <c r="CH284" i="8"/>
  <c r="CI284" i="8"/>
  <c r="DI280" i="8"/>
  <c r="DH280" i="8"/>
  <c r="DG280" i="8"/>
  <c r="DF280" i="8"/>
  <c r="DD280" i="8"/>
  <c r="DC280" i="8"/>
  <c r="DB280" i="8"/>
  <c r="DA280" i="8"/>
  <c r="CY280" i="8"/>
  <c r="CX280" i="8"/>
  <c r="CW280" i="8"/>
  <c r="CV280" i="8"/>
  <c r="CT280" i="8"/>
  <c r="CS280" i="8"/>
  <c r="CR280" i="8"/>
  <c r="CQ280" i="8"/>
  <c r="CO280" i="8"/>
  <c r="CN280" i="8"/>
  <c r="CM280" i="8"/>
  <c r="CL280" i="8"/>
  <c r="CJ280" i="8"/>
  <c r="CI280" i="8"/>
  <c r="CH280" i="8"/>
  <c r="CG280" i="8"/>
  <c r="CE280" i="8"/>
  <c r="CD280" i="8"/>
  <c r="CC280" i="8"/>
  <c r="CB280" i="8"/>
  <c r="CB277" i="8"/>
  <c r="DJ276" i="8"/>
  <c r="DE276" i="8"/>
  <c r="CZ276" i="8"/>
  <c r="CU276" i="8"/>
  <c r="CP276" i="8"/>
  <c r="CK276" i="8"/>
  <c r="CF275" i="8"/>
  <c r="BV275" i="8"/>
  <c r="BV276" i="8"/>
  <c r="CB275" i="8"/>
  <c r="CA275" i="8"/>
  <c r="CG273" i="8"/>
  <c r="CH273" i="8"/>
  <c r="CI273" i="8"/>
  <c r="CJ273" i="8"/>
  <c r="CL273" i="8"/>
  <c r="DI269" i="8"/>
  <c r="DH269" i="8"/>
  <c r="DG269" i="8"/>
  <c r="DF269" i="8"/>
  <c r="DD269" i="8"/>
  <c r="DC269" i="8"/>
  <c r="DB269" i="8"/>
  <c r="DA269" i="8"/>
  <c r="CY269" i="8"/>
  <c r="CX269" i="8"/>
  <c r="CW269" i="8"/>
  <c r="CV269" i="8"/>
  <c r="CT269" i="8"/>
  <c r="CS269" i="8"/>
  <c r="CR269" i="8"/>
  <c r="CQ269" i="8"/>
  <c r="CO269" i="8"/>
  <c r="CN269" i="8"/>
  <c r="CM269" i="8"/>
  <c r="CL269" i="8"/>
  <c r="CJ269" i="8"/>
  <c r="CI269" i="8"/>
  <c r="CH269" i="8"/>
  <c r="CG269" i="8"/>
  <c r="CE269" i="8"/>
  <c r="CD269" i="8"/>
  <c r="CC269" i="8"/>
  <c r="CB269" i="8"/>
  <c r="CB266" i="8"/>
  <c r="CC266" i="8"/>
  <c r="DJ265" i="8"/>
  <c r="DE265" i="8"/>
  <c r="CZ265" i="8"/>
  <c r="CU265" i="8"/>
  <c r="CP265" i="8"/>
  <c r="CK265" i="8"/>
  <c r="CF264" i="8"/>
  <c r="BV264" i="8"/>
  <c r="BV268" i="8"/>
  <c r="CB264" i="8"/>
  <c r="CA264" i="8"/>
  <c r="CH262" i="8"/>
  <c r="CI262" i="8"/>
  <c r="CG262" i="8"/>
  <c r="DI258" i="8"/>
  <c r="DH258" i="8"/>
  <c r="DG258" i="8"/>
  <c r="DF258" i="8"/>
  <c r="DD258" i="8"/>
  <c r="DC258" i="8"/>
  <c r="DB258" i="8"/>
  <c r="DA258" i="8"/>
  <c r="CY258" i="8"/>
  <c r="CX258" i="8"/>
  <c r="CW258" i="8"/>
  <c r="CV258" i="8"/>
  <c r="CT258" i="8"/>
  <c r="CS258" i="8"/>
  <c r="CR258" i="8"/>
  <c r="CQ258" i="8"/>
  <c r="CO258" i="8"/>
  <c r="CN258" i="8"/>
  <c r="CM258" i="8"/>
  <c r="CL258" i="8"/>
  <c r="CJ258" i="8"/>
  <c r="CI258" i="8"/>
  <c r="CH258" i="8"/>
  <c r="CG258" i="8"/>
  <c r="CE258" i="8"/>
  <c r="CD258" i="8"/>
  <c r="CC258" i="8"/>
  <c r="CB258" i="8"/>
  <c r="BL257" i="8"/>
  <c r="CB255" i="8"/>
  <c r="CC255" i="8"/>
  <c r="DJ254" i="8"/>
  <c r="DE254" i="8"/>
  <c r="CZ254" i="8"/>
  <c r="CU254" i="8"/>
  <c r="CP254" i="8"/>
  <c r="CK254" i="8"/>
  <c r="CF253" i="8"/>
  <c r="BV253" i="8"/>
  <c r="BV254" i="8"/>
  <c r="BQ253" i="8"/>
  <c r="CC253" i="8"/>
  <c r="CB253" i="8"/>
  <c r="CB254" i="8"/>
  <c r="CA253" i="8"/>
  <c r="CA254" i="8"/>
  <c r="CG251" i="8"/>
  <c r="CH251" i="8"/>
  <c r="DI247" i="8"/>
  <c r="DH247" i="8"/>
  <c r="DG247" i="8"/>
  <c r="DF247" i="8"/>
  <c r="DD247" i="8"/>
  <c r="DC247" i="8"/>
  <c r="DB247" i="8"/>
  <c r="DA247" i="8"/>
  <c r="CY247" i="8"/>
  <c r="CX247" i="8"/>
  <c r="CW247" i="8"/>
  <c r="CV247" i="8"/>
  <c r="CT247" i="8"/>
  <c r="CS247" i="8"/>
  <c r="CT246" i="8"/>
  <c r="CE247" i="8"/>
  <c r="CD247" i="8"/>
  <c r="CC247" i="8"/>
  <c r="CB247" i="8"/>
  <c r="BL246" i="8"/>
  <c r="CB244" i="8"/>
  <c r="CC244" i="8"/>
  <c r="DJ243" i="8"/>
  <c r="DE243" i="8"/>
  <c r="CZ243" i="8"/>
  <c r="CU243" i="8"/>
  <c r="CU242" i="8"/>
  <c r="CU244" i="8"/>
  <c r="BV242" i="8"/>
  <c r="BV246" i="8"/>
  <c r="BQ242" i="8"/>
  <c r="CS242" i="8"/>
  <c r="CS244" i="8"/>
  <c r="CB242" i="8"/>
  <c r="CB246" i="8"/>
  <c r="CV240" i="8"/>
  <c r="CW240" i="8"/>
  <c r="CX240" i="8"/>
  <c r="CY240" i="8"/>
  <c r="CS240" i="8"/>
  <c r="DI236" i="8"/>
  <c r="DH236" i="8"/>
  <c r="DG236" i="8"/>
  <c r="DF236" i="8"/>
  <c r="DD236" i="8"/>
  <c r="DC236" i="8"/>
  <c r="DB236" i="8"/>
  <c r="DA236" i="8"/>
  <c r="CY236" i="8"/>
  <c r="CX236" i="8"/>
  <c r="CW236" i="8"/>
  <c r="CV236" i="8"/>
  <c r="CT236" i="8"/>
  <c r="CS236" i="8"/>
  <c r="CT235" i="8"/>
  <c r="CE236" i="8"/>
  <c r="CD236" i="8"/>
  <c r="CC236" i="8"/>
  <c r="CB236" i="8"/>
  <c r="BL235" i="8"/>
  <c r="CB233" i="8"/>
  <c r="DJ232" i="8"/>
  <c r="DE232" i="8"/>
  <c r="CZ232" i="8"/>
  <c r="CU232" i="8"/>
  <c r="CU231" i="8"/>
  <c r="CU233" i="8"/>
  <c r="CZ231" i="8"/>
  <c r="CZ233" i="8"/>
  <c r="DE231" i="8"/>
  <c r="DE233" i="8"/>
  <c r="BV231" i="8"/>
  <c r="BQ231" i="8"/>
  <c r="CS231" i="8"/>
  <c r="CS233" i="8"/>
  <c r="CB231" i="8"/>
  <c r="CB232" i="8"/>
  <c r="CV229" i="8"/>
  <c r="CS229" i="8"/>
  <c r="DI225" i="8"/>
  <c r="DH225" i="8"/>
  <c r="DG225" i="8"/>
  <c r="DF225" i="8"/>
  <c r="DD225" i="8"/>
  <c r="DC225" i="8"/>
  <c r="DB225" i="8"/>
  <c r="DA225" i="8"/>
  <c r="CY225" i="8"/>
  <c r="CX225" i="8"/>
  <c r="CW225" i="8"/>
  <c r="CV225" i="8"/>
  <c r="CT225" i="8"/>
  <c r="CS225" i="8"/>
  <c r="CR225" i="8"/>
  <c r="CQ225" i="8"/>
  <c r="CO225" i="8"/>
  <c r="CE225" i="8"/>
  <c r="CD225" i="8"/>
  <c r="CC225" i="8"/>
  <c r="CB225" i="8"/>
  <c r="BL224" i="8"/>
  <c r="CO222" i="8"/>
  <c r="CO224" i="8"/>
  <c r="CP224" i="8"/>
  <c r="CB222" i="8"/>
  <c r="DJ221" i="8"/>
  <c r="DE221" i="8"/>
  <c r="CZ221" i="8"/>
  <c r="CU221" i="8"/>
  <c r="CP221" i="8"/>
  <c r="CP220" i="8"/>
  <c r="BV220" i="8"/>
  <c r="BQ220" i="8"/>
  <c r="BQ224" i="8"/>
  <c r="BQ221" i="8"/>
  <c r="CQ220" i="8"/>
  <c r="CQ222" i="8"/>
  <c r="CR220" i="8"/>
  <c r="CR222" i="8"/>
  <c r="CB220" i="8"/>
  <c r="CQ218" i="8"/>
  <c r="DI214" i="8"/>
  <c r="DH214" i="8"/>
  <c r="DG214" i="8"/>
  <c r="DF214" i="8"/>
  <c r="DD214" i="8"/>
  <c r="DC214" i="8"/>
  <c r="DB214" i="8"/>
  <c r="DA214" i="8"/>
  <c r="CY214" i="8"/>
  <c r="CX214" i="8"/>
  <c r="CW214" i="8"/>
  <c r="CV214" i="8"/>
  <c r="CT214" i="8"/>
  <c r="CS214" i="8"/>
  <c r="CR214" i="8"/>
  <c r="CQ214" i="8"/>
  <c r="CO214" i="8"/>
  <c r="CE214" i="8"/>
  <c r="CD214" i="8"/>
  <c r="CC214" i="8"/>
  <c r="CB214" i="8"/>
  <c r="BL213" i="8"/>
  <c r="CO211" i="8"/>
  <c r="CB211" i="8"/>
  <c r="CB213" i="8"/>
  <c r="DJ210" i="8"/>
  <c r="DE210" i="8"/>
  <c r="CZ210" i="8"/>
  <c r="CU210" i="8"/>
  <c r="CP210" i="8"/>
  <c r="CP211" i="8"/>
  <c r="CP209" i="8"/>
  <c r="BV210" i="8"/>
  <c r="BV209" i="8"/>
  <c r="BV213" i="8"/>
  <c r="BQ209" i="8"/>
  <c r="BQ210" i="8"/>
  <c r="CB209" i="8"/>
  <c r="CB210" i="8"/>
  <c r="CQ207" i="8"/>
  <c r="CR207" i="8"/>
  <c r="DI203" i="8"/>
  <c r="DH203" i="8"/>
  <c r="DG203" i="8"/>
  <c r="DF203" i="8"/>
  <c r="DD203" i="8"/>
  <c r="DC203" i="8"/>
  <c r="DB203" i="8"/>
  <c r="DA203" i="8"/>
  <c r="CY203" i="8"/>
  <c r="CX203" i="8"/>
  <c r="CW203" i="8"/>
  <c r="CV203" i="8"/>
  <c r="CT203" i="8"/>
  <c r="CS203" i="8"/>
  <c r="CR203" i="8"/>
  <c r="CQ203" i="8"/>
  <c r="CO203" i="8"/>
  <c r="CN203" i="8"/>
  <c r="CM203" i="8"/>
  <c r="CL203" i="8"/>
  <c r="CJ203" i="8"/>
  <c r="CI203" i="8"/>
  <c r="CH203" i="8"/>
  <c r="CG203" i="8"/>
  <c r="CE203" i="8"/>
  <c r="CD203" i="8"/>
  <c r="CC203" i="8"/>
  <c r="CB203" i="8"/>
  <c r="BL202" i="8"/>
  <c r="CB200" i="8"/>
  <c r="DJ199" i="8"/>
  <c r="DE199" i="8"/>
  <c r="CZ199" i="8"/>
  <c r="CU199" i="8"/>
  <c r="CP199" i="8"/>
  <c r="CK199" i="8"/>
  <c r="CJ199" i="8"/>
  <c r="CJ438" i="8"/>
  <c r="CF198" i="8"/>
  <c r="BV198" i="8"/>
  <c r="BQ198" i="8"/>
  <c r="BQ202" i="8"/>
  <c r="CB198" i="8"/>
  <c r="CA198" i="8"/>
  <c r="CG196" i="8"/>
  <c r="CH196" i="8"/>
  <c r="DI192" i="8"/>
  <c r="DH192" i="8"/>
  <c r="DG192" i="8"/>
  <c r="DF192" i="8"/>
  <c r="DD192" i="8"/>
  <c r="DC192" i="8"/>
  <c r="DB192" i="8"/>
  <c r="DA192" i="8"/>
  <c r="CY192" i="8"/>
  <c r="CX192" i="8"/>
  <c r="CW192" i="8"/>
  <c r="CV192" i="8"/>
  <c r="CT192" i="8"/>
  <c r="CS192" i="8"/>
  <c r="CR192" i="8"/>
  <c r="CQ192" i="8"/>
  <c r="CO192" i="8"/>
  <c r="CE192" i="8"/>
  <c r="CD192" i="8"/>
  <c r="CC192" i="8"/>
  <c r="CB192" i="8"/>
  <c r="BL191" i="8"/>
  <c r="CO189" i="8"/>
  <c r="CO191" i="8"/>
  <c r="CP191" i="8"/>
  <c r="CB189" i="8"/>
  <c r="CC189" i="8"/>
  <c r="DJ188" i="8"/>
  <c r="DE188" i="8"/>
  <c r="CZ188" i="8"/>
  <c r="CU188" i="8"/>
  <c r="CP188" i="8"/>
  <c r="CP187" i="8"/>
  <c r="CP189" i="8"/>
  <c r="BV187" i="8"/>
  <c r="BV191" i="8"/>
  <c r="BV188" i="8"/>
  <c r="BQ187" i="8"/>
  <c r="BQ191" i="8"/>
  <c r="CB187" i="8"/>
  <c r="CB188" i="8"/>
  <c r="CQ185" i="8"/>
  <c r="DI181" i="8"/>
  <c r="DH181" i="8"/>
  <c r="DG181" i="8"/>
  <c r="DF181" i="8"/>
  <c r="DD181" i="8"/>
  <c r="DC181" i="8"/>
  <c r="DB181" i="8"/>
  <c r="DA181" i="8"/>
  <c r="CY181" i="8"/>
  <c r="CX181" i="8"/>
  <c r="CW181" i="8"/>
  <c r="CV181" i="8"/>
  <c r="CT181" i="8"/>
  <c r="CS181" i="8"/>
  <c r="CR181" i="8"/>
  <c r="CQ181" i="8"/>
  <c r="CO181" i="8"/>
  <c r="CN181" i="8"/>
  <c r="CM181" i="8"/>
  <c r="CL181" i="8"/>
  <c r="CJ181" i="8"/>
  <c r="CI181" i="8"/>
  <c r="CH181" i="8"/>
  <c r="CG181" i="8"/>
  <c r="CE181" i="8"/>
  <c r="CD181" i="8"/>
  <c r="CC181" i="8"/>
  <c r="CB181" i="8"/>
  <c r="BQ180" i="8"/>
  <c r="BL180" i="8"/>
  <c r="CB178" i="8"/>
  <c r="DJ177" i="8"/>
  <c r="DE177" i="8"/>
  <c r="CZ177" i="8"/>
  <c r="CU177" i="8"/>
  <c r="CP177" i="8"/>
  <c r="CK177" i="8"/>
  <c r="CF176" i="8"/>
  <c r="BV176" i="8"/>
  <c r="BQ176" i="8"/>
  <c r="BQ177" i="8"/>
  <c r="CC176" i="8"/>
  <c r="CB176" i="8"/>
  <c r="CA176" i="8"/>
  <c r="CG174" i="8"/>
  <c r="CH174" i="8"/>
  <c r="DI170" i="8"/>
  <c r="DH170" i="8"/>
  <c r="DG170" i="8"/>
  <c r="DF170" i="8"/>
  <c r="DD170" i="8"/>
  <c r="DC170" i="8"/>
  <c r="DB170" i="8"/>
  <c r="DA170" i="8"/>
  <c r="CY170" i="8"/>
  <c r="CX170" i="8"/>
  <c r="CW170" i="8"/>
  <c r="CV170" i="8"/>
  <c r="CT170" i="8"/>
  <c r="CS170" i="8"/>
  <c r="CR170" i="8"/>
  <c r="CQ170" i="8"/>
  <c r="CO170" i="8"/>
  <c r="CN170" i="8"/>
  <c r="CM170" i="8"/>
  <c r="CL170" i="8"/>
  <c r="CJ170" i="8"/>
  <c r="CI170" i="8"/>
  <c r="CH170" i="8"/>
  <c r="CG170" i="8"/>
  <c r="CE170" i="8"/>
  <c r="CD170" i="8"/>
  <c r="CC170" i="8"/>
  <c r="CB170" i="8"/>
  <c r="CB167" i="8"/>
  <c r="CC167" i="8"/>
  <c r="DJ166" i="8"/>
  <c r="DE166" i="8"/>
  <c r="CZ166" i="8"/>
  <c r="CU166" i="8"/>
  <c r="CP166" i="8"/>
  <c r="CK166" i="8"/>
  <c r="CF165" i="8"/>
  <c r="CB165" i="8"/>
  <c r="CB166" i="8"/>
  <c r="CA165" i="8"/>
  <c r="CA169" i="8"/>
  <c r="CG163" i="8"/>
  <c r="CH163" i="8"/>
  <c r="CI163" i="8"/>
  <c r="DI159" i="8"/>
  <c r="DH159" i="8"/>
  <c r="DG159" i="8"/>
  <c r="DF159" i="8"/>
  <c r="DD159" i="8"/>
  <c r="DC159" i="8"/>
  <c r="DB159" i="8"/>
  <c r="DA159" i="8"/>
  <c r="CY159" i="8"/>
  <c r="CX159" i="8"/>
  <c r="CW159" i="8"/>
  <c r="CV159" i="8"/>
  <c r="CT159" i="8"/>
  <c r="CS159" i="8"/>
  <c r="CR159" i="8"/>
  <c r="CQ159" i="8"/>
  <c r="CO159" i="8"/>
  <c r="CN159" i="8"/>
  <c r="CM159" i="8"/>
  <c r="CL159" i="8"/>
  <c r="CJ159" i="8"/>
  <c r="CI159" i="8"/>
  <c r="CH159" i="8"/>
  <c r="CG159" i="8"/>
  <c r="CE159" i="8"/>
  <c r="CD159" i="8"/>
  <c r="CC159" i="8"/>
  <c r="CB159" i="8"/>
  <c r="BL158" i="8"/>
  <c r="CB156" i="8"/>
  <c r="CC156" i="8"/>
  <c r="DJ155" i="8"/>
  <c r="DE155" i="8"/>
  <c r="CZ155" i="8"/>
  <c r="CU155" i="8"/>
  <c r="CP155" i="8"/>
  <c r="CK155" i="8"/>
  <c r="CF154" i="8"/>
  <c r="BV154" i="8"/>
  <c r="BV155" i="8"/>
  <c r="BQ154" i="8"/>
  <c r="CB154" i="8"/>
  <c r="CB158" i="8"/>
  <c r="CA154" i="8"/>
  <c r="CA158" i="8"/>
  <c r="CG152" i="8"/>
  <c r="CH152" i="8"/>
  <c r="CI152" i="8"/>
  <c r="DI148" i="8"/>
  <c r="DH148" i="8"/>
  <c r="DG148" i="8"/>
  <c r="DF148" i="8"/>
  <c r="DD148" i="8"/>
  <c r="DC148" i="8"/>
  <c r="DB148" i="8"/>
  <c r="DA148" i="8"/>
  <c r="CY148" i="8"/>
  <c r="CX148" i="8"/>
  <c r="CW148" i="8"/>
  <c r="CV148" i="8"/>
  <c r="CT148" i="8"/>
  <c r="CS148" i="8"/>
  <c r="CR148" i="8"/>
  <c r="CQ148" i="8"/>
  <c r="CO148" i="8"/>
  <c r="CN148" i="8"/>
  <c r="CM148" i="8"/>
  <c r="CL148" i="8"/>
  <c r="CJ148" i="8"/>
  <c r="CI148" i="8"/>
  <c r="CH148" i="8"/>
  <c r="CG148" i="8"/>
  <c r="CE148" i="8"/>
  <c r="CD148" i="8"/>
  <c r="CC148" i="8"/>
  <c r="CB148" i="8"/>
  <c r="CB145" i="8"/>
  <c r="DJ144" i="8"/>
  <c r="DE144" i="8"/>
  <c r="CZ144" i="8"/>
  <c r="CU144" i="8"/>
  <c r="CP144" i="8"/>
  <c r="CK144" i="8"/>
  <c r="CF143" i="8"/>
  <c r="BV143" i="8"/>
  <c r="CB143" i="8"/>
  <c r="CA143" i="8"/>
  <c r="CA144" i="8"/>
  <c r="CL141" i="8"/>
  <c r="CM141" i="8"/>
  <c r="CN141" i="8"/>
  <c r="DI137" i="8"/>
  <c r="DH137" i="8"/>
  <c r="DG137" i="8"/>
  <c r="DF137" i="8"/>
  <c r="DD137" i="8"/>
  <c r="DC137" i="8"/>
  <c r="DB137" i="8"/>
  <c r="DA137" i="8"/>
  <c r="CY137" i="8"/>
  <c r="CX137" i="8"/>
  <c r="CW137" i="8"/>
  <c r="CV137" i="8"/>
  <c r="CT137" i="8"/>
  <c r="CS137" i="8"/>
  <c r="CR137" i="8"/>
  <c r="CQ137" i="8"/>
  <c r="CO137" i="8"/>
  <c r="CE137" i="8"/>
  <c r="CD137" i="8"/>
  <c r="CC137" i="8"/>
  <c r="CB137" i="8"/>
  <c r="BL136" i="8"/>
  <c r="CO134" i="8"/>
  <c r="CO136" i="8"/>
  <c r="CP136" i="8"/>
  <c r="CB134" i="8"/>
  <c r="DJ133" i="8"/>
  <c r="DE133" i="8"/>
  <c r="CZ133" i="8"/>
  <c r="CU133" i="8"/>
  <c r="CP133" i="8"/>
  <c r="CP132" i="8"/>
  <c r="CP134" i="8"/>
  <c r="CU132" i="8"/>
  <c r="CU134" i="8"/>
  <c r="BV132" i="8"/>
  <c r="BQ132" i="8"/>
  <c r="BQ133" i="8"/>
  <c r="CQ132" i="8"/>
  <c r="CQ134" i="8"/>
  <c r="CB132" i="8"/>
  <c r="CQ130" i="8"/>
  <c r="DI126" i="8"/>
  <c r="DH126" i="8"/>
  <c r="DG126" i="8"/>
  <c r="DF126" i="8"/>
  <c r="DD126" i="8"/>
  <c r="DC126" i="8"/>
  <c r="DB126" i="8"/>
  <c r="DA126" i="8"/>
  <c r="CY126" i="8"/>
  <c r="CX126" i="8"/>
  <c r="CW126" i="8"/>
  <c r="CV126" i="8"/>
  <c r="CT126" i="8"/>
  <c r="CS126" i="8"/>
  <c r="CR126" i="8"/>
  <c r="CQ126" i="8"/>
  <c r="CO126" i="8"/>
  <c r="CN126" i="8"/>
  <c r="CM126" i="8"/>
  <c r="CL126" i="8"/>
  <c r="CJ126" i="8"/>
  <c r="CI126" i="8"/>
  <c r="CH126" i="8"/>
  <c r="CG126" i="8"/>
  <c r="CE126" i="8"/>
  <c r="CD126" i="8"/>
  <c r="CC126" i="8"/>
  <c r="CB126" i="8"/>
  <c r="BL125" i="8"/>
  <c r="CB123" i="8"/>
  <c r="DJ122" i="8"/>
  <c r="DE122" i="8"/>
  <c r="CZ122" i="8"/>
  <c r="CU122" i="8"/>
  <c r="CP122" i="8"/>
  <c r="CK122" i="8"/>
  <c r="CF121" i="8"/>
  <c r="BV121" i="8"/>
  <c r="BQ122" i="8"/>
  <c r="BQ121" i="8"/>
  <c r="BQ125" i="8"/>
  <c r="CB121" i="8"/>
  <c r="CA121" i="8"/>
  <c r="CA125" i="8"/>
  <c r="CG119" i="8"/>
  <c r="CH119" i="8"/>
  <c r="CI119" i="8"/>
  <c r="CJ119" i="8"/>
  <c r="DI115" i="8"/>
  <c r="DH115" i="8"/>
  <c r="DG115" i="8"/>
  <c r="DF115" i="8"/>
  <c r="DD115" i="8"/>
  <c r="DC115" i="8"/>
  <c r="DB115" i="8"/>
  <c r="DA115" i="8"/>
  <c r="CY115" i="8"/>
  <c r="CX115" i="8"/>
  <c r="CW115" i="8"/>
  <c r="CV115" i="8"/>
  <c r="CT115" i="8"/>
  <c r="CS115" i="8"/>
  <c r="CR115" i="8"/>
  <c r="CQ115" i="8"/>
  <c r="CO115" i="8"/>
  <c r="CN115" i="8"/>
  <c r="CM115" i="8"/>
  <c r="CL115" i="8"/>
  <c r="CJ115" i="8"/>
  <c r="CI115" i="8"/>
  <c r="CH115" i="8"/>
  <c r="CG115" i="8"/>
  <c r="CE115" i="8"/>
  <c r="CD115" i="8"/>
  <c r="CC115" i="8"/>
  <c r="CB115" i="8"/>
  <c r="CB112" i="8"/>
  <c r="BV112" i="8"/>
  <c r="BQ112" i="8"/>
  <c r="BV110" i="8"/>
  <c r="BV114" i="8"/>
  <c r="BL112" i="8"/>
  <c r="BL114" i="8"/>
  <c r="DJ111" i="8"/>
  <c r="DE111" i="8"/>
  <c r="CZ111" i="8"/>
  <c r="CU111" i="8"/>
  <c r="CP111" i="8"/>
  <c r="CK111" i="8"/>
  <c r="CF110" i="8"/>
  <c r="CB110" i="8"/>
  <c r="CB111" i="8"/>
  <c r="CG108" i="8"/>
  <c r="CH108" i="8"/>
  <c r="CI108" i="8"/>
  <c r="CJ108" i="8"/>
  <c r="CL108" i="8"/>
  <c r="CM108" i="8"/>
  <c r="DI104" i="8"/>
  <c r="DH104" i="8"/>
  <c r="DG104" i="8"/>
  <c r="DF104" i="8"/>
  <c r="DD104" i="8"/>
  <c r="DC104" i="8"/>
  <c r="DB104" i="8"/>
  <c r="DA104" i="8"/>
  <c r="CY104" i="8"/>
  <c r="CX104" i="8"/>
  <c r="CW104" i="8"/>
  <c r="CV104" i="8"/>
  <c r="CT104" i="8"/>
  <c r="CS104" i="8"/>
  <c r="CR104" i="8"/>
  <c r="CQ104" i="8"/>
  <c r="CO104" i="8"/>
  <c r="CN104" i="8"/>
  <c r="CM104" i="8"/>
  <c r="CL104" i="8"/>
  <c r="CJ104" i="8"/>
  <c r="CI104" i="8"/>
  <c r="CH104" i="8"/>
  <c r="CG104" i="8"/>
  <c r="CE104" i="8"/>
  <c r="CD104" i="8"/>
  <c r="CC104" i="8"/>
  <c r="CB104" i="8"/>
  <c r="BL103" i="8"/>
  <c r="CB101" i="8"/>
  <c r="DJ100" i="8"/>
  <c r="DE100" i="8"/>
  <c r="CZ100" i="8"/>
  <c r="CU100" i="8"/>
  <c r="CP100" i="8"/>
  <c r="CK100" i="8"/>
  <c r="CF99" i="8"/>
  <c r="BV99" i="8"/>
  <c r="BV103" i="8"/>
  <c r="BQ99" i="8"/>
  <c r="CB99" i="8"/>
  <c r="CA99" i="8"/>
  <c r="CG97" i="8"/>
  <c r="CH97" i="8"/>
  <c r="CI97" i="8"/>
  <c r="CJ97" i="8"/>
  <c r="CL97" i="8"/>
  <c r="CM97" i="8"/>
  <c r="CN97" i="8"/>
  <c r="CO97" i="8"/>
  <c r="CQ97" i="8"/>
  <c r="DI93" i="8"/>
  <c r="DH93" i="8"/>
  <c r="DG93" i="8"/>
  <c r="DF93" i="8"/>
  <c r="DD93" i="8"/>
  <c r="DC93" i="8"/>
  <c r="DB93" i="8"/>
  <c r="DA93" i="8"/>
  <c r="CY93" i="8"/>
  <c r="CX93" i="8"/>
  <c r="CW93" i="8"/>
  <c r="CV93" i="8"/>
  <c r="CT93" i="8"/>
  <c r="CS93" i="8"/>
  <c r="CR93" i="8"/>
  <c r="CQ93" i="8"/>
  <c r="CO93" i="8"/>
  <c r="CN93" i="8"/>
  <c r="CM93" i="8"/>
  <c r="CL93" i="8"/>
  <c r="CJ93" i="8"/>
  <c r="CI93" i="8"/>
  <c r="CH93" i="8"/>
  <c r="CG93" i="8"/>
  <c r="CE93" i="8"/>
  <c r="CD93" i="8"/>
  <c r="CC93" i="8"/>
  <c r="CB93" i="8"/>
  <c r="CB90" i="8"/>
  <c r="DJ89" i="8"/>
  <c r="DE89" i="8"/>
  <c r="CZ89" i="8"/>
  <c r="CU89" i="8"/>
  <c r="CP89" i="8"/>
  <c r="CK89" i="8"/>
  <c r="CF88" i="8"/>
  <c r="CA89" i="8"/>
  <c r="BV88" i="8"/>
  <c r="BV92" i="8"/>
  <c r="BV89" i="8"/>
  <c r="BQ88" i="8"/>
  <c r="CB88" i="8"/>
  <c r="CA88" i="8"/>
  <c r="CA92" i="8"/>
  <c r="CD86" i="8"/>
  <c r="CE86" i="8"/>
  <c r="CG86" i="8"/>
  <c r="DI82" i="8"/>
  <c r="DH82" i="8"/>
  <c r="DG82" i="8"/>
  <c r="DF82" i="8"/>
  <c r="DD82" i="8"/>
  <c r="DC82" i="8"/>
  <c r="DB82" i="8"/>
  <c r="DA82" i="8"/>
  <c r="CY82" i="8"/>
  <c r="CX82" i="8"/>
  <c r="CW82" i="8"/>
  <c r="CV82" i="8"/>
  <c r="CT82" i="8"/>
  <c r="CS82" i="8"/>
  <c r="CR82" i="8"/>
  <c r="CQ82" i="8"/>
  <c r="CO82" i="8"/>
  <c r="CN82" i="8"/>
  <c r="CM82" i="8"/>
  <c r="CL82" i="8"/>
  <c r="CJ82" i="8"/>
  <c r="CI82" i="8"/>
  <c r="CH82" i="8"/>
  <c r="CG82" i="8"/>
  <c r="CE82" i="8"/>
  <c r="CD82" i="8"/>
  <c r="CC82" i="8"/>
  <c r="CB82" i="8"/>
  <c r="BL81" i="8"/>
  <c r="CB79" i="8"/>
  <c r="DJ78" i="8"/>
  <c r="DE78" i="8"/>
  <c r="CZ78" i="8"/>
  <c r="CZ438" i="8"/>
  <c r="CU78" i="8"/>
  <c r="CP78" i="8"/>
  <c r="CK78" i="8"/>
  <c r="CF77" i="8"/>
  <c r="BV77" i="8"/>
  <c r="BV78" i="8"/>
  <c r="BQ77" i="8"/>
  <c r="CC77" i="8"/>
  <c r="CB77" i="8"/>
  <c r="CA77" i="8"/>
  <c r="CA81" i="8"/>
  <c r="DA75" i="8"/>
  <c r="CW75" i="8"/>
  <c r="CX75" i="8"/>
  <c r="CY75" i="8"/>
  <c r="CQ75" i="8"/>
  <c r="CJ75" i="8"/>
  <c r="CD75" i="8"/>
  <c r="CC71" i="8"/>
  <c r="CD71" i="8"/>
  <c r="CE71" i="8"/>
  <c r="CB71" i="8"/>
  <c r="BI71" i="8"/>
  <c r="BD71" i="8"/>
  <c r="BE71" i="8"/>
  <c r="BF71" i="8"/>
  <c r="D67" i="8"/>
  <c r="C67" i="8"/>
  <c r="BQ65" i="8"/>
  <c r="BQ63" i="8"/>
  <c r="BQ64" i="8" s="1"/>
  <c r="BQ62" i="8"/>
  <c r="BL65" i="8"/>
  <c r="BL63" i="8"/>
  <c r="BL64" i="8" s="1"/>
  <c r="BL62" i="8"/>
  <c r="BZ65" i="8"/>
  <c r="BY65" i="8"/>
  <c r="BX65" i="8"/>
  <c r="BW65" i="8"/>
  <c r="BU65" i="8"/>
  <c r="BT65" i="8"/>
  <c r="BS65" i="8"/>
  <c r="BR65" i="8"/>
  <c r="BP65" i="8"/>
  <c r="BO65" i="8"/>
  <c r="BN65" i="8"/>
  <c r="BM65" i="8"/>
  <c r="BK65" i="8"/>
  <c r="BJ65" i="8"/>
  <c r="BI65" i="8"/>
  <c r="BH65" i="8"/>
  <c r="BG65" i="8"/>
  <c r="BF65" i="8"/>
  <c r="BE65" i="8"/>
  <c r="BD65" i="8"/>
  <c r="BC65" i="8"/>
  <c r="BB65" i="8"/>
  <c r="BA65" i="8"/>
  <c r="AZ65" i="8"/>
  <c r="AY65" i="8"/>
  <c r="AX65" i="8"/>
  <c r="AW65" i="8"/>
  <c r="AV65" i="8"/>
  <c r="AU65" i="8"/>
  <c r="AT65" i="8"/>
  <c r="AS65" i="8"/>
  <c r="AR65" i="8"/>
  <c r="AQ65" i="8"/>
  <c r="AP65" i="8"/>
  <c r="AO65" i="8"/>
  <c r="AN65" i="8"/>
  <c r="BZ63" i="8"/>
  <c r="BY63" i="8"/>
  <c r="BX63" i="8"/>
  <c r="BW63" i="8"/>
  <c r="BU63" i="8"/>
  <c r="BT63" i="8"/>
  <c r="BS63" i="8"/>
  <c r="BR63" i="8"/>
  <c r="BP63" i="8"/>
  <c r="BO63" i="8"/>
  <c r="BN63" i="8"/>
  <c r="BM63" i="8"/>
  <c r="BK63" i="8"/>
  <c r="BJ63" i="8"/>
  <c r="BI63" i="8"/>
  <c r="BH63" i="8"/>
  <c r="BG63" i="8"/>
  <c r="BF63" i="8"/>
  <c r="BE63" i="8"/>
  <c r="BD63" i="8"/>
  <c r="BC63" i="8"/>
  <c r="BB63" i="8"/>
  <c r="BA63" i="8"/>
  <c r="AZ63" i="8"/>
  <c r="AY63" i="8"/>
  <c r="AX63" i="8"/>
  <c r="AW63" i="8"/>
  <c r="AV63" i="8"/>
  <c r="AU63" i="8"/>
  <c r="AT63" i="8"/>
  <c r="AS63" i="8"/>
  <c r="AR63" i="8"/>
  <c r="AQ63" i="8"/>
  <c r="AP63" i="8"/>
  <c r="AO63" i="8"/>
  <c r="AN63" i="8"/>
  <c r="CX65" i="8"/>
  <c r="CW65" i="8"/>
  <c r="CV65" i="8"/>
  <c r="CU65" i="8"/>
  <c r="CT65" i="8"/>
  <c r="CS65" i="8"/>
  <c r="CR65" i="8"/>
  <c r="CQ65" i="8"/>
  <c r="CO65" i="8"/>
  <c r="CN65" i="8"/>
  <c r="CM65" i="8"/>
  <c r="CL65" i="8"/>
  <c r="CK65" i="8"/>
  <c r="CJ65" i="8"/>
  <c r="CI65" i="8"/>
  <c r="CH65" i="8"/>
  <c r="CG65" i="8"/>
  <c r="CE65" i="8"/>
  <c r="CD65" i="8"/>
  <c r="CC65" i="8"/>
  <c r="CB65" i="8"/>
  <c r="CA65" i="8"/>
  <c r="CY63" i="8"/>
  <c r="CX63" i="8"/>
  <c r="CW63" i="8"/>
  <c r="CV63" i="8"/>
  <c r="CT63" i="8"/>
  <c r="CS63" i="8"/>
  <c r="CR63" i="8"/>
  <c r="CP63" i="8"/>
  <c r="CO63" i="8"/>
  <c r="CN63" i="8"/>
  <c r="CM63" i="8"/>
  <c r="CL63" i="8"/>
  <c r="CJ63" i="8"/>
  <c r="CI63" i="8"/>
  <c r="CH63" i="8"/>
  <c r="CG63" i="8"/>
  <c r="CF63" i="8"/>
  <c r="CE63" i="8"/>
  <c r="CD63" i="8"/>
  <c r="CC63" i="8"/>
  <c r="CB63" i="8"/>
  <c r="CA62" i="8"/>
  <c r="B57" i="8"/>
  <c r="B56" i="8"/>
  <c r="B55" i="8"/>
  <c r="B54" i="8"/>
  <c r="B53" i="8"/>
  <c r="B52" i="8"/>
  <c r="B51" i="8"/>
  <c r="B50" i="8"/>
  <c r="B49" i="8"/>
  <c r="B48" i="8"/>
  <c r="B47" i="8"/>
  <c r="B46" i="8"/>
  <c r="B45" i="8"/>
  <c r="B44" i="8"/>
  <c r="B43" i="8"/>
  <c r="B42" i="8"/>
  <c r="B41" i="8"/>
  <c r="B40" i="8"/>
  <c r="B39" i="8"/>
  <c r="B38" i="8"/>
  <c r="B37" i="8"/>
  <c r="B36" i="8"/>
  <c r="B35" i="8"/>
  <c r="B34" i="8"/>
  <c r="B33" i="8"/>
  <c r="B32" i="8"/>
  <c r="B31" i="8"/>
  <c r="B30" i="8"/>
  <c r="B29" i="8"/>
  <c r="B28" i="8"/>
  <c r="B27" i="8"/>
  <c r="B26" i="8"/>
  <c r="B25" i="8"/>
  <c r="CU54" i="8"/>
  <c r="CT54" i="8"/>
  <c r="CT50" i="8"/>
  <c r="CS54" i="8"/>
  <c r="CR54" i="8"/>
  <c r="CR50" i="8"/>
  <c r="CQ54" i="8"/>
  <c r="CP54" i="8"/>
  <c r="CP50" i="8"/>
  <c r="CO54" i="8"/>
  <c r="CN54" i="8"/>
  <c r="CN50" i="8"/>
  <c r="CM54" i="8"/>
  <c r="CL54" i="8"/>
  <c r="CL50" i="8"/>
  <c r="CK54" i="8"/>
  <c r="CJ54" i="8"/>
  <c r="CJ50" i="8"/>
  <c r="CI54" i="8"/>
  <c r="CH54" i="8"/>
  <c r="CH50" i="8"/>
  <c r="CG54" i="8"/>
  <c r="CF54" i="8"/>
  <c r="CF50" i="8"/>
  <c r="CU53" i="8"/>
  <c r="CT53" i="8"/>
  <c r="CS53" i="8"/>
  <c r="CR53" i="8"/>
  <c r="CQ53" i="8"/>
  <c r="CP53" i="8"/>
  <c r="CO53" i="8"/>
  <c r="CN53" i="8"/>
  <c r="CM53" i="8"/>
  <c r="CL53" i="8"/>
  <c r="CK53" i="8"/>
  <c r="CJ53" i="8"/>
  <c r="CI53" i="8"/>
  <c r="CH53" i="8"/>
  <c r="CG53" i="8"/>
  <c r="CF53" i="8"/>
  <c r="CU52" i="8"/>
  <c r="CT52" i="8"/>
  <c r="CS52" i="8"/>
  <c r="CR52" i="8"/>
  <c r="CQ52" i="8"/>
  <c r="CP52" i="8"/>
  <c r="CO52" i="8"/>
  <c r="CN52" i="8"/>
  <c r="CM52" i="8"/>
  <c r="CL52" i="8"/>
  <c r="CK52" i="8"/>
  <c r="CJ52" i="8"/>
  <c r="CI52" i="8"/>
  <c r="CH52" i="8"/>
  <c r="CG52" i="8"/>
  <c r="CF52" i="8"/>
  <c r="CU51" i="8"/>
  <c r="CT51" i="8"/>
  <c r="CS51" i="8"/>
  <c r="CR51" i="8"/>
  <c r="CQ51" i="8"/>
  <c r="CP51" i="8"/>
  <c r="CO51" i="8"/>
  <c r="CN51" i="8"/>
  <c r="CM51" i="8"/>
  <c r="CL51" i="8"/>
  <c r="CK51" i="8"/>
  <c r="CJ51" i="8"/>
  <c r="CI51" i="8"/>
  <c r="CH51" i="8"/>
  <c r="CG51" i="8"/>
  <c r="CF51" i="8"/>
  <c r="CU50" i="8"/>
  <c r="CS50" i="8"/>
  <c r="CQ50" i="8"/>
  <c r="CO50" i="8"/>
  <c r="CM50" i="8"/>
  <c r="CK50" i="8"/>
  <c r="CI50" i="8"/>
  <c r="CG50" i="8"/>
  <c r="CZ49" i="8"/>
  <c r="CU49" i="8"/>
  <c r="CT49" i="8"/>
  <c r="CS49" i="8"/>
  <c r="CR49" i="8"/>
  <c r="CQ49" i="8"/>
  <c r="CP49" i="8"/>
  <c r="CO49" i="8"/>
  <c r="CN49" i="8"/>
  <c r="CM49" i="8"/>
  <c r="CL49" i="8"/>
  <c r="CK49" i="8"/>
  <c r="CJ49" i="8"/>
  <c r="CI49" i="8"/>
  <c r="CH49" i="8"/>
  <c r="CG49" i="8"/>
  <c r="CF49" i="8"/>
  <c r="CK47" i="8"/>
  <c r="CJ47" i="8"/>
  <c r="CI47" i="8"/>
  <c r="CH47" i="8"/>
  <c r="CG47" i="8"/>
  <c r="CF47" i="8"/>
  <c r="CR40" i="8"/>
  <c r="CQ40" i="8"/>
  <c r="CP40" i="8"/>
  <c r="CO40" i="8"/>
  <c r="CN40" i="8"/>
  <c r="CM40" i="8"/>
  <c r="CL40" i="8"/>
  <c r="CK40" i="8"/>
  <c r="CJ40" i="8"/>
  <c r="CI40" i="8"/>
  <c r="CH40" i="8"/>
  <c r="CG40" i="8"/>
  <c r="CF40" i="8"/>
  <c r="CZ39" i="8"/>
  <c r="CU39" i="8"/>
  <c r="CR39" i="8"/>
  <c r="CQ39" i="8"/>
  <c r="CP39" i="8"/>
  <c r="CO39" i="8"/>
  <c r="CN39" i="8"/>
  <c r="CM39" i="8"/>
  <c r="CL39" i="8"/>
  <c r="CK39" i="8"/>
  <c r="CJ39" i="8"/>
  <c r="CI39" i="8"/>
  <c r="CH39" i="8"/>
  <c r="CG39" i="8"/>
  <c r="CF39" i="8"/>
  <c r="CQ38" i="8"/>
  <c r="CO38" i="8"/>
  <c r="CN38" i="8"/>
  <c r="CM38" i="8"/>
  <c r="CL38" i="8"/>
  <c r="CK38" i="8"/>
  <c r="CJ38" i="8"/>
  <c r="CI38" i="8"/>
  <c r="CH38" i="8"/>
  <c r="CG38" i="8"/>
  <c r="CF38" i="8"/>
  <c r="CN37" i="8"/>
  <c r="CM37" i="8"/>
  <c r="CL37" i="8"/>
  <c r="CK37" i="8"/>
  <c r="CJ37" i="8"/>
  <c r="CI37" i="8"/>
  <c r="CH37" i="8"/>
  <c r="CG37" i="8"/>
  <c r="CF37" i="8"/>
  <c r="CO35" i="8"/>
  <c r="CN35" i="8"/>
  <c r="CM35" i="8"/>
  <c r="CL35" i="8"/>
  <c r="CK35" i="8"/>
  <c r="CJ35" i="8"/>
  <c r="CI35" i="8"/>
  <c r="CH35" i="8"/>
  <c r="CG35" i="8"/>
  <c r="CF35" i="8"/>
  <c r="CP30" i="8"/>
  <c r="CO30" i="8"/>
  <c r="CN30" i="8"/>
  <c r="CM30" i="8"/>
  <c r="CL30" i="8"/>
  <c r="CK30" i="8"/>
  <c r="CJ30" i="8"/>
  <c r="CI30" i="8"/>
  <c r="CH30" i="8"/>
  <c r="CG30" i="8"/>
  <c r="CF30" i="8"/>
  <c r="CJ14" i="8"/>
  <c r="CK14" i="8" s="1"/>
  <c r="CT14" i="8"/>
  <c r="CT15" i="8" s="1"/>
  <c r="CS14" i="8"/>
  <c r="CS15" i="8" s="1"/>
  <c r="CR14" i="8"/>
  <c r="CR15" i="8" s="1"/>
  <c r="CQ14" i="8"/>
  <c r="CF14" i="8"/>
  <c r="CO14" i="8"/>
  <c r="CN14" i="8"/>
  <c r="CM14" i="8"/>
  <c r="CL14" i="8"/>
  <c r="AW11" i="8"/>
  <c r="BB10" i="8"/>
  <c r="AR11" i="8"/>
  <c r="AW10" i="8" s="1"/>
  <c r="AM11" i="8"/>
  <c r="AR10" i="8" s="1"/>
  <c r="AR13" i="8" s="1"/>
  <c r="AH11" i="8"/>
  <c r="AM10" i="8" s="1"/>
  <c r="AM13" i="8" s="1"/>
  <c r="AC11" i="8"/>
  <c r="AH10" i="8" s="1"/>
  <c r="CX11" i="8"/>
  <c r="CY10" i="8" s="1"/>
  <c r="CW11" i="8"/>
  <c r="CX10" i="8" s="1"/>
  <c r="CV11" i="8"/>
  <c r="CW10" i="8" s="1"/>
  <c r="CW13" i="8" s="1"/>
  <c r="CW19" i="2" s="1"/>
  <c r="CW14" i="8" s="1"/>
  <c r="CW15" i="8" s="1"/>
  <c r="CU11" i="8"/>
  <c r="CZ10" i="8" s="1"/>
  <c r="CT11" i="8"/>
  <c r="CS11" i="8"/>
  <c r="CT10" i="8" s="1"/>
  <c r="CR11" i="8"/>
  <c r="CS10" i="8" s="1"/>
  <c r="CQ11" i="8"/>
  <c r="CR10" i="8" s="1"/>
  <c r="CP11" i="8"/>
  <c r="CO11" i="8"/>
  <c r="CN11" i="8"/>
  <c r="CO10" i="8" s="1"/>
  <c r="CM11" i="8"/>
  <c r="CL11" i="8"/>
  <c r="CM10" i="8" s="1"/>
  <c r="CK11" i="8"/>
  <c r="CP10" i="8" s="1"/>
  <c r="CJ11" i="8"/>
  <c r="CI11" i="8"/>
  <c r="CJ10" i="8" s="1"/>
  <c r="CH11" i="8"/>
  <c r="CI10" i="8"/>
  <c r="CG11" i="8"/>
  <c r="CH10" i="8" s="1"/>
  <c r="CG10" i="8"/>
  <c r="CE11" i="8"/>
  <c r="CD11" i="8"/>
  <c r="CE10" i="8" s="1"/>
  <c r="CC11" i="8"/>
  <c r="CB11" i="8"/>
  <c r="CC10" i="8" s="1"/>
  <c r="BW11" i="8"/>
  <c r="BX10" i="8"/>
  <c r="BU11" i="8"/>
  <c r="BT11" i="8"/>
  <c r="BS11" i="8"/>
  <c r="BT10" i="8"/>
  <c r="BR11" i="8"/>
  <c r="BQ11" i="8"/>
  <c r="BV10" i="8" s="1"/>
  <c r="BP11" i="8"/>
  <c r="BO11" i="8"/>
  <c r="BP10" i="8" s="1"/>
  <c r="BN11" i="8"/>
  <c r="BM11" i="8"/>
  <c r="BN10" i="8" s="1"/>
  <c r="BL11" i="8"/>
  <c r="BM10" i="8" s="1"/>
  <c r="BK11" i="8"/>
  <c r="BJ11" i="8"/>
  <c r="BK10" i="8" s="1"/>
  <c r="BI11" i="8"/>
  <c r="BH11" i="8"/>
  <c r="BI10" i="8" s="1"/>
  <c r="BG11" i="8"/>
  <c r="BH10" i="8" s="1"/>
  <c r="BH13" i="8" s="1"/>
  <c r="BF11" i="8"/>
  <c r="BE11" i="8"/>
  <c r="BF10" i="8" s="1"/>
  <c r="BD11" i="8"/>
  <c r="BE10" i="8" s="1"/>
  <c r="BC11" i="8"/>
  <c r="BD10" i="8" s="1"/>
  <c r="BB11" i="8"/>
  <c r="BG10" i="8" s="1"/>
  <c r="CN10" i="8"/>
  <c r="BU10" i="8"/>
  <c r="BL10" i="8"/>
  <c r="DJ6" i="8"/>
  <c r="DI6" i="8"/>
  <c r="DH6" i="8"/>
  <c r="DG6" i="8"/>
  <c r="DF6" i="8"/>
  <c r="DE6" i="8"/>
  <c r="DD6" i="8"/>
  <c r="DC6" i="8"/>
  <c r="DB6" i="8"/>
  <c r="DA6" i="8"/>
  <c r="CZ6" i="8"/>
  <c r="CY6" i="8"/>
  <c r="CX6" i="8"/>
  <c r="CW6" i="8"/>
  <c r="CV6" i="8"/>
  <c r="CU6" i="8"/>
  <c r="CT6" i="8"/>
  <c r="CS6" i="8"/>
  <c r="CR6" i="8"/>
  <c r="CQ6" i="8"/>
  <c r="CP6" i="8"/>
  <c r="CO6" i="8"/>
  <c r="CN6" i="8"/>
  <c r="CM6" i="8"/>
  <c r="CL6" i="8"/>
  <c r="CK6" i="8"/>
  <c r="CJ6" i="8"/>
  <c r="CI6" i="8"/>
  <c r="CH6" i="8"/>
  <c r="CG6" i="8"/>
  <c r="CF6" i="8"/>
  <c r="CE6" i="8"/>
  <c r="CD6" i="8"/>
  <c r="CC6" i="8"/>
  <c r="CB6" i="8"/>
  <c r="CA6" i="8"/>
  <c r="BB6" i="8"/>
  <c r="BA6" i="8"/>
  <c r="AZ6" i="8"/>
  <c r="AY6" i="8"/>
  <c r="AX6" i="8"/>
  <c r="AW6" i="8"/>
  <c r="AV6" i="8"/>
  <c r="AU6" i="8"/>
  <c r="AT6" i="8"/>
  <c r="AS6" i="8"/>
  <c r="AR6" i="8"/>
  <c r="AQ6" i="8"/>
  <c r="AP6" i="8"/>
  <c r="AO6" i="8"/>
  <c r="AN6" i="8"/>
  <c r="AM6" i="8"/>
  <c r="AL6" i="8"/>
  <c r="AK6" i="8"/>
  <c r="AJ6" i="8"/>
  <c r="AI6" i="8"/>
  <c r="AH6" i="8"/>
  <c r="AG6" i="8"/>
  <c r="AF6" i="8"/>
  <c r="AE6" i="8"/>
  <c r="AD6" i="8"/>
  <c r="AC6" i="8"/>
  <c r="AB6" i="8"/>
  <c r="AA6" i="8"/>
  <c r="Z6" i="8"/>
  <c r="Y6" i="8"/>
  <c r="X6" i="8"/>
  <c r="DG194" i="7"/>
  <c r="DF194" i="7"/>
  <c r="DD194" i="7"/>
  <c r="DC194" i="7"/>
  <c r="DB194" i="7"/>
  <c r="DA194" i="7"/>
  <c r="CY194" i="7"/>
  <c r="CX194" i="7"/>
  <c r="CW194" i="7"/>
  <c r="CV194" i="7"/>
  <c r="CT194" i="7"/>
  <c r="CS194" i="7"/>
  <c r="CR194" i="7"/>
  <c r="CQ194" i="7"/>
  <c r="CO194" i="7"/>
  <c r="CN194" i="7"/>
  <c r="CM194" i="7"/>
  <c r="CL194" i="7"/>
  <c r="CJ194" i="7"/>
  <c r="CI194" i="7"/>
  <c r="CH194" i="7"/>
  <c r="CG194" i="7"/>
  <c r="CE194" i="7"/>
  <c r="CD194" i="7"/>
  <c r="CC194" i="7"/>
  <c r="CB194" i="7"/>
  <c r="BZ194" i="7"/>
  <c r="BY194" i="7"/>
  <c r="BX194" i="7"/>
  <c r="BW194" i="7"/>
  <c r="BU194" i="7"/>
  <c r="BT194" i="7"/>
  <c r="BS194" i="7"/>
  <c r="BR194" i="7"/>
  <c r="BP194" i="7"/>
  <c r="BO194" i="7"/>
  <c r="BN194" i="7"/>
  <c r="BM194" i="7"/>
  <c r="X194" i="7"/>
  <c r="S194" i="7"/>
  <c r="N194" i="7"/>
  <c r="I194" i="7"/>
  <c r="DJ192" i="7"/>
  <c r="DJ194" i="7" s="1"/>
  <c r="DE192" i="7"/>
  <c r="DE194" i="7" s="1"/>
  <c r="CZ192" i="7"/>
  <c r="CZ194" i="7" s="1"/>
  <c r="CU192" i="7"/>
  <c r="CU194" i="7" s="1"/>
  <c r="CP192" i="7"/>
  <c r="CP194" i="7" s="1"/>
  <c r="CK192" i="7"/>
  <c r="CK194" i="7" s="1"/>
  <c r="CF192" i="7"/>
  <c r="CF194" i="7" s="1"/>
  <c r="CA192" i="7"/>
  <c r="CA194" i="7" s="1"/>
  <c r="BV192" i="7"/>
  <c r="BV194" i="7" s="1"/>
  <c r="BQ192" i="7"/>
  <c r="BQ194" i="7" s="1"/>
  <c r="BL192" i="7"/>
  <c r="BL194" i="7" s="1"/>
  <c r="AA192" i="7"/>
  <c r="BP188" i="7"/>
  <c r="BK188" i="7"/>
  <c r="BF188" i="7"/>
  <c r="BA188" i="7"/>
  <c r="AV188" i="7"/>
  <c r="AQ188" i="7"/>
  <c r="AL188" i="7"/>
  <c r="BQ187" i="7"/>
  <c r="BL187" i="7"/>
  <c r="BG187" i="7"/>
  <c r="BB187" i="7"/>
  <c r="AW187" i="7"/>
  <c r="AR187" i="7"/>
  <c r="AM187" i="7"/>
  <c r="BK183" i="7"/>
  <c r="BF183" i="7"/>
  <c r="BA183" i="7"/>
  <c r="AV183" i="7"/>
  <c r="AQ183" i="7"/>
  <c r="AL183" i="7"/>
  <c r="AG183" i="7"/>
  <c r="AB183" i="7"/>
  <c r="BG180" i="7"/>
  <c r="BB180" i="7"/>
  <c r="AW180" i="7"/>
  <c r="AR180" i="7"/>
  <c r="AM180" i="7"/>
  <c r="AH180" i="7"/>
  <c r="AC180" i="7"/>
  <c r="X180" i="7"/>
  <c r="S180" i="7"/>
  <c r="S181" i="7"/>
  <c r="N180" i="7"/>
  <c r="N181" i="7"/>
  <c r="N179" i="7"/>
  <c r="I179" i="7"/>
  <c r="BV180" i="7"/>
  <c r="BQ180" i="7"/>
  <c r="BP180" i="7"/>
  <c r="BP216" i="7" s="1"/>
  <c r="BO180" i="7"/>
  <c r="BN180" i="7"/>
  <c r="BM180" i="7"/>
  <c r="BL180" i="7"/>
  <c r="CX179" i="7"/>
  <c r="CW179" i="7"/>
  <c r="CX259" i="3" s="1"/>
  <c r="CV179" i="7"/>
  <c r="CT179" i="7"/>
  <c r="CQ179" i="7"/>
  <c r="CO179" i="7"/>
  <c r="CN179" i="7"/>
  <c r="CM179" i="7"/>
  <c r="CL179" i="7"/>
  <c r="CJ179" i="7"/>
  <c r="BP179" i="7"/>
  <c r="BP259" i="3"/>
  <c r="BO179" i="7"/>
  <c r="BL179" i="7"/>
  <c r="BL174" i="7"/>
  <c r="BL170" i="7"/>
  <c r="BL169" i="7"/>
  <c r="BZ174" i="7"/>
  <c r="BV174" i="7"/>
  <c r="BQ174" i="7"/>
  <c r="CX170" i="7"/>
  <c r="CW170" i="7"/>
  <c r="CV170" i="7"/>
  <c r="CT170" i="7"/>
  <c r="CS170" i="7"/>
  <c r="CR170" i="7"/>
  <c r="CQ170" i="7"/>
  <c r="CO170" i="7"/>
  <c r="CN170" i="7"/>
  <c r="CM170" i="7"/>
  <c r="CL170" i="7"/>
  <c r="CJ170" i="7"/>
  <c r="CI170" i="7"/>
  <c r="CH170" i="7"/>
  <c r="CG170" i="7"/>
  <c r="CE170" i="7"/>
  <c r="CD170" i="7"/>
  <c r="CC170" i="7"/>
  <c r="CB170" i="7"/>
  <c r="BZ170" i="7"/>
  <c r="BY170" i="7"/>
  <c r="BX170" i="7"/>
  <c r="BW170" i="7"/>
  <c r="BV170" i="7"/>
  <c r="BU170" i="7"/>
  <c r="BT170" i="7"/>
  <c r="BS170" i="7"/>
  <c r="BR170" i="7"/>
  <c r="BQ170" i="7"/>
  <c r="CX169" i="7"/>
  <c r="CW169" i="7"/>
  <c r="CV169" i="7"/>
  <c r="CT169" i="7"/>
  <c r="CS169" i="7"/>
  <c r="CR169" i="7"/>
  <c r="CQ169" i="7"/>
  <c r="CO169" i="7"/>
  <c r="CN169" i="7"/>
  <c r="CM169" i="7"/>
  <c r="CL169" i="7"/>
  <c r="CJ169" i="7"/>
  <c r="CI169" i="7"/>
  <c r="CH169" i="7"/>
  <c r="CG169" i="7"/>
  <c r="CE169" i="7"/>
  <c r="CD169" i="7"/>
  <c r="CC169" i="7"/>
  <c r="CB169" i="7"/>
  <c r="BZ169" i="7"/>
  <c r="BY169" i="7"/>
  <c r="BX169" i="7"/>
  <c r="BW169" i="7"/>
  <c r="BV169" i="7"/>
  <c r="BU169" i="7"/>
  <c r="BT169" i="7"/>
  <c r="BS169" i="7"/>
  <c r="BR169" i="7"/>
  <c r="BQ169" i="7"/>
  <c r="CT159" i="7"/>
  <c r="CR159" i="7"/>
  <c r="CR150" i="7"/>
  <c r="CR12" i="7" s="1"/>
  <c r="AB27" i="5" s="1"/>
  <c r="CQ159" i="7"/>
  <c r="CQ150" i="7"/>
  <c r="CQ12" i="7" s="1"/>
  <c r="CO159" i="7"/>
  <c r="CN159" i="7"/>
  <c r="CN150" i="7"/>
  <c r="CN12" i="7" s="1"/>
  <c r="CM159" i="7"/>
  <c r="CM150" i="7" s="1"/>
  <c r="CM12" i="7" s="1"/>
  <c r="CL159" i="7"/>
  <c r="CJ159" i="7"/>
  <c r="CI159" i="7"/>
  <c r="CH159" i="7"/>
  <c r="CH150" i="7" s="1"/>
  <c r="CG159" i="7"/>
  <c r="CE159" i="7"/>
  <c r="CD159" i="7"/>
  <c r="CC159" i="7"/>
  <c r="CB159" i="7"/>
  <c r="BZ159" i="7"/>
  <c r="BY159" i="7"/>
  <c r="BY150" i="7" s="1"/>
  <c r="BX159" i="7"/>
  <c r="BX150" i="7" s="1"/>
  <c r="BX12" i="7" s="1"/>
  <c r="BW159" i="7"/>
  <c r="BW15" i="7" s="1"/>
  <c r="BU159" i="7"/>
  <c r="BT159" i="7"/>
  <c r="BT15" i="7" s="1"/>
  <c r="BS159" i="7"/>
  <c r="BR159" i="7"/>
  <c r="BR15" i="7"/>
  <c r="BQ159" i="7"/>
  <c r="BP159" i="7"/>
  <c r="BP127" i="7"/>
  <c r="BO159" i="7"/>
  <c r="BN159" i="7"/>
  <c r="BN127" i="7" s="1"/>
  <c r="BM159" i="7"/>
  <c r="BL159" i="7"/>
  <c r="BL15" i="7" s="1"/>
  <c r="BK159" i="7"/>
  <c r="BJ159" i="7"/>
  <c r="BJ127" i="7"/>
  <c r="BJ128" i="7"/>
  <c r="BI159" i="7"/>
  <c r="BH159" i="7"/>
  <c r="BH127" i="7"/>
  <c r="BH128" i="7" s="1"/>
  <c r="BG159" i="7"/>
  <c r="BF159" i="7"/>
  <c r="BF127" i="7"/>
  <c r="BF128" i="7" s="1"/>
  <c r="BE159" i="7"/>
  <c r="BD159" i="7"/>
  <c r="BD127" i="7"/>
  <c r="BD128" i="7" s="1"/>
  <c r="BC159" i="7"/>
  <c r="BB159" i="7"/>
  <c r="BB15" i="7"/>
  <c r="BA159" i="7"/>
  <c r="AZ159" i="7"/>
  <c r="AZ127" i="7" s="1"/>
  <c r="AZ128" i="7" s="1"/>
  <c r="AY159" i="7"/>
  <c r="AX159" i="7"/>
  <c r="AX127" i="7"/>
  <c r="AX128" i="7"/>
  <c r="AW159" i="7"/>
  <c r="AV159" i="7"/>
  <c r="AV127" i="7"/>
  <c r="AV128" i="7"/>
  <c r="AU159" i="7"/>
  <c r="AT159" i="7"/>
  <c r="AT127" i="7"/>
  <c r="AT128" i="7"/>
  <c r="AS159" i="7"/>
  <c r="AR159" i="7"/>
  <c r="AR15" i="7"/>
  <c r="AQ159" i="7"/>
  <c r="AP159" i="7"/>
  <c r="AP127" i="7" s="1"/>
  <c r="AP128" i="7" s="1"/>
  <c r="AO159" i="7"/>
  <c r="AN159" i="7"/>
  <c r="AN127" i="7" s="1"/>
  <c r="AN128" i="7" s="1"/>
  <c r="AM159" i="7"/>
  <c r="AL159" i="7"/>
  <c r="AL127" i="7" s="1"/>
  <c r="AL128" i="7" s="1"/>
  <c r="AK159" i="7"/>
  <c r="AJ159" i="7"/>
  <c r="AJ127" i="7" s="1"/>
  <c r="AJ128" i="7" s="1"/>
  <c r="AI159" i="7"/>
  <c r="AH159" i="7"/>
  <c r="AH15" i="7" s="1"/>
  <c r="AG159" i="7"/>
  <c r="AF159" i="7"/>
  <c r="AF127" i="7" s="1"/>
  <c r="AF128" i="7" s="1"/>
  <c r="AE159" i="7"/>
  <c r="AD159" i="7"/>
  <c r="AD127" i="7" s="1"/>
  <c r="AD128" i="7" s="1"/>
  <c r="AC159" i="7"/>
  <c r="AB159" i="7"/>
  <c r="AB127" i="7" s="1"/>
  <c r="AB128" i="7" s="1"/>
  <c r="AA159" i="7"/>
  <c r="Z159" i="7"/>
  <c r="Z127" i="7" s="1"/>
  <c r="Z128" i="7" s="1"/>
  <c r="Y159" i="7"/>
  <c r="X159" i="7"/>
  <c r="X15" i="7" s="1"/>
  <c r="W159" i="7"/>
  <c r="V159" i="7"/>
  <c r="V127" i="7"/>
  <c r="V128" i="7" s="1"/>
  <c r="U159" i="7"/>
  <c r="T159" i="7"/>
  <c r="T127" i="7"/>
  <c r="T128" i="7" s="1"/>
  <c r="S159" i="7"/>
  <c r="R159" i="7"/>
  <c r="R127" i="7"/>
  <c r="R128" i="7" s="1"/>
  <c r="Q159" i="7"/>
  <c r="P159" i="7"/>
  <c r="P127" i="7"/>
  <c r="P128" i="7" s="1"/>
  <c r="O159" i="7"/>
  <c r="N159" i="7"/>
  <c r="N15" i="7"/>
  <c r="M159" i="7"/>
  <c r="L159" i="7"/>
  <c r="L127" i="7"/>
  <c r="K159" i="7"/>
  <c r="J159" i="7"/>
  <c r="J127" i="7" s="1"/>
  <c r="I159" i="7"/>
  <c r="CX155" i="7"/>
  <c r="CW155" i="7"/>
  <c r="CV155" i="7"/>
  <c r="CT155" i="7"/>
  <c r="CS155" i="7"/>
  <c r="CR155" i="7"/>
  <c r="CQ155" i="7"/>
  <c r="CO155" i="7"/>
  <c r="CN155" i="7"/>
  <c r="CM155" i="7"/>
  <c r="CL155" i="7"/>
  <c r="CJ155" i="7"/>
  <c r="CI155" i="7"/>
  <c r="CH155" i="7"/>
  <c r="CG155" i="7"/>
  <c r="CE155" i="7"/>
  <c r="CD155" i="7"/>
  <c r="CC155" i="7"/>
  <c r="CB155" i="7"/>
  <c r="BZ155" i="7"/>
  <c r="BY155" i="7"/>
  <c r="BX155" i="7"/>
  <c r="BW155" i="7"/>
  <c r="BV155" i="7"/>
  <c r="BU155" i="7"/>
  <c r="BT155" i="7"/>
  <c r="BS155" i="7"/>
  <c r="BR155" i="7"/>
  <c r="BQ155" i="7"/>
  <c r="BP155" i="7"/>
  <c r="BO155" i="7"/>
  <c r="BN155" i="7"/>
  <c r="BM155" i="7"/>
  <c r="BL155" i="7"/>
  <c r="BK155" i="7"/>
  <c r="BJ155" i="7"/>
  <c r="BI155" i="7"/>
  <c r="BH155" i="7"/>
  <c r="BG155" i="7"/>
  <c r="BF155" i="7"/>
  <c r="BE155" i="7"/>
  <c r="BD155" i="7"/>
  <c r="BC155" i="7"/>
  <c r="BB155" i="7"/>
  <c r="BA155" i="7"/>
  <c r="AZ155" i="7"/>
  <c r="AY155" i="7"/>
  <c r="AX155" i="7"/>
  <c r="AW155" i="7"/>
  <c r="AV155" i="7"/>
  <c r="AU155" i="7"/>
  <c r="AT155" i="7"/>
  <c r="AS155" i="7"/>
  <c r="AR155" i="7"/>
  <c r="AQ155" i="7"/>
  <c r="AP155" i="7"/>
  <c r="AO155" i="7"/>
  <c r="AN155" i="7"/>
  <c r="AM155" i="7"/>
  <c r="AL155" i="7"/>
  <c r="AK155" i="7"/>
  <c r="AJ155" i="7"/>
  <c r="AI155" i="7"/>
  <c r="AH155" i="7"/>
  <c r="AG155" i="7"/>
  <c r="AF155" i="7"/>
  <c r="AE155" i="7"/>
  <c r="AD155" i="7"/>
  <c r="AC155" i="7"/>
  <c r="AB155" i="7"/>
  <c r="AA155" i="7"/>
  <c r="Z155" i="7"/>
  <c r="Y155" i="7"/>
  <c r="X155" i="7"/>
  <c r="W155" i="7"/>
  <c r="V155" i="7"/>
  <c r="U155" i="7"/>
  <c r="T155" i="7"/>
  <c r="S155" i="7"/>
  <c r="R155" i="7"/>
  <c r="Q155" i="7"/>
  <c r="P155" i="7"/>
  <c r="O155" i="7"/>
  <c r="BP154" i="7"/>
  <c r="BO154" i="7"/>
  <c r="BO142" i="7"/>
  <c r="BN154" i="7"/>
  <c r="BN142" i="7" s="1"/>
  <c r="BM154" i="7"/>
  <c r="BK154" i="7"/>
  <c r="BJ154" i="7"/>
  <c r="BJ142" i="7" s="1"/>
  <c r="BI154" i="7"/>
  <c r="BI142" i="7"/>
  <c r="BH154" i="7"/>
  <c r="BH142" i="7" s="1"/>
  <c r="BF154" i="7"/>
  <c r="BF142" i="7"/>
  <c r="BE154" i="7"/>
  <c r="BE142" i="7" s="1"/>
  <c r="BE138" i="7" s="1"/>
  <c r="BD154" i="7"/>
  <c r="BD142" i="7"/>
  <c r="BC154" i="7"/>
  <c r="BC142" i="7" s="1"/>
  <c r="BA154" i="7"/>
  <c r="AZ154" i="7"/>
  <c r="AZ142" i="7" s="1"/>
  <c r="AY154" i="7"/>
  <c r="AY142" i="7"/>
  <c r="AX154" i="7"/>
  <c r="AX142" i="7" s="1"/>
  <c r="AV154" i="7"/>
  <c r="AV142" i="7"/>
  <c r="AU154" i="7"/>
  <c r="AU142" i="7" s="1"/>
  <c r="AT154" i="7"/>
  <c r="AT142" i="7"/>
  <c r="AS154" i="7"/>
  <c r="AS142" i="7" s="1"/>
  <c r="AQ154" i="7"/>
  <c r="AP154" i="7"/>
  <c r="AP142" i="7"/>
  <c r="AO154" i="7"/>
  <c r="AO142" i="7" s="1"/>
  <c r="AN154" i="7"/>
  <c r="AN142" i="7"/>
  <c r="AL154" i="7"/>
  <c r="AL142" i="7" s="1"/>
  <c r="AK154" i="7"/>
  <c r="AK142" i="7"/>
  <c r="AJ154" i="7"/>
  <c r="AI154" i="7"/>
  <c r="AG154" i="7"/>
  <c r="AF154" i="7"/>
  <c r="AF142" i="7" s="1"/>
  <c r="AE154" i="7"/>
  <c r="AE142" i="7"/>
  <c r="AD154" i="7"/>
  <c r="AD142" i="7" s="1"/>
  <c r="AB154" i="7"/>
  <c r="AA154" i="7"/>
  <c r="AA142" i="7"/>
  <c r="Z154" i="7"/>
  <c r="Z142" i="7" s="1"/>
  <c r="Y154" i="7"/>
  <c r="W154" i="7"/>
  <c r="W142" i="7" s="1"/>
  <c r="V154" i="7"/>
  <c r="V142" i="7"/>
  <c r="U154" i="7"/>
  <c r="U142" i="7" s="1"/>
  <c r="T154" i="7"/>
  <c r="T142" i="7"/>
  <c r="R154" i="7"/>
  <c r="R142" i="7" s="1"/>
  <c r="Q154" i="7"/>
  <c r="Q142" i="7"/>
  <c r="P154" i="7"/>
  <c r="P142" i="7" s="1"/>
  <c r="O154" i="7"/>
  <c r="O142" i="7"/>
  <c r="BP153" i="7"/>
  <c r="BP141" i="7" s="1"/>
  <c r="BO153" i="7"/>
  <c r="BO141" i="7"/>
  <c r="BN153" i="7"/>
  <c r="BN141" i="7" s="1"/>
  <c r="BM153" i="7"/>
  <c r="BK153" i="7"/>
  <c r="BK141" i="7"/>
  <c r="BJ153" i="7"/>
  <c r="BJ141" i="7" s="1"/>
  <c r="BI153" i="7"/>
  <c r="BI141" i="7"/>
  <c r="BH153" i="7"/>
  <c r="BH141" i="7" s="1"/>
  <c r="BF153" i="7"/>
  <c r="BF141" i="7"/>
  <c r="BE153" i="7"/>
  <c r="BD153" i="7"/>
  <c r="BD141" i="7"/>
  <c r="BC153" i="7"/>
  <c r="BC141" i="7" s="1"/>
  <c r="BA153" i="7"/>
  <c r="AZ153" i="7"/>
  <c r="AZ141" i="7"/>
  <c r="AY153" i="7"/>
  <c r="AY141" i="7" s="1"/>
  <c r="AX153" i="7"/>
  <c r="AX141" i="7"/>
  <c r="AV153" i="7"/>
  <c r="AV141" i="7" s="1"/>
  <c r="AU153" i="7"/>
  <c r="AU141" i="7"/>
  <c r="AT153" i="7"/>
  <c r="AT141" i="7" s="1"/>
  <c r="AS153" i="7"/>
  <c r="AS141" i="7"/>
  <c r="AQ153" i="7"/>
  <c r="AQ141" i="7" s="1"/>
  <c r="AP153" i="7"/>
  <c r="AP141" i="7"/>
  <c r="AO153" i="7"/>
  <c r="AO141" i="7" s="1"/>
  <c r="AN153" i="7"/>
  <c r="AN141" i="7"/>
  <c r="AL153" i="7"/>
  <c r="AL141" i="7" s="1"/>
  <c r="AK153" i="7"/>
  <c r="AK141" i="7"/>
  <c r="AJ153" i="7"/>
  <c r="AI153" i="7"/>
  <c r="AI141" i="7"/>
  <c r="AG153" i="7"/>
  <c r="AG141" i="7" s="1"/>
  <c r="AF153" i="7"/>
  <c r="AF141" i="7"/>
  <c r="AE153" i="7"/>
  <c r="AD153" i="7"/>
  <c r="AD141" i="7" s="1"/>
  <c r="AB153" i="7"/>
  <c r="AB141" i="7"/>
  <c r="AA153" i="7"/>
  <c r="AA141" i="7" s="1"/>
  <c r="Z153" i="7"/>
  <c r="Z141" i="7"/>
  <c r="Y153" i="7"/>
  <c r="W153" i="7"/>
  <c r="V153" i="7"/>
  <c r="V141" i="7"/>
  <c r="U153" i="7"/>
  <c r="U141" i="7" s="1"/>
  <c r="T153" i="7"/>
  <c r="T141" i="7"/>
  <c r="R153" i="7"/>
  <c r="R141" i="7" s="1"/>
  <c r="Q153" i="7"/>
  <c r="Q141" i="7"/>
  <c r="P153" i="7"/>
  <c r="P141" i="7" s="1"/>
  <c r="O153" i="7"/>
  <c r="CT150" i="7"/>
  <c r="CO150" i="7"/>
  <c r="CO12" i="7" s="1"/>
  <c r="T27" i="5" s="1"/>
  <c r="CJ150" i="7"/>
  <c r="CG150" i="7"/>
  <c r="CE150" i="7"/>
  <c r="CD150" i="7"/>
  <c r="CB150" i="7"/>
  <c r="BV150" i="7"/>
  <c r="BV12" i="7" s="1"/>
  <c r="BV149" i="7"/>
  <c r="I13" i="9" s="1"/>
  <c r="BQ150" i="7"/>
  <c r="BQ149" i="7"/>
  <c r="BQ11" i="7"/>
  <c r="BL150" i="7"/>
  <c r="BL149" i="7"/>
  <c r="BL11" i="7" s="1"/>
  <c r="BG150" i="7"/>
  <c r="BG149" i="7"/>
  <c r="BG11" i="7" s="1"/>
  <c r="BB150" i="7"/>
  <c r="BB149" i="7"/>
  <c r="AW150" i="7"/>
  <c r="AW149" i="7"/>
  <c r="AW11" i="7" s="1"/>
  <c r="AR150" i="7"/>
  <c r="AM150" i="7"/>
  <c r="AM12" i="7" s="1"/>
  <c r="AH150" i="7"/>
  <c r="AC150" i="7"/>
  <c r="AC12" i="7"/>
  <c r="X150" i="7"/>
  <c r="S150" i="7"/>
  <c r="S12" i="7"/>
  <c r="CX148" i="7"/>
  <c r="CW148" i="7"/>
  <c r="CV148" i="7"/>
  <c r="CT148" i="7"/>
  <c r="CS148" i="7"/>
  <c r="CR148" i="7"/>
  <c r="CQ148" i="7"/>
  <c r="CN148" i="7"/>
  <c r="CM148" i="7"/>
  <c r="CL148" i="7"/>
  <c r="CI148" i="7"/>
  <c r="CH148" i="7"/>
  <c r="CG148" i="7"/>
  <c r="CE148" i="7"/>
  <c r="CD148" i="7"/>
  <c r="CC148" i="7"/>
  <c r="CB148" i="7"/>
  <c r="BZ148" i="7"/>
  <c r="BY148" i="7"/>
  <c r="BX148" i="7"/>
  <c r="BW148" i="7"/>
  <c r="BU148" i="7"/>
  <c r="BT148" i="7"/>
  <c r="BS148" i="7"/>
  <c r="BR148" i="7"/>
  <c r="CO147" i="7"/>
  <c r="CO148" i="7"/>
  <c r="CJ147" i="7"/>
  <c r="CJ148" i="7" s="1"/>
  <c r="BV146" i="7"/>
  <c r="BQ146" i="7"/>
  <c r="BL146" i="7"/>
  <c r="BG146" i="7"/>
  <c r="BB146" i="7"/>
  <c r="AW146" i="7"/>
  <c r="AR146" i="7"/>
  <c r="AM146" i="7"/>
  <c r="BP142" i="7"/>
  <c r="BM142" i="7"/>
  <c r="BK142" i="7"/>
  <c r="BA142" i="7"/>
  <c r="AQ142" i="7"/>
  <c r="AJ142" i="7"/>
  <c r="AI142" i="7"/>
  <c r="AG142" i="7"/>
  <c r="AB142" i="7"/>
  <c r="Y142" i="7"/>
  <c r="BM141" i="7"/>
  <c r="BE141" i="7"/>
  <c r="BA141" i="7"/>
  <c r="AJ141" i="7"/>
  <c r="AE141" i="7"/>
  <c r="Y141" i="7"/>
  <c r="W141" i="7"/>
  <c r="O141" i="7"/>
  <c r="BV136" i="7"/>
  <c r="I8" i="9" s="1"/>
  <c r="BQ136" i="7"/>
  <c r="BO136" i="7"/>
  <c r="BN136" i="7"/>
  <c r="BM136" i="7"/>
  <c r="BL136" i="7"/>
  <c r="BJ136" i="7"/>
  <c r="BI136" i="7"/>
  <c r="BH136" i="7"/>
  <c r="BG136" i="7"/>
  <c r="BE136" i="7"/>
  <c r="BD136" i="7"/>
  <c r="BD137" i="7" s="1"/>
  <c r="BC136" i="7"/>
  <c r="BB136" i="7"/>
  <c r="AZ136" i="7"/>
  <c r="AY136" i="7"/>
  <c r="AX136" i="7"/>
  <c r="AW136" i="7"/>
  <c r="AU136" i="7"/>
  <c r="AT136" i="7"/>
  <c r="AS136" i="7"/>
  <c r="AS137" i="7" s="1"/>
  <c r="AR136" i="7"/>
  <c r="AP136" i="7"/>
  <c r="AP138" i="7"/>
  <c r="AO136" i="7"/>
  <c r="AN136" i="7"/>
  <c r="AM136" i="7"/>
  <c r="AL136" i="7"/>
  <c r="AK136" i="7"/>
  <c r="AK137" i="7" s="1"/>
  <c r="AJ136" i="7"/>
  <c r="AI136" i="7"/>
  <c r="AI138" i="7"/>
  <c r="AH136" i="7"/>
  <c r="AG136" i="7"/>
  <c r="AF136" i="7"/>
  <c r="AE136" i="7"/>
  <c r="AE138" i="7"/>
  <c r="AD136" i="7"/>
  <c r="AC136" i="7"/>
  <c r="AB136" i="7"/>
  <c r="AB137" i="7" s="1"/>
  <c r="AA136" i="7"/>
  <c r="Z136" i="7"/>
  <c r="Z137" i="7" s="1"/>
  <c r="Y136" i="7"/>
  <c r="Y137" i="7"/>
  <c r="X136" i="7"/>
  <c r="W136" i="7"/>
  <c r="V136" i="7"/>
  <c r="V137" i="7" s="1"/>
  <c r="U136" i="7"/>
  <c r="T136" i="7"/>
  <c r="T137" i="7" s="1"/>
  <c r="S136" i="7"/>
  <c r="R136" i="7"/>
  <c r="Q136" i="7"/>
  <c r="P136" i="7"/>
  <c r="O136" i="7"/>
  <c r="M136" i="7"/>
  <c r="L136" i="7"/>
  <c r="K136" i="7"/>
  <c r="J136" i="7"/>
  <c r="CN127" i="7"/>
  <c r="CM127" i="7"/>
  <c r="CJ127" i="7"/>
  <c r="CH127" i="7"/>
  <c r="CG127" i="7"/>
  <c r="CD127" i="7"/>
  <c r="CB127" i="7"/>
  <c r="BY127" i="7"/>
  <c r="BX127" i="7"/>
  <c r="BU127" i="7"/>
  <c r="BS127" i="7"/>
  <c r="BO127" i="7"/>
  <c r="BM127" i="7"/>
  <c r="BK127" i="7"/>
  <c r="BK128" i="7"/>
  <c r="BI127" i="7"/>
  <c r="BI128" i="7" s="1"/>
  <c r="BE127" i="7"/>
  <c r="BE128" i="7"/>
  <c r="BC127" i="7"/>
  <c r="BC128" i="7" s="1"/>
  <c r="BA127" i="7"/>
  <c r="BA128" i="7"/>
  <c r="AY127" i="7"/>
  <c r="AY128" i="7" s="1"/>
  <c r="AU127" i="7"/>
  <c r="AU128" i="7"/>
  <c r="AS127" i="7"/>
  <c r="AS128" i="7" s="1"/>
  <c r="AQ127" i="7"/>
  <c r="AQ128" i="7"/>
  <c r="AO127" i="7"/>
  <c r="AO128" i="7" s="1"/>
  <c r="AK127" i="7"/>
  <c r="AK128" i="7"/>
  <c r="AI127" i="7"/>
  <c r="AI128" i="7" s="1"/>
  <c r="AG127" i="7"/>
  <c r="AG128" i="7"/>
  <c r="AE127" i="7"/>
  <c r="AE128" i="7" s="1"/>
  <c r="AA127" i="7"/>
  <c r="AA128" i="7"/>
  <c r="Y127" i="7"/>
  <c r="Y128" i="7" s="1"/>
  <c r="W127" i="7"/>
  <c r="W128" i="7"/>
  <c r="U127" i="7"/>
  <c r="U128" i="7" s="1"/>
  <c r="Q127" i="7"/>
  <c r="Q128" i="7"/>
  <c r="O127" i="7"/>
  <c r="O128" i="7" s="1"/>
  <c r="M127" i="7"/>
  <c r="K127" i="7"/>
  <c r="BL122" i="7"/>
  <c r="CC122" i="7"/>
  <c r="CB122" i="7"/>
  <c r="BZ122" i="7"/>
  <c r="BY122" i="7"/>
  <c r="BX122" i="7"/>
  <c r="BW122" i="7"/>
  <c r="BU122" i="7"/>
  <c r="BT122" i="7"/>
  <c r="BS122" i="7"/>
  <c r="BR122" i="7"/>
  <c r="BQ122" i="7"/>
  <c r="CB121" i="7"/>
  <c r="BW121" i="7"/>
  <c r="BU121" i="7"/>
  <c r="BT121" i="7"/>
  <c r="BS121" i="7"/>
  <c r="BR121" i="7"/>
  <c r="CH117" i="7"/>
  <c r="CG117" i="7"/>
  <c r="CE117" i="7"/>
  <c r="CJ117" i="7" s="1"/>
  <c r="CD117" i="7"/>
  <c r="CI117" i="7"/>
  <c r="CH116" i="7"/>
  <c r="CG116" i="7"/>
  <c r="BX116" i="7"/>
  <c r="CC121" i="7"/>
  <c r="BL116" i="7"/>
  <c r="BP93" i="7"/>
  <c r="BO93" i="7"/>
  <c r="BN93" i="7"/>
  <c r="BM93" i="7"/>
  <c r="CX87" i="7"/>
  <c r="CW87" i="7"/>
  <c r="CV87" i="7"/>
  <c r="CT87" i="7"/>
  <c r="CS87" i="7"/>
  <c r="CR87" i="7"/>
  <c r="CQ87" i="7"/>
  <c r="CO87" i="7"/>
  <c r="CN87" i="7"/>
  <c r="CM87" i="7"/>
  <c r="CL87" i="7"/>
  <c r="CJ87" i="7"/>
  <c r="CI87" i="7"/>
  <c r="CH87" i="7"/>
  <c r="CG87" i="7"/>
  <c r="CE87" i="7"/>
  <c r="CD87" i="7"/>
  <c r="CC87" i="7"/>
  <c r="CB87" i="7"/>
  <c r="CA87" i="7"/>
  <c r="BZ87" i="7"/>
  <c r="BY87" i="7"/>
  <c r="BX87" i="7"/>
  <c r="BW87" i="7"/>
  <c r="BV87" i="7"/>
  <c r="BU87" i="7"/>
  <c r="BT87" i="7"/>
  <c r="BS87" i="7"/>
  <c r="BR87" i="7"/>
  <c r="BQ87" i="7"/>
  <c r="BP87" i="7"/>
  <c r="BO87" i="7"/>
  <c r="BN87" i="7"/>
  <c r="BM87" i="7"/>
  <c r="BL87" i="7"/>
  <c r="CX86" i="7"/>
  <c r="CW86" i="7"/>
  <c r="CT86" i="7"/>
  <c r="CS86" i="7"/>
  <c r="CR86" i="7"/>
  <c r="CO86" i="7"/>
  <c r="CN86" i="7"/>
  <c r="CM86" i="7"/>
  <c r="CJ86" i="7"/>
  <c r="CI86" i="7"/>
  <c r="CH86" i="7"/>
  <c r="CG86" i="7"/>
  <c r="CE86" i="7"/>
  <c r="CD86" i="7"/>
  <c r="CC86" i="7"/>
  <c r="CB86" i="7"/>
  <c r="CA86" i="7"/>
  <c r="BZ86" i="7"/>
  <c r="BY86" i="7"/>
  <c r="BX86" i="7"/>
  <c r="BW86" i="7"/>
  <c r="BV86" i="7"/>
  <c r="BU86" i="7"/>
  <c r="BT86" i="7"/>
  <c r="BS86" i="7"/>
  <c r="BR86" i="7"/>
  <c r="BQ86" i="7"/>
  <c r="BP86" i="7"/>
  <c r="BO86" i="7"/>
  <c r="BN86" i="7"/>
  <c r="BM86" i="7"/>
  <c r="BL86" i="7"/>
  <c r="BK86" i="7"/>
  <c r="BJ86" i="7"/>
  <c r="BI86" i="7"/>
  <c r="CX82" i="7"/>
  <c r="CW82" i="7"/>
  <c r="CV82" i="7"/>
  <c r="CT82" i="7"/>
  <c r="CQ82" i="7"/>
  <c r="CO82" i="7"/>
  <c r="CN82" i="7"/>
  <c r="CM82" i="7"/>
  <c r="CL82" i="7"/>
  <c r="CJ82" i="7"/>
  <c r="BL82" i="7"/>
  <c r="CV80" i="7"/>
  <c r="CT80" i="7"/>
  <c r="CQ80" i="7"/>
  <c r="CQ79" i="7"/>
  <c r="CO80" i="7"/>
  <c r="CO79" i="7"/>
  <c r="CV79" i="7"/>
  <c r="CT79" i="7"/>
  <c r="CX73" i="7"/>
  <c r="CV73" i="7"/>
  <c r="CR73" i="7"/>
  <c r="CM73" i="7"/>
  <c r="CJ72" i="7"/>
  <c r="CI72" i="7"/>
  <c r="CH72" i="7"/>
  <c r="CG72" i="7"/>
  <c r="CE72" i="7"/>
  <c r="CD72" i="7"/>
  <c r="CC72" i="7"/>
  <c r="CC79" i="7"/>
  <c r="CB72" i="7"/>
  <c r="BZ72" i="7"/>
  <c r="BY72" i="7"/>
  <c r="BX72" i="7"/>
  <c r="BW72" i="7"/>
  <c r="BU72" i="7"/>
  <c r="BT72" i="7"/>
  <c r="BS72" i="7"/>
  <c r="BS79" i="7" s="1"/>
  <c r="BR72" i="7"/>
  <c r="BL65" i="7"/>
  <c r="BL63" i="7"/>
  <c r="BG65" i="7"/>
  <c r="BG63" i="7"/>
  <c r="BG64" i="7" s="1"/>
  <c r="BG91" i="7" s="1"/>
  <c r="BB65" i="7"/>
  <c r="AW65" i="7"/>
  <c r="AR65" i="7"/>
  <c r="AM65" i="7"/>
  <c r="AH65" i="7"/>
  <c r="AC65" i="7"/>
  <c r="X65" i="7"/>
  <c r="BM63" i="7"/>
  <c r="BM90" i="7" s="1"/>
  <c r="CX65" i="7"/>
  <c r="CW65" i="7"/>
  <c r="CV65" i="7"/>
  <c r="CT65" i="7"/>
  <c r="CS65" i="7"/>
  <c r="CR65" i="7"/>
  <c r="CQ65" i="7"/>
  <c r="CO65" i="7"/>
  <c r="CN65" i="7"/>
  <c r="CM65" i="7"/>
  <c r="CL65" i="7"/>
  <c r="CJ65" i="7"/>
  <c r="CI65" i="7"/>
  <c r="CH65" i="7"/>
  <c r="CG65" i="7"/>
  <c r="CE65" i="7"/>
  <c r="CD65" i="7"/>
  <c r="CC65" i="7"/>
  <c r="CB65" i="7"/>
  <c r="BZ65" i="7"/>
  <c r="BY65" i="7"/>
  <c r="BX65" i="7"/>
  <c r="BW65" i="7"/>
  <c r="BU65" i="7"/>
  <c r="BT65" i="7"/>
  <c r="BS65" i="7"/>
  <c r="BR65" i="7"/>
  <c r="BQ65" i="7"/>
  <c r="BP65" i="7"/>
  <c r="BO65" i="7"/>
  <c r="BN65" i="7"/>
  <c r="CX63" i="7"/>
  <c r="CX64" i="7"/>
  <c r="CW63" i="7"/>
  <c r="CW64" i="7"/>
  <c r="CV63" i="7"/>
  <c r="CT63" i="7"/>
  <c r="CT64" i="7" s="1"/>
  <c r="CS63" i="7"/>
  <c r="CS64" i="7"/>
  <c r="CR63" i="7"/>
  <c r="CR64" i="7" s="1"/>
  <c r="CQ63" i="7"/>
  <c r="CO63" i="7"/>
  <c r="CO64" i="7"/>
  <c r="CN63" i="7"/>
  <c r="CN64" i="7"/>
  <c r="CM63" i="7"/>
  <c r="CL63" i="7"/>
  <c r="CJ63" i="7"/>
  <c r="CI63" i="7"/>
  <c r="CI64" i="7"/>
  <c r="CH63" i="7"/>
  <c r="CG63" i="7"/>
  <c r="CK63" i="7" s="1"/>
  <c r="CG64" i="7"/>
  <c r="CE63" i="7"/>
  <c r="CE64" i="7" s="1"/>
  <c r="CE91" i="7" s="1"/>
  <c r="CD63" i="7"/>
  <c r="CD64" i="7"/>
  <c r="CD91" i="7" s="1"/>
  <c r="CD107" i="7" s="1"/>
  <c r="CC63" i="7"/>
  <c r="CC64" i="7"/>
  <c r="CC91" i="7" s="1"/>
  <c r="CB63" i="7"/>
  <c r="BZ63" i="7"/>
  <c r="BZ64" i="7"/>
  <c r="BZ91" i="7" s="1"/>
  <c r="BY63" i="7"/>
  <c r="BX63" i="7"/>
  <c r="BW63" i="7"/>
  <c r="BU63" i="7"/>
  <c r="BT63" i="7"/>
  <c r="BS63" i="7"/>
  <c r="BR63" i="7"/>
  <c r="BQ63" i="7"/>
  <c r="BQ64" i="7"/>
  <c r="BQ91" i="7"/>
  <c r="BP63" i="7"/>
  <c r="BO63" i="7"/>
  <c r="BN63" i="7"/>
  <c r="BN90" i="7"/>
  <c r="BI64" i="7"/>
  <c r="BK63" i="7"/>
  <c r="BK64" i="7"/>
  <c r="BJ63" i="7"/>
  <c r="BJ64" i="7"/>
  <c r="BI63" i="7"/>
  <c r="CU62" i="7"/>
  <c r="CP62" i="7"/>
  <c r="CP65" i="7" s="1"/>
  <c r="CK62" i="7"/>
  <c r="CF62" i="7"/>
  <c r="CA62" i="7"/>
  <c r="BV62" i="7"/>
  <c r="CM59" i="7"/>
  <c r="BL58" i="7"/>
  <c r="BL57" i="7"/>
  <c r="BG58" i="7"/>
  <c r="BB58" i="7"/>
  <c r="AW58" i="7"/>
  <c r="AR58" i="7"/>
  <c r="AM58" i="7"/>
  <c r="AH58" i="7"/>
  <c r="AC58" i="7"/>
  <c r="X58" i="7"/>
  <c r="S58" i="7"/>
  <c r="N57" i="7"/>
  <c r="BV58" i="7"/>
  <c r="BQ58" i="7"/>
  <c r="BP57" i="7"/>
  <c r="BR57" i="7"/>
  <c r="BS57" i="7" s="1"/>
  <c r="AA57" i="7"/>
  <c r="O57" i="7"/>
  <c r="M57" i="7"/>
  <c r="L57" i="7"/>
  <c r="K57" i="7"/>
  <c r="J57" i="7"/>
  <c r="H57" i="7"/>
  <c r="BK56" i="7"/>
  <c r="BP136" i="7" s="1"/>
  <c r="BF56" i="7"/>
  <c r="BA56" i="7"/>
  <c r="AV56" i="7"/>
  <c r="AQ56" i="7"/>
  <c r="AQ136" i="7" s="1"/>
  <c r="I56" i="7"/>
  <c r="N136" i="7" s="1"/>
  <c r="CK54" i="7"/>
  <c r="DJ52" i="7"/>
  <c r="DE52" i="7"/>
  <c r="CZ52" i="7"/>
  <c r="CU52" i="7"/>
  <c r="CP52" i="7"/>
  <c r="CK52" i="7"/>
  <c r="CF52" i="7"/>
  <c r="CA52" i="7"/>
  <c r="BV51" i="7"/>
  <c r="BS52" i="7"/>
  <c r="BN52" i="7"/>
  <c r="BI52" i="7"/>
  <c r="BD52" i="7"/>
  <c r="BE52" i="7" s="1"/>
  <c r="BF52" i="7" s="1"/>
  <c r="AY52" i="7"/>
  <c r="AZ52" i="7"/>
  <c r="BA52" i="7" s="1"/>
  <c r="AT52" i="7"/>
  <c r="AO52" i="7"/>
  <c r="AQ52" i="7"/>
  <c r="AL52" i="7"/>
  <c r="AG52" i="7"/>
  <c r="AA52" i="7"/>
  <c r="AB52" i="7"/>
  <c r="CV51" i="7"/>
  <c r="CW51" i="7"/>
  <c r="BX51" i="7"/>
  <c r="BY51" i="7"/>
  <c r="BZ51" i="7" s="1"/>
  <c r="DF49" i="7"/>
  <c r="CX49" i="7"/>
  <c r="CW49" i="7"/>
  <c r="CV49" i="7"/>
  <c r="CT49" i="7"/>
  <c r="CS49" i="7"/>
  <c r="CR49" i="7"/>
  <c r="CQ49" i="7"/>
  <c r="CO49" i="7"/>
  <c r="CN49" i="7"/>
  <c r="CM49" i="7"/>
  <c r="CL49" i="7"/>
  <c r="CJ49" i="7"/>
  <c r="CI49" i="7"/>
  <c r="CH49" i="7"/>
  <c r="CG49" i="7"/>
  <c r="CE49" i="7"/>
  <c r="CD49" i="7"/>
  <c r="CC49" i="7"/>
  <c r="CB49" i="7"/>
  <c r="BZ49" i="7"/>
  <c r="BY49" i="7"/>
  <c r="BX49" i="7"/>
  <c r="BW49" i="7"/>
  <c r="BU49" i="7"/>
  <c r="BR49" i="7"/>
  <c r="BQ49" i="7"/>
  <c r="BM49" i="7"/>
  <c r="BL49" i="7"/>
  <c r="BH49" i="7"/>
  <c r="BG49" i="7"/>
  <c r="BC49" i="7"/>
  <c r="BB49" i="7"/>
  <c r="AX49" i="7"/>
  <c r="AW49" i="7"/>
  <c r="AS49" i="7"/>
  <c r="AR49" i="7"/>
  <c r="AP49" i="7"/>
  <c r="AN49" i="7"/>
  <c r="AM49" i="7"/>
  <c r="AK49" i="7"/>
  <c r="AJ49" i="7"/>
  <c r="AI49" i="7"/>
  <c r="AH49" i="7"/>
  <c r="AF49" i="7"/>
  <c r="AE49" i="7"/>
  <c r="AD49" i="7"/>
  <c r="Z49" i="7"/>
  <c r="Y49" i="7"/>
  <c r="X49" i="7"/>
  <c r="W49" i="7"/>
  <c r="V49" i="7"/>
  <c r="U49" i="7"/>
  <c r="T49" i="7"/>
  <c r="R49" i="7"/>
  <c r="P49" i="7"/>
  <c r="DJ48" i="7"/>
  <c r="DJ47" i="7"/>
  <c r="DE48" i="7"/>
  <c r="DE47" i="7"/>
  <c r="DE49" i="7" s="1"/>
  <c r="CZ48" i="7"/>
  <c r="CZ47" i="7"/>
  <c r="CZ49" i="7"/>
  <c r="CU48" i="7"/>
  <c r="CU47" i="7"/>
  <c r="CU49" i="7" s="1"/>
  <c r="CP48" i="7"/>
  <c r="CP47" i="7"/>
  <c r="CK48" i="7"/>
  <c r="CK47" i="7"/>
  <c r="CK49" i="7"/>
  <c r="CF48" i="7"/>
  <c r="CF47" i="7"/>
  <c r="CA48" i="7"/>
  <c r="CA47" i="7"/>
  <c r="AO48" i="7"/>
  <c r="AQ48" i="7"/>
  <c r="AO47" i="7"/>
  <c r="AQ47" i="7"/>
  <c r="AL48" i="7"/>
  <c r="AL49" i="7"/>
  <c r="AL47" i="7"/>
  <c r="AG48" i="7"/>
  <c r="AG47" i="7"/>
  <c r="AG49" i="7" s="1"/>
  <c r="AA48" i="7"/>
  <c r="BS48" i="7"/>
  <c r="BT48" i="7" s="1"/>
  <c r="BS47" i="7"/>
  <c r="BS49" i="7"/>
  <c r="BN48" i="7"/>
  <c r="BO48" i="7"/>
  <c r="BN47" i="7"/>
  <c r="BI48" i="7"/>
  <c r="BI47" i="7"/>
  <c r="BD48" i="7"/>
  <c r="BD47" i="7"/>
  <c r="AY48" i="7"/>
  <c r="AZ48" i="7" s="1"/>
  <c r="AY47" i="7"/>
  <c r="AY49" i="7" s="1"/>
  <c r="AT48" i="7"/>
  <c r="AU48" i="7" s="1"/>
  <c r="AT47" i="7"/>
  <c r="AC47" i="7"/>
  <c r="AC49" i="7" s="1"/>
  <c r="AA47" i="7"/>
  <c r="S47" i="7"/>
  <c r="S49" i="7"/>
  <c r="Q47" i="7"/>
  <c r="Q49" i="7"/>
  <c r="N47" i="7"/>
  <c r="I47" i="7"/>
  <c r="I49" i="7" s="1"/>
  <c r="CX45" i="7"/>
  <c r="CW45" i="7"/>
  <c r="CV45" i="7"/>
  <c r="CR45" i="7"/>
  <c r="CR54" i="7"/>
  <c r="CP45" i="7"/>
  <c r="CO45" i="7"/>
  <c r="CN45" i="7"/>
  <c r="CN51" i="7"/>
  <c r="CM45" i="7"/>
  <c r="CM51" i="7"/>
  <c r="CL45" i="7"/>
  <c r="CL51" i="7"/>
  <c r="BR45" i="7"/>
  <c r="BR54" i="7"/>
  <c r="BQ45" i="7"/>
  <c r="BQ54" i="7"/>
  <c r="BP45" i="7"/>
  <c r="BM45" i="7"/>
  <c r="BM54" i="7" s="1"/>
  <c r="AB45" i="7"/>
  <c r="S45" i="7"/>
  <c r="S54" i="7"/>
  <c r="P45" i="7"/>
  <c r="P54" i="7"/>
  <c r="O45" i="7"/>
  <c r="N45" i="7"/>
  <c r="M45" i="7"/>
  <c r="L45" i="7"/>
  <c r="K45" i="7"/>
  <c r="J45" i="7"/>
  <c r="F45" i="7"/>
  <c r="F54" i="7"/>
  <c r="G45" i="7" s="1"/>
  <c r="G54" i="7" s="1"/>
  <c r="H45" i="7" s="1"/>
  <c r="BZ38" i="7"/>
  <c r="M31" i="9" s="1"/>
  <c r="BV38" i="7"/>
  <c r="I31" i="9" s="1"/>
  <c r="BQ38" i="7"/>
  <c r="BL38" i="7"/>
  <c r="BK38" i="7"/>
  <c r="BJ38" i="7"/>
  <c r="BI38" i="7"/>
  <c r="BH38" i="7"/>
  <c r="BG38" i="7"/>
  <c r="BE38" i="7"/>
  <c r="BD38" i="7"/>
  <c r="BC38" i="7"/>
  <c r="BB38" i="7"/>
  <c r="AZ38" i="7"/>
  <c r="AY38" i="7"/>
  <c r="AX38" i="7"/>
  <c r="AW38" i="7"/>
  <c r="AV38" i="7"/>
  <c r="AU38" i="7"/>
  <c r="AT38" i="7"/>
  <c r="AS38" i="7"/>
  <c r="AR38" i="7"/>
  <c r="AQ38" i="7"/>
  <c r="AP38" i="7"/>
  <c r="AO38" i="7"/>
  <c r="AN38" i="7"/>
  <c r="AM38" i="7"/>
  <c r="AL38" i="7"/>
  <c r="AK38" i="7"/>
  <c r="AJ38" i="7"/>
  <c r="AI38" i="7"/>
  <c r="AH38" i="7"/>
  <c r="AG38" i="7"/>
  <c r="AF38" i="7"/>
  <c r="AE38" i="7"/>
  <c r="AD38" i="7"/>
  <c r="AC38" i="7"/>
  <c r="AB38" i="7"/>
  <c r="AA38" i="7"/>
  <c r="Z38" i="7"/>
  <c r="Y38" i="7"/>
  <c r="X38" i="7"/>
  <c r="W38" i="7"/>
  <c r="V38" i="7"/>
  <c r="U38" i="7"/>
  <c r="T38" i="7"/>
  <c r="S38" i="7"/>
  <c r="Q38" i="7"/>
  <c r="N38" i="7"/>
  <c r="BZ37" i="7"/>
  <c r="BY37" i="7"/>
  <c r="L29" i="9" s="1"/>
  <c r="BX37" i="7"/>
  <c r="K29" i="9" s="1"/>
  <c r="BW37" i="7"/>
  <c r="J29" i="9" s="1"/>
  <c r="BV37" i="7"/>
  <c r="I29" i="9" s="1"/>
  <c r="BU37" i="7"/>
  <c r="H29" i="9" s="1"/>
  <c r="BQ37" i="7"/>
  <c r="BL37" i="7"/>
  <c r="BK37" i="7"/>
  <c r="BJ37" i="7"/>
  <c r="BI37" i="7"/>
  <c r="BH37" i="7"/>
  <c r="BG37" i="7"/>
  <c r="BF37" i="7"/>
  <c r="BE37" i="7"/>
  <c r="BD37" i="7"/>
  <c r="BC37" i="7"/>
  <c r="BB37" i="7"/>
  <c r="AZ37" i="7"/>
  <c r="AY37" i="7"/>
  <c r="AX37" i="7"/>
  <c r="AW37" i="7"/>
  <c r="AV37" i="7"/>
  <c r="AU37" i="7"/>
  <c r="AT37" i="7"/>
  <c r="AS37" i="7"/>
  <c r="AR37" i="7"/>
  <c r="AQ37" i="7"/>
  <c r="AP37" i="7"/>
  <c r="AO37" i="7"/>
  <c r="AN37" i="7"/>
  <c r="AM37" i="7"/>
  <c r="AL37" i="7"/>
  <c r="AK37" i="7"/>
  <c r="AJ37" i="7"/>
  <c r="AI37" i="7"/>
  <c r="AH37" i="7"/>
  <c r="AG37" i="7"/>
  <c r="AF37" i="7"/>
  <c r="AE37" i="7"/>
  <c r="AD37" i="7"/>
  <c r="AC37" i="7"/>
  <c r="AB37" i="7"/>
  <c r="AA37" i="7"/>
  <c r="Z37" i="7"/>
  <c r="Y37" i="7"/>
  <c r="X37" i="7"/>
  <c r="W37" i="7"/>
  <c r="V37" i="7"/>
  <c r="U37" i="7"/>
  <c r="T37" i="7"/>
  <c r="S37" i="7"/>
  <c r="R37" i="7"/>
  <c r="Q37" i="7"/>
  <c r="P37" i="7"/>
  <c r="O37" i="7"/>
  <c r="N37" i="7"/>
  <c r="L37" i="7"/>
  <c r="I37" i="7"/>
  <c r="CX36" i="7"/>
  <c r="CW36" i="7"/>
  <c r="CW37" i="7" s="1"/>
  <c r="AJ29" i="9" s="1"/>
  <c r="CV36" i="7"/>
  <c r="CT36" i="7"/>
  <c r="CS36" i="7"/>
  <c r="CS37" i="7"/>
  <c r="CR36" i="7"/>
  <c r="CQ36" i="7"/>
  <c r="CQ37" i="7" s="1"/>
  <c r="AD29" i="9" s="1"/>
  <c r="CO36" i="7"/>
  <c r="CO37" i="7"/>
  <c r="CN36" i="7"/>
  <c r="CN37" i="7"/>
  <c r="AA29" i="9" s="1"/>
  <c r="CM36" i="7"/>
  <c r="CM37" i="7" s="1"/>
  <c r="CL36" i="7"/>
  <c r="CL37" i="7" s="1"/>
  <c r="CJ36" i="7"/>
  <c r="CJ37" i="7" s="1"/>
  <c r="W29" i="9" s="1"/>
  <c r="CI36" i="7"/>
  <c r="CI37" i="7" s="1"/>
  <c r="CH36" i="7"/>
  <c r="CH37" i="7" s="1"/>
  <c r="U29" i="9" s="1"/>
  <c r="CG36" i="7"/>
  <c r="CG37" i="7" s="1"/>
  <c r="CE36" i="7"/>
  <c r="CE37" i="7"/>
  <c r="R29" i="9" s="1"/>
  <c r="CD36" i="7"/>
  <c r="CD37" i="7" s="1"/>
  <c r="CC36" i="7"/>
  <c r="CC37" i="7"/>
  <c r="CB36" i="7"/>
  <c r="CB37" i="7"/>
  <c r="BT36" i="7"/>
  <c r="BS36" i="7"/>
  <c r="BS144" i="2" s="1"/>
  <c r="BR36" i="7"/>
  <c r="BP36" i="7"/>
  <c r="BO36" i="7"/>
  <c r="BN36" i="7"/>
  <c r="BN144" i="2" s="1"/>
  <c r="BM36" i="7"/>
  <c r="BM38" i="7" s="1"/>
  <c r="BA36" i="7"/>
  <c r="M36" i="7"/>
  <c r="R38" i="7"/>
  <c r="K36" i="7"/>
  <c r="K37" i="7"/>
  <c r="J36" i="7"/>
  <c r="H36" i="7"/>
  <c r="H37" i="7" s="1"/>
  <c r="G36" i="7"/>
  <c r="F36" i="7"/>
  <c r="E36" i="7"/>
  <c r="E37" i="7" s="1"/>
  <c r="CU34" i="7"/>
  <c r="CP34" i="7"/>
  <c r="CJ34" i="7"/>
  <c r="BK34" i="7"/>
  <c r="BK129" i="2" s="1"/>
  <c r="BJ34" i="7"/>
  <c r="BJ31" i="7" s="1"/>
  <c r="BJ32" i="7" s="1"/>
  <c r="BI34" i="7"/>
  <c r="BI129" i="2" s="1"/>
  <c r="BH34" i="7"/>
  <c r="BH129" i="2" s="1"/>
  <c r="BF34" i="7"/>
  <c r="BE34" i="7"/>
  <c r="BE31" i="7" s="1"/>
  <c r="BE32" i="7" s="1"/>
  <c r="BD34" i="7"/>
  <c r="BC34" i="7"/>
  <c r="BA34" i="7"/>
  <c r="AZ34" i="7"/>
  <c r="AZ31" i="7" s="1"/>
  <c r="AZ32" i="7" s="1"/>
  <c r="AY34" i="7"/>
  <c r="AY31" i="7" s="1"/>
  <c r="AY32" i="7" s="1"/>
  <c r="AX34" i="7"/>
  <c r="AV34" i="7"/>
  <c r="AU34" i="7"/>
  <c r="AU26" i="7" s="1"/>
  <c r="AU28" i="7" s="1"/>
  <c r="AT34" i="7"/>
  <c r="AS34" i="7"/>
  <c r="AQ34" i="7"/>
  <c r="AP34" i="7"/>
  <c r="AP31" i="7" s="1"/>
  <c r="AP32" i="7" s="1"/>
  <c r="AO34" i="7"/>
  <c r="AN34" i="7"/>
  <c r="AL34" i="7"/>
  <c r="AL31" i="7" s="1"/>
  <c r="AL32" i="7" s="1"/>
  <c r="AK34" i="7"/>
  <c r="AK31" i="7" s="1"/>
  <c r="AK32" i="7" s="1"/>
  <c r="AJ34" i="7"/>
  <c r="AI34" i="7"/>
  <c r="AG34" i="7"/>
  <c r="AF34" i="7"/>
  <c r="AF26" i="7" s="1"/>
  <c r="AF28" i="7" s="1"/>
  <c r="AE34" i="7"/>
  <c r="AD34" i="7"/>
  <c r="AB34" i="7"/>
  <c r="Z34" i="7"/>
  <c r="Z31" i="7" s="1"/>
  <c r="Z32" i="7" s="1"/>
  <c r="Y34" i="7"/>
  <c r="Y31" i="7" s="1"/>
  <c r="Y32" i="7" s="1"/>
  <c r="CW31" i="7"/>
  <c r="CW32" i="7" s="1"/>
  <c r="CS31" i="7"/>
  <c r="CS32" i="7" s="1"/>
  <c r="CQ31" i="7"/>
  <c r="CQ32" i="7" s="1"/>
  <c r="CO31" i="7"/>
  <c r="CO32" i="7" s="1"/>
  <c r="CM31" i="7"/>
  <c r="CM32" i="7" s="1"/>
  <c r="CI31" i="7"/>
  <c r="CI32" i="7" s="1"/>
  <c r="CH31" i="7"/>
  <c r="CH32" i="7" s="1"/>
  <c r="CE31" i="7"/>
  <c r="CE32" i="7" s="1"/>
  <c r="BQ31" i="7"/>
  <c r="BL31" i="7"/>
  <c r="BG31" i="7"/>
  <c r="BG32" i="7" s="1"/>
  <c r="BB31" i="7"/>
  <c r="AW31" i="7"/>
  <c r="AR31" i="7"/>
  <c r="AR32" i="7" s="1"/>
  <c r="AM31" i="7"/>
  <c r="AM32" i="7" s="1"/>
  <c r="AH31" i="7"/>
  <c r="AH32" i="7" s="1"/>
  <c r="AD31" i="7"/>
  <c r="AD32" i="7" s="1"/>
  <c r="AC31" i="7"/>
  <c r="X31" i="7"/>
  <c r="X32" i="7"/>
  <c r="W31" i="7"/>
  <c r="W32" i="7"/>
  <c r="V31" i="7"/>
  <c r="V32" i="7"/>
  <c r="U31" i="7"/>
  <c r="U32" i="7"/>
  <c r="T31" i="7"/>
  <c r="T32" i="7"/>
  <c r="S31" i="7"/>
  <c r="R31" i="7"/>
  <c r="R32" i="7" s="1"/>
  <c r="Q31" i="7"/>
  <c r="Q32" i="7" s="1"/>
  <c r="P31" i="7"/>
  <c r="P32" i="7" s="1"/>
  <c r="O31" i="7"/>
  <c r="O32" i="7" s="1"/>
  <c r="N31" i="7"/>
  <c r="N32" i="7" s="1"/>
  <c r="M31" i="7"/>
  <c r="M32" i="7" s="1"/>
  <c r="L31" i="7"/>
  <c r="L32" i="7" s="1"/>
  <c r="K31" i="7"/>
  <c r="K32" i="7" s="1"/>
  <c r="J31" i="7"/>
  <c r="J32" i="7" s="1"/>
  <c r="I31" i="7"/>
  <c r="I32" i="7" s="1"/>
  <c r="H31" i="7"/>
  <c r="H32" i="7" s="1"/>
  <c r="G31" i="7"/>
  <c r="G32" i="7" s="1"/>
  <c r="F31" i="7"/>
  <c r="F32" i="7" s="1"/>
  <c r="E31" i="7"/>
  <c r="E32" i="7" s="1"/>
  <c r="BG24" i="7"/>
  <c r="BG25" i="7" s="1"/>
  <c r="BB24" i="7"/>
  <c r="BB25" i="7" s="1"/>
  <c r="BH24" i="7"/>
  <c r="CX26" i="7"/>
  <c r="CX29" i="7" s="1"/>
  <c r="CW26" i="7"/>
  <c r="CV26" i="7"/>
  <c r="CV28" i="7" s="1"/>
  <c r="CV29" i="7"/>
  <c r="CT26" i="7"/>
  <c r="CS26" i="7"/>
  <c r="CS29" i="7" s="1"/>
  <c r="CR26" i="7"/>
  <c r="CQ26" i="7"/>
  <c r="CO26" i="7"/>
  <c r="CN26" i="7"/>
  <c r="CN29" i="7"/>
  <c r="CM26" i="7"/>
  <c r="CL26" i="7"/>
  <c r="CL29" i="7" s="1"/>
  <c r="CJ26" i="7"/>
  <c r="CI26" i="7"/>
  <c r="CH26" i="7"/>
  <c r="CG26" i="7"/>
  <c r="CE26" i="7"/>
  <c r="CX25" i="7"/>
  <c r="CW25" i="7"/>
  <c r="CV25" i="7"/>
  <c r="CT25" i="7"/>
  <c r="CS25" i="7"/>
  <c r="CR25" i="7"/>
  <c r="CQ25" i="7"/>
  <c r="CO25" i="7"/>
  <c r="CN25" i="7"/>
  <c r="CM25" i="7"/>
  <c r="CL25" i="7"/>
  <c r="CJ25" i="7"/>
  <c r="CI25" i="7"/>
  <c r="CH25" i="7"/>
  <c r="CG25" i="7"/>
  <c r="CE25" i="7"/>
  <c r="CD25" i="7"/>
  <c r="CC25" i="7"/>
  <c r="CB25" i="7"/>
  <c r="M26" i="7"/>
  <c r="M28" i="7" s="1"/>
  <c r="L26" i="7"/>
  <c r="L28" i="7" s="1"/>
  <c r="K26" i="7"/>
  <c r="K28" i="7" s="1"/>
  <c r="J26" i="7"/>
  <c r="J28" i="7" s="1"/>
  <c r="H26" i="7"/>
  <c r="H28" i="7" s="1"/>
  <c r="G26" i="7"/>
  <c r="G28" i="7" s="1"/>
  <c r="F26" i="7"/>
  <c r="F28" i="7" s="1"/>
  <c r="E26" i="7"/>
  <c r="E28" i="7" s="1"/>
  <c r="M25" i="7"/>
  <c r="L25" i="7"/>
  <c r="K25" i="7"/>
  <c r="J25" i="7"/>
  <c r="H25" i="7"/>
  <c r="G25" i="7"/>
  <c r="F25" i="7"/>
  <c r="E25" i="7"/>
  <c r="BZ24" i="7"/>
  <c r="BY24" i="7"/>
  <c r="BY25" i="7"/>
  <c r="BX24" i="7"/>
  <c r="BW24" i="7"/>
  <c r="BU24" i="7"/>
  <c r="BQ24" i="7"/>
  <c r="BQ25" i="7" s="1"/>
  <c r="BL24" i="7"/>
  <c r="BK24" i="7"/>
  <c r="BJ24" i="7"/>
  <c r="BJ25" i="7"/>
  <c r="BI24" i="7"/>
  <c r="BF24" i="7"/>
  <c r="BE24" i="7"/>
  <c r="BD24" i="7"/>
  <c r="BC24" i="7"/>
  <c r="BC25" i="7"/>
  <c r="AZ24" i="7"/>
  <c r="AZ25" i="7"/>
  <c r="AY24" i="7"/>
  <c r="AX24" i="7"/>
  <c r="AV24" i="7"/>
  <c r="AU24" i="7"/>
  <c r="AT24" i="7"/>
  <c r="AT25" i="7"/>
  <c r="AS24" i="7"/>
  <c r="AQ24" i="7"/>
  <c r="AP24" i="7"/>
  <c r="AO24" i="7"/>
  <c r="AN24" i="7"/>
  <c r="AL24" i="7"/>
  <c r="AL26" i="7" s="1"/>
  <c r="AL28" i="7" s="1"/>
  <c r="AK24" i="7"/>
  <c r="AJ24" i="7"/>
  <c r="AI24" i="7"/>
  <c r="AG24" i="7"/>
  <c r="AF24" i="7"/>
  <c r="AE24" i="7"/>
  <c r="AE25" i="7" s="1"/>
  <c r="AD24" i="7"/>
  <c r="AB24" i="7"/>
  <c r="AA24" i="7"/>
  <c r="Z24" i="7"/>
  <c r="Y24" i="7"/>
  <c r="W24" i="7"/>
  <c r="V24" i="7"/>
  <c r="V26" i="7" s="1"/>
  <c r="V28" i="7" s="1"/>
  <c r="U24" i="7"/>
  <c r="T24" i="7"/>
  <c r="T26" i="7" s="1"/>
  <c r="T28" i="7" s="1"/>
  <c r="R24" i="7"/>
  <c r="Q24" i="7"/>
  <c r="Q26" i="7" s="1"/>
  <c r="Q28" i="7" s="1"/>
  <c r="P24" i="7"/>
  <c r="O24" i="7"/>
  <c r="O26" i="7" s="1"/>
  <c r="O28" i="7" s="1"/>
  <c r="CX22" i="7"/>
  <c r="CW22" i="7"/>
  <c r="AJ27" i="9" s="1"/>
  <c r="AJ28" i="9" s="1"/>
  <c r="CV22" i="7"/>
  <c r="CT22" i="7"/>
  <c r="AG27" i="9"/>
  <c r="AG28" i="9" s="1"/>
  <c r="CS22" i="7"/>
  <c r="AF27" i="9" s="1"/>
  <c r="AF28" i="9" s="1"/>
  <c r="CR22" i="7"/>
  <c r="AE27" i="9" s="1"/>
  <c r="AE28" i="9" s="1"/>
  <c r="CQ22" i="7"/>
  <c r="AD27" i="9"/>
  <c r="AD28" i="9" s="1"/>
  <c r="CO22" i="7"/>
  <c r="AB27" i="9"/>
  <c r="CN22" i="7"/>
  <c r="AA27" i="9"/>
  <c r="AA28" i="9" s="1"/>
  <c r="CM22" i="7"/>
  <c r="Z27" i="9" s="1"/>
  <c r="Z28" i="9" s="1"/>
  <c r="CL22" i="7"/>
  <c r="Y27" i="9"/>
  <c r="CJ22" i="7"/>
  <c r="W27" i="9"/>
  <c r="CI22" i="7"/>
  <c r="V27" i="9"/>
  <c r="V28" i="9" s="1"/>
  <c r="CH22" i="7"/>
  <c r="U27" i="9" s="1"/>
  <c r="U28" i="9" s="1"/>
  <c r="CG22" i="7"/>
  <c r="T27" i="9" s="1"/>
  <c r="CE22" i="7"/>
  <c r="R27" i="9" s="1"/>
  <c r="CD22" i="7"/>
  <c r="Q27" i="9" s="1"/>
  <c r="CC22" i="7"/>
  <c r="P27" i="9" s="1"/>
  <c r="P28" i="9" s="1"/>
  <c r="CB22" i="7"/>
  <c r="O27" i="9" s="1"/>
  <c r="O28" i="9" s="1"/>
  <c r="BZ22" i="7"/>
  <c r="M27" i="9" s="1"/>
  <c r="M28" i="9" s="1"/>
  <c r="BY22" i="7"/>
  <c r="BX22" i="7"/>
  <c r="K27" i="9"/>
  <c r="K28" i="9" s="1"/>
  <c r="BW22" i="7"/>
  <c r="J27" i="9" s="1"/>
  <c r="J28" i="9" s="1"/>
  <c r="BV22" i="7"/>
  <c r="I27" i="9" s="1"/>
  <c r="BU22" i="7"/>
  <c r="H27" i="9" s="1"/>
  <c r="H28" i="9" s="1"/>
  <c r="BT22" i="7"/>
  <c r="G27" i="9" s="1"/>
  <c r="G28" i="9" s="1"/>
  <c r="BS22" i="7"/>
  <c r="F27" i="9" s="1"/>
  <c r="F28" i="9" s="1"/>
  <c r="BR22" i="7"/>
  <c r="E27" i="9"/>
  <c r="BQ22" i="7"/>
  <c r="I28" i="9"/>
  <c r="BP22" i="7"/>
  <c r="BO22" i="7"/>
  <c r="BN22" i="7"/>
  <c r="BM22" i="7"/>
  <c r="BL22" i="7"/>
  <c r="BK22" i="7"/>
  <c r="BJ22" i="7"/>
  <c r="BI22" i="7"/>
  <c r="BH22" i="7"/>
  <c r="BG22" i="7"/>
  <c r="BF22" i="7"/>
  <c r="BE22" i="7"/>
  <c r="BD22" i="7"/>
  <c r="BC22" i="7"/>
  <c r="BB22" i="7"/>
  <c r="BA22" i="7"/>
  <c r="AZ22" i="7"/>
  <c r="AY22" i="7"/>
  <c r="AX22" i="7"/>
  <c r="AV22" i="7"/>
  <c r="AU22" i="7"/>
  <c r="AT22" i="7"/>
  <c r="AS22" i="7"/>
  <c r="AQ22" i="7"/>
  <c r="AP22" i="7"/>
  <c r="AO22" i="7"/>
  <c r="AN22" i="7"/>
  <c r="AL22" i="7"/>
  <c r="AK22" i="7"/>
  <c r="AJ22" i="7"/>
  <c r="AI22" i="7"/>
  <c r="AG22" i="7"/>
  <c r="AF22" i="7"/>
  <c r="AE22" i="7"/>
  <c r="AD22" i="7"/>
  <c r="AB22" i="7"/>
  <c r="AA22" i="7"/>
  <c r="Z22" i="7"/>
  <c r="Y22" i="7"/>
  <c r="W22" i="7"/>
  <c r="V22" i="7"/>
  <c r="U22" i="7"/>
  <c r="T22" i="7"/>
  <c r="R22" i="7"/>
  <c r="Q22" i="7"/>
  <c r="P22" i="7"/>
  <c r="O22" i="7"/>
  <c r="M22" i="7"/>
  <c r="L22" i="7"/>
  <c r="K22" i="7"/>
  <c r="J22" i="7"/>
  <c r="H22" i="7"/>
  <c r="G22" i="7"/>
  <c r="F22" i="7"/>
  <c r="E22" i="7"/>
  <c r="CU21" i="7"/>
  <c r="S21" i="7"/>
  <c r="S22" i="7"/>
  <c r="CX20" i="7"/>
  <c r="CW20" i="7"/>
  <c r="CV20" i="7"/>
  <c r="CZ20" i="7" s="1"/>
  <c r="CT20" i="7"/>
  <c r="CS20" i="7"/>
  <c r="CR20" i="7"/>
  <c r="CQ20" i="7"/>
  <c r="CO20" i="7"/>
  <c r="CN20" i="7"/>
  <c r="CM20" i="7"/>
  <c r="CL20" i="7"/>
  <c r="CJ20" i="7"/>
  <c r="CI20" i="7"/>
  <c r="CH20" i="7"/>
  <c r="CG20" i="7"/>
  <c r="CE20" i="7"/>
  <c r="CD20" i="7"/>
  <c r="CC20" i="7"/>
  <c r="CF20" i="7"/>
  <c r="CB20" i="7"/>
  <c r="BZ20" i="7"/>
  <c r="BY20" i="7"/>
  <c r="BX20" i="7"/>
  <c r="BW20" i="7"/>
  <c r="BV20" i="7"/>
  <c r="BU20" i="7"/>
  <c r="BT20" i="7"/>
  <c r="BS20" i="7"/>
  <c r="BR20" i="7"/>
  <c r="BQ20" i="7"/>
  <c r="BP20" i="7"/>
  <c r="BO20" i="7"/>
  <c r="BN20" i="7"/>
  <c r="BM20" i="7"/>
  <c r="BL20" i="7"/>
  <c r="BK20" i="7"/>
  <c r="BJ20" i="7"/>
  <c r="BI20" i="7"/>
  <c r="BH20" i="7"/>
  <c r="BG20" i="7"/>
  <c r="BF20" i="7"/>
  <c r="BE20" i="7"/>
  <c r="BD20" i="7"/>
  <c r="BC20" i="7"/>
  <c r="BB20" i="7"/>
  <c r="BA20" i="7"/>
  <c r="AZ20" i="7"/>
  <c r="AY20" i="7"/>
  <c r="AX20" i="7"/>
  <c r="AV20" i="7"/>
  <c r="AU20" i="7"/>
  <c r="AT20" i="7"/>
  <c r="AS20" i="7"/>
  <c r="AQ20" i="7"/>
  <c r="AP20" i="7"/>
  <c r="AO20" i="7"/>
  <c r="AN20" i="7"/>
  <c r="AR20" i="7" s="1"/>
  <c r="AR21" i="7" s="1"/>
  <c r="AL20" i="7"/>
  <c r="AK20" i="7"/>
  <c r="AJ20" i="7"/>
  <c r="AI20" i="7"/>
  <c r="AG20" i="7"/>
  <c r="AF20" i="7"/>
  <c r="AE20" i="7"/>
  <c r="AD20" i="7"/>
  <c r="AB20" i="7"/>
  <c r="AA20" i="7"/>
  <c r="Z20" i="7"/>
  <c r="Y20" i="7"/>
  <c r="W20" i="7"/>
  <c r="V20" i="7"/>
  <c r="U20" i="7"/>
  <c r="T20" i="7"/>
  <c r="R20" i="7"/>
  <c r="Q20" i="7"/>
  <c r="P20" i="7"/>
  <c r="O20" i="7"/>
  <c r="M20" i="7"/>
  <c r="L20" i="7"/>
  <c r="K20" i="7"/>
  <c r="J20" i="7"/>
  <c r="H20" i="7"/>
  <c r="G20" i="7"/>
  <c r="F20" i="7"/>
  <c r="E20" i="7"/>
  <c r="I20" i="7"/>
  <c r="I21" i="7" s="1"/>
  <c r="CX18" i="7"/>
  <c r="CX256" i="3" s="1"/>
  <c r="CX257" i="3" s="1"/>
  <c r="CW18" i="7"/>
  <c r="CW256" i="3"/>
  <c r="CV18" i="7"/>
  <c r="CV256" i="3"/>
  <c r="CT18" i="7"/>
  <c r="CT256" i="3"/>
  <c r="CS18" i="7"/>
  <c r="CS256" i="3"/>
  <c r="CS271" i="3" s="1"/>
  <c r="CR18" i="7"/>
  <c r="CR256" i="3"/>
  <c r="CR271" i="3" s="1"/>
  <c r="CR272" i="3" s="1"/>
  <c r="CQ18" i="7"/>
  <c r="CQ256" i="3"/>
  <c r="CQ271" i="3" s="1"/>
  <c r="CO18" i="7"/>
  <c r="CN18" i="7"/>
  <c r="CN256" i="3"/>
  <c r="CN257" i="3" s="1"/>
  <c r="CM18" i="7"/>
  <c r="CM256" i="3" s="1"/>
  <c r="CM271" i="3" s="1"/>
  <c r="CM272" i="3" s="1"/>
  <c r="CL18" i="7"/>
  <c r="CL256" i="3" s="1"/>
  <c r="CL271" i="3" s="1"/>
  <c r="CL272" i="3" s="1"/>
  <c r="CJ18" i="7"/>
  <c r="CJ256" i="3" s="1"/>
  <c r="CI18" i="7"/>
  <c r="CI256" i="3" s="1"/>
  <c r="CH18" i="7"/>
  <c r="CH256" i="3" s="1"/>
  <c r="CH271" i="3" s="1"/>
  <c r="CG18" i="7"/>
  <c r="CG256" i="3"/>
  <c r="CG271" i="3" s="1"/>
  <c r="CG272" i="3" s="1"/>
  <c r="CE18" i="7"/>
  <c r="CE256" i="3" s="1"/>
  <c r="CE271" i="3" s="1"/>
  <c r="CE272" i="3" s="1"/>
  <c r="CD18" i="7"/>
  <c r="CD256" i="3" s="1"/>
  <c r="CD257" i="3" s="1"/>
  <c r="CC18" i="7"/>
  <c r="CC256" i="3" s="1"/>
  <c r="CC271" i="3" s="1"/>
  <c r="CB18" i="7"/>
  <c r="CB256" i="3"/>
  <c r="BZ18" i="7"/>
  <c r="BZ256" i="3"/>
  <c r="BZ271" i="3" s="1"/>
  <c r="BZ272" i="3" s="1"/>
  <c r="BY18" i="7"/>
  <c r="BY256" i="3"/>
  <c r="BY271" i="3" s="1"/>
  <c r="BX18" i="7"/>
  <c r="BX256" i="3" s="1"/>
  <c r="BX271" i="3" s="1"/>
  <c r="BW18" i="7"/>
  <c r="BW256" i="3"/>
  <c r="BV18" i="7"/>
  <c r="BV256" i="3"/>
  <c r="BU18" i="7"/>
  <c r="BU256" i="3"/>
  <c r="BT18" i="7"/>
  <c r="BT256" i="3" s="1"/>
  <c r="BS18" i="7"/>
  <c r="BS256" i="3"/>
  <c r="BS271" i="3" s="1"/>
  <c r="BS272" i="3" s="1"/>
  <c r="BR18" i="7"/>
  <c r="BR256" i="3"/>
  <c r="BR271" i="3" s="1"/>
  <c r="BQ18" i="7"/>
  <c r="BP18" i="7"/>
  <c r="BP256" i="3" s="1"/>
  <c r="BP271" i="3" s="1"/>
  <c r="BO18" i="7"/>
  <c r="BO256" i="3" s="1"/>
  <c r="BN18" i="7"/>
  <c r="BN256" i="3"/>
  <c r="BN271" i="3" s="1"/>
  <c r="BN272" i="3" s="1"/>
  <c r="BM18" i="7"/>
  <c r="BM256" i="3" s="1"/>
  <c r="BM271" i="3" s="1"/>
  <c r="BM272" i="3" s="1"/>
  <c r="BL18" i="7"/>
  <c r="BL256" i="3"/>
  <c r="BL257" i="3" s="1"/>
  <c r="BK18" i="7"/>
  <c r="BJ18" i="7"/>
  <c r="BI18" i="7"/>
  <c r="BH18" i="7"/>
  <c r="BG18" i="7"/>
  <c r="BG256" i="3" s="1"/>
  <c r="BG257" i="3" s="1"/>
  <c r="BF18" i="7"/>
  <c r="BE18" i="7"/>
  <c r="BD18" i="7"/>
  <c r="BC18" i="7"/>
  <c r="BB18" i="7"/>
  <c r="BB256" i="3"/>
  <c r="BB257" i="3" s="1"/>
  <c r="BA18" i="7"/>
  <c r="AZ18" i="7"/>
  <c r="AY18" i="7"/>
  <c r="AX18" i="7"/>
  <c r="AW18" i="7"/>
  <c r="AW271" i="3"/>
  <c r="AV18" i="7"/>
  <c r="AU18" i="7"/>
  <c r="AT18" i="7"/>
  <c r="AS18" i="7"/>
  <c r="AR18" i="7"/>
  <c r="AR256" i="3"/>
  <c r="AR257" i="3" s="1"/>
  <c r="AQ18" i="7"/>
  <c r="AP18" i="7"/>
  <c r="AO18" i="7"/>
  <c r="AN18" i="7"/>
  <c r="AM18" i="7"/>
  <c r="AM256" i="3"/>
  <c r="AM257" i="3" s="1"/>
  <c r="AL18" i="7"/>
  <c r="AK18" i="7"/>
  <c r="AJ18" i="7"/>
  <c r="AI18" i="7"/>
  <c r="AH18" i="7"/>
  <c r="AH256" i="3" s="1"/>
  <c r="AG18" i="7"/>
  <c r="AF18" i="7"/>
  <c r="AE18" i="7"/>
  <c r="AD18" i="7"/>
  <c r="AC18" i="7"/>
  <c r="AC256" i="3" s="1"/>
  <c r="AC257" i="3" s="1"/>
  <c r="AB18" i="7"/>
  <c r="AA18" i="7"/>
  <c r="Z18" i="7"/>
  <c r="Y18" i="7"/>
  <c r="X18" i="7"/>
  <c r="X256" i="3" s="1"/>
  <c r="W18" i="7"/>
  <c r="V18" i="7"/>
  <c r="U18" i="7"/>
  <c r="T18" i="7"/>
  <c r="S18" i="7"/>
  <c r="R18" i="7"/>
  <c r="Q18" i="7"/>
  <c r="P18" i="7"/>
  <c r="O18" i="7"/>
  <c r="N18" i="7"/>
  <c r="N256" i="3"/>
  <c r="N257" i="3" s="1"/>
  <c r="M18" i="7"/>
  <c r="L18" i="7"/>
  <c r="K18" i="7"/>
  <c r="J18" i="7"/>
  <c r="CU17" i="7"/>
  <c r="BL14" i="7"/>
  <c r="BG15" i="7"/>
  <c r="BG14" i="7"/>
  <c r="BG210" i="7" s="1"/>
  <c r="BB14" i="7"/>
  <c r="AW15" i="7"/>
  <c r="AW14" i="7"/>
  <c r="AR14" i="7"/>
  <c r="AM15" i="7"/>
  <c r="AM14" i="7"/>
  <c r="AH14" i="7"/>
  <c r="AC15" i="7"/>
  <c r="AC14" i="7"/>
  <c r="X14" i="7"/>
  <c r="S15" i="7"/>
  <c r="S14" i="7"/>
  <c r="N14" i="7"/>
  <c r="I15" i="7"/>
  <c r="I215" i="7"/>
  <c r="I14" i="7"/>
  <c r="CN15" i="7"/>
  <c r="CN215" i="7" s="1"/>
  <c r="CM15" i="7"/>
  <c r="CJ15" i="7"/>
  <c r="CI15" i="7"/>
  <c r="CH15" i="7"/>
  <c r="CM168" i="7"/>
  <c r="CG15" i="7"/>
  <c r="CD15" i="7"/>
  <c r="CB15" i="7"/>
  <c r="BY15" i="7"/>
  <c r="BX15" i="7"/>
  <c r="BU15" i="7"/>
  <c r="BU154" i="7" s="1"/>
  <c r="BU142" i="7" s="1"/>
  <c r="BS15" i="7"/>
  <c r="BQ15" i="7"/>
  <c r="BQ216" i="7"/>
  <c r="CO14" i="7"/>
  <c r="CN14" i="7"/>
  <c r="CM14" i="7"/>
  <c r="CL14" i="7"/>
  <c r="CQ167" i="7" s="1"/>
  <c r="CJ14" i="7"/>
  <c r="CI14" i="7"/>
  <c r="CH14" i="7"/>
  <c r="CG14" i="7"/>
  <c r="CE14" i="7"/>
  <c r="CD14" i="7"/>
  <c r="CC14" i="7"/>
  <c r="CB14" i="7"/>
  <c r="BZ14" i="7"/>
  <c r="BY14" i="7"/>
  <c r="BX14" i="7"/>
  <c r="BW14" i="7"/>
  <c r="BU14" i="7"/>
  <c r="BT14" i="7"/>
  <c r="BS14" i="7"/>
  <c r="BR14" i="7"/>
  <c r="BR93" i="7"/>
  <c r="BR118" i="7" s="1"/>
  <c r="BQ14" i="7"/>
  <c r="B12" i="7"/>
  <c r="B11" i="7"/>
  <c r="B10" i="7"/>
  <c r="B9" i="7"/>
  <c r="CW12" i="7"/>
  <c r="CV12" i="7"/>
  <c r="CT12" i="7"/>
  <c r="AE27" i="5"/>
  <c r="CJ12" i="7"/>
  <c r="CG12" i="7"/>
  <c r="CE12" i="7"/>
  <c r="CD12" i="7"/>
  <c r="CB12" i="7"/>
  <c r="BY12" i="7"/>
  <c r="BW12" i="7"/>
  <c r="BU12" i="7"/>
  <c r="BT12" i="7"/>
  <c r="BS12" i="7"/>
  <c r="BR12" i="7"/>
  <c r="BQ12" i="7"/>
  <c r="BP12" i="7"/>
  <c r="BO12" i="7"/>
  <c r="BN12" i="7"/>
  <c r="BM12" i="7"/>
  <c r="BL12" i="7"/>
  <c r="BK12" i="7"/>
  <c r="BJ12" i="7"/>
  <c r="BI12" i="7"/>
  <c r="BH12" i="7"/>
  <c r="BG12" i="7"/>
  <c r="BF12" i="7"/>
  <c r="BE12" i="7"/>
  <c r="BD12" i="7"/>
  <c r="BC12" i="7"/>
  <c r="BB12" i="7"/>
  <c r="BA12" i="7"/>
  <c r="AZ12" i="7"/>
  <c r="AY12" i="7"/>
  <c r="AX12" i="7"/>
  <c r="AW12" i="7"/>
  <c r="AV12" i="7"/>
  <c r="AU12" i="7"/>
  <c r="AT12" i="7"/>
  <c r="AS12" i="7"/>
  <c r="AR12" i="7"/>
  <c r="AQ12" i="7"/>
  <c r="AP12" i="7"/>
  <c r="AO12" i="7"/>
  <c r="AN12" i="7"/>
  <c r="AL12" i="7"/>
  <c r="AK12" i="7"/>
  <c r="AJ12" i="7"/>
  <c r="AI12" i="7"/>
  <c r="AH12" i="7"/>
  <c r="AG12" i="7"/>
  <c r="AF12" i="7"/>
  <c r="AE12" i="7"/>
  <c r="AD12" i="7"/>
  <c r="AB12" i="7"/>
  <c r="AA12" i="7"/>
  <c r="Z12" i="7"/>
  <c r="Y12" i="7"/>
  <c r="X12" i="7"/>
  <c r="W12" i="7"/>
  <c r="V12" i="7"/>
  <c r="U12" i="7"/>
  <c r="T12" i="7"/>
  <c r="R12" i="7"/>
  <c r="Q12" i="7"/>
  <c r="P12" i="7"/>
  <c r="O12" i="7"/>
  <c r="N12" i="7"/>
  <c r="CX11" i="7"/>
  <c r="CW11" i="7"/>
  <c r="CV11" i="7"/>
  <c r="CT11" i="7"/>
  <c r="CS11" i="7"/>
  <c r="CR11" i="7"/>
  <c r="CQ11" i="7"/>
  <c r="CO11" i="7"/>
  <c r="CN11" i="7"/>
  <c r="CM11" i="7"/>
  <c r="CL11" i="7"/>
  <c r="CJ11" i="7"/>
  <c r="CI11" i="7"/>
  <c r="CH11" i="7"/>
  <c r="CG11" i="7"/>
  <c r="CE11" i="7"/>
  <c r="CD11" i="7"/>
  <c r="CC11" i="7"/>
  <c r="CB11" i="7"/>
  <c r="BZ11" i="7"/>
  <c r="BY11" i="7"/>
  <c r="BX11" i="7"/>
  <c r="BW11" i="7"/>
  <c r="BV11" i="7"/>
  <c r="BU11" i="7"/>
  <c r="BT11" i="7"/>
  <c r="BS11" i="7"/>
  <c r="BR11" i="7"/>
  <c r="BP11" i="7"/>
  <c r="BO11" i="7"/>
  <c r="BN11" i="7"/>
  <c r="BM11" i="7"/>
  <c r="BK11" i="7"/>
  <c r="BJ11" i="7"/>
  <c r="BI11" i="7"/>
  <c r="BH11" i="7"/>
  <c r="BF11" i="7"/>
  <c r="BE11" i="7"/>
  <c r="BD11" i="7"/>
  <c r="BC11" i="7"/>
  <c r="BB11" i="7"/>
  <c r="BA11" i="7"/>
  <c r="AZ11" i="7"/>
  <c r="AY11" i="7"/>
  <c r="AX11" i="7"/>
  <c r="AV11" i="7"/>
  <c r="AU11" i="7"/>
  <c r="AT11" i="7"/>
  <c r="AS11" i="7"/>
  <c r="AR11" i="7"/>
  <c r="AQ11" i="7"/>
  <c r="AP11" i="7"/>
  <c r="AO11" i="7"/>
  <c r="AN11" i="7"/>
  <c r="AM11" i="7"/>
  <c r="AL11" i="7"/>
  <c r="AK11" i="7"/>
  <c r="AJ11" i="7"/>
  <c r="AI11" i="7"/>
  <c r="AH11" i="7"/>
  <c r="AG11" i="7"/>
  <c r="AF11" i="7"/>
  <c r="AE11" i="7"/>
  <c r="AD11" i="7"/>
  <c r="AC11" i="7"/>
  <c r="AB11" i="7"/>
  <c r="AA11" i="7"/>
  <c r="Z11" i="7"/>
  <c r="Y11" i="7"/>
  <c r="X11" i="7"/>
  <c r="W11" i="7"/>
  <c r="V11" i="7"/>
  <c r="U11" i="7"/>
  <c r="T11" i="7"/>
  <c r="S11" i="7"/>
  <c r="R11" i="7"/>
  <c r="Q11" i="7"/>
  <c r="P11" i="7"/>
  <c r="O11" i="7"/>
  <c r="N11" i="7"/>
  <c r="CX10" i="7"/>
  <c r="CW10" i="7"/>
  <c r="CV10" i="7"/>
  <c r="CT10" i="7"/>
  <c r="CS10" i="7"/>
  <c r="CR10" i="7"/>
  <c r="CQ10" i="7"/>
  <c r="CO10" i="7"/>
  <c r="CN10" i="7"/>
  <c r="CM10" i="7"/>
  <c r="CL10" i="7"/>
  <c r="CJ10" i="7"/>
  <c r="CI10" i="7"/>
  <c r="CH10" i="7"/>
  <c r="CG10" i="7"/>
  <c r="CE10" i="7"/>
  <c r="CD10" i="7"/>
  <c r="CC10" i="7"/>
  <c r="CB10" i="7"/>
  <c r="BZ10" i="7"/>
  <c r="BY10" i="7"/>
  <c r="BX10" i="7"/>
  <c r="BW10" i="7"/>
  <c r="BV10" i="7"/>
  <c r="BU10" i="7"/>
  <c r="BT10" i="7"/>
  <c r="BS10" i="7"/>
  <c r="BR10" i="7"/>
  <c r="BQ10" i="7"/>
  <c r="BP10" i="7"/>
  <c r="BO10" i="7"/>
  <c r="BN10" i="7"/>
  <c r="BM10" i="7"/>
  <c r="BL10" i="7"/>
  <c r="BK10" i="7"/>
  <c r="BJ10" i="7"/>
  <c r="BI10" i="7"/>
  <c r="BH10" i="7"/>
  <c r="BG10" i="7"/>
  <c r="BF10" i="7"/>
  <c r="BE10" i="7"/>
  <c r="BD10" i="7"/>
  <c r="BC10" i="7"/>
  <c r="BB10" i="7"/>
  <c r="BA10" i="7"/>
  <c r="AZ10" i="7"/>
  <c r="AY10" i="7"/>
  <c r="AX10" i="7"/>
  <c r="AW10" i="7"/>
  <c r="AV10" i="7"/>
  <c r="AU10" i="7"/>
  <c r="AT10" i="7"/>
  <c r="AS10" i="7"/>
  <c r="AR10" i="7"/>
  <c r="AQ10" i="7"/>
  <c r="AP10" i="7"/>
  <c r="AO10" i="7"/>
  <c r="AN10" i="7"/>
  <c r="AM10" i="7"/>
  <c r="AL10" i="7"/>
  <c r="AK10" i="7"/>
  <c r="AJ10" i="7"/>
  <c r="AI10" i="7"/>
  <c r="AH10" i="7"/>
  <c r="AG10" i="7"/>
  <c r="AF10" i="7"/>
  <c r="AE10" i="7"/>
  <c r="AD10" i="7"/>
  <c r="AC10" i="7"/>
  <c r="AB10" i="7"/>
  <c r="AA10" i="7"/>
  <c r="Z10" i="7"/>
  <c r="Y10" i="7"/>
  <c r="X10" i="7"/>
  <c r="W10" i="7"/>
  <c r="V10" i="7"/>
  <c r="U10" i="7"/>
  <c r="T10" i="7"/>
  <c r="S10" i="7"/>
  <c r="R10" i="7"/>
  <c r="Q10" i="7"/>
  <c r="P10" i="7"/>
  <c r="O10" i="7"/>
  <c r="N10" i="7"/>
  <c r="DJ6" i="7"/>
  <c r="DI6" i="7"/>
  <c r="DH6" i="7"/>
  <c r="DG6" i="7"/>
  <c r="DF6" i="7"/>
  <c r="DE6" i="7"/>
  <c r="DD6" i="7"/>
  <c r="DC6" i="7"/>
  <c r="DB6" i="7"/>
  <c r="DA6" i="7"/>
  <c r="CZ6" i="7"/>
  <c r="CY6" i="7"/>
  <c r="CX6" i="7"/>
  <c r="CW6" i="7"/>
  <c r="CV6" i="7"/>
  <c r="CU6" i="7"/>
  <c r="CT6" i="7"/>
  <c r="CS6" i="7"/>
  <c r="CR6" i="7"/>
  <c r="CQ6" i="7"/>
  <c r="CP6" i="7"/>
  <c r="CO6" i="7"/>
  <c r="CN6" i="7"/>
  <c r="CM6" i="7"/>
  <c r="CL6" i="7"/>
  <c r="CK6" i="7"/>
  <c r="CJ6" i="7"/>
  <c r="CI6" i="7"/>
  <c r="CH6" i="7"/>
  <c r="CG6" i="7"/>
  <c r="CF6" i="7"/>
  <c r="CE6" i="7"/>
  <c r="CD6" i="7"/>
  <c r="CC6" i="7"/>
  <c r="CB6" i="7"/>
  <c r="CA6" i="7"/>
  <c r="BZ6" i="7"/>
  <c r="BY6" i="7"/>
  <c r="BX6" i="7"/>
  <c r="BW6" i="7"/>
  <c r="BV6" i="7"/>
  <c r="BU6" i="7"/>
  <c r="BT6" i="7"/>
  <c r="BS6" i="7"/>
  <c r="BR6" i="7"/>
  <c r="BQ6" i="7"/>
  <c r="BP6" i="7"/>
  <c r="BO6" i="7"/>
  <c r="BN6" i="7"/>
  <c r="BM6" i="7"/>
  <c r="BL6" i="7"/>
  <c r="BK6" i="7"/>
  <c r="BJ6" i="7"/>
  <c r="BI6" i="7"/>
  <c r="BH6" i="7"/>
  <c r="BG6" i="7"/>
  <c r="BF6" i="7"/>
  <c r="BE6" i="7"/>
  <c r="BD6" i="7"/>
  <c r="BC6" i="7"/>
  <c r="BB6" i="7"/>
  <c r="BA6" i="7"/>
  <c r="AZ6" i="7"/>
  <c r="AY6" i="7"/>
  <c r="AX6" i="7"/>
  <c r="AW6" i="7"/>
  <c r="AV6" i="7"/>
  <c r="AU6" i="7"/>
  <c r="AT6" i="7"/>
  <c r="AS6" i="7"/>
  <c r="AR6" i="7"/>
  <c r="AQ6" i="7"/>
  <c r="AP6" i="7"/>
  <c r="AO6" i="7"/>
  <c r="AN6" i="7"/>
  <c r="AM6" i="7"/>
  <c r="AL6" i="7"/>
  <c r="AK6" i="7"/>
  <c r="AJ6" i="7"/>
  <c r="AI6" i="7"/>
  <c r="AH6" i="7"/>
  <c r="AG6" i="7"/>
  <c r="AF6" i="7"/>
  <c r="AE6" i="7"/>
  <c r="AD6" i="7"/>
  <c r="AC6" i="7"/>
  <c r="AB6" i="7"/>
  <c r="AA6" i="7"/>
  <c r="Z6" i="7"/>
  <c r="Y6" i="7"/>
  <c r="X6" i="7"/>
  <c r="W6" i="7"/>
  <c r="V6" i="7"/>
  <c r="U6" i="7"/>
  <c r="T6" i="7"/>
  <c r="S6" i="7"/>
  <c r="R6" i="7"/>
  <c r="Q6" i="7"/>
  <c r="P6" i="7"/>
  <c r="O6" i="7"/>
  <c r="N6" i="7"/>
  <c r="M6" i="7"/>
  <c r="L6" i="7"/>
  <c r="K6" i="7"/>
  <c r="J6" i="7"/>
  <c r="I6" i="7"/>
  <c r="H6" i="7"/>
  <c r="G6" i="7"/>
  <c r="F6" i="7"/>
  <c r="E6" i="7"/>
  <c r="DF5" i="7"/>
  <c r="DA5" i="7"/>
  <c r="B2" i="7"/>
  <c r="BV652" i="6"/>
  <c r="BV639" i="6"/>
  <c r="BV638" i="6"/>
  <c r="BV637" i="6"/>
  <c r="BV636" i="6"/>
  <c r="BQ639" i="6"/>
  <c r="BQ638" i="6"/>
  <c r="BQ637" i="6"/>
  <c r="BQ636" i="6"/>
  <c r="AC627" i="6"/>
  <c r="AR629" i="6" s="1"/>
  <c r="AR625" i="6"/>
  <c r="AC625" i="6"/>
  <c r="AC622" i="6"/>
  <c r="AR619" i="6"/>
  <c r="AR632" i="6" s="1"/>
  <c r="AM619" i="6"/>
  <c r="AH619" i="6"/>
  <c r="AR615" i="6"/>
  <c r="AR624" i="6" s="1"/>
  <c r="AM615" i="6"/>
  <c r="AH615" i="6"/>
  <c r="AR612" i="6"/>
  <c r="AM612" i="6"/>
  <c r="AH612" i="6"/>
  <c r="AR582" i="6"/>
  <c r="AM581" i="6"/>
  <c r="AM582" i="6" s="1"/>
  <c r="AR579" i="6"/>
  <c r="AR584" i="6" s="1"/>
  <c r="AM579" i="6"/>
  <c r="AM584" i="6" s="1"/>
  <c r="AH579" i="6"/>
  <c r="AH584" i="6" s="1"/>
  <c r="BG457" i="6"/>
  <c r="BG467" i="6" s="1"/>
  <c r="BB457" i="6"/>
  <c r="BB467" i="6" s="1"/>
  <c r="AW457" i="6"/>
  <c r="AW467" i="6"/>
  <c r="AR457" i="6"/>
  <c r="AR467" i="6" s="1"/>
  <c r="AM457" i="6"/>
  <c r="AM467" i="6" s="1"/>
  <c r="AH457" i="6"/>
  <c r="AH467" i="6" s="1"/>
  <c r="AC457" i="6"/>
  <c r="AC440" i="6"/>
  <c r="AC441" i="6" s="1"/>
  <c r="X440" i="6"/>
  <c r="AC435" i="6"/>
  <c r="X435" i="6"/>
  <c r="BB434" i="6"/>
  <c r="AW434" i="6"/>
  <c r="AR434" i="6"/>
  <c r="AM434" i="6"/>
  <c r="AH434" i="6"/>
  <c r="BG427" i="6"/>
  <c r="BB427" i="6"/>
  <c r="AW427" i="6"/>
  <c r="AR427" i="6"/>
  <c r="AR437" i="6" s="1"/>
  <c r="AR443" i="6" s="1"/>
  <c r="AM427" i="6"/>
  <c r="AM441" i="6" s="1"/>
  <c r="AH427" i="6"/>
  <c r="AH437" i="6" s="1"/>
  <c r="AH443" i="6" s="1"/>
  <c r="AC427" i="6"/>
  <c r="X427" i="6"/>
  <c r="X441" i="6" s="1"/>
  <c r="DA330" i="6"/>
  <c r="DB330" i="6" s="1"/>
  <c r="CV330" i="6"/>
  <c r="CV324" i="6" s="1"/>
  <c r="CV321" i="6"/>
  <c r="CS321" i="6"/>
  <c r="CR321" i="6"/>
  <c r="CX316" i="6"/>
  <c r="CW316" i="6"/>
  <c r="CS316" i="6"/>
  <c r="CR316" i="6"/>
  <c r="CO316" i="6"/>
  <c r="CN316" i="6"/>
  <c r="CM316" i="6"/>
  <c r="CJ316" i="6"/>
  <c r="CI316" i="6"/>
  <c r="CH316" i="6"/>
  <c r="CG316" i="6"/>
  <c r="CE316" i="6"/>
  <c r="CD316" i="6"/>
  <c r="CC316" i="6"/>
  <c r="CB316" i="6"/>
  <c r="BZ316" i="6"/>
  <c r="BY316" i="6"/>
  <c r="BX316" i="6"/>
  <c r="BW316" i="6"/>
  <c r="BU316" i="6"/>
  <c r="BT316" i="6"/>
  <c r="BS316" i="6"/>
  <c r="BR316" i="6"/>
  <c r="BP316" i="6"/>
  <c r="BO316" i="6"/>
  <c r="BN316" i="6"/>
  <c r="BM316" i="6"/>
  <c r="CX315" i="6"/>
  <c r="CW315" i="6"/>
  <c r="CV315" i="6"/>
  <c r="CT315" i="6"/>
  <c r="CS315" i="6"/>
  <c r="CR315" i="6"/>
  <c r="CQ315" i="6"/>
  <c r="CO315" i="6"/>
  <c r="CN315" i="6"/>
  <c r="CM315" i="6"/>
  <c r="CL315" i="6"/>
  <c r="CJ315" i="6"/>
  <c r="CI315" i="6"/>
  <c r="CH315" i="6"/>
  <c r="CG315" i="6"/>
  <c r="CE315" i="6"/>
  <c r="CD315" i="6"/>
  <c r="CC315" i="6"/>
  <c r="CB315" i="6"/>
  <c r="BZ315" i="6"/>
  <c r="BY315" i="6"/>
  <c r="BX315" i="6"/>
  <c r="BW315" i="6"/>
  <c r="BU315" i="6"/>
  <c r="BT315" i="6"/>
  <c r="BS315" i="6"/>
  <c r="BR315" i="6"/>
  <c r="BQ315" i="6"/>
  <c r="BP315" i="6"/>
  <c r="BO315" i="6"/>
  <c r="BN315" i="6"/>
  <c r="BM315" i="6"/>
  <c r="CX313" i="6"/>
  <c r="CW313" i="6"/>
  <c r="CS313" i="6"/>
  <c r="CR313" i="6"/>
  <c r="CO313" i="6"/>
  <c r="CN313" i="6"/>
  <c r="CM313" i="6"/>
  <c r="CJ313" i="6"/>
  <c r="CI313" i="6"/>
  <c r="CH313" i="6"/>
  <c r="CG313" i="6"/>
  <c r="CE313" i="6"/>
  <c r="CD313" i="6"/>
  <c r="CC313" i="6"/>
  <c r="CB313" i="6"/>
  <c r="BZ313" i="6"/>
  <c r="BY313" i="6"/>
  <c r="BX313" i="6"/>
  <c r="BW313" i="6"/>
  <c r="BU313" i="6"/>
  <c r="BT313" i="6"/>
  <c r="BS313" i="6"/>
  <c r="BR313" i="6"/>
  <c r="BP313" i="6"/>
  <c r="BO313" i="6"/>
  <c r="BN313" i="6"/>
  <c r="BM313" i="6"/>
  <c r="CX312" i="6"/>
  <c r="CW312" i="6"/>
  <c r="CV312" i="6"/>
  <c r="CT312" i="6"/>
  <c r="CS312" i="6"/>
  <c r="CR312" i="6"/>
  <c r="CQ312" i="6"/>
  <c r="CO312" i="6"/>
  <c r="CN312" i="6"/>
  <c r="CM312" i="6"/>
  <c r="CL312" i="6"/>
  <c r="CJ312" i="6"/>
  <c r="CI312" i="6"/>
  <c r="CH312" i="6"/>
  <c r="CG312" i="6"/>
  <c r="CE312" i="6"/>
  <c r="CD312" i="6"/>
  <c r="CC312" i="6"/>
  <c r="CB312" i="6"/>
  <c r="BZ312" i="6"/>
  <c r="BY312" i="6"/>
  <c r="BX312" i="6"/>
  <c r="BW312" i="6"/>
  <c r="BU312" i="6"/>
  <c r="BT312" i="6"/>
  <c r="BS312" i="6"/>
  <c r="BR312" i="6"/>
  <c r="BQ312" i="6"/>
  <c r="BP312" i="6"/>
  <c r="BO312" i="6"/>
  <c r="BN312" i="6"/>
  <c r="BM312" i="6"/>
  <c r="CX310" i="6"/>
  <c r="CV310" i="6"/>
  <c r="CT310" i="6"/>
  <c r="CS310" i="6"/>
  <c r="CQ310" i="6"/>
  <c r="CO310" i="6"/>
  <c r="CN310" i="6"/>
  <c r="CM310" i="6"/>
  <c r="CL310" i="6"/>
  <c r="CJ310" i="6"/>
  <c r="CI310" i="6"/>
  <c r="CH310" i="6"/>
  <c r="CG310" i="6"/>
  <c r="CE310" i="6"/>
  <c r="CD310" i="6"/>
  <c r="CC310" i="6"/>
  <c r="CB310" i="6"/>
  <c r="BZ310" i="6"/>
  <c r="BY310" i="6"/>
  <c r="BX310" i="6"/>
  <c r="BW310" i="6"/>
  <c r="BU310" i="6"/>
  <c r="BT310" i="6"/>
  <c r="BS310" i="6"/>
  <c r="BR310" i="6"/>
  <c r="BP310" i="6"/>
  <c r="BO310" i="6"/>
  <c r="BN310" i="6"/>
  <c r="BM310" i="6"/>
  <c r="CX309" i="6"/>
  <c r="CW309" i="6"/>
  <c r="CV309" i="6"/>
  <c r="CT309" i="6"/>
  <c r="CS309" i="6"/>
  <c r="CR309" i="6"/>
  <c r="CQ309" i="6"/>
  <c r="CO309" i="6"/>
  <c r="CN309" i="6"/>
  <c r="CM309" i="6"/>
  <c r="CL309" i="6"/>
  <c r="CJ309" i="6"/>
  <c r="CI309" i="6"/>
  <c r="CH309" i="6"/>
  <c r="CG309" i="6"/>
  <c r="CE309" i="6"/>
  <c r="CD309" i="6"/>
  <c r="CC309" i="6"/>
  <c r="CB309" i="6"/>
  <c r="BZ309" i="6"/>
  <c r="BY309" i="6"/>
  <c r="BX309" i="6"/>
  <c r="BW309" i="6"/>
  <c r="BU309" i="6"/>
  <c r="BT309" i="6"/>
  <c r="BS309" i="6"/>
  <c r="BR309" i="6"/>
  <c r="BQ309" i="6"/>
  <c r="BP309" i="6"/>
  <c r="BO309" i="6"/>
  <c r="BN309" i="6"/>
  <c r="BM309" i="6"/>
  <c r="B296" i="6"/>
  <c r="CX295" i="6"/>
  <c r="CW295" i="6"/>
  <c r="CV295" i="6"/>
  <c r="CT295" i="6"/>
  <c r="CS295" i="6"/>
  <c r="CR295" i="6"/>
  <c r="CW300" i="6"/>
  <c r="CQ295" i="6"/>
  <c r="CO295" i="6"/>
  <c r="CN295" i="6"/>
  <c r="CM295" i="6"/>
  <c r="CL295" i="6"/>
  <c r="CJ295" i="6"/>
  <c r="CI295" i="6"/>
  <c r="CH295" i="6"/>
  <c r="CG295" i="6"/>
  <c r="CE295" i="6"/>
  <c r="BU295" i="6"/>
  <c r="BT295" i="6"/>
  <c r="BS295" i="6"/>
  <c r="BR295" i="6"/>
  <c r="BP295" i="6"/>
  <c r="BO295" i="6"/>
  <c r="BN295" i="6"/>
  <c r="BM295" i="6"/>
  <c r="BL295" i="6"/>
  <c r="BK295" i="6"/>
  <c r="BJ295" i="6"/>
  <c r="BI295" i="6"/>
  <c r="BH295" i="6"/>
  <c r="BF295" i="6"/>
  <c r="BE295" i="6"/>
  <c r="CX256" i="6"/>
  <c r="CW256" i="6"/>
  <c r="DB301" i="6"/>
  <c r="CV256" i="6"/>
  <c r="CV301" i="6" s="1"/>
  <c r="CT256" i="6"/>
  <c r="CY301" i="6"/>
  <c r="CS256" i="6"/>
  <c r="CR256" i="6"/>
  <c r="CQ256" i="6"/>
  <c r="CO256" i="6"/>
  <c r="CN256" i="6"/>
  <c r="CM256" i="6"/>
  <c r="CL256" i="6"/>
  <c r="CJ256" i="6"/>
  <c r="CI256" i="6"/>
  <c r="CH256" i="6"/>
  <c r="CG256" i="6"/>
  <c r="CE256" i="6"/>
  <c r="BQ256" i="6"/>
  <c r="BL256" i="6"/>
  <c r="CX242" i="6"/>
  <c r="CW242" i="6"/>
  <c r="DB245" i="6" s="1"/>
  <c r="CV242" i="6"/>
  <c r="CV243" i="6" s="1"/>
  <c r="CT242" i="6"/>
  <c r="CY245" i="6" s="1"/>
  <c r="CS242" i="6"/>
  <c r="CR242" i="6"/>
  <c r="CQ242" i="6"/>
  <c r="CO242" i="6"/>
  <c r="CN242" i="6"/>
  <c r="CM242" i="6"/>
  <c r="CL242" i="6"/>
  <c r="CJ242" i="6"/>
  <c r="CI242" i="6"/>
  <c r="CH242" i="6"/>
  <c r="CG242" i="6"/>
  <c r="CE242" i="6"/>
  <c r="CD242" i="6"/>
  <c r="CC242" i="6"/>
  <c r="CB242" i="6"/>
  <c r="BV242" i="6"/>
  <c r="BQ242" i="6"/>
  <c r="BL242" i="6"/>
  <c r="CX221" i="6"/>
  <c r="CW221" i="6"/>
  <c r="CV221" i="6"/>
  <c r="CT221" i="6"/>
  <c r="CS221" i="6"/>
  <c r="CR221" i="6"/>
  <c r="CQ221" i="6"/>
  <c r="CO221" i="6"/>
  <c r="CN221" i="6"/>
  <c r="CM221" i="6"/>
  <c r="CL221" i="6"/>
  <c r="CJ221" i="6"/>
  <c r="CI221" i="6"/>
  <c r="CH221" i="6"/>
  <c r="CG221" i="6"/>
  <c r="CE221" i="6"/>
  <c r="CD221" i="6"/>
  <c r="CC221" i="6"/>
  <c r="CB221" i="6"/>
  <c r="BZ221" i="6"/>
  <c r="BY221" i="6"/>
  <c r="BX221" i="6"/>
  <c r="BW221" i="6"/>
  <c r="BU221" i="6"/>
  <c r="BT221" i="6"/>
  <c r="BS221" i="6"/>
  <c r="BR221" i="6"/>
  <c r="BP221" i="6"/>
  <c r="BO221" i="6"/>
  <c r="BN221" i="6"/>
  <c r="BM221" i="6"/>
  <c r="BL221" i="6"/>
  <c r="BK179" i="6"/>
  <c r="BK180" i="6" s="1"/>
  <c r="BJ179" i="6"/>
  <c r="BJ216" i="6"/>
  <c r="BI179" i="6"/>
  <c r="BI216" i="6" s="1"/>
  <c r="BL216" i="6" s="1"/>
  <c r="BH179" i="6"/>
  <c r="BH216" i="6"/>
  <c r="DJ174" i="6"/>
  <c r="DE174" i="6"/>
  <c r="CZ174" i="6"/>
  <c r="CU174" i="6"/>
  <c r="CP174" i="6"/>
  <c r="CK174" i="6"/>
  <c r="CF174" i="6"/>
  <c r="CA174" i="6"/>
  <c r="BU174" i="6"/>
  <c r="BU651" i="6" s="1"/>
  <c r="BQ174" i="6"/>
  <c r="BL174" i="6"/>
  <c r="DJ163" i="6"/>
  <c r="DE163" i="6"/>
  <c r="CZ163" i="6"/>
  <c r="CU163" i="6"/>
  <c r="CP163" i="6"/>
  <c r="CK163" i="6"/>
  <c r="CF163" i="6"/>
  <c r="CA163" i="6"/>
  <c r="BU163" i="6"/>
  <c r="BV163" i="6" s="1"/>
  <c r="BQ163" i="6"/>
  <c r="BL163" i="6"/>
  <c r="CT152" i="6"/>
  <c r="CS152" i="6"/>
  <c r="CR152" i="6"/>
  <c r="CQ152" i="6"/>
  <c r="CO152" i="6"/>
  <c r="CN152" i="6"/>
  <c r="CM152" i="6"/>
  <c r="CL152" i="6"/>
  <c r="CJ152" i="6"/>
  <c r="CI152" i="6"/>
  <c r="CH152" i="6"/>
  <c r="CG152" i="6"/>
  <c r="CE152" i="6"/>
  <c r="CD152" i="6"/>
  <c r="CC152" i="6"/>
  <c r="CB152" i="6"/>
  <c r="BZ152" i="6"/>
  <c r="BY152" i="6"/>
  <c r="BX152" i="6"/>
  <c r="BW152" i="6"/>
  <c r="BU152" i="6"/>
  <c r="BT152" i="6"/>
  <c r="BS152" i="6"/>
  <c r="BR152" i="6"/>
  <c r="BP152" i="6"/>
  <c r="BO152" i="6"/>
  <c r="BN152" i="6"/>
  <c r="BM152" i="6"/>
  <c r="BK152" i="6"/>
  <c r="BJ152" i="6"/>
  <c r="BI152" i="6"/>
  <c r="BH152" i="6"/>
  <c r="CT149" i="6"/>
  <c r="CS149" i="6"/>
  <c r="CR149" i="6"/>
  <c r="CQ149" i="6"/>
  <c r="CO149" i="6"/>
  <c r="CN149" i="6"/>
  <c r="CM149" i="6"/>
  <c r="CL149" i="6"/>
  <c r="CJ149" i="6"/>
  <c r="CI149" i="6"/>
  <c r="CH149" i="6"/>
  <c r="CG149" i="6"/>
  <c r="CE149" i="6"/>
  <c r="CD149" i="6"/>
  <c r="CC149" i="6"/>
  <c r="CB149" i="6"/>
  <c r="BZ149" i="6"/>
  <c r="BY149" i="6"/>
  <c r="BX149" i="6"/>
  <c r="BW149" i="6"/>
  <c r="BU149" i="6"/>
  <c r="BT149" i="6"/>
  <c r="BS149" i="6"/>
  <c r="BR149" i="6"/>
  <c r="BP149" i="6"/>
  <c r="BO149" i="6"/>
  <c r="BN149" i="6"/>
  <c r="BM149" i="6"/>
  <c r="BK149" i="6"/>
  <c r="BJ149" i="6"/>
  <c r="BI149" i="6"/>
  <c r="BH149" i="6"/>
  <c r="BH143" i="6"/>
  <c r="BK142" i="6"/>
  <c r="BJ142" i="6"/>
  <c r="BI142" i="6"/>
  <c r="BH142" i="6"/>
  <c r="CR141" i="6"/>
  <c r="CQ141" i="6"/>
  <c r="CQ179" i="6" s="1"/>
  <c r="CO141" i="6"/>
  <c r="CN141" i="6"/>
  <c r="CM141" i="6"/>
  <c r="CM179" i="6"/>
  <c r="CL141" i="6"/>
  <c r="CL179" i="6"/>
  <c r="CJ141" i="6"/>
  <c r="CI141" i="6"/>
  <c r="CI179" i="6" s="1"/>
  <c r="CH141" i="6"/>
  <c r="CG141" i="6"/>
  <c r="CE141" i="6"/>
  <c r="CE179" i="6"/>
  <c r="CD141" i="6"/>
  <c r="CD179" i="6" s="1"/>
  <c r="CC141" i="6"/>
  <c r="CB141" i="6"/>
  <c r="BZ141" i="6"/>
  <c r="BY141" i="6"/>
  <c r="BX141" i="6"/>
  <c r="BW141" i="6"/>
  <c r="BW179" i="6" s="1"/>
  <c r="BU141" i="6"/>
  <c r="BU179" i="6" s="1"/>
  <c r="BT141" i="6"/>
  <c r="BS141" i="6"/>
  <c r="BR141" i="6"/>
  <c r="BP141" i="6"/>
  <c r="BO141" i="6"/>
  <c r="BN141" i="6"/>
  <c r="BM141" i="6"/>
  <c r="BF132" i="6"/>
  <c r="BE132" i="6"/>
  <c r="BD132" i="6"/>
  <c r="BC132" i="6"/>
  <c r="BT125" i="6"/>
  <c r="BS125" i="6"/>
  <c r="BR125" i="6"/>
  <c r="BP125" i="6"/>
  <c r="BO125" i="6"/>
  <c r="BN125" i="6"/>
  <c r="BM125" i="6"/>
  <c r="BH124" i="6"/>
  <c r="BT123" i="6"/>
  <c r="BS123" i="6"/>
  <c r="BR123" i="6"/>
  <c r="BP123" i="6"/>
  <c r="BO123" i="6"/>
  <c r="BN123" i="6"/>
  <c r="BM123" i="6"/>
  <c r="CT122" i="6"/>
  <c r="CS122" i="6"/>
  <c r="CS10" i="6"/>
  <c r="CR122" i="6"/>
  <c r="CW125" i="6" s="1"/>
  <c r="CQ122" i="6"/>
  <c r="CO122" i="6"/>
  <c r="CN122" i="6"/>
  <c r="CN10" i="6" s="1"/>
  <c r="CM122" i="6"/>
  <c r="CL122" i="6"/>
  <c r="CJ122" i="6"/>
  <c r="CI122" i="6"/>
  <c r="CI10" i="6" s="1"/>
  <c r="CH122" i="6"/>
  <c r="CG122" i="6"/>
  <c r="CG10" i="6" s="1"/>
  <c r="CE122" i="6"/>
  <c r="CD122" i="6"/>
  <c r="CC122" i="6"/>
  <c r="CB122" i="6"/>
  <c r="CB10" i="6" s="1"/>
  <c r="BZ122" i="6"/>
  <c r="BY122" i="6"/>
  <c r="BY10" i="6" s="1"/>
  <c r="BX122" i="6"/>
  <c r="BW122" i="6"/>
  <c r="BW125" i="6"/>
  <c r="BU122" i="6"/>
  <c r="CP119" i="6"/>
  <c r="CP118" i="6"/>
  <c r="BF114" i="6"/>
  <c r="BE114" i="6"/>
  <c r="BD114" i="6"/>
  <c r="BC114" i="6"/>
  <c r="BU101" i="6"/>
  <c r="BQ101" i="6"/>
  <c r="BL101" i="6"/>
  <c r="CX99" i="6"/>
  <c r="CW99" i="6"/>
  <c r="CV99" i="6"/>
  <c r="CT99" i="6"/>
  <c r="CS99" i="6"/>
  <c r="CR99" i="6"/>
  <c r="CQ99" i="6"/>
  <c r="CO99" i="6"/>
  <c r="CN99" i="6"/>
  <c r="CM99" i="6"/>
  <c r="CL99" i="6"/>
  <c r="CJ99" i="6"/>
  <c r="BU99" i="6"/>
  <c r="BT99" i="6"/>
  <c r="BS99" i="6"/>
  <c r="BR99" i="6"/>
  <c r="BQ99" i="6"/>
  <c r="BP99" i="6"/>
  <c r="BO99" i="6"/>
  <c r="BN99" i="6"/>
  <c r="BM99" i="6"/>
  <c r="CU98" i="6"/>
  <c r="CP98" i="6"/>
  <c r="CK98" i="6"/>
  <c r="CD98" i="6"/>
  <c r="CC98" i="6"/>
  <c r="CB98" i="6"/>
  <c r="CG99" i="6" s="1"/>
  <c r="BZ98" i="6"/>
  <c r="BZ295" i="6"/>
  <c r="CE296" i="6"/>
  <c r="BY98" i="6"/>
  <c r="BY295" i="6" s="1"/>
  <c r="BX98" i="6"/>
  <c r="BX295" i="6"/>
  <c r="BX296" i="6"/>
  <c r="BW98" i="6"/>
  <c r="BW295" i="6" s="1"/>
  <c r="BV98" i="6"/>
  <c r="CX96" i="6"/>
  <c r="CW96" i="6"/>
  <c r="CW101" i="6" s="1"/>
  <c r="CV96" i="6"/>
  <c r="CV101" i="6"/>
  <c r="CT96" i="6"/>
  <c r="CS96" i="6"/>
  <c r="CS101" i="6" s="1"/>
  <c r="CR96" i="6"/>
  <c r="CQ96" i="6"/>
  <c r="CQ101" i="6"/>
  <c r="CO96" i="6"/>
  <c r="CN96" i="6"/>
  <c r="CN101" i="6" s="1"/>
  <c r="CM96" i="6"/>
  <c r="CL96" i="6"/>
  <c r="CL101" i="6" s="1"/>
  <c r="CJ96" i="6"/>
  <c r="CI96" i="6"/>
  <c r="CI101" i="6" s="1"/>
  <c r="CH96" i="6"/>
  <c r="CG96" i="6"/>
  <c r="CG101" i="6"/>
  <c r="CE96" i="6"/>
  <c r="BT96" i="6"/>
  <c r="BT101" i="6" s="1"/>
  <c r="BS96" i="6"/>
  <c r="BR96" i="6"/>
  <c r="BP96" i="6"/>
  <c r="BP101" i="6" s="1"/>
  <c r="BO96" i="6"/>
  <c r="BO101" i="6" s="1"/>
  <c r="BN96" i="6"/>
  <c r="BM96" i="6"/>
  <c r="BM101" i="6" s="1"/>
  <c r="BK96" i="6"/>
  <c r="BK101" i="6" s="1"/>
  <c r="BJ96" i="6"/>
  <c r="BJ101" i="6" s="1"/>
  <c r="BI96" i="6"/>
  <c r="BI101" i="6" s="1"/>
  <c r="BH96" i="6"/>
  <c r="BH101" i="6" s="1"/>
  <c r="BF96" i="6"/>
  <c r="BE96" i="6"/>
  <c r="CX93" i="6"/>
  <c r="DC94" i="6" s="1"/>
  <c r="CW93" i="6"/>
  <c r="CV93" i="6"/>
  <c r="CT93" i="6"/>
  <c r="CS93" i="6"/>
  <c r="CR93" i="6"/>
  <c r="CQ93" i="6"/>
  <c r="CO93" i="6"/>
  <c r="CN93" i="6"/>
  <c r="CM93" i="6"/>
  <c r="CL93" i="6"/>
  <c r="CJ93" i="6"/>
  <c r="CI93" i="6"/>
  <c r="CH93" i="6"/>
  <c r="CG93" i="6"/>
  <c r="CE93" i="6"/>
  <c r="CD93" i="6"/>
  <c r="CC93" i="6"/>
  <c r="CB93" i="6"/>
  <c r="BZ93" i="6"/>
  <c r="BY93" i="6"/>
  <c r="BX93" i="6"/>
  <c r="BW93" i="6"/>
  <c r="BU93" i="6"/>
  <c r="BU94" i="6" s="1"/>
  <c r="BT93" i="6"/>
  <c r="BS93" i="6"/>
  <c r="BR93" i="6"/>
  <c r="BQ93" i="6"/>
  <c r="BP93" i="6"/>
  <c r="BO93" i="6"/>
  <c r="BN93" i="6"/>
  <c r="BM93" i="6"/>
  <c r="BL93" i="6"/>
  <c r="BK93" i="6"/>
  <c r="BJ93" i="6"/>
  <c r="BJ94" i="6" s="1"/>
  <c r="BI93" i="6"/>
  <c r="BH93" i="6"/>
  <c r="BH94" i="6" s="1"/>
  <c r="BG93" i="6"/>
  <c r="BB93" i="6"/>
  <c r="AW93" i="6"/>
  <c r="AR93" i="6"/>
  <c r="AM93" i="6"/>
  <c r="AH93" i="6"/>
  <c r="AC93" i="6"/>
  <c r="X93" i="6"/>
  <c r="S93" i="6"/>
  <c r="N93" i="6"/>
  <c r="I93" i="6"/>
  <c r="CX91" i="6"/>
  <c r="CW91" i="6"/>
  <c r="CV91" i="6"/>
  <c r="CT91" i="6"/>
  <c r="CS91" i="6"/>
  <c r="AF108" i="9" s="1"/>
  <c r="CR91" i="6"/>
  <c r="AE108" i="9"/>
  <c r="CQ91" i="6"/>
  <c r="AD108" i="9" s="1"/>
  <c r="CO91" i="6"/>
  <c r="AB176" i="9"/>
  <c r="CN91" i="6"/>
  <c r="CM91" i="6"/>
  <c r="Z176" i="9" s="1"/>
  <c r="CL91" i="6"/>
  <c r="Y176" i="9" s="1"/>
  <c r="CJ91" i="6"/>
  <c r="W176" i="9"/>
  <c r="CI91" i="6"/>
  <c r="V176" i="9" s="1"/>
  <c r="V158" i="9" s="1"/>
  <c r="CH91" i="6"/>
  <c r="CG91" i="6"/>
  <c r="T176" i="9"/>
  <c r="T194" i="9" s="1"/>
  <c r="CE91" i="6"/>
  <c r="R176" i="9" s="1"/>
  <c r="CD91" i="6"/>
  <c r="Q176" i="9" s="1"/>
  <c r="Q194" i="9" s="1"/>
  <c r="CC91" i="6"/>
  <c r="CB91" i="6"/>
  <c r="BZ91" i="6"/>
  <c r="M176" i="9" s="1"/>
  <c r="BY91" i="6"/>
  <c r="BX91" i="6"/>
  <c r="K176" i="9"/>
  <c r="BW91" i="6"/>
  <c r="J176" i="9" s="1"/>
  <c r="BU91" i="6"/>
  <c r="BT91" i="6"/>
  <c r="BS91" i="6"/>
  <c r="BR91" i="6"/>
  <c r="BQ91" i="6"/>
  <c r="BP91" i="6"/>
  <c r="BO91" i="6"/>
  <c r="BN91" i="6"/>
  <c r="BM91" i="6"/>
  <c r="BL91" i="6"/>
  <c r="BK91" i="6"/>
  <c r="BJ91" i="6"/>
  <c r="BI91" i="6"/>
  <c r="BH91" i="6"/>
  <c r="CX89" i="6"/>
  <c r="CW89" i="6"/>
  <c r="CV89" i="6"/>
  <c r="CX88" i="6"/>
  <c r="CW88" i="6"/>
  <c r="CV88" i="6"/>
  <c r="CT89" i="6"/>
  <c r="CS89" i="6"/>
  <c r="CR89" i="6"/>
  <c r="CQ89" i="6"/>
  <c r="CT88" i="6"/>
  <c r="CU88" i="6" s="1"/>
  <c r="CS88" i="6"/>
  <c r="CR88" i="6"/>
  <c r="CQ88" i="6"/>
  <c r="CO89" i="6"/>
  <c r="CN89" i="6"/>
  <c r="CM89" i="6"/>
  <c r="CL89" i="6"/>
  <c r="CO88" i="6"/>
  <c r="CN88" i="6"/>
  <c r="CM88" i="6"/>
  <c r="CL88" i="6"/>
  <c r="CJ89" i="6"/>
  <c r="CJ113" i="6" s="1"/>
  <c r="CI89" i="6"/>
  <c r="CH89" i="6"/>
  <c r="CH113" i="6"/>
  <c r="CM113" i="6" s="1"/>
  <c r="CG89" i="6"/>
  <c r="CK89" i="6" s="1"/>
  <c r="CJ88" i="6"/>
  <c r="CJ112" i="6" s="1"/>
  <c r="CJ158" i="6" s="1"/>
  <c r="CJ206" i="6" s="1"/>
  <c r="CJ231" i="6" s="1"/>
  <c r="CI88" i="6"/>
  <c r="CI112" i="6"/>
  <c r="CI158" i="6" s="1"/>
  <c r="CH88" i="6"/>
  <c r="CH112" i="6" s="1"/>
  <c r="CG88" i="6"/>
  <c r="CG112" i="6" s="1"/>
  <c r="CL112" i="6" s="1"/>
  <c r="CE89" i="6"/>
  <c r="CE113" i="6" s="1"/>
  <c r="CD89" i="6"/>
  <c r="CC89" i="6"/>
  <c r="CC113" i="6" s="1"/>
  <c r="CC159" i="6" s="1"/>
  <c r="CC207" i="6" s="1"/>
  <c r="CC232" i="6" s="1"/>
  <c r="CB89" i="6"/>
  <c r="CB113" i="6"/>
  <c r="CB159" i="6" s="1"/>
  <c r="CE88" i="6"/>
  <c r="CD88" i="6"/>
  <c r="CD112" i="6"/>
  <c r="CC88" i="6"/>
  <c r="CC112" i="6"/>
  <c r="CB88" i="6"/>
  <c r="BZ89" i="6"/>
  <c r="BY89" i="6"/>
  <c r="BX89" i="6"/>
  <c r="BX113" i="6" s="1"/>
  <c r="BW89" i="6"/>
  <c r="BW113" i="6" s="1"/>
  <c r="BZ88" i="6"/>
  <c r="BY88" i="6"/>
  <c r="BY112" i="6" s="1"/>
  <c r="BX88" i="6"/>
  <c r="BX112" i="6" s="1"/>
  <c r="BW88" i="6"/>
  <c r="BW112" i="6" s="1"/>
  <c r="BU89" i="6"/>
  <c r="BT89" i="6"/>
  <c r="BT113" i="6" s="1"/>
  <c r="BS89" i="6"/>
  <c r="BS113" i="6" s="1"/>
  <c r="BS159" i="6" s="1"/>
  <c r="BR89" i="6"/>
  <c r="BR113" i="6"/>
  <c r="BQ89" i="6"/>
  <c r="BP89" i="6"/>
  <c r="BP113" i="6" s="1"/>
  <c r="BP159" i="6" s="1"/>
  <c r="BP207" i="6" s="1"/>
  <c r="BO89" i="6"/>
  <c r="BN89" i="6"/>
  <c r="BN113" i="6" s="1"/>
  <c r="BM89" i="6"/>
  <c r="BM113" i="6" s="1"/>
  <c r="BM159" i="6" s="1"/>
  <c r="BL89" i="6"/>
  <c r="BK89" i="6"/>
  <c r="BK113" i="6" s="1"/>
  <c r="BK159" i="6" s="1"/>
  <c r="BK207" i="6" s="1"/>
  <c r="BJ89" i="6"/>
  <c r="BI89" i="6"/>
  <c r="BI113" i="6" s="1"/>
  <c r="BI159" i="6"/>
  <c r="BI207" i="6" s="1"/>
  <c r="BH89" i="6"/>
  <c r="BU88" i="6"/>
  <c r="BU112" i="6"/>
  <c r="BU158" i="6" s="1"/>
  <c r="BT88" i="6"/>
  <c r="BT112" i="6" s="1"/>
  <c r="BS88" i="6"/>
  <c r="BS112" i="6" s="1"/>
  <c r="BR88" i="6"/>
  <c r="BR112" i="6" s="1"/>
  <c r="BQ88" i="6"/>
  <c r="BP88" i="6"/>
  <c r="BP112" i="6" s="1"/>
  <c r="BO88" i="6"/>
  <c r="BO112" i="6"/>
  <c r="BN88" i="6"/>
  <c r="BN112" i="6" s="1"/>
  <c r="BM88" i="6"/>
  <c r="BM112" i="6" s="1"/>
  <c r="BL88" i="6"/>
  <c r="BK88" i="6"/>
  <c r="BK112" i="6" s="1"/>
  <c r="BK158" i="6" s="1"/>
  <c r="BJ88" i="6"/>
  <c r="BJ112" i="6" s="1"/>
  <c r="BJ158" i="6" s="1"/>
  <c r="BI88" i="6"/>
  <c r="BI112" i="6"/>
  <c r="BI158" i="6" s="1"/>
  <c r="BI206" i="6" s="1"/>
  <c r="BH88" i="6"/>
  <c r="BH112" i="6"/>
  <c r="BH158" i="6" s="1"/>
  <c r="CV82" i="6"/>
  <c r="CS82" i="6"/>
  <c r="CQ82" i="6"/>
  <c r="CN82" i="6"/>
  <c r="CL82" i="6"/>
  <c r="CI82" i="6"/>
  <c r="CG82" i="6"/>
  <c r="CD82" i="6"/>
  <c r="CC82" i="6"/>
  <c r="CB82" i="6"/>
  <c r="BZ82" i="6"/>
  <c r="BY82" i="6"/>
  <c r="BX82" i="6"/>
  <c r="BW82" i="6"/>
  <c r="BU82" i="6"/>
  <c r="BT82" i="6"/>
  <c r="BQ82" i="6"/>
  <c r="BO82" i="6"/>
  <c r="BM82" i="6"/>
  <c r="BL82" i="6"/>
  <c r="CX80" i="6"/>
  <c r="AK177" i="9" s="1"/>
  <c r="CW80" i="6"/>
  <c r="AJ177" i="9"/>
  <c r="CV80" i="6"/>
  <c r="AI177" i="9" s="1"/>
  <c r="CT80" i="6"/>
  <c r="AG177" i="9" s="1"/>
  <c r="CS80" i="6"/>
  <c r="AF177" i="9" s="1"/>
  <c r="AF195" i="9" s="1"/>
  <c r="CR80" i="6"/>
  <c r="CQ80" i="6"/>
  <c r="CO80" i="6"/>
  <c r="CN80" i="6"/>
  <c r="AA177" i="9"/>
  <c r="AA159" i="9" s="1"/>
  <c r="CM80" i="6"/>
  <c r="CL80" i="6"/>
  <c r="Y177" i="9" s="1"/>
  <c r="CJ80" i="6"/>
  <c r="W177" i="9" s="1"/>
  <c r="CI80" i="6"/>
  <c r="V177" i="9"/>
  <c r="CH80" i="6"/>
  <c r="CG80" i="6"/>
  <c r="CE80" i="6"/>
  <c r="CD80" i="6"/>
  <c r="CC80" i="6"/>
  <c r="CB80" i="6"/>
  <c r="BZ80" i="6"/>
  <c r="BY80" i="6"/>
  <c r="BX80" i="6"/>
  <c r="BW80" i="6"/>
  <c r="J177" i="9"/>
  <c r="BU80" i="6"/>
  <c r="H177" i="9" s="1"/>
  <c r="H195" i="9" s="1"/>
  <c r="BT80" i="6"/>
  <c r="BS80" i="6"/>
  <c r="BR80" i="6"/>
  <c r="BQ80" i="6"/>
  <c r="BP80" i="6"/>
  <c r="BO80" i="6"/>
  <c r="BN80" i="6"/>
  <c r="BM80" i="6"/>
  <c r="BL80" i="6"/>
  <c r="BK80" i="6"/>
  <c r="BJ80" i="6"/>
  <c r="BI80" i="6"/>
  <c r="BH80" i="6"/>
  <c r="CX78" i="6"/>
  <c r="CW78" i="6"/>
  <c r="CV78" i="6"/>
  <c r="CX77" i="6"/>
  <c r="CW77" i="6"/>
  <c r="CV77" i="6"/>
  <c r="CT78" i="6"/>
  <c r="CU78" i="6" s="1"/>
  <c r="CS78" i="6"/>
  <c r="CR78" i="6"/>
  <c r="CQ78" i="6"/>
  <c r="CT77" i="6"/>
  <c r="CS77" i="6"/>
  <c r="CR77" i="6"/>
  <c r="CQ77" i="6"/>
  <c r="CO78" i="6"/>
  <c r="CN78" i="6"/>
  <c r="CM78" i="6"/>
  <c r="CL78" i="6"/>
  <c r="CP78" i="6" s="1"/>
  <c r="CO77" i="6"/>
  <c r="CN77" i="6"/>
  <c r="CM77" i="6"/>
  <c r="CL77" i="6"/>
  <c r="CJ78" i="6"/>
  <c r="CJ131" i="6" s="1"/>
  <c r="CJ170" i="6" s="1"/>
  <c r="CJ213" i="6" s="1"/>
  <c r="CJ236" i="6" s="1"/>
  <c r="CI78" i="6"/>
  <c r="CH78" i="6"/>
  <c r="CG78" i="6"/>
  <c r="CJ77" i="6"/>
  <c r="CJ130" i="6" s="1"/>
  <c r="CI77" i="6"/>
  <c r="CI130" i="6"/>
  <c r="CN130" i="6" s="1"/>
  <c r="CH77" i="6"/>
  <c r="CH130" i="6" s="1"/>
  <c r="CG77" i="6"/>
  <c r="CG130" i="6" s="1"/>
  <c r="CE78" i="6"/>
  <c r="CE131" i="6" s="1"/>
  <c r="CD78" i="6"/>
  <c r="CC78" i="6"/>
  <c r="CC131" i="6" s="1"/>
  <c r="CB78" i="6"/>
  <c r="CE77" i="6"/>
  <c r="CE130" i="6" s="1"/>
  <c r="CD77" i="6"/>
  <c r="CD130" i="6" s="1"/>
  <c r="CC77" i="6"/>
  <c r="CC130" i="6" s="1"/>
  <c r="CB77" i="6"/>
  <c r="CB130" i="6" s="1"/>
  <c r="CB169" i="6" s="1"/>
  <c r="BZ78" i="6"/>
  <c r="BY78" i="6"/>
  <c r="BX78" i="6"/>
  <c r="BX131" i="6" s="1"/>
  <c r="BW78" i="6"/>
  <c r="BZ77" i="6"/>
  <c r="BZ130" i="6"/>
  <c r="BZ169" i="6" s="1"/>
  <c r="BZ212" i="6" s="1"/>
  <c r="BZ235" i="6" s="1"/>
  <c r="BY77" i="6"/>
  <c r="BY130" i="6"/>
  <c r="BX77" i="6"/>
  <c r="BX130" i="6" s="1"/>
  <c r="BW77" i="6"/>
  <c r="BU78" i="6"/>
  <c r="BU131" i="6"/>
  <c r="BT78" i="6"/>
  <c r="BT131" i="6" s="1"/>
  <c r="BT170" i="6" s="1"/>
  <c r="BS78" i="6"/>
  <c r="BS131" i="6"/>
  <c r="BR78" i="6"/>
  <c r="BQ78" i="6"/>
  <c r="BP78" i="6"/>
  <c r="BP131" i="6"/>
  <c r="BU138" i="6"/>
  <c r="BO78" i="6"/>
  <c r="BO131" i="6" s="1"/>
  <c r="BN78" i="6"/>
  <c r="BN131" i="6"/>
  <c r="BM78" i="6"/>
  <c r="BL78" i="6"/>
  <c r="BK78" i="6"/>
  <c r="BK131" i="6"/>
  <c r="BK170" i="6"/>
  <c r="BJ78" i="6"/>
  <c r="BJ131" i="6" s="1"/>
  <c r="BI78" i="6"/>
  <c r="BI131" i="6"/>
  <c r="BI170" i="6"/>
  <c r="BH78" i="6"/>
  <c r="BU77" i="6"/>
  <c r="BU130" i="6"/>
  <c r="BT77" i="6"/>
  <c r="BT130" i="6"/>
  <c r="BT169" i="6" s="1"/>
  <c r="BS77" i="6"/>
  <c r="BS130" i="6"/>
  <c r="BS169" i="6"/>
  <c r="BR77" i="6"/>
  <c r="BR130" i="6" s="1"/>
  <c r="BR169" i="6" s="1"/>
  <c r="BQ77" i="6"/>
  <c r="BP77" i="6"/>
  <c r="BP130" i="6" s="1"/>
  <c r="BO77" i="6"/>
  <c r="BO130" i="6" s="1"/>
  <c r="BN77" i="6"/>
  <c r="BN130" i="6" s="1"/>
  <c r="BM77" i="6"/>
  <c r="BM130" i="6" s="1"/>
  <c r="BM169" i="6" s="1"/>
  <c r="BL77" i="6"/>
  <c r="BK77" i="6"/>
  <c r="BK130" i="6" s="1"/>
  <c r="BJ77" i="6"/>
  <c r="BJ130" i="6" s="1"/>
  <c r="BI77" i="6"/>
  <c r="BI130" i="6"/>
  <c r="BI169" i="6" s="1"/>
  <c r="BI212" i="6" s="1"/>
  <c r="BH77" i="6"/>
  <c r="BH130" i="6" s="1"/>
  <c r="BH169" i="6" s="1"/>
  <c r="CT63" i="6"/>
  <c r="CS63" i="6"/>
  <c r="CR63" i="6"/>
  <c r="CQ63" i="6"/>
  <c r="CO63" i="6"/>
  <c r="CN63" i="6"/>
  <c r="CM63" i="6"/>
  <c r="CL63" i="6"/>
  <c r="CJ63" i="6"/>
  <c r="CI63" i="6"/>
  <c r="CH63" i="6"/>
  <c r="CG63" i="6"/>
  <c r="CE63" i="6"/>
  <c r="CD63" i="6"/>
  <c r="CC63" i="6"/>
  <c r="CB63" i="6"/>
  <c r="BV63" i="6"/>
  <c r="BQ63" i="6"/>
  <c r="BL63" i="6"/>
  <c r="BB61" i="6"/>
  <c r="CX60" i="6"/>
  <c r="CX223" i="6" s="1"/>
  <c r="CW60" i="6"/>
  <c r="CV60" i="6"/>
  <c r="CV223" i="6" s="1"/>
  <c r="CT60" i="6"/>
  <c r="CS60" i="6"/>
  <c r="CS223" i="6" s="1"/>
  <c r="CR60" i="6"/>
  <c r="CQ60" i="6"/>
  <c r="CO60" i="6"/>
  <c r="CO223" i="6" s="1"/>
  <c r="CN60" i="6"/>
  <c r="CN223" i="6" s="1"/>
  <c r="CM60" i="6"/>
  <c r="CL60" i="6"/>
  <c r="CJ60" i="6"/>
  <c r="CJ223" i="6" s="1"/>
  <c r="CI60" i="6"/>
  <c r="CH60" i="6"/>
  <c r="CG60" i="6"/>
  <c r="CG223" i="6" s="1"/>
  <c r="CE60" i="6"/>
  <c r="CD60" i="6"/>
  <c r="CC60" i="6"/>
  <c r="CC223" i="6" s="1"/>
  <c r="CB60" i="6"/>
  <c r="CB223" i="6" s="1"/>
  <c r="BZ60" i="6"/>
  <c r="BY60" i="6"/>
  <c r="BY223" i="6" s="1"/>
  <c r="BX60" i="6"/>
  <c r="BX223" i="6" s="1"/>
  <c r="BW60" i="6"/>
  <c r="BU60" i="6"/>
  <c r="BT60" i="6"/>
  <c r="BS60" i="6"/>
  <c r="BR60" i="6"/>
  <c r="BR223" i="6" s="1"/>
  <c r="BP60" i="6"/>
  <c r="BP223" i="6" s="1"/>
  <c r="BO60" i="6"/>
  <c r="BN60" i="6"/>
  <c r="BM60" i="6"/>
  <c r="BK60" i="6"/>
  <c r="BJ60" i="6"/>
  <c r="BI60" i="6"/>
  <c r="BI24" i="6"/>
  <c r="BH60" i="6"/>
  <c r="CX55" i="6"/>
  <c r="DC56" i="6" s="1"/>
  <c r="CW55" i="6"/>
  <c r="DB56" i="6" s="1"/>
  <c r="CV55" i="6"/>
  <c r="DA56" i="6" s="1"/>
  <c r="BH55" i="6"/>
  <c r="BF55" i="6"/>
  <c r="BE55" i="6"/>
  <c r="BD55" i="6"/>
  <c r="BD61" i="6" s="1"/>
  <c r="BC55" i="6"/>
  <c r="BA55" i="6"/>
  <c r="AZ55" i="6"/>
  <c r="CX51" i="6"/>
  <c r="CW51" i="6"/>
  <c r="CV51" i="6"/>
  <c r="CQ51" i="6"/>
  <c r="CO51" i="6"/>
  <c r="CN51" i="6"/>
  <c r="CM51" i="6"/>
  <c r="CH51" i="6"/>
  <c r="CC51" i="6"/>
  <c r="CB51" i="6"/>
  <c r="BY51" i="6"/>
  <c r="BX51" i="6"/>
  <c r="BW51" i="6"/>
  <c r="BU51" i="6"/>
  <c r="BT51" i="6"/>
  <c r="BS51" i="6"/>
  <c r="BR51" i="6"/>
  <c r="BP51" i="6"/>
  <c r="BO51" i="6"/>
  <c r="BN51" i="6"/>
  <c r="BM51" i="6"/>
  <c r="BY50" i="6"/>
  <c r="BX50" i="6"/>
  <c r="BW50" i="6"/>
  <c r="BU50" i="6"/>
  <c r="BK50" i="6"/>
  <c r="BJ50" i="6"/>
  <c r="BI50" i="6"/>
  <c r="BH50" i="6"/>
  <c r="CT49" i="6"/>
  <c r="CS49" i="6"/>
  <c r="CS51" i="6" s="1"/>
  <c r="CR49" i="6"/>
  <c r="CR51" i="6" s="1"/>
  <c r="CP46" i="6"/>
  <c r="CL49" i="6"/>
  <c r="CJ49" i="6"/>
  <c r="CI49" i="6"/>
  <c r="CG49" i="6"/>
  <c r="CG51" i="6" s="1"/>
  <c r="CE49" i="6"/>
  <c r="CD49" i="6"/>
  <c r="CD51" i="6" s="1"/>
  <c r="BZ49" i="6"/>
  <c r="BZ51" i="6" s="1"/>
  <c r="BV49" i="6"/>
  <c r="BV46" i="6"/>
  <c r="BQ49" i="6"/>
  <c r="BQ46" i="6"/>
  <c r="BL49" i="6"/>
  <c r="BG49" i="6"/>
  <c r="BB49" i="6"/>
  <c r="AW49" i="6"/>
  <c r="AR49" i="6"/>
  <c r="AM49" i="6"/>
  <c r="AH49" i="6"/>
  <c r="AC49" i="6"/>
  <c r="X49" i="6"/>
  <c r="S49" i="6"/>
  <c r="N49" i="6"/>
  <c r="I49" i="6"/>
  <c r="CX48" i="6"/>
  <c r="CW48" i="6"/>
  <c r="CV48" i="6"/>
  <c r="CT48" i="6"/>
  <c r="CS48" i="6"/>
  <c r="CR48" i="6"/>
  <c r="CQ48" i="6"/>
  <c r="CX47" i="6"/>
  <c r="CW47" i="6"/>
  <c r="CV47" i="6"/>
  <c r="CT47" i="6"/>
  <c r="CS47" i="6"/>
  <c r="CR47" i="6"/>
  <c r="CQ47" i="6"/>
  <c r="CO48" i="6"/>
  <c r="CN48" i="6"/>
  <c r="CM48" i="6"/>
  <c r="CL48" i="6"/>
  <c r="CJ48" i="6"/>
  <c r="CI48" i="6"/>
  <c r="CH48" i="6"/>
  <c r="CG48" i="6"/>
  <c r="CE48" i="6"/>
  <c r="CD48" i="6"/>
  <c r="CC48" i="6"/>
  <c r="CB48" i="6"/>
  <c r="BZ48" i="6"/>
  <c r="BY48" i="6"/>
  <c r="BX48" i="6"/>
  <c r="BW48" i="6"/>
  <c r="CO47" i="6"/>
  <c r="CN47" i="6"/>
  <c r="CM47" i="6"/>
  <c r="CL47" i="6"/>
  <c r="CJ47" i="6"/>
  <c r="CI47" i="6"/>
  <c r="CH47" i="6"/>
  <c r="CG47" i="6"/>
  <c r="CE47" i="6"/>
  <c r="CD47" i="6"/>
  <c r="CC47" i="6"/>
  <c r="CB47" i="6"/>
  <c r="BZ47" i="6"/>
  <c r="BY47" i="6"/>
  <c r="BX47" i="6"/>
  <c r="BW47" i="6"/>
  <c r="BU48" i="6"/>
  <c r="BT48" i="6"/>
  <c r="BS48" i="6"/>
  <c r="BR48" i="6"/>
  <c r="BU47" i="6"/>
  <c r="BT47" i="6"/>
  <c r="BS47" i="6"/>
  <c r="BR47" i="6"/>
  <c r="BP48" i="6"/>
  <c r="BO48" i="6"/>
  <c r="BN48" i="6"/>
  <c r="BM48" i="6"/>
  <c r="BP47" i="6"/>
  <c r="BO47" i="6"/>
  <c r="BN47" i="6"/>
  <c r="BM47" i="6"/>
  <c r="BK47" i="6"/>
  <c r="BJ47" i="6"/>
  <c r="BI47" i="6"/>
  <c r="BH47" i="6"/>
  <c r="CU46" i="6"/>
  <c r="CK46" i="6"/>
  <c r="CF46" i="6"/>
  <c r="CA46" i="6"/>
  <c r="BL46" i="6"/>
  <c r="BL60" i="6" s="1"/>
  <c r="BG46" i="6"/>
  <c r="BB46" i="6"/>
  <c r="AW46" i="6"/>
  <c r="AR46" i="6"/>
  <c r="AM46" i="6"/>
  <c r="X46" i="6"/>
  <c r="S46" i="6"/>
  <c r="N46" i="6"/>
  <c r="I46" i="6"/>
  <c r="CX44" i="6"/>
  <c r="CW44" i="6"/>
  <c r="CV44" i="6"/>
  <c r="CT44" i="6"/>
  <c r="CS44" i="6"/>
  <c r="CR44" i="6"/>
  <c r="CQ44" i="6"/>
  <c r="CO44" i="6"/>
  <c r="CN44" i="6"/>
  <c r="CM44" i="6"/>
  <c r="CL44" i="6"/>
  <c r="CJ44" i="6"/>
  <c r="CI44" i="6"/>
  <c r="CH44" i="6"/>
  <c r="CG44" i="6"/>
  <c r="CE44" i="6"/>
  <c r="CD44" i="6"/>
  <c r="CC44" i="6"/>
  <c r="CB44" i="6"/>
  <c r="BZ44" i="6"/>
  <c r="BY44" i="6"/>
  <c r="BX44" i="6"/>
  <c r="BW44" i="6"/>
  <c r="BU44" i="6"/>
  <c r="BT44" i="6"/>
  <c r="BS44" i="6"/>
  <c r="BR44" i="6"/>
  <c r="BP44" i="6"/>
  <c r="BO44" i="6"/>
  <c r="BN44" i="6"/>
  <c r="BM44" i="6"/>
  <c r="CX42" i="6"/>
  <c r="CW42" i="6"/>
  <c r="DB43" i="6" s="1"/>
  <c r="CV42" i="6"/>
  <c r="DA43" i="6" s="1"/>
  <c r="BH42" i="6"/>
  <c r="BF42" i="6"/>
  <c r="BE42" i="6"/>
  <c r="BD42" i="6"/>
  <c r="BC42" i="6"/>
  <c r="BA42" i="6"/>
  <c r="AZ42" i="6"/>
  <c r="CX41" i="6"/>
  <c r="CW41" i="6"/>
  <c r="CV41" i="6"/>
  <c r="CU40" i="6"/>
  <c r="CP40" i="6"/>
  <c r="CK40" i="6"/>
  <c r="CF40" i="6"/>
  <c r="CA40" i="6"/>
  <c r="BV40" i="6"/>
  <c r="BQ40" i="6"/>
  <c r="BL40" i="6"/>
  <c r="BG40" i="6"/>
  <c r="BB40" i="6"/>
  <c r="BB55" i="6" s="1"/>
  <c r="AW40" i="6"/>
  <c r="AR40" i="6"/>
  <c r="AM40" i="6"/>
  <c r="AH40" i="6"/>
  <c r="AC40" i="6"/>
  <c r="X40" i="6"/>
  <c r="S40" i="6"/>
  <c r="N40" i="6"/>
  <c r="I40" i="6"/>
  <c r="BK36" i="6"/>
  <c r="BJ36" i="6"/>
  <c r="BI36" i="6"/>
  <c r="BH36" i="6"/>
  <c r="BZ36" i="6"/>
  <c r="M131" i="9" s="1"/>
  <c r="BL34" i="6"/>
  <c r="BL50" i="6" s="1"/>
  <c r="BB35" i="6"/>
  <c r="AW35" i="6"/>
  <c r="AR35" i="6"/>
  <c r="AM35" i="6"/>
  <c r="AH35" i="6"/>
  <c r="AC35" i="6"/>
  <c r="X35" i="6"/>
  <c r="N35" i="6"/>
  <c r="I35" i="6"/>
  <c r="CX34" i="6"/>
  <c r="CW34" i="6"/>
  <c r="CV34" i="6"/>
  <c r="CT34" i="6"/>
  <c r="CS34" i="6"/>
  <c r="CS50" i="6"/>
  <c r="CR34" i="6"/>
  <c r="CQ34" i="6"/>
  <c r="CO34" i="6"/>
  <c r="CN34" i="6"/>
  <c r="CN50" i="6" s="1"/>
  <c r="CM34" i="6"/>
  <c r="CL34" i="6"/>
  <c r="CJ34" i="6"/>
  <c r="CI34" i="6"/>
  <c r="CH34" i="6"/>
  <c r="CG34" i="6"/>
  <c r="CE34" i="6"/>
  <c r="CD34" i="6"/>
  <c r="CC34" i="6"/>
  <c r="CC50" i="6" s="1"/>
  <c r="CB34" i="6"/>
  <c r="CB50" i="6"/>
  <c r="BT34" i="6"/>
  <c r="BS34" i="6"/>
  <c r="BR34" i="6"/>
  <c r="BR50" i="6" s="1"/>
  <c r="BP34" i="6"/>
  <c r="BP24" i="6" s="1"/>
  <c r="BO34" i="6"/>
  <c r="BN34" i="6"/>
  <c r="BN36" i="6" s="1"/>
  <c r="BM34" i="6"/>
  <c r="BM35" i="6" s="1"/>
  <c r="CU32" i="6"/>
  <c r="CK32" i="6"/>
  <c r="CF32" i="6"/>
  <c r="CA32" i="6"/>
  <c r="BF32" i="6"/>
  <c r="BF29" i="6" s="1"/>
  <c r="BF30" i="6" s="1"/>
  <c r="BE32" i="6"/>
  <c r="BE29" i="6" s="1"/>
  <c r="BE30" i="6" s="1"/>
  <c r="BD32" i="6"/>
  <c r="BC32" i="6"/>
  <c r="AW29" i="6"/>
  <c r="AW30" i="6"/>
  <c r="AR29" i="6"/>
  <c r="AR30" i="6" s="1"/>
  <c r="AM29" i="6"/>
  <c r="AM30" i="6"/>
  <c r="AH29" i="6"/>
  <c r="AH30" i="6" s="1"/>
  <c r="AC29" i="6"/>
  <c r="AC30" i="6" s="1"/>
  <c r="X29" i="6"/>
  <c r="X30" i="6" s="1"/>
  <c r="S29" i="6"/>
  <c r="N29" i="6"/>
  <c r="N30" i="6" s="1"/>
  <c r="I29" i="6"/>
  <c r="I30" i="6" s="1"/>
  <c r="CV29" i="6"/>
  <c r="CV297" i="6"/>
  <c r="CR29" i="6"/>
  <c r="CR297" i="6" s="1"/>
  <c r="CG29" i="6"/>
  <c r="CG297" i="6"/>
  <c r="BZ29" i="6"/>
  <c r="BZ297" i="6" s="1"/>
  <c r="BZ298" i="6" s="1"/>
  <c r="BY29" i="6"/>
  <c r="BY297" i="6"/>
  <c r="BX29" i="6"/>
  <c r="BW29" i="6"/>
  <c r="BW297" i="6" s="1"/>
  <c r="BU29" i="6"/>
  <c r="BU297" i="6" s="1"/>
  <c r="BL29" i="6"/>
  <c r="BL297" i="6"/>
  <c r="BL296" i="6" s="1"/>
  <c r="BK29" i="6"/>
  <c r="BJ29" i="6"/>
  <c r="BI29" i="6"/>
  <c r="BH29" i="6"/>
  <c r="BH30" i="6" s="1"/>
  <c r="BG29" i="6"/>
  <c r="BC29" i="6"/>
  <c r="BC30" i="6" s="1"/>
  <c r="BB29" i="6"/>
  <c r="BB30" i="6"/>
  <c r="CX26" i="6"/>
  <c r="CW26" i="6"/>
  <c r="CV26" i="6"/>
  <c r="CV258" i="6"/>
  <c r="AI121" i="9" s="1"/>
  <c r="CT26" i="6"/>
  <c r="CS26" i="6"/>
  <c r="CR26" i="6"/>
  <c r="CQ26" i="6"/>
  <c r="CO26" i="6"/>
  <c r="CN26" i="6"/>
  <c r="CN258" i="6"/>
  <c r="AA121" i="9" s="1"/>
  <c r="CM26" i="6"/>
  <c r="CJ26" i="6"/>
  <c r="CJ257" i="6"/>
  <c r="CI26" i="6"/>
  <c r="CH26" i="6"/>
  <c r="CG26" i="6"/>
  <c r="CE26" i="6"/>
  <c r="CD26" i="6"/>
  <c r="CC26" i="6"/>
  <c r="CC257" i="6"/>
  <c r="CB26" i="6"/>
  <c r="BV26" i="6"/>
  <c r="BQ26" i="6"/>
  <c r="BL26" i="6"/>
  <c r="BL258" i="6" s="1"/>
  <c r="CX25" i="6"/>
  <c r="CW25" i="6"/>
  <c r="CV25" i="6"/>
  <c r="BZ24" i="6"/>
  <c r="BY24" i="6"/>
  <c r="BX24" i="6"/>
  <c r="BX242" i="6" s="1"/>
  <c r="BW24" i="6"/>
  <c r="BW63" i="6" s="1"/>
  <c r="BU24" i="6"/>
  <c r="BU26" i="6" s="1"/>
  <c r="BG24" i="6"/>
  <c r="BG242" i="6" s="1"/>
  <c r="BF24" i="6"/>
  <c r="BE24" i="6"/>
  <c r="BE256" i="6" s="1"/>
  <c r="BD24" i="6"/>
  <c r="BD25" i="6" s="1"/>
  <c r="BC24" i="6"/>
  <c r="BC26" i="6" s="1"/>
  <c r="BC105" i="2" s="1"/>
  <c r="BB24" i="6"/>
  <c r="BB25" i="6" s="1"/>
  <c r="BQ23" i="6"/>
  <c r="BL23" i="6"/>
  <c r="CX20" i="6"/>
  <c r="CX222" i="6" s="1"/>
  <c r="CW20" i="6"/>
  <c r="CW222" i="6"/>
  <c r="CV20" i="6"/>
  <c r="BH20" i="6"/>
  <c r="BH222" i="6" s="1"/>
  <c r="CU19" i="6"/>
  <c r="CP19" i="6"/>
  <c r="CP47" i="6" s="1"/>
  <c r="CK19" i="6"/>
  <c r="CF19" i="6"/>
  <c r="CF60" i="6" s="1"/>
  <c r="CA19" i="6"/>
  <c r="BV19" i="6"/>
  <c r="BQ19" i="6"/>
  <c r="CX17" i="6"/>
  <c r="CX189" i="3"/>
  <c r="CX190" i="3" s="1"/>
  <c r="CW17" i="6"/>
  <c r="CW189" i="3"/>
  <c r="CW190" i="3" s="1"/>
  <c r="CV17" i="6"/>
  <c r="CV189" i="3"/>
  <c r="CV190" i="3" s="1"/>
  <c r="BF17" i="6"/>
  <c r="BF189" i="3" s="1"/>
  <c r="BF190" i="3" s="1"/>
  <c r="BE17" i="6"/>
  <c r="BE189" i="3" s="1"/>
  <c r="BE190" i="3" s="1"/>
  <c r="BD17" i="6"/>
  <c r="BD189" i="3"/>
  <c r="BD190" i="3" s="1"/>
  <c r="BC17" i="6"/>
  <c r="BC189" i="3" s="1"/>
  <c r="BC190" i="3" s="1"/>
  <c r="BB17" i="6"/>
  <c r="BH15" i="6"/>
  <c r="BF15" i="6"/>
  <c r="BE15" i="6"/>
  <c r="BD15" i="6"/>
  <c r="BC15" i="6"/>
  <c r="BB15" i="6"/>
  <c r="BA15" i="6"/>
  <c r="AZ15" i="6"/>
  <c r="AY15" i="6"/>
  <c r="AX15" i="6"/>
  <c r="AW15" i="6"/>
  <c r="AV15" i="6"/>
  <c r="AU15" i="6"/>
  <c r="AT15" i="6"/>
  <c r="AS15" i="6"/>
  <c r="AR15" i="6"/>
  <c r="AQ15" i="6"/>
  <c r="AP15" i="6"/>
  <c r="AO15" i="6"/>
  <c r="AN15" i="6"/>
  <c r="AM15" i="6"/>
  <c r="AL15" i="6"/>
  <c r="AK15" i="6"/>
  <c r="AJ15" i="6"/>
  <c r="AI15" i="6"/>
  <c r="AH15" i="6"/>
  <c r="AG15" i="6"/>
  <c r="AF15" i="6"/>
  <c r="AE15" i="6"/>
  <c r="AD15" i="6"/>
  <c r="AC15" i="6"/>
  <c r="AB15" i="6"/>
  <c r="AA15" i="6"/>
  <c r="Z15" i="6"/>
  <c r="Y15" i="6"/>
  <c r="W15" i="6"/>
  <c r="V15" i="6"/>
  <c r="U15" i="6"/>
  <c r="T15" i="6"/>
  <c r="CT14" i="6"/>
  <c r="CT17" i="6" s="1"/>
  <c r="CS14" i="6"/>
  <c r="CS17" i="6" s="1"/>
  <c r="CS189" i="3" s="1"/>
  <c r="CS190" i="3" s="1"/>
  <c r="CR14" i="6"/>
  <c r="CQ14" i="6"/>
  <c r="CQ143" i="6" s="1"/>
  <c r="CO14" i="6"/>
  <c r="CN14" i="6"/>
  <c r="CN41" i="6"/>
  <c r="CM14" i="6"/>
  <c r="CL14" i="6"/>
  <c r="CL25" i="6"/>
  <c r="CJ14" i="6"/>
  <c r="CJ27" i="6" s="1"/>
  <c r="CI14" i="6"/>
  <c r="CI20" i="6"/>
  <c r="V127" i="9" s="1"/>
  <c r="CH14" i="6"/>
  <c r="CH25" i="6" s="1"/>
  <c r="CG14" i="6"/>
  <c r="CE14" i="6"/>
  <c r="CD14" i="6"/>
  <c r="CD124" i="6" s="1"/>
  <c r="CC14" i="6"/>
  <c r="CB14" i="6"/>
  <c r="CB243" i="6"/>
  <c r="BZ14" i="6"/>
  <c r="BZ25" i="6" s="1"/>
  <c r="BY14" i="6"/>
  <c r="BY55" i="6"/>
  <c r="BX14" i="6"/>
  <c r="BW14" i="6"/>
  <c r="BW42" i="6"/>
  <c r="BU14" i="6"/>
  <c r="BT14" i="6"/>
  <c r="BT20" i="6" s="1"/>
  <c r="BS14" i="6"/>
  <c r="BS55" i="6" s="1"/>
  <c r="BR14" i="6"/>
  <c r="BP14" i="6"/>
  <c r="BP20" i="6" s="1"/>
  <c r="BP222" i="6" s="1"/>
  <c r="BO14" i="6"/>
  <c r="BO20" i="6"/>
  <c r="BO222" i="6" s="1"/>
  <c r="BN14" i="6"/>
  <c r="BM14" i="6"/>
  <c r="BM124" i="6"/>
  <c r="BK14" i="6"/>
  <c r="BJ14" i="6"/>
  <c r="BJ30" i="6" s="1"/>
  <c r="BI14" i="6"/>
  <c r="BG13" i="6"/>
  <c r="BG12" i="6"/>
  <c r="BG11" i="6"/>
  <c r="S14" i="6"/>
  <c r="CP13" i="6"/>
  <c r="CP141" i="6" s="1"/>
  <c r="CP12" i="6"/>
  <c r="CP11" i="6"/>
  <c r="CK13" i="6"/>
  <c r="CK141" i="6" s="1"/>
  <c r="CK12" i="6"/>
  <c r="CK11" i="6"/>
  <c r="CF13" i="6"/>
  <c r="CF12" i="6"/>
  <c r="CF11" i="6"/>
  <c r="CF14" i="6" s="1"/>
  <c r="CA13" i="6"/>
  <c r="CA12" i="6"/>
  <c r="CA11" i="6"/>
  <c r="BV13" i="6"/>
  <c r="BV12" i="6"/>
  <c r="BV11" i="6"/>
  <c r="BQ13" i="6"/>
  <c r="BQ141" i="6" s="1"/>
  <c r="BQ12" i="6"/>
  <c r="BQ114" i="6"/>
  <c r="BQ11" i="6"/>
  <c r="BL13" i="6"/>
  <c r="BL12" i="6"/>
  <c r="BL11" i="6"/>
  <c r="BL132" i="6"/>
  <c r="CU13" i="6"/>
  <c r="CU141" i="6" s="1"/>
  <c r="CU142" i="6" s="1"/>
  <c r="CU12" i="6"/>
  <c r="CU11" i="6"/>
  <c r="CT10" i="6"/>
  <c r="CR10" i="6"/>
  <c r="CM10" i="6"/>
  <c r="CH10" i="6"/>
  <c r="CE10" i="6"/>
  <c r="BZ10" i="6"/>
  <c r="BT10" i="6"/>
  <c r="BS10" i="6"/>
  <c r="BR10" i="6"/>
  <c r="BP10" i="6"/>
  <c r="BO10" i="6"/>
  <c r="BN10" i="6"/>
  <c r="BM10" i="6"/>
  <c r="BK10" i="6"/>
  <c r="BJ10" i="6"/>
  <c r="BI10" i="6"/>
  <c r="BH10" i="6"/>
  <c r="DJ6" i="6"/>
  <c r="DI6" i="6"/>
  <c r="DH6" i="6"/>
  <c r="DG6" i="6"/>
  <c r="DF6" i="6"/>
  <c r="DE6" i="6"/>
  <c r="DD6" i="6"/>
  <c r="DC6" i="6"/>
  <c r="DB6" i="6"/>
  <c r="DA6" i="6"/>
  <c r="CZ6" i="6"/>
  <c r="CY6" i="6"/>
  <c r="CX6" i="6"/>
  <c r="CW6" i="6"/>
  <c r="CV6" i="6"/>
  <c r="CU6" i="6"/>
  <c r="CT6" i="6"/>
  <c r="CS6" i="6"/>
  <c r="CR6" i="6"/>
  <c r="CQ6" i="6"/>
  <c r="CP6" i="6"/>
  <c r="CO6" i="6"/>
  <c r="CN6" i="6"/>
  <c r="CM6" i="6"/>
  <c r="CL6" i="6"/>
  <c r="CK6" i="6"/>
  <c r="CJ6" i="6"/>
  <c r="CI6" i="6"/>
  <c r="CH6" i="6"/>
  <c r="CG6" i="6"/>
  <c r="CF6" i="6"/>
  <c r="CE6" i="6"/>
  <c r="CD6" i="6"/>
  <c r="CC6" i="6"/>
  <c r="CB6" i="6"/>
  <c r="CA6" i="6"/>
  <c r="BZ6" i="6"/>
  <c r="BY6" i="6"/>
  <c r="BX6" i="6"/>
  <c r="BW6" i="6"/>
  <c r="BV6" i="6"/>
  <c r="BU6" i="6"/>
  <c r="BT6" i="6"/>
  <c r="BS6" i="6"/>
  <c r="BR6" i="6"/>
  <c r="BQ6" i="6"/>
  <c r="BP6" i="6"/>
  <c r="BO6" i="6"/>
  <c r="BN6" i="6"/>
  <c r="BM6" i="6"/>
  <c r="BL6" i="6"/>
  <c r="BK6" i="6"/>
  <c r="BJ6" i="6"/>
  <c r="BI6" i="6"/>
  <c r="BH6" i="6"/>
  <c r="BG6" i="6"/>
  <c r="BF6" i="6"/>
  <c r="BE6" i="6"/>
  <c r="BD6" i="6"/>
  <c r="BC6" i="6"/>
  <c r="BB6" i="6"/>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F5" i="6"/>
  <c r="DA5" i="6"/>
  <c r="B2" i="6"/>
  <c r="T89" i="5"/>
  <c r="T87" i="5"/>
  <c r="T67" i="5"/>
  <c r="AJ65" i="5"/>
  <c r="AJ79" i="5" s="1"/>
  <c r="AI65" i="5"/>
  <c r="AI79" i="5" s="1"/>
  <c r="AH65" i="5"/>
  <c r="AH79" i="5" s="1"/>
  <c r="I65" i="5"/>
  <c r="I79" i="5" s="1"/>
  <c r="AJ63" i="5"/>
  <c r="AI63" i="5"/>
  <c r="AH63" i="5"/>
  <c r="Q61" i="5"/>
  <c r="P61" i="5"/>
  <c r="Q59" i="5"/>
  <c r="P59" i="5"/>
  <c r="U54" i="5"/>
  <c r="K54" i="5"/>
  <c r="K46" i="5"/>
  <c r="U43" i="5"/>
  <c r="U38" i="5"/>
  <c r="K38" i="5"/>
  <c r="V32" i="5"/>
  <c r="M28" i="5"/>
  <c r="M27" i="5"/>
  <c r="G29" i="5"/>
  <c r="F29" i="5"/>
  <c r="AE28" i="5"/>
  <c r="AB28" i="5"/>
  <c r="T28" i="5"/>
  <c r="J28" i="5"/>
  <c r="J26" i="5"/>
  <c r="W28" i="5"/>
  <c r="V28" i="5"/>
  <c r="W27" i="5"/>
  <c r="V27" i="5"/>
  <c r="W26" i="5"/>
  <c r="V26" i="5"/>
  <c r="G25" i="5"/>
  <c r="AK19" i="5"/>
  <c r="AK18" i="5"/>
  <c r="V24" i="5"/>
  <c r="G23" i="5"/>
  <c r="F23" i="5"/>
  <c r="V20" i="5"/>
  <c r="AJ19" i="5"/>
  <c r="AI19" i="5"/>
  <c r="I19" i="5"/>
  <c r="I25" i="5" s="1"/>
  <c r="G19" i="5"/>
  <c r="V8" i="5"/>
  <c r="V7" i="5"/>
  <c r="P7" i="5"/>
  <c r="P6" i="5"/>
  <c r="AD6" i="5"/>
  <c r="AA6" i="5"/>
  <c r="Z6" i="5"/>
  <c r="Y6" i="5"/>
  <c r="V6" i="5"/>
  <c r="V5" i="5"/>
  <c r="AV204" i="9"/>
  <c r="AU204" i="9"/>
  <c r="AZ168" i="9"/>
  <c r="AV200" i="9"/>
  <c r="AW256" i="3"/>
  <c r="AW257" i="3" s="1"/>
  <c r="BQ271" i="3"/>
  <c r="BQ272" i="3" s="1"/>
  <c r="BQ256" i="3"/>
  <c r="BQ257" i="3" s="1"/>
  <c r="AI27" i="9"/>
  <c r="AI28" i="9" s="1"/>
  <c r="DA23" i="7"/>
  <c r="CY173" i="7"/>
  <c r="CV37" i="7"/>
  <c r="AI29" i="9"/>
  <c r="DA38" i="7"/>
  <c r="DA174" i="7"/>
  <c r="N271" i="3"/>
  <c r="N272" i="3" s="1"/>
  <c r="AH271" i="3"/>
  <c r="AH272" i="3" s="1"/>
  <c r="BB271" i="3"/>
  <c r="BB272" i="3"/>
  <c r="BV271" i="3"/>
  <c r="DA173" i="7"/>
  <c r="DA27" i="7"/>
  <c r="CL31" i="7"/>
  <c r="CL32" i="7" s="1"/>
  <c r="N51" i="7"/>
  <c r="CW259" i="3"/>
  <c r="BG271" i="3"/>
  <c r="BG26" i="7"/>
  <c r="CG31" i="7"/>
  <c r="BL64" i="7"/>
  <c r="BL91" i="7" s="1"/>
  <c r="CL183" i="7"/>
  <c r="CL188" i="7"/>
  <c r="X271" i="3"/>
  <c r="X272" i="3" s="1"/>
  <c r="AR271" i="3"/>
  <c r="AR272" i="3" s="1"/>
  <c r="BL271" i="3"/>
  <c r="CX27" i="7"/>
  <c r="CY38" i="7"/>
  <c r="AL31" i="9"/>
  <c r="BO47" i="7"/>
  <c r="CP49" i="7"/>
  <c r="CK82" i="7"/>
  <c r="BM64" i="7"/>
  <c r="BM91" i="7"/>
  <c r="CT183" i="7"/>
  <c r="CT188" i="7"/>
  <c r="N259" i="3"/>
  <c r="BS73" i="7"/>
  <c r="BS96" i="7" s="1"/>
  <c r="AT167" i="9"/>
  <c r="AY204" i="9"/>
  <c r="AY168" i="9"/>
  <c r="AY163" i="9"/>
  <c r="X181" i="7"/>
  <c r="X184" i="7"/>
  <c r="G61" i="9"/>
  <c r="CT27" i="7"/>
  <c r="AM20" i="7"/>
  <c r="AM21" i="7" s="1"/>
  <c r="AW20" i="7"/>
  <c r="AW21" i="7" s="1"/>
  <c r="Y28" i="9"/>
  <c r="BH25" i="7"/>
  <c r="R30" i="9"/>
  <c r="J61" i="9"/>
  <c r="P38" i="7"/>
  <c r="AT49" i="7"/>
  <c r="BN138" i="7"/>
  <c r="I30" i="9"/>
  <c r="M37" i="7"/>
  <c r="CO51" i="7"/>
  <c r="CK65" i="7"/>
  <c r="M38" i="7"/>
  <c r="BE47" i="7"/>
  <c r="CF49" i="7"/>
  <c r="BN64" i="7"/>
  <c r="BN91" i="7"/>
  <c r="AB67" i="5"/>
  <c r="BX297" i="6"/>
  <c r="AE67" i="5"/>
  <c r="BW10" i="6"/>
  <c r="BJ113" i="6"/>
  <c r="BJ159" i="6" s="1"/>
  <c r="BJ207" i="6" s="1"/>
  <c r="BV245" i="6"/>
  <c r="F163" i="9"/>
  <c r="O163" i="9"/>
  <c r="R167" i="9"/>
  <c r="AB167" i="9"/>
  <c r="CL94" i="6"/>
  <c r="BW94" i="6"/>
  <c r="CX58" i="6"/>
  <c r="BW131" i="6"/>
  <c r="CH94" i="6"/>
  <c r="CE29" i="6"/>
  <c r="CF48" i="6"/>
  <c r="CP89" i="6"/>
  <c r="CG125" i="6"/>
  <c r="CQ94" i="6"/>
  <c r="BQ44" i="6"/>
  <c r="BH131" i="6"/>
  <c r="BH170" i="6" s="1"/>
  <c r="BP82" i="6"/>
  <c r="BZ94" i="6"/>
  <c r="CM125" i="6"/>
  <c r="CT36" i="6"/>
  <c r="AE24" i="5" s="1"/>
  <c r="CN67" i="6"/>
  <c r="CM94" i="6"/>
  <c r="BY99" i="6"/>
  <c r="CH99" i="6"/>
  <c r="CE125" i="6"/>
  <c r="BZ131" i="6"/>
  <c r="BH180" i="6"/>
  <c r="CX321" i="6"/>
  <c r="CJ94" i="6"/>
  <c r="CB99" i="6"/>
  <c r="CB125" i="6"/>
  <c r="CS327" i="6"/>
  <c r="AJ127" i="9"/>
  <c r="CB94" i="6"/>
  <c r="CG94" i="6"/>
  <c r="CV94" i="6"/>
  <c r="CR125" i="6"/>
  <c r="CH131" i="6"/>
  <c r="AH441" i="6"/>
  <c r="AK127" i="9"/>
  <c r="CW35" i="6"/>
  <c r="AJ129" i="9" s="1"/>
  <c r="BX94" i="6"/>
  <c r="CP99" i="6"/>
  <c r="T68" i="5"/>
  <c r="BX99" i="6"/>
  <c r="CI125" i="6"/>
  <c r="AH432" i="6"/>
  <c r="CQ300" i="6"/>
  <c r="CM300" i="6"/>
  <c r="CS300" i="6"/>
  <c r="CX300" i="6"/>
  <c r="BY17" i="6"/>
  <c r="BY189" i="3" s="1"/>
  <c r="BY190" i="3" s="1"/>
  <c r="CV222" i="6"/>
  <c r="AI127" i="9"/>
  <c r="CR50" i="6"/>
  <c r="CV61" i="6"/>
  <c r="CV224" i="6" s="1"/>
  <c r="E109" i="9"/>
  <c r="E177" i="9"/>
  <c r="T109" i="9"/>
  <c r="T177" i="9"/>
  <c r="T159" i="9" s="1"/>
  <c r="Y109" i="9"/>
  <c r="AD177" i="9"/>
  <c r="AD109" i="9"/>
  <c r="T158" i="9"/>
  <c r="BR131" i="6"/>
  <c r="CS301" i="6"/>
  <c r="CS296" i="6"/>
  <c r="K108" i="9"/>
  <c r="W108" i="9"/>
  <c r="H109" i="9"/>
  <c r="V109" i="9"/>
  <c r="BZ17" i="6"/>
  <c r="BZ189" i="3" s="1"/>
  <c r="BZ190" i="3" s="1"/>
  <c r="CT189" i="3"/>
  <c r="CT190" i="3" s="1"/>
  <c r="P109" i="9"/>
  <c r="P177" i="9"/>
  <c r="P159" i="9" s="1"/>
  <c r="CW245" i="6"/>
  <c r="CX296" i="6"/>
  <c r="T108" i="9"/>
  <c r="AB108" i="9"/>
  <c r="J109" i="9"/>
  <c r="W109" i="9"/>
  <c r="CT15" i="6"/>
  <c r="AG126" i="9" s="1"/>
  <c r="CC17" i="6"/>
  <c r="CC189" i="3" s="1"/>
  <c r="CC190" i="3" s="1"/>
  <c r="CV35" i="6"/>
  <c r="AI129" i="9" s="1"/>
  <c r="BD58" i="6"/>
  <c r="AF109" i="9"/>
  <c r="V194" i="9"/>
  <c r="CL301" i="6"/>
  <c r="M108" i="9"/>
  <c r="Q108" i="9"/>
  <c r="Y108" i="9"/>
  <c r="BE26" i="6"/>
  <c r="CH61" i="6"/>
  <c r="CH224" i="6" s="1"/>
  <c r="M109" i="9"/>
  <c r="M177" i="9"/>
  <c r="CW301" i="6"/>
  <c r="BU296" i="6"/>
  <c r="J108" i="9"/>
  <c r="R108" i="9"/>
  <c r="V108" i="9"/>
  <c r="Z108" i="9"/>
  <c r="AA109" i="9"/>
  <c r="CR74" i="7"/>
  <c r="T65" i="9"/>
  <c r="AS168" i="9"/>
  <c r="AN204" i="9"/>
  <c r="AO204" i="9"/>
  <c r="BR10" i="8"/>
  <c r="CB89" i="8"/>
  <c r="BV100" i="8"/>
  <c r="CE75" i="8"/>
  <c r="BV81" i="8"/>
  <c r="CB103" i="8"/>
  <c r="CC112" i="8"/>
  <c r="BV136" i="8"/>
  <c r="BV133" i="8"/>
  <c r="CC121" i="8"/>
  <c r="CP438" i="8"/>
  <c r="BQ110" i="8"/>
  <c r="BQ114" i="8"/>
  <c r="CA122" i="8"/>
  <c r="CC134" i="8"/>
  <c r="CA155" i="8"/>
  <c r="CA166" i="8"/>
  <c r="BQ188" i="8"/>
  <c r="CB169" i="8"/>
  <c r="CS207" i="8"/>
  <c r="BV158" i="8"/>
  <c r="CR185" i="8"/>
  <c r="CA199" i="8"/>
  <c r="CA202" i="8"/>
  <c r="CS246" i="8"/>
  <c r="CU246" i="8"/>
  <c r="CD242" i="8"/>
  <c r="CD244" i="8"/>
  <c r="CD246" i="8"/>
  <c r="CQ187" i="8"/>
  <c r="CQ189" i="8"/>
  <c r="CB202" i="8"/>
  <c r="CI251" i="8"/>
  <c r="BQ199" i="8"/>
  <c r="CW229" i="8"/>
  <c r="CX229" i="8"/>
  <c r="CY229" i="8"/>
  <c r="CB235" i="8"/>
  <c r="CC233" i="8"/>
  <c r="CC231" i="8"/>
  <c r="CC242" i="8"/>
  <c r="CC246" i="8"/>
  <c r="CB243" i="8"/>
  <c r="BQ257" i="8"/>
  <c r="BQ254" i="8"/>
  <c r="BV257" i="8"/>
  <c r="BQ246" i="8"/>
  <c r="BQ243" i="8"/>
  <c r="CA257" i="8"/>
  <c r="CS235" i="8"/>
  <c r="CU235" i="8"/>
  <c r="CB257" i="8"/>
  <c r="CC209" i="8"/>
  <c r="CC211" i="8"/>
  <c r="CC222" i="8"/>
  <c r="BV243" i="8"/>
  <c r="CC264" i="8"/>
  <c r="BV265" i="8"/>
  <c r="BV279" i="8"/>
  <c r="CA287" i="8"/>
  <c r="CL323" i="8"/>
  <c r="BQ290" i="8"/>
  <c r="BQ287" i="8"/>
  <c r="CD334" i="8"/>
  <c r="CE332" i="8"/>
  <c r="CI306" i="8"/>
  <c r="BQ298" i="8"/>
  <c r="CM317" i="8"/>
  <c r="CC331" i="8"/>
  <c r="DE341" i="8"/>
  <c r="DE343" i="8"/>
  <c r="DA341" i="8"/>
  <c r="DA343" i="8"/>
  <c r="CV400" i="8"/>
  <c r="DB339" i="8"/>
  <c r="DA350" i="8"/>
  <c r="DA394" i="8"/>
  <c r="BV408" i="8"/>
  <c r="CB411" i="8"/>
  <c r="CA422" i="8"/>
  <c r="BV430" i="8"/>
  <c r="BZ167" i="7"/>
  <c r="BZ153" i="7"/>
  <c r="BZ141" i="7" s="1"/>
  <c r="BZ93" i="7"/>
  <c r="BZ118" i="7"/>
  <c r="CP14" i="7"/>
  <c r="BX154" i="7"/>
  <c r="BX142" i="7" s="1"/>
  <c r="BX168" i="7"/>
  <c r="S24" i="7"/>
  <c r="AO25" i="7"/>
  <c r="AY25" i="7"/>
  <c r="BD25" i="7"/>
  <c r="BE25" i="7"/>
  <c r="BW25" i="7"/>
  <c r="CR173" i="7"/>
  <c r="BS153" i="7"/>
  <c r="BS141" i="7" s="1"/>
  <c r="CE167" i="7"/>
  <c r="CE153" i="7"/>
  <c r="CE141" i="7"/>
  <c r="CE93" i="7"/>
  <c r="CE118" i="7"/>
  <c r="CM93" i="7"/>
  <c r="CQ93" i="7"/>
  <c r="BQ127" i="7"/>
  <c r="CG154" i="7"/>
  <c r="CG142" i="7" s="1"/>
  <c r="N93" i="7"/>
  <c r="N108" i="7"/>
  <c r="X210" i="7"/>
  <c r="X93" i="7"/>
  <c r="AH210" i="7"/>
  <c r="AH153" i="7"/>
  <c r="AH141" i="7" s="1"/>
  <c r="AH137" i="7" s="1"/>
  <c r="AH93" i="7"/>
  <c r="AH118" i="7"/>
  <c r="AR153" i="7"/>
  <c r="AR141" i="7" s="1"/>
  <c r="AR137" i="7" s="1"/>
  <c r="BB210" i="7"/>
  <c r="BB153" i="7"/>
  <c r="BB141" i="7" s="1"/>
  <c r="BB137" i="7" s="1"/>
  <c r="BB93" i="7"/>
  <c r="BB118" i="7" s="1"/>
  <c r="BL210" i="7"/>
  <c r="BL153" i="7"/>
  <c r="BL141" i="7"/>
  <c r="BL137" i="7" s="1"/>
  <c r="BL93" i="7"/>
  <c r="BL118" i="7" s="1"/>
  <c r="Q25" i="7"/>
  <c r="V25" i="7"/>
  <c r="AA25" i="7"/>
  <c r="AF25" i="7"/>
  <c r="AP25" i="7"/>
  <c r="AU25" i="7"/>
  <c r="BK25" i="7"/>
  <c r="CI29" i="7"/>
  <c r="CN173" i="7"/>
  <c r="CN27" i="7"/>
  <c r="AA86" i="9" s="1"/>
  <c r="CN28" i="7"/>
  <c r="AC32" i="7"/>
  <c r="BQ32" i="7"/>
  <c r="BT167" i="7"/>
  <c r="BX153" i="7"/>
  <c r="BX141" i="7"/>
  <c r="CJ167" i="7"/>
  <c r="CJ93" i="7"/>
  <c r="AB25" i="7"/>
  <c r="AV25" i="7"/>
  <c r="CJ173" i="7"/>
  <c r="CI28" i="7"/>
  <c r="I199" i="7"/>
  <c r="CS45" i="7"/>
  <c r="CS54" i="7"/>
  <c r="CY179" i="7"/>
  <c r="CM74" i="7"/>
  <c r="BQ210" i="7"/>
  <c r="BQ153" i="7"/>
  <c r="BQ141" i="7" s="1"/>
  <c r="BQ137" i="7" s="1"/>
  <c r="BQ93" i="7"/>
  <c r="BQ118" i="7"/>
  <c r="BU167" i="7"/>
  <c r="BU153" i="7"/>
  <c r="BU141" i="7" s="1"/>
  <c r="BU93" i="7"/>
  <c r="BU118" i="7" s="1"/>
  <c r="BY153" i="7"/>
  <c r="BY141" i="7"/>
  <c r="CC93" i="7"/>
  <c r="CC118" i="7"/>
  <c r="CO167" i="7"/>
  <c r="BS154" i="7"/>
  <c r="BS142" i="7" s="1"/>
  <c r="BS168" i="7"/>
  <c r="CM215" i="7"/>
  <c r="CM154" i="7"/>
  <c r="I210" i="7"/>
  <c r="S153" i="7"/>
  <c r="S141" i="7" s="1"/>
  <c r="S137" i="7" s="1"/>
  <c r="S93" i="7"/>
  <c r="S108" i="7"/>
  <c r="S129" i="7" s="1"/>
  <c r="AC210" i="7"/>
  <c r="AC153" i="7"/>
  <c r="AC141" i="7"/>
  <c r="AC137" i="7" s="1"/>
  <c r="AC93" i="7"/>
  <c r="AM210" i="7"/>
  <c r="AW210" i="7"/>
  <c r="AW93" i="7"/>
  <c r="BG153" i="7"/>
  <c r="BG141" i="7" s="1"/>
  <c r="BG137" i="7" s="1"/>
  <c r="BG93" i="7"/>
  <c r="BG118" i="7"/>
  <c r="O25" i="7"/>
  <c r="T25" i="7"/>
  <c r="Y25" i="7"/>
  <c r="AD25" i="7"/>
  <c r="AN25" i="7"/>
  <c r="AS25" i="7"/>
  <c r="BQ26" i="7"/>
  <c r="BI25" i="7"/>
  <c r="CU26" i="7"/>
  <c r="CS27" i="7"/>
  <c r="AF21" i="9" s="1"/>
  <c r="BB26" i="7"/>
  <c r="CE107" i="7"/>
  <c r="CL173" i="7"/>
  <c r="CT173" i="7"/>
  <c r="CX173" i="7"/>
  <c r="CH28" i="7"/>
  <c r="CL28" i="7"/>
  <c r="CT28" i="7"/>
  <c r="CX28" i="7"/>
  <c r="BL199" i="7"/>
  <c r="CN31" i="7"/>
  <c r="CN32" i="7" s="1"/>
  <c r="CV31" i="7"/>
  <c r="CV32" i="7" s="1"/>
  <c r="CE174" i="7"/>
  <c r="CI174" i="7"/>
  <c r="CM174" i="7"/>
  <c r="CQ174" i="7"/>
  <c r="O38" i="7"/>
  <c r="CE38" i="7"/>
  <c r="R31" i="9"/>
  <c r="CI38" i="7"/>
  <c r="V31" i="9"/>
  <c r="CM38" i="7"/>
  <c r="Z31" i="9"/>
  <c r="CQ38" i="7"/>
  <c r="AD31" i="9"/>
  <c r="CL59" i="7"/>
  <c r="BX64" i="7"/>
  <c r="BX91" i="7" s="1"/>
  <c r="BX107" i="7" s="1"/>
  <c r="BX108" i="7" s="1"/>
  <c r="BX90" i="7"/>
  <c r="CB90" i="7"/>
  <c r="CJ64" i="7"/>
  <c r="CM64" i="7"/>
  <c r="BM92" i="7"/>
  <c r="CC73" i="7"/>
  <c r="CB174" i="7"/>
  <c r="CJ174" i="7"/>
  <c r="CN174" i="7"/>
  <c r="CR174" i="7"/>
  <c r="CV174" i="7"/>
  <c r="CB38" i="7"/>
  <c r="O31" i="9"/>
  <c r="CJ38" i="7"/>
  <c r="W31" i="9"/>
  <c r="CN38" i="7"/>
  <c r="AA31" i="9"/>
  <c r="CV38" i="7"/>
  <c r="AI31" i="9"/>
  <c r="AO49" i="7"/>
  <c r="BI49" i="7"/>
  <c r="BQ179" i="7"/>
  <c r="BQ82" i="7"/>
  <c r="I180" i="7"/>
  <c r="N58" i="7"/>
  <c r="BP64" i="7"/>
  <c r="BP91" i="7"/>
  <c r="BP90" i="7"/>
  <c r="BT64" i="7"/>
  <c r="BT91" i="7" s="1"/>
  <c r="BT90" i="7"/>
  <c r="CU63" i="7"/>
  <c r="BM107" i="7"/>
  <c r="BW79" i="7"/>
  <c r="BW73" i="7"/>
  <c r="BW96" i="7" s="1"/>
  <c r="CG73" i="7"/>
  <c r="CW73" i="7"/>
  <c r="CW74" i="7"/>
  <c r="N199" i="7"/>
  <c r="CC174" i="7"/>
  <c r="CG174" i="7"/>
  <c r="CO200" i="7"/>
  <c r="CO174" i="7"/>
  <c r="CS174" i="7"/>
  <c r="CW200" i="7"/>
  <c r="CW174" i="7"/>
  <c r="J37" i="7"/>
  <c r="CC38" i="7"/>
  <c r="P31" i="9"/>
  <c r="CG38" i="7"/>
  <c r="T31" i="9"/>
  <c r="CO38" i="7"/>
  <c r="AB31" i="9"/>
  <c r="CS38" i="7"/>
  <c r="AF31" i="9"/>
  <c r="AB47" i="7"/>
  <c r="BA48" i="7"/>
  <c r="BJ48" i="7"/>
  <c r="CB51" i="7"/>
  <c r="BQ57" i="7"/>
  <c r="CV64" i="7"/>
  <c r="CQ64" i="7"/>
  <c r="BG107" i="7"/>
  <c r="BU79" i="7"/>
  <c r="BU73" i="7"/>
  <c r="BU96" i="7" s="1"/>
  <c r="CO173" i="7"/>
  <c r="CS173" i="7"/>
  <c r="CW173" i="7"/>
  <c r="CO28" i="7"/>
  <c r="CS28" i="7"/>
  <c r="CW28" i="7"/>
  <c r="CD174" i="7"/>
  <c r="CH174" i="7"/>
  <c r="CL200" i="7"/>
  <c r="CL174" i="7"/>
  <c r="CX200" i="7"/>
  <c r="CD38" i="7"/>
  <c r="Q31" i="9"/>
  <c r="CH38" i="7"/>
  <c r="CL38" i="7"/>
  <c r="Y31" i="9" s="1"/>
  <c r="AZ47" i="7"/>
  <c r="BT47" i="7"/>
  <c r="BT49" i="7"/>
  <c r="N49" i="7"/>
  <c r="BN106" i="7"/>
  <c r="BN92" i="7"/>
  <c r="CA63" i="7"/>
  <c r="BN107" i="7"/>
  <c r="CD102" i="7"/>
  <c r="BR73" i="7"/>
  <c r="BV72" i="7"/>
  <c r="CP72" i="7"/>
  <c r="CP79" i="7"/>
  <c r="CL73" i="7"/>
  <c r="CX74" i="7"/>
  <c r="CQ73" i="7"/>
  <c r="CN73" i="7"/>
  <c r="CS73" i="7"/>
  <c r="CV74" i="7"/>
  <c r="CE79" i="7"/>
  <c r="BQ90" i="7"/>
  <c r="CC90" i="7"/>
  <c r="BV63" i="7"/>
  <c r="BZ73" i="7"/>
  <c r="CE73" i="7"/>
  <c r="CE74" i="7" s="1"/>
  <c r="CE97" i="7" s="1"/>
  <c r="CJ73" i="7"/>
  <c r="CO73" i="7"/>
  <c r="CO74" i="7" s="1"/>
  <c r="CP74" i="7" s="1"/>
  <c r="CT73" i="7"/>
  <c r="CT74" i="7" s="1"/>
  <c r="BQ121" i="7"/>
  <c r="BG116" i="7"/>
  <c r="BG90" i="7"/>
  <c r="BG106" i="7" s="1"/>
  <c r="AA138" i="7"/>
  <c r="BJ138" i="7"/>
  <c r="AU138" i="7"/>
  <c r="BX121" i="7"/>
  <c r="W138" i="7"/>
  <c r="BY116" i="7"/>
  <c r="AY138" i="7"/>
  <c r="BO215" i="7"/>
  <c r="BO198" i="7"/>
  <c r="BO183" i="7"/>
  <c r="BO188" i="7"/>
  <c r="BO197" i="7"/>
  <c r="CJ201" i="7"/>
  <c r="CJ197" i="7"/>
  <c r="CT201" i="7"/>
  <c r="CT198" i="7"/>
  <c r="CT197" i="7"/>
  <c r="CX198" i="7"/>
  <c r="CX197" i="7"/>
  <c r="CX201" i="7"/>
  <c r="BP215" i="7"/>
  <c r="BP198" i="7"/>
  <c r="BP197" i="7"/>
  <c r="BP183" i="7"/>
  <c r="CL201" i="7"/>
  <c r="CL198" i="7"/>
  <c r="CL197" i="7"/>
  <c r="CX183" i="7"/>
  <c r="CX188" i="7"/>
  <c r="BL198" i="7"/>
  <c r="CM201" i="7"/>
  <c r="CM197" i="7"/>
  <c r="CV197" i="7"/>
  <c r="CV198" i="7"/>
  <c r="CO201" i="7"/>
  <c r="CO198" i="7"/>
  <c r="CO197" i="7"/>
  <c r="CW201" i="7"/>
  <c r="CW198" i="7"/>
  <c r="CW197" i="7"/>
  <c r="I200" i="7"/>
  <c r="I197" i="7"/>
  <c r="CO183" i="7"/>
  <c r="CO188" i="7" s="1"/>
  <c r="CW183" i="7"/>
  <c r="CW188" i="7" s="1"/>
  <c r="CW210" i="7" s="1"/>
  <c r="CA141" i="6"/>
  <c r="CF141" i="6"/>
  <c r="BO654" i="6"/>
  <c r="BO655" i="6" s="1"/>
  <c r="BO658" i="6" s="1"/>
  <c r="BO124" i="6"/>
  <c r="BO55" i="6"/>
  <c r="BO42" i="6"/>
  <c r="BT42" i="6"/>
  <c r="BT43" i="6" s="1"/>
  <c r="CM17" i="6"/>
  <c r="CM189" i="3" s="1"/>
  <c r="CM190" i="3" s="1"/>
  <c r="CM25" i="6"/>
  <c r="BB242" i="6"/>
  <c r="BB243" i="6"/>
  <c r="BB244" i="6" s="1"/>
  <c r="BB26" i="6"/>
  <c r="BB105" i="2" s="1"/>
  <c r="BF26" i="6"/>
  <c r="CO257" i="6"/>
  <c r="S15" i="6"/>
  <c r="BP124" i="6"/>
  <c r="CI55" i="6"/>
  <c r="CI17" i="6"/>
  <c r="CI189" i="3" s="1"/>
  <c r="CI190" i="3" s="1"/>
  <c r="CI42" i="6"/>
  <c r="CI25" i="6"/>
  <c r="CI15" i="6"/>
  <c r="V126" i="9" s="1"/>
  <c r="CI61" i="6"/>
  <c r="CI224" i="6" s="1"/>
  <c r="CI35" i="6"/>
  <c r="CA221" i="6"/>
  <c r="CG258" i="6"/>
  <c r="T189" i="9" s="1"/>
  <c r="CQ27" i="6"/>
  <c r="CE55" i="6"/>
  <c r="CE17" i="6"/>
  <c r="CE189" i="3" s="1"/>
  <c r="CE190" i="3" s="1"/>
  <c r="CE42" i="6"/>
  <c r="CE35" i="6"/>
  <c r="R129" i="9"/>
  <c r="CE25" i="6"/>
  <c r="CE15" i="6"/>
  <c r="R126" i="9" s="1"/>
  <c r="CC247" i="6"/>
  <c r="CW257" i="6"/>
  <c r="CW247" i="6"/>
  <c r="CW258" i="6"/>
  <c r="CW27" i="6"/>
  <c r="CA60" i="6"/>
  <c r="BS654" i="6"/>
  <c r="BS655" i="6" s="1"/>
  <c r="BS658" i="6" s="1"/>
  <c r="BS42" i="6"/>
  <c r="BX43" i="6" s="1"/>
  <c r="BX42" i="6"/>
  <c r="BX35" i="6"/>
  <c r="K129" i="9" s="1"/>
  <c r="BX20" i="6"/>
  <c r="BX55" i="6"/>
  <c r="BX58" i="6" s="1"/>
  <c r="BX17" i="6"/>
  <c r="BX189" i="3" s="1"/>
  <c r="BX190" i="3" s="1"/>
  <c r="CB15" i="6"/>
  <c r="O126" i="9" s="1"/>
  <c r="CQ55" i="6"/>
  <c r="CQ42" i="6"/>
  <c r="CE20" i="6"/>
  <c r="BY242" i="6"/>
  <c r="BY63" i="6"/>
  <c r="BY67" i="6" s="1"/>
  <c r="BE257" i="6"/>
  <c r="BE27" i="6"/>
  <c r="CI27" i="6"/>
  <c r="CS257" i="6"/>
  <c r="CS27" i="6"/>
  <c r="BR654" i="6"/>
  <c r="BR655" i="6" s="1"/>
  <c r="BR658" i="6" s="1"/>
  <c r="BR124" i="6"/>
  <c r="BZ143" i="6"/>
  <c r="CH243" i="6"/>
  <c r="CH143" i="6"/>
  <c r="CL143" i="6"/>
  <c r="BI15" i="6"/>
  <c r="CO15" i="6"/>
  <c r="AB126" i="9" s="1"/>
  <c r="CJ17" i="6"/>
  <c r="CJ189" i="3" s="1"/>
  <c r="CJ190" i="3" s="1"/>
  <c r="CN17" i="6"/>
  <c r="CN189" i="3" s="1"/>
  <c r="CN190" i="3" s="1"/>
  <c r="CR17" i="6"/>
  <c r="CR189" i="3" s="1"/>
  <c r="CR190" i="3" s="1"/>
  <c r="BV295" i="6"/>
  <c r="CP295" i="6"/>
  <c r="BR20" i="6"/>
  <c r="BZ20" i="6"/>
  <c r="CD20" i="6"/>
  <c r="CD222" i="6" s="1"/>
  <c r="CH20" i="6"/>
  <c r="CL20" i="6"/>
  <c r="CL222" i="6" s="1"/>
  <c r="BE25" i="6"/>
  <c r="CG25" i="6"/>
  <c r="CO25" i="6"/>
  <c r="BL257" i="6"/>
  <c r="BL247" i="6"/>
  <c r="CB257" i="6"/>
  <c r="CF26" i="6"/>
  <c r="CJ247" i="6"/>
  <c r="CN257" i="6"/>
  <c r="CH29" i="6"/>
  <c r="CT29" i="6"/>
  <c r="CH35" i="6"/>
  <c r="CG36" i="6"/>
  <c r="T131" i="9"/>
  <c r="BY35" i="6"/>
  <c r="L129" i="9" s="1"/>
  <c r="CC36" i="6"/>
  <c r="P131" i="9" s="1"/>
  <c r="CQ36" i="6"/>
  <c r="AD131" i="9"/>
  <c r="BU42" i="6"/>
  <c r="BY42" i="6"/>
  <c r="CC42" i="6"/>
  <c r="CG42" i="6"/>
  <c r="CO42" i="6"/>
  <c r="CS42" i="6"/>
  <c r="BV44" i="6"/>
  <c r="BL47" i="6"/>
  <c r="CG50" i="6"/>
  <c r="CJ55" i="6"/>
  <c r="CN55" i="6"/>
  <c r="CN68" i="6" s="1"/>
  <c r="BF58" i="6"/>
  <c r="CX61" i="6"/>
  <c r="CX224" i="6" s="1"/>
  <c r="CO67" i="6"/>
  <c r="BU170" i="6"/>
  <c r="BU213" i="6" s="1"/>
  <c r="BU236" i="6" s="1"/>
  <c r="BZ137" i="6"/>
  <c r="BX158" i="6"/>
  <c r="BX159" i="6"/>
  <c r="CH159" i="6"/>
  <c r="CH207" i="6"/>
  <c r="CG124" i="6"/>
  <c r="CN27" i="6"/>
  <c r="BZ35" i="6"/>
  <c r="BR42" i="6"/>
  <c r="BW43" i="6" s="1"/>
  <c r="BZ42" i="6"/>
  <c r="CH42" i="6"/>
  <c r="CH43" i="6" s="1"/>
  <c r="CL42" i="6"/>
  <c r="CP48" i="6"/>
  <c r="BZ50" i="6"/>
  <c r="CO55" i="6"/>
  <c r="CS55" i="6"/>
  <c r="CX56" i="6"/>
  <c r="BQ60" i="6"/>
  <c r="BP169" i="6"/>
  <c r="BR158" i="6"/>
  <c r="BT159" i="6"/>
  <c r="BY158" i="6"/>
  <c r="CH124" i="6"/>
  <c r="CJ243" i="6"/>
  <c r="CR243" i="6"/>
  <c r="CF221" i="6"/>
  <c r="CJ20" i="6"/>
  <c r="W127" i="9" s="1"/>
  <c r="CN20" i="6"/>
  <c r="CR20" i="6"/>
  <c r="AE127" i="9"/>
  <c r="AJ128" i="9" s="1"/>
  <c r="BU242" i="6"/>
  <c r="BU256" i="6"/>
  <c r="BZ256" i="6"/>
  <c r="BZ242" i="6"/>
  <c r="BZ243" i="6" s="1"/>
  <c r="BC25" i="6"/>
  <c r="BV257" i="6"/>
  <c r="BV247" i="6"/>
  <c r="BZ26" i="6"/>
  <c r="CD257" i="6"/>
  <c r="CD247" i="6"/>
  <c r="CH257" i="6"/>
  <c r="CH247" i="6"/>
  <c r="CT258" i="6"/>
  <c r="CT257" i="6"/>
  <c r="CT247" i="6"/>
  <c r="CX247" i="6"/>
  <c r="CX248" i="6" s="1"/>
  <c r="CB29" i="6"/>
  <c r="CJ29" i="6"/>
  <c r="CN29" i="6"/>
  <c r="CN159" i="2" s="1"/>
  <c r="BX30" i="6"/>
  <c r="CR30" i="6"/>
  <c r="CV30" i="6"/>
  <c r="CJ35" i="6"/>
  <c r="CN35" i="6"/>
  <c r="CS36" i="6"/>
  <c r="AF131" i="9"/>
  <c r="BQ47" i="6"/>
  <c r="CA49" i="6"/>
  <c r="CP49" i="6"/>
  <c r="BQ51" i="6"/>
  <c r="BR55" i="6"/>
  <c r="BZ55" i="6"/>
  <c r="CH55" i="6"/>
  <c r="CL55" i="6"/>
  <c r="CT55" i="6"/>
  <c r="BV60" i="6"/>
  <c r="BZ223" i="6"/>
  <c r="CD223" i="6"/>
  <c r="CD67" i="6"/>
  <c r="CH223" i="6"/>
  <c r="CH67" i="6"/>
  <c r="CL223" i="6"/>
  <c r="CL67" i="6"/>
  <c r="CP60" i="6"/>
  <c r="CP223" i="6" s="1"/>
  <c r="CT223" i="6"/>
  <c r="CT67" i="6"/>
  <c r="CJ61" i="6"/>
  <c r="CJ224" i="6" s="1"/>
  <c r="CN61" i="6"/>
  <c r="CN224" i="6" s="1"/>
  <c r="BU63" i="6"/>
  <c r="BU67" i="6" s="1"/>
  <c r="BU65" i="6" s="1"/>
  <c r="CC67" i="6"/>
  <c r="CS67" i="6"/>
  <c r="CV67" i="6"/>
  <c r="BU137" i="6"/>
  <c r="BU169" i="6"/>
  <c r="BO170" i="6"/>
  <c r="BO213" i="6"/>
  <c r="BO236" i="6" s="1"/>
  <c r="BO118" i="6"/>
  <c r="BO158" i="6"/>
  <c r="BO206" i="6" s="1"/>
  <c r="BO231" i="6" s="1"/>
  <c r="BS158" i="6"/>
  <c r="CJ159" i="6"/>
  <c r="CO113" i="6"/>
  <c r="BY124" i="6"/>
  <c r="CN124" i="6"/>
  <c r="DA179" i="6"/>
  <c r="DA216" i="6"/>
  <c r="DK141" i="6"/>
  <c r="CH170" i="6"/>
  <c r="BI124" i="6"/>
  <c r="CC243" i="6"/>
  <c r="CO243" i="6"/>
  <c r="CJ15" i="6"/>
  <c r="W126" i="9" s="1"/>
  <c r="CN15" i="6"/>
  <c r="AA126" i="9" s="1"/>
  <c r="BQ295" i="6"/>
  <c r="BQ300" i="6" s="1"/>
  <c r="BQ221" i="6"/>
  <c r="CK295" i="6"/>
  <c r="CK221" i="6"/>
  <c r="BI20" i="6"/>
  <c r="BI222" i="6" s="1"/>
  <c r="BM20" i="6"/>
  <c r="BM222" i="6"/>
  <c r="BU20" i="6"/>
  <c r="BU222" i="6" s="1"/>
  <c r="BY20" i="6"/>
  <c r="CC20" i="6"/>
  <c r="CC222" i="6" s="1"/>
  <c r="CG20" i="6"/>
  <c r="T127" i="9" s="1"/>
  <c r="CO20" i="6"/>
  <c r="AB127" i="9" s="1"/>
  <c r="CS20" i="6"/>
  <c r="BW256" i="6"/>
  <c r="BW242" i="6"/>
  <c r="CJ25" i="6"/>
  <c r="CN25" i="6"/>
  <c r="CR25" i="6"/>
  <c r="BG26" i="6"/>
  <c r="BW26" i="6"/>
  <c r="CE257" i="6"/>
  <c r="CE247" i="6"/>
  <c r="CI257" i="6"/>
  <c r="CI247" i="6"/>
  <c r="CM257" i="6"/>
  <c r="CM247" i="6"/>
  <c r="CQ258" i="6"/>
  <c r="AD121" i="9" s="1"/>
  <c r="CQ257" i="6"/>
  <c r="CQ247" i="6"/>
  <c r="CH27" i="6"/>
  <c r="CT27" i="6"/>
  <c r="BY30" i="6"/>
  <c r="CG30" i="6"/>
  <c r="BQ34" i="6"/>
  <c r="CN36" i="6"/>
  <c r="AA131" i="9" s="1"/>
  <c r="CB35" i="6"/>
  <c r="O129" i="9"/>
  <c r="CB36" i="6"/>
  <c r="O131" i="9" s="1"/>
  <c r="CX35" i="6"/>
  <c r="CL41" i="6"/>
  <c r="CJ42" i="6"/>
  <c r="CN42" i="6"/>
  <c r="CR42" i="6"/>
  <c r="CU47" i="6"/>
  <c r="CV50" i="6"/>
  <c r="BE56" i="6"/>
  <c r="CE223" i="6"/>
  <c r="CE67" i="6"/>
  <c r="CI223" i="6"/>
  <c r="CI67" i="6"/>
  <c r="CI68" i="6" s="1"/>
  <c r="CM223" i="6"/>
  <c r="CM67" i="6"/>
  <c r="CQ223" i="6"/>
  <c r="CQ67" i="6"/>
  <c r="CG61" i="6"/>
  <c r="CG224" i="6"/>
  <c r="CO61" i="6"/>
  <c r="CO224" i="6"/>
  <c r="CS61" i="6"/>
  <c r="CS224" i="6"/>
  <c r="BZ63" i="6"/>
  <c r="BZ67" i="6"/>
  <c r="BY137" i="6"/>
  <c r="CI169" i="6"/>
  <c r="CI212" i="6" s="1"/>
  <c r="CI235" i="6" s="1"/>
  <c r="BT158" i="6"/>
  <c r="BW118" i="6"/>
  <c r="BW158" i="6"/>
  <c r="BW159" i="6"/>
  <c r="CO124" i="6"/>
  <c r="CC256" i="6"/>
  <c r="BW99" i="6"/>
  <c r="CE99" i="6"/>
  <c r="BY101" i="6"/>
  <c r="CB112" i="6"/>
  <c r="CB158" i="6" s="1"/>
  <c r="BY113" i="6"/>
  <c r="CG113" i="6"/>
  <c r="CG119" i="6" s="1"/>
  <c r="BZ124" i="6"/>
  <c r="CN125" i="6"/>
  <c r="BO179" i="6"/>
  <c r="BO142" i="6"/>
  <c r="BT143" i="6"/>
  <c r="BT142" i="6"/>
  <c r="BT179" i="6"/>
  <c r="BY142" i="6"/>
  <c r="CC142" i="6"/>
  <c r="CG142" i="6"/>
  <c r="CL216" i="6"/>
  <c r="CL180" i="6"/>
  <c r="BO143" i="6"/>
  <c r="BW143" i="6"/>
  <c r="CE143" i="6"/>
  <c r="CM143" i="6"/>
  <c r="BV77" i="6"/>
  <c r="CA78" i="6"/>
  <c r="BV88" i="6"/>
  <c r="BV256" i="6"/>
  <c r="BV301" i="6"/>
  <c r="BV259" i="6"/>
  <c r="BZ296" i="6"/>
  <c r="CE300" i="6"/>
  <c r="BZ101" i="6"/>
  <c r="CE124" i="6"/>
  <c r="CI124" i="6"/>
  <c r="BU125" i="6"/>
  <c r="BY125" i="6"/>
  <c r="CS125" i="6"/>
  <c r="BP179" i="6"/>
  <c r="BP142" i="6"/>
  <c r="CD216" i="6"/>
  <c r="CD180" i="6"/>
  <c r="CR179" i="6"/>
  <c r="CR216" i="6" s="1"/>
  <c r="CK77" i="6"/>
  <c r="CK88" i="6"/>
  <c r="CK90" i="6" s="1"/>
  <c r="CK114" i="6" s="1"/>
  <c r="CA98" i="6"/>
  <c r="BW101" i="6"/>
  <c r="BW216" i="6"/>
  <c r="BW180" i="6"/>
  <c r="CE216" i="6"/>
  <c r="CE180" i="6"/>
  <c r="CN143" i="6"/>
  <c r="CN179" i="6"/>
  <c r="CI142" i="6"/>
  <c r="CI143" i="6"/>
  <c r="CF77" i="6"/>
  <c r="CB295" i="6"/>
  <c r="CG300" i="6" s="1"/>
  <c r="CB256" i="6"/>
  <c r="BV99" i="6"/>
  <c r="BZ99" i="6"/>
  <c r="BX101" i="6"/>
  <c r="CB101" i="6"/>
  <c r="BX143" i="6"/>
  <c r="BX179" i="6"/>
  <c r="CB143" i="6"/>
  <c r="CB179" i="6"/>
  <c r="CJ143" i="6"/>
  <c r="CJ179" i="6"/>
  <c r="CO142" i="6"/>
  <c r="BS142" i="6"/>
  <c r="CB142" i="6"/>
  <c r="CJ142" i="6"/>
  <c r="BU142" i="6"/>
  <c r="CD142" i="6"/>
  <c r="CL142" i="6"/>
  <c r="BU143" i="6"/>
  <c r="BY143" i="6"/>
  <c r="CC143" i="6"/>
  <c r="CG143" i="6"/>
  <c r="CO143" i="6"/>
  <c r="BL179" i="6"/>
  <c r="BI180" i="6"/>
  <c r="BY179" i="6"/>
  <c r="CC179" i="6"/>
  <c r="CC216" i="6" s="1"/>
  <c r="CG179" i="6"/>
  <c r="CO179" i="6"/>
  <c r="CO216" i="6" s="1"/>
  <c r="BJ180" i="6"/>
  <c r="CE245" i="6"/>
  <c r="CE243" i="6"/>
  <c r="CJ245" i="6"/>
  <c r="CM245" i="6"/>
  <c r="CM243" i="6"/>
  <c r="CM244" i="6" s="1"/>
  <c r="CR245" i="6"/>
  <c r="CI245" i="6"/>
  <c r="CG301" i="6"/>
  <c r="BQ245" i="6"/>
  <c r="CO245" i="6"/>
  <c r="CQ301" i="6"/>
  <c r="CN301" i="6"/>
  <c r="CL300" i="6"/>
  <c r="CG296" i="6"/>
  <c r="CT296" i="6"/>
  <c r="CO296" i="6"/>
  <c r="CO300" i="6"/>
  <c r="CT300" i="6"/>
  <c r="CV300" i="6"/>
  <c r="CV296" i="6"/>
  <c r="CL296" i="6"/>
  <c r="CW296" i="6"/>
  <c r="CJ300" i="6"/>
  <c r="CJ296" i="6"/>
  <c r="CN300" i="6"/>
  <c r="CN296" i="6"/>
  <c r="CR300" i="6"/>
  <c r="CR296" i="6"/>
  <c r="BN296" i="6"/>
  <c r="DA321" i="6"/>
  <c r="AR441" i="6"/>
  <c r="AR628" i="6"/>
  <c r="CV327" i="6"/>
  <c r="AM437" i="6"/>
  <c r="AM443" i="6" s="1"/>
  <c r="AW441" i="6"/>
  <c r="AR631" i="6"/>
  <c r="AM432" i="6"/>
  <c r="AN51" i="5"/>
  <c r="C159" i="2"/>
  <c r="C158" i="2"/>
  <c r="CV159" i="2"/>
  <c r="CR159" i="2"/>
  <c r="CG159" i="2"/>
  <c r="BZ159" i="2"/>
  <c r="BY159" i="2"/>
  <c r="BX159" i="2"/>
  <c r="BW159" i="2"/>
  <c r="BU159" i="2"/>
  <c r="BL159" i="2"/>
  <c r="CW158" i="2"/>
  <c r="CV158" i="2"/>
  <c r="CS158" i="2"/>
  <c r="CQ158" i="2"/>
  <c r="CO158" i="2"/>
  <c r="CN158" i="2"/>
  <c r="CM158" i="2"/>
  <c r="CL158" i="2"/>
  <c r="CI158" i="2"/>
  <c r="CH158" i="2"/>
  <c r="CE158" i="2"/>
  <c r="BQ158" i="2"/>
  <c r="CX145" i="2"/>
  <c r="CV145" i="2"/>
  <c r="CS145" i="2"/>
  <c r="CR145" i="2"/>
  <c r="CQ145" i="2"/>
  <c r="CN145" i="2"/>
  <c r="CL145" i="2"/>
  <c r="CI145" i="2"/>
  <c r="CH145" i="2"/>
  <c r="CG145" i="2"/>
  <c r="CE145" i="2"/>
  <c r="CC145" i="2"/>
  <c r="CB145" i="2"/>
  <c r="BZ145" i="2"/>
  <c r="BY145" i="2"/>
  <c r="BX145" i="2"/>
  <c r="BW145" i="2"/>
  <c r="BU145" i="2"/>
  <c r="BL145" i="2"/>
  <c r="BK145" i="2"/>
  <c r="BJ145" i="2"/>
  <c r="BI145" i="2"/>
  <c r="BH145" i="2"/>
  <c r="BG145" i="2"/>
  <c r="BF145" i="2"/>
  <c r="BE145" i="2"/>
  <c r="BD145" i="2"/>
  <c r="BC145" i="2"/>
  <c r="BB145" i="2"/>
  <c r="BA145" i="2"/>
  <c r="AZ145" i="2"/>
  <c r="AY145" i="2"/>
  <c r="AX145" i="2"/>
  <c r="AW145" i="2"/>
  <c r="AV145" i="2"/>
  <c r="AU145" i="2"/>
  <c r="AT145" i="2"/>
  <c r="AS145" i="2"/>
  <c r="AR145" i="2"/>
  <c r="AQ145" i="2"/>
  <c r="AP145" i="2"/>
  <c r="AO145" i="2"/>
  <c r="AN145" i="2"/>
  <c r="AM145" i="2"/>
  <c r="AL145" i="2"/>
  <c r="AK145" i="2"/>
  <c r="AJ145" i="2"/>
  <c r="AI145" i="2"/>
  <c r="AH145" i="2"/>
  <c r="AG145" i="2"/>
  <c r="AF145" i="2"/>
  <c r="AE145" i="2"/>
  <c r="AD145" i="2"/>
  <c r="AC145" i="2"/>
  <c r="AB145" i="2"/>
  <c r="AA145" i="2"/>
  <c r="Z145" i="2"/>
  <c r="Y145" i="2"/>
  <c r="X145" i="2"/>
  <c r="W145" i="2"/>
  <c r="V145" i="2"/>
  <c r="U145" i="2"/>
  <c r="T145" i="2"/>
  <c r="S145" i="2"/>
  <c r="R145" i="2"/>
  <c r="Q145" i="2"/>
  <c r="P145" i="2"/>
  <c r="O145" i="2"/>
  <c r="N145" i="2"/>
  <c r="M145" i="2"/>
  <c r="L145" i="2"/>
  <c r="K145" i="2"/>
  <c r="J145" i="2"/>
  <c r="I145" i="2"/>
  <c r="H145" i="2"/>
  <c r="G145" i="2"/>
  <c r="F145" i="2"/>
  <c r="E145" i="2"/>
  <c r="CX144" i="2"/>
  <c r="CX146" i="2" s="1"/>
  <c r="CW144" i="2"/>
  <c r="CV144" i="2"/>
  <c r="CS144" i="2"/>
  <c r="CR144" i="2"/>
  <c r="CQ144" i="2"/>
  <c r="CQ146" i="2" s="1"/>
  <c r="CO144" i="2"/>
  <c r="CN144" i="2"/>
  <c r="CN146" i="2" s="1"/>
  <c r="CM144" i="2"/>
  <c r="CL144" i="2"/>
  <c r="CJ144" i="2"/>
  <c r="CI144" i="2"/>
  <c r="CH144" i="2"/>
  <c r="CG144" i="2"/>
  <c r="CE144" i="2"/>
  <c r="CE146" i="2" s="1"/>
  <c r="CE148" i="2" s="1"/>
  <c r="CD144" i="2"/>
  <c r="CC144" i="2"/>
  <c r="CB144" i="2"/>
  <c r="BZ144" i="2"/>
  <c r="BY144" i="2"/>
  <c r="BX144" i="2"/>
  <c r="BW144" i="2"/>
  <c r="BW146" i="2" s="1"/>
  <c r="BV144" i="2"/>
  <c r="BU144" i="2"/>
  <c r="BU146" i="2" s="1"/>
  <c r="BU148" i="2" s="1"/>
  <c r="BQ144" i="2"/>
  <c r="BL144" i="2"/>
  <c r="BL146" i="2" s="1"/>
  <c r="BK144" i="2"/>
  <c r="BJ144" i="2"/>
  <c r="BJ146" i="2" s="1"/>
  <c r="BI144" i="2"/>
  <c r="BH144" i="2"/>
  <c r="BH146" i="2" s="1"/>
  <c r="BH149" i="2" s="1"/>
  <c r="BG144" i="2"/>
  <c r="BF144" i="2"/>
  <c r="BE144" i="2"/>
  <c r="BD144" i="2"/>
  <c r="BD146" i="2" s="1"/>
  <c r="BC144" i="2"/>
  <c r="BB144" i="2"/>
  <c r="AZ144" i="2"/>
  <c r="AY144" i="2"/>
  <c r="AX144" i="2"/>
  <c r="AX146" i="2" s="1"/>
  <c r="AX148" i="2" s="1"/>
  <c r="AW144" i="2"/>
  <c r="AV144" i="2"/>
  <c r="AU144" i="2"/>
  <c r="AT144" i="2"/>
  <c r="AT146" i="2" s="1"/>
  <c r="AS144" i="2"/>
  <c r="AR144" i="2"/>
  <c r="AQ144" i="2"/>
  <c r="AP144" i="2"/>
  <c r="AP146" i="2" s="1"/>
  <c r="AP148" i="2" s="1"/>
  <c r="AO144" i="2"/>
  <c r="AN144" i="2"/>
  <c r="AM144" i="2"/>
  <c r="AL144" i="2"/>
  <c r="AK144" i="2"/>
  <c r="AJ144" i="2"/>
  <c r="AJ146" i="2" s="1"/>
  <c r="AI144" i="2"/>
  <c r="AH144" i="2"/>
  <c r="AH146" i="2" s="1"/>
  <c r="AG144" i="2"/>
  <c r="AF144" i="2"/>
  <c r="AE144" i="2"/>
  <c r="AD144" i="2"/>
  <c r="AD146" i="2" s="1"/>
  <c r="AC144" i="2"/>
  <c r="AB144" i="2"/>
  <c r="AA144" i="2"/>
  <c r="Z144" i="2"/>
  <c r="Z146" i="2" s="1"/>
  <c r="Z149" i="2" s="1"/>
  <c r="Y144" i="2"/>
  <c r="X144" i="2"/>
  <c r="W144" i="2"/>
  <c r="V144" i="2"/>
  <c r="U144" i="2"/>
  <c r="T144" i="2"/>
  <c r="S144" i="2"/>
  <c r="R144" i="2"/>
  <c r="R146" i="2" s="1"/>
  <c r="R148" i="2" s="1"/>
  <c r="Q144" i="2"/>
  <c r="P144" i="2"/>
  <c r="P146" i="2" s="1"/>
  <c r="O144" i="2"/>
  <c r="N144" i="2"/>
  <c r="N146" i="2" s="1"/>
  <c r="M144" i="2"/>
  <c r="L144" i="2"/>
  <c r="K144" i="2"/>
  <c r="J144" i="2"/>
  <c r="I144" i="2"/>
  <c r="H144" i="2"/>
  <c r="F144" i="2"/>
  <c r="F146" i="2" s="1"/>
  <c r="DJ138" i="2"/>
  <c r="DE138" i="2"/>
  <c r="I138" i="2"/>
  <c r="D138" i="2"/>
  <c r="C138" i="2"/>
  <c r="CX132" i="2"/>
  <c r="CW132" i="2"/>
  <c r="CV132" i="2"/>
  <c r="CV135" i="2" s="1"/>
  <c r="CT132" i="2"/>
  <c r="CS132" i="2"/>
  <c r="CR132" i="2"/>
  <c r="CQ132" i="2"/>
  <c r="CO132" i="2"/>
  <c r="CN132" i="2"/>
  <c r="CM132" i="2"/>
  <c r="CL132" i="2"/>
  <c r="CI132" i="2"/>
  <c r="BK132" i="2"/>
  <c r="BJ132" i="2"/>
  <c r="BI132" i="2"/>
  <c r="BH132" i="2"/>
  <c r="BF132" i="2"/>
  <c r="BE132" i="2"/>
  <c r="BD132" i="2"/>
  <c r="BD94" i="2" s="1"/>
  <c r="BC132" i="2"/>
  <c r="AW130" i="2"/>
  <c r="AW129" i="2"/>
  <c r="AW132" i="2" s="1"/>
  <c r="AR130" i="2"/>
  <c r="AR129" i="2"/>
  <c r="AM130" i="2"/>
  <c r="AM129" i="2"/>
  <c r="AM132" i="2" s="1"/>
  <c r="AH130" i="2"/>
  <c r="AH129" i="2"/>
  <c r="AC130" i="2"/>
  <c r="AC129" i="2"/>
  <c r="X130" i="2"/>
  <c r="X129" i="2"/>
  <c r="S130" i="2"/>
  <c r="S129" i="2"/>
  <c r="N130" i="2"/>
  <c r="N129" i="2"/>
  <c r="I130" i="2"/>
  <c r="I129" i="2"/>
  <c r="CU130" i="2"/>
  <c r="CR130" i="2"/>
  <c r="CQ130" i="2"/>
  <c r="CO130" i="2"/>
  <c r="CN130" i="2"/>
  <c r="CM130" i="2"/>
  <c r="CK130" i="2"/>
  <c r="CJ130" i="2"/>
  <c r="CI130" i="2"/>
  <c r="CH130" i="2"/>
  <c r="CG130" i="2"/>
  <c r="DJ129" i="2"/>
  <c r="DE129" i="2"/>
  <c r="CU129" i="2"/>
  <c r="CR129" i="2"/>
  <c r="CQ129" i="2"/>
  <c r="CP129" i="2"/>
  <c r="CO129" i="2"/>
  <c r="CN129" i="2"/>
  <c r="CM129" i="2"/>
  <c r="CM135" i="2" s="1"/>
  <c r="CL129" i="2"/>
  <c r="CL135" i="2" s="1"/>
  <c r="CJ129" i="2"/>
  <c r="CI129" i="2"/>
  <c r="CH129" i="2"/>
  <c r="CG129" i="2"/>
  <c r="CF130" i="2"/>
  <c r="CE130" i="2"/>
  <c r="CD130" i="2"/>
  <c r="CC130" i="2"/>
  <c r="CB130" i="2"/>
  <c r="CA130" i="2"/>
  <c r="BZ130" i="2"/>
  <c r="BY130" i="2"/>
  <c r="BX130" i="2"/>
  <c r="BW130" i="2"/>
  <c r="BV130" i="2"/>
  <c r="BU130" i="2"/>
  <c r="BT130" i="2"/>
  <c r="BS130" i="2"/>
  <c r="BR130" i="2"/>
  <c r="BQ130" i="2"/>
  <c r="BP130" i="2"/>
  <c r="BO130" i="2"/>
  <c r="BN130" i="2"/>
  <c r="BM130" i="2"/>
  <c r="BL130" i="2"/>
  <c r="BK130" i="2"/>
  <c r="BK136" i="2" s="1"/>
  <c r="BJ130" i="2"/>
  <c r="BJ136" i="2" s="1"/>
  <c r="BI130" i="2"/>
  <c r="BI136" i="2" s="1"/>
  <c r="BH130" i="2"/>
  <c r="BH136" i="2" s="1"/>
  <c r="BG130" i="2"/>
  <c r="BF130" i="2"/>
  <c r="BE130" i="2"/>
  <c r="BC130" i="2"/>
  <c r="BC136" i="2" s="1"/>
  <c r="BB130" i="2"/>
  <c r="CE129" i="2"/>
  <c r="BQ129" i="2"/>
  <c r="BQ132" i="2" s="1"/>
  <c r="BQ135" i="2" s="1"/>
  <c r="BL129" i="2"/>
  <c r="BG129" i="2"/>
  <c r="BB129" i="2"/>
  <c r="CW126" i="2"/>
  <c r="CV126" i="2"/>
  <c r="CT126" i="2"/>
  <c r="CS126" i="2"/>
  <c r="CR126" i="2"/>
  <c r="CQ126" i="2"/>
  <c r="CO126" i="2"/>
  <c r="CN126" i="2"/>
  <c r="CM126" i="2"/>
  <c r="CL126" i="2"/>
  <c r="CJ126" i="2"/>
  <c r="CI126" i="2"/>
  <c r="CH126" i="2"/>
  <c r="CG126" i="2"/>
  <c r="CE126" i="2"/>
  <c r="CD126" i="2"/>
  <c r="CC126" i="2"/>
  <c r="CB126" i="2"/>
  <c r="BZ126" i="2"/>
  <c r="CX123" i="2"/>
  <c r="CU123" i="2"/>
  <c r="CP123" i="2"/>
  <c r="T40" i="5" s="1"/>
  <c r="CK123" i="2"/>
  <c r="CF123" i="2"/>
  <c r="CA123" i="2"/>
  <c r="BT123" i="2"/>
  <c r="BS123" i="2"/>
  <c r="BR123" i="2"/>
  <c r="BR110" i="2" s="1"/>
  <c r="BP123" i="2"/>
  <c r="BU126" i="2"/>
  <c r="BO123" i="2"/>
  <c r="BN123" i="2"/>
  <c r="BN110" i="2" s="1"/>
  <c r="BM123" i="2"/>
  <c r="BQ123" i="2" s="1"/>
  <c r="BV126" i="2" s="1"/>
  <c r="BU121" i="2"/>
  <c r="BT121" i="2"/>
  <c r="BS121" i="2"/>
  <c r="BR121" i="2"/>
  <c r="BP121" i="2"/>
  <c r="BO121" i="2"/>
  <c r="BN121" i="2"/>
  <c r="BM121" i="2"/>
  <c r="BU120" i="2"/>
  <c r="BT120" i="2"/>
  <c r="BS120" i="2"/>
  <c r="BR120" i="2"/>
  <c r="BV120" i="2"/>
  <c r="BP120" i="2"/>
  <c r="BO120" i="2"/>
  <c r="BN120" i="2"/>
  <c r="BM120" i="2"/>
  <c r="BQ120" i="2" s="1"/>
  <c r="BV119" i="2"/>
  <c r="BV118" i="2"/>
  <c r="BQ119" i="2"/>
  <c r="BQ118" i="2"/>
  <c r="CW110" i="2"/>
  <c r="CZ110" i="2" s="1"/>
  <c r="CV110" i="2"/>
  <c r="CT110" i="2"/>
  <c r="CS110" i="2"/>
  <c r="CR110" i="2"/>
  <c r="CU110" i="2" s="1"/>
  <c r="CQ110" i="2"/>
  <c r="CO110" i="2"/>
  <c r="CN110" i="2"/>
  <c r="CM110" i="2"/>
  <c r="CL110" i="2"/>
  <c r="CJ110" i="2"/>
  <c r="CI110" i="2"/>
  <c r="CH110" i="2"/>
  <c r="CK110" i="2" s="1"/>
  <c r="CG110" i="2"/>
  <c r="CE110" i="2"/>
  <c r="CD110" i="2"/>
  <c r="CC110" i="2"/>
  <c r="CF110" i="2" s="1"/>
  <c r="CB110" i="2"/>
  <c r="BZ110" i="2"/>
  <c r="BY110" i="2"/>
  <c r="BX110" i="2"/>
  <c r="CA110" i="2" s="1"/>
  <c r="BW110" i="2"/>
  <c r="BU110" i="2"/>
  <c r="BV110" i="2" s="1"/>
  <c r="BO110" i="2"/>
  <c r="AX110" i="2"/>
  <c r="BL105" i="2"/>
  <c r="CQ105" i="2"/>
  <c r="CO105" i="2"/>
  <c r="CN105" i="2"/>
  <c r="CM105" i="2"/>
  <c r="CJ105" i="2"/>
  <c r="CI105" i="2"/>
  <c r="CH105" i="2"/>
  <c r="CG105" i="2"/>
  <c r="CF105" i="2"/>
  <c r="CE105" i="2"/>
  <c r="CD105" i="2"/>
  <c r="CC105" i="2"/>
  <c r="CB105" i="2"/>
  <c r="BV105" i="2"/>
  <c r="BQ105" i="2"/>
  <c r="BG105" i="2"/>
  <c r="BE105" i="2"/>
  <c r="BA105" i="2"/>
  <c r="AZ105" i="2"/>
  <c r="AY105" i="2"/>
  <c r="AX105" i="2"/>
  <c r="CX100" i="2"/>
  <c r="CW100" i="2"/>
  <c r="CV100" i="2"/>
  <c r="CT100" i="2"/>
  <c r="CS100" i="2"/>
  <c r="CR100" i="2"/>
  <c r="CO100" i="2"/>
  <c r="CN100" i="2"/>
  <c r="CN115" i="2" s="1"/>
  <c r="CM100" i="2"/>
  <c r="CL100" i="2"/>
  <c r="CJ100" i="2"/>
  <c r="CI100" i="2"/>
  <c r="CH100" i="2"/>
  <c r="CG100" i="2"/>
  <c r="CG115" i="2" s="1"/>
  <c r="CE100" i="2"/>
  <c r="BQ100" i="2"/>
  <c r="BG100" i="2"/>
  <c r="BB100" i="2"/>
  <c r="CX94" i="2"/>
  <c r="CW94" i="2"/>
  <c r="CV94" i="2"/>
  <c r="DA97" i="2" s="1"/>
  <c r="CT94" i="2"/>
  <c r="CS94" i="2"/>
  <c r="CR94" i="2"/>
  <c r="CQ94" i="2"/>
  <c r="CO94" i="2"/>
  <c r="CN94" i="2"/>
  <c r="CM94" i="2"/>
  <c r="CL94" i="2"/>
  <c r="CI94" i="2"/>
  <c r="D94" i="2"/>
  <c r="C94" i="2"/>
  <c r="BL89" i="2"/>
  <c r="BG89" i="2"/>
  <c r="BB89" i="2"/>
  <c r="CX89" i="2"/>
  <c r="CZ89" i="2" s="1"/>
  <c r="CW89" i="2"/>
  <c r="DB92" i="2"/>
  <c r="CV89" i="2"/>
  <c r="CT89" i="2"/>
  <c r="CS89" i="2"/>
  <c r="CR89" i="2"/>
  <c r="CQ89" i="2"/>
  <c r="CO89" i="2"/>
  <c r="CN89" i="2"/>
  <c r="CM89" i="2"/>
  <c r="CL89" i="2"/>
  <c r="CJ89" i="2"/>
  <c r="CJ92" i="2" s="1"/>
  <c r="CI89" i="2"/>
  <c r="CH89" i="2"/>
  <c r="CG89" i="2"/>
  <c r="CE89" i="2"/>
  <c r="CE92" i="2" s="1"/>
  <c r="CD89" i="2"/>
  <c r="CC89" i="2"/>
  <c r="CB89" i="2"/>
  <c r="BZ89" i="2"/>
  <c r="BY89" i="2"/>
  <c r="BX89" i="2"/>
  <c r="BX92" i="2" s="1"/>
  <c r="BW89" i="2"/>
  <c r="BV89" i="2"/>
  <c r="BU89" i="2"/>
  <c r="BT89" i="2"/>
  <c r="BT92" i="2" s="1"/>
  <c r="BS89" i="2"/>
  <c r="BR89" i="2"/>
  <c r="BQ89" i="2"/>
  <c r="BP89" i="2"/>
  <c r="BO89" i="2"/>
  <c r="BN89" i="2"/>
  <c r="BS92" i="2" s="1"/>
  <c r="BM89" i="2"/>
  <c r="BK89" i="2"/>
  <c r="BK94" i="2" s="1"/>
  <c r="BJ89" i="2"/>
  <c r="BI89" i="2"/>
  <c r="BI94" i="2" s="1"/>
  <c r="BH89" i="2"/>
  <c r="BH94" i="2" s="1"/>
  <c r="BF89" i="2"/>
  <c r="BF94" i="2" s="1"/>
  <c r="BE89" i="2"/>
  <c r="BD89" i="2"/>
  <c r="BC89" i="2"/>
  <c r="BA89" i="2"/>
  <c r="BA94" i="2" s="1"/>
  <c r="AZ89" i="2"/>
  <c r="AZ94" i="2" s="1"/>
  <c r="AY89" i="2"/>
  <c r="AX89" i="2"/>
  <c r="DJ84" i="2"/>
  <c r="DG84" i="2"/>
  <c r="DF84" i="2"/>
  <c r="DE84" i="2"/>
  <c r="DD84" i="2"/>
  <c r="DC84" i="2"/>
  <c r="DB84" i="2"/>
  <c r="DA84" i="2"/>
  <c r="DF83" i="2"/>
  <c r="DA83" i="2"/>
  <c r="DJ82" i="2"/>
  <c r="DE82" i="2"/>
  <c r="CZ82" i="2"/>
  <c r="CU82" i="2"/>
  <c r="CP82" i="2"/>
  <c r="CK82" i="2"/>
  <c r="CF82" i="2"/>
  <c r="CA82" i="2"/>
  <c r="BV82" i="2"/>
  <c r="BQ82" i="2"/>
  <c r="BL82" i="2"/>
  <c r="BG82" i="2"/>
  <c r="BB82" i="2"/>
  <c r="AW82" i="2"/>
  <c r="AR82" i="2"/>
  <c r="AM82" i="2"/>
  <c r="AH82" i="2"/>
  <c r="CX60" i="2"/>
  <c r="CW60" i="2"/>
  <c r="CV60" i="2"/>
  <c r="CT60" i="2"/>
  <c r="CS60" i="2"/>
  <c r="CR60" i="2"/>
  <c r="CQ60" i="2"/>
  <c r="CO60" i="2"/>
  <c r="CN60" i="2"/>
  <c r="CM60" i="2"/>
  <c r="CL60" i="2"/>
  <c r="CJ60" i="2"/>
  <c r="CI60" i="2"/>
  <c r="CH60" i="2"/>
  <c r="CG60" i="2"/>
  <c r="CE60" i="2"/>
  <c r="CD60" i="2"/>
  <c r="CC60" i="2"/>
  <c r="CB60" i="2"/>
  <c r="BZ60" i="2"/>
  <c r="BY60" i="2"/>
  <c r="BX60" i="2"/>
  <c r="BW60" i="2"/>
  <c r="BV60" i="2"/>
  <c r="BU60" i="2"/>
  <c r="BT60" i="2"/>
  <c r="BS60" i="2"/>
  <c r="BR60" i="2"/>
  <c r="BQ60" i="2"/>
  <c r="BP60" i="2"/>
  <c r="BO60" i="2"/>
  <c r="BN60" i="2"/>
  <c r="BM60" i="2"/>
  <c r="BL60" i="2"/>
  <c r="BK60" i="2"/>
  <c r="BJ60" i="2"/>
  <c r="BI60" i="2"/>
  <c r="BH60" i="2"/>
  <c r="BG60" i="2"/>
  <c r="DJ54" i="2"/>
  <c r="DE54" i="2"/>
  <c r="CZ54" i="2"/>
  <c r="CU54" i="2"/>
  <c r="CP54" i="2"/>
  <c r="CK54" i="2"/>
  <c r="CF54" i="2"/>
  <c r="CA54" i="2"/>
  <c r="BV54" i="2"/>
  <c r="BQ54" i="2"/>
  <c r="BL54" i="2"/>
  <c r="BG54" i="2"/>
  <c r="BB54" i="2"/>
  <c r="AW54" i="2"/>
  <c r="AR54" i="2"/>
  <c r="AM54" i="2"/>
  <c r="AH54" i="2"/>
  <c r="CV51" i="2"/>
  <c r="CQ51" i="2"/>
  <c r="CO51" i="2"/>
  <c r="CN51" i="2"/>
  <c r="CM51" i="2"/>
  <c r="CL51" i="2"/>
  <c r="CI51" i="2"/>
  <c r="CH51" i="2"/>
  <c r="CG51" i="2"/>
  <c r="CB51" i="2"/>
  <c r="BZ51" i="2"/>
  <c r="BW51" i="2"/>
  <c r="BU51" i="2"/>
  <c r="BT51" i="2"/>
  <c r="BS51" i="2"/>
  <c r="BR51" i="2"/>
  <c r="BP51" i="2"/>
  <c r="BO51" i="2"/>
  <c r="BN51" i="2"/>
  <c r="BM51" i="2"/>
  <c r="BG50" i="2"/>
  <c r="BB50" i="2"/>
  <c r="BG51" i="2" s="1"/>
  <c r="AW50" i="2"/>
  <c r="AW51" i="2" s="1"/>
  <c r="AR50" i="2"/>
  <c r="AM50" i="2"/>
  <c r="AH50" i="2"/>
  <c r="AC50" i="2"/>
  <c r="AC51" i="2" s="1"/>
  <c r="X50" i="2"/>
  <c r="CP50" i="2"/>
  <c r="CK50" i="2"/>
  <c r="CE50" i="2"/>
  <c r="CE51" i="2"/>
  <c r="CA50" i="2"/>
  <c r="BV50" i="2"/>
  <c r="BQ50" i="2"/>
  <c r="BQ49" i="2" s="1"/>
  <c r="BL50" i="2"/>
  <c r="BL49" i="2"/>
  <c r="CO49" i="2"/>
  <c r="CO202" i="3"/>
  <c r="CO200" i="3" s="1"/>
  <c r="CN49" i="2"/>
  <c r="CN202" i="3"/>
  <c r="CN200" i="3" s="1"/>
  <c r="CM49" i="2"/>
  <c r="CM202" i="3"/>
  <c r="CM200" i="3" s="1"/>
  <c r="CL49" i="2"/>
  <c r="CL202" i="3"/>
  <c r="CJ49" i="2"/>
  <c r="CJ202" i="3"/>
  <c r="CJ200" i="3" s="1"/>
  <c r="CI49" i="2"/>
  <c r="CI202" i="3"/>
  <c r="CI200" i="3" s="1"/>
  <c r="CH49" i="2"/>
  <c r="CH202" i="3"/>
  <c r="CE49" i="2"/>
  <c r="CE202" i="3"/>
  <c r="CE200" i="3" s="1"/>
  <c r="CD49" i="2"/>
  <c r="CD202" i="3"/>
  <c r="CD200" i="3" s="1"/>
  <c r="CC49" i="2"/>
  <c r="CC202" i="3"/>
  <c r="CC200" i="3" s="1"/>
  <c r="CB49" i="2"/>
  <c r="CB202" i="3"/>
  <c r="CB200" i="3" s="1"/>
  <c r="BU49" i="2"/>
  <c r="BT49" i="2"/>
  <c r="BS49" i="2"/>
  <c r="BR49" i="2"/>
  <c r="BP49" i="2"/>
  <c r="BO49" i="2"/>
  <c r="BN49" i="2"/>
  <c r="BM49" i="2"/>
  <c r="CU47" i="2"/>
  <c r="CP47" i="2"/>
  <c r="T50" i="5" s="1"/>
  <c r="CK47" i="2"/>
  <c r="CK46" i="2"/>
  <c r="CK42" i="2"/>
  <c r="CF47" i="2"/>
  <c r="CF46" i="2"/>
  <c r="CA47" i="2"/>
  <c r="CA206" i="3" s="1"/>
  <c r="AX47" i="2"/>
  <c r="AT47" i="2"/>
  <c r="AS47" i="2"/>
  <c r="AP47" i="2"/>
  <c r="AN47" i="2"/>
  <c r="AM47" i="2"/>
  <c r="AM206" i="3"/>
  <c r="AK47" i="2"/>
  <c r="AJ47" i="2"/>
  <c r="AI47" i="2"/>
  <c r="AH47" i="2"/>
  <c r="AH206" i="3"/>
  <c r="AF47" i="2"/>
  <c r="AE47" i="2"/>
  <c r="AD47" i="2"/>
  <c r="AC47" i="2"/>
  <c r="AC206" i="3"/>
  <c r="V47" i="2"/>
  <c r="U47" i="2"/>
  <c r="T47" i="2"/>
  <c r="Q47" i="2"/>
  <c r="P47" i="2"/>
  <c r="O47" i="2"/>
  <c r="I47" i="2"/>
  <c r="I206" i="3"/>
  <c r="I46" i="2"/>
  <c r="BW46" i="2"/>
  <c r="AE46" i="2"/>
  <c r="AD46" i="2"/>
  <c r="V46" i="2"/>
  <c r="P46" i="2"/>
  <c r="O46" i="2"/>
  <c r="CV45" i="2"/>
  <c r="CO46" i="2"/>
  <c r="CN46" i="2"/>
  <c r="CM46" i="2"/>
  <c r="CL46" i="2"/>
  <c r="CO45" i="2"/>
  <c r="CO38" i="2" s="1"/>
  <c r="CN45" i="2"/>
  <c r="CN38" i="2" s="1"/>
  <c r="CM45" i="2"/>
  <c r="CM38" i="2" s="1"/>
  <c r="CL45" i="2"/>
  <c r="CL38" i="2"/>
  <c r="CI45" i="2"/>
  <c r="CH45" i="2"/>
  <c r="CH39" i="2" s="1"/>
  <c r="CH1" i="6" s="1"/>
  <c r="CE45" i="2"/>
  <c r="CE38" i="2" s="1"/>
  <c r="N8" i="5"/>
  <c r="CJ44" i="2"/>
  <c r="CK44" i="2"/>
  <c r="CX45" i="2"/>
  <c r="CW43" i="2"/>
  <c r="CU43" i="2"/>
  <c r="CU42" i="2"/>
  <c r="CP43" i="2"/>
  <c r="CP42" i="2"/>
  <c r="CZ42" i="2"/>
  <c r="CF42" i="2"/>
  <c r="CV39" i="2"/>
  <c r="CU39" i="2"/>
  <c r="CT39" i="2"/>
  <c r="CS39" i="2"/>
  <c r="AF23" i="9" s="1"/>
  <c r="CR39" i="2"/>
  <c r="CQ39" i="2"/>
  <c r="CO39" i="2"/>
  <c r="CN39" i="2"/>
  <c r="CN1" i="6" s="1"/>
  <c r="CM39" i="2"/>
  <c r="CL39" i="2"/>
  <c r="CI39" i="2"/>
  <c r="CE39" i="2"/>
  <c r="R123" i="9" s="1"/>
  <c r="CJ38" i="2"/>
  <c r="CI38" i="2"/>
  <c r="CH38" i="2"/>
  <c r="DJ28" i="2"/>
  <c r="DJ26" i="2"/>
  <c r="DJ25" i="2"/>
  <c r="DE28" i="2"/>
  <c r="DE26" i="2"/>
  <c r="DE25" i="2"/>
  <c r="CZ28" i="2"/>
  <c r="CZ25" i="2"/>
  <c r="CU28" i="2"/>
  <c r="CU26" i="2"/>
  <c r="CU25" i="2"/>
  <c r="CU23" i="2"/>
  <c r="CP28" i="2"/>
  <c r="CP25" i="2"/>
  <c r="CP23" i="2"/>
  <c r="CK28" i="2"/>
  <c r="CK26" i="2"/>
  <c r="CK25" i="2"/>
  <c r="CK23" i="2"/>
  <c r="CF28" i="2"/>
  <c r="CF26" i="2"/>
  <c r="CF25" i="2"/>
  <c r="CF23" i="2"/>
  <c r="CA28" i="2"/>
  <c r="CA26" i="2"/>
  <c r="CA25" i="2"/>
  <c r="CA23" i="2"/>
  <c r="BV28" i="2"/>
  <c r="BQ28" i="2"/>
  <c r="BL28" i="2"/>
  <c r="BG28" i="2"/>
  <c r="BB28" i="2"/>
  <c r="BB26" i="2"/>
  <c r="BB25" i="2"/>
  <c r="AW28" i="2"/>
  <c r="AW26" i="2"/>
  <c r="AW25" i="2"/>
  <c r="AW23" i="2"/>
  <c r="AR28" i="2"/>
  <c r="AR26" i="2"/>
  <c r="AR25" i="2"/>
  <c r="AR23" i="2"/>
  <c r="AM28" i="2"/>
  <c r="AM26" i="2"/>
  <c r="AM25" i="2"/>
  <c r="AM23" i="2"/>
  <c r="AH28" i="2"/>
  <c r="AH26" i="2"/>
  <c r="AH25" i="2"/>
  <c r="AH23" i="2"/>
  <c r="AC28" i="2"/>
  <c r="AC26" i="2"/>
  <c r="AC25" i="2"/>
  <c r="AC23" i="2"/>
  <c r="X28" i="2"/>
  <c r="X26" i="2"/>
  <c r="X25" i="2"/>
  <c r="X23" i="2"/>
  <c r="S28" i="2"/>
  <c r="S26" i="2"/>
  <c r="S25" i="2"/>
  <c r="N28" i="2"/>
  <c r="N26" i="2"/>
  <c r="N25" i="2"/>
  <c r="N23" i="2"/>
  <c r="I28" i="2"/>
  <c r="CX26" i="2"/>
  <c r="CZ26" i="2"/>
  <c r="CW26" i="2"/>
  <c r="CN26" i="2"/>
  <c r="CP26" i="2"/>
  <c r="BV25" i="2"/>
  <c r="BV23" i="2"/>
  <c r="I25" i="2"/>
  <c r="I23" i="2"/>
  <c r="BU23" i="2"/>
  <c r="BT23" i="2"/>
  <c r="CQ20" i="2"/>
  <c r="CQ20" i="8"/>
  <c r="CO20" i="2"/>
  <c r="CO20" i="8"/>
  <c r="CN20" i="2"/>
  <c r="CN20" i="8"/>
  <c r="CM20" i="2"/>
  <c r="CM20" i="8"/>
  <c r="CL20" i="2"/>
  <c r="CL20" i="8"/>
  <c r="CJ20" i="2"/>
  <c r="CJ20" i="8"/>
  <c r="CI20" i="2"/>
  <c r="CI20" i="8"/>
  <c r="CH20" i="2"/>
  <c r="CH20" i="8"/>
  <c r="CG20" i="2"/>
  <c r="CG20" i="8"/>
  <c r="CE20" i="2"/>
  <c r="CE20" i="8"/>
  <c r="CD20" i="2"/>
  <c r="CD20" i="8"/>
  <c r="CC20" i="2"/>
  <c r="CC20" i="8"/>
  <c r="CB20" i="2"/>
  <c r="BZ20" i="2"/>
  <c r="BY20" i="2"/>
  <c r="BX20" i="2"/>
  <c r="BW20" i="2"/>
  <c r="BV20" i="2"/>
  <c r="BV20" i="8" s="1"/>
  <c r="BU20" i="2"/>
  <c r="BT20" i="2"/>
  <c r="BS20" i="2"/>
  <c r="BR20" i="2"/>
  <c r="BQ20" i="2"/>
  <c r="BQ20" i="8" s="1"/>
  <c r="BP20" i="2"/>
  <c r="BO20" i="2"/>
  <c r="BN20" i="2"/>
  <c r="BM20" i="2"/>
  <c r="BL20" i="2"/>
  <c r="BL20" i="8" s="1"/>
  <c r="BK20" i="2"/>
  <c r="BJ20" i="2"/>
  <c r="BI20" i="2"/>
  <c r="BH20" i="2"/>
  <c r="BG20" i="2"/>
  <c r="BF20" i="2"/>
  <c r="BE20" i="2"/>
  <c r="BD20" i="2"/>
  <c r="BC20" i="2"/>
  <c r="BB20" i="2"/>
  <c r="BA20" i="2"/>
  <c r="AZ20" i="2"/>
  <c r="AY20" i="2"/>
  <c r="AX20" i="2"/>
  <c r="AV20" i="2"/>
  <c r="AU20" i="2"/>
  <c r="AT20" i="2"/>
  <c r="AS20" i="2"/>
  <c r="CU19" i="2"/>
  <c r="CP19" i="2"/>
  <c r="CP18" i="2"/>
  <c r="CP16" i="2"/>
  <c r="T57" i="5"/>
  <c r="CP11" i="2"/>
  <c r="CK19" i="2"/>
  <c r="CK18" i="2"/>
  <c r="CK11" i="2"/>
  <c r="CF19" i="2"/>
  <c r="CF18" i="2"/>
  <c r="CF305" i="3"/>
  <c r="CF13" i="2"/>
  <c r="CF11" i="2"/>
  <c r="CA18" i="2"/>
  <c r="CA305" i="3" s="1"/>
  <c r="CA11" i="2"/>
  <c r="CA278" i="3" s="1"/>
  <c r="CA279" i="3" s="1"/>
  <c r="CA284" i="3" s="1"/>
  <c r="BI19" i="2"/>
  <c r="BB19" i="2"/>
  <c r="BG19" i="2" s="1"/>
  <c r="BL19" i="2" s="1"/>
  <c r="BQ19" i="2" s="1"/>
  <c r="BV19" i="2" s="1"/>
  <c r="CA19" i="2" s="1"/>
  <c r="AR19" i="2"/>
  <c r="AR18" i="2"/>
  <c r="AR16" i="2"/>
  <c r="CW18" i="2"/>
  <c r="CW305" i="3"/>
  <c r="CU18" i="2"/>
  <c r="CU305" i="3"/>
  <c r="CU16" i="2"/>
  <c r="CU11" i="2"/>
  <c r="CU185" i="3" s="1"/>
  <c r="AW18" i="2"/>
  <c r="AW16" i="2"/>
  <c r="AW94" i="2" s="1"/>
  <c r="AW13" i="2"/>
  <c r="AW11" i="2"/>
  <c r="AW262" i="3" s="1"/>
  <c r="AW263" i="3" s="1"/>
  <c r="AW282" i="3" s="1"/>
  <c r="AW10" i="2"/>
  <c r="AW183" i="3" s="1"/>
  <c r="AW184" i="3" s="1"/>
  <c r="AW275" i="3" s="1"/>
  <c r="AW283" i="3" s="1"/>
  <c r="AM18" i="2"/>
  <c r="AM16" i="2"/>
  <c r="AM94" i="2"/>
  <c r="AH18" i="2"/>
  <c r="AH305" i="3"/>
  <c r="AH16" i="2"/>
  <c r="AC18" i="2"/>
  <c r="AC16" i="2"/>
  <c r="X18" i="2"/>
  <c r="X16" i="2"/>
  <c r="S16" i="2"/>
  <c r="O18" i="2"/>
  <c r="S18" i="2"/>
  <c r="S20" i="2" s="1"/>
  <c r="J18" i="2"/>
  <c r="N18" i="2"/>
  <c r="I18" i="2"/>
  <c r="I305" i="3"/>
  <c r="CH16" i="2"/>
  <c r="CH14" i="2"/>
  <c r="CG16" i="2"/>
  <c r="CG14" i="2" s="1"/>
  <c r="BG16" i="2"/>
  <c r="BB16" i="2"/>
  <c r="BB94" i="2"/>
  <c r="AA16" i="2"/>
  <c r="AA34" i="7"/>
  <c r="AA13" i="2"/>
  <c r="AA14" i="2"/>
  <c r="N16" i="2"/>
  <c r="I16" i="2"/>
  <c r="I94" i="2" s="1"/>
  <c r="AB14" i="2"/>
  <c r="CX14" i="2"/>
  <c r="CW14" i="2"/>
  <c r="CV14" i="2"/>
  <c r="CZ14" i="2" s="1"/>
  <c r="CT14" i="2"/>
  <c r="CS14" i="2"/>
  <c r="CR14" i="2"/>
  <c r="CQ14" i="2"/>
  <c r="CU14" i="2" s="1"/>
  <c r="CU13" i="2" s="1"/>
  <c r="CO14" i="2"/>
  <c r="CN14" i="2"/>
  <c r="CM14" i="2"/>
  <c r="CL14" i="2"/>
  <c r="CI14" i="2"/>
  <c r="CE16" i="2"/>
  <c r="CD16" i="2"/>
  <c r="CC16" i="2"/>
  <c r="CB16" i="2"/>
  <c r="BZ16" i="2"/>
  <c r="BY16" i="2"/>
  <c r="BX16" i="2"/>
  <c r="BW16" i="2"/>
  <c r="BV16" i="2"/>
  <c r="BV94" i="2" s="1"/>
  <c r="BU16" i="2"/>
  <c r="BT16" i="2"/>
  <c r="BS16" i="2"/>
  <c r="BR16" i="2"/>
  <c r="BQ16" i="2"/>
  <c r="BQ94" i="2" s="1"/>
  <c r="BP16" i="2"/>
  <c r="BO16" i="2"/>
  <c r="BO94" i="2" s="1"/>
  <c r="BN16" i="2"/>
  <c r="BM16" i="2"/>
  <c r="BL16" i="2"/>
  <c r="BL94" i="2" s="1"/>
  <c r="BK14" i="2"/>
  <c r="BJ14" i="2"/>
  <c r="BI14" i="2"/>
  <c r="BH14" i="2"/>
  <c r="BF14" i="2"/>
  <c r="BE14" i="2"/>
  <c r="BD14" i="2"/>
  <c r="BC14" i="2"/>
  <c r="BA14" i="2"/>
  <c r="AZ14" i="2"/>
  <c r="AY14" i="2"/>
  <c r="AX14" i="2"/>
  <c r="AV14" i="2"/>
  <c r="AU14" i="2"/>
  <c r="AT14" i="2"/>
  <c r="AS14" i="2"/>
  <c r="AQ14" i="2"/>
  <c r="AP14" i="2"/>
  <c r="AO14" i="2"/>
  <c r="AN14" i="2"/>
  <c r="AL14" i="2"/>
  <c r="AK14" i="2"/>
  <c r="AJ14" i="2"/>
  <c r="AI14" i="2"/>
  <c r="AF14" i="2"/>
  <c r="AE14" i="2"/>
  <c r="AD14" i="2"/>
  <c r="Z14" i="2"/>
  <c r="Y14" i="2"/>
  <c r="W14" i="2"/>
  <c r="V14" i="2"/>
  <c r="U14" i="2"/>
  <c r="T14" i="2"/>
  <c r="R14" i="2"/>
  <c r="Q14" i="2"/>
  <c r="P14" i="2"/>
  <c r="O14" i="2"/>
  <c r="M14" i="2"/>
  <c r="L14" i="2"/>
  <c r="K14" i="2"/>
  <c r="J14" i="2"/>
  <c r="AR13" i="2"/>
  <c r="AR60" i="2" s="1"/>
  <c r="AR11" i="2"/>
  <c r="AR278" i="3"/>
  <c r="AR279" i="3" s="1"/>
  <c r="AR284" i="3" s="1"/>
  <c r="AM13" i="2"/>
  <c r="AM11" i="2"/>
  <c r="AG13" i="2"/>
  <c r="AC13" i="2"/>
  <c r="AC89" i="2" s="1"/>
  <c r="AC11" i="2"/>
  <c r="X13" i="2"/>
  <c r="X11" i="2"/>
  <c r="S13" i="2"/>
  <c r="S89" i="2" s="1"/>
  <c r="N13" i="2"/>
  <c r="N11" i="2"/>
  <c r="N9" i="2"/>
  <c r="I13" i="2"/>
  <c r="I11" i="2"/>
  <c r="H12" i="2"/>
  <c r="H17" i="2" s="1"/>
  <c r="H22" i="2" s="1"/>
  <c r="H15" i="2"/>
  <c r="H67" i="8" s="1"/>
  <c r="G12" i="2"/>
  <c r="G17" i="2" s="1"/>
  <c r="F12" i="2"/>
  <c r="F17" i="2" s="1"/>
  <c r="E12" i="2"/>
  <c r="E17" i="2" s="1"/>
  <c r="BV11" i="2"/>
  <c r="BV185" i="3" s="1"/>
  <c r="AH11" i="2"/>
  <c r="BA9" i="2"/>
  <c r="AZ9" i="2"/>
  <c r="AY9" i="2"/>
  <c r="AX9" i="2"/>
  <c r="CX9" i="2"/>
  <c r="CW9" i="2"/>
  <c r="CV9" i="2"/>
  <c r="CX8" i="2"/>
  <c r="CW8" i="2"/>
  <c r="CV8" i="2"/>
  <c r="CS9" i="2"/>
  <c r="CR9" i="2"/>
  <c r="CT8" i="2"/>
  <c r="CS8" i="2"/>
  <c r="CR8" i="2"/>
  <c r="CQ8" i="2"/>
  <c r="CO9" i="2"/>
  <c r="CN9" i="2"/>
  <c r="CL9" i="2"/>
  <c r="CO8" i="2"/>
  <c r="CN8" i="2"/>
  <c r="CM8" i="2"/>
  <c r="CL8" i="2"/>
  <c r="CI9" i="2"/>
  <c r="CI10" i="2" s="1"/>
  <c r="CJ8" i="2"/>
  <c r="CI8" i="2"/>
  <c r="CH8" i="2"/>
  <c r="CG8" i="2"/>
  <c r="CE9" i="2"/>
  <c r="CE8" i="2"/>
  <c r="CD8" i="2"/>
  <c r="CC8" i="2"/>
  <c r="CB8" i="2"/>
  <c r="BX9" i="2"/>
  <c r="BZ8" i="2"/>
  <c r="BY8" i="2"/>
  <c r="BX8" i="2"/>
  <c r="BW8" i="2"/>
  <c r="BU8" i="2"/>
  <c r="BT8" i="2"/>
  <c r="BS8" i="2"/>
  <c r="BR8" i="2"/>
  <c r="BP8" i="2"/>
  <c r="BO8" i="2"/>
  <c r="BN8" i="2"/>
  <c r="BM8" i="2"/>
  <c r="BH9" i="2"/>
  <c r="BF9" i="2"/>
  <c r="BD9" i="2"/>
  <c r="BK8" i="2"/>
  <c r="BJ8" i="2"/>
  <c r="BI8" i="2"/>
  <c r="BH8" i="2"/>
  <c r="BF8" i="2"/>
  <c r="BE8" i="2"/>
  <c r="BD8" i="2"/>
  <c r="BC8" i="2"/>
  <c r="BA8" i="2"/>
  <c r="AZ8" i="2"/>
  <c r="AY8" i="2"/>
  <c r="AX8" i="2"/>
  <c r="AV9" i="2"/>
  <c r="AU9" i="2"/>
  <c r="AT9" i="2"/>
  <c r="AS9" i="2"/>
  <c r="AV8" i="2"/>
  <c r="AU8" i="2"/>
  <c r="AU10" i="2" s="1"/>
  <c r="AU12" i="2" s="1"/>
  <c r="AU17" i="2" s="1"/>
  <c r="AT8" i="2"/>
  <c r="AT10" i="2" s="1"/>
  <c r="AT12" i="2" s="1"/>
  <c r="AT17" i="2" s="1"/>
  <c r="AS8" i="2"/>
  <c r="AS10" i="2" s="1"/>
  <c r="AS12" i="2" s="1"/>
  <c r="AS17" i="2" s="1"/>
  <c r="AQ9" i="2"/>
  <c r="AP9" i="2"/>
  <c r="AO9" i="2"/>
  <c r="AN9" i="2"/>
  <c r="AQ8" i="2"/>
  <c r="AP8" i="2"/>
  <c r="AO8" i="2"/>
  <c r="AN8" i="2"/>
  <c r="AN10" i="2" s="1"/>
  <c r="AN12" i="2" s="1"/>
  <c r="AN17" i="2" s="1"/>
  <c r="AL9" i="2"/>
  <c r="AK9" i="2"/>
  <c r="AJ9" i="2"/>
  <c r="AI9" i="2"/>
  <c r="AL8" i="2"/>
  <c r="AK8" i="2"/>
  <c r="AK10" i="2" s="1"/>
  <c r="AK12" i="2" s="1"/>
  <c r="AK17" i="2" s="1"/>
  <c r="AJ8" i="2"/>
  <c r="AJ10" i="2" s="1"/>
  <c r="AJ12" i="2" s="1"/>
  <c r="AJ17" i="2" s="1"/>
  <c r="AI8" i="2"/>
  <c r="AI10" i="2" s="1"/>
  <c r="AI12" i="2" s="1"/>
  <c r="AI17" i="2" s="1"/>
  <c r="AG9" i="2"/>
  <c r="AF9" i="2"/>
  <c r="AE9" i="2"/>
  <c r="AD9" i="2"/>
  <c r="AG8" i="2"/>
  <c r="AG10" i="2" s="1"/>
  <c r="AG12" i="2" s="1"/>
  <c r="AG17" i="2" s="1"/>
  <c r="AF8" i="2"/>
  <c r="AE8" i="2"/>
  <c r="AD8" i="2"/>
  <c r="AD10" i="2" s="1"/>
  <c r="AD12" i="2" s="1"/>
  <c r="AD17" i="2" s="1"/>
  <c r="AD22" i="2" s="1"/>
  <c r="AD24" i="2" s="1"/>
  <c r="AD27" i="2" s="1"/>
  <c r="AD29" i="2" s="1"/>
  <c r="AB9" i="2"/>
  <c r="AA9" i="2"/>
  <c r="Z9" i="2"/>
  <c r="Y9" i="2"/>
  <c r="AB8" i="2"/>
  <c r="AB10" i="2" s="1"/>
  <c r="AB12" i="2" s="1"/>
  <c r="AB17" i="2" s="1"/>
  <c r="AB22" i="2" s="1"/>
  <c r="AB24" i="2" s="1"/>
  <c r="AB27" i="2" s="1"/>
  <c r="AB29" i="2" s="1"/>
  <c r="AB31" i="2" s="1"/>
  <c r="AA8" i="2"/>
  <c r="Z8" i="2"/>
  <c r="Z10" i="2" s="1"/>
  <c r="Z12" i="2" s="1"/>
  <c r="Z17" i="2" s="1"/>
  <c r="Z22" i="2" s="1"/>
  <c r="Z24" i="2" s="1"/>
  <c r="Z27" i="2" s="1"/>
  <c r="Z29" i="2" s="1"/>
  <c r="Z35" i="2" s="1"/>
  <c r="Y8" i="2"/>
  <c r="Y10" i="2" s="1"/>
  <c r="Y12" i="2" s="1"/>
  <c r="Y17" i="2" s="1"/>
  <c r="W9" i="2"/>
  <c r="V9" i="2"/>
  <c r="U9" i="2"/>
  <c r="T9" i="2"/>
  <c r="R9" i="2"/>
  <c r="Q9" i="2"/>
  <c r="P9" i="2"/>
  <c r="O9" i="2"/>
  <c r="W8" i="2"/>
  <c r="W10" i="2" s="1"/>
  <c r="W12" i="2" s="1"/>
  <c r="W17" i="2" s="1"/>
  <c r="V8" i="2"/>
  <c r="V10" i="2" s="1"/>
  <c r="V12" i="2" s="1"/>
  <c r="V17" i="2" s="1"/>
  <c r="U8" i="2"/>
  <c r="U10" i="2" s="1"/>
  <c r="U12" i="2" s="1"/>
  <c r="U17" i="2" s="1"/>
  <c r="T8" i="2"/>
  <c r="R8" i="2"/>
  <c r="Q8" i="2"/>
  <c r="P8" i="2"/>
  <c r="O8" i="2"/>
  <c r="M8" i="2"/>
  <c r="M10" i="2" s="1"/>
  <c r="M12" i="2" s="1"/>
  <c r="M17" i="2" s="1"/>
  <c r="L8" i="2"/>
  <c r="L10" i="2" s="1"/>
  <c r="L12" i="2" s="1"/>
  <c r="L17" i="2" s="1"/>
  <c r="K8" i="2"/>
  <c r="J8" i="2"/>
  <c r="J10" i="2" s="1"/>
  <c r="J12" i="2" s="1"/>
  <c r="J17" i="2" s="1"/>
  <c r="J15" i="2" s="1"/>
  <c r="J67" i="8" s="1"/>
  <c r="DJ4" i="2"/>
  <c r="DE4" i="2"/>
  <c r="CZ4" i="2"/>
  <c r="CU4" i="2"/>
  <c r="CP4" i="2"/>
  <c r="CK4" i="2"/>
  <c r="CF4" i="2"/>
  <c r="CA4" i="2"/>
  <c r="BV4" i="2"/>
  <c r="BQ4" i="2"/>
  <c r="BL4" i="2"/>
  <c r="BG4" i="2"/>
  <c r="BB4" i="2"/>
  <c r="AW4" i="2"/>
  <c r="AR4" i="2"/>
  <c r="AM4" i="2"/>
  <c r="AH4" i="2"/>
  <c r="B3" i="2"/>
  <c r="BA204" i="9"/>
  <c r="BA168" i="9"/>
  <c r="AZ204" i="9"/>
  <c r="BA164" i="9"/>
  <c r="AZ49" i="7"/>
  <c r="I22" i="7"/>
  <c r="AX163" i="9"/>
  <c r="AN28" i="5"/>
  <c r="AP18" i="5"/>
  <c r="AN18" i="5"/>
  <c r="Z123" i="9"/>
  <c r="Z1" i="9"/>
  <c r="Z23" i="9"/>
  <c r="CM1" i="6"/>
  <c r="CR40" i="2"/>
  <c r="AB8" i="5" s="1"/>
  <c r="AE23" i="9"/>
  <c r="AE123" i="9"/>
  <c r="CR1" i="6"/>
  <c r="AE1" i="9"/>
  <c r="AB7" i="5"/>
  <c r="AI23" i="9"/>
  <c r="AI123" i="9"/>
  <c r="CV1" i="6"/>
  <c r="AI1" i="9"/>
  <c r="BP110" i="2"/>
  <c r="AB57" i="5"/>
  <c r="AE57" i="5"/>
  <c r="V1" i="9"/>
  <c r="T7" i="5"/>
  <c r="AE50" i="5"/>
  <c r="AB50" i="5"/>
  <c r="BJ94" i="2"/>
  <c r="CU1" i="6"/>
  <c r="AB48" i="5"/>
  <c r="AE48" i="5"/>
  <c r="CA20" i="2"/>
  <c r="CA20" i="8" s="1"/>
  <c r="CF20" i="2"/>
  <c r="CB20" i="8"/>
  <c r="CK20" i="2"/>
  <c r="CP20" i="2"/>
  <c r="CT40" i="2"/>
  <c r="AE8" i="5" s="1"/>
  <c r="AF8" i="5" s="1"/>
  <c r="CT1" i="6"/>
  <c r="AG123" i="9"/>
  <c r="AG1" i="9"/>
  <c r="AG23" i="9"/>
  <c r="AE7" i="5"/>
  <c r="CX38" i="2"/>
  <c r="CG49" i="2"/>
  <c r="CG202" i="3" s="1"/>
  <c r="CG200" i="3" s="1"/>
  <c r="CN97" i="2"/>
  <c r="CO244" i="6"/>
  <c r="CM131" i="6"/>
  <c r="CR131" i="6" s="1"/>
  <c r="BR170" i="6"/>
  <c r="CO222" i="6"/>
  <c r="CG222" i="6"/>
  <c r="CN222" i="6"/>
  <c r="AA127" i="9"/>
  <c r="Q127" i="9"/>
  <c r="CE222" i="6"/>
  <c r="R127" i="9"/>
  <c r="BX222" i="6"/>
  <c r="K127" i="9"/>
  <c r="AE20" i="5"/>
  <c r="CS222" i="6"/>
  <c r="AF127" i="9"/>
  <c r="AF128" i="9"/>
  <c r="P127" i="9"/>
  <c r="M20" i="5"/>
  <c r="CJ222" i="6"/>
  <c r="U129" i="9"/>
  <c r="BZ222" i="6"/>
  <c r="M127" i="9"/>
  <c r="BY222" i="6"/>
  <c r="L127" i="9"/>
  <c r="Y127" i="9"/>
  <c r="M195" i="9"/>
  <c r="M159" i="9"/>
  <c r="T195" i="9"/>
  <c r="AA129" i="9"/>
  <c r="CR222" i="6"/>
  <c r="AA189" i="9"/>
  <c r="CH222" i="6"/>
  <c r="U127" i="9"/>
  <c r="U128" i="9" s="1"/>
  <c r="BR222" i="6"/>
  <c r="E127" i="9"/>
  <c r="T121" i="9"/>
  <c r="AD195" i="9"/>
  <c r="AD159" i="9"/>
  <c r="BP34" i="7"/>
  <c r="BU74" i="7"/>
  <c r="BU97" i="7" s="1"/>
  <c r="CZ65" i="8"/>
  <c r="CY65" i="8"/>
  <c r="DJ341" i="8"/>
  <c r="DJ343" i="8"/>
  <c r="DO341" i="8"/>
  <c r="DO343" i="8"/>
  <c r="DE49" i="8"/>
  <c r="CE242" i="8"/>
  <c r="CE244" i="8"/>
  <c r="CE246" i="8"/>
  <c r="CJ163" i="8"/>
  <c r="CG75" i="8"/>
  <c r="CH86" i="8"/>
  <c r="DB350" i="8"/>
  <c r="CE334" i="8"/>
  <c r="CG330" i="8"/>
  <c r="CG332" i="8"/>
  <c r="CG334" i="8"/>
  <c r="CI196" i="8"/>
  <c r="CT207" i="8"/>
  <c r="CL405" i="8"/>
  <c r="CN317" i="8"/>
  <c r="CO317" i="8"/>
  <c r="CQ317" i="8"/>
  <c r="CR317" i="8"/>
  <c r="CS317" i="8"/>
  <c r="CT317" i="8"/>
  <c r="CJ306" i="8"/>
  <c r="CL306" i="8"/>
  <c r="CJ251" i="8"/>
  <c r="CS185" i="8"/>
  <c r="CI174" i="8"/>
  <c r="BQ111" i="8"/>
  <c r="CL119" i="8"/>
  <c r="DB394" i="8"/>
  <c r="DB383" i="8"/>
  <c r="CC210" i="8"/>
  <c r="CC213" i="8"/>
  <c r="CD209" i="8"/>
  <c r="CD211" i="8"/>
  <c r="CD213" i="8"/>
  <c r="CC232" i="8"/>
  <c r="CR187" i="8"/>
  <c r="CR189" i="8"/>
  <c r="CQ35" i="8"/>
  <c r="CJ152" i="8"/>
  <c r="BG92" i="7"/>
  <c r="BO210" i="7"/>
  <c r="CG96" i="7"/>
  <c r="BP92" i="7"/>
  <c r="BP106" i="7"/>
  <c r="BP101" i="7" s="1"/>
  <c r="BV47" i="7"/>
  <c r="BQ28" i="7"/>
  <c r="BQ29" i="7"/>
  <c r="BP107" i="7"/>
  <c r="BP102" i="7" s="1"/>
  <c r="BQ198" i="7"/>
  <c r="M32" i="5"/>
  <c r="AB54" i="7"/>
  <c r="AB57" i="7" s="1"/>
  <c r="CU24" i="7"/>
  <c r="CU25" i="7" s="1"/>
  <c r="AE85" i="5" s="1"/>
  <c r="AW108" i="7"/>
  <c r="AW118" i="7"/>
  <c r="AC118" i="7"/>
  <c r="AC108" i="7"/>
  <c r="S118" i="7"/>
  <c r="BK48" i="7"/>
  <c r="CS179" i="7"/>
  <c r="CS80" i="7"/>
  <c r="CS79" i="7" s="1"/>
  <c r="CS82" i="7"/>
  <c r="CX80" i="7"/>
  <c r="CX79" i="7"/>
  <c r="CT45" i="7"/>
  <c r="BB108" i="7"/>
  <c r="X118" i="7"/>
  <c r="X108" i="7"/>
  <c r="BQ215" i="7"/>
  <c r="BY121" i="7"/>
  <c r="BZ116" i="7"/>
  <c r="CD116" i="7"/>
  <c r="CD90" i="7" s="1"/>
  <c r="CC106" i="7"/>
  <c r="CS74" i="7"/>
  <c r="BN108" i="7"/>
  <c r="CC96" i="7"/>
  <c r="CC74" i="7"/>
  <c r="CC97" i="7" s="1"/>
  <c r="CC98" i="7" s="1"/>
  <c r="CC75" i="7" s="1"/>
  <c r="BX106" i="7"/>
  <c r="BX101" i="7" s="1"/>
  <c r="BX103" i="7" s="1"/>
  <c r="BA47" i="7"/>
  <c r="BA49" i="7" s="1"/>
  <c r="CA51" i="7"/>
  <c r="CP85" i="7"/>
  <c r="CP73" i="7"/>
  <c r="CL74" i="7"/>
  <c r="BR96" i="7"/>
  <c r="W32" i="5"/>
  <c r="T32" i="5"/>
  <c r="CN74" i="7"/>
  <c r="BB29" i="7"/>
  <c r="BG27" i="7"/>
  <c r="BB28" i="7"/>
  <c r="CQ118" i="7"/>
  <c r="S25" i="7"/>
  <c r="S26" i="7"/>
  <c r="I216" i="7"/>
  <c r="BZ65" i="6"/>
  <c r="BY216" i="6"/>
  <c r="BY180" i="6"/>
  <c r="CB216" i="6"/>
  <c r="CF216" i="6" s="1"/>
  <c r="CF200" i="6" s="1"/>
  <c r="CB180" i="6"/>
  <c r="CF179" i="6"/>
  <c r="CF180" i="6" s="1"/>
  <c r="BY159" i="6"/>
  <c r="BY207" i="6" s="1"/>
  <c r="BY119" i="6"/>
  <c r="CI65" i="6"/>
  <c r="BG247" i="6"/>
  <c r="BL250" i="6" s="1"/>
  <c r="CV68" i="6"/>
  <c r="CV63" i="6"/>
  <c r="CV105" i="2" s="1"/>
  <c r="CV65" i="6"/>
  <c r="CT65" i="6"/>
  <c r="CL58" i="6"/>
  <c r="CN297" i="6"/>
  <c r="CN30" i="6"/>
  <c r="CT248" i="6"/>
  <c r="BT212" i="6"/>
  <c r="BX206" i="6"/>
  <c r="CO65" i="6"/>
  <c r="CO68" i="6"/>
  <c r="CJ56" i="6"/>
  <c r="CD245" i="6"/>
  <c r="BY243" i="6"/>
  <c r="CQ43" i="6"/>
  <c r="BX61" i="6"/>
  <c r="BX224" i="6" s="1"/>
  <c r="CV43" i="6"/>
  <c r="CO180" i="6"/>
  <c r="BT216" i="6"/>
  <c r="BT180" i="6"/>
  <c r="BO180" i="6"/>
  <c r="CB118" i="6"/>
  <c r="BQ29" i="6"/>
  <c r="BQ159" i="2" s="1"/>
  <c r="CM250" i="6"/>
  <c r="CM248" i="6"/>
  <c r="CH213" i="6"/>
  <c r="CH236" i="6" s="1"/>
  <c r="BM207" i="6"/>
  <c r="CH65" i="6"/>
  <c r="CJ297" i="6"/>
  <c r="BZ257" i="6"/>
  <c r="BT207" i="6"/>
  <c r="CF223" i="6"/>
  <c r="CF247" i="6"/>
  <c r="CF24" i="6"/>
  <c r="CF242" i="6"/>
  <c r="T20" i="5"/>
  <c r="W20" i="5"/>
  <c r="CW43" i="6"/>
  <c r="CE43" i="6"/>
  <c r="CI58" i="6"/>
  <c r="CJ216" i="6"/>
  <c r="CJ180" i="6"/>
  <c r="BX216" i="6"/>
  <c r="BX180" i="6"/>
  <c r="CA99" i="6"/>
  <c r="CM65" i="6"/>
  <c r="CE68" i="6"/>
  <c r="CE65" i="6"/>
  <c r="CQ248" i="6"/>
  <c r="BW243" i="6"/>
  <c r="CB244" i="6" s="1"/>
  <c r="CB245" i="6"/>
  <c r="CJ207" i="6"/>
  <c r="CJ232" i="6"/>
  <c r="BU212" i="6"/>
  <c r="CC65" i="6"/>
  <c r="CP51" i="6"/>
  <c r="CB30" i="6"/>
  <c r="BP212" i="6"/>
  <c r="CS56" i="6"/>
  <c r="CS58" i="6"/>
  <c r="BS207" i="6"/>
  <c r="BS212" i="6"/>
  <c r="CA295" i="6"/>
  <c r="CA300" i="6" s="1"/>
  <c r="DA327" i="6"/>
  <c r="DA324" i="6"/>
  <c r="DF321" i="6"/>
  <c r="DF327" i="6" s="1"/>
  <c r="DF328" i="6" s="1"/>
  <c r="CG159" i="6"/>
  <c r="BW206" i="6"/>
  <c r="CE248" i="6"/>
  <c r="CM170" i="6"/>
  <c r="CM213" i="6" s="1"/>
  <c r="CM236" i="6" s="1"/>
  <c r="BS206" i="6"/>
  <c r="BS160" i="6"/>
  <c r="CL68" i="6"/>
  <c r="CD65" i="6"/>
  <c r="CT56" i="6"/>
  <c r="CH250" i="6"/>
  <c r="CH248" i="6"/>
  <c r="CJ244" i="6"/>
  <c r="BQ223" i="6"/>
  <c r="CO56" i="6"/>
  <c r="CO58" i="6"/>
  <c r="CM159" i="6"/>
  <c r="CR113" i="6"/>
  <c r="CR159" i="6" s="1"/>
  <c r="CR207" i="6" s="1"/>
  <c r="CR232" i="6" s="1"/>
  <c r="BU206" i="6"/>
  <c r="BU231" i="6" s="1"/>
  <c r="CN56" i="6"/>
  <c r="CN58" i="6"/>
  <c r="CT297" i="6"/>
  <c r="CV56" i="6"/>
  <c r="CQ58" i="6"/>
  <c r="CA223" i="6"/>
  <c r="CW248" i="6"/>
  <c r="CE61" i="6"/>
  <c r="CE224" i="6" s="1"/>
  <c r="CE58" i="6"/>
  <c r="M23" i="5"/>
  <c r="BB247" i="6"/>
  <c r="BB248" i="6" s="1"/>
  <c r="BB249" i="6" s="1"/>
  <c r="BB27" i="6"/>
  <c r="BL180" i="6"/>
  <c r="CZ63" i="8"/>
  <c r="AR89" i="2"/>
  <c r="AW92" i="2" s="1"/>
  <c r="X60" i="2"/>
  <c r="BP132" i="2"/>
  <c r="BP94" i="2"/>
  <c r="CC94" i="2"/>
  <c r="BU132" i="2"/>
  <c r="BU136" i="2" s="1"/>
  <c r="CH132" i="2"/>
  <c r="CH94" i="2"/>
  <c r="BL14" i="2"/>
  <c r="BP14" i="2"/>
  <c r="BX14" i="2"/>
  <c r="BZ132" i="2"/>
  <c r="BZ136" i="2" s="1"/>
  <c r="AW89" i="2"/>
  <c r="BB60" i="2"/>
  <c r="AW60" i="2"/>
  <c r="I95" i="2"/>
  <c r="I68" i="2"/>
  <c r="AM89" i="2"/>
  <c r="AW14" i="2"/>
  <c r="CJ45" i="2"/>
  <c r="CJ39" i="2" s="1"/>
  <c r="BL51" i="2"/>
  <c r="CJ51" i="2"/>
  <c r="BQ51" i="2"/>
  <c r="CF50" i="2"/>
  <c r="BQ92" i="2"/>
  <c r="BV92" i="2"/>
  <c r="CI92" i="2"/>
  <c r="BW126" i="2"/>
  <c r="BX126" i="2"/>
  <c r="CX126" i="2"/>
  <c r="CQ135" i="2"/>
  <c r="CR135" i="2" s="1"/>
  <c r="CS135" i="2" s="1"/>
  <c r="AR18" i="5"/>
  <c r="CC101" i="7"/>
  <c r="CZ76" i="7"/>
  <c r="AM14" i="9" s="1"/>
  <c r="CZ62" i="7"/>
  <c r="AK28" i="5"/>
  <c r="DC350" i="8"/>
  <c r="DD350" i="8"/>
  <c r="DF350" i="8"/>
  <c r="CE209" i="8"/>
  <c r="CE211" i="8"/>
  <c r="CE213" i="8"/>
  <c r="DC383" i="8"/>
  <c r="CL416" i="8"/>
  <c r="DA65" i="8"/>
  <c r="CM119" i="8"/>
  <c r="CN119" i="8"/>
  <c r="CL251" i="8"/>
  <c r="CL163" i="8"/>
  <c r="CT185" i="8"/>
  <c r="CV207" i="8"/>
  <c r="CJ196" i="8"/>
  <c r="S28" i="7"/>
  <c r="S29" i="7"/>
  <c r="BN129" i="7"/>
  <c r="BN130" i="7" s="1"/>
  <c r="AB192" i="7"/>
  <c r="AC192" i="7" s="1"/>
  <c r="AC194" i="7" s="1"/>
  <c r="AD45" i="7"/>
  <c r="AD54" i="7"/>
  <c r="BP108" i="7"/>
  <c r="CI116" i="7"/>
  <c r="CE116" i="7"/>
  <c r="CE90" i="7"/>
  <c r="CS197" i="7"/>
  <c r="BS232" i="6"/>
  <c r="BS165" i="6"/>
  <c r="BS166" i="6"/>
  <c r="BW231" i="6"/>
  <c r="BT232" i="6"/>
  <c r="BX231" i="6"/>
  <c r="CM207" i="6"/>
  <c r="CM232" i="6" s="1"/>
  <c r="CH232" i="6"/>
  <c r="BM232" i="6"/>
  <c r="BT235" i="6"/>
  <c r="BU235" i="6"/>
  <c r="CF63" i="6"/>
  <c r="CF67" i="6"/>
  <c r="CF65" i="6" s="1"/>
  <c r="CF34" i="6"/>
  <c r="G74" i="5" s="1"/>
  <c r="DA63" i="8"/>
  <c r="DE42" i="2"/>
  <c r="CZ79" i="7"/>
  <c r="CZ65" i="7"/>
  <c r="CZ78" i="6"/>
  <c r="CZ77" i="6"/>
  <c r="CZ88" i="6"/>
  <c r="DA229" i="8"/>
  <c r="DB229" i="8"/>
  <c r="CM251" i="8"/>
  <c r="CN251" i="8"/>
  <c r="CW207" i="8"/>
  <c r="DB65" i="8"/>
  <c r="DD383" i="8"/>
  <c r="DD179" i="6"/>
  <c r="DN141" i="6"/>
  <c r="CF29" i="6"/>
  <c r="CF145" i="2"/>
  <c r="DB63" i="8"/>
  <c r="CZ16" i="2"/>
  <c r="AN21" i="5"/>
  <c r="CZ34" i="7"/>
  <c r="AK21" i="5"/>
  <c r="CZ98" i="6"/>
  <c r="DF383" i="8"/>
  <c r="DC65" i="8"/>
  <c r="CO119" i="8"/>
  <c r="CX207" i="8"/>
  <c r="CY207" i="8"/>
  <c r="DA207" i="8"/>
  <c r="CF159" i="2"/>
  <c r="DC63" i="8"/>
  <c r="AM173" i="9"/>
  <c r="AK67" i="5"/>
  <c r="DD65" i="8"/>
  <c r="CO251" i="8"/>
  <c r="DG383" i="8"/>
  <c r="CQ119" i="8"/>
  <c r="DG350" i="8"/>
  <c r="DH350" i="8"/>
  <c r="CZ50" i="2"/>
  <c r="DH383" i="8"/>
  <c r="DE65" i="8"/>
  <c r="CQ251" i="8"/>
  <c r="CR251" i="8"/>
  <c r="CS251" i="8"/>
  <c r="CW13" i="6"/>
  <c r="CW141" i="6" s="1"/>
  <c r="DB142" i="6" s="1"/>
  <c r="CX13" i="6"/>
  <c r="CX141" i="6" s="1"/>
  <c r="CX143" i="6" s="1"/>
  <c r="CZ11" i="6"/>
  <c r="CV13" i="6"/>
  <c r="CV141" i="6" s="1"/>
  <c r="CZ12" i="6"/>
  <c r="CZ46" i="2"/>
  <c r="DA302" i="3"/>
  <c r="AK17" i="5"/>
  <c r="CV317" i="8"/>
  <c r="CW317" i="8"/>
  <c r="DB207" i="8"/>
  <c r="DC207" i="8"/>
  <c r="DI383" i="8"/>
  <c r="CW10" i="6"/>
  <c r="AN17" i="5"/>
  <c r="CZ47" i="2"/>
  <c r="AK50" i="5" s="1"/>
  <c r="CZ129" i="2"/>
  <c r="DA180" i="6"/>
  <c r="DD207" i="8"/>
  <c r="DF207" i="8"/>
  <c r="DG207" i="8"/>
  <c r="DH207" i="8"/>
  <c r="DI207" i="8"/>
  <c r="CT251" i="8"/>
  <c r="CV251" i="8"/>
  <c r="CX317" i="8"/>
  <c r="AN126" i="9"/>
  <c r="AN20" i="5"/>
  <c r="DA295" i="6"/>
  <c r="DA300" i="6" s="1"/>
  <c r="AN22" i="5"/>
  <c r="AN127" i="9"/>
  <c r="CZ19" i="6"/>
  <c r="DA296" i="6"/>
  <c r="CZ40" i="6"/>
  <c r="CZ295" i="6"/>
  <c r="AL127" i="9"/>
  <c r="CZ44" i="6"/>
  <c r="CZ46" i="6"/>
  <c r="CZ48" i="6" s="1"/>
  <c r="CZ49" i="6"/>
  <c r="CZ26" i="7"/>
  <c r="CZ27" i="7"/>
  <c r="AM21" i="9" s="1"/>
  <c r="DA247" i="6"/>
  <c r="DA248" i="6" s="1"/>
  <c r="DA242" i="6"/>
  <c r="AN129" i="9"/>
  <c r="DA20" i="8"/>
  <c r="DB20" i="8"/>
  <c r="DA145" i="2"/>
  <c r="CX12" i="7"/>
  <c r="AL1" i="9"/>
  <c r="AL123" i="9"/>
  <c r="CY1" i="6"/>
  <c r="AK26" i="5"/>
  <c r="AK30" i="5"/>
  <c r="AK31" i="5"/>
  <c r="AK32" i="5"/>
  <c r="AL26" i="9"/>
  <c r="AL27" i="9"/>
  <c r="AL28" i="9" s="1"/>
  <c r="CZ17" i="7"/>
  <c r="CZ14" i="7" s="1"/>
  <c r="CZ21" i="7"/>
  <c r="CZ22" i="7"/>
  <c r="AM27" i="9" s="1"/>
  <c r="CZ150" i="7"/>
  <c r="CZ12" i="7" s="1"/>
  <c r="AK10" i="5"/>
  <c r="CZ123" i="2"/>
  <c r="CZ11" i="2"/>
  <c r="CZ278" i="3"/>
  <c r="CZ279" i="3" s="1"/>
  <c r="CZ284" i="3" s="1"/>
  <c r="AL129" i="9"/>
  <c r="CZ24" i="6"/>
  <c r="CZ242" i="6" s="1"/>
  <c r="CZ32" i="6"/>
  <c r="CZ130" i="2" s="1"/>
  <c r="AK15" i="5"/>
  <c r="CZ18" i="2"/>
  <c r="CZ23" i="2"/>
  <c r="CY11" i="8"/>
  <c r="CZ11" i="8"/>
  <c r="DA255" i="3"/>
  <c r="DA305" i="3"/>
  <c r="AN15" i="5"/>
  <c r="AN23" i="9"/>
  <c r="DA278" i="3"/>
  <c r="DA279" i="3" s="1"/>
  <c r="DA284" i="3" s="1"/>
  <c r="DA245" i="3"/>
  <c r="DA240" i="3"/>
  <c r="DA256" i="3"/>
  <c r="DA257" i="3" s="1"/>
  <c r="DA262" i="3"/>
  <c r="DA263" i="3" s="1"/>
  <c r="DA282" i="3" s="1"/>
  <c r="AN26" i="5"/>
  <c r="AN30" i="5"/>
  <c r="AN31" i="5"/>
  <c r="AN32" i="5"/>
  <c r="AN33" i="5"/>
  <c r="DA144" i="2"/>
  <c r="DA146" i="2" s="1"/>
  <c r="DA149" i="2" s="1"/>
  <c r="DA71" i="6" s="1"/>
  <c r="AN122" i="9" s="1"/>
  <c r="AN26" i="9"/>
  <c r="AN27" i="9"/>
  <c r="AN28" i="9" s="1"/>
  <c r="AN29" i="9"/>
  <c r="AN30" i="9"/>
  <c r="AN31" i="9"/>
  <c r="AN10" i="5"/>
  <c r="DA270" i="3"/>
  <c r="DA210" i="3"/>
  <c r="DA251" i="3"/>
  <c r="DA11" i="8"/>
  <c r="DB10" i="8" s="1"/>
  <c r="DA244" i="3"/>
  <c r="DA246" i="3" s="1"/>
  <c r="DA250" i="3"/>
  <c r="DA181" i="3"/>
  <c r="DA14" i="8"/>
  <c r="DA10" i="7"/>
  <c r="DA12" i="7"/>
  <c r="AN27" i="5" s="1"/>
  <c r="CR93" i="7"/>
  <c r="CR118" i="7" s="1"/>
  <c r="CR167" i="7"/>
  <c r="CR168" i="7"/>
  <c r="CV159" i="7"/>
  <c r="CY15" i="7"/>
  <c r="CY93" i="7"/>
  <c r="CY159" i="7"/>
  <c r="BB51" i="2"/>
  <c r="AH63" i="3"/>
  <c r="AY66" i="9"/>
  <c r="AS67" i="9"/>
  <c r="AY67" i="9"/>
  <c r="AZ66" i="9"/>
  <c r="BE83" i="9"/>
  <c r="AZ67" i="9"/>
  <c r="AX67" i="9"/>
  <c r="AX66" i="9"/>
  <c r="BC83" i="9"/>
  <c r="CZ85" i="7"/>
  <c r="CZ77" i="7"/>
  <c r="AK82" i="5"/>
  <c r="CP76" i="7"/>
  <c r="AC14" i="9" s="1"/>
  <c r="CQ86" i="7"/>
  <c r="K65" i="9"/>
  <c r="CX271" i="3"/>
  <c r="Z66" i="9"/>
  <c r="Z100" i="9"/>
  <c r="Z61" i="9"/>
  <c r="BV14" i="7"/>
  <c r="BS210" i="7"/>
  <c r="BS93" i="7"/>
  <c r="BS118" i="7" s="1"/>
  <c r="BS167" i="7"/>
  <c r="BX167" i="7"/>
  <c r="BX93" i="7"/>
  <c r="CA14" i="7"/>
  <c r="CC153" i="7"/>
  <c r="CC141" i="7"/>
  <c r="CC167" i="7"/>
  <c r="CH93" i="7"/>
  <c r="CM167" i="7"/>
  <c r="CH167" i="7"/>
  <c r="BU168" i="7"/>
  <c r="CJ215" i="7"/>
  <c r="O99" i="9"/>
  <c r="O65" i="9"/>
  <c r="CJ153" i="7"/>
  <c r="CJ141" i="7"/>
  <c r="CJ118" i="7"/>
  <c r="AZ26" i="7"/>
  <c r="AZ28" i="7" s="1"/>
  <c r="BZ107" i="7"/>
  <c r="BZ102" i="7" s="1"/>
  <c r="BH137" i="7"/>
  <c r="R138" i="7"/>
  <c r="P138" i="7"/>
  <c r="AX207" i="9"/>
  <c r="BS249" i="3"/>
  <c r="BB14" i="2"/>
  <c r="CK10" i="8"/>
  <c r="CF152" i="3"/>
  <c r="CF252" i="3"/>
  <c r="BO206" i="3"/>
  <c r="CS251" i="3"/>
  <c r="CT244" i="3"/>
  <c r="BN246" i="3"/>
  <c r="CN245" i="3"/>
  <c r="CN246" i="3" s="1"/>
  <c r="BP240" i="3"/>
  <c r="BL245" i="3"/>
  <c r="CS250" i="3"/>
  <c r="CG244" i="3"/>
  <c r="BS241" i="3"/>
  <c r="CN250" i="3"/>
  <c r="CB239" i="3"/>
  <c r="BT250" i="3"/>
  <c r="BS244" i="3"/>
  <c r="BL223" i="3"/>
  <c r="BM132" i="2"/>
  <c r="BM136" i="2" s="1"/>
  <c r="BQ10" i="8"/>
  <c r="CF239" i="3"/>
  <c r="BG206" i="3"/>
  <c r="CD165" i="3"/>
  <c r="CD179" i="3"/>
  <c r="CD181" i="3" s="1"/>
  <c r="CN240" i="3"/>
  <c r="BT240" i="3"/>
  <c r="BP245" i="3"/>
  <c r="CB244" i="3"/>
  <c r="CB246" i="3" s="1"/>
  <c r="CB186" i="3"/>
  <c r="CD245" i="3"/>
  <c r="BS250" i="3"/>
  <c r="BG239" i="3"/>
  <c r="BQ14" i="2"/>
  <c r="BT13" i="8"/>
  <c r="CS240" i="3"/>
  <c r="CX246" i="3"/>
  <c r="CN251" i="3"/>
  <c r="BT245" i="3"/>
  <c r="BP251" i="3"/>
  <c r="CD271" i="3"/>
  <c r="CD272" i="3" s="1"/>
  <c r="AW249" i="3"/>
  <c r="BN257" i="3"/>
  <c r="CQ257" i="3"/>
  <c r="BK181" i="3"/>
  <c r="CN271" i="3"/>
  <c r="CN272" i="3" s="1"/>
  <c r="BS246" i="3"/>
  <c r="BB249" i="3"/>
  <c r="BJ10" i="8"/>
  <c r="BJ13" i="8" s="1"/>
  <c r="CS257" i="3"/>
  <c r="BR239" i="3"/>
  <c r="CD152" i="3"/>
  <c r="CD252" i="3"/>
  <c r="CD244" i="3"/>
  <c r="CD246" i="3" s="1"/>
  <c r="BO251" i="3"/>
  <c r="BO165" i="3"/>
  <c r="BO245" i="3"/>
  <c r="BX272" i="3"/>
  <c r="CH272" i="3"/>
  <c r="CU152" i="3"/>
  <c r="CU252" i="3"/>
  <c r="BM152" i="3"/>
  <c r="BM252" i="3"/>
  <c r="BM239" i="3"/>
  <c r="BM249" i="3" s="1"/>
  <c r="BM250" i="3"/>
  <c r="BB251" i="3"/>
  <c r="BB245" i="3"/>
  <c r="BB165" i="3"/>
  <c r="BB179" i="3"/>
  <c r="CL179" i="3"/>
  <c r="BU152" i="3"/>
  <c r="BU252" i="3"/>
  <c r="BU250" i="3"/>
  <c r="BU244" i="3"/>
  <c r="BU246" i="3" s="1"/>
  <c r="BU239" i="3"/>
  <c r="BU249" i="3"/>
  <c r="CC272" i="3"/>
  <c r="AH241" i="3"/>
  <c r="BQ318" i="3"/>
  <c r="BQ299" i="3"/>
  <c r="CH152" i="3"/>
  <c r="CH252" i="3"/>
  <c r="CH250" i="3"/>
  <c r="CL152" i="3"/>
  <c r="CL252" i="3"/>
  <c r="CL250" i="3"/>
  <c r="CL244" i="3"/>
  <c r="CL246" i="3" s="1"/>
  <c r="CQ152" i="3"/>
  <c r="CQ252" i="3"/>
  <c r="CQ244" i="3"/>
  <c r="BR245" i="3"/>
  <c r="BW250" i="3"/>
  <c r="CB245" i="3"/>
  <c r="CL240" i="3"/>
  <c r="CL251" i="3"/>
  <c r="BD186" i="3"/>
  <c r="BD187" i="3"/>
  <c r="BD188" i="3" s="1"/>
  <c r="BT187" i="3"/>
  <c r="BT188" i="3" s="1"/>
  <c r="BT186" i="3"/>
  <c r="CI186" i="3"/>
  <c r="AM34" i="3"/>
  <c r="BQ206" i="3"/>
  <c r="AH13" i="8"/>
  <c r="BG179" i="3"/>
  <c r="BR257" i="3"/>
  <c r="CL10" i="8"/>
  <c r="CA10" i="8"/>
  <c r="BW10" i="8"/>
  <c r="BW13" i="8" s="1"/>
  <c r="AM299" i="3"/>
  <c r="AM35" i="3"/>
  <c r="AM312" i="3" s="1"/>
  <c r="CN181" i="3"/>
  <c r="BI181" i="3"/>
  <c r="BU196" i="3"/>
  <c r="AR209" i="3"/>
  <c r="BB209" i="3"/>
  <c r="M96" i="9"/>
  <c r="AA61" i="9"/>
  <c r="BX257" i="3"/>
  <c r="V61" i="9"/>
  <c r="Q61" i="9"/>
  <c r="BE26" i="7"/>
  <c r="BE100" i="2" s="1"/>
  <c r="L61" i="9"/>
  <c r="W61" i="9"/>
  <c r="P62" i="9"/>
  <c r="W99" i="9"/>
  <c r="W65" i="9"/>
  <c r="Z62" i="9"/>
  <c r="J96" i="9"/>
  <c r="J62" i="9"/>
  <c r="R100" i="9"/>
  <c r="W62" i="9"/>
  <c r="E95" i="9"/>
  <c r="O95" i="9"/>
  <c r="O61" i="9"/>
  <c r="T95" i="9"/>
  <c r="T61" i="9"/>
  <c r="Y95" i="9"/>
  <c r="Y61" i="9"/>
  <c r="H96" i="9"/>
  <c r="H62" i="9"/>
  <c r="V65" i="9"/>
  <c r="V100" i="9"/>
  <c r="V66" i="9"/>
  <c r="F99" i="9"/>
  <c r="F65" i="9"/>
  <c r="Q66" i="9"/>
  <c r="J146" i="2"/>
  <c r="H95" i="9"/>
  <c r="BJ169" i="6"/>
  <c r="BS137" i="6"/>
  <c r="BN169" i="6"/>
  <c r="BN137" i="6"/>
  <c r="BP138" i="6"/>
  <c r="BP170" i="6"/>
  <c r="CG169" i="6"/>
  <c r="AA195" i="9"/>
  <c r="CD158" i="6"/>
  <c r="CN112" i="6"/>
  <c r="CS112" i="6" s="1"/>
  <c r="BH213" i="6"/>
  <c r="CB119" i="6"/>
  <c r="CE169" i="6"/>
  <c r="CE137" i="6"/>
  <c r="CJ137" i="6"/>
  <c r="BM158" i="6"/>
  <c r="BM206" i="6"/>
  <c r="BM118" i="6"/>
  <c r="CH119" i="6"/>
  <c r="CM216" i="6"/>
  <c r="CM180" i="6"/>
  <c r="CY159" i="2"/>
  <c r="CY58" i="6"/>
  <c r="DD56" i="6"/>
  <c r="CY243" i="6"/>
  <c r="CH245" i="6"/>
  <c r="CY297" i="6"/>
  <c r="CY145" i="2"/>
  <c r="DD36" i="6"/>
  <c r="AQ131" i="9" s="1"/>
  <c r="CR142" i="6"/>
  <c r="CX243" i="6"/>
  <c r="DC296" i="6"/>
  <c r="DC300" i="6"/>
  <c r="R128" i="9"/>
  <c r="AF159" i="9"/>
  <c r="BI221" i="6"/>
  <c r="J163" i="9"/>
  <c r="T163" i="9"/>
  <c r="BR17" i="6"/>
  <c r="BR189" i="3" s="1"/>
  <c r="BR190" i="3" s="1"/>
  <c r="Q167" i="9"/>
  <c r="AB168" i="9"/>
  <c r="BR61" i="6"/>
  <c r="BR224" i="6" s="1"/>
  <c r="BI223" i="6"/>
  <c r="E164" i="9"/>
  <c r="L168" i="9"/>
  <c r="H24" i="2"/>
  <c r="H27" i="2" s="1"/>
  <c r="H29" i="2" s="1"/>
  <c r="BR58" i="6"/>
  <c r="BM17" i="6"/>
  <c r="BM189" i="3" s="1"/>
  <c r="BM190" i="3" s="1"/>
  <c r="J164" i="9"/>
  <c r="T164" i="9"/>
  <c r="V168" i="9"/>
  <c r="AL146" i="2"/>
  <c r="AL148" i="2" s="1"/>
  <c r="Q158" i="9"/>
  <c r="BH61" i="6"/>
  <c r="BH224" i="6" s="1"/>
  <c r="Z168" i="9"/>
  <c r="AA163" i="9"/>
  <c r="AN128" i="9"/>
  <c r="BP17" i="6"/>
  <c r="BP189" i="3" s="1"/>
  <c r="BP190" i="3" s="1"/>
  <c r="E168" i="9"/>
  <c r="BH17" i="6"/>
  <c r="BH189" i="3" s="1"/>
  <c r="BH190" i="3" s="1"/>
  <c r="BK24" i="6"/>
  <c r="BK221" i="6"/>
  <c r="BK223" i="6"/>
  <c r="G199" i="9"/>
  <c r="G163" i="9"/>
  <c r="L199" i="9"/>
  <c r="L163" i="9"/>
  <c r="L200" i="9"/>
  <c r="L164" i="9"/>
  <c r="V199" i="9"/>
  <c r="Q200" i="9"/>
  <c r="Q164" i="9"/>
  <c r="V200" i="9"/>
  <c r="V164" i="9"/>
  <c r="AA200" i="9"/>
  <c r="AA164" i="9"/>
  <c r="J203" i="9"/>
  <c r="J167" i="9"/>
  <c r="O203" i="9"/>
  <c r="Y167" i="9"/>
  <c r="T204" i="9"/>
  <c r="T168" i="9"/>
  <c r="BM145" i="2"/>
  <c r="E195" i="9"/>
  <c r="E159" i="9"/>
  <c r="BI26" i="6"/>
  <c r="BI27" i="6"/>
  <c r="BI22" i="6"/>
  <c r="BL22" i="6"/>
  <c r="BI242" i="6"/>
  <c r="BI63" i="6"/>
  <c r="BI67" i="6" s="1"/>
  <c r="BI256" i="6"/>
  <c r="BO223" i="6"/>
  <c r="BO17" i="6"/>
  <c r="BO189" i="3" s="1"/>
  <c r="BO190" i="3" s="1"/>
  <c r="BT223" i="6"/>
  <c r="BT17" i="6"/>
  <c r="BT189" i="3" s="1"/>
  <c r="BT190" i="3" s="1"/>
  <c r="U8" i="5"/>
  <c r="DC64" i="2"/>
  <c r="AR8" i="5" s="1"/>
  <c r="AK1" i="9"/>
  <c r="AK23" i="9"/>
  <c r="AK123" i="9"/>
  <c r="I20" i="2"/>
  <c r="DD40" i="2"/>
  <c r="BQ121" i="2"/>
  <c r="BI31" i="7"/>
  <c r="BI32" i="7" s="1"/>
  <c r="BF38" i="7"/>
  <c r="BU38" i="7"/>
  <c r="H31" i="9" s="1"/>
  <c r="CW10" i="2"/>
  <c r="BN50" i="6"/>
  <c r="BN145" i="2"/>
  <c r="BH186" i="3"/>
  <c r="CR186" i="3"/>
  <c r="BU204" i="3"/>
  <c r="BU205" i="3" s="1"/>
  <c r="CV12" i="3"/>
  <c r="CL11" i="3"/>
  <c r="BX34" i="7"/>
  <c r="R10" i="2"/>
  <c r="R12" i="2" s="1"/>
  <c r="R17" i="2" s="1"/>
  <c r="R22" i="2" s="1"/>
  <c r="R24" i="2" s="1"/>
  <c r="R27" i="2" s="1"/>
  <c r="R29" i="2" s="1"/>
  <c r="R34" i="2" s="1"/>
  <c r="BJ186" i="3"/>
  <c r="BR186" i="3"/>
  <c r="CS187" i="3"/>
  <c r="CS188" i="3" s="1"/>
  <c r="P10" i="2"/>
  <c r="P12" i="2" s="1"/>
  <c r="P17" i="2" s="1"/>
  <c r="CH11" i="3"/>
  <c r="AE10" i="2"/>
  <c r="AE12" i="2" s="1"/>
  <c r="AE17" i="2" s="1"/>
  <c r="BB187" i="3"/>
  <c r="BB188" i="3" s="1"/>
  <c r="BU186" i="3"/>
  <c r="BN186" i="3"/>
  <c r="CX186" i="3"/>
  <c r="CO186" i="3"/>
  <c r="DI300" i="3"/>
  <c r="CR153" i="7"/>
  <c r="CR141" i="7" s="1"/>
  <c r="AV18" i="5"/>
  <c r="S204" i="7"/>
  <c r="AL138" i="7"/>
  <c r="BK136" i="7"/>
  <c r="S216" i="7"/>
  <c r="BP181" i="7"/>
  <c r="U138" i="7"/>
  <c r="AS138" i="7"/>
  <c r="P137" i="7"/>
  <c r="BU119" i="3"/>
  <c r="BU124" i="3" s="1"/>
  <c r="DJ59" i="3"/>
  <c r="DH198" i="3"/>
  <c r="DH202" i="3" s="1"/>
  <c r="DH49" i="2" s="1"/>
  <c r="DG198" i="3"/>
  <c r="DG202" i="3" s="1"/>
  <c r="DG49" i="2" s="1"/>
  <c r="BP51" i="3"/>
  <c r="BP53" i="3" s="1"/>
  <c r="BU23" i="3"/>
  <c r="DE171" i="3"/>
  <c r="AZ171" i="9"/>
  <c r="BA99" i="9"/>
  <c r="BF171" i="9"/>
  <c r="AU100" i="9"/>
  <c r="AZ100" i="9"/>
  <c r="DE176" i="3"/>
  <c r="DJ176" i="3"/>
  <c r="AV199" i="9"/>
  <c r="BA163" i="9"/>
  <c r="BY61" i="6"/>
  <c r="BY224" i="6"/>
  <c r="BY58" i="6"/>
  <c r="BY9" i="2"/>
  <c r="BU105" i="2"/>
  <c r="CI222" i="6"/>
  <c r="BC27" i="6"/>
  <c r="CT25" i="6"/>
  <c r="CV69" i="6"/>
  <c r="BK216" i="6"/>
  <c r="CW243" i="6"/>
  <c r="CY179" i="6"/>
  <c r="CY216" i="6"/>
  <c r="CY94" i="6"/>
  <c r="DB300" i="6"/>
  <c r="DB296" i="6"/>
  <c r="DA37" i="6"/>
  <c r="AN23" i="5" s="1"/>
  <c r="CW330" i="6"/>
  <c r="G164" i="9"/>
  <c r="CV58" i="6"/>
  <c r="CQ142" i="6"/>
  <c r="CT245" i="6"/>
  <c r="DA61" i="6"/>
  <c r="DA224" i="6" s="1"/>
  <c r="CY9" i="2"/>
  <c r="DA67" i="6"/>
  <c r="DE148" i="3"/>
  <c r="DE158" i="3"/>
  <c r="DJ164" i="3"/>
  <c r="DJ150" i="3"/>
  <c r="DJ163" i="3"/>
  <c r="DE142" i="3"/>
  <c r="DE157" i="3"/>
  <c r="DE141" i="3"/>
  <c r="DE51" i="7"/>
  <c r="AP28" i="5"/>
  <c r="CZ305" i="3"/>
  <c r="CZ185" i="3"/>
  <c r="CZ186" i="3" s="1"/>
  <c r="DE149" i="3"/>
  <c r="AF123" i="9"/>
  <c r="BV49" i="2"/>
  <c r="CK49" i="2"/>
  <c r="BU92" i="2"/>
  <c r="CG92" i="2"/>
  <c r="BS24" i="6"/>
  <c r="BX36" i="6"/>
  <c r="K131" i="9" s="1"/>
  <c r="AF31" i="7"/>
  <c r="AF32" i="7" s="1"/>
  <c r="CO14" i="3"/>
  <c r="CO298" i="3" s="1"/>
  <c r="CO12" i="3"/>
  <c r="AW185" i="3"/>
  <c r="CA185" i="3"/>
  <c r="CA186" i="3" s="1"/>
  <c r="CK305" i="3"/>
  <c r="J48" i="5"/>
  <c r="N20" i="2"/>
  <c r="V23" i="9"/>
  <c r="V123" i="9"/>
  <c r="CI1" i="6"/>
  <c r="AB23" i="9"/>
  <c r="AB1" i="9"/>
  <c r="CO1" i="6"/>
  <c r="W7" i="5"/>
  <c r="AB123" i="9"/>
  <c r="J7" i="5"/>
  <c r="AK26" i="7"/>
  <c r="N262" i="3"/>
  <c r="N263" i="3" s="1"/>
  <c r="N282" i="3" s="1"/>
  <c r="AR185" i="3"/>
  <c r="AR262" i="3"/>
  <c r="AR263" i="3" s="1"/>
  <c r="AR282" i="3" s="1"/>
  <c r="AW305" i="3"/>
  <c r="AW20" i="2"/>
  <c r="CP132" i="2"/>
  <c r="CP135" i="2" s="1"/>
  <c r="BV278" i="3"/>
  <c r="BV279" i="3" s="1"/>
  <c r="BV284" i="3" s="1"/>
  <c r="X185" i="3"/>
  <c r="CK185" i="3"/>
  <c r="CK278" i="3"/>
  <c r="CK279" i="3" s="1"/>
  <c r="CK284" i="3" s="1"/>
  <c r="AC185" i="3"/>
  <c r="AC278" i="3"/>
  <c r="AC279" i="3" s="1"/>
  <c r="AC284" i="3" s="1"/>
  <c r="AC262" i="3"/>
  <c r="AC263" i="3" s="1"/>
  <c r="AC282" i="3" s="1"/>
  <c r="CU278" i="3"/>
  <c r="CU279" i="3" s="1"/>
  <c r="CU284" i="3" s="1"/>
  <c r="J50" i="5"/>
  <c r="AH262" i="3"/>
  <c r="AH263" i="3" s="1"/>
  <c r="AH282" i="3" s="1"/>
  <c r="AM185" i="3"/>
  <c r="CF185" i="3"/>
  <c r="CF187" i="3" s="1"/>
  <c r="CF188" i="3" s="1"/>
  <c r="CF278" i="3"/>
  <c r="CF279" i="3" s="1"/>
  <c r="CF284" i="3" s="1"/>
  <c r="CX135" i="2"/>
  <c r="CY1" i="3"/>
  <c r="BZ187" i="3"/>
  <c r="BZ188" i="3" s="1"/>
  <c r="CD186" i="3"/>
  <c r="BY187" i="3"/>
  <c r="BY188" i="3" s="1"/>
  <c r="DA40" i="2"/>
  <c r="BE100" i="9"/>
  <c r="BE66" i="9"/>
  <c r="BD100" i="9"/>
  <c r="BC100" i="9"/>
  <c r="BC66" i="9"/>
  <c r="AX101" i="9"/>
  <c r="T82" i="5"/>
  <c r="BV158" i="7"/>
  <c r="BV159" i="7"/>
  <c r="CM153" i="7"/>
  <c r="CM141" i="7"/>
  <c r="CH118" i="7"/>
  <c r="CH153" i="7"/>
  <c r="CH141" i="7" s="1"/>
  <c r="CM94" i="7"/>
  <c r="CA167" i="7"/>
  <c r="BX118" i="7"/>
  <c r="BC207" i="9"/>
  <c r="BC171" i="9"/>
  <c r="BU241" i="3"/>
  <c r="AM63" i="3"/>
  <c r="BJ212" i="6"/>
  <c r="BN212" i="6"/>
  <c r="BN235" i="6" s="1"/>
  <c r="BM160" i="6"/>
  <c r="BI247" i="6"/>
  <c r="BK242" i="6"/>
  <c r="BI243" i="6"/>
  <c r="BP204" i="7"/>
  <c r="BK138" i="7"/>
  <c r="AV28" i="5"/>
  <c r="AT28" i="5"/>
  <c r="DI198" i="3"/>
  <c r="DI202" i="3" s="1"/>
  <c r="DE145" i="3"/>
  <c r="BA207" i="9"/>
  <c r="BA171" i="9"/>
  <c r="AZ163" i="9"/>
  <c r="DB244" i="6"/>
  <c r="CW244" i="6"/>
  <c r="DA65" i="6"/>
  <c r="CY180" i="6"/>
  <c r="DM141" i="6"/>
  <c r="DE192" i="3"/>
  <c r="CF186" i="3"/>
  <c r="BM165" i="6"/>
  <c r="BM166" i="6"/>
  <c r="BM114" i="6"/>
  <c r="BM231" i="6"/>
  <c r="BM208" i="6"/>
  <c r="BM191" i="6"/>
  <c r="DJ198" i="3"/>
  <c r="DJ196" i="3" s="1"/>
  <c r="DK198" i="3"/>
  <c r="DK202" i="3" s="1"/>
  <c r="DL11" i="3"/>
  <c r="DJ141" i="3"/>
  <c r="DE85" i="7"/>
  <c r="DE73" i="7"/>
  <c r="AP17" i="5"/>
  <c r="AR17" i="5"/>
  <c r="DE46" i="2"/>
  <c r="DE50" i="2"/>
  <c r="DE16" i="2"/>
  <c r="AP57" i="5" s="1"/>
  <c r="DE62" i="7"/>
  <c r="DL198" i="3"/>
  <c r="DL202" i="3" s="1"/>
  <c r="DL49" i="2" s="1"/>
  <c r="DC20" i="8"/>
  <c r="DE13" i="6"/>
  <c r="DE141" i="6" s="1"/>
  <c r="DJ142" i="3"/>
  <c r="DE32" i="6"/>
  <c r="DE87" i="7"/>
  <c r="DF93" i="6"/>
  <c r="DE49" i="2"/>
  <c r="AT17" i="5"/>
  <c r="DE63" i="7"/>
  <c r="DE65" i="7"/>
  <c r="AT21" i="5"/>
  <c r="AR21" i="5"/>
  <c r="DE98" i="6"/>
  <c r="DE64" i="7"/>
  <c r="DK85" i="7"/>
  <c r="AP21" i="5"/>
  <c r="DB10" i="7"/>
  <c r="DE34" i="7"/>
  <c r="DE47" i="2"/>
  <c r="AV17" i="5"/>
  <c r="DD20" i="8"/>
  <c r="DE20" i="2"/>
  <c r="DF247" i="6"/>
  <c r="DD167" i="7"/>
  <c r="DF242" i="6"/>
  <c r="DF243" i="6" s="1"/>
  <c r="DE12" i="6"/>
  <c r="DE11" i="6"/>
  <c r="AQ126" i="9"/>
  <c r="AT20" i="5"/>
  <c r="AP126" i="9"/>
  <c r="AR20" i="5"/>
  <c r="DE10" i="6"/>
  <c r="DE122" i="6" s="1"/>
  <c r="DF10" i="6"/>
  <c r="DF20" i="6"/>
  <c r="AV22" i="5" s="1"/>
  <c r="DF221" i="6"/>
  <c r="AR22" i="5"/>
  <c r="DE156" i="3"/>
  <c r="AT22" i="5"/>
  <c r="DD221" i="6"/>
  <c r="DF17" i="6"/>
  <c r="DF189" i="3" s="1"/>
  <c r="DF190" i="3" s="1"/>
  <c r="DK190" i="3" s="1"/>
  <c r="DP190" i="3" s="1"/>
  <c r="DU190" i="3" s="1"/>
  <c r="DF15" i="6"/>
  <c r="AS127" i="9"/>
  <c r="AS128" i="9"/>
  <c r="DF222" i="6"/>
  <c r="AO126" i="9"/>
  <c r="AP20" i="5"/>
  <c r="DD145" i="2"/>
  <c r="AQ127" i="9"/>
  <c r="AQ128" i="9"/>
  <c r="DD222" i="6"/>
  <c r="DC145" i="2"/>
  <c r="DE40" i="6"/>
  <c r="DE44" i="6"/>
  <c r="DD223" i="6"/>
  <c r="DD224" i="6"/>
  <c r="AP127" i="9"/>
  <c r="AP128" i="9"/>
  <c r="DE19" i="6"/>
  <c r="AT24" i="5"/>
  <c r="DE221" i="6"/>
  <c r="DE46" i="6"/>
  <c r="DE48" i="6" s="1"/>
  <c r="AO127" i="9"/>
  <c r="AO128" i="9" s="1"/>
  <c r="AP22" i="5"/>
  <c r="AS129" i="9"/>
  <c r="AS130" i="9" s="1"/>
  <c r="DF223" i="6"/>
  <c r="DB145" i="2"/>
  <c r="AP129" i="9"/>
  <c r="DD159" i="2"/>
  <c r="AQ129" i="9"/>
  <c r="AQ130" i="9" s="1"/>
  <c r="DE49" i="6"/>
  <c r="DE51" i="6" s="1"/>
  <c r="DE47" i="6"/>
  <c r="DD173" i="7"/>
  <c r="DF173" i="7"/>
  <c r="DF20" i="8"/>
  <c r="DF21" i="8" s="1"/>
  <c r="DJ433" i="8"/>
  <c r="AP26" i="5"/>
  <c r="AP31" i="5"/>
  <c r="AP33" i="5"/>
  <c r="DB144" i="2"/>
  <c r="AO26" i="9"/>
  <c r="AO29" i="9"/>
  <c r="AO30" i="9"/>
  <c r="DB41" i="6"/>
  <c r="DB12" i="7"/>
  <c r="AP27" i="5" s="1"/>
  <c r="AP10" i="5"/>
  <c r="DB14" i="8"/>
  <c r="AP15" i="5"/>
  <c r="AO1" i="9"/>
  <c r="DB216" i="3"/>
  <c r="DB11" i="8"/>
  <c r="DC10" i="8" s="1"/>
  <c r="DE26" i="7"/>
  <c r="DE100" i="2" s="1"/>
  <c r="AR26" i="5"/>
  <c r="AR27" i="5"/>
  <c r="AR30" i="5"/>
  <c r="AR31" i="5"/>
  <c r="AR10" i="5"/>
  <c r="DC144" i="2"/>
  <c r="AP26" i="9"/>
  <c r="AP27" i="9"/>
  <c r="AP28" i="9" s="1"/>
  <c r="DC41" i="6"/>
  <c r="DC14" i="8"/>
  <c r="AR7" i="5"/>
  <c r="AR15" i="5"/>
  <c r="AP1" i="9"/>
  <c r="AP23" i="9"/>
  <c r="AP123" i="9"/>
  <c r="DC1" i="6"/>
  <c r="DC11" i="8"/>
  <c r="DD10" i="8" s="1"/>
  <c r="AR10" i="9"/>
  <c r="DD14" i="8"/>
  <c r="AT7" i="5"/>
  <c r="AT15" i="5"/>
  <c r="DE11" i="2"/>
  <c r="DE185" i="3" s="1"/>
  <c r="DE187" i="3" s="1"/>
  <c r="DE188" i="3" s="1"/>
  <c r="DE18" i="2"/>
  <c r="DE19" i="2"/>
  <c r="DE23" i="2"/>
  <c r="AQ23" i="9"/>
  <c r="AP48" i="5"/>
  <c r="DE140" i="3"/>
  <c r="DE155" i="3"/>
  <c r="DE255" i="3"/>
  <c r="DE257" i="3" s="1"/>
  <c r="AT26" i="5"/>
  <c r="AT30" i="5"/>
  <c r="AT31" i="5"/>
  <c r="DD8" i="2"/>
  <c r="DD144" i="2"/>
  <c r="DD158" i="2"/>
  <c r="DD160" i="2" s="1"/>
  <c r="AQ26" i="9"/>
  <c r="AQ27" i="9"/>
  <c r="AQ28" i="9" s="1"/>
  <c r="DE17" i="7"/>
  <c r="DE18" i="7"/>
  <c r="AN80" i="5" s="1"/>
  <c r="DE20" i="7"/>
  <c r="DE21" i="7"/>
  <c r="DE28" i="7"/>
  <c r="DD169" i="7"/>
  <c r="DD170" i="7"/>
  <c r="DD174" i="7"/>
  <c r="DE169" i="7"/>
  <c r="DE170" i="7"/>
  <c r="DD12" i="7"/>
  <c r="AT27" i="5" s="1"/>
  <c r="DE150" i="7"/>
  <c r="DE12" i="7"/>
  <c r="AT80" i="5"/>
  <c r="AR26" i="9"/>
  <c r="DE139" i="3"/>
  <c r="AT10" i="5"/>
  <c r="DE123" i="2"/>
  <c r="DE270" i="3"/>
  <c r="DE272" i="3" s="1"/>
  <c r="DE174" i="3"/>
  <c r="DE178" i="3"/>
  <c r="DE223" i="3"/>
  <c r="DE225" i="3"/>
  <c r="DE137" i="3"/>
  <c r="DD11" i="8"/>
  <c r="DE216" i="3"/>
  <c r="DE11" i="8"/>
  <c r="DJ10" i="8" s="1"/>
  <c r="CT15" i="7"/>
  <c r="CY168" i="7" s="1"/>
  <c r="CT93" i="7"/>
  <c r="CY153" i="7"/>
  <c r="CY141" i="7"/>
  <c r="CT167" i="7"/>
  <c r="CY167" i="7"/>
  <c r="CT210" i="7"/>
  <c r="CT215" i="7"/>
  <c r="DA14" i="7"/>
  <c r="DA167" i="7"/>
  <c r="DB14" i="7"/>
  <c r="DG167" i="7" s="1"/>
  <c r="DB93" i="7"/>
  <c r="DG153" i="7" s="1"/>
  <c r="DG141" i="7" s="1"/>
  <c r="DC14" i="7"/>
  <c r="DH167" i="7" s="1"/>
  <c r="DC15" i="7"/>
  <c r="DH168" i="7" s="1"/>
  <c r="DA159" i="7"/>
  <c r="DB159" i="7"/>
  <c r="DC159" i="7"/>
  <c r="DA93" i="7"/>
  <c r="DF169" i="7"/>
  <c r="DF155" i="7"/>
  <c r="AS26" i="9"/>
  <c r="DF170" i="7"/>
  <c r="AV26" i="5"/>
  <c r="AV31" i="5"/>
  <c r="AV30" i="5"/>
  <c r="AS27" i="9"/>
  <c r="AS28" i="9"/>
  <c r="DF174" i="7"/>
  <c r="AV33" i="5"/>
  <c r="AS29" i="9"/>
  <c r="AS30" i="9"/>
  <c r="CW14" i="7"/>
  <c r="CW15" i="7"/>
  <c r="CX14" i="7"/>
  <c r="CX15" i="7" s="1"/>
  <c r="CW159" i="7"/>
  <c r="CX159" i="7"/>
  <c r="CW93" i="7"/>
  <c r="CS14" i="7"/>
  <c r="CS15" i="7" s="1"/>
  <c r="CS159" i="7"/>
  <c r="CS150" i="7"/>
  <c r="BQ136" i="2"/>
  <c r="J65" i="9"/>
  <c r="J99" i="9"/>
  <c r="CQ205" i="3"/>
  <c r="T10" i="2"/>
  <c r="T12" i="2" s="1"/>
  <c r="T17" i="2" s="1"/>
  <c r="BU317" i="3"/>
  <c r="BP99" i="3"/>
  <c r="BA67" i="9"/>
  <c r="AY203" i="9"/>
  <c r="BD65" i="9"/>
  <c r="BD99" i="9"/>
  <c r="AY65" i="9"/>
  <c r="AX28" i="5"/>
  <c r="BD185" i="9"/>
  <c r="BI185" i="9" s="1"/>
  <c r="DA101" i="6"/>
  <c r="CW82" i="6"/>
  <c r="CY258" i="6"/>
  <c r="DE88" i="6"/>
  <c r="CD264" i="8"/>
  <c r="CD266" i="8"/>
  <c r="CC268" i="8"/>
  <c r="CV389" i="8"/>
  <c r="CV53" i="8"/>
  <c r="CW385" i="8"/>
  <c r="CW387" i="8"/>
  <c r="CK407" i="8"/>
  <c r="CK409" i="8"/>
  <c r="CF55" i="8"/>
  <c r="CD165" i="8"/>
  <c r="CD167" i="8"/>
  <c r="DJ49" i="8"/>
  <c r="BQ213" i="8"/>
  <c r="BV290" i="8"/>
  <c r="CA301" i="8"/>
  <c r="CM319" i="8"/>
  <c r="CM321" i="8"/>
  <c r="CN319" i="8"/>
  <c r="CN321" i="8"/>
  <c r="CN47" i="8"/>
  <c r="CZ354" i="8"/>
  <c r="CA408" i="8"/>
  <c r="CA78" i="8"/>
  <c r="CB81" i="8"/>
  <c r="BL19" i="8"/>
  <c r="DJ438" i="8"/>
  <c r="CA147" i="8"/>
  <c r="CC154" i="8"/>
  <c r="CB155" i="8"/>
  <c r="CC165" i="8"/>
  <c r="CC166" i="8"/>
  <c r="CF166" i="8"/>
  <c r="CF167" i="8"/>
  <c r="CC187" i="8"/>
  <c r="CC188" i="8"/>
  <c r="CU150" i="7"/>
  <c r="CU12" i="7"/>
  <c r="CS12" i="7"/>
  <c r="CX148" i="2"/>
  <c r="CX41" i="7" s="1"/>
  <c r="AK22" i="9" s="1"/>
  <c r="CX149" i="2"/>
  <c r="CX71" i="6" s="1"/>
  <c r="AK122" i="9" s="1"/>
  <c r="CW167" i="7"/>
  <c r="CT118" i="7"/>
  <c r="DA15" i="7"/>
  <c r="AP80" i="5"/>
  <c r="CZ262" i="3"/>
  <c r="CZ263" i="3" s="1"/>
  <c r="CZ282" i="3" s="1"/>
  <c r="CJ116" i="7"/>
  <c r="CJ96" i="7"/>
  <c r="CL10" i="2"/>
  <c r="BS74" i="7"/>
  <c r="BS97" i="7"/>
  <c r="BS98" i="7" s="1"/>
  <c r="BS75" i="7" s="1"/>
  <c r="BG28" i="7"/>
  <c r="BG29" i="7"/>
  <c r="CD167" i="7"/>
  <c r="CN167" i="7"/>
  <c r="X153" i="7"/>
  <c r="X141" i="7"/>
  <c r="X137" i="7" s="1"/>
  <c r="AM153" i="7"/>
  <c r="AM141" i="7"/>
  <c r="AM137" i="7"/>
  <c r="AM93" i="7"/>
  <c r="AR210" i="7"/>
  <c r="AR93" i="7"/>
  <c r="AW153" i="7"/>
  <c r="AW141" i="7" s="1"/>
  <c r="BL167" i="7"/>
  <c r="BQ167" i="7"/>
  <c r="CH90" i="7"/>
  <c r="CH106" i="7"/>
  <c r="CH91" i="7"/>
  <c r="AB26" i="5"/>
  <c r="AE26" i="5"/>
  <c r="M26" i="5"/>
  <c r="N20" i="7"/>
  <c r="N21" i="7"/>
  <c r="X20" i="7"/>
  <c r="X21" i="7" s="1"/>
  <c r="AC20" i="7"/>
  <c r="AC21" i="7"/>
  <c r="AH20" i="7"/>
  <c r="AH21" i="7" s="1"/>
  <c r="CA20" i="7"/>
  <c r="CK20" i="7"/>
  <c r="CP20" i="7"/>
  <c r="CU20" i="7"/>
  <c r="R28" i="9"/>
  <c r="CV23" i="7"/>
  <c r="CW23" i="7"/>
  <c r="CA49" i="7"/>
  <c r="BL90" i="7"/>
  <c r="AB138" i="7"/>
  <c r="AN137" i="7"/>
  <c r="O137" i="7"/>
  <c r="BE137" i="7"/>
  <c r="AJ138" i="7"/>
  <c r="AF137" i="7"/>
  <c r="AL137" i="7"/>
  <c r="AU137" i="7"/>
  <c r="AX137" i="7"/>
  <c r="AZ137" i="7"/>
  <c r="BJ137" i="7"/>
  <c r="Q138" i="7"/>
  <c r="T138" i="7"/>
  <c r="V138" i="7"/>
  <c r="Z138" i="7"/>
  <c r="AO138" i="7"/>
  <c r="AX138" i="7"/>
  <c r="AZ138" i="7"/>
  <c r="CP51" i="7"/>
  <c r="BQ92" i="7"/>
  <c r="CU64" i="7"/>
  <c r="AG137" i="7"/>
  <c r="AE137" i="7"/>
  <c r="Q137" i="7"/>
  <c r="AK138" i="7"/>
  <c r="O138" i="7"/>
  <c r="AD138" i="7"/>
  <c r="BO138" i="7"/>
  <c r="BL181" i="7"/>
  <c r="BV181" i="7"/>
  <c r="I181" i="7"/>
  <c r="BM181" i="7"/>
  <c r="DE74" i="7"/>
  <c r="CY23" i="7"/>
  <c r="DB100" i="2"/>
  <c r="CG69" i="7"/>
  <c r="CK69" i="7"/>
  <c r="CU72" i="7"/>
  <c r="CU76" i="7"/>
  <c r="BD138" i="7"/>
  <c r="BH138" i="7"/>
  <c r="N211" i="7"/>
  <c r="DB23" i="7"/>
  <c r="DJ49" i="7"/>
  <c r="CR170" i="6"/>
  <c r="CR213" i="6" s="1"/>
  <c r="CR236" i="6" s="1"/>
  <c r="BI105" i="2"/>
  <c r="BI257" i="6"/>
  <c r="BK63" i="6"/>
  <c r="BK67" i="6" s="1"/>
  <c r="BK256" i="6"/>
  <c r="BK26" i="6"/>
  <c r="CZ79" i="6"/>
  <c r="CM249" i="6"/>
  <c r="O10" i="2"/>
  <c r="O12" i="2" s="1"/>
  <c r="O17" i="2" s="1"/>
  <c r="BP143" i="6"/>
  <c r="DP141" i="6"/>
  <c r="DK179" i="6"/>
  <c r="BJ55" i="6"/>
  <c r="BJ61" i="6" s="1"/>
  <c r="BJ224" i="6" s="1"/>
  <c r="BJ20" i="6"/>
  <c r="BJ222" i="6" s="1"/>
  <c r="BY15" i="6"/>
  <c r="L126" i="9" s="1"/>
  <c r="BJ143" i="6"/>
  <c r="CB55" i="6"/>
  <c r="BP55" i="6"/>
  <c r="BJ15" i="6"/>
  <c r="BZ138" i="6"/>
  <c r="BJ170" i="6"/>
  <c r="BO138" i="6"/>
  <c r="BG132" i="6"/>
  <c r="BL139" i="6" s="1"/>
  <c r="BG14" i="6"/>
  <c r="BO15" i="6"/>
  <c r="BJ124" i="6"/>
  <c r="BJ42" i="6"/>
  <c r="BO43" i="6" s="1"/>
  <c r="BT15" i="6"/>
  <c r="G126" i="9"/>
  <c r="BW124" i="6"/>
  <c r="BW15" i="6"/>
  <c r="J126" i="9" s="1"/>
  <c r="BW30" i="6"/>
  <c r="CB42" i="6"/>
  <c r="CB20" i="6"/>
  <c r="CG15" i="6"/>
  <c r="T126" i="9" s="1"/>
  <c r="CD143" i="6"/>
  <c r="CD27" i="6"/>
  <c r="CJ43" i="6"/>
  <c r="CS243" i="6"/>
  <c r="CS124" i="6"/>
  <c r="BV47" i="6"/>
  <c r="CF47" i="6"/>
  <c r="CS35" i="6"/>
  <c r="BZ245" i="6"/>
  <c r="CR244" i="6"/>
  <c r="BY160" i="6"/>
  <c r="BU214" i="6"/>
  <c r="CC43" i="6"/>
  <c r="BZ30" i="6"/>
  <c r="CN247" i="6"/>
  <c r="CN248" i="6" s="1"/>
  <c r="CS25" i="6"/>
  <c r="CP221" i="6"/>
  <c r="CS15" i="6"/>
  <c r="AF126" i="9" s="1"/>
  <c r="CS247" i="6"/>
  <c r="CQ41" i="6"/>
  <c r="CQ15" i="6"/>
  <c r="AD126" i="9" s="1"/>
  <c r="CV15" i="6"/>
  <c r="AI126" i="9" s="1"/>
  <c r="CC27" i="6"/>
  <c r="AK128" i="9"/>
  <c r="AA128" i="9"/>
  <c r="DC216" i="6"/>
  <c r="DC180" i="6"/>
  <c r="BQ48" i="6"/>
  <c r="CH17" i="6"/>
  <c r="CH189" i="3" s="1"/>
  <c r="CH190" i="3" s="1"/>
  <c r="CC118" i="6"/>
  <c r="CD118" i="6"/>
  <c r="BZ258" i="6"/>
  <c r="CH258" i="6"/>
  <c r="CJ258" i="6"/>
  <c r="CM258" i="6"/>
  <c r="BH113" i="6"/>
  <c r="CD131" i="6"/>
  <c r="CD170" i="6" s="1"/>
  <c r="BS296" i="6"/>
  <c r="CM296" i="6"/>
  <c r="H163" i="9"/>
  <c r="H164" i="9"/>
  <c r="CY68" i="6"/>
  <c r="DB101" i="6"/>
  <c r="BL10" i="6"/>
  <c r="BL122" i="6" s="1"/>
  <c r="BL123" i="6" s="1"/>
  <c r="BQ10" i="6"/>
  <c r="BQ122" i="6" s="1"/>
  <c r="CP14" i="6"/>
  <c r="CP654" i="6" s="1"/>
  <c r="CK60" i="6"/>
  <c r="CK223" i="6"/>
  <c r="CM27" i="6"/>
  <c r="CC29" i="6"/>
  <c r="CC159" i="2" s="1"/>
  <c r="CS29" i="6"/>
  <c r="BV78" i="6"/>
  <c r="BV79" i="6" s="1"/>
  <c r="BR118" i="6"/>
  <c r="BT118" i="6"/>
  <c r="CP88" i="6"/>
  <c r="CP90" i="6" s="1"/>
  <c r="CU89" i="6"/>
  <c r="CU90" i="6" s="1"/>
  <c r="CG245" i="6"/>
  <c r="CI243" i="6"/>
  <c r="CE301" i="6"/>
  <c r="CJ301" i="6"/>
  <c r="CR301" i="6"/>
  <c r="AC437" i="6"/>
  <c r="CZ89" i="6"/>
  <c r="CZ90" i="6" s="1"/>
  <c r="DA94" i="6"/>
  <c r="AP50" i="5"/>
  <c r="AX18" i="5"/>
  <c r="BR92" i="2"/>
  <c r="CL92" i="2"/>
  <c r="BE94" i="2"/>
  <c r="CY115" i="2"/>
  <c r="CY111" i="2" s="1"/>
  <c r="DC136" i="2"/>
  <c r="DD136" i="2"/>
  <c r="DA131" i="2"/>
  <c r="CV131" i="2"/>
  <c r="CL181" i="3"/>
  <c r="N249" i="3"/>
  <c r="CP18" i="3"/>
  <c r="BM26" i="3"/>
  <c r="BR34" i="3"/>
  <c r="BR299" i="3" s="1"/>
  <c r="CF30" i="3"/>
  <c r="CK33" i="3"/>
  <c r="CH300" i="3"/>
  <c r="CP43" i="3"/>
  <c r="CK48" i="3"/>
  <c r="CW50" i="3"/>
  <c r="CE50" i="3"/>
  <c r="BX53" i="3"/>
  <c r="BZ53" i="3"/>
  <c r="CU51" i="3"/>
  <c r="CX53" i="3"/>
  <c r="CX61" i="3" s="1"/>
  <c r="CQ316" i="3"/>
  <c r="CQ319" i="3"/>
  <c r="CQ323" i="3" s="1"/>
  <c r="BY124" i="3"/>
  <c r="DC272" i="3"/>
  <c r="DT38" i="3"/>
  <c r="DT322" i="3"/>
  <c r="BM124" i="3"/>
  <c r="CG167" i="3"/>
  <c r="CG178" i="3"/>
  <c r="BL216" i="3"/>
  <c r="BS257" i="3"/>
  <c r="CE257" i="3"/>
  <c r="CH257" i="3"/>
  <c r="CR257" i="3"/>
  <c r="X257" i="3"/>
  <c r="AH257" i="3"/>
  <c r="BL272" i="3"/>
  <c r="D301" i="3"/>
  <c r="D303" i="3" s="1"/>
  <c r="M327" i="3"/>
  <c r="CV10" i="8"/>
  <c r="CM26" i="3"/>
  <c r="DE278" i="3"/>
  <c r="DE279" i="3" s="1"/>
  <c r="DE284" i="3" s="1"/>
  <c r="AH246" i="3"/>
  <c r="N246" i="3"/>
  <c r="BP11" i="3"/>
  <c r="CS26" i="3"/>
  <c r="CD124" i="3"/>
  <c r="CA24" i="3"/>
  <c r="BN34" i="3"/>
  <c r="BN299" i="3" s="1"/>
  <c r="BS34" i="3"/>
  <c r="BS299" i="3" s="1"/>
  <c r="BZ34" i="3"/>
  <c r="BZ299" i="3" s="1"/>
  <c r="CO34" i="3"/>
  <c r="CO299" i="3"/>
  <c r="CJ34" i="3"/>
  <c r="CJ299" i="3" s="1"/>
  <c r="CA30" i="3"/>
  <c r="BY34" i="3"/>
  <c r="BY299" i="3" s="1"/>
  <c r="CU30" i="3"/>
  <c r="CF32" i="3"/>
  <c r="CA33" i="3"/>
  <c r="CU33" i="3"/>
  <c r="CZ32" i="3"/>
  <c r="CZ33" i="3"/>
  <c r="CC300" i="3"/>
  <c r="CK40" i="3"/>
  <c r="CP41" i="3"/>
  <c r="CK42" i="3"/>
  <c r="CF43" i="3"/>
  <c r="CU44" i="3"/>
  <c r="CZ43" i="3"/>
  <c r="BS50" i="3"/>
  <c r="BT50" i="3"/>
  <c r="CF47" i="3"/>
  <c r="CK47" i="3"/>
  <c r="CR50" i="3"/>
  <c r="BM53" i="3"/>
  <c r="BM61" i="3" s="1"/>
  <c r="BO53" i="3"/>
  <c r="BO61" i="3" s="1"/>
  <c r="CR53" i="3"/>
  <c r="CP52" i="3"/>
  <c r="CN53" i="3"/>
  <c r="CN61" i="3" s="1"/>
  <c r="CU52" i="3"/>
  <c r="CU53" i="3" s="1"/>
  <c r="CZ52" i="3"/>
  <c r="CZ53" i="3"/>
  <c r="BG61" i="3"/>
  <c r="BQ61" i="3"/>
  <c r="BQ63" i="3"/>
  <c r="CB53" i="3"/>
  <c r="CU57" i="3"/>
  <c r="CA59" i="3"/>
  <c r="CA197" i="3" s="1"/>
  <c r="CA198" i="3" s="1"/>
  <c r="CA202" i="3" s="1"/>
  <c r="CK60" i="3"/>
  <c r="CU60" i="3"/>
  <c r="CU62" i="3"/>
  <c r="CT111" i="3"/>
  <c r="CI124" i="3"/>
  <c r="BS124" i="3"/>
  <c r="BW124" i="3"/>
  <c r="BP50" i="3"/>
  <c r="CZ270" i="3"/>
  <c r="CW152" i="3"/>
  <c r="CW252" i="3"/>
  <c r="CZ192" i="3"/>
  <c r="CZ216" i="3"/>
  <c r="CA63" i="8"/>
  <c r="CA64" i="8" s="1"/>
  <c r="CW278" i="3"/>
  <c r="CW279" i="3" s="1"/>
  <c r="CW284" i="3" s="1"/>
  <c r="CE179" i="3"/>
  <c r="CM179" i="3"/>
  <c r="DB202" i="3"/>
  <c r="DB49" i="2" s="1"/>
  <c r="DA249" i="3"/>
  <c r="CQ272" i="3"/>
  <c r="CX272" i="3"/>
  <c r="DK319" i="3"/>
  <c r="DK323" i="3"/>
  <c r="K327" i="3"/>
  <c r="L327" i="3"/>
  <c r="DC210" i="3"/>
  <c r="DC198" i="3"/>
  <c r="DC202" i="3"/>
  <c r="DD179" i="3"/>
  <c r="DT53" i="3"/>
  <c r="DP319" i="3"/>
  <c r="DP323" i="3"/>
  <c r="DJ37" i="3"/>
  <c r="AR432" i="6"/>
  <c r="AT51" i="5"/>
  <c r="AP51" i="5"/>
  <c r="DH290" i="3"/>
  <c r="X63" i="3"/>
  <c r="X65" i="3"/>
  <c r="AR63" i="3"/>
  <c r="CW168" i="7"/>
  <c r="CW215" i="7"/>
  <c r="R32" i="2"/>
  <c r="H35" i="2"/>
  <c r="H34" i="2"/>
  <c r="H32" i="2"/>
  <c r="CW251" i="8"/>
  <c r="J22" i="2"/>
  <c r="J24" i="2" s="1"/>
  <c r="J27" i="2" s="1"/>
  <c r="J29" i="2" s="1"/>
  <c r="J32" i="2" s="1"/>
  <c r="N216" i="7"/>
  <c r="N127" i="7"/>
  <c r="N215" i="7"/>
  <c r="X154" i="7"/>
  <c r="X142" i="7" s="1"/>
  <c r="X138" i="7" s="1"/>
  <c r="X216" i="7"/>
  <c r="X127" i="7"/>
  <c r="AH154" i="7"/>
  <c r="AH142" i="7" s="1"/>
  <c r="AH138" i="7" s="1"/>
  <c r="AH127" i="7"/>
  <c r="AR154" i="7"/>
  <c r="AR142" i="7" s="1"/>
  <c r="AR138" i="7" s="1"/>
  <c r="AR127" i="7"/>
  <c r="BB154" i="7"/>
  <c r="BB142" i="7" s="1"/>
  <c r="BB138" i="7" s="1"/>
  <c r="BB127" i="7"/>
  <c r="BQ168" i="7"/>
  <c r="BL216" i="7"/>
  <c r="BL154" i="7"/>
  <c r="BL142" i="7"/>
  <c r="BL138" i="7" s="1"/>
  <c r="BQ154" i="7"/>
  <c r="BQ142" i="7" s="1"/>
  <c r="BQ138" i="7" s="1"/>
  <c r="BL215" i="7"/>
  <c r="BL127" i="7"/>
  <c r="BL168" i="7"/>
  <c r="DC127" i="7"/>
  <c r="DL85" i="7"/>
  <c r="DK87" i="7"/>
  <c r="AB43" i="2"/>
  <c r="AB45" i="2" s="1"/>
  <c r="AB38" i="2" s="1"/>
  <c r="AB34" i="2"/>
  <c r="AB32" i="2"/>
  <c r="AD15" i="2"/>
  <c r="AD67" i="8" s="1"/>
  <c r="CM306" i="8"/>
  <c r="CS427" i="8"/>
  <c r="CW90" i="7"/>
  <c r="CW91" i="7" s="1"/>
  <c r="CW118" i="7"/>
  <c r="DB90" i="7"/>
  <c r="DB118" i="7"/>
  <c r="DB91" i="7"/>
  <c r="AR57" i="5"/>
  <c r="AN57" i="5"/>
  <c r="DF86" i="7"/>
  <c r="DE86" i="7"/>
  <c r="CZ187" i="3"/>
  <c r="CZ188" i="3" s="1"/>
  <c r="DE63" i="8"/>
  <c r="DA63" i="6"/>
  <c r="DA68" i="6"/>
  <c r="CX330" i="6"/>
  <c r="CX324" i="6" s="1"/>
  <c r="X137" i="3"/>
  <c r="AC64" i="3"/>
  <c r="CY302" i="6"/>
  <c r="DD302" i="6"/>
  <c r="CE212" i="6"/>
  <c r="CD206" i="6"/>
  <c r="BP171" i="6"/>
  <c r="BP213" i="6"/>
  <c r="CA93" i="7"/>
  <c r="CA153" i="7"/>
  <c r="BV153" i="7"/>
  <c r="BV141" i="7" s="1"/>
  <c r="BV137" i="7" s="1"/>
  <c r="BV93" i="7"/>
  <c r="AK40" i="5"/>
  <c r="CZ29" i="7"/>
  <c r="CZ24" i="7"/>
  <c r="CZ28" i="7"/>
  <c r="CV10" i="6"/>
  <c r="CZ13" i="6"/>
  <c r="DI350" i="8"/>
  <c r="CR119" i="8"/>
  <c r="CR97" i="8"/>
  <c r="CZ99" i="6"/>
  <c r="CZ256" i="6"/>
  <c r="CE106" i="7"/>
  <c r="CE108" i="7"/>
  <c r="CE92" i="7"/>
  <c r="CE101" i="7"/>
  <c r="BP129" i="7"/>
  <c r="BP130" i="7"/>
  <c r="BP113" i="7"/>
  <c r="AD192" i="7"/>
  <c r="AE45" i="7"/>
  <c r="AE54" i="7"/>
  <c r="CL196" i="8"/>
  <c r="CV185" i="8"/>
  <c r="CM273" i="8"/>
  <c r="W1" i="9"/>
  <c r="M7" i="5"/>
  <c r="CO40" i="2"/>
  <c r="W23" i="9"/>
  <c r="W123" i="9"/>
  <c r="AR92" i="2"/>
  <c r="CG207" i="6"/>
  <c r="DK321" i="6"/>
  <c r="BN113" i="7"/>
  <c r="BN161" i="7"/>
  <c r="BN162" i="7" s="1"/>
  <c r="BZ96" i="7"/>
  <c r="BZ121" i="7"/>
  <c r="BB129" i="7"/>
  <c r="BB161" i="7" s="1"/>
  <c r="CT259" i="3"/>
  <c r="CS198" i="7"/>
  <c r="CS183" i="7"/>
  <c r="CS188" i="7" s="1"/>
  <c r="CS210" i="7" s="1"/>
  <c r="CS200" i="7"/>
  <c r="CL152" i="8"/>
  <c r="CS187" i="8"/>
  <c r="CS189" i="8"/>
  <c r="CR35" i="8"/>
  <c r="CJ174" i="8"/>
  <c r="CM405" i="8"/>
  <c r="CH75" i="8"/>
  <c r="G15" i="2"/>
  <c r="G67" i="8" s="1"/>
  <c r="G22" i="2"/>
  <c r="G24" i="2" s="1"/>
  <c r="G27" i="2" s="1"/>
  <c r="G29" i="2" s="1"/>
  <c r="AH13" i="2"/>
  <c r="AG14" i="2"/>
  <c r="BT132" i="2"/>
  <c r="CC11" i="3"/>
  <c r="CC12" i="3" s="1"/>
  <c r="X305" i="3"/>
  <c r="AC305" i="3"/>
  <c r="AC20" i="2"/>
  <c r="R1" i="9"/>
  <c r="Y1" i="9"/>
  <c r="AA123" i="9"/>
  <c r="CV40" i="2"/>
  <c r="AD23" i="9"/>
  <c r="CQ40" i="2"/>
  <c r="CX40" i="2"/>
  <c r="AH123" i="9"/>
  <c r="AE53" i="5"/>
  <c r="CP45" i="2"/>
  <c r="CP38" i="2" s="1"/>
  <c r="CP39" i="2"/>
  <c r="CU45" i="2"/>
  <c r="CU38" i="2"/>
  <c r="CV38" i="2"/>
  <c r="X51" i="2"/>
  <c r="AR51" i="2"/>
  <c r="AY94" i="2"/>
  <c r="BW92" i="2"/>
  <c r="CD92" i="2"/>
  <c r="BY92" i="2"/>
  <c r="CN92" i="2"/>
  <c r="CQ92" i="2"/>
  <c r="DC92" i="2"/>
  <c r="CV97" i="2"/>
  <c r="CQ97" i="2"/>
  <c r="CS97" i="2"/>
  <c r="CV115" i="2"/>
  <c r="CV106" i="2" s="1"/>
  <c r="BM110" i="2"/>
  <c r="BS110" i="2"/>
  <c r="BS126" i="2"/>
  <c r="J40" i="5"/>
  <c r="CP126" i="2"/>
  <c r="CK126" i="2"/>
  <c r="CI136" i="2"/>
  <c r="CZ132" i="2"/>
  <c r="CW131" i="2"/>
  <c r="BY146" i="2"/>
  <c r="BY148" i="2" s="1"/>
  <c r="CN180" i="6"/>
  <c r="CP179" i="6"/>
  <c r="BW207" i="6"/>
  <c r="BW160" i="6"/>
  <c r="DC37" i="6"/>
  <c r="AR23" i="5"/>
  <c r="AK129" i="9"/>
  <c r="BQ145" i="2"/>
  <c r="BQ36" i="6"/>
  <c r="BQ50" i="6"/>
  <c r="BW105" i="2"/>
  <c r="BW258" i="6"/>
  <c r="BW247" i="6"/>
  <c r="CH244" i="6"/>
  <c r="BM212" i="6"/>
  <c r="CY56" i="6"/>
  <c r="CT58" i="6"/>
  <c r="CH9" i="2"/>
  <c r="CH68" i="6"/>
  <c r="CH58" i="6"/>
  <c r="W129" i="9"/>
  <c r="W130" i="9" s="1"/>
  <c r="CJ37" i="6"/>
  <c r="CJ159" i="2"/>
  <c r="CJ30" i="6"/>
  <c r="CY250" i="6"/>
  <c r="AG189" i="9"/>
  <c r="AG207" i="9" s="1"/>
  <c r="AG121" i="9"/>
  <c r="BY165" i="6"/>
  <c r="BY166" i="6"/>
  <c r="BY114" i="6"/>
  <c r="BR206" i="6"/>
  <c r="M129" i="9"/>
  <c r="R130" i="9" s="1"/>
  <c r="CE37" i="6"/>
  <c r="BZ43" i="6"/>
  <c r="BX243" i="6"/>
  <c r="BF105" i="2"/>
  <c r="BF27" i="6"/>
  <c r="BO9" i="2"/>
  <c r="BO61" i="6"/>
  <c r="BO224" i="6" s="1"/>
  <c r="CF20" i="6"/>
  <c r="CF143" i="6"/>
  <c r="CF30" i="6"/>
  <c r="CQ74" i="7"/>
  <c r="CU73" i="7"/>
  <c r="CU85" i="7"/>
  <c r="CC51" i="7"/>
  <c r="CD51" i="7"/>
  <c r="CF51" i="7" s="1"/>
  <c r="CE51" i="7"/>
  <c r="CG51" i="7" s="1"/>
  <c r="BT106" i="7"/>
  <c r="BQ259" i="3"/>
  <c r="BQ197" i="7"/>
  <c r="CB106" i="7"/>
  <c r="CU29" i="7"/>
  <c r="CU100" i="2"/>
  <c r="CU28" i="7"/>
  <c r="CY183" i="7"/>
  <c r="CY188" i="7" s="1"/>
  <c r="CY210" i="7" s="1"/>
  <c r="CY259" i="3"/>
  <c r="CY201" i="7"/>
  <c r="CY197" i="7"/>
  <c r="CY198" i="7"/>
  <c r="CY215" i="7"/>
  <c r="CP93" i="7"/>
  <c r="CD220" i="8"/>
  <c r="CD222" i="8"/>
  <c r="CD110" i="8"/>
  <c r="CD112" i="8"/>
  <c r="CX327" i="6"/>
  <c r="DC321" i="6"/>
  <c r="DH321" i="6" s="1"/>
  <c r="CE297" i="6"/>
  <c r="CJ302" i="6" s="1"/>
  <c r="CE159" i="2"/>
  <c r="CE160" i="2" s="1"/>
  <c r="BT213" i="6"/>
  <c r="BF47" i="7"/>
  <c r="AW22" i="7"/>
  <c r="AW24" i="7"/>
  <c r="AW129" i="7"/>
  <c r="AM22" i="7"/>
  <c r="AM24" i="7"/>
  <c r="N198" i="7"/>
  <c r="N22" i="7"/>
  <c r="N129" i="7"/>
  <c r="CG32" i="7"/>
  <c r="CG158" i="2"/>
  <c r="BN654" i="6"/>
  <c r="BN655" i="6" s="1"/>
  <c r="BN658" i="6" s="1"/>
  <c r="BN124" i="6"/>
  <c r="BN20" i="6"/>
  <c r="BN222" i="6" s="1"/>
  <c r="BN42" i="6"/>
  <c r="BN15" i="6"/>
  <c r="BN143" i="6"/>
  <c r="BN55" i="6"/>
  <c r="BU55" i="6"/>
  <c r="BU17" i="6"/>
  <c r="BU189" i="3" s="1"/>
  <c r="BU190" i="3" s="1"/>
  <c r="BZ15" i="6"/>
  <c r="M126" i="9" s="1"/>
  <c r="BU15" i="6"/>
  <c r="H126" i="9" s="1"/>
  <c r="CC55" i="6"/>
  <c r="CH15" i="6"/>
  <c r="CC25" i="6"/>
  <c r="CC15" i="6"/>
  <c r="P126" i="9"/>
  <c r="BU258" i="6"/>
  <c r="BU247" i="6"/>
  <c r="BX256" i="6"/>
  <c r="CC301" i="6" s="1"/>
  <c r="BX63" i="6"/>
  <c r="BX67" i="6" s="1"/>
  <c r="BX26" i="6"/>
  <c r="CV27" i="6"/>
  <c r="CV247" i="6"/>
  <c r="CV257" i="6"/>
  <c r="CX257" i="6"/>
  <c r="CX27" i="6"/>
  <c r="BH212" i="6"/>
  <c r="BM137" i="6"/>
  <c r="BI213" i="6"/>
  <c r="BI171" i="6"/>
  <c r="BL170" i="6"/>
  <c r="F177" i="9"/>
  <c r="F109" i="9"/>
  <c r="K177" i="9"/>
  <c r="K109" i="9"/>
  <c r="BN159" i="6"/>
  <c r="BS119" i="6"/>
  <c r="BZ113" i="6"/>
  <c r="CE119" i="6" s="1"/>
  <c r="CA89" i="6"/>
  <c r="CE159" i="6"/>
  <c r="CJ119" i="6"/>
  <c r="CM112" i="6"/>
  <c r="CH158" i="6"/>
  <c r="E176" i="9"/>
  <c r="E108" i="9"/>
  <c r="L176" i="9"/>
  <c r="L108" i="9"/>
  <c r="R158" i="9"/>
  <c r="R194" i="9"/>
  <c r="U176" i="9"/>
  <c r="U108" i="9"/>
  <c r="BR101" i="6"/>
  <c r="BR83" i="6" s="1"/>
  <c r="BR84" i="6" s="1"/>
  <c r="BR85" i="6" s="1"/>
  <c r="BR82" i="6"/>
  <c r="CC10" i="6"/>
  <c r="CH125" i="6"/>
  <c r="CC124" i="6"/>
  <c r="CO10" i="6"/>
  <c r="CT125" i="6"/>
  <c r="BM179" i="6"/>
  <c r="BM142" i="6"/>
  <c r="BM143" i="6"/>
  <c r="BR179" i="6"/>
  <c r="BR142" i="6"/>
  <c r="BR143" i="6"/>
  <c r="BW142" i="6"/>
  <c r="CH179" i="6"/>
  <c r="CM142" i="6"/>
  <c r="CH142" i="6"/>
  <c r="CL245" i="6"/>
  <c r="CL243" i="6"/>
  <c r="CN245" i="6"/>
  <c r="CN243" i="6"/>
  <c r="CS245" i="6"/>
  <c r="CQ245" i="6"/>
  <c r="CV245" i="6"/>
  <c r="CH301" i="6"/>
  <c r="CM301" i="6"/>
  <c r="CT301" i="6"/>
  <c r="CO301" i="6"/>
  <c r="DC301" i="6"/>
  <c r="CX301" i="6"/>
  <c r="BR296" i="6"/>
  <c r="BR167" i="7"/>
  <c r="BR153" i="7"/>
  <c r="BR141" i="7" s="1"/>
  <c r="BT210" i="7"/>
  <c r="BT93" i="7"/>
  <c r="BT118" i="7" s="1"/>
  <c r="BT153" i="7"/>
  <c r="BT141" i="7" s="1"/>
  <c r="BW153" i="7"/>
  <c r="BW141" i="7" s="1"/>
  <c r="BW93" i="7"/>
  <c r="BW118" i="7" s="1"/>
  <c r="BW167" i="7"/>
  <c r="BY167" i="7"/>
  <c r="BY93" i="7"/>
  <c r="BY118" i="7" s="1"/>
  <c r="CB153" i="7"/>
  <c r="CB141" i="7" s="1"/>
  <c r="CB167" i="7"/>
  <c r="CB93" i="7"/>
  <c r="CB118" i="7"/>
  <c r="CF14" i="7"/>
  <c r="CD153" i="7"/>
  <c r="CD141" i="7" s="1"/>
  <c r="CD93" i="7"/>
  <c r="CD118" i="7" s="1"/>
  <c r="CG167" i="7"/>
  <c r="CK14" i="7"/>
  <c r="CP167" i="7"/>
  <c r="CG93" i="7"/>
  <c r="CI93" i="7"/>
  <c r="CI167" i="7"/>
  <c r="CL210" i="7"/>
  <c r="CL93" i="7"/>
  <c r="CL167" i="7"/>
  <c r="CN93" i="7"/>
  <c r="CU14" i="7"/>
  <c r="CU262" i="3"/>
  <c r="CU263" i="3" s="1"/>
  <c r="CU282" i="3" s="1"/>
  <c r="CZ18" i="7"/>
  <c r="S256" i="3"/>
  <c r="S257" i="3" s="1"/>
  <c r="S271" i="3"/>
  <c r="S272" i="3" s="1"/>
  <c r="CO256" i="3"/>
  <c r="CO271" i="3" s="1"/>
  <c r="CO272" i="3" s="1"/>
  <c r="T26" i="5"/>
  <c r="CU22" i="7"/>
  <c r="CU36" i="7"/>
  <c r="CZ170" i="7"/>
  <c r="CX23" i="7"/>
  <c r="AK27" i="9"/>
  <c r="AK28" i="9" s="1"/>
  <c r="DC23" i="7"/>
  <c r="R26" i="7"/>
  <c r="R28" i="7" s="1"/>
  <c r="R25" i="7"/>
  <c r="W26" i="7"/>
  <c r="W28" i="7"/>
  <c r="W25" i="7"/>
  <c r="AQ25" i="7"/>
  <c r="AX25" i="7"/>
  <c r="BF25" i="7"/>
  <c r="BL25" i="7"/>
  <c r="BL201" i="7"/>
  <c r="BU25" i="7"/>
  <c r="BZ25" i="7"/>
  <c r="CE28" i="7"/>
  <c r="CJ27" i="7"/>
  <c r="CH29" i="7"/>
  <c r="CQ29" i="7"/>
  <c r="CQ28" i="7"/>
  <c r="CV173" i="7"/>
  <c r="CQ173" i="7"/>
  <c r="CQ27" i="7"/>
  <c r="AD21" i="9" s="1"/>
  <c r="CQ100" i="2"/>
  <c r="CQ115" i="2" s="1"/>
  <c r="AW32" i="7"/>
  <c r="BB32" i="7"/>
  <c r="BL32" i="7"/>
  <c r="BL158" i="2"/>
  <c r="G37" i="7"/>
  <c r="G144" i="2"/>
  <c r="BM37" i="7"/>
  <c r="BM24" i="7"/>
  <c r="BW38" i="7"/>
  <c r="J31" i="9" s="1"/>
  <c r="O30" i="9"/>
  <c r="O29" i="9"/>
  <c r="P30" i="9"/>
  <c r="P29" i="9"/>
  <c r="U30" i="9"/>
  <c r="V29" i="9"/>
  <c r="V30" i="9"/>
  <c r="W30" i="9"/>
  <c r="Y29" i="9"/>
  <c r="Y30" i="9"/>
  <c r="Z30" i="9"/>
  <c r="Z29" i="9"/>
  <c r="AB30" i="9"/>
  <c r="AF29" i="9"/>
  <c r="AF30" i="9"/>
  <c r="CT31" i="7"/>
  <c r="CT174" i="7"/>
  <c r="CT37" i="7"/>
  <c r="CT200" i="7"/>
  <c r="CT144" i="2"/>
  <c r="X45" i="7"/>
  <c r="X54" i="7" s="1"/>
  <c r="S57" i="7"/>
  <c r="BM179" i="7"/>
  <c r="BN45" i="7"/>
  <c r="BN54" i="7" s="1"/>
  <c r="BS45" i="7"/>
  <c r="BS54" i="7"/>
  <c r="BR179" i="7"/>
  <c r="BR80" i="7"/>
  <c r="CP54" i="7"/>
  <c r="BE48" i="7"/>
  <c r="BF48" i="7" s="1"/>
  <c r="BD49" i="7"/>
  <c r="BP48" i="7"/>
  <c r="BO49" i="7"/>
  <c r="AB48" i="7"/>
  <c r="AB49" i="7"/>
  <c r="AA49" i="7"/>
  <c r="CX51" i="7"/>
  <c r="CZ51" i="7"/>
  <c r="BJ52" i="7"/>
  <c r="BK52" i="7"/>
  <c r="BU64" i="7"/>
  <c r="BU91" i="7"/>
  <c r="BU90" i="7"/>
  <c r="BN128" i="7"/>
  <c r="CA149" i="7"/>
  <c r="BR168" i="7"/>
  <c r="BV15" i="7"/>
  <c r="BT154" i="7"/>
  <c r="BT142" i="7" s="1"/>
  <c r="BT168" i="7"/>
  <c r="BY154" i="7"/>
  <c r="BY142" i="7"/>
  <c r="BW154" i="7"/>
  <c r="BW142" i="7" s="1"/>
  <c r="BW168" i="7"/>
  <c r="CA15" i="7"/>
  <c r="BZ150" i="7"/>
  <c r="BZ127" i="7"/>
  <c r="BZ15" i="7"/>
  <c r="BQ78" i="8"/>
  <c r="BQ81" i="8"/>
  <c r="BQ100" i="8"/>
  <c r="BQ103" i="8"/>
  <c r="CR130" i="8"/>
  <c r="CQ136" i="8"/>
  <c r="CB147" i="8"/>
  <c r="CB144" i="8"/>
  <c r="CC143" i="8"/>
  <c r="CC145" i="8"/>
  <c r="CC155" i="8"/>
  <c r="CF155" i="8"/>
  <c r="CF156" i="8"/>
  <c r="CC158" i="8"/>
  <c r="BV202" i="8"/>
  <c r="BV199" i="8"/>
  <c r="CO213" i="8"/>
  <c r="CP213" i="8"/>
  <c r="CQ209" i="8"/>
  <c r="CQ211" i="8"/>
  <c r="CO37" i="8"/>
  <c r="CR218" i="8"/>
  <c r="CQ224" i="8"/>
  <c r="DE39" i="8"/>
  <c r="DJ231" i="8"/>
  <c r="DJ233" i="8"/>
  <c r="CC257" i="8"/>
  <c r="CC254" i="8"/>
  <c r="CE286" i="8"/>
  <c r="CE288" i="8"/>
  <c r="CD290" i="8"/>
  <c r="CC287" i="8"/>
  <c r="CF287" i="8"/>
  <c r="CF288" i="8"/>
  <c r="CC290" i="8"/>
  <c r="CI295" i="8"/>
  <c r="CC312" i="8"/>
  <c r="CC309" i="8"/>
  <c r="CU319" i="8"/>
  <c r="CU321" i="8"/>
  <c r="CP47" i="8"/>
  <c r="CJ328" i="8"/>
  <c r="CV49" i="8"/>
  <c r="CW341" i="8"/>
  <c r="CW343" i="8"/>
  <c r="CV345" i="8"/>
  <c r="CZ50" i="8"/>
  <c r="DE352" i="8"/>
  <c r="DE354" i="8"/>
  <c r="DA361" i="8"/>
  <c r="CV378" i="8"/>
  <c r="CV52" i="8"/>
  <c r="DE374" i="8"/>
  <c r="DE376" i="8"/>
  <c r="DA374" i="8"/>
  <c r="DA376" i="8"/>
  <c r="CZ52" i="8"/>
  <c r="BQ430" i="8"/>
  <c r="BQ433" i="8"/>
  <c r="H65" i="9"/>
  <c r="H99" i="9"/>
  <c r="F100" i="9"/>
  <c r="F66" i="9"/>
  <c r="DK207" i="8"/>
  <c r="BA100" i="9"/>
  <c r="BF83" i="9"/>
  <c r="DD249" i="6"/>
  <c r="CY249" i="6"/>
  <c r="CY296" i="6"/>
  <c r="DD296" i="6"/>
  <c r="CY300" i="6"/>
  <c r="DD97" i="2"/>
  <c r="CA245" i="3"/>
  <c r="CA165" i="3"/>
  <c r="CA240" i="3"/>
  <c r="CU244" i="3"/>
  <c r="CU239" i="3"/>
  <c r="DL45" i="3"/>
  <c r="DL300" i="3"/>
  <c r="DA216" i="3"/>
  <c r="BU77" i="3"/>
  <c r="BV11" i="3"/>
  <c r="BU75" i="3" s="1"/>
  <c r="CM11" i="3"/>
  <c r="CM12" i="3" s="1"/>
  <c r="CG26" i="3"/>
  <c r="CG34" i="3"/>
  <c r="CG299" i="3" s="1"/>
  <c r="CP28" i="3"/>
  <c r="CL34" i="3"/>
  <c r="CL299" i="3" s="1"/>
  <c r="CU28" i="3"/>
  <c r="CF29" i="3"/>
  <c r="CB34" i="3"/>
  <c r="CB299" i="3" s="1"/>
  <c r="AC299" i="3"/>
  <c r="AC35" i="3"/>
  <c r="AC312" i="3"/>
  <c r="BB299" i="3"/>
  <c r="BB35" i="3"/>
  <c r="BG312" i="3"/>
  <c r="BO45" i="3"/>
  <c r="BO300" i="3"/>
  <c r="BO290" i="3"/>
  <c r="BS45" i="3"/>
  <c r="BS290" i="3"/>
  <c r="BU300" i="3"/>
  <c r="BU146" i="3"/>
  <c r="BU45" i="3"/>
  <c r="BY290" i="3"/>
  <c r="CA37" i="3"/>
  <c r="BY45" i="3"/>
  <c r="CB290" i="3"/>
  <c r="CK37" i="3"/>
  <c r="CI290" i="3"/>
  <c r="CL45" i="3"/>
  <c r="CL300" i="3"/>
  <c r="CP37" i="3"/>
  <c r="CO45" i="3"/>
  <c r="CS290" i="3"/>
  <c r="CS45" i="3"/>
  <c r="CK39" i="3"/>
  <c r="CG45" i="3"/>
  <c r="CC61" i="3"/>
  <c r="BX302" i="3"/>
  <c r="BX61" i="3"/>
  <c r="BZ302" i="3"/>
  <c r="BZ61" i="3"/>
  <c r="CC204" i="3"/>
  <c r="CF58" i="3"/>
  <c r="CF302" i="3" s="1"/>
  <c r="CE204" i="3"/>
  <c r="CE206" i="3" s="1"/>
  <c r="CE207" i="3" s="1"/>
  <c r="CE302" i="3"/>
  <c r="CH302" i="3"/>
  <c r="CK58" i="3"/>
  <c r="CH204" i="3"/>
  <c r="CJ204" i="3"/>
  <c r="CJ205" i="3" s="1"/>
  <c r="CP58" i="3"/>
  <c r="CM204" i="3"/>
  <c r="CO206" i="3"/>
  <c r="CO205" i="3"/>
  <c r="BX197" i="3"/>
  <c r="BX198" i="3" s="1"/>
  <c r="BX202" i="3" s="1"/>
  <c r="BX49" i="2" s="1"/>
  <c r="BX50" i="2" s="1"/>
  <c r="BX204" i="3" s="1"/>
  <c r="BX205" i="3" s="1"/>
  <c r="CD197" i="3"/>
  <c r="CG196" i="3"/>
  <c r="CL197" i="3"/>
  <c r="CP59" i="3"/>
  <c r="CN197" i="3"/>
  <c r="CP197" i="3" s="1"/>
  <c r="CP196" i="3" s="1"/>
  <c r="CQ197" i="3"/>
  <c r="CU59" i="3"/>
  <c r="CW198" i="3"/>
  <c r="CW210" i="3"/>
  <c r="BU123" i="3"/>
  <c r="BU60" i="3"/>
  <c r="BV61" i="3"/>
  <c r="AM65" i="3"/>
  <c r="BP19" i="3"/>
  <c r="BP26" i="3" s="1"/>
  <c r="BP317" i="3"/>
  <c r="BP318" i="3"/>
  <c r="BP319" i="3" s="1"/>
  <c r="CW98" i="3"/>
  <c r="CW318" i="3" s="1"/>
  <c r="CW30" i="3"/>
  <c r="CY318" i="3"/>
  <c r="CY99" i="3"/>
  <c r="BU98" i="3"/>
  <c r="BU318" i="3" s="1"/>
  <c r="BU28" i="3"/>
  <c r="BU34" i="3" s="1"/>
  <c r="BU299" i="3" s="1"/>
  <c r="CR99" i="3"/>
  <c r="CR318" i="3"/>
  <c r="CT318" i="3"/>
  <c r="CT99" i="3"/>
  <c r="CW110" i="3"/>
  <c r="CW42" i="3"/>
  <c r="CW45" i="3" s="1"/>
  <c r="CY110" i="3"/>
  <c r="CY42" i="3"/>
  <c r="BP322" i="3"/>
  <c r="BP38" i="3"/>
  <c r="BP110" i="3"/>
  <c r="AR152" i="3"/>
  <c r="AR252" i="3"/>
  <c r="AR244" i="3"/>
  <c r="AR239" i="3"/>
  <c r="BO239" i="3"/>
  <c r="BO249" i="3" s="1"/>
  <c r="BO244" i="3"/>
  <c r="BO246" i="3"/>
  <c r="BO250" i="3"/>
  <c r="BT152" i="3"/>
  <c r="BT252" i="3"/>
  <c r="BT239" i="3"/>
  <c r="BW244" i="3"/>
  <c r="BW152" i="3"/>
  <c r="BW252" i="3"/>
  <c r="CJ152" i="3"/>
  <c r="CJ252" i="3"/>
  <c r="CJ250" i="3"/>
  <c r="CM244" i="3"/>
  <c r="CM246" i="3"/>
  <c r="CM250" i="3"/>
  <c r="CT152" i="3"/>
  <c r="CT252" i="3"/>
  <c r="CT250" i="3"/>
  <c r="CY244" i="3"/>
  <c r="CY250" i="3"/>
  <c r="CY152" i="3"/>
  <c r="CY252" i="3"/>
  <c r="CU192" i="3"/>
  <c r="CU63" i="8"/>
  <c r="I240" i="3"/>
  <c r="I250" i="3"/>
  <c r="S245" i="3"/>
  <c r="S165" i="3"/>
  <c r="S179" i="3"/>
  <c r="S240" i="3"/>
  <c r="AC245" i="3"/>
  <c r="AC246" i="3" s="1"/>
  <c r="AC165" i="3"/>
  <c r="AC179" i="3"/>
  <c r="AC181" i="3" s="1"/>
  <c r="AC251" i="3"/>
  <c r="AM251" i="3"/>
  <c r="AM240" i="3"/>
  <c r="AM249" i="3" s="1"/>
  <c r="BM165" i="3"/>
  <c r="BM179" i="3"/>
  <c r="BM181" i="3" s="1"/>
  <c r="BM245" i="3"/>
  <c r="BM246" i="3" s="1"/>
  <c r="BM251" i="3"/>
  <c r="BR251" i="3"/>
  <c r="BR240" i="3"/>
  <c r="BT181" i="3"/>
  <c r="BW251" i="3"/>
  <c r="BW245" i="3"/>
  <c r="BW165" i="3"/>
  <c r="BW179" i="3"/>
  <c r="BW181" i="3" s="1"/>
  <c r="BW240" i="3"/>
  <c r="BW241" i="3" s="1"/>
  <c r="BY165" i="3"/>
  <c r="BY245" i="3"/>
  <c r="CB240" i="3"/>
  <c r="CB165" i="3"/>
  <c r="CB179" i="3"/>
  <c r="CB181" i="3" s="1"/>
  <c r="CB251" i="3"/>
  <c r="CD251" i="3"/>
  <c r="CD240" i="3"/>
  <c r="CD250" i="3"/>
  <c r="CG251" i="3"/>
  <c r="CG245" i="3"/>
  <c r="CG246" i="3" s="1"/>
  <c r="CG240" i="3"/>
  <c r="CG250" i="3"/>
  <c r="CI165" i="3"/>
  <c r="CI179" i="3"/>
  <c r="CI181" i="3" s="1"/>
  <c r="CI250" i="3"/>
  <c r="CI240" i="3"/>
  <c r="CI245" i="3"/>
  <c r="CI246" i="3" s="1"/>
  <c r="CI247" i="3" s="1"/>
  <c r="CO165" i="3"/>
  <c r="CO245" i="3"/>
  <c r="CO246" i="3" s="1"/>
  <c r="CO251" i="3"/>
  <c r="CW251" i="3"/>
  <c r="CW240" i="3"/>
  <c r="CW249" i="3" s="1"/>
  <c r="CW165" i="3"/>
  <c r="CW179" i="3"/>
  <c r="CW181" i="3" s="1"/>
  <c r="CW245" i="3"/>
  <c r="CW246" i="3" s="1"/>
  <c r="CY245" i="3"/>
  <c r="CY246" i="3" s="1"/>
  <c r="CY165" i="3"/>
  <c r="CY179" i="3"/>
  <c r="CY181" i="3" s="1"/>
  <c r="CY251" i="3"/>
  <c r="BF187" i="3"/>
  <c r="BF188" i="3" s="1"/>
  <c r="BF186" i="3"/>
  <c r="BS187" i="3"/>
  <c r="BS188" i="3" s="1"/>
  <c r="BW186" i="3"/>
  <c r="BW187" i="3"/>
  <c r="BW188" i="3" s="1"/>
  <c r="CL187" i="3"/>
  <c r="CL188" i="3" s="1"/>
  <c r="CL186" i="3"/>
  <c r="CQ186" i="3"/>
  <c r="CQ187" i="3"/>
  <c r="CQ188" i="3" s="1"/>
  <c r="CY186" i="3"/>
  <c r="CY187" i="3"/>
  <c r="CY188" i="3" s="1"/>
  <c r="BW216" i="3"/>
  <c r="AW216" i="3"/>
  <c r="BZ196" i="3"/>
  <c r="BZ198" i="3"/>
  <c r="BZ202" i="3"/>
  <c r="BZ49" i="2"/>
  <c r="BY198" i="3"/>
  <c r="BY202" i="3"/>
  <c r="BY49" i="2"/>
  <c r="CA196" i="3"/>
  <c r="N206" i="3"/>
  <c r="S207" i="3" s="1"/>
  <c r="N209" i="3"/>
  <c r="X206" i="3"/>
  <c r="X209" i="3"/>
  <c r="BV205" i="3"/>
  <c r="BL206" i="3"/>
  <c r="BL205" i="3"/>
  <c r="CM257" i="3"/>
  <c r="BP272" i="3"/>
  <c r="BR272" i="3"/>
  <c r="BY272" i="3"/>
  <c r="CS272" i="3"/>
  <c r="AW272" i="3"/>
  <c r="BG272" i="3"/>
  <c r="BQ319" i="3"/>
  <c r="BQ323" i="3"/>
  <c r="DM323" i="3"/>
  <c r="Q327" i="3"/>
  <c r="P327" i="3"/>
  <c r="O327" i="3"/>
  <c r="X327" i="3"/>
  <c r="DA30" i="6"/>
  <c r="DA297" i="6"/>
  <c r="DA159" i="2"/>
  <c r="DA257" i="6"/>
  <c r="DA258" i="6"/>
  <c r="DA10" i="2"/>
  <c r="CV93" i="7"/>
  <c r="CV167" i="7"/>
  <c r="CV15" i="7"/>
  <c r="DB179" i="6"/>
  <c r="DB136" i="2"/>
  <c r="DB165" i="3"/>
  <c r="DB179" i="3"/>
  <c r="DB181" i="3" s="1"/>
  <c r="DB251" i="3"/>
  <c r="DB240" i="3"/>
  <c r="DB318" i="3"/>
  <c r="DB319" i="3" s="1"/>
  <c r="DB323" i="3" s="1"/>
  <c r="DB325" i="3" s="1"/>
  <c r="DB300" i="3"/>
  <c r="DC298" i="3"/>
  <c r="DC187" i="3"/>
  <c r="DC188" i="3" s="1"/>
  <c r="BF65" i="9"/>
  <c r="BF99" i="9"/>
  <c r="BD203" i="9"/>
  <c r="BD163" i="9"/>
  <c r="BC185" i="9"/>
  <c r="BH185" i="9" s="1"/>
  <c r="AX167" i="9"/>
  <c r="AX203" i="9"/>
  <c r="BE185" i="9"/>
  <c r="BJ185" i="9" s="1"/>
  <c r="AZ167" i="9"/>
  <c r="AZ203" i="9"/>
  <c r="AX65" i="9"/>
  <c r="AX99" i="9"/>
  <c r="AZ65" i="9"/>
  <c r="AZ99" i="9"/>
  <c r="CS93" i="7"/>
  <c r="CW153" i="7"/>
  <c r="CW141" i="7"/>
  <c r="CS167" i="7"/>
  <c r="DB167" i="7"/>
  <c r="DA127" i="7"/>
  <c r="DA168" i="7"/>
  <c r="DE14" i="7"/>
  <c r="DA118" i="7"/>
  <c r="DA90" i="7"/>
  <c r="DA91" i="7"/>
  <c r="DC93" i="7"/>
  <c r="CT90" i="7"/>
  <c r="CT91" i="7" s="1"/>
  <c r="DE143" i="3"/>
  <c r="AR80" i="5"/>
  <c r="DE22" i="7"/>
  <c r="DE160" i="3"/>
  <c r="DE24" i="7"/>
  <c r="AO23" i="9"/>
  <c r="AO27" i="9"/>
  <c r="AO28" i="9" s="1"/>
  <c r="AP30" i="5"/>
  <c r="DE26" i="6"/>
  <c r="DG290" i="3"/>
  <c r="AT57" i="5"/>
  <c r="BK257" i="6"/>
  <c r="BK105" i="2"/>
  <c r="CS158" i="6"/>
  <c r="CJ208" i="6"/>
  <c r="BP206" i="7"/>
  <c r="BP184" i="7"/>
  <c r="BP189" i="7" s="1"/>
  <c r="BP190" i="7" s="1"/>
  <c r="BP211" i="7" s="1"/>
  <c r="CJ160" i="6"/>
  <c r="BI208" i="6"/>
  <c r="CN158" i="6"/>
  <c r="CI206" i="6"/>
  <c r="CB207" i="6"/>
  <c r="CX244" i="6"/>
  <c r="BM241" i="3"/>
  <c r="BV167" i="7"/>
  <c r="CW135" i="2"/>
  <c r="AR187" i="3"/>
  <c r="AR188" i="3" s="1"/>
  <c r="AR186" i="3"/>
  <c r="CB92" i="2"/>
  <c r="CS1" i="6"/>
  <c r="DA27" i="6"/>
  <c r="CT9" i="2"/>
  <c r="BU27" i="6"/>
  <c r="BU257" i="6"/>
  <c r="AH51" i="2"/>
  <c r="X205" i="7"/>
  <c r="X206" i="7"/>
  <c r="N205" i="7"/>
  <c r="BR56" i="7"/>
  <c r="AY100" i="9"/>
  <c r="CG187" i="3"/>
  <c r="CG188" i="3" s="1"/>
  <c r="CH14" i="3"/>
  <c r="CH298" i="3" s="1"/>
  <c r="CH12" i="3"/>
  <c r="BO11" i="3"/>
  <c r="CO64" i="2"/>
  <c r="CJ1" i="6"/>
  <c r="CJ64" i="2"/>
  <c r="BO58" i="6"/>
  <c r="P195" i="9"/>
  <c r="H159" i="9"/>
  <c r="BU68" i="6"/>
  <c r="DD300" i="6"/>
  <c r="DD244" i="6"/>
  <c r="CC119" i="6"/>
  <c r="CC158" i="6"/>
  <c r="CG158" i="6"/>
  <c r="BI160" i="6"/>
  <c r="CO112" i="6"/>
  <c r="BR137" i="6"/>
  <c r="BH171" i="6"/>
  <c r="CI118" i="6"/>
  <c r="BN119" i="6"/>
  <c r="CG212" i="6"/>
  <c r="BO137" i="6"/>
  <c r="AB15" i="2"/>
  <c r="AB67" i="8" s="1"/>
  <c r="AP149" i="2"/>
  <c r="AA65" i="9"/>
  <c r="U66" i="9"/>
  <c r="Y99" i="9"/>
  <c r="P100" i="9"/>
  <c r="M66" i="9"/>
  <c r="CG165" i="3"/>
  <c r="CG179" i="3"/>
  <c r="CG181" i="3" s="1"/>
  <c r="CB250" i="3"/>
  <c r="BR165" i="3"/>
  <c r="BY257" i="3"/>
  <c r="CI251" i="3"/>
  <c r="CJ244" i="3"/>
  <c r="BY240" i="3"/>
  <c r="BG152" i="3"/>
  <c r="CF149" i="7"/>
  <c r="W66" i="9"/>
  <c r="DA86" i="7"/>
  <c r="BD101" i="9"/>
  <c r="BE101" i="9"/>
  <c r="BA66" i="9"/>
  <c r="CY118" i="7"/>
  <c r="CY90" i="7"/>
  <c r="CY91" i="7"/>
  <c r="AK48" i="5"/>
  <c r="AK44" i="5"/>
  <c r="AM26" i="9"/>
  <c r="CZ169" i="7"/>
  <c r="CY200" i="7"/>
  <c r="CZ155" i="7"/>
  <c r="DA301" i="6"/>
  <c r="CZ173" i="7"/>
  <c r="CZ100" i="2"/>
  <c r="CZ26" i="6"/>
  <c r="CZ221" i="6"/>
  <c r="CZ60" i="6"/>
  <c r="CZ47" i="6"/>
  <c r="CY317" i="8"/>
  <c r="DK383" i="8"/>
  <c r="CX10" i="6"/>
  <c r="CX179" i="6"/>
  <c r="CW179" i="6"/>
  <c r="DC229" i="8"/>
  <c r="CZ314" i="6"/>
  <c r="BP161" i="7"/>
  <c r="BP162" i="7" s="1"/>
  <c r="CN108" i="8"/>
  <c r="AD57" i="7"/>
  <c r="CE96" i="7"/>
  <c r="CM163" i="8"/>
  <c r="BQ297" i="6"/>
  <c r="BQ302" i="6" s="1"/>
  <c r="BS235" i="6"/>
  <c r="BG250" i="6"/>
  <c r="BS114" i="6"/>
  <c r="BP232" i="6"/>
  <c r="CS201" i="7"/>
  <c r="BZ90" i="7"/>
  <c r="CR191" i="8"/>
  <c r="CN323" i="8"/>
  <c r="DC394" i="8"/>
  <c r="DF372" i="8"/>
  <c r="AR132" i="2"/>
  <c r="AR136" i="2" s="1"/>
  <c r="CS92" i="2"/>
  <c r="CV92" i="2"/>
  <c r="CN64" i="2"/>
  <c r="BV300" i="6"/>
  <c r="CN250" i="6"/>
  <c r="BY206" i="6"/>
  <c r="BU243" i="6"/>
  <c r="BW208" i="6"/>
  <c r="CL113" i="6"/>
  <c r="CC180" i="6"/>
  <c r="CF142" i="6"/>
  <c r="CC248" i="6"/>
  <c r="BP235" i="6"/>
  <c r="M24" i="5"/>
  <c r="BU171" i="6"/>
  <c r="BW27" i="6"/>
  <c r="BW257" i="6"/>
  <c r="CG118" i="6"/>
  <c r="CN216" i="6"/>
  <c r="BF257" i="6"/>
  <c r="CP300" i="6"/>
  <c r="CF27" i="6"/>
  <c r="CX250" i="6"/>
  <c r="CR180" i="6"/>
  <c r="CO43" i="6"/>
  <c r="BT171" i="6"/>
  <c r="BY232" i="6"/>
  <c r="BQ201" i="7"/>
  <c r="BL121" i="7"/>
  <c r="AH108" i="7"/>
  <c r="BQ200" i="7"/>
  <c r="DA240" i="8"/>
  <c r="CW416" i="8"/>
  <c r="CH330" i="8"/>
  <c r="CH332" i="8"/>
  <c r="CG48" i="8"/>
  <c r="DC339" i="8"/>
  <c r="CI86" i="8"/>
  <c r="CO141" i="8"/>
  <c r="DT341" i="8"/>
  <c r="DT343" i="8"/>
  <c r="DT49" i="8"/>
  <c r="DO49" i="8"/>
  <c r="CP407" i="8"/>
  <c r="CP409" i="8"/>
  <c r="CK55" i="8"/>
  <c r="H127" i="9"/>
  <c r="AG131" i="9"/>
  <c r="CX37" i="6"/>
  <c r="CE30" i="6"/>
  <c r="CX97" i="2"/>
  <c r="Y23" i="9"/>
  <c r="AH23" i="9"/>
  <c r="CQ1" i="6"/>
  <c r="X20" i="2"/>
  <c r="BQ199" i="7"/>
  <c r="BY10" i="2"/>
  <c r="BY291" i="3" s="1"/>
  <c r="CI41" i="6"/>
  <c r="AH278" i="3"/>
  <c r="AH279" i="3" s="1"/>
  <c r="AH284" i="3" s="1"/>
  <c r="AH185" i="3"/>
  <c r="E22" i="2"/>
  <c r="E24" i="2" s="1"/>
  <c r="E27" i="2" s="1"/>
  <c r="E29" i="2" s="1"/>
  <c r="E15" i="2"/>
  <c r="E67" i="8" s="1"/>
  <c r="N60" i="2"/>
  <c r="I89" i="2"/>
  <c r="N278" i="3"/>
  <c r="N279" i="3" s="1"/>
  <c r="N284" i="3" s="1"/>
  <c r="N185" i="3"/>
  <c r="X89" i="2"/>
  <c r="X94" i="2"/>
  <c r="AC60" i="2"/>
  <c r="BM14" i="2"/>
  <c r="BU94" i="2"/>
  <c r="BU97" i="2" s="1"/>
  <c r="BZ34" i="7"/>
  <c r="BZ31" i="7" s="1"/>
  <c r="CD94" i="2"/>
  <c r="CI97" i="2" s="1"/>
  <c r="N305" i="3"/>
  <c r="S305" i="3"/>
  <c r="AM305" i="3"/>
  <c r="AW278" i="3"/>
  <c r="AW279" i="3" s="1"/>
  <c r="AW284" i="3" s="1"/>
  <c r="CF89" i="2"/>
  <c r="CP185" i="3"/>
  <c r="CP278" i="3"/>
  <c r="CP279" i="3" s="1"/>
  <c r="CP284" i="3" s="1"/>
  <c r="CP305" i="3"/>
  <c r="T48" i="5"/>
  <c r="CW39" i="2"/>
  <c r="CW45" i="2"/>
  <c r="CZ43" i="2"/>
  <c r="U23" i="9"/>
  <c r="U1" i="9"/>
  <c r="BV51" i="2"/>
  <c r="CK51" i="2"/>
  <c r="AX94" i="2"/>
  <c r="BC94" i="2"/>
  <c r="BZ92" i="2"/>
  <c r="CH92" i="2"/>
  <c r="BG92" i="2"/>
  <c r="BB92" i="2"/>
  <c r="CJ115" i="2"/>
  <c r="CJ111" i="2" s="1"/>
  <c r="CP110" i="2"/>
  <c r="BR126" i="2"/>
  <c r="BV123" i="2"/>
  <c r="BY126" i="2"/>
  <c r="BT110" i="2"/>
  <c r="BT126" i="2"/>
  <c r="CF126" i="2"/>
  <c r="DC126" i="2"/>
  <c r="CX110" i="2"/>
  <c r="BE136" i="2"/>
  <c r="CO135" i="2"/>
  <c r="E144" i="2"/>
  <c r="V146" i="2"/>
  <c r="BC146" i="2"/>
  <c r="BC149" i="2" s="1"/>
  <c r="CS146" i="2"/>
  <c r="CQ243" i="6"/>
  <c r="CK311" i="6"/>
  <c r="BO216" i="6"/>
  <c r="BU124" i="6"/>
  <c r="BT138" i="6"/>
  <c r="CN43" i="6"/>
  <c r="CS43" i="6"/>
  <c r="CC30" i="6"/>
  <c r="BU30" i="6"/>
  <c r="CG243" i="6"/>
  <c r="CG244" i="6" s="1"/>
  <c r="BI214" i="6"/>
  <c r="CT68" i="6"/>
  <c r="BR9" i="2"/>
  <c r="BJ56" i="6"/>
  <c r="CA51" i="6"/>
  <c r="CB159" i="2"/>
  <c r="CB297" i="6"/>
  <c r="CX258" i="6"/>
  <c r="CD248" i="6"/>
  <c r="BQ67" i="6"/>
  <c r="BZ170" i="6"/>
  <c r="CJ9" i="2"/>
  <c r="CJ10" i="2" s="1"/>
  <c r="CJ41" i="6" s="1"/>
  <c r="CJ58" i="6"/>
  <c r="CC35" i="6"/>
  <c r="BU35" i="6"/>
  <c r="H129" i="9"/>
  <c r="CT159" i="2"/>
  <c r="CT30" i="6"/>
  <c r="CQ9" i="2"/>
  <c r="CQ56" i="6"/>
  <c r="CG43" i="6"/>
  <c r="CB43" i="6"/>
  <c r="BX25" i="6"/>
  <c r="CN65" i="6"/>
  <c r="V129" i="9"/>
  <c r="CN37" i="6"/>
  <c r="X204" i="7"/>
  <c r="CT38" i="7"/>
  <c r="U31" i="9"/>
  <c r="J32" i="5"/>
  <c r="BU98" i="7"/>
  <c r="BU75" i="7" s="1"/>
  <c r="BR82" i="7"/>
  <c r="BL26" i="7"/>
  <c r="AW137" i="7"/>
  <c r="S179" i="7"/>
  <c r="BR154" i="7"/>
  <c r="BR142" i="7" s="1"/>
  <c r="BR138" i="7" s="1"/>
  <c r="E75" i="9" s="1"/>
  <c r="E58" i="9" s="1"/>
  <c r="CE29" i="7"/>
  <c r="BX25" i="7"/>
  <c r="X211" i="7"/>
  <c r="CV27" i="7"/>
  <c r="CM173" i="7"/>
  <c r="Z25" i="7"/>
  <c r="CB154" i="7"/>
  <c r="CB142" i="7" s="1"/>
  <c r="BR210" i="7"/>
  <c r="AC24" i="7"/>
  <c r="N24" i="7"/>
  <c r="CW374" i="8"/>
  <c r="CW376" i="8"/>
  <c r="DB341" i="8"/>
  <c r="DB343" i="8"/>
  <c r="DA49" i="8"/>
  <c r="CM323" i="8"/>
  <c r="CB290" i="8"/>
  <c r="CD253" i="8"/>
  <c r="CD255" i="8"/>
  <c r="CC235" i="8"/>
  <c r="CD231" i="8"/>
  <c r="CD233" i="8"/>
  <c r="CD132" i="8"/>
  <c r="CD134" i="8"/>
  <c r="CD154" i="8"/>
  <c r="CD156" i="8"/>
  <c r="CB431" i="8"/>
  <c r="CB62" i="8" s="1"/>
  <c r="CB64" i="8" s="1"/>
  <c r="CB66" i="8" s="1"/>
  <c r="BU25" i="6"/>
  <c r="BT296" i="6"/>
  <c r="CC125" i="6"/>
  <c r="L38" i="7"/>
  <c r="J38" i="7"/>
  <c r="AI30" i="9"/>
  <c r="AD30" i="9"/>
  <c r="AB29" i="9"/>
  <c r="I24" i="7"/>
  <c r="I198" i="7"/>
  <c r="AA30" i="9"/>
  <c r="BL107" i="7"/>
  <c r="BL102" i="7" s="1"/>
  <c r="AM271" i="3"/>
  <c r="AM272" i="3" s="1"/>
  <c r="AC271" i="3"/>
  <c r="AC272" i="3" s="1"/>
  <c r="M29" i="5"/>
  <c r="CU14" i="6"/>
  <c r="BL114" i="6"/>
  <c r="BL120" i="6" s="1"/>
  <c r="BQ132" i="6"/>
  <c r="BQ139" i="6" s="1"/>
  <c r="BQ14" i="6"/>
  <c r="CA14" i="6"/>
  <c r="CK142" i="6"/>
  <c r="CP142" i="6"/>
  <c r="CP55" i="6"/>
  <c r="CP42" i="6"/>
  <c r="CP20" i="6"/>
  <c r="CP17" i="6"/>
  <c r="CP189" i="3"/>
  <c r="CP190" i="3" s="1"/>
  <c r="X15" i="6"/>
  <c r="S35" i="6"/>
  <c r="BI55" i="6"/>
  <c r="BI17" i="6"/>
  <c r="BI189" i="3" s="1"/>
  <c r="BI190" i="3" s="1"/>
  <c r="BI42" i="6"/>
  <c r="BI143" i="6"/>
  <c r="BI25" i="6"/>
  <c r="BI248" i="6"/>
  <c r="BM55" i="6"/>
  <c r="BM15" i="6"/>
  <c r="BR15" i="6"/>
  <c r="E126" i="9"/>
  <c r="BM42" i="6"/>
  <c r="BM654" i="6"/>
  <c r="BM655" i="6" s="1"/>
  <c r="BM658" i="6" s="1"/>
  <c r="CD17" i="6"/>
  <c r="CD189" i="3"/>
  <c r="CD190" i="3" s="1"/>
  <c r="CD25" i="6"/>
  <c r="CD15" i="6"/>
  <c r="Q126" i="9" s="1"/>
  <c r="CD243" i="6"/>
  <c r="CD244" i="6" s="1"/>
  <c r="CD42" i="6"/>
  <c r="CD43" i="6" s="1"/>
  <c r="CD55" i="6"/>
  <c r="CR41" i="6"/>
  <c r="CR55" i="6"/>
  <c r="CR35" i="6"/>
  <c r="CW15" i="6"/>
  <c r="AJ126" i="9" s="1"/>
  <c r="CR124" i="6"/>
  <c r="CR15" i="6"/>
  <c r="CR143" i="6"/>
  <c r="CY15" i="6"/>
  <c r="CT61" i="6"/>
  <c r="CT224" i="6" s="1"/>
  <c r="CT243" i="6"/>
  <c r="CT244" i="6" s="1"/>
  <c r="CT42" i="6"/>
  <c r="CT43" i="6" s="1"/>
  <c r="CT20" i="6"/>
  <c r="CT41" i="6"/>
  <c r="CT124" i="6"/>
  <c r="S30" i="6"/>
  <c r="BO24" i="6"/>
  <c r="BO26" i="6" s="1"/>
  <c r="BO36" i="6"/>
  <c r="BR145" i="2"/>
  <c r="BR24" i="6"/>
  <c r="BR63" i="6" s="1"/>
  <c r="BR67" i="6" s="1"/>
  <c r="BR65" i="6" s="1"/>
  <c r="BW36" i="6"/>
  <c r="J131" i="9" s="1"/>
  <c r="CD35" i="6"/>
  <c r="CJ36" i="6"/>
  <c r="W131" i="9"/>
  <c r="CJ145" i="2"/>
  <c r="CJ146" i="2" s="1"/>
  <c r="CJ148" i="2" s="1"/>
  <c r="CJ41" i="7" s="1"/>
  <c r="W22" i="9" s="1"/>
  <c r="CM50" i="6"/>
  <c r="CM29" i="6"/>
  <c r="CR36" i="6"/>
  <c r="CM36" i="6"/>
  <c r="Z131" i="9"/>
  <c r="CM35" i="6"/>
  <c r="CM145" i="2"/>
  <c r="CO29" i="6"/>
  <c r="CO50" i="6"/>
  <c r="CO35" i="6"/>
  <c r="CO36" i="6"/>
  <c r="CO145" i="2"/>
  <c r="CO146" i="2" s="1"/>
  <c r="CY36" i="6"/>
  <c r="CT35" i="6"/>
  <c r="CT145" i="2"/>
  <c r="CW67" i="6"/>
  <c r="CW29" i="6"/>
  <c r="CW50" i="6"/>
  <c r="CW145" i="2"/>
  <c r="CZ34" i="6"/>
  <c r="CW36" i="6"/>
  <c r="AJ131" i="9" s="1"/>
  <c r="BL10" i="2"/>
  <c r="CF44" i="6"/>
  <c r="CA44" i="6"/>
  <c r="CK44" i="6"/>
  <c r="CP44" i="6"/>
  <c r="CK48" i="6"/>
  <c r="CU42" i="6"/>
  <c r="CU43" i="6" s="1"/>
  <c r="CU44" i="6"/>
  <c r="CU48" i="6"/>
  <c r="CJ51" i="6"/>
  <c r="CJ50" i="6"/>
  <c r="BC9" i="2"/>
  <c r="BE61" i="6"/>
  <c r="BE58" i="6"/>
  <c r="BE9" i="2"/>
  <c r="BM223" i="6"/>
  <c r="BU223" i="6"/>
  <c r="BU61" i="6"/>
  <c r="BU224" i="6" s="1"/>
  <c r="CR223" i="6"/>
  <c r="CR67" i="6"/>
  <c r="CR61" i="6"/>
  <c r="CR224" i="6" s="1"/>
  <c r="BK213" i="6"/>
  <c r="BN170" i="6"/>
  <c r="BN138" i="6"/>
  <c r="BS170" i="6"/>
  <c r="BS138" i="6"/>
  <c r="BW130" i="6"/>
  <c r="CA77" i="6"/>
  <c r="BY169" i="6"/>
  <c r="CD137" i="6"/>
  <c r="CH138" i="6"/>
  <c r="CC170" i="6"/>
  <c r="CG137" i="6"/>
  <c r="CL130" i="6"/>
  <c r="CH169" i="6"/>
  <c r="CM130" i="6"/>
  <c r="CJ169" i="6"/>
  <c r="CO130" i="6"/>
  <c r="O177" i="9"/>
  <c r="O109" i="9"/>
  <c r="Q109" i="9"/>
  <c r="Q177" i="9"/>
  <c r="Q159" i="9" s="1"/>
  <c r="V195" i="9"/>
  <c r="V159" i="9"/>
  <c r="Y195" i="9"/>
  <c r="Y159" i="9"/>
  <c r="AB109" i="9"/>
  <c r="AB177" i="9"/>
  <c r="BH206" i="6"/>
  <c r="BJ206" i="6"/>
  <c r="G176" i="9"/>
  <c r="G108" i="9"/>
  <c r="P176" i="9"/>
  <c r="P108" i="9"/>
  <c r="Z194" i="9"/>
  <c r="Z158" i="9"/>
  <c r="AB194" i="9"/>
  <c r="AB158" i="9"/>
  <c r="BI94" i="6"/>
  <c r="BN94" i="6"/>
  <c r="BK94" i="6"/>
  <c r="BP94" i="6"/>
  <c r="BM94" i="6"/>
  <c r="BR94" i="6"/>
  <c r="BT94" i="6"/>
  <c r="BO94" i="6"/>
  <c r="BQ94" i="6"/>
  <c r="BQ258" i="6"/>
  <c r="BS94" i="6"/>
  <c r="CC94" i="6"/>
  <c r="CC258" i="6"/>
  <c r="CE94" i="6"/>
  <c r="CE258" i="6"/>
  <c r="CO94" i="6"/>
  <c r="CW94" i="6"/>
  <c r="CR94" i="6"/>
  <c r="CT94" i="6"/>
  <c r="BS101" i="6"/>
  <c r="BS83" i="6" s="1"/>
  <c r="BS84" i="6" s="1"/>
  <c r="BS85" i="6" s="1"/>
  <c r="BS82" i="6"/>
  <c r="CE101" i="6"/>
  <c r="CE82" i="6"/>
  <c r="CH101" i="6"/>
  <c r="CH82" i="6"/>
  <c r="CJ101" i="6"/>
  <c r="CJ82" i="6"/>
  <c r="CM101" i="6"/>
  <c r="CM82" i="6"/>
  <c r="CO101" i="6"/>
  <c r="CO82" i="6"/>
  <c r="CR101" i="6"/>
  <c r="CR82" i="6"/>
  <c r="CT101" i="6"/>
  <c r="CT82" i="6"/>
  <c r="CX101" i="6"/>
  <c r="CX82" i="6"/>
  <c r="BW296" i="6"/>
  <c r="BY296" i="6"/>
  <c r="CC99" i="6"/>
  <c r="CC297" i="6"/>
  <c r="CC295" i="6"/>
  <c r="CC101" i="6"/>
  <c r="J67" i="5"/>
  <c r="BZ125" i="6"/>
  <c r="BU10" i="6"/>
  <c r="BV10" i="6" s="1"/>
  <c r="BV122" i="6" s="1"/>
  <c r="CA125" i="6" s="1"/>
  <c r="BX125" i="6"/>
  <c r="BX10" i="6"/>
  <c r="BX124" i="6"/>
  <c r="CJ10" i="6"/>
  <c r="CJ124" i="6"/>
  <c r="CR324" i="6"/>
  <c r="CW321" i="6"/>
  <c r="CW324" i="6" s="1"/>
  <c r="CR327" i="6"/>
  <c r="CQ321" i="6"/>
  <c r="AW437" i="6"/>
  <c r="AW443" i="6" s="1"/>
  <c r="AW449" i="6" s="1"/>
  <c r="AW450" i="6" s="1"/>
  <c r="AW432" i="6"/>
  <c r="BG441" i="6"/>
  <c r="BG437" i="6"/>
  <c r="BG443" i="6" s="1"/>
  <c r="CB168" i="7"/>
  <c r="CG168" i="7"/>
  <c r="CK15" i="7"/>
  <c r="CP149" i="7"/>
  <c r="CI154" i="7"/>
  <c r="CI142" i="7"/>
  <c r="CI168" i="7"/>
  <c r="CN168" i="7"/>
  <c r="S154" i="7"/>
  <c r="S142" i="7"/>
  <c r="S138" i="7" s="1"/>
  <c r="S127" i="7"/>
  <c r="AC154" i="7"/>
  <c r="AC142" i="7" s="1"/>
  <c r="AC138" i="7" s="1"/>
  <c r="AC127" i="7"/>
  <c r="AM154" i="7"/>
  <c r="AM142" i="7"/>
  <c r="AM138" i="7" s="1"/>
  <c r="AM127" i="7"/>
  <c r="AW154" i="7"/>
  <c r="AW142" i="7"/>
  <c r="AW138" i="7" s="1"/>
  <c r="AW127" i="7"/>
  <c r="AW128" i="7" s="1"/>
  <c r="BG154" i="7"/>
  <c r="BG142" i="7" s="1"/>
  <c r="BG138" i="7" s="1"/>
  <c r="BG127" i="7"/>
  <c r="CB271" i="3"/>
  <c r="CB272" i="3" s="1"/>
  <c r="CB257" i="3"/>
  <c r="CI271" i="3"/>
  <c r="CI272" i="3" s="1"/>
  <c r="CI257" i="3"/>
  <c r="CV271" i="3"/>
  <c r="CV272" i="3" s="1"/>
  <c r="CV257" i="3"/>
  <c r="L27" i="9"/>
  <c r="L28" i="9" s="1"/>
  <c r="Q28" i="9"/>
  <c r="W28" i="9"/>
  <c r="AB28" i="9"/>
  <c r="P26" i="7"/>
  <c r="P28" i="7" s="1"/>
  <c r="P25" i="7"/>
  <c r="U26" i="7"/>
  <c r="U28" i="7"/>
  <c r="U25" i="7"/>
  <c r="AG25" i="7"/>
  <c r="Q45" i="7"/>
  <c r="Q54" i="7"/>
  <c r="Q57" i="7" s="1"/>
  <c r="P57" i="7"/>
  <c r="AU47" i="7"/>
  <c r="AU49" i="7" s="1"/>
  <c r="AV52" i="7"/>
  <c r="AU52" i="7"/>
  <c r="BT52" i="7"/>
  <c r="BV52" i="7" s="1"/>
  <c r="BV54" i="7" s="1"/>
  <c r="BA136" i="7"/>
  <c r="BV65" i="7"/>
  <c r="CA65" i="7"/>
  <c r="BV79" i="7"/>
  <c r="CF65" i="7"/>
  <c r="CU65" i="7"/>
  <c r="CU79" i="7"/>
  <c r="BO90" i="7"/>
  <c r="BO64" i="7"/>
  <c r="BO91" i="7" s="1"/>
  <c r="BR90" i="7"/>
  <c r="BR64" i="7"/>
  <c r="BY64" i="7"/>
  <c r="BY91" i="7" s="1"/>
  <c r="BY90" i="7"/>
  <c r="CC107" i="7"/>
  <c r="CC92" i="7"/>
  <c r="CE102" i="7"/>
  <c r="CH64" i="7"/>
  <c r="CK64" i="7"/>
  <c r="BM106" i="7"/>
  <c r="BQ106" i="7" s="1"/>
  <c r="BL106" i="7"/>
  <c r="BL108" i="7"/>
  <c r="BL92" i="7"/>
  <c r="BL101" i="7"/>
  <c r="BR74" i="7"/>
  <c r="BR79" i="7"/>
  <c r="BR83" i="7"/>
  <c r="BT79" i="7"/>
  <c r="BT73" i="7"/>
  <c r="BT96" i="7" s="1"/>
  <c r="CA72" i="7"/>
  <c r="BW74" i="7"/>
  <c r="BW97" i="7" s="1"/>
  <c r="BW98" i="7" s="1"/>
  <c r="BY79" i="7"/>
  <c r="BY73" i="7"/>
  <c r="CB79" i="7"/>
  <c r="CB73" i="7"/>
  <c r="CF72" i="7"/>
  <c r="CF76" i="7" s="1"/>
  <c r="S14" i="9" s="1"/>
  <c r="CD79" i="7"/>
  <c r="CD73" i="7"/>
  <c r="CD96" i="7"/>
  <c r="CD74" i="7"/>
  <c r="CD97" i="7" s="1"/>
  <c r="CK72" i="7"/>
  <c r="CK76" i="7"/>
  <c r="CG79" i="7"/>
  <c r="CK79" i="7" s="1"/>
  <c r="CG74" i="7"/>
  <c r="CI79" i="7"/>
  <c r="CI73" i="7"/>
  <c r="BR127" i="7"/>
  <c r="BV127" i="7" s="1"/>
  <c r="BT127" i="7"/>
  <c r="BW127" i="7"/>
  <c r="BM138" i="7"/>
  <c r="BM137" i="7"/>
  <c r="W137" i="7"/>
  <c r="AI137" i="7"/>
  <c r="Y138" i="7"/>
  <c r="AG138" i="7"/>
  <c r="U137" i="7"/>
  <c r="AP137" i="7"/>
  <c r="AQ137" i="7"/>
  <c r="BK137" i="7"/>
  <c r="BO137" i="7"/>
  <c r="AT138" i="7"/>
  <c r="CH12" i="7"/>
  <c r="J27" i="5"/>
  <c r="CI150" i="7"/>
  <c r="CI12" i="7" s="1"/>
  <c r="CI127" i="7"/>
  <c r="CL150" i="7"/>
  <c r="CL127" i="7"/>
  <c r="CN259" i="3"/>
  <c r="CO259" i="3"/>
  <c r="CN200" i="7"/>
  <c r="CN201" i="7"/>
  <c r="CN183" i="7"/>
  <c r="CN188" i="7" s="1"/>
  <c r="CN210" i="7" s="1"/>
  <c r="CN197" i="7"/>
  <c r="CN198" i="7"/>
  <c r="CQ200" i="7"/>
  <c r="CQ198" i="7"/>
  <c r="CQ197" i="7"/>
  <c r="CQ183" i="7"/>
  <c r="CQ188" i="7"/>
  <c r="CQ210" i="7"/>
  <c r="CQ201" i="7"/>
  <c r="CQ215" i="7"/>
  <c r="CV200" i="7"/>
  <c r="CV183" i="7"/>
  <c r="CV188" i="7" s="1"/>
  <c r="CV210" i="7" s="1"/>
  <c r="CV201" i="7"/>
  <c r="BL184" i="7"/>
  <c r="BL189" i="7" s="1"/>
  <c r="BL190" i="7" s="1"/>
  <c r="BL211" i="7" s="1"/>
  <c r="BN216" i="7"/>
  <c r="BN181" i="7"/>
  <c r="N197" i="7"/>
  <c r="N210" i="7"/>
  <c r="N200" i="7"/>
  <c r="S211" i="7"/>
  <c r="S206" i="7"/>
  <c r="S207" i="7"/>
  <c r="S205" i="7"/>
  <c r="BP187" i="7"/>
  <c r="BP210" i="7"/>
  <c r="N204" i="7"/>
  <c r="I211" i="7"/>
  <c r="N206" i="7"/>
  <c r="I205" i="7"/>
  <c r="BO181" i="7"/>
  <c r="BO216" i="7"/>
  <c r="BO10" i="8"/>
  <c r="BO13" i="8" s="1"/>
  <c r="CD10" i="8"/>
  <c r="CD13" i="8" s="1"/>
  <c r="CQ10" i="8"/>
  <c r="CU10" i="8"/>
  <c r="CM47" i="8"/>
  <c r="DB75" i="8"/>
  <c r="CC90" i="8"/>
  <c r="CC88" i="8"/>
  <c r="CB92" i="8"/>
  <c r="CA110" i="8"/>
  <c r="BV62" i="8"/>
  <c r="BV111" i="8"/>
  <c r="BV125" i="8"/>
  <c r="BV122" i="8"/>
  <c r="CB125" i="8"/>
  <c r="CB122" i="8"/>
  <c r="CC123" i="8"/>
  <c r="CZ132" i="8"/>
  <c r="CZ134" i="8"/>
  <c r="CU30" i="8"/>
  <c r="CB136" i="8"/>
  <c r="CB133" i="8"/>
  <c r="CC132" i="8"/>
  <c r="CC136" i="8"/>
  <c r="CA180" i="8"/>
  <c r="CA177" i="8"/>
  <c r="BV177" i="8"/>
  <c r="BV180" i="8"/>
  <c r="CC178" i="8"/>
  <c r="CB180" i="8"/>
  <c r="CB177" i="8"/>
  <c r="CU187" i="8"/>
  <c r="CU189" i="8"/>
  <c r="CP35" i="8"/>
  <c r="CB191" i="8"/>
  <c r="CD187" i="8"/>
  <c r="CD189" i="8"/>
  <c r="CC191" i="8"/>
  <c r="CS220" i="8"/>
  <c r="CS222" i="8"/>
  <c r="CR38" i="8"/>
  <c r="BV221" i="8"/>
  <c r="BV224" i="8"/>
  <c r="CT231" i="8"/>
  <c r="CT233" i="8"/>
  <c r="CS39" i="8"/>
  <c r="BV232" i="8"/>
  <c r="BV235" i="8"/>
  <c r="CS40" i="8"/>
  <c r="CT242" i="8"/>
  <c r="CT244" i="8"/>
  <c r="CJ262" i="8"/>
  <c r="CB265" i="8"/>
  <c r="CB268" i="8"/>
  <c r="CA279" i="8"/>
  <c r="CA276" i="8"/>
  <c r="CC277" i="8"/>
  <c r="CB279" i="8"/>
  <c r="CB276" i="8"/>
  <c r="CC275" i="8"/>
  <c r="CJ284" i="8"/>
  <c r="CD297" i="8"/>
  <c r="CD299" i="8"/>
  <c r="BV301" i="8"/>
  <c r="CD308" i="8"/>
  <c r="CD310" i="8"/>
  <c r="CA312" i="8"/>
  <c r="CO319" i="8"/>
  <c r="CV356" i="8"/>
  <c r="CW352" i="8"/>
  <c r="CW354" i="8"/>
  <c r="DA352" i="8"/>
  <c r="DA354" i="8"/>
  <c r="CW396" i="8"/>
  <c r="CW398" i="8"/>
  <c r="CV54" i="8"/>
  <c r="CV50" i="8"/>
  <c r="BQ408" i="8"/>
  <c r="BQ411" i="8"/>
  <c r="BQ422" i="8"/>
  <c r="BQ419" i="8"/>
  <c r="M95" i="9"/>
  <c r="M61" i="9"/>
  <c r="R95" i="9"/>
  <c r="R61" i="9"/>
  <c r="E199" i="9"/>
  <c r="E163" i="9"/>
  <c r="M199" i="9"/>
  <c r="M163" i="9"/>
  <c r="K200" i="9"/>
  <c r="K164" i="9"/>
  <c r="Y199" i="9"/>
  <c r="Y163" i="9"/>
  <c r="O200" i="9"/>
  <c r="O164" i="9"/>
  <c r="W200" i="9"/>
  <c r="W164" i="9"/>
  <c r="AU200" i="9"/>
  <c r="G203" i="9"/>
  <c r="G167" i="9"/>
  <c r="M204" i="9"/>
  <c r="M168" i="9"/>
  <c r="V203" i="9"/>
  <c r="V167" i="9"/>
  <c r="U168" i="9"/>
  <c r="AA204" i="9"/>
  <c r="AA168" i="9"/>
  <c r="AT204" i="9"/>
  <c r="AT168" i="9"/>
  <c r="CY74" i="7"/>
  <c r="CZ73" i="7"/>
  <c r="DB45" i="7"/>
  <c r="DB54" i="7" s="1"/>
  <c r="DA80" i="7"/>
  <c r="DA82" i="7"/>
  <c r="DA179" i="7"/>
  <c r="CZ54" i="7"/>
  <c r="CY80" i="7"/>
  <c r="CY79" i="7"/>
  <c r="CY64" i="7"/>
  <c r="CZ64" i="7"/>
  <c r="CZ63" i="7"/>
  <c r="CY82" i="7"/>
  <c r="BN205" i="3"/>
  <c r="CM181" i="3"/>
  <c r="I165" i="3"/>
  <c r="AC240" i="3"/>
  <c r="BO152" i="3"/>
  <c r="BO252" i="3"/>
  <c r="CH181" i="3"/>
  <c r="CC249" i="3"/>
  <c r="CC241" i="3"/>
  <c r="CY240" i="3"/>
  <c r="AM245" i="3"/>
  <c r="BT244" i="3"/>
  <c r="BT246" i="3" s="1"/>
  <c r="AR250" i="3"/>
  <c r="CM302" i="3"/>
  <c r="BN302" i="3"/>
  <c r="CO302" i="3"/>
  <c r="BU290" i="3"/>
  <c r="CO290" i="3"/>
  <c r="BY300" i="3"/>
  <c r="CA28" i="3"/>
  <c r="CQ12" i="3"/>
  <c r="CA15" i="3"/>
  <c r="CE26" i="3"/>
  <c r="CJ26" i="3"/>
  <c r="BW34" i="3"/>
  <c r="BW299" i="3" s="1"/>
  <c r="CC34" i="3"/>
  <c r="CC299" i="3"/>
  <c r="CW34" i="3"/>
  <c r="CW299" i="3" s="1"/>
  <c r="CZ28" i="3"/>
  <c r="CY30" i="3"/>
  <c r="CY34" i="3"/>
  <c r="CY299" i="3" s="1"/>
  <c r="AW299" i="3"/>
  <c r="AW35" i="3"/>
  <c r="CI45" i="3"/>
  <c r="CX300" i="3"/>
  <c r="CX290" i="3"/>
  <c r="CZ37" i="3"/>
  <c r="CX42" i="3"/>
  <c r="N63" i="3"/>
  <c r="N65" i="3"/>
  <c r="N67" i="3"/>
  <c r="S63" i="3"/>
  <c r="S65" i="3"/>
  <c r="CL53" i="3"/>
  <c r="CP51" i="3"/>
  <c r="CP53" i="3" s="1"/>
  <c r="CR61" i="3"/>
  <c r="AW61" i="3"/>
  <c r="CC124" i="3"/>
  <c r="CN124" i="3"/>
  <c r="CQ124" i="3"/>
  <c r="BL143" i="3"/>
  <c r="CZ143" i="3"/>
  <c r="BP250" i="3"/>
  <c r="BP239" i="3"/>
  <c r="BP152" i="3"/>
  <c r="BP244" i="3"/>
  <c r="BP246" i="3" s="1"/>
  <c r="CP239" i="3"/>
  <c r="CP152" i="3"/>
  <c r="CP252" i="3"/>
  <c r="BR250" i="3"/>
  <c r="BR152" i="3"/>
  <c r="BR252" i="3"/>
  <c r="BR244" i="3"/>
  <c r="BR246" i="3" s="1"/>
  <c r="CC152" i="3"/>
  <c r="CC252" i="3"/>
  <c r="CC244" i="3"/>
  <c r="CC250" i="3"/>
  <c r="CE250" i="3"/>
  <c r="CE244" i="3"/>
  <c r="CE246" i="3" s="1"/>
  <c r="CR152" i="3"/>
  <c r="CR244" i="3"/>
  <c r="CR246" i="3" s="1"/>
  <c r="AM244" i="3"/>
  <c r="AM152" i="3"/>
  <c r="AM250" i="3"/>
  <c r="BV160" i="3"/>
  <c r="BV192" i="3"/>
  <c r="BV63" i="8"/>
  <c r="CC278" i="3"/>
  <c r="CC279" i="3" s="1"/>
  <c r="CC284" i="3" s="1"/>
  <c r="AR223" i="3"/>
  <c r="CT168" i="3"/>
  <c r="CS178" i="3"/>
  <c r="CS179" i="3"/>
  <c r="CS181" i="3" s="1"/>
  <c r="CK168" i="3"/>
  <c r="CK178" i="3"/>
  <c r="CJ178" i="3"/>
  <c r="CF223" i="3"/>
  <c r="CP178" i="3"/>
  <c r="CQ167" i="3"/>
  <c r="CQ178" i="3"/>
  <c r="BC179" i="3"/>
  <c r="BC181" i="3" s="1"/>
  <c r="BE179" i="3"/>
  <c r="BE181" i="3" s="1"/>
  <c r="BH179" i="3"/>
  <c r="BH181" i="3" s="1"/>
  <c r="BO179" i="3"/>
  <c r="BO181" i="3" s="1"/>
  <c r="BR179" i="3"/>
  <c r="BR181" i="3" s="1"/>
  <c r="CE181" i="3"/>
  <c r="CX179" i="3"/>
  <c r="CX181" i="3" s="1"/>
  <c r="I179" i="3"/>
  <c r="I181" i="3" s="1"/>
  <c r="S223" i="3"/>
  <c r="AC223" i="3"/>
  <c r="AM223" i="3"/>
  <c r="CT187" i="3"/>
  <c r="CT188" i="3" s="1"/>
  <c r="CT186" i="3"/>
  <c r="R327" i="3"/>
  <c r="CU15" i="7"/>
  <c r="DB67" i="6"/>
  <c r="DB35" i="6"/>
  <c r="DG37" i="6" s="1"/>
  <c r="DB29" i="6"/>
  <c r="DB36" i="6"/>
  <c r="DB245" i="3"/>
  <c r="DB278" i="3"/>
  <c r="DB279" i="3" s="1"/>
  <c r="DB284" i="3" s="1"/>
  <c r="BF203" i="9"/>
  <c r="CR90" i="7"/>
  <c r="CH101" i="7"/>
  <c r="BY43" i="6"/>
  <c r="BX92" i="7"/>
  <c r="BG15" i="6"/>
  <c r="BG35" i="6"/>
  <c r="BG30" i="6"/>
  <c r="BW138" i="6"/>
  <c r="BW170" i="6"/>
  <c r="CA10" i="6"/>
  <c r="CA122" i="6" s="1"/>
  <c r="BN102" i="7"/>
  <c r="BM102" i="7"/>
  <c r="BK143" i="6"/>
  <c r="BP654" i="6"/>
  <c r="BP655" i="6" s="1"/>
  <c r="BP658" i="6" s="1"/>
  <c r="BP42" i="6"/>
  <c r="BP15" i="6"/>
  <c r="BT654" i="6"/>
  <c r="BT655" i="6" s="1"/>
  <c r="BT658" i="6" s="1"/>
  <c r="BT124" i="6"/>
  <c r="BT55" i="6"/>
  <c r="BW20" i="6"/>
  <c r="BW55" i="6"/>
  <c r="BW17" i="6"/>
  <c r="BW189" i="3" s="1"/>
  <c r="BW190" i="3" s="1"/>
  <c r="BW35" i="6"/>
  <c r="J129" i="9" s="1"/>
  <c r="BW25" i="6"/>
  <c r="CB124" i="6"/>
  <c r="CB25" i="6"/>
  <c r="CB17" i="6"/>
  <c r="CB189" i="3" s="1"/>
  <c r="CB190" i="3" s="1"/>
  <c r="CQ20" i="6"/>
  <c r="CQ17" i="6"/>
  <c r="CQ189" i="3" s="1"/>
  <c r="CQ190" i="3" s="1"/>
  <c r="CQ25" i="6"/>
  <c r="CS41" i="6"/>
  <c r="CX15" i="6"/>
  <c r="AK126" i="9" s="1"/>
  <c r="BY26" i="6"/>
  <c r="BY256" i="6"/>
  <c r="BY25" i="6"/>
  <c r="BQ257" i="6"/>
  <c r="BQ247" i="6"/>
  <c r="CB27" i="6"/>
  <c r="CB258" i="6"/>
  <c r="CB247" i="6"/>
  <c r="CG257" i="6"/>
  <c r="CG247" i="6"/>
  <c r="CK26" i="6"/>
  <c r="CO258" i="6"/>
  <c r="CO247" i="6"/>
  <c r="CR247" i="6"/>
  <c r="CR250" i="6" s="1"/>
  <c r="CE36" i="6"/>
  <c r="R131" i="9" s="1"/>
  <c r="CI29" i="6"/>
  <c r="CL36" i="6"/>
  <c r="Y131" i="9" s="1"/>
  <c r="CL35" i="6"/>
  <c r="CQ50" i="6"/>
  <c r="CQ29" i="6"/>
  <c r="CQ35" i="6"/>
  <c r="DA36" i="6"/>
  <c r="CV36" i="6"/>
  <c r="AI131" i="9" s="1"/>
  <c r="DC36" i="6"/>
  <c r="CX36" i="6"/>
  <c r="AK131" i="9" s="1"/>
  <c r="CX29" i="6"/>
  <c r="CZ29" i="6" s="1"/>
  <c r="CX67" i="6"/>
  <c r="CX50" i="6"/>
  <c r="CX43" i="6"/>
  <c r="CA47" i="6"/>
  <c r="CA48" i="6"/>
  <c r="CK47" i="6"/>
  <c r="CK49" i="6"/>
  <c r="CI50" i="6"/>
  <c r="CI51" i="6"/>
  <c r="CL51" i="6"/>
  <c r="CL50" i="6"/>
  <c r="BF61" i="6"/>
  <c r="BF56" i="6"/>
  <c r="CL17" i="6"/>
  <c r="CL189" i="3" s="1"/>
  <c r="CL190" i="3" s="1"/>
  <c r="CL61" i="6"/>
  <c r="CL224" i="6" s="1"/>
  <c r="CJ138" i="6"/>
  <c r="CO131" i="6"/>
  <c r="G177" i="9"/>
  <c r="G109" i="9"/>
  <c r="R177" i="9"/>
  <c r="R159" i="9" s="1"/>
  <c r="R109" i="9"/>
  <c r="BX118" i="6"/>
  <c r="BY118" i="6"/>
  <c r="BX119" i="6"/>
  <c r="AA176" i="9"/>
  <c r="AA158" i="9" s="1"/>
  <c r="AA108" i="9"/>
  <c r="CD10" i="6"/>
  <c r="CD125" i="6"/>
  <c r="CK10" i="6"/>
  <c r="CK122" i="6" s="1"/>
  <c r="CL10" i="6"/>
  <c r="CP10" i="6"/>
  <c r="CP122" i="6" s="1"/>
  <c r="CL125" i="6"/>
  <c r="CL124" i="6"/>
  <c r="CQ10" i="6"/>
  <c r="CU10" i="6" s="1"/>
  <c r="CU122" i="6" s="1"/>
  <c r="CQ125" i="6"/>
  <c r="CQ124" i="6"/>
  <c r="BN179" i="6"/>
  <c r="BN142" i="6"/>
  <c r="BS179" i="6"/>
  <c r="BS143" i="6"/>
  <c r="BX142" i="6"/>
  <c r="CN142" i="6"/>
  <c r="BO113" i="6"/>
  <c r="BT119" i="6"/>
  <c r="CI113" i="6"/>
  <c r="BM131" i="6"/>
  <c r="BY131" i="6"/>
  <c r="CB131" i="6"/>
  <c r="CG131" i="6"/>
  <c r="CC245" i="6"/>
  <c r="CS324" i="6"/>
  <c r="CS105" i="2" s="1"/>
  <c r="CT321" i="6"/>
  <c r="BB437" i="6"/>
  <c r="BB443" i="6" s="1"/>
  <c r="BB432" i="6"/>
  <c r="BB441" i="6"/>
  <c r="CO15" i="7"/>
  <c r="CT168" i="7" s="1"/>
  <c r="CO93" i="7"/>
  <c r="CO210" i="7"/>
  <c r="BY168" i="7"/>
  <c r="CD154" i="7"/>
  <c r="CD142" i="7"/>
  <c r="CD168" i="7"/>
  <c r="E28" i="9"/>
  <c r="T28" i="9"/>
  <c r="CG29" i="7"/>
  <c r="CL27" i="7"/>
  <c r="Y86" i="9" s="1"/>
  <c r="CK26" i="7"/>
  <c r="CG28" i="7"/>
  <c r="CJ29" i="7"/>
  <c r="CJ28" i="7"/>
  <c r="CM29" i="7"/>
  <c r="CM27" i="7"/>
  <c r="Z86" i="9"/>
  <c r="CM28" i="7"/>
  <c r="CP26" i="7"/>
  <c r="CO29" i="7"/>
  <c r="CO27" i="7"/>
  <c r="AB86" i="9" s="1"/>
  <c r="CR29" i="7"/>
  <c r="CR28" i="7"/>
  <c r="CR27" i="7"/>
  <c r="AE21" i="9" s="1"/>
  <c r="CT29" i="7"/>
  <c r="CY27" i="7"/>
  <c r="CW29" i="7"/>
  <c r="DB27" i="7"/>
  <c r="CW27" i="7"/>
  <c r="S32" i="7"/>
  <c r="S199" i="7"/>
  <c r="CK34" i="7"/>
  <c r="CK129" i="2"/>
  <c r="CJ31" i="7"/>
  <c r="F37" i="7"/>
  <c r="K38" i="7"/>
  <c r="CR37" i="7"/>
  <c r="CR31" i="7"/>
  <c r="CR38" i="7"/>
  <c r="CW38" i="7"/>
  <c r="AJ31" i="9" s="1"/>
  <c r="CX37" i="7"/>
  <c r="CX31" i="7"/>
  <c r="CX174" i="7"/>
  <c r="CX38" i="7"/>
  <c r="AK31" i="9"/>
  <c r="M30" i="9"/>
  <c r="M29" i="9"/>
  <c r="BV45" i="7"/>
  <c r="BQ80" i="7"/>
  <c r="CR179" i="7"/>
  <c r="CR200" i="7" s="1"/>
  <c r="CS259" i="3"/>
  <c r="CW80" i="7"/>
  <c r="CW79" i="7"/>
  <c r="CR80" i="7"/>
  <c r="CR79" i="7"/>
  <c r="CR82" i="7"/>
  <c r="BJ47" i="7"/>
  <c r="BJ49" i="7" s="1"/>
  <c r="BK47" i="7"/>
  <c r="BK49" i="7" s="1"/>
  <c r="BN49" i="7"/>
  <c r="BP47" i="7"/>
  <c r="BP49" i="7"/>
  <c r="AQ49" i="7"/>
  <c r="CK179" i="7"/>
  <c r="BF136" i="7"/>
  <c r="BF137" i="7" s="1"/>
  <c r="BN101" i="7"/>
  <c r="BN103" i="7"/>
  <c r="BS90" i="7"/>
  <c r="BS64" i="7"/>
  <c r="BS91" i="7" s="1"/>
  <c r="BW90" i="7"/>
  <c r="BW64" i="7"/>
  <c r="CB64" i="7"/>
  <c r="CF64" i="7" s="1"/>
  <c r="CF63" i="7"/>
  <c r="CL64" i="7"/>
  <c r="CP64" i="7" s="1"/>
  <c r="CP63" i="7"/>
  <c r="BG102" i="7"/>
  <c r="BX79" i="7"/>
  <c r="BX73" i="7"/>
  <c r="BZ79" i="7"/>
  <c r="BZ74" i="7"/>
  <c r="BZ97" i="7"/>
  <c r="CH79" i="7"/>
  <c r="CH73" i="7"/>
  <c r="CJ79" i="7"/>
  <c r="CJ74" i="7"/>
  <c r="CJ97" i="7" s="1"/>
  <c r="CJ98" i="7"/>
  <c r="CJ75" i="7" s="1"/>
  <c r="CK127" i="7"/>
  <c r="AJ137" i="7"/>
  <c r="AQ138" i="7"/>
  <c r="AT137" i="7"/>
  <c r="BI137" i="7"/>
  <c r="AN138" i="7"/>
  <c r="BC138" i="7"/>
  <c r="BI138" i="7"/>
  <c r="CC150" i="7"/>
  <c r="CC127" i="7"/>
  <c r="CC15" i="7"/>
  <c r="CE127" i="7"/>
  <c r="CE15" i="7"/>
  <c r="BL200" i="7"/>
  <c r="BL197" i="7"/>
  <c r="CJ200" i="7"/>
  <c r="CJ198" i="7"/>
  <c r="CJ183" i="7"/>
  <c r="CJ188" i="7"/>
  <c r="CJ210" i="7" s="1"/>
  <c r="CM183" i="7"/>
  <c r="CM188" i="7"/>
  <c r="CM259" i="3"/>
  <c r="CM200" i="7"/>
  <c r="CM198" i="7"/>
  <c r="BM216" i="7"/>
  <c r="BL66" i="8"/>
  <c r="CU438" i="8"/>
  <c r="DE438" i="8"/>
  <c r="CC79" i="8"/>
  <c r="CB78" i="8"/>
  <c r="BQ89" i="8"/>
  <c r="BQ92" i="8"/>
  <c r="CA100" i="8"/>
  <c r="CA103" i="8"/>
  <c r="CC101" i="8"/>
  <c r="CC99" i="8"/>
  <c r="CB100" i="8"/>
  <c r="CB114" i="8"/>
  <c r="CC110" i="8"/>
  <c r="CC111" i="8"/>
  <c r="CF111" i="8"/>
  <c r="CF112" i="8"/>
  <c r="CR132" i="8"/>
  <c r="CR134" i="8"/>
  <c r="CQ30" i="8"/>
  <c r="BQ136" i="8"/>
  <c r="BV147" i="8"/>
  <c r="BV144" i="8"/>
  <c r="BQ158" i="8"/>
  <c r="BQ155" i="8"/>
  <c r="CQ191" i="8"/>
  <c r="CC200" i="8"/>
  <c r="CC198" i="8"/>
  <c r="CB199" i="8"/>
  <c r="CU209" i="8"/>
  <c r="CU211" i="8"/>
  <c r="CP37" i="8"/>
  <c r="CP222" i="8"/>
  <c r="CB224" i="8"/>
  <c r="CB221" i="8"/>
  <c r="CC220" i="8"/>
  <c r="CC224" i="8"/>
  <c r="BQ235" i="8"/>
  <c r="BQ232" i="8"/>
  <c r="CZ242" i="8"/>
  <c r="CZ244" i="8"/>
  <c r="CU40" i="8"/>
  <c r="CC243" i="8"/>
  <c r="CF254" i="8"/>
  <c r="CF255" i="8"/>
  <c r="CA265" i="8"/>
  <c r="CA268" i="8"/>
  <c r="CC265" i="8"/>
  <c r="CB301" i="8"/>
  <c r="CC297" i="8"/>
  <c r="CC301" i="8"/>
  <c r="CB298" i="8"/>
  <c r="CF309" i="8"/>
  <c r="CF310" i="8"/>
  <c r="CB331" i="8"/>
  <c r="CF331" i="8"/>
  <c r="CF332" i="8"/>
  <c r="CB334" i="8"/>
  <c r="CF334" i="8"/>
  <c r="DA345" i="8"/>
  <c r="CZ365" i="8"/>
  <c r="CV367" i="8"/>
  <c r="CW363" i="8"/>
  <c r="CW365" i="8"/>
  <c r="DE385" i="8"/>
  <c r="DE387" i="8"/>
  <c r="CZ53" i="8"/>
  <c r="DA385" i="8"/>
  <c r="DA387" i="8"/>
  <c r="CZ398" i="8"/>
  <c r="CC411" i="8"/>
  <c r="CD407" i="8"/>
  <c r="CD409" i="8"/>
  <c r="BV419" i="8"/>
  <c r="BV422" i="8"/>
  <c r="CC420" i="8"/>
  <c r="CB422" i="8"/>
  <c r="CA430" i="8"/>
  <c r="CA433" i="8"/>
  <c r="W199" i="9"/>
  <c r="W163" i="9"/>
  <c r="AB199" i="9"/>
  <c r="AB163" i="9"/>
  <c r="H204" i="9"/>
  <c r="H168" i="9"/>
  <c r="U203" i="9"/>
  <c r="U167" i="9"/>
  <c r="CY37" i="7"/>
  <c r="CY174" i="7"/>
  <c r="I244" i="3"/>
  <c r="I246" i="3" s="1"/>
  <c r="I247" i="3" s="1"/>
  <c r="I152" i="3"/>
  <c r="I252" i="3"/>
  <c r="CF244" i="3"/>
  <c r="BY26" i="3"/>
  <c r="CD26" i="3"/>
  <c r="CF17" i="3"/>
  <c r="CB26" i="3"/>
  <c r="CP24" i="3"/>
  <c r="BX34" i="3"/>
  <c r="BX299" i="3" s="1"/>
  <c r="CE34" i="3"/>
  <c r="CE299" i="3" s="1"/>
  <c r="CQ34" i="3"/>
  <c r="CQ299" i="3" s="1"/>
  <c r="CZ31" i="3"/>
  <c r="BL318" i="3"/>
  <c r="BL319" i="3"/>
  <c r="BL323" i="3"/>
  <c r="BL35" i="3"/>
  <c r="BM45" i="3"/>
  <c r="BZ300" i="3"/>
  <c r="CJ290" i="3"/>
  <c r="CT45" i="3"/>
  <c r="CT290" i="3"/>
  <c r="BG45" i="3"/>
  <c r="BG63" i="3"/>
  <c r="BG300" i="3"/>
  <c r="CZ41" i="3"/>
  <c r="BR50" i="3"/>
  <c r="BR61" i="3"/>
  <c r="CA48" i="3"/>
  <c r="CB50" i="3"/>
  <c r="CJ50" i="3"/>
  <c r="CW53" i="3"/>
  <c r="CW61" i="3"/>
  <c r="CQ61" i="3"/>
  <c r="BW302" i="3"/>
  <c r="CA58" i="3"/>
  <c r="CA60" i="3"/>
  <c r="CX98" i="3"/>
  <c r="CX318" i="3" s="1"/>
  <c r="CX30" i="3"/>
  <c r="CX34" i="3" s="1"/>
  <c r="CX299" i="3" s="1"/>
  <c r="BP321" i="3"/>
  <c r="BP37" i="3"/>
  <c r="BU110" i="3"/>
  <c r="CY124" i="3"/>
  <c r="CY49" i="3"/>
  <c r="CZ49" i="3" s="1"/>
  <c r="BP116" i="3"/>
  <c r="BP124" i="3"/>
  <c r="BP128" i="3" s="1"/>
  <c r="CT125" i="3"/>
  <c r="BV270" i="3"/>
  <c r="BV272" i="3" s="1"/>
  <c r="BV143" i="3"/>
  <c r="CA270" i="3"/>
  <c r="CK270" i="3"/>
  <c r="CK143" i="3"/>
  <c r="CP270" i="3"/>
  <c r="CU270" i="3"/>
  <c r="CW262" i="3"/>
  <c r="CW263" i="3" s="1"/>
  <c r="CW282" i="3" s="1"/>
  <c r="AC250" i="3"/>
  <c r="AC239" i="3"/>
  <c r="BB152" i="3"/>
  <c r="BB252" i="3"/>
  <c r="BB244" i="3"/>
  <c r="BB246" i="3" s="1"/>
  <c r="BD152" i="3"/>
  <c r="BD181" i="3"/>
  <c r="BF152" i="3"/>
  <c r="BF181" i="3"/>
  <c r="BH152" i="3"/>
  <c r="BJ152" i="3"/>
  <c r="BJ181" i="3"/>
  <c r="BN152" i="3"/>
  <c r="BN252" i="3"/>
  <c r="BN250" i="3"/>
  <c r="BN239" i="3"/>
  <c r="BN249" i="3" s="1"/>
  <c r="BQ152" i="3"/>
  <c r="BQ250" i="3"/>
  <c r="BQ239" i="3"/>
  <c r="CO250" i="3"/>
  <c r="CO152" i="3"/>
  <c r="CO252" i="3"/>
  <c r="CZ160" i="3"/>
  <c r="CZ251" i="3"/>
  <c r="CF160" i="3"/>
  <c r="CK192" i="3"/>
  <c r="CK160" i="3"/>
  <c r="CK63" i="8"/>
  <c r="CR278" i="3"/>
  <c r="CR279" i="3" s="1"/>
  <c r="CR284" i="3" s="1"/>
  <c r="CP160" i="3"/>
  <c r="CQ158" i="3"/>
  <c r="CQ160" i="3" s="1"/>
  <c r="CP192" i="3"/>
  <c r="CU160" i="3"/>
  <c r="AR165" i="3"/>
  <c r="AR179" i="3"/>
  <c r="AR181" i="3" s="1"/>
  <c r="AR245" i="3"/>
  <c r="BG251" i="3"/>
  <c r="BG240" i="3"/>
  <c r="BG249" i="3" s="1"/>
  <c r="BL165" i="3"/>
  <c r="BL179" i="3"/>
  <c r="BL181" i="3" s="1"/>
  <c r="BL240" i="3"/>
  <c r="BX165" i="3"/>
  <c r="BX245" i="3"/>
  <c r="CC165" i="3"/>
  <c r="CC179" i="3"/>
  <c r="CC181" i="3" s="1"/>
  <c r="CC251" i="3"/>
  <c r="CJ165" i="3"/>
  <c r="CJ245" i="3"/>
  <c r="CT245" i="3"/>
  <c r="CT246" i="3" s="1"/>
  <c r="CT165" i="3"/>
  <c r="CZ178" i="3"/>
  <c r="BY168" i="3"/>
  <c r="BY178" i="3"/>
  <c r="BY179" i="3"/>
  <c r="BX178" i="3"/>
  <c r="BX179" i="3"/>
  <c r="BU178" i="3"/>
  <c r="BU179" i="3"/>
  <c r="BU181" i="3" s="1"/>
  <c r="BV167" i="3"/>
  <c r="BV178" i="3"/>
  <c r="CO179" i="3"/>
  <c r="CO181" i="3" s="1"/>
  <c r="CV179" i="3"/>
  <c r="CV181" i="3" s="1"/>
  <c r="N223" i="3"/>
  <c r="N179" i="3"/>
  <c r="N181" i="3" s="1"/>
  <c r="AH223" i="3"/>
  <c r="AH179" i="3"/>
  <c r="AH181" i="3" s="1"/>
  <c r="AW223" i="3"/>
  <c r="AW179" i="3"/>
  <c r="AW181" i="3" s="1"/>
  <c r="BG187" i="3"/>
  <c r="BG188" i="3" s="1"/>
  <c r="CE186" i="3"/>
  <c r="CE187" i="3"/>
  <c r="CE188" i="3" s="1"/>
  <c r="CM187" i="3"/>
  <c r="CM188" i="3" s="1"/>
  <c r="AX51" i="5"/>
  <c r="BQ209" i="3"/>
  <c r="BQ211" i="3" s="1"/>
  <c r="BQ205" i="3"/>
  <c r="BZ204" i="3"/>
  <c r="BZ205" i="3" s="1"/>
  <c r="BZ207" i="3"/>
  <c r="CU207" i="3"/>
  <c r="CZ206" i="3"/>
  <c r="CT319" i="3"/>
  <c r="CT323" i="3" s="1"/>
  <c r="DH319" i="3"/>
  <c r="DH323" i="3" s="1"/>
  <c r="CZ15" i="7"/>
  <c r="CV136" i="2"/>
  <c r="DB250" i="6"/>
  <c r="DB27" i="6"/>
  <c r="DB257" i="6"/>
  <c r="DB61" i="6"/>
  <c r="DB224" i="6" s="1"/>
  <c r="DB223" i="6"/>
  <c r="DB174" i="7"/>
  <c r="DB31" i="7"/>
  <c r="DB38" i="7"/>
  <c r="DB173" i="7"/>
  <c r="DB250" i="3"/>
  <c r="DB244" i="3"/>
  <c r="DB246" i="3" s="1"/>
  <c r="DB152" i="3"/>
  <c r="DB252" i="3"/>
  <c r="DC27" i="6"/>
  <c r="DC257" i="6"/>
  <c r="DC258" i="6"/>
  <c r="DC247" i="6"/>
  <c r="DH250" i="6" s="1"/>
  <c r="DC43" i="6"/>
  <c r="DC37" i="7"/>
  <c r="DC31" i="7"/>
  <c r="DC174" i="7"/>
  <c r="DC38" i="7"/>
  <c r="DC10" i="2"/>
  <c r="DC107" i="2" s="1"/>
  <c r="DC135" i="2"/>
  <c r="DC131" i="2"/>
  <c r="DC152" i="3"/>
  <c r="DC250" i="3"/>
  <c r="DC244" i="3"/>
  <c r="CJ90" i="7"/>
  <c r="CQ90" i="7"/>
  <c r="CM118" i="7"/>
  <c r="CM90" i="7"/>
  <c r="CY29" i="7"/>
  <c r="DD27" i="7"/>
  <c r="BF101" i="9"/>
  <c r="BF67" i="9"/>
  <c r="DF27" i="7"/>
  <c r="DA29" i="7"/>
  <c r="DF38" i="7"/>
  <c r="DF36" i="6"/>
  <c r="AY164" i="9"/>
  <c r="DC101" i="6"/>
  <c r="DC82" i="6"/>
  <c r="DC29" i="7"/>
  <c r="DC100" i="2"/>
  <c r="DC102" i="2" s="1"/>
  <c r="DC173" i="7"/>
  <c r="DC28" i="7"/>
  <c r="DC27" i="7"/>
  <c r="DC290" i="3"/>
  <c r="DC251" i="3"/>
  <c r="DC240" i="3"/>
  <c r="DC245" i="3"/>
  <c r="DC246" i="3" s="1"/>
  <c r="BC163" i="9"/>
  <c r="DD198" i="3"/>
  <c r="DD210" i="3"/>
  <c r="DD298" i="3"/>
  <c r="DD300" i="3"/>
  <c r="DD152" i="3"/>
  <c r="DD244" i="3"/>
  <c r="DD250" i="3"/>
  <c r="DT49" i="3"/>
  <c r="DP50" i="3"/>
  <c r="DD29" i="7"/>
  <c r="DD28" i="7"/>
  <c r="DD100" i="2"/>
  <c r="DD115" i="2" s="1"/>
  <c r="DD101" i="2" s="1"/>
  <c r="DD93" i="7"/>
  <c r="DD15" i="7"/>
  <c r="DD9" i="2"/>
  <c r="DD58" i="6"/>
  <c r="CP69" i="7"/>
  <c r="DT438" i="8"/>
  <c r="DD38" i="7"/>
  <c r="AT32" i="5" s="1"/>
  <c r="DD37" i="7"/>
  <c r="DD65" i="6"/>
  <c r="DD68" i="6"/>
  <c r="DD101" i="6"/>
  <c r="DD82" i="6"/>
  <c r="DD251" i="3"/>
  <c r="DD245" i="3"/>
  <c r="DT49" i="7"/>
  <c r="DQ50" i="3"/>
  <c r="DT48" i="3"/>
  <c r="DQ323" i="3"/>
  <c r="DS323" i="3"/>
  <c r="DS325" i="3" s="1"/>
  <c r="CP68" i="7"/>
  <c r="CS69" i="7"/>
  <c r="CU69" i="7" s="1"/>
  <c r="CU68" i="7"/>
  <c r="CX69" i="7"/>
  <c r="CZ69" i="7" s="1"/>
  <c r="CZ68" i="7"/>
  <c r="DE69" i="7"/>
  <c r="DE72" i="7"/>
  <c r="DA79" i="7"/>
  <c r="DG298" i="3"/>
  <c r="BG444" i="6"/>
  <c r="BG449" i="6"/>
  <c r="BG450" i="6" s="1"/>
  <c r="AH444" i="6"/>
  <c r="AH449" i="6"/>
  <c r="AH450" i="6" s="1"/>
  <c r="AM449" i="6"/>
  <c r="AM450" i="6" s="1"/>
  <c r="AM444" i="6"/>
  <c r="AW444" i="6"/>
  <c r="DP321" i="6"/>
  <c r="DU321" i="6" s="1"/>
  <c r="DK327" i="6"/>
  <c r="CX328" i="6"/>
  <c r="CX333" i="6"/>
  <c r="CX325" i="6"/>
  <c r="CV333" i="6"/>
  <c r="AV23" i="5"/>
  <c r="AV20" i="5"/>
  <c r="AS126" i="9"/>
  <c r="DK51" i="7"/>
  <c r="AV10" i="5"/>
  <c r="DM11" i="3"/>
  <c r="DI290" i="3"/>
  <c r="DE90" i="6"/>
  <c r="DE93" i="6" s="1"/>
  <c r="CZ96" i="6"/>
  <c r="CK165" i="8"/>
  <c r="CK167" i="8"/>
  <c r="CF33" i="8"/>
  <c r="BV438" i="8"/>
  <c r="CC133" i="8"/>
  <c r="CC169" i="8"/>
  <c r="CW53" i="8"/>
  <c r="CX385" i="8"/>
  <c r="CX387" i="8"/>
  <c r="CW389" i="8"/>
  <c r="CD268" i="8"/>
  <c r="CE264" i="8"/>
  <c r="CE266" i="8"/>
  <c r="CE165" i="8"/>
  <c r="CE167" i="8"/>
  <c r="CD169" i="8"/>
  <c r="AH14" i="9"/>
  <c r="CU77" i="7"/>
  <c r="BM206" i="7"/>
  <c r="BM204" i="7"/>
  <c r="AC22" i="7"/>
  <c r="AC129" i="7"/>
  <c r="AC128" i="7" s="1"/>
  <c r="BP128" i="7"/>
  <c r="BB128" i="7"/>
  <c r="I206" i="7"/>
  <c r="I204" i="7"/>
  <c r="AH24" i="7"/>
  <c r="AH22" i="7"/>
  <c r="X24" i="7"/>
  <c r="X22" i="7"/>
  <c r="X129" i="7"/>
  <c r="CH92" i="7"/>
  <c r="CH107" i="7"/>
  <c r="CH102" i="7" s="1"/>
  <c r="CH103" i="7" s="1"/>
  <c r="AR108" i="7"/>
  <c r="AR118" i="7"/>
  <c r="AM108" i="7"/>
  <c r="AM129" i="7"/>
  <c r="AM118" i="7"/>
  <c r="BU149" i="2"/>
  <c r="CI102" i="2"/>
  <c r="CI12" i="2"/>
  <c r="CI67" i="2" s="1"/>
  <c r="CZ91" i="6"/>
  <c r="AM108" i="9" s="1"/>
  <c r="CU311" i="6"/>
  <c r="CU114" i="6"/>
  <c r="BV314" i="6"/>
  <c r="BV315" i="6" s="1"/>
  <c r="BV80" i="6"/>
  <c r="I109" i="9"/>
  <c r="BV132" i="6"/>
  <c r="CY244" i="6"/>
  <c r="CC244" i="6"/>
  <c r="CS297" i="6"/>
  <c r="CS302" i="6" s="1"/>
  <c r="CS30" i="6"/>
  <c r="CS159" i="2"/>
  <c r="CS160" i="2" s="1"/>
  <c r="CS162" i="2" s="1"/>
  <c r="BH159" i="6"/>
  <c r="BM119" i="6"/>
  <c r="W189" i="9"/>
  <c r="W121" i="9"/>
  <c r="M189" i="9"/>
  <c r="M171" i="9" s="1"/>
  <c r="M121" i="9"/>
  <c r="AF129" i="9"/>
  <c r="AF130" i="9" s="1"/>
  <c r="CS37" i="6"/>
  <c r="CB222" i="6"/>
  <c r="O127" i="9"/>
  <c r="T128" i="9" s="1"/>
  <c r="BJ213" i="6"/>
  <c r="BJ214" i="6"/>
  <c r="BJ171" i="6"/>
  <c r="BJ9" i="2"/>
  <c r="BJ58" i="6"/>
  <c r="BO56" i="6"/>
  <c r="CZ132" i="6"/>
  <c r="CP143" i="6"/>
  <c r="CD213" i="6"/>
  <c r="Z121" i="9"/>
  <c r="Z189" i="9"/>
  <c r="U189" i="9"/>
  <c r="U171" i="9" s="1"/>
  <c r="U121" i="9"/>
  <c r="CS248" i="6"/>
  <c r="CX249" i="6"/>
  <c r="CS250" i="6"/>
  <c r="CS249" i="6"/>
  <c r="BG55" i="6"/>
  <c r="BG56" i="6" s="1"/>
  <c r="BG61" i="6"/>
  <c r="BG25" i="6"/>
  <c r="BG27" i="6"/>
  <c r="BG17" i="6"/>
  <c r="BG248" i="6"/>
  <c r="BG249" i="6" s="1"/>
  <c r="CB61" i="6"/>
  <c r="CB224" i="6" s="1"/>
  <c r="CB58" i="6"/>
  <c r="CB9" i="2"/>
  <c r="CB10" i="2" s="1"/>
  <c r="DK13" i="6"/>
  <c r="DK180" i="6" s="1"/>
  <c r="DK216" i="6"/>
  <c r="BK27" i="6"/>
  <c r="BK247" i="6"/>
  <c r="CN101" i="2"/>
  <c r="BV64" i="8"/>
  <c r="BV66" i="8" s="1"/>
  <c r="DR325" i="3"/>
  <c r="CJ179" i="3"/>
  <c r="CJ181" i="3" s="1"/>
  <c r="AX17" i="5"/>
  <c r="CK110" i="8"/>
  <c r="CK112" i="8"/>
  <c r="CF28" i="8"/>
  <c r="AT33" i="5"/>
  <c r="AQ30" i="9"/>
  <c r="AQ29" i="9"/>
  <c r="DD127" i="7"/>
  <c r="DD168" i="7"/>
  <c r="DD202" i="3"/>
  <c r="DD49" i="2" s="1"/>
  <c r="DE198" i="3"/>
  <c r="DE196" i="3"/>
  <c r="AS131" i="9"/>
  <c r="AS31" i="9"/>
  <c r="AV32" i="5"/>
  <c r="CQ116" i="7"/>
  <c r="CQ106" i="7"/>
  <c r="CQ101" i="7"/>
  <c r="CJ106" i="7"/>
  <c r="CJ101" i="7" s="1"/>
  <c r="AR32" i="5"/>
  <c r="AP31" i="9"/>
  <c r="AP32" i="5"/>
  <c r="AO31" i="9"/>
  <c r="DE206" i="3"/>
  <c r="CV206" i="3"/>
  <c r="CZ207" i="3"/>
  <c r="CP216" i="3"/>
  <c r="CP240" i="3"/>
  <c r="CP241" i="3"/>
  <c r="CP245" i="3"/>
  <c r="CP246" i="3" s="1"/>
  <c r="CP165" i="3"/>
  <c r="CP251" i="3"/>
  <c r="CK251" i="3"/>
  <c r="CK240" i="3"/>
  <c r="CK245" i="3"/>
  <c r="CK165" i="3"/>
  <c r="CF245" i="3"/>
  <c r="CF165" i="3"/>
  <c r="CF179" i="3"/>
  <c r="CF181" i="3" s="1"/>
  <c r="CF251" i="3"/>
  <c r="CF240" i="3"/>
  <c r="BV250" i="3"/>
  <c r="BV152" i="3"/>
  <c r="BV252" i="3"/>
  <c r="BV244" i="3"/>
  <c r="BV239" i="3"/>
  <c r="CX99" i="3"/>
  <c r="CX128" i="3" s="1"/>
  <c r="CA302" i="3"/>
  <c r="CA204" i="3"/>
  <c r="DM300" i="3"/>
  <c r="DM45" i="3"/>
  <c r="CF246" i="3"/>
  <c r="AK33" i="5"/>
  <c r="AL29" i="9"/>
  <c r="AL30" i="9"/>
  <c r="CD418" i="8"/>
  <c r="CD420" i="8"/>
  <c r="CC422" i="8"/>
  <c r="CC419" i="8"/>
  <c r="CF419" i="8"/>
  <c r="CF420" i="8"/>
  <c r="CD411" i="8"/>
  <c r="CE407" i="8"/>
  <c r="CE409" i="8"/>
  <c r="DA396" i="8"/>
  <c r="DA398" i="8"/>
  <c r="DE396" i="8"/>
  <c r="DE398" i="8"/>
  <c r="CZ54" i="8"/>
  <c r="CW51" i="8"/>
  <c r="CX363" i="8"/>
  <c r="CX365" i="8"/>
  <c r="CW367" i="8"/>
  <c r="DE363" i="8"/>
  <c r="DE365" i="8"/>
  <c r="DA363" i="8"/>
  <c r="DA365" i="8"/>
  <c r="CZ51" i="8"/>
  <c r="CF46" i="8"/>
  <c r="CK308" i="8"/>
  <c r="CK310" i="8"/>
  <c r="CK286" i="8"/>
  <c r="CK288" i="8"/>
  <c r="CF44" i="8"/>
  <c r="CK253" i="8"/>
  <c r="CK255" i="8"/>
  <c r="CF41" i="8"/>
  <c r="CD99" i="8"/>
  <c r="CD101" i="8"/>
  <c r="CC100" i="8"/>
  <c r="CF100" i="8"/>
  <c r="CF101" i="8"/>
  <c r="CC103" i="8"/>
  <c r="CD77" i="8"/>
  <c r="CC431" i="8"/>
  <c r="CC62" i="8" s="1"/>
  <c r="CC64" i="8" s="1"/>
  <c r="CC66" i="8" s="1"/>
  <c r="CF127" i="7"/>
  <c r="BX96" i="7"/>
  <c r="BX74" i="7"/>
  <c r="CA73" i="7"/>
  <c r="CB91" i="7"/>
  <c r="BW106" i="7"/>
  <c r="BW101" i="7"/>
  <c r="CA90" i="7"/>
  <c r="BS106" i="7"/>
  <c r="CX32" i="7"/>
  <c r="CX158" i="2"/>
  <c r="CP29" i="7"/>
  <c r="CP24" i="7"/>
  <c r="CP27" i="7"/>
  <c r="AC21" i="9" s="1"/>
  <c r="CP100" i="2"/>
  <c r="CP173" i="7"/>
  <c r="CO118" i="7"/>
  <c r="CO153" i="7"/>
  <c r="CO141" i="7" s="1"/>
  <c r="CT324" i="6"/>
  <c r="CT327" i="6"/>
  <c r="CY321" i="6"/>
  <c r="CL131" i="6"/>
  <c r="CG170" i="6"/>
  <c r="CG138" i="6"/>
  <c r="BY138" i="6"/>
  <c r="BY170" i="6"/>
  <c r="BY171" i="6" s="1"/>
  <c r="CD138" i="6"/>
  <c r="CN113" i="6"/>
  <c r="CI159" i="6"/>
  <c r="CU123" i="6"/>
  <c r="R195" i="9"/>
  <c r="G195" i="9"/>
  <c r="G159" i="9"/>
  <c r="CK51" i="6"/>
  <c r="CX68" i="6"/>
  <c r="CX63" i="6"/>
  <c r="CX105" i="2" s="1"/>
  <c r="CX65" i="6"/>
  <c r="AD129" i="9"/>
  <c r="CQ37" i="6"/>
  <c r="CV37" i="6"/>
  <c r="CI30" i="6"/>
  <c r="CI297" i="6"/>
  <c r="CI159" i="2"/>
  <c r="CR248" i="6"/>
  <c r="CO250" i="6"/>
  <c r="CO248" i="6"/>
  <c r="CK105" i="2"/>
  <c r="CK247" i="6"/>
  <c r="CK24" i="6"/>
  <c r="CK257" i="6"/>
  <c r="O189" i="9"/>
  <c r="O121" i="9"/>
  <c r="BQ248" i="6"/>
  <c r="BQ250" i="6"/>
  <c r="BY27" i="6"/>
  <c r="BY258" i="6"/>
  <c r="BY105" i="2"/>
  <c r="BY247" i="6"/>
  <c r="BY257" i="6"/>
  <c r="AD127" i="9"/>
  <c r="CQ222" i="6"/>
  <c r="BW222" i="6"/>
  <c r="J127" i="9"/>
  <c r="CA123" i="6"/>
  <c r="CA124" i="6"/>
  <c r="CR116" i="7"/>
  <c r="CR101" i="7"/>
  <c r="CR106" i="7"/>
  <c r="DB297" i="6"/>
  <c r="DB30" i="6"/>
  <c r="DB159" i="2"/>
  <c r="DB65" i="6"/>
  <c r="DB63" i="6"/>
  <c r="DB105" i="2"/>
  <c r="DB115" i="2" s="1"/>
  <c r="DB111" i="2" s="1"/>
  <c r="DB68" i="6"/>
  <c r="CP223" i="3"/>
  <c r="CP179" i="3"/>
  <c r="CP181" i="3" s="1"/>
  <c r="BV216" i="3"/>
  <c r="BV245" i="3"/>
  <c r="BV165" i="3"/>
  <c r="BV240" i="3"/>
  <c r="BV251" i="3"/>
  <c r="AM164" i="3"/>
  <c r="AM252" i="3"/>
  <c r="CP250" i="3"/>
  <c r="BP252" i="3"/>
  <c r="BP181" i="3"/>
  <c r="BL152" i="3"/>
  <c r="BL252" i="3"/>
  <c r="BL244" i="3"/>
  <c r="BL246" i="3" s="1"/>
  <c r="BL247" i="3" s="1"/>
  <c r="BL250" i="3"/>
  <c r="BL239" i="3"/>
  <c r="S137" i="3"/>
  <c r="S67" i="3" s="1"/>
  <c r="DA201" i="7"/>
  <c r="DA197" i="7"/>
  <c r="DA200" i="7"/>
  <c r="DA183" i="7"/>
  <c r="DA188" i="7"/>
  <c r="DA210" i="7" s="1"/>
  <c r="DA198" i="7"/>
  <c r="DA215" i="7"/>
  <c r="CW54" i="8"/>
  <c r="CW50" i="8"/>
  <c r="CX396" i="8"/>
  <c r="CX398" i="8"/>
  <c r="CW400" i="8"/>
  <c r="CW356" i="8"/>
  <c r="CX352" i="8"/>
  <c r="CX354" i="8"/>
  <c r="CO321" i="8"/>
  <c r="CQ319" i="8"/>
  <c r="CQ321" i="8"/>
  <c r="CD312" i="8"/>
  <c r="CE308" i="8"/>
  <c r="CE310" i="8"/>
  <c r="CC298" i="8"/>
  <c r="CL284" i="8"/>
  <c r="CD275" i="8"/>
  <c r="CD277" i="8"/>
  <c r="CC276" i="8"/>
  <c r="CF276" i="8"/>
  <c r="CF277" i="8"/>
  <c r="CC279" i="8"/>
  <c r="CF265" i="8"/>
  <c r="CF266" i="8"/>
  <c r="CL262" i="8"/>
  <c r="CT39" i="8"/>
  <c r="CV231" i="8"/>
  <c r="CV233" i="8"/>
  <c r="CT220" i="8"/>
  <c r="CS38" i="8"/>
  <c r="CE187" i="8"/>
  <c r="CE189" i="8"/>
  <c r="CE191" i="8"/>
  <c r="CD191" i="8"/>
  <c r="CC180" i="8"/>
  <c r="CC177" i="8"/>
  <c r="CF177" i="8"/>
  <c r="CF178" i="8"/>
  <c r="CD176" i="8"/>
  <c r="CD178" i="8"/>
  <c r="CC125" i="8"/>
  <c r="CD121" i="8"/>
  <c r="CD123" i="8"/>
  <c r="CC122" i="8"/>
  <c r="BV19" i="8"/>
  <c r="CC81" i="8"/>
  <c r="CA127" i="7"/>
  <c r="CF79" i="7"/>
  <c r="CA76" i="7"/>
  <c r="N14" i="9"/>
  <c r="CA79" i="7"/>
  <c r="BV96" i="7"/>
  <c r="BL113" i="7"/>
  <c r="BL129" i="7"/>
  <c r="BM108" i="7"/>
  <c r="BM129" i="7" s="1"/>
  <c r="CC108" i="7"/>
  <c r="CC102" i="7"/>
  <c r="CC103" i="7" s="1"/>
  <c r="BY107" i="7"/>
  <c r="BR106" i="7"/>
  <c r="BR101" i="7" s="1"/>
  <c r="BV90" i="7"/>
  <c r="BV116" i="7" s="1"/>
  <c r="BV121" i="7" s="1"/>
  <c r="BO106" i="7"/>
  <c r="R45" i="7"/>
  <c r="R54" i="7" s="1"/>
  <c r="AC130" i="7"/>
  <c r="AC131" i="7" s="1"/>
  <c r="CC298" i="6"/>
  <c r="CC302" i="6"/>
  <c r="R121" i="9"/>
  <c r="R189" i="9"/>
  <c r="P189" i="9"/>
  <c r="P121" i="9"/>
  <c r="O159" i="9"/>
  <c r="O195" i="9"/>
  <c r="CO169" i="6"/>
  <c r="CT130" i="6"/>
  <c r="CH171" i="6"/>
  <c r="CH212" i="6"/>
  <c r="CK169" i="6"/>
  <c r="BY212" i="6"/>
  <c r="BW169" i="6"/>
  <c r="BW137" i="6"/>
  <c r="CB137" i="6"/>
  <c r="BS213" i="6"/>
  <c r="BS171" i="6"/>
  <c r="BN213" i="6"/>
  <c r="CR65" i="6"/>
  <c r="BL90" i="2"/>
  <c r="CW30" i="6"/>
  <c r="CW159" i="2"/>
  <c r="CW297" i="6"/>
  <c r="CW302" i="6" s="1"/>
  <c r="AK24" i="5"/>
  <c r="AL131" i="9"/>
  <c r="AB131" i="9"/>
  <c r="W24" i="5"/>
  <c r="T24" i="5"/>
  <c r="CM30" i="6"/>
  <c r="CM297" i="6"/>
  <c r="CM159" i="2"/>
  <c r="CD37" i="6"/>
  <c r="Q129" i="9"/>
  <c r="CR37" i="6"/>
  <c r="AE129" i="9"/>
  <c r="CW37" i="6"/>
  <c r="BM58" i="6"/>
  <c r="BM56" i="6"/>
  <c r="BM9" i="2"/>
  <c r="BM61" i="6"/>
  <c r="BM224" i="6" s="1"/>
  <c r="BI56" i="6"/>
  <c r="BI61" i="6"/>
  <c r="BI224" i="6" s="1"/>
  <c r="BI9" i="2"/>
  <c r="BI10" i="2" s="1"/>
  <c r="BI68" i="2" s="1"/>
  <c r="BI76" i="2" s="1"/>
  <c r="BI58" i="6"/>
  <c r="AC120" i="9"/>
  <c r="AC127" i="9"/>
  <c r="CP222" i="6"/>
  <c r="CP58" i="6"/>
  <c r="CP61" i="6"/>
  <c r="CP224" i="6" s="1"/>
  <c r="CA55" i="6"/>
  <c r="CA654" i="6"/>
  <c r="CA17" i="6"/>
  <c r="CA189" i="3" s="1"/>
  <c r="CA190" i="3" s="1"/>
  <c r="CA42" i="6"/>
  <c r="BQ654" i="6"/>
  <c r="BQ27" i="6"/>
  <c r="BQ42" i="6"/>
  <c r="BQ20" i="6"/>
  <c r="BQ222" i="6" s="1"/>
  <c r="BQ55" i="6"/>
  <c r="BQ17" i="6"/>
  <c r="BQ189" i="3" s="1"/>
  <c r="BQ190" i="3" s="1"/>
  <c r="BQ243" i="6"/>
  <c r="BQ25" i="6"/>
  <c r="BQ143" i="6"/>
  <c r="I201" i="7"/>
  <c r="I26" i="7"/>
  <c r="I28" i="7" s="1"/>
  <c r="I25" i="7"/>
  <c r="I207" i="7"/>
  <c r="CE154" i="8"/>
  <c r="CE156" i="8"/>
  <c r="CD158" i="8"/>
  <c r="CX374" i="8"/>
  <c r="CX376" i="8"/>
  <c r="CW52" i="8"/>
  <c r="CW378" i="8"/>
  <c r="N26" i="7"/>
  <c r="N201" i="7"/>
  <c r="N207" i="7"/>
  <c r="N25" i="7"/>
  <c r="S259" i="3"/>
  <c r="S260" i="3" s="1"/>
  <c r="S210" i="7"/>
  <c r="S200" i="7"/>
  <c r="S198" i="7"/>
  <c r="S201" i="7"/>
  <c r="S215" i="7"/>
  <c r="S197" i="7"/>
  <c r="BL100" i="2"/>
  <c r="BL29" i="7"/>
  <c r="BL28" i="7"/>
  <c r="BL173" i="7"/>
  <c r="BQ173" i="7"/>
  <c r="BQ27" i="7"/>
  <c r="BL27" i="7"/>
  <c r="BV73" i="7"/>
  <c r="CI43" i="6"/>
  <c r="CC37" i="6"/>
  <c r="P129" i="9"/>
  <c r="P130" i="9" s="1"/>
  <c r="CH37" i="6"/>
  <c r="BZ171" i="6"/>
  <c r="BZ213" i="6"/>
  <c r="BQ65" i="6"/>
  <c r="BR56" i="6"/>
  <c r="BI198" i="6"/>
  <c r="CL313" i="6"/>
  <c r="CA126" i="2"/>
  <c r="CZ45" i="2"/>
  <c r="CW1" i="6"/>
  <c r="CW64" i="2"/>
  <c r="CZ39" i="2"/>
  <c r="AJ1" i="9"/>
  <c r="CX37" i="2"/>
  <c r="AJ23" i="9"/>
  <c r="CW40" i="2"/>
  <c r="AJ123" i="9"/>
  <c r="CW1" i="3"/>
  <c r="CP187" i="3"/>
  <c r="CP188" i="3" s="1"/>
  <c r="CP186" i="3"/>
  <c r="X92" i="2"/>
  <c r="AC92" i="2"/>
  <c r="I90" i="2"/>
  <c r="AH187" i="3"/>
  <c r="AH188" i="3" s="1"/>
  <c r="AH186" i="3"/>
  <c r="M128" i="9"/>
  <c r="CQ141" i="8"/>
  <c r="CJ86" i="8"/>
  <c r="AH129" i="7"/>
  <c r="AH161" i="7"/>
  <c r="BX113" i="7"/>
  <c r="BX129" i="7"/>
  <c r="BX161" i="7" s="1"/>
  <c r="BX162" i="7" s="1"/>
  <c r="CF15" i="6"/>
  <c r="S126" i="9" s="1"/>
  <c r="BU172" i="6"/>
  <c r="BU132" i="6"/>
  <c r="BW191" i="6"/>
  <c r="BY231" i="6"/>
  <c r="BY208" i="6"/>
  <c r="DG372" i="8"/>
  <c r="DD394" i="8"/>
  <c r="BZ106" i="7"/>
  <c r="BZ108" i="7"/>
  <c r="CE171" i="7"/>
  <c r="BZ92" i="7"/>
  <c r="BQ296" i="6"/>
  <c r="CY117" i="7"/>
  <c r="CY97" i="7" s="1"/>
  <c r="CY107" i="7"/>
  <c r="CY102" i="7" s="1"/>
  <c r="BG252" i="3"/>
  <c r="BG181" i="3"/>
  <c r="BN171" i="6"/>
  <c r="BH176" i="6"/>
  <c r="BH177" i="6"/>
  <c r="BH132" i="6"/>
  <c r="BH139" i="6" s="1"/>
  <c r="CO158" i="6"/>
  <c r="CT112" i="6"/>
  <c r="CG160" i="6"/>
  <c r="CG206" i="6"/>
  <c r="CK158" i="6"/>
  <c r="BR180" i="7"/>
  <c r="BR136" i="7"/>
  <c r="BR137" i="7" s="1"/>
  <c r="BR58" i="7"/>
  <c r="CB232" i="6"/>
  <c r="CN206" i="6"/>
  <c r="BI218" i="6"/>
  <c r="BI282" i="6" s="1"/>
  <c r="BI191" i="6"/>
  <c r="CJ165" i="6"/>
  <c r="CJ166" i="6"/>
  <c r="CJ114" i="6"/>
  <c r="CS206" i="6"/>
  <c r="DE257" i="6"/>
  <c r="DE247" i="6"/>
  <c r="DE24" i="6"/>
  <c r="DE258" i="6"/>
  <c r="AR121" i="9" s="1"/>
  <c r="DE36" i="7"/>
  <c r="DE25" i="7"/>
  <c r="DE245" i="3"/>
  <c r="DE165" i="3"/>
  <c r="DE179" i="3"/>
  <c r="DE181" i="3" s="1"/>
  <c r="DE240" i="3"/>
  <c r="DE251" i="3"/>
  <c r="AR84" i="5"/>
  <c r="AT84" i="5"/>
  <c r="AR27" i="9"/>
  <c r="AP84" i="5"/>
  <c r="AR28" i="9"/>
  <c r="AN84" i="5"/>
  <c r="CT117" i="7"/>
  <c r="CT107" i="7"/>
  <c r="CT102" i="7"/>
  <c r="DC118" i="7"/>
  <c r="DC90" i="7"/>
  <c r="DC91" i="7" s="1"/>
  <c r="DA117" i="7"/>
  <c r="DA107" i="7"/>
  <c r="DA102" i="7"/>
  <c r="BE65" i="9"/>
  <c r="BE99" i="9"/>
  <c r="BC167" i="9"/>
  <c r="BC203" i="9"/>
  <c r="DL141" i="6"/>
  <c r="DQ141" i="6" s="1"/>
  <c r="DB180" i="6"/>
  <c r="DB216" i="6"/>
  <c r="DE179" i="6"/>
  <c r="DA291" i="3"/>
  <c r="N207" i="3"/>
  <c r="CB249" i="3"/>
  <c r="CB241" i="3"/>
  <c r="BR241" i="3"/>
  <c r="BR249" i="3"/>
  <c r="BT241" i="3"/>
  <c r="BT249" i="3"/>
  <c r="BO241" i="3"/>
  <c r="AR246" i="3"/>
  <c r="CR100" i="3"/>
  <c r="CD196" i="3"/>
  <c r="CP302" i="3"/>
  <c r="CK302" i="3"/>
  <c r="BB312" i="3"/>
  <c r="BB63" i="3"/>
  <c r="DQ45" i="3"/>
  <c r="DQ300" i="3"/>
  <c r="DJ374" i="8"/>
  <c r="DJ376" i="8"/>
  <c r="DE52" i="8"/>
  <c r="DB361" i="8"/>
  <c r="DA367" i="8"/>
  <c r="CX341" i="8"/>
  <c r="CX343" i="8"/>
  <c r="CW49" i="8"/>
  <c r="CW345" i="8"/>
  <c r="CW22" i="8"/>
  <c r="CR224" i="8"/>
  <c r="CS218" i="8"/>
  <c r="CR209" i="8"/>
  <c r="CR211" i="8"/>
  <c r="CQ213" i="8"/>
  <c r="CQ37" i="8"/>
  <c r="CF32" i="8"/>
  <c r="CK154" i="8"/>
  <c r="CK156" i="8"/>
  <c r="BQ438" i="8"/>
  <c r="CA168" i="7"/>
  <c r="CA154" i="7"/>
  <c r="CA142" i="7" s="1"/>
  <c r="BV168" i="7"/>
  <c r="BV154" i="7"/>
  <c r="BV142" i="7"/>
  <c r="BV138" i="7" s="1"/>
  <c r="I10" i="9" s="1"/>
  <c r="BV216" i="7"/>
  <c r="N13" i="9"/>
  <c r="CA11" i="7"/>
  <c r="BU92" i="7"/>
  <c r="BU106" i="7"/>
  <c r="BS179" i="7"/>
  <c r="BT45" i="7"/>
  <c r="BT54" i="7" s="1"/>
  <c r="BS80" i="7"/>
  <c r="BS83" i="7"/>
  <c r="BS82" i="7"/>
  <c r="BM215" i="7"/>
  <c r="BM198" i="7"/>
  <c r="BM259" i="3"/>
  <c r="BM197" i="7"/>
  <c r="BM183" i="7"/>
  <c r="BM200" i="7"/>
  <c r="AC45" i="7"/>
  <c r="AC54" i="7" s="1"/>
  <c r="X179" i="7"/>
  <c r="X57" i="7"/>
  <c r="AG29" i="9"/>
  <c r="AG30" i="9"/>
  <c r="CT158" i="2"/>
  <c r="CT160" i="2" s="1"/>
  <c r="CT163" i="2" s="1"/>
  <c r="CT32" i="7"/>
  <c r="BM207" i="7"/>
  <c r="AH27" i="9"/>
  <c r="AK84" i="5"/>
  <c r="AE84" i="5"/>
  <c r="AM28" i="9"/>
  <c r="CG90" i="7"/>
  <c r="CG91" i="7"/>
  <c r="CG153" i="7"/>
  <c r="CG141" i="7" s="1"/>
  <c r="CG118" i="7"/>
  <c r="CF167" i="7"/>
  <c r="CF93" i="7"/>
  <c r="CF153" i="7"/>
  <c r="CN244" i="6"/>
  <c r="CS244" i="6"/>
  <c r="CL244" i="6"/>
  <c r="CH216" i="6"/>
  <c r="CK179" i="6"/>
  <c r="CH180" i="6"/>
  <c r="BV179" i="6"/>
  <c r="BR216" i="6"/>
  <c r="BR180" i="6"/>
  <c r="CM158" i="6"/>
  <c r="CR112" i="6"/>
  <c r="CE207" i="6"/>
  <c r="K159" i="9"/>
  <c r="K195" i="9"/>
  <c r="F195" i="9"/>
  <c r="F159" i="9"/>
  <c r="BI176" i="6"/>
  <c r="BI177" i="6" s="1"/>
  <c r="BI132" i="6"/>
  <c r="BI139" i="6" s="1"/>
  <c r="BH214" i="6"/>
  <c r="CV248" i="6"/>
  <c r="DA249" i="6" s="1"/>
  <c r="CV250" i="6"/>
  <c r="BX257" i="6"/>
  <c r="BX27" i="6"/>
  <c r="BX105" i="2"/>
  <c r="BX258" i="6"/>
  <c r="BX247" i="6"/>
  <c r="H121" i="9"/>
  <c r="H189" i="9"/>
  <c r="U126" i="9"/>
  <c r="J20" i="5"/>
  <c r="BN43" i="6"/>
  <c r="BS43" i="6"/>
  <c r="N130" i="7"/>
  <c r="N161" i="7"/>
  <c r="N162" i="7"/>
  <c r="AW25" i="7"/>
  <c r="AW26" i="7"/>
  <c r="DC327" i="6"/>
  <c r="DC328" i="6" s="1"/>
  <c r="CC114" i="8"/>
  <c r="CC221" i="8"/>
  <c r="CU173" i="7"/>
  <c r="CV86" i="7"/>
  <c r="CU87" i="7"/>
  <c r="CZ86" i="7"/>
  <c r="CU74" i="7"/>
  <c r="CA143" i="6"/>
  <c r="CW250" i="6"/>
  <c r="BR231" i="6"/>
  <c r="CT250" i="6"/>
  <c r="BM235" i="6"/>
  <c r="CA26" i="6"/>
  <c r="J189" i="9"/>
  <c r="J121" i="9"/>
  <c r="BW165" i="6"/>
  <c r="BW166" i="6" s="1"/>
  <c r="BW114" i="6"/>
  <c r="CP180" i="6"/>
  <c r="CV101" i="2"/>
  <c r="CS191" i="8"/>
  <c r="CS35" i="8"/>
  <c r="CT187" i="8"/>
  <c r="CM152" i="8"/>
  <c r="BZ98" i="7"/>
  <c r="BZ75" i="7"/>
  <c r="T8" i="5"/>
  <c r="W8" i="5"/>
  <c r="CN273" i="8"/>
  <c r="AE57" i="7"/>
  <c r="AE192" i="7"/>
  <c r="AF45" i="7"/>
  <c r="AF54" i="7" s="1"/>
  <c r="CE103" i="7"/>
  <c r="CE129" i="7"/>
  <c r="CE128" i="7"/>
  <c r="CE113" i="7"/>
  <c r="CS119" i="8"/>
  <c r="DK350" i="8"/>
  <c r="CZ141" i="6"/>
  <c r="CZ14" i="6"/>
  <c r="CZ25" i="7"/>
  <c r="AK85" i="5" s="1"/>
  <c r="CZ36" i="7"/>
  <c r="CZ38" i="7" s="1"/>
  <c r="BB181" i="3"/>
  <c r="BP214" i="6"/>
  <c r="BP236" i="6"/>
  <c r="CD231" i="6"/>
  <c r="CE235" i="6"/>
  <c r="X251" i="3"/>
  <c r="X143" i="3"/>
  <c r="X250" i="3" s="1"/>
  <c r="X11" i="8"/>
  <c r="AC10" i="8" s="1"/>
  <c r="AC13" i="8" s="1"/>
  <c r="X216" i="3"/>
  <c r="X67" i="3"/>
  <c r="CW325" i="6"/>
  <c r="DF63" i="8"/>
  <c r="CW116" i="7"/>
  <c r="CW106" i="7"/>
  <c r="DE80" i="6"/>
  <c r="AR109" i="9" s="1"/>
  <c r="DE132" i="6"/>
  <c r="DE139" i="6"/>
  <c r="AD43" i="2"/>
  <c r="DL87" i="7"/>
  <c r="DM85" i="7"/>
  <c r="BL128" i="7"/>
  <c r="AH128" i="7"/>
  <c r="CX251" i="8"/>
  <c r="AP130" i="9"/>
  <c r="AV24" i="5"/>
  <c r="AQ31" i="9"/>
  <c r="DD118" i="7"/>
  <c r="DD90" i="7"/>
  <c r="DD91" i="7"/>
  <c r="DD153" i="7"/>
  <c r="DD141" i="7" s="1"/>
  <c r="DD252" i="3"/>
  <c r="DD181" i="3"/>
  <c r="CQ91" i="7"/>
  <c r="CJ91" i="7"/>
  <c r="DC252" i="3"/>
  <c r="DC181" i="3"/>
  <c r="DC90" i="2"/>
  <c r="AR33" i="5"/>
  <c r="AP30" i="9"/>
  <c r="AP29" i="9"/>
  <c r="DC248" i="6"/>
  <c r="DC250" i="6"/>
  <c r="DB158" i="2"/>
  <c r="DB32" i="7"/>
  <c r="BV179" i="3"/>
  <c r="BV181" i="3" s="1"/>
  <c r="BV223" i="3"/>
  <c r="CZ223" i="3"/>
  <c r="CU240" i="3"/>
  <c r="CU165" i="3"/>
  <c r="CU251" i="3"/>
  <c r="CU245" i="3"/>
  <c r="CU246" i="3" s="1"/>
  <c r="CK216" i="3"/>
  <c r="CZ240" i="3"/>
  <c r="CZ165" i="3"/>
  <c r="CZ179" i="3"/>
  <c r="CZ245" i="3"/>
  <c r="BQ252" i="3"/>
  <c r="BQ181" i="3"/>
  <c r="AC249" i="3"/>
  <c r="CK244" i="3"/>
  <c r="CK246" i="3" s="1"/>
  <c r="CK239" i="3"/>
  <c r="CK241" i="3" s="1"/>
  <c r="CK152" i="3"/>
  <c r="CK252" i="3"/>
  <c r="CK250" i="3"/>
  <c r="BP290" i="3"/>
  <c r="BL63" i="3"/>
  <c r="BL312" i="3"/>
  <c r="CF250" i="3"/>
  <c r="DB385" i="8"/>
  <c r="DB387" i="8"/>
  <c r="DA53" i="8"/>
  <c r="DA389" i="8"/>
  <c r="DJ385" i="8"/>
  <c r="DJ387" i="8"/>
  <c r="DE53" i="8"/>
  <c r="CK330" i="8"/>
  <c r="CK332" i="8"/>
  <c r="CF48" i="8"/>
  <c r="CF298" i="8"/>
  <c r="CF299" i="8"/>
  <c r="DE242" i="8"/>
  <c r="DE244" i="8"/>
  <c r="CZ40" i="8"/>
  <c r="CP38" i="8"/>
  <c r="CU220" i="8"/>
  <c r="CU222" i="8"/>
  <c r="CZ209" i="8"/>
  <c r="CZ211" i="8"/>
  <c r="CU37" i="8"/>
  <c r="CD198" i="8"/>
  <c r="CD200" i="8"/>
  <c r="CC199" i="8"/>
  <c r="CF199" i="8"/>
  <c r="CF200" i="8"/>
  <c r="CC202" i="8"/>
  <c r="CS132" i="8"/>
  <c r="CS134" i="8"/>
  <c r="CR30" i="8"/>
  <c r="CF78" i="8"/>
  <c r="CM210" i="7"/>
  <c r="CE154" i="7"/>
  <c r="CE142" i="7" s="1"/>
  <c r="CE168" i="7"/>
  <c r="CJ154" i="7"/>
  <c r="CJ142" i="7" s="1"/>
  <c r="CJ168" i="7"/>
  <c r="CC168" i="7"/>
  <c r="CF150" i="7"/>
  <c r="CF12" i="7" s="1"/>
  <c r="CC12" i="7"/>
  <c r="CA64" i="7"/>
  <c r="BW91" i="7"/>
  <c r="CL259" i="3"/>
  <c r="CK183" i="7"/>
  <c r="CK188" i="7" s="1"/>
  <c r="CR201" i="7"/>
  <c r="CR197" i="7"/>
  <c r="CR259" i="3"/>
  <c r="CR183" i="7"/>
  <c r="CR188" i="7"/>
  <c r="CR210" i="7" s="1"/>
  <c r="CR198" i="7"/>
  <c r="CR215" i="7"/>
  <c r="AK30" i="9"/>
  <c r="AK29" i="9"/>
  <c r="AE31" i="9"/>
  <c r="AB32" i="5"/>
  <c r="CR158" i="2"/>
  <c r="CR32" i="7"/>
  <c r="CJ32" i="7"/>
  <c r="CJ158" i="2"/>
  <c r="CK100" i="2"/>
  <c r="CK29" i="7"/>
  <c r="CK24" i="7"/>
  <c r="CK201" i="7" s="1"/>
  <c r="CO168" i="7"/>
  <c r="CO215" i="7"/>
  <c r="CB138" i="6"/>
  <c r="CB170" i="6"/>
  <c r="BM138" i="6"/>
  <c r="BM170" i="6"/>
  <c r="BR138" i="6"/>
  <c r="BO159" i="6"/>
  <c r="BO119" i="6"/>
  <c r="BS180" i="6"/>
  <c r="BS216" i="6"/>
  <c r="BN180" i="6"/>
  <c r="BN216" i="6"/>
  <c r="CP123" i="6"/>
  <c r="CP124" i="6"/>
  <c r="CT131" i="6"/>
  <c r="CO170" i="6"/>
  <c r="CX159" i="2"/>
  <c r="CX297" i="6"/>
  <c r="CX30" i="6"/>
  <c r="AP131" i="9"/>
  <c r="AR24" i="5"/>
  <c r="AN131" i="9"/>
  <c r="AN24" i="5"/>
  <c r="CQ30" i="6"/>
  <c r="CQ297" i="6"/>
  <c r="CV302" i="6" s="1"/>
  <c r="CQ159" i="2"/>
  <c r="Y129" i="9"/>
  <c r="AB121" i="9"/>
  <c r="AB189" i="9"/>
  <c r="CG250" i="6"/>
  <c r="CG248" i="6"/>
  <c r="CB248" i="6"/>
  <c r="CB250" i="6"/>
  <c r="CA20" i="6"/>
  <c r="CB56" i="6"/>
  <c r="BW61" i="6"/>
  <c r="BW224" i="6" s="1"/>
  <c r="BW56" i="6"/>
  <c r="BW9" i="2"/>
  <c r="BW58" i="6"/>
  <c r="BT9" i="2"/>
  <c r="BT10" i="2" s="1"/>
  <c r="BT61" i="6"/>
  <c r="BT224" i="6" s="1"/>
  <c r="BT56" i="6"/>
  <c r="BT58" i="6"/>
  <c r="BY56" i="6"/>
  <c r="BW213" i="6"/>
  <c r="CR91" i="7"/>
  <c r="CR92" i="7" s="1"/>
  <c r="AO131" i="9"/>
  <c r="AP24" i="5"/>
  <c r="DB37" i="6"/>
  <c r="AP23" i="5" s="1"/>
  <c r="AO129" i="9"/>
  <c r="AO130" i="9" s="1"/>
  <c r="CK179" i="3"/>
  <c r="CK223" i="3"/>
  <c r="CU168" i="3"/>
  <c r="CU178" i="3"/>
  <c r="CT178" i="3"/>
  <c r="CT179" i="3"/>
  <c r="CT181" i="3" s="1"/>
  <c r="CR252" i="3"/>
  <c r="CR181" i="3"/>
  <c r="BP241" i="3"/>
  <c r="BP249" i="3"/>
  <c r="CZ244" i="3"/>
  <c r="CZ246" i="3" s="1"/>
  <c r="CZ239" i="3"/>
  <c r="CZ152" i="3"/>
  <c r="CZ252" i="3"/>
  <c r="CZ250" i="3"/>
  <c r="AC63" i="3"/>
  <c r="AC65" i="3"/>
  <c r="DN45" i="3"/>
  <c r="DN300" i="3"/>
  <c r="CZ290" i="3"/>
  <c r="CZ321" i="3"/>
  <c r="AK60" i="5"/>
  <c r="CZ300" i="3"/>
  <c r="AW312" i="3"/>
  <c r="AW63" i="3"/>
  <c r="BN181" i="3"/>
  <c r="CZ179" i="7"/>
  <c r="DE45" i="7"/>
  <c r="DE54" i="7" s="1"/>
  <c r="CZ82" i="7"/>
  <c r="DC45" i="7"/>
  <c r="DC54" i="7" s="1"/>
  <c r="DB82" i="7"/>
  <c r="CZ74" i="7"/>
  <c r="BE182" i="9"/>
  <c r="BJ182" i="9" s="1"/>
  <c r="BJ164" i="9" s="1"/>
  <c r="AZ164" i="9"/>
  <c r="DB352" i="8"/>
  <c r="DB354" i="8"/>
  <c r="DA356" i="8"/>
  <c r="DA50" i="8"/>
  <c r="CE297" i="8"/>
  <c r="CE299" i="8"/>
  <c r="CD301" i="8"/>
  <c r="CT40" i="8"/>
  <c r="CV242" i="8"/>
  <c r="CV244" i="8"/>
  <c r="CZ187" i="8"/>
  <c r="CZ189" i="8"/>
  <c r="CU35" i="8"/>
  <c r="DE132" i="8"/>
  <c r="DE134" i="8"/>
  <c r="CZ30" i="8"/>
  <c r="CF122" i="8"/>
  <c r="CF123" i="8"/>
  <c r="CA111" i="8"/>
  <c r="CA438" i="8"/>
  <c r="CA114" i="8"/>
  <c r="CA19" i="8"/>
  <c r="CD88" i="8"/>
  <c r="CD90" i="8"/>
  <c r="CC92" i="8"/>
  <c r="CC89" i="8"/>
  <c r="DC75" i="8"/>
  <c r="BO204" i="7"/>
  <c r="BO184" i="7"/>
  <c r="BO189" i="7" s="1"/>
  <c r="BO190" i="7" s="1"/>
  <c r="BO211" i="7" s="1"/>
  <c r="BO206" i="7"/>
  <c r="BN206" i="7"/>
  <c r="BN204" i="7"/>
  <c r="CL15" i="7"/>
  <c r="CK150" i="7"/>
  <c r="CK12" i="7" s="1"/>
  <c r="BF138" i="7"/>
  <c r="CI96" i="7"/>
  <c r="CI74" i="7"/>
  <c r="CI97" i="7" s="1"/>
  <c r="CG97" i="7"/>
  <c r="J82" i="5"/>
  <c r="X14" i="9"/>
  <c r="CD98" i="7"/>
  <c r="CD75" i="7" s="1"/>
  <c r="CF85" i="7"/>
  <c r="CF87" i="7"/>
  <c r="BY74" i="7"/>
  <c r="BY97" i="7"/>
  <c r="BY96" i="7"/>
  <c r="BT74" i="7"/>
  <c r="BT97" i="7"/>
  <c r="BT98" i="7" s="1"/>
  <c r="BT75" i="7" s="1"/>
  <c r="BR97" i="7"/>
  <c r="BV74" i="7"/>
  <c r="BM101" i="7"/>
  <c r="BM103" i="7" s="1"/>
  <c r="BY106" i="7"/>
  <c r="BY92" i="7"/>
  <c r="BR91" i="7"/>
  <c r="BV64" i="7"/>
  <c r="BO107" i="7"/>
  <c r="BQ107" i="7" s="1"/>
  <c r="AV47" i="7"/>
  <c r="CK215" i="7"/>
  <c r="CF15" i="7"/>
  <c r="CF17" i="7"/>
  <c r="CK149" i="7"/>
  <c r="CQ324" i="6"/>
  <c r="CQ327" i="6"/>
  <c r="CU327" i="6" s="1"/>
  <c r="CU321" i="6"/>
  <c r="CW327" i="6"/>
  <c r="DB321" i="6"/>
  <c r="CZ321" i="6"/>
  <c r="CZ322" i="6" s="1"/>
  <c r="CH296" i="6"/>
  <c r="CC296" i="6"/>
  <c r="CC300" i="6"/>
  <c r="CH300" i="6"/>
  <c r="P158" i="9"/>
  <c r="P194" i="9"/>
  <c r="G194" i="9"/>
  <c r="G158" i="9"/>
  <c r="BJ208" i="6"/>
  <c r="AB195" i="9"/>
  <c r="AB159" i="9"/>
  <c r="Q195" i="9"/>
  <c r="CJ212" i="6"/>
  <c r="CJ171" i="6"/>
  <c r="CR130" i="6"/>
  <c r="CM169" i="6"/>
  <c r="CQ130" i="6"/>
  <c r="CL169" i="6"/>
  <c r="CC213" i="6"/>
  <c r="CA79" i="6"/>
  <c r="CZ35" i="6"/>
  <c r="CZ50" i="6"/>
  <c r="CZ145" i="2"/>
  <c r="CW65" i="6"/>
  <c r="CW63" i="6"/>
  <c r="CW68" i="6"/>
  <c r="CT37" i="6"/>
  <c r="AG129" i="9"/>
  <c r="CY37" i="6"/>
  <c r="AK23" i="5" s="1"/>
  <c r="AB129" i="9"/>
  <c r="AB130" i="9"/>
  <c r="CO37" i="6"/>
  <c r="CO159" i="2"/>
  <c r="CO160" i="2" s="1"/>
  <c r="CO162" i="2" s="1"/>
  <c r="CO297" i="6"/>
  <c r="CO30" i="6"/>
  <c r="Z129" i="9"/>
  <c r="Z130" i="9"/>
  <c r="CM37" i="6"/>
  <c r="AE131" i="9"/>
  <c r="AB24" i="5"/>
  <c r="CT222" i="6"/>
  <c r="AK22" i="5"/>
  <c r="AG127" i="9"/>
  <c r="AK20" i="5"/>
  <c r="AL126" i="9"/>
  <c r="AB20" i="5"/>
  <c r="AE126" i="9"/>
  <c r="CW56" i="6"/>
  <c r="CR58" i="6"/>
  <c r="CD9" i="2"/>
  <c r="CD56" i="6"/>
  <c r="CD68" i="6"/>
  <c r="CD61" i="6"/>
  <c r="CD224" i="6" s="1"/>
  <c r="CI56" i="6"/>
  <c r="CD58" i="6"/>
  <c r="BM43" i="6"/>
  <c r="BR43" i="6"/>
  <c r="CU654" i="6"/>
  <c r="CU655" i="6" s="1"/>
  <c r="CU17" i="6"/>
  <c r="CU189" i="3" s="1"/>
  <c r="CU190" i="3" s="1"/>
  <c r="CU41" i="6"/>
  <c r="CU20" i="6"/>
  <c r="CU143" i="6"/>
  <c r="CU55" i="6"/>
  <c r="CU15" i="6"/>
  <c r="AJ30" i="9"/>
  <c r="CB433" i="8"/>
  <c r="CB19" i="8" s="1"/>
  <c r="CD136" i="8"/>
  <c r="CE132" i="8"/>
  <c r="CE134" i="8"/>
  <c r="CE136" i="8"/>
  <c r="CD235" i="8"/>
  <c r="CE231" i="8"/>
  <c r="CE233" i="8"/>
  <c r="CE235" i="8"/>
  <c r="CE253" i="8"/>
  <c r="CE255" i="8"/>
  <c r="CD257" i="8"/>
  <c r="DC341" i="8"/>
  <c r="DC343" i="8"/>
  <c r="DB49" i="8"/>
  <c r="AC26" i="7"/>
  <c r="AC25" i="7"/>
  <c r="AE32" i="5"/>
  <c r="AG31" i="9"/>
  <c r="CI37" i="6"/>
  <c r="V130" i="9"/>
  <c r="AA130" i="9"/>
  <c r="BV250" i="6"/>
  <c r="CB298" i="6"/>
  <c r="CB302" i="6"/>
  <c r="CG302" i="6"/>
  <c r="BR10" i="2"/>
  <c r="BR68" i="2" s="1"/>
  <c r="CQ244" i="6"/>
  <c r="CV244" i="6"/>
  <c r="CM146" i="2"/>
  <c r="CM148" i="2" s="1"/>
  <c r="CM41" i="7" s="1"/>
  <c r="Z22" i="9" s="1"/>
  <c r="E146" i="2"/>
  <c r="CW38" i="2"/>
  <c r="CU407" i="8"/>
  <c r="CU409" i="8"/>
  <c r="CP55" i="8"/>
  <c r="DC345" i="8"/>
  <c r="DD339" i="8"/>
  <c r="CH334" i="8"/>
  <c r="CH48" i="8"/>
  <c r="CI330" i="8"/>
  <c r="CI332" i="8"/>
  <c r="CX416" i="8"/>
  <c r="DB240" i="8"/>
  <c r="CK73" i="7"/>
  <c r="CU27" i="7"/>
  <c r="AH21" i="9" s="1"/>
  <c r="BT132" i="6"/>
  <c r="BT176" i="6"/>
  <c r="BT177" i="6" s="1"/>
  <c r="BQ35" i="6"/>
  <c r="CH249" i="6"/>
  <c r="CL159" i="6"/>
  <c r="CQ113" i="6"/>
  <c r="BZ244" i="6"/>
  <c r="CN163" i="8"/>
  <c r="CO108" i="8"/>
  <c r="DA316" i="6"/>
  <c r="DD229" i="8"/>
  <c r="CW180" i="6"/>
  <c r="CW216" i="6"/>
  <c r="DL383" i="8"/>
  <c r="DA317" i="8"/>
  <c r="CZ223" i="6"/>
  <c r="CY116" i="7"/>
  <c r="CY106" i="7"/>
  <c r="CY108" i="7" s="1"/>
  <c r="CY92" i="7"/>
  <c r="CZ87" i="7"/>
  <c r="CF11" i="7"/>
  <c r="S13" i="9"/>
  <c r="CJ246" i="3"/>
  <c r="CU250" i="3"/>
  <c r="CG235" i="6"/>
  <c r="CK212" i="6"/>
  <c r="BI182" i="6"/>
  <c r="BI183" i="6"/>
  <c r="BI165" i="6"/>
  <c r="BI166" i="6" s="1"/>
  <c r="BI114" i="6"/>
  <c r="CC160" i="6"/>
  <c r="CC206" i="6"/>
  <c r="CP216" i="6"/>
  <c r="CP200" i="6"/>
  <c r="CY43" i="6"/>
  <c r="DA160" i="2"/>
  <c r="DA162" i="2" s="1"/>
  <c r="BC101" i="9"/>
  <c r="BC67" i="9"/>
  <c r="CI231" i="6"/>
  <c r="CJ191" i="6"/>
  <c r="DE244" i="3"/>
  <c r="DE246" i="3" s="1"/>
  <c r="DE250" i="3"/>
  <c r="DE152" i="3"/>
  <c r="DE252" i="3"/>
  <c r="DE239" i="3"/>
  <c r="CT116" i="7"/>
  <c r="CT96" i="7" s="1"/>
  <c r="CT92" i="7"/>
  <c r="CT106" i="7"/>
  <c r="CT108" i="7"/>
  <c r="DA116" i="7"/>
  <c r="DA106" i="7"/>
  <c r="DA101" i="7" s="1"/>
  <c r="DA103" i="7"/>
  <c r="DA92" i="7"/>
  <c r="DE167" i="7"/>
  <c r="DE158" i="7"/>
  <c r="DE159" i="7"/>
  <c r="DE153" i="7"/>
  <c r="DE93" i="7"/>
  <c r="DA129" i="7"/>
  <c r="DA128" i="7"/>
  <c r="CS90" i="7"/>
  <c r="CS91" i="7"/>
  <c r="CS153" i="7"/>
  <c r="CS141" i="7" s="1"/>
  <c r="CS118" i="7"/>
  <c r="BC65" i="9"/>
  <c r="BC99" i="9"/>
  <c r="BE167" i="9"/>
  <c r="BE203" i="9"/>
  <c r="DC318" i="3"/>
  <c r="CV168" i="7"/>
  <c r="CV215" i="7"/>
  <c r="DE149" i="7"/>
  <c r="CV118" i="7"/>
  <c r="CV90" i="7"/>
  <c r="CV153" i="7"/>
  <c r="CV141" i="7"/>
  <c r="DA153" i="7"/>
  <c r="DA141" i="7" s="1"/>
  <c r="DA302" i="6"/>
  <c r="W327" i="3"/>
  <c r="AC327" i="3"/>
  <c r="T327" i="3"/>
  <c r="U327" i="3"/>
  <c r="V327" i="3"/>
  <c r="I241" i="3"/>
  <c r="I242" i="3" s="1"/>
  <c r="I249" i="3"/>
  <c r="CU216" i="3"/>
  <c r="BW246" i="3"/>
  <c r="AR241" i="3"/>
  <c r="AR249" i="3"/>
  <c r="CZ42" i="3"/>
  <c r="CT128" i="3"/>
  <c r="CT100" i="3"/>
  <c r="CY128" i="3"/>
  <c r="CZ30" i="3"/>
  <c r="CZ34" i="3" s="1"/>
  <c r="CS100" i="3"/>
  <c r="AM67" i="3"/>
  <c r="AR64" i="3"/>
  <c r="AR65" i="3" s="1"/>
  <c r="CW202" i="3"/>
  <c r="CQ210" i="3"/>
  <c r="CR197" i="3"/>
  <c r="CN196" i="3"/>
  <c r="CM205" i="3"/>
  <c r="CE205" i="3"/>
  <c r="CC205" i="3"/>
  <c r="CC206" i="3"/>
  <c r="CC207" i="3" s="1"/>
  <c r="CP321" i="3"/>
  <c r="CA290" i="3"/>
  <c r="CA321" i="3"/>
  <c r="BF100" i="9"/>
  <c r="BF66" i="9"/>
  <c r="DL207" i="8"/>
  <c r="DB374" i="8"/>
  <c r="DB376" i="8"/>
  <c r="DA52" i="8"/>
  <c r="DA378" i="8"/>
  <c r="DE50" i="8"/>
  <c r="DJ352" i="8"/>
  <c r="DJ354" i="8"/>
  <c r="CV22" i="8"/>
  <c r="CL328" i="8"/>
  <c r="CU47" i="8"/>
  <c r="CZ319" i="8"/>
  <c r="CZ321" i="8"/>
  <c r="CJ295" i="8"/>
  <c r="CG286" i="8"/>
  <c r="CG288" i="8"/>
  <c r="CE290" i="8"/>
  <c r="CF290" i="8"/>
  <c r="DJ39" i="8"/>
  <c r="DO231" i="8"/>
  <c r="DO233" i="8"/>
  <c r="CD143" i="8"/>
  <c r="CD145" i="8"/>
  <c r="CC147" i="8"/>
  <c r="CC144" i="8"/>
  <c r="CF144" i="8"/>
  <c r="CF145" i="8"/>
  <c r="CS130" i="8"/>
  <c r="CR136" i="8"/>
  <c r="BQ19" i="8"/>
  <c r="BZ168" i="7"/>
  <c r="BZ154" i="7"/>
  <c r="BZ142" i="7" s="1"/>
  <c r="BZ12" i="7"/>
  <c r="CA150" i="7"/>
  <c r="CA12" i="7"/>
  <c r="BU107" i="7"/>
  <c r="BU102" i="7" s="1"/>
  <c r="CU45" i="7"/>
  <c r="CP82" i="7"/>
  <c r="CP179" i="7"/>
  <c r="CQ45" i="7"/>
  <c r="CQ51" i="7"/>
  <c r="CU51" i="7" s="1"/>
  <c r="CP80" i="7"/>
  <c r="CP83" i="7"/>
  <c r="BR259" i="3"/>
  <c r="BR197" i="7"/>
  <c r="BR198" i="7"/>
  <c r="BR183" i="7"/>
  <c r="BR187" i="7" s="1"/>
  <c r="BR215" i="7"/>
  <c r="BN179" i="7"/>
  <c r="BO45" i="7"/>
  <c r="W21" i="9"/>
  <c r="W86" i="9"/>
  <c r="W103" i="9" s="1"/>
  <c r="CU37" i="7"/>
  <c r="CU144" i="2"/>
  <c r="CU31" i="7"/>
  <c r="CU158" i="2" s="1"/>
  <c r="AK80" i="5"/>
  <c r="CZ271" i="3"/>
  <c r="CZ272" i="3" s="1"/>
  <c r="CZ256" i="3"/>
  <c r="CZ257" i="3" s="1"/>
  <c r="CU153" i="7"/>
  <c r="CU158" i="7"/>
  <c r="CU159" i="7" s="1"/>
  <c r="CU167" i="7"/>
  <c r="CU93" i="7"/>
  <c r="CZ153" i="7"/>
  <c r="CZ167" i="7"/>
  <c r="CN90" i="7"/>
  <c r="CN91" i="7"/>
  <c r="CN118" i="7"/>
  <c r="CN153" i="7"/>
  <c r="CN141" i="7"/>
  <c r="CN94" i="7"/>
  <c r="CL90" i="7"/>
  <c r="CL118" i="7"/>
  <c r="CQ94" i="7"/>
  <c r="CL153" i="7"/>
  <c r="CL141" i="7" s="1"/>
  <c r="CL94" i="7"/>
  <c r="CQ153" i="7"/>
  <c r="CQ141" i="7" s="1"/>
  <c r="CI90" i="7"/>
  <c r="CI118" i="7"/>
  <c r="CI153" i="7"/>
  <c r="CI141" i="7" s="1"/>
  <c r="CK210" i="7"/>
  <c r="CK17" i="7"/>
  <c r="CK28" i="7"/>
  <c r="CK93" i="7"/>
  <c r="CK158" i="7"/>
  <c r="CK159" i="7" s="1"/>
  <c r="CP153" i="7"/>
  <c r="CK153" i="7"/>
  <c r="CK167" i="7"/>
  <c r="BM216" i="6"/>
  <c r="BM180" i="6"/>
  <c r="BQ179" i="6"/>
  <c r="U158" i="9"/>
  <c r="U194" i="9"/>
  <c r="L194" i="9"/>
  <c r="L158" i="9"/>
  <c r="E194" i="9"/>
  <c r="E158" i="9"/>
  <c r="CH206" i="6"/>
  <c r="CH160" i="6"/>
  <c r="BZ159" i="6"/>
  <c r="BN207" i="6"/>
  <c r="BQ159" i="6"/>
  <c r="BI285" i="6"/>
  <c r="BL213" i="6"/>
  <c r="BX68" i="6"/>
  <c r="BX65" i="6"/>
  <c r="BU248" i="6"/>
  <c r="CC68" i="6"/>
  <c r="CC58" i="6"/>
  <c r="CC56" i="6"/>
  <c r="CC61" i="6"/>
  <c r="CC224" i="6" s="1"/>
  <c r="CH56" i="6"/>
  <c r="CC9" i="2"/>
  <c r="BU56" i="6"/>
  <c r="BU58" i="6"/>
  <c r="BU9" i="2"/>
  <c r="BZ56" i="6"/>
  <c r="BN58" i="6"/>
  <c r="BN61" i="6"/>
  <c r="BN224" i="6" s="1"/>
  <c r="BN9" i="2"/>
  <c r="BN56" i="6"/>
  <c r="BS56" i="6"/>
  <c r="AM26" i="7"/>
  <c r="AM25" i="7"/>
  <c r="AW130" i="7"/>
  <c r="AW162" i="7"/>
  <c r="AW161" i="7"/>
  <c r="BF49" i="7"/>
  <c r="BT236" i="6"/>
  <c r="BT214" i="6"/>
  <c r="CE298" i="6"/>
  <c r="CE302" i="6"/>
  <c r="CE110" i="8"/>
  <c r="CE112" i="8"/>
  <c r="CD114" i="8"/>
  <c r="CK33" i="8"/>
  <c r="CP165" i="8"/>
  <c r="CP167" i="8"/>
  <c r="CD224" i="8"/>
  <c r="CE220" i="8"/>
  <c r="CE222" i="8"/>
  <c r="CE224" i="8"/>
  <c r="DB345" i="8"/>
  <c r="BX102" i="7"/>
  <c r="CB101" i="7"/>
  <c r="BT101" i="7"/>
  <c r="CK85" i="7"/>
  <c r="CL86" i="7" s="1"/>
  <c r="CH51" i="7"/>
  <c r="CF222" i="6"/>
  <c r="S127" i="9"/>
  <c r="BQ120" i="6"/>
  <c r="BU43" i="6"/>
  <c r="BU198" i="6"/>
  <c r="BW248" i="6"/>
  <c r="CB37" i="6"/>
  <c r="BW232" i="6"/>
  <c r="CV313" i="6"/>
  <c r="BV139" i="6"/>
  <c r="BQ110" i="2"/>
  <c r="BQ115" i="2" s="1"/>
  <c r="BQ106" i="2" s="1"/>
  <c r="AC1" i="9"/>
  <c r="CN37" i="2"/>
  <c r="CP1" i="6"/>
  <c r="CU40" i="2"/>
  <c r="AE54" i="5" s="1"/>
  <c r="AM60" i="2"/>
  <c r="AH94" i="2"/>
  <c r="AM97" i="2" s="1"/>
  <c r="O130" i="9"/>
  <c r="CN405" i="8"/>
  <c r="CL174" i="8"/>
  <c r="BB130" i="7"/>
  <c r="BB131" i="7" s="1"/>
  <c r="BB162" i="7"/>
  <c r="BQ30" i="6"/>
  <c r="CG232" i="6"/>
  <c r="CW185" i="8"/>
  <c r="CM196" i="8"/>
  <c r="CS97" i="8"/>
  <c r="CV179" i="6"/>
  <c r="CZ10" i="6"/>
  <c r="CZ122" i="6"/>
  <c r="CA17" i="7"/>
  <c r="BP176" i="6"/>
  <c r="BP177" i="6" s="1"/>
  <c r="BP132" i="6"/>
  <c r="BI68" i="6"/>
  <c r="DA105" i="2"/>
  <c r="DJ30" i="3"/>
  <c r="DJ20" i="3"/>
  <c r="DJ21" i="3"/>
  <c r="DB117" i="7"/>
  <c r="DB107" i="7"/>
  <c r="DB102" i="7"/>
  <c r="DB103" i="7" s="1"/>
  <c r="DB116" i="7"/>
  <c r="DB106" i="7"/>
  <c r="DB101" i="7" s="1"/>
  <c r="DB108" i="7"/>
  <c r="DB92" i="7"/>
  <c r="CT427" i="8"/>
  <c r="CN306" i="8"/>
  <c r="DA250" i="6"/>
  <c r="AB39" i="2"/>
  <c r="DC129" i="7"/>
  <c r="AM176" i="9"/>
  <c r="X130" i="7"/>
  <c r="X128" i="7"/>
  <c r="N128" i="7"/>
  <c r="CI244" i="6"/>
  <c r="DP327" i="6"/>
  <c r="DJ51" i="7"/>
  <c r="DF29" i="7"/>
  <c r="DF68" i="7"/>
  <c r="DF69" i="7"/>
  <c r="DL51" i="7"/>
  <c r="DM51" i="7" s="1"/>
  <c r="DE114" i="6"/>
  <c r="DE96" i="6"/>
  <c r="DE91" i="6"/>
  <c r="DE311" i="6"/>
  <c r="CE169" i="8"/>
  <c r="CF169" i="8"/>
  <c r="CG165" i="8"/>
  <c r="CG167" i="8"/>
  <c r="CX389" i="8"/>
  <c r="CY385" i="8"/>
  <c r="CY387" i="8"/>
  <c r="CX53" i="8"/>
  <c r="CG264" i="8"/>
  <c r="CG266" i="8"/>
  <c r="CE268" i="8"/>
  <c r="CF268" i="8"/>
  <c r="CY101" i="7"/>
  <c r="CY103" i="7" s="1"/>
  <c r="BY98" i="7"/>
  <c r="BY75" i="7" s="1"/>
  <c r="CE161" i="7"/>
  <c r="CE162" i="7"/>
  <c r="CI17" i="2"/>
  <c r="AR129" i="7"/>
  <c r="AR161" i="7"/>
  <c r="X162" i="7"/>
  <c r="X161" i="7"/>
  <c r="X25" i="7"/>
  <c r="X26" i="7"/>
  <c r="X207" i="7"/>
  <c r="AH25" i="7"/>
  <c r="AH26" i="7"/>
  <c r="CH108" i="7"/>
  <c r="AC161" i="7"/>
  <c r="AC162" i="7"/>
  <c r="AB82" i="5"/>
  <c r="AE82" i="5"/>
  <c r="CT105" i="2"/>
  <c r="BK248" i="6"/>
  <c r="Z207" i="9"/>
  <c r="Z171" i="9"/>
  <c r="BJ198" i="6"/>
  <c r="CP114" i="6"/>
  <c r="CP120" i="6"/>
  <c r="CP91" i="6"/>
  <c r="CP311" i="6"/>
  <c r="AK130" i="9"/>
  <c r="CU91" i="6"/>
  <c r="CB183" i="3"/>
  <c r="CB184" i="3" s="1"/>
  <c r="CB275" i="3" s="1"/>
  <c r="CB283" i="3" s="1"/>
  <c r="CB285" i="3" s="1"/>
  <c r="CB107" i="2"/>
  <c r="CB274" i="3"/>
  <c r="U207" i="9"/>
  <c r="CD236" i="6"/>
  <c r="BJ176" i="6"/>
  <c r="BJ177" i="6" s="1"/>
  <c r="BJ132" i="6"/>
  <c r="BJ139" i="6" s="1"/>
  <c r="W207" i="9"/>
  <c r="W171" i="9"/>
  <c r="BH207" i="6"/>
  <c r="BL159" i="6"/>
  <c r="BH160" i="6"/>
  <c r="CU120" i="6"/>
  <c r="CZ181" i="3"/>
  <c r="DJ33" i="3"/>
  <c r="DJ157" i="3"/>
  <c r="CF34" i="8"/>
  <c r="CK176" i="8"/>
  <c r="CK178" i="8"/>
  <c r="CT115" i="2"/>
  <c r="CF27" i="8"/>
  <c r="CK99" i="8"/>
  <c r="CK101" i="8"/>
  <c r="CK143" i="8"/>
  <c r="CK145" i="8"/>
  <c r="CF31" i="8"/>
  <c r="CN117" i="7"/>
  <c r="CN97" i="7"/>
  <c r="CS102" i="7"/>
  <c r="CS107" i="7"/>
  <c r="CK198" i="8"/>
  <c r="CK200" i="8"/>
  <c r="CF36" i="8"/>
  <c r="DD117" i="7"/>
  <c r="DD107" i="7"/>
  <c r="DD102" i="7" s="1"/>
  <c r="DC117" i="7"/>
  <c r="DH122" i="7" s="1"/>
  <c r="DC107" i="7"/>
  <c r="DE107" i="7" s="1"/>
  <c r="BQ101" i="7"/>
  <c r="BQ111" i="7"/>
  <c r="CK275" i="8"/>
  <c r="CK277" i="8"/>
  <c r="CF43" i="8"/>
  <c r="CV427" i="8"/>
  <c r="N26" i="9"/>
  <c r="CA262" i="3"/>
  <c r="CA263" i="3" s="1"/>
  <c r="CA282" i="3" s="1"/>
  <c r="CA155" i="7"/>
  <c r="CA21" i="7"/>
  <c r="CA18" i="7"/>
  <c r="CA169" i="7"/>
  <c r="CA158" i="7"/>
  <c r="CA159" i="7"/>
  <c r="CM174" i="8"/>
  <c r="AB54" i="5"/>
  <c r="CK87" i="7"/>
  <c r="CP87" i="7"/>
  <c r="CG110" i="8"/>
  <c r="CG112" i="8"/>
  <c r="CE114" i="8"/>
  <c r="CF114" i="8"/>
  <c r="CH165" i="6"/>
  <c r="CH166" i="6" s="1"/>
  <c r="CH182" i="6"/>
  <c r="CH269" i="6" s="1"/>
  <c r="CH161" i="6"/>
  <c r="CH114" i="6"/>
  <c r="CI106" i="7"/>
  <c r="BN259" i="3"/>
  <c r="BN197" i="7"/>
  <c r="BO259" i="3"/>
  <c r="BN215" i="7"/>
  <c r="CT130" i="8"/>
  <c r="CS136" i="8"/>
  <c r="CE143" i="8"/>
  <c r="CE145" i="8"/>
  <c r="CD147" i="8"/>
  <c r="CR210" i="3"/>
  <c r="CT197" i="3"/>
  <c r="CT210" i="3" s="1"/>
  <c r="CT113" i="7"/>
  <c r="CC114" i="6"/>
  <c r="CC165" i="6"/>
  <c r="CC166" i="6" s="1"/>
  <c r="DM383" i="8"/>
  <c r="CQ108" i="8"/>
  <c r="CQ159" i="6"/>
  <c r="CQ207" i="6" s="1"/>
  <c r="CZ407" i="8"/>
  <c r="CZ409" i="8"/>
  <c r="CU55" i="8"/>
  <c r="AL128" i="9"/>
  <c r="AG128" i="9"/>
  <c r="CO302" i="6"/>
  <c r="CT302" i="6"/>
  <c r="CA80" i="6"/>
  <c r="N109" i="9" s="1"/>
  <c r="CA132" i="6"/>
  <c r="CQ169" i="6"/>
  <c r="CW328" i="6"/>
  <c r="X13" i="9"/>
  <c r="CK11" i="7"/>
  <c r="BQ102" i="7"/>
  <c r="BQ103" i="7" s="1"/>
  <c r="CU149" i="7"/>
  <c r="DD75" i="8"/>
  <c r="CD92" i="8"/>
  <c r="CE88" i="8"/>
  <c r="CE90" i="8"/>
  <c r="DE187" i="8"/>
  <c r="DE189" i="8"/>
  <c r="CZ35" i="8"/>
  <c r="DS300" i="3"/>
  <c r="DS45" i="3"/>
  <c r="BW236" i="6"/>
  <c r="AB207" i="9"/>
  <c r="AB171" i="9"/>
  <c r="CX302" i="6"/>
  <c r="BO207" i="6"/>
  <c r="BO160" i="6"/>
  <c r="CB213" i="6"/>
  <c r="CB171" i="6"/>
  <c r="CJ160" i="2"/>
  <c r="CJ163" i="2" s="1"/>
  <c r="CA91" i="7"/>
  <c r="BW107" i="7"/>
  <c r="CA107" i="7"/>
  <c r="CE198" i="8"/>
  <c r="CE200" i="8"/>
  <c r="CD202" i="8"/>
  <c r="CU38" i="8"/>
  <c r="CZ220" i="8"/>
  <c r="CZ222" i="8"/>
  <c r="DB160" i="2"/>
  <c r="DB162" i="2" s="1"/>
  <c r="CQ117" i="7"/>
  <c r="CQ107" i="7"/>
  <c r="CY251" i="8"/>
  <c r="AR177" i="9"/>
  <c r="DG63" i="8"/>
  <c r="BP198" i="6"/>
  <c r="CZ144" i="2"/>
  <c r="AF57" i="7"/>
  <c r="CO273" i="8"/>
  <c r="CN152" i="8"/>
  <c r="J207" i="9"/>
  <c r="J171" i="9"/>
  <c r="DM321" i="6"/>
  <c r="CV249" i="6"/>
  <c r="CK180" i="6"/>
  <c r="DC361" i="8"/>
  <c r="DB121" i="7"/>
  <c r="DB96" i="7"/>
  <c r="DE63" i="6"/>
  <c r="CZ123" i="6"/>
  <c r="CV216" i="6"/>
  <c r="CZ179" i="6"/>
  <c r="CV180" i="6"/>
  <c r="CT97" i="8"/>
  <c r="CX185" i="8"/>
  <c r="CO405" i="8"/>
  <c r="CU165" i="8"/>
  <c r="CU167" i="8"/>
  <c r="CP33" i="8"/>
  <c r="BT198" i="6"/>
  <c r="AM28" i="7"/>
  <c r="AM27" i="7"/>
  <c r="AM29" i="7"/>
  <c r="CC10" i="2"/>
  <c r="BQ207" i="6"/>
  <c r="BN232" i="6"/>
  <c r="BZ207" i="6"/>
  <c r="CA159" i="6"/>
  <c r="BQ180" i="6"/>
  <c r="CK21" i="7"/>
  <c r="CK262" i="3"/>
  <c r="CK263" i="3" s="1"/>
  <c r="CK282" i="3" s="1"/>
  <c r="CK197" i="7"/>
  <c r="CI91" i="7"/>
  <c r="CU32" i="7"/>
  <c r="CP259" i="3"/>
  <c r="CP183" i="7"/>
  <c r="CP188" i="7" s="1"/>
  <c r="CP210" i="7" s="1"/>
  <c r="CQ259" i="3"/>
  <c r="CG290" i="8"/>
  <c r="CH286" i="8"/>
  <c r="CH288" i="8"/>
  <c r="CG44" i="8"/>
  <c r="CL295" i="8"/>
  <c r="DE319" i="8"/>
  <c r="DE321" i="8"/>
  <c r="CZ47" i="8"/>
  <c r="DO352" i="8"/>
  <c r="DO354" i="8"/>
  <c r="DJ50" i="8"/>
  <c r="DC374" i="8"/>
  <c r="DC376" i="8"/>
  <c r="DB52" i="8"/>
  <c r="DB378" i="8"/>
  <c r="CU197" i="3"/>
  <c r="CW49" i="2"/>
  <c r="AA327" i="3"/>
  <c r="Z327" i="3"/>
  <c r="AB327" i="3"/>
  <c r="AH327" i="3"/>
  <c r="Y327" i="3"/>
  <c r="DE90" i="7"/>
  <c r="DA96" i="7"/>
  <c r="CT101" i="7"/>
  <c r="CT103" i="7" s="1"/>
  <c r="DJ148" i="3"/>
  <c r="CY113" i="7"/>
  <c r="DB317" i="8"/>
  <c r="DF229" i="8"/>
  <c r="CO163" i="8"/>
  <c r="CL207" i="6"/>
  <c r="CY416" i="8"/>
  <c r="DF339" i="8"/>
  <c r="BR274" i="3"/>
  <c r="BR124" i="2"/>
  <c r="AC28" i="7"/>
  <c r="AH27" i="7"/>
  <c r="DC49" i="8"/>
  <c r="DD341" i="8"/>
  <c r="DD343" i="8"/>
  <c r="CU56" i="6"/>
  <c r="AG130" i="9"/>
  <c r="AL130" i="9"/>
  <c r="CA314" i="6"/>
  <c r="CL212" i="6"/>
  <c r="CJ176" i="6"/>
  <c r="CJ177" i="6" s="1"/>
  <c r="CJ132" i="6"/>
  <c r="CJ214" i="6"/>
  <c r="CJ235" i="6"/>
  <c r="BJ218" i="6"/>
  <c r="BJ282" i="6" s="1"/>
  <c r="DB327" i="6"/>
  <c r="DG321" i="6"/>
  <c r="CU324" i="6"/>
  <c r="CF168" i="7"/>
  <c r="CK154" i="7"/>
  <c r="CK142" i="7" s="1"/>
  <c r="BR107" i="7"/>
  <c r="BV97" i="7"/>
  <c r="BR98" i="7"/>
  <c r="BR75" i="7" s="1"/>
  <c r="CK121" i="8"/>
  <c r="CK123" i="8"/>
  <c r="CF29" i="8"/>
  <c r="DJ132" i="8"/>
  <c r="DJ134" i="8"/>
  <c r="DE30" i="8"/>
  <c r="CV40" i="8"/>
  <c r="CW242" i="8"/>
  <c r="CW244" i="8"/>
  <c r="CV246" i="8"/>
  <c r="CE301" i="8"/>
  <c r="CF301" i="8"/>
  <c r="CG297" i="8"/>
  <c r="CG299" i="8"/>
  <c r="DB50" i="8"/>
  <c r="DB356" i="8"/>
  <c r="DC352" i="8"/>
  <c r="DC354" i="8"/>
  <c r="DC179" i="7"/>
  <c r="DJ45" i="7"/>
  <c r="DE80" i="7"/>
  <c r="CU179" i="3"/>
  <c r="CU181" i="3" s="1"/>
  <c r="CU223" i="3"/>
  <c r="CK181" i="3"/>
  <c r="BW10" i="2"/>
  <c r="BW291" i="3" s="1"/>
  <c r="N127" i="9"/>
  <c r="CA222" i="6"/>
  <c r="CB249" i="6"/>
  <c r="CT170" i="6"/>
  <c r="CF79" i="8"/>
  <c r="CS30" i="8"/>
  <c r="CT132" i="8"/>
  <c r="DE209" i="8"/>
  <c r="DE211" i="8"/>
  <c r="CZ37" i="8"/>
  <c r="DJ242" i="8"/>
  <c r="DJ244" i="8"/>
  <c r="DE40" i="8"/>
  <c r="CK297" i="8"/>
  <c r="CK299" i="8"/>
  <c r="CF45" i="8"/>
  <c r="CP330" i="8"/>
  <c r="CP332" i="8"/>
  <c r="CK48" i="8"/>
  <c r="DO385" i="8"/>
  <c r="DO387" i="8"/>
  <c r="DJ53" i="8"/>
  <c r="CJ107" i="7"/>
  <c r="CJ102" i="7"/>
  <c r="CJ103" i="7"/>
  <c r="DN85" i="7"/>
  <c r="DP85" i="7" s="1"/>
  <c r="DM87" i="7"/>
  <c r="CW101" i="7"/>
  <c r="CW121" i="7"/>
  <c r="CW96" i="7"/>
  <c r="CW333" i="6"/>
  <c r="CX4" i="6"/>
  <c r="CV4" i="6"/>
  <c r="CZ654" i="6"/>
  <c r="CZ655" i="6" s="1"/>
  <c r="CW4" i="6"/>
  <c r="CZ20" i="6"/>
  <c r="CZ25" i="6"/>
  <c r="CY4" i="6"/>
  <c r="CZ15" i="6"/>
  <c r="CZ17" i="6"/>
  <c r="CZ189" i="3"/>
  <c r="CZ190" i="3" s="1"/>
  <c r="CZ55" i="6"/>
  <c r="CZ243" i="6"/>
  <c r="CZ41" i="6"/>
  <c r="CZ42" i="6"/>
  <c r="CZ143" i="6"/>
  <c r="CZ142" i="6"/>
  <c r="DE142" i="6"/>
  <c r="DL350" i="8"/>
  <c r="CT119" i="8"/>
  <c r="CT189" i="8"/>
  <c r="CV187" i="8"/>
  <c r="CV189" i="8"/>
  <c r="CA247" i="6"/>
  <c r="CA24" i="6"/>
  <c r="CA105" i="2"/>
  <c r="CA257" i="6"/>
  <c r="CA27" i="6"/>
  <c r="K189" i="9"/>
  <c r="K121" i="9"/>
  <c r="BH198" i="6"/>
  <c r="CE232" i="6"/>
  <c r="BV180" i="6"/>
  <c r="CG106" i="7"/>
  <c r="CG92" i="7"/>
  <c r="CK90" i="7"/>
  <c r="AC57" i="7"/>
  <c r="AH45" i="7"/>
  <c r="AH54" i="7" s="1"/>
  <c r="BM188" i="7"/>
  <c r="BM184" i="7"/>
  <c r="BM189" i="7" s="1"/>
  <c r="BM190" i="7" s="1"/>
  <c r="BM211" i="7" s="1"/>
  <c r="BT179" i="7"/>
  <c r="BT80" i="7"/>
  <c r="BT83" i="7"/>
  <c r="BT82" i="7"/>
  <c r="BU45" i="7"/>
  <c r="BU54" i="7" s="1"/>
  <c r="BU108" i="7"/>
  <c r="BU101" i="7"/>
  <c r="BU103" i="7" s="1"/>
  <c r="CP154" i="8"/>
  <c r="CP156" i="8"/>
  <c r="CK32" i="8"/>
  <c r="CT218" i="8"/>
  <c r="CS224" i="8"/>
  <c r="DO374" i="8"/>
  <c r="DO376" i="8"/>
  <c r="DJ52" i="8"/>
  <c r="DA97" i="7"/>
  <c r="DE144" i="2"/>
  <c r="DE174" i="7"/>
  <c r="DE34" i="6"/>
  <c r="DE256" i="6"/>
  <c r="DE301" i="6" s="1"/>
  <c r="DE242" i="6"/>
  <c r="CJ182" i="6"/>
  <c r="BI219" i="6"/>
  <c r="BI226" i="6" s="1"/>
  <c r="BI225" i="6"/>
  <c r="BI288" i="6"/>
  <c r="BI284" i="6"/>
  <c r="BI281" i="6"/>
  <c r="BI280" i="6"/>
  <c r="BR181" i="7"/>
  <c r="BR216" i="7"/>
  <c r="CG231" i="6"/>
  <c r="CG208" i="6"/>
  <c r="CG191" i="6" s="1"/>
  <c r="CT158" i="6"/>
  <c r="CZ27" i="6"/>
  <c r="BZ101" i="7"/>
  <c r="BZ103" i="7"/>
  <c r="DF394" i="8"/>
  <c r="AH130" i="7"/>
  <c r="AH162" i="7"/>
  <c r="CL86" i="8"/>
  <c r="CR141" i="8"/>
  <c r="AM23" i="9"/>
  <c r="CZ1" i="6"/>
  <c r="CZ40" i="2"/>
  <c r="AK54" i="5" s="1"/>
  <c r="AK53" i="5"/>
  <c r="BI286" i="6"/>
  <c r="S27" i="7"/>
  <c r="N27" i="7"/>
  <c r="N28" i="7"/>
  <c r="N29" i="7"/>
  <c r="CE158" i="8"/>
  <c r="CF158" i="8"/>
  <c r="CG154" i="8"/>
  <c r="CG156" i="8"/>
  <c r="CM160" i="2"/>
  <c r="CM162" i="2" s="1"/>
  <c r="CZ159" i="2"/>
  <c r="CZ297" i="6"/>
  <c r="CZ30" i="6"/>
  <c r="CW160" i="2"/>
  <c r="CW162" i="2" s="1"/>
  <c r="BN236" i="6"/>
  <c r="BN214" i="6"/>
  <c r="BS132" i="6"/>
  <c r="BS172" i="6"/>
  <c r="BS176" i="6"/>
  <c r="BS177" i="6" s="1"/>
  <c r="BS182" i="6"/>
  <c r="BS236" i="6"/>
  <c r="BS214" i="6"/>
  <c r="CH214" i="6"/>
  <c r="CH235" i="6"/>
  <c r="CH132" i="6"/>
  <c r="CH273" i="6"/>
  <c r="CH176" i="6"/>
  <c r="CH177" i="6" s="1"/>
  <c r="CO212" i="6"/>
  <c r="CO171" i="6"/>
  <c r="P207" i="9"/>
  <c r="P171" i="9"/>
  <c r="BR92" i="7"/>
  <c r="BL130" i="7"/>
  <c r="BL162" i="7"/>
  <c r="BL161" i="7"/>
  <c r="CV220" i="8"/>
  <c r="CV222" i="8"/>
  <c r="CT222" i="8"/>
  <c r="CT38" i="8"/>
  <c r="CM262" i="8"/>
  <c r="CD279" i="8"/>
  <c r="CE275" i="8"/>
  <c r="CE277" i="8"/>
  <c r="CO47" i="8"/>
  <c r="CO323" i="8"/>
  <c r="CP323" i="8"/>
  <c r="CY396" i="8"/>
  <c r="CY398" i="8"/>
  <c r="CX54" i="8"/>
  <c r="CX400" i="8"/>
  <c r="S216" i="3"/>
  <c r="BL241" i="3"/>
  <c r="BL249" i="3"/>
  <c r="AM165" i="3"/>
  <c r="AM179" i="3"/>
  <c r="AM181" i="3" s="1"/>
  <c r="AD128" i="9"/>
  <c r="AI128" i="9"/>
  <c r="BY248" i="6"/>
  <c r="CD250" i="6"/>
  <c r="L189" i="9"/>
  <c r="L207" i="9" s="1"/>
  <c r="L121" i="9"/>
  <c r="CK250" i="6"/>
  <c r="CT249" i="6"/>
  <c r="CR249" i="6"/>
  <c r="CW249" i="6"/>
  <c r="CG213" i="6"/>
  <c r="CG171" i="6"/>
  <c r="CP201" i="7"/>
  <c r="BS101" i="7"/>
  <c r="CA92" i="7"/>
  <c r="CA118" i="7" s="1"/>
  <c r="CA116" i="7"/>
  <c r="CE99" i="8"/>
  <c r="CE101" i="8"/>
  <c r="CD103" i="8"/>
  <c r="CP253" i="8"/>
  <c r="CP255" i="8"/>
  <c r="CK41" i="8"/>
  <c r="CP286" i="8"/>
  <c r="CP288" i="8"/>
  <c r="CK44" i="8"/>
  <c r="DB363" i="8"/>
  <c r="DB365" i="8"/>
  <c r="DA51" i="8"/>
  <c r="DE54" i="8"/>
  <c r="DJ396" i="8"/>
  <c r="DJ398" i="8"/>
  <c r="CG407" i="8"/>
  <c r="CG409" i="8"/>
  <c r="CE411" i="8"/>
  <c r="CF411" i="8"/>
  <c r="CK418" i="8"/>
  <c r="CK420" i="8"/>
  <c r="CF56" i="8"/>
  <c r="CE418" i="8"/>
  <c r="CE420" i="8"/>
  <c r="CD422" i="8"/>
  <c r="CA205" i="3"/>
  <c r="DJ206" i="3"/>
  <c r="DE207" i="3"/>
  <c r="DA206" i="3"/>
  <c r="CJ92" i="7"/>
  <c r="CJ108" i="7"/>
  <c r="CQ92" i="7"/>
  <c r="DD129" i="7"/>
  <c r="DD128" i="7" s="1"/>
  <c r="CO306" i="8"/>
  <c r="DB97" i="7"/>
  <c r="AH64" i="3"/>
  <c r="AH65" i="3"/>
  <c r="AH67" i="3"/>
  <c r="AC67" i="3"/>
  <c r="CN196" i="8"/>
  <c r="CN116" i="7"/>
  <c r="CN96" i="7"/>
  <c r="CN98" i="7" s="1"/>
  <c r="CN75" i="7" s="1"/>
  <c r="CN106" i="7"/>
  <c r="CN92" i="7"/>
  <c r="CN101" i="7"/>
  <c r="W69" i="9"/>
  <c r="DT231" i="8"/>
  <c r="DT233" i="8"/>
  <c r="DT39" i="8"/>
  <c r="DO39" i="8"/>
  <c r="CM328" i="8"/>
  <c r="DM207" i="8"/>
  <c r="CV106" i="7"/>
  <c r="AR13" i="9"/>
  <c r="DE11" i="7"/>
  <c r="CS116" i="7"/>
  <c r="CS106" i="7"/>
  <c r="DA108" i="7"/>
  <c r="CK235" i="6"/>
  <c r="CK195" i="6"/>
  <c r="DC240" i="8"/>
  <c r="CI48" i="8"/>
  <c r="CJ330" i="8"/>
  <c r="CJ332" i="8"/>
  <c r="CI334" i="8"/>
  <c r="E10" i="9"/>
  <c r="CG253" i="8"/>
  <c r="CG255" i="8"/>
  <c r="CE257" i="8"/>
  <c r="CF257" i="8"/>
  <c r="AH126" i="9"/>
  <c r="AB66" i="5"/>
  <c r="AE66" i="5"/>
  <c r="AH127" i="9"/>
  <c r="AH128" i="9"/>
  <c r="AE70" i="5"/>
  <c r="AB70" i="5"/>
  <c r="CU222" i="6"/>
  <c r="CW105" i="2"/>
  <c r="CZ63" i="6"/>
  <c r="CZ67" i="6" s="1"/>
  <c r="CZ65" i="6" s="1"/>
  <c r="AM129" i="9"/>
  <c r="CC236" i="6"/>
  <c r="CR169" i="6"/>
  <c r="CG98" i="7"/>
  <c r="CF89" i="8"/>
  <c r="CF90" i="8"/>
  <c r="CZ183" i="7"/>
  <c r="CZ188" i="7" s="1"/>
  <c r="CZ210" i="7" s="1"/>
  <c r="CZ197" i="7"/>
  <c r="CZ198" i="7"/>
  <c r="DE259" i="3"/>
  <c r="CR117" i="7"/>
  <c r="CR107" i="7"/>
  <c r="CR102" i="7"/>
  <c r="CR103" i="7"/>
  <c r="CO213" i="6"/>
  <c r="CO236" i="6" s="1"/>
  <c r="BM213" i="6"/>
  <c r="BQ170" i="6"/>
  <c r="BM171" i="6"/>
  <c r="CA45" i="7"/>
  <c r="CA54" i="7" s="1"/>
  <c r="BV80" i="7"/>
  <c r="BV83" i="7"/>
  <c r="BV179" i="7"/>
  <c r="BV57" i="7"/>
  <c r="BV82" i="7"/>
  <c r="DB53" i="8"/>
  <c r="DC385" i="8"/>
  <c r="DC387" i="8"/>
  <c r="DB389" i="8"/>
  <c r="DD116" i="7"/>
  <c r="DD92" i="7"/>
  <c r="DD106" i="7"/>
  <c r="CZ201" i="7"/>
  <c r="CE130" i="7"/>
  <c r="BB27" i="7"/>
  <c r="AW29" i="7"/>
  <c r="AW28" i="7"/>
  <c r="CC250" i="6"/>
  <c r="BX248" i="6"/>
  <c r="CR158" i="6"/>
  <c r="CG107" i="7"/>
  <c r="CG102" i="7"/>
  <c r="X259" i="3"/>
  <c r="X260" i="3" s="1"/>
  <c r="X197" i="7"/>
  <c r="X198" i="7"/>
  <c r="X200" i="7"/>
  <c r="X199" i="7"/>
  <c r="X201" i="7"/>
  <c r="X215" i="7"/>
  <c r="BS215" i="7"/>
  <c r="BS259" i="3"/>
  <c r="BS197" i="7"/>
  <c r="BS198" i="7"/>
  <c r="BS183" i="7"/>
  <c r="BS187" i="7"/>
  <c r="CS209" i="8"/>
  <c r="CS211" i="8"/>
  <c r="CR37" i="8"/>
  <c r="CR213" i="8"/>
  <c r="CY341" i="8"/>
  <c r="CY343" i="8"/>
  <c r="CX49" i="8"/>
  <c r="CX345" i="8"/>
  <c r="DE180" i="6"/>
  <c r="DG216" i="6"/>
  <c r="DC116" i="7"/>
  <c r="DC106" i="7"/>
  <c r="DC108" i="7" s="1"/>
  <c r="DC92" i="7"/>
  <c r="CT97" i="7"/>
  <c r="CT98" i="7" s="1"/>
  <c r="AT85" i="5"/>
  <c r="AN85" i="5"/>
  <c r="AR85" i="5"/>
  <c r="AP85" i="5"/>
  <c r="CS231" i="6"/>
  <c r="CN231" i="6"/>
  <c r="E8" i="9"/>
  <c r="E73" i="9"/>
  <c r="E56" i="9" s="1"/>
  <c r="CG114" i="6"/>
  <c r="CG165" i="6"/>
  <c r="CG166" i="6" s="1"/>
  <c r="CG182" i="6"/>
  <c r="CO206" i="6"/>
  <c r="BN172" i="6"/>
  <c r="BN132" i="6"/>
  <c r="BN176" i="6"/>
  <c r="BN177" i="6" s="1"/>
  <c r="CY122" i="7"/>
  <c r="BZ129" i="7"/>
  <c r="BZ171" i="7"/>
  <c r="BZ113" i="7"/>
  <c r="DH372" i="8"/>
  <c r="BY191" i="6"/>
  <c r="BU139" i="6"/>
  <c r="BX128" i="7"/>
  <c r="BX130" i="7"/>
  <c r="CZ38" i="2"/>
  <c r="BZ236" i="6"/>
  <c r="BZ214" i="6"/>
  <c r="BZ172" i="6"/>
  <c r="BZ132" i="6"/>
  <c r="BZ139" i="6" s="1"/>
  <c r="BZ176" i="6"/>
  <c r="BZ177" i="6" s="1"/>
  <c r="U130" i="9"/>
  <c r="CX378" i="8"/>
  <c r="CY374" i="8"/>
  <c r="CY376" i="8"/>
  <c r="CX52" i="8"/>
  <c r="BQ58" i="6"/>
  <c r="BQ61" i="6"/>
  <c r="BQ224" i="6" s="1"/>
  <c r="CA61" i="6"/>
  <c r="CA224" i="6" s="1"/>
  <c r="CA58" i="6"/>
  <c r="AE130" i="9"/>
  <c r="AJ130" i="9"/>
  <c r="CR302" i="6"/>
  <c r="CM149" i="2"/>
  <c r="CM71" i="6" s="1"/>
  <c r="Z122" i="9" s="1"/>
  <c r="BW171" i="6"/>
  <c r="BW212" i="6"/>
  <c r="BY235" i="6"/>
  <c r="CT169" i="6"/>
  <c r="R171" i="9"/>
  <c r="R207" i="9"/>
  <c r="T45" i="7"/>
  <c r="T54" i="7" s="1"/>
  <c r="R57" i="7"/>
  <c r="BO108" i="7"/>
  <c r="BO101" i="7"/>
  <c r="BV106" i="7"/>
  <c r="CC113" i="7"/>
  <c r="CC129" i="7"/>
  <c r="CC161" i="7"/>
  <c r="CC162" i="7" s="1"/>
  <c r="CC171" i="7"/>
  <c r="CH171" i="7"/>
  <c r="BM113" i="7"/>
  <c r="CE121" i="8"/>
  <c r="CE123" i="8"/>
  <c r="CD125" i="8"/>
  <c r="CE176" i="8"/>
  <c r="CE178" i="8"/>
  <c r="CD180" i="8"/>
  <c r="CV39" i="8"/>
  <c r="CV235" i="8"/>
  <c r="CW231" i="8"/>
  <c r="CW233" i="8"/>
  <c r="CK264" i="8"/>
  <c r="CK266" i="8"/>
  <c r="CF42" i="8"/>
  <c r="CM284" i="8"/>
  <c r="CG308" i="8"/>
  <c r="CG310" i="8"/>
  <c r="CE312" i="8"/>
  <c r="CF312" i="8"/>
  <c r="CR319" i="8"/>
  <c r="CR321" i="8"/>
  <c r="CQ47" i="8"/>
  <c r="CQ323" i="8"/>
  <c r="CY352" i="8"/>
  <c r="CY354" i="8"/>
  <c r="CX50" i="8"/>
  <c r="CX356" i="8"/>
  <c r="DA259" i="3"/>
  <c r="DB302" i="6"/>
  <c r="CR96" i="7"/>
  <c r="J128" i="9"/>
  <c r="O128" i="9"/>
  <c r="O171" i="9"/>
  <c r="O207" i="9"/>
  <c r="CK242" i="6"/>
  <c r="CK63" i="6"/>
  <c r="CK67" i="6" s="1"/>
  <c r="CK256" i="6"/>
  <c r="CK34" i="6"/>
  <c r="CN302" i="6"/>
  <c r="AD130" i="9"/>
  <c r="AI130" i="9"/>
  <c r="CI207" i="6"/>
  <c r="CI160" i="6"/>
  <c r="CK159" i="6"/>
  <c r="CK160" i="6" s="1"/>
  <c r="CN159" i="6"/>
  <c r="CS113" i="6"/>
  <c r="CS159" i="6" s="1"/>
  <c r="BY213" i="6"/>
  <c r="CQ131" i="6"/>
  <c r="CL170" i="6"/>
  <c r="CY324" i="6"/>
  <c r="DD321" i="6"/>
  <c r="DE321" i="6" s="1"/>
  <c r="DE322" i="6" s="1"/>
  <c r="CY327" i="6"/>
  <c r="CY328" i="6" s="1"/>
  <c r="BW92" i="7"/>
  <c r="CA106" i="7"/>
  <c r="BW108" i="7"/>
  <c r="CF91" i="7"/>
  <c r="CB107" i="7"/>
  <c r="CB92" i="7"/>
  <c r="CA96" i="7"/>
  <c r="CD429" i="8"/>
  <c r="CD431" i="8" s="1"/>
  <c r="CD79" i="8"/>
  <c r="CD81" i="8"/>
  <c r="CP308" i="8"/>
  <c r="CP310" i="8"/>
  <c r="CK46" i="8"/>
  <c r="DE51" i="8"/>
  <c r="DJ363" i="8"/>
  <c r="DJ365" i="8"/>
  <c r="CY363" i="8"/>
  <c r="CY365" i="8"/>
  <c r="CX51" i="8"/>
  <c r="CX367" i="8"/>
  <c r="DA54" i="8"/>
  <c r="DB396" i="8"/>
  <c r="DB398" i="8"/>
  <c r="DA400" i="8"/>
  <c r="DR45" i="3"/>
  <c r="DR300" i="3"/>
  <c r="CW206" i="3"/>
  <c r="CV204" i="3"/>
  <c r="CV205" i="3" s="1"/>
  <c r="CZ215" i="7"/>
  <c r="CU90" i="7"/>
  <c r="CU116" i="7" s="1"/>
  <c r="CQ96" i="7"/>
  <c r="CU96" i="7" s="1"/>
  <c r="CP110" i="8"/>
  <c r="CP112" i="8"/>
  <c r="CK28" i="8"/>
  <c r="DF313" i="6"/>
  <c r="DE82" i="6"/>
  <c r="DE101" i="6"/>
  <c r="CG268" i="8"/>
  <c r="CG42" i="8"/>
  <c r="CH264" i="8"/>
  <c r="CH266" i="8"/>
  <c r="CY53" i="8"/>
  <c r="CY389" i="8"/>
  <c r="CZ389" i="8"/>
  <c r="CG169" i="8"/>
  <c r="CH165" i="8"/>
  <c r="CH167" i="8"/>
  <c r="CG33" i="8"/>
  <c r="CT75" i="7"/>
  <c r="DB98" i="7"/>
  <c r="DB75" i="7" s="1"/>
  <c r="CH113" i="7"/>
  <c r="CH129" i="7"/>
  <c r="X28" i="7"/>
  <c r="X27" i="7"/>
  <c r="X29" i="7"/>
  <c r="DC101" i="7"/>
  <c r="AH29" i="7"/>
  <c r="AH28" i="7"/>
  <c r="AR162" i="7"/>
  <c r="AR130" i="7"/>
  <c r="AR128" i="7"/>
  <c r="BH182" i="6"/>
  <c r="BM161" i="6"/>
  <c r="BH165" i="6"/>
  <c r="BH166" i="6" s="1"/>
  <c r="BH114" i="6"/>
  <c r="BM120" i="6" s="1"/>
  <c r="BL207" i="6"/>
  <c r="BH208" i="6"/>
  <c r="AH176" i="9"/>
  <c r="AH108" i="9"/>
  <c r="CQ313" i="6"/>
  <c r="CP312" i="6"/>
  <c r="CU312" i="6"/>
  <c r="AC108" i="9"/>
  <c r="AC176" i="9"/>
  <c r="CM163" i="2"/>
  <c r="DK157" i="3"/>
  <c r="DJ24" i="3"/>
  <c r="CP28" i="8"/>
  <c r="CU110" i="8"/>
  <c r="CU112" i="8"/>
  <c r="CW204" i="3"/>
  <c r="CW209" i="3" s="1"/>
  <c r="CX206" i="3"/>
  <c r="DO363" i="8"/>
  <c r="DO365" i="8"/>
  <c r="DJ51" i="8"/>
  <c r="CF107" i="7"/>
  <c r="CB108" i="7"/>
  <c r="CF117" i="7"/>
  <c r="CA111" i="7"/>
  <c r="N17" i="9" s="1"/>
  <c r="CY333" i="6"/>
  <c r="CY325" i="6"/>
  <c r="CZ324" i="6"/>
  <c r="CZ325" i="6" s="1"/>
  <c r="CQ170" i="6"/>
  <c r="BY236" i="6"/>
  <c r="CN207" i="6"/>
  <c r="CN160" i="6"/>
  <c r="CI232" i="6"/>
  <c r="CI208" i="6"/>
  <c r="CK207" i="6"/>
  <c r="CP38" i="6"/>
  <c r="J74" i="5"/>
  <c r="CK145" i="2"/>
  <c r="CK36" i="6"/>
  <c r="CK29" i="6"/>
  <c r="I74" i="5"/>
  <c r="CK50" i="6"/>
  <c r="CK245" i="6"/>
  <c r="CZ356" i="8"/>
  <c r="CY356" i="8"/>
  <c r="CY50" i="8"/>
  <c r="CN284" i="8"/>
  <c r="CW39" i="8"/>
  <c r="CX231" i="8"/>
  <c r="CX233" i="8"/>
  <c r="CW235" i="8"/>
  <c r="CE180" i="8"/>
  <c r="CF180" i="8"/>
  <c r="CG176" i="8"/>
  <c r="CG178" i="8"/>
  <c r="CE125" i="8"/>
  <c r="CG121" i="8"/>
  <c r="CG123" i="8"/>
  <c r="BV111" i="7"/>
  <c r="I17" i="9"/>
  <c r="CT212" i="6"/>
  <c r="CT171" i="6"/>
  <c r="BY214" i="6"/>
  <c r="BW132" i="6"/>
  <c r="BW176" i="6"/>
  <c r="BW177" i="6"/>
  <c r="BW182" i="6"/>
  <c r="CY52" i="8"/>
  <c r="CY378" i="8"/>
  <c r="CZ378" i="8"/>
  <c r="BZ198" i="6"/>
  <c r="DI372" i="8"/>
  <c r="BZ130" i="7"/>
  <c r="BZ128" i="7"/>
  <c r="CG183" i="6"/>
  <c r="CG275" i="6"/>
  <c r="CG271" i="6"/>
  <c r="CG268" i="6"/>
  <c r="CG267" i="6"/>
  <c r="DC96" i="7"/>
  <c r="CX22" i="8"/>
  <c r="CY49" i="8"/>
  <c r="CY345" i="8"/>
  <c r="CR206" i="6"/>
  <c r="CR160" i="6"/>
  <c r="CE172" i="7"/>
  <c r="DC53" i="8"/>
  <c r="DC389" i="8"/>
  <c r="DD385" i="8"/>
  <c r="DD387" i="8"/>
  <c r="BM172" i="6"/>
  <c r="BM132" i="6"/>
  <c r="BM182" i="6"/>
  <c r="BM176" i="6"/>
  <c r="BM177" i="6"/>
  <c r="BQ213" i="6"/>
  <c r="BM236" i="6"/>
  <c r="BM214" i="6"/>
  <c r="CR97" i="7"/>
  <c r="CR171" i="6"/>
  <c r="CR212" i="6"/>
  <c r="CZ68" i="6"/>
  <c r="CG257" i="8"/>
  <c r="CG41" i="8"/>
  <c r="CH253" i="8"/>
  <c r="CH255" i="8"/>
  <c r="CJ48" i="8"/>
  <c r="CL330" i="8"/>
  <c r="CL332" i="8"/>
  <c r="CJ334" i="8"/>
  <c r="CK334" i="8"/>
  <c r="X117" i="9"/>
  <c r="X185" i="9"/>
  <c r="DA113" i="7"/>
  <c r="DA161" i="7"/>
  <c r="DA162" i="7" s="1"/>
  <c r="DA109" i="7"/>
  <c r="CN328" i="8"/>
  <c r="CO196" i="8"/>
  <c r="DO396" i="8"/>
  <c r="DO398" i="8"/>
  <c r="DJ54" i="8"/>
  <c r="CG176" i="6"/>
  <c r="CG177" i="6" s="1"/>
  <c r="CG132" i="6"/>
  <c r="CG273" i="6"/>
  <c r="CR108" i="7"/>
  <c r="CG275" i="8"/>
  <c r="CG277" i="8"/>
  <c r="CE279" i="8"/>
  <c r="BV101" i="7"/>
  <c r="BN198" i="6"/>
  <c r="CH154" i="8"/>
  <c r="CH156" i="8"/>
  <c r="CG32" i="8"/>
  <c r="CG158" i="8"/>
  <c r="DG394" i="8"/>
  <c r="BR206" i="7"/>
  <c r="CJ183" i="6"/>
  <c r="CJ275" i="6"/>
  <c r="CJ267" i="6"/>
  <c r="CJ272" i="6"/>
  <c r="CJ268" i="6"/>
  <c r="CJ269" i="6"/>
  <c r="CJ271" i="6"/>
  <c r="DE145" i="2"/>
  <c r="DJ38" i="6"/>
  <c r="DE29" i="6"/>
  <c r="DE36" i="6"/>
  <c r="DE50" i="6"/>
  <c r="DT374" i="8"/>
  <c r="DT376" i="8"/>
  <c r="DT52" i="8"/>
  <c r="DO52" i="8"/>
  <c r="CU154" i="8"/>
  <c r="CU156" i="8"/>
  <c r="CP32" i="8"/>
  <c r="BU179" i="7"/>
  <c r="BU80" i="7"/>
  <c r="BU83" i="7"/>
  <c r="BU82" i="7"/>
  <c r="BW45" i="7"/>
  <c r="BW54" i="7" s="1"/>
  <c r="BT183" i="7"/>
  <c r="BT187" i="7"/>
  <c r="BT197" i="7"/>
  <c r="BT259" i="3"/>
  <c r="BT198" i="7"/>
  <c r="BT215" i="7"/>
  <c r="CG108" i="7"/>
  <c r="CK106" i="7"/>
  <c r="CA248" i="6"/>
  <c r="CF250" i="6"/>
  <c r="CA250" i="6"/>
  <c r="CT35" i="8"/>
  <c r="CT191" i="8"/>
  <c r="CU191" i="8"/>
  <c r="CV119" i="8"/>
  <c r="CZ43" i="6"/>
  <c r="CT134" i="8"/>
  <c r="CT30" i="8"/>
  <c r="CV132" i="8"/>
  <c r="CV134" i="8"/>
  <c r="CK77" i="8"/>
  <c r="CK79" i="8"/>
  <c r="CF25" i="8"/>
  <c r="DD352" i="8"/>
  <c r="DD354" i="8"/>
  <c r="DC50" i="8"/>
  <c r="DC356" i="8"/>
  <c r="CX242" i="8"/>
  <c r="CX244" i="8"/>
  <c r="CW40" i="8"/>
  <c r="CW246" i="8"/>
  <c r="BW75" i="7"/>
  <c r="DL321" i="6"/>
  <c r="DG327" i="6"/>
  <c r="CJ198" i="6"/>
  <c r="CJ218" i="6"/>
  <c r="CJ286" i="6" s="1"/>
  <c r="CJ290" i="6" s="1"/>
  <c r="DF341" i="8"/>
  <c r="DF343" i="8"/>
  <c r="DD49" i="8"/>
  <c r="DG339" i="8"/>
  <c r="DF345" i="8"/>
  <c r="CL232" i="6"/>
  <c r="AE327" i="3"/>
  <c r="AG327" i="3"/>
  <c r="AM327" i="3"/>
  <c r="AF327" i="3"/>
  <c r="AD327" i="3"/>
  <c r="DD374" i="8"/>
  <c r="DD376" i="8"/>
  <c r="DC52" i="8"/>
  <c r="DC378" i="8"/>
  <c r="CZ345" i="8"/>
  <c r="DE47" i="8"/>
  <c r="DJ319" i="8"/>
  <c r="DJ321" i="8"/>
  <c r="CM295" i="8"/>
  <c r="CI286" i="8"/>
  <c r="CI288" i="8"/>
  <c r="CH44" i="8"/>
  <c r="CH290" i="8"/>
  <c r="CI107" i="7"/>
  <c r="CK107" i="7"/>
  <c r="CI102" i="7"/>
  <c r="CZ165" i="8"/>
  <c r="CZ167" i="8"/>
  <c r="CU33" i="8"/>
  <c r="S128" i="9"/>
  <c r="CQ405" i="8"/>
  <c r="CY185" i="8"/>
  <c r="CZ180" i="6"/>
  <c r="DD361" i="8"/>
  <c r="DH63" i="8"/>
  <c r="DI63" i="8"/>
  <c r="DA251" i="8"/>
  <c r="CU107" i="7"/>
  <c r="CQ102" i="7"/>
  <c r="CQ103" i="7" s="1"/>
  <c r="CE202" i="8"/>
  <c r="CF202" i="8"/>
  <c r="CG198" i="8"/>
  <c r="CG200" i="8"/>
  <c r="CA117" i="7"/>
  <c r="CA102" i="7"/>
  <c r="CB132" i="6"/>
  <c r="CB139" i="6" s="1"/>
  <c r="CB172" i="6"/>
  <c r="CB176" i="6"/>
  <c r="CB177" i="6" s="1"/>
  <c r="CB236" i="6"/>
  <c r="BO114" i="6"/>
  <c r="BO165" i="6"/>
  <c r="BO166" i="6"/>
  <c r="DJ187" i="8"/>
  <c r="DJ189" i="8"/>
  <c r="DE35" i="8"/>
  <c r="DF75" i="8"/>
  <c r="CZ327" i="6"/>
  <c r="CQ212" i="6"/>
  <c r="DE407" i="8"/>
  <c r="DE409" i="8"/>
  <c r="CZ55" i="8"/>
  <c r="CG143" i="8"/>
  <c r="CG145" i="8"/>
  <c r="CE147" i="8"/>
  <c r="CV130" i="8"/>
  <c r="CT136" i="8"/>
  <c r="CU136" i="8"/>
  <c r="CI108" i="7"/>
  <c r="CI92" i="7"/>
  <c r="CG28" i="8"/>
  <c r="CH110" i="8"/>
  <c r="CH112" i="8"/>
  <c r="CG114" i="8"/>
  <c r="CN174" i="8"/>
  <c r="CW427" i="8"/>
  <c r="DD122" i="7"/>
  <c r="DD97" i="7"/>
  <c r="CP198" i="8"/>
  <c r="CP200" i="8"/>
  <c r="CK36" i="8"/>
  <c r="CP143" i="8"/>
  <c r="CP145" i="8"/>
  <c r="CK31" i="8"/>
  <c r="CP176" i="8"/>
  <c r="CP178" i="8"/>
  <c r="CK34" i="8"/>
  <c r="CQ108" i="7"/>
  <c r="DC396" i="8"/>
  <c r="DC398" i="8"/>
  <c r="DB54" i="8"/>
  <c r="DB400" i="8"/>
  <c r="CY51" i="8"/>
  <c r="CY367" i="8"/>
  <c r="CZ367" i="8"/>
  <c r="CU308" i="8"/>
  <c r="CU310" i="8"/>
  <c r="CP46" i="8"/>
  <c r="CE77" i="8"/>
  <c r="CB102" i="7"/>
  <c r="CB103" i="7" s="1"/>
  <c r="BW129" i="7"/>
  <c r="BW161" i="7"/>
  <c r="BW162" i="7"/>
  <c r="BW113" i="7"/>
  <c r="DD327" i="6"/>
  <c r="CK65" i="6"/>
  <c r="CR98" i="7"/>
  <c r="CR75" i="7"/>
  <c r="CS319" i="8"/>
  <c r="CS321" i="8"/>
  <c r="CR323" i="8"/>
  <c r="CR47" i="8"/>
  <c r="CH308" i="8"/>
  <c r="CH310" i="8"/>
  <c r="CG46" i="8"/>
  <c r="CG312" i="8"/>
  <c r="CP264" i="8"/>
  <c r="CP266" i="8"/>
  <c r="CK42" i="8"/>
  <c r="CF125" i="8"/>
  <c r="BM161" i="7"/>
  <c r="BM162" i="7" s="1"/>
  <c r="CC130" i="7"/>
  <c r="CC172" i="7"/>
  <c r="CC128" i="7"/>
  <c r="BR108" i="7"/>
  <c r="BO129" i="7"/>
  <c r="BW235" i="6"/>
  <c r="BW214" i="6"/>
  <c r="K19" i="9"/>
  <c r="K84" i="9" s="1"/>
  <c r="BZ161" i="7"/>
  <c r="BZ162" i="7"/>
  <c r="CG269" i="6"/>
  <c r="DJ13" i="6"/>
  <c r="CS37" i="8"/>
  <c r="CT209" i="8"/>
  <c r="CS213" i="8"/>
  <c r="CK91" i="7"/>
  <c r="CC249" i="6"/>
  <c r="R19" i="9"/>
  <c r="R84" i="9" s="1"/>
  <c r="CE131" i="7"/>
  <c r="DD121" i="7"/>
  <c r="DD96" i="7"/>
  <c r="DD98" i="7" s="1"/>
  <c r="DD75" i="7" s="1"/>
  <c r="BV259" i="3"/>
  <c r="BV200" i="7"/>
  <c r="BV183" i="7"/>
  <c r="BV197" i="7"/>
  <c r="BV198" i="7"/>
  <c r="BV215" i="7"/>
  <c r="CK88" i="8"/>
  <c r="CK90" i="8"/>
  <c r="CF26" i="8"/>
  <c r="CG75" i="7"/>
  <c r="DD240" i="8"/>
  <c r="CS121" i="7"/>
  <c r="CS96" i="7"/>
  <c r="DN207" i="8"/>
  <c r="CQ306" i="8"/>
  <c r="CJ129" i="7"/>
  <c r="CJ161" i="7" s="1"/>
  <c r="CJ162" i="7" s="1"/>
  <c r="CJ113" i="7"/>
  <c r="CJ171" i="7"/>
  <c r="DB206" i="3"/>
  <c r="DA204" i="3"/>
  <c r="DJ207" i="3"/>
  <c r="DF206" i="3"/>
  <c r="DO206" i="3"/>
  <c r="CG418" i="8"/>
  <c r="CG420" i="8"/>
  <c r="CE422" i="8"/>
  <c r="CF422" i="8"/>
  <c r="CK56" i="8"/>
  <c r="CP418" i="8"/>
  <c r="CP420" i="8"/>
  <c r="CH407" i="8"/>
  <c r="CH409" i="8"/>
  <c r="CG55" i="8"/>
  <c r="CG411" i="8"/>
  <c r="DC363" i="8"/>
  <c r="DC365" i="8"/>
  <c r="DB51" i="8"/>
  <c r="CU286" i="8"/>
  <c r="CU288" i="8"/>
  <c r="CP44" i="8"/>
  <c r="CU253" i="8"/>
  <c r="CU255" i="8"/>
  <c r="CP41" i="8"/>
  <c r="CE103" i="8"/>
  <c r="CF103" i="8"/>
  <c r="CG99" i="8"/>
  <c r="CG101" i="8"/>
  <c r="CA121" i="7"/>
  <c r="CG272" i="6"/>
  <c r="CG236" i="6"/>
  <c r="CG214" i="6"/>
  <c r="L171" i="9"/>
  <c r="CD249" i="6"/>
  <c r="CY400" i="8"/>
  <c r="CZ400" i="8"/>
  <c r="CY54" i="8"/>
  <c r="CF279" i="8"/>
  <c r="CN262" i="8"/>
  <c r="CV38" i="8"/>
  <c r="CW220" i="8"/>
  <c r="CW222" i="8"/>
  <c r="CO214" i="6"/>
  <c r="CO235" i="6"/>
  <c r="CH198" i="6"/>
  <c r="BS198" i="6"/>
  <c r="BS267" i="6"/>
  <c r="BS268" i="6"/>
  <c r="BS271" i="6"/>
  <c r="BS183" i="6"/>
  <c r="BS272" i="6"/>
  <c r="BS275" i="6"/>
  <c r="CZ296" i="6"/>
  <c r="CS141" i="8"/>
  <c r="CM86" i="8"/>
  <c r="CT206" i="6"/>
  <c r="CT224" i="8"/>
  <c r="CU224" i="8"/>
  <c r="CV218" i="8"/>
  <c r="BU113" i="7"/>
  <c r="BU171" i="7"/>
  <c r="BU129" i="7"/>
  <c r="BU161" i="7" s="1"/>
  <c r="BU162" i="7" s="1"/>
  <c r="BM210" i="7"/>
  <c r="CK116" i="7"/>
  <c r="CK101" i="7"/>
  <c r="CG101" i="7"/>
  <c r="CG103" i="7"/>
  <c r="K171" i="9"/>
  <c r="K207" i="9"/>
  <c r="CA256" i="6"/>
  <c r="CA242" i="6"/>
  <c r="CA245" i="6" s="1"/>
  <c r="CA25" i="6"/>
  <c r="CA63" i="6"/>
  <c r="CA67" i="6" s="1"/>
  <c r="CA34" i="6"/>
  <c r="CV35" i="8"/>
  <c r="CW187" i="8"/>
  <c r="CW189" i="8"/>
  <c r="CV191" i="8"/>
  <c r="DM350" i="8"/>
  <c r="CZ56" i="6"/>
  <c r="CZ58" i="6"/>
  <c r="CZ61" i="6"/>
  <c r="CZ224" i="6" s="1"/>
  <c r="AK66" i="5"/>
  <c r="AM126" i="9"/>
  <c r="AM127" i="9"/>
  <c r="AK70" i="5"/>
  <c r="CZ222" i="6"/>
  <c r="DT385" i="8"/>
  <c r="DT387" i="8"/>
  <c r="DT53" i="8"/>
  <c r="DO53" i="8"/>
  <c r="CU330" i="8"/>
  <c r="CU332" i="8"/>
  <c r="CP48" i="8"/>
  <c r="CP297" i="8"/>
  <c r="CP299" i="8"/>
  <c r="CK45" i="8"/>
  <c r="DO242" i="8"/>
  <c r="DO244" i="8"/>
  <c r="DJ40" i="8"/>
  <c r="DJ209" i="8"/>
  <c r="DJ211" i="8"/>
  <c r="DE37" i="8"/>
  <c r="DC198" i="7"/>
  <c r="DC183" i="7"/>
  <c r="DC188" i="7" s="1"/>
  <c r="DC210" i="7" s="1"/>
  <c r="DC201" i="7"/>
  <c r="DC197" i="7"/>
  <c r="DC200" i="7"/>
  <c r="DC215" i="7"/>
  <c r="CH297" i="8"/>
  <c r="CH299" i="8"/>
  <c r="CG45" i="8"/>
  <c r="CG301" i="8"/>
  <c r="DJ30" i="8"/>
  <c r="DO132" i="8"/>
  <c r="DO134" i="8"/>
  <c r="CP121" i="8"/>
  <c r="CP123" i="8"/>
  <c r="CK29" i="8"/>
  <c r="BR102" i="7"/>
  <c r="BR103" i="7" s="1"/>
  <c r="DB328" i="6"/>
  <c r="BJ288" i="6"/>
  <c r="BJ284" i="6"/>
  <c r="BJ285" i="6"/>
  <c r="BJ281" i="6"/>
  <c r="BJ286" i="6"/>
  <c r="BJ280" i="6"/>
  <c r="CJ273" i="6"/>
  <c r="CJ277" i="6" s="1"/>
  <c r="CL235" i="6"/>
  <c r="CL171" i="6"/>
  <c r="CA315" i="6"/>
  <c r="DD345" i="8"/>
  <c r="DE345" i="8"/>
  <c r="DA416" i="8"/>
  <c r="CQ163" i="8"/>
  <c r="DG229" i="8"/>
  <c r="DC317" i="8"/>
  <c r="DA98" i="7"/>
  <c r="DA75" i="7" s="1"/>
  <c r="DE96" i="7"/>
  <c r="CU196" i="3"/>
  <c r="DT352" i="8"/>
  <c r="DT354" i="8"/>
  <c r="DT50" i="8"/>
  <c r="DO50" i="8"/>
  <c r="CK198" i="7"/>
  <c r="CK22" i="7"/>
  <c r="BZ232" i="6"/>
  <c r="BQ190" i="6"/>
  <c r="CV97" i="8"/>
  <c r="DB367" i="8"/>
  <c r="DM327" i="6"/>
  <c r="DR321" i="6"/>
  <c r="CO152" i="8"/>
  <c r="CQ273" i="8"/>
  <c r="CQ97" i="7"/>
  <c r="DE220" i="8"/>
  <c r="DE222" i="8"/>
  <c r="CZ38" i="8"/>
  <c r="CA112" i="7"/>
  <c r="N18" i="9"/>
  <c r="BW102" i="7"/>
  <c r="BW103" i="7" s="1"/>
  <c r="BO232" i="6"/>
  <c r="BO208" i="6"/>
  <c r="CG88" i="8"/>
  <c r="CG90" i="8"/>
  <c r="CE92" i="8"/>
  <c r="CF92" i="8"/>
  <c r="CA139" i="6"/>
  <c r="CR108" i="8"/>
  <c r="DN383" i="8"/>
  <c r="CF147" i="8"/>
  <c r="CI101" i="7"/>
  <c r="CI103" i="7"/>
  <c r="CH120" i="6"/>
  <c r="CH272" i="6"/>
  <c r="CH183" i="6"/>
  <c r="CH268" i="6"/>
  <c r="CH271" i="6"/>
  <c r="CH275" i="6"/>
  <c r="CH267" i="6"/>
  <c r="CA256" i="3"/>
  <c r="CA257" i="3" s="1"/>
  <c r="CA271" i="3"/>
  <c r="CA272" i="3" s="1"/>
  <c r="CP275" i="8"/>
  <c r="CP277" i="8"/>
  <c r="CK43" i="8"/>
  <c r="DC97" i="7"/>
  <c r="DE97" i="7" s="1"/>
  <c r="DE98" i="7" s="1"/>
  <c r="CP99" i="8"/>
  <c r="CP101" i="8"/>
  <c r="CK27" i="8"/>
  <c r="CT106" i="2"/>
  <c r="DF160" i="3"/>
  <c r="CH169" i="8"/>
  <c r="CI165" i="8"/>
  <c r="CI167" i="8"/>
  <c r="CH33" i="8"/>
  <c r="CH42" i="8"/>
  <c r="CI264" i="8"/>
  <c r="CI266" i="8"/>
  <c r="CH268" i="8"/>
  <c r="CK112" i="7"/>
  <c r="X18" i="9" s="1"/>
  <c r="AW131" i="7"/>
  <c r="CH128" i="7"/>
  <c r="CH130" i="7"/>
  <c r="U19" i="9"/>
  <c r="U84" i="9" s="1"/>
  <c r="AX21" i="5"/>
  <c r="BL190" i="6"/>
  <c r="BH191" i="6"/>
  <c r="BH218" i="6"/>
  <c r="DL157" i="3"/>
  <c r="DM157" i="3" s="1"/>
  <c r="DK33" i="3"/>
  <c r="CT141" i="8"/>
  <c r="CU99" i="8"/>
  <c r="CU101" i="8"/>
  <c r="CP27" i="8"/>
  <c r="CU275" i="8"/>
  <c r="CU277" i="8"/>
  <c r="CP43" i="8"/>
  <c r="DP383" i="8"/>
  <c r="CH88" i="8"/>
  <c r="CH90" i="8"/>
  <c r="CG26" i="8"/>
  <c r="CG92" i="8"/>
  <c r="DE38" i="8"/>
  <c r="DJ220" i="8"/>
  <c r="DJ222" i="8"/>
  <c r="CR273" i="8"/>
  <c r="X27" i="9"/>
  <c r="DD317" i="8"/>
  <c r="CR163" i="8"/>
  <c r="DB416" i="8"/>
  <c r="CU121" i="8"/>
  <c r="CU123" i="8"/>
  <c r="CP29" i="8"/>
  <c r="CH45" i="8"/>
  <c r="CI297" i="8"/>
  <c r="CI299" i="8"/>
  <c r="CH301" i="8"/>
  <c r="DO209" i="8"/>
  <c r="DO211" i="8"/>
  <c r="DJ37" i="8"/>
  <c r="DT242" i="8"/>
  <c r="DT244" i="8"/>
  <c r="DT40" i="8"/>
  <c r="DO40" i="8"/>
  <c r="CU297" i="8"/>
  <c r="CU299" i="8"/>
  <c r="CP45" i="8"/>
  <c r="CU48" i="8"/>
  <c r="CZ330" i="8"/>
  <c r="CZ332" i="8"/>
  <c r="DN350" i="8"/>
  <c r="CX187" i="8"/>
  <c r="CX189" i="8"/>
  <c r="CW35" i="8"/>
  <c r="CW191" i="8"/>
  <c r="CF36" i="6"/>
  <c r="S131" i="9" s="1"/>
  <c r="CA35" i="6"/>
  <c r="N129" i="9" s="1"/>
  <c r="CA50" i="6"/>
  <c r="CA301" i="6"/>
  <c r="CN86" i="8"/>
  <c r="CW38" i="8"/>
  <c r="CX220" i="8"/>
  <c r="CX222" i="8"/>
  <c r="CG198" i="6"/>
  <c r="CH99" i="8"/>
  <c r="CH101" i="8"/>
  <c r="CG27" i="8"/>
  <c r="CG103" i="8"/>
  <c r="CI407" i="8"/>
  <c r="CI409" i="8"/>
  <c r="CH55" i="8"/>
  <c r="CH411" i="8"/>
  <c r="CH418" i="8"/>
  <c r="CH420" i="8"/>
  <c r="CG56" i="8"/>
  <c r="CG422" i="8"/>
  <c r="DT206" i="3"/>
  <c r="DO207" i="3"/>
  <c r="DK206" i="3"/>
  <c r="DB204" i="3"/>
  <c r="DC206" i="3"/>
  <c r="CJ128" i="7"/>
  <c r="CJ130" i="7"/>
  <c r="CJ172" i="7"/>
  <c r="DF240" i="8"/>
  <c r="CP88" i="8"/>
  <c r="CP90" i="8"/>
  <c r="CK26" i="8"/>
  <c r="BV188" i="7"/>
  <c r="BV184" i="7"/>
  <c r="BV189" i="7" s="1"/>
  <c r="BV190" i="7" s="1"/>
  <c r="BV211" i="7" s="1"/>
  <c r="DN116" i="7"/>
  <c r="DS116" i="7" s="1"/>
  <c r="DX116" i="7" s="1"/>
  <c r="CK102" i="7"/>
  <c r="CK103" i="7" s="1"/>
  <c r="CK117" i="7"/>
  <c r="CK122" i="7"/>
  <c r="CT211" i="8"/>
  <c r="CV209" i="8"/>
  <c r="CV211" i="8"/>
  <c r="BO128" i="7"/>
  <c r="BO130" i="7"/>
  <c r="CP42" i="8"/>
  <c r="CU264" i="8"/>
  <c r="CU266" i="8"/>
  <c r="CS47" i="8"/>
  <c r="CT319" i="8"/>
  <c r="CS323" i="8"/>
  <c r="DN321" i="6"/>
  <c r="CQ113" i="7"/>
  <c r="CU143" i="8"/>
  <c r="CU145" i="8"/>
  <c r="CP31" i="8"/>
  <c r="CU198" i="8"/>
  <c r="CU200" i="8"/>
  <c r="CP36" i="8"/>
  <c r="DN117" i="7"/>
  <c r="DS117" i="7" s="1"/>
  <c r="DX117" i="7" s="1"/>
  <c r="CI113" i="7"/>
  <c r="CI129" i="7"/>
  <c r="CV136" i="8"/>
  <c r="CW130" i="8"/>
  <c r="CG147" i="8"/>
  <c r="CG31" i="8"/>
  <c r="CH143" i="8"/>
  <c r="CH145" i="8"/>
  <c r="CQ232" i="6"/>
  <c r="DE55" i="8"/>
  <c r="DJ407" i="8"/>
  <c r="DJ409" i="8"/>
  <c r="CQ235" i="6"/>
  <c r="DG75" i="8"/>
  <c r="DO187" i="8"/>
  <c r="DO189" i="8"/>
  <c r="DJ35" i="8"/>
  <c r="CG202" i="8"/>
  <c r="CG36" i="8"/>
  <c r="CH198" i="8"/>
  <c r="CH200" i="8"/>
  <c r="DF361" i="8"/>
  <c r="CR405" i="8"/>
  <c r="DJ47" i="8"/>
  <c r="DO319" i="8"/>
  <c r="DO321" i="8"/>
  <c r="AL327" i="3"/>
  <c r="AR327" i="3"/>
  <c r="AK327" i="3"/>
  <c r="AI327" i="3"/>
  <c r="AJ327" i="3"/>
  <c r="DG341" i="8"/>
  <c r="DG343" i="8"/>
  <c r="DF49" i="8"/>
  <c r="DJ321" i="6"/>
  <c r="DJ322" i="6" s="1"/>
  <c r="DL327" i="6"/>
  <c r="DQ321" i="6"/>
  <c r="DV321" i="6" s="1"/>
  <c r="DV327" i="6" s="1"/>
  <c r="CX40" i="8"/>
  <c r="CY242" i="8"/>
  <c r="CX246" i="8"/>
  <c r="CW132" i="8"/>
  <c r="CW134" i="8"/>
  <c r="CV30" i="8"/>
  <c r="CW119" i="8"/>
  <c r="CG129" i="7"/>
  <c r="CG161" i="7" s="1"/>
  <c r="CG162" i="7" s="1"/>
  <c r="CG171" i="7"/>
  <c r="CG113" i="7"/>
  <c r="BX45" i="7"/>
  <c r="BX54" i="7" s="1"/>
  <c r="BW80" i="7"/>
  <c r="BW83" i="7"/>
  <c r="BW179" i="7"/>
  <c r="BW82" i="7"/>
  <c r="DE159" i="2"/>
  <c r="DE297" i="6"/>
  <c r="DE302" i="6" s="1"/>
  <c r="CI154" i="8"/>
  <c r="CI156" i="8"/>
  <c r="CH32" i="8"/>
  <c r="CH158" i="8"/>
  <c r="CR113" i="7"/>
  <c r="CM330" i="8"/>
  <c r="CM332" i="8"/>
  <c r="CL48" i="8"/>
  <c r="CL334" i="8"/>
  <c r="CH257" i="8"/>
  <c r="CH41" i="8"/>
  <c r="CI253" i="8"/>
  <c r="CI255" i="8"/>
  <c r="CR176" i="6"/>
  <c r="CR177" i="6" s="1"/>
  <c r="CR132" i="6"/>
  <c r="BM198" i="6"/>
  <c r="BM218" i="6"/>
  <c r="BM267" i="6"/>
  <c r="BM268" i="6"/>
  <c r="BM271" i="6"/>
  <c r="BM183" i="6"/>
  <c r="BM275" i="6"/>
  <c r="BM272" i="6"/>
  <c r="CR208" i="6"/>
  <c r="CR231" i="6"/>
  <c r="CY22" i="8"/>
  <c r="DM116" i="7"/>
  <c r="DR116" i="7" s="1"/>
  <c r="DW116" i="7" s="1"/>
  <c r="M19" i="9"/>
  <c r="M84" i="9" s="1"/>
  <c r="CT132" i="6"/>
  <c r="CT176" i="6"/>
  <c r="CT177" i="6" s="1"/>
  <c r="CX39" i="8"/>
  <c r="CY231" i="8"/>
  <c r="CX235" i="8"/>
  <c r="CO284" i="8"/>
  <c r="CK297" i="6"/>
  <c r="CK159" i="2"/>
  <c r="CN114" i="6"/>
  <c r="CN165" i="6"/>
  <c r="CN166" i="6" s="1"/>
  <c r="CN161" i="6"/>
  <c r="CQ213" i="6"/>
  <c r="CF122" i="7"/>
  <c r="CF112" i="7"/>
  <c r="S18" i="9" s="1"/>
  <c r="CZ110" i="8"/>
  <c r="CZ112" i="8"/>
  <c r="CU28" i="8"/>
  <c r="DM117" i="7"/>
  <c r="DR117" i="7" s="1"/>
  <c r="DW117" i="7" s="1"/>
  <c r="CH277" i="6"/>
  <c r="CS108" i="8"/>
  <c r="BO191" i="6"/>
  <c r="CQ152" i="8"/>
  <c r="CW97" i="8"/>
  <c r="DH229" i="8"/>
  <c r="DT132" i="8"/>
  <c r="DT134" i="8"/>
  <c r="DT30" i="8"/>
  <c r="DO30" i="8"/>
  <c r="AM128" i="9"/>
  <c r="CK92" i="7"/>
  <c r="CK118" i="7"/>
  <c r="BU128" i="7"/>
  <c r="BU172" i="7"/>
  <c r="BU130" i="7"/>
  <c r="BZ131" i="7"/>
  <c r="CV224" i="8"/>
  <c r="CW218" i="8"/>
  <c r="CO262" i="8"/>
  <c r="CZ253" i="8"/>
  <c r="CZ255" i="8"/>
  <c r="CU41" i="8"/>
  <c r="CZ286" i="8"/>
  <c r="CZ288" i="8"/>
  <c r="CU44" i="8"/>
  <c r="DC51" i="8"/>
  <c r="DD363" i="8"/>
  <c r="DD365" i="8"/>
  <c r="DD367" i="8"/>
  <c r="CP56" i="8"/>
  <c r="CU418" i="8"/>
  <c r="CU420" i="8"/>
  <c r="DG206" i="3"/>
  <c r="DF204" i="3"/>
  <c r="DF205" i="3" s="1"/>
  <c r="DA205" i="3"/>
  <c r="CR306" i="8"/>
  <c r="DP207" i="8"/>
  <c r="DJ141" i="6"/>
  <c r="DJ142" i="6" s="1"/>
  <c r="BW198" i="6"/>
  <c r="BW218" i="6"/>
  <c r="BW281" i="6" s="1"/>
  <c r="BO161" i="7"/>
  <c r="BO162" i="7" s="1"/>
  <c r="BR113" i="7"/>
  <c r="BR171" i="7"/>
  <c r="BR129" i="7"/>
  <c r="P19" i="9"/>
  <c r="P84" i="9" s="1"/>
  <c r="CC131" i="7"/>
  <c r="CH131" i="7"/>
  <c r="CI308" i="8"/>
  <c r="CI310" i="8"/>
  <c r="CH46" i="8"/>
  <c r="CH312" i="8"/>
  <c r="BW171" i="7"/>
  <c r="BW130" i="7"/>
  <c r="BW172" i="7"/>
  <c r="BW128" i="7"/>
  <c r="CE79" i="8"/>
  <c r="CE81" i="8"/>
  <c r="CZ308" i="8"/>
  <c r="CZ310" i="8"/>
  <c r="CU46" i="8"/>
  <c r="DD396" i="8"/>
  <c r="DD398" i="8"/>
  <c r="DC54" i="8"/>
  <c r="DC400" i="8"/>
  <c r="CU176" i="8"/>
  <c r="CU178" i="8"/>
  <c r="CP34" i="8"/>
  <c r="CX427" i="8"/>
  <c r="CO174" i="8"/>
  <c r="CI110" i="8"/>
  <c r="CI112" i="8"/>
  <c r="CH28" i="8"/>
  <c r="CH114" i="8"/>
  <c r="CQ171" i="6"/>
  <c r="DB251" i="8"/>
  <c r="DC367" i="8"/>
  <c r="DA185" i="8"/>
  <c r="DE165" i="8"/>
  <c r="DE167" i="8"/>
  <c r="CZ33" i="8"/>
  <c r="CJ286" i="8"/>
  <c r="CJ288" i="8"/>
  <c r="CI44" i="8"/>
  <c r="CI290" i="8"/>
  <c r="CN295" i="8"/>
  <c r="DF374" i="8"/>
  <c r="DF376" i="8"/>
  <c r="DD52" i="8"/>
  <c r="DD378" i="8"/>
  <c r="DE378" i="8"/>
  <c r="DH339" i="8"/>
  <c r="DG345" i="8"/>
  <c r="CJ225" i="6"/>
  <c r="CJ281" i="6"/>
  <c r="CJ288" i="6"/>
  <c r="CJ219" i="6"/>
  <c r="CJ226" i="6"/>
  <c r="CJ285" i="6"/>
  <c r="CJ280" i="6"/>
  <c r="CJ282" i="6"/>
  <c r="CJ284" i="6"/>
  <c r="DG328" i="6"/>
  <c r="DD50" i="8"/>
  <c r="DF352" i="8"/>
  <c r="DF354" i="8"/>
  <c r="DD356" i="8"/>
  <c r="DE356" i="8"/>
  <c r="CP77" i="8"/>
  <c r="CP79" i="8"/>
  <c r="CK25" i="8"/>
  <c r="CK111" i="7"/>
  <c r="X17" i="9" s="1"/>
  <c r="CK108" i="7"/>
  <c r="BU200" i="7"/>
  <c r="BU197" i="7"/>
  <c r="BU215" i="7"/>
  <c r="BU259" i="3"/>
  <c r="BU183" i="7"/>
  <c r="BU188" i="7" s="1"/>
  <c r="BU210" i="7" s="1"/>
  <c r="BU198" i="7"/>
  <c r="BU201" i="7"/>
  <c r="CU32" i="8"/>
  <c r="CZ154" i="8"/>
  <c r="CZ156" i="8"/>
  <c r="AT73" i="5"/>
  <c r="AN73" i="5"/>
  <c r="AR73" i="5"/>
  <c r="AP73" i="5"/>
  <c r="AR131" i="9"/>
  <c r="DH394" i="8"/>
  <c r="CG279" i="8"/>
  <c r="CH275" i="8"/>
  <c r="CH277" i="8"/>
  <c r="CG43" i="8"/>
  <c r="CG139" i="6"/>
  <c r="DT396" i="8"/>
  <c r="DT398" i="8"/>
  <c r="DT54" i="8"/>
  <c r="DO54" i="8"/>
  <c r="CQ196" i="8"/>
  <c r="CO328" i="8"/>
  <c r="CR235" i="6"/>
  <c r="CR214" i="6"/>
  <c r="BQ196" i="6"/>
  <c r="BM139" i="6"/>
  <c r="DD53" i="8"/>
  <c r="DF385" i="8"/>
  <c r="DF387" i="8"/>
  <c r="DD389" i="8"/>
  <c r="DE389" i="8"/>
  <c r="CR182" i="6"/>
  <c r="CR273" i="6" s="1"/>
  <c r="CR165" i="6"/>
  <c r="CR166" i="6" s="1"/>
  <c r="CR114" i="6"/>
  <c r="DC98" i="7"/>
  <c r="BZ172" i="7"/>
  <c r="DK372" i="8"/>
  <c r="BW267" i="6"/>
  <c r="BW183" i="6"/>
  <c r="BW275" i="6"/>
  <c r="BW268" i="6"/>
  <c r="BW272" i="6"/>
  <c r="BW271" i="6"/>
  <c r="BY218" i="6"/>
  <c r="CT235" i="6"/>
  <c r="CH121" i="8"/>
  <c r="CH123" i="8"/>
  <c r="CG125" i="8"/>
  <c r="CG29" i="8"/>
  <c r="CG180" i="8"/>
  <c r="CH176" i="8"/>
  <c r="CH178" i="8"/>
  <c r="CG34" i="8"/>
  <c r="J73" i="5"/>
  <c r="X131" i="9"/>
  <c r="CK232" i="6"/>
  <c r="CK190" i="6"/>
  <c r="CN232" i="6"/>
  <c r="CN208" i="6"/>
  <c r="CF102" i="7"/>
  <c r="CB129" i="7"/>
  <c r="CB161" i="7" s="1"/>
  <c r="CB162" i="7" s="1"/>
  <c r="CB113" i="7"/>
  <c r="CB171" i="7"/>
  <c r="DT363" i="8"/>
  <c r="DT365" i="8"/>
  <c r="DT51" i="8"/>
  <c r="DO51" i="8"/>
  <c r="CY206" i="3"/>
  <c r="CY204" i="3"/>
  <c r="CX204" i="3"/>
  <c r="CQ98" i="7"/>
  <c r="DE367" i="8"/>
  <c r="CJ264" i="8"/>
  <c r="CJ266" i="8"/>
  <c r="CI268" i="8"/>
  <c r="CI42" i="8"/>
  <c r="CI33" i="8"/>
  <c r="CI169" i="8"/>
  <c r="CJ165" i="8"/>
  <c r="CJ167" i="8"/>
  <c r="CR269" i="6"/>
  <c r="BH288" i="6"/>
  <c r="BH280" i="6"/>
  <c r="BH285" i="6"/>
  <c r="BH281" i="6"/>
  <c r="BH284" i="6"/>
  <c r="BH282" i="6"/>
  <c r="BH286" i="6"/>
  <c r="CQ75" i="7"/>
  <c r="CX205" i="3"/>
  <c r="CH180" i="8"/>
  <c r="CI176" i="8"/>
  <c r="CI178" i="8"/>
  <c r="CH34" i="8"/>
  <c r="CH125" i="8"/>
  <c r="CH29" i="8"/>
  <c r="CI121" i="8"/>
  <c r="CI123" i="8"/>
  <c r="BY225" i="6"/>
  <c r="BY281" i="6"/>
  <c r="BY288" i="6"/>
  <c r="BY280" i="6"/>
  <c r="BY282" i="6"/>
  <c r="BY284" i="6"/>
  <c r="BY285" i="6"/>
  <c r="DL372" i="8"/>
  <c r="CQ328" i="8"/>
  <c r="CR196" i="8"/>
  <c r="DI394" i="8"/>
  <c r="DE154" i="8"/>
  <c r="DE156" i="8"/>
  <c r="CZ32" i="8"/>
  <c r="CK113" i="7"/>
  <c r="DF50" i="8"/>
  <c r="DG352" i="8"/>
  <c r="DG354" i="8"/>
  <c r="DF356" i="8"/>
  <c r="CJ44" i="8"/>
  <c r="CL286" i="8"/>
  <c r="CL288" i="8"/>
  <c r="CJ290" i="8"/>
  <c r="CK290" i="8"/>
  <c r="CQ132" i="6"/>
  <c r="CQ176" i="6"/>
  <c r="CQ177" i="6" s="1"/>
  <c r="CZ176" i="8"/>
  <c r="CZ178" i="8"/>
  <c r="CU34" i="8"/>
  <c r="DD54" i="8"/>
  <c r="DF396" i="8"/>
  <c r="DF398" i="8"/>
  <c r="DD400" i="8"/>
  <c r="DE400" i="8"/>
  <c r="DE308" i="8"/>
  <c r="DE310" i="8"/>
  <c r="CZ46" i="8"/>
  <c r="CF81" i="8"/>
  <c r="J19" i="9"/>
  <c r="J84" i="9" s="1"/>
  <c r="J67" i="9" s="1"/>
  <c r="CJ308" i="8"/>
  <c r="CJ310" i="8"/>
  <c r="CI46" i="8"/>
  <c r="CI312" i="8"/>
  <c r="BW219" i="6"/>
  <c r="BW226" i="6" s="1"/>
  <c r="BW282" i="6"/>
  <c r="CS306" i="8"/>
  <c r="DE286" i="8"/>
  <c r="DE288" i="8"/>
  <c r="CZ44" i="8"/>
  <c r="DE253" i="8"/>
  <c r="DE255" i="8"/>
  <c r="CZ41" i="8"/>
  <c r="CQ262" i="8"/>
  <c r="DI229" i="8"/>
  <c r="CX97" i="8"/>
  <c r="DE110" i="8"/>
  <c r="DE112" i="8"/>
  <c r="CZ28" i="8"/>
  <c r="CQ236" i="6"/>
  <c r="CK296" i="6"/>
  <c r="CY233" i="8"/>
  <c r="DA231" i="8"/>
  <c r="DA233" i="8"/>
  <c r="BM277" i="6"/>
  <c r="BM225" i="6"/>
  <c r="BM219" i="6"/>
  <c r="BM226" i="6" s="1"/>
  <c r="BM282" i="6"/>
  <c r="BM281" i="6"/>
  <c r="BM280" i="6"/>
  <c r="BM284" i="6"/>
  <c r="BM210" i="6"/>
  <c r="BM288" i="6"/>
  <c r="BM290" i="6" s="1"/>
  <c r="BM285" i="6"/>
  <c r="CJ253" i="8"/>
  <c r="CJ255" i="8"/>
  <c r="CI41" i="8"/>
  <c r="CI257" i="8"/>
  <c r="CI158" i="8"/>
  <c r="CI32" i="8"/>
  <c r="CJ154" i="8"/>
  <c r="CJ156" i="8"/>
  <c r="BW259" i="3"/>
  <c r="BW198" i="7"/>
  <c r="BW197" i="7"/>
  <c r="BW200" i="7"/>
  <c r="BW201" i="7"/>
  <c r="BW183" i="7"/>
  <c r="BW188" i="7" s="1"/>
  <c r="BW210" i="7" s="1"/>
  <c r="BW215" i="7"/>
  <c r="CW30" i="8"/>
  <c r="CX132" i="8"/>
  <c r="CX134" i="8"/>
  <c r="CY244" i="8"/>
  <c r="DA242" i="8"/>
  <c r="DA244" i="8"/>
  <c r="DQ327" i="6"/>
  <c r="CS405" i="8"/>
  <c r="DT187" i="8"/>
  <c r="DT189" i="8"/>
  <c r="DT35" i="8"/>
  <c r="DO35" i="8"/>
  <c r="DH75" i="8"/>
  <c r="DO407" i="8"/>
  <c r="DO409" i="8"/>
  <c r="DJ55" i="8"/>
  <c r="CI143" i="8"/>
  <c r="CI145" i="8"/>
  <c r="CH31" i="8"/>
  <c r="CH147" i="8"/>
  <c r="CI130" i="7"/>
  <c r="CI128" i="7"/>
  <c r="CI161" i="7"/>
  <c r="CI162" i="7"/>
  <c r="CZ198" i="8"/>
  <c r="CZ200" i="8"/>
  <c r="CU36" i="8"/>
  <c r="CZ143" i="8"/>
  <c r="CZ145" i="8"/>
  <c r="CU31" i="8"/>
  <c r="DN327" i="6"/>
  <c r="DN328" i="6" s="1"/>
  <c r="DS321" i="6"/>
  <c r="CT213" i="8"/>
  <c r="CU213" i="8"/>
  <c r="CT37" i="8"/>
  <c r="BV210" i="7"/>
  <c r="W19" i="9"/>
  <c r="W84" i="9" s="1"/>
  <c r="W67" i="9" s="1"/>
  <c r="CJ131" i="7"/>
  <c r="DD206" i="3"/>
  <c r="DD204" i="3"/>
  <c r="DD209" i="3" s="1"/>
  <c r="DC204" i="3"/>
  <c r="DC205" i="3" s="1"/>
  <c r="DL206" i="3"/>
  <c r="DT207" i="3"/>
  <c r="DP206" i="3"/>
  <c r="CJ407" i="8"/>
  <c r="CJ409" i="8"/>
  <c r="CI55" i="8"/>
  <c r="CI411" i="8"/>
  <c r="CI99" i="8"/>
  <c r="CI101" i="8"/>
  <c r="CH27" i="8"/>
  <c r="CH103" i="8"/>
  <c r="CX38" i="8"/>
  <c r="CY220" i="8"/>
  <c r="CO86" i="8"/>
  <c r="CU45" i="8"/>
  <c r="CZ297" i="8"/>
  <c r="CZ299" i="8"/>
  <c r="DT209" i="8"/>
  <c r="DT211" i="8"/>
  <c r="DT37" i="8"/>
  <c r="DO37" i="8"/>
  <c r="CI45" i="8"/>
  <c r="CJ297" i="8"/>
  <c r="CJ299" i="8"/>
  <c r="CI301" i="8"/>
  <c r="CU29" i="8"/>
  <c r="CZ121" i="8"/>
  <c r="CZ123" i="8"/>
  <c r="DC416" i="8"/>
  <c r="DF317" i="8"/>
  <c r="CS273" i="8"/>
  <c r="DO220" i="8"/>
  <c r="DO222" i="8"/>
  <c r="DJ38" i="8"/>
  <c r="CH26" i="8"/>
  <c r="CI88" i="8"/>
  <c r="CI90" i="8"/>
  <c r="CH92" i="8"/>
  <c r="CU43" i="8"/>
  <c r="CZ275" i="8"/>
  <c r="CZ277" i="8"/>
  <c r="CZ99" i="8"/>
  <c r="CZ101" i="8"/>
  <c r="CU27" i="8"/>
  <c r="CV141" i="8"/>
  <c r="CB130" i="7"/>
  <c r="CB128" i="7"/>
  <c r="CB172" i="7"/>
  <c r="X182" i="9"/>
  <c r="X114" i="9"/>
  <c r="BY286" i="6"/>
  <c r="CR272" i="6"/>
  <c r="CR183" i="6"/>
  <c r="CR268" i="6"/>
  <c r="CR275" i="6"/>
  <c r="CR267" i="6"/>
  <c r="CR277" i="6" s="1"/>
  <c r="CR271" i="6"/>
  <c r="DF53" i="8"/>
  <c r="DG385" i="8"/>
  <c r="DG387" i="8"/>
  <c r="DF389" i="8"/>
  <c r="CR198" i="6"/>
  <c r="CI275" i="8"/>
  <c r="CI277" i="8"/>
  <c r="CH43" i="8"/>
  <c r="CH279" i="8"/>
  <c r="CU77" i="8"/>
  <c r="CU79" i="8"/>
  <c r="CP25" i="8"/>
  <c r="DI339" i="8"/>
  <c r="DG374" i="8"/>
  <c r="DG376" i="8"/>
  <c r="DF52" i="8"/>
  <c r="DF378" i="8"/>
  <c r="CO295" i="8"/>
  <c r="DJ165" i="8"/>
  <c r="DJ167" i="8"/>
  <c r="DE33" i="8"/>
  <c r="DB185" i="8"/>
  <c r="DC251" i="8"/>
  <c r="CI114" i="8"/>
  <c r="CJ110" i="8"/>
  <c r="CJ112" i="8"/>
  <c r="CI28" i="8"/>
  <c r="CQ174" i="8"/>
  <c r="CY427" i="8"/>
  <c r="CG77" i="8"/>
  <c r="BR130" i="7"/>
  <c r="BR172" i="7"/>
  <c r="BR128" i="7"/>
  <c r="BR161" i="7"/>
  <c r="BR162" i="7" s="1"/>
  <c r="BW286" i="6"/>
  <c r="DQ207" i="8"/>
  <c r="DH206" i="3"/>
  <c r="DG204" i="3"/>
  <c r="CU56" i="8"/>
  <c r="CZ418" i="8"/>
  <c r="CZ420" i="8"/>
  <c r="DF363" i="8"/>
  <c r="DF365" i="8"/>
  <c r="DD51" i="8"/>
  <c r="CX218" i="8"/>
  <c r="CW224" i="8"/>
  <c r="H19" i="9"/>
  <c r="H84" i="9" s="1"/>
  <c r="H67" i="9" s="1"/>
  <c r="BU131" i="7"/>
  <c r="CR152" i="8"/>
  <c r="CT108" i="8"/>
  <c r="CQ284" i="8"/>
  <c r="CR191" i="6"/>
  <c r="CR218" i="6"/>
  <c r="CR288" i="6" s="1"/>
  <c r="BM286" i="6"/>
  <c r="CN330" i="8"/>
  <c r="CN332" i="8"/>
  <c r="CM48" i="8"/>
  <c r="CM334" i="8"/>
  <c r="BY45" i="7"/>
  <c r="BY54" i="7"/>
  <c r="BY80" i="7" s="1"/>
  <c r="BY83" i="7" s="1"/>
  <c r="BX179" i="7"/>
  <c r="BX82" i="7"/>
  <c r="BX80" i="7"/>
  <c r="BX83" i="7"/>
  <c r="CG130" i="7"/>
  <c r="CG172" i="7"/>
  <c r="CK129" i="7"/>
  <c r="CG128" i="7"/>
  <c r="CX119" i="8"/>
  <c r="DO321" i="6"/>
  <c r="DL328" i="6"/>
  <c r="DH341" i="8"/>
  <c r="DH343" i="8"/>
  <c r="DG49" i="8"/>
  <c r="AP327" i="3"/>
  <c r="AO327" i="3"/>
  <c r="AQ327" i="3"/>
  <c r="AN327" i="3"/>
  <c r="AW327" i="3"/>
  <c r="DT319" i="8"/>
  <c r="DT321" i="8"/>
  <c r="DT47" i="8"/>
  <c r="DO47" i="8"/>
  <c r="DG361" i="8"/>
  <c r="CI198" i="8"/>
  <c r="CI200" i="8"/>
  <c r="CH36" i="8"/>
  <c r="CH202" i="8"/>
  <c r="CQ214" i="6"/>
  <c r="CX130" i="8"/>
  <c r="CW136" i="8"/>
  <c r="CV319" i="8"/>
  <c r="CV321" i="8"/>
  <c r="CT321" i="8"/>
  <c r="CZ264" i="8"/>
  <c r="CZ266" i="8"/>
  <c r="CU42" i="8"/>
  <c r="CW209" i="8"/>
  <c r="CW211" i="8"/>
  <c r="CV37" i="8"/>
  <c r="CV213" i="8"/>
  <c r="CP26" i="8"/>
  <c r="CU88" i="8"/>
  <c r="CU90" i="8"/>
  <c r="DG240" i="8"/>
  <c r="DB205" i="3"/>
  <c r="DB209" i="3"/>
  <c r="DB211" i="3" s="1"/>
  <c r="CI418" i="8"/>
  <c r="CI420" i="8"/>
  <c r="CH56" i="8"/>
  <c r="CH422" i="8"/>
  <c r="CY187" i="8"/>
  <c r="CX35" i="8"/>
  <c r="CX191" i="8"/>
  <c r="DP350" i="8"/>
  <c r="DE330" i="8"/>
  <c r="DE332" i="8"/>
  <c r="CZ48" i="8"/>
  <c r="CS163" i="8"/>
  <c r="DQ383" i="8"/>
  <c r="CJ33" i="8"/>
  <c r="CL165" i="8"/>
  <c r="CL167" i="8"/>
  <c r="CJ169" i="8"/>
  <c r="CK169" i="8"/>
  <c r="CL264" i="8"/>
  <c r="CL266" i="8"/>
  <c r="CJ268" i="8"/>
  <c r="CK268" i="8"/>
  <c r="CJ42" i="8"/>
  <c r="DR383" i="8"/>
  <c r="CT163" i="8"/>
  <c r="CY189" i="8"/>
  <c r="DA187" i="8"/>
  <c r="DA189" i="8"/>
  <c r="CZ88" i="8"/>
  <c r="CZ90" i="8"/>
  <c r="CU26" i="8"/>
  <c r="CW213" i="8"/>
  <c r="CX209" i="8"/>
  <c r="CX211" i="8"/>
  <c r="CW37" i="8"/>
  <c r="DE264" i="8"/>
  <c r="DE266" i="8"/>
  <c r="CZ42" i="8"/>
  <c r="CV47" i="8"/>
  <c r="CV323" i="8"/>
  <c r="CW319" i="8"/>
  <c r="CW321" i="8"/>
  <c r="CQ198" i="6"/>
  <c r="CI36" i="8"/>
  <c r="CJ198" i="8"/>
  <c r="CJ200" i="8"/>
  <c r="CI202" i="8"/>
  <c r="DH361" i="8"/>
  <c r="DI341" i="8"/>
  <c r="DI343" i="8"/>
  <c r="DH49" i="8"/>
  <c r="CY119" i="8"/>
  <c r="CK130" i="7"/>
  <c r="CK162" i="7"/>
  <c r="CK128" i="7"/>
  <c r="BZ45" i="7"/>
  <c r="BZ54" i="7" s="1"/>
  <c r="CR225" i="6"/>
  <c r="CR281" i="6"/>
  <c r="CV108" i="8"/>
  <c r="CS152" i="8"/>
  <c r="DF51" i="8"/>
  <c r="DG363" i="8"/>
  <c r="DG365" i="8"/>
  <c r="DG367" i="8"/>
  <c r="DR207" i="8"/>
  <c r="DA427" i="8"/>
  <c r="CL110" i="8"/>
  <c r="CL112" i="8"/>
  <c r="CJ28" i="8"/>
  <c r="CJ114" i="8"/>
  <c r="DH374" i="8"/>
  <c r="DH376" i="8"/>
  <c r="DG52" i="8"/>
  <c r="DG378" i="8"/>
  <c r="DH345" i="8"/>
  <c r="DJ345" i="8"/>
  <c r="DH385" i="8"/>
  <c r="DH387" i="8"/>
  <c r="DG53" i="8"/>
  <c r="DG389" i="8"/>
  <c r="DE275" i="8"/>
  <c r="DE277" i="8"/>
  <c r="CZ43" i="8"/>
  <c r="CJ88" i="8"/>
  <c r="CJ90" i="8"/>
  <c r="CI26" i="8"/>
  <c r="CI92" i="8"/>
  <c r="DT220" i="8"/>
  <c r="DT222" i="8"/>
  <c r="DT38" i="8"/>
  <c r="DO38" i="8"/>
  <c r="CT273" i="8"/>
  <c r="DD416" i="8"/>
  <c r="CL297" i="8"/>
  <c r="CL299" i="8"/>
  <c r="CJ45" i="8"/>
  <c r="CJ301" i="8"/>
  <c r="CQ86" i="8"/>
  <c r="DQ206" i="3"/>
  <c r="CZ31" i="8"/>
  <c r="DE143" i="8"/>
  <c r="DE145" i="8"/>
  <c r="CZ36" i="8"/>
  <c r="DE198" i="8"/>
  <c r="DE200" i="8"/>
  <c r="DT407" i="8"/>
  <c r="DT409" i="8"/>
  <c r="DT55" i="8"/>
  <c r="DO55" i="8"/>
  <c r="DI75" i="8"/>
  <c r="CT405" i="8"/>
  <c r="DT321" i="6"/>
  <c r="DT322" i="6" s="1"/>
  <c r="DA40" i="8"/>
  <c r="DB242" i="8"/>
  <c r="DB244" i="8"/>
  <c r="DA246" i="8"/>
  <c r="CJ257" i="8"/>
  <c r="CK257" i="8"/>
  <c r="CL253" i="8"/>
  <c r="CL255" i="8"/>
  <c r="CJ41" i="8"/>
  <c r="DB231" i="8"/>
  <c r="DB233" i="8"/>
  <c r="DA39" i="8"/>
  <c r="DA235" i="8"/>
  <c r="DE28" i="8"/>
  <c r="DJ110" i="8"/>
  <c r="DJ112" i="8"/>
  <c r="CY97" i="8"/>
  <c r="DK229" i="8"/>
  <c r="CT306" i="8"/>
  <c r="CL308" i="8"/>
  <c r="CL310" i="8"/>
  <c r="CJ46" i="8"/>
  <c r="CJ312" i="8"/>
  <c r="CK312" i="8"/>
  <c r="DE176" i="8"/>
  <c r="DE178" i="8"/>
  <c r="CZ34" i="8"/>
  <c r="DG50" i="8"/>
  <c r="DH352" i="8"/>
  <c r="DH354" i="8"/>
  <c r="DG356" i="8"/>
  <c r="DE32" i="8"/>
  <c r="DJ154" i="8"/>
  <c r="DJ156" i="8"/>
  <c r="CS196" i="8"/>
  <c r="DE48" i="8"/>
  <c r="DJ330" i="8"/>
  <c r="DJ332" i="8"/>
  <c r="DQ350" i="8"/>
  <c r="CJ418" i="8"/>
  <c r="CJ420" i="8"/>
  <c r="CI56" i="8"/>
  <c r="CI422" i="8"/>
  <c r="DH240" i="8"/>
  <c r="CT47" i="8"/>
  <c r="CT323" i="8"/>
  <c r="CU323" i="8"/>
  <c r="CY130" i="8"/>
  <c r="CX136" i="8"/>
  <c r="DF367" i="8"/>
  <c r="AU327" i="3"/>
  <c r="AT327" i="3"/>
  <c r="AV327" i="3"/>
  <c r="BB327" i="3"/>
  <c r="AS327" i="3"/>
  <c r="BX259" i="3"/>
  <c r="BX198" i="7"/>
  <c r="BX183" i="7"/>
  <c r="BX188" i="7" s="1"/>
  <c r="BX200" i="7"/>
  <c r="BX197" i="7"/>
  <c r="BX215" i="7"/>
  <c r="BX201" i="7"/>
  <c r="CO330" i="8"/>
  <c r="CN48" i="8"/>
  <c r="CN334" i="8"/>
  <c r="CR284" i="8"/>
  <c r="CY218" i="8"/>
  <c r="CX224" i="8"/>
  <c r="CZ56" i="8"/>
  <c r="DE418" i="8"/>
  <c r="DE420" i="8"/>
  <c r="DI206" i="3"/>
  <c r="DH204" i="3"/>
  <c r="DH205" i="3" s="1"/>
  <c r="CG79" i="8"/>
  <c r="CR174" i="8"/>
  <c r="CK114" i="8"/>
  <c r="DD251" i="8"/>
  <c r="DC185" i="8"/>
  <c r="DO165" i="8"/>
  <c r="DO167" i="8"/>
  <c r="DJ33" i="8"/>
  <c r="CQ295" i="8"/>
  <c r="DK339" i="8"/>
  <c r="DI345" i="8"/>
  <c r="CZ77" i="8"/>
  <c r="CZ79" i="8"/>
  <c r="CU25" i="8"/>
  <c r="CJ275" i="8"/>
  <c r="CJ277" i="8"/>
  <c r="CI43" i="8"/>
  <c r="CI279" i="8"/>
  <c r="O19" i="9"/>
  <c r="O84" i="9" s="1"/>
  <c r="CB131" i="7"/>
  <c r="CW141" i="8"/>
  <c r="DE99" i="8"/>
  <c r="DE101" i="8"/>
  <c r="CZ27" i="8"/>
  <c r="DG317" i="8"/>
  <c r="CZ29" i="8"/>
  <c r="DE121" i="8"/>
  <c r="DE123" i="8"/>
  <c r="CK301" i="8"/>
  <c r="DE297" i="8"/>
  <c r="DE299" i="8"/>
  <c r="CZ45" i="8"/>
  <c r="DA220" i="8"/>
  <c r="DA222" i="8"/>
  <c r="CY222" i="8"/>
  <c r="CY38" i="8"/>
  <c r="CJ99" i="8"/>
  <c r="CJ101" i="8"/>
  <c r="CI27" i="8"/>
  <c r="CI103" i="8"/>
  <c r="CL407" i="8"/>
  <c r="CL409" i="8"/>
  <c r="CJ55" i="8"/>
  <c r="CJ411" i="8"/>
  <c r="CK411" i="8"/>
  <c r="DM206" i="3"/>
  <c r="W101" i="9"/>
  <c r="CJ143" i="8"/>
  <c r="CJ145" i="8"/>
  <c r="CI31" i="8"/>
  <c r="CI147" i="8"/>
  <c r="DQ328" i="6"/>
  <c r="CY40" i="8"/>
  <c r="CY246" i="8"/>
  <c r="CZ246" i="8"/>
  <c r="CX30" i="8"/>
  <c r="CY132" i="8"/>
  <c r="CJ32" i="8"/>
  <c r="CL154" i="8"/>
  <c r="CL156" i="8"/>
  <c r="CJ158" i="8"/>
  <c r="CK158" i="8"/>
  <c r="CY39" i="8"/>
  <c r="CY235" i="8"/>
  <c r="CZ235" i="8"/>
  <c r="CR262" i="8"/>
  <c r="DJ253" i="8"/>
  <c r="DJ255" i="8"/>
  <c r="DE41" i="8"/>
  <c r="DJ286" i="8"/>
  <c r="DJ288" i="8"/>
  <c r="DE44" i="8"/>
  <c r="J101" i="9"/>
  <c r="DJ308" i="8"/>
  <c r="DJ310" i="8"/>
  <c r="DE46" i="8"/>
  <c r="DG396" i="8"/>
  <c r="DG398" i="8"/>
  <c r="DF54" i="8"/>
  <c r="DF400" i="8"/>
  <c r="CM286" i="8"/>
  <c r="CM288" i="8"/>
  <c r="CL44" i="8"/>
  <c r="CL290" i="8"/>
  <c r="CK161" i="7"/>
  <c r="DK394" i="8"/>
  <c r="CR328" i="8"/>
  <c r="DM372" i="8"/>
  <c r="BY290" i="6"/>
  <c r="CI125" i="8"/>
  <c r="CJ121" i="8"/>
  <c r="CJ123" i="8"/>
  <c r="CI29" i="8"/>
  <c r="CJ176" i="8"/>
  <c r="CJ178" i="8"/>
  <c r="CI34" i="8"/>
  <c r="CI180" i="8"/>
  <c r="DG301" i="6"/>
  <c r="CL42" i="8"/>
  <c r="CM264" i="8"/>
  <c r="CM266" i="8"/>
  <c r="CL268" i="8"/>
  <c r="CL33" i="8"/>
  <c r="CL169" i="8"/>
  <c r="CM165" i="8"/>
  <c r="CM167" i="8"/>
  <c r="CL176" i="8"/>
  <c r="CL178" i="8"/>
  <c r="CJ34" i="8"/>
  <c r="CJ180" i="8"/>
  <c r="CK180" i="8"/>
  <c r="CL121" i="8"/>
  <c r="CL123" i="8"/>
  <c r="CJ29" i="8"/>
  <c r="CJ125" i="8"/>
  <c r="DN372" i="8"/>
  <c r="DH396" i="8"/>
  <c r="DH398" i="8"/>
  <c r="DG54" i="8"/>
  <c r="DG400" i="8"/>
  <c r="DO308" i="8"/>
  <c r="DO310" i="8"/>
  <c r="DJ46" i="8"/>
  <c r="CJ147" i="8"/>
  <c r="CK147" i="8"/>
  <c r="CL143" i="8"/>
  <c r="CL145" i="8"/>
  <c r="CJ31" i="8"/>
  <c r="DN206" i="3"/>
  <c r="CL55" i="8"/>
  <c r="CM407" i="8"/>
  <c r="CM409" i="8"/>
  <c r="CL411" i="8"/>
  <c r="DH317" i="8"/>
  <c r="DJ99" i="8"/>
  <c r="DJ101" i="8"/>
  <c r="DE27" i="8"/>
  <c r="CX141" i="8"/>
  <c r="CJ279" i="8"/>
  <c r="CK279" i="8"/>
  <c r="CJ43" i="8"/>
  <c r="CL275" i="8"/>
  <c r="CL277" i="8"/>
  <c r="DL339" i="8"/>
  <c r="CR295" i="8"/>
  <c r="DD185" i="8"/>
  <c r="DF251" i="8"/>
  <c r="CH77" i="8"/>
  <c r="CG25" i="8"/>
  <c r="DH302" i="3"/>
  <c r="CY224" i="8"/>
  <c r="CZ224" i="8"/>
  <c r="DA218" i="8"/>
  <c r="CS284" i="8"/>
  <c r="DR350" i="8"/>
  <c r="CT196" i="8"/>
  <c r="DO154" i="8"/>
  <c r="DO156" i="8"/>
  <c r="DJ32" i="8"/>
  <c r="CV306" i="8"/>
  <c r="DL229" i="8"/>
  <c r="DJ28" i="8"/>
  <c r="DO110" i="8"/>
  <c r="DO112" i="8"/>
  <c r="DC242" i="8"/>
  <c r="DC244" i="8"/>
  <c r="DB40" i="8"/>
  <c r="DB246" i="8"/>
  <c r="DK75" i="8"/>
  <c r="DR206" i="3"/>
  <c r="CR86" i="8"/>
  <c r="CM297" i="8"/>
  <c r="CM299" i="8"/>
  <c r="CL45" i="8"/>
  <c r="CL301" i="8"/>
  <c r="DF416" i="8"/>
  <c r="CV273" i="8"/>
  <c r="DE43" i="8"/>
  <c r="DJ275" i="8"/>
  <c r="DJ277" i="8"/>
  <c r="DH52" i="8"/>
  <c r="DI374" i="8"/>
  <c r="DI376" i="8"/>
  <c r="DH378" i="8"/>
  <c r="DB427" i="8"/>
  <c r="DS207" i="8"/>
  <c r="DG302" i="3"/>
  <c r="CW108" i="8"/>
  <c r="CJ36" i="8"/>
  <c r="CL198" i="8"/>
  <c r="CL200" i="8"/>
  <c r="CJ202" i="8"/>
  <c r="CK202" i="8"/>
  <c r="CX37" i="8"/>
  <c r="CY209" i="8"/>
  <c r="CX213" i="8"/>
  <c r="DE88" i="8"/>
  <c r="DE90" i="8"/>
  <c r="CZ26" i="8"/>
  <c r="CY35" i="8"/>
  <c r="CY191" i="8"/>
  <c r="CZ191" i="8"/>
  <c r="CK125" i="8"/>
  <c r="CS328" i="8"/>
  <c r="DL394" i="8"/>
  <c r="CM44" i="8"/>
  <c r="CN286" i="8"/>
  <c r="CN288" i="8"/>
  <c r="CM290" i="8"/>
  <c r="DO286" i="8"/>
  <c r="DO288" i="8"/>
  <c r="DJ44" i="8"/>
  <c r="DO253" i="8"/>
  <c r="DO255" i="8"/>
  <c r="DJ41" i="8"/>
  <c r="CS262" i="8"/>
  <c r="CM154" i="8"/>
  <c r="CM156" i="8"/>
  <c r="CL32" i="8"/>
  <c r="CL158" i="8"/>
  <c r="CY134" i="8"/>
  <c r="CY30" i="8"/>
  <c r="DA132" i="8"/>
  <c r="DA134" i="8"/>
  <c r="CL99" i="8"/>
  <c r="CL101" i="8"/>
  <c r="CJ27" i="8"/>
  <c r="CJ103" i="8"/>
  <c r="CK103" i="8"/>
  <c r="DB220" i="8"/>
  <c r="DB222" i="8"/>
  <c r="DA38" i="8"/>
  <c r="DE45" i="8"/>
  <c r="DJ297" i="8"/>
  <c r="DJ299" i="8"/>
  <c r="DE29" i="8"/>
  <c r="DJ121" i="8"/>
  <c r="DJ123" i="8"/>
  <c r="CZ25" i="8"/>
  <c r="DE77" i="8"/>
  <c r="DE79" i="8"/>
  <c r="DT165" i="8"/>
  <c r="DT167" i="8"/>
  <c r="DT33" i="8"/>
  <c r="DO33" i="8"/>
  <c r="CS174" i="8"/>
  <c r="CG81" i="8"/>
  <c r="DE56" i="8"/>
  <c r="DJ418" i="8"/>
  <c r="DJ420" i="8"/>
  <c r="CO332" i="8"/>
  <c r="CQ330" i="8"/>
  <c r="CQ332" i="8"/>
  <c r="BX210" i="7"/>
  <c r="AY327" i="3"/>
  <c r="BA327" i="3"/>
  <c r="BG327" i="3"/>
  <c r="AZ327" i="3"/>
  <c r="AX327" i="3"/>
  <c r="CY136" i="8"/>
  <c r="CZ136" i="8"/>
  <c r="DA130" i="8"/>
  <c r="DI240" i="8"/>
  <c r="CL418" i="8"/>
  <c r="CL420" i="8"/>
  <c r="CJ56" i="8"/>
  <c r="CJ422" i="8"/>
  <c r="CK422" i="8"/>
  <c r="DO330" i="8"/>
  <c r="DO332" i="8"/>
  <c r="DJ48" i="8"/>
  <c r="DH50" i="8"/>
  <c r="DI352" i="8"/>
  <c r="DI354" i="8"/>
  <c r="DH356" i="8"/>
  <c r="DE34" i="8"/>
  <c r="DJ176" i="8"/>
  <c r="DJ178" i="8"/>
  <c r="CL46" i="8"/>
  <c r="CM308" i="8"/>
  <c r="CM310" i="8"/>
  <c r="CL312" i="8"/>
  <c r="DA97" i="8"/>
  <c r="DB39" i="8"/>
  <c r="DC231" i="8"/>
  <c r="DC233" i="8"/>
  <c r="DB235" i="8"/>
  <c r="CL257" i="8"/>
  <c r="CM253" i="8"/>
  <c r="CM255" i="8"/>
  <c r="CL41" i="8"/>
  <c r="CV405" i="8"/>
  <c r="DE36" i="8"/>
  <c r="DJ198" i="8"/>
  <c r="DJ200" i="8"/>
  <c r="DE31" i="8"/>
  <c r="DJ143" i="8"/>
  <c r="DJ145" i="8"/>
  <c r="CK92" i="8"/>
  <c r="CJ26" i="8"/>
  <c r="CL88" i="8"/>
  <c r="CL90" i="8"/>
  <c r="CJ92" i="8"/>
  <c r="DH53" i="8"/>
  <c r="DI385" i="8"/>
  <c r="DI387" i="8"/>
  <c r="DH389" i="8"/>
  <c r="CL114" i="8"/>
  <c r="CL28" i="8"/>
  <c r="CM110" i="8"/>
  <c r="CM112" i="8"/>
  <c r="DH363" i="8"/>
  <c r="DH365" i="8"/>
  <c r="DG51" i="8"/>
  <c r="CT152" i="8"/>
  <c r="X19" i="9"/>
  <c r="DA119" i="8"/>
  <c r="DI49" i="8"/>
  <c r="DK341" i="8"/>
  <c r="DK343" i="8"/>
  <c r="DI361" i="8"/>
  <c r="DH367" i="8"/>
  <c r="CW47" i="8"/>
  <c r="CX319" i="8"/>
  <c r="CX321" i="8"/>
  <c r="CW323" i="8"/>
  <c r="DJ264" i="8"/>
  <c r="DJ266" i="8"/>
  <c r="DE42" i="8"/>
  <c r="DB187" i="8"/>
  <c r="DB189" i="8"/>
  <c r="DA35" i="8"/>
  <c r="DA191" i="8"/>
  <c r="CV163" i="8"/>
  <c r="DS383" i="8"/>
  <c r="CN165" i="8"/>
  <c r="CN167" i="8"/>
  <c r="CM169" i="8"/>
  <c r="CM33" i="8"/>
  <c r="CM42" i="8"/>
  <c r="CN264" i="8"/>
  <c r="CN266" i="8"/>
  <c r="CM268" i="8"/>
  <c r="CW163" i="8"/>
  <c r="DO264" i="8"/>
  <c r="DO266" i="8"/>
  <c r="DJ42" i="8"/>
  <c r="CX47" i="8"/>
  <c r="CY319" i="8"/>
  <c r="CX323" i="8"/>
  <c r="DK49" i="8"/>
  <c r="DL341" i="8"/>
  <c r="DL343" i="8"/>
  <c r="CL26" i="8"/>
  <c r="CM88" i="8"/>
  <c r="CM90" i="8"/>
  <c r="CL92" i="8"/>
  <c r="DO143" i="8"/>
  <c r="DO145" i="8"/>
  <c r="DJ31" i="8"/>
  <c r="DO198" i="8"/>
  <c r="DO200" i="8"/>
  <c r="DJ36" i="8"/>
  <c r="CN253" i="8"/>
  <c r="CN255" i="8"/>
  <c r="CM41" i="8"/>
  <c r="CM257" i="8"/>
  <c r="DD231" i="8"/>
  <c r="DC39" i="8"/>
  <c r="DC235" i="8"/>
  <c r="DB97" i="8"/>
  <c r="CM46" i="8"/>
  <c r="CN308" i="8"/>
  <c r="CN310" i="8"/>
  <c r="CM312" i="8"/>
  <c r="DO176" i="8"/>
  <c r="DO178" i="8"/>
  <c r="DJ34" i="8"/>
  <c r="DK352" i="8"/>
  <c r="DK354" i="8"/>
  <c r="DI50" i="8"/>
  <c r="DI356" i="8"/>
  <c r="DK240" i="8"/>
  <c r="BF327" i="3"/>
  <c r="BL327" i="3"/>
  <c r="BC327" i="3"/>
  <c r="BD327" i="3"/>
  <c r="BE327" i="3"/>
  <c r="CO48" i="8"/>
  <c r="CO334" i="8"/>
  <c r="CP334" i="8"/>
  <c r="DO418" i="8"/>
  <c r="DO420" i="8"/>
  <c r="DJ56" i="8"/>
  <c r="CT174" i="8"/>
  <c r="DE25" i="8"/>
  <c r="DJ77" i="8"/>
  <c r="DJ79" i="8"/>
  <c r="DO121" i="8"/>
  <c r="DO123" i="8"/>
  <c r="DJ29" i="8"/>
  <c r="DO297" i="8"/>
  <c r="DO299" i="8"/>
  <c r="DJ45" i="8"/>
  <c r="CL27" i="8"/>
  <c r="CM99" i="8"/>
  <c r="CM101" i="8"/>
  <c r="CL103" i="8"/>
  <c r="DB132" i="8"/>
  <c r="DB134" i="8"/>
  <c r="DA30" i="8"/>
  <c r="CN44" i="8"/>
  <c r="CO286" i="8"/>
  <c r="CN290" i="8"/>
  <c r="DJ88" i="8"/>
  <c r="DJ90" i="8"/>
  <c r="DE26" i="8"/>
  <c r="DA209" i="8"/>
  <c r="DA211" i="8"/>
  <c r="CY211" i="8"/>
  <c r="CX108" i="8"/>
  <c r="DK374" i="8"/>
  <c r="DK376" i="8"/>
  <c r="DI52" i="8"/>
  <c r="DI378" i="8"/>
  <c r="DJ378" i="8"/>
  <c r="CN297" i="8"/>
  <c r="CN299" i="8"/>
  <c r="CM45" i="8"/>
  <c r="CM301" i="8"/>
  <c r="CS86" i="8"/>
  <c r="DT110" i="8"/>
  <c r="DT112" i="8"/>
  <c r="DT28" i="8"/>
  <c r="DO28" i="8"/>
  <c r="DM229" i="8"/>
  <c r="DT154" i="8"/>
  <c r="DT156" i="8"/>
  <c r="DT32" i="8"/>
  <c r="DO32" i="8"/>
  <c r="CV196" i="8"/>
  <c r="CH79" i="8"/>
  <c r="DG251" i="8"/>
  <c r="DF185" i="8"/>
  <c r="CS295" i="8"/>
  <c r="DM339" i="8"/>
  <c r="DL345" i="8"/>
  <c r="CY141" i="8"/>
  <c r="DO99" i="8"/>
  <c r="DO101" i="8"/>
  <c r="DJ27" i="8"/>
  <c r="DI317" i="8"/>
  <c r="CL147" i="8"/>
  <c r="CM143" i="8"/>
  <c r="CM145" i="8"/>
  <c r="CL31" i="8"/>
  <c r="DI396" i="8"/>
  <c r="DI398" i="8"/>
  <c r="DH54" i="8"/>
  <c r="DH400" i="8"/>
  <c r="CL34" i="8"/>
  <c r="CM176" i="8"/>
  <c r="CM178" i="8"/>
  <c r="CL180" i="8"/>
  <c r="DC187" i="8"/>
  <c r="DC189" i="8"/>
  <c r="DB35" i="8"/>
  <c r="DB191" i="8"/>
  <c r="DK361" i="8"/>
  <c r="DB119" i="8"/>
  <c r="CV152" i="8"/>
  <c r="DI363" i="8"/>
  <c r="DI365" i="8"/>
  <c r="DI367" i="8"/>
  <c r="DJ367" i="8"/>
  <c r="DH51" i="8"/>
  <c r="CM28" i="8"/>
  <c r="CN110" i="8"/>
  <c r="CN112" i="8"/>
  <c r="CM114" i="8"/>
  <c r="DK385" i="8"/>
  <c r="DK387" i="8"/>
  <c r="DI53" i="8"/>
  <c r="DI389" i="8"/>
  <c r="DJ389" i="8"/>
  <c r="CW405" i="8"/>
  <c r="DJ356" i="8"/>
  <c r="DT330" i="8"/>
  <c r="DT332" i="8"/>
  <c r="DT48" i="8"/>
  <c r="DO48" i="8"/>
  <c r="CM418" i="8"/>
  <c r="CM420" i="8"/>
  <c r="CL56" i="8"/>
  <c r="CL422" i="8"/>
  <c r="DB130" i="8"/>
  <c r="DA136" i="8"/>
  <c r="CR330" i="8"/>
  <c r="CR332" i="8"/>
  <c r="CQ48" i="8"/>
  <c r="CQ334" i="8"/>
  <c r="DC220" i="8"/>
  <c r="DC222" i="8"/>
  <c r="DB38" i="8"/>
  <c r="CM32" i="8"/>
  <c r="CN154" i="8"/>
  <c r="CN156" i="8"/>
  <c r="CM158" i="8"/>
  <c r="CT262" i="8"/>
  <c r="DT253" i="8"/>
  <c r="DT255" i="8"/>
  <c r="DT41" i="8"/>
  <c r="DO41" i="8"/>
  <c r="DT286" i="8"/>
  <c r="DT288" i="8"/>
  <c r="DT44" i="8"/>
  <c r="DO44" i="8"/>
  <c r="DM394" i="8"/>
  <c r="CT328" i="8"/>
  <c r="CL36" i="8"/>
  <c r="CM198" i="8"/>
  <c r="CM200" i="8"/>
  <c r="CL202" i="8"/>
  <c r="DC427" i="8"/>
  <c r="DO275" i="8"/>
  <c r="DO277" i="8"/>
  <c r="DJ43" i="8"/>
  <c r="CW273" i="8"/>
  <c r="DG416" i="8"/>
  <c r="DS206" i="3"/>
  <c r="DL75" i="8"/>
  <c r="DC40" i="8"/>
  <c r="DD242" i="8"/>
  <c r="DC246" i="8"/>
  <c r="CW306" i="8"/>
  <c r="DS350" i="8"/>
  <c r="CT284" i="8"/>
  <c r="DA224" i="8"/>
  <c r="DB218" i="8"/>
  <c r="DK345" i="8"/>
  <c r="CL43" i="8"/>
  <c r="CM275" i="8"/>
  <c r="CM277" i="8"/>
  <c r="CL279" i="8"/>
  <c r="CM55" i="8"/>
  <c r="CN407" i="8"/>
  <c r="CN409" i="8"/>
  <c r="CM411" i="8"/>
  <c r="DT308" i="8"/>
  <c r="DT310" i="8"/>
  <c r="DT46" i="8"/>
  <c r="DO46" i="8"/>
  <c r="DP372" i="8"/>
  <c r="CL125" i="8"/>
  <c r="CM121" i="8"/>
  <c r="CM123" i="8"/>
  <c r="CL29" i="8"/>
  <c r="CO264" i="8"/>
  <c r="CN268" i="8"/>
  <c r="CN42" i="8"/>
  <c r="CO165" i="8"/>
  <c r="CN169" i="8"/>
  <c r="CN33" i="8"/>
  <c r="CN121" i="8"/>
  <c r="CN123" i="8"/>
  <c r="CM29" i="8"/>
  <c r="CM125" i="8"/>
  <c r="CN275" i="8"/>
  <c r="CN277" i="8"/>
  <c r="CM43" i="8"/>
  <c r="CM279" i="8"/>
  <c r="CV284" i="8"/>
  <c r="DM75" i="8"/>
  <c r="CX273" i="8"/>
  <c r="DT275" i="8"/>
  <c r="DT277" i="8"/>
  <c r="DT43" i="8"/>
  <c r="DO43" i="8"/>
  <c r="CN198" i="8"/>
  <c r="CN200" i="8"/>
  <c r="CM36" i="8"/>
  <c r="CM202" i="8"/>
  <c r="DN394" i="8"/>
  <c r="CO154" i="8"/>
  <c r="CN32" i="8"/>
  <c r="CN158" i="8"/>
  <c r="DC38" i="8"/>
  <c r="DD220" i="8"/>
  <c r="DC130" i="8"/>
  <c r="DB136" i="8"/>
  <c r="DK53" i="8"/>
  <c r="DL385" i="8"/>
  <c r="DL387" i="8"/>
  <c r="DK389" i="8"/>
  <c r="DC119" i="8"/>
  <c r="DD187" i="8"/>
  <c r="DC35" i="8"/>
  <c r="DC191" i="8"/>
  <c r="DK396" i="8"/>
  <c r="DK398" i="8"/>
  <c r="DI54" i="8"/>
  <c r="DI400" i="8"/>
  <c r="DJ400" i="8"/>
  <c r="CM31" i="8"/>
  <c r="CN143" i="8"/>
  <c r="CN145" i="8"/>
  <c r="CM147" i="8"/>
  <c r="DK317" i="8"/>
  <c r="DT99" i="8"/>
  <c r="DT101" i="8"/>
  <c r="DT27" i="8"/>
  <c r="DO27" i="8"/>
  <c r="DA141" i="8"/>
  <c r="DN339" i="8"/>
  <c r="DG185" i="8"/>
  <c r="CI77" i="8"/>
  <c r="CH25" i="8"/>
  <c r="DN229" i="8"/>
  <c r="CN45" i="8"/>
  <c r="CO297" i="8"/>
  <c r="CN301" i="8"/>
  <c r="DK52" i="8"/>
  <c r="DL374" i="8"/>
  <c r="DL376" i="8"/>
  <c r="DK378" i="8"/>
  <c r="DA37" i="8"/>
  <c r="DB209" i="8"/>
  <c r="DB211" i="8"/>
  <c r="DA213" i="8"/>
  <c r="DO88" i="8"/>
  <c r="DO90" i="8"/>
  <c r="DJ26" i="8"/>
  <c r="CO288" i="8"/>
  <c r="CQ286" i="8"/>
  <c r="CQ288" i="8"/>
  <c r="DB30" i="8"/>
  <c r="DC132" i="8"/>
  <c r="DC134" i="8"/>
  <c r="CM27" i="8"/>
  <c r="CN99" i="8"/>
  <c r="CN101" i="8"/>
  <c r="CM103" i="8"/>
  <c r="DO77" i="8"/>
  <c r="DO79" i="8"/>
  <c r="DJ25" i="8"/>
  <c r="DT418" i="8"/>
  <c r="DT420" i="8"/>
  <c r="DT56" i="8"/>
  <c r="DO56" i="8"/>
  <c r="DL240" i="8"/>
  <c r="DC97" i="8"/>
  <c r="CY321" i="8"/>
  <c r="DA319" i="8"/>
  <c r="DA321" i="8"/>
  <c r="CX163" i="8"/>
  <c r="DQ372" i="8"/>
  <c r="CO407" i="8"/>
  <c r="CN55" i="8"/>
  <c r="CN411" i="8"/>
  <c r="DC218" i="8"/>
  <c r="DB224" i="8"/>
  <c r="CX306" i="8"/>
  <c r="DF242" i="8"/>
  <c r="DF244" i="8"/>
  <c r="DD244" i="8"/>
  <c r="DH416" i="8"/>
  <c r="DD427" i="8"/>
  <c r="CV328" i="8"/>
  <c r="CV262" i="8"/>
  <c r="CS330" i="8"/>
  <c r="CS332" i="8"/>
  <c r="CR48" i="8"/>
  <c r="CR334" i="8"/>
  <c r="CN418" i="8"/>
  <c r="CN420" i="8"/>
  <c r="CM422" i="8"/>
  <c r="CM56" i="8"/>
  <c r="CX405" i="8"/>
  <c r="CO110" i="8"/>
  <c r="CN28" i="8"/>
  <c r="CN114" i="8"/>
  <c r="DK363" i="8"/>
  <c r="DK365" i="8"/>
  <c r="DI51" i="8"/>
  <c r="CW152" i="8"/>
  <c r="DL361" i="8"/>
  <c r="DK367" i="8"/>
  <c r="CN176" i="8"/>
  <c r="CN178" i="8"/>
  <c r="CM34" i="8"/>
  <c r="CM180" i="8"/>
  <c r="CT295" i="8"/>
  <c r="DH251" i="8"/>
  <c r="CH81" i="8"/>
  <c r="CW196" i="8"/>
  <c r="CT86" i="8"/>
  <c r="CY108" i="8"/>
  <c r="CY37" i="8"/>
  <c r="CY213" i="8"/>
  <c r="CZ213" i="8"/>
  <c r="DT297" i="8"/>
  <c r="DT299" i="8"/>
  <c r="DT45" i="8"/>
  <c r="DO45" i="8"/>
  <c r="DT121" i="8"/>
  <c r="DT123" i="8"/>
  <c r="DT29" i="8"/>
  <c r="DO29" i="8"/>
  <c r="CV174" i="8"/>
  <c r="BK327" i="3"/>
  <c r="BQ327" i="3"/>
  <c r="BH327" i="3"/>
  <c r="BJ327" i="3"/>
  <c r="BI327" i="3"/>
  <c r="DL352" i="8"/>
  <c r="DL354" i="8"/>
  <c r="DK50" i="8"/>
  <c r="DK356" i="8"/>
  <c r="DT176" i="8"/>
  <c r="DT178" i="8"/>
  <c r="DT34" i="8"/>
  <c r="DO34" i="8"/>
  <c r="CN46" i="8"/>
  <c r="CO308" i="8"/>
  <c r="CN312" i="8"/>
  <c r="DD233" i="8"/>
  <c r="DF231" i="8"/>
  <c r="DF233" i="8"/>
  <c r="CN41" i="8"/>
  <c r="CO253" i="8"/>
  <c r="CN257" i="8"/>
  <c r="DT198" i="8"/>
  <c r="DT200" i="8"/>
  <c r="DT36" i="8"/>
  <c r="DO36" i="8"/>
  <c r="DT143" i="8"/>
  <c r="DT145" i="8"/>
  <c r="DT31" i="8"/>
  <c r="DO31" i="8"/>
  <c r="CN88" i="8"/>
  <c r="CN90" i="8"/>
  <c r="CM26" i="8"/>
  <c r="CM92" i="8"/>
  <c r="DM341" i="8"/>
  <c r="DM343" i="8"/>
  <c r="DL49" i="8"/>
  <c r="DT264" i="8"/>
  <c r="DT266" i="8"/>
  <c r="DT42" i="8"/>
  <c r="DO42" i="8"/>
  <c r="CQ165" i="8"/>
  <c r="CQ167" i="8"/>
  <c r="CO167" i="8"/>
  <c r="CQ264" i="8"/>
  <c r="CQ266" i="8"/>
  <c r="CO266" i="8"/>
  <c r="DM49" i="8"/>
  <c r="DN341" i="8"/>
  <c r="DN343" i="8"/>
  <c r="CO88" i="8"/>
  <c r="CN26" i="8"/>
  <c r="CN92" i="8"/>
  <c r="DD39" i="8"/>
  <c r="DD235" i="8"/>
  <c r="DE235" i="8"/>
  <c r="DA108" i="8"/>
  <c r="CV86" i="8"/>
  <c r="CH19" i="8"/>
  <c r="DI251" i="8"/>
  <c r="DM361" i="8"/>
  <c r="CX152" i="8"/>
  <c r="CQ110" i="8"/>
  <c r="CQ112" i="8"/>
  <c r="CO112" i="8"/>
  <c r="CY405" i="8"/>
  <c r="CS48" i="8"/>
  <c r="CT330" i="8"/>
  <c r="CS334" i="8"/>
  <c r="DH427" i="8"/>
  <c r="DI427" i="8"/>
  <c r="DM427" i="8"/>
  <c r="DN427" i="8" s="1"/>
  <c r="DP427" i="8" s="1"/>
  <c r="DQ427" i="8" s="1"/>
  <c r="DR427" i="8" s="1"/>
  <c r="DS427" i="8" s="1"/>
  <c r="DG242" i="8"/>
  <c r="DG244" i="8"/>
  <c r="DF40" i="8"/>
  <c r="DF246" i="8"/>
  <c r="DC224" i="8"/>
  <c r="DD218" i="8"/>
  <c r="CY47" i="8"/>
  <c r="CY323" i="8"/>
  <c r="CZ323" i="8"/>
  <c r="DM240" i="8"/>
  <c r="DC30" i="8"/>
  <c r="DD132" i="8"/>
  <c r="CO44" i="8"/>
  <c r="CO290" i="8"/>
  <c r="CP290" i="8"/>
  <c r="DT88" i="8"/>
  <c r="DT90" i="8"/>
  <c r="DT26" i="8"/>
  <c r="DO26" i="8"/>
  <c r="DC209" i="8"/>
  <c r="DC211" i="8"/>
  <c r="DB37" i="8"/>
  <c r="DB213" i="8"/>
  <c r="CQ297" i="8"/>
  <c r="CQ299" i="8"/>
  <c r="CO299" i="8"/>
  <c r="CI79" i="8"/>
  <c r="DH185" i="8"/>
  <c r="DM345" i="8"/>
  <c r="DL317" i="8"/>
  <c r="CO143" i="8"/>
  <c r="CN31" i="8"/>
  <c r="CN147" i="8"/>
  <c r="DM385" i="8"/>
  <c r="DM387" i="8"/>
  <c r="DL53" i="8"/>
  <c r="DL389" i="8"/>
  <c r="DD222" i="8"/>
  <c r="DD38" i="8"/>
  <c r="DF220" i="8"/>
  <c r="DF222" i="8"/>
  <c r="CQ154" i="8"/>
  <c r="CQ156" i="8"/>
  <c r="CO156" i="8"/>
  <c r="DP394" i="8"/>
  <c r="CO198" i="8"/>
  <c r="CO200" i="8"/>
  <c r="CN36" i="8"/>
  <c r="CN202" i="8"/>
  <c r="CY273" i="8"/>
  <c r="DN75" i="8"/>
  <c r="CW284" i="8"/>
  <c r="CO255" i="8"/>
  <c r="CQ253" i="8"/>
  <c r="CQ255" i="8"/>
  <c r="DG231" i="8"/>
  <c r="DG233" i="8"/>
  <c r="DF39" i="8"/>
  <c r="DF235" i="8"/>
  <c r="CQ308" i="8"/>
  <c r="CQ310" i="8"/>
  <c r="CO310" i="8"/>
  <c r="DM352" i="8"/>
  <c r="DM354" i="8"/>
  <c r="DL50" i="8"/>
  <c r="DL356" i="8"/>
  <c r="BV327" i="3"/>
  <c r="BM327" i="3"/>
  <c r="BO327" i="3"/>
  <c r="BP327" i="3"/>
  <c r="BN327" i="3"/>
  <c r="CW174" i="8"/>
  <c r="CX196" i="8"/>
  <c r="CV295" i="8"/>
  <c r="CN34" i="8"/>
  <c r="CO176" i="8"/>
  <c r="CN180" i="8"/>
  <c r="DL363" i="8"/>
  <c r="DL365" i="8"/>
  <c r="DK51" i="8"/>
  <c r="CN422" i="8"/>
  <c r="CO418" i="8"/>
  <c r="CO420" i="8"/>
  <c r="CN56" i="8"/>
  <c r="CW262" i="8"/>
  <c r="CW328" i="8"/>
  <c r="DI416" i="8"/>
  <c r="DD40" i="8"/>
  <c r="DD246" i="8"/>
  <c r="DE246" i="8"/>
  <c r="CY306" i="8"/>
  <c r="CQ407" i="8"/>
  <c r="CQ409" i="8"/>
  <c r="CO409" i="8"/>
  <c r="DR372" i="8"/>
  <c r="CY163" i="8"/>
  <c r="DB319" i="8"/>
  <c r="DB321" i="8"/>
  <c r="DA47" i="8"/>
  <c r="DA323" i="8"/>
  <c r="DD97" i="8"/>
  <c r="DT77" i="8"/>
  <c r="DT79" i="8"/>
  <c r="DO25" i="8"/>
  <c r="CO99" i="8"/>
  <c r="CN27" i="8"/>
  <c r="CN103" i="8"/>
  <c r="CQ44" i="8"/>
  <c r="CR286" i="8"/>
  <c r="CR288" i="8"/>
  <c r="CQ290" i="8"/>
  <c r="DL52" i="8"/>
  <c r="DM374" i="8"/>
  <c r="DM376" i="8"/>
  <c r="DL378" i="8"/>
  <c r="DP229" i="8"/>
  <c r="DP339" i="8"/>
  <c r="DB141" i="8"/>
  <c r="DK54" i="8"/>
  <c r="DL396" i="8"/>
  <c r="DL398" i="8"/>
  <c r="DK400" i="8"/>
  <c r="DF187" i="8"/>
  <c r="DF189" i="8"/>
  <c r="DD189" i="8"/>
  <c r="DD119" i="8"/>
  <c r="DD130" i="8"/>
  <c r="DC136" i="8"/>
  <c r="CO275" i="8"/>
  <c r="CN43" i="8"/>
  <c r="CN279" i="8"/>
  <c r="CO121" i="8"/>
  <c r="CN29" i="8"/>
  <c r="CN125" i="8"/>
  <c r="CO268" i="8"/>
  <c r="CP268" i="8"/>
  <c r="CO42" i="8"/>
  <c r="CO33" i="8"/>
  <c r="CO169" i="8"/>
  <c r="CP169" i="8"/>
  <c r="CR264" i="8"/>
  <c r="CR266" i="8"/>
  <c r="CQ268" i="8"/>
  <c r="CQ42" i="8"/>
  <c r="CQ33" i="8"/>
  <c r="CR165" i="8"/>
  <c r="CR167" i="8"/>
  <c r="CQ169" i="8"/>
  <c r="CQ121" i="8"/>
  <c r="CQ123" i="8"/>
  <c r="CO123" i="8"/>
  <c r="CQ275" i="8"/>
  <c r="CQ277" i="8"/>
  <c r="CO277" i="8"/>
  <c r="DJ229" i="3"/>
  <c r="DO229" i="3" s="1"/>
  <c r="DT229" i="3" s="1"/>
  <c r="DY229" i="3" s="1"/>
  <c r="DG187" i="8"/>
  <c r="DG189" i="8"/>
  <c r="DF35" i="8"/>
  <c r="DF191" i="8"/>
  <c r="DQ339" i="8"/>
  <c r="DT25" i="8"/>
  <c r="DC319" i="8"/>
  <c r="DC321" i="8"/>
  <c r="DB47" i="8"/>
  <c r="DB323" i="8"/>
  <c r="DA163" i="8"/>
  <c r="DS372" i="8"/>
  <c r="CR407" i="8"/>
  <c r="CR409" i="8"/>
  <c r="CQ55" i="8"/>
  <c r="CQ411" i="8"/>
  <c r="DA306" i="8"/>
  <c r="DK416" i="8"/>
  <c r="CX262" i="8"/>
  <c r="CQ418" i="8"/>
  <c r="CQ420" i="8"/>
  <c r="CO56" i="8"/>
  <c r="CO422" i="8"/>
  <c r="CP422" i="8"/>
  <c r="DM363" i="8"/>
  <c r="DM365" i="8"/>
  <c r="DL51" i="8"/>
  <c r="CQ176" i="8"/>
  <c r="CQ178" i="8"/>
  <c r="CO178" i="8"/>
  <c r="CY196" i="8"/>
  <c r="CX174" i="8"/>
  <c r="CQ46" i="8"/>
  <c r="CR308" i="8"/>
  <c r="CR310" i="8"/>
  <c r="CQ312" i="8"/>
  <c r="DH231" i="8"/>
  <c r="DH233" i="8"/>
  <c r="DG39" i="8"/>
  <c r="DG235" i="8"/>
  <c r="CO41" i="8"/>
  <c r="CO257" i="8"/>
  <c r="CP257" i="8"/>
  <c r="CX284" i="8"/>
  <c r="DP75" i="8"/>
  <c r="DA273" i="8"/>
  <c r="CQ198" i="8"/>
  <c r="CQ200" i="8"/>
  <c r="CO36" i="8"/>
  <c r="CO202" i="8"/>
  <c r="CP202" i="8"/>
  <c r="DQ394" i="8"/>
  <c r="CO32" i="8"/>
  <c r="CO158" i="8"/>
  <c r="CP158" i="8"/>
  <c r="CQ143" i="8"/>
  <c r="CQ145" i="8"/>
  <c r="CO145" i="8"/>
  <c r="DM317" i="8"/>
  <c r="CI25" i="8"/>
  <c r="CJ77" i="8"/>
  <c r="CR297" i="8"/>
  <c r="CR299" i="8"/>
  <c r="CQ45" i="8"/>
  <c r="CQ301" i="8"/>
  <c r="DD134" i="8"/>
  <c r="DD30" i="8"/>
  <c r="DF132" i="8"/>
  <c r="DF134" i="8"/>
  <c r="DN240" i="8"/>
  <c r="DG40" i="8"/>
  <c r="DH242" i="8"/>
  <c r="DH244" i="8"/>
  <c r="DG246" i="8"/>
  <c r="CV330" i="8"/>
  <c r="CV332" i="8"/>
  <c r="CT332" i="8"/>
  <c r="DA405" i="8"/>
  <c r="CR110" i="8"/>
  <c r="CR112" i="8"/>
  <c r="CQ28" i="8"/>
  <c r="CQ114" i="8"/>
  <c r="DL367" i="8"/>
  <c r="DK251" i="8"/>
  <c r="CQ88" i="8"/>
  <c r="CQ90" i="8"/>
  <c r="CO90" i="8"/>
  <c r="DP341" i="8"/>
  <c r="DP343" i="8"/>
  <c r="DP345" i="8"/>
  <c r="DN49" i="8"/>
  <c r="DF130" i="8"/>
  <c r="DD136" i="8"/>
  <c r="DE136" i="8"/>
  <c r="DF119" i="8"/>
  <c r="DD35" i="8"/>
  <c r="DD191" i="8"/>
  <c r="DE191" i="8"/>
  <c r="DL54" i="8"/>
  <c r="DM396" i="8"/>
  <c r="DM398" i="8"/>
  <c r="DL400" i="8"/>
  <c r="DC141" i="8"/>
  <c r="DN345" i="8"/>
  <c r="DO345" i="8"/>
  <c r="DQ229" i="8"/>
  <c r="DM52" i="8"/>
  <c r="DN374" i="8"/>
  <c r="DN376" i="8"/>
  <c r="DM378" i="8"/>
  <c r="CS286" i="8"/>
  <c r="CS288" i="8"/>
  <c r="CR44" i="8"/>
  <c r="CR290" i="8"/>
  <c r="CQ99" i="8"/>
  <c r="CQ101" i="8"/>
  <c r="CO101" i="8"/>
  <c r="DF97" i="8"/>
  <c r="CO55" i="8"/>
  <c r="CO411" i="8"/>
  <c r="CP411" i="8"/>
  <c r="CX328" i="8"/>
  <c r="CW295" i="8"/>
  <c r="CA327" i="3"/>
  <c r="BR327" i="3"/>
  <c r="BT327" i="3"/>
  <c r="BU327" i="3"/>
  <c r="BS327" i="3"/>
  <c r="DM50" i="8"/>
  <c r="DN352" i="8"/>
  <c r="DN354" i="8"/>
  <c r="DM356" i="8"/>
  <c r="CO46" i="8"/>
  <c r="CO312" i="8"/>
  <c r="CP312" i="8"/>
  <c r="CR253" i="8"/>
  <c r="CR255" i="8"/>
  <c r="CQ41" i="8"/>
  <c r="CQ257" i="8"/>
  <c r="CQ32" i="8"/>
  <c r="CR154" i="8"/>
  <c r="CR156" i="8"/>
  <c r="CQ158" i="8"/>
  <c r="DG220" i="8"/>
  <c r="DG222" i="8"/>
  <c r="DF38" i="8"/>
  <c r="DN385" i="8"/>
  <c r="DN387" i="8"/>
  <c r="DM53" i="8"/>
  <c r="DM389" i="8"/>
  <c r="DI185" i="8"/>
  <c r="CI81" i="8"/>
  <c r="CO45" i="8"/>
  <c r="CO301" i="8"/>
  <c r="CP301" i="8"/>
  <c r="DD209" i="8"/>
  <c r="DC37" i="8"/>
  <c r="DC213" i="8"/>
  <c r="DF218" i="8"/>
  <c r="DD224" i="8"/>
  <c r="DE224" i="8"/>
  <c r="CO28" i="8"/>
  <c r="CO114" i="8"/>
  <c r="CP114" i="8"/>
  <c r="CY152" i="8"/>
  <c r="DN361" i="8"/>
  <c r="CW86" i="8"/>
  <c r="DB108" i="8"/>
  <c r="CR33" i="8"/>
  <c r="CS165" i="8"/>
  <c r="CS167" i="8"/>
  <c r="CR169" i="8"/>
  <c r="CR42" i="8"/>
  <c r="CS264" i="8"/>
  <c r="CS266" i="8"/>
  <c r="CR268" i="8"/>
  <c r="DP361" i="8"/>
  <c r="DA152" i="8"/>
  <c r="DG218" i="8"/>
  <c r="DF224" i="8"/>
  <c r="DD211" i="8"/>
  <c r="DF209" i="8"/>
  <c r="DF211" i="8"/>
  <c r="DK185" i="8"/>
  <c r="DH220" i="8"/>
  <c r="DH222" i="8"/>
  <c r="DG38" i="8"/>
  <c r="CS154" i="8"/>
  <c r="CS156" i="8"/>
  <c r="CR32" i="8"/>
  <c r="CR158" i="8"/>
  <c r="CS253" i="8"/>
  <c r="CS255" i="8"/>
  <c r="CR41" i="8"/>
  <c r="CR257" i="8"/>
  <c r="DP352" i="8"/>
  <c r="DP354" i="8"/>
  <c r="DN50" i="8"/>
  <c r="DN356" i="8"/>
  <c r="DG97" i="8"/>
  <c r="CR99" i="8"/>
  <c r="CR101" i="8"/>
  <c r="CQ27" i="8"/>
  <c r="CQ103" i="8"/>
  <c r="CT286" i="8"/>
  <c r="CS44" i="8"/>
  <c r="CS290" i="8"/>
  <c r="DD141" i="8"/>
  <c r="CO26" i="8"/>
  <c r="CO92" i="8"/>
  <c r="CP92" i="8"/>
  <c r="CR28" i="8"/>
  <c r="CS110" i="8"/>
  <c r="CS112" i="8"/>
  <c r="CR114" i="8"/>
  <c r="DB405" i="8"/>
  <c r="CW330" i="8"/>
  <c r="CW332" i="8"/>
  <c r="CV48" i="8"/>
  <c r="CV334" i="8"/>
  <c r="DI242" i="8"/>
  <c r="DH40" i="8"/>
  <c r="DH246" i="8"/>
  <c r="DP240" i="8"/>
  <c r="DG132" i="8"/>
  <c r="DG134" i="8"/>
  <c r="DF30" i="8"/>
  <c r="CR45" i="8"/>
  <c r="CS297" i="8"/>
  <c r="CS299" i="8"/>
  <c r="CR301" i="8"/>
  <c r="DN317" i="8"/>
  <c r="CO31" i="8"/>
  <c r="CO147" i="8"/>
  <c r="CP147" i="8"/>
  <c r="DR394" i="8"/>
  <c r="CR198" i="8"/>
  <c r="CR200" i="8"/>
  <c r="CQ36" i="8"/>
  <c r="CQ202" i="8"/>
  <c r="DB273" i="8"/>
  <c r="CY284" i="8"/>
  <c r="DH39" i="8"/>
  <c r="DI231" i="8"/>
  <c r="DH235" i="8"/>
  <c r="DA196" i="8"/>
  <c r="CO34" i="8"/>
  <c r="CO180" i="8"/>
  <c r="CP180" i="8"/>
  <c r="DN363" i="8"/>
  <c r="DN365" i="8"/>
  <c r="DM51" i="8"/>
  <c r="CR418" i="8"/>
  <c r="CR420" i="8"/>
  <c r="CQ422" i="8"/>
  <c r="CQ56" i="8"/>
  <c r="DB306" i="8"/>
  <c r="DH187" i="8"/>
  <c r="DH189" i="8"/>
  <c r="DG35" i="8"/>
  <c r="DG191" i="8"/>
  <c r="CR275" i="8"/>
  <c r="CR277" i="8"/>
  <c r="CQ43" i="8"/>
  <c r="CQ279" i="8"/>
  <c r="CO29" i="8"/>
  <c r="CO125" i="8"/>
  <c r="CP125" i="8"/>
  <c r="DC108" i="8"/>
  <c r="CX86" i="8"/>
  <c r="DM367" i="8"/>
  <c r="DP385" i="8"/>
  <c r="DP387" i="8"/>
  <c r="DN53" i="8"/>
  <c r="DN389" i="8"/>
  <c r="DO389" i="8"/>
  <c r="DO356" i="8"/>
  <c r="BW327" i="3"/>
  <c r="BY327" i="3"/>
  <c r="BX327" i="3"/>
  <c r="BZ327" i="3"/>
  <c r="CF327" i="3"/>
  <c r="CX295" i="8"/>
  <c r="CY328" i="8"/>
  <c r="CO27" i="8"/>
  <c r="CO103" i="8"/>
  <c r="CP103" i="8"/>
  <c r="DP374" i="8"/>
  <c r="DP376" i="8"/>
  <c r="DN52" i="8"/>
  <c r="DN378" i="8"/>
  <c r="DO378" i="8"/>
  <c r="DR229" i="8"/>
  <c r="DM54" i="8"/>
  <c r="DN396" i="8"/>
  <c r="DN398" i="8"/>
  <c r="DM400" i="8"/>
  <c r="DG119" i="8"/>
  <c r="DG130" i="8"/>
  <c r="DF136" i="8"/>
  <c r="DQ341" i="8"/>
  <c r="DQ343" i="8"/>
  <c r="DP49" i="8"/>
  <c r="CR88" i="8"/>
  <c r="CR90" i="8"/>
  <c r="CQ26" i="8"/>
  <c r="CQ92" i="8"/>
  <c r="DL251" i="8"/>
  <c r="CT48" i="8"/>
  <c r="CT334" i="8"/>
  <c r="CU334" i="8"/>
  <c r="CJ81" i="8"/>
  <c r="CJ79" i="8"/>
  <c r="CQ31" i="8"/>
  <c r="CR143" i="8"/>
  <c r="CR145" i="8"/>
  <c r="CQ147" i="8"/>
  <c r="DQ75" i="8"/>
  <c r="CR46" i="8"/>
  <c r="CS308" i="8"/>
  <c r="CS310" i="8"/>
  <c r="CR312" i="8"/>
  <c r="CY174" i="8"/>
  <c r="CR176" i="8"/>
  <c r="CR178" i="8"/>
  <c r="CQ34" i="8"/>
  <c r="CQ180" i="8"/>
  <c r="CY262" i="8"/>
  <c r="DL416" i="8"/>
  <c r="CS407" i="8"/>
  <c r="CS409" i="8"/>
  <c r="CR55" i="8"/>
  <c r="CR411" i="8"/>
  <c r="DB163" i="8"/>
  <c r="DC47" i="8"/>
  <c r="DD319" i="8"/>
  <c r="DC323" i="8"/>
  <c r="DR339" i="8"/>
  <c r="DQ345" i="8"/>
  <c r="AX26" i="5"/>
  <c r="AT26" i="9"/>
  <c r="CO43" i="8"/>
  <c r="CO279" i="8"/>
  <c r="CP279" i="8"/>
  <c r="CQ29" i="8"/>
  <c r="CR121" i="8"/>
  <c r="CR123" i="8"/>
  <c r="CQ125" i="8"/>
  <c r="CT165" i="8"/>
  <c r="CS33" i="8"/>
  <c r="CS169" i="8"/>
  <c r="CS42" i="8"/>
  <c r="CT264" i="8"/>
  <c r="CS268" i="8"/>
  <c r="DD321" i="8"/>
  <c r="DF319" i="8"/>
  <c r="DF321" i="8"/>
  <c r="CS55" i="8"/>
  <c r="CT407" i="8"/>
  <c r="CS411" i="8"/>
  <c r="DM416" i="8"/>
  <c r="DA262" i="8"/>
  <c r="DR75" i="8"/>
  <c r="CS143" i="8"/>
  <c r="CS145" i="8"/>
  <c r="CR31" i="8"/>
  <c r="CR147" i="8"/>
  <c r="DH130" i="8"/>
  <c r="DG136" i="8"/>
  <c r="DH119" i="8"/>
  <c r="DQ374" i="8"/>
  <c r="DQ376" i="8"/>
  <c r="DP52" i="8"/>
  <c r="DP378" i="8"/>
  <c r="CY295" i="8"/>
  <c r="DQ385" i="8"/>
  <c r="DQ387" i="8"/>
  <c r="DP53" i="8"/>
  <c r="DP389" i="8"/>
  <c r="DD108" i="8"/>
  <c r="DC306" i="8"/>
  <c r="CS418" i="8"/>
  <c r="CS420" i="8"/>
  <c r="CR56" i="8"/>
  <c r="CR422" i="8"/>
  <c r="DP363" i="8"/>
  <c r="DP365" i="8"/>
  <c r="DN51" i="8"/>
  <c r="DB196" i="8"/>
  <c r="DK231" i="8"/>
  <c r="DK233" i="8"/>
  <c r="DI233" i="8"/>
  <c r="CS198" i="8"/>
  <c r="CS200" i="8"/>
  <c r="CR36" i="8"/>
  <c r="CR202" i="8"/>
  <c r="DS394" i="8"/>
  <c r="AT27" i="9"/>
  <c r="AT28" i="9" s="1"/>
  <c r="DQ240" i="8"/>
  <c r="CX330" i="8"/>
  <c r="CX332" i="8"/>
  <c r="CW48" i="8"/>
  <c r="CW334" i="8"/>
  <c r="DC405" i="8"/>
  <c r="CS28" i="8"/>
  <c r="CT110" i="8"/>
  <c r="CS114" i="8"/>
  <c r="DF141" i="8"/>
  <c r="CV286" i="8"/>
  <c r="CV288" i="8"/>
  <c r="CT288" i="8"/>
  <c r="CS99" i="8"/>
  <c r="CS101" i="8"/>
  <c r="CR27" i="8"/>
  <c r="CR103" i="8"/>
  <c r="DH97" i="8"/>
  <c r="DL185" i="8"/>
  <c r="DG209" i="8"/>
  <c r="DG211" i="8"/>
  <c r="DF37" i="8"/>
  <c r="DF213" i="8"/>
  <c r="DH218" i="8"/>
  <c r="DG224" i="8"/>
  <c r="DN367" i="8"/>
  <c r="DO367" i="8"/>
  <c r="CS121" i="8"/>
  <c r="CS123" i="8"/>
  <c r="CR29" i="8"/>
  <c r="CR125" i="8"/>
  <c r="DS339" i="8"/>
  <c r="DC163" i="8"/>
  <c r="CS176" i="8"/>
  <c r="CS178" i="8"/>
  <c r="CR34" i="8"/>
  <c r="CR180" i="8"/>
  <c r="DA174" i="8"/>
  <c r="CS46" i="8"/>
  <c r="CT308" i="8"/>
  <c r="CS312" i="8"/>
  <c r="CL77" i="8"/>
  <c r="CJ25" i="8"/>
  <c r="DM251" i="8"/>
  <c r="CS88" i="8"/>
  <c r="CS90" i="8"/>
  <c r="CR26" i="8"/>
  <c r="CR92" i="8"/>
  <c r="DR341" i="8"/>
  <c r="DR343" i="8"/>
  <c r="DQ49" i="8"/>
  <c r="DP396" i="8"/>
  <c r="DP398" i="8"/>
  <c r="DN54" i="8"/>
  <c r="DN400" i="8"/>
  <c r="DO400" i="8"/>
  <c r="DS229" i="8"/>
  <c r="DA328" i="8"/>
  <c r="CE327" i="3"/>
  <c r="CK327" i="3"/>
  <c r="CB327" i="3"/>
  <c r="CC327" i="3"/>
  <c r="CD327" i="3"/>
  <c r="CY86" i="8"/>
  <c r="CS275" i="8"/>
  <c r="CS277" i="8"/>
  <c r="CR43" i="8"/>
  <c r="CR279" i="8"/>
  <c r="DH35" i="8"/>
  <c r="DI187" i="8"/>
  <c r="DH191" i="8"/>
  <c r="DA284" i="8"/>
  <c r="DC273" i="8"/>
  <c r="DP317" i="8"/>
  <c r="CS45" i="8"/>
  <c r="CT297" i="8"/>
  <c r="CS301" i="8"/>
  <c r="DH132" i="8"/>
  <c r="DH134" i="8"/>
  <c r="DG30" i="8"/>
  <c r="DK242" i="8"/>
  <c r="DK244" i="8"/>
  <c r="DI244" i="8"/>
  <c r="DQ352" i="8"/>
  <c r="DQ354" i="8"/>
  <c r="DP50" i="8"/>
  <c r="DP356" i="8"/>
  <c r="CS41" i="8"/>
  <c r="CT253" i="8"/>
  <c r="CS257" i="8"/>
  <c r="CS32" i="8"/>
  <c r="CT154" i="8"/>
  <c r="CS158" i="8"/>
  <c r="DH38" i="8"/>
  <c r="DI220" i="8"/>
  <c r="CK81" i="8"/>
  <c r="DD37" i="8"/>
  <c r="DD213" i="8"/>
  <c r="DE213" i="8"/>
  <c r="DB152" i="8"/>
  <c r="DQ361" i="8"/>
  <c r="DP367" i="8"/>
  <c r="CT266" i="8"/>
  <c r="CV264" i="8"/>
  <c r="CV266" i="8"/>
  <c r="CV165" i="8"/>
  <c r="CV167" i="8"/>
  <c r="CT167" i="8"/>
  <c r="AT31" i="9"/>
  <c r="AX32" i="5"/>
  <c r="CT156" i="8"/>
  <c r="CV154" i="8"/>
  <c r="CV156" i="8"/>
  <c r="DI40" i="8"/>
  <c r="DI246" i="8"/>
  <c r="DJ246" i="8"/>
  <c r="DI132" i="8"/>
  <c r="DH30" i="8"/>
  <c r="CV297" i="8"/>
  <c r="CV299" i="8"/>
  <c r="CT299" i="8"/>
  <c r="DI189" i="8"/>
  <c r="DK187" i="8"/>
  <c r="DK189" i="8"/>
  <c r="DA86" i="8"/>
  <c r="DF65" i="8"/>
  <c r="DF165" i="3"/>
  <c r="CI327" i="3"/>
  <c r="CH327" i="3"/>
  <c r="CJ327" i="3"/>
  <c r="CG327" i="3"/>
  <c r="CP327" i="3"/>
  <c r="CS26" i="8"/>
  <c r="CT88" i="8"/>
  <c r="CS92" i="8"/>
  <c r="DB174" i="8"/>
  <c r="CT121" i="8"/>
  <c r="CS29" i="8"/>
  <c r="CS125" i="8"/>
  <c r="DH224" i="8"/>
  <c r="DI218" i="8"/>
  <c r="DI97" i="8"/>
  <c r="CS27" i="8"/>
  <c r="CT99" i="8"/>
  <c r="CS103" i="8"/>
  <c r="CT44" i="8"/>
  <c r="CT290" i="8"/>
  <c r="CU290" i="8"/>
  <c r="DG141" i="8"/>
  <c r="CV110" i="8"/>
  <c r="CV112" i="8"/>
  <c r="CT112" i="8"/>
  <c r="CX48" i="8"/>
  <c r="CY330" i="8"/>
  <c r="CX334" i="8"/>
  <c r="DR240" i="8"/>
  <c r="DL231" i="8"/>
  <c r="DL233" i="8"/>
  <c r="DK39" i="8"/>
  <c r="DK235" i="8"/>
  <c r="DC196" i="8"/>
  <c r="DQ363" i="8"/>
  <c r="DQ365" i="8"/>
  <c r="DP51" i="8"/>
  <c r="DR374" i="8"/>
  <c r="DR376" i="8"/>
  <c r="DQ52" i="8"/>
  <c r="DQ378" i="8"/>
  <c r="DI119" i="8"/>
  <c r="DI130" i="8"/>
  <c r="DH136" i="8"/>
  <c r="CS31" i="8"/>
  <c r="CT143" i="8"/>
  <c r="CS147" i="8"/>
  <c r="DD47" i="8"/>
  <c r="DD323" i="8"/>
  <c r="DE323" i="8"/>
  <c r="DR361" i="8"/>
  <c r="DQ367" i="8"/>
  <c r="DC152" i="8"/>
  <c r="DK220" i="8"/>
  <c r="DK222" i="8"/>
  <c r="DI222" i="8"/>
  <c r="DI38" i="8"/>
  <c r="CV253" i="8"/>
  <c r="CV255" i="8"/>
  <c r="CT255" i="8"/>
  <c r="DR352" i="8"/>
  <c r="DR354" i="8"/>
  <c r="DQ50" i="8"/>
  <c r="DQ356" i="8"/>
  <c r="DK40" i="8"/>
  <c r="DL242" i="8"/>
  <c r="DL244" i="8"/>
  <c r="DK246" i="8"/>
  <c r="DQ317" i="8"/>
  <c r="DD273" i="8"/>
  <c r="DB284" i="8"/>
  <c r="CT275" i="8"/>
  <c r="CT277" i="8"/>
  <c r="CS43" i="8"/>
  <c r="CS279" i="8"/>
  <c r="DB328" i="8"/>
  <c r="DQ396" i="8"/>
  <c r="DQ398" i="8"/>
  <c r="DP54" i="8"/>
  <c r="DP400" i="8"/>
  <c r="DS341" i="8"/>
  <c r="DS343" i="8"/>
  <c r="DS49" i="8"/>
  <c r="DR49" i="8"/>
  <c r="DN251" i="8"/>
  <c r="CL79" i="8"/>
  <c r="CV308" i="8"/>
  <c r="CV310" i="8"/>
  <c r="CT310" i="8"/>
  <c r="CS34" i="8"/>
  <c r="CT176" i="8"/>
  <c r="CS180" i="8"/>
  <c r="DD163" i="8"/>
  <c r="DR345" i="8"/>
  <c r="DG37" i="8"/>
  <c r="DH209" i="8"/>
  <c r="DH211" i="8"/>
  <c r="DG213" i="8"/>
  <c r="DM185" i="8"/>
  <c r="CW286" i="8"/>
  <c r="CW288" i="8"/>
  <c r="CV44" i="8"/>
  <c r="CV290" i="8"/>
  <c r="DD405" i="8"/>
  <c r="CT198" i="8"/>
  <c r="CS36" i="8"/>
  <c r="CS202" i="8"/>
  <c r="DI39" i="8"/>
  <c r="DI235" i="8"/>
  <c r="DJ235" i="8"/>
  <c r="CS56" i="8"/>
  <c r="CT418" i="8"/>
  <c r="CS422" i="8"/>
  <c r="DD306" i="8"/>
  <c r="DF108" i="8"/>
  <c r="DR385" i="8"/>
  <c r="DR387" i="8"/>
  <c r="DQ53" i="8"/>
  <c r="DQ389" i="8"/>
  <c r="DA295" i="8"/>
  <c r="DS75" i="8"/>
  <c r="DB262" i="8"/>
  <c r="DN416" i="8"/>
  <c r="CV407" i="8"/>
  <c r="CV409" i="8"/>
  <c r="CT409" i="8"/>
  <c r="DF47" i="8"/>
  <c r="DG319" i="8"/>
  <c r="DG321" i="8"/>
  <c r="DF323" i="8"/>
  <c r="DS345" i="8"/>
  <c r="CT169" i="8"/>
  <c r="CU169" i="8"/>
  <c r="CT33" i="8"/>
  <c r="CV42" i="8"/>
  <c r="CW264" i="8"/>
  <c r="CW266" i="8"/>
  <c r="CV268" i="8"/>
  <c r="DT345" i="8"/>
  <c r="CV33" i="8"/>
  <c r="CV169" i="8"/>
  <c r="CW165" i="8"/>
  <c r="CW167" i="8"/>
  <c r="CT42" i="8"/>
  <c r="CT268" i="8"/>
  <c r="CU268" i="8"/>
  <c r="CV55" i="8"/>
  <c r="CW407" i="8"/>
  <c r="CW409" i="8"/>
  <c r="CV411" i="8"/>
  <c r="DP416" i="8"/>
  <c r="DC262" i="8"/>
  <c r="DS385" i="8"/>
  <c r="DS387" i="8"/>
  <c r="DR53" i="8"/>
  <c r="DR389" i="8"/>
  <c r="CV198" i="8"/>
  <c r="CV200" i="8"/>
  <c r="CT200" i="8"/>
  <c r="CW44" i="8"/>
  <c r="CX286" i="8"/>
  <c r="CX288" i="8"/>
  <c r="CW290" i="8"/>
  <c r="CT46" i="8"/>
  <c r="CT312" i="8"/>
  <c r="CU312" i="8"/>
  <c r="CL25" i="8"/>
  <c r="CM77" i="8"/>
  <c r="DC328" i="8"/>
  <c r="CV275" i="8"/>
  <c r="CV277" i="8"/>
  <c r="CT43" i="8"/>
  <c r="CT279" i="8"/>
  <c r="CU279" i="8"/>
  <c r="DF273" i="8"/>
  <c r="DR317" i="8"/>
  <c r="DM242" i="8"/>
  <c r="DM244" i="8"/>
  <c r="DL40" i="8"/>
  <c r="DL246" i="8"/>
  <c r="CW253" i="8"/>
  <c r="CW255" i="8"/>
  <c r="CV41" i="8"/>
  <c r="CV257" i="8"/>
  <c r="DD152" i="8"/>
  <c r="DS361" i="8"/>
  <c r="CT145" i="8"/>
  <c r="CV143" i="8"/>
  <c r="CV145" i="8"/>
  <c r="DS374" i="8"/>
  <c r="DS376" i="8"/>
  <c r="DR52" i="8"/>
  <c r="DR378" i="8"/>
  <c r="DD196" i="8"/>
  <c r="DS240" i="8"/>
  <c r="CW110" i="8"/>
  <c r="CW112" i="8"/>
  <c r="CV28" i="8"/>
  <c r="CV114" i="8"/>
  <c r="DH141" i="8"/>
  <c r="CV99" i="8"/>
  <c r="CV101" i="8"/>
  <c r="CT101" i="8"/>
  <c r="CU327" i="3"/>
  <c r="CM327" i="3"/>
  <c r="CO327" i="3"/>
  <c r="CQ327" i="3"/>
  <c r="CN327" i="3"/>
  <c r="CL327" i="3"/>
  <c r="DB86" i="8"/>
  <c r="DI35" i="8"/>
  <c r="DI191" i="8"/>
  <c r="DJ191" i="8"/>
  <c r="CW297" i="8"/>
  <c r="CW299" i="8"/>
  <c r="CV45" i="8"/>
  <c r="CV301" i="8"/>
  <c r="DK132" i="8"/>
  <c r="DK134" i="8"/>
  <c r="DI134" i="8"/>
  <c r="DI30" i="8"/>
  <c r="CT32" i="8"/>
  <c r="CT158" i="8"/>
  <c r="CU158" i="8"/>
  <c r="DH319" i="8"/>
  <c r="DH321" i="8"/>
  <c r="DG47" i="8"/>
  <c r="DG323" i="8"/>
  <c r="CT55" i="8"/>
  <c r="CT411" i="8"/>
  <c r="CU411" i="8"/>
  <c r="DB295" i="8"/>
  <c r="DG108" i="8"/>
  <c r="DF306" i="8"/>
  <c r="CV418" i="8"/>
  <c r="CV420" i="8"/>
  <c r="CT420" i="8"/>
  <c r="DF405" i="8"/>
  <c r="DN185" i="8"/>
  <c r="DH37" i="8"/>
  <c r="DH213" i="8"/>
  <c r="DI209" i="8"/>
  <c r="DF163" i="8"/>
  <c r="CV176" i="8"/>
  <c r="CV178" i="8"/>
  <c r="CT178" i="8"/>
  <c r="CW308" i="8"/>
  <c r="CW310" i="8"/>
  <c r="CV46" i="8"/>
  <c r="CV312" i="8"/>
  <c r="CL81" i="8"/>
  <c r="DP251" i="8"/>
  <c r="DR396" i="8"/>
  <c r="DR398" i="8"/>
  <c r="DQ54" i="8"/>
  <c r="DQ400" i="8"/>
  <c r="DC284" i="8"/>
  <c r="DS352" i="8"/>
  <c r="DS354" i="8"/>
  <c r="DR50" i="8"/>
  <c r="DR356" i="8"/>
  <c r="CT41" i="8"/>
  <c r="CT257" i="8"/>
  <c r="CU257" i="8"/>
  <c r="DL220" i="8"/>
  <c r="DL222" i="8"/>
  <c r="DK38" i="8"/>
  <c r="DK130" i="8"/>
  <c r="DK119" i="8"/>
  <c r="DR363" i="8"/>
  <c r="DR365" i="8"/>
  <c r="DR367" i="8"/>
  <c r="DQ51" i="8"/>
  <c r="DM231" i="8"/>
  <c r="DM233" i="8"/>
  <c r="DL39" i="8"/>
  <c r="DL235" i="8"/>
  <c r="CY332" i="8"/>
  <c r="DA330" i="8"/>
  <c r="DA332" i="8"/>
  <c r="CT28" i="8"/>
  <c r="CT114" i="8"/>
  <c r="CU114" i="8"/>
  <c r="DK97" i="8"/>
  <c r="DK218" i="8"/>
  <c r="DI224" i="8"/>
  <c r="DJ224" i="8"/>
  <c r="CV121" i="8"/>
  <c r="CV123" i="8"/>
  <c r="CT123" i="8"/>
  <c r="DC174" i="8"/>
  <c r="CT90" i="8"/>
  <c r="CV88" i="8"/>
  <c r="CV90" i="8"/>
  <c r="DG65" i="8"/>
  <c r="DK35" i="8"/>
  <c r="DL187" i="8"/>
  <c r="DL189" i="8"/>
  <c r="DK191" i="8"/>
  <c r="CT45" i="8"/>
  <c r="CT301" i="8"/>
  <c r="CU301" i="8"/>
  <c r="CW154" i="8"/>
  <c r="CW156" i="8"/>
  <c r="CV32" i="8"/>
  <c r="CV158" i="8"/>
  <c r="CW33" i="8"/>
  <c r="CW169" i="8"/>
  <c r="CX165" i="8"/>
  <c r="CX167" i="8"/>
  <c r="CW42" i="8"/>
  <c r="CX264" i="8"/>
  <c r="CX266" i="8"/>
  <c r="CW268" i="8"/>
  <c r="CW32" i="8"/>
  <c r="CX154" i="8"/>
  <c r="CX156" i="8"/>
  <c r="CW158" i="8"/>
  <c r="CT26" i="8"/>
  <c r="CT92" i="8"/>
  <c r="CU92" i="8"/>
  <c r="DD174" i="8"/>
  <c r="CT29" i="8"/>
  <c r="CT125" i="8"/>
  <c r="CU125" i="8"/>
  <c r="DB330" i="8"/>
  <c r="DB332" i="8"/>
  <c r="DA48" i="8"/>
  <c r="DA334" i="8"/>
  <c r="DN231" i="8"/>
  <c r="DM39" i="8"/>
  <c r="DM235" i="8"/>
  <c r="DL119" i="8"/>
  <c r="DL130" i="8"/>
  <c r="DK136" i="8"/>
  <c r="DS50" i="8"/>
  <c r="DS356" i="8"/>
  <c r="DT356" i="8"/>
  <c r="DS396" i="8"/>
  <c r="DS398" i="8"/>
  <c r="DR54" i="8"/>
  <c r="DR400" i="8"/>
  <c r="DQ251" i="8"/>
  <c r="CX308" i="8"/>
  <c r="CX310" i="8"/>
  <c r="CW46" i="8"/>
  <c r="CW312" i="8"/>
  <c r="CW176" i="8"/>
  <c r="CW178" i="8"/>
  <c r="CV34" i="8"/>
  <c r="CV180" i="8"/>
  <c r="DG163" i="8"/>
  <c r="DK209" i="8"/>
  <c r="DK211" i="8"/>
  <c r="DI211" i="8"/>
  <c r="DP185" i="8"/>
  <c r="DG405" i="8"/>
  <c r="CV56" i="8"/>
  <c r="CW418" i="8"/>
  <c r="CW420" i="8"/>
  <c r="CV422" i="8"/>
  <c r="DG306" i="8"/>
  <c r="DH108" i="8"/>
  <c r="CX297" i="8"/>
  <c r="CX299" i="8"/>
  <c r="CW45" i="8"/>
  <c r="CW301" i="8"/>
  <c r="CT327" i="3"/>
  <c r="CZ327" i="3"/>
  <c r="CS327" i="3"/>
  <c r="CR327" i="3"/>
  <c r="CT27" i="8"/>
  <c r="CT103" i="8"/>
  <c r="CU103" i="8"/>
  <c r="CX110" i="8"/>
  <c r="CX112" i="8"/>
  <c r="CW28" i="8"/>
  <c r="CW114" i="8"/>
  <c r="DS52" i="8"/>
  <c r="DS378" i="8"/>
  <c r="DT378" i="8"/>
  <c r="CT31" i="8"/>
  <c r="CT147" i="8"/>
  <c r="CU147" i="8"/>
  <c r="DF152" i="8"/>
  <c r="DN242" i="8"/>
  <c r="DM40" i="8"/>
  <c r="DM246" i="8"/>
  <c r="DS317" i="8"/>
  <c r="DG273" i="8"/>
  <c r="CT36" i="8"/>
  <c r="CT202" i="8"/>
  <c r="CU202" i="8"/>
  <c r="DS53" i="8"/>
  <c r="DS389" i="8"/>
  <c r="DT389" i="8"/>
  <c r="DQ416" i="8"/>
  <c r="CX407" i="8"/>
  <c r="CX409" i="8"/>
  <c r="CW55" i="8"/>
  <c r="CW411" i="8"/>
  <c r="DL35" i="8"/>
  <c r="DM187" i="8"/>
  <c r="DM189" i="8"/>
  <c r="DL191" i="8"/>
  <c r="CV26" i="8"/>
  <c r="CW88" i="8"/>
  <c r="CW90" i="8"/>
  <c r="CV92" i="8"/>
  <c r="CV29" i="8"/>
  <c r="CW121" i="8"/>
  <c r="CW123" i="8"/>
  <c r="CV125" i="8"/>
  <c r="DL218" i="8"/>
  <c r="DK224" i="8"/>
  <c r="DL97" i="8"/>
  <c r="CY48" i="8"/>
  <c r="CY334" i="8"/>
  <c r="CZ334" i="8"/>
  <c r="DS363" i="8"/>
  <c r="DS365" i="8"/>
  <c r="DS51" i="8"/>
  <c r="DR51" i="8"/>
  <c r="DI136" i="8"/>
  <c r="DJ136" i="8"/>
  <c r="DL38" i="8"/>
  <c r="DM220" i="8"/>
  <c r="DM222" i="8"/>
  <c r="DD284" i="8"/>
  <c r="CT34" i="8"/>
  <c r="CT180" i="8"/>
  <c r="CU180" i="8"/>
  <c r="CT56" i="8"/>
  <c r="CT422" i="8"/>
  <c r="CU422" i="8"/>
  <c r="DC295" i="8"/>
  <c r="DH47" i="8"/>
  <c r="DI319" i="8"/>
  <c r="DH323" i="8"/>
  <c r="DK30" i="8"/>
  <c r="DL132" i="8"/>
  <c r="DL134" i="8"/>
  <c r="DC86" i="8"/>
  <c r="CW99" i="8"/>
  <c r="CW101" i="8"/>
  <c r="CV27" i="8"/>
  <c r="CV103" i="8"/>
  <c r="DI141" i="8"/>
  <c r="DF196" i="8"/>
  <c r="CW143" i="8"/>
  <c r="CW145" i="8"/>
  <c r="CV31" i="8"/>
  <c r="CV147" i="8"/>
  <c r="DS367" i="8"/>
  <c r="DT367" i="8"/>
  <c r="CW41" i="8"/>
  <c r="CX253" i="8"/>
  <c r="CX255" i="8"/>
  <c r="CW257" i="8"/>
  <c r="CW275" i="8"/>
  <c r="CW277" i="8"/>
  <c r="CV43" i="8"/>
  <c r="CV279" i="8"/>
  <c r="DD328" i="8"/>
  <c r="CM79" i="8"/>
  <c r="CX44" i="8"/>
  <c r="CY286" i="8"/>
  <c r="CX290" i="8"/>
  <c r="CV36" i="8"/>
  <c r="CW198" i="8"/>
  <c r="CW200" i="8"/>
  <c r="CV202" i="8"/>
  <c r="DD262" i="8"/>
  <c r="CY264" i="8"/>
  <c r="CX268" i="8"/>
  <c r="CX42" i="8"/>
  <c r="CY165" i="8"/>
  <c r="CX33" i="8"/>
  <c r="CX169" i="8"/>
  <c r="CX198" i="8"/>
  <c r="CX200" i="8"/>
  <c r="CW36" i="8"/>
  <c r="CW202" i="8"/>
  <c r="CN77" i="8"/>
  <c r="CM25" i="8"/>
  <c r="CX275" i="8"/>
  <c r="CX277" i="8"/>
  <c r="CW43" i="8"/>
  <c r="CW279" i="8"/>
  <c r="CY253" i="8"/>
  <c r="CX41" i="8"/>
  <c r="CX257" i="8"/>
  <c r="CX143" i="8"/>
  <c r="CX145" i="8"/>
  <c r="CW31" i="8"/>
  <c r="CW147" i="8"/>
  <c r="DG196" i="8"/>
  <c r="DK141" i="8"/>
  <c r="DD86" i="8"/>
  <c r="DK319" i="8"/>
  <c r="DK321" i="8"/>
  <c r="DI321" i="8"/>
  <c r="DD295" i="8"/>
  <c r="DF284" i="8"/>
  <c r="DN220" i="8"/>
  <c r="DM38" i="8"/>
  <c r="DM97" i="8"/>
  <c r="CW26" i="8"/>
  <c r="CX88" i="8"/>
  <c r="CX90" i="8"/>
  <c r="CW92" i="8"/>
  <c r="DN187" i="8"/>
  <c r="DM35" i="8"/>
  <c r="DM191" i="8"/>
  <c r="DH273" i="8"/>
  <c r="DP242" i="8"/>
  <c r="DP244" i="8"/>
  <c r="DN244" i="8"/>
  <c r="DG152" i="8"/>
  <c r="DS327" i="3"/>
  <c r="DQ327" i="3"/>
  <c r="DR327" i="3"/>
  <c r="DD327" i="3"/>
  <c r="DP327" i="3"/>
  <c r="DC327" i="3"/>
  <c r="DG327" i="3"/>
  <c r="DN327" i="3"/>
  <c r="CX327" i="3"/>
  <c r="DI327" i="3"/>
  <c r="DA327" i="3"/>
  <c r="DL327" i="3"/>
  <c r="CV327" i="3"/>
  <c r="CY327" i="3"/>
  <c r="DM327" i="3"/>
  <c r="DH327" i="3"/>
  <c r="DK327" i="3"/>
  <c r="DE327" i="3"/>
  <c r="DB327" i="3"/>
  <c r="CW327" i="3"/>
  <c r="DI108" i="8"/>
  <c r="CX418" i="8"/>
  <c r="CX420" i="8"/>
  <c r="CW56" i="8"/>
  <c r="CW422" i="8"/>
  <c r="DI37" i="8"/>
  <c r="DI213" i="8"/>
  <c r="DJ213" i="8"/>
  <c r="CX176" i="8"/>
  <c r="CX178" i="8"/>
  <c r="CW34" i="8"/>
  <c r="CW180" i="8"/>
  <c r="DR251" i="8"/>
  <c r="DM119" i="8"/>
  <c r="DB48" i="8"/>
  <c r="DC330" i="8"/>
  <c r="DC332" i="8"/>
  <c r="DB334" i="8"/>
  <c r="DF174" i="8"/>
  <c r="DF262" i="8"/>
  <c r="DA286" i="8"/>
  <c r="DA288" i="8"/>
  <c r="CY288" i="8"/>
  <c r="CM81" i="8"/>
  <c r="DF328" i="8"/>
  <c r="CW27" i="8"/>
  <c r="CX99" i="8"/>
  <c r="CX101" i="8"/>
  <c r="CW103" i="8"/>
  <c r="DM132" i="8"/>
  <c r="DM134" i="8"/>
  <c r="DL30" i="8"/>
  <c r="DM218" i="8"/>
  <c r="DL224" i="8"/>
  <c r="CX121" i="8"/>
  <c r="CX123" i="8"/>
  <c r="CW29" i="8"/>
  <c r="CW125" i="8"/>
  <c r="CY407" i="8"/>
  <c r="CX55" i="8"/>
  <c r="CX411" i="8"/>
  <c r="DR416" i="8"/>
  <c r="CY110" i="8"/>
  <c r="CX28" i="8"/>
  <c r="CX114" i="8"/>
  <c r="CY297" i="8"/>
  <c r="CX45" i="8"/>
  <c r="CX301" i="8"/>
  <c r="DH306" i="8"/>
  <c r="DH405" i="8"/>
  <c r="DQ185" i="8"/>
  <c r="DK37" i="8"/>
  <c r="DL209" i="8"/>
  <c r="DL211" i="8"/>
  <c r="DK213" i="8"/>
  <c r="DH163" i="8"/>
  <c r="CX46" i="8"/>
  <c r="CY308" i="8"/>
  <c r="CX312" i="8"/>
  <c r="DS54" i="8"/>
  <c r="DS400" i="8"/>
  <c r="DT400" i="8"/>
  <c r="DM130" i="8"/>
  <c r="DL136" i="8"/>
  <c r="DP231" i="8"/>
  <c r="DP233" i="8"/>
  <c r="DN233" i="8"/>
  <c r="CY154" i="8"/>
  <c r="CX32" i="8"/>
  <c r="CX158" i="8"/>
  <c r="CY167" i="8"/>
  <c r="DA165" i="8"/>
  <c r="DA167" i="8"/>
  <c r="CY266" i="8"/>
  <c r="DA264" i="8"/>
  <c r="DA266" i="8"/>
  <c r="DQ231" i="8"/>
  <c r="DQ233" i="8"/>
  <c r="DP39" i="8"/>
  <c r="DP235" i="8"/>
  <c r="DA308" i="8"/>
  <c r="DA310" i="8"/>
  <c r="CY310" i="8"/>
  <c r="DR185" i="8"/>
  <c r="DI405" i="8"/>
  <c r="CX29" i="8"/>
  <c r="CY121" i="8"/>
  <c r="CX125" i="8"/>
  <c r="DM224" i="8"/>
  <c r="DN218" i="8"/>
  <c r="DM30" i="8"/>
  <c r="DN132" i="8"/>
  <c r="CY99" i="8"/>
  <c r="CX27" i="8"/>
  <c r="CX103" i="8"/>
  <c r="DB286" i="8"/>
  <c r="DB288" i="8"/>
  <c r="DA44" i="8"/>
  <c r="DA290" i="8"/>
  <c r="DG174" i="8"/>
  <c r="DS251" i="8"/>
  <c r="DJ327" i="3"/>
  <c r="DH152" i="8"/>
  <c r="DP40" i="8"/>
  <c r="DQ242" i="8"/>
  <c r="DQ244" i="8"/>
  <c r="DP246" i="8"/>
  <c r="DI273" i="8"/>
  <c r="DP187" i="8"/>
  <c r="DP189" i="8"/>
  <c r="DN189" i="8"/>
  <c r="DP220" i="8"/>
  <c r="DP222" i="8"/>
  <c r="DN222" i="8"/>
  <c r="DN38" i="8"/>
  <c r="DL319" i="8"/>
  <c r="DL321" i="8"/>
  <c r="DK47" i="8"/>
  <c r="DK323" i="8"/>
  <c r="DF86" i="8"/>
  <c r="CY275" i="8"/>
  <c r="CX43" i="8"/>
  <c r="CX279" i="8"/>
  <c r="CN79" i="8"/>
  <c r="CY156" i="8"/>
  <c r="DA154" i="8"/>
  <c r="DA156" i="8"/>
  <c r="DN39" i="8"/>
  <c r="DN235" i="8"/>
  <c r="DO235" i="8"/>
  <c r="DN130" i="8"/>
  <c r="DM136" i="8"/>
  <c r="DI163" i="8"/>
  <c r="DL37" i="8"/>
  <c r="DM209" i="8"/>
  <c r="DM211" i="8"/>
  <c r="DL213" i="8"/>
  <c r="DI306" i="8"/>
  <c r="DA297" i="8"/>
  <c r="DA299" i="8"/>
  <c r="CY299" i="8"/>
  <c r="DA110" i="8"/>
  <c r="DA112" i="8"/>
  <c r="CY112" i="8"/>
  <c r="DS416" i="8"/>
  <c r="DA407" i="8"/>
  <c r="DA409" i="8"/>
  <c r="CY409" i="8"/>
  <c r="DG328" i="8"/>
  <c r="CY44" i="8"/>
  <c r="CY290" i="8"/>
  <c r="CZ290" i="8"/>
  <c r="DG262" i="8"/>
  <c r="DC48" i="8"/>
  <c r="DD330" i="8"/>
  <c r="DC334" i="8"/>
  <c r="DN119" i="8"/>
  <c r="CX34" i="8"/>
  <c r="CY176" i="8"/>
  <c r="CX180" i="8"/>
  <c r="CY418" i="8"/>
  <c r="CX56" i="8"/>
  <c r="CX422" i="8"/>
  <c r="DK108" i="8"/>
  <c r="DN40" i="8"/>
  <c r="DN246" i="8"/>
  <c r="DO246" i="8"/>
  <c r="CX26" i="8"/>
  <c r="CY88" i="8"/>
  <c r="CX92" i="8"/>
  <c r="DN97" i="8"/>
  <c r="DG284" i="8"/>
  <c r="DF295" i="8"/>
  <c r="DI47" i="8"/>
  <c r="DI323" i="8"/>
  <c r="DJ323" i="8"/>
  <c r="DL141" i="8"/>
  <c r="DH196" i="8"/>
  <c r="CX31" i="8"/>
  <c r="CY143" i="8"/>
  <c r="CX147" i="8"/>
  <c r="CY255" i="8"/>
  <c r="DA253" i="8"/>
  <c r="DA255" i="8"/>
  <c r="CY198" i="8"/>
  <c r="CX36" i="8"/>
  <c r="CX202" i="8"/>
  <c r="DA42" i="8"/>
  <c r="DB264" i="8"/>
  <c r="DB266" i="8"/>
  <c r="DA268" i="8"/>
  <c r="DA33" i="8"/>
  <c r="DB165" i="8"/>
  <c r="DB167" i="8"/>
  <c r="DA169" i="8"/>
  <c r="CY42" i="8"/>
  <c r="CY268" i="8"/>
  <c r="CZ268" i="8"/>
  <c r="CY169" i="8"/>
  <c r="CZ169" i="8"/>
  <c r="CY33" i="8"/>
  <c r="CY41" i="8"/>
  <c r="CY257" i="8"/>
  <c r="CZ257" i="8"/>
  <c r="DM141" i="8"/>
  <c r="DP97" i="8"/>
  <c r="DL108" i="8"/>
  <c r="DH262" i="8"/>
  <c r="DH328" i="8"/>
  <c r="DA55" i="8"/>
  <c r="DB407" i="8"/>
  <c r="DB409" i="8"/>
  <c r="DA411" i="8"/>
  <c r="DB110" i="8"/>
  <c r="DB112" i="8"/>
  <c r="DA28" i="8"/>
  <c r="DA114" i="8"/>
  <c r="CY45" i="8"/>
  <c r="CY301" i="8"/>
  <c r="CZ301" i="8"/>
  <c r="DK306" i="8"/>
  <c r="DN209" i="8"/>
  <c r="DM37" i="8"/>
  <c r="DM213" i="8"/>
  <c r="DK163" i="8"/>
  <c r="DB154" i="8"/>
  <c r="DB156" i="8"/>
  <c r="DA32" i="8"/>
  <c r="DA158" i="8"/>
  <c r="CO77" i="8"/>
  <c r="CN25" i="8"/>
  <c r="DM319" i="8"/>
  <c r="DM321" i="8"/>
  <c r="DL47" i="8"/>
  <c r="DL323" i="8"/>
  <c r="DQ187" i="8"/>
  <c r="DQ189" i="8"/>
  <c r="DP35" i="8"/>
  <c r="DP191" i="8"/>
  <c r="DK273" i="8"/>
  <c r="DI152" i="8"/>
  <c r="DO327" i="3"/>
  <c r="DT327" i="3"/>
  <c r="DH174" i="8"/>
  <c r="DP132" i="8"/>
  <c r="DP134" i="8"/>
  <c r="DN134" i="8"/>
  <c r="DN30" i="8"/>
  <c r="DP218" i="8"/>
  <c r="DN224" i="8"/>
  <c r="DK405" i="8"/>
  <c r="DB308" i="8"/>
  <c r="DB310" i="8"/>
  <c r="DA46" i="8"/>
  <c r="DA312" i="8"/>
  <c r="CY200" i="8"/>
  <c r="DA198" i="8"/>
  <c r="DA200" i="8"/>
  <c r="DA41" i="8"/>
  <c r="DB253" i="8"/>
  <c r="DB255" i="8"/>
  <c r="DA257" i="8"/>
  <c r="CY145" i="8"/>
  <c r="DA143" i="8"/>
  <c r="DA145" i="8"/>
  <c r="DI196" i="8"/>
  <c r="DG295" i="8"/>
  <c r="DH284" i="8"/>
  <c r="CY90" i="8"/>
  <c r="DA88" i="8"/>
  <c r="DA90" i="8"/>
  <c r="DA418" i="8"/>
  <c r="DA420" i="8"/>
  <c r="CY420" i="8"/>
  <c r="DA176" i="8"/>
  <c r="DA178" i="8"/>
  <c r="CY178" i="8"/>
  <c r="DP119" i="8"/>
  <c r="DD332" i="8"/>
  <c r="DF330" i="8"/>
  <c r="DF332" i="8"/>
  <c r="CY55" i="8"/>
  <c r="CY411" i="8"/>
  <c r="CZ411" i="8"/>
  <c r="CY28" i="8"/>
  <c r="CY114" i="8"/>
  <c r="CZ114" i="8"/>
  <c r="DB297" i="8"/>
  <c r="DB299" i="8"/>
  <c r="DA45" i="8"/>
  <c r="DA301" i="8"/>
  <c r="DP130" i="8"/>
  <c r="DN136" i="8"/>
  <c r="DO136" i="8"/>
  <c r="CY32" i="8"/>
  <c r="CY158" i="8"/>
  <c r="CZ158" i="8"/>
  <c r="CN81" i="8"/>
  <c r="CY277" i="8"/>
  <c r="DA275" i="8"/>
  <c r="DA277" i="8"/>
  <c r="DG86" i="8"/>
  <c r="DQ220" i="8"/>
  <c r="DQ222" i="8"/>
  <c r="DP38" i="8"/>
  <c r="DN35" i="8"/>
  <c r="DN191" i="8"/>
  <c r="DO191" i="8"/>
  <c r="DR242" i="8"/>
  <c r="DR244" i="8"/>
  <c r="DQ40" i="8"/>
  <c r="DQ246" i="8"/>
  <c r="DC286" i="8"/>
  <c r="DC288" i="8"/>
  <c r="DB44" i="8"/>
  <c r="DB290" i="8"/>
  <c r="CY101" i="8"/>
  <c r="DA99" i="8"/>
  <c r="DA101" i="8"/>
  <c r="DO224" i="8"/>
  <c r="CY123" i="8"/>
  <c r="DA121" i="8"/>
  <c r="DA123" i="8"/>
  <c r="DS185" i="8"/>
  <c r="CY46" i="8"/>
  <c r="CY312" i="8"/>
  <c r="CZ312" i="8"/>
  <c r="DR231" i="8"/>
  <c r="DR233" i="8"/>
  <c r="DQ39" i="8"/>
  <c r="DQ235" i="8"/>
  <c r="DB42" i="8"/>
  <c r="DB268" i="8"/>
  <c r="DC264" i="8"/>
  <c r="DC266" i="8"/>
  <c r="DC165" i="8"/>
  <c r="DC167" i="8"/>
  <c r="DB33" i="8"/>
  <c r="DB169" i="8"/>
  <c r="DS231" i="8"/>
  <c r="DS233" i="8"/>
  <c r="DR39" i="8"/>
  <c r="DR235" i="8"/>
  <c r="DB121" i="8"/>
  <c r="DB123" i="8"/>
  <c r="DA29" i="8"/>
  <c r="DA125" i="8"/>
  <c r="DA27" i="8"/>
  <c r="DB99" i="8"/>
  <c r="DB101" i="8"/>
  <c r="DA103" i="8"/>
  <c r="DR40" i="8"/>
  <c r="DS242" i="8"/>
  <c r="DS244" i="8"/>
  <c r="DR246" i="8"/>
  <c r="DR220" i="8"/>
  <c r="DR222" i="8"/>
  <c r="DQ38" i="8"/>
  <c r="DB275" i="8"/>
  <c r="DB277" i="8"/>
  <c r="DA43" i="8"/>
  <c r="DA279" i="8"/>
  <c r="DB45" i="8"/>
  <c r="DC297" i="8"/>
  <c r="DC299" i="8"/>
  <c r="DB301" i="8"/>
  <c r="DD48" i="8"/>
  <c r="DD334" i="8"/>
  <c r="DE334" i="8"/>
  <c r="DQ119" i="8"/>
  <c r="DB176" i="8"/>
  <c r="DB178" i="8"/>
  <c r="DA34" i="8"/>
  <c r="DA180" i="8"/>
  <c r="DA56" i="8"/>
  <c r="DB418" i="8"/>
  <c r="DB420" i="8"/>
  <c r="DA422" i="8"/>
  <c r="CY26" i="8"/>
  <c r="CY92" i="8"/>
  <c r="CZ92" i="8"/>
  <c r="DK196" i="8"/>
  <c r="CY31" i="8"/>
  <c r="CY147" i="8"/>
  <c r="CZ147" i="8"/>
  <c r="DC253" i="8"/>
  <c r="DC255" i="8"/>
  <c r="DB41" i="8"/>
  <c r="DB257" i="8"/>
  <c r="DB198" i="8"/>
  <c r="DB200" i="8"/>
  <c r="DA36" i="8"/>
  <c r="DA202" i="8"/>
  <c r="DB46" i="8"/>
  <c r="DC308" i="8"/>
  <c r="DC310" i="8"/>
  <c r="DB312" i="8"/>
  <c r="DL405" i="8"/>
  <c r="DP224" i="8"/>
  <c r="DQ218" i="8"/>
  <c r="DQ132" i="8"/>
  <c r="DQ134" i="8"/>
  <c r="DP30" i="8"/>
  <c r="DI174" i="8"/>
  <c r="DK152" i="8"/>
  <c r="DR187" i="8"/>
  <c r="DR189" i="8"/>
  <c r="DQ35" i="8"/>
  <c r="DQ191" i="8"/>
  <c r="DL163" i="8"/>
  <c r="DC110" i="8"/>
  <c r="DC112" i="8"/>
  <c r="DB28" i="8"/>
  <c r="DB114" i="8"/>
  <c r="DC407" i="8"/>
  <c r="DC409" i="8"/>
  <c r="DB55" i="8"/>
  <c r="DB411" i="8"/>
  <c r="DI262" i="8"/>
  <c r="DM108" i="8"/>
  <c r="DN141" i="8"/>
  <c r="CY29" i="8"/>
  <c r="CY125" i="8"/>
  <c r="CZ125" i="8"/>
  <c r="CY27" i="8"/>
  <c r="CY103" i="8"/>
  <c r="CZ103" i="8"/>
  <c r="DC44" i="8"/>
  <c r="DD286" i="8"/>
  <c r="DC290" i="8"/>
  <c r="DH86" i="8"/>
  <c r="CY43" i="8"/>
  <c r="CY279" i="8"/>
  <c r="CZ279" i="8"/>
  <c r="DP136" i="8"/>
  <c r="DQ130" i="8"/>
  <c r="DF48" i="8"/>
  <c r="DG330" i="8"/>
  <c r="DG332" i="8"/>
  <c r="DF334" i="8"/>
  <c r="CY34" i="8"/>
  <c r="CY180" i="8"/>
  <c r="CZ180" i="8"/>
  <c r="CY56" i="8"/>
  <c r="CY422" i="8"/>
  <c r="CZ422" i="8"/>
  <c r="DB88" i="8"/>
  <c r="DB90" i="8"/>
  <c r="DA26" i="8"/>
  <c r="DA92" i="8"/>
  <c r="DI284" i="8"/>
  <c r="DH295" i="8"/>
  <c r="DB143" i="8"/>
  <c r="DB145" i="8"/>
  <c r="DA31" i="8"/>
  <c r="DA147" i="8"/>
  <c r="CY36" i="8"/>
  <c r="CY202" i="8"/>
  <c r="CZ202" i="8"/>
  <c r="DL273" i="8"/>
  <c r="DN319" i="8"/>
  <c r="DM47" i="8"/>
  <c r="DM323" i="8"/>
  <c r="CO79" i="8"/>
  <c r="CO81" i="8"/>
  <c r="DC154" i="8"/>
  <c r="DC156" i="8"/>
  <c r="DB32" i="8"/>
  <c r="DB158" i="8"/>
  <c r="DP209" i="8"/>
  <c r="DP211" i="8"/>
  <c r="DN211" i="8"/>
  <c r="DL306" i="8"/>
  <c r="DI328" i="8"/>
  <c r="DQ97" i="8"/>
  <c r="DC33" i="8"/>
  <c r="DC169" i="8"/>
  <c r="DD165" i="8"/>
  <c r="DD264" i="8"/>
  <c r="DC268" i="8"/>
  <c r="DC42" i="8"/>
  <c r="DM306" i="8"/>
  <c r="DQ209" i="8"/>
  <c r="DQ211" i="8"/>
  <c r="DP37" i="8"/>
  <c r="DP213" i="8"/>
  <c r="DK284" i="8"/>
  <c r="DI86" i="8"/>
  <c r="DP141" i="8"/>
  <c r="DK262" i="8"/>
  <c r="DQ30" i="8"/>
  <c r="DR132" i="8"/>
  <c r="DR134" i="8"/>
  <c r="DM405" i="8"/>
  <c r="DB36" i="8"/>
  <c r="DC198" i="8"/>
  <c r="DC200" i="8"/>
  <c r="DB202" i="8"/>
  <c r="CP81" i="8"/>
  <c r="DC275" i="8"/>
  <c r="DC277" i="8"/>
  <c r="DB43" i="8"/>
  <c r="DB279" i="8"/>
  <c r="DS220" i="8"/>
  <c r="DS222" i="8"/>
  <c r="DS38" i="8"/>
  <c r="DR38" i="8"/>
  <c r="DS40" i="8"/>
  <c r="DS246" i="8"/>
  <c r="DT246" i="8"/>
  <c r="DC99" i="8"/>
  <c r="DC101" i="8"/>
  <c r="DB27" i="8"/>
  <c r="DB103" i="8"/>
  <c r="DB29" i="8"/>
  <c r="DC121" i="8"/>
  <c r="DC123" i="8"/>
  <c r="DB125" i="8"/>
  <c r="DR97" i="8"/>
  <c r="DK328" i="8"/>
  <c r="DN37" i="8"/>
  <c r="DN213" i="8"/>
  <c r="DO213" i="8"/>
  <c r="DC32" i="8"/>
  <c r="DD154" i="8"/>
  <c r="DC158" i="8"/>
  <c r="CQ77" i="8"/>
  <c r="CO25" i="8"/>
  <c r="DP319" i="8"/>
  <c r="DP321" i="8"/>
  <c r="DN321" i="8"/>
  <c r="DM273" i="8"/>
  <c r="DB31" i="8"/>
  <c r="DC143" i="8"/>
  <c r="DC145" i="8"/>
  <c r="DB147" i="8"/>
  <c r="DI295" i="8"/>
  <c r="DB26" i="8"/>
  <c r="DC88" i="8"/>
  <c r="DC90" i="8"/>
  <c r="DB92" i="8"/>
  <c r="DG48" i="8"/>
  <c r="DH330" i="8"/>
  <c r="DH332" i="8"/>
  <c r="DG334" i="8"/>
  <c r="DR130" i="8"/>
  <c r="DQ136" i="8"/>
  <c r="DF286" i="8"/>
  <c r="DF288" i="8"/>
  <c r="DD288" i="8"/>
  <c r="DN108" i="8"/>
  <c r="DD407" i="8"/>
  <c r="DC55" i="8"/>
  <c r="DC411" i="8"/>
  <c r="DC28" i="8"/>
  <c r="DD110" i="8"/>
  <c r="DC114" i="8"/>
  <c r="DM163" i="8"/>
  <c r="DS187" i="8"/>
  <c r="DS189" i="8"/>
  <c r="DR35" i="8"/>
  <c r="DR191" i="8"/>
  <c r="DL152" i="8"/>
  <c r="DK174" i="8"/>
  <c r="DR218" i="8"/>
  <c r="DQ224" i="8"/>
  <c r="DD308" i="8"/>
  <c r="DC46" i="8"/>
  <c r="DC312" i="8"/>
  <c r="DD253" i="8"/>
  <c r="DC41" i="8"/>
  <c r="DC257" i="8"/>
  <c r="DL196" i="8"/>
  <c r="DC418" i="8"/>
  <c r="DC420" i="8"/>
  <c r="DB56" i="8"/>
  <c r="DB422" i="8"/>
  <c r="DC176" i="8"/>
  <c r="DC178" i="8"/>
  <c r="DB34" i="8"/>
  <c r="DB180" i="8"/>
  <c r="DR119" i="8"/>
  <c r="DD297" i="8"/>
  <c r="DC45" i="8"/>
  <c r="DC301" i="8"/>
  <c r="DS39" i="8"/>
  <c r="DS235" i="8"/>
  <c r="DT235" i="8"/>
  <c r="DD266" i="8"/>
  <c r="DF264" i="8"/>
  <c r="DF266" i="8"/>
  <c r="DD167" i="8"/>
  <c r="DF165" i="8"/>
  <c r="DF167" i="8"/>
  <c r="DF297" i="8"/>
  <c r="DF299" i="8"/>
  <c r="DD299" i="8"/>
  <c r="DS119" i="8"/>
  <c r="DF308" i="8"/>
  <c r="DF310" i="8"/>
  <c r="DD310" i="8"/>
  <c r="DR224" i="8"/>
  <c r="DS218" i="8"/>
  <c r="DS224" i="8"/>
  <c r="DT224" i="8"/>
  <c r="DN163" i="8"/>
  <c r="DF407" i="8"/>
  <c r="DF409" i="8"/>
  <c r="DD409" i="8"/>
  <c r="DD44" i="8"/>
  <c r="DD290" i="8"/>
  <c r="DE290" i="8"/>
  <c r="DN47" i="8"/>
  <c r="DN323" i="8"/>
  <c r="DO323" i="8"/>
  <c r="DC27" i="8"/>
  <c r="DD99" i="8"/>
  <c r="DC103" i="8"/>
  <c r="DD275" i="8"/>
  <c r="DC43" i="8"/>
  <c r="DC279" i="8"/>
  <c r="DD198" i="8"/>
  <c r="DC36" i="8"/>
  <c r="DC202" i="8"/>
  <c r="DS132" i="8"/>
  <c r="DS134" i="8"/>
  <c r="DS30" i="8"/>
  <c r="DR30" i="8"/>
  <c r="DL262" i="8"/>
  <c r="DL284" i="8"/>
  <c r="DD176" i="8"/>
  <c r="DC34" i="8"/>
  <c r="DC180" i="8"/>
  <c r="DD418" i="8"/>
  <c r="DC56" i="8"/>
  <c r="DC422" i="8"/>
  <c r="DM196" i="8"/>
  <c r="DD255" i="8"/>
  <c r="DF253" i="8"/>
  <c r="DF255" i="8"/>
  <c r="DL174" i="8"/>
  <c r="DM152" i="8"/>
  <c r="DS35" i="8"/>
  <c r="DS191" i="8"/>
  <c r="DT191" i="8"/>
  <c r="DF110" i="8"/>
  <c r="DF112" i="8"/>
  <c r="DD112" i="8"/>
  <c r="DP108" i="8"/>
  <c r="DF44" i="8"/>
  <c r="DG286" i="8"/>
  <c r="DG288" i="8"/>
  <c r="DF290" i="8"/>
  <c r="DS130" i="8"/>
  <c r="DR136" i="8"/>
  <c r="DI330" i="8"/>
  <c r="DH48" i="8"/>
  <c r="DH334" i="8"/>
  <c r="DD88" i="8"/>
  <c r="DC26" i="8"/>
  <c r="DC92" i="8"/>
  <c r="DK295" i="8"/>
  <c r="DC31" i="8"/>
  <c r="DD143" i="8"/>
  <c r="DC147" i="8"/>
  <c r="DN273" i="8"/>
  <c r="DQ319" i="8"/>
  <c r="DQ321" i="8"/>
  <c r="DP47" i="8"/>
  <c r="DP323" i="8"/>
  <c r="CQ79" i="8"/>
  <c r="DF154" i="8"/>
  <c r="DF156" i="8"/>
  <c r="DD156" i="8"/>
  <c r="DL328" i="8"/>
  <c r="DS97" i="8"/>
  <c r="DC29" i="8"/>
  <c r="DD121" i="8"/>
  <c r="DC125" i="8"/>
  <c r="DN405" i="8"/>
  <c r="DQ141" i="8"/>
  <c r="DK86" i="8"/>
  <c r="DR209" i="8"/>
  <c r="DR211" i="8"/>
  <c r="DQ37" i="8"/>
  <c r="DQ213" i="8"/>
  <c r="DN306" i="8"/>
  <c r="DG165" i="8"/>
  <c r="DG167" i="8"/>
  <c r="DF169" i="8"/>
  <c r="DF33" i="8"/>
  <c r="DF42" i="8"/>
  <c r="DF268" i="8"/>
  <c r="DG264" i="8"/>
  <c r="DG266" i="8"/>
  <c r="DD33" i="8"/>
  <c r="DD169" i="8"/>
  <c r="DE169" i="8"/>
  <c r="DD42" i="8"/>
  <c r="DD268" i="8"/>
  <c r="DE268" i="8"/>
  <c r="DP306" i="8"/>
  <c r="DL86" i="8"/>
  <c r="DF121" i="8"/>
  <c r="DF123" i="8"/>
  <c r="DD123" i="8"/>
  <c r="DM328" i="8"/>
  <c r="DD32" i="8"/>
  <c r="DD158" i="8"/>
  <c r="DE158" i="8"/>
  <c r="CR77" i="8"/>
  <c r="CQ25" i="8"/>
  <c r="DR319" i="8"/>
  <c r="DR321" i="8"/>
  <c r="DQ47" i="8"/>
  <c r="DQ323" i="8"/>
  <c r="DP273" i="8"/>
  <c r="DL295" i="8"/>
  <c r="DD28" i="8"/>
  <c r="DD114" i="8"/>
  <c r="DE114" i="8"/>
  <c r="DM174" i="8"/>
  <c r="DG253" i="8"/>
  <c r="DG255" i="8"/>
  <c r="DF41" i="8"/>
  <c r="DF257" i="8"/>
  <c r="DN196" i="8"/>
  <c r="DF418" i="8"/>
  <c r="DF420" i="8"/>
  <c r="DD420" i="8"/>
  <c r="DM262" i="8"/>
  <c r="DF275" i="8"/>
  <c r="DF277" i="8"/>
  <c r="DD277" i="8"/>
  <c r="DD101" i="8"/>
  <c r="DF99" i="8"/>
  <c r="DF101" i="8"/>
  <c r="DD55" i="8"/>
  <c r="DD411" i="8"/>
  <c r="DE411" i="8"/>
  <c r="DP163" i="8"/>
  <c r="DD46" i="8"/>
  <c r="DD312" i="8"/>
  <c r="DE312" i="8"/>
  <c r="DG297" i="8"/>
  <c r="DG299" i="8"/>
  <c r="DF45" i="8"/>
  <c r="DF301" i="8"/>
  <c r="DS209" i="8"/>
  <c r="DS211" i="8"/>
  <c r="DR37" i="8"/>
  <c r="DR213" i="8"/>
  <c r="DR141" i="8"/>
  <c r="DP405" i="8"/>
  <c r="DF32" i="8"/>
  <c r="DG154" i="8"/>
  <c r="DG156" i="8"/>
  <c r="DF158" i="8"/>
  <c r="CQ81" i="8"/>
  <c r="DD145" i="8"/>
  <c r="DF143" i="8"/>
  <c r="DF145" i="8"/>
  <c r="DF88" i="8"/>
  <c r="DF90" i="8"/>
  <c r="DD90" i="8"/>
  <c r="DK330" i="8"/>
  <c r="DK332" i="8"/>
  <c r="DI332" i="8"/>
  <c r="DS136" i="8"/>
  <c r="DT136" i="8"/>
  <c r="DH286" i="8"/>
  <c r="DH288" i="8"/>
  <c r="DG44" i="8"/>
  <c r="DG290" i="8"/>
  <c r="DQ108" i="8"/>
  <c r="DG110" i="8"/>
  <c r="DG112" i="8"/>
  <c r="DF28" i="8"/>
  <c r="DF114" i="8"/>
  <c r="DN152" i="8"/>
  <c r="DD41" i="8"/>
  <c r="DD257" i="8"/>
  <c r="DE257" i="8"/>
  <c r="DD178" i="8"/>
  <c r="DF176" i="8"/>
  <c r="DF178" i="8"/>
  <c r="DM284" i="8"/>
  <c r="DF198" i="8"/>
  <c r="DF200" i="8"/>
  <c r="DD200" i="8"/>
  <c r="DG407" i="8"/>
  <c r="DG409" i="8"/>
  <c r="DF55" i="8"/>
  <c r="DF411" i="8"/>
  <c r="DF46" i="8"/>
  <c r="DG308" i="8"/>
  <c r="DG310" i="8"/>
  <c r="DF312" i="8"/>
  <c r="DD45" i="8"/>
  <c r="DD301" i="8"/>
  <c r="DE301" i="8"/>
  <c r="DH264" i="8"/>
  <c r="DH266" i="8"/>
  <c r="DG42" i="8"/>
  <c r="DG268" i="8"/>
  <c r="DH165" i="8"/>
  <c r="DH167" i="8"/>
  <c r="DG169" i="8"/>
  <c r="DG33" i="8"/>
  <c r="DH308" i="8"/>
  <c r="DH310" i="8"/>
  <c r="DG46" i="8"/>
  <c r="DG312" i="8"/>
  <c r="DH407" i="8"/>
  <c r="DH409" i="8"/>
  <c r="DG55" i="8"/>
  <c r="DG411" i="8"/>
  <c r="DD36" i="8"/>
  <c r="DD202" i="8"/>
  <c r="DE202" i="8"/>
  <c r="DD34" i="8"/>
  <c r="DD180" i="8"/>
  <c r="DE180" i="8"/>
  <c r="DP152" i="8"/>
  <c r="DG28" i="8"/>
  <c r="DH110" i="8"/>
  <c r="DH112" i="8"/>
  <c r="DG114" i="8"/>
  <c r="DK48" i="8"/>
  <c r="DL330" i="8"/>
  <c r="DL332" i="8"/>
  <c r="DK334" i="8"/>
  <c r="DG88" i="8"/>
  <c r="DG90" i="8"/>
  <c r="DF26" i="8"/>
  <c r="DF92" i="8"/>
  <c r="DD31" i="8"/>
  <c r="DD147" i="8"/>
  <c r="DE147" i="8"/>
  <c r="DS37" i="8"/>
  <c r="DS213" i="8"/>
  <c r="DT213" i="8"/>
  <c r="DQ163" i="8"/>
  <c r="DG99" i="8"/>
  <c r="DG101" i="8"/>
  <c r="DF27" i="8"/>
  <c r="DF103" i="8"/>
  <c r="DD43" i="8"/>
  <c r="DD279" i="8"/>
  <c r="DE279" i="8"/>
  <c r="DG418" i="8"/>
  <c r="DG420" i="8"/>
  <c r="DF56" i="8"/>
  <c r="DF422" i="8"/>
  <c r="DP196" i="8"/>
  <c r="DM295" i="8"/>
  <c r="DS319" i="8"/>
  <c r="DS321" i="8"/>
  <c r="DR47" i="8"/>
  <c r="DR323" i="8"/>
  <c r="CR79" i="8"/>
  <c r="DN328" i="8"/>
  <c r="DF29" i="8"/>
  <c r="DG121" i="8"/>
  <c r="DG123" i="8"/>
  <c r="DF125" i="8"/>
  <c r="DM86" i="8"/>
  <c r="DG198" i="8"/>
  <c r="DG200" i="8"/>
  <c r="DF36" i="8"/>
  <c r="DF202" i="8"/>
  <c r="DN284" i="8"/>
  <c r="DG176" i="8"/>
  <c r="DG178" i="8"/>
  <c r="DF34" i="8"/>
  <c r="DF180" i="8"/>
  <c r="DR108" i="8"/>
  <c r="DI286" i="8"/>
  <c r="DH44" i="8"/>
  <c r="DH290" i="8"/>
  <c r="DI48" i="8"/>
  <c r="DI334" i="8"/>
  <c r="DJ334" i="8"/>
  <c r="DD26" i="8"/>
  <c r="DD92" i="8"/>
  <c r="DE92" i="8"/>
  <c r="DG143" i="8"/>
  <c r="DG145" i="8"/>
  <c r="DF31" i="8"/>
  <c r="DF147" i="8"/>
  <c r="DH154" i="8"/>
  <c r="DH156" i="8"/>
  <c r="DG32" i="8"/>
  <c r="DG158" i="8"/>
  <c r="DQ405" i="8"/>
  <c r="DS141" i="8"/>
  <c r="DG45" i="8"/>
  <c r="DH297" i="8"/>
  <c r="DH299" i="8"/>
  <c r="DG301" i="8"/>
  <c r="DD27" i="8"/>
  <c r="DD103" i="8"/>
  <c r="DE103" i="8"/>
  <c r="DG275" i="8"/>
  <c r="DG277" i="8"/>
  <c r="DF43" i="8"/>
  <c r="DF279" i="8"/>
  <c r="DN262" i="8"/>
  <c r="DD56" i="8"/>
  <c r="DD422" i="8"/>
  <c r="DE422" i="8"/>
  <c r="DH253" i="8"/>
  <c r="DH255" i="8"/>
  <c r="DG41" i="8"/>
  <c r="DG257" i="8"/>
  <c r="DN174" i="8"/>
  <c r="DQ273" i="8"/>
  <c r="DD29" i="8"/>
  <c r="DD125" i="8"/>
  <c r="DE125" i="8"/>
  <c r="DQ306" i="8"/>
  <c r="DH33" i="8"/>
  <c r="DI165" i="8"/>
  <c r="DH169" i="8"/>
  <c r="DH42" i="8"/>
  <c r="DI264" i="8"/>
  <c r="DH268" i="8"/>
  <c r="DR306" i="8"/>
  <c r="DP174" i="8"/>
  <c r="DH41" i="8"/>
  <c r="DI253" i="8"/>
  <c r="DH257" i="8"/>
  <c r="DH275" i="8"/>
  <c r="DH277" i="8"/>
  <c r="DG43" i="8"/>
  <c r="DG279" i="8"/>
  <c r="DI297" i="8"/>
  <c r="DH45" i="8"/>
  <c r="DH301" i="8"/>
  <c r="DI154" i="8"/>
  <c r="DH32" i="8"/>
  <c r="DH158" i="8"/>
  <c r="DK286" i="8"/>
  <c r="DK288" i="8"/>
  <c r="DI288" i="8"/>
  <c r="DS108" i="8"/>
  <c r="DP284" i="8"/>
  <c r="DN86" i="8"/>
  <c r="CS77" i="8"/>
  <c r="CR25" i="8"/>
  <c r="DH418" i="8"/>
  <c r="DH420" i="8"/>
  <c r="DG56" i="8"/>
  <c r="DG422" i="8"/>
  <c r="DH88" i="8"/>
  <c r="DH90" i="8"/>
  <c r="DG26" i="8"/>
  <c r="DG92" i="8"/>
  <c r="DM330" i="8"/>
  <c r="DM332" i="8"/>
  <c r="DL48" i="8"/>
  <c r="DL334" i="8"/>
  <c r="DI110" i="8"/>
  <c r="DH28" i="8"/>
  <c r="DH114" i="8"/>
  <c r="DQ152" i="8"/>
  <c r="DR273" i="8"/>
  <c r="DP262" i="8"/>
  <c r="DR405" i="8"/>
  <c r="DH143" i="8"/>
  <c r="DH145" i="8"/>
  <c r="DG31" i="8"/>
  <c r="DG147" i="8"/>
  <c r="DH176" i="8"/>
  <c r="DH178" i="8"/>
  <c r="DG34" i="8"/>
  <c r="DG180" i="8"/>
  <c r="DH198" i="8"/>
  <c r="DH200" i="8"/>
  <c r="DG36" i="8"/>
  <c r="DG202" i="8"/>
  <c r="DH121" i="8"/>
  <c r="DH123" i="8"/>
  <c r="DG29" i="8"/>
  <c r="DG125" i="8"/>
  <c r="DP328" i="8"/>
  <c r="CR81" i="8"/>
  <c r="DS47" i="8"/>
  <c r="DS323" i="8"/>
  <c r="DT323" i="8"/>
  <c r="DN295" i="8"/>
  <c r="DQ196" i="8"/>
  <c r="DH99" i="8"/>
  <c r="DH101" i="8"/>
  <c r="DG27" i="8"/>
  <c r="DG103" i="8"/>
  <c r="DR163" i="8"/>
  <c r="DI407" i="8"/>
  <c r="DH55" i="8"/>
  <c r="DH411" i="8"/>
  <c r="DI308" i="8"/>
  <c r="DH46" i="8"/>
  <c r="DH312" i="8"/>
  <c r="DK165" i="8"/>
  <c r="DK167" i="8"/>
  <c r="DI167" i="8"/>
  <c r="DK264" i="8"/>
  <c r="DK266" i="8"/>
  <c r="DI266" i="8"/>
  <c r="DK308" i="8"/>
  <c r="DK310" i="8"/>
  <c r="DI310" i="8"/>
  <c r="DR196" i="8"/>
  <c r="DP295" i="8"/>
  <c r="DH29" i="8"/>
  <c r="DI121" i="8"/>
  <c r="DH125" i="8"/>
  <c r="DS405" i="8"/>
  <c r="DR152" i="8"/>
  <c r="DK110" i="8"/>
  <c r="DK112" i="8"/>
  <c r="DI112" i="8"/>
  <c r="DI44" i="8"/>
  <c r="DI290" i="8"/>
  <c r="DJ290" i="8"/>
  <c r="DK253" i="8"/>
  <c r="DK255" i="8"/>
  <c r="DI255" i="8"/>
  <c r="DS306" i="8"/>
  <c r="DI409" i="8"/>
  <c r="DK407" i="8"/>
  <c r="DK409" i="8"/>
  <c r="DS163" i="8"/>
  <c r="DI99" i="8"/>
  <c r="DH27" i="8"/>
  <c r="DH103" i="8"/>
  <c r="DQ328" i="8"/>
  <c r="DI198" i="8"/>
  <c r="DH36" i="8"/>
  <c r="DH202" i="8"/>
  <c r="DH34" i="8"/>
  <c r="DI176" i="8"/>
  <c r="DH180" i="8"/>
  <c r="DI143" i="8"/>
  <c r="DH31" i="8"/>
  <c r="DH147" i="8"/>
  <c r="DQ262" i="8"/>
  <c r="DS273" i="8"/>
  <c r="DN330" i="8"/>
  <c r="DM48" i="8"/>
  <c r="DM334" i="8"/>
  <c r="DI88" i="8"/>
  <c r="DH26" i="8"/>
  <c r="DH92" i="8"/>
  <c r="DI418" i="8"/>
  <c r="DH56" i="8"/>
  <c r="DH422" i="8"/>
  <c r="CS79" i="8"/>
  <c r="CS81" i="8"/>
  <c r="DP86" i="8"/>
  <c r="DQ284" i="8"/>
  <c r="DL286" i="8"/>
  <c r="DL288" i="8"/>
  <c r="DK44" i="8"/>
  <c r="DK290" i="8"/>
  <c r="DK154" i="8"/>
  <c r="DK156" i="8"/>
  <c r="DI156" i="8"/>
  <c r="DK297" i="8"/>
  <c r="DK299" i="8"/>
  <c r="DI299" i="8"/>
  <c r="DI275" i="8"/>
  <c r="DH43" i="8"/>
  <c r="DH279" i="8"/>
  <c r="DQ174" i="8"/>
  <c r="DI42" i="8"/>
  <c r="DI268" i="8"/>
  <c r="DJ268" i="8"/>
  <c r="DI169" i="8"/>
  <c r="DJ169" i="8"/>
  <c r="DI33" i="8"/>
  <c r="DL264" i="8"/>
  <c r="DL266" i="8"/>
  <c r="DK268" i="8"/>
  <c r="DK42" i="8"/>
  <c r="DL165" i="8"/>
  <c r="DL167" i="8"/>
  <c r="DK169" i="8"/>
  <c r="DK33" i="8"/>
  <c r="DI45" i="8"/>
  <c r="DI301" i="8"/>
  <c r="DJ301" i="8"/>
  <c r="DL154" i="8"/>
  <c r="DL156" i="8"/>
  <c r="DK32" i="8"/>
  <c r="DK158" i="8"/>
  <c r="DR284" i="8"/>
  <c r="DQ86" i="8"/>
  <c r="DK418" i="8"/>
  <c r="DK420" i="8"/>
  <c r="DI420" i="8"/>
  <c r="DP330" i="8"/>
  <c r="DP332" i="8"/>
  <c r="DN332" i="8"/>
  <c r="DR262" i="8"/>
  <c r="DK198" i="8"/>
  <c r="DK200" i="8"/>
  <c r="DI200" i="8"/>
  <c r="DR328" i="8"/>
  <c r="DI101" i="8"/>
  <c r="DK99" i="8"/>
  <c r="DK101" i="8"/>
  <c r="DL407" i="8"/>
  <c r="DL409" i="8"/>
  <c r="DK55" i="8"/>
  <c r="DK411" i="8"/>
  <c r="DL253" i="8"/>
  <c r="DL255" i="8"/>
  <c r="DK41" i="8"/>
  <c r="DK257" i="8"/>
  <c r="DK28" i="8"/>
  <c r="DL110" i="8"/>
  <c r="DL112" i="8"/>
  <c r="DK114" i="8"/>
  <c r="DQ295" i="8"/>
  <c r="DS196" i="8"/>
  <c r="DL308" i="8"/>
  <c r="DL310" i="8"/>
  <c r="DK46" i="8"/>
  <c r="DK312" i="8"/>
  <c r="DR174" i="8"/>
  <c r="DK275" i="8"/>
  <c r="DK277" i="8"/>
  <c r="DI277" i="8"/>
  <c r="DK45" i="8"/>
  <c r="DL297" i="8"/>
  <c r="DL299" i="8"/>
  <c r="DK301" i="8"/>
  <c r="DI32" i="8"/>
  <c r="DI158" i="8"/>
  <c r="DJ158" i="8"/>
  <c r="DM286" i="8"/>
  <c r="DM288" i="8"/>
  <c r="DL44" i="8"/>
  <c r="DL290" i="8"/>
  <c r="CT77" i="8"/>
  <c r="CS25" i="8"/>
  <c r="DI90" i="8"/>
  <c r="DK88" i="8"/>
  <c r="DK90" i="8"/>
  <c r="DK143" i="8"/>
  <c r="DK145" i="8"/>
  <c r="DI145" i="8"/>
  <c r="DK176" i="8"/>
  <c r="DK178" i="8"/>
  <c r="DI178" i="8"/>
  <c r="DI55" i="8"/>
  <c r="DI411" i="8"/>
  <c r="DJ411" i="8"/>
  <c r="DI41" i="8"/>
  <c r="DI257" i="8"/>
  <c r="DJ257" i="8"/>
  <c r="DI28" i="8"/>
  <c r="DI114" i="8"/>
  <c r="DJ114" i="8"/>
  <c r="DS152" i="8"/>
  <c r="DI123" i="8"/>
  <c r="DK121" i="8"/>
  <c r="DK123" i="8"/>
  <c r="DI46" i="8"/>
  <c r="DI312" i="8"/>
  <c r="DJ312" i="8"/>
  <c r="DL33" i="8"/>
  <c r="DM165" i="8"/>
  <c r="DM167" i="8"/>
  <c r="DL169" i="8"/>
  <c r="DL42" i="8"/>
  <c r="DL268" i="8"/>
  <c r="DM264" i="8"/>
  <c r="DM266" i="8"/>
  <c r="DI29" i="8"/>
  <c r="DI125" i="8"/>
  <c r="DJ125" i="8"/>
  <c r="DL176" i="8"/>
  <c r="DL178" i="8"/>
  <c r="DK34" i="8"/>
  <c r="DK180" i="8"/>
  <c r="DL143" i="8"/>
  <c r="DL145" i="8"/>
  <c r="DK31" i="8"/>
  <c r="DK147" i="8"/>
  <c r="DI26" i="8"/>
  <c r="DI92" i="8"/>
  <c r="DJ92" i="8"/>
  <c r="CT79" i="8"/>
  <c r="DN286" i="8"/>
  <c r="DM44" i="8"/>
  <c r="DM290" i="8"/>
  <c r="DL275" i="8"/>
  <c r="DL277" i="8"/>
  <c r="DK43" i="8"/>
  <c r="DK279" i="8"/>
  <c r="DR295" i="8"/>
  <c r="DL41" i="8"/>
  <c r="DM253" i="8"/>
  <c r="DM255" i="8"/>
  <c r="DL257" i="8"/>
  <c r="DL55" i="8"/>
  <c r="DM407" i="8"/>
  <c r="DM409" i="8"/>
  <c r="DL411" i="8"/>
  <c r="DI27" i="8"/>
  <c r="DI103" i="8"/>
  <c r="DJ103" i="8"/>
  <c r="DI36" i="8"/>
  <c r="DI202" i="8"/>
  <c r="DJ202" i="8"/>
  <c r="DQ330" i="8"/>
  <c r="DQ332" i="8"/>
  <c r="DP48" i="8"/>
  <c r="DP334" i="8"/>
  <c r="DI56" i="8"/>
  <c r="DI422" i="8"/>
  <c r="DJ422" i="8"/>
  <c r="DS284" i="8"/>
  <c r="DL121" i="8"/>
  <c r="DL123" i="8"/>
  <c r="DK29" i="8"/>
  <c r="DK125" i="8"/>
  <c r="N218" i="3"/>
  <c r="DI34" i="8"/>
  <c r="DI180" i="8"/>
  <c r="DJ180" i="8"/>
  <c r="DI31" i="8"/>
  <c r="DI147" i="8"/>
  <c r="DJ147" i="8"/>
  <c r="DL88" i="8"/>
  <c r="DL90" i="8"/>
  <c r="DK26" i="8"/>
  <c r="DK92" i="8"/>
  <c r="DM297" i="8"/>
  <c r="DM299" i="8"/>
  <c r="DL45" i="8"/>
  <c r="DL301" i="8"/>
  <c r="DI43" i="8"/>
  <c r="DI279" i="8"/>
  <c r="DJ279" i="8"/>
  <c r="DS174" i="8"/>
  <c r="DL46" i="8"/>
  <c r="DM308" i="8"/>
  <c r="DM310" i="8"/>
  <c r="DL312" i="8"/>
  <c r="DM110" i="8"/>
  <c r="DM112" i="8"/>
  <c r="DL28" i="8"/>
  <c r="DL114" i="8"/>
  <c r="DK27" i="8"/>
  <c r="DL99" i="8"/>
  <c r="DL101" i="8"/>
  <c r="DK103" i="8"/>
  <c r="DS328" i="8"/>
  <c r="DL198" i="8"/>
  <c r="DL200" i="8"/>
  <c r="DK36" i="8"/>
  <c r="DK202" i="8"/>
  <c r="DS262" i="8"/>
  <c r="DN48" i="8"/>
  <c r="DN334" i="8"/>
  <c r="DO334" i="8"/>
  <c r="DL418" i="8"/>
  <c r="DL420" i="8"/>
  <c r="DK56" i="8"/>
  <c r="DK422" i="8"/>
  <c r="DR86" i="8"/>
  <c r="DM154" i="8"/>
  <c r="DM156" i="8"/>
  <c r="DL32" i="8"/>
  <c r="DL158" i="8"/>
  <c r="DM42" i="8"/>
  <c r="DM268" i="8"/>
  <c r="DN264" i="8"/>
  <c r="DN165" i="8"/>
  <c r="DM33" i="8"/>
  <c r="DM169" i="8"/>
  <c r="DN154" i="8"/>
  <c r="DM32" i="8"/>
  <c r="DM158" i="8"/>
  <c r="DM418" i="8"/>
  <c r="DM420" i="8"/>
  <c r="DL56" i="8"/>
  <c r="DL422" i="8"/>
  <c r="DM198" i="8"/>
  <c r="DM200" i="8"/>
  <c r="DL36" i="8"/>
  <c r="DL202" i="8"/>
  <c r="DM28" i="8"/>
  <c r="DN110" i="8"/>
  <c r="DM114" i="8"/>
  <c r="N225" i="3"/>
  <c r="DM45" i="8"/>
  <c r="DN297" i="8"/>
  <c r="DM301" i="8"/>
  <c r="DL26" i="8"/>
  <c r="DM88" i="8"/>
  <c r="DM90" i="8"/>
  <c r="DL92" i="8"/>
  <c r="DR330" i="8"/>
  <c r="DR332" i="8"/>
  <c r="DQ48" i="8"/>
  <c r="DQ334" i="8"/>
  <c r="DN407" i="8"/>
  <c r="DM55" i="8"/>
  <c r="DM411" i="8"/>
  <c r="DN253" i="8"/>
  <c r="DM41" i="8"/>
  <c r="DM257" i="8"/>
  <c r="CT25" i="8"/>
  <c r="CV77" i="8"/>
  <c r="DM143" i="8"/>
  <c r="DM145" i="8"/>
  <c r="DL31" i="8"/>
  <c r="DL147" i="8"/>
  <c r="DS86" i="8"/>
  <c r="DM99" i="8"/>
  <c r="DM101" i="8"/>
  <c r="DL27" i="8"/>
  <c r="DL103" i="8"/>
  <c r="DM46" i="8"/>
  <c r="DN308" i="8"/>
  <c r="DM312" i="8"/>
  <c r="DM121" i="8"/>
  <c r="DM123" i="8"/>
  <c r="DL29" i="8"/>
  <c r="DL125" i="8"/>
  <c r="DS295" i="8"/>
  <c r="DM275" i="8"/>
  <c r="DM277" i="8"/>
  <c r="DL43" i="8"/>
  <c r="DL279" i="8"/>
  <c r="DP286" i="8"/>
  <c r="DP288" i="8"/>
  <c r="DN288" i="8"/>
  <c r="CT81" i="8"/>
  <c r="DM176" i="8"/>
  <c r="DM178" i="8"/>
  <c r="DL34" i="8"/>
  <c r="DL180" i="8"/>
  <c r="DN167" i="8"/>
  <c r="DP165" i="8"/>
  <c r="DP167" i="8"/>
  <c r="DN266" i="8"/>
  <c r="DP264" i="8"/>
  <c r="DP266" i="8"/>
  <c r="DN44" i="8"/>
  <c r="DN290" i="8"/>
  <c r="DO290" i="8"/>
  <c r="DN275" i="8"/>
  <c r="DM43" i="8"/>
  <c r="DM279" i="8"/>
  <c r="DN99" i="8"/>
  <c r="DM27" i="8"/>
  <c r="DM103" i="8"/>
  <c r="DM31" i="8"/>
  <c r="DN143" i="8"/>
  <c r="DM147" i="8"/>
  <c r="DP407" i="8"/>
  <c r="DP409" i="8"/>
  <c r="DN409" i="8"/>
  <c r="DS330" i="8"/>
  <c r="DS332" i="8"/>
  <c r="DR48" i="8"/>
  <c r="DR334" i="8"/>
  <c r="S218" i="3"/>
  <c r="DM26" i="8"/>
  <c r="DN88" i="8"/>
  <c r="DM92" i="8"/>
  <c r="DP297" i="8"/>
  <c r="DP299" i="8"/>
  <c r="DN299" i="8"/>
  <c r="DM56" i="8"/>
  <c r="DN418" i="8"/>
  <c r="DM422" i="8"/>
  <c r="DP154" i="8"/>
  <c r="DP156" i="8"/>
  <c r="DN156" i="8"/>
  <c r="DN176" i="8"/>
  <c r="DM34" i="8"/>
  <c r="DM180" i="8"/>
  <c r="CU81" i="8"/>
  <c r="DQ286" i="8"/>
  <c r="DQ288" i="8"/>
  <c r="DP44" i="8"/>
  <c r="DP290" i="8"/>
  <c r="DM29" i="8"/>
  <c r="DN121" i="8"/>
  <c r="DM125" i="8"/>
  <c r="DP308" i="8"/>
  <c r="DP310" i="8"/>
  <c r="DN310" i="8"/>
  <c r="CV79" i="8"/>
  <c r="DP253" i="8"/>
  <c r="DP255" i="8"/>
  <c r="DN255" i="8"/>
  <c r="DP110" i="8"/>
  <c r="DP112" i="8"/>
  <c r="DN112" i="8"/>
  <c r="DM36" i="8"/>
  <c r="DN198" i="8"/>
  <c r="DM202" i="8"/>
  <c r="DQ264" i="8"/>
  <c r="DQ266" i="8"/>
  <c r="DP268" i="8"/>
  <c r="DP42" i="8"/>
  <c r="DP33" i="8"/>
  <c r="DQ165" i="8"/>
  <c r="DQ167" i="8"/>
  <c r="DP169" i="8"/>
  <c r="DN42" i="8"/>
  <c r="DN268" i="8"/>
  <c r="DO268" i="8"/>
  <c r="DN169" i="8"/>
  <c r="DO169" i="8"/>
  <c r="DN33" i="8"/>
  <c r="DP198" i="8"/>
  <c r="DP200" i="8"/>
  <c r="DN200" i="8"/>
  <c r="DN28" i="8"/>
  <c r="DN114" i="8"/>
  <c r="DO114" i="8"/>
  <c r="DN41" i="8"/>
  <c r="DN257" i="8"/>
  <c r="DO257" i="8"/>
  <c r="CV25" i="8"/>
  <c r="CW77" i="8"/>
  <c r="DN46" i="8"/>
  <c r="DN312" i="8"/>
  <c r="DO312" i="8"/>
  <c r="DP121" i="8"/>
  <c r="DP123" i="8"/>
  <c r="DN123" i="8"/>
  <c r="DP176" i="8"/>
  <c r="DP178" i="8"/>
  <c r="DN178" i="8"/>
  <c r="DP32" i="8"/>
  <c r="DQ154" i="8"/>
  <c r="DQ156" i="8"/>
  <c r="DP158" i="8"/>
  <c r="DP418" i="8"/>
  <c r="DP420" i="8"/>
  <c r="DN420" i="8"/>
  <c r="DQ297" i="8"/>
  <c r="DQ299" i="8"/>
  <c r="DP45" i="8"/>
  <c r="DP301" i="8"/>
  <c r="DP88" i="8"/>
  <c r="DP90" i="8"/>
  <c r="DN90" i="8"/>
  <c r="S225" i="3"/>
  <c r="DN55" i="8"/>
  <c r="DN411" i="8"/>
  <c r="DO411" i="8"/>
  <c r="DP143" i="8"/>
  <c r="DP145" i="8"/>
  <c r="DN145" i="8"/>
  <c r="DQ110" i="8"/>
  <c r="DQ112" i="8"/>
  <c r="DP28" i="8"/>
  <c r="DP114" i="8"/>
  <c r="DQ253" i="8"/>
  <c r="DQ255" i="8"/>
  <c r="DP41" i="8"/>
  <c r="DP257" i="8"/>
  <c r="CV81" i="8"/>
  <c r="DQ308" i="8"/>
  <c r="DQ310" i="8"/>
  <c r="DP46" i="8"/>
  <c r="DP312" i="8"/>
  <c r="DQ44" i="8"/>
  <c r="DR286" i="8"/>
  <c r="DR288" i="8"/>
  <c r="DQ290" i="8"/>
  <c r="DN32" i="8"/>
  <c r="DN158" i="8"/>
  <c r="DO158" i="8"/>
  <c r="DN45" i="8"/>
  <c r="DN301" i="8"/>
  <c r="DO301" i="8"/>
  <c r="DS48" i="8"/>
  <c r="DS334" i="8"/>
  <c r="DT334" i="8"/>
  <c r="DQ407" i="8"/>
  <c r="DQ409" i="8"/>
  <c r="DP55" i="8"/>
  <c r="DP411" i="8"/>
  <c r="DP99" i="8"/>
  <c r="DP101" i="8"/>
  <c r="DN101" i="8"/>
  <c r="DP275" i="8"/>
  <c r="DP277" i="8"/>
  <c r="DN277" i="8"/>
  <c r="DQ33" i="8"/>
  <c r="DR165" i="8"/>
  <c r="DR167" i="8"/>
  <c r="DQ169" i="8"/>
  <c r="DQ42" i="8"/>
  <c r="DQ268" i="8"/>
  <c r="DR264" i="8"/>
  <c r="DR266" i="8"/>
  <c r="DN43" i="8"/>
  <c r="DN279" i="8"/>
  <c r="DO279" i="8"/>
  <c r="DQ99" i="8"/>
  <c r="DQ101" i="8"/>
  <c r="DP27" i="8"/>
  <c r="DP103" i="8"/>
  <c r="DR253" i="8"/>
  <c r="DR255" i="8"/>
  <c r="DQ41" i="8"/>
  <c r="DQ257" i="8"/>
  <c r="DQ143" i="8"/>
  <c r="DQ145" i="8"/>
  <c r="DP31" i="8"/>
  <c r="DP147" i="8"/>
  <c r="X218" i="3"/>
  <c r="DN26" i="8"/>
  <c r="DN92" i="8"/>
  <c r="DO92" i="8"/>
  <c r="DR297" i="8"/>
  <c r="DR299" i="8"/>
  <c r="DQ45" i="8"/>
  <c r="DQ301" i="8"/>
  <c r="DQ418" i="8"/>
  <c r="DQ420" i="8"/>
  <c r="DP56" i="8"/>
  <c r="DP422" i="8"/>
  <c r="DR154" i="8"/>
  <c r="DR156" i="8"/>
  <c r="DQ32" i="8"/>
  <c r="DQ158" i="8"/>
  <c r="DN34" i="8"/>
  <c r="DN180" i="8"/>
  <c r="DO180" i="8"/>
  <c r="DQ121" i="8"/>
  <c r="DQ123" i="8"/>
  <c r="DP29" i="8"/>
  <c r="DP125" i="8"/>
  <c r="DN36" i="8"/>
  <c r="DN202" i="8"/>
  <c r="DO202" i="8"/>
  <c r="DQ275" i="8"/>
  <c r="DQ277" i="8"/>
  <c r="DP43" i="8"/>
  <c r="DP279" i="8"/>
  <c r="DN27" i="8"/>
  <c r="DN103" i="8"/>
  <c r="DO103" i="8"/>
  <c r="DR407" i="8"/>
  <c r="DR409" i="8"/>
  <c r="DQ55" i="8"/>
  <c r="DQ411" i="8"/>
  <c r="DS286" i="8"/>
  <c r="DS288" i="8"/>
  <c r="DR44" i="8"/>
  <c r="DR290" i="8"/>
  <c r="DR308" i="8"/>
  <c r="DR310" i="8"/>
  <c r="DQ46" i="8"/>
  <c r="DQ312" i="8"/>
  <c r="DR110" i="8"/>
  <c r="DR112" i="8"/>
  <c r="DQ28" i="8"/>
  <c r="DQ114" i="8"/>
  <c r="DN31" i="8"/>
  <c r="DN147" i="8"/>
  <c r="DO147" i="8"/>
  <c r="DP26" i="8"/>
  <c r="DQ88" i="8"/>
  <c r="DQ90" i="8"/>
  <c r="DP92" i="8"/>
  <c r="DN56" i="8"/>
  <c r="DN422" i="8"/>
  <c r="DO422" i="8"/>
  <c r="DQ176" i="8"/>
  <c r="DQ178" i="8"/>
  <c r="DP34" i="8"/>
  <c r="DP180" i="8"/>
  <c r="DN29" i="8"/>
  <c r="DN125" i="8"/>
  <c r="DO125" i="8"/>
  <c r="CW79" i="8"/>
  <c r="DQ198" i="8"/>
  <c r="DQ200" i="8"/>
  <c r="DP36" i="8"/>
  <c r="DP202" i="8"/>
  <c r="DR42" i="8"/>
  <c r="DS264" i="8"/>
  <c r="DS266" i="8"/>
  <c r="DR268" i="8"/>
  <c r="DS165" i="8"/>
  <c r="DS167" i="8"/>
  <c r="DR169" i="8"/>
  <c r="DR33" i="8"/>
  <c r="DR198" i="8"/>
  <c r="DR200" i="8"/>
  <c r="DQ36" i="8"/>
  <c r="DQ202" i="8"/>
  <c r="CW25" i="8"/>
  <c r="CX77" i="8"/>
  <c r="DQ34" i="8"/>
  <c r="DR176" i="8"/>
  <c r="DR178" i="8"/>
  <c r="DQ180" i="8"/>
  <c r="DS308" i="8"/>
  <c r="DS310" i="8"/>
  <c r="DR46" i="8"/>
  <c r="DR312" i="8"/>
  <c r="DS44" i="8"/>
  <c r="DS290" i="8"/>
  <c r="DT290" i="8"/>
  <c r="DR32" i="8"/>
  <c r="DS154" i="8"/>
  <c r="DS156" i="8"/>
  <c r="DR158" i="8"/>
  <c r="DS297" i="8"/>
  <c r="DS299" i="8"/>
  <c r="DR45" i="8"/>
  <c r="DR301" i="8"/>
  <c r="CW81" i="8"/>
  <c r="DQ26" i="8"/>
  <c r="DR88" i="8"/>
  <c r="DR90" i="8"/>
  <c r="DQ92" i="8"/>
  <c r="DS110" i="8"/>
  <c r="DS112" i="8"/>
  <c r="DR28" i="8"/>
  <c r="DR114" i="8"/>
  <c r="DS407" i="8"/>
  <c r="DS409" i="8"/>
  <c r="DR55" i="8"/>
  <c r="DR411" i="8"/>
  <c r="DR275" i="8"/>
  <c r="DR277" i="8"/>
  <c r="DQ43" i="8"/>
  <c r="DQ279" i="8"/>
  <c r="DR121" i="8"/>
  <c r="DR123" i="8"/>
  <c r="DQ29" i="8"/>
  <c r="DQ125" i="8"/>
  <c r="DR418" i="8"/>
  <c r="DR420" i="8"/>
  <c r="DQ56" i="8"/>
  <c r="DQ422" i="8"/>
  <c r="X225" i="3"/>
  <c r="DR143" i="8"/>
  <c r="DR145" i="8"/>
  <c r="DQ31" i="8"/>
  <c r="DQ147" i="8"/>
  <c r="DS253" i="8"/>
  <c r="DS255" i="8"/>
  <c r="DR41" i="8"/>
  <c r="DR257" i="8"/>
  <c r="DR99" i="8"/>
  <c r="DR101" i="8"/>
  <c r="DQ27" i="8"/>
  <c r="DQ103" i="8"/>
  <c r="DS169" i="8"/>
  <c r="DT169" i="8"/>
  <c r="DS33" i="8"/>
  <c r="DS268" i="8"/>
  <c r="DT268" i="8"/>
  <c r="DS42" i="8"/>
  <c r="DS275" i="8"/>
  <c r="DS277" i="8"/>
  <c r="DR43" i="8"/>
  <c r="DR279" i="8"/>
  <c r="DS55" i="8"/>
  <c r="DS411" i="8"/>
  <c r="DT411" i="8"/>
  <c r="DS28" i="8"/>
  <c r="DS114" i="8"/>
  <c r="DT114" i="8"/>
  <c r="DS88" i="8"/>
  <c r="DS90" i="8"/>
  <c r="DR26" i="8"/>
  <c r="DR92" i="8"/>
  <c r="AC218" i="3"/>
  <c r="DS176" i="8"/>
  <c r="DS178" i="8"/>
  <c r="DR34" i="8"/>
  <c r="DR180" i="8"/>
  <c r="CX79" i="8"/>
  <c r="CX81" i="8"/>
  <c r="DS99" i="8"/>
  <c r="DS101" i="8"/>
  <c r="DR27" i="8"/>
  <c r="DR103" i="8"/>
  <c r="DS41" i="8"/>
  <c r="DS257" i="8"/>
  <c r="DT257" i="8"/>
  <c r="DS143" i="8"/>
  <c r="DS145" i="8"/>
  <c r="DR31" i="8"/>
  <c r="DR147" i="8"/>
  <c r="DS418" i="8"/>
  <c r="DS420" i="8"/>
  <c r="DR56" i="8"/>
  <c r="DR422" i="8"/>
  <c r="DS121" i="8"/>
  <c r="DS123" i="8"/>
  <c r="DR29" i="8"/>
  <c r="DR125" i="8"/>
  <c r="DS45" i="8"/>
  <c r="DS301" i="8"/>
  <c r="DT301" i="8"/>
  <c r="DS32" i="8"/>
  <c r="DS158" i="8"/>
  <c r="DT158" i="8"/>
  <c r="DS46" i="8"/>
  <c r="DS312" i="8"/>
  <c r="DT312" i="8"/>
  <c r="DS198" i="8"/>
  <c r="DS200" i="8"/>
  <c r="DR36" i="8"/>
  <c r="DR202" i="8"/>
  <c r="DS56" i="8"/>
  <c r="DS422" i="8"/>
  <c r="DT422" i="8"/>
  <c r="DS36" i="8"/>
  <c r="DS202" i="8"/>
  <c r="DT202" i="8"/>
  <c r="DS29" i="8"/>
  <c r="DS125" i="8"/>
  <c r="DT125" i="8"/>
  <c r="DS31" i="8"/>
  <c r="DS147" i="8"/>
  <c r="DT147" i="8"/>
  <c r="DS27" i="8"/>
  <c r="DS103" i="8"/>
  <c r="DT103" i="8"/>
  <c r="CX25" i="8"/>
  <c r="CY77" i="8"/>
  <c r="DS34" i="8"/>
  <c r="DS180" i="8"/>
  <c r="DT180" i="8"/>
  <c r="AC225" i="3"/>
  <c r="DS26" i="8"/>
  <c r="DS92" i="8"/>
  <c r="DT92" i="8"/>
  <c r="DS43" i="8"/>
  <c r="DS279" i="8"/>
  <c r="DT279" i="8"/>
  <c r="CY79" i="8"/>
  <c r="CY81" i="8"/>
  <c r="CZ81" i="8"/>
  <c r="AH218" i="3"/>
  <c r="DA77" i="8"/>
  <c r="CY25" i="8"/>
  <c r="DA79" i="8"/>
  <c r="DA81" i="8"/>
  <c r="AH225" i="3"/>
  <c r="DB77" i="8"/>
  <c r="DA25" i="8"/>
  <c r="DB79" i="8"/>
  <c r="DB81" i="8"/>
  <c r="AM218" i="3"/>
  <c r="AM225" i="3"/>
  <c r="DB25" i="8"/>
  <c r="DC77" i="8"/>
  <c r="DC79" i="8"/>
  <c r="DC81" i="8"/>
  <c r="AR218" i="3"/>
  <c r="AR225" i="3"/>
  <c r="DC25" i="8"/>
  <c r="DD77" i="8"/>
  <c r="DD79" i="8"/>
  <c r="DD81" i="8"/>
  <c r="DE81" i="8"/>
  <c r="AW218" i="3"/>
  <c r="DF77" i="8"/>
  <c r="DD25" i="8"/>
  <c r="DF79" i="8"/>
  <c r="AW225" i="3"/>
  <c r="BB218" i="3"/>
  <c r="DG77" i="8"/>
  <c r="DF25" i="8"/>
  <c r="DF81" i="8"/>
  <c r="DF19" i="8"/>
  <c r="DG79" i="8"/>
  <c r="DG81" i="8"/>
  <c r="DG19" i="8"/>
  <c r="BB225" i="3"/>
  <c r="DG20" i="8"/>
  <c r="DG21" i="8" s="1"/>
  <c r="DG25" i="8"/>
  <c r="DH77" i="8"/>
  <c r="BG218" i="3"/>
  <c r="DH79" i="8"/>
  <c r="DH81" i="8"/>
  <c r="DH19" i="8"/>
  <c r="DI77" i="8"/>
  <c r="DH25" i="8"/>
  <c r="BG225" i="3"/>
  <c r="BL218" i="3"/>
  <c r="DI79" i="8"/>
  <c r="DI81" i="8"/>
  <c r="DH20" i="8"/>
  <c r="DI19" i="8"/>
  <c r="DI20" i="8"/>
  <c r="DI21" i="8" s="1"/>
  <c r="DJ81" i="8"/>
  <c r="DJ19" i="8"/>
  <c r="BL225" i="3"/>
  <c r="DK77" i="8"/>
  <c r="DI25" i="8"/>
  <c r="BM217" i="3"/>
  <c r="BM218" i="3" s="1"/>
  <c r="DJ20" i="2"/>
  <c r="DK79" i="8"/>
  <c r="DL77" i="8"/>
  <c r="DK25" i="8"/>
  <c r="BN217" i="3"/>
  <c r="BN218" i="3" s="1"/>
  <c r="DK81" i="8"/>
  <c r="BQ225" i="3"/>
  <c r="DK19" i="8"/>
  <c r="DK20" i="2" s="1"/>
  <c r="DK20" i="8" s="1"/>
  <c r="DK21" i="8" s="1"/>
  <c r="BS217" i="3"/>
  <c r="BS218" i="3" s="1"/>
  <c r="DL79" i="8"/>
  <c r="DL81" i="8"/>
  <c r="DL19" i="8"/>
  <c r="DL20" i="2" s="1"/>
  <c r="DL20" i="8" s="1"/>
  <c r="DL21" i="8" s="1"/>
  <c r="BV225" i="3"/>
  <c r="DM77" i="8"/>
  <c r="DL25" i="8"/>
  <c r="DM79" i="8"/>
  <c r="BW217" i="3"/>
  <c r="DM25" i="8"/>
  <c r="DN77" i="8"/>
  <c r="DM81" i="8"/>
  <c r="CC217" i="3"/>
  <c r="CC218" i="3" s="1"/>
  <c r="DN79" i="8"/>
  <c r="DP77" i="8"/>
  <c r="DN25" i="8"/>
  <c r="DN81" i="8"/>
  <c r="CF225" i="3"/>
  <c r="CI217" i="3"/>
  <c r="CI218" i="3" s="1"/>
  <c r="DP79" i="8"/>
  <c r="DP81" i="8"/>
  <c r="DO81" i="8"/>
  <c r="DQ77" i="8"/>
  <c r="DP25" i="8"/>
  <c r="CK225" i="3"/>
  <c r="DQ79" i="8"/>
  <c r="CN217" i="3"/>
  <c r="CN218" i="3" s="1"/>
  <c r="DR77" i="8"/>
  <c r="DQ25" i="8"/>
  <c r="CP225" i="3"/>
  <c r="DQ81" i="8"/>
  <c r="DR79" i="8"/>
  <c r="DS77" i="8"/>
  <c r="DR25" i="8"/>
  <c r="CU218" i="3"/>
  <c r="DR81" i="8"/>
  <c r="CU225" i="3"/>
  <c r="CT217" i="3"/>
  <c r="CT218" i="3" s="1"/>
  <c r="DS79" i="8"/>
  <c r="DS25" i="8"/>
  <c r="DS81" i="8"/>
  <c r="DT81" i="8"/>
  <c r="CX217" i="3"/>
  <c r="CX218" i="3" s="1"/>
  <c r="CZ225" i="3"/>
  <c r="DB217" i="3"/>
  <c r="DB218" i="3" s="1"/>
  <c r="DA217" i="3"/>
  <c r="DA218" i="3" s="1"/>
  <c r="DH217" i="3"/>
  <c r="DP217" i="3"/>
  <c r="DS217" i="3"/>
  <c r="DF10" i="7"/>
  <c r="DF12" i="7"/>
  <c r="AV27" i="5" s="1"/>
  <c r="DF14" i="7"/>
  <c r="DF15" i="7"/>
  <c r="DF93" i="7"/>
  <c r="DF90" i="7" s="1"/>
  <c r="DF118" i="7"/>
  <c r="DF127" i="7"/>
  <c r="DF153" i="7"/>
  <c r="DF141" i="7" s="1"/>
  <c r="DF167" i="7"/>
  <c r="DF168" i="7"/>
  <c r="DF129" i="7"/>
  <c r="DF172" i="7"/>
  <c r="DF128" i="7"/>
  <c r="AV21" i="5"/>
  <c r="DF96" i="6"/>
  <c r="DF82" i="6" s="1"/>
  <c r="DF99" i="6"/>
  <c r="DF295" i="6"/>
  <c r="DF296" i="6" s="1"/>
  <c r="DF297" i="6"/>
  <c r="DF302" i="6" s="1"/>
  <c r="DF301" i="6"/>
  <c r="DF101" i="6"/>
  <c r="DK96" i="6"/>
  <c r="DL96" i="6" s="1"/>
  <c r="DF14" i="8"/>
  <c r="AV15" i="5"/>
  <c r="DF39" i="2"/>
  <c r="AS23" i="9"/>
  <c r="DF38" i="2"/>
  <c r="AV7" i="5"/>
  <c r="DF40" i="2"/>
  <c r="AS123" i="9"/>
  <c r="AS1" i="9"/>
  <c r="DF210" i="3"/>
  <c r="DF178" i="3"/>
  <c r="DF179" i="3"/>
  <c r="DF11" i="8"/>
  <c r="DG10" i="8" s="1"/>
  <c r="DF152" i="3"/>
  <c r="DF181" i="3"/>
  <c r="DF1" i="6"/>
  <c r="CT44" i="2"/>
  <c r="CT45" i="2" s="1"/>
  <c r="CT38" i="2" s="1"/>
  <c r="DG255" i="3"/>
  <c r="DG257" i="3" s="1"/>
  <c r="DG262" i="3"/>
  <c r="DG263" i="3" s="1"/>
  <c r="DG282" i="3" s="1"/>
  <c r="DG305" i="3"/>
  <c r="DG14" i="8"/>
  <c r="AX7" i="5"/>
  <c r="AX15" i="5"/>
  <c r="AT1" i="9"/>
  <c r="AT23" i="9"/>
  <c r="AT123" i="9"/>
  <c r="DG1" i="6"/>
  <c r="DG12" i="7"/>
  <c r="AX27" i="5" s="1"/>
  <c r="DG10" i="7"/>
  <c r="DG118" i="7"/>
  <c r="DG178" i="3"/>
  <c r="DG179" i="3"/>
  <c r="DG181" i="3" s="1"/>
  <c r="DG210" i="3"/>
  <c r="DG216" i="3"/>
  <c r="DG240" i="3"/>
  <c r="DG244" i="3"/>
  <c r="DG245" i="3"/>
  <c r="DG250" i="3"/>
  <c r="DG251" i="3"/>
  <c r="DG252" i="3"/>
  <c r="DG270" i="3"/>
  <c r="DG272" i="3" s="1"/>
  <c r="DG278" i="3"/>
  <c r="DG279" i="3" s="1"/>
  <c r="DG284" i="3" s="1"/>
  <c r="DG11" i="8"/>
  <c r="AX10" i="5"/>
  <c r="AX20" i="5"/>
  <c r="AX24" i="5"/>
  <c r="AT126" i="9"/>
  <c r="AT127" i="9"/>
  <c r="AT128" i="9" s="1"/>
  <c r="AT129" i="9"/>
  <c r="AT130" i="9"/>
  <c r="AT131" i="9"/>
  <c r="DG221" i="6"/>
  <c r="DG222" i="6"/>
  <c r="DG223" i="6"/>
  <c r="DG295" i="6"/>
  <c r="DG300" i="6" s="1"/>
  <c r="DG297" i="6"/>
  <c r="DG302" i="6"/>
  <c r="AM232" i="3" l="1"/>
  <c r="DF272" i="3"/>
  <c r="E34" i="2"/>
  <c r="E35" i="2"/>
  <c r="E43" i="2"/>
  <c r="E32" i="2"/>
  <c r="E31" i="2"/>
  <c r="G43" i="2"/>
  <c r="G34" i="2"/>
  <c r="G35" i="2"/>
  <c r="G36" i="2" s="1"/>
  <c r="G32" i="2"/>
  <c r="G31" i="2"/>
  <c r="DG205" i="3"/>
  <c r="DG209" i="3"/>
  <c r="AP40" i="5"/>
  <c r="AT40" i="5"/>
  <c r="AN40" i="5"/>
  <c r="DE126" i="2"/>
  <c r="CK187" i="3"/>
  <c r="CK188" i="3" s="1"/>
  <c r="CK186" i="3"/>
  <c r="BO29" i="6"/>
  <c r="BO50" i="6"/>
  <c r="BT35" i="6"/>
  <c r="G129" i="9" s="1"/>
  <c r="BT36" i="6"/>
  <c r="G131" i="9" s="1"/>
  <c r="BY36" i="6"/>
  <c r="L131" i="9" s="1"/>
  <c r="AB31" i="7"/>
  <c r="AB32" i="7" s="1"/>
  <c r="AB26" i="7"/>
  <c r="AB28" i="7" s="1"/>
  <c r="AG31" i="7"/>
  <c r="AG32" i="7" s="1"/>
  <c r="AG26" i="7"/>
  <c r="AG28" i="7" s="1"/>
  <c r="AQ31" i="7"/>
  <c r="AQ32" i="7" s="1"/>
  <c r="AQ26" i="7"/>
  <c r="BK135" i="2"/>
  <c r="BO144" i="2"/>
  <c r="BO38" i="7"/>
  <c r="BY38" i="7"/>
  <c r="L31" i="9" s="1"/>
  <c r="BY174" i="7"/>
  <c r="BT200" i="7"/>
  <c r="DA38" i="2"/>
  <c r="DE132" i="2"/>
  <c r="DE135" i="2" s="1"/>
  <c r="DA135" i="2"/>
  <c r="DA136" i="2"/>
  <c r="X97" i="2"/>
  <c r="AR44" i="5"/>
  <c r="BS25" i="6"/>
  <c r="BS63" i="6"/>
  <c r="CC92" i="2"/>
  <c r="CM92" i="2"/>
  <c r="CW92" i="2"/>
  <c r="CR92" i="2"/>
  <c r="CT97" i="2"/>
  <c r="CY97" i="2"/>
  <c r="CX136" i="2"/>
  <c r="CX131" i="2"/>
  <c r="AM123" i="9"/>
  <c r="CZ64" i="2"/>
  <c r="AM1" i="9"/>
  <c r="CZ1" i="3"/>
  <c r="CB68" i="2"/>
  <c r="CB12" i="2"/>
  <c r="CB17" i="2" s="1"/>
  <c r="CB112" i="2"/>
  <c r="AH89" i="2"/>
  <c r="AH60" i="2"/>
  <c r="H43" i="2"/>
  <c r="H31" i="2"/>
  <c r="AK57" i="5"/>
  <c r="CZ13" i="2"/>
  <c r="CZ94" i="2" s="1"/>
  <c r="CS129" i="2"/>
  <c r="CT135" i="2"/>
  <c r="CT129" i="2" s="1"/>
  <c r="F15" i="2"/>
  <c r="F67" i="8" s="1"/>
  <c r="F22" i="2"/>
  <c r="F24" i="2" s="1"/>
  <c r="F27" i="2" s="1"/>
  <c r="F29" i="2" s="1"/>
  <c r="I185" i="3"/>
  <c r="I12" i="2"/>
  <c r="N89" i="2"/>
  <c r="N94" i="2"/>
  <c r="N97" i="2" s="1"/>
  <c r="S60" i="2"/>
  <c r="Y123" i="9"/>
  <c r="CL1" i="6"/>
  <c r="CQ64" i="2"/>
  <c r="AD123" i="9"/>
  <c r="CV64" i="2"/>
  <c r="AD1" i="9"/>
  <c r="AH1" i="9"/>
  <c r="CS37" i="2"/>
  <c r="AB53" i="5"/>
  <c r="CA51" i="2"/>
  <c r="CF51" i="2"/>
  <c r="CA49" i="2"/>
  <c r="CQ46" i="2"/>
  <c r="CQ44" i="2" s="1"/>
  <c r="CQ45" i="2" s="1"/>
  <c r="CQ38" i="2" s="1"/>
  <c r="CP49" i="2"/>
  <c r="CQ49" i="2"/>
  <c r="CQ202" i="3" s="1"/>
  <c r="CQ200" i="3" s="1"/>
  <c r="CP51" i="2"/>
  <c r="BL102" i="2"/>
  <c r="BL112" i="2"/>
  <c r="BO12" i="3"/>
  <c r="BO14" i="3"/>
  <c r="BO298" i="3" s="1"/>
  <c r="X207" i="3"/>
  <c r="AC207" i="3"/>
  <c r="BM201" i="7"/>
  <c r="BM25" i="7"/>
  <c r="AC123" i="9"/>
  <c r="AC23" i="9"/>
  <c r="T53" i="5"/>
  <c r="AR40" i="5"/>
  <c r="AP44" i="5"/>
  <c r="AR48" i="5"/>
  <c r="AT44" i="5"/>
  <c r="DE305" i="3"/>
  <c r="AN48" i="5"/>
  <c r="AN44" i="5"/>
  <c r="AT48" i="5"/>
  <c r="CU132" i="2"/>
  <c r="CU136" i="2" s="1"/>
  <c r="DF92" i="2"/>
  <c r="CZ136" i="2"/>
  <c r="Y22" i="2"/>
  <c r="Y24" i="2" s="1"/>
  <c r="Y27" i="2" s="1"/>
  <c r="Y29" i="2" s="1"/>
  <c r="Y15" i="2"/>
  <c r="Y67" i="8" s="1"/>
  <c r="AR305" i="3"/>
  <c r="AR20" i="2"/>
  <c r="CK20" i="8"/>
  <c r="CP46" i="2"/>
  <c r="CO92" i="2"/>
  <c r="CT92" i="2"/>
  <c r="CR97" i="2"/>
  <c r="DB97" i="2"/>
  <c r="CW97" i="2"/>
  <c r="BV121" i="2"/>
  <c r="AB40" i="5"/>
  <c r="CU126" i="2"/>
  <c r="CN136" i="2"/>
  <c r="BD26" i="7"/>
  <c r="BD100" i="2" s="1"/>
  <c r="BD31" i="7"/>
  <c r="BD32" i="7" s="1"/>
  <c r="BI135" i="2"/>
  <c r="DG64" i="2"/>
  <c r="AX8" i="5" s="1"/>
  <c r="DG40" i="2"/>
  <c r="DB1" i="6"/>
  <c r="DB40" i="2"/>
  <c r="BT90" i="2"/>
  <c r="BR36" i="6"/>
  <c r="E131" i="9" s="1"/>
  <c r="CM64" i="2"/>
  <c r="AA23" i="9"/>
  <c r="AE40" i="5"/>
  <c r="AP7" i="5"/>
  <c r="BM144" i="2"/>
  <c r="BM146" i="2" s="1"/>
  <c r="BM149" i="2" s="1"/>
  <c r="CX92" i="2"/>
  <c r="AF1" i="9"/>
  <c r="AA1" i="9"/>
  <c r="CE1" i="6"/>
  <c r="R35" i="2"/>
  <c r="BI26" i="7"/>
  <c r="BI100" i="2" s="1"/>
  <c r="CM40" i="2"/>
  <c r="CJ40" i="2"/>
  <c r="M8" i="5" s="1"/>
  <c r="AM262" i="3"/>
  <c r="AM263" i="3" s="1"/>
  <c r="AM282" i="3" s="1"/>
  <c r="AM278" i="3"/>
  <c r="AM279" i="3" s="1"/>
  <c r="AM284" i="3" s="1"/>
  <c r="S94" i="2"/>
  <c r="DC40" i="2"/>
  <c r="CX1" i="3"/>
  <c r="CX1" i="6"/>
  <c r="DG135" i="3"/>
  <c r="DG70" i="3"/>
  <c r="CV35" i="3"/>
  <c r="CV312" i="3" s="1"/>
  <c r="CV298" i="3"/>
  <c r="AN1" i="9"/>
  <c r="DA64" i="2"/>
  <c r="AN8" i="5" s="1"/>
  <c r="DE39" i="2"/>
  <c r="AN7" i="5"/>
  <c r="AN123" i="9"/>
  <c r="DA1" i="6"/>
  <c r="DB135" i="2"/>
  <c r="DF64" i="2"/>
  <c r="AV8" i="5" s="1"/>
  <c r="BL242" i="3"/>
  <c r="DB64" i="2"/>
  <c r="AP8" i="5" s="1"/>
  <c r="CE41" i="7"/>
  <c r="R22" i="9" s="1"/>
  <c r="CY92" i="2"/>
  <c r="U123" i="9"/>
  <c r="R23" i="9"/>
  <c r="CS40" i="2"/>
  <c r="AO123" i="9"/>
  <c r="CX64" i="2"/>
  <c r="CN40" i="2"/>
  <c r="R43" i="2"/>
  <c r="R38" i="2" s="1"/>
  <c r="AR50" i="5"/>
  <c r="AN50" i="5"/>
  <c r="AT50" i="5"/>
  <c r="CZ126" i="2"/>
  <c r="CP14" i="2"/>
  <c r="CP13" i="2" s="1"/>
  <c r="CP94" i="2" s="1"/>
  <c r="AR94" i="2"/>
  <c r="AW97" i="2" s="1"/>
  <c r="BL92" i="2"/>
  <c r="AK7" i="5"/>
  <c r="CY40" i="2"/>
  <c r="AL23" i="9"/>
  <c r="CY64" i="2"/>
  <c r="AK8" i="5" s="1"/>
  <c r="DI135" i="3"/>
  <c r="DI70" i="3"/>
  <c r="BE186" i="3"/>
  <c r="BE187" i="3"/>
  <c r="BE188" i="3" s="1"/>
  <c r="BI187" i="3"/>
  <c r="BI188" i="3" s="1"/>
  <c r="BI186" i="3"/>
  <c r="BQ186" i="3"/>
  <c r="BQ187" i="3"/>
  <c r="BQ188" i="3" s="1"/>
  <c r="DE13" i="2"/>
  <c r="DE60" i="2" s="1"/>
  <c r="DH97" i="2"/>
  <c r="DC97" i="2"/>
  <c r="DI40" i="2"/>
  <c r="DI64" i="2"/>
  <c r="DD64" i="2"/>
  <c r="AT8" i="5" s="1"/>
  <c r="AQ1" i="9"/>
  <c r="DD1" i="6"/>
  <c r="AQ123" i="9"/>
  <c r="DG92" i="2"/>
  <c r="DE51" i="2"/>
  <c r="CZ135" i="2"/>
  <c r="CF49" i="2"/>
  <c r="AC94" i="2"/>
  <c r="AH97" i="2" s="1"/>
  <c r="AM51" i="2"/>
  <c r="BF136" i="2"/>
  <c r="DF135" i="3"/>
  <c r="DF70" i="3"/>
  <c r="DJ135" i="3"/>
  <c r="DJ70" i="3"/>
  <c r="DH40" i="2"/>
  <c r="DH64" i="2"/>
  <c r="DG136" i="2"/>
  <c r="CU135" i="2"/>
  <c r="BH135" i="2"/>
  <c r="DH135" i="3"/>
  <c r="DH70" i="3"/>
  <c r="AQ14" i="9"/>
  <c r="BE164" i="9"/>
  <c r="BF164" i="9"/>
  <c r="BC164" i="9"/>
  <c r="DG241" i="3"/>
  <c r="CH249" i="3"/>
  <c r="CM241" i="3"/>
  <c r="DN157" i="3"/>
  <c r="DM33" i="3"/>
  <c r="DL33" i="3"/>
  <c r="DQ138" i="3"/>
  <c r="DJ158" i="3"/>
  <c r="DK158" i="3" s="1"/>
  <c r="DL158" i="3" s="1"/>
  <c r="DM158" i="3" s="1"/>
  <c r="CX35" i="3"/>
  <c r="CX312" i="3" s="1"/>
  <c r="CJ197" i="3"/>
  <c r="CK197" i="3" s="1"/>
  <c r="CK196" i="3" s="1"/>
  <c r="CK59" i="3"/>
  <c r="CJ124" i="3"/>
  <c r="T51" i="5"/>
  <c r="DC319" i="3"/>
  <c r="DC323" i="3" s="1"/>
  <c r="DC325" i="3" s="1"/>
  <c r="CJ206" i="3"/>
  <c r="CO207" i="3" s="1"/>
  <c r="CY50" i="3"/>
  <c r="CY61" i="3" s="1"/>
  <c r="BP300" i="3"/>
  <c r="CJ61" i="3"/>
  <c r="BZ45" i="3"/>
  <c r="CR125" i="3"/>
  <c r="CW319" i="3"/>
  <c r="CW323" i="3" s="1"/>
  <c r="CB300" i="3"/>
  <c r="BT34" i="3"/>
  <c r="BT299" i="3" s="1"/>
  <c r="BR302" i="3"/>
  <c r="BR204" i="3"/>
  <c r="CP60" i="3"/>
  <c r="CP61" i="3" s="1"/>
  <c r="CO61" i="3"/>
  <c r="DA318" i="3"/>
  <c r="DA319" i="3" s="1"/>
  <c r="DA323" i="3" s="1"/>
  <c r="DA325" i="3" s="1"/>
  <c r="DA99" i="3"/>
  <c r="DA128" i="3" s="1"/>
  <c r="CJ45" i="3"/>
  <c r="CJ300" i="3"/>
  <c r="CX209" i="3"/>
  <c r="CF48" i="3"/>
  <c r="BP323" i="3"/>
  <c r="BU61" i="3"/>
  <c r="CU37" i="3"/>
  <c r="CB45" i="3"/>
  <c r="CL26" i="3"/>
  <c r="BW11" i="3"/>
  <c r="BW14" i="2"/>
  <c r="CF18" i="3"/>
  <c r="CC26" i="3"/>
  <c r="CI34" i="3"/>
  <c r="CI299" i="3" s="1"/>
  <c r="CU32" i="3"/>
  <c r="CR34" i="3"/>
  <c r="CR299" i="3" s="1"/>
  <c r="CF37" i="3"/>
  <c r="CF300" i="3" s="1"/>
  <c r="CC45" i="3"/>
  <c r="CM300" i="3"/>
  <c r="CM290" i="3"/>
  <c r="CW290" i="3"/>
  <c r="CW300" i="3"/>
  <c r="DJ38" i="3"/>
  <c r="DJ322" i="3" s="1"/>
  <c r="CF50" i="3"/>
  <c r="CG50" i="3"/>
  <c r="CK49" i="3"/>
  <c r="CK50" i="3" s="1"/>
  <c r="CU50" i="3"/>
  <c r="CT61" i="3"/>
  <c r="DF300" i="3"/>
  <c r="DK37" i="3"/>
  <c r="DF290" i="3"/>
  <c r="DE33" i="3"/>
  <c r="CA38" i="3"/>
  <c r="BW300" i="3"/>
  <c r="CK300" i="3"/>
  <c r="CU34" i="3"/>
  <c r="CU318" i="3" s="1"/>
  <c r="CN26" i="3"/>
  <c r="CF51" i="3"/>
  <c r="CE53" i="3"/>
  <c r="CE61" i="3" s="1"/>
  <c r="CS61" i="3"/>
  <c r="DL323" i="3"/>
  <c r="DM325" i="3" s="1"/>
  <c r="DE28" i="3"/>
  <c r="DA34" i="3"/>
  <c r="DA299" i="3" s="1"/>
  <c r="DE37" i="3"/>
  <c r="DC300" i="3"/>
  <c r="CA20" i="3"/>
  <c r="CK20" i="3"/>
  <c r="CU20" i="3"/>
  <c r="CA21" i="3"/>
  <c r="CA22" i="3"/>
  <c r="CY26" i="3"/>
  <c r="CZ17" i="3"/>
  <c r="CZ21" i="3"/>
  <c r="CT34" i="3"/>
  <c r="CS34" i="3"/>
  <c r="CP33" i="3"/>
  <c r="CT300" i="3"/>
  <c r="CK41" i="3"/>
  <c r="CM45" i="3"/>
  <c r="CU42" i="3"/>
  <c r="CP47" i="3"/>
  <c r="CI53" i="3"/>
  <c r="CF52" i="3"/>
  <c r="CH53" i="3"/>
  <c r="CH61" i="3" s="1"/>
  <c r="CM53" i="3"/>
  <c r="CM61" i="3" s="1"/>
  <c r="CF60" i="3"/>
  <c r="DA53" i="3"/>
  <c r="DE52" i="3"/>
  <c r="DE57" i="3"/>
  <c r="DE59" i="3"/>
  <c r="CY35" i="3"/>
  <c r="CY63" i="3" s="1"/>
  <c r="CK15" i="3"/>
  <c r="CK16" i="3"/>
  <c r="CA17" i="3"/>
  <c r="CK19" i="3"/>
  <c r="CP19" i="3"/>
  <c r="BX26" i="3"/>
  <c r="BN26" i="3"/>
  <c r="CZ15" i="3"/>
  <c r="CZ19" i="3"/>
  <c r="CF31" i="3"/>
  <c r="CF34" i="3" s="1"/>
  <c r="CF299" i="3" s="1"/>
  <c r="CP38" i="3"/>
  <c r="CP39" i="3"/>
  <c r="CP44" i="3"/>
  <c r="CP57" i="3"/>
  <c r="BU26" i="3"/>
  <c r="CS125" i="3"/>
  <c r="CS319" i="3"/>
  <c r="CS323" i="3" s="1"/>
  <c r="CS325" i="3" s="1"/>
  <c r="CY319" i="3"/>
  <c r="CY323" i="3" s="1"/>
  <c r="DI319" i="3"/>
  <c r="DI323" i="3" s="1"/>
  <c r="DI325" i="3" s="1"/>
  <c r="DN319" i="3"/>
  <c r="DN323" i="3" s="1"/>
  <c r="DN325" i="3" s="1"/>
  <c r="DB45" i="3"/>
  <c r="DV37" i="3"/>
  <c r="CH26" i="3"/>
  <c r="CP15" i="3"/>
  <c r="CU17" i="3"/>
  <c r="CA18" i="3"/>
  <c r="CK18" i="3"/>
  <c r="CU18" i="3"/>
  <c r="CA19" i="3"/>
  <c r="CF19" i="3"/>
  <c r="CF21" i="3"/>
  <c r="CF318" i="3" s="1"/>
  <c r="CK21" i="3"/>
  <c r="CF22" i="3"/>
  <c r="CF26" i="3" s="1"/>
  <c r="CZ18" i="3"/>
  <c r="CA29" i="3"/>
  <c r="CP32" i="3"/>
  <c r="CF42" i="3"/>
  <c r="CZ39" i="3"/>
  <c r="CY45" i="3"/>
  <c r="CZ44" i="3"/>
  <c r="CD53" i="3"/>
  <c r="CD61" i="3" s="1"/>
  <c r="CZ60" i="3"/>
  <c r="CS111" i="3"/>
  <c r="DJ23" i="3"/>
  <c r="DF34" i="3"/>
  <c r="DF299" i="3" s="1"/>
  <c r="DC61" i="3"/>
  <c r="DE16" i="3"/>
  <c r="DE17" i="3"/>
  <c r="DE18" i="3"/>
  <c r="DE19" i="3"/>
  <c r="DE20" i="3"/>
  <c r="DE21" i="3"/>
  <c r="DE22" i="3"/>
  <c r="DE23" i="3"/>
  <c r="DC34" i="3"/>
  <c r="DC299" i="3" s="1"/>
  <c r="DB34" i="3"/>
  <c r="DB299" i="3" s="1"/>
  <c r="DE32" i="3"/>
  <c r="DE34" i="3" s="1"/>
  <c r="DE38" i="3"/>
  <c r="DE322" i="3" s="1"/>
  <c r="DE39" i="3"/>
  <c r="DE40" i="3"/>
  <c r="DE43" i="3"/>
  <c r="DE49" i="3"/>
  <c r="DE50" i="3" s="1"/>
  <c r="DB128" i="3"/>
  <c r="DC45" i="3"/>
  <c r="CV249" i="3"/>
  <c r="DC241" i="3"/>
  <c r="BS36" i="6"/>
  <c r="F131" i="9" s="1"/>
  <c r="CJ186" i="3"/>
  <c r="DB186" i="3"/>
  <c r="DA209" i="3"/>
  <c r="DA211" i="3" s="1"/>
  <c r="CA13" i="3"/>
  <c r="CF13" i="3"/>
  <c r="CY312" i="3"/>
  <c r="CY209" i="3"/>
  <c r="CJ207" i="3"/>
  <c r="CC14" i="3"/>
  <c r="CC298" i="3" s="1"/>
  <c r="BV12" i="3"/>
  <c r="BC186" i="3"/>
  <c r="CZ13" i="3"/>
  <c r="AK56" i="5" s="1"/>
  <c r="BS256" i="6"/>
  <c r="CC187" i="3"/>
  <c r="CC188" i="3" s="1"/>
  <c r="AU31" i="7"/>
  <c r="AU32" i="7" s="1"/>
  <c r="BS29" i="6"/>
  <c r="BS30" i="6" s="1"/>
  <c r="BS35" i="6"/>
  <c r="F129" i="9" s="1"/>
  <c r="K130" i="9" s="1"/>
  <c r="S186" i="3"/>
  <c r="BO187" i="3"/>
  <c r="BO188" i="3" s="1"/>
  <c r="BN24" i="6"/>
  <c r="CS135" i="3"/>
  <c r="CW211" i="3"/>
  <c r="BS200" i="7"/>
  <c r="CA207" i="3"/>
  <c r="BR242" i="6"/>
  <c r="BW245" i="6" s="1"/>
  <c r="BN35" i="6"/>
  <c r="AZ27" i="7"/>
  <c r="BS26" i="6"/>
  <c r="BS27" i="6" s="1"/>
  <c r="BS242" i="6"/>
  <c r="BX245" i="6" s="1"/>
  <c r="BS145" i="2"/>
  <c r="BS146" i="2" s="1"/>
  <c r="BS149" i="2" s="1"/>
  <c r="DA186" i="3"/>
  <c r="BN29" i="6"/>
  <c r="BN30" i="6" s="1"/>
  <c r="CO70" i="3"/>
  <c r="BE129" i="2"/>
  <c r="BE135" i="2" s="1"/>
  <c r="AP26" i="7"/>
  <c r="AP28" i="7" s="1"/>
  <c r="BK187" i="3"/>
  <c r="BK188" i="3" s="1"/>
  <c r="CU8" i="3"/>
  <c r="CW186" i="3"/>
  <c r="CP204" i="3"/>
  <c r="CP205" i="3" s="1"/>
  <c r="AZ100" i="2"/>
  <c r="AZ115" i="2" s="1"/>
  <c r="BS50" i="6"/>
  <c r="CH186" i="3"/>
  <c r="BQ11" i="3"/>
  <c r="BQ147" i="3" s="1"/>
  <c r="BV147" i="3" s="1"/>
  <c r="BX186" i="3"/>
  <c r="Z26" i="7"/>
  <c r="Z28" i="7" s="1"/>
  <c r="DU427" i="8"/>
  <c r="BU176" i="6"/>
  <c r="BU177" i="6" s="1"/>
  <c r="BV174" i="6"/>
  <c r="X437" i="6"/>
  <c r="X443" i="6" s="1"/>
  <c r="AC443" i="6"/>
  <c r="BY132" i="6"/>
  <c r="BY139" i="6" s="1"/>
  <c r="BY198" i="6"/>
  <c r="BY176" i="6"/>
  <c r="BY177" i="6" s="1"/>
  <c r="BY172" i="6"/>
  <c r="BY182" i="6"/>
  <c r="CK148" i="6"/>
  <c r="CK165" i="6"/>
  <c r="CK166" i="6" s="1"/>
  <c r="CR282" i="6"/>
  <c r="CR290" i="6" s="1"/>
  <c r="CR284" i="6"/>
  <c r="CR285" i="6"/>
  <c r="BW284" i="6"/>
  <c r="BW225" i="6"/>
  <c r="BW288" i="6"/>
  <c r="BW290" i="6" s="1"/>
  <c r="CG277" i="6"/>
  <c r="CF9" i="2"/>
  <c r="CG249" i="6"/>
  <c r="DQ179" i="6"/>
  <c r="DV141" i="6"/>
  <c r="DV179" i="6" s="1"/>
  <c r="CF10" i="6"/>
  <c r="CF122" i="6" s="1"/>
  <c r="CF125" i="6" s="1"/>
  <c r="Q130" i="9"/>
  <c r="BP137" i="6"/>
  <c r="BK169" i="6"/>
  <c r="BO169" i="6"/>
  <c r="BT137" i="6"/>
  <c r="BN158" i="6"/>
  <c r="BS118" i="6"/>
  <c r="BN118" i="6"/>
  <c r="CB300" i="6"/>
  <c r="CB296" i="6"/>
  <c r="CR280" i="6"/>
  <c r="CR219" i="6"/>
  <c r="CR226" i="6" s="1"/>
  <c r="DS327" i="6"/>
  <c r="DS328" i="6" s="1"/>
  <c r="DX321" i="6"/>
  <c r="DX327" i="6" s="1"/>
  <c r="BW285" i="6"/>
  <c r="BW280" i="6"/>
  <c r="CZ328" i="6"/>
  <c r="DY321" i="6"/>
  <c r="DY322" i="6" s="1"/>
  <c r="DU327" i="6"/>
  <c r="CR68" i="6"/>
  <c r="DS141" i="6"/>
  <c r="DN179" i="6"/>
  <c r="CB206" i="6"/>
  <c r="CB160" i="6"/>
  <c r="BX138" i="6"/>
  <c r="BX170" i="6"/>
  <c r="CC138" i="6"/>
  <c r="BK160" i="6"/>
  <c r="BK206" i="6"/>
  <c r="CL158" i="6"/>
  <c r="CQ112" i="6"/>
  <c r="CQ158" i="6" s="1"/>
  <c r="DV328" i="6"/>
  <c r="BQ169" i="6"/>
  <c r="BQ171" i="6" s="1"/>
  <c r="CD169" i="6"/>
  <c r="CI137" i="6"/>
  <c r="CN169" i="6"/>
  <c r="CN212" i="6" s="1"/>
  <c r="CN235" i="6" s="1"/>
  <c r="CS130" i="6"/>
  <c r="CS169" i="6" s="1"/>
  <c r="W195" i="9"/>
  <c r="W159" i="9"/>
  <c r="CR286" i="6"/>
  <c r="DO327" i="6"/>
  <c r="DR327" i="6"/>
  <c r="DR328" i="6" s="1"/>
  <c r="DW321" i="6"/>
  <c r="DW327" i="6" s="1"/>
  <c r="BQ68" i="6"/>
  <c r="BT222" i="6"/>
  <c r="G127" i="9"/>
  <c r="L128" i="9" s="1"/>
  <c r="BR212" i="6"/>
  <c r="BV169" i="6"/>
  <c r="BX137" i="6"/>
  <c r="BX169" i="6"/>
  <c r="CE170" i="6"/>
  <c r="CE138" i="6"/>
  <c r="AG195" i="9"/>
  <c r="AG159" i="9"/>
  <c r="BU118" i="6"/>
  <c r="BP158" i="6"/>
  <c r="BP118" i="6"/>
  <c r="J194" i="9"/>
  <c r="J158" i="9"/>
  <c r="M194" i="9"/>
  <c r="M158" i="9"/>
  <c r="P128" i="9"/>
  <c r="CL43" i="6"/>
  <c r="CK14" i="6"/>
  <c r="BL44" i="6"/>
  <c r="CG67" i="6"/>
  <c r="CG65" i="6" s="1"/>
  <c r="CJ67" i="6"/>
  <c r="BU654" i="6"/>
  <c r="BU655" i="6" s="1"/>
  <c r="BU658" i="6" s="1"/>
  <c r="CQ296" i="6"/>
  <c r="CY125" i="6"/>
  <c r="DG61" i="6"/>
  <c r="DG224" i="6" s="1"/>
  <c r="DG82" i="6"/>
  <c r="DE14" i="6"/>
  <c r="DE143" i="6" s="1"/>
  <c r="CE244" i="6"/>
  <c r="BP25" i="6"/>
  <c r="CQ61" i="6"/>
  <c r="CQ224" i="6" s="1"/>
  <c r="CH118" i="6"/>
  <c r="BQ301" i="6"/>
  <c r="BO296" i="6"/>
  <c r="DD124" i="6"/>
  <c r="CY143" i="6"/>
  <c r="DB143" i="6"/>
  <c r="DG142" i="6"/>
  <c r="DF124" i="6"/>
  <c r="DG43" i="6"/>
  <c r="DG245" i="6"/>
  <c r="CB301" i="6"/>
  <c r="CE27" i="6"/>
  <c r="BI30" i="6"/>
  <c r="CF78" i="6"/>
  <c r="CP77" i="6"/>
  <c r="CU77" i="6"/>
  <c r="CU99" i="6"/>
  <c r="BP296" i="6"/>
  <c r="AW242" i="3"/>
  <c r="DD37" i="6"/>
  <c r="AT23" i="5" s="1"/>
  <c r="DA125" i="6"/>
  <c r="DP179" i="6"/>
  <c r="DU141" i="6"/>
  <c r="DU179" i="6" s="1"/>
  <c r="DE60" i="6"/>
  <c r="DE223" i="6" s="1"/>
  <c r="DE123" i="6"/>
  <c r="CZ51" i="6"/>
  <c r="CN160" i="2"/>
  <c r="BY94" i="6"/>
  <c r="BM296" i="6"/>
  <c r="U199" i="9"/>
  <c r="DB249" i="6"/>
  <c r="AA103" i="9"/>
  <c r="AA69" i="9"/>
  <c r="AM31" i="9"/>
  <c r="AK87" i="5"/>
  <c r="CK36" i="7"/>
  <c r="BL115" i="2"/>
  <c r="BL101" i="2" s="1"/>
  <c r="DE38" i="7"/>
  <c r="AP87" i="5" s="1"/>
  <c r="CZ174" i="7"/>
  <c r="DC115" i="2"/>
  <c r="CZ200" i="7"/>
  <c r="CZ31" i="7"/>
  <c r="CK25" i="7"/>
  <c r="CZ37" i="7"/>
  <c r="BI181" i="9"/>
  <c r="BD199" i="9"/>
  <c r="BE163" i="9"/>
  <c r="BJ181" i="9"/>
  <c r="BE199" i="9"/>
  <c r="BH181" i="9"/>
  <c r="BC199" i="9"/>
  <c r="BD164" i="9"/>
  <c r="BI203" i="9"/>
  <c r="BI167" i="9"/>
  <c r="BD167" i="9"/>
  <c r="BJ167" i="9"/>
  <c r="BJ203" i="9"/>
  <c r="BH203" i="9"/>
  <c r="BH167" i="9"/>
  <c r="BK181" i="9"/>
  <c r="BF199" i="9"/>
  <c r="BF167" i="9"/>
  <c r="BK185" i="9"/>
  <c r="CL249" i="3"/>
  <c r="DO59" i="3"/>
  <c r="DK176" i="3"/>
  <c r="DL176" i="3" s="1"/>
  <c r="DM176" i="3" s="1"/>
  <c r="DN176" i="3" s="1"/>
  <c r="DO176" i="3" s="1"/>
  <c r="DP176" i="3" s="1"/>
  <c r="DQ176" i="3" s="1"/>
  <c r="DR176" i="3" s="1"/>
  <c r="DS176" i="3" s="1"/>
  <c r="DT176" i="3" s="1"/>
  <c r="DU176" i="3" s="1"/>
  <c r="DV176" i="3" s="1"/>
  <c r="DW176" i="3" s="1"/>
  <c r="DX176" i="3" s="1"/>
  <c r="DY176" i="3" s="1"/>
  <c r="CU241" i="3"/>
  <c r="CG249" i="3"/>
  <c r="BD14" i="9"/>
  <c r="DQ77" i="7" s="1"/>
  <c r="AB13" i="9"/>
  <c r="AP14" i="9"/>
  <c r="AP13" i="9"/>
  <c r="BA13" i="9"/>
  <c r="DN149" i="7" s="1"/>
  <c r="DN11" i="7" s="1"/>
  <c r="DR142" i="7"/>
  <c r="BF13" i="9"/>
  <c r="DS149" i="7" s="1"/>
  <c r="DS11" i="7" s="1"/>
  <c r="AX14" i="9"/>
  <c r="DK77" i="7" s="1"/>
  <c r="DX45" i="3"/>
  <c r="DX300" i="3"/>
  <c r="DW300" i="3"/>
  <c r="DW45" i="3"/>
  <c r="DV300" i="3"/>
  <c r="DV45" i="3"/>
  <c r="BW12" i="3"/>
  <c r="BW147" i="3"/>
  <c r="BW14" i="3"/>
  <c r="BW298" i="3" s="1"/>
  <c r="CQ101" i="2"/>
  <c r="CQ111" i="2"/>
  <c r="BS132" i="2"/>
  <c r="BS11" i="3"/>
  <c r="BS34" i="7"/>
  <c r="BS129" i="2" s="1"/>
  <c r="BS94" i="2"/>
  <c r="CB34" i="7"/>
  <c r="CB26" i="7" s="1"/>
  <c r="CB28" i="7" s="1"/>
  <c r="CB11" i="3"/>
  <c r="CB14" i="3" s="1"/>
  <c r="CB298" i="3" s="1"/>
  <c r="T171" i="9"/>
  <c r="T207" i="9"/>
  <c r="BO271" i="3"/>
  <c r="BO272" i="3" s="1"/>
  <c r="BO257" i="3"/>
  <c r="H203" i="9"/>
  <c r="H167" i="9"/>
  <c r="BO217" i="3"/>
  <c r="BO218" i="3" s="1"/>
  <c r="DE146" i="2"/>
  <c r="DE148" i="2" s="1"/>
  <c r="DE41" i="7" s="1"/>
  <c r="AR22" i="9" s="1"/>
  <c r="S143" i="3"/>
  <c r="E128" i="9"/>
  <c r="CC242" i="3"/>
  <c r="M207" i="9"/>
  <c r="M130" i="9"/>
  <c r="CM206" i="3"/>
  <c r="DC249" i="3"/>
  <c r="BG241" i="3"/>
  <c r="G128" i="9"/>
  <c r="AA194" i="9"/>
  <c r="AW95" i="2"/>
  <c r="BQ241" i="3"/>
  <c r="CC246" i="3"/>
  <c r="AM241" i="3"/>
  <c r="AW12" i="2"/>
  <c r="DE186" i="3"/>
  <c r="BS297" i="6"/>
  <c r="BX298" i="6" s="1"/>
  <c r="BS159" i="2"/>
  <c r="BS14" i="2"/>
  <c r="CU187" i="3"/>
  <c r="CU188" i="3" s="1"/>
  <c r="CU186" i="3"/>
  <c r="BN223" i="6"/>
  <c r="BN17" i="6"/>
  <c r="BN189" i="3" s="1"/>
  <c r="BN190" i="3" s="1"/>
  <c r="J159" i="9"/>
  <c r="J195" i="9"/>
  <c r="CV50" i="3"/>
  <c r="CV61" i="3" s="1"/>
  <c r="CV63" i="3" s="1"/>
  <c r="CZ48" i="3"/>
  <c r="CZ50" i="3" s="1"/>
  <c r="AA96" i="9"/>
  <c r="AA62" i="9"/>
  <c r="Q99" i="9"/>
  <c r="Q65" i="9"/>
  <c r="E66" i="9"/>
  <c r="E100" i="9"/>
  <c r="H100" i="9"/>
  <c r="H66" i="9"/>
  <c r="F61" i="9"/>
  <c r="F95" i="9"/>
  <c r="U95" i="9"/>
  <c r="U61" i="9"/>
  <c r="U200" i="9"/>
  <c r="U164" i="9"/>
  <c r="O204" i="9"/>
  <c r="O168" i="9"/>
  <c r="CL217" i="3"/>
  <c r="CL218" i="3" s="1"/>
  <c r="BO34" i="7"/>
  <c r="BO14" i="2"/>
  <c r="BW271" i="3"/>
  <c r="BW272" i="3" s="1"/>
  <c r="BW257" i="3"/>
  <c r="CJ271" i="3"/>
  <c r="CJ272" i="3" s="1"/>
  <c r="CJ257" i="3"/>
  <c r="CT271" i="3"/>
  <c r="CT272" i="3" s="1"/>
  <c r="CT257" i="3"/>
  <c r="AB200" i="9"/>
  <c r="AB164" i="9"/>
  <c r="BW218" i="3"/>
  <c r="BP217" i="3"/>
  <c r="BP218" i="3" s="1"/>
  <c r="CW163" i="2"/>
  <c r="CV209" i="3"/>
  <c r="BR68" i="6"/>
  <c r="CK115" i="2"/>
  <c r="CK101" i="2" s="1"/>
  <c r="CM14" i="3"/>
  <c r="CM298" i="3" s="1"/>
  <c r="BV246" i="3"/>
  <c r="DD246" i="3"/>
  <c r="G168" i="9"/>
  <c r="BW249" i="3"/>
  <c r="Y164" i="9"/>
  <c r="DA10" i="8"/>
  <c r="DE10" i="8"/>
  <c r="Q128" i="9"/>
  <c r="AJ15" i="2"/>
  <c r="AJ67" i="8" s="1"/>
  <c r="AJ22" i="2"/>
  <c r="AJ24" i="2" s="1"/>
  <c r="AJ27" i="2" s="1"/>
  <c r="AJ29" i="2" s="1"/>
  <c r="AJ32" i="2" s="1"/>
  <c r="AT22" i="2"/>
  <c r="AT24" i="2" s="1"/>
  <c r="AT27" i="2" s="1"/>
  <c r="AT29" i="2" s="1"/>
  <c r="AT34" i="2" s="1"/>
  <c r="AT15" i="2"/>
  <c r="AT67" i="8" s="1"/>
  <c r="CI112" i="2"/>
  <c r="CI90" i="2"/>
  <c r="CI183" i="3"/>
  <c r="CI184" i="3" s="1"/>
  <c r="CI275" i="3" s="1"/>
  <c r="CI283" i="3" s="1"/>
  <c r="CI285" i="3" s="1"/>
  <c r="CI291" i="3"/>
  <c r="X278" i="3"/>
  <c r="X279" i="3" s="1"/>
  <c r="X284" i="3" s="1"/>
  <c r="X262" i="3"/>
  <c r="X263" i="3" s="1"/>
  <c r="X282" i="3" s="1"/>
  <c r="BJ24" i="6"/>
  <c r="BJ17" i="6"/>
  <c r="BJ189" i="3" s="1"/>
  <c r="BJ190" i="3" s="1"/>
  <c r="BJ223" i="6"/>
  <c r="BJ221" i="6"/>
  <c r="BJ225" i="6" s="1"/>
  <c r="BB13" i="8"/>
  <c r="R200" i="9"/>
  <c r="R164" i="9"/>
  <c r="BW34" i="7"/>
  <c r="BW132" i="2"/>
  <c r="BW94" i="2"/>
  <c r="BW95" i="2" s="1"/>
  <c r="AW68" i="2"/>
  <c r="AW274" i="3"/>
  <c r="AW90" i="2"/>
  <c r="AW291" i="3"/>
  <c r="W194" i="9"/>
  <c r="W158" i="9"/>
  <c r="BU271" i="3"/>
  <c r="BU272" i="3" s="1"/>
  <c r="BU257" i="3"/>
  <c r="CW271" i="3"/>
  <c r="CW272" i="3" s="1"/>
  <c r="CW257" i="3"/>
  <c r="E167" i="9"/>
  <c r="E203" i="9"/>
  <c r="Q204" i="9"/>
  <c r="Q168" i="9"/>
  <c r="BZ217" i="3"/>
  <c r="BQ218" i="3"/>
  <c r="BW274" i="3"/>
  <c r="BW247" i="3"/>
  <c r="CO163" i="2"/>
  <c r="BY107" i="2"/>
  <c r="S251" i="3"/>
  <c r="X239" i="3"/>
  <c r="BY149" i="2"/>
  <c r="CW241" i="3"/>
  <c r="CW242" i="3" s="1"/>
  <c r="BY112" i="2"/>
  <c r="CG257" i="3"/>
  <c r="BO132" i="2"/>
  <c r="AC187" i="3"/>
  <c r="AC188" i="3" s="1"/>
  <c r="AC186" i="3"/>
  <c r="P15" i="2"/>
  <c r="P67" i="8" s="1"/>
  <c r="P22" i="2"/>
  <c r="P24" i="2" s="1"/>
  <c r="P27" i="2" s="1"/>
  <c r="P29" i="2" s="1"/>
  <c r="P32" i="2" s="1"/>
  <c r="CW107" i="2"/>
  <c r="BP35" i="6"/>
  <c r="H130" i="9" s="1"/>
  <c r="BH223" i="6"/>
  <c r="BH58" i="6"/>
  <c r="BH24" i="6"/>
  <c r="BH221" i="6"/>
  <c r="BH225" i="6" s="1"/>
  <c r="AN26" i="7"/>
  <c r="AN28" i="7" s="1"/>
  <c r="AN31" i="7"/>
  <c r="AN32" i="7" s="1"/>
  <c r="BA38" i="7"/>
  <c r="BA37" i="7"/>
  <c r="BA144" i="2"/>
  <c r="BA146" i="2" s="1"/>
  <c r="BA24" i="7"/>
  <c r="BP37" i="7"/>
  <c r="H30" i="9" s="1"/>
  <c r="BP200" i="7"/>
  <c r="BU174" i="7"/>
  <c r="BP24" i="7"/>
  <c r="BP207" i="7" s="1"/>
  <c r="BP38" i="7"/>
  <c r="BP144" i="2"/>
  <c r="BS10" i="8"/>
  <c r="BS13" i="8" s="1"/>
  <c r="BR13" i="8"/>
  <c r="F200" i="9"/>
  <c r="F164" i="9"/>
  <c r="P199" i="9"/>
  <c r="P163" i="9"/>
  <c r="K203" i="9"/>
  <c r="K167" i="9"/>
  <c r="J204" i="9"/>
  <c r="J168" i="9"/>
  <c r="T167" i="9"/>
  <c r="T203" i="9"/>
  <c r="W204" i="9"/>
  <c r="W168" i="9"/>
  <c r="CR241" i="3"/>
  <c r="CR249" i="3"/>
  <c r="CL205" i="3"/>
  <c r="CL206" i="3"/>
  <c r="CL207" i="3" s="1"/>
  <c r="CY131" i="2"/>
  <c r="DB272" i="3"/>
  <c r="DB10" i="2"/>
  <c r="DF257" i="3"/>
  <c r="BO10" i="2"/>
  <c r="CV13" i="8"/>
  <c r="CV19" i="2" s="1"/>
  <c r="CZ19" i="2" s="1"/>
  <c r="BZ146" i="2"/>
  <c r="BZ149" i="2" s="1"/>
  <c r="CI160" i="2"/>
  <c r="CI163" i="2" s="1"/>
  <c r="CS246" i="3"/>
  <c r="CA66" i="8"/>
  <c r="BP31" i="7"/>
  <c r="BP32" i="7" s="1"/>
  <c r="BM10" i="2"/>
  <c r="BB115" i="2"/>
  <c r="BB101" i="2" s="1"/>
  <c r="CW115" i="2"/>
  <c r="CW111" i="2" s="1"/>
  <c r="BI146" i="2"/>
  <c r="BI148" i="2" s="1"/>
  <c r="CG146" i="2"/>
  <c r="CQ160" i="2"/>
  <c r="CQ162" i="2" s="1"/>
  <c r="AN130" i="9"/>
  <c r="CZ105" i="2"/>
  <c r="CZ115" i="2" s="1"/>
  <c r="BM205" i="3"/>
  <c r="DQ142" i="7"/>
  <c r="CF249" i="3"/>
  <c r="BC10" i="2"/>
  <c r="CO10" i="2"/>
  <c r="CO90" i="2" s="1"/>
  <c r="M146" i="2"/>
  <c r="U146" i="2"/>
  <c r="Y146" i="2"/>
  <c r="AC146" i="2"/>
  <c r="AC149" i="2" s="1"/>
  <c r="AG146" i="2"/>
  <c r="AW146" i="2"/>
  <c r="Y128" i="9"/>
  <c r="BA31" i="7"/>
  <c r="BA32" i="7" s="1"/>
  <c r="AW13" i="8"/>
  <c r="BQ66" i="8"/>
  <c r="L167" i="9"/>
  <c r="BT206" i="3"/>
  <c r="BY207" i="3" s="1"/>
  <c r="B16" i="9"/>
  <c r="AJ18" i="9" s="1"/>
  <c r="BJ14" i="9"/>
  <c r="DW77" i="7" s="1"/>
  <c r="BK13" i="9"/>
  <c r="DX149" i="7" s="1"/>
  <c r="BI13" i="9"/>
  <c r="DV149" i="7" s="1"/>
  <c r="BI14" i="9"/>
  <c r="DV77" i="7" s="1"/>
  <c r="BJ13" i="9"/>
  <c r="DW149" i="7" s="1"/>
  <c r="BK14" i="9"/>
  <c r="DX77" i="7" s="1"/>
  <c r="BH13" i="9"/>
  <c r="DU149" i="7" s="1"/>
  <c r="BH14" i="9"/>
  <c r="DU77" i="7" s="1"/>
  <c r="CP89" i="2"/>
  <c r="CU94" i="2"/>
  <c r="CU89" i="2"/>
  <c r="DE89" i="2"/>
  <c r="DE92" i="2" s="1"/>
  <c r="CZ97" i="2"/>
  <c r="CZ60" i="2"/>
  <c r="CZ318" i="3"/>
  <c r="CZ299" i="3"/>
  <c r="CQ240" i="3"/>
  <c r="CQ250" i="3"/>
  <c r="CQ165" i="3"/>
  <c r="CQ179" i="3" s="1"/>
  <c r="CQ181" i="3" s="1"/>
  <c r="CQ245" i="3"/>
  <c r="CQ246" i="3" s="1"/>
  <c r="CQ251" i="3"/>
  <c r="CF290" i="3"/>
  <c r="CE290" i="3"/>
  <c r="CE300" i="3"/>
  <c r="CE45" i="3"/>
  <c r="BS302" i="3"/>
  <c r="BS204" i="3"/>
  <c r="CX319" i="3"/>
  <c r="CX323" i="3" s="1"/>
  <c r="CX325" i="3" s="1"/>
  <c r="CK290" i="3"/>
  <c r="CK321" i="3"/>
  <c r="CP290" i="3"/>
  <c r="CQ192" i="3"/>
  <c r="CQ216" i="3" s="1"/>
  <c r="CW99" i="3"/>
  <c r="CW128" i="3" s="1"/>
  <c r="CU61" i="3"/>
  <c r="BR206" i="3"/>
  <c r="BR205" i="3"/>
  <c r="BZ26" i="3"/>
  <c r="CU19" i="3"/>
  <c r="CA49" i="3"/>
  <c r="BW50" i="3"/>
  <c r="BW61" i="3" s="1"/>
  <c r="CL50" i="3"/>
  <c r="CL61" i="3" s="1"/>
  <c r="CP49" i="3"/>
  <c r="CP50" i="3" s="1"/>
  <c r="BN61" i="3"/>
  <c r="CT325" i="3"/>
  <c r="DQ325" i="3"/>
  <c r="DP325" i="3"/>
  <c r="CK17" i="3"/>
  <c r="CI26" i="3"/>
  <c r="BT197" i="3"/>
  <c r="BT61" i="3"/>
  <c r="CV318" i="3"/>
  <c r="CV319" i="3" s="1"/>
  <c r="CV323" i="3" s="1"/>
  <c r="CV325" i="3" s="1"/>
  <c r="CV99" i="3"/>
  <c r="CV128" i="3" s="1"/>
  <c r="CQ128" i="3"/>
  <c r="CR111" i="3"/>
  <c r="DG61" i="3"/>
  <c r="DJ60" i="3"/>
  <c r="CK45" i="3"/>
  <c r="J60" i="5" s="1"/>
  <c r="T60" i="5"/>
  <c r="BP45" i="3"/>
  <c r="CQ63" i="8"/>
  <c r="CA50" i="3"/>
  <c r="CP17" i="3"/>
  <c r="DL325" i="3"/>
  <c r="DK325" i="3"/>
  <c r="BP61" i="3"/>
  <c r="CK26" i="3"/>
  <c r="BW26" i="3"/>
  <c r="CA16" i="3"/>
  <c r="CP16" i="3"/>
  <c r="CO26" i="3"/>
  <c r="CU16" i="3"/>
  <c r="CT26" i="3"/>
  <c r="CP30" i="3"/>
  <c r="CN34" i="3"/>
  <c r="CN299" i="3" s="1"/>
  <c r="CU38" i="3"/>
  <c r="CS300" i="3"/>
  <c r="CU41" i="3"/>
  <c r="CR45" i="3"/>
  <c r="BX45" i="3"/>
  <c r="CA42" i="3"/>
  <c r="CU43" i="3"/>
  <c r="CQ45" i="3"/>
  <c r="CA44" i="3"/>
  <c r="BW45" i="3"/>
  <c r="CX45" i="3"/>
  <c r="CX63" i="3" s="1"/>
  <c r="CZ40" i="3"/>
  <c r="CZ45" i="3" s="1"/>
  <c r="BY61" i="3"/>
  <c r="CA57" i="3"/>
  <c r="CI61" i="3"/>
  <c r="CK57" i="3"/>
  <c r="CB197" i="3"/>
  <c r="CF59" i="3"/>
  <c r="CB61" i="3"/>
  <c r="CV197" i="3"/>
  <c r="CZ59" i="3"/>
  <c r="CZ61" i="3" s="1"/>
  <c r="DE30" i="3"/>
  <c r="DD34" i="3"/>
  <c r="DD299" i="3" s="1"/>
  <c r="BP12" i="3"/>
  <c r="BP14" i="3"/>
  <c r="BP298" i="3" s="1"/>
  <c r="CR35" i="3"/>
  <c r="CR298" i="3"/>
  <c r="CQ35" i="3"/>
  <c r="CU21" i="3"/>
  <c r="CQ26" i="3"/>
  <c r="CU26" i="3" s="1"/>
  <c r="CU299" i="3"/>
  <c r="BM94" i="2"/>
  <c r="BM34" i="7"/>
  <c r="BM129" i="2" s="1"/>
  <c r="BM135" i="2" s="1"/>
  <c r="BM11" i="3"/>
  <c r="BU11" i="3"/>
  <c r="BU14" i="2"/>
  <c r="BU34" i="7"/>
  <c r="BU31" i="7" s="1"/>
  <c r="BU158" i="2" s="1"/>
  <c r="CD14" i="2"/>
  <c r="CD132" i="2"/>
  <c r="CD136" i="2" s="1"/>
  <c r="CD11" i="3"/>
  <c r="CD14" i="3" s="1"/>
  <c r="CD298" i="3" s="1"/>
  <c r="CD34" i="7"/>
  <c r="CD26" i="7" s="1"/>
  <c r="CG94" i="2"/>
  <c r="CL97" i="2" s="1"/>
  <c r="CG132" i="2"/>
  <c r="CG135" i="2" s="1"/>
  <c r="CJ16" i="2"/>
  <c r="CK16" i="2" s="1"/>
  <c r="J57" i="5" s="1"/>
  <c r="CG11" i="3"/>
  <c r="CU15" i="3"/>
  <c r="CR26" i="3"/>
  <c r="CZ16" i="3"/>
  <c r="CW35" i="3"/>
  <c r="CW26" i="3"/>
  <c r="CH34" i="3"/>
  <c r="CH299" i="3" s="1"/>
  <c r="CK28" i="3"/>
  <c r="CU22" i="3"/>
  <c r="CA23" i="3"/>
  <c r="CA32" i="3"/>
  <c r="CK32" i="3"/>
  <c r="CD45" i="3"/>
  <c r="CF41" i="3"/>
  <c r="DF318" i="3"/>
  <c r="DF319" i="3" s="1"/>
  <c r="DF323" i="3" s="1"/>
  <c r="DF325" i="3" s="1"/>
  <c r="DF99" i="3"/>
  <c r="DF128" i="3" s="1"/>
  <c r="DF45" i="3"/>
  <c r="DJ39" i="3"/>
  <c r="DJ45" i="3" s="1"/>
  <c r="DF53" i="3"/>
  <c r="DF61" i="3" s="1"/>
  <c r="DJ51" i="3"/>
  <c r="DF302" i="3"/>
  <c r="DC128" i="3"/>
  <c r="DE31" i="3"/>
  <c r="DE51" i="3"/>
  <c r="DB53" i="3"/>
  <c r="DG45" i="3"/>
  <c r="DD26" i="3"/>
  <c r="DE15" i="3"/>
  <c r="DA290" i="3"/>
  <c r="DA300" i="3"/>
  <c r="DG318" i="3"/>
  <c r="DG319" i="3" s="1"/>
  <c r="DG323" i="3" s="1"/>
  <c r="DG99" i="3"/>
  <c r="DG128" i="3" s="1"/>
  <c r="CH135" i="2"/>
  <c r="CX26" i="3"/>
  <c r="CA31" i="3"/>
  <c r="CA34" i="3" s="1"/>
  <c r="BX300" i="3"/>
  <c r="CH45" i="3"/>
  <c r="CA51" i="3"/>
  <c r="CA53" i="3" s="1"/>
  <c r="CK51" i="3"/>
  <c r="CK53" i="3" s="1"/>
  <c r="CG53" i="3"/>
  <c r="DA61" i="3"/>
  <c r="DE58" i="3"/>
  <c r="DC302" i="3"/>
  <c r="DD99" i="3"/>
  <c r="DD128" i="3" s="1"/>
  <c r="DD318" i="3"/>
  <c r="DD319" i="3" s="1"/>
  <c r="DD323" i="3" s="1"/>
  <c r="DD325" i="3" s="1"/>
  <c r="DE42" i="3"/>
  <c r="DE45" i="3" s="1"/>
  <c r="DD50" i="3"/>
  <c r="DD61" i="3" s="1"/>
  <c r="DE60" i="3"/>
  <c r="DB61" i="3"/>
  <c r="DG34" i="3"/>
  <c r="DG299" i="3" s="1"/>
  <c r="DG26" i="3"/>
  <c r="DJ16" i="3"/>
  <c r="CA146" i="3"/>
  <c r="DC35" i="3"/>
  <c r="DA35" i="3"/>
  <c r="CF241" i="3"/>
  <c r="CE13" i="8"/>
  <c r="CX13" i="8"/>
  <c r="CX19" i="2" s="1"/>
  <c r="CX14" i="8" s="1"/>
  <c r="CX15" i="8" s="1"/>
  <c r="DB101" i="2"/>
  <c r="BQ101" i="2"/>
  <c r="BQ111" i="2"/>
  <c r="BZ32" i="7"/>
  <c r="BZ158" i="2"/>
  <c r="BZ160" i="2" s="1"/>
  <c r="BM291" i="3"/>
  <c r="BM274" i="3"/>
  <c r="BM124" i="2"/>
  <c r="BR125" i="2" s="1"/>
  <c r="CC107" i="2"/>
  <c r="CQ106" i="2"/>
  <c r="BR183" i="3"/>
  <c r="BR184" i="3" s="1"/>
  <c r="BR275" i="3" s="1"/>
  <c r="BR283" i="3" s="1"/>
  <c r="BR285" i="3" s="1"/>
  <c r="CB124" i="2"/>
  <c r="CB90" i="2"/>
  <c r="CB41" i="6"/>
  <c r="CV111" i="2"/>
  <c r="BC148" i="2"/>
  <c r="CI274" i="3"/>
  <c r="CI95" i="2"/>
  <c r="CI124" i="2"/>
  <c r="CN125" i="2" s="1"/>
  <c r="R15" i="2"/>
  <c r="R67" i="8" s="1"/>
  <c r="DE8" i="2"/>
  <c r="AB35" i="2"/>
  <c r="R31" i="2"/>
  <c r="BZ148" i="2"/>
  <c r="CE10" i="2"/>
  <c r="CE183" i="3" s="1"/>
  <c r="CE184" i="3" s="1"/>
  <c r="CE275" i="3" s="1"/>
  <c r="CE283" i="3" s="1"/>
  <c r="CE285" i="3" s="1"/>
  <c r="BR58" i="2"/>
  <c r="BW58" i="2"/>
  <c r="DB106" i="2"/>
  <c r="E90" i="9"/>
  <c r="CB67" i="2"/>
  <c r="BI183" i="3"/>
  <c r="BI184" i="3" s="1"/>
  <c r="CB291" i="3"/>
  <c r="BY12" i="2"/>
  <c r="CS163" i="2"/>
  <c r="CI68" i="2"/>
  <c r="BH148" i="2"/>
  <c r="R149" i="2"/>
  <c r="R70" i="6" s="1"/>
  <c r="AU27" i="7"/>
  <c r="H101" i="9"/>
  <c r="O67" i="9"/>
  <c r="O101" i="9"/>
  <c r="U96" i="9"/>
  <c r="U62" i="9"/>
  <c r="K101" i="9"/>
  <c r="K67" i="9"/>
  <c r="Q62" i="9"/>
  <c r="Q96" i="9"/>
  <c r="G146" i="2"/>
  <c r="G149" i="2" s="1"/>
  <c r="DA102" i="2"/>
  <c r="BD28" i="7"/>
  <c r="K100" i="9"/>
  <c r="K66" i="9"/>
  <c r="P99" i="9"/>
  <c r="P65" i="9"/>
  <c r="DB68" i="2"/>
  <c r="DB274" i="3"/>
  <c r="DB90" i="2"/>
  <c r="DB112" i="2"/>
  <c r="DB291" i="3"/>
  <c r="DB95" i="2"/>
  <c r="DB12" i="2"/>
  <c r="DB67" i="2" s="1"/>
  <c r="DB124" i="2"/>
  <c r="DB183" i="3"/>
  <c r="DB184" i="3" s="1"/>
  <c r="DB275" i="3" s="1"/>
  <c r="DB283" i="3" s="1"/>
  <c r="DB107" i="2"/>
  <c r="DB108" i="2" s="1"/>
  <c r="M101" i="9"/>
  <c r="M67" i="9"/>
  <c r="BJ149" i="2"/>
  <c r="BJ148" i="2"/>
  <c r="V96" i="9"/>
  <c r="V62" i="9"/>
  <c r="AA66" i="9"/>
  <c r="AA100" i="9"/>
  <c r="R101" i="9"/>
  <c r="R67" i="9"/>
  <c r="K96" i="9"/>
  <c r="K62" i="9"/>
  <c r="T62" i="9"/>
  <c r="T96" i="9"/>
  <c r="O66" i="9"/>
  <c r="O100" i="9"/>
  <c r="BV260" i="3"/>
  <c r="CJ162" i="2"/>
  <c r="BI95" i="2"/>
  <c r="BI90" i="2"/>
  <c r="DD111" i="2"/>
  <c r="BY90" i="2"/>
  <c r="BY91" i="2" s="1"/>
  <c r="BY124" i="2"/>
  <c r="BY68" i="2"/>
  <c r="DC291" i="3"/>
  <c r="DF291" i="3"/>
  <c r="DD271" i="3"/>
  <c r="DD272" i="3" s="1"/>
  <c r="CT146" i="2"/>
  <c r="Z15" i="2"/>
  <c r="Z67" i="8" s="1"/>
  <c r="CY257" i="3"/>
  <c r="BZ257" i="3"/>
  <c r="BM257" i="3"/>
  <c r="CY135" i="2"/>
  <c r="BD129" i="2"/>
  <c r="BD135" i="2" s="1"/>
  <c r="Y26" i="7"/>
  <c r="Y28" i="7" s="1"/>
  <c r="DA271" i="3"/>
  <c r="DA272" i="3" s="1"/>
  <c r="U65" i="9"/>
  <c r="BT24" i="7"/>
  <c r="BO37" i="7"/>
  <c r="BF10" i="2"/>
  <c r="BH31" i="7"/>
  <c r="BH32" i="7" s="1"/>
  <c r="BO24" i="7"/>
  <c r="BI12" i="2"/>
  <c r="BI67" i="2" s="1"/>
  <c r="BI75" i="2" s="1"/>
  <c r="BY41" i="6"/>
  <c r="BY274" i="3"/>
  <c r="DC124" i="2"/>
  <c r="BP257" i="3"/>
  <c r="AL149" i="2"/>
  <c r="CO257" i="3"/>
  <c r="CL257" i="3"/>
  <c r="Y100" i="9"/>
  <c r="AY26" i="7"/>
  <c r="AY28" i="7" s="1"/>
  <c r="BH26" i="7"/>
  <c r="L62" i="9"/>
  <c r="L99" i="9"/>
  <c r="BT174" i="7"/>
  <c r="BT38" i="7"/>
  <c r="G31" i="9" s="1"/>
  <c r="BO200" i="7"/>
  <c r="P61" i="9"/>
  <c r="BT144" i="2"/>
  <c r="DB247" i="3"/>
  <c r="E92" i="9"/>
  <c r="DD106" i="2"/>
  <c r="AR135" i="2"/>
  <c r="R40" i="7"/>
  <c r="BY183" i="3"/>
  <c r="BY184" i="3" s="1"/>
  <c r="BY275" i="3" s="1"/>
  <c r="BY283" i="3" s="1"/>
  <c r="BY285" i="3" s="1"/>
  <c r="DB131" i="2"/>
  <c r="CC257" i="3"/>
  <c r="DB257" i="3"/>
  <c r="T66" i="9"/>
  <c r="BT37" i="7"/>
  <c r="L30" i="9" s="1"/>
  <c r="K61" i="9"/>
  <c r="CS217" i="3"/>
  <c r="CS218" i="3" s="1"/>
  <c r="DT50" i="3"/>
  <c r="AC241" i="3"/>
  <c r="AW247" i="3"/>
  <c r="CP218" i="3"/>
  <c r="CP232" i="3" s="1"/>
  <c r="CV217" i="3"/>
  <c r="CV218" i="3" s="1"/>
  <c r="CO217" i="3"/>
  <c r="CO218" i="3" s="1"/>
  <c r="BU217" i="3"/>
  <c r="BU218" i="3" s="1"/>
  <c r="BR217" i="3"/>
  <c r="BR218" i="3" s="1"/>
  <c r="CE429" i="8"/>
  <c r="CE431" i="8" s="1"/>
  <c r="CE433" i="8" s="1"/>
  <c r="CD62" i="8"/>
  <c r="CD64" i="8" s="1"/>
  <c r="CD66" i="8" s="1"/>
  <c r="CD433" i="8"/>
  <c r="CD19" i="8" s="1"/>
  <c r="X244" i="3"/>
  <c r="X246" i="3" s="1"/>
  <c r="CU249" i="3"/>
  <c r="BU13" i="8"/>
  <c r="BV13" i="8" s="1"/>
  <c r="BB211" i="3"/>
  <c r="X152" i="3"/>
  <c r="DG246" i="3"/>
  <c r="CD217" i="3"/>
  <c r="CD218" i="3" s="1"/>
  <c r="AH232" i="3"/>
  <c r="CY13" i="8"/>
  <c r="CY19" i="2" s="1"/>
  <c r="CY14" i="8" s="1"/>
  <c r="CY15" i="8" s="1"/>
  <c r="CZ218" i="3"/>
  <c r="CM217" i="3"/>
  <c r="CM218" i="3" s="1"/>
  <c r="BV249" i="3"/>
  <c r="AR211" i="3"/>
  <c r="DE249" i="3"/>
  <c r="N211" i="3"/>
  <c r="BE13" i="8"/>
  <c r="BM13" i="8"/>
  <c r="BL211" i="3"/>
  <c r="CW217" i="3"/>
  <c r="CW218" i="3" s="1"/>
  <c r="BX217" i="3"/>
  <c r="BC10" i="8"/>
  <c r="BC13" i="8" s="1"/>
  <c r="BF13" i="8"/>
  <c r="CC13" i="8"/>
  <c r="CG13" i="8"/>
  <c r="CH13" i="8" s="1"/>
  <c r="BB232" i="3"/>
  <c r="CW205" i="3"/>
  <c r="BU129" i="2"/>
  <c r="BU135" i="2" s="1"/>
  <c r="AM246" i="3"/>
  <c r="DA13" i="8"/>
  <c r="DB13" i="8" s="1"/>
  <c r="DB15" i="8" s="1"/>
  <c r="AH249" i="3"/>
  <c r="BR207" i="3"/>
  <c r="AC211" i="3"/>
  <c r="CB217" i="3"/>
  <c r="CB218" i="3" s="1"/>
  <c r="BY217" i="3"/>
  <c r="BI13" i="8"/>
  <c r="BP13" i="8"/>
  <c r="DE218" i="3"/>
  <c r="CF218" i="3"/>
  <c r="DE204" i="3"/>
  <c r="DE205" i="3" s="1"/>
  <c r="BV241" i="3"/>
  <c r="DE241" i="3"/>
  <c r="CC429" i="8"/>
  <c r="BN241" i="3"/>
  <c r="X211" i="3"/>
  <c r="DC13" i="8"/>
  <c r="DC15" i="8" s="1"/>
  <c r="BD13" i="8"/>
  <c r="AH211" i="3"/>
  <c r="BG207" i="3"/>
  <c r="DR217" i="3"/>
  <c r="CR217" i="3"/>
  <c r="CR218" i="3" s="1"/>
  <c r="N232" i="3"/>
  <c r="CB430" i="8"/>
  <c r="CB438" i="8" s="1"/>
  <c r="BK13" i="8"/>
  <c r="BL13" i="8" s="1"/>
  <c r="BN13" i="8"/>
  <c r="N241" i="3"/>
  <c r="DF217" i="3"/>
  <c r="DI217" i="3"/>
  <c r="DG217" i="3"/>
  <c r="DD217" i="3" s="1"/>
  <c r="DD218" i="3" s="1"/>
  <c r="DH10" i="8"/>
  <c r="DK217" i="3"/>
  <c r="DM217" i="3"/>
  <c r="DN217" i="3"/>
  <c r="CU232" i="3"/>
  <c r="DL217" i="3"/>
  <c r="CZ232" i="3"/>
  <c r="CK218" i="3"/>
  <c r="CJ217" i="3"/>
  <c r="CJ218" i="3" s="1"/>
  <c r="CG217" i="3"/>
  <c r="CH217" i="3"/>
  <c r="CH218" i="3" s="1"/>
  <c r="AR232" i="3"/>
  <c r="DG218" i="3"/>
  <c r="BG232" i="3"/>
  <c r="AW232" i="3"/>
  <c r="DQ217" i="3"/>
  <c r="CY217" i="3"/>
  <c r="CY218" i="3" s="1"/>
  <c r="CQ217" i="3"/>
  <c r="BV218" i="3"/>
  <c r="BT217" i="3"/>
  <c r="BT218" i="3" s="1"/>
  <c r="BL232" i="3"/>
  <c r="AC232" i="3"/>
  <c r="X232" i="3"/>
  <c r="S232" i="3"/>
  <c r="DJ49" i="3"/>
  <c r="DJ50" i="3" s="1"/>
  <c r="CG429" i="8"/>
  <c r="CG431" i="8" s="1"/>
  <c r="AW211" i="3"/>
  <c r="AW64" i="3"/>
  <c r="AW65" i="3" s="1"/>
  <c r="AR67" i="3"/>
  <c r="BQ13" i="8"/>
  <c r="S211" i="3"/>
  <c r="AM211" i="3"/>
  <c r="BG211" i="3"/>
  <c r="DF10" i="8"/>
  <c r="DB241" i="3"/>
  <c r="DB242" i="3" s="1"/>
  <c r="CP249" i="3"/>
  <c r="CD241" i="3"/>
  <c r="CI241" i="3"/>
  <c r="CI242" i="3" s="1"/>
  <c r="CN249" i="3"/>
  <c r="CS249" i="3"/>
  <c r="CX249" i="3"/>
  <c r="AR97" i="2"/>
  <c r="CE249" i="3"/>
  <c r="CJ249" i="3"/>
  <c r="CO249" i="3"/>
  <c r="CT241" i="3"/>
  <c r="CY249" i="3"/>
  <c r="DF186" i="3"/>
  <c r="CZ249" i="3"/>
  <c r="DD241" i="3"/>
  <c r="CB70" i="2"/>
  <c r="CB15" i="2"/>
  <c r="CB22" i="2"/>
  <c r="CB24" i="2" s="1"/>
  <c r="CB153" i="2"/>
  <c r="DF209" i="3"/>
  <c r="DF211" i="3" s="1"/>
  <c r="BW90" i="2"/>
  <c r="CB91" i="2" s="1"/>
  <c r="BW12" i="2"/>
  <c r="CB59" i="2" s="1"/>
  <c r="BW112" i="2"/>
  <c r="K5" i="5"/>
  <c r="Z70" i="6"/>
  <c r="BL107" i="2"/>
  <c r="BL183" i="3"/>
  <c r="BL184" i="3" s="1"/>
  <c r="BL275" i="3" s="1"/>
  <c r="BL283" i="3" s="1"/>
  <c r="BL285" i="3" s="1"/>
  <c r="BL41" i="6"/>
  <c r="BL12" i="2"/>
  <c r="BL17" i="2" s="1"/>
  <c r="BL68" i="2"/>
  <c r="BL291" i="3"/>
  <c r="BL274" i="3"/>
  <c r="AT32" i="2"/>
  <c r="AT43" i="2"/>
  <c r="AT31" i="2"/>
  <c r="AT35" i="2"/>
  <c r="AM187" i="3"/>
  <c r="AM188" i="3" s="1"/>
  <c r="AM186" i="3"/>
  <c r="BV186" i="3"/>
  <c r="BV187" i="3"/>
  <c r="BV188" i="3" s="1"/>
  <c r="BP75" i="3"/>
  <c r="BP29" i="6"/>
  <c r="BP30" i="6" s="1"/>
  <c r="BU36" i="6"/>
  <c r="H131" i="9" s="1"/>
  <c r="BP50" i="6"/>
  <c r="BP145" i="2"/>
  <c r="BP36" i="6"/>
  <c r="AI26" i="7"/>
  <c r="AI28" i="7" s="1"/>
  <c r="AI31" i="7"/>
  <c r="AI32" i="7" s="1"/>
  <c r="AS26" i="7"/>
  <c r="AS28" i="7" s="1"/>
  <c r="AS31" i="7"/>
  <c r="AS32" i="7" s="1"/>
  <c r="BB207" i="3"/>
  <c r="AW207" i="3"/>
  <c r="CQ206" i="3"/>
  <c r="CR206" i="3" s="1"/>
  <c r="CS206" i="3" s="1"/>
  <c r="CT206" i="3" s="1"/>
  <c r="CQ209" i="3"/>
  <c r="CQ211" i="3" s="1"/>
  <c r="CD205" i="3"/>
  <c r="CF204" i="3"/>
  <c r="CD206" i="3"/>
  <c r="CD207" i="3" s="1"/>
  <c r="J34" i="2"/>
  <c r="J43" i="2"/>
  <c r="J31" i="2"/>
  <c r="J35" i="2"/>
  <c r="P43" i="2"/>
  <c r="P31" i="2"/>
  <c r="P35" i="2"/>
  <c r="P34" i="2"/>
  <c r="BP242" i="6"/>
  <c r="BP256" i="6"/>
  <c r="BP26" i="6"/>
  <c r="BP27" i="6" s="1"/>
  <c r="BP63" i="6"/>
  <c r="BP67" i="6" s="1"/>
  <c r="N149" i="2"/>
  <c r="N148" i="2"/>
  <c r="AM207" i="3"/>
  <c r="AR207" i="3"/>
  <c r="CY10" i="2"/>
  <c r="CY107" i="2" s="1"/>
  <c r="DC209" i="3"/>
  <c r="DC211" i="3" s="1"/>
  <c r="DD211" i="3"/>
  <c r="BW107" i="2"/>
  <c r="CB108" i="2" s="1"/>
  <c r="CB58" i="2"/>
  <c r="BW41" i="6"/>
  <c r="BW124" i="2"/>
  <c r="BW125" i="2" s="1"/>
  <c r="CC12" i="2"/>
  <c r="CC17" i="2" s="1"/>
  <c r="CC22" i="2" s="1"/>
  <c r="CB247" i="3"/>
  <c r="CB242" i="3"/>
  <c r="BZ129" i="2"/>
  <c r="BZ135" i="2" s="1"/>
  <c r="BZ26" i="7"/>
  <c r="Z148" i="2"/>
  <c r="D306" i="3"/>
  <c r="D310" i="3" s="1"/>
  <c r="D309" i="3"/>
  <c r="CZ8" i="2"/>
  <c r="AD35" i="2"/>
  <c r="AD32" i="2"/>
  <c r="AD34" i="2"/>
  <c r="AD31" i="2"/>
  <c r="AN15" i="2"/>
  <c r="AN67" i="8" s="1"/>
  <c r="AN22" i="2"/>
  <c r="AN24" i="2" s="1"/>
  <c r="AN27" i="2" s="1"/>
  <c r="AN29" i="2" s="1"/>
  <c r="AN32" i="2" s="1"/>
  <c r="AS22" i="2"/>
  <c r="AS24" i="2" s="1"/>
  <c r="AS27" i="2" s="1"/>
  <c r="AS29" i="2" s="1"/>
  <c r="AS15" i="2"/>
  <c r="AS67" i="8" s="1"/>
  <c r="CA8" i="2"/>
  <c r="BX10" i="2"/>
  <c r="BX107" i="2" s="1"/>
  <c r="N5" i="5"/>
  <c r="CO291" i="3"/>
  <c r="CX10" i="2"/>
  <c r="BR94" i="2"/>
  <c r="BR95" i="2" s="1"/>
  <c r="BR34" i="7"/>
  <c r="BR31" i="7" s="1"/>
  <c r="BZ94" i="2"/>
  <c r="BZ97" i="2" s="1"/>
  <c r="BZ11" i="3"/>
  <c r="BZ14" i="2"/>
  <c r="CF16" i="2"/>
  <c r="CF94" i="2" s="1"/>
  <c r="CE94" i="2"/>
  <c r="BW242" i="3"/>
  <c r="BW68" i="2"/>
  <c r="BW183" i="3"/>
  <c r="BW184" i="3" s="1"/>
  <c r="BW275" i="3" s="1"/>
  <c r="BW283" i="3" s="1"/>
  <c r="BW285" i="3" s="1"/>
  <c r="CQ163" i="2"/>
  <c r="DF58" i="2"/>
  <c r="AV5" i="5" s="1"/>
  <c r="DA68" i="2"/>
  <c r="DA124" i="2"/>
  <c r="DA183" i="3"/>
  <c r="DA184" i="3" s="1"/>
  <c r="DA275" i="3" s="1"/>
  <c r="DA283" i="3" s="1"/>
  <c r="DA285" i="3" s="1"/>
  <c r="DA95" i="2"/>
  <c r="DA274" i="3"/>
  <c r="DA247" i="3"/>
  <c r="DA90" i="2"/>
  <c r="DA12" i="2"/>
  <c r="DA112" i="2"/>
  <c r="DA242" i="3"/>
  <c r="CK204" i="3"/>
  <c r="CH206" i="3"/>
  <c r="CH207" i="3" s="1"/>
  <c r="CH205" i="3"/>
  <c r="AK28" i="7"/>
  <c r="AP27" i="7"/>
  <c r="CL12" i="3"/>
  <c r="CL14" i="3"/>
  <c r="CL298" i="3" s="1"/>
  <c r="Z31" i="2"/>
  <c r="Z32" i="2"/>
  <c r="Z43" i="2"/>
  <c r="Z34" i="2"/>
  <c r="AV26" i="7"/>
  <c r="AV28" i="7" s="1"/>
  <c r="AV31" i="7"/>
  <c r="AV32" i="7" s="1"/>
  <c r="BF26" i="7"/>
  <c r="BF31" i="7"/>
  <c r="BF32" i="7" s="1"/>
  <c r="BF129" i="2"/>
  <c r="BF135" i="2" s="1"/>
  <c r="BJ26" i="7"/>
  <c r="BJ29" i="7" s="1"/>
  <c r="BJ129" i="2"/>
  <c r="BJ135" i="2" s="1"/>
  <c r="BR174" i="7"/>
  <c r="BR200" i="7"/>
  <c r="BW174" i="7"/>
  <c r="BR37" i="7"/>
  <c r="AC8" i="2"/>
  <c r="AC9" i="2"/>
  <c r="BG8" i="2"/>
  <c r="BQ8" i="2"/>
  <c r="BV8" i="2"/>
  <c r="CF8" i="2"/>
  <c r="BL95" i="2"/>
  <c r="DE8" i="3"/>
  <c r="BN10" i="2"/>
  <c r="BN58" i="2" s="1"/>
  <c r="CT10" i="2"/>
  <c r="CT124" i="2" s="1"/>
  <c r="CT125" i="2" s="1"/>
  <c r="BA10" i="2"/>
  <c r="BA95" i="2" s="1"/>
  <c r="BA96" i="2" s="1"/>
  <c r="AD26" i="7"/>
  <c r="AD28" i="7" s="1"/>
  <c r="BD10" i="2"/>
  <c r="BI58" i="2" s="1"/>
  <c r="DJ11" i="3"/>
  <c r="DJ12" i="3" s="1"/>
  <c r="S9" i="2"/>
  <c r="X9" i="2"/>
  <c r="CP8" i="2"/>
  <c r="O146" i="2"/>
  <c r="O149" i="2" s="1"/>
  <c r="W146" i="2"/>
  <c r="AA146" i="2"/>
  <c r="AA149" i="2" s="1"/>
  <c r="AE146" i="2"/>
  <c r="AE149" i="2" s="1"/>
  <c r="BK146" i="2"/>
  <c r="BK149" i="2" s="1"/>
  <c r="BX146" i="2"/>
  <c r="BX149" i="2" s="1"/>
  <c r="BL160" i="2"/>
  <c r="BL163" i="2" s="1"/>
  <c r="DE20" i="8"/>
  <c r="CY146" i="2"/>
  <c r="DB102" i="2"/>
  <c r="BB97" i="2"/>
  <c r="CF20" i="8"/>
  <c r="AH207" i="3"/>
  <c r="DC101" i="2"/>
  <c r="DC106" i="2"/>
  <c r="DC111" i="2"/>
  <c r="CD12" i="3"/>
  <c r="AJ35" i="2"/>
  <c r="R45" i="2"/>
  <c r="R39" i="2"/>
  <c r="CG106" i="2"/>
  <c r="CG111" i="2"/>
  <c r="CG101" i="2"/>
  <c r="BW148" i="2"/>
  <c r="BW149" i="2"/>
  <c r="F148" i="2"/>
  <c r="F149" i="2"/>
  <c r="CJ183" i="3"/>
  <c r="CJ184" i="3" s="1"/>
  <c r="CJ275" i="3" s="1"/>
  <c r="CJ283" i="3" s="1"/>
  <c r="CJ285" i="3" s="1"/>
  <c r="CJ107" i="2"/>
  <c r="CJ90" i="2"/>
  <c r="CJ247" i="3"/>
  <c r="AN35" i="2"/>
  <c r="CL124" i="2"/>
  <c r="CL68" i="2"/>
  <c r="CL183" i="3"/>
  <c r="CL184" i="3" s="1"/>
  <c r="CL275" i="3" s="1"/>
  <c r="CL283" i="3" s="1"/>
  <c r="CL285" i="3" s="1"/>
  <c r="L15" i="2"/>
  <c r="L67" i="8" s="1"/>
  <c r="L22" i="2"/>
  <c r="L24" i="2" s="1"/>
  <c r="L27" i="2" s="1"/>
  <c r="L29" i="2" s="1"/>
  <c r="S8" i="2"/>
  <c r="S10" i="2" s="1"/>
  <c r="Q10" i="2"/>
  <c r="Q12" i="2" s="1"/>
  <c r="Q17" i="2" s="1"/>
  <c r="Q22" i="2" s="1"/>
  <c r="Q24" i="2" s="1"/>
  <c r="Q27" i="2" s="1"/>
  <c r="Q29" i="2" s="1"/>
  <c r="V22" i="2"/>
  <c r="V24" i="2" s="1"/>
  <c r="V27" i="2" s="1"/>
  <c r="V29" i="2" s="1"/>
  <c r="V15" i="2"/>
  <c r="V67" i="8" s="1"/>
  <c r="AH8" i="2"/>
  <c r="AF10" i="2"/>
  <c r="AF12" i="2" s="1"/>
  <c r="AF17" i="2" s="1"/>
  <c r="AF15" i="2" s="1"/>
  <c r="AF67" i="8" s="1"/>
  <c r="AP10" i="2"/>
  <c r="AP12" i="2" s="1"/>
  <c r="AP17" i="2" s="1"/>
  <c r="AU22" i="2"/>
  <c r="AU24" i="2" s="1"/>
  <c r="AU27" i="2" s="1"/>
  <c r="AU29" i="2" s="1"/>
  <c r="AU15" i="2"/>
  <c r="AU67" i="8" s="1"/>
  <c r="AZ10" i="2"/>
  <c r="BB8" i="2"/>
  <c r="BB10" i="2" s="1"/>
  <c r="BB247" i="3" s="1"/>
  <c r="CK8" i="2"/>
  <c r="CH10" i="2"/>
  <c r="CH242" i="3" s="1"/>
  <c r="CU8" i="2"/>
  <c r="CR10" i="2"/>
  <c r="CW58" i="2" s="1"/>
  <c r="CZ9" i="2"/>
  <c r="CV10" i="2"/>
  <c r="BG115" i="2"/>
  <c r="BG101" i="2" s="1"/>
  <c r="CM115" i="2"/>
  <c r="CM101" i="2" s="1"/>
  <c r="CS115" i="2"/>
  <c r="CI107" i="2"/>
  <c r="CI115" i="2"/>
  <c r="CI106" i="2" s="1"/>
  <c r="CO115" i="2"/>
  <c r="CO106" i="2" s="1"/>
  <c r="CI131" i="2"/>
  <c r="CI135" i="2"/>
  <c r="CN135" i="2"/>
  <c r="CN131" i="2"/>
  <c r="CQ136" i="2"/>
  <c r="CQ131" i="2"/>
  <c r="AM135" i="2"/>
  <c r="AM136" i="2"/>
  <c r="L146" i="2"/>
  <c r="L149" i="2" s="1"/>
  <c r="P148" i="2"/>
  <c r="P149" i="2"/>
  <c r="T146" i="2"/>
  <c r="T149" i="2" s="1"/>
  <c r="AF146" i="2"/>
  <c r="AF149" i="2" s="1"/>
  <c r="AJ148" i="2"/>
  <c r="AJ149" i="2"/>
  <c r="BE146" i="2"/>
  <c r="BE149" i="2" s="1"/>
  <c r="BL148" i="2"/>
  <c r="BL149" i="2"/>
  <c r="CB146" i="2"/>
  <c r="CB149" i="2" s="1"/>
  <c r="CB152" i="2" s="1"/>
  <c r="O148" i="2"/>
  <c r="S146" i="2"/>
  <c r="S148" i="2" s="1"/>
  <c r="CI146" i="2"/>
  <c r="CI148" i="2" s="1"/>
  <c r="CI41" i="7" s="1"/>
  <c r="V22" i="9" s="1"/>
  <c r="CV160" i="2"/>
  <c r="CV162" i="2" s="1"/>
  <c r="BE10" i="2"/>
  <c r="BE95" i="2" s="1"/>
  <c r="BG9" i="2"/>
  <c r="CJ149" i="2"/>
  <c r="CJ71" i="6" s="1"/>
  <c r="W122" i="9" s="1"/>
  <c r="AQ28" i="7"/>
  <c r="AQ27" i="7"/>
  <c r="CG160" i="2"/>
  <c r="CG163" i="2" s="1"/>
  <c r="BQ146" i="2"/>
  <c r="BQ148" i="2" s="1"/>
  <c r="X186" i="3"/>
  <c r="X187" i="3"/>
  <c r="X188" i="3" s="1"/>
  <c r="CT162" i="2"/>
  <c r="DE105" i="2"/>
  <c r="DA115" i="2"/>
  <c r="DA107" i="2"/>
  <c r="DD10" i="2"/>
  <c r="DE9" i="2"/>
  <c r="DC68" i="2"/>
  <c r="DC274" i="3"/>
  <c r="DC247" i="3"/>
  <c r="DC12" i="2"/>
  <c r="DC183" i="3"/>
  <c r="DC184" i="3" s="1"/>
  <c r="DC275" i="3" s="1"/>
  <c r="DC283" i="3" s="1"/>
  <c r="DC285" i="3" s="1"/>
  <c r="DC112" i="2"/>
  <c r="CR312" i="3"/>
  <c r="CG148" i="2"/>
  <c r="CG149" i="2"/>
  <c r="BU10" i="2"/>
  <c r="BU41" i="6" s="1"/>
  <c r="J148" i="2"/>
  <c r="J40" i="7" s="1"/>
  <c r="J149" i="2"/>
  <c r="CM97" i="2"/>
  <c r="CH97" i="2"/>
  <c r="BN14" i="2"/>
  <c r="BN11" i="3"/>
  <c r="BN132" i="2"/>
  <c r="BN136" i="2" s="1"/>
  <c r="BN34" i="7"/>
  <c r="BN94" i="2"/>
  <c r="BN95" i="2" s="1"/>
  <c r="CZ146" i="2"/>
  <c r="CZ148" i="2" s="1"/>
  <c r="CZ41" i="7" s="1"/>
  <c r="AM22" i="9" s="1"/>
  <c r="BJ10" i="2"/>
  <c r="BJ90" i="2" s="1"/>
  <c r="DC242" i="3"/>
  <c r="CW146" i="2"/>
  <c r="BX129" i="2"/>
  <c r="BX26" i="7"/>
  <c r="BX31" i="7"/>
  <c r="AT148" i="2"/>
  <c r="AT149" i="2"/>
  <c r="CP202" i="3"/>
  <c r="CL200" i="3"/>
  <c r="CP200" i="3" s="1"/>
  <c r="BM29" i="6"/>
  <c r="BM30" i="6" s="1"/>
  <c r="BM36" i="6"/>
  <c r="BM50" i="6"/>
  <c r="BM24" i="6"/>
  <c r="BM22" i="6" s="1"/>
  <c r="BR29" i="6"/>
  <c r="BR35" i="6"/>
  <c r="E129" i="9" s="1"/>
  <c r="E130" i="9" s="1"/>
  <c r="AO31" i="7"/>
  <c r="AO32" i="7" s="1"/>
  <c r="AO26" i="7"/>
  <c r="AO28" i="7" s="1"/>
  <c r="AT31" i="7"/>
  <c r="AT32" i="7" s="1"/>
  <c r="AT26" i="7"/>
  <c r="BX38" i="7"/>
  <c r="K31" i="9" s="1"/>
  <c r="BS24" i="7"/>
  <c r="BX174" i="7"/>
  <c r="BS37" i="7"/>
  <c r="CM70" i="3"/>
  <c r="CM135" i="3"/>
  <c r="CQ135" i="3"/>
  <c r="CQ70" i="3"/>
  <c r="CD10" i="2"/>
  <c r="CD112" i="2" s="1"/>
  <c r="AW187" i="3"/>
  <c r="AW188" i="3" s="1"/>
  <c r="AW186" i="3"/>
  <c r="BA26" i="7"/>
  <c r="BA27" i="7" s="1"/>
  <c r="BA25" i="7"/>
  <c r="BI29" i="7"/>
  <c r="BI27" i="7"/>
  <c r="BI28" i="7"/>
  <c r="CY160" i="2"/>
  <c r="CY162" i="2" s="1"/>
  <c r="BV97" i="2"/>
  <c r="BQ97" i="2"/>
  <c r="BT14" i="2"/>
  <c r="BT34" i="7"/>
  <c r="BT94" i="2"/>
  <c r="BT97" i="2" s="1"/>
  <c r="BT11" i="3"/>
  <c r="BX11" i="3"/>
  <c r="BX94" i="2"/>
  <c r="CA16" i="2"/>
  <c r="BX132" i="2"/>
  <c r="CC132" i="2"/>
  <c r="CC136" i="2" s="1"/>
  <c r="CC14" i="2"/>
  <c r="CC34" i="7"/>
  <c r="AA31" i="7"/>
  <c r="AA32" i="7" s="1"/>
  <c r="AA26" i="7"/>
  <c r="AA28" i="7" s="1"/>
  <c r="BG94" i="2"/>
  <c r="BG14" i="2"/>
  <c r="BO136" i="2"/>
  <c r="BQ160" i="2"/>
  <c r="BQ162" i="2" s="1"/>
  <c r="X8" i="2"/>
  <c r="AR9" i="2"/>
  <c r="CE115" i="2"/>
  <c r="CE106" i="2" s="1"/>
  <c r="CV146" i="2"/>
  <c r="BW207" i="3"/>
  <c r="AC97" i="2"/>
  <c r="AY10" i="2"/>
  <c r="AY95" i="2" s="1"/>
  <c r="AX10" i="2"/>
  <c r="BS136" i="2"/>
  <c r="BV207" i="3"/>
  <c r="DB35" i="3"/>
  <c r="BI115" i="2"/>
  <c r="BI101" i="2" s="1"/>
  <c r="BW136" i="2"/>
  <c r="AH9" i="2"/>
  <c r="AM9" i="2"/>
  <c r="AR8" i="2"/>
  <c r="CF200" i="3"/>
  <c r="CF202" i="3" s="1"/>
  <c r="BT136" i="2"/>
  <c r="I132" i="2"/>
  <c r="I136" i="2" s="1"/>
  <c r="S132" i="2"/>
  <c r="S136" i="2" s="1"/>
  <c r="DE13" i="3"/>
  <c r="AN56" i="5" s="1"/>
  <c r="CI22" i="2"/>
  <c r="CI153" i="2"/>
  <c r="CI15" i="2"/>
  <c r="E149" i="2"/>
  <c r="E148" i="2"/>
  <c r="CZ204" i="3"/>
  <c r="DA163" i="2"/>
  <c r="BT12" i="2"/>
  <c r="BT41" i="6"/>
  <c r="BT242" i="3"/>
  <c r="BT112" i="2"/>
  <c r="BY113" i="2" s="1"/>
  <c r="BT183" i="3"/>
  <c r="BT184" i="3" s="1"/>
  <c r="BT275" i="3" s="1"/>
  <c r="BT283" i="3" s="1"/>
  <c r="BT285" i="3" s="1"/>
  <c r="BT124" i="2"/>
  <c r="BY125" i="2" s="1"/>
  <c r="BF100" i="2"/>
  <c r="DD205" i="3"/>
  <c r="CY205" i="3"/>
  <c r="CR160" i="2"/>
  <c r="CR163" i="2" s="1"/>
  <c r="AD45" i="2"/>
  <c r="AD38" i="2" s="1"/>
  <c r="AD39" i="2"/>
  <c r="BX51" i="2"/>
  <c r="CC51" i="2"/>
  <c r="BY50" i="2"/>
  <c r="CZ35" i="3"/>
  <c r="CW63" i="3"/>
  <c r="CW312" i="3"/>
  <c r="DB163" i="2"/>
  <c r="CX115" i="2"/>
  <c r="CU9" i="2"/>
  <c r="CU10" i="2" s="1"/>
  <c r="CU112" i="2" s="1"/>
  <c r="CQ10" i="2"/>
  <c r="CS148" i="2"/>
  <c r="CS41" i="7" s="1"/>
  <c r="AF22" i="9" s="1"/>
  <c r="CS149" i="2"/>
  <c r="CS71" i="6" s="1"/>
  <c r="AF122" i="9" s="1"/>
  <c r="BE115" i="2"/>
  <c r="BE106" i="2" s="1"/>
  <c r="DC49" i="2"/>
  <c r="DE202" i="3"/>
  <c r="CB12" i="3"/>
  <c r="AW139" i="2"/>
  <c r="AW135" i="2"/>
  <c r="CI70" i="2"/>
  <c r="BQ207" i="3"/>
  <c r="BL207" i="3"/>
  <c r="BR129" i="2"/>
  <c r="CW12" i="2"/>
  <c r="DB59" i="2" s="1"/>
  <c r="CW124" i="2"/>
  <c r="CW68" i="2"/>
  <c r="CW95" i="2"/>
  <c r="CW183" i="3"/>
  <c r="CW184" i="3" s="1"/>
  <c r="CW275" i="3" s="1"/>
  <c r="CW283" i="3" s="1"/>
  <c r="CW285" i="3" s="1"/>
  <c r="CW102" i="2"/>
  <c r="CW274" i="3"/>
  <c r="DB58" i="2"/>
  <c r="AP5" i="5" s="1"/>
  <c r="CW112" i="2"/>
  <c r="CW247" i="3"/>
  <c r="CW90" i="2"/>
  <c r="CW291" i="3"/>
  <c r="CX160" i="2"/>
  <c r="N187" i="3"/>
  <c r="N188" i="3" s="1"/>
  <c r="N186" i="3"/>
  <c r="CN106" i="2"/>
  <c r="CN111" i="2"/>
  <c r="BE28" i="7"/>
  <c r="BE27" i="7"/>
  <c r="AE148" i="2"/>
  <c r="BA149" i="2"/>
  <c r="BA148" i="2"/>
  <c r="CL112" i="2"/>
  <c r="CL274" i="3"/>
  <c r="CL95" i="2"/>
  <c r="CL12" i="2"/>
  <c r="CL90" i="2"/>
  <c r="CL247" i="3"/>
  <c r="BI149" i="2"/>
  <c r="AE26" i="7"/>
  <c r="AE28" i="7" s="1"/>
  <c r="AE31" i="7"/>
  <c r="AE32" i="7" s="1"/>
  <c r="AJ26" i="7"/>
  <c r="AJ31" i="7"/>
  <c r="AJ32" i="7" s="1"/>
  <c r="AX31" i="7"/>
  <c r="AX32" i="7" s="1"/>
  <c r="AX26" i="7"/>
  <c r="BC129" i="2"/>
  <c r="BC135" i="2" s="1"/>
  <c r="BC31" i="7"/>
  <c r="BC32" i="7" s="1"/>
  <c r="BC26" i="7"/>
  <c r="BK31" i="7"/>
  <c r="BK32" i="7" s="1"/>
  <c r="BK26" i="7"/>
  <c r="CN205" i="3"/>
  <c r="CN206" i="3"/>
  <c r="CI11" i="3"/>
  <c r="CK13" i="3"/>
  <c r="J56" i="5" s="1"/>
  <c r="CN11" i="3"/>
  <c r="CP13" i="3"/>
  <c r="T56" i="5" s="1"/>
  <c r="CV187" i="3"/>
  <c r="CV188" i="3" s="1"/>
  <c r="CV186" i="3"/>
  <c r="CN163" i="2"/>
  <c r="CN162" i="2"/>
  <c r="BS243" i="6"/>
  <c r="AL10" i="2"/>
  <c r="AL12" i="2" s="1"/>
  <c r="AL17" i="2" s="1"/>
  <c r="AM8" i="2"/>
  <c r="AM10" i="2" s="1"/>
  <c r="BY94" i="2"/>
  <c r="BY132" i="2"/>
  <c r="BY136" i="2" s="1"/>
  <c r="BY14" i="2"/>
  <c r="CA14" i="2" s="1"/>
  <c r="BY34" i="7"/>
  <c r="BY11" i="3"/>
  <c r="CH200" i="3"/>
  <c r="CK202" i="3"/>
  <c r="CH136" i="2"/>
  <c r="CH131" i="2"/>
  <c r="CM131" i="2"/>
  <c r="CM136" i="2"/>
  <c r="CR131" i="2"/>
  <c r="CR136" i="2"/>
  <c r="AC132" i="2"/>
  <c r="AC135" i="2" s="1"/>
  <c r="AW136" i="2"/>
  <c r="Q146" i="2"/>
  <c r="Q149" i="2" s="1"/>
  <c r="U148" i="2"/>
  <c r="U149" i="2"/>
  <c r="Y148" i="2"/>
  <c r="Y149" i="2"/>
  <c r="AO146" i="2"/>
  <c r="AO149" i="2" s="1"/>
  <c r="BB146" i="2"/>
  <c r="BB149" i="2" s="1"/>
  <c r="BN146" i="2"/>
  <c r="BN149" i="2" s="1"/>
  <c r="CC146" i="2"/>
  <c r="CC149" i="2" s="1"/>
  <c r="CH146" i="2"/>
  <c r="CH149" i="2" s="1"/>
  <c r="CR146" i="2"/>
  <c r="CR149" i="2" s="1"/>
  <c r="CR71" i="6" s="1"/>
  <c r="AE122" i="9" s="1"/>
  <c r="K10" i="2"/>
  <c r="K12" i="2" s="1"/>
  <c r="K17" i="2" s="1"/>
  <c r="K22" i="2" s="1"/>
  <c r="K24" i="2" s="1"/>
  <c r="K27" i="2" s="1"/>
  <c r="K29" i="2" s="1"/>
  <c r="N8" i="2"/>
  <c r="N10" i="2" s="1"/>
  <c r="N274" i="3" s="1"/>
  <c r="CB14" i="2"/>
  <c r="CB94" i="2"/>
  <c r="CB132" i="2"/>
  <c r="CB136" i="2" s="1"/>
  <c r="BO35" i="6"/>
  <c r="G130" i="9" s="1"/>
  <c r="BO145" i="2"/>
  <c r="BT50" i="6"/>
  <c r="BT24" i="6"/>
  <c r="BT256" i="6" s="1"/>
  <c r="BT29" i="6"/>
  <c r="BT145" i="2"/>
  <c r="CX210" i="3"/>
  <c r="CX211" i="3" s="1"/>
  <c r="CZ8" i="3"/>
  <c r="CW12" i="3"/>
  <c r="CZ11" i="3"/>
  <c r="BM187" i="3"/>
  <c r="BM188" i="3" s="1"/>
  <c r="BM186" i="3"/>
  <c r="BP187" i="3"/>
  <c r="BP188" i="3" s="1"/>
  <c r="BP186" i="3"/>
  <c r="DA63" i="3"/>
  <c r="DA312" i="3"/>
  <c r="AX149" i="2"/>
  <c r="BP129" i="2"/>
  <c r="BP135" i="2" s="1"/>
  <c r="BP26" i="7"/>
  <c r="BS174" i="7"/>
  <c r="BN38" i="7"/>
  <c r="BS38" i="7"/>
  <c r="F31" i="9" s="1"/>
  <c r="BN37" i="7"/>
  <c r="BN24" i="7"/>
  <c r="BN201" i="7" s="1"/>
  <c r="BR38" i="7"/>
  <c r="E31" i="9" s="1"/>
  <c r="BR144" i="2"/>
  <c r="BR146" i="2" s="1"/>
  <c r="BR24" i="7"/>
  <c r="CB205" i="3"/>
  <c r="CB206" i="3"/>
  <c r="CT70" i="3"/>
  <c r="CT135" i="3"/>
  <c r="CU13" i="3"/>
  <c r="CR11" i="3"/>
  <c r="DD186" i="3"/>
  <c r="DD187" i="3"/>
  <c r="DD188" i="3" s="1"/>
  <c r="DF247" i="3"/>
  <c r="DF12" i="2"/>
  <c r="DF67" i="2" s="1"/>
  <c r="DF183" i="3"/>
  <c r="DF184" i="3" s="1"/>
  <c r="DF275" i="3" s="1"/>
  <c r="DF283" i="3" s="1"/>
  <c r="DF285" i="3" s="1"/>
  <c r="CA187" i="3"/>
  <c r="CA188" i="3" s="1"/>
  <c r="BM63" i="6"/>
  <c r="BM67" i="6" s="1"/>
  <c r="BR132" i="2"/>
  <c r="BR136" i="2" s="1"/>
  <c r="BR11" i="3"/>
  <c r="BR14" i="2"/>
  <c r="CE11" i="3"/>
  <c r="CE132" i="2"/>
  <c r="CE14" i="2"/>
  <c r="CI206" i="3"/>
  <c r="CI205" i="3"/>
  <c r="CN70" i="3"/>
  <c r="CN135" i="3"/>
  <c r="CR70" i="3"/>
  <c r="CR135" i="3"/>
  <c r="CV70" i="3"/>
  <c r="CV135" i="3"/>
  <c r="DF131" i="2"/>
  <c r="BR97" i="2"/>
  <c r="CK200" i="3"/>
  <c r="CH115" i="2"/>
  <c r="DD131" i="2"/>
  <c r="DE131" i="2" s="1"/>
  <c r="DF160" i="2"/>
  <c r="DF163" i="2" s="1"/>
  <c r="DF107" i="2"/>
  <c r="BH10" i="2"/>
  <c r="BH183" i="3" s="1"/>
  <c r="BH184" i="3" s="1"/>
  <c r="CN10" i="2"/>
  <c r="CN58" i="2" s="1"/>
  <c r="CP20" i="8"/>
  <c r="CT102" i="2"/>
  <c r="CT68" i="2"/>
  <c r="CT90" i="2"/>
  <c r="CT247" i="3"/>
  <c r="M22" i="2"/>
  <c r="M24" i="2" s="1"/>
  <c r="M27" i="2" s="1"/>
  <c r="M29" i="2" s="1"/>
  <c r="M15" i="2"/>
  <c r="M67" i="8" s="1"/>
  <c r="AK15" i="2"/>
  <c r="AK67" i="8" s="1"/>
  <c r="AK22" i="2"/>
  <c r="AK24" i="2" s="1"/>
  <c r="AK27" i="2" s="1"/>
  <c r="AK29" i="2" s="1"/>
  <c r="BD183" i="3"/>
  <c r="BD184" i="3" s="1"/>
  <c r="DJ20" i="8"/>
  <c r="DJ21" i="8" s="1"/>
  <c r="BO90" i="2"/>
  <c r="BO95" i="2"/>
  <c r="BO68" i="2"/>
  <c r="BO242" i="3"/>
  <c r="BO124" i="2"/>
  <c r="BT125" i="2" s="1"/>
  <c r="BO274" i="3"/>
  <c r="BO247" i="3"/>
  <c r="BO112" i="2"/>
  <c r="BO113" i="2" s="1"/>
  <c r="BO291" i="3"/>
  <c r="BO183" i="3"/>
  <c r="BO184" i="3" s="1"/>
  <c r="BO275" i="3" s="1"/>
  <c r="BO283" i="3" s="1"/>
  <c r="BO285" i="3" s="1"/>
  <c r="BO12" i="2"/>
  <c r="BO41" i="6"/>
  <c r="DG211" i="3"/>
  <c r="BQ163" i="2"/>
  <c r="BE90" i="2"/>
  <c r="L130" i="9"/>
  <c r="DB285" i="3"/>
  <c r="CZ131" i="2"/>
  <c r="CS10" i="2"/>
  <c r="DC146" i="2"/>
  <c r="DD146" i="2"/>
  <c r="DD149" i="2" s="1"/>
  <c r="AW285" i="3"/>
  <c r="AA10" i="2"/>
  <c r="AA12" i="2" s="1"/>
  <c r="AA17" i="2" s="1"/>
  <c r="AV10" i="2"/>
  <c r="AV12" i="2" s="1"/>
  <c r="AV17" i="2" s="1"/>
  <c r="DG131" i="2"/>
  <c r="DG186" i="3"/>
  <c r="BL132" i="2"/>
  <c r="BP136" i="2"/>
  <c r="BX136" i="2"/>
  <c r="AH132" i="2"/>
  <c r="X146" i="2"/>
  <c r="X149" i="2" s="1"/>
  <c r="AB146" i="2"/>
  <c r="AB149" i="2" s="1"/>
  <c r="AN146" i="2"/>
  <c r="AR146" i="2"/>
  <c r="AR149" i="2" s="1"/>
  <c r="AZ146" i="2"/>
  <c r="AZ148" i="2" s="1"/>
  <c r="CL146" i="2"/>
  <c r="BB132" i="2"/>
  <c r="I146" i="2"/>
  <c r="I148" i="2" s="1"/>
  <c r="AI146" i="2"/>
  <c r="AU146" i="2"/>
  <c r="X10" i="2"/>
  <c r="BC14" i="9"/>
  <c r="DP77" i="7" s="1"/>
  <c r="BF14" i="9"/>
  <c r="DS77" i="7" s="1"/>
  <c r="AZ13" i="9"/>
  <c r="DM149" i="7" s="1"/>
  <c r="DM11" i="7" s="1"/>
  <c r="AK13" i="9"/>
  <c r="AJ14" i="9"/>
  <c r="AL14" i="9"/>
  <c r="AS14" i="9"/>
  <c r="AS13" i="9"/>
  <c r="AN14" i="9"/>
  <c r="AY13" i="9"/>
  <c r="DL149" i="7" s="1"/>
  <c r="DL11" i="7" s="1"/>
  <c r="BD13" i="9"/>
  <c r="DQ149" i="7" s="1"/>
  <c r="DQ154" i="7" s="1"/>
  <c r="BC13" i="9"/>
  <c r="DP149" i="7" s="1"/>
  <c r="DP11" i="7" s="1"/>
  <c r="R13" i="9"/>
  <c r="AX13" i="9"/>
  <c r="DK149" i="7" s="1"/>
  <c r="DK11" i="7" s="1"/>
  <c r="AO13" i="9"/>
  <c r="AQ13" i="9"/>
  <c r="AY14" i="9"/>
  <c r="DL77" i="7" s="1"/>
  <c r="DL72" i="7" s="1"/>
  <c r="DL73" i="7" s="1"/>
  <c r="AN13" i="9"/>
  <c r="DK142" i="7"/>
  <c r="DN142" i="7"/>
  <c r="DS142" i="7"/>
  <c r="BE14" i="9"/>
  <c r="DR77" i="7" s="1"/>
  <c r="BE13" i="9"/>
  <c r="DR149" i="7" s="1"/>
  <c r="DR154" i="7" s="1"/>
  <c r="AT14" i="9"/>
  <c r="AL13" i="9"/>
  <c r="AZ14" i="9"/>
  <c r="DM77" i="7" s="1"/>
  <c r="DM72" i="7" s="1"/>
  <c r="DM73" i="7" s="1"/>
  <c r="DM96" i="7" s="1"/>
  <c r="AT13" i="9"/>
  <c r="BA14" i="9"/>
  <c r="DN77" i="7" s="1"/>
  <c r="AK14" i="9"/>
  <c r="AO14" i="9"/>
  <c r="DL142" i="7"/>
  <c r="AV13" i="9"/>
  <c r="AU14" i="9"/>
  <c r="AO18" i="9"/>
  <c r="DP142" i="7"/>
  <c r="AV14" i="9"/>
  <c r="AU13" i="9"/>
  <c r="DA137" i="7"/>
  <c r="DM142" i="7"/>
  <c r="CY241" i="3"/>
  <c r="DD249" i="3"/>
  <c r="CN241" i="3"/>
  <c r="CI249" i="3"/>
  <c r="DT59" i="3"/>
  <c r="CZ241" i="3"/>
  <c r="CO241" i="3"/>
  <c r="CT249" i="3"/>
  <c r="CE241" i="3"/>
  <c r="CJ241" i="3"/>
  <c r="CJ242" i="3" s="1"/>
  <c r="DM198" i="3"/>
  <c r="DN196" i="3"/>
  <c r="DF49" i="2"/>
  <c r="DJ202" i="3"/>
  <c r="AV51" i="5"/>
  <c r="DJ53" i="3"/>
  <c r="DK163" i="3"/>
  <c r="DL163" i="3" s="1"/>
  <c r="DM163" i="3" s="1"/>
  <c r="DN163" i="3" s="1"/>
  <c r="DO163" i="3" s="1"/>
  <c r="DP163" i="3" s="1"/>
  <c r="DQ163" i="3" s="1"/>
  <c r="DR163" i="3" s="1"/>
  <c r="DS163" i="3" s="1"/>
  <c r="DT163" i="3" s="1"/>
  <c r="DU163" i="3" s="1"/>
  <c r="DV163" i="3" s="1"/>
  <c r="DW163" i="3" s="1"/>
  <c r="DX163" i="3" s="1"/>
  <c r="DY163" i="3" s="1"/>
  <c r="DK150" i="3"/>
  <c r="DL150" i="3" s="1"/>
  <c r="DM150" i="3" s="1"/>
  <c r="DN150" i="3" s="1"/>
  <c r="DO150" i="3" s="1"/>
  <c r="DP150" i="3" s="1"/>
  <c r="DQ150" i="3" s="1"/>
  <c r="DR150" i="3" s="1"/>
  <c r="DS150" i="3" s="1"/>
  <c r="DT150" i="3" s="1"/>
  <c r="DU150" i="3" s="1"/>
  <c r="DV150" i="3" s="1"/>
  <c r="DW150" i="3" s="1"/>
  <c r="DX150" i="3" s="1"/>
  <c r="DY150" i="3" s="1"/>
  <c r="DK141" i="3"/>
  <c r="DK164" i="3"/>
  <c r="DL164" i="3" s="1"/>
  <c r="DM164" i="3" s="1"/>
  <c r="DN164" i="3" s="1"/>
  <c r="DO164" i="3" s="1"/>
  <c r="DP164" i="3" s="1"/>
  <c r="DQ164" i="3" s="1"/>
  <c r="DR164" i="3" s="1"/>
  <c r="DS164" i="3" s="1"/>
  <c r="DT164" i="3" s="1"/>
  <c r="DU164" i="3" s="1"/>
  <c r="DV164" i="3" s="1"/>
  <c r="DW164" i="3" s="1"/>
  <c r="DX164" i="3" s="1"/>
  <c r="DY164" i="3" s="1"/>
  <c r="DK142" i="3"/>
  <c r="DK30" i="3" s="1"/>
  <c r="DJ63" i="8"/>
  <c r="DK159" i="3"/>
  <c r="DL159" i="3" s="1"/>
  <c r="DM159" i="3" s="1"/>
  <c r="DN159" i="3" s="1"/>
  <c r="DO159" i="3" s="1"/>
  <c r="DP159" i="3" s="1"/>
  <c r="DQ159" i="3" s="1"/>
  <c r="DR159" i="3" s="1"/>
  <c r="DS159" i="3" s="1"/>
  <c r="DT159" i="3" s="1"/>
  <c r="DU159" i="3" s="1"/>
  <c r="DV159" i="3" s="1"/>
  <c r="DW159" i="3" s="1"/>
  <c r="DX159" i="3" s="1"/>
  <c r="DY159" i="3" s="1"/>
  <c r="DK148" i="3"/>
  <c r="DN158" i="3"/>
  <c r="DJ19" i="3"/>
  <c r="DK19" i="3" s="1"/>
  <c r="AV60" i="5"/>
  <c r="DJ171" i="3"/>
  <c r="DJ162" i="3"/>
  <c r="DI65" i="8"/>
  <c r="DJ145" i="3"/>
  <c r="DK290" i="3"/>
  <c r="DN11" i="3"/>
  <c r="DO11" i="3" s="1"/>
  <c r="DJ290" i="3"/>
  <c r="DJ300" i="3"/>
  <c r="BB60" i="5"/>
  <c r="DH65" i="8"/>
  <c r="AX60" i="5"/>
  <c r="DJ321" i="3"/>
  <c r="BB444" i="6"/>
  <c r="BB449" i="6"/>
  <c r="BB450" i="6" s="1"/>
  <c r="AR449" i="6"/>
  <c r="AR450" i="6" s="1"/>
  <c r="AR444" i="6"/>
  <c r="DB324" i="6"/>
  <c r="DB325" i="6" s="1"/>
  <c r="DC330" i="6"/>
  <c r="DQ216" i="6"/>
  <c r="DQ13" i="6"/>
  <c r="DQ180" i="6" s="1"/>
  <c r="DL179" i="6"/>
  <c r="AC181" i="7"/>
  <c r="AC207" i="7" s="1"/>
  <c r="AC216" i="7"/>
  <c r="DJ54" i="7"/>
  <c r="DE173" i="7"/>
  <c r="CK144" i="2"/>
  <c r="CK146" i="2" s="1"/>
  <c r="CK149" i="2" s="1"/>
  <c r="CK31" i="7"/>
  <c r="DE29" i="7"/>
  <c r="J88" i="5"/>
  <c r="CK200" i="7"/>
  <c r="DM96" i="6"/>
  <c r="DG296" i="6"/>
  <c r="DF300" i="6"/>
  <c r="CB125" i="2"/>
  <c r="BO258" i="6"/>
  <c r="BO105" i="2"/>
  <c r="BO257" i="6"/>
  <c r="BO247" i="6"/>
  <c r="BO27" i="6"/>
  <c r="BO252" i="6"/>
  <c r="CP169" i="6"/>
  <c r="CM171" i="6"/>
  <c r="CM212" i="6"/>
  <c r="CA243" i="6"/>
  <c r="CF245" i="6"/>
  <c r="CC70" i="2"/>
  <c r="DP96" i="6"/>
  <c r="DU96" i="6" s="1"/>
  <c r="DV96" i="6" s="1"/>
  <c r="DW96" i="6" s="1"/>
  <c r="DX96" i="6" s="1"/>
  <c r="CA29" i="6"/>
  <c r="CA145" i="2"/>
  <c r="BS277" i="6"/>
  <c r="BQ176" i="6"/>
  <c r="BQ177" i="6" s="1"/>
  <c r="BQ151" i="6"/>
  <c r="BZ163" i="2"/>
  <c r="BZ162" i="2"/>
  <c r="CI191" i="6"/>
  <c r="CS160" i="6"/>
  <c r="CS207" i="6"/>
  <c r="CI165" i="6"/>
  <c r="CI166" i="6" s="1"/>
  <c r="CI114" i="6"/>
  <c r="CQ149" i="2"/>
  <c r="CQ71" i="6" s="1"/>
  <c r="AD122" i="9" s="1"/>
  <c r="CQ148" i="2"/>
  <c r="CQ41" i="7" s="1"/>
  <c r="AD22" i="9" s="1"/>
  <c r="BW277" i="6"/>
  <c r="CA65" i="6"/>
  <c r="CA68" i="6"/>
  <c r="DE327" i="6"/>
  <c r="DE328" i="6" s="1"/>
  <c r="DD328" i="6"/>
  <c r="BH183" i="6"/>
  <c r="BH219" i="6"/>
  <c r="BH226" i="6" s="1"/>
  <c r="CT111" i="2"/>
  <c r="CT101" i="2"/>
  <c r="AR108" i="9"/>
  <c r="AR176" i="9"/>
  <c r="CL132" i="6"/>
  <c r="CL139" i="6" s="1"/>
  <c r="CL176" i="6"/>
  <c r="CL177" i="6" s="1"/>
  <c r="CT231" i="6"/>
  <c r="BS139" i="6"/>
  <c r="BN139" i="6"/>
  <c r="CO176" i="6"/>
  <c r="CO177" i="6" s="1"/>
  <c r="CO132" i="6"/>
  <c r="DE245" i="6"/>
  <c r="DE243" i="6"/>
  <c r="DE244" i="6" s="1"/>
  <c r="CH208" i="6"/>
  <c r="CH231" i="6"/>
  <c r="CK206" i="6"/>
  <c r="CE27" i="7"/>
  <c r="R86" i="9" s="1"/>
  <c r="CO231" i="6"/>
  <c r="CC58" i="2"/>
  <c r="CC291" i="3"/>
  <c r="CC68" i="2"/>
  <c r="CC112" i="2"/>
  <c r="CC183" i="3"/>
  <c r="CC184" i="3" s="1"/>
  <c r="CC275" i="3" s="1"/>
  <c r="CC283" i="3" s="1"/>
  <c r="CC285" i="3" s="1"/>
  <c r="CC124" i="2"/>
  <c r="CC274" i="3"/>
  <c r="CC247" i="3"/>
  <c r="CC41" i="6"/>
  <c r="CC90" i="2"/>
  <c r="CC95" i="2"/>
  <c r="CM160" i="6"/>
  <c r="CP158" i="6"/>
  <c r="CM206" i="6"/>
  <c r="DO322" i="6"/>
  <c r="BM183" i="3"/>
  <c r="BM184" i="3" s="1"/>
  <c r="BM275" i="3" s="1"/>
  <c r="BM283" i="3" s="1"/>
  <c r="BM285" i="3" s="1"/>
  <c r="BM12" i="2"/>
  <c r="BM90" i="2"/>
  <c r="BM247" i="3"/>
  <c r="BM41" i="6"/>
  <c r="BM68" i="2"/>
  <c r="BM112" i="2"/>
  <c r="BM113" i="2" s="1"/>
  <c r="BM95" i="2"/>
  <c r="BM242" i="3"/>
  <c r="CE163" i="2"/>
  <c r="CE162" i="2"/>
  <c r="CC231" i="6"/>
  <c r="CC208" i="6"/>
  <c r="CU90" i="2"/>
  <c r="CU12" i="2"/>
  <c r="J36" i="2"/>
  <c r="H171" i="9"/>
  <c r="H207" i="9"/>
  <c r="CK123" i="6"/>
  <c r="CK124" i="6"/>
  <c r="CP125" i="6"/>
  <c r="CK125" i="6"/>
  <c r="BR25" i="6"/>
  <c r="BR256" i="6"/>
  <c r="BR26" i="6"/>
  <c r="BO242" i="6"/>
  <c r="BO256" i="6"/>
  <c r="BO63" i="6"/>
  <c r="BO67" i="6" s="1"/>
  <c r="BO25" i="6"/>
  <c r="BO22" i="6"/>
  <c r="CZ124" i="6"/>
  <c r="CZ125" i="6"/>
  <c r="DE125" i="6"/>
  <c r="CZ101" i="6"/>
  <c r="CZ82" i="6"/>
  <c r="BU274" i="3"/>
  <c r="BU112" i="2"/>
  <c r="BR243" i="6"/>
  <c r="BT247" i="3"/>
  <c r="BY58" i="2"/>
  <c r="BT291" i="3"/>
  <c r="BT68" i="2"/>
  <c r="BT274" i="3"/>
  <c r="BT58" i="2"/>
  <c r="DH249" i="6"/>
  <c r="DC249" i="6"/>
  <c r="CU124" i="6"/>
  <c r="CU125" i="6"/>
  <c r="AR67" i="5"/>
  <c r="AN67" i="5"/>
  <c r="AR173" i="9"/>
  <c r="DE99" i="6"/>
  <c r="AT67" i="5"/>
  <c r="AP67" i="5"/>
  <c r="DE295" i="6"/>
  <c r="BD149" i="2"/>
  <c r="BD148" i="2"/>
  <c r="BR213" i="6"/>
  <c r="BR171" i="6"/>
  <c r="BV170" i="6"/>
  <c r="BX207" i="6"/>
  <c r="BX160" i="6"/>
  <c r="CF123" i="6"/>
  <c r="CF124" i="6"/>
  <c r="BV123" i="6"/>
  <c r="BV125" i="6"/>
  <c r="CX216" i="6"/>
  <c r="CZ216" i="6" s="1"/>
  <c r="CZ200" i="6" s="1"/>
  <c r="CX180" i="6"/>
  <c r="CZ247" i="6"/>
  <c r="CZ257" i="6"/>
  <c r="AW148" i="2"/>
  <c r="AW149" i="2"/>
  <c r="BQ123" i="6"/>
  <c r="BQ125" i="6"/>
  <c r="BQ124" i="6"/>
  <c r="CN148" i="2"/>
  <c r="CN41" i="7" s="1"/>
  <c r="AA22" i="9" s="1"/>
  <c r="CN149" i="2"/>
  <c r="CN71" i="6" s="1"/>
  <c r="AA122" i="9" s="1"/>
  <c r="BR76" i="2"/>
  <c r="BP58" i="6"/>
  <c r="BP9" i="2"/>
  <c r="BP61" i="6"/>
  <c r="DR141" i="6"/>
  <c r="DM179" i="6"/>
  <c r="S135" i="2"/>
  <c r="DE42" i="6"/>
  <c r="DE43" i="6" s="1"/>
  <c r="DE41" i="6"/>
  <c r="DE55" i="6"/>
  <c r="DE654" i="6"/>
  <c r="DE655" i="6" s="1"/>
  <c r="BT160" i="6"/>
  <c r="BT206" i="6"/>
  <c r="BV158" i="6"/>
  <c r="BV223" i="6"/>
  <c r="BV67" i="6"/>
  <c r="BL141" i="6"/>
  <c r="BL14" i="6"/>
  <c r="BV141" i="6"/>
  <c r="BV14" i="6"/>
  <c r="CF55" i="6"/>
  <c r="CF248" i="6"/>
  <c r="CF42" i="6"/>
  <c r="CF43" i="6" s="1"/>
  <c r="CF17" i="6"/>
  <c r="CF189" i="3" s="1"/>
  <c r="CF190" i="3" s="1"/>
  <c r="CF35" i="6"/>
  <c r="CF654" i="6"/>
  <c r="CF655" i="6" s="1"/>
  <c r="CF243" i="6"/>
  <c r="CF25" i="6"/>
  <c r="CK20" i="6"/>
  <c r="CK143" i="6"/>
  <c r="CK15" i="6"/>
  <c r="CK55" i="6"/>
  <c r="CP15" i="6"/>
  <c r="CK42" i="6"/>
  <c r="CK17" i="6"/>
  <c r="CK189" i="3" s="1"/>
  <c r="CK190" i="3" s="1"/>
  <c r="CK654" i="6"/>
  <c r="CK655" i="6" s="1"/>
  <c r="BK30" i="6"/>
  <c r="BK124" i="6"/>
  <c r="BK42" i="6"/>
  <c r="BP43" i="6" s="1"/>
  <c r="BK17" i="6"/>
  <c r="BK189" i="3" s="1"/>
  <c r="BK190" i="3" s="1"/>
  <c r="BK25" i="6"/>
  <c r="BK243" i="6"/>
  <c r="BK20" i="6"/>
  <c r="BK222" i="6" s="1"/>
  <c r="BK15" i="6"/>
  <c r="BK55" i="6"/>
  <c r="BK68" i="6" s="1"/>
  <c r="BG243" i="6"/>
  <c r="BG244" i="6" s="1"/>
  <c r="BG245" i="6"/>
  <c r="BL245" i="6"/>
  <c r="CR257" i="6"/>
  <c r="CU26" i="6"/>
  <c r="CR105" i="2"/>
  <c r="CR258" i="6"/>
  <c r="CR27" i="6"/>
  <c r="BD26" i="6"/>
  <c r="BD29" i="6"/>
  <c r="BD30" i="6" s="1"/>
  <c r="BD130" i="2"/>
  <c r="BD136" i="2" s="1"/>
  <c r="CD29" i="6"/>
  <c r="CD145" i="2"/>
  <c r="CD36" i="6"/>
  <c r="Q131" i="9" s="1"/>
  <c r="CI36" i="6"/>
  <c r="V131" i="9" s="1"/>
  <c r="CD50" i="6"/>
  <c r="CE51" i="6"/>
  <c r="CF49" i="6"/>
  <c r="CE50" i="6"/>
  <c r="CT51" i="6"/>
  <c r="CT50" i="6"/>
  <c r="CU49" i="6"/>
  <c r="BC58" i="6"/>
  <c r="BH56" i="6"/>
  <c r="BC61" i="6"/>
  <c r="BS223" i="6"/>
  <c r="BS61" i="6"/>
  <c r="BS224" i="6" s="1"/>
  <c r="BS67" i="6"/>
  <c r="CW223" i="6"/>
  <c r="CW61" i="6"/>
  <c r="CW224" i="6" s="1"/>
  <c r="CW58" i="6"/>
  <c r="BO171" i="6"/>
  <c r="BO212" i="6"/>
  <c r="CH137" i="6"/>
  <c r="CC137" i="6"/>
  <c r="CC169" i="6"/>
  <c r="CI131" i="6"/>
  <c r="CK78" i="6"/>
  <c r="CK79" i="6" s="1"/>
  <c r="CU79" i="6"/>
  <c r="CU314" i="6"/>
  <c r="BL158" i="6"/>
  <c r="BJ160" i="6"/>
  <c r="BR119" i="6"/>
  <c r="BR159" i="6"/>
  <c r="BW119" i="6"/>
  <c r="BU113" i="6"/>
  <c r="BV89" i="6"/>
  <c r="BZ112" i="6"/>
  <c r="CA88" i="6"/>
  <c r="CZ311" i="6"/>
  <c r="CZ93" i="6"/>
  <c r="CZ114" i="6"/>
  <c r="CZ120" i="6" s="1"/>
  <c r="CX12" i="2"/>
  <c r="DB146" i="2"/>
  <c r="DB148" i="2" s="1"/>
  <c r="DD148" i="2"/>
  <c r="DE124" i="6"/>
  <c r="DF94" i="6"/>
  <c r="DF258" i="6"/>
  <c r="BP216" i="6"/>
  <c r="BP180" i="6"/>
  <c r="BV90" i="6"/>
  <c r="BV311" i="6" s="1"/>
  <c r="CY106" i="2"/>
  <c r="CY101" i="2"/>
  <c r="BK148" i="2"/>
  <c r="CL102" i="2"/>
  <c r="CL291" i="3"/>
  <c r="CL242" i="3"/>
  <c r="DE17" i="6"/>
  <c r="DE189" i="3" s="1"/>
  <c r="DE190" i="3" s="1"/>
  <c r="DE61" i="6"/>
  <c r="DE224" i="6" s="1"/>
  <c r="DF248" i="6"/>
  <c r="DF249" i="6" s="1"/>
  <c r="DF250" i="6"/>
  <c r="DA245" i="6"/>
  <c r="DA243" i="6"/>
  <c r="DA244" i="6" s="1"/>
  <c r="DF245" i="6"/>
  <c r="AA171" i="9"/>
  <c r="AA207" i="9"/>
  <c r="CG216" i="6"/>
  <c r="CG180" i="6"/>
  <c r="CJ248" i="6"/>
  <c r="CJ250" i="6"/>
  <c r="BY68" i="6"/>
  <c r="BY65" i="6"/>
  <c r="DH327" i="6"/>
  <c r="DM328" i="6" s="1"/>
  <c r="DE20" i="6"/>
  <c r="CG136" i="2"/>
  <c r="CO131" i="2"/>
  <c r="CO136" i="2"/>
  <c r="K146" i="2"/>
  <c r="CI250" i="6"/>
  <c r="CI248" i="6"/>
  <c r="L109" i="9"/>
  <c r="L177" i="9"/>
  <c r="CD113" i="6"/>
  <c r="CF89" i="6"/>
  <c r="BS231" i="6"/>
  <c r="BS208" i="6"/>
  <c r="CE149" i="2"/>
  <c r="CE71" i="6" s="1"/>
  <c r="R122" i="9" s="1"/>
  <c r="BZ68" i="6"/>
  <c r="CT113" i="6"/>
  <c r="CT159" i="6" s="1"/>
  <c r="CU159" i="6" s="1"/>
  <c r="CO159" i="6"/>
  <c r="CS68" i="6"/>
  <c r="CS65" i="6"/>
  <c r="AB128" i="9"/>
  <c r="W128" i="9"/>
  <c r="BV221" i="6"/>
  <c r="BV34" i="6"/>
  <c r="DD180" i="6"/>
  <c r="DD216" i="6"/>
  <c r="DE216" i="6" s="1"/>
  <c r="DE200" i="6" s="1"/>
  <c r="CF79" i="6"/>
  <c r="CQ65" i="6"/>
  <c r="CQ68" i="6"/>
  <c r="CE56" i="6"/>
  <c r="BZ61" i="6"/>
  <c r="BZ224" i="6" s="1"/>
  <c r="BZ9" i="2"/>
  <c r="BZ58" i="6"/>
  <c r="BZ27" i="6"/>
  <c r="BZ105" i="2"/>
  <c r="BZ247" i="6"/>
  <c r="CE250" i="6" s="1"/>
  <c r="CF169" i="6"/>
  <c r="CB212" i="6"/>
  <c r="CH297" i="6"/>
  <c r="CH30" i="6"/>
  <c r="CH159" i="2"/>
  <c r="BS9" i="2"/>
  <c r="BS58" i="6"/>
  <c r="BX56" i="6"/>
  <c r="V128" i="9"/>
  <c r="K194" i="9"/>
  <c r="K158" i="9"/>
  <c r="Y194" i="9"/>
  <c r="Y158" i="9"/>
  <c r="CD94" i="6"/>
  <c r="CD258" i="6"/>
  <c r="CI94" i="6"/>
  <c r="CI258" i="6"/>
  <c r="CN94" i="6"/>
  <c r="CS94" i="6"/>
  <c r="CS258" i="6"/>
  <c r="CX94" i="6"/>
  <c r="BN101" i="6"/>
  <c r="BN82" i="6"/>
  <c r="CI99" i="6"/>
  <c r="CD295" i="6"/>
  <c r="CF98" i="6"/>
  <c r="CD256" i="6"/>
  <c r="CD101" i="6"/>
  <c r="CD99" i="6"/>
  <c r="CO125" i="6"/>
  <c r="CJ125" i="6"/>
  <c r="BU216" i="6"/>
  <c r="BU180" i="6"/>
  <c r="BZ179" i="6"/>
  <c r="BZ142" i="6"/>
  <c r="CE142" i="6"/>
  <c r="CI216" i="6"/>
  <c r="CI180" i="6"/>
  <c r="CQ216" i="6"/>
  <c r="CQ180" i="6"/>
  <c r="DA142" i="6"/>
  <c r="CV142" i="6"/>
  <c r="CV143" i="6"/>
  <c r="AQ10" i="2"/>
  <c r="AQ12" i="2" s="1"/>
  <c r="AQ17" i="2" s="1"/>
  <c r="N132" i="2"/>
  <c r="X132" i="2"/>
  <c r="AK146" i="2"/>
  <c r="AK149" i="2" s="1"/>
  <c r="AS146" i="2"/>
  <c r="AS148" i="2" s="1"/>
  <c r="BF256" i="6"/>
  <c r="BF25" i="6"/>
  <c r="CH36" i="6"/>
  <c r="CH50" i="6"/>
  <c r="BL223" i="6"/>
  <c r="BL67" i="6"/>
  <c r="BW67" i="6"/>
  <c r="BW223" i="6"/>
  <c r="U177" i="9"/>
  <c r="U109" i="9"/>
  <c r="AE109" i="9"/>
  <c r="AE177" i="9"/>
  <c r="BP119" i="6"/>
  <c r="CE112" i="6"/>
  <c r="CF88" i="6"/>
  <c r="F176" i="9"/>
  <c r="F108" i="9"/>
  <c r="DC159" i="2"/>
  <c r="DC30" i="6"/>
  <c r="DC297" i="6"/>
  <c r="DF142" i="6"/>
  <c r="DF179" i="6"/>
  <c r="DF143" i="6"/>
  <c r="AO10" i="2"/>
  <c r="AO12" i="2" s="1"/>
  <c r="AO17" i="2" s="1"/>
  <c r="BG132" i="2"/>
  <c r="BG135" i="2" s="1"/>
  <c r="AM146" i="2"/>
  <c r="AM149" i="2" s="1"/>
  <c r="AQ146" i="2"/>
  <c r="CL15" i="6"/>
  <c r="Y126" i="9" s="1"/>
  <c r="CG17" i="6"/>
  <c r="CG189" i="3" s="1"/>
  <c r="CG190" i="3" s="1"/>
  <c r="CG55" i="6"/>
  <c r="CG35" i="6"/>
  <c r="CG27" i="6"/>
  <c r="CO27" i="6"/>
  <c r="CO41" i="6"/>
  <c r="CO17" i="6"/>
  <c r="CO189" i="3" s="1"/>
  <c r="CO190" i="3" s="1"/>
  <c r="CU60" i="6"/>
  <c r="CU221" i="6"/>
  <c r="CU295" i="6"/>
  <c r="Z109" i="9"/>
  <c r="Z177" i="9"/>
  <c r="H108" i="9"/>
  <c r="H176" i="9"/>
  <c r="O108" i="9"/>
  <c r="O176" i="9"/>
  <c r="Q163" i="9"/>
  <c r="Q199" i="9"/>
  <c r="Z199" i="9"/>
  <c r="Z163" i="9"/>
  <c r="K204" i="9"/>
  <c r="K168" i="9"/>
  <c r="CW142" i="6"/>
  <c r="CW143" i="6"/>
  <c r="AY146" i="2"/>
  <c r="BG146" i="2"/>
  <c r="BX15" i="6"/>
  <c r="K126" i="9" s="1"/>
  <c r="BS124" i="6"/>
  <c r="BS20" i="6"/>
  <c r="BS17" i="6"/>
  <c r="BS189" i="3" s="1"/>
  <c r="BS190" i="3" s="1"/>
  <c r="BS15" i="6"/>
  <c r="F126" i="9" s="1"/>
  <c r="CM124" i="6"/>
  <c r="CM55" i="6"/>
  <c r="CM42" i="6"/>
  <c r="CM61" i="6"/>
  <c r="CM224" i="6" s="1"/>
  <c r="CM20" i="6"/>
  <c r="CM15" i="6"/>
  <c r="Z126" i="9" s="1"/>
  <c r="CM41" i="6"/>
  <c r="BV48" i="6"/>
  <c r="BV51" i="6"/>
  <c r="DH245" i="6"/>
  <c r="DC243" i="6"/>
  <c r="DC245" i="6"/>
  <c r="DF257" i="6"/>
  <c r="DF27" i="6"/>
  <c r="DF43" i="6"/>
  <c r="DK43" i="6"/>
  <c r="CB67" i="6"/>
  <c r="DF68" i="2"/>
  <c r="DF90" i="2"/>
  <c r="DF112" i="2"/>
  <c r="DF274" i="3"/>
  <c r="DF124" i="2"/>
  <c r="DK125" i="2" s="1"/>
  <c r="DF95" i="2"/>
  <c r="CV125" i="6"/>
  <c r="CV124" i="6"/>
  <c r="DG247" i="6"/>
  <c r="DG257" i="6"/>
  <c r="DG27" i="6"/>
  <c r="DG244" i="6"/>
  <c r="CX245" i="6"/>
  <c r="F168" i="9"/>
  <c r="DB258" i="6"/>
  <c r="DG94" i="6"/>
  <c r="DB94" i="6"/>
  <c r="DF102" i="2"/>
  <c r="DC125" i="6"/>
  <c r="CX125" i="6"/>
  <c r="CX124" i="6"/>
  <c r="DE314" i="6"/>
  <c r="DH36" i="6"/>
  <c r="DG159" i="2"/>
  <c r="DG30" i="6"/>
  <c r="DH300" i="6"/>
  <c r="DH296" i="6"/>
  <c r="DC124" i="6"/>
  <c r="DC142" i="6"/>
  <c r="DG10" i="2"/>
  <c r="DG95" i="2" s="1"/>
  <c r="DG96" i="2" s="1"/>
  <c r="DG56" i="6"/>
  <c r="DG145" i="2"/>
  <c r="DQ85" i="7"/>
  <c r="DP87" i="7"/>
  <c r="DN87" i="7"/>
  <c r="DF106" i="7"/>
  <c r="DF116" i="7"/>
  <c r="DF91" i="7"/>
  <c r="DF92" i="7"/>
  <c r="T19" i="9"/>
  <c r="T84" i="9" s="1"/>
  <c r="T67" i="9" s="1"/>
  <c r="CG131" i="7"/>
  <c r="BW131" i="7"/>
  <c r="E19" i="9"/>
  <c r="E84" i="9" s="1"/>
  <c r="BZ82" i="7"/>
  <c r="CB45" i="7"/>
  <c r="CB54" i="7" s="1"/>
  <c r="BZ80" i="7"/>
  <c r="BZ83" i="7" s="1"/>
  <c r="BZ179" i="7"/>
  <c r="BY179" i="7"/>
  <c r="BY82" i="7"/>
  <c r="V19" i="9"/>
  <c r="V84" i="9" s="1"/>
  <c r="U45" i="7"/>
  <c r="U54" i="7" s="1"/>
  <c r="T57" i="7"/>
  <c r="BI17" i="2"/>
  <c r="DD108" i="7"/>
  <c r="DE106" i="7"/>
  <c r="DD101" i="7"/>
  <c r="DD103" i="7" s="1"/>
  <c r="AH179" i="7"/>
  <c r="AH57" i="7"/>
  <c r="AM45" i="7"/>
  <c r="AM54" i="7" s="1"/>
  <c r="CU11" i="7"/>
  <c r="AH13" i="9"/>
  <c r="CA170" i="7"/>
  <c r="CA22" i="7"/>
  <c r="CA198" i="7"/>
  <c r="CY121" i="7"/>
  <c r="CY96" i="7"/>
  <c r="CY98" i="7" s="1"/>
  <c r="CY75" i="7" s="1"/>
  <c r="CO148" i="2"/>
  <c r="CO149" i="2"/>
  <c r="BC95" i="2"/>
  <c r="BC12" i="2"/>
  <c r="BC183" i="3"/>
  <c r="BC184" i="3" s="1"/>
  <c r="BC90" i="2"/>
  <c r="CF18" i="7"/>
  <c r="CF21" i="7"/>
  <c r="CF169" i="7"/>
  <c r="CF155" i="7"/>
  <c r="CK155" i="7"/>
  <c r="S26" i="9"/>
  <c r="X26" i="9"/>
  <c r="CK18" i="7"/>
  <c r="CF262" i="3"/>
  <c r="CF263" i="3" s="1"/>
  <c r="CF282" i="3" s="1"/>
  <c r="CK169" i="7"/>
  <c r="CF158" i="7"/>
  <c r="CF159" i="7" s="1"/>
  <c r="BQ108" i="7"/>
  <c r="BQ112" i="7"/>
  <c r="CP11" i="7"/>
  <c r="AC13" i="9"/>
  <c r="CJ106" i="2"/>
  <c r="CJ101" i="2"/>
  <c r="CW117" i="7"/>
  <c r="CW107" i="7"/>
  <c r="CW102" i="7" s="1"/>
  <c r="CW103" i="7" s="1"/>
  <c r="CW92" i="7"/>
  <c r="W22" i="2"/>
  <c r="W24" i="2" s="1"/>
  <c r="W27" i="2" s="1"/>
  <c r="W29" i="2" s="1"/>
  <c r="W15" i="2"/>
  <c r="W67" i="8" s="1"/>
  <c r="BG136" i="2"/>
  <c r="BT92" i="7"/>
  <c r="BT107" i="7"/>
  <c r="BT108" i="7" s="1"/>
  <c r="BT102" i="7"/>
  <c r="BT103" i="7" s="1"/>
  <c r="BV91" i="7"/>
  <c r="CH161" i="7"/>
  <c r="CH162" i="7" s="1"/>
  <c r="CH172" i="7"/>
  <c r="DH171" i="7"/>
  <c r="DC113" i="7"/>
  <c r="DC109" i="7"/>
  <c r="DC161" i="7"/>
  <c r="DC162" i="7" s="1"/>
  <c r="CA80" i="7"/>
  <c r="CA83" i="7" s="1"/>
  <c r="CA179" i="7"/>
  <c r="CA82" i="7"/>
  <c r="CF45" i="7"/>
  <c r="CF54" i="7" s="1"/>
  <c r="CS108" i="7"/>
  <c r="CS101" i="7"/>
  <c r="CS103" i="7" s="1"/>
  <c r="CU106" i="7"/>
  <c r="BN68" i="2"/>
  <c r="BN274" i="3"/>
  <c r="CV91" i="7"/>
  <c r="CV92" i="7"/>
  <c r="CV116" i="7"/>
  <c r="CV101" i="7"/>
  <c r="BM130" i="7"/>
  <c r="BR131" i="7" s="1"/>
  <c r="BM128" i="7"/>
  <c r="BX97" i="7"/>
  <c r="CA74" i="7"/>
  <c r="DH121" i="7"/>
  <c r="CK111" i="2"/>
  <c r="CK106" i="2"/>
  <c r="AZ106" i="2"/>
  <c r="AZ101" i="2"/>
  <c r="CA108" i="7"/>
  <c r="CA101" i="7"/>
  <c r="CA103" i="7" s="1"/>
  <c r="BR184" i="7"/>
  <c r="BR189" i="7" s="1"/>
  <c r="BR190" i="7" s="1"/>
  <c r="BR211" i="7" s="1"/>
  <c r="BR207" i="7"/>
  <c r="BR204" i="7"/>
  <c r="AT87" i="5"/>
  <c r="CL106" i="7"/>
  <c r="CL91" i="7"/>
  <c r="CL92" i="7" s="1"/>
  <c r="CL116" i="7"/>
  <c r="CL101" i="7"/>
  <c r="CP15" i="7"/>
  <c r="CL215" i="7"/>
  <c r="CQ168" i="7"/>
  <c r="CL154" i="7"/>
  <c r="CL142" i="7" s="1"/>
  <c r="CL168" i="7"/>
  <c r="DB113" i="7"/>
  <c r="CI51" i="7"/>
  <c r="CJ51" i="7" s="1"/>
  <c r="CN107" i="7"/>
  <c r="CN102" i="7"/>
  <c r="CN103" i="7" s="1"/>
  <c r="CU54" i="7"/>
  <c r="BR247" i="3"/>
  <c r="BR41" i="6"/>
  <c r="BR90" i="2"/>
  <c r="BR242" i="3"/>
  <c r="BR291" i="3"/>
  <c r="BR12" i="2"/>
  <c r="BR112" i="2"/>
  <c r="AC29" i="7"/>
  <c r="AC27" i="7"/>
  <c r="CF154" i="7"/>
  <c r="CF142" i="7" s="1"/>
  <c r="CK168" i="7"/>
  <c r="CI98" i="7"/>
  <c r="CI75" i="7" s="1"/>
  <c r="DE179" i="7"/>
  <c r="DE82" i="7"/>
  <c r="AF192" i="7"/>
  <c r="AG45" i="7"/>
  <c r="AG54" i="7" s="1"/>
  <c r="CF73" i="7"/>
  <c r="CB74" i="7"/>
  <c r="CB96" i="7"/>
  <c r="S128" i="7"/>
  <c r="S130" i="7"/>
  <c r="S131" i="7" s="1"/>
  <c r="DH172" i="7"/>
  <c r="DC128" i="7"/>
  <c r="BZ29" i="7"/>
  <c r="BZ28" i="7"/>
  <c r="CE173" i="7"/>
  <c r="BY101" i="7"/>
  <c r="BY108" i="7"/>
  <c r="DC80" i="7"/>
  <c r="DD45" i="7"/>
  <c r="DD54" i="7" s="1"/>
  <c r="DC82" i="7"/>
  <c r="DC102" i="7"/>
  <c r="DC103" i="7" s="1"/>
  <c r="DE91" i="7"/>
  <c r="DE112" i="7" s="1"/>
  <c r="AR18" i="9" s="1"/>
  <c r="AM128" i="7"/>
  <c r="AM162" i="7"/>
  <c r="AM161" i="7"/>
  <c r="AM130" i="7"/>
  <c r="DE76" i="7"/>
  <c r="DE79" i="7"/>
  <c r="DE83" i="7" s="1"/>
  <c r="CM91" i="7"/>
  <c r="CM92" i="7"/>
  <c r="CM101" i="7"/>
  <c r="CM116" i="7"/>
  <c r="CM106" i="7"/>
  <c r="DC158" i="2"/>
  <c r="DC32" i="7"/>
  <c r="CH96" i="7"/>
  <c r="CH74" i="7"/>
  <c r="AB69" i="9"/>
  <c r="AB103" i="9"/>
  <c r="Z69" i="9"/>
  <c r="Z103" i="9"/>
  <c r="DB179" i="7"/>
  <c r="DB80" i="7"/>
  <c r="CP150" i="7"/>
  <c r="CP12" i="7" s="1"/>
  <c r="CL12" i="7"/>
  <c r="BO92" i="7"/>
  <c r="BO113" i="7" s="1"/>
  <c r="BO102" i="7"/>
  <c r="BO103" i="7" s="1"/>
  <c r="BA137" i="7"/>
  <c r="BA138" i="7"/>
  <c r="CN108" i="7"/>
  <c r="AH131" i="7"/>
  <c r="DD112" i="2"/>
  <c r="X131" i="7"/>
  <c r="AH29" i="9"/>
  <c r="AE89" i="5"/>
  <c r="BN183" i="7"/>
  <c r="BN200" i="7"/>
  <c r="BN198" i="7"/>
  <c r="CS92" i="7"/>
  <c r="CS117" i="7"/>
  <c r="CU91" i="7"/>
  <c r="CY171" i="7"/>
  <c r="AC179" i="7"/>
  <c r="DE31" i="7"/>
  <c r="DE37" i="7"/>
  <c r="DE200" i="7"/>
  <c r="BV98" i="7"/>
  <c r="CH154" i="7"/>
  <c r="CH142" i="7" s="1"/>
  <c r="CC154" i="7"/>
  <c r="CC142" i="7" s="1"/>
  <c r="CH168" i="7"/>
  <c r="BS92" i="7"/>
  <c r="BS107" i="7"/>
  <c r="BS108" i="7" s="1"/>
  <c r="AE30" i="9"/>
  <c r="AE29" i="9"/>
  <c r="BY102" i="7"/>
  <c r="AC148" i="2"/>
  <c r="V149" i="2"/>
  <c r="V148" i="2"/>
  <c r="CW108" i="7"/>
  <c r="CZ168" i="7"/>
  <c r="CZ154" i="7"/>
  <c r="Y103" i="9"/>
  <c r="Y69" i="9"/>
  <c r="CO90" i="7"/>
  <c r="CO91" i="7" s="1"/>
  <c r="CT153" i="7"/>
  <c r="CT141" i="7" s="1"/>
  <c r="CO94" i="7"/>
  <c r="BL103" i="7"/>
  <c r="U5" i="5"/>
  <c r="CJ124" i="2"/>
  <c r="CJ12" i="2"/>
  <c r="CJ291" i="3"/>
  <c r="CJ102" i="2"/>
  <c r="CJ68" i="2"/>
  <c r="CJ112" i="2"/>
  <c r="CJ274" i="3"/>
  <c r="DC95" i="2"/>
  <c r="CE98" i="7"/>
  <c r="CE75" i="7" s="1"/>
  <c r="AG22" i="2"/>
  <c r="AG24" i="2" s="1"/>
  <c r="AG27" i="2" s="1"/>
  <c r="AG29" i="2" s="1"/>
  <c r="AG15" i="2"/>
  <c r="AG67" i="8" s="1"/>
  <c r="AY12" i="2"/>
  <c r="AY17" i="2" s="1"/>
  <c r="AY22" i="2" s="1"/>
  <c r="AY24" i="2" s="1"/>
  <c r="AY27" i="2" s="1"/>
  <c r="AY29" i="2" s="1"/>
  <c r="AC205" i="7"/>
  <c r="AC206" i="7"/>
  <c r="AC184" i="7"/>
  <c r="AC211" i="7"/>
  <c r="AC204" i="7"/>
  <c r="CF90" i="7"/>
  <c r="CD106" i="7"/>
  <c r="CD92" i="7"/>
  <c r="BP103" i="7"/>
  <c r="AH149" i="2"/>
  <c r="AH148" i="2"/>
  <c r="BG108" i="7"/>
  <c r="BG101" i="7"/>
  <c r="BG103" i="7" s="1"/>
  <c r="S162" i="7"/>
  <c r="S161" i="7"/>
  <c r="CS215" i="7"/>
  <c r="CS168" i="7"/>
  <c r="CZ149" i="7"/>
  <c r="CX215" i="7"/>
  <c r="DC168" i="7"/>
  <c r="CX168" i="7"/>
  <c r="AF22" i="2"/>
  <c r="AF24" i="2" s="1"/>
  <c r="AF27" i="2" s="1"/>
  <c r="AF29" i="2" s="1"/>
  <c r="CZ158" i="7"/>
  <c r="CZ159" i="7" s="1"/>
  <c r="CZ93" i="7"/>
  <c r="DE75" i="7" s="1"/>
  <c r="DH153" i="7"/>
  <c r="DH141" i="7" s="1"/>
  <c r="DH75" i="7"/>
  <c r="BE49" i="7"/>
  <c r="AR24" i="7"/>
  <c r="AR22" i="7"/>
  <c r="T30" i="9"/>
  <c r="T29" i="9"/>
  <c r="CG173" i="7"/>
  <c r="DA148" i="2"/>
  <c r="Q29" i="9"/>
  <c r="Q30" i="9"/>
  <c r="CX210" i="7"/>
  <c r="CX93" i="7"/>
  <c r="DE27" i="7"/>
  <c r="AR21" i="9" s="1"/>
  <c r="CX167" i="7"/>
  <c r="DC167" i="7"/>
  <c r="DB15" i="7"/>
  <c r="DB153" i="7"/>
  <c r="DB141" i="7" s="1"/>
  <c r="DB137" i="7" s="1"/>
  <c r="DE262" i="3"/>
  <c r="DE263" i="3" s="1"/>
  <c r="DE282" i="3" s="1"/>
  <c r="DE155" i="7"/>
  <c r="BT271" i="3"/>
  <c r="BT272" i="3" s="1"/>
  <c r="BT257" i="3"/>
  <c r="AV48" i="7"/>
  <c r="AV49" i="7" s="1"/>
  <c r="BV48" i="7"/>
  <c r="BV49" i="7" s="1"/>
  <c r="BP52" i="7"/>
  <c r="DG168" i="7"/>
  <c r="DG127" i="7"/>
  <c r="BO52" i="7"/>
  <c r="AV136" i="7"/>
  <c r="AD137" i="7"/>
  <c r="BN137" i="7"/>
  <c r="DE68" i="7"/>
  <c r="DE116" i="7" s="1"/>
  <c r="DG174" i="7"/>
  <c r="DG135" i="2"/>
  <c r="AA137" i="7"/>
  <c r="AO137" i="7"/>
  <c r="BQ181" i="7"/>
  <c r="BQ184" i="7" s="1"/>
  <c r="BQ189" i="7" s="1"/>
  <c r="BQ190" i="7" s="1"/>
  <c r="BQ211" i="7" s="1"/>
  <c r="DB28" i="7"/>
  <c r="DH173" i="7"/>
  <c r="DH27" i="7"/>
  <c r="DF23" i="7"/>
  <c r="DF144" i="2"/>
  <c r="DG23" i="7"/>
  <c r="DG29" i="7"/>
  <c r="DG37" i="7"/>
  <c r="DG158" i="2"/>
  <c r="DG160" i="2" s="1"/>
  <c r="DG163" i="2" s="1"/>
  <c r="BC137" i="7"/>
  <c r="DB29" i="7"/>
  <c r="DH174" i="7"/>
  <c r="DH38" i="7"/>
  <c r="DG100" i="2"/>
  <c r="DG115" i="2" s="1"/>
  <c r="DG111" i="2" s="1"/>
  <c r="R137" i="7"/>
  <c r="AF138" i="7"/>
  <c r="AY137" i="7"/>
  <c r="DG144" i="2"/>
  <c r="DN51" i="7"/>
  <c r="DP51" i="7" s="1"/>
  <c r="DJ46" i="2"/>
  <c r="DH298" i="3"/>
  <c r="DH21" i="8"/>
  <c r="DJ50" i="2"/>
  <c r="DK42" i="2"/>
  <c r="BI18" i="5" s="1"/>
  <c r="DI204" i="3"/>
  <c r="N138" i="7"/>
  <c r="N137" i="7"/>
  <c r="BQ204" i="7"/>
  <c r="BQ207" i="7"/>
  <c r="BQ205" i="7"/>
  <c r="BV206" i="7"/>
  <c r="BV204" i="7"/>
  <c r="BP137" i="7"/>
  <c r="BP138" i="7"/>
  <c r="BS56" i="7"/>
  <c r="BT57" i="7"/>
  <c r="AV137" i="7"/>
  <c r="AV138" i="7"/>
  <c r="AT56" i="5"/>
  <c r="DK314" i="6"/>
  <c r="CD249" i="3"/>
  <c r="DE11" i="3"/>
  <c r="CK249" i="3"/>
  <c r="DB249" i="3"/>
  <c r="CX241" i="3"/>
  <c r="CS241" i="3"/>
  <c r="DK49" i="2"/>
  <c r="DK50" i="2" s="1"/>
  <c r="DG116" i="7"/>
  <c r="DG121" i="7" s="1"/>
  <c r="DG106" i="7"/>
  <c r="DG107" i="7"/>
  <c r="DG102" i="7" s="1"/>
  <c r="DG92" i="7"/>
  <c r="DG117" i="7"/>
  <c r="BF207" i="9"/>
  <c r="DF101" i="7"/>
  <c r="T101" i="9"/>
  <c r="P101" i="9"/>
  <c r="P67" i="9"/>
  <c r="U67" i="9"/>
  <c r="U101" i="9"/>
  <c r="O22" i="2"/>
  <c r="O24" i="2" s="1"/>
  <c r="O27" i="2" s="1"/>
  <c r="O29" i="2" s="1"/>
  <c r="O15" i="2"/>
  <c r="O67" i="8" s="1"/>
  <c r="AI22" i="2"/>
  <c r="AI24" i="2" s="1"/>
  <c r="AI27" i="2" s="1"/>
  <c r="AI29" i="2" s="1"/>
  <c r="AI15" i="2"/>
  <c r="AI67" i="8" s="1"/>
  <c r="BB12" i="2"/>
  <c r="BB274" i="3"/>
  <c r="T22" i="2"/>
  <c r="T24" i="2" s="1"/>
  <c r="T27" i="2" s="1"/>
  <c r="T29" i="2" s="1"/>
  <c r="T15" i="2"/>
  <c r="T67" i="8" s="1"/>
  <c r="Y32" i="2"/>
  <c r="Y43" i="2"/>
  <c r="Y34" i="2"/>
  <c r="Y35" i="2"/>
  <c r="Y31" i="2"/>
  <c r="DD162" i="2"/>
  <c r="DD163" i="2"/>
  <c r="Q15" i="2"/>
  <c r="Q67" i="8" s="1"/>
  <c r="G96" i="9"/>
  <c r="G62" i="9"/>
  <c r="Z65" i="9"/>
  <c r="Z99" i="9"/>
  <c r="L100" i="9"/>
  <c r="L66" i="9"/>
  <c r="U22" i="2"/>
  <c r="U24" i="2" s="1"/>
  <c r="U27" i="2" s="1"/>
  <c r="U29" i="2" s="1"/>
  <c r="U15" i="2"/>
  <c r="U67" i="8" s="1"/>
  <c r="AD149" i="2"/>
  <c r="AD148" i="2"/>
  <c r="R96" i="9"/>
  <c r="R62" i="9"/>
  <c r="J66" i="9"/>
  <c r="J100" i="9"/>
  <c r="E62" i="9"/>
  <c r="E96" i="9"/>
  <c r="G65" i="9"/>
  <c r="G99" i="9"/>
  <c r="R99" i="9"/>
  <c r="R65" i="9"/>
  <c r="G100" i="9"/>
  <c r="G66" i="9"/>
  <c r="AE22" i="2"/>
  <c r="AE24" i="2" s="1"/>
  <c r="AE27" i="2" s="1"/>
  <c r="AE29" i="2" s="1"/>
  <c r="AE15" i="2"/>
  <c r="AE67" i="8" s="1"/>
  <c r="N183" i="3"/>
  <c r="N184" i="3" s="1"/>
  <c r="N275" i="3" s="1"/>
  <c r="N283" i="3" s="1"/>
  <c r="N285" i="3" s="1"/>
  <c r="O96" i="9"/>
  <c r="O62" i="9"/>
  <c r="Y96" i="9"/>
  <c r="Y62" i="9"/>
  <c r="F62" i="9"/>
  <c r="F96" i="9"/>
  <c r="E65" i="9"/>
  <c r="E99" i="9"/>
  <c r="M99" i="9"/>
  <c r="M65" i="9"/>
  <c r="H146" i="2"/>
  <c r="H149" i="2" s="1"/>
  <c r="AV146" i="2"/>
  <c r="AV149" i="2" s="1"/>
  <c r="BF146" i="2"/>
  <c r="BF149" i="2" s="1"/>
  <c r="DF162" i="2"/>
  <c r="DG90" i="2"/>
  <c r="DC257" i="3"/>
  <c r="DF115" i="2"/>
  <c r="DF242" i="3"/>
  <c r="DJ72" i="7"/>
  <c r="DF249" i="3"/>
  <c r="CV14" i="8" l="1"/>
  <c r="CV15" i="8" s="1"/>
  <c r="DA15" i="8"/>
  <c r="CZ106" i="2"/>
  <c r="CZ111" i="2"/>
  <c r="BO159" i="2"/>
  <c r="BO297" i="6"/>
  <c r="BO298" i="6" s="1"/>
  <c r="BO30" i="6"/>
  <c r="CD183" i="3"/>
  <c r="CD184" i="3" s="1"/>
  <c r="CD275" i="3" s="1"/>
  <c r="CD283" i="3" s="1"/>
  <c r="CD285" i="3" s="1"/>
  <c r="CY95" i="2"/>
  <c r="BT76" i="2"/>
  <c r="BM148" i="2"/>
  <c r="CD274" i="3"/>
  <c r="BJ95" i="2"/>
  <c r="BX148" i="2"/>
  <c r="CD31" i="7"/>
  <c r="AJ31" i="2"/>
  <c r="DE209" i="3"/>
  <c r="BU32" i="7"/>
  <c r="BU26" i="7"/>
  <c r="BM31" i="7"/>
  <c r="BM32" i="7" s="1"/>
  <c r="BB106" i="2"/>
  <c r="CU60" i="2"/>
  <c r="S92" i="2"/>
  <c r="N92" i="2"/>
  <c r="AH92" i="2"/>
  <c r="AM92" i="2"/>
  <c r="I17" i="2"/>
  <c r="I67" i="2"/>
  <c r="E38" i="2"/>
  <c r="E39" i="2"/>
  <c r="E45" i="2"/>
  <c r="DG124" i="2"/>
  <c r="DF103" i="2"/>
  <c r="DF96" i="2"/>
  <c r="DF91" i="2"/>
  <c r="CY242" i="3"/>
  <c r="CD129" i="2"/>
  <c r="BP158" i="2"/>
  <c r="DD58" i="2"/>
  <c r="AT5" i="5" s="1"/>
  <c r="AJ43" i="2"/>
  <c r="BL67" i="2"/>
  <c r="CF10" i="2"/>
  <c r="BN297" i="6"/>
  <c r="BN298" i="6" s="1"/>
  <c r="CE274" i="3"/>
  <c r="BZ173" i="7"/>
  <c r="BQ12" i="3"/>
  <c r="CB113" i="2"/>
  <c r="DE94" i="2"/>
  <c r="DE97" i="2" s="1"/>
  <c r="S97" i="2"/>
  <c r="I186" i="3"/>
  <c r="I187" i="3"/>
  <c r="I188" i="3" s="1"/>
  <c r="H38" i="2"/>
  <c r="H39" i="2"/>
  <c r="H45" i="2"/>
  <c r="G38" i="2"/>
  <c r="G45" i="2"/>
  <c r="G39" i="2"/>
  <c r="CJ58" i="2"/>
  <c r="M5" i="5" s="1"/>
  <c r="CK148" i="2"/>
  <c r="BU173" i="7"/>
  <c r="BS105" i="2"/>
  <c r="AJ34" i="2"/>
  <c r="CE90" i="2"/>
  <c r="BM26" i="7"/>
  <c r="CU97" i="2"/>
  <c r="AN53" i="5"/>
  <c r="AT53" i="5"/>
  <c r="DE1" i="6"/>
  <c r="AP53" i="5"/>
  <c r="AR23" i="9"/>
  <c r="DE64" i="2"/>
  <c r="DE40" i="2"/>
  <c r="AR123" i="9"/>
  <c r="AR53" i="5"/>
  <c r="AR1" i="9"/>
  <c r="F31" i="2"/>
  <c r="F34" i="2"/>
  <c r="F32" i="2"/>
  <c r="F35" i="2"/>
  <c r="F43" i="2"/>
  <c r="DK72" i="7"/>
  <c r="DK73" i="7" s="1"/>
  <c r="BI28" i="5"/>
  <c r="DL63" i="8"/>
  <c r="DO157" i="3"/>
  <c r="DP157" i="3" s="1"/>
  <c r="DN33" i="3"/>
  <c r="DO33" i="3" s="1"/>
  <c r="DR138" i="3"/>
  <c r="DE26" i="3"/>
  <c r="CF45" i="3"/>
  <c r="DK45" i="3"/>
  <c r="DP37" i="3"/>
  <c r="DK300" i="3"/>
  <c r="DO37" i="3"/>
  <c r="BS97" i="2"/>
  <c r="DD35" i="3"/>
  <c r="CR63" i="3"/>
  <c r="CP34" i="3"/>
  <c r="CP26" i="3"/>
  <c r="CF321" i="3"/>
  <c r="CS299" i="3"/>
  <c r="CS35" i="3"/>
  <c r="DE321" i="3"/>
  <c r="DE300" i="3"/>
  <c r="DE290" i="3"/>
  <c r="AR60" i="5"/>
  <c r="AN60" i="5"/>
  <c r="AT60" i="5"/>
  <c r="AP60" i="5"/>
  <c r="CA322" i="3"/>
  <c r="CA300" i="3"/>
  <c r="DF35" i="3"/>
  <c r="DF312" i="3" s="1"/>
  <c r="CG61" i="3"/>
  <c r="DE53" i="3"/>
  <c r="CZ26" i="3"/>
  <c r="CP322" i="3"/>
  <c r="CP300" i="3"/>
  <c r="CT299" i="3"/>
  <c r="CT35" i="3"/>
  <c r="CF53" i="3"/>
  <c r="CF61" i="3" s="1"/>
  <c r="CP45" i="3"/>
  <c r="CU321" i="3"/>
  <c r="CU290" i="3"/>
  <c r="DX328" i="6"/>
  <c r="DT327" i="6"/>
  <c r="DT328" i="6" s="1"/>
  <c r="AP56" i="5"/>
  <c r="AR56" i="5"/>
  <c r="BM242" i="6"/>
  <c r="BM243" i="6" s="1"/>
  <c r="CB31" i="7"/>
  <c r="CB158" i="2" s="1"/>
  <c r="CB160" i="2" s="1"/>
  <c r="CM207" i="3"/>
  <c r="CG27" i="7"/>
  <c r="BT207" i="3"/>
  <c r="BP297" i="6"/>
  <c r="BS252" i="6"/>
  <c r="BS253" i="6" s="1"/>
  <c r="DE210" i="3"/>
  <c r="BN159" i="2"/>
  <c r="BV138" i="2"/>
  <c r="BU76" i="3"/>
  <c r="BF27" i="7"/>
  <c r="F130" i="9"/>
  <c r="BS257" i="6"/>
  <c r="G29" i="9"/>
  <c r="BS31" i="7"/>
  <c r="BS32" i="7" s="1"/>
  <c r="BM27" i="7"/>
  <c r="BN25" i="6"/>
  <c r="BN63" i="6"/>
  <c r="BN67" i="6" s="1"/>
  <c r="BN26" i="6"/>
  <c r="BN242" i="6"/>
  <c r="BN22" i="6"/>
  <c r="BQ22" i="6" s="1"/>
  <c r="BN256" i="6"/>
  <c r="BP159" i="2"/>
  <c r="BS258" i="6"/>
  <c r="BS247" i="6"/>
  <c r="BS148" i="2"/>
  <c r="G30" i="9"/>
  <c r="CU316" i="3"/>
  <c r="CU210" i="3"/>
  <c r="DV427" i="8"/>
  <c r="DK49" i="3"/>
  <c r="AC444" i="6"/>
  <c r="AC449" i="6"/>
  <c r="AC450" i="6" s="1"/>
  <c r="X444" i="6"/>
  <c r="X449" i="6"/>
  <c r="X450" i="6" s="1"/>
  <c r="CU160" i="6"/>
  <c r="BL143" i="6"/>
  <c r="BM100" i="2"/>
  <c r="BM102" i="2" s="1"/>
  <c r="DU216" i="6"/>
  <c r="DU13" i="6"/>
  <c r="CP79" i="6"/>
  <c r="CP314" i="6" s="1"/>
  <c r="CK27" i="6"/>
  <c r="CK35" i="6"/>
  <c r="X129" i="9" s="1"/>
  <c r="CK248" i="6"/>
  <c r="CK25" i="6"/>
  <c r="CK243" i="6"/>
  <c r="CK30" i="6"/>
  <c r="BP206" i="6"/>
  <c r="BP160" i="6"/>
  <c r="BK114" i="6"/>
  <c r="BK165" i="6"/>
  <c r="BK166" i="6" s="1"/>
  <c r="CB114" i="6"/>
  <c r="CB165" i="6"/>
  <c r="CB166" i="6" s="1"/>
  <c r="CB182" i="6"/>
  <c r="CB269" i="6" s="1"/>
  <c r="CB161" i="6"/>
  <c r="CG161" i="6"/>
  <c r="CP655" i="6"/>
  <c r="J71" i="5"/>
  <c r="DR179" i="6"/>
  <c r="DW141" i="6"/>
  <c r="DW179" i="6" s="1"/>
  <c r="DP13" i="6"/>
  <c r="DP180" i="6" s="1"/>
  <c r="DP216" i="6"/>
  <c r="CJ65" i="6"/>
  <c r="CJ68" i="6"/>
  <c r="CE213" i="6"/>
  <c r="CE171" i="6"/>
  <c r="CF170" i="6"/>
  <c r="BR235" i="6"/>
  <c r="BV212" i="6"/>
  <c r="DW328" i="6"/>
  <c r="CQ206" i="6"/>
  <c r="CQ160" i="6"/>
  <c r="CU158" i="6"/>
  <c r="CB231" i="6"/>
  <c r="CB208" i="6"/>
  <c r="CB191" i="6" s="1"/>
  <c r="DY327" i="6"/>
  <c r="BK212" i="6"/>
  <c r="BK171" i="6"/>
  <c r="BK182" i="6" s="1"/>
  <c r="BK183" i="6" s="1"/>
  <c r="BL169" i="6"/>
  <c r="BL171" i="6" s="1"/>
  <c r="CK112" i="6"/>
  <c r="CK149" i="6"/>
  <c r="CK113" i="6" s="1"/>
  <c r="AC10" i="2"/>
  <c r="BX212" i="6"/>
  <c r="BX171" i="6"/>
  <c r="CA169" i="6"/>
  <c r="CD212" i="6"/>
  <c r="CD171" i="6"/>
  <c r="CL206" i="6"/>
  <c r="CL160" i="6"/>
  <c r="BX213" i="6"/>
  <c r="CA170" i="6"/>
  <c r="DN216" i="6"/>
  <c r="DN13" i="6"/>
  <c r="DN180" i="6" s="1"/>
  <c r="BN206" i="6"/>
  <c r="BQ158" i="6"/>
  <c r="BN160" i="6"/>
  <c r="DV13" i="6"/>
  <c r="DV180" i="6" s="1"/>
  <c r="DV216" i="6"/>
  <c r="DE67" i="6"/>
  <c r="DE65" i="6" s="1"/>
  <c r="BY268" i="6"/>
  <c r="BY267" i="6"/>
  <c r="BY219" i="6"/>
  <c r="BY226" i="6" s="1"/>
  <c r="BY272" i="6"/>
  <c r="BY183" i="6"/>
  <c r="BY271" i="6"/>
  <c r="BY275" i="6"/>
  <c r="BY277" i="6" s="1"/>
  <c r="DE68" i="6"/>
  <c r="DC58" i="2"/>
  <c r="AR5" i="5" s="1"/>
  <c r="BP146" i="2"/>
  <c r="BP149" i="2" s="1"/>
  <c r="DE15" i="6"/>
  <c r="DE248" i="6"/>
  <c r="DE25" i="6"/>
  <c r="DE35" i="6"/>
  <c r="DE30" i="6"/>
  <c r="DE27" i="6"/>
  <c r="CS212" i="6"/>
  <c r="CU169" i="6"/>
  <c r="BL206" i="6"/>
  <c r="BK208" i="6"/>
  <c r="DX141" i="6"/>
  <c r="DX179" i="6" s="1"/>
  <c r="DS179" i="6"/>
  <c r="AR87" i="5"/>
  <c r="CZ101" i="2"/>
  <c r="BB111" i="2"/>
  <c r="BL111" i="2"/>
  <c r="BL106" i="2"/>
  <c r="CZ199" i="7"/>
  <c r="CZ158" i="2"/>
  <c r="CZ160" i="2" s="1"/>
  <c r="CZ163" i="2" s="1"/>
  <c r="CZ32" i="7"/>
  <c r="AN87" i="5"/>
  <c r="AM30" i="9"/>
  <c r="AK89" i="5"/>
  <c r="AM29" i="9"/>
  <c r="I88" i="5"/>
  <c r="CK37" i="7"/>
  <c r="X29" i="9" s="1"/>
  <c r="AR31" i="9"/>
  <c r="BJ199" i="9"/>
  <c r="BJ163" i="9"/>
  <c r="BI199" i="9"/>
  <c r="BI163" i="9"/>
  <c r="BH199" i="9"/>
  <c r="BH163" i="9"/>
  <c r="BK199" i="9"/>
  <c r="BK163" i="9"/>
  <c r="BK203" i="9"/>
  <c r="BK167" i="9"/>
  <c r="BA18" i="9"/>
  <c r="DN112" i="7" s="1"/>
  <c r="DN154" i="7"/>
  <c r="AP19" i="9"/>
  <c r="AI18" i="9"/>
  <c r="AV18" i="9"/>
  <c r="AU19" i="9"/>
  <c r="BA17" i="9"/>
  <c r="DN111" i="7" s="1"/>
  <c r="AO19" i="9"/>
  <c r="AK17" i="9"/>
  <c r="DS154" i="7"/>
  <c r="AQ17" i="9"/>
  <c r="AX18" i="9"/>
  <c r="DK112" i="7" s="1"/>
  <c r="BC18" i="9"/>
  <c r="DP112" i="7" s="1"/>
  <c r="BF17" i="9"/>
  <c r="DS111" i="7" s="1"/>
  <c r="BF19" i="9"/>
  <c r="DS130" i="7" s="1"/>
  <c r="BE18" i="9"/>
  <c r="DR112" i="7" s="1"/>
  <c r="AZ18" i="9"/>
  <c r="DM112" i="7" s="1"/>
  <c r="BD17" i="9"/>
  <c r="DQ111" i="7" s="1"/>
  <c r="AZ19" i="9"/>
  <c r="DM130" i="7" s="1"/>
  <c r="DM131" i="7" s="1"/>
  <c r="AS17" i="9"/>
  <c r="AN19" i="9"/>
  <c r="AS19" i="9"/>
  <c r="B21" i="9"/>
  <c r="AB21" i="9" s="1"/>
  <c r="AT19" i="9"/>
  <c r="AN18" i="9"/>
  <c r="BE19" i="9"/>
  <c r="DR130" i="7" s="1"/>
  <c r="AU18" i="9"/>
  <c r="AY17" i="9"/>
  <c r="DL111" i="7" s="1"/>
  <c r="AS18" i="9"/>
  <c r="AK19" i="9"/>
  <c r="AY19" i="9"/>
  <c r="DL130" i="7" s="1"/>
  <c r="DL131" i="7" s="1"/>
  <c r="AT17" i="9"/>
  <c r="BA19" i="9"/>
  <c r="DN130" i="7" s="1"/>
  <c r="AX17" i="9"/>
  <c r="DK111" i="7" s="1"/>
  <c r="AK18" i="9"/>
  <c r="AJ19" i="9"/>
  <c r="BC17" i="9"/>
  <c r="DP111" i="7" s="1"/>
  <c r="AN17" i="9"/>
  <c r="AQ18" i="9"/>
  <c r="AI17" i="9"/>
  <c r="AX19" i="9"/>
  <c r="DK130" i="7" s="1"/>
  <c r="DK131" i="7" s="1"/>
  <c r="AP18" i="9"/>
  <c r="AZ17" i="9"/>
  <c r="DM111" i="7" s="1"/>
  <c r="BC19" i="9"/>
  <c r="DP130" i="7" s="1"/>
  <c r="BF18" i="9"/>
  <c r="DS112" i="7" s="1"/>
  <c r="AL18" i="9"/>
  <c r="BD19" i="9"/>
  <c r="DQ130" i="7" s="1"/>
  <c r="DQ131" i="7" s="1"/>
  <c r="AJ17" i="9"/>
  <c r="AG18" i="9"/>
  <c r="AL17" i="9"/>
  <c r="AQ19" i="9"/>
  <c r="AV19" i="9"/>
  <c r="BE17" i="9"/>
  <c r="DR111" i="7" s="1"/>
  <c r="AG17" i="9"/>
  <c r="AI19" i="9"/>
  <c r="AV17" i="9"/>
  <c r="AT18" i="9"/>
  <c r="AP17" i="9"/>
  <c r="DQ11" i="7"/>
  <c r="DM154" i="7"/>
  <c r="DM127" i="7" s="1"/>
  <c r="DM15" i="7" s="1"/>
  <c r="DG112" i="2"/>
  <c r="DG107" i="2"/>
  <c r="I149" i="2"/>
  <c r="BA12" i="2"/>
  <c r="BA17" i="2" s="1"/>
  <c r="BB139" i="2"/>
  <c r="BB291" i="3"/>
  <c r="BB58" i="2"/>
  <c r="AR148" i="2"/>
  <c r="BB242" i="3"/>
  <c r="CI162" i="2"/>
  <c r="CR242" i="3"/>
  <c r="DG183" i="3"/>
  <c r="DG184" i="3" s="1"/>
  <c r="DL184" i="3" s="1"/>
  <c r="DQ184" i="3" s="1"/>
  <c r="DV184" i="3" s="1"/>
  <c r="DV275" i="3" s="1"/>
  <c r="DV283" i="3" s="1"/>
  <c r="DG102" i="2"/>
  <c r="DG103" i="2" s="1"/>
  <c r="BA90" i="2"/>
  <c r="BB90" i="2"/>
  <c r="BB91" i="2" s="1"/>
  <c r="BB68" i="2"/>
  <c r="BB76" i="2" s="1"/>
  <c r="CN112" i="2"/>
  <c r="CN113" i="2" s="1"/>
  <c r="CG131" i="2"/>
  <c r="BB95" i="2"/>
  <c r="BB96" i="2" s="1"/>
  <c r="BJ68" i="2"/>
  <c r="BJ76" i="2" s="1"/>
  <c r="CO242" i="3"/>
  <c r="DK184" i="3"/>
  <c r="DP184" i="3" s="1"/>
  <c r="DU184" i="3" s="1"/>
  <c r="DU275" i="3" s="1"/>
  <c r="DU283" i="3" s="1"/>
  <c r="BE183" i="3"/>
  <c r="BE184" i="3" s="1"/>
  <c r="CB32" i="7"/>
  <c r="BO91" i="2"/>
  <c r="CD135" i="2"/>
  <c r="AS27" i="7"/>
  <c r="AA148" i="2"/>
  <c r="CO58" i="2"/>
  <c r="CB129" i="2"/>
  <c r="CB29" i="7"/>
  <c r="CO95" i="2"/>
  <c r="CC108" i="2"/>
  <c r="CE62" i="8"/>
  <c r="CE64" i="8" s="1"/>
  <c r="CE66" i="8" s="1"/>
  <c r="CW101" i="2"/>
  <c r="AG148" i="2"/>
  <c r="AG149" i="2"/>
  <c r="M148" i="2"/>
  <c r="M149" i="2"/>
  <c r="AW17" i="2"/>
  <c r="AW67" i="2"/>
  <c r="S250" i="3"/>
  <c r="S239" i="3"/>
  <c r="S244" i="3"/>
  <c r="S246" i="3" s="1"/>
  <c r="S152" i="3"/>
  <c r="BS14" i="3"/>
  <c r="BS298" i="3" s="1"/>
  <c r="BS12" i="3"/>
  <c r="CO274" i="3"/>
  <c r="CO68" i="2"/>
  <c r="CO112" i="2"/>
  <c r="CO113" i="2" s="1"/>
  <c r="DG12" i="2"/>
  <c r="AY15" i="2"/>
  <c r="AY67" i="8" s="1"/>
  <c r="BB183" i="3"/>
  <c r="BB184" i="3" s="1"/>
  <c r="BB275" i="3" s="1"/>
  <c r="BB283" i="3" s="1"/>
  <c r="BB285" i="3" s="1"/>
  <c r="DG146" i="2"/>
  <c r="CX291" i="3"/>
  <c r="BO58" i="2"/>
  <c r="CW106" i="2"/>
  <c r="BE12" i="2"/>
  <c r="BE17" i="2" s="1"/>
  <c r="BE15" i="2" s="1"/>
  <c r="CI207" i="3"/>
  <c r="BS298" i="6"/>
  <c r="CQ207" i="3"/>
  <c r="BF28" i="7"/>
  <c r="BW97" i="2"/>
  <c r="DE316" i="3"/>
  <c r="BL162" i="2"/>
  <c r="BS135" i="2"/>
  <c r="CO12" i="2"/>
  <c r="CO17" i="2" s="1"/>
  <c r="CQ218" i="3"/>
  <c r="BQ232" i="3"/>
  <c r="CB100" i="2"/>
  <c r="DE149" i="2"/>
  <c r="DE71" i="6" s="1"/>
  <c r="AR122" i="9" s="1"/>
  <c r="BH26" i="6"/>
  <c r="BH63" i="6"/>
  <c r="BH67" i="6" s="1"/>
  <c r="BH68" i="6" s="1"/>
  <c r="BH256" i="6"/>
  <c r="BH242" i="6"/>
  <c r="BM245" i="6" s="1"/>
  <c r="BH25" i="6"/>
  <c r="BJ63" i="6"/>
  <c r="BJ67" i="6" s="1"/>
  <c r="BJ68" i="6" s="1"/>
  <c r="BJ25" i="6"/>
  <c r="BJ26" i="6"/>
  <c r="BJ242" i="6"/>
  <c r="BJ256" i="6"/>
  <c r="BO129" i="2"/>
  <c r="BO135" i="2" s="1"/>
  <c r="BO31" i="7"/>
  <c r="CO247" i="3"/>
  <c r="DF108" i="2"/>
  <c r="AR10" i="2"/>
  <c r="AR183" i="3" s="1"/>
  <c r="AR184" i="3" s="1"/>
  <c r="AR275" i="3" s="1"/>
  <c r="AR283" i="3" s="1"/>
  <c r="AR285" i="3" s="1"/>
  <c r="CF34" i="7"/>
  <c r="CF129" i="2" s="1"/>
  <c r="CF132" i="2" s="1"/>
  <c r="CF135" i="2" s="1"/>
  <c r="CO107" i="2"/>
  <c r="AH10" i="2"/>
  <c r="CO183" i="3"/>
  <c r="CO184" i="3" s="1"/>
  <c r="CO275" i="3" s="1"/>
  <c r="CO283" i="3" s="1"/>
  <c r="CO285" i="3" s="1"/>
  <c r="CO102" i="2"/>
  <c r="BG13" i="8"/>
  <c r="BP25" i="7"/>
  <c r="BP201" i="7"/>
  <c r="X249" i="3"/>
  <c r="X241" i="3"/>
  <c r="BW31" i="7"/>
  <c r="BW26" i="7"/>
  <c r="CB27" i="7" s="1"/>
  <c r="BW129" i="2"/>
  <c r="BW135" i="2" s="1"/>
  <c r="DU11" i="7"/>
  <c r="DU154" i="7"/>
  <c r="DV11" i="7"/>
  <c r="DV154" i="7"/>
  <c r="DW11" i="7"/>
  <c r="DW154" i="7"/>
  <c r="DX11" i="7"/>
  <c r="DX154" i="7"/>
  <c r="DL154" i="7"/>
  <c r="DL127" i="7" s="1"/>
  <c r="DQ127" i="7" s="1"/>
  <c r="AU17" i="9"/>
  <c r="BK19" i="9"/>
  <c r="DX130" i="7" s="1"/>
  <c r="BH18" i="9"/>
  <c r="DU112" i="7" s="1"/>
  <c r="BI17" i="9"/>
  <c r="DV111" i="7" s="1"/>
  <c r="BI19" i="9"/>
  <c r="DV130" i="7" s="1"/>
  <c r="BJ19" i="9"/>
  <c r="DW130" i="7" s="1"/>
  <c r="BK18" i="9"/>
  <c r="DX112" i="7" s="1"/>
  <c r="BH17" i="9"/>
  <c r="DU111" i="7" s="1"/>
  <c r="BK17" i="9"/>
  <c r="DX111" i="7" s="1"/>
  <c r="BH19" i="9"/>
  <c r="DU130" i="7" s="1"/>
  <c r="BI18" i="9"/>
  <c r="DV112" i="7" s="1"/>
  <c r="BJ17" i="9"/>
  <c r="DW111" i="7" s="1"/>
  <c r="BJ18" i="9"/>
  <c r="DW112" i="7" s="1"/>
  <c r="AY18" i="9"/>
  <c r="DL112" i="7" s="1"/>
  <c r="BD18" i="9"/>
  <c r="DQ112" i="7" s="1"/>
  <c r="AO17" i="9"/>
  <c r="CF242" i="3"/>
  <c r="CU92" i="2"/>
  <c r="CZ92" i="2"/>
  <c r="CA318" i="3"/>
  <c r="CA299" i="3"/>
  <c r="DG325" i="3"/>
  <c r="DH325" i="3"/>
  <c r="DE61" i="3"/>
  <c r="DE302" i="3"/>
  <c r="CP318" i="3"/>
  <c r="CP299" i="3"/>
  <c r="BS205" i="3"/>
  <c r="BS206" i="3"/>
  <c r="BU27" i="7"/>
  <c r="H86" i="9" s="1"/>
  <c r="CJ94" i="2"/>
  <c r="CJ95" i="2" s="1"/>
  <c r="DE35" i="3"/>
  <c r="DG35" i="3"/>
  <c r="DD63" i="3"/>
  <c r="DD312" i="3"/>
  <c r="CG14" i="3"/>
  <c r="CG298" i="3" s="1"/>
  <c r="CG12" i="3"/>
  <c r="DC63" i="3"/>
  <c r="DC312" i="3"/>
  <c r="DE299" i="3"/>
  <c r="DE318" i="3"/>
  <c r="CK34" i="3"/>
  <c r="BU12" i="3"/>
  <c r="BU147" i="3"/>
  <c r="BU14" i="3"/>
  <c r="BU298" i="3" s="1"/>
  <c r="CB196" i="3"/>
  <c r="CF197" i="3"/>
  <c r="CF196" i="3" s="1"/>
  <c r="CA61" i="3"/>
  <c r="CA45" i="3"/>
  <c r="CA26" i="3"/>
  <c r="CW325" i="3"/>
  <c r="CJ132" i="2"/>
  <c r="CJ11" i="3"/>
  <c r="BM158" i="2"/>
  <c r="BV14" i="2"/>
  <c r="CJ14" i="2"/>
  <c r="CK14" i="2" s="1"/>
  <c r="BM14" i="3"/>
  <c r="BM298" i="3" s="1"/>
  <c r="BM12" i="3"/>
  <c r="CQ312" i="3"/>
  <c r="CQ63" i="3"/>
  <c r="CQ65" i="3" s="1"/>
  <c r="CY197" i="3"/>
  <c r="CV210" i="3"/>
  <c r="CV211" i="3" s="1"/>
  <c r="CK61" i="3"/>
  <c r="CU322" i="3"/>
  <c r="CU300" i="3"/>
  <c r="AB60" i="5"/>
  <c r="AE60" i="5"/>
  <c r="CU45" i="3"/>
  <c r="CQ249" i="3"/>
  <c r="CQ241" i="3"/>
  <c r="CQ242" i="3" s="1"/>
  <c r="CY325" i="3"/>
  <c r="CI13" i="8"/>
  <c r="CJ13" i="8" s="1"/>
  <c r="DD13" i="8"/>
  <c r="DD15" i="8" s="1"/>
  <c r="CD41" i="6"/>
  <c r="BD90" i="2"/>
  <c r="BI91" i="2" s="1"/>
  <c r="BJ28" i="7"/>
  <c r="DC67" i="2"/>
  <c r="CX274" i="3"/>
  <c r="BG10" i="2"/>
  <c r="CE107" i="2"/>
  <c r="CJ108" i="2" s="1"/>
  <c r="CE41" i="6"/>
  <c r="CE68" i="2"/>
  <c r="CJ76" i="2" s="1"/>
  <c r="CD242" i="3"/>
  <c r="CD68" i="2"/>
  <c r="CD76" i="2" s="1"/>
  <c r="CD95" i="2"/>
  <c r="CI96" i="2" s="1"/>
  <c r="CX102" i="2"/>
  <c r="DC103" i="2" s="1"/>
  <c r="CC15" i="2"/>
  <c r="DG113" i="2"/>
  <c r="N291" i="3"/>
  <c r="AF5" i="5"/>
  <c r="AK148" i="2"/>
  <c r="CD12" i="2"/>
  <c r="CI58" i="2"/>
  <c r="X139" i="2"/>
  <c r="CX124" i="2"/>
  <c r="DC125" i="2" s="1"/>
  <c r="CX90" i="2"/>
  <c r="BJ12" i="2"/>
  <c r="BJ59" i="2" s="1"/>
  <c r="BJ58" i="2"/>
  <c r="CU124" i="2"/>
  <c r="BZ100" i="2"/>
  <c r="BZ115" i="2" s="1"/>
  <c r="BZ106" i="2" s="1"/>
  <c r="CC67" i="2"/>
  <c r="CB72" i="2"/>
  <c r="CC153" i="2"/>
  <c r="CC152" i="2" s="1"/>
  <c r="CE242" i="3"/>
  <c r="BD95" i="2"/>
  <c r="BI96" i="2" s="1"/>
  <c r="CT103" i="2"/>
  <c r="BT146" i="2"/>
  <c r="BJ100" i="2"/>
  <c r="CX107" i="2"/>
  <c r="DC108" i="2" s="1"/>
  <c r="BI106" i="2"/>
  <c r="J70" i="6"/>
  <c r="AN43" i="2"/>
  <c r="BW96" i="2"/>
  <c r="CE112" i="2"/>
  <c r="BY67" i="2"/>
  <c r="BY17" i="2"/>
  <c r="CE102" i="2"/>
  <c r="CE12" i="2"/>
  <c r="CX242" i="3"/>
  <c r="CN274" i="3"/>
  <c r="BE22" i="2"/>
  <c r="BE24" i="2" s="1"/>
  <c r="BE27" i="2" s="1"/>
  <c r="BE29" i="2" s="1"/>
  <c r="BE32" i="2" s="1"/>
  <c r="CD58" i="2"/>
  <c r="CD291" i="3"/>
  <c r="CX247" i="3"/>
  <c r="CX68" i="2"/>
  <c r="DC76" i="2" s="1"/>
  <c r="AR13" i="5" s="1"/>
  <c r="BJ183" i="3"/>
  <c r="BJ184" i="3" s="1"/>
  <c r="BD12" i="2"/>
  <c r="BD17" i="2" s="1"/>
  <c r="BD15" i="2" s="1"/>
  <c r="BD193" i="3" s="1"/>
  <c r="BD191" i="3" s="1"/>
  <c r="DB103" i="2"/>
  <c r="AY27" i="7"/>
  <c r="CX183" i="3"/>
  <c r="CX184" i="3" s="1"/>
  <c r="CX275" i="3" s="1"/>
  <c r="CX283" i="3" s="1"/>
  <c r="CX285" i="3" s="1"/>
  <c r="AY100" i="2"/>
  <c r="AY115" i="2" s="1"/>
  <c r="AY106" i="2" s="1"/>
  <c r="CE247" i="3"/>
  <c r="CE291" i="3"/>
  <c r="CE124" i="2"/>
  <c r="S149" i="2"/>
  <c r="G148" i="2"/>
  <c r="BH68" i="2"/>
  <c r="BH76" i="2" s="1"/>
  <c r="DB91" i="2"/>
  <c r="G70" i="6"/>
  <c r="G71" i="6"/>
  <c r="S183" i="3"/>
  <c r="S184" i="3" s="1"/>
  <c r="S275" i="3" s="1"/>
  <c r="S283" i="3" s="1"/>
  <c r="S285" i="3" s="1"/>
  <c r="S274" i="3"/>
  <c r="DQ275" i="3"/>
  <c r="DQ283" i="3" s="1"/>
  <c r="BT25" i="7"/>
  <c r="BT201" i="7"/>
  <c r="DG91" i="2"/>
  <c r="CS242" i="3"/>
  <c r="BA28" i="7"/>
  <c r="BH58" i="2"/>
  <c r="BU107" i="2"/>
  <c r="BU242" i="3"/>
  <c r="CT242" i="3"/>
  <c r="BH90" i="2"/>
  <c r="BH91" i="2" s="1"/>
  <c r="BH12" i="2"/>
  <c r="BH67" i="2" s="1"/>
  <c r="BH75" i="2" s="1"/>
  <c r="CT291" i="3"/>
  <c r="CY58" i="2"/>
  <c r="AK5" i="5" s="1"/>
  <c r="CT12" i="2"/>
  <c r="CT67" i="2" s="1"/>
  <c r="DP275" i="3"/>
  <c r="DP283" i="3" s="1"/>
  <c r="BA100" i="2"/>
  <c r="BA115" i="2" s="1"/>
  <c r="BA106" i="2" s="1"/>
  <c r="X148" i="2"/>
  <c r="DF113" i="2"/>
  <c r="BS158" i="2"/>
  <c r="BS160" i="2" s="1"/>
  <c r="BS163" i="2" s="1"/>
  <c r="BY76" i="2"/>
  <c r="BU124" i="2"/>
  <c r="BU90" i="2"/>
  <c r="DP154" i="7"/>
  <c r="BH95" i="2"/>
  <c r="BH96" i="2" s="1"/>
  <c r="CT274" i="3"/>
  <c r="CT95" i="2"/>
  <c r="CT96" i="2" s="1"/>
  <c r="CT58" i="2"/>
  <c r="AE5" i="5" s="1"/>
  <c r="F30" i="9"/>
  <c r="DB17" i="2"/>
  <c r="CG162" i="2"/>
  <c r="AV27" i="7"/>
  <c r="BD27" i="7"/>
  <c r="P70" i="6"/>
  <c r="BM28" i="7"/>
  <c r="BM29" i="7"/>
  <c r="BF183" i="3"/>
  <c r="BF184" i="3" s="1"/>
  <c r="BF95" i="2"/>
  <c r="BF96" i="2" s="1"/>
  <c r="BF12" i="2"/>
  <c r="BF17" i="2" s="1"/>
  <c r="BF90" i="2"/>
  <c r="BO25" i="7"/>
  <c r="BO207" i="7"/>
  <c r="BO26" i="7"/>
  <c r="BO27" i="7" s="1"/>
  <c r="BO201" i="7"/>
  <c r="DG108" i="2"/>
  <c r="BU291" i="3"/>
  <c r="BU12" i="2"/>
  <c r="BM58" i="2"/>
  <c r="DK154" i="7"/>
  <c r="DK127" i="7" s="1"/>
  <c r="DK129" i="7" s="1"/>
  <c r="CT107" i="2"/>
  <c r="CT108" i="2" s="1"/>
  <c r="CT183" i="3"/>
  <c r="CT184" i="3" s="1"/>
  <c r="CT275" i="3" s="1"/>
  <c r="CT283" i="3" s="1"/>
  <c r="CT285" i="3" s="1"/>
  <c r="CT112" i="2"/>
  <c r="DC17" i="2"/>
  <c r="CI149" i="2"/>
  <c r="CI71" i="6" s="1"/>
  <c r="V122" i="9" s="1"/>
  <c r="BH100" i="2"/>
  <c r="BH28" i="7"/>
  <c r="CT149" i="2"/>
  <c r="CT71" i="6" s="1"/>
  <c r="AG122" i="9" s="1"/>
  <c r="CT148" i="2"/>
  <c r="CT41" i="7" s="1"/>
  <c r="AG22" i="9" s="1"/>
  <c r="X252" i="3"/>
  <c r="X181" i="3"/>
  <c r="CF232" i="3"/>
  <c r="DE232" i="3"/>
  <c r="CC433" i="8"/>
  <c r="CC19" i="8" s="1"/>
  <c r="CC430" i="8"/>
  <c r="BU160" i="2"/>
  <c r="BU163" i="2" s="1"/>
  <c r="CE19" i="8"/>
  <c r="BV232" i="3"/>
  <c r="CG218" i="3"/>
  <c r="CE217" i="3"/>
  <c r="CE218" i="3" s="1"/>
  <c r="AW67" i="3"/>
  <c r="BB64" i="3"/>
  <c r="BB65" i="3" s="1"/>
  <c r="CG57" i="8"/>
  <c r="CG58" i="8" s="1"/>
  <c r="CH429" i="8"/>
  <c r="CG433" i="8"/>
  <c r="CG62" i="8"/>
  <c r="CG64" i="8" s="1"/>
  <c r="CG66" i="8" s="1"/>
  <c r="DF218" i="3"/>
  <c r="DC217" i="3"/>
  <c r="DC218" i="3" s="1"/>
  <c r="CK232" i="3"/>
  <c r="AR95" i="2"/>
  <c r="AW96" i="2" s="1"/>
  <c r="AR274" i="3"/>
  <c r="AC247" i="3"/>
  <c r="AC12" i="2"/>
  <c r="AH68" i="2"/>
  <c r="AH95" i="2"/>
  <c r="AH242" i="3"/>
  <c r="AH12" i="2"/>
  <c r="AZ149" i="2"/>
  <c r="S68" i="2"/>
  <c r="CN242" i="3"/>
  <c r="CN68" i="2"/>
  <c r="CN76" i="2" s="1"/>
  <c r="CN90" i="2"/>
  <c r="CN107" i="2"/>
  <c r="CN108" i="2" s="1"/>
  <c r="CN95" i="2"/>
  <c r="AY90" i="2"/>
  <c r="AY91" i="2" s="1"/>
  <c r="BN242" i="3"/>
  <c r="BN12" i="2"/>
  <c r="BN17" i="2" s="1"/>
  <c r="BN247" i="3"/>
  <c r="BT95" i="2"/>
  <c r="BT96" i="2" s="1"/>
  <c r="P40" i="7"/>
  <c r="CH58" i="2"/>
  <c r="J5" i="5" s="1"/>
  <c r="K15" i="2"/>
  <c r="K67" i="8" s="1"/>
  <c r="AO148" i="2"/>
  <c r="BE148" i="2"/>
  <c r="AF148" i="2"/>
  <c r="Z45" i="2"/>
  <c r="Z38" i="2" s="1"/>
  <c r="Z39" i="2"/>
  <c r="Z71" i="6" s="1"/>
  <c r="BZ12" i="3"/>
  <c r="BZ14" i="3"/>
  <c r="BZ298" i="3" s="1"/>
  <c r="CX112" i="2"/>
  <c r="DC113" i="2" s="1"/>
  <c r="CX95" i="2"/>
  <c r="DC96" i="2" s="1"/>
  <c r="CY247" i="3"/>
  <c r="CY12" i="2"/>
  <c r="CY274" i="3"/>
  <c r="CY112" i="2"/>
  <c r="CY102" i="2"/>
  <c r="CY103" i="2" s="1"/>
  <c r="CY291" i="3"/>
  <c r="CY90" i="2"/>
  <c r="CY124" i="2"/>
  <c r="CY68" i="2"/>
  <c r="CY183" i="3"/>
  <c r="CY184" i="3" s="1"/>
  <c r="CY275" i="3" s="1"/>
  <c r="CY283" i="3" s="1"/>
  <c r="CY285" i="3" s="1"/>
  <c r="BQ138" i="2"/>
  <c r="BP76" i="3"/>
  <c r="AT39" i="2"/>
  <c r="AT45" i="2"/>
  <c r="AT38" i="2" s="1"/>
  <c r="DA17" i="2"/>
  <c r="DA67" i="2"/>
  <c r="DF75" i="2" s="1"/>
  <c r="AV12" i="5" s="1"/>
  <c r="AS31" i="2"/>
  <c r="AS34" i="2"/>
  <c r="AS43" i="2"/>
  <c r="AS32" i="2"/>
  <c r="AS35" i="2"/>
  <c r="AS36" i="2" s="1"/>
  <c r="BU245" i="6"/>
  <c r="BP243" i="6"/>
  <c r="BP245" i="6"/>
  <c r="X135" i="2"/>
  <c r="S139" i="2"/>
  <c r="CN102" i="2"/>
  <c r="CN103" i="2" s="1"/>
  <c r="CN183" i="3"/>
  <c r="CN184" i="3" s="1"/>
  <c r="CN275" i="3" s="1"/>
  <c r="CN283" i="3" s="1"/>
  <c r="CN285" i="3" s="1"/>
  <c r="CN291" i="3"/>
  <c r="DD247" i="3"/>
  <c r="BN90" i="2"/>
  <c r="BN91" i="2" s="1"/>
  <c r="DK275" i="3"/>
  <c r="DK283" i="3" s="1"/>
  <c r="BS259" i="6"/>
  <c r="DF59" i="2"/>
  <c r="BX135" i="2"/>
  <c r="CO108" i="2"/>
  <c r="J30" i="9"/>
  <c r="E30" i="9"/>
  <c r="E29" i="9"/>
  <c r="CK205" i="3"/>
  <c r="CK206" i="3"/>
  <c r="BW76" i="2"/>
  <c r="CB76" i="2"/>
  <c r="BX90" i="2"/>
  <c r="CC91" i="2" s="1"/>
  <c r="BX12" i="2"/>
  <c r="BX291" i="3"/>
  <c r="BX183" i="3"/>
  <c r="BX184" i="3" s="1"/>
  <c r="BX275" i="3" s="1"/>
  <c r="BX283" i="3" s="1"/>
  <c r="BX285" i="3" s="1"/>
  <c r="BX112" i="2"/>
  <c r="BX68" i="2"/>
  <c r="CC76" i="2" s="1"/>
  <c r="BX41" i="6"/>
  <c r="BX274" i="3"/>
  <c r="BX124" i="2"/>
  <c r="CC125" i="2" s="1"/>
  <c r="AN31" i="2"/>
  <c r="AN34" i="2"/>
  <c r="BP65" i="6"/>
  <c r="BP68" i="6"/>
  <c r="J38" i="2"/>
  <c r="J39" i="2"/>
  <c r="J40" i="2" s="1"/>
  <c r="J45" i="2"/>
  <c r="BW17" i="2"/>
  <c r="BW67" i="2"/>
  <c r="CB75" i="2" s="1"/>
  <c r="CB167" i="2"/>
  <c r="CB69" i="2"/>
  <c r="CB67" i="8"/>
  <c r="CB193" i="3"/>
  <c r="CB191" i="3" s="1"/>
  <c r="BN124" i="2"/>
  <c r="BN183" i="3"/>
  <c r="BN184" i="3" s="1"/>
  <c r="BN275" i="3" s="1"/>
  <c r="BN283" i="3" s="1"/>
  <c r="BN285" i="3" s="1"/>
  <c r="CE97" i="2"/>
  <c r="CE95" i="2"/>
  <c r="CJ96" i="2" s="1"/>
  <c r="CO67" i="2"/>
  <c r="Z41" i="7"/>
  <c r="Z40" i="7"/>
  <c r="X136" i="2"/>
  <c r="S90" i="2"/>
  <c r="CN12" i="2"/>
  <c r="CN247" i="3"/>
  <c r="CS58" i="2"/>
  <c r="DD242" i="3"/>
  <c r="BN291" i="3"/>
  <c r="BN41" i="6"/>
  <c r="BN112" i="2"/>
  <c r="DF76" i="2"/>
  <c r="AV13" i="5" s="1"/>
  <c r="BR245" i="6"/>
  <c r="CA13" i="2"/>
  <c r="CA94" i="2" s="1"/>
  <c r="BM297" i="6"/>
  <c r="BM298" i="6" s="1"/>
  <c r="DE211" i="3"/>
  <c r="BJ27" i="7"/>
  <c r="BP247" i="6"/>
  <c r="BP258" i="6"/>
  <c r="BP252" i="6"/>
  <c r="BP105" i="2"/>
  <c r="BP257" i="6"/>
  <c r="P39" i="2"/>
  <c r="P41" i="7" s="1"/>
  <c r="P45" i="2"/>
  <c r="P38" i="2"/>
  <c r="CF205" i="3"/>
  <c r="CF206" i="3"/>
  <c r="CF207" i="3" s="1"/>
  <c r="AN27" i="7"/>
  <c r="BR149" i="2"/>
  <c r="BR148" i="2"/>
  <c r="CV163" i="2"/>
  <c r="CY148" i="2"/>
  <c r="CY149" i="2"/>
  <c r="BN148" i="2"/>
  <c r="CR162" i="2"/>
  <c r="L148" i="2"/>
  <c r="I135" i="2"/>
  <c r="BQ149" i="2"/>
  <c r="W149" i="2"/>
  <c r="W148" i="2"/>
  <c r="BG242" i="3"/>
  <c r="BG291" i="3"/>
  <c r="BG183" i="3"/>
  <c r="BG184" i="3" s="1"/>
  <c r="BG275" i="3" s="1"/>
  <c r="BG283" i="3" s="1"/>
  <c r="BG285" i="3" s="1"/>
  <c r="BG58" i="2"/>
  <c r="BL58" i="2"/>
  <c r="BG274" i="3"/>
  <c r="BG247" i="3"/>
  <c r="BG139" i="2"/>
  <c r="BG68" i="2"/>
  <c r="BL76" i="2" s="1"/>
  <c r="BG90" i="2"/>
  <c r="BL91" i="2" s="1"/>
  <c r="BG12" i="2"/>
  <c r="BG17" i="2" s="1"/>
  <c r="BG97" i="2"/>
  <c r="BG95" i="2"/>
  <c r="BL96" i="2" s="1"/>
  <c r="BT129" i="2"/>
  <c r="BT135" i="2" s="1"/>
  <c r="BT26" i="7"/>
  <c r="BT31" i="7"/>
  <c r="BV34" i="7"/>
  <c r="BR297" i="6"/>
  <c r="BW298" i="6" s="1"/>
  <c r="BR30" i="6"/>
  <c r="BR159" i="2"/>
  <c r="BN14" i="3"/>
  <c r="BN298" i="3" s="1"/>
  <c r="BN12" i="3"/>
  <c r="DE115" i="2"/>
  <c r="CS111" i="2"/>
  <c r="CS106" i="2"/>
  <c r="AJ45" i="2"/>
  <c r="AJ38" i="2" s="1"/>
  <c r="AJ39" i="2"/>
  <c r="AJ71" i="6" s="1"/>
  <c r="AB148" i="2"/>
  <c r="DD90" i="2"/>
  <c r="DD91" i="2" s="1"/>
  <c r="CY125" i="2"/>
  <c r="CC148" i="2"/>
  <c r="BB148" i="2"/>
  <c r="Q148" i="2"/>
  <c r="CZ10" i="2"/>
  <c r="CZ183" i="3" s="1"/>
  <c r="CZ184" i="3" s="1"/>
  <c r="CZ275" i="3" s="1"/>
  <c r="CZ283" i="3" s="1"/>
  <c r="CZ285" i="3" s="1"/>
  <c r="BM159" i="2"/>
  <c r="CZ149" i="2"/>
  <c r="CZ71" i="6" s="1"/>
  <c r="AM122" i="9" s="1"/>
  <c r="DB63" i="3"/>
  <c r="DB312" i="3"/>
  <c r="CV148" i="2"/>
  <c r="CV41" i="7" s="1"/>
  <c r="AI22" i="9" s="1"/>
  <c r="CV149" i="2"/>
  <c r="CV71" i="6" s="1"/>
  <c r="AI122" i="9" s="1"/>
  <c r="CC31" i="7"/>
  <c r="CC129" i="2"/>
  <c r="CC135" i="2" s="1"/>
  <c r="CC26" i="7"/>
  <c r="CF26" i="7" s="1"/>
  <c r="F29" i="9"/>
  <c r="K30" i="9"/>
  <c r="AT27" i="7"/>
  <c r="AT28" i="7"/>
  <c r="BX32" i="7"/>
  <c r="BX158" i="2"/>
  <c r="CF107" i="2"/>
  <c r="CF291" i="3"/>
  <c r="CF95" i="2"/>
  <c r="CF247" i="3"/>
  <c r="CF12" i="2"/>
  <c r="CF41" i="6"/>
  <c r="CF90" i="2"/>
  <c r="CF68" i="2"/>
  <c r="CF112" i="2"/>
  <c r="CF183" i="3"/>
  <c r="CF184" i="3" s="1"/>
  <c r="CF275" i="3" s="1"/>
  <c r="CF283" i="3" s="1"/>
  <c r="CF285" i="3" s="1"/>
  <c r="CF274" i="3"/>
  <c r="CF124" i="2"/>
  <c r="DE10" i="2"/>
  <c r="DA106" i="2"/>
  <c r="DA111" i="2"/>
  <c r="DA101" i="2"/>
  <c r="CM106" i="2"/>
  <c r="CM111" i="2"/>
  <c r="CV12" i="2"/>
  <c r="CZ12" i="2" s="1"/>
  <c r="CV183" i="3"/>
  <c r="CV184" i="3" s="1"/>
  <c r="CV275" i="3" s="1"/>
  <c r="CV283" i="3" s="1"/>
  <c r="CV285" i="3" s="1"/>
  <c r="CV274" i="3"/>
  <c r="CV242" i="3"/>
  <c r="DA58" i="2"/>
  <c r="AN5" i="5" s="1"/>
  <c r="CV107" i="2"/>
  <c r="DA108" i="2" s="1"/>
  <c r="CV95" i="2"/>
  <c r="DA96" i="2" s="1"/>
  <c r="CV102" i="2"/>
  <c r="DA103" i="2" s="1"/>
  <c r="CV90" i="2"/>
  <c r="DA91" i="2" s="1"/>
  <c r="CV124" i="2"/>
  <c r="DA125" i="2" s="1"/>
  <c r="CV291" i="3"/>
  <c r="CV68" i="2"/>
  <c r="DA76" i="2" s="1"/>
  <c r="AN13" i="5" s="1"/>
  <c r="CV112" i="2"/>
  <c r="DA113" i="2" s="1"/>
  <c r="CV247" i="3"/>
  <c r="AP15" i="2"/>
  <c r="AP67" i="8" s="1"/>
  <c r="AP22" i="2"/>
  <c r="AP24" i="2" s="1"/>
  <c r="AP27" i="2" s="1"/>
  <c r="AP29" i="2" s="1"/>
  <c r="V31" i="2"/>
  <c r="V35" i="2"/>
  <c r="V32" i="2"/>
  <c r="V34" i="2"/>
  <c r="V43" i="2"/>
  <c r="CO91" i="2"/>
  <c r="CJ91" i="2"/>
  <c r="J130" i="9"/>
  <c r="AJ70" i="6"/>
  <c r="CE111" i="2"/>
  <c r="CE101" i="2"/>
  <c r="CC97" i="2"/>
  <c r="BX97" i="2"/>
  <c r="BX95" i="2"/>
  <c r="CC96" i="2" s="1"/>
  <c r="BX100" i="2"/>
  <c r="BX29" i="7"/>
  <c r="BX28" i="7"/>
  <c r="DD183" i="3"/>
  <c r="DD184" i="3" s="1"/>
  <c r="DD291" i="3"/>
  <c r="DD12" i="2"/>
  <c r="DD102" i="2"/>
  <c r="DD274" i="3"/>
  <c r="DD95" i="2"/>
  <c r="DD96" i="2" s="1"/>
  <c r="CI111" i="2"/>
  <c r="CI101" i="2"/>
  <c r="CH12" i="2"/>
  <c r="CH41" i="6"/>
  <c r="CH112" i="2"/>
  <c r="CH113" i="2" s="1"/>
  <c r="CH274" i="3"/>
  <c r="CH247" i="3"/>
  <c r="CH90" i="2"/>
  <c r="CH91" i="2" s="1"/>
  <c r="CH291" i="3"/>
  <c r="CH68" i="2"/>
  <c r="CH124" i="2"/>
  <c r="CH107" i="2"/>
  <c r="CH108" i="2" s="1"/>
  <c r="CH183" i="3"/>
  <c r="CH184" i="3" s="1"/>
  <c r="CH275" i="3" s="1"/>
  <c r="CH283" i="3" s="1"/>
  <c r="CH285" i="3" s="1"/>
  <c r="CH95" i="2"/>
  <c r="CH96" i="2" s="1"/>
  <c r="CH102" i="2"/>
  <c r="AZ90" i="2"/>
  <c r="AZ91" i="2" s="1"/>
  <c r="AZ95" i="2"/>
  <c r="AZ96" i="2" s="1"/>
  <c r="AZ12" i="2"/>
  <c r="AZ17" i="2" s="1"/>
  <c r="F70" i="6"/>
  <c r="DD68" i="2"/>
  <c r="DD76" i="2" s="1"/>
  <c r="AT13" i="5" s="1"/>
  <c r="CF14" i="2"/>
  <c r="CK13" i="2"/>
  <c r="BX12" i="3"/>
  <c r="BX14" i="3"/>
  <c r="CY163" i="2"/>
  <c r="BS25" i="7"/>
  <c r="BS26" i="7"/>
  <c r="BX173" i="7" s="1"/>
  <c r="BS201" i="7"/>
  <c r="BM26" i="6"/>
  <c r="BM25" i="6"/>
  <c r="BM256" i="6"/>
  <c r="AT70" i="6"/>
  <c r="AT71" i="6"/>
  <c r="CW148" i="2"/>
  <c r="CW41" i="7" s="1"/>
  <c r="AJ22" i="9" s="1"/>
  <c r="CW149" i="2"/>
  <c r="CW71" i="6" s="1"/>
  <c r="AJ122" i="9" s="1"/>
  <c r="CB148" i="2"/>
  <c r="CB151" i="2" s="1"/>
  <c r="AJ40" i="7"/>
  <c r="T148" i="2"/>
  <c r="CO101" i="2"/>
  <c r="CO111" i="2"/>
  <c r="CS101" i="2"/>
  <c r="BG111" i="2"/>
  <c r="BG106" i="2"/>
  <c r="AN45" i="2"/>
  <c r="AN38" i="2" s="1"/>
  <c r="AN39" i="2"/>
  <c r="F40" i="7"/>
  <c r="R41" i="7"/>
  <c r="R71" i="6"/>
  <c r="BL22" i="2"/>
  <c r="BL153" i="2"/>
  <c r="BL15" i="2"/>
  <c r="BL70" i="2"/>
  <c r="DD107" i="2"/>
  <c r="DD108" i="2" s="1"/>
  <c r="DD124" i="2"/>
  <c r="AX12" i="2"/>
  <c r="AX17" i="2" s="1"/>
  <c r="AX95" i="2"/>
  <c r="AX90" i="2"/>
  <c r="AX91" i="2" s="1"/>
  <c r="BT12" i="3"/>
  <c r="BT14" i="3"/>
  <c r="BT298" i="3" s="1"/>
  <c r="CD107" i="2"/>
  <c r="CD90" i="2"/>
  <c r="CD124" i="2"/>
  <c r="CD247" i="3"/>
  <c r="AT41" i="7"/>
  <c r="AT40" i="7"/>
  <c r="BN31" i="7"/>
  <c r="BN129" i="2"/>
  <c r="BN135" i="2" s="1"/>
  <c r="BU183" i="3"/>
  <c r="BU184" i="3" s="1"/>
  <c r="BU275" i="3" s="1"/>
  <c r="BU283" i="3" s="1"/>
  <c r="BU285" i="3" s="1"/>
  <c r="BU68" i="2"/>
  <c r="BU247" i="3"/>
  <c r="BU95" i="2"/>
  <c r="BX147" i="3"/>
  <c r="BY147" i="3" s="1"/>
  <c r="BZ147" i="3" s="1"/>
  <c r="BL97" i="2"/>
  <c r="CR183" i="3"/>
  <c r="CR184" i="3" s="1"/>
  <c r="CR275" i="3" s="1"/>
  <c r="CR283" i="3" s="1"/>
  <c r="CR285" i="3" s="1"/>
  <c r="CR68" i="2"/>
  <c r="CR102" i="2"/>
  <c r="CW103" i="2" s="1"/>
  <c r="CR112" i="2"/>
  <c r="CW113" i="2" s="1"/>
  <c r="CR95" i="2"/>
  <c r="CW96" i="2" s="1"/>
  <c r="CR12" i="2"/>
  <c r="CW59" i="2" s="1"/>
  <c r="CR90" i="2"/>
  <c r="CW91" i="2" s="1"/>
  <c r="CR274" i="3"/>
  <c r="CR124" i="2"/>
  <c r="CR125" i="2" s="1"/>
  <c r="CR247" i="3"/>
  <c r="CR291" i="3"/>
  <c r="AU35" i="2"/>
  <c r="AU34" i="2"/>
  <c r="AU43" i="2"/>
  <c r="AU31" i="2"/>
  <c r="AU32" i="2"/>
  <c r="L43" i="2"/>
  <c r="L32" i="2"/>
  <c r="L31" i="2"/>
  <c r="L35" i="2"/>
  <c r="L40" i="7" s="1"/>
  <c r="L34" i="2"/>
  <c r="BT149" i="2"/>
  <c r="BT148" i="2"/>
  <c r="AM183" i="3"/>
  <c r="AM184" i="3" s="1"/>
  <c r="AM275" i="3" s="1"/>
  <c r="AM283" i="3" s="1"/>
  <c r="AM285" i="3" s="1"/>
  <c r="AM95" i="2"/>
  <c r="AM291" i="3"/>
  <c r="AM274" i="3"/>
  <c r="AM12" i="2"/>
  <c r="AM59" i="2" s="1"/>
  <c r="AM90" i="2"/>
  <c r="AM242" i="3"/>
  <c r="AM68" i="2"/>
  <c r="AM139" i="2"/>
  <c r="AM247" i="3"/>
  <c r="AM58" i="2"/>
  <c r="AE56" i="5"/>
  <c r="AB56" i="5"/>
  <c r="CD97" i="2"/>
  <c r="BY95" i="2"/>
  <c r="CD96" i="2" s="1"/>
  <c r="BY97" i="2"/>
  <c r="DB70" i="2"/>
  <c r="DB153" i="2"/>
  <c r="DB22" i="2"/>
  <c r="DB15" i="2"/>
  <c r="BT67" i="2"/>
  <c r="BY75" i="2" s="1"/>
  <c r="BY59" i="2"/>
  <c r="CI167" i="2"/>
  <c r="CI165" i="2" s="1"/>
  <c r="CI193" i="3"/>
  <c r="CI191" i="3" s="1"/>
  <c r="CI69" i="2"/>
  <c r="AH274" i="3"/>
  <c r="AH291" i="3"/>
  <c r="AH139" i="2"/>
  <c r="CU95" i="2"/>
  <c r="CU139" i="2"/>
  <c r="AH90" i="2"/>
  <c r="CU102" i="2"/>
  <c r="BT91" i="2"/>
  <c r="BR12" i="3"/>
  <c r="BR14" i="3"/>
  <c r="BR298" i="3" s="1"/>
  <c r="BM68" i="6"/>
  <c r="BM65" i="6"/>
  <c r="DF17" i="2"/>
  <c r="CR12" i="3"/>
  <c r="CU11" i="3"/>
  <c r="CG207" i="3"/>
  <c r="CB207" i="3"/>
  <c r="BT30" i="6"/>
  <c r="BT159" i="2"/>
  <c r="BT297" i="6"/>
  <c r="N95" i="2"/>
  <c r="N96" i="2" s="1"/>
  <c r="N58" i="2"/>
  <c r="N90" i="2"/>
  <c r="N91" i="2" s="1"/>
  <c r="N247" i="3"/>
  <c r="N12" i="2"/>
  <c r="N68" i="2"/>
  <c r="N76" i="2" s="1"/>
  <c r="N242" i="3"/>
  <c r="CJ97" i="2"/>
  <c r="CO97" i="2"/>
  <c r="CR148" i="2"/>
  <c r="CR41" i="7" s="1"/>
  <c r="AE22" i="9" s="1"/>
  <c r="AL15" i="2"/>
  <c r="AL67" i="8" s="1"/>
  <c r="AL22" i="2"/>
  <c r="AL24" i="2" s="1"/>
  <c r="AL27" i="2" s="1"/>
  <c r="AL29" i="2" s="1"/>
  <c r="CN207" i="3"/>
  <c r="BH27" i="7"/>
  <c r="BC28" i="7"/>
  <c r="BC27" i="7"/>
  <c r="BC100" i="2"/>
  <c r="BR298" i="6"/>
  <c r="CW17" i="2"/>
  <c r="DB62" i="2" s="1"/>
  <c r="CW67" i="2"/>
  <c r="BE101" i="2"/>
  <c r="CD28" i="7"/>
  <c r="CI173" i="7"/>
  <c r="CI27" i="7"/>
  <c r="CD29" i="7"/>
  <c r="CD100" i="2"/>
  <c r="CQ183" i="3"/>
  <c r="CQ184" i="3" s="1"/>
  <c r="CQ275" i="3" s="1"/>
  <c r="CQ283" i="3" s="1"/>
  <c r="CQ285" i="3" s="1"/>
  <c r="CQ107" i="2"/>
  <c r="CQ68" i="2"/>
  <c r="CQ112" i="2"/>
  <c r="CQ90" i="2"/>
  <c r="CV58" i="2"/>
  <c r="CQ124" i="2"/>
  <c r="CQ12" i="2"/>
  <c r="CQ95" i="2"/>
  <c r="CQ247" i="3"/>
  <c r="CQ102" i="2"/>
  <c r="CQ274" i="3"/>
  <c r="CQ291" i="3"/>
  <c r="CQ58" i="2"/>
  <c r="CX106" i="2"/>
  <c r="CX111" i="2"/>
  <c r="CX101" i="2"/>
  <c r="CZ312" i="3"/>
  <c r="AK59" i="5"/>
  <c r="AK61" i="5" s="1"/>
  <c r="E70" i="6"/>
  <c r="E71" i="6"/>
  <c r="CE135" i="2"/>
  <c r="CE136" i="2"/>
  <c r="BN25" i="7"/>
  <c r="BN26" i="7"/>
  <c r="BN207" i="7"/>
  <c r="CZ316" i="3"/>
  <c r="BT63" i="6"/>
  <c r="BT67" i="6" s="1"/>
  <c r="BT26" i="6"/>
  <c r="BT242" i="6"/>
  <c r="BT25" i="6"/>
  <c r="CB135" i="2"/>
  <c r="BY12" i="3"/>
  <c r="BY14" i="3"/>
  <c r="BY298" i="3" s="1"/>
  <c r="CA11" i="3"/>
  <c r="BR135" i="2"/>
  <c r="CD32" i="7"/>
  <c r="CD158" i="2"/>
  <c r="BT17" i="2"/>
  <c r="BT22" i="2" s="1"/>
  <c r="AM148" i="2"/>
  <c r="DB96" i="2"/>
  <c r="BX244" i="6"/>
  <c r="AH247" i="3"/>
  <c r="CU274" i="3"/>
  <c r="CU247" i="3"/>
  <c r="CU68" i="2"/>
  <c r="CZ162" i="2"/>
  <c r="CE12" i="3"/>
  <c r="CE14" i="3"/>
  <c r="CE298" i="3" s="1"/>
  <c r="BR25" i="7"/>
  <c r="BR26" i="7"/>
  <c r="BR201" i="7"/>
  <c r="BP28" i="7"/>
  <c r="BP100" i="2"/>
  <c r="BP29" i="7"/>
  <c r="BP27" i="7"/>
  <c r="AT59" i="5"/>
  <c r="DE312" i="3"/>
  <c r="AN59" i="5"/>
  <c r="AP59" i="5"/>
  <c r="AR59" i="5"/>
  <c r="CG97" i="2"/>
  <c r="CB97" i="2"/>
  <c r="CB95" i="2"/>
  <c r="CB96" i="2" s="1"/>
  <c r="CH148" i="2"/>
  <c r="AC136" i="2"/>
  <c r="BY31" i="7"/>
  <c r="BY129" i="2"/>
  <c r="BY135" i="2" s="1"/>
  <c r="BY26" i="7"/>
  <c r="CD27" i="7" s="1"/>
  <c r="CA34" i="7"/>
  <c r="CA129" i="2" s="1"/>
  <c r="CA132" i="2" s="1"/>
  <c r="CZ58" i="2"/>
  <c r="F121" i="9"/>
  <c r="F189" i="9"/>
  <c r="BX250" i="6"/>
  <c r="BS248" i="6"/>
  <c r="BX249" i="6" s="1"/>
  <c r="BK27" i="7"/>
  <c r="BK29" i="7"/>
  <c r="BK28" i="7"/>
  <c r="BK100" i="2"/>
  <c r="AJ28" i="7"/>
  <c r="AO27" i="7"/>
  <c r="CL67" i="2"/>
  <c r="CL17" i="2"/>
  <c r="CX163" i="2"/>
  <c r="CX162" i="2"/>
  <c r="DB76" i="2"/>
  <c r="AP13" i="5" s="1"/>
  <c r="CW76" i="2"/>
  <c r="BR32" i="7"/>
  <c r="BR158" i="2"/>
  <c r="DB113" i="2"/>
  <c r="DC153" i="2"/>
  <c r="CZ205" i="3"/>
  <c r="CZ209" i="3"/>
  <c r="CI151" i="2"/>
  <c r="CN14" i="3"/>
  <c r="CN298" i="3" s="1"/>
  <c r="CN12" i="3"/>
  <c r="CP11" i="3"/>
  <c r="BY51" i="2"/>
  <c r="CD51" i="2"/>
  <c r="BZ46" i="2"/>
  <c r="CA46" i="2" s="1"/>
  <c r="BY204" i="3"/>
  <c r="BY205" i="3" s="1"/>
  <c r="BF115" i="2"/>
  <c r="BF106" i="2" s="1"/>
  <c r="AS149" i="2"/>
  <c r="BT59" i="2"/>
  <c r="CY96" i="2"/>
  <c r="AH183" i="3"/>
  <c r="AH184" i="3" s="1"/>
  <c r="AH275" i="3" s="1"/>
  <c r="AH283" i="3" s="1"/>
  <c r="AH285" i="3" s="1"/>
  <c r="CU242" i="3"/>
  <c r="CU291" i="3"/>
  <c r="CU183" i="3"/>
  <c r="CU184" i="3" s="1"/>
  <c r="CU275" i="3" s="1"/>
  <c r="CU283" i="3" s="1"/>
  <c r="CU285" i="3" s="1"/>
  <c r="CH111" i="2"/>
  <c r="CH101" i="2"/>
  <c r="CH106" i="2"/>
  <c r="CZ12" i="3"/>
  <c r="CZ138" i="2" s="1"/>
  <c r="CZ14" i="3"/>
  <c r="BO146" i="2"/>
  <c r="BO148" i="2" s="1"/>
  <c r="CH71" i="6"/>
  <c r="U122" i="9" s="1"/>
  <c r="CI14" i="3"/>
  <c r="CI298" i="3" s="1"/>
  <c r="CI12" i="3"/>
  <c r="AX28" i="7"/>
  <c r="AX27" i="7"/>
  <c r="AX100" i="2"/>
  <c r="DB125" i="2"/>
  <c r="CF11" i="3"/>
  <c r="CZ63" i="3"/>
  <c r="E40" i="7"/>
  <c r="E41" i="7"/>
  <c r="CI24" i="2"/>
  <c r="CI72" i="2"/>
  <c r="DB149" i="2"/>
  <c r="AR291" i="3"/>
  <c r="AI149" i="2"/>
  <c r="AI148" i="2"/>
  <c r="BL136" i="2"/>
  <c r="BL135" i="2"/>
  <c r="BL139" i="2"/>
  <c r="AA22" i="2"/>
  <c r="AA24" i="2" s="1"/>
  <c r="AA27" i="2" s="1"/>
  <c r="AA29" i="2" s="1"/>
  <c r="AA15" i="2"/>
  <c r="AA67" i="8" s="1"/>
  <c r="BO17" i="2"/>
  <c r="BO67" i="2"/>
  <c r="AK43" i="2"/>
  <c r="AK35" i="2"/>
  <c r="AK34" i="2"/>
  <c r="AK32" i="2"/>
  <c r="AK31" i="2"/>
  <c r="X90" i="2"/>
  <c r="X68" i="2"/>
  <c r="X274" i="3"/>
  <c r="X183" i="3"/>
  <c r="X184" i="3" s="1"/>
  <c r="X275" i="3" s="1"/>
  <c r="X283" i="3" s="1"/>
  <c r="X285" i="3" s="1"/>
  <c r="X95" i="2"/>
  <c r="X12" i="2"/>
  <c r="AC59" i="2" s="1"/>
  <c r="X291" i="3"/>
  <c r="X247" i="3"/>
  <c r="X242" i="3"/>
  <c r="AH136" i="2"/>
  <c r="AH135" i="2"/>
  <c r="CS102" i="2"/>
  <c r="CS247" i="3"/>
  <c r="CS183" i="3"/>
  <c r="CS184" i="3" s="1"/>
  <c r="CS275" i="3" s="1"/>
  <c r="CS283" i="3" s="1"/>
  <c r="CS285" i="3" s="1"/>
  <c r="CS124" i="2"/>
  <c r="CS125" i="2" s="1"/>
  <c r="CS95" i="2"/>
  <c r="CS112" i="2"/>
  <c r="CS68" i="2"/>
  <c r="CX76" i="2" s="1"/>
  <c r="CS291" i="3"/>
  <c r="CS12" i="2"/>
  <c r="CX59" i="2" s="1"/>
  <c r="CS107" i="2"/>
  <c r="CX108" i="2" s="1"/>
  <c r="CS1" i="2"/>
  <c r="CS90" i="2"/>
  <c r="CX91" i="2" s="1"/>
  <c r="CS274" i="3"/>
  <c r="CX58" i="2"/>
  <c r="BE91" i="2"/>
  <c r="BJ91" i="2"/>
  <c r="K34" i="2"/>
  <c r="K35" i="2"/>
  <c r="K43" i="2"/>
  <c r="K32" i="2"/>
  <c r="K31" i="2"/>
  <c r="CT91" i="2"/>
  <c r="CY91" i="2"/>
  <c r="CT76" i="2"/>
  <c r="CY76" i="2"/>
  <c r="AK13" i="5" s="1"/>
  <c r="BB135" i="2"/>
  <c r="BB136" i="2"/>
  <c r="AN149" i="2"/>
  <c r="AN148" i="2"/>
  <c r="BT113" i="2"/>
  <c r="CT17" i="2"/>
  <c r="AU148" i="2"/>
  <c r="AU149" i="2"/>
  <c r="CL148" i="2"/>
  <c r="CL149" i="2"/>
  <c r="AV22" i="2"/>
  <c r="AV24" i="2" s="1"/>
  <c r="AV27" i="2" s="1"/>
  <c r="AV29" i="2" s="1"/>
  <c r="AV15" i="2"/>
  <c r="AV67" i="8" s="1"/>
  <c r="DC148" i="2"/>
  <c r="DC149" i="2"/>
  <c r="CB162" i="2"/>
  <c r="CB165" i="2" s="1"/>
  <c r="CB163" i="2"/>
  <c r="M34" i="2"/>
  <c r="M43" i="2"/>
  <c r="M31" i="2"/>
  <c r="M35" i="2"/>
  <c r="M32" i="2"/>
  <c r="DR127" i="7"/>
  <c r="DR15" i="7" s="1"/>
  <c r="DR168" i="7" s="1"/>
  <c r="DR11" i="7"/>
  <c r="DP131" i="7"/>
  <c r="BE21" i="9"/>
  <c r="DR27" i="7" s="1"/>
  <c r="AP21" i="9"/>
  <c r="AL21" i="9"/>
  <c r="BC21" i="9"/>
  <c r="DP27" i="7" s="1"/>
  <c r="AY21" i="9"/>
  <c r="DL26" i="7" s="1"/>
  <c r="AV21" i="9"/>
  <c r="DJ26" i="7" s="1"/>
  <c r="DJ27" i="7" s="1"/>
  <c r="DN198" i="3"/>
  <c r="DN202" i="3" s="1"/>
  <c r="DN49" i="2" s="1"/>
  <c r="DP196" i="3"/>
  <c r="DM202" i="3"/>
  <c r="DM63" i="8"/>
  <c r="DK21" i="3"/>
  <c r="DK63" i="8"/>
  <c r="DL148" i="3"/>
  <c r="DL24" i="3" s="1"/>
  <c r="DL141" i="3"/>
  <c r="DL20" i="3" s="1"/>
  <c r="DK24" i="3"/>
  <c r="DK20" i="3"/>
  <c r="DL142" i="3"/>
  <c r="DL21" i="3" s="1"/>
  <c r="DL19" i="3"/>
  <c r="DJ26" i="3"/>
  <c r="DK171" i="3"/>
  <c r="DO158" i="3"/>
  <c r="DN63" i="8"/>
  <c r="DJ192" i="3"/>
  <c r="DJ65" i="8"/>
  <c r="DK145" i="3"/>
  <c r="DO12" i="3"/>
  <c r="DD330" i="6"/>
  <c r="DC324" i="6"/>
  <c r="DL13" i="6"/>
  <c r="DL180" i="6" s="1"/>
  <c r="DL216" i="6"/>
  <c r="DO45" i="7"/>
  <c r="DJ179" i="7"/>
  <c r="DJ183" i="7" s="1"/>
  <c r="DJ188" i="7" s="1"/>
  <c r="DJ80" i="7"/>
  <c r="CK199" i="7"/>
  <c r="CK32" i="7"/>
  <c r="CK158" i="2"/>
  <c r="DG248" i="6"/>
  <c r="DG249" i="6" s="1"/>
  <c r="DG250" i="6"/>
  <c r="CM43" i="6"/>
  <c r="CR43" i="6"/>
  <c r="H194" i="9"/>
  <c r="H158" i="9"/>
  <c r="CL56" i="6"/>
  <c r="CG9" i="2"/>
  <c r="CG58" i="6"/>
  <c r="CG56" i="6"/>
  <c r="CG68" i="6"/>
  <c r="F194" i="9"/>
  <c r="F158" i="9"/>
  <c r="K148" i="2"/>
  <c r="K149" i="2"/>
  <c r="CJ249" i="6"/>
  <c r="CO249" i="6"/>
  <c r="CZ312" i="6"/>
  <c r="CZ308" i="6"/>
  <c r="DA313" i="6"/>
  <c r="DE312" i="6"/>
  <c r="BO235" i="6"/>
  <c r="BQ212" i="6"/>
  <c r="BO214" i="6"/>
  <c r="CD146" i="2"/>
  <c r="CD148" i="2" s="1"/>
  <c r="CP56" i="6"/>
  <c r="CK61" i="6"/>
  <c r="CK224" i="6" s="1"/>
  <c r="CK56" i="6"/>
  <c r="CK58" i="6"/>
  <c r="CK68" i="6"/>
  <c r="CA15" i="6"/>
  <c r="N126" i="9" s="1"/>
  <c r="BV654" i="6"/>
  <c r="BV655" i="6" s="1"/>
  <c r="BV27" i="6"/>
  <c r="BV243" i="6"/>
  <c r="BV244" i="6" s="1"/>
  <c r="BV20" i="6"/>
  <c r="BV15" i="6"/>
  <c r="I126" i="9" s="1"/>
  <c r="BV42" i="6"/>
  <c r="BV25" i="6"/>
  <c r="BV248" i="6"/>
  <c r="BV55" i="6"/>
  <c r="BV17" i="6"/>
  <c r="BV189" i="3" s="1"/>
  <c r="BV190" i="3" s="1"/>
  <c r="BV124" i="6"/>
  <c r="BT182" i="6"/>
  <c r="BY161" i="6"/>
  <c r="BT165" i="6"/>
  <c r="BT166" i="6" s="1"/>
  <c r="BT114" i="6"/>
  <c r="BT161" i="6"/>
  <c r="BU67" i="2"/>
  <c r="BU17" i="2"/>
  <c r="CN120" i="6"/>
  <c r="H148" i="2"/>
  <c r="AC291" i="3"/>
  <c r="DG274" i="3"/>
  <c r="DG291" i="3"/>
  <c r="DG247" i="3"/>
  <c r="DG68" i="2"/>
  <c r="DG76" i="2" s="1"/>
  <c r="AX13" i="5" s="1"/>
  <c r="DG58" i="2"/>
  <c r="AX5" i="5" s="1"/>
  <c r="DE315" i="6"/>
  <c r="DF316" i="6"/>
  <c r="T129" i="9"/>
  <c r="CG37" i="6"/>
  <c r="CL37" i="6"/>
  <c r="AQ149" i="2"/>
  <c r="AQ148" i="2"/>
  <c r="DH302" i="6"/>
  <c r="DC302" i="6"/>
  <c r="U195" i="9"/>
  <c r="U159" i="9"/>
  <c r="N135" i="2"/>
  <c r="N139" i="2"/>
  <c r="N136" i="2"/>
  <c r="CA179" i="6"/>
  <c r="BZ180" i="6"/>
  <c r="BZ216" i="6"/>
  <c r="CF256" i="6"/>
  <c r="CF99" i="6"/>
  <c r="CF257" i="6"/>
  <c r="CF295" i="6"/>
  <c r="CK99" i="6"/>
  <c r="J68" i="5" s="1"/>
  <c r="BS10" i="2"/>
  <c r="BV9" i="2"/>
  <c r="BV10" i="2" s="1"/>
  <c r="CB235" i="6"/>
  <c r="CB214" i="6"/>
  <c r="CF132" i="6"/>
  <c r="CF139" i="6" s="1"/>
  <c r="CF80" i="6"/>
  <c r="CD159" i="6"/>
  <c r="CI119" i="6"/>
  <c r="CD119" i="6"/>
  <c r="AR127" i="9"/>
  <c r="AR128" i="9" s="1"/>
  <c r="AT70" i="5"/>
  <c r="DE222" i="6"/>
  <c r="AP70" i="5"/>
  <c r="AR70" i="5"/>
  <c r="AN70" i="5"/>
  <c r="DB41" i="7"/>
  <c r="AO22" i="9" s="1"/>
  <c r="DB151" i="2"/>
  <c r="CX125" i="2"/>
  <c r="DE94" i="6"/>
  <c r="CZ258" i="6"/>
  <c r="AM121" i="9" s="1"/>
  <c r="BU159" i="6"/>
  <c r="BU119" i="6"/>
  <c r="BZ119" i="6"/>
  <c r="BJ165" i="6"/>
  <c r="BJ166" i="6" s="1"/>
  <c r="BJ182" i="6"/>
  <c r="BJ191" i="6"/>
  <c r="BO161" i="6"/>
  <c r="BJ114" i="6"/>
  <c r="BO120" i="6" s="1"/>
  <c r="CK80" i="6"/>
  <c r="CK93" i="6"/>
  <c r="CK96" i="6"/>
  <c r="CK101" i="6" s="1"/>
  <c r="CK314" i="6"/>
  <c r="CK132" i="6"/>
  <c r="CK82" i="6"/>
  <c r="CP80" i="6"/>
  <c r="CU51" i="6"/>
  <c r="CF51" i="6"/>
  <c r="CF50" i="6"/>
  <c r="BP298" i="6"/>
  <c r="BU298" i="6"/>
  <c r="BK58" i="6"/>
  <c r="BK61" i="6"/>
  <c r="BK224" i="6" s="1"/>
  <c r="BK9" i="2"/>
  <c r="BK10" i="2" s="1"/>
  <c r="BK56" i="6"/>
  <c r="AC126" i="9"/>
  <c r="T66" i="5"/>
  <c r="X127" i="9"/>
  <c r="CK222" i="6"/>
  <c r="X120" i="9"/>
  <c r="T70" i="5"/>
  <c r="J70" i="5"/>
  <c r="S129" i="9"/>
  <c r="CK37" i="6"/>
  <c r="J75" i="5" s="1"/>
  <c r="CF61" i="6"/>
  <c r="CF224" i="6" s="1"/>
  <c r="CF58" i="6"/>
  <c r="CF68" i="6"/>
  <c r="CF56" i="6"/>
  <c r="BT231" i="6"/>
  <c r="BT208" i="6"/>
  <c r="BV206" i="6"/>
  <c r="AH17" i="2"/>
  <c r="AH67" i="2"/>
  <c r="BP10" i="2"/>
  <c r="BQ9" i="2"/>
  <c r="BQ10" i="2" s="1"/>
  <c r="BO76" i="2"/>
  <c r="CA655" i="6"/>
  <c r="BV171" i="6"/>
  <c r="DE300" i="6"/>
  <c r="DE296" i="6"/>
  <c r="DF125" i="2"/>
  <c r="BW244" i="6"/>
  <c r="BR244" i="6"/>
  <c r="DE120" i="6"/>
  <c r="BR258" i="6"/>
  <c r="BR257" i="6"/>
  <c r="BR105" i="2"/>
  <c r="BR247" i="6"/>
  <c r="BR27" i="6"/>
  <c r="BR252" i="6"/>
  <c r="CU17" i="2"/>
  <c r="CU67" i="2"/>
  <c r="DC91" i="2"/>
  <c r="BR96" i="2"/>
  <c r="BM67" i="2"/>
  <c r="BM17" i="2"/>
  <c r="CM114" i="6"/>
  <c r="CM165" i="6"/>
  <c r="CM166" i="6" s="1"/>
  <c r="CM182" i="6"/>
  <c r="CM269" i="6" s="1"/>
  <c r="CM161" i="6"/>
  <c r="CR161" i="6"/>
  <c r="R69" i="9"/>
  <c r="R103" i="9"/>
  <c r="R21" i="9" s="1"/>
  <c r="CO139" i="6"/>
  <c r="CT139" i="6"/>
  <c r="CS232" i="6"/>
  <c r="CS208" i="6"/>
  <c r="CS191" i="6" s="1"/>
  <c r="DQ96" i="6"/>
  <c r="CA244" i="6"/>
  <c r="BO253" i="6"/>
  <c r="BO259" i="6"/>
  <c r="BO107" i="2"/>
  <c r="DN96" i="6"/>
  <c r="CZ300" i="6"/>
  <c r="CU300" i="6"/>
  <c r="CI296" i="6"/>
  <c r="CI300" i="6"/>
  <c r="CD300" i="6"/>
  <c r="CD296" i="6"/>
  <c r="V121" i="9"/>
  <c r="V189" i="9"/>
  <c r="CF151" i="6"/>
  <c r="CF171" i="6"/>
  <c r="CA90" i="6"/>
  <c r="CA311" i="6" s="1"/>
  <c r="BL160" i="6"/>
  <c r="BL148" i="6" s="1"/>
  <c r="BL189" i="6"/>
  <c r="AE121" i="9"/>
  <c r="AE189" i="9"/>
  <c r="AE207" i="9" s="1"/>
  <c r="CZ248" i="6"/>
  <c r="DE250" i="6"/>
  <c r="CC113" i="2"/>
  <c r="CK189" i="6"/>
  <c r="CK231" i="6"/>
  <c r="CK208" i="6"/>
  <c r="CU165" i="6"/>
  <c r="CU166" i="6" s="1"/>
  <c r="CU148" i="6"/>
  <c r="CB27" i="2"/>
  <c r="CB71" i="2"/>
  <c r="CB35" i="2"/>
  <c r="CB43" i="2"/>
  <c r="CB34" i="2"/>
  <c r="CM214" i="6"/>
  <c r="CM235" i="6"/>
  <c r="CP212" i="6"/>
  <c r="CM9" i="2"/>
  <c r="CM58" i="6"/>
  <c r="CM56" i="6"/>
  <c r="CM68" i="6"/>
  <c r="CR56" i="6"/>
  <c r="BS222" i="6"/>
  <c r="F127" i="9"/>
  <c r="AY148" i="2"/>
  <c r="AY149" i="2"/>
  <c r="DF180" i="6"/>
  <c r="DF216" i="6"/>
  <c r="DJ216" i="6" s="1"/>
  <c r="DJ200" i="6" s="1"/>
  <c r="DJ179" i="6"/>
  <c r="DJ180" i="6" s="1"/>
  <c r="CF90" i="6"/>
  <c r="CF311" i="6" s="1"/>
  <c r="BW65" i="6"/>
  <c r="BW68" i="6"/>
  <c r="J24" i="5"/>
  <c r="U131" i="9"/>
  <c r="AQ15" i="2"/>
  <c r="AQ67" i="8" s="1"/>
  <c r="AQ22" i="2"/>
  <c r="AQ24" i="2" s="1"/>
  <c r="AQ27" i="2" s="1"/>
  <c r="AQ29" i="2" s="1"/>
  <c r="AF189" i="9"/>
  <c r="AF207" i="9" s="1"/>
  <c r="AF121" i="9"/>
  <c r="BZ248" i="6"/>
  <c r="BZ250" i="6"/>
  <c r="BZ10" i="2"/>
  <c r="CA9" i="2"/>
  <c r="CA10" i="2" s="1"/>
  <c r="CO207" i="6"/>
  <c r="CO160" i="6"/>
  <c r="CP159" i="6"/>
  <c r="S291" i="3"/>
  <c r="S12" i="2"/>
  <c r="S58" i="2"/>
  <c r="S95" i="2"/>
  <c r="X58" i="2"/>
  <c r="S247" i="3"/>
  <c r="CF297" i="6"/>
  <c r="DH328" i="6"/>
  <c r="DJ327" i="6"/>
  <c r="BV312" i="6"/>
  <c r="DD41" i="7"/>
  <c r="AQ22" i="9" s="1"/>
  <c r="BZ118" i="6"/>
  <c r="BZ158" i="6"/>
  <c r="BR160" i="6"/>
  <c r="BV159" i="6"/>
  <c r="BR207" i="6"/>
  <c r="CV316" i="6"/>
  <c r="CZ315" i="6"/>
  <c r="CC212" i="6"/>
  <c r="CC171" i="6"/>
  <c r="BO132" i="6"/>
  <c r="BT172" i="6"/>
  <c r="BO176" i="6"/>
  <c r="BO177" i="6" s="1"/>
  <c r="BO182" i="6"/>
  <c r="BO172" i="6"/>
  <c r="BS68" i="6"/>
  <c r="BS65" i="6"/>
  <c r="CD297" i="6"/>
  <c r="CD159" i="2"/>
  <c r="CD30" i="6"/>
  <c r="CR107" i="2"/>
  <c r="CW108" i="2" s="1"/>
  <c r="CR115" i="2"/>
  <c r="X126" i="9"/>
  <c r="J66" i="5"/>
  <c r="CF244" i="6"/>
  <c r="CK244" i="6"/>
  <c r="CA142" i="6"/>
  <c r="BV143" i="6"/>
  <c r="BP56" i="6"/>
  <c r="BX182" i="6"/>
  <c r="BX114" i="6"/>
  <c r="BX161" i="6"/>
  <c r="CC161" i="6"/>
  <c r="BX165" i="6"/>
  <c r="BX166" i="6" s="1"/>
  <c r="BR214" i="6"/>
  <c r="BR236" i="6"/>
  <c r="BV213" i="6"/>
  <c r="BJ17" i="2"/>
  <c r="BM103" i="2"/>
  <c r="CM208" i="6"/>
  <c r="CM231" i="6"/>
  <c r="CP206" i="6"/>
  <c r="CH76" i="2"/>
  <c r="CS161" i="6"/>
  <c r="CS165" i="6"/>
  <c r="CS166" i="6" s="1"/>
  <c r="CS114" i="6"/>
  <c r="CS120" i="6" s="1"/>
  <c r="BQ130" i="6"/>
  <c r="BQ152" i="6"/>
  <c r="BQ131" i="6" s="1"/>
  <c r="CA297" i="6"/>
  <c r="CA30" i="6"/>
  <c r="CA159" i="2"/>
  <c r="CC24" i="2"/>
  <c r="CC72" i="2"/>
  <c r="CQ139" i="6"/>
  <c r="DG242" i="3"/>
  <c r="CM132" i="6"/>
  <c r="CM273" i="6"/>
  <c r="CM176" i="6"/>
  <c r="CM177" i="6" s="1"/>
  <c r="BO248" i="6"/>
  <c r="DH244" i="6"/>
  <c r="DC244" i="6"/>
  <c r="BG148" i="2"/>
  <c r="BG149" i="2"/>
  <c r="AE195" i="9"/>
  <c r="AE159" i="9"/>
  <c r="CH160" i="2"/>
  <c r="CH162" i="2" s="1"/>
  <c r="L159" i="9"/>
  <c r="L195" i="9"/>
  <c r="AC90" i="2"/>
  <c r="AC68" i="2"/>
  <c r="AC274" i="3"/>
  <c r="AC95" i="2"/>
  <c r="AC139" i="2"/>
  <c r="AC242" i="3"/>
  <c r="AC58" i="2"/>
  <c r="BQ216" i="6"/>
  <c r="CX17" i="2"/>
  <c r="CX67" i="2"/>
  <c r="DC59" i="2"/>
  <c r="CN131" i="6"/>
  <c r="CI138" i="6"/>
  <c r="CI170" i="6"/>
  <c r="BV65" i="6"/>
  <c r="BV68" i="6"/>
  <c r="BR176" i="6"/>
  <c r="BR177" i="6" s="1"/>
  <c r="BR132" i="6"/>
  <c r="BW172" i="6"/>
  <c r="BR172" i="6"/>
  <c r="BO65" i="6"/>
  <c r="BO68" i="6"/>
  <c r="DG101" i="2"/>
  <c r="DG106" i="2"/>
  <c r="AC183" i="3"/>
  <c r="AC184" i="3" s="1"/>
  <c r="AC275" i="3" s="1"/>
  <c r="AC283" i="3" s="1"/>
  <c r="AC285" i="3" s="1"/>
  <c r="CB65" i="6"/>
  <c r="CB68" i="6"/>
  <c r="Z127" i="9"/>
  <c r="CM222" i="6"/>
  <c r="O194" i="9"/>
  <c r="O158" i="9"/>
  <c r="Z195" i="9"/>
  <c r="Z159" i="9"/>
  <c r="CU223" i="6"/>
  <c r="CU58" i="6"/>
  <c r="CU61" i="6"/>
  <c r="CU224" i="6" s="1"/>
  <c r="AO22" i="2"/>
  <c r="AO24" i="2" s="1"/>
  <c r="AO27" i="2" s="1"/>
  <c r="AO29" i="2" s="1"/>
  <c r="AO15" i="2"/>
  <c r="AO67" i="8" s="1"/>
  <c r="CE158" i="6"/>
  <c r="CE118" i="6"/>
  <c r="CJ118" i="6"/>
  <c r="BL65" i="6"/>
  <c r="BL68" i="6"/>
  <c r="CI301" i="6"/>
  <c r="CD301" i="6"/>
  <c r="Q189" i="9"/>
  <c r="Q121" i="9"/>
  <c r="CH302" i="6"/>
  <c r="CM302" i="6"/>
  <c r="CF314" i="6"/>
  <c r="CF315" i="6" s="1"/>
  <c r="BV50" i="6"/>
  <c r="BV36" i="6"/>
  <c r="I131" i="9" s="1"/>
  <c r="BV29" i="6"/>
  <c r="BV145" i="2"/>
  <c r="BV35" i="6"/>
  <c r="I129" i="9" s="1"/>
  <c r="CT160" i="6"/>
  <c r="BS191" i="6"/>
  <c r="BS218" i="6"/>
  <c r="BS282" i="6" s="1"/>
  <c r="CN249" i="6"/>
  <c r="CI249" i="6"/>
  <c r="CK216" i="6"/>
  <c r="CG288" i="6"/>
  <c r="CG218" i="6"/>
  <c r="BV114" i="6"/>
  <c r="BV120" i="6" s="1"/>
  <c r="BV91" i="6"/>
  <c r="I108" i="9" s="1"/>
  <c r="BV93" i="6"/>
  <c r="BV308" i="6" s="1"/>
  <c r="BV309" i="6" s="1"/>
  <c r="BV96" i="6"/>
  <c r="DD71" i="6"/>
  <c r="AQ122" i="9" s="1"/>
  <c r="CU132" i="6"/>
  <c r="CU80" i="6"/>
  <c r="CU96" i="6"/>
  <c r="CU82" i="6" s="1"/>
  <c r="CZ80" i="6"/>
  <c r="CU93" i="6"/>
  <c r="CU258" i="6" s="1"/>
  <c r="AH121" i="9" s="1"/>
  <c r="CU101" i="6"/>
  <c r="BP160" i="2"/>
  <c r="BP162" i="2" s="1"/>
  <c r="BD27" i="6"/>
  <c r="BD105" i="2"/>
  <c r="CU247" i="6"/>
  <c r="CU248" i="6" s="1"/>
  <c r="CU24" i="6"/>
  <c r="CU257" i="6"/>
  <c r="CU105" i="2"/>
  <c r="CU27" i="6"/>
  <c r="CK43" i="6"/>
  <c r="CP43" i="6"/>
  <c r="CK249" i="6"/>
  <c r="CF249" i="6"/>
  <c r="BL42" i="6"/>
  <c r="BL243" i="6"/>
  <c r="BQ15" i="6"/>
  <c r="BL35" i="6"/>
  <c r="BL30" i="6"/>
  <c r="BL15" i="6"/>
  <c r="BL17" i="6"/>
  <c r="BL189" i="3" s="1"/>
  <c r="BL190" i="3" s="1"/>
  <c r="BL248" i="6"/>
  <c r="BL654" i="6"/>
  <c r="BL655" i="6" s="1"/>
  <c r="BL124" i="6"/>
  <c r="BL20" i="6"/>
  <c r="BL222" i="6" s="1"/>
  <c r="BL25" i="6"/>
  <c r="BL27" i="6"/>
  <c r="BL55" i="6"/>
  <c r="BV160" i="6"/>
  <c r="BV148" i="6" s="1"/>
  <c r="DE58" i="6"/>
  <c r="DE56" i="6"/>
  <c r="DM216" i="6"/>
  <c r="DM13" i="6"/>
  <c r="DO179" i="6"/>
  <c r="AH58" i="2"/>
  <c r="BP224" i="6"/>
  <c r="H128" i="9"/>
  <c r="BQ655" i="6"/>
  <c r="BX232" i="6"/>
  <c r="BX208" i="6"/>
  <c r="CA207" i="6"/>
  <c r="DF244" i="6"/>
  <c r="DE308" i="6"/>
  <c r="BO96" i="2"/>
  <c r="BJ96" i="2"/>
  <c r="BO245" i="6"/>
  <c r="BO243" i="6"/>
  <c r="BV216" i="6"/>
  <c r="CC191" i="6"/>
  <c r="CP160" i="6"/>
  <c r="CH218" i="6"/>
  <c r="CH191" i="6"/>
  <c r="CA36" i="6"/>
  <c r="N131" i="9" s="1"/>
  <c r="CC69" i="2"/>
  <c r="CC67" i="8"/>
  <c r="CC193" i="3"/>
  <c r="CC191" i="3" s="1"/>
  <c r="CC167" i="2"/>
  <c r="DR85" i="7"/>
  <c r="DQ87" i="7"/>
  <c r="CO117" i="7"/>
  <c r="CO102" i="7"/>
  <c r="CO107" i="7"/>
  <c r="BQ206" i="7"/>
  <c r="DF146" i="2"/>
  <c r="DF149" i="2" s="1"/>
  <c r="DF71" i="6" s="1"/>
  <c r="AS122" i="9" s="1"/>
  <c r="DG129" i="7"/>
  <c r="DG128" i="7"/>
  <c r="AM13" i="9"/>
  <c r="CZ11" i="7"/>
  <c r="BL171" i="7"/>
  <c r="BG161" i="7"/>
  <c r="BG129" i="7"/>
  <c r="BG113" i="7"/>
  <c r="CF116" i="7"/>
  <c r="CF92" i="7"/>
  <c r="CF118" i="7" s="1"/>
  <c r="CO76" i="2"/>
  <c r="CZ142" i="7"/>
  <c r="BS102" i="7"/>
  <c r="BS103" i="7" s="1"/>
  <c r="DE158" i="2"/>
  <c r="DE32" i="7"/>
  <c r="DE199" i="7"/>
  <c r="CN129" i="7"/>
  <c r="CN161" i="7" s="1"/>
  <c r="CN162" i="7" s="1"/>
  <c r="CN113" i="7"/>
  <c r="CN171" i="7"/>
  <c r="CK96" i="7"/>
  <c r="CM96" i="7"/>
  <c r="CR121" i="7"/>
  <c r="BY113" i="7"/>
  <c r="BY171" i="7"/>
  <c r="BY129" i="7"/>
  <c r="BY161" i="7" s="1"/>
  <c r="BY162" i="7" s="1"/>
  <c r="AG192" i="7"/>
  <c r="AH192" i="7" s="1"/>
  <c r="AH194" i="7" s="1"/>
  <c r="AI45" i="7"/>
  <c r="AI54" i="7" s="1"/>
  <c r="AG57" i="7"/>
  <c r="CF136" i="2"/>
  <c r="CF139" i="2"/>
  <c r="CL96" i="7"/>
  <c r="CQ121" i="7"/>
  <c r="BE67" i="8"/>
  <c r="BE193" i="3"/>
  <c r="BE191" i="3" s="1"/>
  <c r="BX98" i="7"/>
  <c r="CA97" i="7"/>
  <c r="CA98" i="7" s="1"/>
  <c r="CV121" i="7"/>
  <c r="CV96" i="7"/>
  <c r="DA121" i="7"/>
  <c r="BN76" i="2"/>
  <c r="CS171" i="7"/>
  <c r="CS113" i="7"/>
  <c r="CA215" i="7"/>
  <c r="CA259" i="3"/>
  <c r="CA260" i="3" s="1"/>
  <c r="CA197" i="7"/>
  <c r="CA183" i="7"/>
  <c r="CA188" i="7" s="1"/>
  <c r="CA210" i="7" s="1"/>
  <c r="BT129" i="7"/>
  <c r="BT171" i="7"/>
  <c r="BT113" i="7"/>
  <c r="CF256" i="3"/>
  <c r="CF257" i="3" s="1"/>
  <c r="CF271" i="3"/>
  <c r="CF272" i="3" s="1"/>
  <c r="BC17" i="2"/>
  <c r="AH197" i="7"/>
  <c r="AH215" i="7"/>
  <c r="AH201" i="7"/>
  <c r="AH200" i="7"/>
  <c r="AH199" i="7"/>
  <c r="AH198" i="7"/>
  <c r="DD109" i="7"/>
  <c r="DD161" i="7"/>
  <c r="DD162" i="7" s="1"/>
  <c r="DD171" i="7"/>
  <c r="DD113" i="7"/>
  <c r="V45" i="7"/>
  <c r="V54" i="7" s="1"/>
  <c r="U57" i="7"/>
  <c r="BY200" i="7"/>
  <c r="BY201" i="7"/>
  <c r="BY197" i="7"/>
  <c r="BY183" i="7"/>
  <c r="BY188" i="7" s="1"/>
  <c r="BY210" i="7" s="1"/>
  <c r="BY215" i="7"/>
  <c r="BY259" i="3"/>
  <c r="BY198" i="7"/>
  <c r="E101" i="9"/>
  <c r="E67" i="9"/>
  <c r="DF107" i="7"/>
  <c r="DF102" i="7" s="1"/>
  <c r="DF103" i="7" s="1"/>
  <c r="DF117" i="7"/>
  <c r="AT30" i="9"/>
  <c r="AT29" i="9"/>
  <c r="DA41" i="7"/>
  <c r="AN22" i="9" s="1"/>
  <c r="AR26" i="7"/>
  <c r="AR25" i="7"/>
  <c r="CN17" i="2"/>
  <c r="CN67" i="2"/>
  <c r="CN59" i="2"/>
  <c r="AF43" i="2"/>
  <c r="AF32" i="2"/>
  <c r="AF35" i="2"/>
  <c r="AF31" i="2"/>
  <c r="AF34" i="2"/>
  <c r="AY96" i="2"/>
  <c r="BD96" i="2"/>
  <c r="AG43" i="2"/>
  <c r="AG31" i="2"/>
  <c r="AG32" i="2"/>
  <c r="AG34" i="2"/>
  <c r="AG35" i="2"/>
  <c r="CO96" i="2"/>
  <c r="CO106" i="7"/>
  <c r="CO108" i="7" s="1"/>
  <c r="CO116" i="7"/>
  <c r="CO92" i="7"/>
  <c r="CP90" i="7"/>
  <c r="CO101" i="7"/>
  <c r="CO103" i="7" s="1"/>
  <c r="CW113" i="7"/>
  <c r="DB171" i="7"/>
  <c r="CW171" i="7"/>
  <c r="V40" i="7"/>
  <c r="BX171" i="7"/>
  <c r="BS129" i="7"/>
  <c r="BS171" i="7"/>
  <c r="BS113" i="7"/>
  <c r="CU117" i="7"/>
  <c r="CU92" i="7"/>
  <c r="CU118" i="7" s="1"/>
  <c r="CU102" i="7"/>
  <c r="CU112" i="7"/>
  <c r="AH18" i="9" s="1"/>
  <c r="DB259" i="3"/>
  <c r="DB197" i="7"/>
  <c r="DB183" i="7"/>
  <c r="DB188" i="7" s="1"/>
  <c r="DB210" i="7" s="1"/>
  <c r="DB200" i="7"/>
  <c r="DB198" i="7"/>
  <c r="DB201" i="7"/>
  <c r="DC259" i="3"/>
  <c r="AR14" i="9"/>
  <c r="AP82" i="5"/>
  <c r="AN82" i="5"/>
  <c r="AR82" i="5"/>
  <c r="AT82" i="5"/>
  <c r="DE146" i="7"/>
  <c r="BY103" i="7"/>
  <c r="CF96" i="7"/>
  <c r="BR113" i="2"/>
  <c r="BW113" i="2"/>
  <c r="BW91" i="2"/>
  <c r="BR91" i="2"/>
  <c r="CK51" i="7"/>
  <c r="CP215" i="7"/>
  <c r="CU154" i="7"/>
  <c r="CU142" i="7" s="1"/>
  <c r="CP168" i="7"/>
  <c r="CP154" i="7"/>
  <c r="CP142" i="7" s="1"/>
  <c r="CP17" i="7"/>
  <c r="CU168" i="7"/>
  <c r="BT71" i="2"/>
  <c r="BQ171" i="7"/>
  <c r="BQ113" i="7"/>
  <c r="BQ129" i="7"/>
  <c r="BQ161" i="7" s="1"/>
  <c r="J80" i="5"/>
  <c r="CK271" i="3"/>
  <c r="CK272" i="3" s="1"/>
  <c r="CK256" i="3"/>
  <c r="CK257" i="3" s="1"/>
  <c r="CI76" i="2"/>
  <c r="CD113" i="2"/>
  <c r="CI113" i="2"/>
  <c r="BI15" i="2"/>
  <c r="BI22" i="2"/>
  <c r="BI71" i="2"/>
  <c r="BI79" i="2" s="1"/>
  <c r="BI70" i="2"/>
  <c r="BI78" i="2" s="1"/>
  <c r="BI62" i="2"/>
  <c r="V101" i="9"/>
  <c r="V67" i="9"/>
  <c r="BZ215" i="7"/>
  <c r="BZ259" i="3"/>
  <c r="BZ200" i="7"/>
  <c r="BZ198" i="7"/>
  <c r="BZ197" i="7"/>
  <c r="BZ183" i="7"/>
  <c r="BZ188" i="7" s="1"/>
  <c r="BZ210" i="7" s="1"/>
  <c r="BZ201" i="7"/>
  <c r="DF96" i="7"/>
  <c r="DF121" i="7"/>
  <c r="DK116" i="7"/>
  <c r="DP116" i="7" s="1"/>
  <c r="DU116" i="7" s="1"/>
  <c r="DG108" i="7"/>
  <c r="DO51" i="7"/>
  <c r="DG148" i="2"/>
  <c r="DG41" i="7" s="1"/>
  <c r="AT22" i="9" s="1"/>
  <c r="DG149" i="2"/>
  <c r="DG71" i="6" s="1"/>
  <c r="AT122" i="9" s="1"/>
  <c r="DB168" i="7"/>
  <c r="DB127" i="7"/>
  <c r="DJ149" i="7"/>
  <c r="DJ11" i="7" s="1"/>
  <c r="DB215" i="7"/>
  <c r="DE15" i="7"/>
  <c r="CX118" i="7"/>
  <c r="CX90" i="7"/>
  <c r="CX91" i="7" s="1"/>
  <c r="DC153" i="7"/>
  <c r="DC141" i="7" s="1"/>
  <c r="DC137" i="7" s="1"/>
  <c r="CX153" i="7"/>
  <c r="CX141" i="7" s="1"/>
  <c r="DC75" i="7"/>
  <c r="CN91" i="2"/>
  <c r="CS91" i="2"/>
  <c r="CN96" i="2"/>
  <c r="CJ59" i="2"/>
  <c r="CJ17" i="2"/>
  <c r="CJ67" i="2"/>
  <c r="V70" i="6"/>
  <c r="AC259" i="3"/>
  <c r="AC260" i="3" s="1"/>
  <c r="AC201" i="7"/>
  <c r="AC200" i="7"/>
  <c r="AC197" i="7"/>
  <c r="AC215" i="7"/>
  <c r="AC199" i="7"/>
  <c r="AC198" i="7"/>
  <c r="CS122" i="7"/>
  <c r="CS97" i="7"/>
  <c r="DC160" i="2"/>
  <c r="DC163" i="2" s="1"/>
  <c r="AR131" i="7"/>
  <c r="AM131" i="7"/>
  <c r="DE117" i="7"/>
  <c r="DE92" i="7"/>
  <c r="DE118" i="7" s="1"/>
  <c r="DE102" i="7"/>
  <c r="DD82" i="7"/>
  <c r="DD80" i="7"/>
  <c r="DF45" i="7"/>
  <c r="DF54" i="7" s="1"/>
  <c r="DD179" i="7"/>
  <c r="CF74" i="7"/>
  <c r="CB97" i="7"/>
  <c r="CF97" i="7" s="1"/>
  <c r="BR67" i="2"/>
  <c r="BR17" i="2"/>
  <c r="BW59" i="2"/>
  <c r="BR59" i="2"/>
  <c r="CZ80" i="7"/>
  <c r="CZ83" i="7" s="1"/>
  <c r="CZ45" i="7"/>
  <c r="CU82" i="7"/>
  <c r="CU80" i="7"/>
  <c r="CU83" i="7" s="1"/>
  <c r="CU179" i="7"/>
  <c r="CL117" i="7"/>
  <c r="CP91" i="7"/>
  <c r="CL107" i="7"/>
  <c r="CL102" i="7" s="1"/>
  <c r="CL103" i="7" s="1"/>
  <c r="CA113" i="7"/>
  <c r="BN96" i="2"/>
  <c r="BN113" i="2"/>
  <c r="CU111" i="7"/>
  <c r="AH17" i="9" s="1"/>
  <c r="CU108" i="7"/>
  <c r="CU101" i="7"/>
  <c r="CU103" i="7" s="1"/>
  <c r="CK45" i="7"/>
  <c r="CF80" i="7"/>
  <c r="CF83" i="7" s="1"/>
  <c r="CF82" i="7"/>
  <c r="CF179" i="7"/>
  <c r="CK80" i="7"/>
  <c r="CK83" i="7" s="1"/>
  <c r="BV117" i="7"/>
  <c r="BV102" i="7"/>
  <c r="BV103" i="7" s="1"/>
  <c r="BV92" i="7"/>
  <c r="BV118" i="7" s="1"/>
  <c r="W31" i="2"/>
  <c r="W34" i="2"/>
  <c r="W35" i="2"/>
  <c r="W32" i="2"/>
  <c r="W43" i="2"/>
  <c r="CO71" i="6"/>
  <c r="AB122" i="9" s="1"/>
  <c r="CD17" i="2"/>
  <c r="CI59" i="2"/>
  <c r="CD67" i="2"/>
  <c r="CD59" i="2"/>
  <c r="N27" i="9"/>
  <c r="N28" i="9"/>
  <c r="AM179" i="7"/>
  <c r="AR45" i="7"/>
  <c r="AR54" i="7" s="1"/>
  <c r="AM57" i="7"/>
  <c r="DF108" i="7"/>
  <c r="CD108" i="7"/>
  <c r="CD101" i="7"/>
  <c r="CD103" i="7" s="1"/>
  <c r="CF106" i="7"/>
  <c r="CJ113" i="2"/>
  <c r="CO103" i="2"/>
  <c r="CJ103" i="2"/>
  <c r="CO125" i="2"/>
  <c r="CJ125" i="2"/>
  <c r="AR89" i="5"/>
  <c r="AR30" i="9"/>
  <c r="AT89" i="5"/>
  <c r="AN89" i="5"/>
  <c r="AP89" i="5"/>
  <c r="AR29" i="9"/>
  <c r="BN184" i="7"/>
  <c r="BN189" i="7" s="1"/>
  <c r="BN188" i="7"/>
  <c r="BN210" i="7" s="1"/>
  <c r="DD125" i="2"/>
  <c r="CH97" i="7"/>
  <c r="CK97" i="7" s="1"/>
  <c r="CK74" i="7"/>
  <c r="CM117" i="7"/>
  <c r="CM107" i="7"/>
  <c r="CM108" i="7" s="1"/>
  <c r="BL59" i="2"/>
  <c r="DF259" i="3"/>
  <c r="DE197" i="7"/>
  <c r="DE183" i="7"/>
  <c r="DE188" i="7" s="1"/>
  <c r="DE210" i="7" s="1"/>
  <c r="DE198" i="7"/>
  <c r="DE201" i="7"/>
  <c r="BV107" i="7"/>
  <c r="CL108" i="7"/>
  <c r="CP106" i="7"/>
  <c r="CV117" i="7"/>
  <c r="CV102" i="7"/>
  <c r="CV103" i="7" s="1"/>
  <c r="CV107" i="7"/>
  <c r="CW97" i="7"/>
  <c r="CW98" i="7" s="1"/>
  <c r="CW75" i="7" s="1"/>
  <c r="DB122" i="7"/>
  <c r="CW122" i="7"/>
  <c r="CF22" i="7"/>
  <c r="CK170" i="7"/>
  <c r="CF170" i="7"/>
  <c r="CF198" i="7"/>
  <c r="CO41" i="7"/>
  <c r="AB22" i="9" s="1"/>
  <c r="DE111" i="7"/>
  <c r="AR17" i="9" s="1"/>
  <c r="DE108" i="7"/>
  <c r="DE101" i="7"/>
  <c r="DE103" i="7" s="1"/>
  <c r="CB179" i="7"/>
  <c r="CC45" i="7"/>
  <c r="CC54" i="7" s="1"/>
  <c r="CB80" i="7"/>
  <c r="CB83" i="7" s="1"/>
  <c r="CB82" i="7"/>
  <c r="DQ51" i="7"/>
  <c r="DR51" i="7" s="1"/>
  <c r="DS51" i="7" s="1"/>
  <c r="DU51" i="7" s="1"/>
  <c r="DI298" i="3"/>
  <c r="DK13" i="3"/>
  <c r="DL42" i="2"/>
  <c r="DJ49" i="2"/>
  <c r="DJ51" i="2"/>
  <c r="DJ204" i="3"/>
  <c r="DJ205" i="3" s="1"/>
  <c r="DI205" i="3"/>
  <c r="DJ13" i="3"/>
  <c r="DJ149" i="3"/>
  <c r="DJ47" i="2"/>
  <c r="BT56" i="7"/>
  <c r="BU57" i="7"/>
  <c r="BS58" i="7"/>
  <c r="BS136" i="7"/>
  <c r="BS180" i="7"/>
  <c r="DE14" i="3"/>
  <c r="DK315" i="6"/>
  <c r="DL314" i="6"/>
  <c r="DL50" i="2"/>
  <c r="DK51" i="2"/>
  <c r="DK204" i="3"/>
  <c r="DK46" i="2"/>
  <c r="DL116" i="7"/>
  <c r="DQ116" i="7" s="1"/>
  <c r="DV116" i="7" s="1"/>
  <c r="DG96" i="7"/>
  <c r="DG109" i="7"/>
  <c r="DG171" i="7"/>
  <c r="DG161" i="7"/>
  <c r="DG162" i="7" s="1"/>
  <c r="DG113" i="7"/>
  <c r="DG101" i="7"/>
  <c r="DG103" i="7" s="1"/>
  <c r="DL117" i="7"/>
  <c r="DQ117" i="7" s="1"/>
  <c r="DV117" i="7" s="1"/>
  <c r="DG122" i="7"/>
  <c r="DG97" i="7"/>
  <c r="DG98" i="7" s="1"/>
  <c r="DG75" i="7" s="1"/>
  <c r="DJ74" i="7"/>
  <c r="DL275" i="3"/>
  <c r="DL283" i="3" s="1"/>
  <c r="DG275" i="3"/>
  <c r="DG283" i="3" s="1"/>
  <c r="DG285" i="3" s="1"/>
  <c r="DG125" i="2"/>
  <c r="DL125" i="2"/>
  <c r="H70" i="6"/>
  <c r="H71" i="6"/>
  <c r="AV148" i="2"/>
  <c r="AE31" i="2"/>
  <c r="AE32" i="2"/>
  <c r="AE34" i="2"/>
  <c r="AE43" i="2"/>
  <c r="AE35" i="2"/>
  <c r="AD40" i="7"/>
  <c r="AD41" i="7"/>
  <c r="BI61" i="2"/>
  <c r="O32" i="2"/>
  <c r="O34" i="2"/>
  <c r="O31" i="2"/>
  <c r="O43" i="2"/>
  <c r="O35" i="2"/>
  <c r="DF106" i="2"/>
  <c r="DF111" i="2"/>
  <c r="DG17" i="2"/>
  <c r="DG67" i="2"/>
  <c r="DG75" i="2" s="1"/>
  <c r="AX12" i="5" s="1"/>
  <c r="DG59" i="2"/>
  <c r="DF101" i="2"/>
  <c r="AB40" i="7"/>
  <c r="AB41" i="7"/>
  <c r="BF148" i="2"/>
  <c r="AD70" i="6"/>
  <c r="AD71" i="6"/>
  <c r="Q32" i="2"/>
  <c r="Q43" i="2"/>
  <c r="Q31" i="2"/>
  <c r="Q34" i="2"/>
  <c r="Q35" i="2"/>
  <c r="AD36" i="2"/>
  <c r="Y70" i="6"/>
  <c r="Y40" i="7"/>
  <c r="BB67" i="2"/>
  <c r="BB17" i="2"/>
  <c r="BB59" i="2"/>
  <c r="BG59" i="2"/>
  <c r="AI34" i="2"/>
  <c r="AI43" i="2"/>
  <c r="AI35" i="2"/>
  <c r="AI32" i="2"/>
  <c r="AI31" i="2"/>
  <c r="AC67" i="2"/>
  <c r="AC17" i="2"/>
  <c r="AH59" i="2"/>
  <c r="DG162" i="2"/>
  <c r="AB70" i="6"/>
  <c r="AB71" i="6"/>
  <c r="H41" i="7"/>
  <c r="H40" i="7"/>
  <c r="U43" i="2"/>
  <c r="U31" i="2"/>
  <c r="U32" i="2"/>
  <c r="U34" i="2"/>
  <c r="U35" i="2"/>
  <c r="BA22" i="2"/>
  <c r="BA24" i="2" s="1"/>
  <c r="BA27" i="2" s="1"/>
  <c r="BA29" i="2" s="1"/>
  <c r="BA15" i="2"/>
  <c r="BA67" i="8" s="1"/>
  <c r="T43" i="2"/>
  <c r="T35" i="2"/>
  <c r="Y36" i="2" s="1"/>
  <c r="T34" i="2"/>
  <c r="T31" i="2"/>
  <c r="T32" i="2"/>
  <c r="DJ85" i="7"/>
  <c r="DJ73" i="7"/>
  <c r="DJ77" i="7"/>
  <c r="DM168" i="7"/>
  <c r="AY31" i="2"/>
  <c r="AY35" i="2"/>
  <c r="AY32" i="2"/>
  <c r="AY34" i="2"/>
  <c r="AY43" i="2"/>
  <c r="BA91" i="2"/>
  <c r="BF91" i="2"/>
  <c r="Y39" i="2"/>
  <c r="Y45" i="2"/>
  <c r="Y38" i="2" s="1"/>
  <c r="DK311" i="6"/>
  <c r="DL74" i="7"/>
  <c r="DM74" i="7"/>
  <c r="DM97" i="7" s="1"/>
  <c r="DM98" i="7" s="1"/>
  <c r="DK74" i="7"/>
  <c r="F38" i="2" l="1"/>
  <c r="F45" i="2"/>
  <c r="F39" i="2"/>
  <c r="AP54" i="5"/>
  <c r="AT54" i="5"/>
  <c r="AR54" i="5"/>
  <c r="AN54" i="5"/>
  <c r="I15" i="2"/>
  <c r="I70" i="2"/>
  <c r="I153" i="2"/>
  <c r="I151" i="2" s="1"/>
  <c r="I22" i="2"/>
  <c r="I152" i="2"/>
  <c r="G40" i="2"/>
  <c r="H40" i="2"/>
  <c r="BU100" i="2"/>
  <c r="BU28" i="7"/>
  <c r="BZ27" i="7"/>
  <c r="BU29" i="7"/>
  <c r="DK172" i="7"/>
  <c r="DK96" i="7"/>
  <c r="AN61" i="5"/>
  <c r="DQ157" i="3"/>
  <c r="DP33" i="3"/>
  <c r="DS138" i="3"/>
  <c r="AP61" i="5"/>
  <c r="AR61" i="5"/>
  <c r="CS312" i="3"/>
  <c r="CS63" i="3"/>
  <c r="BI60" i="5"/>
  <c r="DO321" i="3"/>
  <c r="DO45" i="3"/>
  <c r="DO300" i="3"/>
  <c r="CT63" i="3"/>
  <c r="CT65" i="3" s="1"/>
  <c r="CT312" i="3"/>
  <c r="DO290" i="3"/>
  <c r="AT61" i="5"/>
  <c r="DF63" i="3"/>
  <c r="DU37" i="3"/>
  <c r="DT37" i="3"/>
  <c r="DP45" i="3"/>
  <c r="DP300" i="3"/>
  <c r="DY328" i="6"/>
  <c r="DO216" i="6"/>
  <c r="DO200" i="6" s="1"/>
  <c r="DV51" i="7"/>
  <c r="DW51" i="7" s="1"/>
  <c r="DX51" i="7" s="1"/>
  <c r="DO54" i="7"/>
  <c r="BP148" i="2"/>
  <c r="T86" i="9"/>
  <c r="T21" i="9"/>
  <c r="BN65" i="6"/>
  <c r="BN68" i="6"/>
  <c r="BN245" i="6"/>
  <c r="BN243" i="6"/>
  <c r="BS245" i="6"/>
  <c r="BN258" i="6"/>
  <c r="BN257" i="6"/>
  <c r="BN105" i="2"/>
  <c r="BN107" i="2" s="1"/>
  <c r="BN108" i="2" s="1"/>
  <c r="BN252" i="6"/>
  <c r="BN27" i="6"/>
  <c r="BN247" i="6"/>
  <c r="DK50" i="3"/>
  <c r="DK162" i="3" s="1"/>
  <c r="DW427" i="8"/>
  <c r="DL49" i="3"/>
  <c r="DL50" i="3" s="1"/>
  <c r="O86" i="9"/>
  <c r="O103" i="9" s="1"/>
  <c r="O21" i="9"/>
  <c r="CQ316" i="6"/>
  <c r="CU315" i="6"/>
  <c r="CY113" i="2"/>
  <c r="BM160" i="2"/>
  <c r="BM163" i="2" s="1"/>
  <c r="DX216" i="6"/>
  <c r="DX13" i="6"/>
  <c r="DX180" i="6" s="1"/>
  <c r="CU212" i="6"/>
  <c r="CS235" i="6"/>
  <c r="AR71" i="5"/>
  <c r="AN71" i="5"/>
  <c r="AT71" i="5"/>
  <c r="AP71" i="5"/>
  <c r="CL165" i="6"/>
  <c r="CL166" i="6" s="1"/>
  <c r="CL114" i="6"/>
  <c r="CL120" i="6" s="1"/>
  <c r="CL161" i="6"/>
  <c r="CL182" i="6"/>
  <c r="CA171" i="6"/>
  <c r="BL212" i="6"/>
  <c r="BK214" i="6"/>
  <c r="BV235" i="6"/>
  <c r="BV195" i="6"/>
  <c r="I117" i="9" s="1"/>
  <c r="CE214" i="6"/>
  <c r="CE198" i="6" s="1"/>
  <c r="CE236" i="6"/>
  <c r="CF213" i="6"/>
  <c r="CZ94" i="6"/>
  <c r="CF96" i="6"/>
  <c r="BK191" i="6"/>
  <c r="BN114" i="6"/>
  <c r="BN161" i="6"/>
  <c r="BN165" i="6"/>
  <c r="BN166" i="6" s="1"/>
  <c r="BN182" i="6"/>
  <c r="BS161" i="6"/>
  <c r="CL231" i="6"/>
  <c r="CL208" i="6"/>
  <c r="CL191" i="6" s="1"/>
  <c r="BX132" i="6"/>
  <c r="BX139" i="6" s="1"/>
  <c r="BX172" i="6"/>
  <c r="BX176" i="6"/>
  <c r="BX177" i="6" s="1"/>
  <c r="CQ114" i="6"/>
  <c r="CQ120" i="6" s="1"/>
  <c r="CQ165" i="6"/>
  <c r="CQ166" i="6" s="1"/>
  <c r="CQ161" i="6"/>
  <c r="CQ182" i="6"/>
  <c r="CB275" i="6"/>
  <c r="CB268" i="6"/>
  <c r="CB271" i="6"/>
  <c r="CB277" i="6" s="1"/>
  <c r="CB183" i="6"/>
  <c r="CB272" i="6"/>
  <c r="CB267" i="6"/>
  <c r="CB273" i="6"/>
  <c r="BP231" i="6"/>
  <c r="BP208" i="6"/>
  <c r="CP93" i="6"/>
  <c r="CP308" i="6" s="1"/>
  <c r="CR310" i="6" s="1"/>
  <c r="CP132" i="6"/>
  <c r="CP96" i="6"/>
  <c r="CP101" i="6" s="1"/>
  <c r="BL208" i="6"/>
  <c r="AT66" i="5"/>
  <c r="AR66" i="5"/>
  <c r="AP66" i="5"/>
  <c r="AN66" i="5"/>
  <c r="AR126" i="9"/>
  <c r="BQ160" i="6"/>
  <c r="BQ148" i="6"/>
  <c r="CD176" i="6"/>
  <c r="CD177" i="6" s="1"/>
  <c r="CD172" i="6"/>
  <c r="CD132" i="6"/>
  <c r="CD139" i="6" s="1"/>
  <c r="BX235" i="6"/>
  <c r="CA212" i="6"/>
  <c r="BX214" i="6"/>
  <c r="BX198" i="6" s="1"/>
  <c r="BL151" i="6"/>
  <c r="BL176" i="6"/>
  <c r="BL177" i="6" s="1"/>
  <c r="CQ208" i="6"/>
  <c r="CQ231" i="6"/>
  <c r="CU206" i="6"/>
  <c r="DW13" i="6"/>
  <c r="DW180" i="6" s="1"/>
  <c r="DW216" i="6"/>
  <c r="DU180" i="6"/>
  <c r="DS216" i="6"/>
  <c r="DS13" i="6"/>
  <c r="DS180" i="6" s="1"/>
  <c r="AP75" i="5"/>
  <c r="DE37" i="6"/>
  <c r="AR75" i="5"/>
  <c r="AT75" i="5"/>
  <c r="AR129" i="9"/>
  <c r="AR130" i="9" s="1"/>
  <c r="AN75" i="5"/>
  <c r="BN231" i="6"/>
  <c r="BQ206" i="6"/>
  <c r="BN208" i="6"/>
  <c r="CA213" i="6"/>
  <c r="BX236" i="6"/>
  <c r="CD235" i="6"/>
  <c r="CD214" i="6"/>
  <c r="CD198" i="6" s="1"/>
  <c r="BP172" i="6"/>
  <c r="BK176" i="6"/>
  <c r="BK177" i="6" s="1"/>
  <c r="BK132" i="6"/>
  <c r="CE172" i="6"/>
  <c r="CE132" i="6"/>
  <c r="CE176" i="6"/>
  <c r="CE177" i="6" s="1"/>
  <c r="DR216" i="6"/>
  <c r="DR13" i="6"/>
  <c r="DT179" i="6"/>
  <c r="CB120" i="6"/>
  <c r="CG120" i="6"/>
  <c r="BP114" i="6"/>
  <c r="BP120" i="6" s="1"/>
  <c r="BP165" i="6"/>
  <c r="BP166" i="6" s="1"/>
  <c r="BP161" i="6"/>
  <c r="BP182" i="6"/>
  <c r="DY179" i="6"/>
  <c r="DD103" i="2"/>
  <c r="BH21" i="9"/>
  <c r="DU27" i="7" s="1"/>
  <c r="DO198" i="3"/>
  <c r="DX131" i="7"/>
  <c r="DN131" i="7"/>
  <c r="DS131" i="7"/>
  <c r="DU131" i="7"/>
  <c r="DW131" i="7"/>
  <c r="BF21" i="9"/>
  <c r="DS27" i="7" s="1"/>
  <c r="B107" i="9"/>
  <c r="BI108" i="9" s="1"/>
  <c r="DV91" i="6" s="1"/>
  <c r="AQ21" i="9"/>
  <c r="AU21" i="9"/>
  <c r="AX21" i="9"/>
  <c r="DK26" i="7" s="1"/>
  <c r="DK100" i="2" s="1"/>
  <c r="AT21" i="9"/>
  <c r="BK21" i="9"/>
  <c r="DX27" i="7" s="1"/>
  <c r="DR131" i="7"/>
  <c r="AI21" i="9"/>
  <c r="AZ21" i="9"/>
  <c r="DM26" i="7" s="1"/>
  <c r="DM100" i="2" s="1"/>
  <c r="AJ21" i="9"/>
  <c r="Z21" i="9"/>
  <c r="AS21" i="9"/>
  <c r="AA21" i="9"/>
  <c r="DV131" i="7"/>
  <c r="BI21" i="9"/>
  <c r="DV27" i="7" s="1"/>
  <c r="AK21" i="9"/>
  <c r="BA21" i="9"/>
  <c r="DN26" i="7" s="1"/>
  <c r="Y21" i="9"/>
  <c r="AN21" i="9"/>
  <c r="BD21" i="9"/>
  <c r="DQ27" i="7" s="1"/>
  <c r="DQ26" i="7" s="1"/>
  <c r="AO21" i="9"/>
  <c r="DM129" i="7"/>
  <c r="DM128" i="7" s="1"/>
  <c r="BJ21" i="9"/>
  <c r="DW27" i="7" s="1"/>
  <c r="BG67" i="2"/>
  <c r="BL75" i="2" s="1"/>
  <c r="CO59" i="2"/>
  <c r="BC91" i="2"/>
  <c r="DK15" i="7"/>
  <c r="DK168" i="7" s="1"/>
  <c r="CT59" i="2"/>
  <c r="AK40" i="7"/>
  <c r="AR139" i="2"/>
  <c r="CZ124" i="2"/>
  <c r="BE43" i="2"/>
  <c r="BE39" i="2" s="1"/>
  <c r="BE41" i="7" s="1"/>
  <c r="AM96" i="2"/>
  <c r="AW58" i="2"/>
  <c r="AR68" i="2"/>
  <c r="AW76" i="2" s="1"/>
  <c r="DW127" i="7"/>
  <c r="DW15" i="7" s="1"/>
  <c r="BW29" i="7"/>
  <c r="BW100" i="2"/>
  <c r="BW28" i="7"/>
  <c r="BJ243" i="6"/>
  <c r="BK245" i="6"/>
  <c r="BJ245" i="6"/>
  <c r="BH247" i="6"/>
  <c r="BH27" i="6"/>
  <c r="BH257" i="6"/>
  <c r="BH105" i="2"/>
  <c r="S241" i="3"/>
  <c r="S242" i="3" s="1"/>
  <c r="S249" i="3"/>
  <c r="BW158" i="2"/>
  <c r="BW32" i="7"/>
  <c r="BJ247" i="6"/>
  <c r="BJ257" i="6"/>
  <c r="BJ27" i="6"/>
  <c r="BJ105" i="2"/>
  <c r="CC151" i="2"/>
  <c r="CY59" i="2"/>
  <c r="AR242" i="3"/>
  <c r="CF60" i="2"/>
  <c r="CI166" i="2"/>
  <c r="DC15" i="2"/>
  <c r="DC22" i="2"/>
  <c r="BE31" i="2"/>
  <c r="CZ242" i="3"/>
  <c r="BM91" i="2"/>
  <c r="BE35" i="2"/>
  <c r="AR12" i="2"/>
  <c r="AW59" i="2" s="1"/>
  <c r="CT113" i="2"/>
  <c r="CB102" i="2"/>
  <c r="CB115" i="2"/>
  <c r="CB173" i="7"/>
  <c r="S181" i="3"/>
  <c r="S252" i="3"/>
  <c r="BO32" i="7"/>
  <c r="BO158" i="2"/>
  <c r="BI245" i="6"/>
  <c r="BH243" i="6"/>
  <c r="BM244" i="6" s="1"/>
  <c r="AR58" i="2"/>
  <c r="AR247" i="3"/>
  <c r="BM76" i="2"/>
  <c r="DC70" i="2"/>
  <c r="CZ274" i="3"/>
  <c r="BE34" i="2"/>
  <c r="AJ41" i="7"/>
  <c r="AR90" i="2"/>
  <c r="AW91" i="2" s="1"/>
  <c r="BJ115" i="2"/>
  <c r="BJ106" i="2" s="1"/>
  <c r="AW153" i="2"/>
  <c r="AW22" i="2"/>
  <c r="AW15" i="2"/>
  <c r="AW70" i="2"/>
  <c r="W5" i="5"/>
  <c r="T5" i="5"/>
  <c r="DJ173" i="7"/>
  <c r="BH108" i="9"/>
  <c r="DU91" i="6" s="1"/>
  <c r="DV127" i="7"/>
  <c r="CJ12" i="3"/>
  <c r="CJ14" i="3"/>
  <c r="CJ298" i="3" s="1"/>
  <c r="CK318" i="3"/>
  <c r="CK299" i="3"/>
  <c r="H21" i="9"/>
  <c r="CK11" i="3"/>
  <c r="CK14" i="3" s="1"/>
  <c r="CR64" i="3"/>
  <c r="CR65" i="3" s="1"/>
  <c r="CR67" i="3" s="1"/>
  <c r="CQ67" i="3"/>
  <c r="CJ136" i="2"/>
  <c r="CK132" i="2"/>
  <c r="CJ131" i="2"/>
  <c r="CJ135" i="2"/>
  <c r="DG63" i="3"/>
  <c r="DG312" i="3"/>
  <c r="BX207" i="3"/>
  <c r="BS207" i="3"/>
  <c r="CY210" i="3"/>
  <c r="CY211" i="3" s="1"/>
  <c r="CY198" i="3"/>
  <c r="DE63" i="3"/>
  <c r="CZ197" i="3"/>
  <c r="DF13" i="8"/>
  <c r="CK13" i="8"/>
  <c r="CL13" i="8"/>
  <c r="CJ15" i="8"/>
  <c r="AE45" i="5"/>
  <c r="DE58" i="2"/>
  <c r="X76" i="2"/>
  <c r="BD67" i="8"/>
  <c r="BD91" i="2"/>
  <c r="BO59" i="2"/>
  <c r="BM96" i="2"/>
  <c r="CX103" i="2"/>
  <c r="BI59" i="2"/>
  <c r="J71" i="6"/>
  <c r="DR129" i="7"/>
  <c r="DR128" i="7" s="1"/>
  <c r="AS70" i="6"/>
  <c r="BJ67" i="2"/>
  <c r="BO75" i="2" s="1"/>
  <c r="CB166" i="2"/>
  <c r="DB152" i="2"/>
  <c r="CI152" i="2"/>
  <c r="BY70" i="2"/>
  <c r="BY71" i="2"/>
  <c r="BY79" i="2" s="1"/>
  <c r="BY15" i="2"/>
  <c r="BY22" i="2"/>
  <c r="AS40" i="7"/>
  <c r="BT75" i="2"/>
  <c r="BE96" i="2"/>
  <c r="BD22" i="2"/>
  <c r="BD24" i="2" s="1"/>
  <c r="BD27" i="2" s="1"/>
  <c r="BD29" i="2" s="1"/>
  <c r="AY101" i="2"/>
  <c r="CE67" i="2"/>
  <c r="CE17" i="2"/>
  <c r="BE40" i="7"/>
  <c r="G41" i="7"/>
  <c r="G40" i="7"/>
  <c r="BF101" i="2"/>
  <c r="X91" i="2"/>
  <c r="DP127" i="7"/>
  <c r="DP129" i="7" s="1"/>
  <c r="P71" i="6"/>
  <c r="BG76" i="2"/>
  <c r="BH59" i="2"/>
  <c r="AR17" i="2"/>
  <c r="AR15" i="2" s="1"/>
  <c r="BH17" i="2"/>
  <c r="DD113" i="2"/>
  <c r="CY108" i="2"/>
  <c r="BO28" i="7"/>
  <c r="BO100" i="2"/>
  <c r="BO29" i="7"/>
  <c r="BF15" i="2"/>
  <c r="BF22" i="2"/>
  <c r="BF24" i="2" s="1"/>
  <c r="BF27" i="2" s="1"/>
  <c r="BF29" i="2" s="1"/>
  <c r="BM75" i="2"/>
  <c r="BS162" i="2"/>
  <c r="BM59" i="2"/>
  <c r="BH115" i="2"/>
  <c r="BH106" i="2" s="1"/>
  <c r="CS76" i="2"/>
  <c r="DJ127" i="7"/>
  <c r="CX96" i="2"/>
  <c r="CV103" i="2"/>
  <c r="CF19" i="8"/>
  <c r="CF433" i="8"/>
  <c r="CF430" i="8"/>
  <c r="CC438" i="8"/>
  <c r="BU162" i="2"/>
  <c r="BY96" i="2"/>
  <c r="CG59" i="8"/>
  <c r="CG19" i="8"/>
  <c r="BB67" i="3"/>
  <c r="BG64" i="3"/>
  <c r="BG65" i="3" s="1"/>
  <c r="CH430" i="8"/>
  <c r="CH431" i="8" s="1"/>
  <c r="CO153" i="2"/>
  <c r="CO22" i="2"/>
  <c r="CO70" i="2"/>
  <c r="CO15" i="2"/>
  <c r="BE70" i="6"/>
  <c r="BN59" i="2"/>
  <c r="AR67" i="2"/>
  <c r="DB71" i="6"/>
  <c r="AO122" i="9" s="1"/>
  <c r="CA89" i="2"/>
  <c r="CA92" i="2" s="1"/>
  <c r="CZ107" i="2"/>
  <c r="CZ112" i="2"/>
  <c r="BW15" i="2"/>
  <c r="BW71" i="2"/>
  <c r="BW22" i="2"/>
  <c r="BW70" i="2"/>
  <c r="CB78" i="2" s="1"/>
  <c r="CB62" i="2"/>
  <c r="BN67" i="2"/>
  <c r="AK70" i="6"/>
  <c r="AR59" i="2"/>
  <c r="BG96" i="2"/>
  <c r="CA60" i="2"/>
  <c r="CZ90" i="2"/>
  <c r="CZ91" i="2" s="1"/>
  <c r="CZ247" i="3"/>
  <c r="J41" i="7"/>
  <c r="BU244" i="6"/>
  <c r="BP244" i="6"/>
  <c r="AS39" i="2"/>
  <c r="AS45" i="2"/>
  <c r="AS38" i="2" s="1"/>
  <c r="CY17" i="2"/>
  <c r="CY62" i="2" s="1"/>
  <c r="CY67" i="2"/>
  <c r="BP253" i="6"/>
  <c r="BP259" i="6"/>
  <c r="CS59" i="2"/>
  <c r="CZ139" i="2"/>
  <c r="CZ68" i="2"/>
  <c r="AK45" i="5" s="1"/>
  <c r="CZ95" i="2"/>
  <c r="AM76" i="2"/>
  <c r="AS40" i="2"/>
  <c r="BP248" i="6"/>
  <c r="BU250" i="6"/>
  <c r="BP250" i="6"/>
  <c r="BX17" i="2"/>
  <c r="BX67" i="2"/>
  <c r="CC75" i="2" s="1"/>
  <c r="CC59" i="2"/>
  <c r="CP207" i="3"/>
  <c r="CK207" i="3"/>
  <c r="DA70" i="2"/>
  <c r="DA15" i="2"/>
  <c r="DA22" i="2"/>
  <c r="DA153" i="2"/>
  <c r="CY41" i="7"/>
  <c r="AL22" i="9" s="1"/>
  <c r="CY71" i="6"/>
  <c r="AL122" i="9" s="1"/>
  <c r="L38" i="2"/>
  <c r="L45" i="2"/>
  <c r="L39" i="2"/>
  <c r="V39" i="2"/>
  <c r="V45" i="2"/>
  <c r="V38" i="2" s="1"/>
  <c r="DE95" i="2"/>
  <c r="DE139" i="2"/>
  <c r="DE112" i="2"/>
  <c r="DE124" i="2"/>
  <c r="DE125" i="2" s="1"/>
  <c r="DE247" i="3"/>
  <c r="DE102" i="2"/>
  <c r="DE291" i="3"/>
  <c r="DE183" i="3"/>
  <c r="DE184" i="3" s="1"/>
  <c r="DE275" i="3" s="1"/>
  <c r="DE283" i="3" s="1"/>
  <c r="DE285" i="3" s="1"/>
  <c r="DE274" i="3"/>
  <c r="DE242" i="3"/>
  <c r="DE90" i="2"/>
  <c r="DE68" i="2"/>
  <c r="CS96" i="2"/>
  <c r="CD149" i="2"/>
  <c r="CW125" i="2"/>
  <c r="AU39" i="2"/>
  <c r="AU71" i="6" s="1"/>
  <c r="AU45" i="2"/>
  <c r="AU38" i="2" s="1"/>
  <c r="CR17" i="2"/>
  <c r="CW62" i="2" s="1"/>
  <c r="CR67" i="2"/>
  <c r="CW75" i="2" s="1"/>
  <c r="CI108" i="2"/>
  <c r="CD108" i="2"/>
  <c r="AX96" i="2"/>
  <c r="BC96" i="2"/>
  <c r="BL24" i="2"/>
  <c r="BL72" i="2"/>
  <c r="BX298" i="3"/>
  <c r="DE12" i="2"/>
  <c r="DE59" i="2" s="1"/>
  <c r="DD67" i="2"/>
  <c r="DD17" i="2"/>
  <c r="DD59" i="2"/>
  <c r="BX160" i="2"/>
  <c r="BX163" i="2" s="1"/>
  <c r="CC158" i="2"/>
  <c r="CC32" i="7"/>
  <c r="CZ102" i="2"/>
  <c r="CZ103" i="2" s="1"/>
  <c r="CZ291" i="3"/>
  <c r="BV31" i="7"/>
  <c r="BV129" i="2"/>
  <c r="CM125" i="2"/>
  <c r="CH125" i="2"/>
  <c r="CH67" i="2"/>
  <c r="CH75" i="2" s="1"/>
  <c r="CH59" i="2"/>
  <c r="CH17" i="2"/>
  <c r="BG91" i="2"/>
  <c r="AR96" i="2"/>
  <c r="BO149" i="2"/>
  <c r="BR160" i="2"/>
  <c r="L36" i="2"/>
  <c r="L70" i="6"/>
  <c r="BN158" i="2"/>
  <c r="BN32" i="7"/>
  <c r="CD125" i="2"/>
  <c r="CI125" i="2"/>
  <c r="BL67" i="8"/>
  <c r="BL69" i="2"/>
  <c r="BL193" i="3"/>
  <c r="BL227" i="3"/>
  <c r="BL230" i="3" s="1"/>
  <c r="BL167" i="2"/>
  <c r="AZ22" i="2"/>
  <c r="AZ24" i="2" s="1"/>
  <c r="AZ27" i="2" s="1"/>
  <c r="AZ29" i="2" s="1"/>
  <c r="AZ15" i="2"/>
  <c r="AZ67" i="8" s="1"/>
  <c r="DD275" i="3"/>
  <c r="DD283" i="3" s="1"/>
  <c r="DD285" i="3" s="1"/>
  <c r="AP35" i="2"/>
  <c r="AP31" i="2"/>
  <c r="AP32" i="2"/>
  <c r="AP43" i="2"/>
  <c r="AP34" i="2"/>
  <c r="CV17" i="2"/>
  <c r="DA59" i="2"/>
  <c r="CV67" i="2"/>
  <c r="DA75" i="2" s="1"/>
  <c r="AN12" i="5" s="1"/>
  <c r="CC28" i="7"/>
  <c r="CC29" i="7"/>
  <c r="CC173" i="7"/>
  <c r="CH27" i="7"/>
  <c r="CC27" i="7"/>
  <c r="CH173" i="7"/>
  <c r="CC100" i="2"/>
  <c r="DE107" i="2"/>
  <c r="BT29" i="7"/>
  <c r="BT100" i="2"/>
  <c r="BT102" i="2" s="1"/>
  <c r="BT173" i="7"/>
  <c r="BT27" i="7"/>
  <c r="BT28" i="7"/>
  <c r="AX15" i="2"/>
  <c r="AX67" i="8" s="1"/>
  <c r="AX22" i="2"/>
  <c r="AX24" i="2" s="1"/>
  <c r="AX27" i="2" s="1"/>
  <c r="AX29" i="2" s="1"/>
  <c r="BM258" i="6"/>
  <c r="BM27" i="6"/>
  <c r="BM257" i="6"/>
  <c r="BM252" i="6"/>
  <c r="BM247" i="6"/>
  <c r="BM105" i="2"/>
  <c r="DE106" i="2"/>
  <c r="DE101" i="2"/>
  <c r="DE111" i="2"/>
  <c r="BT32" i="7"/>
  <c r="BT158" i="2"/>
  <c r="BT160" i="2" s="1"/>
  <c r="CS103" i="2"/>
  <c r="CV108" i="2"/>
  <c r="AM91" i="2"/>
  <c r="CI91" i="2"/>
  <c r="CD91" i="2"/>
  <c r="BL152" i="2"/>
  <c r="BL151" i="2"/>
  <c r="BS28" i="7"/>
  <c r="BS29" i="7"/>
  <c r="BS100" i="2"/>
  <c r="BS115" i="2" s="1"/>
  <c r="BS106" i="2" s="1"/>
  <c r="CP60" i="2"/>
  <c r="CK89" i="2"/>
  <c r="CK60" i="2"/>
  <c r="CK94" i="2"/>
  <c r="BX27" i="7"/>
  <c r="BX115" i="2"/>
  <c r="BX101" i="2" s="1"/>
  <c r="BX102" i="2"/>
  <c r="CF67" i="2"/>
  <c r="CF17" i="2"/>
  <c r="CL22" i="2"/>
  <c r="CL70" i="2"/>
  <c r="CL15" i="2"/>
  <c r="CL153" i="2"/>
  <c r="CL152" i="2" s="1"/>
  <c r="CA135" i="2"/>
  <c r="CA136" i="2"/>
  <c r="CQ125" i="2"/>
  <c r="CV125" i="2"/>
  <c r="CQ76" i="2"/>
  <c r="CV76" i="2"/>
  <c r="S76" i="2"/>
  <c r="BT70" i="2"/>
  <c r="BT62" i="2"/>
  <c r="CF92" i="2"/>
  <c r="CZ298" i="3"/>
  <c r="CZ317" i="3"/>
  <c r="CZ319" i="3" s="1"/>
  <c r="CZ323" i="3" s="1"/>
  <c r="BY32" i="7"/>
  <c r="BY158" i="2"/>
  <c r="BR28" i="7"/>
  <c r="BW27" i="7"/>
  <c r="BR173" i="7"/>
  <c r="BW173" i="7"/>
  <c r="BR100" i="2"/>
  <c r="BR102" i="2" s="1"/>
  <c r="BR29" i="7"/>
  <c r="BR27" i="7"/>
  <c r="BV26" i="7"/>
  <c r="CA14" i="3"/>
  <c r="CA147" i="3"/>
  <c r="CA12" i="3"/>
  <c r="CA138" i="2" s="1"/>
  <c r="CQ17" i="2"/>
  <c r="CQ59" i="2"/>
  <c r="CQ67" i="2"/>
  <c r="CV59" i="2"/>
  <c r="CQ113" i="2"/>
  <c r="CV113" i="2"/>
  <c r="CD115" i="2"/>
  <c r="CD101" i="2" s="1"/>
  <c r="CD102" i="2"/>
  <c r="BC115" i="2"/>
  <c r="BC106" i="2" s="1"/>
  <c r="BY298" i="6"/>
  <c r="BT298" i="6"/>
  <c r="DF62" i="2"/>
  <c r="AV9" i="5" s="1"/>
  <c r="DF22" i="2"/>
  <c r="DF153" i="2"/>
  <c r="DF152" i="2" s="1"/>
  <c r="DF15" i="2"/>
  <c r="DF70" i="2"/>
  <c r="AM17" i="2"/>
  <c r="AM67" i="2"/>
  <c r="CP14" i="3"/>
  <c r="CP12" i="3"/>
  <c r="CP138" i="2" s="1"/>
  <c r="BK115" i="2"/>
  <c r="BK106" i="2" s="1"/>
  <c r="BP115" i="2"/>
  <c r="BP101" i="2" s="1"/>
  <c r="BT243" i="6"/>
  <c r="BY244" i="6" s="1"/>
  <c r="BY245" i="6"/>
  <c r="DB75" i="2"/>
  <c r="AP12" i="5" s="1"/>
  <c r="CU14" i="3"/>
  <c r="CU12" i="3"/>
  <c r="CU138" i="2" s="1"/>
  <c r="DB193" i="3"/>
  <c r="DB191" i="3" s="1"/>
  <c r="DB167" i="2"/>
  <c r="DB69" i="2"/>
  <c r="S91" i="2"/>
  <c r="BY62" i="2"/>
  <c r="CQ103" i="2"/>
  <c r="CI34" i="2"/>
  <c r="CI27" i="2"/>
  <c r="CI35" i="2"/>
  <c r="CI71" i="2"/>
  <c r="AX115" i="2"/>
  <c r="AX106" i="2" s="1"/>
  <c r="AK38" i="5"/>
  <c r="AP38" i="5"/>
  <c r="AR38" i="5"/>
  <c r="AN38" i="5"/>
  <c r="AT38" i="5"/>
  <c r="BY29" i="7"/>
  <c r="BY28" i="7"/>
  <c r="BY100" i="2"/>
  <c r="BY173" i="7"/>
  <c r="BY27" i="7"/>
  <c r="CA26" i="7"/>
  <c r="CH41" i="7"/>
  <c r="U22" i="9" s="1"/>
  <c r="BT252" i="6"/>
  <c r="BT105" i="2"/>
  <c r="BT257" i="6"/>
  <c r="BT258" i="6"/>
  <c r="BT27" i="6"/>
  <c r="BT247" i="6"/>
  <c r="V21" i="9"/>
  <c r="V86" i="9"/>
  <c r="CF28" i="7"/>
  <c r="CK173" i="7"/>
  <c r="CF100" i="2"/>
  <c r="CF24" i="7"/>
  <c r="CF201" i="7" s="1"/>
  <c r="CF29" i="7"/>
  <c r="CK27" i="7"/>
  <c r="X21" i="9" s="1"/>
  <c r="CW22" i="2"/>
  <c r="CW15" i="2"/>
  <c r="CW70" i="2"/>
  <c r="CW153" i="2"/>
  <c r="N59" i="2"/>
  <c r="N17" i="2"/>
  <c r="N67" i="2"/>
  <c r="N75" i="2" s="1"/>
  <c r="DB24" i="2"/>
  <c r="DB72" i="2"/>
  <c r="AP16" i="5" s="1"/>
  <c r="CZ113" i="2"/>
  <c r="Q21" i="9"/>
  <c r="Q86" i="9"/>
  <c r="BT15" i="2"/>
  <c r="BY61" i="2" s="1"/>
  <c r="CS108" i="2"/>
  <c r="BT245" i="6"/>
  <c r="K70" i="6"/>
  <c r="CF14" i="3"/>
  <c r="CF12" i="3"/>
  <c r="CF138" i="2" s="1"/>
  <c r="CF97" i="2"/>
  <c r="CA97" i="2"/>
  <c r="DC193" i="3"/>
  <c r="DC191" i="3" s="1"/>
  <c r="DC167" i="2"/>
  <c r="DC166" i="2" s="1"/>
  <c r="DC69" i="2"/>
  <c r="DC72" i="2"/>
  <c r="DC24" i="2"/>
  <c r="F207" i="9"/>
  <c r="F171" i="9"/>
  <c r="BT65" i="6"/>
  <c r="BT68" i="6"/>
  <c r="BN100" i="2"/>
  <c r="BS27" i="7"/>
  <c r="BN28" i="7"/>
  <c r="BN27" i="7"/>
  <c r="BN29" i="7"/>
  <c r="BS173" i="7"/>
  <c r="CZ125" i="2"/>
  <c r="CQ96" i="2"/>
  <c r="CV96" i="2"/>
  <c r="CQ91" i="2"/>
  <c r="CV91" i="2"/>
  <c r="CD173" i="7"/>
  <c r="AL35" i="2"/>
  <c r="AL36" i="2" s="1"/>
  <c r="AL32" i="2"/>
  <c r="AL31" i="2"/>
  <c r="AL34" i="2"/>
  <c r="AL43" i="2"/>
  <c r="BS254" i="6"/>
  <c r="M45" i="2"/>
  <c r="M39" i="2"/>
  <c r="M38" i="2"/>
  <c r="AU70" i="6"/>
  <c r="AN70" i="6"/>
  <c r="AN71" i="6"/>
  <c r="K36" i="2"/>
  <c r="P36" i="2"/>
  <c r="CS113" i="2"/>
  <c r="CX113" i="2"/>
  <c r="BH15" i="2"/>
  <c r="BH70" i="2"/>
  <c r="BH78" i="2" s="1"/>
  <c r="BH22" i="2"/>
  <c r="BH71" i="2"/>
  <c r="BH79" i="2" s="1"/>
  <c r="AV31" i="2"/>
  <c r="AV34" i="2"/>
  <c r="AV32" i="2"/>
  <c r="AV35" i="2"/>
  <c r="AV70" i="6" s="1"/>
  <c r="AV43" i="2"/>
  <c r="AU40" i="7"/>
  <c r="CT75" i="2"/>
  <c r="CY75" i="2"/>
  <c r="AK12" i="5" s="1"/>
  <c r="CS67" i="2"/>
  <c r="CS17" i="2"/>
  <c r="CS62" i="2" s="1"/>
  <c r="BO70" i="2"/>
  <c r="BO71" i="2"/>
  <c r="BT79" i="2" s="1"/>
  <c r="BO15" i="2"/>
  <c r="BO22" i="2"/>
  <c r="M36" i="2"/>
  <c r="M40" i="7"/>
  <c r="R36" i="2"/>
  <c r="M70" i="6"/>
  <c r="DC71" i="6"/>
  <c r="AP122" i="9" s="1"/>
  <c r="DC152" i="2"/>
  <c r="CL71" i="6"/>
  <c r="Y122" i="9" s="1"/>
  <c r="X17" i="2"/>
  <c r="X67" i="2"/>
  <c r="AC75" i="2" s="1"/>
  <c r="DC41" i="7"/>
  <c r="AP22" i="9" s="1"/>
  <c r="DC151" i="2"/>
  <c r="CL41" i="7"/>
  <c r="Y22" i="9" s="1"/>
  <c r="CL151" i="2"/>
  <c r="CT153" i="2"/>
  <c r="CT62" i="2"/>
  <c r="CT70" i="2"/>
  <c r="CT22" i="2"/>
  <c r="CT15" i="2"/>
  <c r="AN40" i="7"/>
  <c r="AN41" i="7"/>
  <c r="K38" i="2"/>
  <c r="K39" i="2"/>
  <c r="K41" i="7" s="1"/>
  <c r="K45" i="2"/>
  <c r="AK45" i="2"/>
  <c r="AK38" i="2" s="1"/>
  <c r="AK39" i="2"/>
  <c r="AA35" i="2"/>
  <c r="AF36" i="2" s="1"/>
  <c r="AA31" i="2"/>
  <c r="AA43" i="2"/>
  <c r="AA34" i="2"/>
  <c r="AA32" i="2"/>
  <c r="DK128" i="7"/>
  <c r="DJ100" i="2"/>
  <c r="DJ129" i="7"/>
  <c r="DN127" i="7"/>
  <c r="DS127" i="7" s="1"/>
  <c r="DS15" i="7" s="1"/>
  <c r="DL100" i="2"/>
  <c r="DL173" i="7"/>
  <c r="DM49" i="2"/>
  <c r="DM50" i="2" s="1"/>
  <c r="DO202" i="3"/>
  <c r="DQ196" i="3"/>
  <c r="DK26" i="3"/>
  <c r="DL30" i="3"/>
  <c r="DM142" i="3"/>
  <c r="DM21" i="3" s="1"/>
  <c r="DM141" i="3"/>
  <c r="DM148" i="3"/>
  <c r="DM24" i="3" s="1"/>
  <c r="DL171" i="3"/>
  <c r="DM19" i="3"/>
  <c r="DL26" i="3"/>
  <c r="DO63" i="8"/>
  <c r="DP158" i="3"/>
  <c r="DL145" i="3"/>
  <c r="DL290" i="3"/>
  <c r="DP11" i="3"/>
  <c r="DL162" i="3"/>
  <c r="DK192" i="3"/>
  <c r="DK65" i="8"/>
  <c r="DC325" i="6"/>
  <c r="DC326" i="6"/>
  <c r="DE324" i="6"/>
  <c r="DE325" i="6" s="1"/>
  <c r="DF330" i="6"/>
  <c r="DD324" i="6"/>
  <c r="CK160" i="2"/>
  <c r="CK163" i="2" s="1"/>
  <c r="BV112" i="6"/>
  <c r="BV149" i="6"/>
  <c r="BV113" i="6" s="1"/>
  <c r="CK312" i="6"/>
  <c r="CF312" i="6"/>
  <c r="CA312" i="6"/>
  <c r="CP161" i="6"/>
  <c r="CP165" i="6"/>
  <c r="CZ17" i="2"/>
  <c r="CZ59" i="2"/>
  <c r="CZ67" i="2"/>
  <c r="CM139" i="6"/>
  <c r="CR139" i="6"/>
  <c r="CM218" i="6"/>
  <c r="CM282" i="6" s="1"/>
  <c r="CC120" i="6"/>
  <c r="BX120" i="6"/>
  <c r="CC182" i="6"/>
  <c r="CC273" i="6" s="1"/>
  <c r="CC176" i="6"/>
  <c r="CC177" i="6" s="1"/>
  <c r="CC172" i="6"/>
  <c r="CC132" i="6"/>
  <c r="BR165" i="6"/>
  <c r="BR166" i="6" s="1"/>
  <c r="BR182" i="6"/>
  <c r="BW161" i="6"/>
  <c r="BR114" i="6"/>
  <c r="BR161" i="6"/>
  <c r="S96" i="2"/>
  <c r="X96" i="2"/>
  <c r="CB8" i="3"/>
  <c r="CB29" i="2"/>
  <c r="BL112" i="6"/>
  <c r="BL149" i="6"/>
  <c r="BL113" i="6" s="1"/>
  <c r="BV189" i="6"/>
  <c r="I113" i="9" s="1"/>
  <c r="BV231" i="6"/>
  <c r="AW75" i="2"/>
  <c r="BU71" i="2"/>
  <c r="BU22" i="2"/>
  <c r="BU15" i="2"/>
  <c r="BU70" i="2"/>
  <c r="BV249" i="6"/>
  <c r="CA249" i="6"/>
  <c r="BO198" i="6"/>
  <c r="BO218" i="6"/>
  <c r="BO286" i="6" s="1"/>
  <c r="CP148" i="6"/>
  <c r="DG310" i="6"/>
  <c r="DE309" i="6"/>
  <c r="BX218" i="6"/>
  <c r="BX191" i="6"/>
  <c r="BL249" i="6"/>
  <c r="BQ249" i="6"/>
  <c r="CU34" i="6"/>
  <c r="CU25" i="6"/>
  <c r="CU63" i="6"/>
  <c r="CU67" i="6" s="1"/>
  <c r="CU256" i="6"/>
  <c r="CZ301" i="6" s="1"/>
  <c r="CU242" i="6"/>
  <c r="BP163" i="2"/>
  <c r="BV82" i="6"/>
  <c r="BV101" i="6"/>
  <c r="BV102" i="6" s="1"/>
  <c r="CG280" i="6"/>
  <c r="CG285" i="6"/>
  <c r="CG219" i="6"/>
  <c r="CG226" i="6" s="1"/>
  <c r="CG284" i="6"/>
  <c r="CG225" i="6"/>
  <c r="CG281" i="6"/>
  <c r="CG282" i="6"/>
  <c r="CG286" i="6"/>
  <c r="CG290" i="6" s="1"/>
  <c r="I130" i="9"/>
  <c r="N130" i="9"/>
  <c r="BR139" i="6"/>
  <c r="BR134" i="6" s="1"/>
  <c r="BW139" i="6"/>
  <c r="CN170" i="6"/>
  <c r="CS131" i="6"/>
  <c r="CS170" i="6" s="1"/>
  <c r="CX75" i="2"/>
  <c r="DC75" i="2"/>
  <c r="AR12" i="5" s="1"/>
  <c r="BQ200" i="6"/>
  <c r="AH91" i="2"/>
  <c r="AC91" i="2"/>
  <c r="BO254" i="6"/>
  <c r="BX268" i="6"/>
  <c r="BX272" i="6"/>
  <c r="BX183" i="6"/>
  <c r="BX267" i="6"/>
  <c r="BX275" i="6"/>
  <c r="BX271" i="6"/>
  <c r="CR106" i="2"/>
  <c r="CR101" i="2"/>
  <c r="CR111" i="2"/>
  <c r="CD298" i="6"/>
  <c r="CD302" i="6"/>
  <c r="CI302" i="6"/>
  <c r="CC235" i="6"/>
  <c r="CC214" i="6"/>
  <c r="CA158" i="6"/>
  <c r="BZ206" i="6"/>
  <c r="BZ160" i="6"/>
  <c r="BZ107" i="2"/>
  <c r="BZ90" i="2"/>
  <c r="BZ12" i="2"/>
  <c r="BZ124" i="2"/>
  <c r="BZ112" i="2"/>
  <c r="BZ183" i="3"/>
  <c r="BZ184" i="3" s="1"/>
  <c r="BZ275" i="3" s="1"/>
  <c r="BZ283" i="3" s="1"/>
  <c r="BZ285" i="3" s="1"/>
  <c r="BZ291" i="3"/>
  <c r="BZ68" i="2"/>
  <c r="BZ95" i="2"/>
  <c r="CE58" i="2"/>
  <c r="BZ58" i="2"/>
  <c r="BZ41" i="6"/>
  <c r="BZ274" i="3"/>
  <c r="CB45" i="2"/>
  <c r="CB38" i="2" s="1"/>
  <c r="CB39" i="2"/>
  <c r="CU161" i="6"/>
  <c r="CZ250" i="6"/>
  <c r="BL165" i="6"/>
  <c r="BL191" i="6"/>
  <c r="V207" i="9"/>
  <c r="V171" i="9"/>
  <c r="CM120" i="6"/>
  <c r="CR120" i="6"/>
  <c r="BM71" i="2"/>
  <c r="BM79" i="2" s="1"/>
  <c r="BM70" i="2"/>
  <c r="BM78" i="2" s="1"/>
  <c r="BM15" i="2"/>
  <c r="BM62" i="2"/>
  <c r="BM22" i="2"/>
  <c r="E121" i="9"/>
  <c r="E189" i="9"/>
  <c r="BV151" i="6"/>
  <c r="BV176" i="6"/>
  <c r="BT191" i="6"/>
  <c r="BT218" i="6"/>
  <c r="BT282" i="6"/>
  <c r="X128" i="9"/>
  <c r="AC128" i="9"/>
  <c r="BK90" i="2"/>
  <c r="BK91" i="2" s="1"/>
  <c r="BK183" i="3"/>
  <c r="BK184" i="3" s="1"/>
  <c r="BK58" i="2"/>
  <c r="BK12" i="2"/>
  <c r="BK68" i="2"/>
  <c r="BK76" i="2" s="1"/>
  <c r="BK95" i="2"/>
  <c r="BK96" i="2" s="1"/>
  <c r="AR22" i="2"/>
  <c r="CK308" i="6"/>
  <c r="CK258" i="6"/>
  <c r="X121" i="9" s="1"/>
  <c r="CP94" i="6"/>
  <c r="CF212" i="6"/>
  <c r="BZ102" i="2"/>
  <c r="CH281" i="6"/>
  <c r="CH288" i="6"/>
  <c r="CH219" i="6"/>
  <c r="CH226" i="6" s="1"/>
  <c r="CH285" i="6"/>
  <c r="CH225" i="6"/>
  <c r="CH284" i="6"/>
  <c r="CH280" i="6"/>
  <c r="CH286" i="6"/>
  <c r="BL43" i="6"/>
  <c r="BQ43" i="6"/>
  <c r="CE206" i="6"/>
  <c r="CE160" i="6"/>
  <c r="CF158" i="6"/>
  <c r="CD160" i="2"/>
  <c r="CD162" i="2" s="1"/>
  <c r="CK302" i="6"/>
  <c r="CF302" i="6"/>
  <c r="CA12" i="2"/>
  <c r="CA68" i="2"/>
  <c r="CA183" i="3"/>
  <c r="CA184" i="3" s="1"/>
  <c r="CA275" i="3" s="1"/>
  <c r="CA283" i="3" s="1"/>
  <c r="CA285" i="3" s="1"/>
  <c r="CA112" i="2"/>
  <c r="CA95" i="2"/>
  <c r="CA124" i="2"/>
  <c r="CA274" i="3"/>
  <c r="CA291" i="3"/>
  <c r="CA41" i="6"/>
  <c r="CA90" i="2"/>
  <c r="CF58" i="2"/>
  <c r="CA58" i="2"/>
  <c r="CA139" i="2"/>
  <c r="CA107" i="2"/>
  <c r="K128" i="9"/>
  <c r="F128" i="9"/>
  <c r="CK191" i="6"/>
  <c r="CF152" i="6"/>
  <c r="CF131" i="6" s="1"/>
  <c r="CF130" i="6"/>
  <c r="BR253" i="6"/>
  <c r="BR259" i="6"/>
  <c r="S130" i="9"/>
  <c r="X130" i="9"/>
  <c r="CB218" i="6"/>
  <c r="CB286" i="6" s="1"/>
  <c r="CB198" i="6"/>
  <c r="CA216" i="6"/>
  <c r="BY120" i="6"/>
  <c r="BT120" i="6"/>
  <c r="CG10" i="2"/>
  <c r="CK9" i="2"/>
  <c r="CK10" i="2" s="1"/>
  <c r="H69" i="9"/>
  <c r="H103" i="9"/>
  <c r="BV200" i="6"/>
  <c r="CU107" i="2"/>
  <c r="CU115" i="2"/>
  <c r="AH177" i="9"/>
  <c r="AH109" i="9"/>
  <c r="BV94" i="6"/>
  <c r="BV258" i="6"/>
  <c r="I121" i="9" s="1"/>
  <c r="BV146" i="2"/>
  <c r="BV148" i="2" s="1"/>
  <c r="AO32" i="2"/>
  <c r="AO31" i="2"/>
  <c r="AO43" i="2"/>
  <c r="AO35" i="2"/>
  <c r="AO34" i="2"/>
  <c r="CX70" i="2"/>
  <c r="CX22" i="2"/>
  <c r="CX15" i="2"/>
  <c r="CX153" i="2"/>
  <c r="DC62" i="2"/>
  <c r="AR9" i="5" s="1"/>
  <c r="CX62" i="2"/>
  <c r="AC96" i="2"/>
  <c r="AH96" i="2"/>
  <c r="CH163" i="2"/>
  <c r="CC27" i="2"/>
  <c r="CC43" i="2"/>
  <c r="CC71" i="2"/>
  <c r="CC35" i="2"/>
  <c r="CC34" i="2"/>
  <c r="CP189" i="6"/>
  <c r="CP231" i="6"/>
  <c r="BV214" i="6"/>
  <c r="BV236" i="6"/>
  <c r="BV196" i="6"/>
  <c r="I118" i="9" s="1"/>
  <c r="BO139" i="6"/>
  <c r="BT139" i="6"/>
  <c r="BR232" i="6"/>
  <c r="BR208" i="6"/>
  <c r="DJ328" i="6"/>
  <c r="DO328" i="6"/>
  <c r="S59" i="2"/>
  <c r="S67" i="2"/>
  <c r="S17" i="2"/>
  <c r="X59" i="2"/>
  <c r="CO182" i="6"/>
  <c r="CO269" i="6" s="1"/>
  <c r="CO161" i="6"/>
  <c r="CO114" i="6"/>
  <c r="CO120" i="6" s="1"/>
  <c r="CO165" i="6"/>
  <c r="CO166" i="6" s="1"/>
  <c r="CF93" i="6"/>
  <c r="CF308" i="6" s="1"/>
  <c r="CK91" i="6"/>
  <c r="CF114" i="6"/>
  <c r="CF91" i="6"/>
  <c r="CP9" i="2"/>
  <c r="CP10" i="2" s="1"/>
  <c r="CM10" i="2"/>
  <c r="CB70" i="6"/>
  <c r="CB40" i="7"/>
  <c r="CU112" i="6"/>
  <c r="CU149" i="6"/>
  <c r="CU113" i="6" s="1"/>
  <c r="X181" i="9"/>
  <c r="X113" i="9"/>
  <c r="DR96" i="6"/>
  <c r="CU15" i="2"/>
  <c r="CU70" i="2"/>
  <c r="CU153" i="2"/>
  <c r="CU22" i="2"/>
  <c r="CU24" i="2" s="1"/>
  <c r="CU71" i="2" s="1"/>
  <c r="BR250" i="6"/>
  <c r="BW250" i="6"/>
  <c r="BR248" i="6"/>
  <c r="BQ242" i="3"/>
  <c r="BQ68" i="2"/>
  <c r="BQ76" i="2" s="1"/>
  <c r="BQ102" i="2"/>
  <c r="BQ103" i="2" s="1"/>
  <c r="BQ247" i="3"/>
  <c r="BQ95" i="2"/>
  <c r="BQ96" i="2" s="1"/>
  <c r="BQ291" i="3"/>
  <c r="BQ274" i="3"/>
  <c r="BQ124" i="2"/>
  <c r="BQ12" i="2"/>
  <c r="BQ107" i="2"/>
  <c r="BQ108" i="2" s="1"/>
  <c r="BQ58" i="2"/>
  <c r="BQ90" i="2"/>
  <c r="BQ91" i="2" s="1"/>
  <c r="BQ41" i="6"/>
  <c r="BQ139" i="2"/>
  <c r="BQ112" i="2"/>
  <c r="BQ113" i="2" s="1"/>
  <c r="BQ183" i="3"/>
  <c r="BQ184" i="3" s="1"/>
  <c r="BQ275" i="3" s="1"/>
  <c r="BQ283" i="3" s="1"/>
  <c r="BQ285" i="3" s="1"/>
  <c r="AH70" i="2"/>
  <c r="AH22" i="2"/>
  <c r="AH153" i="2"/>
  <c r="AH15" i="2"/>
  <c r="AM62" i="2"/>
  <c r="CK139" i="6"/>
  <c r="CP139" i="6"/>
  <c r="X109" i="9"/>
  <c r="X177" i="9"/>
  <c r="BJ183" i="6"/>
  <c r="BJ219" i="6"/>
  <c r="BJ226" i="6" s="1"/>
  <c r="BU207" i="6"/>
  <c r="BV207" i="6" s="1"/>
  <c r="BU160" i="6"/>
  <c r="CD207" i="6"/>
  <c r="CF159" i="6"/>
  <c r="CD160" i="6"/>
  <c r="CF296" i="6"/>
  <c r="CF300" i="6"/>
  <c r="CK300" i="6"/>
  <c r="CF301" i="6"/>
  <c r="CK301" i="6"/>
  <c r="CA180" i="6"/>
  <c r="BZ101" i="2"/>
  <c r="BZ111" i="2"/>
  <c r="BV43" i="6"/>
  <c r="CA43" i="6"/>
  <c r="K40" i="7"/>
  <c r="BV182" i="6"/>
  <c r="BV165" i="6"/>
  <c r="AM109" i="9"/>
  <c r="AM177" i="9"/>
  <c r="BS284" i="6"/>
  <c r="BS280" i="6"/>
  <c r="BS285" i="6"/>
  <c r="BS286" i="6"/>
  <c r="BS281" i="6"/>
  <c r="BS219" i="6"/>
  <c r="BS226" i="6" s="1"/>
  <c r="BS288" i="6"/>
  <c r="BS225" i="6"/>
  <c r="AE128" i="9"/>
  <c r="Z128" i="9"/>
  <c r="AC76" i="2"/>
  <c r="AH76" i="2"/>
  <c r="CA296" i="6"/>
  <c r="BR198" i="6"/>
  <c r="BS291" i="3"/>
  <c r="BS95" i="2"/>
  <c r="BS242" i="3"/>
  <c r="BS12" i="2"/>
  <c r="BS124" i="2"/>
  <c r="BS41" i="6"/>
  <c r="BX58" i="2"/>
  <c r="BS90" i="2"/>
  <c r="BS247" i="3"/>
  <c r="BS107" i="2"/>
  <c r="BS68" i="2"/>
  <c r="BS112" i="2"/>
  <c r="BS274" i="3"/>
  <c r="BS183" i="3"/>
  <c r="BS184" i="3" s="1"/>
  <c r="BS275" i="3" s="1"/>
  <c r="BS283" i="3" s="1"/>
  <c r="BS285" i="3" s="1"/>
  <c r="BS58" i="2"/>
  <c r="BV222" i="6"/>
  <c r="I127" i="9"/>
  <c r="BA101" i="2"/>
  <c r="CH282" i="6"/>
  <c r="BO244" i="6"/>
  <c r="BT244" i="6"/>
  <c r="CA232" i="6"/>
  <c r="CA190" i="6"/>
  <c r="N114" i="9" s="1"/>
  <c r="DM180" i="6"/>
  <c r="DO13" i="6"/>
  <c r="BL56" i="6"/>
  <c r="BL61" i="6"/>
  <c r="BL224" i="6" s="1"/>
  <c r="BL58" i="6"/>
  <c r="BQ56" i="6"/>
  <c r="BL244" i="6"/>
  <c r="BQ244" i="6"/>
  <c r="BD115" i="2"/>
  <c r="BD101" i="2" s="1"/>
  <c r="CU308" i="6"/>
  <c r="CZ309" i="6" s="1"/>
  <c r="CU94" i="6"/>
  <c r="CZ139" i="6"/>
  <c r="CU139" i="6"/>
  <c r="CK200" i="6"/>
  <c r="CT161" i="6"/>
  <c r="CT165" i="6"/>
  <c r="CT166" i="6" s="1"/>
  <c r="CT114" i="6"/>
  <c r="BV159" i="2"/>
  <c r="BV30" i="6"/>
  <c r="BV297" i="6"/>
  <c r="CA302" i="6" s="1"/>
  <c r="Q171" i="9"/>
  <c r="Q207" i="9"/>
  <c r="CI213" i="6"/>
  <c r="CK170" i="6"/>
  <c r="CI171" i="6"/>
  <c r="BJ22" i="2"/>
  <c r="BJ70" i="2"/>
  <c r="BO62" i="2"/>
  <c r="BJ71" i="2"/>
  <c r="BJ15" i="2"/>
  <c r="BJ62" i="2"/>
  <c r="BO271" i="6"/>
  <c r="BO183" i="6"/>
  <c r="BO275" i="6"/>
  <c r="BO267" i="6"/>
  <c r="BO272" i="6"/>
  <c r="BO268" i="6"/>
  <c r="BV268" i="6"/>
  <c r="CO232" i="6"/>
  <c r="CP207" i="6"/>
  <c r="CP208" i="6" s="1"/>
  <c r="CP191" i="6" s="1"/>
  <c r="CO208" i="6"/>
  <c r="BZ249" i="6"/>
  <c r="CE249" i="6"/>
  <c r="AQ43" i="2"/>
  <c r="AQ34" i="2"/>
  <c r="AQ31" i="2"/>
  <c r="AQ32" i="2"/>
  <c r="AQ35" i="2"/>
  <c r="CP235" i="6"/>
  <c r="CP195" i="6"/>
  <c r="CB79" i="2"/>
  <c r="CZ249" i="6"/>
  <c r="DE249" i="6"/>
  <c r="CA96" i="6"/>
  <c r="CA114" i="6"/>
  <c r="CA120" i="6" s="1"/>
  <c r="CA91" i="6"/>
  <c r="N108" i="9" s="1"/>
  <c r="CA93" i="6"/>
  <c r="CA308" i="6" s="1"/>
  <c r="CA309" i="6" s="1"/>
  <c r="CF176" i="6"/>
  <c r="CF177" i="6" s="1"/>
  <c r="BO108" i="2"/>
  <c r="CM272" i="6"/>
  <c r="CM183" i="6"/>
  <c r="CM267" i="6"/>
  <c r="CM268" i="6"/>
  <c r="CM275" i="6"/>
  <c r="CM271" i="6"/>
  <c r="BR107" i="2"/>
  <c r="BP95" i="2"/>
  <c r="BP112" i="2"/>
  <c r="BP242" i="3"/>
  <c r="BP68" i="2"/>
  <c r="BP102" i="2"/>
  <c r="BP103" i="2" s="1"/>
  <c r="BP291" i="3"/>
  <c r="BP58" i="2"/>
  <c r="BP12" i="2"/>
  <c r="BP274" i="3"/>
  <c r="BP90" i="2"/>
  <c r="BP41" i="6"/>
  <c r="BP247" i="3"/>
  <c r="BP183" i="3"/>
  <c r="BP184" i="3" s="1"/>
  <c r="BP275" i="3" s="1"/>
  <c r="BP283" i="3" s="1"/>
  <c r="BP285" i="3" s="1"/>
  <c r="BP107" i="2"/>
  <c r="BP124" i="2"/>
  <c r="BU125" i="2" s="1"/>
  <c r="BU58" i="2"/>
  <c r="AC177" i="9"/>
  <c r="AC109" i="9"/>
  <c r="CP315" i="6"/>
  <c r="CK315" i="6"/>
  <c r="CL316" i="6"/>
  <c r="S177" i="9"/>
  <c r="S109" i="9"/>
  <c r="BV112" i="2"/>
  <c r="BV113" i="2" s="1"/>
  <c r="BV242" i="3"/>
  <c r="BV68" i="2"/>
  <c r="BV95" i="2"/>
  <c r="BV41" i="6"/>
  <c r="BV12" i="2"/>
  <c r="BV107" i="2"/>
  <c r="BV108" i="2" s="1"/>
  <c r="BV291" i="3"/>
  <c r="BV58" i="2"/>
  <c r="BV247" i="3"/>
  <c r="BV90" i="2"/>
  <c r="BV91" i="2" s="1"/>
  <c r="BV274" i="3"/>
  <c r="BV183" i="3"/>
  <c r="BV184" i="3" s="1"/>
  <c r="BV275" i="3" s="1"/>
  <c r="BV283" i="3" s="1"/>
  <c r="BV285" i="3" s="1"/>
  <c r="BV124" i="2"/>
  <c r="BV125" i="2" s="1"/>
  <c r="T130" i="9"/>
  <c r="Y130" i="9"/>
  <c r="BT271" i="6"/>
  <c r="BT275" i="6"/>
  <c r="BT183" i="6"/>
  <c r="BT267" i="6"/>
  <c r="BT272" i="6"/>
  <c r="BT268" i="6"/>
  <c r="CA56" i="6"/>
  <c r="BV61" i="6"/>
  <c r="BV224" i="6" s="1"/>
  <c r="BV56" i="6"/>
  <c r="BV58" i="6"/>
  <c r="BQ195" i="6"/>
  <c r="BQ214" i="6"/>
  <c r="DB310" i="6"/>
  <c r="DS85" i="7"/>
  <c r="DR87" i="7"/>
  <c r="CM129" i="7"/>
  <c r="CM113" i="7"/>
  <c r="CR171" i="7"/>
  <c r="CM171" i="7"/>
  <c r="CM161" i="7"/>
  <c r="CM162" i="7" s="1"/>
  <c r="CX117" i="7"/>
  <c r="CX107" i="7"/>
  <c r="CX102" i="7" s="1"/>
  <c r="CZ91" i="7"/>
  <c r="DT51" i="7"/>
  <c r="CZ107" i="7"/>
  <c r="CZ112" i="7" s="1"/>
  <c r="AM18" i="9" s="1"/>
  <c r="CV108" i="7"/>
  <c r="BV108" i="7"/>
  <c r="BV112" i="7"/>
  <c r="I18" i="9" s="1"/>
  <c r="CM102" i="7"/>
  <c r="CM103" i="7" s="1"/>
  <c r="CF111" i="7"/>
  <c r="S17" i="9" s="1"/>
  <c r="CF108" i="7"/>
  <c r="CI75" i="2"/>
  <c r="CD75" i="2"/>
  <c r="W40" i="7"/>
  <c r="W70" i="6"/>
  <c r="W36" i="2"/>
  <c r="AB36" i="2"/>
  <c r="CU113" i="7"/>
  <c r="CU259" i="3"/>
  <c r="CU260" i="3" s="1"/>
  <c r="CU200" i="7"/>
  <c r="CU201" i="7"/>
  <c r="CU197" i="7"/>
  <c r="CU215" i="7"/>
  <c r="CU183" i="7"/>
  <c r="CU188" i="7" s="1"/>
  <c r="CU210" i="7" s="1"/>
  <c r="CV259" i="3"/>
  <c r="CU199" i="7"/>
  <c r="CU198" i="7"/>
  <c r="CZ259" i="3"/>
  <c r="BR70" i="2"/>
  <c r="BR71" i="2"/>
  <c r="BR15" i="2"/>
  <c r="BR22" i="2"/>
  <c r="BR62" i="2"/>
  <c r="BW62" i="2"/>
  <c r="CS98" i="7"/>
  <c r="CU97" i="7"/>
  <c r="CU98" i="7" s="1"/>
  <c r="CU75" i="7" s="1"/>
  <c r="DB129" i="7"/>
  <c r="DB128" i="7" s="1"/>
  <c r="DE127" i="7"/>
  <c r="CP18" i="7"/>
  <c r="CP262" i="3"/>
  <c r="CP263" i="3" s="1"/>
  <c r="CP282" i="3" s="1"/>
  <c r="CU18" i="7"/>
  <c r="CU169" i="7"/>
  <c r="AC26" i="9"/>
  <c r="AH26" i="9"/>
  <c r="CU155" i="7"/>
  <c r="CP197" i="7"/>
  <c r="CP169" i="7"/>
  <c r="CP158" i="7"/>
  <c r="CP159" i="7" s="1"/>
  <c r="CP41" i="6"/>
  <c r="T41" i="5" s="1"/>
  <c r="CP28" i="7"/>
  <c r="CP155" i="7"/>
  <c r="CP21" i="7"/>
  <c r="CP25" i="7"/>
  <c r="CF98" i="7"/>
  <c r="CF75" i="7" s="1"/>
  <c r="AF40" i="7"/>
  <c r="AK36" i="2"/>
  <c r="AF70" i="6"/>
  <c r="AH259" i="3"/>
  <c r="AH260" i="3" s="1"/>
  <c r="BC15" i="2"/>
  <c r="BH62" i="2"/>
  <c r="BC22" i="2"/>
  <c r="BC24" i="2" s="1"/>
  <c r="BC27" i="2" s="1"/>
  <c r="BC29" i="2" s="1"/>
  <c r="BG128" i="7"/>
  <c r="BG130" i="7"/>
  <c r="BG162" i="7"/>
  <c r="BL172" i="7"/>
  <c r="DL15" i="7"/>
  <c r="DL129" i="7"/>
  <c r="DF148" i="2"/>
  <c r="CC80" i="7"/>
  <c r="CC83" i="7" s="1"/>
  <c r="CC82" i="7"/>
  <c r="CC179" i="7"/>
  <c r="CD45" i="7"/>
  <c r="CD54" i="7" s="1"/>
  <c r="J84" i="5"/>
  <c r="S28" i="9"/>
  <c r="X28" i="9"/>
  <c r="S27" i="9"/>
  <c r="CP111" i="7"/>
  <c r="AC17" i="9" s="1"/>
  <c r="AR179" i="7"/>
  <c r="AR57" i="7"/>
  <c r="AW45" i="7"/>
  <c r="AW54" i="7" s="1"/>
  <c r="CF183" i="7"/>
  <c r="CF188" i="7" s="1"/>
  <c r="CF210" i="7" s="1"/>
  <c r="CF197" i="7"/>
  <c r="CF259" i="3"/>
  <c r="CF260" i="3" s="1"/>
  <c r="CF215" i="7"/>
  <c r="CK259" i="3"/>
  <c r="CP107" i="7"/>
  <c r="CP112" i="7" s="1"/>
  <c r="AC18" i="9" s="1"/>
  <c r="BR75" i="2"/>
  <c r="BW75" i="2"/>
  <c r="DD197" i="7"/>
  <c r="DD200" i="7"/>
  <c r="DD259" i="3"/>
  <c r="DD198" i="7"/>
  <c r="DD215" i="7"/>
  <c r="DD183" i="7"/>
  <c r="DD188" i="7" s="1"/>
  <c r="DD210" i="7" s="1"/>
  <c r="DD201" i="7"/>
  <c r="CJ15" i="2"/>
  <c r="CJ153" i="2"/>
  <c r="CJ22" i="2"/>
  <c r="CJ70" i="2"/>
  <c r="CO62" i="2"/>
  <c r="CJ62" i="2"/>
  <c r="DE154" i="7"/>
  <c r="DE142" i="7" s="1"/>
  <c r="DE215" i="7"/>
  <c r="DE168" i="7"/>
  <c r="BQ128" i="7"/>
  <c r="BQ130" i="7"/>
  <c r="BQ131" i="7" s="1"/>
  <c r="BQ162" i="7"/>
  <c r="BQ172" i="7"/>
  <c r="CB98" i="7"/>
  <c r="DE10" i="7"/>
  <c r="DE141" i="7"/>
  <c r="CO96" i="7"/>
  <c r="CO98" i="7" s="1"/>
  <c r="CO75" i="7" s="1"/>
  <c r="CT121" i="7"/>
  <c r="AG36" i="2"/>
  <c r="AG40" i="7"/>
  <c r="AG70" i="6"/>
  <c r="AG39" i="2"/>
  <c r="AG45" i="2"/>
  <c r="AG38" i="2" s="1"/>
  <c r="CS75" i="2"/>
  <c r="CN75" i="2"/>
  <c r="DF97" i="7"/>
  <c r="DF98" i="7" s="1"/>
  <c r="DF75" i="7" s="1"/>
  <c r="DK117" i="7"/>
  <c r="DP117" i="7" s="1"/>
  <c r="DU117" i="7" s="1"/>
  <c r="DF122" i="7"/>
  <c r="CA75" i="7"/>
  <c r="CK98" i="7"/>
  <c r="CK75" i="7" s="1"/>
  <c r="DE160" i="2"/>
  <c r="DE163" i="2" s="1"/>
  <c r="CF101" i="7"/>
  <c r="CF103" i="7" s="1"/>
  <c r="CB259" i="3"/>
  <c r="CB215" i="7"/>
  <c r="CB201" i="7"/>
  <c r="CB183" i="7"/>
  <c r="CB188" i="7" s="1"/>
  <c r="CB210" i="7" s="1"/>
  <c r="CB197" i="7"/>
  <c r="CB198" i="7"/>
  <c r="CB200" i="7"/>
  <c r="DE113" i="7"/>
  <c r="BN75" i="2"/>
  <c r="DA122" i="7"/>
  <c r="CV122" i="7"/>
  <c r="CV97" i="7"/>
  <c r="CV98" i="7" s="1"/>
  <c r="CL129" i="7"/>
  <c r="CQ171" i="7"/>
  <c r="CL171" i="7"/>
  <c r="CL113" i="7"/>
  <c r="CL161" i="7"/>
  <c r="CL162" i="7" s="1"/>
  <c r="CD129" i="7"/>
  <c r="CD113" i="7"/>
  <c r="CD171" i="7"/>
  <c r="CI171" i="7"/>
  <c r="CD161" i="7"/>
  <c r="CD162" i="7" s="1"/>
  <c r="DF161" i="7"/>
  <c r="DF162" i="7" s="1"/>
  <c r="DF113" i="7"/>
  <c r="DF171" i="7"/>
  <c r="DF109" i="7"/>
  <c r="AM197" i="7"/>
  <c r="AM199" i="7"/>
  <c r="AM200" i="7"/>
  <c r="AM201" i="7"/>
  <c r="AM198" i="7"/>
  <c r="CD153" i="2"/>
  <c r="CI62" i="2"/>
  <c r="CD22" i="2"/>
  <c r="CD62" i="2"/>
  <c r="CD15" i="2"/>
  <c r="CD70" i="2"/>
  <c r="W39" i="2"/>
  <c r="W45" i="2"/>
  <c r="W38" i="2" s="1"/>
  <c r="CP117" i="7"/>
  <c r="CP122" i="7" s="1"/>
  <c r="CP102" i="7"/>
  <c r="DG45" i="7"/>
  <c r="DG54" i="7" s="1"/>
  <c r="DF179" i="7"/>
  <c r="DF82" i="7"/>
  <c r="DF80" i="7"/>
  <c r="CX116" i="7"/>
  <c r="CX92" i="7"/>
  <c r="CX106" i="7"/>
  <c r="CX101" i="7"/>
  <c r="CZ90" i="7"/>
  <c r="BI24" i="2"/>
  <c r="BI27" i="2" s="1"/>
  <c r="BI29" i="2" s="1"/>
  <c r="BI72" i="2"/>
  <c r="CU122" i="7"/>
  <c r="BX172" i="7"/>
  <c r="BS130" i="7"/>
  <c r="BS172" i="7"/>
  <c r="BS128" i="7"/>
  <c r="BV129" i="7"/>
  <c r="CO171" i="7"/>
  <c r="CO113" i="7"/>
  <c r="CT171" i="7"/>
  <c r="AF45" i="2"/>
  <c r="AF38" i="2" s="1"/>
  <c r="AF39" i="2"/>
  <c r="CN15" i="2"/>
  <c r="CN62" i="2"/>
  <c r="CN22" i="2"/>
  <c r="CN153" i="2"/>
  <c r="CN70" i="2"/>
  <c r="AR28" i="7"/>
  <c r="AR29" i="7"/>
  <c r="AR27" i="7"/>
  <c r="AW27" i="7"/>
  <c r="BT130" i="7"/>
  <c r="BT128" i="7"/>
  <c r="BT172" i="7"/>
  <c r="BX75" i="7"/>
  <c r="CA146" i="7"/>
  <c r="AJ45" i="7"/>
  <c r="AJ54" i="7" s="1"/>
  <c r="AI57" i="7"/>
  <c r="AI192" i="7"/>
  <c r="BY172" i="7"/>
  <c r="BY128" i="7"/>
  <c r="CA129" i="7"/>
  <c r="BY130" i="7"/>
  <c r="CH98" i="7"/>
  <c r="CN130" i="7"/>
  <c r="CN128" i="7"/>
  <c r="CN172" i="7"/>
  <c r="CF121" i="7"/>
  <c r="CK121" i="7"/>
  <c r="DG172" i="7"/>
  <c r="BN62" i="2"/>
  <c r="BN70" i="2"/>
  <c r="BN22" i="2"/>
  <c r="BN15" i="2"/>
  <c r="BN71" i="2"/>
  <c r="BG70" i="2"/>
  <c r="BL78" i="2" s="1"/>
  <c r="BG22" i="2"/>
  <c r="BL62" i="2"/>
  <c r="BG153" i="2"/>
  <c r="BG15" i="2"/>
  <c r="CM97" i="7"/>
  <c r="CM98" i="7" s="1"/>
  <c r="CM75" i="7" s="1"/>
  <c r="CR122" i="7"/>
  <c r="BN190" i="7"/>
  <c r="BN211" i="7" s="1"/>
  <c r="BV122" i="7"/>
  <c r="CA122" i="7"/>
  <c r="CL97" i="7"/>
  <c r="CP97" i="7" s="1"/>
  <c r="CQ122" i="7"/>
  <c r="DC162" i="2"/>
  <c r="DC165" i="2" s="1"/>
  <c r="CO75" i="2"/>
  <c r="CJ75" i="2"/>
  <c r="BI69" i="2"/>
  <c r="BI77" i="2" s="1"/>
  <c r="BI193" i="3"/>
  <c r="BI191" i="3" s="1"/>
  <c r="BI67" i="8"/>
  <c r="BT61" i="2"/>
  <c r="BT72" i="2"/>
  <c r="BT24" i="2"/>
  <c r="BS161" i="7"/>
  <c r="BS162" i="7" s="1"/>
  <c r="CP92" i="7"/>
  <c r="CP118" i="7" s="1"/>
  <c r="CP116" i="7"/>
  <c r="CP101" i="7"/>
  <c r="CP103" i="7" s="1"/>
  <c r="DQ15" i="7"/>
  <c r="DQ129" i="7"/>
  <c r="V57" i="7"/>
  <c r="W45" i="7"/>
  <c r="W54" i="7" s="1"/>
  <c r="BT161" i="7"/>
  <c r="BT162" i="7" s="1"/>
  <c r="AH181" i="7"/>
  <c r="AH216" i="7"/>
  <c r="CO97" i="7"/>
  <c r="CT122" i="7"/>
  <c r="DK149" i="3"/>
  <c r="DL13" i="3"/>
  <c r="DL14" i="3" s="1"/>
  <c r="DM42" i="2"/>
  <c r="AV56" i="5"/>
  <c r="BB56" i="5"/>
  <c r="AX56" i="5"/>
  <c r="DJ14" i="3"/>
  <c r="DI302" i="3"/>
  <c r="DJ58" i="3"/>
  <c r="DJ16" i="2"/>
  <c r="DK14" i="3"/>
  <c r="BB50" i="5"/>
  <c r="AX50" i="5"/>
  <c r="AV50" i="5"/>
  <c r="BS181" i="7"/>
  <c r="BS216" i="7"/>
  <c r="BW57" i="7"/>
  <c r="BU56" i="7"/>
  <c r="BT58" i="7"/>
  <c r="BT136" i="7"/>
  <c r="BT180" i="7"/>
  <c r="F73" i="9"/>
  <c r="BS137" i="7"/>
  <c r="F8" i="9"/>
  <c r="BS138" i="7"/>
  <c r="DM314" i="6"/>
  <c r="DL315" i="6"/>
  <c r="DE317" i="3"/>
  <c r="DE319" i="3" s="1"/>
  <c r="DE323" i="3" s="1"/>
  <c r="DE298" i="3"/>
  <c r="DK47" i="2"/>
  <c r="BI17" i="5" s="1"/>
  <c r="DK205" i="3"/>
  <c r="DK58" i="3"/>
  <c r="DL204" i="3"/>
  <c r="DL46" i="2"/>
  <c r="DL51" i="2"/>
  <c r="DL96" i="7"/>
  <c r="DL97" i="7"/>
  <c r="AY45" i="2"/>
  <c r="AY38" i="2" s="1"/>
  <c r="AY39" i="2"/>
  <c r="Y41" i="7"/>
  <c r="Y71" i="6"/>
  <c r="AD40" i="2"/>
  <c r="AY40" i="7"/>
  <c r="AY70" i="6"/>
  <c r="AY36" i="2"/>
  <c r="DJ96" i="7"/>
  <c r="U40" i="7"/>
  <c r="U36" i="2"/>
  <c r="U70" i="6"/>
  <c r="Z36" i="2"/>
  <c r="U45" i="2"/>
  <c r="U38" i="2" s="1"/>
  <c r="U39" i="2"/>
  <c r="BB75" i="2"/>
  <c r="BG75" i="2"/>
  <c r="Q39" i="2"/>
  <c r="Q45" i="2"/>
  <c r="Q38" i="2"/>
  <c r="O38" i="2"/>
  <c r="O45" i="2"/>
  <c r="O39" i="2"/>
  <c r="BB82" i="5"/>
  <c r="AX82" i="5"/>
  <c r="AV82" i="5"/>
  <c r="Q40" i="7"/>
  <c r="V36" i="2"/>
  <c r="Q36" i="2"/>
  <c r="Q70" i="6"/>
  <c r="AE40" i="7"/>
  <c r="AE70" i="6"/>
  <c r="AJ36" i="2"/>
  <c r="AE36" i="2"/>
  <c r="T70" i="6"/>
  <c r="T36" i="2"/>
  <c r="T40" i="7"/>
  <c r="AC22" i="2"/>
  <c r="AC62" i="2"/>
  <c r="AC70" i="2"/>
  <c r="AC153" i="2"/>
  <c r="AH62" i="2"/>
  <c r="AC15" i="2"/>
  <c r="AI40" i="7"/>
  <c r="AI36" i="2"/>
  <c r="AI70" i="6"/>
  <c r="AN36" i="2"/>
  <c r="AE39" i="2"/>
  <c r="AE45" i="2"/>
  <c r="AE38" i="2" s="1"/>
  <c r="AV40" i="7"/>
  <c r="DJ86" i="7"/>
  <c r="DJ87" i="7"/>
  <c r="T39" i="2"/>
  <c r="T45" i="2"/>
  <c r="T38" i="2" s="1"/>
  <c r="BA32" i="2"/>
  <c r="BA43" i="2"/>
  <c r="BA34" i="2"/>
  <c r="BA31" i="2"/>
  <c r="BA35" i="2"/>
  <c r="AH75" i="2"/>
  <c r="AI45" i="2"/>
  <c r="AI38" i="2" s="1"/>
  <c r="AI39" i="2"/>
  <c r="BB153" i="2"/>
  <c r="BB22" i="2"/>
  <c r="BB15" i="2"/>
  <c r="BB62" i="2"/>
  <c r="BB70" i="2"/>
  <c r="BG62" i="2"/>
  <c r="DG153" i="2"/>
  <c r="DG22" i="2"/>
  <c r="DG15" i="2"/>
  <c r="DG62" i="2"/>
  <c r="AX9" i="5" s="1"/>
  <c r="DG70" i="2"/>
  <c r="DG78" i="2" s="1"/>
  <c r="AX14" i="5" s="1"/>
  <c r="O36" i="2"/>
  <c r="O70" i="6"/>
  <c r="O40" i="7"/>
  <c r="DL311" i="6"/>
  <c r="DK312" i="6"/>
  <c r="M86" i="9" l="1"/>
  <c r="M21" i="9"/>
  <c r="F40" i="2"/>
  <c r="F71" i="6"/>
  <c r="F41" i="7"/>
  <c r="I67" i="8"/>
  <c r="I69" i="2"/>
  <c r="I193" i="3"/>
  <c r="I191" i="3" s="1"/>
  <c r="BU115" i="2"/>
  <c r="BU102" i="2"/>
  <c r="I24" i="2"/>
  <c r="I72" i="2"/>
  <c r="DK97" i="7"/>
  <c r="DQ33" i="3"/>
  <c r="DR157" i="3"/>
  <c r="DT138" i="3"/>
  <c r="DU138" i="3" s="1"/>
  <c r="DV138" i="3" s="1"/>
  <c r="DW138" i="3" s="1"/>
  <c r="DX138" i="3" s="1"/>
  <c r="DY138" i="3" s="1"/>
  <c r="CS65" i="3"/>
  <c r="CS67" i="3" s="1"/>
  <c r="CU63" i="3"/>
  <c r="O69" i="9"/>
  <c r="CV64" i="3"/>
  <c r="CV65" i="3" s="1"/>
  <c r="CU65" i="3"/>
  <c r="CT67" i="3"/>
  <c r="DT321" i="3"/>
  <c r="DT45" i="3"/>
  <c r="DT300" i="3"/>
  <c r="DU45" i="3"/>
  <c r="DU300" i="3"/>
  <c r="DY37" i="3"/>
  <c r="DT216" i="6"/>
  <c r="DT200" i="6" s="1"/>
  <c r="DY216" i="6"/>
  <c r="DY200" i="6" s="1"/>
  <c r="DT45" i="7"/>
  <c r="DT54" i="7" s="1"/>
  <c r="DO80" i="7"/>
  <c r="DS87" i="7"/>
  <c r="DU85" i="7"/>
  <c r="DY51" i="7"/>
  <c r="DO179" i="7"/>
  <c r="DO183" i="7" s="1"/>
  <c r="DO188" i="7" s="1"/>
  <c r="BJ101" i="2"/>
  <c r="T103" i="9"/>
  <c r="T69" i="9"/>
  <c r="BN244" i="6"/>
  <c r="BS244" i="6"/>
  <c r="BS250" i="6"/>
  <c r="BN250" i="6"/>
  <c r="BN248" i="6"/>
  <c r="BM162" i="2"/>
  <c r="BN253" i="6"/>
  <c r="BN259" i="6"/>
  <c r="DX427" i="8"/>
  <c r="DN49" i="3" s="1"/>
  <c r="DN50" i="3" s="1"/>
  <c r="DM49" i="3"/>
  <c r="CM286" i="6"/>
  <c r="BT78" i="2"/>
  <c r="CE139" i="6"/>
  <c r="CJ139" i="6"/>
  <c r="CA236" i="6"/>
  <c r="CA196" i="6"/>
  <c r="N118" i="9" s="1"/>
  <c r="CQ191" i="6"/>
  <c r="CQ218" i="6"/>
  <c r="CA214" i="6"/>
  <c r="CA198" i="6" s="1"/>
  <c r="CA195" i="6"/>
  <c r="N117" i="9" s="1"/>
  <c r="CA235" i="6"/>
  <c r="CP82" i="6"/>
  <c r="CQ275" i="6"/>
  <c r="CQ271" i="6"/>
  <c r="CQ269" i="6"/>
  <c r="CQ268" i="6"/>
  <c r="CQ267" i="6"/>
  <c r="CQ277" i="6" s="1"/>
  <c r="CQ273" i="6"/>
  <c r="CQ272" i="6"/>
  <c r="CQ183" i="6"/>
  <c r="CF101" i="6"/>
  <c r="CF82" i="6"/>
  <c r="CF196" i="6"/>
  <c r="CF236" i="6"/>
  <c r="CL183" i="6"/>
  <c r="CL267" i="6"/>
  <c r="CL275" i="6"/>
  <c r="CL269" i="6"/>
  <c r="CL273" i="6"/>
  <c r="CL272" i="6"/>
  <c r="CL268" i="6"/>
  <c r="CL271" i="6"/>
  <c r="DT13" i="6"/>
  <c r="DR180" i="6"/>
  <c r="BN218" i="6"/>
  <c r="BN191" i="6"/>
  <c r="BQ112" i="6"/>
  <c r="BQ118" i="6" s="1"/>
  <c r="BQ149" i="6"/>
  <c r="BQ113" i="6" s="1"/>
  <c r="BS120" i="6"/>
  <c r="BN120" i="6"/>
  <c r="BK198" i="6"/>
  <c r="CU235" i="6"/>
  <c r="CU195" i="6"/>
  <c r="BT277" i="6"/>
  <c r="BP268" i="6"/>
  <c r="BP183" i="6"/>
  <c r="BP272" i="6"/>
  <c r="BP271" i="6"/>
  <c r="BP275" i="6"/>
  <c r="BP267" i="6"/>
  <c r="BK139" i="6"/>
  <c r="BP139" i="6"/>
  <c r="DY13" i="6"/>
  <c r="CU231" i="6"/>
  <c r="CU189" i="6"/>
  <c r="BL152" i="6"/>
  <c r="BL131" i="6" s="1"/>
  <c r="BQ138" i="6" s="1"/>
  <c r="BL130" i="6"/>
  <c r="BQ137" i="6" s="1"/>
  <c r="BQ165" i="6"/>
  <c r="BN272" i="6"/>
  <c r="BN275" i="6"/>
  <c r="BN183" i="6"/>
  <c r="BN268" i="6"/>
  <c r="BN271" i="6"/>
  <c r="BN267" i="6"/>
  <c r="BK218" i="6"/>
  <c r="BK286" i="6" s="1"/>
  <c r="BL214" i="6"/>
  <c r="BL218" i="6" s="1"/>
  <c r="BS290" i="6"/>
  <c r="BQ119" i="6"/>
  <c r="BV119" i="6"/>
  <c r="BQ189" i="6"/>
  <c r="BQ208" i="6"/>
  <c r="BQ191" i="6" s="1"/>
  <c r="BP191" i="6"/>
  <c r="BP218" i="6"/>
  <c r="CA151" i="6"/>
  <c r="CA176" i="6"/>
  <c r="CA177" i="6" s="1"/>
  <c r="DP26" i="7"/>
  <c r="DP100" i="2" s="1"/>
  <c r="DK173" i="7"/>
  <c r="BR115" i="2"/>
  <c r="BR106" i="2" s="1"/>
  <c r="AI108" i="9"/>
  <c r="DM172" i="7"/>
  <c r="AX108" i="9"/>
  <c r="DK91" i="6" s="1"/>
  <c r="DK90" i="6" s="1"/>
  <c r="DK88" i="6" s="1"/>
  <c r="BC108" i="9"/>
  <c r="DP91" i="6" s="1"/>
  <c r="AZ109" i="9"/>
  <c r="DM80" i="6" s="1"/>
  <c r="DM79" i="6" s="1"/>
  <c r="DM77" i="6" s="1"/>
  <c r="AS109" i="9"/>
  <c r="AY109" i="9"/>
  <c r="DL80" i="6" s="1"/>
  <c r="DL79" i="6" s="1"/>
  <c r="DL78" i="6" s="1"/>
  <c r="AK109" i="9"/>
  <c r="AX109" i="9"/>
  <c r="DK80" i="6" s="1"/>
  <c r="DK79" i="6" s="1"/>
  <c r="DK93" i="6" s="1"/>
  <c r="BF108" i="9"/>
  <c r="DS91" i="6" s="1"/>
  <c r="AY108" i="9"/>
  <c r="DL91" i="6" s="1"/>
  <c r="DL90" i="6" s="1"/>
  <c r="BJ108" i="9"/>
  <c r="DW91" i="6" s="1"/>
  <c r="DR26" i="7"/>
  <c r="DW26" i="7" s="1"/>
  <c r="BE109" i="9"/>
  <c r="DR80" i="6" s="1"/>
  <c r="BA108" i="9"/>
  <c r="DN91" i="6" s="1"/>
  <c r="AW108" i="9" s="1"/>
  <c r="AQ108" i="9"/>
  <c r="AV109" i="9"/>
  <c r="DJ77" i="6" s="1"/>
  <c r="AU108" i="9"/>
  <c r="BK108" i="9"/>
  <c r="DX91" i="6" s="1"/>
  <c r="BB108" i="9" s="1"/>
  <c r="DM173" i="7"/>
  <c r="AP109" i="9"/>
  <c r="BE108" i="9"/>
  <c r="DR91" i="6" s="1"/>
  <c r="AO109" i="9"/>
  <c r="AN109" i="9"/>
  <c r="AO108" i="9"/>
  <c r="BH109" i="9"/>
  <c r="DU80" i="6" s="1"/>
  <c r="DN100" i="2"/>
  <c r="DO26" i="7"/>
  <c r="DO27" i="7" s="1"/>
  <c r="BF109" i="9"/>
  <c r="DS80" i="6" s="1"/>
  <c r="AK108" i="9"/>
  <c r="AZ108" i="9"/>
  <c r="DM91" i="6" s="1"/>
  <c r="DM90" i="6" s="1"/>
  <c r="BA109" i="9"/>
  <c r="DN80" i="6" s="1"/>
  <c r="AW109" i="9" s="1"/>
  <c r="AQ109" i="9"/>
  <c r="AI109" i="9"/>
  <c r="B111" i="9"/>
  <c r="BJ114" i="9" s="1"/>
  <c r="DW190" i="6" s="1"/>
  <c r="BD109" i="9"/>
  <c r="DQ80" i="6" s="1"/>
  <c r="AP108" i="9"/>
  <c r="AV108" i="9"/>
  <c r="BJ109" i="9"/>
  <c r="DW80" i="6" s="1"/>
  <c r="BK109" i="9"/>
  <c r="DX80" i="6" s="1"/>
  <c r="BB109" i="9" s="1"/>
  <c r="BC109" i="9"/>
  <c r="DP80" i="6" s="1"/>
  <c r="AT109" i="9"/>
  <c r="AN108" i="9"/>
  <c r="AL108" i="9"/>
  <c r="AS108" i="9"/>
  <c r="AL109" i="9"/>
  <c r="BD108" i="9"/>
  <c r="DQ91" i="6" s="1"/>
  <c r="AU109" i="9"/>
  <c r="AT108" i="9"/>
  <c r="BI109" i="9"/>
  <c r="DV80" i="6" s="1"/>
  <c r="DW129" i="7"/>
  <c r="DW128" i="7" s="1"/>
  <c r="BO160" i="2"/>
  <c r="BO163" i="2" s="1"/>
  <c r="BK250" i="6"/>
  <c r="BJ248" i="6"/>
  <c r="BO249" i="6" s="1"/>
  <c r="BJ250" i="6"/>
  <c r="BO250" i="6"/>
  <c r="DO127" i="7"/>
  <c r="CZ108" i="2"/>
  <c r="AW24" i="2"/>
  <c r="AW72" i="2"/>
  <c r="AR91" i="2"/>
  <c r="AW151" i="2"/>
  <c r="AW152" i="2"/>
  <c r="BE71" i="6"/>
  <c r="CK12" i="3"/>
  <c r="CK138" i="2" s="1"/>
  <c r="DE108" i="2"/>
  <c r="BE45" i="2"/>
  <c r="BE38" i="2" s="1"/>
  <c r="DX127" i="7"/>
  <c r="DX129" i="7" s="1"/>
  <c r="DX128" i="7" s="1"/>
  <c r="CB101" i="2"/>
  <c r="CB111" i="2"/>
  <c r="CB106" i="2"/>
  <c r="BW115" i="2"/>
  <c r="BW101" i="2"/>
  <c r="BW102" i="2"/>
  <c r="CB103" i="2" s="1"/>
  <c r="BH248" i="6"/>
  <c r="BI250" i="6"/>
  <c r="DR172" i="7"/>
  <c r="AU41" i="7"/>
  <c r="AR76" i="2"/>
  <c r="AW67" i="8"/>
  <c r="AW193" i="3"/>
  <c r="AW191" i="3" s="1"/>
  <c r="AW69" i="2"/>
  <c r="AW227" i="3"/>
  <c r="AW230" i="3" s="1"/>
  <c r="BW160" i="2"/>
  <c r="BW163" i="2" s="1"/>
  <c r="BW162" i="2"/>
  <c r="DK89" i="6"/>
  <c r="BJ118" i="9"/>
  <c r="DW196" i="6" s="1"/>
  <c r="BJ113" i="9"/>
  <c r="DW189" i="6" s="1"/>
  <c r="BH113" i="9"/>
  <c r="DU189" i="6" s="1"/>
  <c r="DQ100" i="2"/>
  <c r="DV26" i="7"/>
  <c r="DU127" i="7"/>
  <c r="DV15" i="7"/>
  <c r="DV129" i="7"/>
  <c r="DV128" i="7" s="1"/>
  <c r="DW168" i="7"/>
  <c r="AK51" i="5"/>
  <c r="CZ210" i="3"/>
  <c r="CZ211" i="3" s="1"/>
  <c r="CY202" i="3"/>
  <c r="CZ198" i="3"/>
  <c r="CZ196" i="3" s="1"/>
  <c r="CK131" i="2"/>
  <c r="CK135" i="2"/>
  <c r="CK136" i="2"/>
  <c r="CL15" i="8"/>
  <c r="CM13" i="8"/>
  <c r="DF15" i="8"/>
  <c r="DG13" i="8"/>
  <c r="DG15" i="8" s="1"/>
  <c r="DP15" i="7"/>
  <c r="DT15" i="7" s="1"/>
  <c r="BY78" i="2"/>
  <c r="BJ75" i="2"/>
  <c r="DN15" i="7"/>
  <c r="DN168" i="7" s="1"/>
  <c r="BD34" i="2"/>
  <c r="BD32" i="2"/>
  <c r="BD43" i="2"/>
  <c r="BD31" i="2"/>
  <c r="BD35" i="2"/>
  <c r="CE15" i="2"/>
  <c r="CJ61" i="2" s="1"/>
  <c r="CE70" i="2"/>
  <c r="CE22" i="2"/>
  <c r="CE153" i="2"/>
  <c r="DJ128" i="7"/>
  <c r="DE91" i="2"/>
  <c r="BY72" i="2"/>
  <c r="BY24" i="2"/>
  <c r="BY167" i="2"/>
  <c r="BY193" i="3"/>
  <c r="BY191" i="3" s="1"/>
  <c r="BY67" i="8"/>
  <c r="BY69" i="2"/>
  <c r="DP128" i="7"/>
  <c r="DP172" i="7"/>
  <c r="BH101" i="2"/>
  <c r="DF78" i="2"/>
  <c r="AV14" i="5" s="1"/>
  <c r="DN173" i="7"/>
  <c r="AR70" i="2"/>
  <c r="AW78" i="2" s="1"/>
  <c r="DN129" i="7"/>
  <c r="DN128" i="7" s="1"/>
  <c r="DE96" i="2"/>
  <c r="BO102" i="2"/>
  <c r="BO103" i="2" s="1"/>
  <c r="BO115" i="2"/>
  <c r="BF32" i="2"/>
  <c r="BF31" i="2"/>
  <c r="BF35" i="2"/>
  <c r="BF36" i="2" s="1"/>
  <c r="BF43" i="2"/>
  <c r="BF34" i="2"/>
  <c r="DS26" i="7"/>
  <c r="BV76" i="2"/>
  <c r="AR62" i="2"/>
  <c r="AR153" i="2"/>
  <c r="AK42" i="5"/>
  <c r="CZ76" i="2"/>
  <c r="DE113" i="2"/>
  <c r="BF193" i="3"/>
  <c r="BF191" i="3" s="1"/>
  <c r="BF67" i="8"/>
  <c r="BS102" i="2"/>
  <c r="BX103" i="2" s="1"/>
  <c r="AW62" i="2"/>
  <c r="DO149" i="7"/>
  <c r="DO11" i="7" s="1"/>
  <c r="DJ15" i="7"/>
  <c r="CF431" i="8"/>
  <c r="CF438" i="8"/>
  <c r="CH438" i="8"/>
  <c r="CK430" i="8"/>
  <c r="BX162" i="2"/>
  <c r="BL64" i="3"/>
  <c r="BL65" i="3" s="1"/>
  <c r="BG67" i="3"/>
  <c r="CH57" i="8"/>
  <c r="CH58" i="8" s="1"/>
  <c r="CH62" i="8"/>
  <c r="CH64" i="8" s="1"/>
  <c r="CH66" i="8" s="1"/>
  <c r="CI429" i="8"/>
  <c r="CI431" i="8" s="1"/>
  <c r="DA24" i="2"/>
  <c r="DA72" i="2"/>
  <c r="AN16" i="5" s="1"/>
  <c r="CY22" i="2"/>
  <c r="CY153" i="2"/>
  <c r="CY15" i="2"/>
  <c r="CY70" i="2"/>
  <c r="CY78" i="2" s="1"/>
  <c r="AK14" i="5" s="1"/>
  <c r="CO167" i="2"/>
  <c r="CO193" i="3"/>
  <c r="CO191" i="3" s="1"/>
  <c r="CO69" i="2"/>
  <c r="BK101" i="2"/>
  <c r="AR75" i="2"/>
  <c r="DD75" i="2"/>
  <c r="AT12" i="5" s="1"/>
  <c r="CZ96" i="2"/>
  <c r="DA151" i="2"/>
  <c r="DA152" i="2"/>
  <c r="BP254" i="6"/>
  <c r="BP249" i="6"/>
  <c r="BU249" i="6"/>
  <c r="CO24" i="2"/>
  <c r="CO72" i="2"/>
  <c r="DA167" i="2"/>
  <c r="DA69" i="2"/>
  <c r="DA193" i="3"/>
  <c r="DA191" i="3" s="1"/>
  <c r="BW69" i="2"/>
  <c r="CB77" i="2" s="1"/>
  <c r="BW167" i="2"/>
  <c r="BW67" i="8"/>
  <c r="BW193" i="3"/>
  <c r="BW191" i="3" s="1"/>
  <c r="CB61" i="2"/>
  <c r="BX22" i="2"/>
  <c r="BX70" i="2"/>
  <c r="CC78" i="2" s="1"/>
  <c r="BX15" i="2"/>
  <c r="BX71" i="2"/>
  <c r="CC79" i="2" s="1"/>
  <c r="CC62" i="2"/>
  <c r="AS41" i="7"/>
  <c r="AS71" i="6"/>
  <c r="BW24" i="2"/>
  <c r="BW72" i="2"/>
  <c r="CO152" i="2"/>
  <c r="CO151" i="2"/>
  <c r="AM75" i="2"/>
  <c r="BC101" i="2"/>
  <c r="BV96" i="2"/>
  <c r="BT163" i="2"/>
  <c r="BT162" i="2"/>
  <c r="BS101" i="2"/>
  <c r="AX101" i="2"/>
  <c r="BM250" i="6"/>
  <c r="BM248" i="6"/>
  <c r="BR249" i="6" s="1"/>
  <c r="P86" i="9"/>
  <c r="P21" i="9"/>
  <c r="BL191" i="3"/>
  <c r="BL221" i="3"/>
  <c r="DE103" i="2"/>
  <c r="V41" i="7"/>
  <c r="V71" i="6"/>
  <c r="BS111" i="2"/>
  <c r="CF22" i="2"/>
  <c r="CF153" i="2"/>
  <c r="CF15" i="2"/>
  <c r="CF70" i="2"/>
  <c r="BX111" i="2"/>
  <c r="BX106" i="2"/>
  <c r="CP92" i="2"/>
  <c r="CK92" i="2"/>
  <c r="BM259" i="6"/>
  <c r="BM253" i="6"/>
  <c r="BQ252" i="6"/>
  <c r="AX34" i="2"/>
  <c r="AX31" i="2"/>
  <c r="AX35" i="2"/>
  <c r="AX43" i="2"/>
  <c r="AX32" i="2"/>
  <c r="G21" i="9"/>
  <c r="G86" i="9"/>
  <c r="U86" i="9"/>
  <c r="U21" i="9"/>
  <c r="AU36" i="2"/>
  <c r="AP40" i="7"/>
  <c r="AP36" i="2"/>
  <c r="AP70" i="6"/>
  <c r="AZ31" i="2"/>
  <c r="AZ43" i="2"/>
  <c r="AZ34" i="2"/>
  <c r="AZ35" i="2"/>
  <c r="AZ32" i="2"/>
  <c r="BR163" i="2"/>
  <c r="BR162" i="2"/>
  <c r="BV132" i="2"/>
  <c r="BV135" i="2" s="1"/>
  <c r="DE67" i="2"/>
  <c r="AP41" i="5" s="1"/>
  <c r="DE17" i="2"/>
  <c r="BL27" i="2"/>
  <c r="BL29" i="2" s="1"/>
  <c r="BL71" i="2"/>
  <c r="BL43" i="2"/>
  <c r="L40" i="2"/>
  <c r="L71" i="6"/>
  <c r="L41" i="7"/>
  <c r="K86" i="9"/>
  <c r="K21" i="9"/>
  <c r="CC102" i="2"/>
  <c r="CC115" i="2"/>
  <c r="AP39" i="2"/>
  <c r="AP45" i="2"/>
  <c r="AP38" i="2" s="1"/>
  <c r="BL166" i="2"/>
  <c r="BL165" i="2"/>
  <c r="BN160" i="2"/>
  <c r="BN163" i="2" s="1"/>
  <c r="BV158" i="2"/>
  <c r="BV160" i="2" s="1"/>
  <c r="BV32" i="7"/>
  <c r="BV199" i="7"/>
  <c r="BV205" i="7"/>
  <c r="CC160" i="2"/>
  <c r="CC163" i="2" s="1"/>
  <c r="CC166" i="2" s="1"/>
  <c r="AT42" i="5"/>
  <c r="DE76" i="2"/>
  <c r="AN42" i="5"/>
  <c r="AR42" i="5"/>
  <c r="AP42" i="5"/>
  <c r="CP97" i="2"/>
  <c r="CK97" i="2"/>
  <c r="BM115" i="2"/>
  <c r="BM107" i="2"/>
  <c r="BM108" i="2" s="1"/>
  <c r="DA62" i="2"/>
  <c r="CV22" i="2"/>
  <c r="CV15" i="2"/>
  <c r="CV153" i="2"/>
  <c r="CV70" i="2"/>
  <c r="DA78" i="2" s="1"/>
  <c r="AN14" i="5" s="1"/>
  <c r="BL233" i="3"/>
  <c r="CH70" i="2"/>
  <c r="CH78" i="2" s="1"/>
  <c r="CH22" i="2"/>
  <c r="CH153" i="2"/>
  <c r="CH15" i="2"/>
  <c r="CH62" i="2"/>
  <c r="DD70" i="2"/>
  <c r="DD15" i="2"/>
  <c r="DD62" i="2"/>
  <c r="AT9" i="5" s="1"/>
  <c r="DD153" i="2"/>
  <c r="DD22" i="2"/>
  <c r="CR15" i="2"/>
  <c r="CW61" i="2" s="1"/>
  <c r="CR70" i="2"/>
  <c r="CW78" i="2" s="1"/>
  <c r="CR22" i="2"/>
  <c r="CR153" i="2"/>
  <c r="DC71" i="2"/>
  <c r="DC35" i="2"/>
  <c r="DC27" i="2"/>
  <c r="DC29" i="2" s="1"/>
  <c r="DC34" i="2"/>
  <c r="CF317" i="3"/>
  <c r="CF298" i="3"/>
  <c r="CQ70" i="2"/>
  <c r="CQ15" i="2"/>
  <c r="CV62" i="2"/>
  <c r="CQ22" i="2"/>
  <c r="CQ62" i="2"/>
  <c r="CQ153" i="2"/>
  <c r="BY160" i="2"/>
  <c r="BY163" i="2" s="1"/>
  <c r="BT167" i="2"/>
  <c r="BT166" i="2" s="1"/>
  <c r="BT69" i="2"/>
  <c r="AL45" i="2"/>
  <c r="AL38" i="2" s="1"/>
  <c r="AL39" i="2"/>
  <c r="AL40" i="2" s="1"/>
  <c r="AL70" i="6"/>
  <c r="AL40" i="7"/>
  <c r="BN102" i="2"/>
  <c r="BN103" i="2" s="1"/>
  <c r="BN115" i="2"/>
  <c r="BN101" i="2" s="1"/>
  <c r="N15" i="2"/>
  <c r="N153" i="2"/>
  <c r="N62" i="2"/>
  <c r="N70" i="2"/>
  <c r="N78" i="2" s="1"/>
  <c r="N22" i="2"/>
  <c r="CW152" i="2"/>
  <c r="CW151" i="2"/>
  <c r="CF25" i="7"/>
  <c r="J85" i="5" s="1"/>
  <c r="CF36" i="7"/>
  <c r="V69" i="9"/>
  <c r="V103" i="9"/>
  <c r="G189" i="9"/>
  <c r="G121" i="9"/>
  <c r="CA173" i="7"/>
  <c r="CF173" i="7"/>
  <c r="CA29" i="7"/>
  <c r="CF27" i="7"/>
  <c r="S21" i="9" s="1"/>
  <c r="CA28" i="7"/>
  <c r="CA27" i="7"/>
  <c r="N21" i="9" s="1"/>
  <c r="CA100" i="2"/>
  <c r="CA24" i="7"/>
  <c r="CI29" i="2"/>
  <c r="CI8" i="3"/>
  <c r="CU35" i="3"/>
  <c r="CU317" i="3"/>
  <c r="CU319" i="3" s="1"/>
  <c r="CU323" i="3" s="1"/>
  <c r="CU298" i="3"/>
  <c r="DF61" i="2"/>
  <c r="DF167" i="2"/>
  <c r="DF193" i="3"/>
  <c r="DF191" i="3" s="1"/>
  <c r="DF69" i="2"/>
  <c r="CA298" i="3"/>
  <c r="CA317" i="3"/>
  <c r="BW103" i="2"/>
  <c r="BR103" i="2"/>
  <c r="CW24" i="2"/>
  <c r="CW72" i="2"/>
  <c r="L21" i="9"/>
  <c r="L86" i="9"/>
  <c r="CK317" i="3"/>
  <c r="CK298" i="3"/>
  <c r="DB165" i="2"/>
  <c r="DB166" i="2"/>
  <c r="BV29" i="7"/>
  <c r="BV28" i="7"/>
  <c r="BV24" i="7"/>
  <c r="BV173" i="7"/>
  <c r="BV27" i="7"/>
  <c r="I21" i="9" s="1"/>
  <c r="BV100" i="2"/>
  <c r="CL24" i="2"/>
  <c r="CL72" i="2"/>
  <c r="BT193" i="3"/>
  <c r="BT191" i="3" s="1"/>
  <c r="AR16" i="5"/>
  <c r="DB35" i="2"/>
  <c r="DB34" i="2"/>
  <c r="DB71" i="2"/>
  <c r="DB27" i="2"/>
  <c r="DB29" i="2" s="1"/>
  <c r="BT248" i="6"/>
  <c r="BY250" i="6"/>
  <c r="BT250" i="6"/>
  <c r="BT107" i="2"/>
  <c r="BT115" i="2"/>
  <c r="BT106" i="2" s="1"/>
  <c r="BP106" i="2"/>
  <c r="BP111" i="2"/>
  <c r="CP298" i="3"/>
  <c r="CP317" i="3"/>
  <c r="AM153" i="2"/>
  <c r="AM70" i="2"/>
  <c r="AM78" i="2" s="1"/>
  <c r="AM15" i="2"/>
  <c r="AM61" i="2" s="1"/>
  <c r="AM22" i="2"/>
  <c r="DF72" i="2"/>
  <c r="AV16" i="5" s="1"/>
  <c r="DF24" i="2"/>
  <c r="E21" i="9"/>
  <c r="E86" i="9"/>
  <c r="Q103" i="9"/>
  <c r="Q69" i="9"/>
  <c r="DB78" i="2"/>
  <c r="AP14" i="5" s="1"/>
  <c r="CF102" i="2"/>
  <c r="CF115" i="2"/>
  <c r="CF101" i="2" s="1"/>
  <c r="CI103" i="2"/>
  <c r="BT67" i="8"/>
  <c r="F21" i="9"/>
  <c r="F86" i="9"/>
  <c r="CW167" i="2"/>
  <c r="CW69" i="2"/>
  <c r="CW193" i="3"/>
  <c r="CW191" i="3" s="1"/>
  <c r="BT253" i="6"/>
  <c r="BT259" i="6"/>
  <c r="BY102" i="2"/>
  <c r="BY103" i="2" s="1"/>
  <c r="BY115" i="2"/>
  <c r="BY101" i="2" s="1"/>
  <c r="CI40" i="7"/>
  <c r="CI70" i="6"/>
  <c r="DB61" i="2"/>
  <c r="CD106" i="2"/>
  <c r="CD111" i="2"/>
  <c r="CQ75" i="2"/>
  <c r="CV75" i="2"/>
  <c r="J21" i="9"/>
  <c r="J86" i="9"/>
  <c r="CL193" i="3"/>
  <c r="CL191" i="3" s="1"/>
  <c r="CL167" i="2"/>
  <c r="CL69" i="2"/>
  <c r="AK71" i="6"/>
  <c r="AK41" i="7"/>
  <c r="CT72" i="2"/>
  <c r="CT24" i="2"/>
  <c r="BO167" i="2"/>
  <c r="BO67" i="8"/>
  <c r="BO193" i="3"/>
  <c r="BO191" i="3" s="1"/>
  <c r="BO69" i="2"/>
  <c r="AA39" i="2"/>
  <c r="AF40" i="2" s="1"/>
  <c r="AA45" i="2"/>
  <c r="AA38" i="2" s="1"/>
  <c r="CT78" i="2"/>
  <c r="BH72" i="2"/>
  <c r="BH24" i="2"/>
  <c r="BH27" i="2" s="1"/>
  <c r="BH29" i="2" s="1"/>
  <c r="BH63" i="2" s="1"/>
  <c r="M40" i="2"/>
  <c r="R40" i="2"/>
  <c r="M71" i="6"/>
  <c r="M41" i="7"/>
  <c r="CK162" i="2"/>
  <c r="X15" i="2"/>
  <c r="X22" i="2"/>
  <c r="X70" i="2"/>
  <c r="AC78" i="2" s="1"/>
  <c r="X153" i="2"/>
  <c r="AA40" i="7"/>
  <c r="AA70" i="6"/>
  <c r="AA36" i="2"/>
  <c r="P40" i="2"/>
  <c r="K71" i="6"/>
  <c r="K40" i="2"/>
  <c r="CT61" i="2"/>
  <c r="CT193" i="3"/>
  <c r="CT191" i="3" s="1"/>
  <c r="CT167" i="2"/>
  <c r="CT69" i="2"/>
  <c r="CT151" i="2"/>
  <c r="CT152" i="2"/>
  <c r="BO24" i="2"/>
  <c r="BO72" i="2"/>
  <c r="CS153" i="2"/>
  <c r="CS70" i="2"/>
  <c r="CS78" i="2" s="1"/>
  <c r="CS22" i="2"/>
  <c r="CS15" i="2"/>
  <c r="CX61" i="2" s="1"/>
  <c r="AV39" i="2"/>
  <c r="AV45" i="2"/>
  <c r="AV38" i="2" s="1"/>
  <c r="BH67" i="8"/>
  <c r="BH69" i="2"/>
  <c r="BH77" i="2" s="1"/>
  <c r="BH193" i="3"/>
  <c r="BH191" i="3" s="1"/>
  <c r="DT127" i="7"/>
  <c r="DS129" i="7"/>
  <c r="DS128" i="7" s="1"/>
  <c r="DJ130" i="7"/>
  <c r="DL77" i="6"/>
  <c r="DQ90" i="6"/>
  <c r="DV90" i="6" s="1"/>
  <c r="BC117" i="9"/>
  <c r="DP195" i="6" s="1"/>
  <c r="BD113" i="9"/>
  <c r="DQ189" i="6" s="1"/>
  <c r="AP117" i="9"/>
  <c r="AT114" i="9"/>
  <c r="DG190" i="6" s="1"/>
  <c r="AN118" i="9"/>
  <c r="AI113" i="9"/>
  <c r="AQ117" i="9"/>
  <c r="DD195" i="6" s="1"/>
  <c r="AY113" i="9"/>
  <c r="DL189" i="6" s="1"/>
  <c r="AV117" i="9"/>
  <c r="AX114" i="9"/>
  <c r="DK190" i="6" s="1"/>
  <c r="AX117" i="9"/>
  <c r="AZ118" i="9"/>
  <c r="DM196" i="6" s="1"/>
  <c r="AJ117" i="9"/>
  <c r="BA113" i="9"/>
  <c r="DN189" i="6" s="1"/>
  <c r="AW113" i="9" s="1"/>
  <c r="AU114" i="9"/>
  <c r="DH190" i="6" s="1"/>
  <c r="AS118" i="9"/>
  <c r="DF196" i="6" s="1"/>
  <c r="AU117" i="9"/>
  <c r="DH195" i="6" s="1"/>
  <c r="AN114" i="9"/>
  <c r="AO117" i="9"/>
  <c r="AL113" i="9"/>
  <c r="AJ114" i="9"/>
  <c r="BF118" i="9"/>
  <c r="DS196" i="6" s="1"/>
  <c r="BE114" i="9"/>
  <c r="DR190" i="6" s="1"/>
  <c r="BC113" i="9"/>
  <c r="DP189" i="6" s="1"/>
  <c r="BF114" i="9"/>
  <c r="DS190" i="6" s="1"/>
  <c r="BD114" i="9"/>
  <c r="DQ190" i="6" s="1"/>
  <c r="BE117" i="9"/>
  <c r="DR195" i="6" s="1"/>
  <c r="AV118" i="9"/>
  <c r="AL114" i="9"/>
  <c r="AP114" i="9"/>
  <c r="AI117" i="9"/>
  <c r="AY114" i="9"/>
  <c r="DL190" i="6" s="1"/>
  <c r="BA118" i="9"/>
  <c r="DN196" i="6" s="1"/>
  <c r="AW118" i="9" s="1"/>
  <c r="AZ114" i="9"/>
  <c r="DM190" i="6" s="1"/>
  <c r="AU113" i="9"/>
  <c r="DH189" i="6" s="1"/>
  <c r="AE114" i="9"/>
  <c r="AD118" i="9"/>
  <c r="AG118" i="9"/>
  <c r="CT196" i="6" s="1"/>
  <c r="CT213" i="6" s="1"/>
  <c r="AD114" i="9"/>
  <c r="AU118" i="9"/>
  <c r="DH196" i="6" s="1"/>
  <c r="AP118" i="9"/>
  <c r="AX118" i="9"/>
  <c r="DK196" i="6" s="1"/>
  <c r="AE113" i="9"/>
  <c r="AO118" i="9"/>
  <c r="AT113" i="9"/>
  <c r="DG189" i="6" s="1"/>
  <c r="AQ118" i="9"/>
  <c r="DD196" i="6" s="1"/>
  <c r="AN117" i="9"/>
  <c r="BC118" i="9"/>
  <c r="DP196" i="6" s="1"/>
  <c r="BD117" i="9"/>
  <c r="DQ195" i="6" s="1"/>
  <c r="AF118" i="9"/>
  <c r="AD117" i="9"/>
  <c r="AI118" i="9"/>
  <c r="AF117" i="9"/>
  <c r="AS114" i="9"/>
  <c r="DF190" i="6" s="1"/>
  <c r="BA117" i="9"/>
  <c r="DN195" i="6" s="1"/>
  <c r="AW117" i="9" s="1"/>
  <c r="AP113" i="9"/>
  <c r="AG114" i="9"/>
  <c r="CT190" i="6" s="1"/>
  <c r="CT207" i="6" s="1"/>
  <c r="AX113" i="9"/>
  <c r="DK189" i="6" s="1"/>
  <c r="AS117" i="9"/>
  <c r="DF195" i="6" s="1"/>
  <c r="AL117" i="9"/>
  <c r="AN113" i="9"/>
  <c r="AF113" i="9"/>
  <c r="B121" i="9"/>
  <c r="AK117" i="9"/>
  <c r="AE117" i="9"/>
  <c r="BC114" i="9"/>
  <c r="DP190" i="6" s="1"/>
  <c r="AG117" i="9"/>
  <c r="AS113" i="9"/>
  <c r="DF189" i="6" s="1"/>
  <c r="AD113" i="9"/>
  <c r="AL118" i="9"/>
  <c r="AI114" i="9"/>
  <c r="AK114" i="9"/>
  <c r="AK113" i="9"/>
  <c r="AJ118" i="9"/>
  <c r="AY118" i="9"/>
  <c r="DL196" i="6" s="1"/>
  <c r="AO114" i="9"/>
  <c r="AQ113" i="9"/>
  <c r="DD189" i="6" s="1"/>
  <c r="AK118" i="9"/>
  <c r="AF114" i="9"/>
  <c r="BE118" i="9"/>
  <c r="DR196" i="6" s="1"/>
  <c r="AT117" i="9"/>
  <c r="DG195" i="6" s="1"/>
  <c r="AT118" i="9"/>
  <c r="DG196" i="6" s="1"/>
  <c r="AZ117" i="9"/>
  <c r="DM195" i="6" s="1"/>
  <c r="AV114" i="9"/>
  <c r="AQ114" i="9"/>
  <c r="DD190" i="6" s="1"/>
  <c r="BA114" i="9"/>
  <c r="DN190" i="6" s="1"/>
  <c r="AW114" i="9" s="1"/>
  <c r="BD118" i="9"/>
  <c r="DQ196" i="6" s="1"/>
  <c r="BE113" i="9"/>
  <c r="DR189" i="6" s="1"/>
  <c r="AV113" i="9"/>
  <c r="AE118" i="9"/>
  <c r="AY117" i="9"/>
  <c r="DL195" i="6" s="1"/>
  <c r="AZ113" i="9"/>
  <c r="DM189" i="6" s="1"/>
  <c r="AO113" i="9"/>
  <c r="BF117" i="9"/>
  <c r="DS195" i="6" s="1"/>
  <c r="BF113" i="9"/>
  <c r="DS189" i="6" s="1"/>
  <c r="DJ88" i="6"/>
  <c r="DQ173" i="7"/>
  <c r="DL93" i="6"/>
  <c r="DL98" i="6"/>
  <c r="DL99" i="6" s="1"/>
  <c r="DL82" i="6"/>
  <c r="DS168" i="7"/>
  <c r="DR196" i="3"/>
  <c r="DQ202" i="3"/>
  <c r="DQ49" i="2" s="1"/>
  <c r="DP202" i="3"/>
  <c r="DP49" i="2" s="1"/>
  <c r="DM171" i="3"/>
  <c r="DN148" i="3"/>
  <c r="DO148" i="3" s="1"/>
  <c r="DN142" i="3"/>
  <c r="DO142" i="3" s="1"/>
  <c r="DN141" i="3"/>
  <c r="DO141" i="3" s="1"/>
  <c r="DN20" i="3"/>
  <c r="DM20" i="3"/>
  <c r="DM30" i="3"/>
  <c r="DQ158" i="3"/>
  <c r="DP63" i="8"/>
  <c r="DN19" i="3"/>
  <c r="DO19" i="3" s="1"/>
  <c r="DL192" i="3"/>
  <c r="DL65" i="8"/>
  <c r="DM290" i="3"/>
  <c r="DQ11" i="3"/>
  <c r="DM145" i="3"/>
  <c r="DL149" i="3"/>
  <c r="DG330" i="6"/>
  <c r="DF324" i="6"/>
  <c r="DD325" i="6"/>
  <c r="DD326" i="6"/>
  <c r="DE162" i="2"/>
  <c r="BP96" i="2"/>
  <c r="BU96" i="2"/>
  <c r="CO218" i="6"/>
  <c r="CO282" i="6" s="1"/>
  <c r="BJ78" i="2"/>
  <c r="BO78" i="2"/>
  <c r="CD161" i="6"/>
  <c r="CD165" i="6"/>
  <c r="CD166" i="6" s="1"/>
  <c r="CD182" i="6"/>
  <c r="CD269" i="6" s="1"/>
  <c r="CD114" i="6"/>
  <c r="CI161" i="6"/>
  <c r="BV190" i="6"/>
  <c r="I114" i="9" s="1"/>
  <c r="BV232" i="6"/>
  <c r="CG68" i="2"/>
  <c r="CG112" i="2"/>
  <c r="CG90" i="2"/>
  <c r="CG102" i="2"/>
  <c r="CG274" i="3"/>
  <c r="CG291" i="3"/>
  <c r="CG107" i="2"/>
  <c r="CG108" i="2" s="1"/>
  <c r="CG247" i="3"/>
  <c r="CG183" i="3"/>
  <c r="CG184" i="3" s="1"/>
  <c r="CG275" i="3" s="1"/>
  <c r="CG283" i="3" s="1"/>
  <c r="CG285" i="3" s="1"/>
  <c r="CG41" i="6"/>
  <c r="CG12" i="2"/>
  <c r="CG95" i="2"/>
  <c r="CG124" i="2"/>
  <c r="CG58" i="2"/>
  <c r="CL58" i="2"/>
  <c r="CG242" i="3"/>
  <c r="CA96" i="2"/>
  <c r="CF96" i="2"/>
  <c r="BM24" i="2"/>
  <c r="BM27" i="2" s="1"/>
  <c r="BM72" i="2"/>
  <c r="CE125" i="2"/>
  <c r="BZ125" i="2"/>
  <c r="CA160" i="6"/>
  <c r="CA148" i="6" s="1"/>
  <c r="BV208" i="6"/>
  <c r="CF309" i="6"/>
  <c r="BP67" i="2"/>
  <c r="BP59" i="2"/>
  <c r="BP17" i="2"/>
  <c r="BU59" i="2"/>
  <c r="BP76" i="2"/>
  <c r="BU76" i="2"/>
  <c r="BW108" i="2"/>
  <c r="CM277" i="6"/>
  <c r="AQ40" i="7"/>
  <c r="AV36" i="2"/>
  <c r="AQ70" i="6"/>
  <c r="AQ36" i="2"/>
  <c r="AQ45" i="2"/>
  <c r="AQ38" i="2" s="1"/>
  <c r="AQ39" i="2"/>
  <c r="BJ193" i="3"/>
  <c r="BJ191" i="3" s="1"/>
  <c r="BJ69" i="2"/>
  <c r="BJ67" i="8"/>
  <c r="BO61" i="2"/>
  <c r="BJ61" i="2"/>
  <c r="BJ72" i="2"/>
  <c r="BJ24" i="2"/>
  <c r="BJ27" i="2" s="1"/>
  <c r="BJ29" i="2" s="1"/>
  <c r="CI214" i="6"/>
  <c r="CI236" i="6"/>
  <c r="CK213" i="6"/>
  <c r="BS125" i="2"/>
  <c r="BX125" i="2"/>
  <c r="BX96" i="2"/>
  <c r="BS96" i="2"/>
  <c r="BV275" i="6"/>
  <c r="BV183" i="6"/>
  <c r="BU232" i="6"/>
  <c r="BU208" i="6"/>
  <c r="CU193" i="3"/>
  <c r="CU167" i="2"/>
  <c r="CU69" i="2"/>
  <c r="CU227" i="3"/>
  <c r="CU230" i="3" s="1"/>
  <c r="CM102" i="2"/>
  <c r="CR58" i="2"/>
  <c r="AB5" i="5" s="1"/>
  <c r="CM58" i="2"/>
  <c r="CM274" i="3"/>
  <c r="CM95" i="2"/>
  <c r="CM112" i="2"/>
  <c r="CM242" i="3"/>
  <c r="CM107" i="2"/>
  <c r="CM183" i="3"/>
  <c r="CM184" i="3" s="1"/>
  <c r="CM275" i="3" s="1"/>
  <c r="CM283" i="3" s="1"/>
  <c r="CM285" i="3" s="1"/>
  <c r="CM68" i="2"/>
  <c r="CM247" i="3"/>
  <c r="CM90" i="2"/>
  <c r="CM12" i="2"/>
  <c r="CM291" i="3"/>
  <c r="X176" i="9"/>
  <c r="X108" i="9"/>
  <c r="S15" i="2"/>
  <c r="S153" i="2"/>
  <c r="S22" i="2"/>
  <c r="X62" i="2"/>
  <c r="S70" i="2"/>
  <c r="S62" i="2"/>
  <c r="BV198" i="6"/>
  <c r="CC39" i="2"/>
  <c r="CC45" i="2"/>
  <c r="CC38" i="2" s="1"/>
  <c r="K8" i="5" s="1"/>
  <c r="CX152" i="2"/>
  <c r="CX151" i="2"/>
  <c r="DC78" i="2"/>
  <c r="AR14" i="5" s="1"/>
  <c r="CA113" i="2"/>
  <c r="CF113" i="2"/>
  <c r="CD163" i="2"/>
  <c r="CF160" i="6"/>
  <c r="CF148" i="6" s="1"/>
  <c r="CF235" i="6"/>
  <c r="CF195" i="6"/>
  <c r="CF214" i="6"/>
  <c r="CK309" i="6"/>
  <c r="CP309" i="6"/>
  <c r="AR72" i="2"/>
  <c r="AR24" i="2"/>
  <c r="BT225" i="6"/>
  <c r="BT284" i="6"/>
  <c r="BT285" i="6"/>
  <c r="BT219" i="6"/>
  <c r="BT226" i="6" s="1"/>
  <c r="BT281" i="6"/>
  <c r="BT286" i="6"/>
  <c r="BT288" i="6"/>
  <c r="BT280" i="6"/>
  <c r="E207" i="9"/>
  <c r="E171" i="9"/>
  <c r="CB41" i="7"/>
  <c r="O22" i="9" s="1"/>
  <c r="O123" i="9"/>
  <c r="CB71" i="6"/>
  <c r="O122" i="9" s="1"/>
  <c r="O23" i="9"/>
  <c r="O1" i="9"/>
  <c r="CB1" i="6"/>
  <c r="BZ67" i="2"/>
  <c r="BZ17" i="2"/>
  <c r="BZ59" i="2"/>
  <c r="CE59" i="2"/>
  <c r="CC198" i="6"/>
  <c r="CC218" i="6"/>
  <c r="CC286" i="6" s="1"/>
  <c r="CS213" i="6"/>
  <c r="CS171" i="6"/>
  <c r="CU170" i="6"/>
  <c r="CU171" i="6" s="1"/>
  <c r="CU65" i="6"/>
  <c r="CU68" i="6"/>
  <c r="CP112" i="6"/>
  <c r="CP149" i="6"/>
  <c r="CP113" i="6" s="1"/>
  <c r="BU24" i="2"/>
  <c r="BU72" i="2"/>
  <c r="BR275" i="6"/>
  <c r="BR272" i="6"/>
  <c r="BR267" i="6"/>
  <c r="BR183" i="6"/>
  <c r="BR271" i="6"/>
  <c r="BR268" i="6"/>
  <c r="CM285" i="6"/>
  <c r="CM281" i="6"/>
  <c r="CM219" i="6"/>
  <c r="CM226" i="6" s="1"/>
  <c r="CM225" i="6"/>
  <c r="CM288" i="6"/>
  <c r="CM290" i="6" s="1"/>
  <c r="CM284" i="6"/>
  <c r="CM280" i="6"/>
  <c r="BV267" i="6"/>
  <c r="BS108" i="2"/>
  <c r="BX108" i="2"/>
  <c r="BV166" i="6"/>
  <c r="BV269" i="6"/>
  <c r="BU165" i="6"/>
  <c r="BU166" i="6" s="1"/>
  <c r="BU114" i="6"/>
  <c r="BU120" i="6" s="1"/>
  <c r="BU161" i="6"/>
  <c r="BU182" i="6"/>
  <c r="AH24" i="2"/>
  <c r="AH72" i="2"/>
  <c r="AC181" i="9"/>
  <c r="AC113" i="9"/>
  <c r="BZ103" i="2"/>
  <c r="CE103" i="2"/>
  <c r="CE76" i="2"/>
  <c r="BZ76" i="2"/>
  <c r="BX225" i="6"/>
  <c r="BX280" i="6"/>
  <c r="BX288" i="6"/>
  <c r="BX219" i="6"/>
  <c r="BX226" i="6" s="1"/>
  <c r="BX285" i="6"/>
  <c r="BX284" i="6"/>
  <c r="BX281" i="6"/>
  <c r="BX286" i="6"/>
  <c r="BU69" i="2"/>
  <c r="BU67" i="8"/>
  <c r="BU193" i="3"/>
  <c r="BU191" i="3" s="1"/>
  <c r="BU167" i="2"/>
  <c r="CA101" i="6"/>
  <c r="CA82" i="6"/>
  <c r="CP190" i="6"/>
  <c r="CP232" i="6"/>
  <c r="BJ79" i="2"/>
  <c r="BO79" i="2"/>
  <c r="CI132" i="6"/>
  <c r="CI139" i="6" s="1"/>
  <c r="CI176" i="6"/>
  <c r="CI177" i="6" s="1"/>
  <c r="CI182" i="6"/>
  <c r="CI273" i="6" s="1"/>
  <c r="CT120" i="6"/>
  <c r="CU309" i="6"/>
  <c r="CW310" i="6"/>
  <c r="BX113" i="2"/>
  <c r="BS113" i="2"/>
  <c r="BX91" i="2"/>
  <c r="BS91" i="2"/>
  <c r="CF207" i="6"/>
  <c r="CD208" i="6"/>
  <c r="CD232" i="6"/>
  <c r="AH69" i="2"/>
  <c r="AH227" i="3"/>
  <c r="AH230" i="3" s="1"/>
  <c r="AH67" i="8"/>
  <c r="AH193" i="3"/>
  <c r="AH191" i="3" s="1"/>
  <c r="BQ67" i="2"/>
  <c r="BQ75" i="2" s="1"/>
  <c r="BQ59" i="2"/>
  <c r="BQ17" i="2"/>
  <c r="DS96" i="6"/>
  <c r="CU119" i="6"/>
  <c r="CP274" i="3"/>
  <c r="CP12" i="2"/>
  <c r="CP68" i="2"/>
  <c r="CP112" i="2"/>
  <c r="CP102" i="2"/>
  <c r="CP183" i="3"/>
  <c r="CP184" i="3" s="1"/>
  <c r="CP275" i="3" s="1"/>
  <c r="CP283" i="3" s="1"/>
  <c r="CP285" i="3" s="1"/>
  <c r="CP247" i="3"/>
  <c r="CP95" i="2"/>
  <c r="CP90" i="2"/>
  <c r="CP291" i="3"/>
  <c r="CP58" i="2"/>
  <c r="T38" i="5" s="1"/>
  <c r="CU58" i="2"/>
  <c r="CP124" i="2"/>
  <c r="CP242" i="3"/>
  <c r="CP139" i="2"/>
  <c r="CF258" i="6"/>
  <c r="S121" i="9" s="1"/>
  <c r="CF94" i="6"/>
  <c r="CO271" i="6"/>
  <c r="CO272" i="6"/>
  <c r="CO273" i="6"/>
  <c r="CO275" i="6"/>
  <c r="CO183" i="6"/>
  <c r="CO267" i="6"/>
  <c r="CO268" i="6"/>
  <c r="S75" i="2"/>
  <c r="X75" i="2"/>
  <c r="CC29" i="2"/>
  <c r="CC8" i="3"/>
  <c r="CC72" i="3" s="1"/>
  <c r="CX167" i="2"/>
  <c r="CX193" i="3"/>
  <c r="CX191" i="3" s="1"/>
  <c r="CX69" i="2"/>
  <c r="DC61" i="2"/>
  <c r="AO40" i="7"/>
  <c r="AT36" i="2"/>
  <c r="AO70" i="6"/>
  <c r="AO36" i="2"/>
  <c r="CB219" i="6"/>
  <c r="CB226" i="6" s="1"/>
  <c r="CB285" i="6"/>
  <c r="CB280" i="6"/>
  <c r="CB288" i="6"/>
  <c r="CB282" i="6"/>
  <c r="CB225" i="6"/>
  <c r="CB281" i="6"/>
  <c r="CB284" i="6"/>
  <c r="CE114" i="6"/>
  <c r="CE161" i="6"/>
  <c r="CJ161" i="6"/>
  <c r="CE182" i="6"/>
  <c r="CE165" i="6"/>
  <c r="CE166" i="6" s="1"/>
  <c r="CH290" i="6"/>
  <c r="CK94" i="6"/>
  <c r="AR152" i="2"/>
  <c r="AR151" i="2"/>
  <c r="BK59" i="2"/>
  <c r="BK67" i="2"/>
  <c r="BK75" i="2" s="1"/>
  <c r="BK17" i="2"/>
  <c r="BM67" i="8"/>
  <c r="BM69" i="2"/>
  <c r="BM77" i="2" s="1"/>
  <c r="BM193" i="3"/>
  <c r="BM191" i="3" s="1"/>
  <c r="BM61" i="2"/>
  <c r="BM167" i="2"/>
  <c r="BM166" i="2" s="1"/>
  <c r="BL166" i="6"/>
  <c r="BL182" i="6"/>
  <c r="BZ91" i="2"/>
  <c r="CE91" i="2"/>
  <c r="BZ114" i="6"/>
  <c r="BZ120" i="6" s="1"/>
  <c r="BZ182" i="6"/>
  <c r="BZ161" i="6"/>
  <c r="BZ165" i="6"/>
  <c r="BZ166" i="6" s="1"/>
  <c r="BX277" i="6"/>
  <c r="CN171" i="6"/>
  <c r="CN213" i="6"/>
  <c r="CP170" i="6"/>
  <c r="AE71" i="5"/>
  <c r="AK71" i="5"/>
  <c r="BX282" i="6"/>
  <c r="BO285" i="6"/>
  <c r="BO219" i="6"/>
  <c r="BO226" i="6" s="1"/>
  <c r="BO280" i="6"/>
  <c r="BO225" i="6"/>
  <c r="BO282" i="6"/>
  <c r="BO288" i="6"/>
  <c r="BO281" i="6"/>
  <c r="BO284" i="6"/>
  <c r="BO210" i="6"/>
  <c r="CB297" i="3"/>
  <c r="CB301" i="3" s="1"/>
  <c r="CB32" i="2"/>
  <c r="CB31" i="2"/>
  <c r="CZ75" i="2"/>
  <c r="AK41" i="5"/>
  <c r="AR41" i="5"/>
  <c r="CP166" i="6"/>
  <c r="CK171" i="6"/>
  <c r="CK120" i="6"/>
  <c r="CF120" i="6"/>
  <c r="CU106" i="2"/>
  <c r="CU101" i="2"/>
  <c r="CU111" i="2"/>
  <c r="CA59" i="2"/>
  <c r="CA67" i="2"/>
  <c r="CF59" i="2"/>
  <c r="CA17" i="2"/>
  <c r="BV271" i="6"/>
  <c r="BV130" i="6"/>
  <c r="BV152" i="6"/>
  <c r="CZ22" i="2"/>
  <c r="CZ24" i="2" s="1"/>
  <c r="CZ62" i="2"/>
  <c r="CZ70" i="2"/>
  <c r="CZ153" i="2"/>
  <c r="CZ15" i="2"/>
  <c r="BQ198" i="6"/>
  <c r="BQ218" i="6"/>
  <c r="BQ286" i="6" s="1"/>
  <c r="BV67" i="2"/>
  <c r="BV59" i="2"/>
  <c r="BV17" i="2"/>
  <c r="BP108" i="2"/>
  <c r="BU108" i="2"/>
  <c r="BP91" i="2"/>
  <c r="BU91" i="2"/>
  <c r="BP113" i="2"/>
  <c r="BU113" i="2"/>
  <c r="BR111" i="2"/>
  <c r="BR101" i="2"/>
  <c r="CA94" i="6"/>
  <c r="CA258" i="6"/>
  <c r="N121" i="9" s="1"/>
  <c r="AC185" i="9"/>
  <c r="AC117" i="9"/>
  <c r="BO277" i="6"/>
  <c r="BV296" i="6"/>
  <c r="BV302" i="6"/>
  <c r="BD106" i="2"/>
  <c r="DO141" i="6"/>
  <c r="DO142" i="6" s="1"/>
  <c r="DO180" i="6"/>
  <c r="I128" i="9"/>
  <c r="N128" i="9"/>
  <c r="BX76" i="2"/>
  <c r="BS76" i="2"/>
  <c r="BS67" i="2"/>
  <c r="BX59" i="2"/>
  <c r="BS17" i="2"/>
  <c r="BS59" i="2"/>
  <c r="BU103" i="2"/>
  <c r="AH151" i="2"/>
  <c r="AH152" i="2"/>
  <c r="BR254" i="6"/>
  <c r="BW249" i="6"/>
  <c r="CU118" i="6"/>
  <c r="S176" i="9"/>
  <c r="S108" i="9"/>
  <c r="BR218" i="6"/>
  <c r="BR282" i="6"/>
  <c r="BR191" i="6"/>
  <c r="CC40" i="7"/>
  <c r="CC70" i="6"/>
  <c r="CX72" i="2"/>
  <c r="CX24" i="2"/>
  <c r="AO45" i="2"/>
  <c r="AO38" i="2" s="1"/>
  <c r="AO39" i="2"/>
  <c r="BV149" i="2"/>
  <c r="CK112" i="2"/>
  <c r="CK113" i="2" s="1"/>
  <c r="CK90" i="2"/>
  <c r="CK91" i="2" s="1"/>
  <c r="CK247" i="3"/>
  <c r="CK68" i="2"/>
  <c r="CK139" i="2"/>
  <c r="CK291" i="3"/>
  <c r="CK95" i="2"/>
  <c r="CK96" i="2" s="1"/>
  <c r="CK274" i="3"/>
  <c r="CK107" i="2"/>
  <c r="CK108" i="2" s="1"/>
  <c r="CK41" i="6"/>
  <c r="J41" i="5" s="1"/>
  <c r="CK12" i="2"/>
  <c r="CK124" i="2"/>
  <c r="CK125" i="2" s="1"/>
  <c r="CK102" i="2"/>
  <c r="CK183" i="3"/>
  <c r="CK184" i="3" s="1"/>
  <c r="CK275" i="3" s="1"/>
  <c r="CK283" i="3" s="1"/>
  <c r="CK285" i="3" s="1"/>
  <c r="CK242" i="3"/>
  <c r="CK58" i="2"/>
  <c r="J38" i="5" s="1"/>
  <c r="CA200" i="6"/>
  <c r="CA108" i="2"/>
  <c r="CF108" i="2"/>
  <c r="CA91" i="2"/>
  <c r="CF91" i="2"/>
  <c r="CA125" i="2"/>
  <c r="CF125" i="2"/>
  <c r="CF76" i="2"/>
  <c r="CA76" i="2"/>
  <c r="CE231" i="6"/>
  <c r="CE208" i="6"/>
  <c r="CF206" i="6"/>
  <c r="AR67" i="8"/>
  <c r="AR193" i="3"/>
  <c r="AR191" i="3" s="1"/>
  <c r="AR69" i="2"/>
  <c r="AR227" i="3"/>
  <c r="AR230" i="3" s="1"/>
  <c r="AR61" i="2"/>
  <c r="AW61" i="2"/>
  <c r="BV273" i="6"/>
  <c r="BV177" i="6"/>
  <c r="BZ96" i="2"/>
  <c r="CE96" i="2"/>
  <c r="CE113" i="2"/>
  <c r="BZ113" i="2"/>
  <c r="BZ108" i="2"/>
  <c r="CE108" i="2"/>
  <c r="CA206" i="6"/>
  <c r="BZ231" i="6"/>
  <c r="BZ208" i="6"/>
  <c r="CZ245" i="6"/>
  <c r="CU243" i="6"/>
  <c r="CZ244" i="6" s="1"/>
  <c r="CZ36" i="6"/>
  <c r="CU35" i="6"/>
  <c r="CU145" i="2"/>
  <c r="CU29" i="6"/>
  <c r="CU50" i="6"/>
  <c r="CB72" i="3"/>
  <c r="CB35" i="3"/>
  <c r="CB209" i="3"/>
  <c r="CB210" i="3"/>
  <c r="BW120" i="6"/>
  <c r="BR120" i="6"/>
  <c r="CC139" i="6"/>
  <c r="CH139" i="6"/>
  <c r="CC269" i="6"/>
  <c r="CC183" i="6"/>
  <c r="CC267" i="6"/>
  <c r="CC275" i="6"/>
  <c r="CC272" i="6"/>
  <c r="CC268" i="6"/>
  <c r="CC271" i="6"/>
  <c r="CV75" i="7"/>
  <c r="DT179" i="7"/>
  <c r="DT183" i="7" s="1"/>
  <c r="DT188" i="7" s="1"/>
  <c r="DJ97" i="7"/>
  <c r="DJ98" i="7" s="1"/>
  <c r="DJ75" i="7" s="1"/>
  <c r="BG24" i="2"/>
  <c r="BG72" i="2"/>
  <c r="BN69" i="2"/>
  <c r="BN167" i="2"/>
  <c r="BN193" i="3"/>
  <c r="BN191" i="3" s="1"/>
  <c r="BN67" i="8"/>
  <c r="BN61" i="2"/>
  <c r="BY131" i="7"/>
  <c r="L19" i="9"/>
  <c r="L84" i="9" s="1"/>
  <c r="CN72" i="2"/>
  <c r="CN24" i="2"/>
  <c r="BV172" i="7"/>
  <c r="BV128" i="7"/>
  <c r="BV130" i="7"/>
  <c r="BV162" i="7"/>
  <c r="CX108" i="7"/>
  <c r="CZ106" i="7"/>
  <c r="W40" i="2"/>
  <c r="AB40" i="2"/>
  <c r="W71" i="6"/>
  <c r="W41" i="7"/>
  <c r="CD24" i="2"/>
  <c r="CD72" i="2"/>
  <c r="CJ193" i="3"/>
  <c r="CJ191" i="3" s="1"/>
  <c r="CJ167" i="2"/>
  <c r="CJ69" i="2"/>
  <c r="CO61" i="2"/>
  <c r="CP96" i="7"/>
  <c r="CP98" i="7" s="1"/>
  <c r="CP75" i="7" s="1"/>
  <c r="BC67" i="8"/>
  <c r="BC193" i="3"/>
  <c r="BC191" i="3" s="1"/>
  <c r="BH61" i="2"/>
  <c r="CS75" i="7"/>
  <c r="CU146" i="7"/>
  <c r="BR69" i="2"/>
  <c r="BR67" i="8"/>
  <c r="BR167" i="2"/>
  <c r="BW61" i="2"/>
  <c r="BR193" i="3"/>
  <c r="BR191" i="3" s="1"/>
  <c r="BR61" i="2"/>
  <c r="DQ172" i="7"/>
  <c r="DQ128" i="7"/>
  <c r="BT35" i="2"/>
  <c r="BT43" i="2"/>
  <c r="BT27" i="2"/>
  <c r="BT34" i="2"/>
  <c r="BL61" i="2"/>
  <c r="BG193" i="3"/>
  <c r="BG191" i="3" s="1"/>
  <c r="BG227" i="3"/>
  <c r="BG230" i="3" s="1"/>
  <c r="BG69" i="2"/>
  <c r="BL77" i="2" s="1"/>
  <c r="BG67" i="8"/>
  <c r="BN72" i="2"/>
  <c r="BN24" i="2"/>
  <c r="CA162" i="7"/>
  <c r="CA172" i="7"/>
  <c r="CA130" i="7"/>
  <c r="CA128" i="7"/>
  <c r="CA161" i="7"/>
  <c r="CN78" i="2"/>
  <c r="BI32" i="2"/>
  <c r="BI35" i="2"/>
  <c r="BI34" i="2"/>
  <c r="BI43" i="2"/>
  <c r="BI31" i="2"/>
  <c r="BI63" i="2"/>
  <c r="DF200" i="7"/>
  <c r="DF201" i="7"/>
  <c r="DF198" i="7"/>
  <c r="DF197" i="7"/>
  <c r="DG259" i="3"/>
  <c r="DF215" i="7"/>
  <c r="DF183" i="7"/>
  <c r="DF188" i="7" s="1"/>
  <c r="DF210" i="7" s="1"/>
  <c r="CI78" i="2"/>
  <c r="CD78" i="2"/>
  <c r="AG41" i="7"/>
  <c r="AG71" i="6"/>
  <c r="AG40" i="2"/>
  <c r="CO78" i="2"/>
  <c r="CJ78" i="2"/>
  <c r="CP260" i="3"/>
  <c r="CK260" i="3"/>
  <c r="AR197" i="7"/>
  <c r="AR200" i="7"/>
  <c r="AR198" i="7"/>
  <c r="AR199" i="7"/>
  <c r="AR201" i="7"/>
  <c r="DL172" i="7"/>
  <c r="DL128" i="7"/>
  <c r="BG131" i="7"/>
  <c r="BL131" i="7"/>
  <c r="CL98" i="7"/>
  <c r="T85" i="5"/>
  <c r="AB85" i="5"/>
  <c r="CU271" i="3"/>
  <c r="CU272" i="3" s="1"/>
  <c r="CU256" i="3"/>
  <c r="CU257" i="3" s="1"/>
  <c r="AB80" i="5"/>
  <c r="AE80" i="5"/>
  <c r="BR79" i="2"/>
  <c r="BW79" i="2"/>
  <c r="CK171" i="7"/>
  <c r="CF161" i="7"/>
  <c r="CF171" i="7"/>
  <c r="CF113" i="7"/>
  <c r="BV171" i="7"/>
  <c r="BV113" i="7"/>
  <c r="BV161" i="7"/>
  <c r="CA171" i="7"/>
  <c r="DQ168" i="7"/>
  <c r="CP121" i="7"/>
  <c r="CU121" i="7"/>
  <c r="BG151" i="2"/>
  <c r="BG152" i="2"/>
  <c r="BN79" i="2"/>
  <c r="BN78" i="2"/>
  <c r="CN131" i="7"/>
  <c r="AA19" i="9"/>
  <c r="AA84" i="9" s="1"/>
  <c r="AJ57" i="7"/>
  <c r="AK45" i="7"/>
  <c r="AK54" i="7" s="1"/>
  <c r="AJ192" i="7"/>
  <c r="CN152" i="2"/>
  <c r="CN151" i="2"/>
  <c r="CS61" i="2"/>
  <c r="CN167" i="2"/>
  <c r="CN69" i="2"/>
  <c r="CN61" i="2"/>
  <c r="CN193" i="3"/>
  <c r="CN191" i="3" s="1"/>
  <c r="CZ116" i="7"/>
  <c r="CZ92" i="7"/>
  <c r="CZ118" i="7" s="1"/>
  <c r="CZ101" i="7"/>
  <c r="CX96" i="7"/>
  <c r="CX121" i="7"/>
  <c r="DC121" i="7"/>
  <c r="DH45" i="7"/>
  <c r="DH54" i="7" s="1"/>
  <c r="DG80" i="7"/>
  <c r="DG82" i="7"/>
  <c r="DG179" i="7"/>
  <c r="CD193" i="3"/>
  <c r="CD191" i="3" s="1"/>
  <c r="CI61" i="2"/>
  <c r="CD167" i="2"/>
  <c r="CD69" i="2"/>
  <c r="CD61" i="2"/>
  <c r="CD67" i="8"/>
  <c r="CD151" i="2"/>
  <c r="CD152" i="2"/>
  <c r="CD130" i="7"/>
  <c r="CD128" i="7"/>
  <c r="CD172" i="7"/>
  <c r="CI172" i="7"/>
  <c r="CF129" i="7"/>
  <c r="CL130" i="7"/>
  <c r="CL128" i="7"/>
  <c r="CL172" i="7"/>
  <c r="CF146" i="7"/>
  <c r="CB75" i="7"/>
  <c r="CJ24" i="2"/>
  <c r="CJ72" i="2"/>
  <c r="CD80" i="7"/>
  <c r="CD83" i="7" s="1"/>
  <c r="CD82" i="7"/>
  <c r="CD179" i="7"/>
  <c r="CE45" i="7"/>
  <c r="CE54" i="7" s="1"/>
  <c r="DL168" i="7"/>
  <c r="BC35" i="2"/>
  <c r="BC31" i="2"/>
  <c r="BC43" i="2"/>
  <c r="BC34" i="2"/>
  <c r="BC32" i="2"/>
  <c r="CP170" i="7"/>
  <c r="CP36" i="7"/>
  <c r="CP22" i="7"/>
  <c r="CP198" i="7"/>
  <c r="CU170" i="7"/>
  <c r="DE129" i="7"/>
  <c r="DB161" i="7"/>
  <c r="DB162" i="7" s="1"/>
  <c r="DB109" i="7"/>
  <c r="BW78" i="2"/>
  <c r="BR78" i="2"/>
  <c r="CV113" i="7"/>
  <c r="CV171" i="7"/>
  <c r="DA171" i="7"/>
  <c r="CX122" i="7"/>
  <c r="CX97" i="7"/>
  <c r="CZ97" i="7" s="1"/>
  <c r="DC122" i="7"/>
  <c r="AH184" i="7"/>
  <c r="AH204" i="7"/>
  <c r="AH206" i="7"/>
  <c r="AH207" i="7"/>
  <c r="AH211" i="7"/>
  <c r="AH205" i="7"/>
  <c r="Y45" i="7"/>
  <c r="Y54" i="7" s="1"/>
  <c r="W57" i="7"/>
  <c r="CH75" i="7"/>
  <c r="CK146" i="7"/>
  <c r="CA10" i="7"/>
  <c r="CA141" i="7"/>
  <c r="BT131" i="7"/>
  <c r="G19" i="9"/>
  <c r="G84" i="9" s="1"/>
  <c r="AF71" i="6"/>
  <c r="AF41" i="7"/>
  <c r="AK40" i="2"/>
  <c r="BX131" i="7"/>
  <c r="F19" i="9"/>
  <c r="F84" i="9" s="1"/>
  <c r="BS131" i="7"/>
  <c r="CX103" i="7"/>
  <c r="CJ151" i="2"/>
  <c r="CJ152" i="2"/>
  <c r="AW179" i="7"/>
  <c r="BB45" i="7"/>
  <c r="BB54" i="7" s="1"/>
  <c r="AW57" i="7"/>
  <c r="CP108" i="7"/>
  <c r="CC201" i="7"/>
  <c r="CC197" i="7"/>
  <c r="CC198" i="7"/>
  <c r="CC259" i="3"/>
  <c r="CC200" i="7"/>
  <c r="CC183" i="7"/>
  <c r="CC188" i="7" s="1"/>
  <c r="CC210" i="7" s="1"/>
  <c r="CC215" i="7"/>
  <c r="DF41" i="7"/>
  <c r="AS22" i="9" s="1"/>
  <c r="DF151" i="2"/>
  <c r="CP271" i="3"/>
  <c r="CP272" i="3" s="1"/>
  <c r="CP256" i="3"/>
  <c r="CP257" i="3" s="1"/>
  <c r="T80" i="5"/>
  <c r="BR72" i="2"/>
  <c r="BR24" i="2"/>
  <c r="CZ260" i="3"/>
  <c r="DE260" i="3"/>
  <c r="CZ117" i="7"/>
  <c r="CZ102" i="7"/>
  <c r="CM128" i="7"/>
  <c r="CM172" i="7"/>
  <c r="CM130" i="7"/>
  <c r="AV57" i="5"/>
  <c r="BB57" i="5"/>
  <c r="AX57" i="5"/>
  <c r="DL16" i="2"/>
  <c r="DL132" i="2" s="1"/>
  <c r="DL298" i="3"/>
  <c r="DJ132" i="2"/>
  <c r="DK298" i="3"/>
  <c r="DK16" i="2"/>
  <c r="DJ61" i="3"/>
  <c r="DJ302" i="3"/>
  <c r="DJ298" i="3"/>
  <c r="DJ317" i="3"/>
  <c r="DM13" i="3"/>
  <c r="DN42" i="2"/>
  <c r="DP42" i="2" s="1"/>
  <c r="F90" i="9"/>
  <c r="F56" i="9"/>
  <c r="BU180" i="7"/>
  <c r="BU136" i="7"/>
  <c r="BU58" i="7"/>
  <c r="BS204" i="7"/>
  <c r="BS184" i="7"/>
  <c r="BS189" i="7" s="1"/>
  <c r="BS190" i="7" s="1"/>
  <c r="BS211" i="7" s="1"/>
  <c r="BS207" i="7"/>
  <c r="BS206" i="7"/>
  <c r="F75" i="9"/>
  <c r="F10" i="9"/>
  <c r="BT181" i="7"/>
  <c r="BT216" i="7"/>
  <c r="BX57" i="7"/>
  <c r="BW56" i="7"/>
  <c r="BT137" i="7"/>
  <c r="BT138" i="7"/>
  <c r="G8" i="9"/>
  <c r="G73" i="9"/>
  <c r="DM315" i="6"/>
  <c r="DN314" i="6"/>
  <c r="DL47" i="2"/>
  <c r="DL174" i="2" s="1"/>
  <c r="DM51" i="2"/>
  <c r="DM46" i="2"/>
  <c r="DN50" i="2"/>
  <c r="DM204" i="3"/>
  <c r="DK61" i="3"/>
  <c r="DK302" i="3"/>
  <c r="DL58" i="3"/>
  <c r="DL205" i="3"/>
  <c r="DL98" i="7"/>
  <c r="DG24" i="2"/>
  <c r="DG72" i="2"/>
  <c r="BB72" i="2"/>
  <c r="BB24" i="2"/>
  <c r="T71" i="6"/>
  <c r="T40" i="2"/>
  <c r="T41" i="7"/>
  <c r="AE40" i="2"/>
  <c r="AE41" i="7"/>
  <c r="AE71" i="6"/>
  <c r="AJ40" i="2"/>
  <c r="AC152" i="2"/>
  <c r="AC151" i="2"/>
  <c r="DG151" i="2"/>
  <c r="DG152" i="2"/>
  <c r="BB78" i="2"/>
  <c r="BG78" i="2"/>
  <c r="BB152" i="2"/>
  <c r="BB151" i="2"/>
  <c r="BA45" i="2"/>
  <c r="BA38" i="2" s="1"/>
  <c r="BA39" i="2"/>
  <c r="AH78" i="2"/>
  <c r="O71" i="6"/>
  <c r="O40" i="2"/>
  <c r="O41" i="7"/>
  <c r="AI40" i="2"/>
  <c r="AI71" i="6"/>
  <c r="AN40" i="2"/>
  <c r="AI41" i="7"/>
  <c r="BA70" i="6"/>
  <c r="BA40" i="7"/>
  <c r="BA36" i="2"/>
  <c r="AC193" i="3"/>
  <c r="AC191" i="3" s="1"/>
  <c r="AC69" i="2"/>
  <c r="AC61" i="2"/>
  <c r="AH61" i="2"/>
  <c r="AC227" i="3"/>
  <c r="AC230" i="3" s="1"/>
  <c r="AC67" i="8"/>
  <c r="Y40" i="2"/>
  <c r="AY40" i="2"/>
  <c r="AY71" i="6"/>
  <c r="AY41" i="7"/>
  <c r="DG167" i="2"/>
  <c r="DG61" i="2"/>
  <c r="DG69" i="2"/>
  <c r="DG77" i="2" s="1"/>
  <c r="DG193" i="3"/>
  <c r="DG191" i="3" s="1"/>
  <c r="BB193" i="3"/>
  <c r="BB191" i="3" s="1"/>
  <c r="BB227" i="3"/>
  <c r="BB230" i="3" s="1"/>
  <c r="BG61" i="2"/>
  <c r="BB69" i="2"/>
  <c r="BB61" i="2"/>
  <c r="BB67" i="8"/>
  <c r="AC24" i="2"/>
  <c r="AC72" i="2"/>
  <c r="V40" i="2"/>
  <c r="Q41" i="7"/>
  <c r="Q71" i="6"/>
  <c r="Q40" i="2"/>
  <c r="U41" i="7"/>
  <c r="U71" i="6"/>
  <c r="U40" i="2"/>
  <c r="Z40" i="2"/>
  <c r="DJ146" i="7"/>
  <c r="DJ10" i="7" s="1"/>
  <c r="DL88" i="6"/>
  <c r="DL89" i="6"/>
  <c r="DM311" i="6"/>
  <c r="DL308" i="6"/>
  <c r="DL312" i="6"/>
  <c r="DK98" i="7"/>
  <c r="I71" i="2" l="1"/>
  <c r="I27" i="2"/>
  <c r="I29" i="2" s="1"/>
  <c r="I43" i="2"/>
  <c r="DE62" i="2"/>
  <c r="AT39" i="5" s="1"/>
  <c r="BU101" i="2"/>
  <c r="BU106" i="2"/>
  <c r="BU111" i="2"/>
  <c r="M69" i="9"/>
  <c r="M103" i="9"/>
  <c r="DT149" i="7"/>
  <c r="DT11" i="7" s="1"/>
  <c r="DP173" i="7"/>
  <c r="DO15" i="7"/>
  <c r="DM82" i="6"/>
  <c r="DS157" i="3"/>
  <c r="DR33" i="3"/>
  <c r="DN30" i="3"/>
  <c r="DO30" i="3" s="1"/>
  <c r="DN171" i="3"/>
  <c r="DO171" i="3" s="1"/>
  <c r="CV67" i="3"/>
  <c r="CW64" i="3"/>
  <c r="CW65" i="3" s="1"/>
  <c r="DY321" i="3"/>
  <c r="DY45" i="3"/>
  <c r="DY300" i="3"/>
  <c r="CZ64" i="3"/>
  <c r="CU130" i="3"/>
  <c r="CU67" i="3"/>
  <c r="DU87" i="7"/>
  <c r="DV85" i="7"/>
  <c r="DT215" i="7"/>
  <c r="DT80" i="7"/>
  <c r="DY45" i="7"/>
  <c r="DY54" i="7" s="1"/>
  <c r="DQ42" i="2"/>
  <c r="DR42" i="2" s="1"/>
  <c r="DS42" i="2" s="1"/>
  <c r="DU42" i="2" s="1"/>
  <c r="BS249" i="6"/>
  <c r="BN249" i="6"/>
  <c r="BN254" i="6"/>
  <c r="DM50" i="3"/>
  <c r="DM162" i="3" s="1"/>
  <c r="DM192" i="3" s="1"/>
  <c r="DO49" i="3"/>
  <c r="DO50" i="3" s="1"/>
  <c r="BL285" i="6"/>
  <c r="BL225" i="6"/>
  <c r="BL288" i="6"/>
  <c r="BL281" i="6"/>
  <c r="BL280" i="6"/>
  <c r="BL284" i="6"/>
  <c r="BL282" i="6"/>
  <c r="CO277" i="6"/>
  <c r="DY141" i="6"/>
  <c r="DY180" i="6"/>
  <c r="S118" i="9"/>
  <c r="S186" i="9"/>
  <c r="BV118" i="6"/>
  <c r="CA130" i="6"/>
  <c r="CF137" i="6" s="1"/>
  <c r="CA152" i="6"/>
  <c r="CA131" i="6" s="1"/>
  <c r="CF138" i="6" s="1"/>
  <c r="BN277" i="6"/>
  <c r="DT141" i="6"/>
  <c r="DT180" i="6"/>
  <c r="CL277" i="6"/>
  <c r="CQ288" i="6"/>
  <c r="CQ281" i="6"/>
  <c r="CQ280" i="6"/>
  <c r="CQ225" i="6"/>
  <c r="CQ285" i="6"/>
  <c r="CQ284" i="6"/>
  <c r="CQ282" i="6"/>
  <c r="CQ286" i="6"/>
  <c r="CQ290" i="6" s="1"/>
  <c r="CQ219" i="6"/>
  <c r="CQ226" i="6" s="1"/>
  <c r="CB290" i="6"/>
  <c r="BP288" i="6"/>
  <c r="BP210" i="6"/>
  <c r="BP286" i="6"/>
  <c r="BP285" i="6"/>
  <c r="BP225" i="6"/>
  <c r="BP219" i="6"/>
  <c r="BP226" i="6" s="1"/>
  <c r="BP284" i="6"/>
  <c r="BP281" i="6"/>
  <c r="BP282" i="6"/>
  <c r="BP280" i="6"/>
  <c r="BL286" i="6"/>
  <c r="AH113" i="9"/>
  <c r="AH181" i="9"/>
  <c r="AH117" i="9"/>
  <c r="AH185" i="9"/>
  <c r="BR277" i="6"/>
  <c r="BK281" i="6"/>
  <c r="BK284" i="6"/>
  <c r="BK225" i="6"/>
  <c r="BK282" i="6"/>
  <c r="BK288" i="6"/>
  <c r="BK219" i="6"/>
  <c r="BK226" i="6" s="1"/>
  <c r="BK280" i="6"/>
  <c r="BK285" i="6"/>
  <c r="BQ182" i="6"/>
  <c r="BQ166" i="6"/>
  <c r="BP277" i="6"/>
  <c r="BN282" i="6"/>
  <c r="BN225" i="6"/>
  <c r="BN288" i="6"/>
  <c r="BN290" i="6" s="1"/>
  <c r="BN286" i="6"/>
  <c r="BN219" i="6"/>
  <c r="BN226" i="6" s="1"/>
  <c r="BN210" i="6"/>
  <c r="BN285" i="6"/>
  <c r="BN284" i="6"/>
  <c r="BN281" i="6"/>
  <c r="BN280" i="6"/>
  <c r="DU26" i="7"/>
  <c r="DU100" i="2" s="1"/>
  <c r="DN90" i="6"/>
  <c r="DS90" i="6" s="1"/>
  <c r="DX90" i="6" s="1"/>
  <c r="DK98" i="6"/>
  <c r="DM98" i="6"/>
  <c r="DM99" i="6" s="1"/>
  <c r="DR79" i="6"/>
  <c r="DR82" i="6" s="1"/>
  <c r="DM93" i="6"/>
  <c r="DM308" i="6" s="1"/>
  <c r="DP90" i="6"/>
  <c r="DU90" i="6" s="1"/>
  <c r="DM78" i="6"/>
  <c r="DR173" i="7"/>
  <c r="DR100" i="2"/>
  <c r="DJ78" i="6"/>
  <c r="DK78" i="6"/>
  <c r="DP79" i="6"/>
  <c r="DU79" i="6" s="1"/>
  <c r="DK82" i="6"/>
  <c r="DR90" i="6"/>
  <c r="DW90" i="6" s="1"/>
  <c r="DK77" i="6"/>
  <c r="DJ89" i="6"/>
  <c r="BI118" i="9"/>
  <c r="DV196" i="6" s="1"/>
  <c r="BH117" i="9"/>
  <c r="DU195" i="6" s="1"/>
  <c r="BI117" i="9"/>
  <c r="DV195" i="6" s="1"/>
  <c r="BI113" i="9"/>
  <c r="DV189" i="6" s="1"/>
  <c r="BH114" i="9"/>
  <c r="DU190" i="6" s="1"/>
  <c r="BH118" i="9"/>
  <c r="DU196" i="6" s="1"/>
  <c r="BJ117" i="9"/>
  <c r="DW195" i="6" s="1"/>
  <c r="BI114" i="9"/>
  <c r="DV190" i="6" s="1"/>
  <c r="BK113" i="9"/>
  <c r="DX189" i="6" s="1"/>
  <c r="BB113" i="9" s="1"/>
  <c r="DW172" i="7"/>
  <c r="BK114" i="9"/>
  <c r="DX190" i="6" s="1"/>
  <c r="BB114" i="9" s="1"/>
  <c r="BK117" i="9"/>
  <c r="DX195" i="6" s="1"/>
  <c r="BB117" i="9" s="1"/>
  <c r="BK118" i="9"/>
  <c r="DX196" i="6" s="1"/>
  <c r="BB118" i="9" s="1"/>
  <c r="DQ79" i="6"/>
  <c r="DV79" i="6" s="1"/>
  <c r="DO100" i="2"/>
  <c r="DO173" i="7"/>
  <c r="DX15" i="7"/>
  <c r="DX168" i="7" s="1"/>
  <c r="DN79" i="6"/>
  <c r="DN82" i="6" s="1"/>
  <c r="BT254" i="6"/>
  <c r="BY166" i="2"/>
  <c r="BW106" i="2"/>
  <c r="BW111" i="2"/>
  <c r="AW43" i="2"/>
  <c r="BO162" i="2"/>
  <c r="DP50" i="2"/>
  <c r="DF77" i="2"/>
  <c r="AW233" i="3"/>
  <c r="AW71" i="2"/>
  <c r="AW27" i="2"/>
  <c r="AW29" i="2" s="1"/>
  <c r="BK121" i="9"/>
  <c r="DX258" i="6" s="1"/>
  <c r="BB121" i="9" s="1"/>
  <c r="BJ121" i="9"/>
  <c r="DW258" i="6" s="1"/>
  <c r="BH121" i="9"/>
  <c r="DU258" i="6" s="1"/>
  <c r="BI121" i="9"/>
  <c r="DV258" i="6" s="1"/>
  <c r="DY127" i="7"/>
  <c r="DU129" i="7"/>
  <c r="DU128" i="7" s="1"/>
  <c r="DU15" i="7"/>
  <c r="DV173" i="7"/>
  <c r="DV100" i="2"/>
  <c r="DS173" i="7"/>
  <c r="DS100" i="2"/>
  <c r="DX26" i="7"/>
  <c r="DP168" i="7"/>
  <c r="DY149" i="7"/>
  <c r="DY11" i="7" s="1"/>
  <c r="DV172" i="7"/>
  <c r="DW173" i="7"/>
  <c r="DW100" i="2"/>
  <c r="DV168" i="7"/>
  <c r="DX172" i="7"/>
  <c r="CY49" i="2"/>
  <c r="CZ202" i="3"/>
  <c r="CK103" i="2"/>
  <c r="CN13" i="8"/>
  <c r="CM15" i="8"/>
  <c r="BD70" i="6"/>
  <c r="BD40" i="7"/>
  <c r="BD36" i="2"/>
  <c r="CE67" i="8"/>
  <c r="CE167" i="2"/>
  <c r="CE69" i="2"/>
  <c r="CJ77" i="2" s="1"/>
  <c r="CE193" i="3"/>
  <c r="CE191" i="3" s="1"/>
  <c r="BY34" i="2"/>
  <c r="BY43" i="2"/>
  <c r="BY27" i="2"/>
  <c r="BY35" i="2"/>
  <c r="DO129" i="7"/>
  <c r="DO128" i="7" s="1"/>
  <c r="CE72" i="2"/>
  <c r="CE24" i="2"/>
  <c r="CE151" i="2"/>
  <c r="CE152" i="2"/>
  <c r="BD39" i="2"/>
  <c r="BD45" i="2"/>
  <c r="BD38" i="2" s="1"/>
  <c r="DS172" i="7"/>
  <c r="DT26" i="7"/>
  <c r="DT100" i="2" s="1"/>
  <c r="DE75" i="2"/>
  <c r="BF70" i="6"/>
  <c r="BF40" i="7"/>
  <c r="BT103" i="2"/>
  <c r="DJ215" i="7"/>
  <c r="DJ168" i="7"/>
  <c r="DJ154" i="7"/>
  <c r="DJ142" i="7" s="1"/>
  <c r="DN172" i="7"/>
  <c r="BO106" i="2"/>
  <c r="BO111" i="2"/>
  <c r="BO101" i="2"/>
  <c r="BR108" i="2"/>
  <c r="BF45" i="2"/>
  <c r="BF38" i="2" s="1"/>
  <c r="BF39" i="2"/>
  <c r="BF40" i="2" s="1"/>
  <c r="BT77" i="2"/>
  <c r="BY77" i="2"/>
  <c r="CK429" i="8"/>
  <c r="CK431" i="8" s="1"/>
  <c r="CF62" i="8"/>
  <c r="CF64" i="8" s="1"/>
  <c r="CF66" i="8" s="1"/>
  <c r="CF57" i="8"/>
  <c r="CF58" i="8" s="1"/>
  <c r="BT165" i="2"/>
  <c r="CI57" i="8"/>
  <c r="CI58" i="8" s="1"/>
  <c r="CI59" i="8" s="1"/>
  <c r="CI433" i="8"/>
  <c r="CJ429" i="8"/>
  <c r="CJ431" i="8" s="1"/>
  <c r="CI62" i="8"/>
  <c r="BQ64" i="3"/>
  <c r="BQ65" i="3" s="1"/>
  <c r="BM64" i="3"/>
  <c r="BL67" i="3"/>
  <c r="BM129" i="3"/>
  <c r="BN129" i="3" s="1"/>
  <c r="BO129" i="3" s="1"/>
  <c r="BP129" i="3" s="1"/>
  <c r="BP130" i="3" s="1"/>
  <c r="BR129" i="3" s="1"/>
  <c r="BS129" i="3" s="1"/>
  <c r="BT129" i="3" s="1"/>
  <c r="BU129" i="3" s="1"/>
  <c r="CK438" i="8"/>
  <c r="CH59" i="8"/>
  <c r="CY69" i="2"/>
  <c r="CY167" i="2"/>
  <c r="CY193" i="3"/>
  <c r="CY191" i="3" s="1"/>
  <c r="BM165" i="2"/>
  <c r="CX78" i="2"/>
  <c r="AE46" i="5"/>
  <c r="BY162" i="2"/>
  <c r="BY165" i="2" s="1"/>
  <c r="BW43" i="2"/>
  <c r="BX193" i="3"/>
  <c r="BX191" i="3" s="1"/>
  <c r="BX69" i="2"/>
  <c r="CC77" i="2" s="1"/>
  <c r="BX167" i="2"/>
  <c r="BX67" i="8"/>
  <c r="CC61" i="2"/>
  <c r="DA165" i="2"/>
  <c r="DA166" i="2"/>
  <c r="DA71" i="2"/>
  <c r="DA34" i="2"/>
  <c r="DA35" i="2"/>
  <c r="DA27" i="2"/>
  <c r="DA29" i="2" s="1"/>
  <c r="BV75" i="2"/>
  <c r="BS103" i="2"/>
  <c r="CY61" i="2"/>
  <c r="DD78" i="2"/>
  <c r="AT14" i="5" s="1"/>
  <c r="BX24" i="2"/>
  <c r="BX72" i="2"/>
  <c r="BW165" i="2"/>
  <c r="BW166" i="2"/>
  <c r="CO165" i="2"/>
  <c r="CO166" i="2"/>
  <c r="CY151" i="2"/>
  <c r="CY152" i="2"/>
  <c r="BW27" i="2"/>
  <c r="BW34" i="2"/>
  <c r="BW35" i="2"/>
  <c r="CO35" i="2"/>
  <c r="CO27" i="2"/>
  <c r="CO71" i="2"/>
  <c r="CO34" i="2"/>
  <c r="CY24" i="2"/>
  <c r="CY72" i="2"/>
  <c r="AK16" i="5" s="1"/>
  <c r="BV163" i="2"/>
  <c r="BV162" i="2"/>
  <c r="CC162" i="2"/>
  <c r="CC165" i="2" s="1"/>
  <c r="CD103" i="2"/>
  <c r="CH167" i="2"/>
  <c r="CH67" i="8"/>
  <c r="CH69" i="2"/>
  <c r="CH77" i="2" s="1"/>
  <c r="CH193" i="3"/>
  <c r="CH191" i="3" s="1"/>
  <c r="CH61" i="2"/>
  <c r="BM101" i="2"/>
  <c r="BM111" i="2"/>
  <c r="AP71" i="6"/>
  <c r="AP40" i="2"/>
  <c r="AU40" i="2"/>
  <c r="AP41" i="7"/>
  <c r="K103" i="9"/>
  <c r="K69" i="9"/>
  <c r="DE70" i="2"/>
  <c r="DE153" i="2"/>
  <c r="DE15" i="2"/>
  <c r="DE22" i="2"/>
  <c r="DE24" i="2" s="1"/>
  <c r="BV136" i="2"/>
  <c r="BV139" i="2"/>
  <c r="AZ40" i="7"/>
  <c r="AZ36" i="2"/>
  <c r="BE36" i="2"/>
  <c r="AZ70" i="6"/>
  <c r="CR193" i="3"/>
  <c r="CR191" i="3" s="1"/>
  <c r="CR69" i="2"/>
  <c r="CW77" i="2" s="1"/>
  <c r="CR167" i="2"/>
  <c r="DD61" i="2"/>
  <c r="DD193" i="3"/>
  <c r="DD191" i="3" s="1"/>
  <c r="DD69" i="2"/>
  <c r="DD77" i="2" s="1"/>
  <c r="DD167" i="2"/>
  <c r="CH152" i="2"/>
  <c r="CH151" i="2"/>
  <c r="CV152" i="2"/>
  <c r="CV151" i="2"/>
  <c r="BN162" i="2"/>
  <c r="BN165" i="2" s="1"/>
  <c r="CC101" i="2"/>
  <c r="CC106" i="2"/>
  <c r="CC111" i="2"/>
  <c r="BL45" i="2"/>
  <c r="BL38" i="2" s="1"/>
  <c r="BL39" i="2"/>
  <c r="AT41" i="5"/>
  <c r="AN41" i="5"/>
  <c r="U103" i="9"/>
  <c r="U69" i="9"/>
  <c r="AX39" i="2"/>
  <c r="AX45" i="2"/>
  <c r="AX38" i="2" s="1"/>
  <c r="BQ253" i="6"/>
  <c r="BQ254" i="6" s="1"/>
  <c r="BQ259" i="6"/>
  <c r="CF193" i="3"/>
  <c r="CF167" i="2"/>
  <c r="CF227" i="3"/>
  <c r="CF230" i="3" s="1"/>
  <c r="CF69" i="2"/>
  <c r="P103" i="9"/>
  <c r="P69" i="9"/>
  <c r="CR152" i="2"/>
  <c r="CR151" i="2"/>
  <c r="DD72" i="2"/>
  <c r="DD24" i="2"/>
  <c r="CH24" i="2"/>
  <c r="CH72" i="2"/>
  <c r="DA61" i="2"/>
  <c r="CV193" i="3"/>
  <c r="CV191" i="3" s="1"/>
  <c r="CV69" i="2"/>
  <c r="DA77" i="2" s="1"/>
  <c r="CV167" i="2"/>
  <c r="BM106" i="2"/>
  <c r="CH103" i="2"/>
  <c r="CC103" i="2"/>
  <c r="AZ39" i="2"/>
  <c r="AZ45" i="2"/>
  <c r="AZ38" i="2" s="1"/>
  <c r="G69" i="9"/>
  <c r="G103" i="9"/>
  <c r="AX70" i="6"/>
  <c r="AX40" i="7"/>
  <c r="AX36" i="2"/>
  <c r="BM249" i="6"/>
  <c r="BM254" i="6"/>
  <c r="CR24" i="2"/>
  <c r="CR72" i="2"/>
  <c r="DD152" i="2"/>
  <c r="DD151" i="2"/>
  <c r="CV24" i="2"/>
  <c r="CV72" i="2"/>
  <c r="CZ72" i="2" s="1"/>
  <c r="AK49" i="5" s="1"/>
  <c r="BL32" i="2"/>
  <c r="BL297" i="3"/>
  <c r="BL301" i="3" s="1"/>
  <c r="BL34" i="2"/>
  <c r="BL31" i="2"/>
  <c r="BL35" i="2"/>
  <c r="CF24" i="2"/>
  <c r="CF72" i="2"/>
  <c r="DF27" i="2"/>
  <c r="DF29" i="2" s="1"/>
  <c r="DF34" i="2"/>
  <c r="DF35" i="2"/>
  <c r="DF71" i="2"/>
  <c r="DB70" i="6"/>
  <c r="DB40" i="7"/>
  <c r="BV25" i="7"/>
  <c r="BV201" i="7"/>
  <c r="BV207" i="7"/>
  <c r="DF165" i="2"/>
  <c r="DF166" i="2"/>
  <c r="CF111" i="2"/>
  <c r="CF106" i="2"/>
  <c r="E69" i="9"/>
  <c r="E103" i="9"/>
  <c r="AM24" i="2"/>
  <c r="AM72" i="2"/>
  <c r="DB77" i="2"/>
  <c r="CW35" i="2"/>
  <c r="CW71" i="2"/>
  <c r="CW27" i="2"/>
  <c r="CW29" i="2" s="1"/>
  <c r="DB63" i="2" s="1"/>
  <c r="CW34" i="2"/>
  <c r="CI210" i="3"/>
  <c r="CI35" i="3"/>
  <c r="CI209" i="3"/>
  <c r="N152" i="2"/>
  <c r="N151" i="2"/>
  <c r="CQ151" i="2"/>
  <c r="CQ152" i="2"/>
  <c r="CQ61" i="2"/>
  <c r="CQ193" i="3"/>
  <c r="CQ191" i="3" s="1"/>
  <c r="CQ167" i="2"/>
  <c r="CQ69" i="2"/>
  <c r="CV61" i="2"/>
  <c r="BY249" i="6"/>
  <c r="BT249" i="6"/>
  <c r="CA115" i="2"/>
  <c r="CA102" i="2"/>
  <c r="G207" i="9"/>
  <c r="G171" i="9"/>
  <c r="DC70" i="6"/>
  <c r="DC40" i="7"/>
  <c r="AR78" i="2"/>
  <c r="J69" i="9"/>
  <c r="J103" i="9"/>
  <c r="F103" i="9"/>
  <c r="F69" i="9"/>
  <c r="AM193" i="3"/>
  <c r="AM191" i="3" s="1"/>
  <c r="AM67" i="8"/>
  <c r="AM227" i="3"/>
  <c r="AM230" i="3" s="1"/>
  <c r="AM69" i="2"/>
  <c r="AM77" i="2" s="1"/>
  <c r="BT111" i="2"/>
  <c r="BT101" i="2"/>
  <c r="L69" i="9"/>
  <c r="L103" i="9"/>
  <c r="CI31" i="2"/>
  <c r="CI32" i="2"/>
  <c r="CI297" i="3"/>
  <c r="CI301" i="3" s="1"/>
  <c r="CA25" i="7"/>
  <c r="CA201" i="7"/>
  <c r="CA36" i="7"/>
  <c r="CF37" i="7"/>
  <c r="CF31" i="7"/>
  <c r="CF144" i="2"/>
  <c r="CF146" i="2" s="1"/>
  <c r="CF149" i="2" s="1"/>
  <c r="CF152" i="2" s="1"/>
  <c r="CF200" i="7"/>
  <c r="G88" i="5"/>
  <c r="CK38" i="7"/>
  <c r="CK174" i="7"/>
  <c r="N24" i="2"/>
  <c r="N72" i="2"/>
  <c r="N193" i="3"/>
  <c r="N191" i="3" s="1"/>
  <c r="N61" i="2"/>
  <c r="N227" i="3"/>
  <c r="N230" i="3" s="1"/>
  <c r="N67" i="8"/>
  <c r="N69" i="2"/>
  <c r="N77" i="2" s="1"/>
  <c r="CQ78" i="2"/>
  <c r="CV78" i="2"/>
  <c r="DC32" i="2"/>
  <c r="DC31" i="2"/>
  <c r="DC297" i="3"/>
  <c r="DC301" i="3" s="1"/>
  <c r="CL34" i="2"/>
  <c r="CL71" i="2"/>
  <c r="CL35" i="2"/>
  <c r="CL27" i="2"/>
  <c r="CQ24" i="2"/>
  <c r="CQ72" i="2"/>
  <c r="BY106" i="2"/>
  <c r="BY111" i="2"/>
  <c r="CW166" i="2"/>
  <c r="CW165" i="2"/>
  <c r="AM152" i="2"/>
  <c r="AM151" i="2"/>
  <c r="BY108" i="2"/>
  <c r="BT108" i="2"/>
  <c r="DB32" i="2"/>
  <c r="DB297" i="3"/>
  <c r="DB301" i="3" s="1"/>
  <c r="DB31" i="2"/>
  <c r="BV102" i="2"/>
  <c r="BV103" i="2" s="1"/>
  <c r="BV115" i="2"/>
  <c r="AB59" i="5"/>
  <c r="AB61" i="5" s="1"/>
  <c r="CU312" i="3"/>
  <c r="AE59" i="5"/>
  <c r="AE61" i="5" s="1"/>
  <c r="BN111" i="2"/>
  <c r="BN106" i="2"/>
  <c r="AL71" i="6"/>
  <c r="AL41" i="7"/>
  <c r="CB211" i="3"/>
  <c r="CT165" i="2"/>
  <c r="CT166" i="2"/>
  <c r="BH34" i="2"/>
  <c r="BH32" i="2"/>
  <c r="BH43" i="2"/>
  <c r="BH31" i="2"/>
  <c r="BH35" i="2"/>
  <c r="BH36" i="2" s="1"/>
  <c r="CT71" i="2"/>
  <c r="CT34" i="2"/>
  <c r="CT35" i="2"/>
  <c r="CT27" i="2"/>
  <c r="CT29" i="2" s="1"/>
  <c r="AV71" i="6"/>
  <c r="AV41" i="7"/>
  <c r="CS151" i="2"/>
  <c r="CS152" i="2"/>
  <c r="X72" i="2"/>
  <c r="X24" i="2"/>
  <c r="AA41" i="7"/>
  <c r="AA71" i="6"/>
  <c r="AA40" i="2"/>
  <c r="CS69" i="2"/>
  <c r="CX77" i="2" s="1"/>
  <c r="CS193" i="3"/>
  <c r="CS191" i="3" s="1"/>
  <c r="CS167" i="2"/>
  <c r="X69" i="2"/>
  <c r="X67" i="8"/>
  <c r="X227" i="3"/>
  <c r="X230" i="3" s="1"/>
  <c r="X193" i="3"/>
  <c r="X191" i="3" s="1"/>
  <c r="CS72" i="2"/>
  <c r="CS24" i="2"/>
  <c r="BO43" i="2"/>
  <c r="BO27" i="2"/>
  <c r="CY77" i="2"/>
  <c r="CT77" i="2"/>
  <c r="X152" i="2"/>
  <c r="X151" i="2"/>
  <c r="BO166" i="2"/>
  <c r="BO165" i="2"/>
  <c r="DT129" i="7"/>
  <c r="DT172" i="7" s="1"/>
  <c r="DL101" i="6"/>
  <c r="DK94" i="6"/>
  <c r="DK308" i="6"/>
  <c r="DL310" i="6" s="1"/>
  <c r="CT236" i="6"/>
  <c r="CT214" i="6"/>
  <c r="CT198" i="6" s="1"/>
  <c r="DL94" i="6"/>
  <c r="DJ90" i="6"/>
  <c r="BE121" i="9"/>
  <c r="DR258" i="6" s="1"/>
  <c r="AL121" i="9"/>
  <c r="AO121" i="9"/>
  <c r="AK121" i="9"/>
  <c r="BC121" i="9"/>
  <c r="DP258" i="6" s="1"/>
  <c r="AU121" i="9"/>
  <c r="BA121" i="9"/>
  <c r="DN258" i="6" s="1"/>
  <c r="AW121" i="9" s="1"/>
  <c r="AY121" i="9"/>
  <c r="DL258" i="6" s="1"/>
  <c r="DL26" i="6" s="1"/>
  <c r="AN121" i="9"/>
  <c r="B212" i="9"/>
  <c r="AQ121" i="9"/>
  <c r="AX121" i="9"/>
  <c r="AS121" i="9"/>
  <c r="BD121" i="9"/>
  <c r="DQ258" i="6" s="1"/>
  <c r="AT121" i="9"/>
  <c r="AV121" i="9"/>
  <c r="AZ121" i="9"/>
  <c r="DM258" i="6" s="1"/>
  <c r="AP121" i="9"/>
  <c r="BF121" i="9"/>
  <c r="DS258" i="6" s="1"/>
  <c r="DK99" i="6"/>
  <c r="DQ98" i="6"/>
  <c r="DQ99" i="6" s="1"/>
  <c r="DQ93" i="6"/>
  <c r="DQ82" i="6"/>
  <c r="CT208" i="6"/>
  <c r="CT191" i="6" s="1"/>
  <c r="CU207" i="6"/>
  <c r="CT232" i="6"/>
  <c r="DJ79" i="6"/>
  <c r="DJ80" i="6" s="1"/>
  <c r="AW177" i="9" s="1"/>
  <c r="DP82" i="6"/>
  <c r="DJ98" i="6"/>
  <c r="DS196" i="3"/>
  <c r="DO20" i="3"/>
  <c r="DM26" i="3"/>
  <c r="DP141" i="3"/>
  <c r="DP20" i="3" s="1"/>
  <c r="DN24" i="3"/>
  <c r="DO24" i="3" s="1"/>
  <c r="DP148" i="3"/>
  <c r="DP24" i="3" s="1"/>
  <c r="DP142" i="3"/>
  <c r="DP21" i="3" s="1"/>
  <c r="DN21" i="3"/>
  <c r="DO21" i="3" s="1"/>
  <c r="DP19" i="3"/>
  <c r="DR158" i="3"/>
  <c r="DQ63" i="8"/>
  <c r="DM149" i="3"/>
  <c r="DN145" i="3"/>
  <c r="DR11" i="3"/>
  <c r="DN290" i="3"/>
  <c r="DF325" i="6"/>
  <c r="DH330" i="6"/>
  <c r="DG324" i="6"/>
  <c r="DG325" i="6" s="1"/>
  <c r="DT142" i="6"/>
  <c r="CF112" i="6"/>
  <c r="CF149" i="6"/>
  <c r="CF113" i="6" s="1"/>
  <c r="CA149" i="6"/>
  <c r="CA113" i="6" s="1"/>
  <c r="CA119" i="6" s="1"/>
  <c r="CA112" i="6"/>
  <c r="CA118" i="6" s="1"/>
  <c r="CU30" i="6"/>
  <c r="CU159" i="2"/>
  <c r="CU297" i="6"/>
  <c r="CZ27" i="2"/>
  <c r="CZ29" i="2" s="1"/>
  <c r="CZ71" i="2"/>
  <c r="CE275" i="6"/>
  <c r="CE273" i="6"/>
  <c r="CE268" i="6"/>
  <c r="CE183" i="6"/>
  <c r="CE272" i="6"/>
  <c r="CE271" i="6"/>
  <c r="CE267" i="6"/>
  <c r="CC297" i="3"/>
  <c r="CC301" i="3" s="1"/>
  <c r="CC32" i="2"/>
  <c r="CC31" i="2"/>
  <c r="AB38" i="5"/>
  <c r="AE38" i="5"/>
  <c r="S151" i="2"/>
  <c r="S152" i="2"/>
  <c r="CR76" i="2"/>
  <c r="CM76" i="2"/>
  <c r="BM29" i="2"/>
  <c r="BM8" i="3"/>
  <c r="CL91" i="2"/>
  <c r="CG91" i="2"/>
  <c r="CC316" i="3"/>
  <c r="CC319" i="3" s="1"/>
  <c r="CC323" i="3" s="1"/>
  <c r="CC99" i="3"/>
  <c r="CC128" i="3" s="1"/>
  <c r="AK73" i="5"/>
  <c r="AM131" i="9"/>
  <c r="CK17" i="2"/>
  <c r="CK67" i="2"/>
  <c r="CK75" i="2" s="1"/>
  <c r="J43" i="5" s="1"/>
  <c r="CK59" i="2"/>
  <c r="CP76" i="2"/>
  <c r="T45" i="5" s="1"/>
  <c r="CK76" i="2"/>
  <c r="J45" i="5" s="1"/>
  <c r="BX75" i="2"/>
  <c r="BS75" i="2"/>
  <c r="CZ151" i="2"/>
  <c r="CZ152" i="2"/>
  <c r="BO290" i="6"/>
  <c r="CN176" i="6"/>
  <c r="CN177" i="6" s="1"/>
  <c r="CN132" i="6"/>
  <c r="CN139" i="6" s="1"/>
  <c r="CN182" i="6"/>
  <c r="CN273" i="6" s="1"/>
  <c r="BZ268" i="6"/>
  <c r="BZ271" i="6"/>
  <c r="BZ183" i="6"/>
  <c r="BZ272" i="6"/>
  <c r="BZ275" i="6"/>
  <c r="BZ267" i="6"/>
  <c r="DC77" i="2"/>
  <c r="CC209" i="3"/>
  <c r="CC35" i="3"/>
  <c r="CC210" i="3"/>
  <c r="CU125" i="2"/>
  <c r="CP125" i="2"/>
  <c r="CP91" i="2"/>
  <c r="CU91" i="2"/>
  <c r="CP103" i="2"/>
  <c r="CU103" i="2"/>
  <c r="AH233" i="3"/>
  <c r="CD218" i="6"/>
  <c r="CD191" i="6"/>
  <c r="CD282" i="6"/>
  <c r="BU166" i="2"/>
  <c r="BU165" i="2"/>
  <c r="BU43" i="2"/>
  <c r="CU176" i="6"/>
  <c r="CU177" i="6" s="1"/>
  <c r="CU151" i="6"/>
  <c r="BZ71" i="2"/>
  <c r="BZ79" i="2" s="1"/>
  <c r="BZ15" i="2"/>
  <c r="BZ70" i="2"/>
  <c r="BZ22" i="2"/>
  <c r="BZ62" i="2"/>
  <c r="CE62" i="2"/>
  <c r="S72" i="2"/>
  <c r="S24" i="2"/>
  <c r="CU233" i="3"/>
  <c r="CU191" i="3"/>
  <c r="CU221" i="3"/>
  <c r="BJ35" i="2"/>
  <c r="BJ34" i="2"/>
  <c r="BJ43" i="2"/>
  <c r="BJ32" i="2"/>
  <c r="BJ31" i="2"/>
  <c r="BJ63" i="2"/>
  <c r="BV191" i="6"/>
  <c r="BV218" i="6"/>
  <c r="BM43" i="2"/>
  <c r="CL96" i="2"/>
  <c r="CG96" i="2"/>
  <c r="CG103" i="2"/>
  <c r="CL103" i="2"/>
  <c r="CB63" i="3"/>
  <c r="CB312" i="3"/>
  <c r="AR233" i="3"/>
  <c r="CA75" i="2"/>
  <c r="CF75" i="2"/>
  <c r="CP171" i="6"/>
  <c r="CJ120" i="6"/>
  <c r="CE120" i="6"/>
  <c r="CP96" i="2"/>
  <c r="CU96" i="2"/>
  <c r="CF232" i="6"/>
  <c r="CF190" i="6"/>
  <c r="BU34" i="2"/>
  <c r="BU35" i="2"/>
  <c r="BU27" i="2"/>
  <c r="CS132" i="6"/>
  <c r="CS139" i="6" s="1"/>
  <c r="CS176" i="6"/>
  <c r="CS177" i="6" s="1"/>
  <c r="BU218" i="6"/>
  <c r="BU191" i="6"/>
  <c r="BU282" i="6"/>
  <c r="CK196" i="6"/>
  <c r="CK214" i="6"/>
  <c r="CK236" i="6"/>
  <c r="CG17" i="2"/>
  <c r="CG67" i="2"/>
  <c r="CG59" i="2"/>
  <c r="CL59" i="2"/>
  <c r="CO284" i="6"/>
  <c r="CO225" i="6"/>
  <c r="CO288" i="6"/>
  <c r="CO285" i="6"/>
  <c r="CO219" i="6"/>
  <c r="CO226" i="6" s="1"/>
  <c r="CO286" i="6"/>
  <c r="CO280" i="6"/>
  <c r="CO281" i="6"/>
  <c r="CB316" i="3"/>
  <c r="CB319" i="3" s="1"/>
  <c r="CB323" i="3" s="1"/>
  <c r="CB325" i="3" s="1"/>
  <c r="CB99" i="3"/>
  <c r="CB128" i="3" s="1"/>
  <c r="CU146" i="2"/>
  <c r="CU148" i="2" s="1"/>
  <c r="CA189" i="6"/>
  <c r="N113" i="9" s="1"/>
  <c r="CA231" i="6"/>
  <c r="CA208" i="6"/>
  <c r="AW77" i="2"/>
  <c r="CF189" i="6"/>
  <c r="CF231" i="6"/>
  <c r="CF208" i="6"/>
  <c r="CX34" i="2"/>
  <c r="CX71" i="2"/>
  <c r="CX27" i="2"/>
  <c r="CX29" i="2" s="1"/>
  <c r="CX35" i="2"/>
  <c r="BR288" i="6"/>
  <c r="BR284" i="6"/>
  <c r="BR280" i="6"/>
  <c r="BR219" i="6"/>
  <c r="BR226" i="6" s="1"/>
  <c r="BR225" i="6"/>
  <c r="BR285" i="6"/>
  <c r="BR281" i="6"/>
  <c r="BR286" i="6"/>
  <c r="BS71" i="2"/>
  <c r="BS15" i="2"/>
  <c r="BS70" i="2"/>
  <c r="BX62" i="2"/>
  <c r="BS22" i="2"/>
  <c r="BS62" i="2"/>
  <c r="BV70" i="2"/>
  <c r="BV15" i="2"/>
  <c r="BV62" i="2"/>
  <c r="BV22" i="2"/>
  <c r="BV153" i="2"/>
  <c r="BV131" i="6"/>
  <c r="BV272" i="6"/>
  <c r="BL268" i="6"/>
  <c r="BL271" i="6"/>
  <c r="BL275" i="6"/>
  <c r="BL272" i="6"/>
  <c r="BL273" i="6"/>
  <c r="BL219" i="6"/>
  <c r="BL226" i="6" s="1"/>
  <c r="BL267" i="6"/>
  <c r="BL183" i="6"/>
  <c r="BL269" i="6"/>
  <c r="CE269" i="6"/>
  <c r="AB45" i="5"/>
  <c r="CU76" i="2"/>
  <c r="BQ70" i="2"/>
  <c r="BQ78" i="2" s="1"/>
  <c r="BQ22" i="2"/>
  <c r="BQ153" i="2"/>
  <c r="BQ15" i="2"/>
  <c r="BQ62" i="2"/>
  <c r="AC182" i="9"/>
  <c r="AC114" i="9"/>
  <c r="BX290" i="6"/>
  <c r="AH43" i="2"/>
  <c r="AH71" i="2"/>
  <c r="AH27" i="2"/>
  <c r="AH29" i="2" s="1"/>
  <c r="CS236" i="6"/>
  <c r="CU213" i="6"/>
  <c r="CS214" i="6"/>
  <c r="CS198" i="6" s="1"/>
  <c r="BT290" i="6"/>
  <c r="CF198" i="6"/>
  <c r="CC41" i="7"/>
  <c r="P22" i="9" s="1"/>
  <c r="P1" i="9"/>
  <c r="CC1" i="6"/>
  <c r="CH40" i="2"/>
  <c r="J8" i="5" s="1"/>
  <c r="CH64" i="2"/>
  <c r="P23" i="9"/>
  <c r="CC71" i="6"/>
  <c r="P122" i="9" s="1"/>
  <c r="P123" i="9"/>
  <c r="X78" i="2"/>
  <c r="S78" i="2"/>
  <c r="S69" i="2"/>
  <c r="S67" i="8"/>
  <c r="X61" i="2"/>
  <c r="S61" i="2"/>
  <c r="S193" i="3"/>
  <c r="S191" i="3" s="1"/>
  <c r="S227" i="3"/>
  <c r="S230" i="3" s="1"/>
  <c r="CM67" i="2"/>
  <c r="CM17" i="2"/>
  <c r="CR59" i="2"/>
  <c r="CM59" i="2"/>
  <c r="CR96" i="2"/>
  <c r="CM96" i="2"/>
  <c r="CR103" i="2"/>
  <c r="CM103" i="2"/>
  <c r="BV277" i="6"/>
  <c r="CL113" i="2"/>
  <c r="CG113" i="2"/>
  <c r="CD120" i="6"/>
  <c r="CI120" i="6"/>
  <c r="BQ280" i="6"/>
  <c r="BQ282" i="6"/>
  <c r="BQ219" i="6"/>
  <c r="BQ226" i="6" s="1"/>
  <c r="BQ285" i="6"/>
  <c r="BQ281" i="6"/>
  <c r="BQ225" i="6"/>
  <c r="BQ284" i="6"/>
  <c r="BQ288" i="6"/>
  <c r="AK43" i="5"/>
  <c r="CZ78" i="2"/>
  <c r="AK46" i="5"/>
  <c r="DE78" i="2"/>
  <c r="AR43" i="5"/>
  <c r="AP43" i="5"/>
  <c r="AN43" i="5"/>
  <c r="BK70" i="2"/>
  <c r="BK78" i="2" s="1"/>
  <c r="BK22" i="2"/>
  <c r="BK71" i="2"/>
  <c r="BK79" i="2" s="1"/>
  <c r="BK62" i="2"/>
  <c r="BK15" i="2"/>
  <c r="CP113" i="2"/>
  <c r="CU113" i="2"/>
  <c r="BZ75" i="2"/>
  <c r="CE75" i="2"/>
  <c r="AR71" i="2"/>
  <c r="AR27" i="2"/>
  <c r="AR29" i="2" s="1"/>
  <c r="AR43" i="2"/>
  <c r="CM113" i="2"/>
  <c r="CR113" i="2"/>
  <c r="BJ77" i="2"/>
  <c r="BO77" i="2"/>
  <c r="BP75" i="2"/>
  <c r="BU75" i="2"/>
  <c r="CA165" i="6"/>
  <c r="CC277" i="6"/>
  <c r="CZ37" i="6"/>
  <c r="AE75" i="5"/>
  <c r="AH129" i="9"/>
  <c r="AM130" i="9" s="1"/>
  <c r="AK75" i="5"/>
  <c r="BZ191" i="6"/>
  <c r="BZ218" i="6"/>
  <c r="BZ282" i="6" s="1"/>
  <c r="CE191" i="6"/>
  <c r="CE282" i="6"/>
  <c r="CE218" i="6"/>
  <c r="AO41" i="7"/>
  <c r="AO71" i="6"/>
  <c r="AT40" i="2"/>
  <c r="AO40" i="2"/>
  <c r="CZ61" i="2"/>
  <c r="CZ193" i="3"/>
  <c r="CZ227" i="3"/>
  <c r="CZ230" i="3" s="1"/>
  <c r="CZ167" i="2"/>
  <c r="CZ69" i="2"/>
  <c r="DE61" i="2"/>
  <c r="BV137" i="6"/>
  <c r="CA137" i="6"/>
  <c r="CA153" i="2"/>
  <c r="CA22" i="2"/>
  <c r="CA15" i="2"/>
  <c r="CF62" i="2"/>
  <c r="CA70" i="2"/>
  <c r="CA62" i="2"/>
  <c r="CK176" i="6"/>
  <c r="CK151" i="6"/>
  <c r="CB306" i="3"/>
  <c r="CB310" i="3" s="1"/>
  <c r="CB303" i="3"/>
  <c r="CB309" i="3"/>
  <c r="CN214" i="6"/>
  <c r="CN236" i="6"/>
  <c r="CX165" i="2"/>
  <c r="CX166" i="2"/>
  <c r="CP17" i="2"/>
  <c r="CP67" i="2"/>
  <c r="CP59" i="2"/>
  <c r="CU59" i="2"/>
  <c r="CI271" i="6"/>
  <c r="CI268" i="6"/>
  <c r="CI267" i="6"/>
  <c r="CI275" i="6"/>
  <c r="CI183" i="6"/>
  <c r="CI269" i="6"/>
  <c r="CI272" i="6"/>
  <c r="BU271" i="6"/>
  <c r="BU272" i="6"/>
  <c r="BU267" i="6"/>
  <c r="BU183" i="6"/>
  <c r="BU275" i="6"/>
  <c r="BU268" i="6"/>
  <c r="CC288" i="6"/>
  <c r="CC225" i="6"/>
  <c r="CC281" i="6"/>
  <c r="CC280" i="6"/>
  <c r="CC285" i="6"/>
  <c r="CC219" i="6"/>
  <c r="CC226" i="6" s="1"/>
  <c r="CC282" i="6"/>
  <c r="CC284" i="6"/>
  <c r="CK192" i="6"/>
  <c r="S117" i="9"/>
  <c r="S185" i="9"/>
  <c r="CF161" i="6"/>
  <c r="CF165" i="6"/>
  <c r="CK161" i="6"/>
  <c r="CM91" i="2"/>
  <c r="CR91" i="2"/>
  <c r="CM108" i="2"/>
  <c r="CR108" i="2"/>
  <c r="CI198" i="6"/>
  <c r="CI218" i="6"/>
  <c r="CI286" i="6" s="1"/>
  <c r="AQ71" i="6"/>
  <c r="AV40" i="2"/>
  <c r="AQ40" i="2"/>
  <c r="AQ41" i="7"/>
  <c r="BP71" i="2"/>
  <c r="BP15" i="2"/>
  <c r="BP22" i="2"/>
  <c r="BP70" i="2"/>
  <c r="BP62" i="2"/>
  <c r="BU62" i="2"/>
  <c r="CL125" i="2"/>
  <c r="CG125" i="2"/>
  <c r="CL76" i="2"/>
  <c r="CG76" i="2"/>
  <c r="CD272" i="6"/>
  <c r="CD183" i="6"/>
  <c r="CD273" i="6"/>
  <c r="CD275" i="6"/>
  <c r="CD271" i="6"/>
  <c r="CD267" i="6"/>
  <c r="CD268" i="6"/>
  <c r="AW199" i="7"/>
  <c r="AW198" i="7"/>
  <c r="AW197" i="7"/>
  <c r="AW200" i="7"/>
  <c r="AW201" i="7"/>
  <c r="F67" i="9"/>
  <c r="F101" i="9"/>
  <c r="T84" i="5"/>
  <c r="AB84" i="5"/>
  <c r="AC28" i="9"/>
  <c r="AC27" i="9"/>
  <c r="AH28" i="9"/>
  <c r="BC36" i="2"/>
  <c r="BC70" i="6"/>
  <c r="BC40" i="7"/>
  <c r="CE80" i="7"/>
  <c r="CE83" i="7" s="1"/>
  <c r="CE179" i="7"/>
  <c r="CJ80" i="7"/>
  <c r="CJ83" i="7" s="1"/>
  <c r="CE82" i="7"/>
  <c r="CG45" i="7"/>
  <c r="CG54" i="7" s="1"/>
  <c r="CF10" i="7"/>
  <c r="CF141" i="7"/>
  <c r="CF172" i="7"/>
  <c r="CF128" i="7"/>
  <c r="CF130" i="7"/>
  <c r="CF162" i="7"/>
  <c r="CK172" i="7"/>
  <c r="Q19" i="9"/>
  <c r="Q84" i="9" s="1"/>
  <c r="CD131" i="7"/>
  <c r="CI131" i="7"/>
  <c r="DH82" i="7"/>
  <c r="DH80" i="7"/>
  <c r="DH179" i="7"/>
  <c r="CZ103" i="7"/>
  <c r="AK57" i="7"/>
  <c r="AL45" i="7"/>
  <c r="AL54" i="7" s="1"/>
  <c r="AK192" i="7"/>
  <c r="DT128" i="7"/>
  <c r="BT39" i="2"/>
  <c r="BT45" i="2"/>
  <c r="BT38" i="2" s="1"/>
  <c r="CU141" i="7"/>
  <c r="CU10" i="7"/>
  <c r="CX113" i="7"/>
  <c r="CX171" i="7"/>
  <c r="DC171" i="7"/>
  <c r="L67" i="9"/>
  <c r="L101" i="9"/>
  <c r="Z45" i="7"/>
  <c r="Z54" i="7" s="1"/>
  <c r="Y192" i="7"/>
  <c r="Y57" i="7"/>
  <c r="DE130" i="7"/>
  <c r="DE162" i="7"/>
  <c r="DE132" i="7"/>
  <c r="DE161" i="7"/>
  <c r="DJ172" i="7"/>
  <c r="CP200" i="7"/>
  <c r="CP31" i="7"/>
  <c r="CU174" i="7"/>
  <c r="T88" i="5"/>
  <c r="CP174" i="7"/>
  <c r="CU38" i="7"/>
  <c r="CP144" i="2"/>
  <c r="CP38" i="7"/>
  <c r="AC31" i="9" s="1"/>
  <c r="CP37" i="7"/>
  <c r="CD200" i="7"/>
  <c r="CD259" i="3"/>
  <c r="CD215" i="7"/>
  <c r="CD198" i="7"/>
  <c r="CD201" i="7"/>
  <c r="CD183" i="7"/>
  <c r="CD188" i="7" s="1"/>
  <c r="CD210" i="7" s="1"/>
  <c r="CD197" i="7"/>
  <c r="CD77" i="2"/>
  <c r="CI77" i="2"/>
  <c r="DG183" i="7"/>
  <c r="DG188" i="7" s="1"/>
  <c r="DG210" i="7" s="1"/>
  <c r="DG198" i="7"/>
  <c r="DG200" i="7"/>
  <c r="DG197" i="7"/>
  <c r="DG215" i="7"/>
  <c r="DG201" i="7"/>
  <c r="CL75" i="7"/>
  <c r="CP146" i="7"/>
  <c r="BI40" i="7"/>
  <c r="BI70" i="6"/>
  <c r="BI36" i="2"/>
  <c r="BI64" i="2"/>
  <c r="BT40" i="7"/>
  <c r="BT70" i="6"/>
  <c r="BR166" i="2"/>
  <c r="BR165" i="2"/>
  <c r="CO77" i="2"/>
  <c r="BG27" i="2"/>
  <c r="BG29" i="2" s="1"/>
  <c r="BG43" i="2"/>
  <c r="BG71" i="2"/>
  <c r="BL79" i="2" s="1"/>
  <c r="BR27" i="2"/>
  <c r="BR43" i="2"/>
  <c r="CP171" i="7"/>
  <c r="CP113" i="7"/>
  <c r="CU171" i="7"/>
  <c r="G67" i="9"/>
  <c r="G101" i="9"/>
  <c r="CK10" i="7"/>
  <c r="CK141" i="7"/>
  <c r="BC45" i="2"/>
  <c r="BC38" i="2" s="1"/>
  <c r="BC39" i="2"/>
  <c r="DO154" i="7"/>
  <c r="DO142" i="7" s="1"/>
  <c r="DO215" i="7"/>
  <c r="DO168" i="7"/>
  <c r="CD166" i="2"/>
  <c r="CD165" i="2"/>
  <c r="CZ121" i="7"/>
  <c r="DE121" i="7"/>
  <c r="CN77" i="2"/>
  <c r="AA101" i="9"/>
  <c r="AA67" i="9"/>
  <c r="AF67" i="9" s="1"/>
  <c r="AK67" i="9" s="1"/>
  <c r="DT168" i="7"/>
  <c r="DT154" i="7"/>
  <c r="DT142" i="7" s="1"/>
  <c r="BN27" i="2"/>
  <c r="BN43" i="2"/>
  <c r="BG233" i="3"/>
  <c r="DE128" i="7"/>
  <c r="CJ166" i="2"/>
  <c r="CJ165" i="2"/>
  <c r="CD35" i="2"/>
  <c r="CD71" i="2"/>
  <c r="CD34" i="2"/>
  <c r="CD43" i="2"/>
  <c r="CD27" i="2"/>
  <c r="CN34" i="2"/>
  <c r="CN71" i="2"/>
  <c r="CN35" i="2"/>
  <c r="CN27" i="2"/>
  <c r="BN166" i="2"/>
  <c r="CM131" i="7"/>
  <c r="Z19" i="9"/>
  <c r="Z84" i="9" s="1"/>
  <c r="CZ122" i="7"/>
  <c r="DE122" i="7"/>
  <c r="BB179" i="7"/>
  <c r="BB57" i="7"/>
  <c r="BG45" i="7"/>
  <c r="BG54" i="7" s="1"/>
  <c r="CJ34" i="2"/>
  <c r="CJ27" i="2"/>
  <c r="CJ35" i="2"/>
  <c r="CJ71" i="2"/>
  <c r="CL131" i="7"/>
  <c r="Y19" i="9"/>
  <c r="Y84" i="9" s="1"/>
  <c r="CX98" i="7"/>
  <c r="CZ96" i="7"/>
  <c r="CZ98" i="7" s="1"/>
  <c r="CZ75" i="7" s="1"/>
  <c r="CN165" i="2"/>
  <c r="CN166" i="2"/>
  <c r="BI39" i="2"/>
  <c r="BI45" i="2"/>
  <c r="BI38" i="2" s="1"/>
  <c r="N19" i="9"/>
  <c r="CA131" i="7"/>
  <c r="BT8" i="3"/>
  <c r="BT29" i="2"/>
  <c r="BR77" i="2"/>
  <c r="BW77" i="2"/>
  <c r="BY36" i="2"/>
  <c r="CZ111" i="7"/>
  <c r="AM17" i="9" s="1"/>
  <c r="CZ108" i="7"/>
  <c r="BV131" i="7"/>
  <c r="I19" i="9"/>
  <c r="BN77" i="2"/>
  <c r="DJ135" i="2"/>
  <c r="DN13" i="3"/>
  <c r="DN14" i="3" s="1"/>
  <c r="DO42" i="2"/>
  <c r="DK132" i="2"/>
  <c r="DL130" i="2"/>
  <c r="DL32" i="6" s="1"/>
  <c r="DM14" i="3"/>
  <c r="BT184" i="7"/>
  <c r="BT189" i="7" s="1"/>
  <c r="BT190" i="7" s="1"/>
  <c r="BT211" i="7" s="1"/>
  <c r="BT204" i="7"/>
  <c r="BT207" i="7"/>
  <c r="BT206" i="7"/>
  <c r="H8" i="9"/>
  <c r="BU137" i="7"/>
  <c r="BU138" i="7"/>
  <c r="H73" i="9"/>
  <c r="G10" i="9"/>
  <c r="G75" i="9"/>
  <c r="BW58" i="7"/>
  <c r="BW180" i="7"/>
  <c r="BW136" i="7"/>
  <c r="BU181" i="7"/>
  <c r="BU216" i="7"/>
  <c r="BY57" i="7"/>
  <c r="BX56" i="7"/>
  <c r="F58" i="9"/>
  <c r="F92" i="9"/>
  <c r="G56" i="9"/>
  <c r="G90" i="9"/>
  <c r="DN315" i="6"/>
  <c r="DP314" i="6"/>
  <c r="DL302" i="3"/>
  <c r="DL61" i="3"/>
  <c r="DM58" i="3"/>
  <c r="DM205" i="3"/>
  <c r="DN46" i="2"/>
  <c r="DO46" i="2" s="1"/>
  <c r="DN51" i="2"/>
  <c r="DO50" i="2"/>
  <c r="DN204" i="3"/>
  <c r="DO204" i="3" s="1"/>
  <c r="DO205" i="3" s="1"/>
  <c r="DM47" i="2"/>
  <c r="DL146" i="7"/>
  <c r="DL75" i="7"/>
  <c r="DG165" i="2"/>
  <c r="DG166" i="2"/>
  <c r="AC77" i="2"/>
  <c r="AH77" i="2"/>
  <c r="BA41" i="7"/>
  <c r="BA40" i="2"/>
  <c r="BA71" i="6"/>
  <c r="AX16" i="5"/>
  <c r="AC27" i="2"/>
  <c r="AC29" i="2" s="1"/>
  <c r="AC43" i="2"/>
  <c r="AC71" i="2"/>
  <c r="BB233" i="3"/>
  <c r="AC233" i="3"/>
  <c r="DG34" i="2"/>
  <c r="DG71" i="2"/>
  <c r="DG79" i="2" s="1"/>
  <c r="DG35" i="2"/>
  <c r="DG27" i="2"/>
  <c r="DG29" i="2" s="1"/>
  <c r="BB27" i="2"/>
  <c r="BB29" i="2" s="1"/>
  <c r="BB71" i="2"/>
  <c r="BB43" i="2"/>
  <c r="BB77" i="2"/>
  <c r="BG77" i="2"/>
  <c r="DL309" i="6"/>
  <c r="DM89" i="6"/>
  <c r="DN311" i="6"/>
  <c r="DM312" i="6"/>
  <c r="DM88" i="6"/>
  <c r="DK75" i="7"/>
  <c r="DK146" i="7"/>
  <c r="I39" i="2" l="1"/>
  <c r="I38" i="2"/>
  <c r="I45" i="2"/>
  <c r="I297" i="3"/>
  <c r="I301" i="3" s="1"/>
  <c r="I8" i="3"/>
  <c r="I35" i="2"/>
  <c r="I31" i="2"/>
  <c r="I34" i="2"/>
  <c r="I32" i="2"/>
  <c r="DM101" i="6"/>
  <c r="DM65" i="8"/>
  <c r="DN162" i="3"/>
  <c r="DR93" i="6"/>
  <c r="DR98" i="6"/>
  <c r="DR101" i="6" s="1"/>
  <c r="DM26" i="6"/>
  <c r="DK101" i="6"/>
  <c r="BI21" i="5"/>
  <c r="DK258" i="6"/>
  <c r="DK26" i="6" s="1"/>
  <c r="DT157" i="3"/>
  <c r="DU157" i="3" s="1"/>
  <c r="DS33" i="3"/>
  <c r="DT33" i="3" s="1"/>
  <c r="CX64" i="3"/>
  <c r="CX65" i="3" s="1"/>
  <c r="CW67" i="3"/>
  <c r="CW129" i="3"/>
  <c r="CW130" i="3" s="1"/>
  <c r="CY129" i="3"/>
  <c r="CY130" i="3" s="1"/>
  <c r="CX129" i="3"/>
  <c r="CX130" i="3" s="1"/>
  <c r="CV129" i="3"/>
  <c r="CV130" i="3" s="1"/>
  <c r="DT42" i="2"/>
  <c r="DY80" i="7"/>
  <c r="DY179" i="7"/>
  <c r="DY183" i="7" s="1"/>
  <c r="DY188" i="7" s="1"/>
  <c r="DV87" i="7"/>
  <c r="DW85" i="7"/>
  <c r="DU13" i="3"/>
  <c r="DV42" i="2"/>
  <c r="DY26" i="7"/>
  <c r="DY173" i="7" s="1"/>
  <c r="BP290" i="6"/>
  <c r="CO290" i="6"/>
  <c r="BL290" i="6"/>
  <c r="CI277" i="6"/>
  <c r="BQ271" i="6"/>
  <c r="BQ273" i="6"/>
  <c r="BQ267" i="6"/>
  <c r="BQ275" i="6"/>
  <c r="BQ268" i="6"/>
  <c r="BQ183" i="6"/>
  <c r="BQ272" i="6"/>
  <c r="BQ269" i="6"/>
  <c r="DY142" i="6"/>
  <c r="DU173" i="7"/>
  <c r="DW79" i="6"/>
  <c r="DW93" i="6" s="1"/>
  <c r="DW94" i="6" s="1"/>
  <c r="DP93" i="6"/>
  <c r="DP26" i="6" s="1"/>
  <c r="DP98" i="6"/>
  <c r="DP101" i="6" s="1"/>
  <c r="DM94" i="6"/>
  <c r="DU98" i="6"/>
  <c r="DU101" i="6" s="1"/>
  <c r="DU93" i="6"/>
  <c r="DU26" i="6" s="1"/>
  <c r="DU82" i="6"/>
  <c r="DN78" i="6"/>
  <c r="DO78" i="6" s="1"/>
  <c r="DN93" i="6"/>
  <c r="DN26" i="6" s="1"/>
  <c r="DN77" i="6"/>
  <c r="DO77" i="6" s="1"/>
  <c r="DS202" i="3"/>
  <c r="DS49" i="2" s="1"/>
  <c r="DU196" i="3"/>
  <c r="DQ50" i="2"/>
  <c r="DQ51" i="2" s="1"/>
  <c r="DS79" i="6"/>
  <c r="DS82" i="6" s="1"/>
  <c r="DV93" i="6"/>
  <c r="DV26" i="6" s="1"/>
  <c r="DV82" i="6"/>
  <c r="DN98" i="6"/>
  <c r="DN101" i="6" s="1"/>
  <c r="DW98" i="6"/>
  <c r="DW99" i="6" s="1"/>
  <c r="DT27" i="7"/>
  <c r="DV98" i="6"/>
  <c r="DV101" i="6" s="1"/>
  <c r="DO130" i="7"/>
  <c r="DO131" i="7" s="1"/>
  <c r="DP51" i="2"/>
  <c r="DP46" i="2"/>
  <c r="AW297" i="3"/>
  <c r="AW301" i="3" s="1"/>
  <c r="AW32" i="2"/>
  <c r="AW35" i="2"/>
  <c r="AW34" i="2"/>
  <c r="AW31" i="2"/>
  <c r="AW39" i="2"/>
  <c r="AW45" i="2"/>
  <c r="AW38" i="2" s="1"/>
  <c r="DT130" i="7"/>
  <c r="DX173" i="7"/>
  <c r="DX100" i="2"/>
  <c r="DY15" i="7"/>
  <c r="DU168" i="7"/>
  <c r="DT173" i="7"/>
  <c r="DO172" i="7"/>
  <c r="DU172" i="7"/>
  <c r="DY129" i="7"/>
  <c r="DY128" i="7" s="1"/>
  <c r="BI226" i="9"/>
  <c r="BI225" i="9"/>
  <c r="BI224" i="9"/>
  <c r="BI223" i="9"/>
  <c r="BI222" i="9"/>
  <c r="BI221" i="9"/>
  <c r="BI220" i="9"/>
  <c r="BI217" i="9"/>
  <c r="BI214" i="9"/>
  <c r="BI213" i="9"/>
  <c r="BK225" i="9"/>
  <c r="BK221" i="9"/>
  <c r="BK214" i="9"/>
  <c r="BH226" i="9"/>
  <c r="BH225" i="9"/>
  <c r="BH224" i="9"/>
  <c r="BH223" i="9"/>
  <c r="BH222" i="9"/>
  <c r="BH221" i="9"/>
  <c r="BH220" i="9"/>
  <c r="BH217" i="9"/>
  <c r="BH214" i="9"/>
  <c r="BH213" i="9"/>
  <c r="BK226" i="9"/>
  <c r="BK223" i="9"/>
  <c r="BK220" i="9"/>
  <c r="BK213" i="9"/>
  <c r="BJ226" i="9"/>
  <c r="BJ225" i="9"/>
  <c r="BJ224" i="9"/>
  <c r="BJ223" i="9"/>
  <c r="BJ222" i="9"/>
  <c r="BJ221" i="9"/>
  <c r="BJ220" i="9"/>
  <c r="BJ217" i="9"/>
  <c r="BJ214" i="9"/>
  <c r="BJ213" i="9"/>
  <c r="BK224" i="9"/>
  <c r="BK222" i="9"/>
  <c r="BK217" i="9"/>
  <c r="DV94" i="6"/>
  <c r="DV99" i="6"/>
  <c r="CN15" i="8"/>
  <c r="CO13" i="8"/>
  <c r="BY70" i="6"/>
  <c r="BY40" i="7"/>
  <c r="L33" i="9" s="1"/>
  <c r="BY64" i="2"/>
  <c r="AR77" i="2"/>
  <c r="CE71" i="2"/>
  <c r="CE27" i="2"/>
  <c r="CE34" i="2"/>
  <c r="CE35" i="2"/>
  <c r="BY29" i="2"/>
  <c r="BY63" i="2" s="1"/>
  <c r="BY8" i="3"/>
  <c r="BD71" i="6"/>
  <c r="BD41" i="7"/>
  <c r="BD40" i="2"/>
  <c r="BY39" i="2"/>
  <c r="BY40" i="2" s="1"/>
  <c r="BY45" i="2"/>
  <c r="BY38" i="2" s="1"/>
  <c r="CE166" i="2"/>
  <c r="CE165" i="2"/>
  <c r="CU72" i="2"/>
  <c r="AB49" i="5" s="1"/>
  <c r="DF79" i="2"/>
  <c r="CS77" i="2"/>
  <c r="BF71" i="6"/>
  <c r="BF41" i="7"/>
  <c r="CF67" i="8"/>
  <c r="CF59" i="8"/>
  <c r="CI64" i="8"/>
  <c r="CI66" i="8" s="1"/>
  <c r="CI67" i="8"/>
  <c r="CL429" i="8"/>
  <c r="CL431" i="8" s="1"/>
  <c r="CJ433" i="8"/>
  <c r="CJ19" i="8" s="1"/>
  <c r="CJ21" i="8" s="1"/>
  <c r="CJ57" i="8"/>
  <c r="CJ58" i="8" s="1"/>
  <c r="CJ62" i="8"/>
  <c r="CP429" i="8"/>
  <c r="CP431" i="8" s="1"/>
  <c r="CK57" i="8"/>
  <c r="CK58" i="8" s="1"/>
  <c r="CK62" i="8"/>
  <c r="CK64" i="8" s="1"/>
  <c r="CK66" i="8" s="1"/>
  <c r="CI19" i="8"/>
  <c r="BQ67" i="3"/>
  <c r="BV64" i="3"/>
  <c r="CO8" i="3"/>
  <c r="CO29" i="2"/>
  <c r="BW8" i="3"/>
  <c r="BW29" i="2"/>
  <c r="BX34" i="2"/>
  <c r="BX27" i="2"/>
  <c r="BX35" i="2"/>
  <c r="BX43" i="2"/>
  <c r="DA40" i="7"/>
  <c r="DA70" i="6"/>
  <c r="CY35" i="2"/>
  <c r="CY27" i="2"/>
  <c r="CY29" i="2" s="1"/>
  <c r="CY71" i="2"/>
  <c r="CY79" i="2" s="1"/>
  <c r="CY34" i="2"/>
  <c r="BW70" i="6"/>
  <c r="O133" i="9" s="1"/>
  <c r="BW40" i="7"/>
  <c r="O33" i="9" s="1"/>
  <c r="CB36" i="2"/>
  <c r="BW39" i="2"/>
  <c r="BW45" i="2"/>
  <c r="BW38" i="2" s="1"/>
  <c r="CY165" i="2"/>
  <c r="CY166" i="2"/>
  <c r="CO40" i="7"/>
  <c r="CO70" i="6"/>
  <c r="DA297" i="3"/>
  <c r="DA301" i="3" s="1"/>
  <c r="DA31" i="2"/>
  <c r="DA32" i="2"/>
  <c r="BX166" i="2"/>
  <c r="BX165" i="2"/>
  <c r="CF27" i="2"/>
  <c r="CF71" i="2"/>
  <c r="BL303" i="3"/>
  <c r="BL306" i="3"/>
  <c r="BL310" i="3" s="1"/>
  <c r="BL309" i="3"/>
  <c r="DD71" i="2"/>
  <c r="DD27" i="2"/>
  <c r="DD29" i="2" s="1"/>
  <c r="DD35" i="2"/>
  <c r="DD34" i="2"/>
  <c r="CF233" i="3"/>
  <c r="DD166" i="2"/>
  <c r="DD165" i="2"/>
  <c r="DE71" i="2"/>
  <c r="DE79" i="2" s="1"/>
  <c r="DE27" i="2"/>
  <c r="DE29" i="2" s="1"/>
  <c r="DE63" i="2" s="1"/>
  <c r="AR46" i="5"/>
  <c r="AT46" i="5"/>
  <c r="AT43" i="5"/>
  <c r="AP46" i="5"/>
  <c r="AN46" i="5"/>
  <c r="BL40" i="7"/>
  <c r="BL70" i="6"/>
  <c r="AT16" i="5"/>
  <c r="DE72" i="2"/>
  <c r="BL71" i="6"/>
  <c r="BL41" i="7"/>
  <c r="CR166" i="2"/>
  <c r="CR165" i="2"/>
  <c r="DE69" i="2"/>
  <c r="DE193" i="3"/>
  <c r="DE167" i="2"/>
  <c r="DE227" i="3"/>
  <c r="DE230" i="3" s="1"/>
  <c r="CH165" i="2"/>
  <c r="CH166" i="2"/>
  <c r="X43" i="2"/>
  <c r="DB79" i="2"/>
  <c r="CR35" i="2"/>
  <c r="CR71" i="2"/>
  <c r="CW79" i="2" s="1"/>
  <c r="CR27" i="2"/>
  <c r="CR29" i="2" s="1"/>
  <c r="CV165" i="2"/>
  <c r="CV166" i="2"/>
  <c r="DE151" i="2"/>
  <c r="DE152" i="2"/>
  <c r="CV35" i="2"/>
  <c r="CV71" i="2"/>
  <c r="DA79" i="2" s="1"/>
  <c r="CV27" i="2"/>
  <c r="CV29" i="2" s="1"/>
  <c r="CV34" i="2"/>
  <c r="BE40" i="2"/>
  <c r="AZ71" i="6"/>
  <c r="AZ41" i="7"/>
  <c r="AZ40" i="2"/>
  <c r="CH27" i="2"/>
  <c r="CH34" i="2"/>
  <c r="CH35" i="2"/>
  <c r="CH71" i="2"/>
  <c r="CH79" i="2" s="1"/>
  <c r="CF221" i="3"/>
  <c r="CF191" i="3"/>
  <c r="AX71" i="6"/>
  <c r="AX41" i="7"/>
  <c r="AX40" i="2"/>
  <c r="DF70" i="6"/>
  <c r="DF40" i="7"/>
  <c r="AS33" i="9" s="1"/>
  <c r="BH64" i="2"/>
  <c r="DB309" i="3"/>
  <c r="DB306" i="3"/>
  <c r="DB310" i="3" s="1"/>
  <c r="DB303" i="3"/>
  <c r="CQ34" i="2"/>
  <c r="CQ35" i="2"/>
  <c r="CQ27" i="2"/>
  <c r="CQ29" i="2" s="1"/>
  <c r="CQ71" i="2"/>
  <c r="J89" i="5"/>
  <c r="S29" i="9"/>
  <c r="X30" i="9"/>
  <c r="CI306" i="3"/>
  <c r="CI310" i="3" s="1"/>
  <c r="CI309" i="3"/>
  <c r="CI303" i="3"/>
  <c r="CQ165" i="2"/>
  <c r="CQ166" i="2"/>
  <c r="CI211" i="3"/>
  <c r="CW31" i="2"/>
  <c r="CW297" i="3"/>
  <c r="CW301" i="3" s="1"/>
  <c r="CW32" i="2"/>
  <c r="DB36" i="2" s="1"/>
  <c r="DF63" i="2"/>
  <c r="DF297" i="3"/>
  <c r="DF301" i="3" s="1"/>
  <c r="DF32" i="2"/>
  <c r="DF31" i="2"/>
  <c r="CL40" i="7"/>
  <c r="CL70" i="6"/>
  <c r="CA103" i="2"/>
  <c r="CF103" i="2"/>
  <c r="CF148" i="2"/>
  <c r="BV101" i="2"/>
  <c r="BV111" i="2"/>
  <c r="BV106" i="2"/>
  <c r="CL29" i="2"/>
  <c r="CL8" i="3"/>
  <c r="N233" i="3"/>
  <c r="N43" i="2"/>
  <c r="N71" i="2"/>
  <c r="N79" i="2" s="1"/>
  <c r="N27" i="2"/>
  <c r="N29" i="2" s="1"/>
  <c r="CA31" i="7"/>
  <c r="CA144" i="2"/>
  <c r="CA146" i="2" s="1"/>
  <c r="CA149" i="2" s="1"/>
  <c r="CA152" i="2" s="1"/>
  <c r="CF38" i="7"/>
  <c r="S31" i="9" s="1"/>
  <c r="CA174" i="7"/>
  <c r="CF174" i="7"/>
  <c r="CA38" i="7"/>
  <c r="N31" i="9" s="1"/>
  <c r="CA37" i="7"/>
  <c r="CA200" i="7"/>
  <c r="CI63" i="3"/>
  <c r="CI312" i="3"/>
  <c r="DC309" i="3"/>
  <c r="DC306" i="3"/>
  <c r="DC310" i="3" s="1"/>
  <c r="DC303" i="3"/>
  <c r="AM233" i="3"/>
  <c r="CW40" i="7"/>
  <c r="AO33" i="9" s="1"/>
  <c r="CW70" i="6"/>
  <c r="AM43" i="2"/>
  <c r="AM71" i="2"/>
  <c r="AM79" i="2" s="1"/>
  <c r="AM27" i="2"/>
  <c r="AM29" i="2" s="1"/>
  <c r="AM63" i="2" s="1"/>
  <c r="X31" i="9"/>
  <c r="J87" i="5"/>
  <c r="CF199" i="7"/>
  <c r="CF158" i="2"/>
  <c r="CF160" i="2" s="1"/>
  <c r="CF163" i="2" s="1"/>
  <c r="CF166" i="2" s="1"/>
  <c r="CF32" i="7"/>
  <c r="CA101" i="2"/>
  <c r="CA106" i="2"/>
  <c r="CA111" i="2"/>
  <c r="CQ77" i="2"/>
  <c r="CV77" i="2"/>
  <c r="CC325" i="3"/>
  <c r="X233" i="3"/>
  <c r="CT32" i="2"/>
  <c r="CY63" i="2"/>
  <c r="CT63" i="2"/>
  <c r="CT297" i="3"/>
  <c r="CT301" i="3" s="1"/>
  <c r="CT31" i="2"/>
  <c r="BH40" i="7"/>
  <c r="BH70" i="6"/>
  <c r="DO13" i="3"/>
  <c r="BO8" i="3"/>
  <c r="BO29" i="2"/>
  <c r="BT63" i="2" s="1"/>
  <c r="CT64" i="2"/>
  <c r="CT70" i="6"/>
  <c r="CT40" i="7"/>
  <c r="CU149" i="2"/>
  <c r="CU152" i="2" s="1"/>
  <c r="BO45" i="2"/>
  <c r="BO38" i="2" s="1"/>
  <c r="BO39" i="2"/>
  <c r="X27" i="2"/>
  <c r="X29" i="2" s="1"/>
  <c r="AC63" i="2" s="1"/>
  <c r="X71" i="2"/>
  <c r="BH39" i="2"/>
  <c r="BH40" i="2" s="1"/>
  <c r="BH45" i="2"/>
  <c r="BH38" i="2" s="1"/>
  <c r="CS71" i="2"/>
  <c r="CS79" i="2" s="1"/>
  <c r="CS35" i="2"/>
  <c r="CS64" i="2" s="1"/>
  <c r="CS27" i="2"/>
  <c r="CS166" i="2"/>
  <c r="CS165" i="2"/>
  <c r="CT79" i="2"/>
  <c r="DL24" i="6"/>
  <c r="DL242" i="6" s="1"/>
  <c r="DL245" i="6" s="1"/>
  <c r="DQ101" i="6"/>
  <c r="DJ314" i="6"/>
  <c r="DJ315" i="6" s="1"/>
  <c r="DJ311" i="6"/>
  <c r="DJ93" i="6"/>
  <c r="DJ94" i="6" s="1"/>
  <c r="DJ91" i="6"/>
  <c r="AW176" i="9" s="1"/>
  <c r="DK310" i="6"/>
  <c r="DK309" i="6"/>
  <c r="DL247" i="6"/>
  <c r="DL250" i="6" s="1"/>
  <c r="DL257" i="6"/>
  <c r="BB67" i="5"/>
  <c r="DJ99" i="6"/>
  <c r="AX67" i="5"/>
  <c r="AW173" i="9"/>
  <c r="AV67" i="5"/>
  <c r="DJ96" i="6"/>
  <c r="BF225" i="9"/>
  <c r="BF223" i="9"/>
  <c r="BF221" i="9"/>
  <c r="BF217" i="9"/>
  <c r="BF213" i="9"/>
  <c r="BC224" i="9"/>
  <c r="BC220" i="9"/>
  <c r="BE225" i="9"/>
  <c r="BE213" i="9"/>
  <c r="BE224" i="9"/>
  <c r="AS226" i="9"/>
  <c r="AT217" i="9"/>
  <c r="AI226" i="9"/>
  <c r="AV222" i="9"/>
  <c r="AL226" i="9"/>
  <c r="AK217" i="9"/>
  <c r="AJ222" i="9"/>
  <c r="AV213" i="9"/>
  <c r="AS224" i="9"/>
  <c r="AU226" i="9"/>
  <c r="AO217" i="9"/>
  <c r="AS220" i="9"/>
  <c r="AT213" i="9"/>
  <c r="BA224" i="9"/>
  <c r="AO224" i="9"/>
  <c r="AJ214" i="9"/>
  <c r="AY226" i="9"/>
  <c r="AZ214" i="9"/>
  <c r="AP221" i="9"/>
  <c r="AL220" i="9"/>
  <c r="AU217" i="9"/>
  <c r="AN221" i="9"/>
  <c r="AJ217" i="9"/>
  <c r="AK222" i="9"/>
  <c r="AN214" i="9"/>
  <c r="BA214" i="9"/>
  <c r="AY222" i="9"/>
  <c r="AO226" i="9"/>
  <c r="AJ226" i="9"/>
  <c r="AZ224" i="9"/>
  <c r="AQ217" i="9"/>
  <c r="AQ213" i="9"/>
  <c r="AY221" i="9"/>
  <c r="AS214" i="9"/>
  <c r="BD225" i="9"/>
  <c r="BD223" i="9"/>
  <c r="BD221" i="9"/>
  <c r="BD217" i="9"/>
  <c r="BD213" i="9"/>
  <c r="BC223" i="9"/>
  <c r="BC217" i="9"/>
  <c r="BE223" i="9"/>
  <c r="BE226" i="9"/>
  <c r="BE220" i="9"/>
  <c r="AP220" i="9"/>
  <c r="AK224" i="9"/>
  <c r="AS225" i="9"/>
  <c r="AN222" i="9"/>
  <c r="AL224" i="9"/>
  <c r="AV226" i="9"/>
  <c r="AU220" i="9"/>
  <c r="AO214" i="9"/>
  <c r="AU214" i="9"/>
  <c r="AZ217" i="9"/>
  <c r="AT224" i="9"/>
  <c r="AN223" i="9"/>
  <c r="AJ223" i="9"/>
  <c r="AS221" i="9"/>
  <c r="AS213" i="9"/>
  <c r="BA221" i="9"/>
  <c r="AY220" i="9"/>
  <c r="AX223" i="9"/>
  <c r="AU223" i="9"/>
  <c r="AQ226" i="9"/>
  <c r="AX213" i="9"/>
  <c r="AV220" i="9"/>
  <c r="AS223" i="9"/>
  <c r="AY217" i="9"/>
  <c r="AO225" i="9"/>
  <c r="AP222" i="9"/>
  <c r="AP226" i="9"/>
  <c r="B216" i="9"/>
  <c r="BA225" i="9"/>
  <c r="AN224" i="9"/>
  <c r="AZ226" i="9"/>
  <c r="AT222" i="9"/>
  <c r="AO213" i="9"/>
  <c r="AU213" i="9"/>
  <c r="AO222" i="9"/>
  <c r="AV214" i="9"/>
  <c r="AP213" i="9"/>
  <c r="BA213" i="9"/>
  <c r="AY214" i="9"/>
  <c r="AN225" i="9"/>
  <c r="BF226" i="9"/>
  <c r="BF224" i="9"/>
  <c r="BF222" i="9"/>
  <c r="BF220" i="9"/>
  <c r="BF214" i="9"/>
  <c r="BC226" i="9"/>
  <c r="BC222" i="9"/>
  <c r="BC214" i="9"/>
  <c r="BE221" i="9"/>
  <c r="BE222" i="9"/>
  <c r="AV221" i="9"/>
  <c r="AK213" i="9"/>
  <c r="AT223" i="9"/>
  <c r="AN213" i="9"/>
  <c r="AP224" i="9"/>
  <c r="AU221" i="9"/>
  <c r="AK214" i="9"/>
  <c r="AY213" i="9"/>
  <c r="AU224" i="9"/>
  <c r="AV225" i="9"/>
  <c r="AN226" i="9"/>
  <c r="AQ225" i="9"/>
  <c r="AL213" i="9"/>
  <c r="BA217" i="9"/>
  <c r="AQ221" i="9"/>
  <c r="AK220" i="9"/>
  <c r="BA220" i="9"/>
  <c r="AY225" i="9"/>
  <c r="AX226" i="9"/>
  <c r="AT226" i="9"/>
  <c r="AS217" i="9"/>
  <c r="AO221" i="9"/>
  <c r="AU222" i="9"/>
  <c r="AV217" i="9"/>
  <c r="BA223" i="9"/>
  <c r="AO223" i="9"/>
  <c r="AY224" i="9"/>
  <c r="AP223" i="9"/>
  <c r="AN217" i="9"/>
  <c r="BD226" i="9"/>
  <c r="BD224" i="9"/>
  <c r="BD222" i="9"/>
  <c r="BD220" i="9"/>
  <c r="BD214" i="9"/>
  <c r="BC225" i="9"/>
  <c r="BC221" i="9"/>
  <c r="BC213" i="9"/>
  <c r="BE217" i="9"/>
  <c r="BE214" i="9"/>
  <c r="AS222" i="9"/>
  <c r="AL221" i="9"/>
  <c r="AL225" i="9"/>
  <c r="AJ221" i="9"/>
  <c r="AT225" i="9"/>
  <c r="AK223" i="9"/>
  <c r="AZ221" i="9"/>
  <c r="AX220" i="9"/>
  <c r="AV224" i="9"/>
  <c r="AL222" i="9"/>
  <c r="AK221" i="9"/>
  <c r="AV223" i="9"/>
  <c r="AP217" i="9"/>
  <c r="AZ213" i="9"/>
  <c r="AX225" i="9"/>
  <c r="AX214" i="9"/>
  <c r="AN220" i="9"/>
  <c r="BA222" i="9"/>
  <c r="AZ225" i="9"/>
  <c r="AQ223" i="9"/>
  <c r="AP214" i="9"/>
  <c r="AZ223" i="9"/>
  <c r="AP225" i="9"/>
  <c r="AQ224" i="9"/>
  <c r="AL217" i="9"/>
  <c r="AK226" i="9"/>
  <c r="AJ225" i="9"/>
  <c r="AJ213" i="9"/>
  <c r="AT220" i="9"/>
  <c r="AL223" i="9"/>
  <c r="AK225" i="9"/>
  <c r="AQ214" i="9"/>
  <c r="AU225" i="9"/>
  <c r="AJ220" i="9"/>
  <c r="AL214" i="9"/>
  <c r="AQ222" i="9"/>
  <c r="AT214" i="9"/>
  <c r="AZ222" i="9"/>
  <c r="AX217" i="9"/>
  <c r="AX224" i="9"/>
  <c r="AQ220" i="9"/>
  <c r="AO220" i="9"/>
  <c r="AZ220" i="9"/>
  <c r="AY223" i="9"/>
  <c r="BA226" i="9"/>
  <c r="AX221" i="9"/>
  <c r="AT221" i="9"/>
  <c r="AX222" i="9"/>
  <c r="AJ224" i="9"/>
  <c r="DJ26" i="6"/>
  <c r="DR94" i="6"/>
  <c r="DR26" i="6"/>
  <c r="CU232" i="6"/>
  <c r="CU208" i="6"/>
  <c r="CU191" i="6" s="1"/>
  <c r="CU190" i="6"/>
  <c r="DQ94" i="6"/>
  <c r="DQ26" i="6"/>
  <c r="DM257" i="6"/>
  <c r="DM247" i="6"/>
  <c r="DM250" i="6" s="1"/>
  <c r="DR202" i="3"/>
  <c r="DR49" i="2" s="1"/>
  <c r="DT198" i="3"/>
  <c r="DO26" i="3"/>
  <c r="DP30" i="3"/>
  <c r="DQ142" i="3"/>
  <c r="DQ21" i="3" s="1"/>
  <c r="DQ148" i="3"/>
  <c r="DQ24" i="3" s="1"/>
  <c r="DQ141" i="3"/>
  <c r="DQ20" i="3"/>
  <c r="DN26" i="3"/>
  <c r="DS158" i="3"/>
  <c r="DR63" i="8"/>
  <c r="DQ19" i="3"/>
  <c r="DP26" i="3"/>
  <c r="DP171" i="3"/>
  <c r="DN65" i="8"/>
  <c r="DO162" i="3"/>
  <c r="DN192" i="3"/>
  <c r="DS11" i="3"/>
  <c r="DT11" i="3" s="1"/>
  <c r="DP290" i="3"/>
  <c r="DO145" i="3"/>
  <c r="DH324" i="6"/>
  <c r="CZ166" i="2"/>
  <c r="CZ165" i="2"/>
  <c r="AW79" i="2"/>
  <c r="AR79" i="2"/>
  <c r="BK72" i="2"/>
  <c r="BK24" i="2"/>
  <c r="BK27" i="2" s="1"/>
  <c r="BK29" i="2" s="1"/>
  <c r="S233" i="3"/>
  <c r="BU29" i="2"/>
  <c r="BU8" i="3"/>
  <c r="BM210" i="3"/>
  <c r="BM72" i="3"/>
  <c r="BM35" i="3"/>
  <c r="BM209" i="3"/>
  <c r="CD277" i="6"/>
  <c r="BP78" i="2"/>
  <c r="BU78" i="2"/>
  <c r="CI225" i="6"/>
  <c r="CI281" i="6"/>
  <c r="CI219" i="6"/>
  <c r="CI226" i="6" s="1"/>
  <c r="CI284" i="6"/>
  <c r="CI280" i="6"/>
  <c r="CI282" i="6"/>
  <c r="CI288" i="6"/>
  <c r="CI290" i="6" s="1"/>
  <c r="CI285" i="6"/>
  <c r="BU277" i="6"/>
  <c r="CK177" i="6"/>
  <c r="CK182" i="6"/>
  <c r="CA69" i="2"/>
  <c r="CA67" i="8"/>
  <c r="CA193" i="3"/>
  <c r="CA191" i="3" s="1"/>
  <c r="CA227" i="3"/>
  <c r="CA230" i="3" s="1"/>
  <c r="CA167" i="2"/>
  <c r="CF61" i="2"/>
  <c r="CA61" i="2"/>
  <c r="CZ77" i="2"/>
  <c r="DE77" i="2"/>
  <c r="CZ191" i="3"/>
  <c r="CZ221" i="3"/>
  <c r="CE225" i="6"/>
  <c r="CE284" i="6"/>
  <c r="CE288" i="6"/>
  <c r="CE286" i="6"/>
  <c r="CE285" i="6"/>
  <c r="CE219" i="6"/>
  <c r="CE226" i="6" s="1"/>
  <c r="CE281" i="6"/>
  <c r="CE280" i="6"/>
  <c r="CA182" i="6"/>
  <c r="CA166" i="6"/>
  <c r="AR31" i="2"/>
  <c r="AR35" i="2"/>
  <c r="AR32" i="2"/>
  <c r="AR34" i="2"/>
  <c r="AW63" i="2"/>
  <c r="AR297" i="3"/>
  <c r="AR301" i="3" s="1"/>
  <c r="CR75" i="2"/>
  <c r="CM75" i="2"/>
  <c r="CU236" i="6"/>
  <c r="CU196" i="6"/>
  <c r="CU214" i="6"/>
  <c r="CU198" i="6" s="1"/>
  <c r="AH35" i="2"/>
  <c r="AH297" i="3"/>
  <c r="AH301" i="3" s="1"/>
  <c r="AH34" i="2"/>
  <c r="AH31" i="2"/>
  <c r="AH32" i="2"/>
  <c r="BQ72" i="2"/>
  <c r="BQ24" i="2"/>
  <c r="BS24" i="2"/>
  <c r="BS72" i="2"/>
  <c r="BX79" i="2"/>
  <c r="BS79" i="2"/>
  <c r="BR290" i="6"/>
  <c r="CX297" i="3"/>
  <c r="CX301" i="3" s="1"/>
  <c r="CX32" i="2"/>
  <c r="CX31" i="2"/>
  <c r="DC63" i="2"/>
  <c r="CG75" i="2"/>
  <c r="CL75" i="2"/>
  <c r="BV219" i="6"/>
  <c r="BV226" i="6" s="1"/>
  <c r="BV225" i="6"/>
  <c r="BV284" i="6"/>
  <c r="BV288" i="6"/>
  <c r="BV285" i="6"/>
  <c r="BV280" i="6"/>
  <c r="BV286" i="6"/>
  <c r="BV281" i="6"/>
  <c r="BJ70" i="6"/>
  <c r="BJ40" i="7"/>
  <c r="BJ36" i="2"/>
  <c r="BJ64" i="2"/>
  <c r="CE79" i="2"/>
  <c r="BZ277" i="6"/>
  <c r="CE277" i="6"/>
  <c r="CZ35" i="2"/>
  <c r="CZ297" i="3"/>
  <c r="CZ301" i="3" s="1"/>
  <c r="CZ34" i="2"/>
  <c r="CZ32" i="2"/>
  <c r="CZ31" i="2"/>
  <c r="BP24" i="2"/>
  <c r="BP72" i="2"/>
  <c r="CA24" i="2"/>
  <c r="CA72" i="2"/>
  <c r="BV138" i="6"/>
  <c r="CA138" i="6"/>
  <c r="DC79" i="2"/>
  <c r="CG153" i="2"/>
  <c r="CG22" i="2"/>
  <c r="CG15" i="2"/>
  <c r="CG70" i="2"/>
  <c r="CL62" i="2"/>
  <c r="CG62" i="2"/>
  <c r="S27" i="2"/>
  <c r="S29" i="2" s="1"/>
  <c r="S43" i="2"/>
  <c r="S71" i="2"/>
  <c r="BZ72" i="2"/>
  <c r="BZ24" i="2"/>
  <c r="CU130" i="6"/>
  <c r="CU152" i="6"/>
  <c r="CU131" i="6" s="1"/>
  <c r="CZ302" i="6"/>
  <c r="CU296" i="6"/>
  <c r="BP69" i="2"/>
  <c r="BP193" i="3"/>
  <c r="BP191" i="3" s="1"/>
  <c r="BP167" i="2"/>
  <c r="BP67" i="8"/>
  <c r="BU61" i="2"/>
  <c r="CF166" i="6"/>
  <c r="CF182" i="6"/>
  <c r="CC290" i="6"/>
  <c r="CP75" i="2"/>
  <c r="T43" i="5" s="1"/>
  <c r="CU75" i="2"/>
  <c r="CN218" i="6"/>
  <c r="CN286" i="6" s="1"/>
  <c r="CA78" i="2"/>
  <c r="CF78" i="2"/>
  <c r="CZ233" i="3"/>
  <c r="BP61" i="2"/>
  <c r="BK69" i="2"/>
  <c r="BK77" i="2" s="1"/>
  <c r="BK193" i="3"/>
  <c r="BK191" i="3" s="1"/>
  <c r="BK61" i="2"/>
  <c r="BK67" i="8"/>
  <c r="BQ290" i="6"/>
  <c r="S77" i="2"/>
  <c r="X77" i="2"/>
  <c r="AH45" i="2"/>
  <c r="AH38" i="2" s="1"/>
  <c r="AH39" i="2"/>
  <c r="BQ193" i="3"/>
  <c r="BQ69" i="2"/>
  <c r="BQ77" i="2" s="1"/>
  <c r="BQ167" i="2"/>
  <c r="BQ227" i="3"/>
  <c r="BQ230" i="3" s="1"/>
  <c r="BQ61" i="2"/>
  <c r="BQ67" i="8"/>
  <c r="BV152" i="2"/>
  <c r="BV151" i="2"/>
  <c r="BV78" i="2"/>
  <c r="BX78" i="2"/>
  <c r="BS78" i="2"/>
  <c r="S113" i="9"/>
  <c r="S181" i="9"/>
  <c r="CA191" i="6"/>
  <c r="CA218" i="6"/>
  <c r="CA282" i="6" s="1"/>
  <c r="CU41" i="7"/>
  <c r="AH22" i="9" s="1"/>
  <c r="CU151" i="2"/>
  <c r="CK286" i="6"/>
  <c r="CK198" i="6"/>
  <c r="CK218" i="6"/>
  <c r="BU284" i="6"/>
  <c r="BU219" i="6"/>
  <c r="BU226" i="6" s="1"/>
  <c r="BU286" i="6"/>
  <c r="BU225" i="6"/>
  <c r="BU285" i="6"/>
  <c r="BU280" i="6"/>
  <c r="BU288" i="6"/>
  <c r="BU290" i="6" s="1"/>
  <c r="BU281" i="6"/>
  <c r="BU40" i="7"/>
  <c r="BU70" i="6"/>
  <c r="BV282" i="6"/>
  <c r="BJ39" i="2"/>
  <c r="BJ45" i="2"/>
  <c r="BJ38" i="2" s="1"/>
  <c r="BZ78" i="2"/>
  <c r="CE78" i="2"/>
  <c r="CD219" i="6"/>
  <c r="CD226" i="6" s="1"/>
  <c r="CD284" i="6"/>
  <c r="CD280" i="6"/>
  <c r="CD225" i="6"/>
  <c r="CD286" i="6"/>
  <c r="CD285" i="6"/>
  <c r="CD288" i="6"/>
  <c r="CD281" i="6"/>
  <c r="CC312" i="3"/>
  <c r="CC63" i="3"/>
  <c r="CN275" i="6"/>
  <c r="CN267" i="6"/>
  <c r="CN269" i="6"/>
  <c r="CN183" i="6"/>
  <c r="CN268" i="6"/>
  <c r="CN271" i="6"/>
  <c r="CN272" i="6"/>
  <c r="BM32" i="2"/>
  <c r="BM35" i="2"/>
  <c r="BM31" i="2"/>
  <c r="BM34" i="2"/>
  <c r="BM63" i="2"/>
  <c r="BM297" i="3"/>
  <c r="BM301" i="3" s="1"/>
  <c r="CC303" i="3"/>
  <c r="CC309" i="3"/>
  <c r="CC306" i="3"/>
  <c r="CC310" i="3" s="1"/>
  <c r="CU160" i="2"/>
  <c r="CU162" i="2" s="1"/>
  <c r="CU165" i="2" s="1"/>
  <c r="CK119" i="6"/>
  <c r="CF119" i="6"/>
  <c r="BV227" i="3"/>
  <c r="BV230" i="3" s="1"/>
  <c r="BV69" i="2"/>
  <c r="BV77" i="2" s="1"/>
  <c r="BV193" i="3"/>
  <c r="BV61" i="2"/>
  <c r="BV67" i="8"/>
  <c r="BV167" i="2"/>
  <c r="S114" i="9"/>
  <c r="S182" i="9"/>
  <c r="CK15" i="2"/>
  <c r="CK22" i="2"/>
  <c r="CK70" i="2"/>
  <c r="CK78" i="2" s="1"/>
  <c r="J46" i="5" s="1"/>
  <c r="CK153" i="2"/>
  <c r="CK62" i="2"/>
  <c r="BP79" i="2"/>
  <c r="BU79" i="2"/>
  <c r="CP15" i="2"/>
  <c r="CP70" i="2"/>
  <c r="CP153" i="2"/>
  <c r="CP22" i="2"/>
  <c r="CP24" i="2" s="1"/>
  <c r="CP71" i="2" s="1"/>
  <c r="CP62" i="2"/>
  <c r="CU62" i="2"/>
  <c r="CK130" i="6"/>
  <c r="CK137" i="6" s="1"/>
  <c r="CK152" i="6"/>
  <c r="CK131" i="6" s="1"/>
  <c r="CK138" i="6" s="1"/>
  <c r="BZ219" i="6"/>
  <c r="BZ226" i="6" s="1"/>
  <c r="BZ284" i="6"/>
  <c r="BZ286" i="6"/>
  <c r="BZ281" i="6"/>
  <c r="BZ225" i="6"/>
  <c r="BZ285" i="6"/>
  <c r="BZ288" i="6"/>
  <c r="BZ290" i="6" s="1"/>
  <c r="BZ280" i="6"/>
  <c r="AR39" i="2"/>
  <c r="AR45" i="2"/>
  <c r="AR38" i="2" s="1"/>
  <c r="CM22" i="2"/>
  <c r="CM62" i="2"/>
  <c r="CM153" i="2"/>
  <c r="CM70" i="2"/>
  <c r="CR62" i="2"/>
  <c r="CM15" i="2"/>
  <c r="BQ151" i="2"/>
  <c r="BQ152" i="2"/>
  <c r="BL277" i="6"/>
  <c r="BV24" i="2"/>
  <c r="BV72" i="2"/>
  <c r="BS67" i="8"/>
  <c r="BX61" i="2"/>
  <c r="BS167" i="2"/>
  <c r="BS193" i="3"/>
  <c r="BS191" i="3" s="1"/>
  <c r="BS69" i="2"/>
  <c r="BS61" i="2"/>
  <c r="CX70" i="6"/>
  <c r="CX40" i="7"/>
  <c r="CF218" i="6"/>
  <c r="CF282" i="6" s="1"/>
  <c r="CF191" i="6"/>
  <c r="X118" i="9"/>
  <c r="X186" i="9"/>
  <c r="CP176" i="6"/>
  <c r="CP151" i="6"/>
  <c r="BM45" i="2"/>
  <c r="BM38" i="2" s="1"/>
  <c r="BM39" i="2"/>
  <c r="BZ67" i="8"/>
  <c r="BZ193" i="3"/>
  <c r="BZ191" i="3" s="1"/>
  <c r="BZ69" i="2"/>
  <c r="BZ167" i="2"/>
  <c r="BZ61" i="2"/>
  <c r="CE61" i="2"/>
  <c r="BU39" i="2"/>
  <c r="BU45" i="2"/>
  <c r="BU38" i="2" s="1"/>
  <c r="CC211" i="3"/>
  <c r="CZ79" i="2"/>
  <c r="CK118" i="6"/>
  <c r="CF118" i="6"/>
  <c r="CX75" i="7"/>
  <c r="CZ146" i="7"/>
  <c r="CJ70" i="6"/>
  <c r="CJ40" i="7"/>
  <c r="CJ36" i="2"/>
  <c r="CO36" i="2"/>
  <c r="CN70" i="6"/>
  <c r="CN36" i="2"/>
  <c r="CN40" i="7"/>
  <c r="CD45" i="2"/>
  <c r="CD38" i="2" s="1"/>
  <c r="CF43" i="2"/>
  <c r="CD39" i="2"/>
  <c r="BR29" i="2"/>
  <c r="BR8" i="3"/>
  <c r="AB87" i="5"/>
  <c r="AH31" i="9"/>
  <c r="AE87" i="5"/>
  <c r="CP32" i="7"/>
  <c r="CP158" i="2"/>
  <c r="CP199" i="7"/>
  <c r="Z57" i="7"/>
  <c r="Z192" i="7"/>
  <c r="AA45" i="7"/>
  <c r="BT1" i="6"/>
  <c r="G123" i="9"/>
  <c r="G1" i="9"/>
  <c r="BT40" i="2"/>
  <c r="BT71" i="6"/>
  <c r="G122" i="9" s="1"/>
  <c r="BT41" i="7"/>
  <c r="G22" i="9" s="1"/>
  <c r="G23" i="9"/>
  <c r="Y101" i="9"/>
  <c r="Y67" i="9"/>
  <c r="AD67" i="9" s="1"/>
  <c r="AI67" i="9" s="1"/>
  <c r="CJ29" i="2"/>
  <c r="CJ8" i="3"/>
  <c r="BG179" i="7"/>
  <c r="BL45" i="7"/>
  <c r="BL80" i="7"/>
  <c r="BG57" i="7"/>
  <c r="CN79" i="2"/>
  <c r="AB89" i="5"/>
  <c r="AC29" i="9"/>
  <c r="AC30" i="9"/>
  <c r="AH30" i="9"/>
  <c r="DK45" i="7"/>
  <c r="DK54" i="7" s="1"/>
  <c r="CE197" i="7"/>
  <c r="CE259" i="3"/>
  <c r="CE200" i="7"/>
  <c r="CE198" i="7"/>
  <c r="CE183" i="7"/>
  <c r="CE188" i="7" s="1"/>
  <c r="CE210" i="7" s="1"/>
  <c r="CE215" i="7"/>
  <c r="CE201" i="7"/>
  <c r="CZ171" i="7"/>
  <c r="CZ113" i="7"/>
  <c r="DE171" i="7"/>
  <c r="BT297" i="3"/>
  <c r="BT301" i="3" s="1"/>
  <c r="BT32" i="2"/>
  <c r="BT31" i="2"/>
  <c r="BI41" i="7"/>
  <c r="BI71" i="6"/>
  <c r="BI40" i="2"/>
  <c r="CD79" i="2"/>
  <c r="CI79" i="2"/>
  <c r="BN45" i="2"/>
  <c r="BN38" i="2" s="1"/>
  <c r="BN39" i="2"/>
  <c r="BG39" i="2"/>
  <c r="BG45" i="2"/>
  <c r="BG38" i="2" s="1"/>
  <c r="L133" i="9"/>
  <c r="AR19" i="9"/>
  <c r="DJ131" i="7"/>
  <c r="AN45" i="7"/>
  <c r="AN54" i="7" s="1"/>
  <c r="AL192" i="7"/>
  <c r="AM192" i="7" s="1"/>
  <c r="AL57" i="7"/>
  <c r="DH200" i="7"/>
  <c r="DH197" i="7"/>
  <c r="DH201" i="7"/>
  <c r="DH183" i="7"/>
  <c r="DH188" i="7" s="1"/>
  <c r="DH210" i="7" s="1"/>
  <c r="DH215" i="7"/>
  <c r="DH198" i="7"/>
  <c r="S19" i="9"/>
  <c r="CK131" i="7"/>
  <c r="CF131" i="7"/>
  <c r="CG82" i="7"/>
  <c r="CH45" i="7"/>
  <c r="CH54" i="7" s="1"/>
  <c r="CG80" i="7"/>
  <c r="CG83" i="7" s="1"/>
  <c r="CL80" i="7"/>
  <c r="CL79" i="7" s="1"/>
  <c r="CG179" i="7"/>
  <c r="BT210" i="3"/>
  <c r="BT35" i="3"/>
  <c r="BT209" i="3"/>
  <c r="CO79" i="2"/>
  <c r="CJ79" i="2"/>
  <c r="BB200" i="7"/>
  <c r="BB197" i="7"/>
  <c r="BB201" i="7"/>
  <c r="BB198" i="7"/>
  <c r="BB199" i="7"/>
  <c r="Z67" i="9"/>
  <c r="AE67" i="9" s="1"/>
  <c r="AJ67" i="9" s="1"/>
  <c r="Z101" i="9"/>
  <c r="CN8" i="3"/>
  <c r="CN29" i="2"/>
  <c r="CD29" i="2"/>
  <c r="CD8" i="3"/>
  <c r="CI36" i="2"/>
  <c r="CD70" i="6"/>
  <c r="CD40" i="7"/>
  <c r="CD36" i="2"/>
  <c r="BN29" i="2"/>
  <c r="BN8" i="3"/>
  <c r="BC71" i="6"/>
  <c r="BC40" i="2"/>
  <c r="BC41" i="7"/>
  <c r="BR45" i="2"/>
  <c r="BR38" i="2" s="1"/>
  <c r="BR39" i="2"/>
  <c r="BG31" i="2"/>
  <c r="BL63" i="2"/>
  <c r="BG32" i="2"/>
  <c r="BG35" i="2"/>
  <c r="BG297" i="3"/>
  <c r="BG301" i="3" s="1"/>
  <c r="BG34" i="2"/>
  <c r="CP141" i="7"/>
  <c r="CP10" i="7"/>
  <c r="Q67" i="9"/>
  <c r="Q101" i="9"/>
  <c r="DK130" i="2"/>
  <c r="DK32" i="6" s="1"/>
  <c r="DP13" i="3"/>
  <c r="DM16" i="2"/>
  <c r="DM298" i="3"/>
  <c r="DN298" i="3"/>
  <c r="DN16" i="2"/>
  <c r="DN132" i="2" s="1"/>
  <c r="DN149" i="3"/>
  <c r="DO149" i="3" s="1"/>
  <c r="BY56" i="7"/>
  <c r="BZ57" i="7"/>
  <c r="BW181" i="7"/>
  <c r="BW216" i="7"/>
  <c r="H90" i="9"/>
  <c r="H56" i="9"/>
  <c r="BU204" i="7"/>
  <c r="BU206" i="7"/>
  <c r="BU184" i="7"/>
  <c r="BU189" i="7" s="1"/>
  <c r="BU190" i="7" s="1"/>
  <c r="BU211" i="7" s="1"/>
  <c r="BU207" i="7"/>
  <c r="G58" i="9"/>
  <c r="G92" i="9"/>
  <c r="H75" i="9"/>
  <c r="H10" i="9"/>
  <c r="BX58" i="7"/>
  <c r="BX136" i="7"/>
  <c r="BX180" i="7"/>
  <c r="BW138" i="7"/>
  <c r="BW137" i="7"/>
  <c r="J73" i="9"/>
  <c r="J8" i="9"/>
  <c r="DP78" i="6"/>
  <c r="DP77" i="6"/>
  <c r="DQ314" i="6"/>
  <c r="DP315" i="6"/>
  <c r="DM61" i="3"/>
  <c r="DM302" i="3"/>
  <c r="DO49" i="2"/>
  <c r="DO51" i="2"/>
  <c r="DN47" i="2"/>
  <c r="DP204" i="3"/>
  <c r="DN58" i="3"/>
  <c r="DN205" i="3"/>
  <c r="DL148" i="7"/>
  <c r="DL10" i="7"/>
  <c r="BB63" i="2"/>
  <c r="BB34" i="2"/>
  <c r="BB297" i="3"/>
  <c r="BB301" i="3" s="1"/>
  <c r="BB32" i="2"/>
  <c r="BB35" i="2"/>
  <c r="BB31" i="2"/>
  <c r="BG63" i="2"/>
  <c r="DM146" i="7"/>
  <c r="DM75" i="7"/>
  <c r="BB45" i="2"/>
  <c r="BB38" i="2" s="1"/>
  <c r="BB39" i="2"/>
  <c r="AC45" i="2"/>
  <c r="AC38" i="2" s="1"/>
  <c r="AC39" i="2"/>
  <c r="DG32" i="2"/>
  <c r="DG297" i="3"/>
  <c r="DG301" i="3" s="1"/>
  <c r="DG31" i="2"/>
  <c r="DG63" i="2"/>
  <c r="AU26" i="9"/>
  <c r="DG40" i="7"/>
  <c r="AT33" i="9" s="1"/>
  <c r="DG70" i="6"/>
  <c r="AT133" i="9" s="1"/>
  <c r="AH79" i="2"/>
  <c r="AC79" i="2"/>
  <c r="BB79" i="2"/>
  <c r="BG79" i="2"/>
  <c r="AC31" i="2"/>
  <c r="AC297" i="3"/>
  <c r="AC301" i="3" s="1"/>
  <c r="AC32" i="2"/>
  <c r="AC35" i="2"/>
  <c r="AC34" i="2"/>
  <c r="AH63" i="2"/>
  <c r="DN88" i="6"/>
  <c r="DO88" i="6" s="1"/>
  <c r="DN312" i="6"/>
  <c r="DP311" i="6"/>
  <c r="DN89" i="6"/>
  <c r="DO89" i="6" s="1"/>
  <c r="DM309" i="6"/>
  <c r="DM310" i="6"/>
  <c r="DK10" i="7"/>
  <c r="DK148" i="7"/>
  <c r="I40" i="7" l="1"/>
  <c r="I70" i="6"/>
  <c r="AE49" i="5"/>
  <c r="I210" i="3"/>
  <c r="I35" i="3"/>
  <c r="I209" i="3"/>
  <c r="I306" i="3"/>
  <c r="I310" i="3" s="1"/>
  <c r="I309" i="3"/>
  <c r="I303" i="3"/>
  <c r="I41" i="7"/>
  <c r="I71" i="6"/>
  <c r="DP94" i="6"/>
  <c r="DS93" i="6"/>
  <c r="DS26" i="6" s="1"/>
  <c r="DT26" i="6" s="1"/>
  <c r="DR99" i="6"/>
  <c r="DS98" i="6"/>
  <c r="DY100" i="2"/>
  <c r="DK247" i="6"/>
  <c r="DK250" i="6" s="1"/>
  <c r="DK257" i="6"/>
  <c r="DV157" i="3"/>
  <c r="DU33" i="3"/>
  <c r="DB129" i="3"/>
  <c r="DB130" i="3" s="1"/>
  <c r="DA129" i="3"/>
  <c r="DA130" i="3" s="1"/>
  <c r="DD129" i="3" s="1"/>
  <c r="DD130" i="3" s="1"/>
  <c r="DF129" i="3" s="1"/>
  <c r="DF130" i="3" s="1"/>
  <c r="DG129" i="3" s="1"/>
  <c r="DG130" i="3" s="1"/>
  <c r="DH129" i="3" s="1"/>
  <c r="DH130" i="3" s="1"/>
  <c r="CY64" i="3"/>
  <c r="CY65" i="3" s="1"/>
  <c r="CX67" i="3"/>
  <c r="DO79" i="6"/>
  <c r="DO80" i="6" s="1"/>
  <c r="BB177" i="9" s="1"/>
  <c r="DX85" i="7"/>
  <c r="DX87" i="7" s="1"/>
  <c r="DW87" i="7"/>
  <c r="DW42" i="2"/>
  <c r="DV13" i="3"/>
  <c r="DY27" i="7"/>
  <c r="DO14" i="3"/>
  <c r="BI56" i="5"/>
  <c r="BQ277" i="6"/>
  <c r="DW26" i="6"/>
  <c r="DW257" i="6" s="1"/>
  <c r="DX79" i="6"/>
  <c r="DX93" i="6" s="1"/>
  <c r="DW82" i="6"/>
  <c r="DP99" i="6"/>
  <c r="DU99" i="6"/>
  <c r="DU94" i="6"/>
  <c r="DN308" i="6"/>
  <c r="DN309" i="6" s="1"/>
  <c r="DR50" i="2"/>
  <c r="DR46" i="2" s="1"/>
  <c r="DN94" i="6"/>
  <c r="DW101" i="6"/>
  <c r="DQ46" i="2"/>
  <c r="DV196" i="3"/>
  <c r="DP47" i="2"/>
  <c r="DT131" i="7"/>
  <c r="DN99" i="6"/>
  <c r="DO98" i="6"/>
  <c r="BI67" i="5" s="1"/>
  <c r="DL256" i="6"/>
  <c r="DL301" i="6" s="1"/>
  <c r="CU71" i="6"/>
  <c r="AH122" i="9" s="1"/>
  <c r="AW40" i="7"/>
  <c r="AW70" i="6"/>
  <c r="AW303" i="3"/>
  <c r="AW309" i="3"/>
  <c r="AW306" i="3"/>
  <c r="AW310" i="3" s="1"/>
  <c r="AW41" i="7"/>
  <c r="AW71" i="6"/>
  <c r="DV257" i="6"/>
  <c r="DV247" i="6"/>
  <c r="DU247" i="6"/>
  <c r="DU257" i="6"/>
  <c r="DY215" i="7"/>
  <c r="DY168" i="7"/>
  <c r="DY154" i="7"/>
  <c r="DY142" i="7" s="1"/>
  <c r="DY130" i="7"/>
  <c r="DY131" i="7" s="1"/>
  <c r="DY172" i="7"/>
  <c r="CO15" i="8"/>
  <c r="CQ13" i="8"/>
  <c r="CQ15" i="8" s="1"/>
  <c r="BY41" i="7"/>
  <c r="L22" i="9" s="1"/>
  <c r="L123" i="9"/>
  <c r="BY71" i="6"/>
  <c r="L122" i="9" s="1"/>
  <c r="L1" i="9"/>
  <c r="BY1" i="6"/>
  <c r="L23" i="9"/>
  <c r="BY210" i="3"/>
  <c r="BY35" i="3"/>
  <c r="BY209" i="3"/>
  <c r="CE29" i="2"/>
  <c r="CJ63" i="2" s="1"/>
  <c r="CE8" i="3"/>
  <c r="BY32" i="2"/>
  <c r="BY297" i="3"/>
  <c r="BY301" i="3" s="1"/>
  <c r="BY31" i="2"/>
  <c r="CE70" i="6"/>
  <c r="W133" i="9" s="1"/>
  <c r="CE40" i="7"/>
  <c r="AR63" i="2"/>
  <c r="DD79" i="2"/>
  <c r="CA148" i="2"/>
  <c r="CA151" i="2" s="1"/>
  <c r="X39" i="2"/>
  <c r="AS133" i="9"/>
  <c r="CK433" i="8"/>
  <c r="CK19" i="8"/>
  <c r="CK21" i="8" s="1"/>
  <c r="CM429" i="8"/>
  <c r="CM431" i="8" s="1"/>
  <c r="CL57" i="8"/>
  <c r="CL58" i="8" s="1"/>
  <c r="CL62" i="8"/>
  <c r="CL433" i="8"/>
  <c r="CJ64" i="8"/>
  <c r="CJ66" i="8" s="1"/>
  <c r="CJ67" i="8"/>
  <c r="CK59" i="8"/>
  <c r="CJ59" i="8"/>
  <c r="CU429" i="8"/>
  <c r="CU431" i="8" s="1"/>
  <c r="CP62" i="8"/>
  <c r="CP64" i="8" s="1"/>
  <c r="CP66" i="8" s="1"/>
  <c r="CP57" i="8"/>
  <c r="CP58" i="8" s="1"/>
  <c r="BX70" i="6"/>
  <c r="P133" i="9" s="1"/>
  <c r="BX40" i="7"/>
  <c r="P33" i="9" s="1"/>
  <c r="CC36" i="2"/>
  <c r="AO34" i="9"/>
  <c r="AO134" i="9" s="1"/>
  <c r="DA309" i="3"/>
  <c r="DA303" i="3"/>
  <c r="DA306" i="3"/>
  <c r="DA310" i="3" s="1"/>
  <c r="CY31" i="2"/>
  <c r="CY297" i="3"/>
  <c r="CY301" i="3" s="1"/>
  <c r="CY32" i="2"/>
  <c r="BX45" i="2"/>
  <c r="BX38" i="2" s="1"/>
  <c r="BX39" i="2"/>
  <c r="BW32" i="2"/>
  <c r="O34" i="9" s="1"/>
  <c r="O134" i="9" s="1"/>
  <c r="BW31" i="2"/>
  <c r="BW297" i="3"/>
  <c r="BW301" i="3" s="1"/>
  <c r="CB63" i="2"/>
  <c r="BW72" i="3"/>
  <c r="BW35" i="3"/>
  <c r="BW209" i="3"/>
  <c r="BW210" i="3"/>
  <c r="CF162" i="2"/>
  <c r="CF165" i="2" s="1"/>
  <c r="J1" i="9"/>
  <c r="BW71" i="6"/>
  <c r="J122" i="9" s="1"/>
  <c r="BW1" i="6"/>
  <c r="J123" i="9"/>
  <c r="BW41" i="7"/>
  <c r="J22" i="9" s="1"/>
  <c r="J23" i="9"/>
  <c r="CB64" i="2"/>
  <c r="CB40" i="2"/>
  <c r="BX29" i="2"/>
  <c r="BX8" i="3"/>
  <c r="BY72" i="3" s="1"/>
  <c r="CO297" i="3"/>
  <c r="CO301" i="3" s="1"/>
  <c r="CO31" i="2"/>
  <c r="CO32" i="2"/>
  <c r="AG34" i="9" s="1"/>
  <c r="AG134" i="9" s="1"/>
  <c r="CY70" i="6"/>
  <c r="AL133" i="9" s="1"/>
  <c r="CY40" i="7"/>
  <c r="AL33" i="9" s="1"/>
  <c r="CX79" i="2"/>
  <c r="CO35" i="3"/>
  <c r="CO210" i="3"/>
  <c r="CO209" i="3"/>
  <c r="DP149" i="3"/>
  <c r="X45" i="2"/>
  <c r="X38" i="2" s="1"/>
  <c r="CH70" i="6"/>
  <c r="U133" i="9" s="1"/>
  <c r="CH40" i="7"/>
  <c r="U33" i="9" s="1"/>
  <c r="CH36" i="2"/>
  <c r="DA63" i="2"/>
  <c r="CV297" i="3"/>
  <c r="CV301" i="3" s="1"/>
  <c r="CV31" i="2"/>
  <c r="CV32" i="2"/>
  <c r="DE43" i="2"/>
  <c r="AR49" i="5"/>
  <c r="AP49" i="5"/>
  <c r="AT49" i="5"/>
  <c r="AN49" i="5"/>
  <c r="CR70" i="6"/>
  <c r="AJ133" i="9" s="1"/>
  <c r="CR40" i="7"/>
  <c r="AJ33" i="9" s="1"/>
  <c r="DE166" i="2"/>
  <c r="DE165" i="2"/>
  <c r="DE32" i="2"/>
  <c r="AR34" i="9" s="1"/>
  <c r="AR134" i="9" s="1"/>
  <c r="DE35" i="2"/>
  <c r="DE31" i="2"/>
  <c r="DE34" i="2"/>
  <c r="DE297" i="3"/>
  <c r="DE301" i="3" s="1"/>
  <c r="CH29" i="2"/>
  <c r="CH8" i="3"/>
  <c r="CV40" i="7"/>
  <c r="AN33" i="9" s="1"/>
  <c r="CV70" i="6"/>
  <c r="AN133" i="9" s="1"/>
  <c r="DE191" i="3"/>
  <c r="DE221" i="3"/>
  <c r="DD70" i="6"/>
  <c r="DD40" i="7"/>
  <c r="CF8" i="3"/>
  <c r="CF29" i="2"/>
  <c r="CR297" i="3"/>
  <c r="CR301" i="3" s="1"/>
  <c r="CR32" i="2"/>
  <c r="CW63" i="2"/>
  <c r="DJ234" i="3"/>
  <c r="DO234" i="3" s="1"/>
  <c r="DT234" i="3" s="1"/>
  <c r="DY234" i="3" s="1"/>
  <c r="DE233" i="3"/>
  <c r="DD31" i="2"/>
  <c r="DD63" i="2"/>
  <c r="DD297" i="3"/>
  <c r="DD301" i="3" s="1"/>
  <c r="DD32" i="2"/>
  <c r="CQ63" i="2"/>
  <c r="CQ31" i="2"/>
  <c r="CQ32" i="2"/>
  <c r="CQ297" i="3"/>
  <c r="CQ301" i="3" s="1"/>
  <c r="CV63" i="2"/>
  <c r="DT12" i="3"/>
  <c r="CA199" i="7"/>
  <c r="CA32" i="7"/>
  <c r="CA158" i="2"/>
  <c r="CA160" i="2" s="1"/>
  <c r="CA163" i="2" s="1"/>
  <c r="CA166" i="2" s="1"/>
  <c r="DF306" i="3"/>
  <c r="DF310" i="3" s="1"/>
  <c r="DF303" i="3"/>
  <c r="DF309" i="3"/>
  <c r="CW303" i="3"/>
  <c r="CW306" i="3"/>
  <c r="CW310" i="3" s="1"/>
  <c r="CW309" i="3"/>
  <c r="S30" i="9"/>
  <c r="N30" i="9"/>
  <c r="N29" i="9"/>
  <c r="CL210" i="3"/>
  <c r="CL72" i="3"/>
  <c r="CL209" i="3"/>
  <c r="CL35" i="3"/>
  <c r="AM45" i="2"/>
  <c r="AM38" i="2" s="1"/>
  <c r="AM39" i="2"/>
  <c r="AR40" i="2" s="1"/>
  <c r="N297" i="3"/>
  <c r="N301" i="3" s="1"/>
  <c r="N32" i="2"/>
  <c r="N31" i="2"/>
  <c r="N35" i="2"/>
  <c r="N34" i="2"/>
  <c r="N63" i="2"/>
  <c r="CF151" i="2"/>
  <c r="CV79" i="2"/>
  <c r="CQ79" i="2"/>
  <c r="AO133" i="9"/>
  <c r="AM34" i="2"/>
  <c r="AM32" i="2"/>
  <c r="AM35" i="2"/>
  <c r="AM64" i="2" s="1"/>
  <c r="AM297" i="3"/>
  <c r="AM301" i="3" s="1"/>
  <c r="AM31" i="2"/>
  <c r="N45" i="2"/>
  <c r="N39" i="2"/>
  <c r="N38" i="2"/>
  <c r="CL32" i="2"/>
  <c r="CL297" i="3"/>
  <c r="CL301" i="3" s="1"/>
  <c r="CL31" i="2"/>
  <c r="AS34" i="9"/>
  <c r="AS134" i="9" s="1"/>
  <c r="DF36" i="2"/>
  <c r="CQ70" i="6"/>
  <c r="CQ40" i="7"/>
  <c r="BM211" i="3"/>
  <c r="CS29" i="2"/>
  <c r="CS63" i="2" s="1"/>
  <c r="CU27" i="2"/>
  <c r="CU29" i="2" s="1"/>
  <c r="BH71" i="6"/>
  <c r="BH41" i="7"/>
  <c r="BO35" i="2"/>
  <c r="BO31" i="2"/>
  <c r="BO297" i="3"/>
  <c r="BO301" i="3" s="1"/>
  <c r="BO32" i="2"/>
  <c r="G34" i="9" s="1"/>
  <c r="G134" i="9" s="1"/>
  <c r="BO34" i="2"/>
  <c r="BO63" i="2"/>
  <c r="CS70" i="6"/>
  <c r="AK133" i="9" s="1"/>
  <c r="CS40" i="7"/>
  <c r="AF33" i="9" s="1"/>
  <c r="BO71" i="6"/>
  <c r="BO41" i="7"/>
  <c r="AG33" i="9"/>
  <c r="BO210" i="3"/>
  <c r="BO209" i="3"/>
  <c r="BO35" i="3"/>
  <c r="AL34" i="9"/>
  <c r="AL134" i="9" s="1"/>
  <c r="CY36" i="2"/>
  <c r="CT36" i="2"/>
  <c r="X32" i="2"/>
  <c r="X35" i="2"/>
  <c r="AC64" i="2" s="1"/>
  <c r="X297" i="3"/>
  <c r="X301" i="3" s="1"/>
  <c r="X31" i="2"/>
  <c r="X34" i="2"/>
  <c r="AG133" i="9"/>
  <c r="CT309" i="3"/>
  <c r="CT306" i="3"/>
  <c r="CT310" i="3" s="1"/>
  <c r="CT303" i="3"/>
  <c r="X71" i="6"/>
  <c r="X41" i="7"/>
  <c r="AH114" i="9"/>
  <c r="AH182" i="9"/>
  <c r="DS94" i="6"/>
  <c r="DJ82" i="6"/>
  <c r="DJ101" i="6"/>
  <c r="DS99" i="6"/>
  <c r="DS101" i="6"/>
  <c r="DJ312" i="6"/>
  <c r="DJ308" i="6"/>
  <c r="DJ309" i="6" s="1"/>
  <c r="DQ257" i="6"/>
  <c r="DQ247" i="6"/>
  <c r="DQ250" i="6" s="1"/>
  <c r="DJ247" i="6"/>
  <c r="DJ250" i="6" s="1"/>
  <c r="DJ257" i="6"/>
  <c r="DJ258" i="6"/>
  <c r="DT98" i="6"/>
  <c r="DN257" i="6"/>
  <c r="DN247" i="6"/>
  <c r="DN250" i="6" s="1"/>
  <c r="DO26" i="6"/>
  <c r="DP247" i="6"/>
  <c r="DP250" i="6" s="1"/>
  <c r="DP257" i="6"/>
  <c r="DR257" i="6"/>
  <c r="DR247" i="6"/>
  <c r="DR250" i="6" s="1"/>
  <c r="DT202" i="3"/>
  <c r="DR148" i="3"/>
  <c r="DR24" i="3" s="1"/>
  <c r="DR142" i="3"/>
  <c r="DR30" i="3" s="1"/>
  <c r="DR141" i="3"/>
  <c r="DR20" i="3" s="1"/>
  <c r="DQ30" i="3"/>
  <c r="DQ171" i="3"/>
  <c r="DQ26" i="3"/>
  <c r="DR19" i="3"/>
  <c r="DS63" i="8"/>
  <c r="DT158" i="3"/>
  <c r="DP145" i="3"/>
  <c r="DT290" i="3"/>
  <c r="DO192" i="3"/>
  <c r="DP162" i="3"/>
  <c r="DO65" i="8"/>
  <c r="DH325" i="6"/>
  <c r="DK330" i="6"/>
  <c r="CU163" i="2"/>
  <c r="CU166" i="2" s="1"/>
  <c r="CM69" i="2"/>
  <c r="CR61" i="2"/>
  <c r="CM193" i="3"/>
  <c r="CM191" i="3" s="1"/>
  <c r="CM167" i="2"/>
  <c r="CM61" i="2"/>
  <c r="CP193" i="3"/>
  <c r="CP61" i="2"/>
  <c r="CP227" i="3"/>
  <c r="CP230" i="3" s="1"/>
  <c r="CP167" i="2"/>
  <c r="CP69" i="2"/>
  <c r="CP67" i="8"/>
  <c r="CU61" i="2"/>
  <c r="CP152" i="6"/>
  <c r="CP131" i="6" s="1"/>
  <c r="CP138" i="6" s="1"/>
  <c r="CP130" i="6"/>
  <c r="CP137" i="6" s="1"/>
  <c r="AP33" i="9"/>
  <c r="CM152" i="2"/>
  <c r="CM151" i="2"/>
  <c r="CP78" i="2"/>
  <c r="T46" i="5" s="1"/>
  <c r="AB46" i="5"/>
  <c r="CU78" i="2"/>
  <c r="CK151" i="2"/>
  <c r="CK152" i="2"/>
  <c r="BQ233" i="3"/>
  <c r="AH71" i="6"/>
  <c r="AH41" i="7"/>
  <c r="AM40" i="2"/>
  <c r="CF183" i="6"/>
  <c r="CF272" i="6"/>
  <c r="CF275" i="6"/>
  <c r="CF271" i="6"/>
  <c r="CF273" i="6"/>
  <c r="CF267" i="6"/>
  <c r="CF268" i="6"/>
  <c r="CF269" i="6"/>
  <c r="BP166" i="2"/>
  <c r="BP165" i="2"/>
  <c r="S39" i="2"/>
  <c r="S45" i="2"/>
  <c r="S38" i="2" s="1"/>
  <c r="CG78" i="2"/>
  <c r="CL78" i="2"/>
  <c r="BV290" i="6"/>
  <c r="BQ71" i="2"/>
  <c r="BQ79" i="2" s="1"/>
  <c r="BQ43" i="2"/>
  <c r="BQ27" i="2"/>
  <c r="BQ29" i="2" s="1"/>
  <c r="AH70" i="6"/>
  <c r="AH40" i="7"/>
  <c r="CE290" i="6"/>
  <c r="BM63" i="3"/>
  <c r="BM65" i="3" s="1"/>
  <c r="BM312" i="3"/>
  <c r="BU32" i="2"/>
  <c r="BU297" i="3"/>
  <c r="BU301" i="3" s="1"/>
  <c r="BU31" i="2"/>
  <c r="AP133" i="9"/>
  <c r="BV71" i="2"/>
  <c r="BV43" i="2"/>
  <c r="BV27" i="2"/>
  <c r="BO40" i="2"/>
  <c r="BJ41" i="7"/>
  <c r="BJ71" i="6"/>
  <c r="BJ40" i="2"/>
  <c r="CA225" i="6"/>
  <c r="CA285" i="6"/>
  <c r="CA219" i="6"/>
  <c r="CA226" i="6" s="1"/>
  <c r="CA284" i="6"/>
  <c r="CA286" i="6"/>
  <c r="CA281" i="6"/>
  <c r="CA288" i="6"/>
  <c r="CA280" i="6"/>
  <c r="BZ43" i="2"/>
  <c r="BZ35" i="2"/>
  <c r="BZ27" i="2"/>
  <c r="BZ34" i="2"/>
  <c r="S32" i="2"/>
  <c r="S297" i="3"/>
  <c r="S301" i="3" s="1"/>
  <c r="S31" i="2"/>
  <c r="S35" i="2"/>
  <c r="S34" i="2"/>
  <c r="X63" i="2"/>
  <c r="S63" i="2"/>
  <c r="CA71" i="2"/>
  <c r="CA43" i="2"/>
  <c r="CA27" i="2"/>
  <c r="CZ309" i="3"/>
  <c r="CZ303" i="3"/>
  <c r="CZ306" i="3"/>
  <c r="AP34" i="9"/>
  <c r="AP134" i="9" s="1"/>
  <c r="DC36" i="2"/>
  <c r="CA77" i="2"/>
  <c r="CF77" i="2"/>
  <c r="BM316" i="3"/>
  <c r="BM319" i="3" s="1"/>
  <c r="BM323" i="3" s="1"/>
  <c r="BM325" i="3" s="1"/>
  <c r="BM99" i="3"/>
  <c r="BM128" i="3" s="1"/>
  <c r="BM130" i="3" s="1"/>
  <c r="L34" i="9"/>
  <c r="L134" i="9" s="1"/>
  <c r="BZ165" i="2"/>
  <c r="BZ166" i="2"/>
  <c r="BM71" i="6"/>
  <c r="BM41" i="7"/>
  <c r="BM40" i="2"/>
  <c r="CP177" i="6"/>
  <c r="CP182" i="6"/>
  <c r="CM24" i="2"/>
  <c r="CM72" i="2"/>
  <c r="CP72" i="2" s="1"/>
  <c r="T49" i="5" s="1"/>
  <c r="CU79" i="2"/>
  <c r="CK24" i="2"/>
  <c r="CK72" i="2"/>
  <c r="J49" i="5" s="1"/>
  <c r="BV165" i="2"/>
  <c r="BV166" i="2"/>
  <c r="CN277" i="6"/>
  <c r="BP77" i="2"/>
  <c r="BU77" i="2"/>
  <c r="CG72" i="2"/>
  <c r="CG24" i="2"/>
  <c r="CZ70" i="6"/>
  <c r="CZ40" i="7"/>
  <c r="CX306" i="3"/>
  <c r="CX310" i="3" s="1"/>
  <c r="CX303" i="3"/>
  <c r="CX309" i="3"/>
  <c r="AH118" i="9"/>
  <c r="AH186" i="9"/>
  <c r="AR303" i="3"/>
  <c r="AR306" i="3"/>
  <c r="AR310" i="3" s="1"/>
  <c r="AR309" i="3"/>
  <c r="AR40" i="7"/>
  <c r="AR70" i="6"/>
  <c r="AW64" i="2"/>
  <c r="AW36" i="2"/>
  <c r="CA272" i="6"/>
  <c r="CA273" i="6"/>
  <c r="CA271" i="6"/>
  <c r="CA268" i="6"/>
  <c r="CA183" i="6"/>
  <c r="CA275" i="6"/>
  <c r="CA277" i="6" s="1"/>
  <c r="CA267" i="6"/>
  <c r="CA269" i="6"/>
  <c r="CK271" i="6"/>
  <c r="CK268" i="6"/>
  <c r="CK183" i="6"/>
  <c r="CK275" i="6"/>
  <c r="CK269" i="6"/>
  <c r="CK267" i="6"/>
  <c r="CK272" i="6"/>
  <c r="CK273" i="6"/>
  <c r="BK31" i="2"/>
  <c r="BK35" i="2"/>
  <c r="BK34" i="2"/>
  <c r="BK63" i="2"/>
  <c r="BK32" i="2"/>
  <c r="BK43" i="2"/>
  <c r="BS166" i="2"/>
  <c r="BS165" i="2"/>
  <c r="AW40" i="2"/>
  <c r="AR71" i="6"/>
  <c r="AR41" i="7"/>
  <c r="BV191" i="3"/>
  <c r="BV221" i="3"/>
  <c r="BQ166" i="2"/>
  <c r="BQ165" i="2"/>
  <c r="CG167" i="2"/>
  <c r="CG69" i="2"/>
  <c r="CG193" i="3"/>
  <c r="CG191" i="3" s="1"/>
  <c r="CL61" i="2"/>
  <c r="CG61" i="2"/>
  <c r="CG67" i="8"/>
  <c r="H123" i="9"/>
  <c r="H23" i="9"/>
  <c r="BU41" i="7"/>
  <c r="H22" i="9" s="1"/>
  <c r="BU71" i="6"/>
  <c r="H122" i="9" s="1"/>
  <c r="BU1" i="6"/>
  <c r="H1" i="9"/>
  <c r="BZ77" i="2"/>
  <c r="CE77" i="2"/>
  <c r="CF225" i="6"/>
  <c r="CF288" i="6"/>
  <c r="CF219" i="6"/>
  <c r="CF226" i="6" s="1"/>
  <c r="CF285" i="6"/>
  <c r="CF284" i="6"/>
  <c r="CF280" i="6"/>
  <c r="CF281" i="6"/>
  <c r="CF286" i="6"/>
  <c r="BX77" i="2"/>
  <c r="BS77" i="2"/>
  <c r="CR78" i="2"/>
  <c r="CM78" i="2"/>
  <c r="CK193" i="3"/>
  <c r="CK69" i="2"/>
  <c r="CK77" i="2" s="1"/>
  <c r="CK227" i="3"/>
  <c r="CK230" i="3" s="1"/>
  <c r="CK167" i="2"/>
  <c r="CK67" i="8"/>
  <c r="CK61" i="2"/>
  <c r="BV233" i="3"/>
  <c r="BM306" i="3"/>
  <c r="BM310" i="3" s="1"/>
  <c r="BM309" i="3"/>
  <c r="BM303" i="3"/>
  <c r="BM70" i="6"/>
  <c r="BM36" i="2"/>
  <c r="BM64" i="2"/>
  <c r="BM40" i="7"/>
  <c r="CD290" i="6"/>
  <c r="CK225" i="6"/>
  <c r="CK281" i="6"/>
  <c r="CK219" i="6"/>
  <c r="CK226" i="6" s="1"/>
  <c r="CK284" i="6"/>
  <c r="CK280" i="6"/>
  <c r="CK282" i="6"/>
  <c r="CK288" i="6"/>
  <c r="CK290" i="6" s="1"/>
  <c r="CK285" i="6"/>
  <c r="BQ191" i="3"/>
  <c r="BQ221" i="3"/>
  <c r="CN219" i="6"/>
  <c r="CN226" i="6" s="1"/>
  <c r="CN288" i="6"/>
  <c r="CN280" i="6"/>
  <c r="CN225" i="6"/>
  <c r="CN281" i="6"/>
  <c r="CN282" i="6"/>
  <c r="CN284" i="6"/>
  <c r="CN285" i="6"/>
  <c r="CU138" i="6"/>
  <c r="X79" i="2"/>
  <c r="S79" i="2"/>
  <c r="CG152" i="2"/>
  <c r="CG151" i="2"/>
  <c r="BP27" i="2"/>
  <c r="BP43" i="2"/>
  <c r="DE36" i="2"/>
  <c r="BS35" i="2"/>
  <c r="BS27" i="2"/>
  <c r="BS43" i="2"/>
  <c r="BS34" i="2"/>
  <c r="AH309" i="3"/>
  <c r="AH303" i="3"/>
  <c r="AH306" i="3"/>
  <c r="AH310" i="3" s="1"/>
  <c r="BU209" i="3"/>
  <c r="BU35" i="3"/>
  <c r="BU210" i="3"/>
  <c r="CM80" i="7"/>
  <c r="CM79" i="7" s="1"/>
  <c r="CH80" i="7"/>
  <c r="CH83" i="7" s="1"/>
  <c r="CH179" i="7"/>
  <c r="CI45" i="7"/>
  <c r="CI54" i="7" s="1"/>
  <c r="CH82" i="7"/>
  <c r="AM194" i="7"/>
  <c r="AM215" i="7"/>
  <c r="AM259" i="3"/>
  <c r="AM260" i="3" s="1"/>
  <c r="BR297" i="3"/>
  <c r="BR301" i="3" s="1"/>
  <c r="BR34" i="2"/>
  <c r="BW63" i="2"/>
  <c r="BR32" i="2"/>
  <c r="BR63" i="2"/>
  <c r="BR35" i="2"/>
  <c r="BR31" i="2"/>
  <c r="BG306" i="3"/>
  <c r="BG310" i="3" s="1"/>
  <c r="BG303" i="3"/>
  <c r="BG309" i="3"/>
  <c r="CD210" i="3"/>
  <c r="CE72" i="3"/>
  <c r="CD35" i="3"/>
  <c r="CD209" i="3"/>
  <c r="CD72" i="3"/>
  <c r="BT312" i="3"/>
  <c r="BT63" i="3"/>
  <c r="BT303" i="3"/>
  <c r="BT306" i="3"/>
  <c r="BT309" i="3"/>
  <c r="CJ32" i="2"/>
  <c r="CJ297" i="3"/>
  <c r="CJ301" i="3" s="1"/>
  <c r="CO63" i="2"/>
  <c r="CJ31" i="2"/>
  <c r="BR210" i="3"/>
  <c r="BR35" i="3"/>
  <c r="BR72" i="3"/>
  <c r="BR209" i="3"/>
  <c r="Q123" i="9"/>
  <c r="CD1" i="6"/>
  <c r="CD41" i="7"/>
  <c r="Q22" i="9" s="1"/>
  <c r="CI40" i="2"/>
  <c r="CI64" i="2"/>
  <c r="Q23" i="9"/>
  <c r="CD64" i="2"/>
  <c r="Q1" i="9"/>
  <c r="CD71" i="6"/>
  <c r="Q122" i="9" s="1"/>
  <c r="CD40" i="2"/>
  <c r="W33" i="9"/>
  <c r="AB33" i="9"/>
  <c r="E123" i="9"/>
  <c r="BR71" i="6"/>
  <c r="E122" i="9" s="1"/>
  <c r="BR1" i="6"/>
  <c r="E23" i="9"/>
  <c r="BR41" i="7"/>
  <c r="E22" i="9" s="1"/>
  <c r="BW40" i="2"/>
  <c r="E1" i="9"/>
  <c r="BR40" i="2"/>
  <c r="Q33" i="9"/>
  <c r="V33" i="9"/>
  <c r="AA133" i="9"/>
  <c r="BO72" i="3"/>
  <c r="BN35" i="3"/>
  <c r="BN72" i="3"/>
  <c r="BN209" i="3"/>
  <c r="BN210" i="3"/>
  <c r="CN297" i="3"/>
  <c r="CN301" i="3" s="1"/>
  <c r="CN31" i="2"/>
  <c r="CN32" i="2"/>
  <c r="CN63" i="2"/>
  <c r="CG198" i="7"/>
  <c r="CG197" i="7"/>
  <c r="CG183" i="7"/>
  <c r="CG188" i="7" s="1"/>
  <c r="CG210" i="7" s="1"/>
  <c r="CG215" i="7"/>
  <c r="CG201" i="7"/>
  <c r="CG259" i="3"/>
  <c r="CG200" i="7"/>
  <c r="AN192" i="7"/>
  <c r="AO45" i="7"/>
  <c r="AO54" i="7" s="1"/>
  <c r="AN57" i="7"/>
  <c r="BN41" i="7"/>
  <c r="BN40" i="2"/>
  <c r="BN71" i="6"/>
  <c r="BG198" i="7"/>
  <c r="BG199" i="7"/>
  <c r="BG201" i="7"/>
  <c r="BG200" i="7"/>
  <c r="BG197" i="7"/>
  <c r="CZ141" i="7"/>
  <c r="CZ10" i="7"/>
  <c r="BG70" i="6"/>
  <c r="BL64" i="2"/>
  <c r="BG40" i="7"/>
  <c r="BL36" i="2"/>
  <c r="CD297" i="3"/>
  <c r="CD301" i="3" s="1"/>
  <c r="CI63" i="2"/>
  <c r="CD31" i="2"/>
  <c r="CD32" i="2"/>
  <c r="CD63" i="2"/>
  <c r="CF39" i="2"/>
  <c r="CF45" i="2"/>
  <c r="CF38" i="2" s="1"/>
  <c r="AB133" i="9"/>
  <c r="Q133" i="9"/>
  <c r="V133" i="9"/>
  <c r="BN297" i="3"/>
  <c r="BN301" i="3" s="1"/>
  <c r="BN32" i="2"/>
  <c r="BN31" i="2"/>
  <c r="BN35" i="2"/>
  <c r="BN63" i="2"/>
  <c r="BN34" i="2"/>
  <c r="CN209" i="3"/>
  <c r="CN210" i="3"/>
  <c r="CN35" i="3"/>
  <c r="BT211" i="3"/>
  <c r="BL40" i="2"/>
  <c r="BG41" i="7"/>
  <c r="BG71" i="6"/>
  <c r="DK179" i="7"/>
  <c r="DK80" i="7"/>
  <c r="DK79" i="7" s="1"/>
  <c r="DL45" i="7"/>
  <c r="DL54" i="7" s="1"/>
  <c r="CJ210" i="3"/>
  <c r="CJ209" i="3"/>
  <c r="CJ35" i="3"/>
  <c r="CA162" i="2"/>
  <c r="CA165" i="2" s="1"/>
  <c r="AA33" i="9"/>
  <c r="DP14" i="3"/>
  <c r="DP16" i="2" s="1"/>
  <c r="DN130" i="2"/>
  <c r="DN32" i="6" s="1"/>
  <c r="DK24" i="6"/>
  <c r="DM132" i="2"/>
  <c r="DO16" i="2"/>
  <c r="DQ13" i="3"/>
  <c r="DQ14" i="3" s="1"/>
  <c r="DQ16" i="2" s="1"/>
  <c r="DQ132" i="2" s="1"/>
  <c r="J56" i="9"/>
  <c r="J90" i="9"/>
  <c r="BX138" i="7"/>
  <c r="K8" i="9"/>
  <c r="K73" i="9"/>
  <c r="BX137" i="7"/>
  <c r="BW184" i="7"/>
  <c r="BW189" i="7" s="1"/>
  <c r="BW190" i="7" s="1"/>
  <c r="BW211" i="7" s="1"/>
  <c r="BW207" i="7"/>
  <c r="BW206" i="7"/>
  <c r="BW204" i="7"/>
  <c r="J10" i="9"/>
  <c r="J75" i="9"/>
  <c r="CB57" i="7"/>
  <c r="BZ56" i="7"/>
  <c r="BX181" i="7"/>
  <c r="BX216" i="7"/>
  <c r="H58" i="9"/>
  <c r="H92" i="9"/>
  <c r="BY136" i="7"/>
  <c r="BY58" i="7"/>
  <c r="BY180" i="7"/>
  <c r="DQ315" i="6"/>
  <c r="DQ78" i="6"/>
  <c r="DR314" i="6"/>
  <c r="DQ77" i="6"/>
  <c r="DO314" i="6"/>
  <c r="DO315" i="6" s="1"/>
  <c r="DN302" i="3"/>
  <c r="DN61" i="3"/>
  <c r="DO58" i="3"/>
  <c r="DP205" i="3"/>
  <c r="DP58" i="3"/>
  <c r="DO47" i="2"/>
  <c r="DQ204" i="3"/>
  <c r="AT34" i="9"/>
  <c r="AT134" i="9" s="1"/>
  <c r="DG36" i="2"/>
  <c r="AH40" i="2"/>
  <c r="AC71" i="6"/>
  <c r="AC40" i="2"/>
  <c r="AC41" i="7"/>
  <c r="AC36" i="2"/>
  <c r="AC70" i="6"/>
  <c r="AC40" i="7"/>
  <c r="AH36" i="2"/>
  <c r="AH64" i="2"/>
  <c r="BG40" i="2"/>
  <c r="BB40" i="2"/>
  <c r="BB71" i="6"/>
  <c r="BB41" i="7"/>
  <c r="BB303" i="3"/>
  <c r="BB309" i="3"/>
  <c r="BB306" i="3"/>
  <c r="BB310" i="3" s="1"/>
  <c r="DM10" i="7"/>
  <c r="DM148" i="7"/>
  <c r="AC303" i="3"/>
  <c r="AC309" i="3"/>
  <c r="AC306" i="3"/>
  <c r="AC310" i="3" s="1"/>
  <c r="DG303" i="3"/>
  <c r="DG309" i="3"/>
  <c r="DG306" i="3"/>
  <c r="DG310" i="3" s="1"/>
  <c r="BB40" i="7"/>
  <c r="BB36" i="2"/>
  <c r="BB64" i="2"/>
  <c r="BB70" i="6"/>
  <c r="BG64" i="2"/>
  <c r="BG36" i="2"/>
  <c r="DN310" i="6"/>
  <c r="DO90" i="6"/>
  <c r="DO311" i="6" s="1"/>
  <c r="DQ311" i="6"/>
  <c r="DP89" i="6"/>
  <c r="DP312" i="6"/>
  <c r="DP88" i="6"/>
  <c r="DP308" i="6"/>
  <c r="I211" i="3" l="1"/>
  <c r="I312" i="3"/>
  <c r="I63" i="3"/>
  <c r="I65" i="3" s="1"/>
  <c r="I67" i="3" s="1"/>
  <c r="DX82" i="6"/>
  <c r="DV33" i="3"/>
  <c r="DW157" i="3"/>
  <c r="DT63" i="8"/>
  <c r="DU158" i="3"/>
  <c r="CY67" i="3"/>
  <c r="CZ65" i="3"/>
  <c r="BI57" i="5"/>
  <c r="DX98" i="6"/>
  <c r="DX101" i="6" s="1"/>
  <c r="DX42" i="2"/>
  <c r="DW13" i="3"/>
  <c r="DU11" i="3"/>
  <c r="DU14" i="3" s="1"/>
  <c r="DO298" i="3"/>
  <c r="DO317" i="3"/>
  <c r="CA290" i="6"/>
  <c r="CU137" i="6"/>
  <c r="CF277" i="6"/>
  <c r="DW247" i="6"/>
  <c r="DR51" i="2"/>
  <c r="DS50" i="2"/>
  <c r="DT50" i="2" s="1"/>
  <c r="BI50" i="5"/>
  <c r="DQ47" i="2"/>
  <c r="DV202" i="3"/>
  <c r="DV49" i="2" s="1"/>
  <c r="DW196" i="3"/>
  <c r="DU202" i="3"/>
  <c r="BB173" i="9"/>
  <c r="DO99" i="6"/>
  <c r="AQ133" i="9"/>
  <c r="BY211" i="3"/>
  <c r="AF133" i="9"/>
  <c r="DX26" i="6"/>
  <c r="DX94" i="6"/>
  <c r="DW250" i="6"/>
  <c r="DU250" i="6"/>
  <c r="DV250" i="6"/>
  <c r="DP132" i="2"/>
  <c r="DQ130" i="2"/>
  <c r="BY63" i="3"/>
  <c r="BY312" i="3"/>
  <c r="CE35" i="3"/>
  <c r="CE209" i="3"/>
  <c r="CE210" i="3"/>
  <c r="CE297" i="3"/>
  <c r="CE301" i="3" s="1"/>
  <c r="CE32" i="2"/>
  <c r="W34" i="9" s="1"/>
  <c r="W134" i="9" s="1"/>
  <c r="CE31" i="2"/>
  <c r="BY303" i="3"/>
  <c r="BY309" i="3"/>
  <c r="BY306" i="3"/>
  <c r="BY310" i="3" s="1"/>
  <c r="AQ33" i="9"/>
  <c r="AM36" i="2"/>
  <c r="AK33" i="9"/>
  <c r="CL59" i="8"/>
  <c r="CZ429" i="8"/>
  <c r="CZ431" i="8" s="1"/>
  <c r="CU62" i="8"/>
  <c r="CU57" i="8"/>
  <c r="CU58" i="8" s="1"/>
  <c r="CL64" i="8"/>
  <c r="CL66" i="8" s="1"/>
  <c r="CL67" i="8"/>
  <c r="CP59" i="8"/>
  <c r="CM57" i="8"/>
  <c r="CM58" i="8" s="1"/>
  <c r="CM433" i="8"/>
  <c r="CM19" i="8" s="1"/>
  <c r="CM21" i="8" s="1"/>
  <c r="CN429" i="8"/>
  <c r="CN431" i="8" s="1"/>
  <c r="CM62" i="8"/>
  <c r="CL19" i="8"/>
  <c r="CL21" i="8" s="1"/>
  <c r="BY316" i="3"/>
  <c r="BY319" i="3" s="1"/>
  <c r="BY323" i="3" s="1"/>
  <c r="BY99" i="3"/>
  <c r="BY128" i="3" s="1"/>
  <c r="CO312" i="3"/>
  <c r="CO63" i="3"/>
  <c r="BX297" i="3"/>
  <c r="BX301" i="3" s="1"/>
  <c r="BX32" i="2"/>
  <c r="P34" i="9" s="1"/>
  <c r="P134" i="9" s="1"/>
  <c r="BX31" i="2"/>
  <c r="CC63" i="2"/>
  <c r="BW211" i="3"/>
  <c r="K1" i="9"/>
  <c r="K23" i="9"/>
  <c r="BX71" i="6"/>
  <c r="K122" i="9" s="1"/>
  <c r="BX1" i="6"/>
  <c r="K123" i="9"/>
  <c r="BX41" i="7"/>
  <c r="K22" i="9" s="1"/>
  <c r="CC64" i="2"/>
  <c r="CC40" i="2"/>
  <c r="AR64" i="2"/>
  <c r="AR36" i="2"/>
  <c r="CO211" i="3"/>
  <c r="CO303" i="3"/>
  <c r="CO306" i="3"/>
  <c r="CO310" i="3" s="1"/>
  <c r="CO309" i="3"/>
  <c r="BW99" i="3"/>
  <c r="BW128" i="3" s="1"/>
  <c r="BW316" i="3"/>
  <c r="BW319" i="3" s="1"/>
  <c r="BW323" i="3" s="1"/>
  <c r="BW325" i="3" s="1"/>
  <c r="BW312" i="3"/>
  <c r="BW63" i="3"/>
  <c r="BW306" i="3"/>
  <c r="BW310" i="3" s="1"/>
  <c r="BW303" i="3"/>
  <c r="BW309" i="3"/>
  <c r="BX209" i="3"/>
  <c r="BX210" i="3"/>
  <c r="BX35" i="3"/>
  <c r="BX72" i="3"/>
  <c r="CY303" i="3"/>
  <c r="CY309" i="3"/>
  <c r="CY306" i="3"/>
  <c r="CY310" i="3" s="1"/>
  <c r="DA36" i="2"/>
  <c r="AN34" i="9"/>
  <c r="AN134" i="9" s="1"/>
  <c r="CL211" i="3"/>
  <c r="AJ34" i="9"/>
  <c r="AJ134" i="9" s="1"/>
  <c r="CW36" i="2"/>
  <c r="CV309" i="3"/>
  <c r="CV303" i="3"/>
  <c r="CV306" i="3"/>
  <c r="CV310" i="3" s="1"/>
  <c r="DD36" i="2"/>
  <c r="AQ34" i="9"/>
  <c r="AQ134" i="9" s="1"/>
  <c r="CR306" i="3"/>
  <c r="CR310" i="3" s="1"/>
  <c r="CR309" i="3"/>
  <c r="CR303" i="3"/>
  <c r="DE45" i="2"/>
  <c r="DD303" i="3"/>
  <c r="DD309" i="3"/>
  <c r="DD306" i="3"/>
  <c r="DD310" i="3" s="1"/>
  <c r="CF31" i="2"/>
  <c r="CF297" i="3"/>
  <c r="CF301" i="3" s="1"/>
  <c r="CF34" i="2"/>
  <c r="CF32" i="2"/>
  <c r="CF35" i="2"/>
  <c r="CH210" i="3"/>
  <c r="CH209" i="3"/>
  <c r="CH35" i="3"/>
  <c r="DE70" i="6"/>
  <c r="AR133" i="9" s="1"/>
  <c r="DE40" i="7"/>
  <c r="AR33" i="9" s="1"/>
  <c r="CF316" i="3"/>
  <c r="CF319" i="3" s="1"/>
  <c r="CF323" i="3" s="1"/>
  <c r="CF209" i="3"/>
  <c r="CF210" i="3"/>
  <c r="CF35" i="3"/>
  <c r="CH32" i="2"/>
  <c r="U34" i="9" s="1"/>
  <c r="U134" i="9" s="1"/>
  <c r="CH297" i="3"/>
  <c r="CH301" i="3" s="1"/>
  <c r="CH31" i="2"/>
  <c r="CH63" i="2"/>
  <c r="DE309" i="3"/>
  <c r="DE306" i="3"/>
  <c r="DE310" i="3" s="1"/>
  <c r="DE303" i="3"/>
  <c r="AM303" i="3"/>
  <c r="AM306" i="3"/>
  <c r="AM310" i="3" s="1"/>
  <c r="AM309" i="3"/>
  <c r="N303" i="3"/>
  <c r="N309" i="3"/>
  <c r="N306" i="3"/>
  <c r="N310" i="3" s="1"/>
  <c r="CL99" i="3"/>
  <c r="CL128" i="3" s="1"/>
  <c r="CL316" i="3"/>
  <c r="CL319" i="3" s="1"/>
  <c r="CL323" i="3" s="1"/>
  <c r="CL325" i="3" s="1"/>
  <c r="CQ306" i="3"/>
  <c r="CQ310" i="3" s="1"/>
  <c r="CQ309" i="3"/>
  <c r="CQ303" i="3"/>
  <c r="AI33" i="9"/>
  <c r="AD33" i="9"/>
  <c r="N41" i="7"/>
  <c r="N40" i="2"/>
  <c r="N71" i="6"/>
  <c r="BU211" i="3"/>
  <c r="AD34" i="9"/>
  <c r="AD134" i="9" s="1"/>
  <c r="CQ36" i="2"/>
  <c r="AI34" i="9"/>
  <c r="AI134" i="9" s="1"/>
  <c r="CV36" i="2"/>
  <c r="CL63" i="3"/>
  <c r="CL312" i="3"/>
  <c r="AD133" i="9"/>
  <c r="AI133" i="9"/>
  <c r="CL303" i="3"/>
  <c r="CL309" i="3"/>
  <c r="CL306" i="3"/>
  <c r="CL310" i="3" s="1"/>
  <c r="AM70" i="6"/>
  <c r="AM40" i="7"/>
  <c r="N36" i="2"/>
  <c r="N70" i="6"/>
  <c r="N40" i="7"/>
  <c r="N64" i="2"/>
  <c r="AM71" i="6"/>
  <c r="AM41" i="7"/>
  <c r="BR211" i="3"/>
  <c r="BV79" i="2"/>
  <c r="CZ63" i="2"/>
  <c r="CU35" i="2"/>
  <c r="CU297" i="3"/>
  <c r="CU301" i="3" s="1"/>
  <c r="CU32" i="2"/>
  <c r="CJ211" i="3"/>
  <c r="BM132" i="3"/>
  <c r="BO63" i="3"/>
  <c r="BO312" i="3"/>
  <c r="BO309" i="3"/>
  <c r="BO303" i="3"/>
  <c r="BO306" i="3"/>
  <c r="BO310" i="3" s="1"/>
  <c r="CS297" i="3"/>
  <c r="CS301" i="3" s="1"/>
  <c r="CS32" i="2"/>
  <c r="CS36" i="2" s="1"/>
  <c r="CX63" i="2"/>
  <c r="X309" i="3"/>
  <c r="X306" i="3"/>
  <c r="X310" i="3" s="1"/>
  <c r="X303" i="3"/>
  <c r="BO211" i="3"/>
  <c r="X40" i="7"/>
  <c r="X70" i="6"/>
  <c r="BO40" i="7"/>
  <c r="G33" i="9" s="1"/>
  <c r="BO70" i="6"/>
  <c r="G133" i="9" s="1"/>
  <c r="BT36" i="2"/>
  <c r="BT64" i="2"/>
  <c r="BO36" i="2"/>
  <c r="BO64" i="2"/>
  <c r="DT99" i="6"/>
  <c r="BG173" i="9"/>
  <c r="DS247" i="6"/>
  <c r="DS250" i="6" s="1"/>
  <c r="DS257" i="6"/>
  <c r="DO257" i="6"/>
  <c r="DO247" i="6"/>
  <c r="DO250" i="6" s="1"/>
  <c r="DT247" i="6"/>
  <c r="DT257" i="6"/>
  <c r="DS142" i="3"/>
  <c r="DT142" i="3" s="1"/>
  <c r="DR21" i="3"/>
  <c r="DS141" i="3"/>
  <c r="DT141" i="3" s="1"/>
  <c r="DS148" i="3"/>
  <c r="DT148" i="3" s="1"/>
  <c r="DS19" i="3"/>
  <c r="DR26" i="3"/>
  <c r="DR171" i="3"/>
  <c r="DP65" i="8"/>
  <c r="DQ162" i="3"/>
  <c r="DP192" i="3"/>
  <c r="DQ145" i="3"/>
  <c r="DQ290" i="3"/>
  <c r="DQ149" i="3"/>
  <c r="DL330" i="6"/>
  <c r="DK324" i="6"/>
  <c r="DJ324" i="6"/>
  <c r="DJ325" i="6" s="1"/>
  <c r="CN211" i="3"/>
  <c r="BN211" i="3"/>
  <c r="BS39" i="2"/>
  <c r="BS45" i="2"/>
  <c r="BS38" i="2" s="1"/>
  <c r="CK71" i="2"/>
  <c r="CK27" i="2"/>
  <c r="CA79" i="2"/>
  <c r="CF79" i="2"/>
  <c r="S40" i="7"/>
  <c r="S70" i="6"/>
  <c r="X64" i="2"/>
  <c r="X36" i="2"/>
  <c r="S36" i="2"/>
  <c r="S64" i="2"/>
  <c r="BV8" i="3"/>
  <c r="BV29" i="2"/>
  <c r="BQ63" i="2"/>
  <c r="BQ31" i="2"/>
  <c r="BQ297" i="3"/>
  <c r="BQ301" i="3" s="1"/>
  <c r="BQ35" i="2"/>
  <c r="BQ34" i="2"/>
  <c r="BQ32" i="2"/>
  <c r="S41" i="7"/>
  <c r="S71" i="6"/>
  <c r="X40" i="2"/>
  <c r="S40" i="2"/>
  <c r="BS8" i="3"/>
  <c r="BS29" i="2"/>
  <c r="BP39" i="2"/>
  <c r="BP45" i="2"/>
  <c r="BP38" i="2" s="1"/>
  <c r="CK191" i="3"/>
  <c r="CK221" i="3"/>
  <c r="CM27" i="2"/>
  <c r="CM35" i="2"/>
  <c r="CM71" i="2"/>
  <c r="CM34" i="2"/>
  <c r="BZ29" i="2"/>
  <c r="BZ8" i="3"/>
  <c r="BV45" i="2"/>
  <c r="BV38" i="2" s="1"/>
  <c r="BV39" i="2"/>
  <c r="BQ39" i="2"/>
  <c r="BQ45" i="2"/>
  <c r="BQ38" i="2" s="1"/>
  <c r="CP77" i="2"/>
  <c r="CU77" i="2"/>
  <c r="CP191" i="3"/>
  <c r="CP221" i="3"/>
  <c r="BS40" i="7"/>
  <c r="K33" i="9" s="1"/>
  <c r="BX36" i="2"/>
  <c r="BX64" i="2"/>
  <c r="BS70" i="6"/>
  <c r="K133" i="9" s="1"/>
  <c r="BP29" i="2"/>
  <c r="BP8" i="3"/>
  <c r="CN290" i="6"/>
  <c r="CK166" i="2"/>
  <c r="CK165" i="2"/>
  <c r="CF290" i="6"/>
  <c r="CL77" i="2"/>
  <c r="CG77" i="2"/>
  <c r="CK277" i="6"/>
  <c r="CG35" i="2"/>
  <c r="CG43" i="2"/>
  <c r="CG34" i="2"/>
  <c r="CG71" i="2"/>
  <c r="CG27" i="2"/>
  <c r="CP275" i="6"/>
  <c r="CP183" i="6"/>
  <c r="CP267" i="6"/>
  <c r="CP271" i="6"/>
  <c r="CP268" i="6"/>
  <c r="CP269" i="6"/>
  <c r="CP272" i="6"/>
  <c r="CP273" i="6"/>
  <c r="CA8" i="3"/>
  <c r="CA29" i="2"/>
  <c r="S303" i="3"/>
  <c r="S306" i="3"/>
  <c r="S310" i="3" s="1"/>
  <c r="S309" i="3"/>
  <c r="BZ70" i="6"/>
  <c r="BZ40" i="7"/>
  <c r="BZ64" i="2"/>
  <c r="BZ36" i="2"/>
  <c r="CE36" i="2"/>
  <c r="BN64" i="3"/>
  <c r="BM67" i="3"/>
  <c r="BU312" i="3"/>
  <c r="BU63" i="3"/>
  <c r="CK233" i="3"/>
  <c r="CG166" i="2"/>
  <c r="CG165" i="2"/>
  <c r="BK45" i="2"/>
  <c r="BK38" i="2" s="1"/>
  <c r="BK39" i="2"/>
  <c r="BK70" i="6"/>
  <c r="BK36" i="2"/>
  <c r="BK40" i="7"/>
  <c r="BK64" i="2"/>
  <c r="CZ310" i="3"/>
  <c r="CA45" i="2"/>
  <c r="CA38" i="2" s="1"/>
  <c r="CA39" i="2"/>
  <c r="CF64" i="2" s="1"/>
  <c r="BZ45" i="2"/>
  <c r="BZ38" i="2" s="1"/>
  <c r="BZ39" i="2"/>
  <c r="BU309" i="3"/>
  <c r="BU306" i="3"/>
  <c r="BU303" i="3"/>
  <c r="CP233" i="3"/>
  <c r="CM166" i="2"/>
  <c r="CM165" i="2"/>
  <c r="CR77" i="2"/>
  <c r="CM77" i="2"/>
  <c r="CD303" i="3"/>
  <c r="CD306" i="3"/>
  <c r="CD310" i="3" s="1"/>
  <c r="CD309" i="3"/>
  <c r="CH198" i="7"/>
  <c r="CH201" i="7"/>
  <c r="CH200" i="7"/>
  <c r="CH197" i="7"/>
  <c r="CH259" i="3"/>
  <c r="CH215" i="7"/>
  <c r="CH183" i="7"/>
  <c r="CH188" i="7" s="1"/>
  <c r="CH210" i="7" s="1"/>
  <c r="CJ312" i="3"/>
  <c r="CJ63" i="3"/>
  <c r="DL80" i="7"/>
  <c r="DL79" i="7" s="1"/>
  <c r="DL179" i="7"/>
  <c r="DM45" i="7"/>
  <c r="DM54" i="7" s="1"/>
  <c r="BN70" i="6"/>
  <c r="BS36" i="2"/>
  <c r="BN64" i="2"/>
  <c r="BS64" i="2"/>
  <c r="BN40" i="7"/>
  <c r="BN36" i="2"/>
  <c r="BN306" i="3"/>
  <c r="BN303" i="3"/>
  <c r="BN309" i="3"/>
  <c r="AA34" i="9"/>
  <c r="AA134" i="9" s="1"/>
  <c r="BO99" i="3"/>
  <c r="BO128" i="3" s="1"/>
  <c r="BO130" i="3" s="1"/>
  <c r="BO316" i="3"/>
  <c r="BO319" i="3" s="1"/>
  <c r="BO323" i="3" s="1"/>
  <c r="BR99" i="3"/>
  <c r="BR128" i="3" s="1"/>
  <c r="BR130" i="3" s="1"/>
  <c r="BR316" i="3"/>
  <c r="BR319" i="3" s="1"/>
  <c r="BR323" i="3" s="1"/>
  <c r="BR325" i="3" s="1"/>
  <c r="CJ309" i="3"/>
  <c r="CJ303" i="3"/>
  <c r="CJ306" i="3"/>
  <c r="CJ310" i="3" s="1"/>
  <c r="BT310" i="3"/>
  <c r="CD211" i="3"/>
  <c r="E34" i="9"/>
  <c r="E134" i="9" s="1"/>
  <c r="J34" i="9"/>
  <c r="J134" i="9" s="1"/>
  <c r="CN80" i="7"/>
  <c r="CN79" i="7" s="1"/>
  <c r="CI82" i="7"/>
  <c r="CJ45" i="7"/>
  <c r="CI80" i="7"/>
  <c r="CI83" i="7" s="1"/>
  <c r="CI179" i="7"/>
  <c r="DK67" i="7"/>
  <c r="DK62" i="7"/>
  <c r="CD63" i="3"/>
  <c r="CD312" i="3"/>
  <c r="AO57" i="7"/>
  <c r="AO192" i="7"/>
  <c r="AP45" i="7"/>
  <c r="AP54" i="7" s="1"/>
  <c r="BN316" i="3"/>
  <c r="BN319" i="3" s="1"/>
  <c r="BN323" i="3" s="1"/>
  <c r="BN325" i="3" s="1"/>
  <c r="BN99" i="3"/>
  <c r="BN128" i="3" s="1"/>
  <c r="BN130" i="3" s="1"/>
  <c r="CE316" i="3"/>
  <c r="CE319" i="3" s="1"/>
  <c r="CE323" i="3" s="1"/>
  <c r="CE99" i="3"/>
  <c r="CE128" i="3" s="1"/>
  <c r="BR40" i="7"/>
  <c r="BR70" i="6"/>
  <c r="BW64" i="2"/>
  <c r="BR36" i="2"/>
  <c r="BW36" i="2"/>
  <c r="BR64" i="2"/>
  <c r="DJ67" i="7"/>
  <c r="DJ29" i="7" s="1"/>
  <c r="DN72" i="7"/>
  <c r="AM216" i="7"/>
  <c r="AM181" i="7"/>
  <c r="BR63" i="3"/>
  <c r="BR312" i="3"/>
  <c r="AB34" i="9"/>
  <c r="AB134" i="9" s="1"/>
  <c r="DK183" i="7"/>
  <c r="DK188" i="7" s="1"/>
  <c r="DK215" i="7"/>
  <c r="Q34" i="9"/>
  <c r="Q134" i="9" s="1"/>
  <c r="V34" i="9"/>
  <c r="V134" i="9" s="1"/>
  <c r="CN312" i="3"/>
  <c r="CN63" i="3"/>
  <c r="CF1" i="6"/>
  <c r="S1" i="9"/>
  <c r="CF71" i="6"/>
  <c r="S122" i="9" s="1"/>
  <c r="S23" i="9"/>
  <c r="S123" i="9"/>
  <c r="CF41" i="7"/>
  <c r="S22" i="9" s="1"/>
  <c r="CN303" i="3"/>
  <c r="CN309" i="3"/>
  <c r="CN306" i="3"/>
  <c r="CN310" i="3" s="1"/>
  <c r="BN63" i="3"/>
  <c r="BN312" i="3"/>
  <c r="CD99" i="3"/>
  <c r="CD128" i="3" s="1"/>
  <c r="CD316" i="3"/>
  <c r="CD319" i="3" s="1"/>
  <c r="CD323" i="3" s="1"/>
  <c r="CD325" i="3" s="1"/>
  <c r="BR303" i="3"/>
  <c r="BR309" i="3"/>
  <c r="BR306" i="3"/>
  <c r="DJ63" i="7"/>
  <c r="DJ62" i="7"/>
  <c r="DJ64" i="7"/>
  <c r="DM130" i="2"/>
  <c r="DM32" i="6" s="1"/>
  <c r="DO132" i="2"/>
  <c r="DK242" i="6"/>
  <c r="DK245" i="6" s="1"/>
  <c r="DK256" i="6"/>
  <c r="DK301" i="6" s="1"/>
  <c r="DE130" i="2"/>
  <c r="DE136" i="2" s="1"/>
  <c r="DN24" i="6"/>
  <c r="DP298" i="3"/>
  <c r="DQ298" i="3"/>
  <c r="DR13" i="3"/>
  <c r="DR14" i="3" s="1"/>
  <c r="DR16" i="2" s="1"/>
  <c r="DR132" i="2" s="1"/>
  <c r="DS13" i="3"/>
  <c r="DS14" i="3" s="1"/>
  <c r="DS16" i="2" s="1"/>
  <c r="DS132" i="2" s="1"/>
  <c r="J92" i="9"/>
  <c r="J58" i="9"/>
  <c r="BY138" i="7"/>
  <c r="L8" i="9"/>
  <c r="L73" i="9"/>
  <c r="BY137" i="7"/>
  <c r="BX184" i="7"/>
  <c r="BX189" i="7" s="1"/>
  <c r="BX190" i="7" s="1"/>
  <c r="BX211" i="7" s="1"/>
  <c r="BX204" i="7"/>
  <c r="BX206" i="7"/>
  <c r="BX207" i="7"/>
  <c r="K10" i="9"/>
  <c r="K75" i="9"/>
  <c r="AU27" i="9"/>
  <c r="AU28" i="9" s="1"/>
  <c r="CA56" i="7"/>
  <c r="BZ180" i="7"/>
  <c r="BZ58" i="7"/>
  <c r="BZ136" i="7"/>
  <c r="BY181" i="7"/>
  <c r="BY216" i="7"/>
  <c r="CC57" i="7"/>
  <c r="CB56" i="7"/>
  <c r="K90" i="9"/>
  <c r="K56" i="9"/>
  <c r="DR77" i="6"/>
  <c r="DR78" i="6"/>
  <c r="DS314" i="6"/>
  <c r="DU314" i="6" s="1"/>
  <c r="DR315" i="6"/>
  <c r="DQ58" i="3"/>
  <c r="DQ205" i="3"/>
  <c r="DP61" i="3"/>
  <c r="DP302" i="3"/>
  <c r="DR204" i="3"/>
  <c r="DO302" i="3"/>
  <c r="DO61" i="3"/>
  <c r="DO91" i="6"/>
  <c r="BB176" i="9" s="1"/>
  <c r="DO96" i="6"/>
  <c r="DO93" i="6"/>
  <c r="DP310" i="6"/>
  <c r="DP309" i="6"/>
  <c r="DR311" i="6"/>
  <c r="DQ312" i="6"/>
  <c r="DQ89" i="6"/>
  <c r="DQ308" i="6"/>
  <c r="DQ88" i="6"/>
  <c r="DO312" i="6"/>
  <c r="DY98" i="6" l="1"/>
  <c r="BL173" i="9" s="1"/>
  <c r="DX99" i="6"/>
  <c r="DW33" i="3"/>
  <c r="DX157" i="3"/>
  <c r="DU141" i="3"/>
  <c r="DU20" i="3"/>
  <c r="DU142" i="3"/>
  <c r="DU21" i="3" s="1"/>
  <c r="DU148" i="3"/>
  <c r="DU24" i="3" s="1"/>
  <c r="DU63" i="8"/>
  <c r="DV158" i="3"/>
  <c r="DE64" i="3"/>
  <c r="DA64" i="3"/>
  <c r="DA65" i="3" s="1"/>
  <c r="CZ67" i="3"/>
  <c r="CZ130" i="3"/>
  <c r="DC129" i="3" s="1"/>
  <c r="DC130" i="3" s="1"/>
  <c r="BN65" i="3"/>
  <c r="DR47" i="2"/>
  <c r="DX13" i="3"/>
  <c r="DY13" i="3" s="1"/>
  <c r="DY42" i="2"/>
  <c r="DE307" i="3"/>
  <c r="DV11" i="3"/>
  <c r="DV14" i="3" s="1"/>
  <c r="DV16" i="2" s="1"/>
  <c r="DV132" i="2" s="1"/>
  <c r="CP277" i="6"/>
  <c r="DS46" i="2"/>
  <c r="DT46" i="2" s="1"/>
  <c r="DS51" i="2"/>
  <c r="DU49" i="2"/>
  <c r="DU50" i="2" s="1"/>
  <c r="DU204" i="3" s="1"/>
  <c r="DU58" i="3" s="1"/>
  <c r="DW202" i="3"/>
  <c r="DW49" i="2" s="1"/>
  <c r="DX196" i="3"/>
  <c r="DX202" i="3" s="1"/>
  <c r="DX49" i="2" s="1"/>
  <c r="F133" i="9"/>
  <c r="DT250" i="6"/>
  <c r="DX257" i="6"/>
  <c r="DX247" i="6"/>
  <c r="DX250" i="6" s="1"/>
  <c r="DY26" i="6"/>
  <c r="DU298" i="3"/>
  <c r="DU16" i="2"/>
  <c r="DV314" i="6"/>
  <c r="DU315" i="6"/>
  <c r="DU77" i="6"/>
  <c r="DU78" i="6"/>
  <c r="DT51" i="2"/>
  <c r="DT49" i="2"/>
  <c r="DS130" i="2"/>
  <c r="DR130" i="2"/>
  <c r="DP130" i="2"/>
  <c r="DT132" i="2"/>
  <c r="DT16" i="2"/>
  <c r="CE211" i="3"/>
  <c r="CE63" i="3"/>
  <c r="CE312" i="3"/>
  <c r="CE303" i="3"/>
  <c r="CE306" i="3"/>
  <c r="CE310" i="3" s="1"/>
  <c r="CE309" i="3"/>
  <c r="CM59" i="8"/>
  <c r="CM64" i="8"/>
  <c r="CM66" i="8" s="1"/>
  <c r="CM67" i="8"/>
  <c r="CO429" i="8"/>
  <c r="CO431" i="8" s="1"/>
  <c r="CN62" i="8"/>
  <c r="CN433" i="8"/>
  <c r="CN57" i="8"/>
  <c r="CN58" i="8" s="1"/>
  <c r="CU59" i="8"/>
  <c r="BX211" i="3"/>
  <c r="CU64" i="8"/>
  <c r="CU66" i="8" s="1"/>
  <c r="CU67" i="8"/>
  <c r="CZ57" i="8"/>
  <c r="CZ58" i="8" s="1"/>
  <c r="DE429" i="8"/>
  <c r="DE431" i="8" s="1"/>
  <c r="CZ62" i="8"/>
  <c r="CF40" i="2"/>
  <c r="CH211" i="3"/>
  <c r="BX99" i="3"/>
  <c r="BX128" i="3" s="1"/>
  <c r="BX316" i="3"/>
  <c r="BX319" i="3" s="1"/>
  <c r="BX323" i="3" s="1"/>
  <c r="BX325" i="3" s="1"/>
  <c r="BX63" i="3"/>
  <c r="BX312" i="3"/>
  <c r="BX306" i="3"/>
  <c r="BX310" i="3" s="1"/>
  <c r="BX309" i="3"/>
  <c r="BX303" i="3"/>
  <c r="CF211" i="3"/>
  <c r="AF34" i="9"/>
  <c r="AF134" i="9" s="1"/>
  <c r="CH309" i="3"/>
  <c r="CH306" i="3"/>
  <c r="CH310" i="3" s="1"/>
  <c r="CH303" i="3"/>
  <c r="E36" i="2"/>
  <c r="CF70" i="6"/>
  <c r="CF40" i="7"/>
  <c r="CH63" i="3"/>
  <c r="CH312" i="3"/>
  <c r="DE38" i="2"/>
  <c r="CF63" i="3"/>
  <c r="CF312" i="3"/>
  <c r="CF309" i="3"/>
  <c r="CF303" i="3"/>
  <c r="CF306" i="3"/>
  <c r="CF310" i="3" s="1"/>
  <c r="BT307" i="3"/>
  <c r="F33" i="9"/>
  <c r="CU306" i="3"/>
  <c r="CU309" i="3"/>
  <c r="CU303" i="3"/>
  <c r="CU70" i="6"/>
  <c r="AM133" i="9" s="1"/>
  <c r="CU40" i="7"/>
  <c r="AM33" i="9" s="1"/>
  <c r="AK34" i="9"/>
  <c r="AK134" i="9" s="1"/>
  <c r="CX36" i="2"/>
  <c r="CS309" i="3"/>
  <c r="CS306" i="3"/>
  <c r="CS310" i="3" s="1"/>
  <c r="CS303" i="3"/>
  <c r="AM34" i="9"/>
  <c r="AM134" i="9" s="1"/>
  <c r="CZ36" i="2"/>
  <c r="DS24" i="3"/>
  <c r="DT24" i="3" s="1"/>
  <c r="DS30" i="3"/>
  <c r="DT30" i="3" s="1"/>
  <c r="DS20" i="3"/>
  <c r="DT20" i="3" s="1"/>
  <c r="DS21" i="3"/>
  <c r="DT21" i="3" s="1"/>
  <c r="DS171" i="3"/>
  <c r="DT171" i="3" s="1"/>
  <c r="DT19" i="3"/>
  <c r="DU19" i="3" s="1"/>
  <c r="DR290" i="3"/>
  <c r="DR145" i="3"/>
  <c r="DR162" i="3"/>
  <c r="DQ65" i="8"/>
  <c r="DQ192" i="3"/>
  <c r="DM330" i="6"/>
  <c r="DL324" i="6"/>
  <c r="DL325" i="6" s="1"/>
  <c r="M1" i="9"/>
  <c r="M23" i="9"/>
  <c r="CE64" i="2"/>
  <c r="CE40" i="2"/>
  <c r="M123" i="9"/>
  <c r="BZ41" i="7"/>
  <c r="M22" i="9" s="1"/>
  <c r="BZ1" i="6"/>
  <c r="BZ71" i="6"/>
  <c r="M122" i="9" s="1"/>
  <c r="BZ40" i="2"/>
  <c r="CA40" i="2"/>
  <c r="CA1" i="6"/>
  <c r="N123" i="9"/>
  <c r="N1" i="9"/>
  <c r="CA64" i="2"/>
  <c r="N23" i="9"/>
  <c r="CA71" i="6"/>
  <c r="N122" i="9" s="1"/>
  <c r="CA41" i="7"/>
  <c r="N22" i="9" s="1"/>
  <c r="BK71" i="6"/>
  <c r="BK41" i="7"/>
  <c r="BK40" i="2"/>
  <c r="M33" i="9"/>
  <c r="R33" i="9"/>
  <c r="CG8" i="3"/>
  <c r="CG29" i="2"/>
  <c r="CG40" i="7"/>
  <c r="CG70" i="6"/>
  <c r="CG36" i="2"/>
  <c r="CL36" i="2"/>
  <c r="BP210" i="3"/>
  <c r="BP35" i="3"/>
  <c r="BP209" i="3"/>
  <c r="CM79" i="2"/>
  <c r="CR79" i="2"/>
  <c r="BS210" i="3"/>
  <c r="BS209" i="3"/>
  <c r="BS35" i="3"/>
  <c r="BS72" i="3"/>
  <c r="BT72" i="3"/>
  <c r="BU72" i="3"/>
  <c r="BQ309" i="3"/>
  <c r="BQ306" i="3"/>
  <c r="BQ303" i="3"/>
  <c r="BV32" i="2"/>
  <c r="BV31" i="2"/>
  <c r="BV297" i="3"/>
  <c r="BV301" i="3" s="1"/>
  <c r="BV34" i="2"/>
  <c r="BV35" i="2"/>
  <c r="BV63" i="2"/>
  <c r="M133" i="9"/>
  <c r="R133" i="9"/>
  <c r="CA31" i="2"/>
  <c r="CA32" i="2"/>
  <c r="CA297" i="3"/>
  <c r="CA301" i="3" s="1"/>
  <c r="CA35" i="2"/>
  <c r="CA34" i="2"/>
  <c r="CA63" i="2"/>
  <c r="CF63" i="2"/>
  <c r="CL79" i="2"/>
  <c r="CG79" i="2"/>
  <c r="BP32" i="2"/>
  <c r="H34" i="9" s="1"/>
  <c r="H134" i="9" s="1"/>
  <c r="BP35" i="2"/>
  <c r="BP34" i="2"/>
  <c r="BP31" i="2"/>
  <c r="BP297" i="3"/>
  <c r="BP301" i="3" s="1"/>
  <c r="BP63" i="2"/>
  <c r="BU63" i="2"/>
  <c r="BQ40" i="2"/>
  <c r="BQ71" i="6"/>
  <c r="BQ41" i="7"/>
  <c r="BZ174" i="3"/>
  <c r="BZ209" i="3"/>
  <c r="BZ35" i="3"/>
  <c r="BZ210" i="3"/>
  <c r="BZ72" i="3"/>
  <c r="CM40" i="7"/>
  <c r="CM36" i="2"/>
  <c r="CM70" i="6"/>
  <c r="CR64" i="2"/>
  <c r="I34" i="9"/>
  <c r="I134" i="9" s="1"/>
  <c r="BV209" i="3"/>
  <c r="BV210" i="3"/>
  <c r="BV35" i="3"/>
  <c r="BV316" i="3"/>
  <c r="BV319" i="3" s="1"/>
  <c r="BV323" i="3" s="1"/>
  <c r="F123" i="9"/>
  <c r="BS71" i="6"/>
  <c r="F122" i="9" s="1"/>
  <c r="BX40" i="2"/>
  <c r="BS1" i="6"/>
  <c r="BS41" i="7"/>
  <c r="F22" i="9" s="1"/>
  <c r="F1" i="9"/>
  <c r="F23" i="9"/>
  <c r="BS40" i="2"/>
  <c r="CE325" i="3"/>
  <c r="CA35" i="3"/>
  <c r="CA210" i="3"/>
  <c r="CA316" i="3"/>
  <c r="CA319" i="3" s="1"/>
  <c r="CA323" i="3" s="1"/>
  <c r="CA209" i="3"/>
  <c r="BV1" i="6"/>
  <c r="I1" i="9"/>
  <c r="I123" i="9"/>
  <c r="I23" i="9"/>
  <c r="BV71" i="6"/>
  <c r="I122" i="9" s="1"/>
  <c r="BV40" i="2"/>
  <c r="BV41" i="7"/>
  <c r="I22" i="9" s="1"/>
  <c r="BZ32" i="2"/>
  <c r="BZ63" i="2"/>
  <c r="BZ31" i="2"/>
  <c r="BZ297" i="3"/>
  <c r="BZ301" i="3" s="1"/>
  <c r="CE63" i="2"/>
  <c r="CP27" i="2"/>
  <c r="CM8" i="3"/>
  <c r="CM29" i="2"/>
  <c r="BP40" i="2"/>
  <c r="BP41" i="7"/>
  <c r="BP71" i="6"/>
  <c r="BU40" i="2"/>
  <c r="CK8" i="3"/>
  <c r="CK29" i="2"/>
  <c r="BU310" i="3"/>
  <c r="CG39" i="2"/>
  <c r="CG45" i="2"/>
  <c r="CK43" i="2"/>
  <c r="BS31" i="2"/>
  <c r="BS32" i="2"/>
  <c r="BS297" i="3"/>
  <c r="BS301" i="3" s="1"/>
  <c r="BX63" i="2"/>
  <c r="BS63" i="2"/>
  <c r="BQ36" i="2"/>
  <c r="BQ64" i="2"/>
  <c r="BQ40" i="7"/>
  <c r="BQ70" i="6"/>
  <c r="CK79" i="2"/>
  <c r="CP79" i="2"/>
  <c r="BR307" i="3"/>
  <c r="BR310" i="3"/>
  <c r="J33" i="9"/>
  <c r="E33" i="9"/>
  <c r="J133" i="9"/>
  <c r="E133" i="9"/>
  <c r="BN132" i="3"/>
  <c r="CI259" i="3"/>
  <c r="CI201" i="7"/>
  <c r="CI215" i="7"/>
  <c r="CI198" i="7"/>
  <c r="CJ259" i="3"/>
  <c r="CI183" i="7"/>
  <c r="CI188" i="7" s="1"/>
  <c r="CI210" i="7" s="1"/>
  <c r="CI197" i="7"/>
  <c r="CI200" i="7"/>
  <c r="BN310" i="3"/>
  <c r="DL183" i="7"/>
  <c r="DL188" i="7" s="1"/>
  <c r="DL215" i="7"/>
  <c r="BO325" i="3"/>
  <c r="BP325" i="3"/>
  <c r="DL67" i="7"/>
  <c r="DL62" i="7"/>
  <c r="DJ82" i="7"/>
  <c r="DJ65" i="7"/>
  <c r="DJ79" i="7"/>
  <c r="DJ83" i="7" s="1"/>
  <c r="DO72" i="7"/>
  <c r="DO77" i="7" s="1"/>
  <c r="BI82" i="5" s="1"/>
  <c r="DN73" i="7"/>
  <c r="AP192" i="7"/>
  <c r="AQ45" i="7"/>
  <c r="AQ54" i="7" s="1"/>
  <c r="AP57" i="7"/>
  <c r="DK65" i="7"/>
  <c r="DK63" i="7"/>
  <c r="DK64" i="7" s="1"/>
  <c r="DK82" i="7"/>
  <c r="BO64" i="3"/>
  <c r="BO65" i="3" s="1"/>
  <c r="BO132" i="3" s="1"/>
  <c r="BN67" i="3"/>
  <c r="DJ69" i="7"/>
  <c r="AM205" i="7"/>
  <c r="AM206" i="7"/>
  <c r="AM204" i="7"/>
  <c r="AM184" i="7"/>
  <c r="AM189" i="7" s="1"/>
  <c r="AM190" i="7" s="1"/>
  <c r="AM211" i="7" s="1"/>
  <c r="AM207" i="7"/>
  <c r="DJ68" i="7"/>
  <c r="DK68" i="7"/>
  <c r="DP72" i="7"/>
  <c r="DK29" i="7"/>
  <c r="DN45" i="7"/>
  <c r="DN54" i="7" s="1"/>
  <c r="DM80" i="7"/>
  <c r="DM79" i="7" s="1"/>
  <c r="DM179" i="7"/>
  <c r="DT13" i="3"/>
  <c r="DT14" i="3" s="1"/>
  <c r="DR149" i="3"/>
  <c r="DS149" i="3" s="1"/>
  <c r="DT149" i="3" s="1"/>
  <c r="DU149" i="3" s="1"/>
  <c r="DV149" i="3" s="1"/>
  <c r="DW149" i="3" s="1"/>
  <c r="DX149" i="3" s="1"/>
  <c r="DY149" i="3" s="1"/>
  <c r="DN242" i="6"/>
  <c r="DN256" i="6"/>
  <c r="DS298" i="3"/>
  <c r="DQ32" i="6"/>
  <c r="DQ24" i="6" s="1"/>
  <c r="DR298" i="3"/>
  <c r="DM24" i="6"/>
  <c r="DO32" i="6"/>
  <c r="DO24" i="6" s="1"/>
  <c r="DO136" i="2"/>
  <c r="DO135" i="2"/>
  <c r="BZ181" i="7"/>
  <c r="BZ216" i="7"/>
  <c r="K92" i="9"/>
  <c r="K58" i="9"/>
  <c r="BY207" i="7"/>
  <c r="BY184" i="7"/>
  <c r="BY189" i="7" s="1"/>
  <c r="BY190" i="7" s="1"/>
  <c r="BY211" i="7" s="1"/>
  <c r="BY204" i="7"/>
  <c r="BY206" i="7"/>
  <c r="CA57" i="7"/>
  <c r="CA180" i="7"/>
  <c r="CA136" i="7"/>
  <c r="CA58" i="7"/>
  <c r="L75" i="9"/>
  <c r="L10" i="9"/>
  <c r="CB180" i="7"/>
  <c r="CB58" i="7"/>
  <c r="CB136" i="7"/>
  <c r="M8" i="9"/>
  <c r="M73" i="9"/>
  <c r="BZ137" i="7"/>
  <c r="BZ138" i="7"/>
  <c r="CC56" i="7"/>
  <c r="CD57" i="7"/>
  <c r="L56" i="9"/>
  <c r="L90" i="9"/>
  <c r="DO308" i="6"/>
  <c r="DO309" i="6" s="1"/>
  <c r="DS315" i="6"/>
  <c r="DS78" i="6"/>
  <c r="DT78" i="6" s="1"/>
  <c r="DS77" i="6"/>
  <c r="DT77" i="6" s="1"/>
  <c r="DR205" i="3"/>
  <c r="DR58" i="3"/>
  <c r="DQ61" i="3"/>
  <c r="DQ302" i="3"/>
  <c r="DS204" i="3"/>
  <c r="DT204" i="3" s="1"/>
  <c r="DT205" i="3" s="1"/>
  <c r="DS311" i="6"/>
  <c r="DU311" i="6" s="1"/>
  <c r="DR88" i="6"/>
  <c r="DR89" i="6"/>
  <c r="DR308" i="6"/>
  <c r="DR312" i="6"/>
  <c r="DO94" i="6"/>
  <c r="DO258" i="6"/>
  <c r="DO101" i="6"/>
  <c r="DO82" i="6"/>
  <c r="DQ310" i="6"/>
  <c r="DQ309" i="6"/>
  <c r="DY99" i="6" l="1"/>
  <c r="DY157" i="3"/>
  <c r="DX33" i="3"/>
  <c r="DY33" i="3" s="1"/>
  <c r="DV142" i="3"/>
  <c r="DV21" i="3" s="1"/>
  <c r="DV148" i="3"/>
  <c r="DV24" i="3" s="1"/>
  <c r="DU30" i="3"/>
  <c r="DV141" i="3"/>
  <c r="DV20" i="3" s="1"/>
  <c r="DW158" i="3"/>
  <c r="DV63" i="8"/>
  <c r="DB64" i="3"/>
  <c r="DB65" i="3" s="1"/>
  <c r="DV298" i="3"/>
  <c r="DW11" i="3"/>
  <c r="DW14" i="3" s="1"/>
  <c r="DW298" i="3" s="1"/>
  <c r="DS47" i="2"/>
  <c r="DU205" i="3"/>
  <c r="DU51" i="2"/>
  <c r="DY198" i="3"/>
  <c r="DV50" i="2"/>
  <c r="DV204" i="3" s="1"/>
  <c r="DV205" i="3" s="1"/>
  <c r="DU46" i="2"/>
  <c r="DY202" i="3"/>
  <c r="DY257" i="6"/>
  <c r="DY247" i="6"/>
  <c r="DY250" i="6" s="1"/>
  <c r="DU132" i="2"/>
  <c r="DU171" i="3"/>
  <c r="DV19" i="3"/>
  <c r="DU26" i="3"/>
  <c r="DV130" i="2"/>
  <c r="DV32" i="6" s="1"/>
  <c r="DV24" i="6" s="1"/>
  <c r="DU312" i="6"/>
  <c r="DU308" i="6"/>
  <c r="DV311" i="6"/>
  <c r="DU89" i="6"/>
  <c r="DU88" i="6"/>
  <c r="DV77" i="6"/>
  <c r="DV78" i="6"/>
  <c r="DV315" i="6"/>
  <c r="DW314" i="6"/>
  <c r="DU302" i="3"/>
  <c r="DU61" i="3"/>
  <c r="DT135" i="2"/>
  <c r="DT136" i="2"/>
  <c r="CN59" i="8"/>
  <c r="DJ429" i="8"/>
  <c r="DJ431" i="8" s="1"/>
  <c r="DE62" i="8"/>
  <c r="DE57" i="8"/>
  <c r="DE58" i="8" s="1"/>
  <c r="CN19" i="8"/>
  <c r="CN21" i="8" s="1"/>
  <c r="CZ59" i="8"/>
  <c r="CN64" i="8"/>
  <c r="CN66" i="8" s="1"/>
  <c r="CN67" i="8"/>
  <c r="CO433" i="8"/>
  <c r="CO19" i="8" s="1"/>
  <c r="CO21" i="8" s="1"/>
  <c r="CQ429" i="8"/>
  <c r="CQ431" i="8" s="1"/>
  <c r="CO62" i="8"/>
  <c r="CO57" i="8"/>
  <c r="CO58" i="8" s="1"/>
  <c r="CZ64" i="8"/>
  <c r="CZ66" i="8" s="1"/>
  <c r="CZ67" i="8"/>
  <c r="BY325" i="3"/>
  <c r="BS211" i="3"/>
  <c r="BZ211" i="3"/>
  <c r="BP211" i="3"/>
  <c r="CZ307" i="3"/>
  <c r="CU310" i="3"/>
  <c r="CZ336" i="6"/>
  <c r="CZ224" i="7"/>
  <c r="DT26" i="3"/>
  <c r="DS26" i="3"/>
  <c r="DR65" i="8"/>
  <c r="DS162" i="3"/>
  <c r="DR192" i="3"/>
  <c r="DS145" i="3"/>
  <c r="DS290" i="3"/>
  <c r="DM324" i="6"/>
  <c r="DM325" i="6" s="1"/>
  <c r="DN330" i="6"/>
  <c r="CK38" i="2"/>
  <c r="CK209" i="3"/>
  <c r="CK210" i="3"/>
  <c r="CK316" i="3"/>
  <c r="CK319" i="3" s="1"/>
  <c r="CK323" i="3" s="1"/>
  <c r="M34" i="9"/>
  <c r="M134" i="9" s="1"/>
  <c r="R34" i="9"/>
  <c r="R134" i="9" s="1"/>
  <c r="BS306" i="3"/>
  <c r="BS309" i="3"/>
  <c r="BS303" i="3"/>
  <c r="CG38" i="2"/>
  <c r="CK39" i="2"/>
  <c r="CG41" i="2" s="1"/>
  <c r="CK45" i="2"/>
  <c r="CM31" i="2"/>
  <c r="CM32" i="2"/>
  <c r="CM297" i="3"/>
  <c r="CM301" i="3" s="1"/>
  <c r="CR63" i="2"/>
  <c r="CM63" i="2"/>
  <c r="BZ306" i="3"/>
  <c r="BZ310" i="3" s="1"/>
  <c r="BZ303" i="3"/>
  <c r="BZ309" i="3"/>
  <c r="BV211" i="3"/>
  <c r="BZ63" i="3"/>
  <c r="BZ312" i="3"/>
  <c r="BP306" i="3"/>
  <c r="BP303" i="3"/>
  <c r="BP309" i="3"/>
  <c r="N34" i="9"/>
  <c r="N134" i="9" s="1"/>
  <c r="S34" i="9"/>
  <c r="S134" i="9" s="1"/>
  <c r="BS63" i="3"/>
  <c r="BS312" i="3"/>
  <c r="CG297" i="3"/>
  <c r="CG301" i="3" s="1"/>
  <c r="CG32" i="2"/>
  <c r="CG31" i="2"/>
  <c r="CG63" i="2"/>
  <c r="CL63" i="2"/>
  <c r="K34" i="9"/>
  <c r="K134" i="9" s="1"/>
  <c r="F34" i="9"/>
  <c r="F134" i="9" s="1"/>
  <c r="T123" i="9"/>
  <c r="T23" i="9"/>
  <c r="CG71" i="6"/>
  <c r="T122" i="9" s="1"/>
  <c r="CL40" i="2"/>
  <c r="CG1" i="6"/>
  <c r="CG41" i="7"/>
  <c r="T22" i="9" s="1"/>
  <c r="T1" i="9"/>
  <c r="CL64" i="2"/>
  <c r="CG40" i="2"/>
  <c r="CG64" i="2"/>
  <c r="CM210" i="3"/>
  <c r="CM72" i="3"/>
  <c r="CM209" i="3"/>
  <c r="CN72" i="3"/>
  <c r="CM35" i="3"/>
  <c r="CO72" i="3"/>
  <c r="AE33" i="9"/>
  <c r="Z33" i="9"/>
  <c r="BV70" i="6"/>
  <c r="I133" i="9" s="1"/>
  <c r="BV36" i="2"/>
  <c r="BV64" i="2"/>
  <c r="BV40" i="7"/>
  <c r="I33" i="9" s="1"/>
  <c r="BU316" i="3"/>
  <c r="BU319" i="3" s="1"/>
  <c r="BU323" i="3" s="1"/>
  <c r="BU99" i="3"/>
  <c r="BU128" i="3" s="1"/>
  <c r="BU130" i="3" s="1"/>
  <c r="BW129" i="3" s="1"/>
  <c r="BX129" i="3" s="1"/>
  <c r="CG210" i="3"/>
  <c r="CG72" i="3"/>
  <c r="CG209" i="3"/>
  <c r="CG35" i="3"/>
  <c r="CH72" i="3"/>
  <c r="CI72" i="3"/>
  <c r="CJ72" i="3"/>
  <c r="CK297" i="3"/>
  <c r="CK301" i="3" s="1"/>
  <c r="CK34" i="2"/>
  <c r="CK35" i="2"/>
  <c r="CK31" i="2"/>
  <c r="CK32" i="2"/>
  <c r="X34" i="9" s="1"/>
  <c r="X134" i="9" s="1"/>
  <c r="CK63" i="2"/>
  <c r="CP8" i="3"/>
  <c r="CP29" i="2"/>
  <c r="CA63" i="3"/>
  <c r="CA312" i="3"/>
  <c r="BV312" i="3"/>
  <c r="BV63" i="3"/>
  <c r="BV65" i="3" s="1"/>
  <c r="BZ316" i="3"/>
  <c r="BZ319" i="3" s="1"/>
  <c r="BZ323" i="3" s="1"/>
  <c r="BZ325" i="3" s="1"/>
  <c r="BZ99" i="3"/>
  <c r="BZ128" i="3" s="1"/>
  <c r="BZ178" i="3"/>
  <c r="BZ179" i="3" s="1"/>
  <c r="CA174" i="3"/>
  <c r="CA178" i="3" s="1"/>
  <c r="CA36" i="2"/>
  <c r="CF36" i="2"/>
  <c r="CA70" i="6"/>
  <c r="CA40" i="7"/>
  <c r="BT99" i="3"/>
  <c r="BT128" i="3" s="1"/>
  <c r="BT130" i="3" s="1"/>
  <c r="BT316" i="3"/>
  <c r="BT319" i="3" s="1"/>
  <c r="BT323" i="3" s="1"/>
  <c r="BP312" i="3"/>
  <c r="BP63" i="3"/>
  <c r="T133" i="9"/>
  <c r="Y133" i="9"/>
  <c r="CA211" i="3"/>
  <c r="Z133" i="9"/>
  <c r="AE133" i="9"/>
  <c r="BP70" i="6"/>
  <c r="H133" i="9" s="1"/>
  <c r="BP36" i="2"/>
  <c r="BP64" i="2"/>
  <c r="BP40" i="7"/>
  <c r="H33" i="9" s="1"/>
  <c r="BU64" i="2"/>
  <c r="BU36" i="2"/>
  <c r="CA303" i="3"/>
  <c r="CA306" i="3"/>
  <c r="CA309" i="3"/>
  <c r="BV303" i="3"/>
  <c r="BV309" i="3"/>
  <c r="BV306" i="3"/>
  <c r="BQ307" i="3"/>
  <c r="BQ310" i="3"/>
  <c r="BS99" i="3"/>
  <c r="BS128" i="3" s="1"/>
  <c r="BS130" i="3" s="1"/>
  <c r="BS316" i="3"/>
  <c r="BS319" i="3" s="1"/>
  <c r="BS323" i="3" s="1"/>
  <c r="BS325" i="3" s="1"/>
  <c r="T33" i="9"/>
  <c r="Y33" i="9"/>
  <c r="DJ90" i="7"/>
  <c r="DK90" i="7"/>
  <c r="DM183" i="7"/>
  <c r="DM188" i="7" s="1"/>
  <c r="DM215" i="7"/>
  <c r="DK69" i="7"/>
  <c r="DJ91" i="7"/>
  <c r="DJ117" i="7" s="1"/>
  <c r="DJ122" i="7" s="1"/>
  <c r="DN74" i="7"/>
  <c r="DO73" i="7"/>
  <c r="DN96" i="7"/>
  <c r="DO85" i="7"/>
  <c r="DN80" i="7"/>
  <c r="DN79" i="7" s="1"/>
  <c r="DN179" i="7"/>
  <c r="DP45" i="7"/>
  <c r="DP54" i="7" s="1"/>
  <c r="DP73" i="7"/>
  <c r="DP74" i="7" s="1"/>
  <c r="AS45" i="7"/>
  <c r="AS54" i="7" s="1"/>
  <c r="AQ192" i="7"/>
  <c r="AR192" i="7" s="1"/>
  <c r="AQ57" i="7"/>
  <c r="DQ72" i="7"/>
  <c r="DL68" i="7"/>
  <c r="DL90" i="7" s="1"/>
  <c r="DL29" i="7"/>
  <c r="DM67" i="7"/>
  <c r="DM62" i="7"/>
  <c r="DL65" i="7"/>
  <c r="DL82" i="7"/>
  <c r="DL63" i="7"/>
  <c r="DL64" i="7" s="1"/>
  <c r="BP64" i="3"/>
  <c r="BO67" i="3"/>
  <c r="DO256" i="6"/>
  <c r="DO242" i="6"/>
  <c r="DQ242" i="6"/>
  <c r="DQ256" i="6"/>
  <c r="DM242" i="6"/>
  <c r="DM256" i="6"/>
  <c r="DT298" i="3"/>
  <c r="DT317" i="3"/>
  <c r="DP32" i="6"/>
  <c r="DS32" i="6"/>
  <c r="DS24" i="6" s="1"/>
  <c r="DR32" i="6"/>
  <c r="DR24" i="6" s="1"/>
  <c r="M90" i="9"/>
  <c r="M56" i="9"/>
  <c r="CB181" i="7"/>
  <c r="CB216" i="7"/>
  <c r="CA137" i="7"/>
  <c r="N8" i="9"/>
  <c r="CA138" i="7"/>
  <c r="N10" i="9" s="1"/>
  <c r="CC180" i="7"/>
  <c r="CC58" i="7"/>
  <c r="CC136" i="7"/>
  <c r="CA216" i="7"/>
  <c r="CA181" i="7"/>
  <c r="CE57" i="7"/>
  <c r="CD56" i="7"/>
  <c r="M10" i="9"/>
  <c r="M75" i="9"/>
  <c r="CB137" i="7"/>
  <c r="O73" i="9"/>
  <c r="O8" i="9"/>
  <c r="CB138" i="7"/>
  <c r="L58" i="9"/>
  <c r="L92" i="9"/>
  <c r="BZ204" i="7"/>
  <c r="BZ184" i="7"/>
  <c r="BZ189" i="7" s="1"/>
  <c r="BZ190" i="7" s="1"/>
  <c r="BZ211" i="7" s="1"/>
  <c r="BZ206" i="7"/>
  <c r="BZ207" i="7"/>
  <c r="DT79" i="6"/>
  <c r="DT80" i="6" s="1"/>
  <c r="BG177" i="9" s="1"/>
  <c r="DR302" i="3"/>
  <c r="DR61" i="3"/>
  <c r="DS205" i="3"/>
  <c r="DS58" i="3"/>
  <c r="DR309" i="6"/>
  <c r="DR310" i="6"/>
  <c r="DS89" i="6"/>
  <c r="DT89" i="6" s="1"/>
  <c r="DS88" i="6"/>
  <c r="DT88" i="6" s="1"/>
  <c r="DS308" i="6"/>
  <c r="DS312" i="6"/>
  <c r="DW142" i="3" l="1"/>
  <c r="DW21" i="3" s="1"/>
  <c r="DW148" i="3"/>
  <c r="DW24" i="3" s="1"/>
  <c r="DW141" i="3"/>
  <c r="DW20" i="3"/>
  <c r="DV30" i="3"/>
  <c r="DX158" i="3"/>
  <c r="DW63" i="8"/>
  <c r="DC64" i="3"/>
  <c r="DC65" i="3" s="1"/>
  <c r="DT47" i="2"/>
  <c r="DW16" i="2"/>
  <c r="DW132" i="2" s="1"/>
  <c r="DW130" i="2" s="1"/>
  <c r="DW32" i="6" s="1"/>
  <c r="DW24" i="6" s="1"/>
  <c r="DU47" i="2"/>
  <c r="DW50" i="2"/>
  <c r="DW204" i="3" s="1"/>
  <c r="DW205" i="3" s="1"/>
  <c r="DV58" i="3"/>
  <c r="DV302" i="3" s="1"/>
  <c r="DV51" i="2"/>
  <c r="DV46" i="2"/>
  <c r="DU130" i="2"/>
  <c r="DU32" i="6" s="1"/>
  <c r="DT145" i="3"/>
  <c r="DX11" i="3"/>
  <c r="DU290" i="3"/>
  <c r="DV256" i="6"/>
  <c r="DV301" i="6" s="1"/>
  <c r="DV242" i="6"/>
  <c r="DV245" i="6" s="1"/>
  <c r="DV171" i="3"/>
  <c r="DW19" i="3"/>
  <c r="DV26" i="3"/>
  <c r="DV312" i="6"/>
  <c r="DV89" i="6"/>
  <c r="DW311" i="6"/>
  <c r="DV88" i="6"/>
  <c r="DV308" i="6"/>
  <c r="DU309" i="6"/>
  <c r="DU310" i="6"/>
  <c r="DW77" i="6"/>
  <c r="DW78" i="6"/>
  <c r="DW315" i="6"/>
  <c r="DX314" i="6"/>
  <c r="DQ301" i="6"/>
  <c r="DQ245" i="6"/>
  <c r="BW130" i="3"/>
  <c r="DE59" i="8"/>
  <c r="CO59" i="8"/>
  <c r="CO64" i="8"/>
  <c r="CO66" i="8" s="1"/>
  <c r="CO67" i="8"/>
  <c r="CQ433" i="8"/>
  <c r="CQ62" i="8"/>
  <c r="CQ57" i="8"/>
  <c r="CQ58" i="8" s="1"/>
  <c r="CR429" i="8"/>
  <c r="CR431" i="8" s="1"/>
  <c r="DE64" i="8"/>
  <c r="DE66" i="8" s="1"/>
  <c r="DE67" i="8"/>
  <c r="CP433" i="8"/>
  <c r="CP19" i="8" s="1"/>
  <c r="CP21" i="8" s="1"/>
  <c r="DJ57" i="8"/>
  <c r="DJ58" i="8" s="1"/>
  <c r="DO429" i="8"/>
  <c r="DO431" i="8" s="1"/>
  <c r="DJ62" i="8"/>
  <c r="DJ64" i="8" s="1"/>
  <c r="DJ66" i="8" s="1"/>
  <c r="BU325" i="3"/>
  <c r="BP65" i="3"/>
  <c r="BP67" i="3" s="1"/>
  <c r="CG211" i="3"/>
  <c r="BT325" i="3"/>
  <c r="DS65" i="8"/>
  <c r="DT162" i="3"/>
  <c r="DU162" i="3" s="1"/>
  <c r="DS192" i="3"/>
  <c r="DP330" i="6"/>
  <c r="DN324" i="6"/>
  <c r="CM312" i="3"/>
  <c r="CM63" i="3"/>
  <c r="CP63" i="3" s="1"/>
  <c r="CI99" i="3"/>
  <c r="CI128" i="3" s="1"/>
  <c r="CI316" i="3"/>
  <c r="CI319" i="3" s="1"/>
  <c r="CI323" i="3" s="1"/>
  <c r="CG99" i="3"/>
  <c r="CG128" i="3" s="1"/>
  <c r="CG316" i="3"/>
  <c r="CG319" i="3" s="1"/>
  <c r="CG323" i="3" s="1"/>
  <c r="CG325" i="3" s="1"/>
  <c r="CO316" i="3"/>
  <c r="CO319" i="3" s="1"/>
  <c r="CO323" i="3" s="1"/>
  <c r="CO99" i="3"/>
  <c r="CO128" i="3" s="1"/>
  <c r="CM316" i="3"/>
  <c r="CM319" i="3" s="1"/>
  <c r="CM323" i="3" s="1"/>
  <c r="CM325" i="3" s="1"/>
  <c r="CM99" i="3"/>
  <c r="CM128" i="3" s="1"/>
  <c r="Z34" i="9"/>
  <c r="Z134" i="9" s="1"/>
  <c r="AE34" i="9"/>
  <c r="AE134" i="9" s="1"/>
  <c r="CR36" i="2"/>
  <c r="CK211" i="3"/>
  <c r="BV310" i="3"/>
  <c r="BV307" i="3"/>
  <c r="CA307" i="3"/>
  <c r="CA310" i="3"/>
  <c r="CF307" i="3"/>
  <c r="S33" i="9"/>
  <c r="N33" i="9"/>
  <c r="CA179" i="3"/>
  <c r="CA223" i="3"/>
  <c r="CA225" i="3" s="1"/>
  <c r="BV67" i="3"/>
  <c r="CA64" i="3"/>
  <c r="CA65" i="3" s="1"/>
  <c r="CF64" i="3" s="1"/>
  <c r="CF65" i="3" s="1"/>
  <c r="CP32" i="2"/>
  <c r="CP63" i="2"/>
  <c r="CP297" i="3"/>
  <c r="CP301" i="3" s="1"/>
  <c r="CP34" i="2"/>
  <c r="CP31" i="2"/>
  <c r="CU63" i="2"/>
  <c r="CP35" i="2"/>
  <c r="CG63" i="3"/>
  <c r="CG312" i="3"/>
  <c r="CK35" i="3"/>
  <c r="CN99" i="3"/>
  <c r="CN128" i="3" s="1"/>
  <c r="CN316" i="3"/>
  <c r="CN319" i="3" s="1"/>
  <c r="CN323" i="3" s="1"/>
  <c r="Y34" i="9"/>
  <c r="Y134" i="9" s="1"/>
  <c r="T34" i="9"/>
  <c r="T134" i="9" s="1"/>
  <c r="BP310" i="3"/>
  <c r="BU307" i="3"/>
  <c r="CK306" i="3"/>
  <c r="CK310" i="3" s="1"/>
  <c r="CK303" i="3"/>
  <c r="CK309" i="3"/>
  <c r="CH99" i="3"/>
  <c r="CH128" i="3" s="1"/>
  <c r="CH316" i="3"/>
  <c r="CH319" i="3" s="1"/>
  <c r="CH323" i="3" s="1"/>
  <c r="N133" i="9"/>
  <c r="S133" i="9"/>
  <c r="CP210" i="3"/>
  <c r="CP316" i="3"/>
  <c r="CP319" i="3" s="1"/>
  <c r="CP323" i="3" s="1"/>
  <c r="CP35" i="3"/>
  <c r="CP209" i="3"/>
  <c r="CK40" i="7"/>
  <c r="X33" i="9" s="1"/>
  <c r="CK70" i="6"/>
  <c r="X133" i="9" s="1"/>
  <c r="F36" i="2"/>
  <c r="CK36" i="2"/>
  <c r="CJ316" i="3"/>
  <c r="CJ319" i="3" s="1"/>
  <c r="CJ323" i="3" s="1"/>
  <c r="CJ325" i="3" s="1"/>
  <c r="CJ99" i="3"/>
  <c r="CJ128" i="3" s="1"/>
  <c r="CM211" i="3"/>
  <c r="CG309" i="3"/>
  <c r="CG303" i="3"/>
  <c r="CG306" i="3"/>
  <c r="CG310" i="3" s="1"/>
  <c r="CM303" i="3"/>
  <c r="CM309" i="3"/>
  <c r="CM306" i="3"/>
  <c r="CM310" i="3" s="1"/>
  <c r="X1" i="9"/>
  <c r="CK1" i="6"/>
  <c r="J53" i="5"/>
  <c r="X123" i="9"/>
  <c r="CP40" i="2"/>
  <c r="T54" i="5" s="1"/>
  <c r="X23" i="9"/>
  <c r="CK41" i="7"/>
  <c r="X22" i="9" s="1"/>
  <c r="CK71" i="6"/>
  <c r="X122" i="9" s="1"/>
  <c r="CK40" i="2"/>
  <c r="J54" i="5" s="1"/>
  <c r="CK64" i="2"/>
  <c r="BS310" i="3"/>
  <c r="BS307" i="3"/>
  <c r="BX130" i="3"/>
  <c r="BY129" i="3"/>
  <c r="DL69" i="7"/>
  <c r="DL91" i="7" s="1"/>
  <c r="DL107" i="7" s="1"/>
  <c r="DL102" i="7" s="1"/>
  <c r="DP80" i="7"/>
  <c r="DP79" i="7" s="1"/>
  <c r="DP179" i="7"/>
  <c r="DQ45" i="7"/>
  <c r="DQ54" i="7" s="1"/>
  <c r="DN97" i="7"/>
  <c r="DO97" i="7" s="1"/>
  <c r="DO74" i="7"/>
  <c r="DJ14" i="7"/>
  <c r="AR194" i="7"/>
  <c r="AR259" i="3"/>
  <c r="AR260" i="3" s="1"/>
  <c r="AR215" i="7"/>
  <c r="DN183" i="7"/>
  <c r="DN188" i="7" s="1"/>
  <c r="DN215" i="7"/>
  <c r="DO87" i="7"/>
  <c r="DO86" i="7"/>
  <c r="DM82" i="7"/>
  <c r="DM65" i="7"/>
  <c r="DM63" i="7"/>
  <c r="DM64" i="7" s="1"/>
  <c r="DL106" i="7"/>
  <c r="AT45" i="7"/>
  <c r="AT54" i="7" s="1"/>
  <c r="AS57" i="7"/>
  <c r="AS192" i="7"/>
  <c r="DP97" i="7"/>
  <c r="DN62" i="7"/>
  <c r="DN67" i="7"/>
  <c r="DO67" i="7" s="1"/>
  <c r="DO29" i="7" s="1"/>
  <c r="DO96" i="7"/>
  <c r="DJ107" i="7"/>
  <c r="DJ116" i="7"/>
  <c r="DJ121" i="7" s="1"/>
  <c r="DJ92" i="7"/>
  <c r="DJ118" i="7" s="1"/>
  <c r="DR72" i="7"/>
  <c r="DM29" i="7"/>
  <c r="DM68" i="7"/>
  <c r="DQ73" i="7"/>
  <c r="DQ96" i="7" s="1"/>
  <c r="DP96" i="7"/>
  <c r="DK91" i="7"/>
  <c r="DK106" i="7"/>
  <c r="DK101" i="7" s="1"/>
  <c r="DJ106" i="7"/>
  <c r="DJ101" i="7" s="1"/>
  <c r="DT314" i="6"/>
  <c r="DT315" i="6" s="1"/>
  <c r="DT32" i="6"/>
  <c r="DT24" i="6" s="1"/>
  <c r="DP24" i="6"/>
  <c r="DR242" i="6"/>
  <c r="DR256" i="6"/>
  <c r="DS256" i="6"/>
  <c r="DS242" i="6"/>
  <c r="O75" i="9"/>
  <c r="O10" i="9"/>
  <c r="M58" i="9"/>
  <c r="M92" i="9"/>
  <c r="CC181" i="7"/>
  <c r="CC216" i="7"/>
  <c r="CB184" i="7"/>
  <c r="CB189" i="7" s="1"/>
  <c r="CB190" i="7" s="1"/>
  <c r="CB211" i="7" s="1"/>
  <c r="CB207" i="7"/>
  <c r="CB204" i="7"/>
  <c r="CB206" i="7"/>
  <c r="O90" i="9"/>
  <c r="O56" i="9"/>
  <c r="CD58" i="7"/>
  <c r="CD136" i="7" s="1"/>
  <c r="CD180" i="7"/>
  <c r="P73" i="9"/>
  <c r="P8" i="9"/>
  <c r="CC137" i="7"/>
  <c r="CC138" i="7"/>
  <c r="CA184" i="7"/>
  <c r="CA189" i="7" s="1"/>
  <c r="CA190" i="7" s="1"/>
  <c r="CA211" i="7" s="1"/>
  <c r="CA204" i="7"/>
  <c r="CA207" i="7"/>
  <c r="CA206" i="7"/>
  <c r="CA205" i="7"/>
  <c r="CG57" i="7"/>
  <c r="CE56" i="7"/>
  <c r="DS61" i="3"/>
  <c r="DS302" i="3"/>
  <c r="DT58" i="3"/>
  <c r="DT90" i="6"/>
  <c r="DS310" i="6"/>
  <c r="DS309" i="6"/>
  <c r="DX141" i="3" l="1"/>
  <c r="DY141" i="3" s="1"/>
  <c r="DX142" i="3"/>
  <c r="DY142" i="3" s="1"/>
  <c r="DX148" i="3"/>
  <c r="DY148" i="3" s="1"/>
  <c r="DW30" i="3"/>
  <c r="DX63" i="8"/>
  <c r="DY158" i="3"/>
  <c r="DY63" i="8" s="1"/>
  <c r="DW171" i="3"/>
  <c r="DD64" i="3"/>
  <c r="DD65" i="3" s="1"/>
  <c r="DV47" i="2"/>
  <c r="DX50" i="2"/>
  <c r="DX204" i="3" s="1"/>
  <c r="DX58" i="3" s="1"/>
  <c r="DW58" i="3"/>
  <c r="DW302" i="3" s="1"/>
  <c r="DW46" i="2"/>
  <c r="DW51" i="2"/>
  <c r="DV61" i="3"/>
  <c r="DU192" i="3"/>
  <c r="DV162" i="3"/>
  <c r="DW26" i="3"/>
  <c r="DX19" i="3"/>
  <c r="DW256" i="6"/>
  <c r="DW301" i="6" s="1"/>
  <c r="DW242" i="6"/>
  <c r="DW245" i="6" s="1"/>
  <c r="DX14" i="3"/>
  <c r="DY11" i="3"/>
  <c r="DU145" i="3"/>
  <c r="DY290" i="3"/>
  <c r="DU24" i="6"/>
  <c r="DX315" i="6"/>
  <c r="DX77" i="6"/>
  <c r="DY77" i="6" s="1"/>
  <c r="DX78" i="6"/>
  <c r="DY78" i="6" s="1"/>
  <c r="DW308" i="6"/>
  <c r="DW89" i="6"/>
  <c r="DX311" i="6"/>
  <c r="DW312" i="6"/>
  <c r="DW88" i="6"/>
  <c r="DV309" i="6"/>
  <c r="DV310" i="6"/>
  <c r="DS245" i="6"/>
  <c r="DR301" i="6"/>
  <c r="DS301" i="6"/>
  <c r="DR245" i="6"/>
  <c r="DU65" i="8"/>
  <c r="BP132" i="3"/>
  <c r="DO57" i="8"/>
  <c r="DO58" i="8" s="1"/>
  <c r="DT429" i="8"/>
  <c r="DT431" i="8" s="1"/>
  <c r="DY429" i="8" s="1"/>
  <c r="DY431" i="8" s="1"/>
  <c r="DO62" i="8"/>
  <c r="DO64" i="8" s="1"/>
  <c r="DO66" i="8" s="1"/>
  <c r="CQ64" i="8"/>
  <c r="CQ66" i="8" s="1"/>
  <c r="CQ67" i="8"/>
  <c r="DJ59" i="8"/>
  <c r="CQ19" i="8"/>
  <c r="CQ21" i="8" s="1"/>
  <c r="CR433" i="8"/>
  <c r="CR19" i="8" s="1"/>
  <c r="CR62" i="8"/>
  <c r="CS429" i="8"/>
  <c r="CS431" i="8" s="1"/>
  <c r="CR57" i="8"/>
  <c r="CR58" i="8" s="1"/>
  <c r="CQ59" i="8"/>
  <c r="BR64" i="3"/>
  <c r="BR65" i="3" s="1"/>
  <c r="BR67" i="3" s="1"/>
  <c r="CN325" i="3"/>
  <c r="CI325" i="3"/>
  <c r="CZ342" i="6"/>
  <c r="CZ239" i="7"/>
  <c r="CZ230" i="7"/>
  <c r="DT65" i="8"/>
  <c r="DT192" i="3"/>
  <c r="DN325" i="6"/>
  <c r="DO324" i="6"/>
  <c r="DO325" i="6" s="1"/>
  <c r="DP324" i="6"/>
  <c r="DQ330" i="6"/>
  <c r="DL92" i="7"/>
  <c r="DL14" i="7" s="1"/>
  <c r="CP211" i="3"/>
  <c r="CP64" i="2"/>
  <c r="CP36" i="2"/>
  <c r="CU64" i="2"/>
  <c r="CP303" i="3"/>
  <c r="CP306" i="3"/>
  <c r="CP309" i="3"/>
  <c r="CO325" i="3"/>
  <c r="CQ325" i="3"/>
  <c r="T59" i="5"/>
  <c r="T61" i="5" s="1"/>
  <c r="CP312" i="3"/>
  <c r="CK312" i="3"/>
  <c r="CK63" i="3"/>
  <c r="J59" i="5"/>
  <c r="J61" i="5" s="1"/>
  <c r="CH325" i="3"/>
  <c r="AC34" i="9"/>
  <c r="AC134" i="9" s="1"/>
  <c r="AH34" i="9"/>
  <c r="AH134" i="9" s="1"/>
  <c r="CU36" i="2"/>
  <c r="CK64" i="3"/>
  <c r="CF67" i="3"/>
  <c r="DO98" i="7"/>
  <c r="DN98" i="7"/>
  <c r="DO146" i="7" s="1"/>
  <c r="DO10" i="7" s="1"/>
  <c r="DJ150" i="7"/>
  <c r="DJ12" i="7" s="1"/>
  <c r="DM69" i="7"/>
  <c r="DM90" i="7"/>
  <c r="DJ102" i="7"/>
  <c r="DJ103" i="7" s="1"/>
  <c r="DJ112" i="7"/>
  <c r="DN29" i="7"/>
  <c r="DS72" i="7"/>
  <c r="DN68" i="7"/>
  <c r="DN69" i="7" s="1"/>
  <c r="DN91" i="7" s="1"/>
  <c r="DL101" i="7"/>
  <c r="DL103" i="7" s="1"/>
  <c r="DL108" i="7"/>
  <c r="AR181" i="7"/>
  <c r="AR216" i="7"/>
  <c r="DJ20" i="7"/>
  <c r="DQ74" i="7"/>
  <c r="DN65" i="7"/>
  <c r="DN82" i="7"/>
  <c r="DN63" i="7"/>
  <c r="DN64" i="7" s="1"/>
  <c r="DO64" i="7" s="1"/>
  <c r="DO62" i="7"/>
  <c r="DQ179" i="7"/>
  <c r="DR45" i="7"/>
  <c r="DR54" i="7" s="1"/>
  <c r="DQ80" i="7"/>
  <c r="DQ79" i="7" s="1"/>
  <c r="BZ129" i="3"/>
  <c r="BZ130" i="3" s="1"/>
  <c r="BY130" i="3"/>
  <c r="DJ111" i="7"/>
  <c r="DJ108" i="7"/>
  <c r="DR73" i="7"/>
  <c r="AT192" i="7"/>
  <c r="AU45" i="7"/>
  <c r="AU54" i="7" s="1"/>
  <c r="AT57" i="7"/>
  <c r="AV26" i="9"/>
  <c r="DJ17" i="7"/>
  <c r="DJ158" i="7" s="1"/>
  <c r="DJ159" i="7" s="1"/>
  <c r="DJ210" i="7"/>
  <c r="DJ167" i="7"/>
  <c r="DJ93" i="7"/>
  <c r="DJ153" i="7"/>
  <c r="DJ141" i="7" s="1"/>
  <c r="DP183" i="7"/>
  <c r="DP188" i="7" s="1"/>
  <c r="DP215" i="7"/>
  <c r="DK92" i="7"/>
  <c r="DK14" i="7" s="1"/>
  <c r="DK71" i="7" s="1"/>
  <c r="DK107" i="7"/>
  <c r="DK102" i="7" s="1"/>
  <c r="DK103" i="7" s="1"/>
  <c r="DP98" i="7"/>
  <c r="DP67" i="7"/>
  <c r="DU72" i="7" s="1"/>
  <c r="DP62" i="7"/>
  <c r="DP256" i="6"/>
  <c r="DP242" i="6"/>
  <c r="DT256" i="6"/>
  <c r="DT242" i="6"/>
  <c r="P56" i="9"/>
  <c r="P90" i="9"/>
  <c r="P75" i="9"/>
  <c r="P10" i="9"/>
  <c r="CD216" i="7"/>
  <c r="CD181" i="7"/>
  <c r="CH57" i="7"/>
  <c r="CG56" i="7"/>
  <c r="CE58" i="7"/>
  <c r="CE136" i="7" s="1"/>
  <c r="CF56" i="7"/>
  <c r="CE180" i="7"/>
  <c r="Q8" i="9"/>
  <c r="Q73" i="9"/>
  <c r="CD138" i="7"/>
  <c r="CD137" i="7"/>
  <c r="CC204" i="7"/>
  <c r="CC206" i="7"/>
  <c r="CC184" i="7"/>
  <c r="CC189" i="7" s="1"/>
  <c r="CC190" i="7" s="1"/>
  <c r="CC211" i="7" s="1"/>
  <c r="CC207" i="7"/>
  <c r="O58" i="9"/>
  <c r="O92" i="9"/>
  <c r="DT302" i="3"/>
  <c r="DT61" i="3"/>
  <c r="DT96" i="6"/>
  <c r="DT93" i="6"/>
  <c r="DT91" i="6"/>
  <c r="BG176" i="9" s="1"/>
  <c r="DT311" i="6"/>
  <c r="DL167" i="7" l="1"/>
  <c r="DL71" i="7"/>
  <c r="DX171" i="3"/>
  <c r="DY171" i="3" s="1"/>
  <c r="DX24" i="3"/>
  <c r="DY24" i="3" s="1"/>
  <c r="DX21" i="3"/>
  <c r="DY21" i="3" s="1"/>
  <c r="DX20" i="3"/>
  <c r="DY20" i="3" s="1"/>
  <c r="DX30" i="3"/>
  <c r="DY30" i="3" s="1"/>
  <c r="DE65" i="3"/>
  <c r="DY19" i="3"/>
  <c r="DW47" i="2"/>
  <c r="DX51" i="2"/>
  <c r="DY50" i="2"/>
  <c r="DY49" i="2" s="1"/>
  <c r="DX205" i="3"/>
  <c r="DY58" i="3"/>
  <c r="DY61" i="3" s="1"/>
  <c r="DY204" i="3"/>
  <c r="DY205" i="3" s="1"/>
  <c r="DX46" i="2"/>
  <c r="DY46" i="2" s="1"/>
  <c r="DW61" i="3"/>
  <c r="DW162" i="3"/>
  <c r="DV192" i="3"/>
  <c r="DY57" i="8"/>
  <c r="DY58" i="8" s="1"/>
  <c r="DY62" i="8"/>
  <c r="DY64" i="8" s="1"/>
  <c r="DU73" i="7"/>
  <c r="DU74" i="7" s="1"/>
  <c r="DY12" i="3"/>
  <c r="DY14" i="3"/>
  <c r="DU242" i="6"/>
  <c r="DU245" i="6" s="1"/>
  <c r="DU256" i="6"/>
  <c r="DU301" i="6" s="1"/>
  <c r="DX298" i="3"/>
  <c r="DX16" i="2"/>
  <c r="DV145" i="3"/>
  <c r="DV290" i="3"/>
  <c r="DW309" i="6"/>
  <c r="DW310" i="6"/>
  <c r="DX88" i="6"/>
  <c r="DY88" i="6" s="1"/>
  <c r="DX89" i="6"/>
  <c r="DY89" i="6" s="1"/>
  <c r="DX308" i="6"/>
  <c r="DX312" i="6"/>
  <c r="DY79" i="6"/>
  <c r="DX302" i="3"/>
  <c r="DX61" i="3"/>
  <c r="DP245" i="6"/>
  <c r="DT245" i="6"/>
  <c r="DT301" i="6"/>
  <c r="DP301" i="6"/>
  <c r="DV65" i="8"/>
  <c r="BR132" i="3"/>
  <c r="DL93" i="7"/>
  <c r="DL153" i="7" s="1"/>
  <c r="DL141" i="7" s="1"/>
  <c r="DO59" i="8"/>
  <c r="CR20" i="2"/>
  <c r="CR59" i="8"/>
  <c r="CS62" i="8"/>
  <c r="CS433" i="8"/>
  <c r="CS19" i="8" s="1"/>
  <c r="CS20" i="2" s="1"/>
  <c r="CS20" i="8" s="1"/>
  <c r="CS21" i="8" s="1"/>
  <c r="CS57" i="8"/>
  <c r="CS58" i="8" s="1"/>
  <c r="CT429" i="8"/>
  <c r="CT431" i="8" s="1"/>
  <c r="DT57" i="8"/>
  <c r="DT58" i="8" s="1"/>
  <c r="DT62" i="8"/>
  <c r="DT64" i="8" s="1"/>
  <c r="DT66" i="8" s="1"/>
  <c r="CR64" i="8"/>
  <c r="CR66" i="8" s="1"/>
  <c r="CR67" i="8"/>
  <c r="BS64" i="3"/>
  <c r="BS65" i="3" s="1"/>
  <c r="BS67" i="3" s="1"/>
  <c r="DL17" i="7"/>
  <c r="DL158" i="7" s="1"/>
  <c r="DL159" i="7" s="1"/>
  <c r="DL150" i="7" s="1"/>
  <c r="DL12" i="7" s="1"/>
  <c r="DL210" i="7"/>
  <c r="CZ339" i="6"/>
  <c r="CZ227" i="7"/>
  <c r="DR330" i="6"/>
  <c r="DQ324" i="6"/>
  <c r="DQ325" i="6" s="1"/>
  <c r="DN75" i="7"/>
  <c r="DN146" i="7"/>
  <c r="DN148" i="7" s="1"/>
  <c r="DO75" i="7"/>
  <c r="CK65" i="3"/>
  <c r="CP310" i="3"/>
  <c r="CU307" i="3"/>
  <c r="CP307" i="3"/>
  <c r="DP63" i="7"/>
  <c r="DP82" i="7"/>
  <c r="DP65" i="7"/>
  <c r="DO63" i="7"/>
  <c r="DK210" i="7"/>
  <c r="DK167" i="7"/>
  <c r="DK17" i="7"/>
  <c r="DK158" i="7" s="1"/>
  <c r="DK159" i="7" s="1"/>
  <c r="DK150" i="7" s="1"/>
  <c r="DK12" i="7" s="1"/>
  <c r="BI27" i="5" s="1"/>
  <c r="DK93" i="7"/>
  <c r="DJ18" i="7"/>
  <c r="DJ197" i="7"/>
  <c r="AW26" i="9"/>
  <c r="DJ169" i="7"/>
  <c r="DJ155" i="7"/>
  <c r="DJ28" i="7"/>
  <c r="DR80" i="7"/>
  <c r="DR79" i="7" s="1"/>
  <c r="DS45" i="7"/>
  <c r="DS54" i="7" s="1"/>
  <c r="DU45" i="7" s="1"/>
  <c r="DU54" i="7" s="1"/>
  <c r="DR179" i="7"/>
  <c r="AR204" i="7"/>
  <c r="AR206" i="7"/>
  <c r="AR184" i="7"/>
  <c r="AR189" i="7" s="1"/>
  <c r="AR190" i="7" s="1"/>
  <c r="AR211" i="7" s="1"/>
  <c r="AR205" i="7"/>
  <c r="AR207" i="7"/>
  <c r="DN90" i="7"/>
  <c r="DO90" i="7" s="1"/>
  <c r="DO68" i="7"/>
  <c r="DP68" i="7"/>
  <c r="DP69" i="7" s="1"/>
  <c r="DP29" i="7"/>
  <c r="DJ8" i="2"/>
  <c r="AV45" i="7"/>
  <c r="AV54" i="7" s="1"/>
  <c r="AU57" i="7"/>
  <c r="AU192" i="7"/>
  <c r="DR74" i="7"/>
  <c r="DR97" i="7" s="1"/>
  <c r="DR96" i="7"/>
  <c r="DQ183" i="7"/>
  <c r="DQ188" i="7" s="1"/>
  <c r="DQ215" i="7"/>
  <c r="DK108" i="7"/>
  <c r="DL21" i="7"/>
  <c r="DL161" i="7"/>
  <c r="DL162" i="7" s="1"/>
  <c r="DL171" i="7"/>
  <c r="DL113" i="7"/>
  <c r="DT72" i="7"/>
  <c r="DT77" i="7" s="1"/>
  <c r="DS73" i="7"/>
  <c r="DS96" i="7" s="1"/>
  <c r="DM106" i="7"/>
  <c r="BB81" i="5"/>
  <c r="AX81" i="5"/>
  <c r="AV81" i="5"/>
  <c r="CB129" i="3"/>
  <c r="DO79" i="7"/>
  <c r="DO83" i="7" s="1"/>
  <c r="DO82" i="7"/>
  <c r="DO65" i="7"/>
  <c r="DQ97" i="7"/>
  <c r="DQ98" i="7" s="1"/>
  <c r="DJ21" i="7"/>
  <c r="DM91" i="7"/>
  <c r="DM92" i="7" s="1"/>
  <c r="DM14" i="7" s="1"/>
  <c r="DM71" i="7" s="1"/>
  <c r="DO69" i="7"/>
  <c r="DJ171" i="7"/>
  <c r="DJ162" i="7"/>
  <c r="DJ113" i="7"/>
  <c r="DJ161" i="7"/>
  <c r="DJ109" i="7"/>
  <c r="DQ62" i="7"/>
  <c r="DQ67" i="7"/>
  <c r="DV72" i="7" s="1"/>
  <c r="DN107" i="7"/>
  <c r="DN102" i="7" s="1"/>
  <c r="CG58" i="7"/>
  <c r="CG136" i="7"/>
  <c r="CG180" i="7"/>
  <c r="CE181" i="7"/>
  <c r="CE216" i="7"/>
  <c r="CI57" i="7"/>
  <c r="CH56" i="7"/>
  <c r="P92" i="9"/>
  <c r="P58" i="9"/>
  <c r="Q10" i="9"/>
  <c r="Q75" i="9"/>
  <c r="CF180" i="7"/>
  <c r="CF136" i="7"/>
  <c r="CF58" i="7"/>
  <c r="CF57" i="7"/>
  <c r="CD184" i="7"/>
  <c r="CD189" i="7" s="1"/>
  <c r="CD190" i="7" s="1"/>
  <c r="CD211" i="7" s="1"/>
  <c r="CD207" i="7"/>
  <c r="CD206" i="7"/>
  <c r="CD204" i="7"/>
  <c r="Q56" i="9"/>
  <c r="Q90" i="9"/>
  <c r="CE138" i="7"/>
  <c r="R75" i="9" s="1"/>
  <c r="CE137" i="7"/>
  <c r="R73" i="9"/>
  <c r="DT101" i="6"/>
  <c r="DT82" i="6"/>
  <c r="DT308" i="6"/>
  <c r="DT309" i="6" s="1"/>
  <c r="DT312" i="6"/>
  <c r="DT258" i="6"/>
  <c r="DT94" i="6"/>
  <c r="DP75" i="7" l="1"/>
  <c r="DK94" i="7"/>
  <c r="DY26" i="3"/>
  <c r="DX26" i="3"/>
  <c r="DJ64" i="3"/>
  <c r="DF64" i="3"/>
  <c r="DF65" i="3" s="1"/>
  <c r="DU80" i="7"/>
  <c r="DU79" i="7" s="1"/>
  <c r="DU179" i="7"/>
  <c r="DV45" i="7"/>
  <c r="DV54" i="7" s="1"/>
  <c r="DX47" i="2"/>
  <c r="DY51" i="2"/>
  <c r="DY302" i="3"/>
  <c r="DL155" i="7"/>
  <c r="DL169" i="7"/>
  <c r="DL8" i="2"/>
  <c r="DY59" i="8"/>
  <c r="DX162" i="3"/>
  <c r="DW192" i="3"/>
  <c r="DQ146" i="7"/>
  <c r="DQ148" i="7" s="1"/>
  <c r="DL118" i="7"/>
  <c r="DU96" i="7"/>
  <c r="DV73" i="7"/>
  <c r="DV96" i="7" s="1"/>
  <c r="DU97" i="7"/>
  <c r="DX132" i="2"/>
  <c r="DY16" i="2"/>
  <c r="DW145" i="3"/>
  <c r="DW290" i="3"/>
  <c r="DY298" i="3"/>
  <c r="DY317" i="3"/>
  <c r="DY314" i="6"/>
  <c r="DY315" i="6" s="1"/>
  <c r="DY80" i="6"/>
  <c r="BL177" i="9" s="1"/>
  <c r="DY90" i="6"/>
  <c r="DX309" i="6"/>
  <c r="DX310" i="6"/>
  <c r="DW65" i="8"/>
  <c r="DL20" i="7"/>
  <c r="DL28" i="7"/>
  <c r="DL197" i="7"/>
  <c r="DL18" i="7"/>
  <c r="AY26" i="9"/>
  <c r="BT64" i="3"/>
  <c r="BT65" i="3" s="1"/>
  <c r="BU64" i="3" s="1"/>
  <c r="BU65" i="3" s="1"/>
  <c r="BS132" i="3"/>
  <c r="CS59" i="8"/>
  <c r="DT59" i="8"/>
  <c r="CS64" i="8"/>
  <c r="CS66" i="8" s="1"/>
  <c r="CS67" i="8"/>
  <c r="CR20" i="8"/>
  <c r="CT57" i="8"/>
  <c r="CT58" i="8" s="1"/>
  <c r="CT62" i="8"/>
  <c r="CT433" i="8"/>
  <c r="CT19" i="8" s="1"/>
  <c r="CT20" i="2" s="1"/>
  <c r="CT20" i="8" s="1"/>
  <c r="CT21" i="8" s="1"/>
  <c r="CV429" i="8"/>
  <c r="CV431" i="8" s="1"/>
  <c r="DS330" i="6"/>
  <c r="DR324" i="6"/>
  <c r="DN10" i="7"/>
  <c r="DP146" i="7"/>
  <c r="DP10" i="7" s="1"/>
  <c r="DT73" i="7"/>
  <c r="CK67" i="3"/>
  <c r="CP64" i="3"/>
  <c r="CP65" i="3" s="1"/>
  <c r="CP67" i="3" s="1"/>
  <c r="DT85" i="7"/>
  <c r="DT87" i="7" s="1"/>
  <c r="DO116" i="7"/>
  <c r="DO121" i="7" s="1"/>
  <c r="DM107" i="7"/>
  <c r="DM108" i="7" s="1"/>
  <c r="DO91" i="7"/>
  <c r="DO117" i="7" s="1"/>
  <c r="DO122" i="7" s="1"/>
  <c r="CC129" i="3"/>
  <c r="CB130" i="3"/>
  <c r="DK21" i="7"/>
  <c r="DK20" i="7" s="1"/>
  <c r="DK161" i="7"/>
  <c r="DK162" i="7" s="1"/>
  <c r="DK113" i="7"/>
  <c r="DK171" i="7"/>
  <c r="DP90" i="7"/>
  <c r="DR215" i="7"/>
  <c r="DR183" i="7"/>
  <c r="DR188" i="7" s="1"/>
  <c r="BB80" i="5"/>
  <c r="AV80" i="5"/>
  <c r="AX80" i="5"/>
  <c r="DK28" i="7"/>
  <c r="AX26" i="9"/>
  <c r="DK155" i="7"/>
  <c r="DK18" i="7"/>
  <c r="BI26" i="5" s="1"/>
  <c r="DK197" i="7"/>
  <c r="DK169" i="7"/>
  <c r="DK8" i="2"/>
  <c r="DM167" i="7"/>
  <c r="DM210" i="7"/>
  <c r="DM93" i="7"/>
  <c r="DM17" i="7"/>
  <c r="DS74" i="7"/>
  <c r="DR98" i="7"/>
  <c r="DT96" i="7"/>
  <c r="AX45" i="7"/>
  <c r="AX54" i="7" s="1"/>
  <c r="AV57" i="7"/>
  <c r="AV192" i="7"/>
  <c r="AW192" i="7" s="1"/>
  <c r="DS179" i="7"/>
  <c r="DS80" i="7"/>
  <c r="DS79" i="7" s="1"/>
  <c r="DQ29" i="7"/>
  <c r="DQ68" i="7"/>
  <c r="DQ90" i="7" s="1"/>
  <c r="DJ170" i="7"/>
  <c r="DJ198" i="7"/>
  <c r="DJ22" i="7"/>
  <c r="DM101" i="7"/>
  <c r="DP91" i="7"/>
  <c r="DN106" i="7"/>
  <c r="DO106" i="7" s="1"/>
  <c r="DN92" i="7"/>
  <c r="DN14" i="7" s="1"/>
  <c r="DR62" i="7"/>
  <c r="DR67" i="7"/>
  <c r="DW72" i="7" s="1"/>
  <c r="DP64" i="7"/>
  <c r="DQ65" i="7"/>
  <c r="DQ63" i="7"/>
  <c r="DQ64" i="7" s="1"/>
  <c r="DQ82" i="7"/>
  <c r="AV27" i="9"/>
  <c r="AV28" i="9" s="1"/>
  <c r="DQ75" i="7"/>
  <c r="DL198" i="7"/>
  <c r="DL170" i="7"/>
  <c r="DL22" i="7"/>
  <c r="AY27" i="9" s="1"/>
  <c r="AY28" i="9" s="1"/>
  <c r="DK118" i="7"/>
  <c r="DK153" i="7"/>
  <c r="DK141" i="7" s="1"/>
  <c r="CF181" i="7"/>
  <c r="CF216" i="7"/>
  <c r="CE206" i="7"/>
  <c r="CE184" i="7"/>
  <c r="CE189" i="7" s="1"/>
  <c r="CE190" i="7" s="1"/>
  <c r="CE211" i="7" s="1"/>
  <c r="CE204" i="7"/>
  <c r="CE207" i="7"/>
  <c r="Q58" i="9"/>
  <c r="Q92" i="9"/>
  <c r="CH180" i="7"/>
  <c r="CH58" i="7"/>
  <c r="CH136" i="7"/>
  <c r="CG216" i="7"/>
  <c r="CG181" i="7"/>
  <c r="R58" i="9"/>
  <c r="R92" i="9"/>
  <c r="R10" i="9" s="1"/>
  <c r="CJ57" i="7"/>
  <c r="CI56" i="7"/>
  <c r="CG138" i="7"/>
  <c r="CG137" i="7"/>
  <c r="T8" i="9"/>
  <c r="T73" i="9"/>
  <c r="R56" i="9"/>
  <c r="R90" i="9"/>
  <c r="R8" i="9" s="1"/>
  <c r="S8" i="9"/>
  <c r="CF138" i="7"/>
  <c r="S10" i="9" s="1"/>
  <c r="CF137" i="7"/>
  <c r="DO14" i="7" l="1"/>
  <c r="DO153" i="7" s="1"/>
  <c r="DO141" i="7" s="1"/>
  <c r="DN71" i="7"/>
  <c r="DG64" i="3"/>
  <c r="DG65" i="3" s="1"/>
  <c r="DF67" i="3"/>
  <c r="DQ10" i="7"/>
  <c r="DV80" i="7"/>
  <c r="DV79" i="7" s="1"/>
  <c r="DW45" i="7"/>
  <c r="DW54" i="7" s="1"/>
  <c r="DV179" i="7"/>
  <c r="DU183" i="7"/>
  <c r="DU188" i="7" s="1"/>
  <c r="DU215" i="7"/>
  <c r="DU67" i="7"/>
  <c r="DU62" i="7"/>
  <c r="DY47" i="2"/>
  <c r="DS324" i="6"/>
  <c r="DS325" i="6" s="1"/>
  <c r="DU330" i="6"/>
  <c r="DY162" i="3"/>
  <c r="DY192" i="3" s="1"/>
  <c r="DX192" i="3"/>
  <c r="DW73" i="7"/>
  <c r="DW96" i="7" s="1"/>
  <c r="DU98" i="7"/>
  <c r="DV74" i="7"/>
  <c r="DX145" i="3"/>
  <c r="DY145" i="3" s="1"/>
  <c r="DX290" i="3"/>
  <c r="DX130" i="2"/>
  <c r="DX32" i="6" s="1"/>
  <c r="DY132" i="2"/>
  <c r="DY311" i="6"/>
  <c r="DY91" i="6"/>
  <c r="BL176" i="9" s="1"/>
  <c r="DY96" i="6"/>
  <c r="DY93" i="6"/>
  <c r="DX65" i="8"/>
  <c r="BT132" i="3"/>
  <c r="BT67" i="3"/>
  <c r="CT59" i="8"/>
  <c r="CV433" i="8"/>
  <c r="CV57" i="8"/>
  <c r="CV58" i="8" s="1"/>
  <c r="CV62" i="8"/>
  <c r="CW429" i="8"/>
  <c r="CW431" i="8" s="1"/>
  <c r="CU20" i="2"/>
  <c r="CU433" i="8"/>
  <c r="CU19" i="8" s="1"/>
  <c r="CU20" i="8"/>
  <c r="CR21" i="8"/>
  <c r="CT64" i="8"/>
  <c r="CT66" i="8" s="1"/>
  <c r="CT67" i="8"/>
  <c r="DP148" i="7"/>
  <c r="DR325" i="6"/>
  <c r="DT86" i="7"/>
  <c r="DO92" i="7"/>
  <c r="DO118" i="7" s="1"/>
  <c r="DQ69" i="7"/>
  <c r="DQ91" i="7" s="1"/>
  <c r="DQ107" i="7" s="1"/>
  <c r="DQ102" i="7" s="1"/>
  <c r="DO93" i="7"/>
  <c r="DR63" i="7"/>
  <c r="DR82" i="7"/>
  <c r="DR65" i="7"/>
  <c r="DP92" i="7"/>
  <c r="DP14" i="7" s="1"/>
  <c r="DP107" i="7"/>
  <c r="DP102" i="7" s="1"/>
  <c r="DM21" i="7"/>
  <c r="DM20" i="7" s="1"/>
  <c r="DM161" i="7"/>
  <c r="DM162" i="7" s="1"/>
  <c r="DM113" i="7"/>
  <c r="DM171" i="7"/>
  <c r="DS97" i="7"/>
  <c r="DT74" i="7"/>
  <c r="DN167" i="7"/>
  <c r="DN210" i="7"/>
  <c r="DN93" i="7"/>
  <c r="DN17" i="7"/>
  <c r="DN158" i="7" s="1"/>
  <c r="DN159" i="7" s="1"/>
  <c r="DN150" i="7" s="1"/>
  <c r="DN12" i="7" s="1"/>
  <c r="DS62" i="7"/>
  <c r="DS67" i="7"/>
  <c r="AX57" i="7"/>
  <c r="AX192" i="7"/>
  <c r="AY45" i="7"/>
  <c r="AY54" i="7" s="1"/>
  <c r="DM169" i="7"/>
  <c r="DM18" i="7"/>
  <c r="DM197" i="7"/>
  <c r="DM155" i="7"/>
  <c r="DM8" i="2"/>
  <c r="DM28" i="7"/>
  <c r="AZ26" i="9"/>
  <c r="DM158" i="7"/>
  <c r="DM159" i="7" s="1"/>
  <c r="DM150" i="7" s="1"/>
  <c r="BW64" i="3"/>
  <c r="BW65" i="3" s="1"/>
  <c r="BU67" i="3"/>
  <c r="BU132" i="3"/>
  <c r="DM102" i="7"/>
  <c r="DM103" i="7" s="1"/>
  <c r="DO107" i="7"/>
  <c r="DO108" i="7" s="1"/>
  <c r="DN101" i="7"/>
  <c r="DN103" i="7" s="1"/>
  <c r="DN108" i="7"/>
  <c r="AV84" i="5"/>
  <c r="AW28" i="9"/>
  <c r="DJ23" i="7"/>
  <c r="BB84" i="5"/>
  <c r="AW27" i="9"/>
  <c r="AX84" i="5"/>
  <c r="DQ106" i="7"/>
  <c r="DQ101" i="7" s="1"/>
  <c r="DS183" i="7"/>
  <c r="DS188" i="7" s="1"/>
  <c r="DS215" i="7"/>
  <c r="DM153" i="7"/>
  <c r="DM141" i="7" s="1"/>
  <c r="DM118" i="7"/>
  <c r="DP106" i="7"/>
  <c r="DK170" i="7"/>
  <c r="DK22" i="7"/>
  <c r="AX27" i="9" s="1"/>
  <c r="AX28" i="9" s="1"/>
  <c r="DK198" i="7"/>
  <c r="DR68" i="7"/>
  <c r="DR90" i="7" s="1"/>
  <c r="DR29" i="7"/>
  <c r="DO111" i="7"/>
  <c r="AW194" i="7"/>
  <c r="AW215" i="7"/>
  <c r="AW259" i="3"/>
  <c r="AW260" i="3" s="1"/>
  <c r="DR146" i="7"/>
  <c r="DR75" i="7"/>
  <c r="CC130" i="3"/>
  <c r="CD129" i="3"/>
  <c r="DO101" i="7"/>
  <c r="T10" i="9"/>
  <c r="T75" i="9"/>
  <c r="U73" i="9"/>
  <c r="CH137" i="7"/>
  <c r="CH138" i="7"/>
  <c r="U8" i="9"/>
  <c r="T56" i="9"/>
  <c r="T90" i="9"/>
  <c r="CI136" i="7"/>
  <c r="CI180" i="7"/>
  <c r="CI58" i="7"/>
  <c r="CJ56" i="7"/>
  <c r="CK57" i="7"/>
  <c r="CL57" i="7" s="1"/>
  <c r="CG206" i="7"/>
  <c r="CG184" i="7"/>
  <c r="CG189" i="7" s="1"/>
  <c r="CG190" i="7" s="1"/>
  <c r="CG211" i="7" s="1"/>
  <c r="CG204" i="7"/>
  <c r="CG207" i="7"/>
  <c r="CH216" i="7"/>
  <c r="CH181" i="7"/>
  <c r="CF184" i="7"/>
  <c r="CF189" i="7" s="1"/>
  <c r="CF190" i="7" s="1"/>
  <c r="CF211" i="7" s="1"/>
  <c r="CF204" i="7"/>
  <c r="CF207" i="7"/>
  <c r="CF206" i="7"/>
  <c r="CF205" i="7"/>
  <c r="DO210" i="7" l="1"/>
  <c r="DO167" i="7"/>
  <c r="DG67" i="3"/>
  <c r="DH64" i="3"/>
  <c r="DH65" i="3" s="1"/>
  <c r="DI64" i="3" s="1"/>
  <c r="DI65" i="3" s="1"/>
  <c r="DT324" i="6"/>
  <c r="DT325" i="6" s="1"/>
  <c r="DU82" i="7"/>
  <c r="DU65" i="7"/>
  <c r="DU63" i="7"/>
  <c r="DU64" i="7" s="1"/>
  <c r="DV183" i="7"/>
  <c r="DV188" i="7" s="1"/>
  <c r="DV215" i="7"/>
  <c r="DU68" i="7"/>
  <c r="DU29" i="7"/>
  <c r="DW179" i="7"/>
  <c r="DW80" i="7"/>
  <c r="DW79" i="7" s="1"/>
  <c r="DX45" i="7"/>
  <c r="DX54" i="7" s="1"/>
  <c r="DV62" i="7"/>
  <c r="DV67" i="7"/>
  <c r="DV330" i="6"/>
  <c r="DU324" i="6"/>
  <c r="DW74" i="7"/>
  <c r="DW97" i="7" s="1"/>
  <c r="DW98" i="7" s="1"/>
  <c r="DV97" i="7"/>
  <c r="DT67" i="7"/>
  <c r="DT29" i="7" s="1"/>
  <c r="DX72" i="7"/>
  <c r="DY136" i="2"/>
  <c r="DY135" i="2"/>
  <c r="DX24" i="6"/>
  <c r="DJ130" i="2"/>
  <c r="DJ136" i="2" s="1"/>
  <c r="DY32" i="6"/>
  <c r="DY24" i="6" s="1"/>
  <c r="DY94" i="6"/>
  <c r="DY258" i="6"/>
  <c r="DY101" i="6"/>
  <c r="DY82" i="6"/>
  <c r="DY312" i="6"/>
  <c r="DY308" i="6"/>
  <c r="DY309" i="6" s="1"/>
  <c r="DY65" i="8"/>
  <c r="DY66" i="8" s="1"/>
  <c r="CU21" i="8"/>
  <c r="CX429" i="8"/>
  <c r="CX431" i="8" s="1"/>
  <c r="CW62" i="8"/>
  <c r="CW433" i="8"/>
  <c r="CW19" i="8" s="1"/>
  <c r="CW57" i="8"/>
  <c r="CW58" i="8" s="1"/>
  <c r="CV64" i="8"/>
  <c r="CV66" i="8" s="1"/>
  <c r="CV67" i="8"/>
  <c r="CV59" i="8"/>
  <c r="CV19" i="8"/>
  <c r="CV20" i="2" s="1"/>
  <c r="DO17" i="7"/>
  <c r="DO155" i="7" s="1"/>
  <c r="DQ103" i="7"/>
  <c r="DR69" i="7"/>
  <c r="DR91" i="7" s="1"/>
  <c r="DR92" i="7" s="1"/>
  <c r="DR14" i="7" s="1"/>
  <c r="DQ92" i="7"/>
  <c r="DQ14" i="7" s="1"/>
  <c r="DQ17" i="7" s="1"/>
  <c r="DQ108" i="7"/>
  <c r="DQ171" i="7" s="1"/>
  <c r="DN161" i="7"/>
  <c r="DN162" i="7" s="1"/>
  <c r="DN21" i="7"/>
  <c r="DN20" i="7" s="1"/>
  <c r="DO20" i="7" s="1"/>
  <c r="DN171" i="7"/>
  <c r="DN113" i="7"/>
  <c r="CE129" i="3"/>
  <c r="CE130" i="3" s="1"/>
  <c r="CD130" i="3"/>
  <c r="AW216" i="7"/>
  <c r="AW181" i="7"/>
  <c r="AY192" i="7"/>
  <c r="AZ45" i="7"/>
  <c r="AZ54" i="7" s="1"/>
  <c r="AY57" i="7"/>
  <c r="DT62" i="7"/>
  <c r="DS82" i="7"/>
  <c r="DS65" i="7"/>
  <c r="DS63" i="7"/>
  <c r="DS64" i="7" s="1"/>
  <c r="DN153" i="7"/>
  <c r="DN141" i="7" s="1"/>
  <c r="DN118" i="7"/>
  <c r="DR148" i="7"/>
  <c r="DR10" i="7"/>
  <c r="DO171" i="7"/>
  <c r="DO161" i="7"/>
  <c r="DO162" i="7"/>
  <c r="DO113" i="7"/>
  <c r="DR106" i="7"/>
  <c r="DO102" i="7"/>
  <c r="DO103" i="7" s="1"/>
  <c r="DO112" i="7"/>
  <c r="BX64" i="3"/>
  <c r="BX65" i="3" s="1"/>
  <c r="BW67" i="3"/>
  <c r="BW132" i="3"/>
  <c r="DR64" i="7"/>
  <c r="DM12" i="7"/>
  <c r="DO150" i="7"/>
  <c r="DO12" i="7" s="1"/>
  <c r="DS98" i="7"/>
  <c r="DT97" i="7"/>
  <c r="DT98" i="7" s="1"/>
  <c r="DT75" i="7" s="1"/>
  <c r="DM198" i="7"/>
  <c r="DM22" i="7"/>
  <c r="AZ27" i="9" s="1"/>
  <c r="AZ28" i="9" s="1"/>
  <c r="DM170" i="7"/>
  <c r="DP210" i="7"/>
  <c r="DP93" i="7"/>
  <c r="DU75" i="7" s="1"/>
  <c r="DP167" i="7"/>
  <c r="DP17" i="7"/>
  <c r="DP101" i="7"/>
  <c r="DP103" i="7" s="1"/>
  <c r="DP108" i="7"/>
  <c r="DS68" i="7"/>
  <c r="DS90" i="7" s="1"/>
  <c r="DT90" i="7" s="1"/>
  <c r="DS29" i="7"/>
  <c r="DN197" i="7"/>
  <c r="DN155" i="7"/>
  <c r="DN8" i="2"/>
  <c r="DN169" i="7"/>
  <c r="DN18" i="7"/>
  <c r="DN28" i="7"/>
  <c r="BA26" i="9"/>
  <c r="U56" i="9"/>
  <c r="U90" i="9"/>
  <c r="CI216" i="7"/>
  <c r="CI181" i="7"/>
  <c r="T58" i="9"/>
  <c r="T92" i="9"/>
  <c r="CJ180" i="7"/>
  <c r="CK56" i="7"/>
  <c r="CJ58" i="7"/>
  <c r="CJ136" i="7" s="1"/>
  <c r="CH206" i="7"/>
  <c r="CH184" i="7"/>
  <c r="CH189" i="7" s="1"/>
  <c r="CH190" i="7" s="1"/>
  <c r="CH211" i="7" s="1"/>
  <c r="CH207" i="7"/>
  <c r="CH204" i="7"/>
  <c r="CL56" i="7"/>
  <c r="CM57" i="7"/>
  <c r="V8" i="9"/>
  <c r="V73" i="9"/>
  <c r="CI138" i="7"/>
  <c r="CI137" i="7"/>
  <c r="U75" i="9"/>
  <c r="U10" i="9"/>
  <c r="DQ93" i="7" l="1"/>
  <c r="DQ118" i="7" s="1"/>
  <c r="BI81" i="5"/>
  <c r="DV68" i="7"/>
  <c r="DV29" i="7"/>
  <c r="DW183" i="7"/>
  <c r="DW188" i="7" s="1"/>
  <c r="DW215" i="7"/>
  <c r="BB26" i="9"/>
  <c r="DV82" i="7"/>
  <c r="DV65" i="7"/>
  <c r="DV63" i="7"/>
  <c r="DV64" i="7" s="1"/>
  <c r="DX179" i="7"/>
  <c r="DX80" i="7"/>
  <c r="DX79" i="7" s="1"/>
  <c r="DX62" i="7" s="1"/>
  <c r="DU90" i="7"/>
  <c r="DU106" i="7" s="1"/>
  <c r="DU101" i="7" s="1"/>
  <c r="DU69" i="7"/>
  <c r="DU91" i="7" s="1"/>
  <c r="DW67" i="7"/>
  <c r="DW62" i="7"/>
  <c r="DW330" i="6"/>
  <c r="DV324" i="6"/>
  <c r="DV325" i="6" s="1"/>
  <c r="DX73" i="7"/>
  <c r="DX74" i="7" s="1"/>
  <c r="DY72" i="7"/>
  <c r="DY77" i="7" s="1"/>
  <c r="DQ158" i="7"/>
  <c r="DQ159" i="7" s="1"/>
  <c r="DQ150" i="7" s="1"/>
  <c r="DQ8" i="2"/>
  <c r="DU146" i="7"/>
  <c r="DP158" i="7"/>
  <c r="DP159" i="7" s="1"/>
  <c r="DP150" i="7" s="1"/>
  <c r="DP12" i="7" s="1"/>
  <c r="DP8" i="2"/>
  <c r="DV98" i="7"/>
  <c r="DY242" i="6"/>
  <c r="DY245" i="6" s="1"/>
  <c r="DY256" i="6"/>
  <c r="DY301" i="6" s="1"/>
  <c r="DX256" i="6"/>
  <c r="DX301" i="6" s="1"/>
  <c r="DX242" i="6"/>
  <c r="DX245" i="6" s="1"/>
  <c r="CW59" i="8"/>
  <c r="CV20" i="8"/>
  <c r="CW20" i="2"/>
  <c r="CW64" i="8"/>
  <c r="CW66" i="8" s="1"/>
  <c r="CW67" i="8"/>
  <c r="CY429" i="8"/>
  <c r="CY431" i="8" s="1"/>
  <c r="CX433" i="8"/>
  <c r="CX19" i="8" s="1"/>
  <c r="CX20" i="2" s="1"/>
  <c r="CX62" i="8"/>
  <c r="CX57" i="8"/>
  <c r="CX58" i="8" s="1"/>
  <c r="DQ210" i="7"/>
  <c r="DQ167" i="7"/>
  <c r="DO197" i="7"/>
  <c r="CZ348" i="6"/>
  <c r="CZ236" i="7"/>
  <c r="DO158" i="7"/>
  <c r="DO159" i="7" s="1"/>
  <c r="DO169" i="7"/>
  <c r="DO18" i="7"/>
  <c r="DQ113" i="7"/>
  <c r="DT64" i="7"/>
  <c r="DO28" i="7"/>
  <c r="DT63" i="7"/>
  <c r="DQ21" i="7"/>
  <c r="DQ161" i="7"/>
  <c r="DQ162" i="7" s="1"/>
  <c r="DS69" i="7"/>
  <c r="DS91" i="7" s="1"/>
  <c r="DS92" i="7" s="1"/>
  <c r="DS14" i="7" s="1"/>
  <c r="DT14" i="7" s="1"/>
  <c r="DR17" i="7"/>
  <c r="DR8" i="2" s="1"/>
  <c r="DR167" i="7"/>
  <c r="DR93" i="7"/>
  <c r="DW146" i="7" s="1"/>
  <c r="DR210" i="7"/>
  <c r="DT65" i="7"/>
  <c r="DT82" i="7"/>
  <c r="DT79" i="7"/>
  <c r="DT83" i="7" s="1"/>
  <c r="DS106" i="7"/>
  <c r="DS101" i="7" s="1"/>
  <c r="DP169" i="7"/>
  <c r="DP18" i="7"/>
  <c r="DP197" i="7"/>
  <c r="DP28" i="7"/>
  <c r="BC26" i="9"/>
  <c r="DP155" i="7"/>
  <c r="DT68" i="7"/>
  <c r="DT116" i="7" s="1"/>
  <c r="DT121" i="7" s="1"/>
  <c r="DR107" i="7"/>
  <c r="DR108" i="7" s="1"/>
  <c r="DS146" i="7"/>
  <c r="DS75" i="7"/>
  <c r="DT146" i="7"/>
  <c r="DT10" i="7" s="1"/>
  <c r="BX137" i="3"/>
  <c r="BX67" i="3" s="1"/>
  <c r="BY64" i="3"/>
  <c r="BY65" i="3" s="1"/>
  <c r="BX132" i="3"/>
  <c r="DR101" i="7"/>
  <c r="BA45" i="7"/>
  <c r="BA54" i="7" s="1"/>
  <c r="AZ57" i="7"/>
  <c r="AZ192" i="7"/>
  <c r="DN170" i="7"/>
  <c r="DN22" i="7"/>
  <c r="BA27" i="9" s="1"/>
  <c r="BA28" i="9" s="1"/>
  <c r="DN198" i="7"/>
  <c r="DO21" i="7"/>
  <c r="DO8" i="2"/>
  <c r="DQ28" i="7"/>
  <c r="DQ155" i="7"/>
  <c r="DQ169" i="7"/>
  <c r="DQ18" i="7"/>
  <c r="BD26" i="9"/>
  <c r="DQ197" i="7"/>
  <c r="DP171" i="7"/>
  <c r="DP161" i="7"/>
  <c r="DP162" i="7" s="1"/>
  <c r="DP113" i="7"/>
  <c r="DP21" i="7"/>
  <c r="DP153" i="7"/>
  <c r="DP141" i="7" s="1"/>
  <c r="DP118" i="7"/>
  <c r="CJ129" i="3"/>
  <c r="CJ130" i="3" s="1"/>
  <c r="CL129" i="3" s="1"/>
  <c r="CL130" i="3" s="1"/>
  <c r="CM129" i="3" s="1"/>
  <c r="CM130" i="3" s="1"/>
  <c r="CN129" i="3" s="1"/>
  <c r="CN130" i="3" s="1"/>
  <c r="CO129" i="3" s="1"/>
  <c r="CO130" i="3" s="1"/>
  <c r="CG129" i="3"/>
  <c r="CG130" i="3" s="1"/>
  <c r="CH129" i="3"/>
  <c r="CH130" i="3" s="1"/>
  <c r="CI129" i="3"/>
  <c r="CI130" i="3" s="1"/>
  <c r="AW204" i="7"/>
  <c r="AW206" i="7"/>
  <c r="AW205" i="7"/>
  <c r="AW207" i="7"/>
  <c r="AW184" i="7"/>
  <c r="AW189" i="7" s="1"/>
  <c r="AW190" i="7" s="1"/>
  <c r="AW211" i="7" s="1"/>
  <c r="U92" i="9"/>
  <c r="U58" i="9"/>
  <c r="CK180" i="7"/>
  <c r="CK58" i="7"/>
  <c r="CK136" i="7"/>
  <c r="CI204" i="7"/>
  <c r="CI184" i="7"/>
  <c r="CI189" i="7" s="1"/>
  <c r="CI190" i="7" s="1"/>
  <c r="CI211" i="7" s="1"/>
  <c r="CI207" i="7"/>
  <c r="CI206" i="7"/>
  <c r="CM56" i="7"/>
  <c r="CN57" i="7"/>
  <c r="CJ216" i="7"/>
  <c r="CJ181" i="7"/>
  <c r="V75" i="9"/>
  <c r="V10" i="9"/>
  <c r="CL180" i="7"/>
  <c r="CL58" i="7"/>
  <c r="CL136" i="7" s="1"/>
  <c r="V90" i="9"/>
  <c r="V56" i="9"/>
  <c r="CJ137" i="7"/>
  <c r="CJ138" i="7"/>
  <c r="W73" i="9"/>
  <c r="W8" i="9"/>
  <c r="DQ153" i="7" l="1"/>
  <c r="DQ141" i="7" s="1"/>
  <c r="BI80" i="5"/>
  <c r="DX67" i="7"/>
  <c r="DY67" i="7" s="1"/>
  <c r="DY29" i="7" s="1"/>
  <c r="DU92" i="7"/>
  <c r="DU14" i="7" s="1"/>
  <c r="DU17" i="7" s="1"/>
  <c r="DW63" i="7"/>
  <c r="DW64" i="7" s="1"/>
  <c r="DW65" i="7"/>
  <c r="DW82" i="7"/>
  <c r="DU107" i="7"/>
  <c r="DU102" i="7" s="1"/>
  <c r="DU103" i="7" s="1"/>
  <c r="DW68" i="7"/>
  <c r="DW29" i="7"/>
  <c r="DX183" i="7"/>
  <c r="DX188" i="7" s="1"/>
  <c r="DX215" i="7"/>
  <c r="DV90" i="7"/>
  <c r="DV69" i="7"/>
  <c r="DV91" i="7" s="1"/>
  <c r="DV107" i="7" s="1"/>
  <c r="DV102" i="7" s="1"/>
  <c r="DW324" i="6"/>
  <c r="DX330" i="6"/>
  <c r="DX324" i="6" s="1"/>
  <c r="DX325" i="6" s="1"/>
  <c r="DW148" i="7"/>
  <c r="DW10" i="7"/>
  <c r="DV146" i="7"/>
  <c r="DV75" i="7"/>
  <c r="DX65" i="7"/>
  <c r="DX82" i="7"/>
  <c r="DX63" i="7"/>
  <c r="DY62" i="7"/>
  <c r="DU148" i="7"/>
  <c r="DU10" i="7"/>
  <c r="DY85" i="7"/>
  <c r="DX96" i="7"/>
  <c r="DY73" i="7"/>
  <c r="DW75" i="7"/>
  <c r="DX97" i="7"/>
  <c r="DY97" i="7" s="1"/>
  <c r="DY74" i="7"/>
  <c r="DQ20" i="7"/>
  <c r="DQ170" i="7"/>
  <c r="CY433" i="8"/>
  <c r="CY19" i="8" s="1"/>
  <c r="CY20" i="2" s="1"/>
  <c r="DA429" i="8"/>
  <c r="DA431" i="8" s="1"/>
  <c r="CY62" i="8"/>
  <c r="CY57" i="8"/>
  <c r="CY58" i="8" s="1"/>
  <c r="CX59" i="8"/>
  <c r="CW20" i="8"/>
  <c r="CW21" i="8" s="1"/>
  <c r="CX64" i="8"/>
  <c r="CX66" i="8" s="1"/>
  <c r="CX67" i="8"/>
  <c r="CX20" i="8"/>
  <c r="CX21" i="8" s="1"/>
  <c r="CV21" i="8"/>
  <c r="CZ233" i="7"/>
  <c r="CZ345" i="6"/>
  <c r="DT91" i="7"/>
  <c r="DT92" i="7" s="1"/>
  <c r="DT118" i="7" s="1"/>
  <c r="DQ198" i="7"/>
  <c r="DS107" i="7"/>
  <c r="DS102" i="7" s="1"/>
  <c r="DS103" i="7" s="1"/>
  <c r="DQ22" i="7"/>
  <c r="BD27" i="9" s="1"/>
  <c r="BD28" i="9" s="1"/>
  <c r="DT69" i="7"/>
  <c r="DT93" i="7"/>
  <c r="DT153" i="7"/>
  <c r="DT141" i="7" s="1"/>
  <c r="DT210" i="7"/>
  <c r="DT167" i="7"/>
  <c r="DQ12" i="7"/>
  <c r="DR21" i="7"/>
  <c r="DR20" i="7" s="1"/>
  <c r="DR171" i="7"/>
  <c r="DR161" i="7"/>
  <c r="DR162" i="7" s="1"/>
  <c r="DR113" i="7"/>
  <c r="BZ64" i="3"/>
  <c r="BZ65" i="3" s="1"/>
  <c r="BY137" i="3"/>
  <c r="BY132" i="3"/>
  <c r="DR102" i="7"/>
  <c r="DR103" i="7" s="1"/>
  <c r="DT107" i="7"/>
  <c r="DP170" i="7"/>
  <c r="DP198" i="7"/>
  <c r="DP22" i="7"/>
  <c r="BC27" i="9" s="1"/>
  <c r="BC28" i="9" s="1"/>
  <c r="BX251" i="3"/>
  <c r="BX11" i="8"/>
  <c r="BX216" i="3"/>
  <c r="BX218" i="3" s="1"/>
  <c r="BX143" i="3"/>
  <c r="DT106" i="7"/>
  <c r="DR158" i="7"/>
  <c r="DR159" i="7" s="1"/>
  <c r="DR150" i="7" s="1"/>
  <c r="DR12" i="7" s="1"/>
  <c r="DR18" i="7"/>
  <c r="DR28" i="7"/>
  <c r="DR197" i="7"/>
  <c r="BE26" i="9"/>
  <c r="DR155" i="7"/>
  <c r="DR169" i="7"/>
  <c r="CR129" i="3"/>
  <c r="CR130" i="3" s="1"/>
  <c r="CS129" i="3" s="1"/>
  <c r="CS130" i="3" s="1"/>
  <c r="CT129" i="3" s="1"/>
  <c r="CT130" i="3" s="1"/>
  <c r="CQ129" i="3"/>
  <c r="CQ130" i="3" s="1"/>
  <c r="DS148" i="7"/>
  <c r="DS10" i="7"/>
  <c r="DO170" i="7"/>
  <c r="DO198" i="7"/>
  <c r="DO22" i="7"/>
  <c r="BA192" i="7"/>
  <c r="BB192" i="7" s="1"/>
  <c r="BC45" i="7"/>
  <c r="BC54" i="7" s="1"/>
  <c r="BA57" i="7"/>
  <c r="DP20" i="7"/>
  <c r="DS210" i="7"/>
  <c r="DS17" i="7"/>
  <c r="DS8" i="2" s="1"/>
  <c r="DT8" i="2" s="1"/>
  <c r="DS93" i="7"/>
  <c r="DS167" i="7"/>
  <c r="DR118" i="7"/>
  <c r="DR153" i="7"/>
  <c r="DR141" i="7" s="1"/>
  <c r="CO57" i="7"/>
  <c r="CN56" i="7"/>
  <c r="CK181" i="7"/>
  <c r="CK216" i="7"/>
  <c r="W90" i="9"/>
  <c r="W56" i="9"/>
  <c r="V92" i="9"/>
  <c r="V58" i="9"/>
  <c r="CM180" i="7"/>
  <c r="CM58" i="7"/>
  <c r="CM136" i="7" s="1"/>
  <c r="CL181" i="7"/>
  <c r="CL216" i="7"/>
  <c r="W75" i="9"/>
  <c r="W10" i="9"/>
  <c r="CL138" i="7"/>
  <c r="Y75" i="9" s="1"/>
  <c r="Y73" i="9"/>
  <c r="CL137" i="7"/>
  <c r="CJ204" i="7"/>
  <c r="CJ184" i="7"/>
  <c r="CJ189" i="7" s="1"/>
  <c r="CJ190" i="7" s="1"/>
  <c r="CJ211" i="7" s="1"/>
  <c r="CJ207" i="7"/>
  <c r="CJ206" i="7"/>
  <c r="X8" i="9"/>
  <c r="CK138" i="7"/>
  <c r="X10" i="9" s="1"/>
  <c r="CK137" i="7"/>
  <c r="DY63" i="7" l="1"/>
  <c r="DX29" i="7"/>
  <c r="DT117" i="7"/>
  <c r="DT122" i="7" s="1"/>
  <c r="DU108" i="7"/>
  <c r="DU113" i="7" s="1"/>
  <c r="BI84" i="5"/>
  <c r="DX68" i="7"/>
  <c r="DX69" i="7" s="1"/>
  <c r="DU158" i="7"/>
  <c r="DU159" i="7" s="1"/>
  <c r="DU150" i="7" s="1"/>
  <c r="DU12" i="7" s="1"/>
  <c r="DU18" i="7"/>
  <c r="BH26" i="9"/>
  <c r="DU197" i="7"/>
  <c r="DU8" i="2"/>
  <c r="DU169" i="7"/>
  <c r="DU155" i="7"/>
  <c r="DU28" i="7"/>
  <c r="DU93" i="7"/>
  <c r="DU167" i="7"/>
  <c r="DU210" i="7"/>
  <c r="DV106" i="7"/>
  <c r="DV92" i="7"/>
  <c r="DV14" i="7" s="1"/>
  <c r="DW69" i="7"/>
  <c r="DW91" i="7" s="1"/>
  <c r="DW107" i="7" s="1"/>
  <c r="DW102" i="7" s="1"/>
  <c r="DW90" i="7"/>
  <c r="DW325" i="6"/>
  <c r="DY324" i="6"/>
  <c r="DY325" i="6" s="1"/>
  <c r="DX64" i="7"/>
  <c r="DY64" i="7" s="1"/>
  <c r="DX91" i="7"/>
  <c r="DY96" i="7"/>
  <c r="DY98" i="7" s="1"/>
  <c r="DY75" i="7" s="1"/>
  <c r="DX98" i="7"/>
  <c r="DY86" i="7"/>
  <c r="DY87" i="7"/>
  <c r="DY65" i="7"/>
  <c r="DY79" i="7"/>
  <c r="DY83" i="7" s="1"/>
  <c r="DY82" i="7"/>
  <c r="DV148" i="7"/>
  <c r="DV10" i="7"/>
  <c r="DX90" i="7"/>
  <c r="DY68" i="7"/>
  <c r="CZ433" i="8"/>
  <c r="CZ19" i="8" s="1"/>
  <c r="CY59" i="8"/>
  <c r="CY64" i="8"/>
  <c r="CY66" i="8" s="1"/>
  <c r="CY67" i="8"/>
  <c r="DA57" i="8"/>
  <c r="DA58" i="8" s="1"/>
  <c r="DA62" i="8"/>
  <c r="DB429" i="8"/>
  <c r="DB431" i="8" s="1"/>
  <c r="DA433" i="8"/>
  <c r="CY20" i="8"/>
  <c r="CY21" i="8" s="1"/>
  <c r="CZ20" i="2"/>
  <c r="DT112" i="7"/>
  <c r="DS108" i="7"/>
  <c r="DS21" i="7" s="1"/>
  <c r="DT102" i="7"/>
  <c r="BY10" i="8"/>
  <c r="BX13" i="8"/>
  <c r="DS169" i="7"/>
  <c r="DS28" i="7"/>
  <c r="BF26" i="9"/>
  <c r="DS197" i="7"/>
  <c r="DS18" i="7"/>
  <c r="DS155" i="7"/>
  <c r="DT17" i="7"/>
  <c r="BB28" i="9"/>
  <c r="BB27" i="9"/>
  <c r="DO23" i="7"/>
  <c r="DS158" i="7"/>
  <c r="DS159" i="7" s="1"/>
  <c r="DS150" i="7" s="1"/>
  <c r="DS12" i="7" s="1"/>
  <c r="BX152" i="3"/>
  <c r="BX250" i="3"/>
  <c r="BX239" i="3"/>
  <c r="BX244" i="3"/>
  <c r="BX246" i="3" s="1"/>
  <c r="BX247" i="3" s="1"/>
  <c r="DR170" i="7"/>
  <c r="DR198" i="7"/>
  <c r="DR22" i="7"/>
  <c r="BE27" i="9" s="1"/>
  <c r="BE28" i="9" s="1"/>
  <c r="BC57" i="7"/>
  <c r="BC192" i="7"/>
  <c r="BD45" i="7"/>
  <c r="BD54" i="7" s="1"/>
  <c r="DS118" i="7"/>
  <c r="DS153" i="7"/>
  <c r="DS141" i="7" s="1"/>
  <c r="BY143" i="3"/>
  <c r="BY216" i="3"/>
  <c r="BY218" i="3" s="1"/>
  <c r="BY251" i="3"/>
  <c r="BY11" i="8"/>
  <c r="BZ10" i="8" s="1"/>
  <c r="BB194" i="7"/>
  <c r="BB259" i="3"/>
  <c r="BB260" i="3" s="1"/>
  <c r="BB215" i="7"/>
  <c r="DT101" i="7"/>
  <c r="DT111" i="7"/>
  <c r="DT108" i="7"/>
  <c r="CB64" i="3"/>
  <c r="CB65" i="3" s="1"/>
  <c r="BZ137" i="3"/>
  <c r="BZ132" i="3"/>
  <c r="BY67" i="3"/>
  <c r="Y90" i="9"/>
  <c r="Y8" i="9" s="1"/>
  <c r="Y56" i="9"/>
  <c r="Y58" i="9"/>
  <c r="Y92" i="9"/>
  <c r="Y10" i="9"/>
  <c r="CL184" i="7"/>
  <c r="CL189" i="7" s="1"/>
  <c r="CL190" i="7" s="1"/>
  <c r="CL211" i="7" s="1"/>
  <c r="CL206" i="7"/>
  <c r="CL204" i="7"/>
  <c r="CL207" i="7"/>
  <c r="CK184" i="7"/>
  <c r="CK189" i="7" s="1"/>
  <c r="CK190" i="7" s="1"/>
  <c r="CK211" i="7" s="1"/>
  <c r="CK204" i="7"/>
  <c r="CK206" i="7"/>
  <c r="CK205" i="7"/>
  <c r="CK207" i="7"/>
  <c r="Z73" i="9"/>
  <c r="CM137" i="7"/>
  <c r="CN180" i="7"/>
  <c r="CN58" i="7"/>
  <c r="CN136" i="7" s="1"/>
  <c r="W58" i="9"/>
  <c r="W92" i="9"/>
  <c r="CM216" i="7"/>
  <c r="CM181" i="7"/>
  <c r="DY69" i="7" l="1"/>
  <c r="DU21" i="7"/>
  <c r="DU20" i="7" s="1"/>
  <c r="DU171" i="7"/>
  <c r="DU161" i="7"/>
  <c r="DU162" i="7" s="1"/>
  <c r="DU153" i="7"/>
  <c r="DU141" i="7" s="1"/>
  <c r="DU118" i="7"/>
  <c r="DW106" i="7"/>
  <c r="DW92" i="7"/>
  <c r="DW14" i="7" s="1"/>
  <c r="DV93" i="7"/>
  <c r="DV167" i="7"/>
  <c r="DV17" i="7"/>
  <c r="DV210" i="7"/>
  <c r="DV108" i="7"/>
  <c r="DV101" i="7"/>
  <c r="DV103" i="7" s="1"/>
  <c r="DX106" i="7"/>
  <c r="DX92" i="7"/>
  <c r="DX14" i="7" s="1"/>
  <c r="DY90" i="7"/>
  <c r="DX75" i="7"/>
  <c r="DX146" i="7"/>
  <c r="DY146" i="7"/>
  <c r="DY10" i="7" s="1"/>
  <c r="DX107" i="7"/>
  <c r="DY107" i="7" s="1"/>
  <c r="DY91" i="7"/>
  <c r="DA59" i="8"/>
  <c r="DA19" i="8"/>
  <c r="DA21" i="8" s="1"/>
  <c r="CZ20" i="8"/>
  <c r="CZ21" i="8" s="1"/>
  <c r="DB57" i="8"/>
  <c r="DB58" i="8" s="1"/>
  <c r="DB433" i="8"/>
  <c r="DB19" i="8" s="1"/>
  <c r="DB21" i="8" s="1"/>
  <c r="DC429" i="8"/>
  <c r="DC431" i="8" s="1"/>
  <c r="DB62" i="8"/>
  <c r="DA64" i="8"/>
  <c r="DA66" i="8" s="1"/>
  <c r="DA67" i="8"/>
  <c r="DT103" i="7"/>
  <c r="DT150" i="7"/>
  <c r="DT12" i="7" s="1"/>
  <c r="DS171" i="7"/>
  <c r="DS20" i="7"/>
  <c r="DT20" i="7" s="1"/>
  <c r="DT21" i="7"/>
  <c r="DT198" i="7" s="1"/>
  <c r="DS161" i="7"/>
  <c r="DS162" i="7" s="1"/>
  <c r="DS113" i="7"/>
  <c r="BY13" i="8"/>
  <c r="BZ143" i="3"/>
  <c r="BZ216" i="3"/>
  <c r="BZ218" i="3" s="1"/>
  <c r="BZ11" i="8"/>
  <c r="BZ13" i="8" s="1"/>
  <c r="BZ251" i="3"/>
  <c r="CA137" i="3"/>
  <c r="BB181" i="7"/>
  <c r="BB216" i="7"/>
  <c r="DT18" i="7"/>
  <c r="DT155" i="7"/>
  <c r="BG26" i="9"/>
  <c r="DT169" i="7"/>
  <c r="DT28" i="7"/>
  <c r="DT197" i="7"/>
  <c r="DT158" i="7"/>
  <c r="DT159" i="7" s="1"/>
  <c r="BZ67" i="3"/>
  <c r="BY244" i="3"/>
  <c r="BY246" i="3" s="1"/>
  <c r="BY247" i="3" s="1"/>
  <c r="BY239" i="3"/>
  <c r="BY152" i="3"/>
  <c r="BY250" i="3"/>
  <c r="BX181" i="3"/>
  <c r="BX252" i="3"/>
  <c r="BD57" i="7"/>
  <c r="BD192" i="7"/>
  <c r="BE45" i="7"/>
  <c r="BE54" i="7" s="1"/>
  <c r="CB67" i="3"/>
  <c r="CC64" i="3"/>
  <c r="CC65" i="3" s="1"/>
  <c r="CB132" i="3"/>
  <c r="DT113" i="7"/>
  <c r="DT162" i="7"/>
  <c r="DT171" i="7"/>
  <c r="DT161" i="7"/>
  <c r="BX249" i="3"/>
  <c r="BX241" i="3"/>
  <c r="BX242" i="3" s="1"/>
  <c r="DS22" i="7"/>
  <c r="BF27" i="9" s="1"/>
  <c r="BF28" i="9" s="1"/>
  <c r="DS198" i="7"/>
  <c r="DS170" i="7"/>
  <c r="Z56" i="9"/>
  <c r="Z90" i="9"/>
  <c r="Z8" i="9" s="1"/>
  <c r="AA73" i="9"/>
  <c r="CN137" i="7"/>
  <c r="CN181" i="7"/>
  <c r="CN216" i="7"/>
  <c r="CM204" i="7"/>
  <c r="CM207" i="7"/>
  <c r="CM184" i="7"/>
  <c r="CM189" i="7" s="1"/>
  <c r="CM190" i="7" s="1"/>
  <c r="CM211" i="7" s="1"/>
  <c r="CM206" i="7"/>
  <c r="DU170" i="7" l="1"/>
  <c r="DU198" i="7"/>
  <c r="DU22" i="7"/>
  <c r="BH27" i="9" s="1"/>
  <c r="BH28" i="9" s="1"/>
  <c r="DV113" i="7"/>
  <c r="DV21" i="7"/>
  <c r="DV20" i="7" s="1"/>
  <c r="DV161" i="7"/>
  <c r="DV162" i="7" s="1"/>
  <c r="DV171" i="7"/>
  <c r="DV118" i="7"/>
  <c r="DV153" i="7"/>
  <c r="DV141" i="7" s="1"/>
  <c r="DW17" i="7"/>
  <c r="DW167" i="7"/>
  <c r="DW210" i="7"/>
  <c r="DW93" i="7"/>
  <c r="DV158" i="7"/>
  <c r="DV8" i="2"/>
  <c r="DV18" i="7"/>
  <c r="DV155" i="7"/>
  <c r="DV197" i="7"/>
  <c r="DV28" i="7"/>
  <c r="BI26" i="9"/>
  <c r="DV169" i="7"/>
  <c r="DW101" i="7"/>
  <c r="DW103" i="7" s="1"/>
  <c r="DW108" i="7"/>
  <c r="DY117" i="7"/>
  <c r="DY122" i="7" s="1"/>
  <c r="DY102" i="7"/>
  <c r="DX148" i="7"/>
  <c r="DX10" i="7"/>
  <c r="DX210" i="7"/>
  <c r="DX93" i="7"/>
  <c r="DX167" i="7"/>
  <c r="DX17" i="7"/>
  <c r="DX158" i="7" s="1"/>
  <c r="DY14" i="7"/>
  <c r="DX102" i="7"/>
  <c r="DX101" i="7"/>
  <c r="DX108" i="7"/>
  <c r="DY106" i="7"/>
  <c r="DY101" i="7" s="1"/>
  <c r="DY112" i="7"/>
  <c r="DY116" i="7"/>
  <c r="DY121" i="7" s="1"/>
  <c r="DY92" i="7"/>
  <c r="DY118" i="7" s="1"/>
  <c r="DB59" i="8"/>
  <c r="CA13" i="8"/>
  <c r="DB64" i="8"/>
  <c r="DB66" i="8" s="1"/>
  <c r="DB67" i="8"/>
  <c r="DD429" i="8"/>
  <c r="DD431" i="8" s="1"/>
  <c r="DC57" i="8"/>
  <c r="DC58" i="8" s="1"/>
  <c r="DC433" i="8"/>
  <c r="DC62" i="8"/>
  <c r="DT170" i="7"/>
  <c r="DT22" i="7"/>
  <c r="BG27" i="9" s="1"/>
  <c r="CD64" i="3"/>
  <c r="CD65" i="3" s="1"/>
  <c r="CC67" i="3"/>
  <c r="CC132" i="3"/>
  <c r="BY181" i="3"/>
  <c r="BY252" i="3"/>
  <c r="BY249" i="3"/>
  <c r="BY241" i="3"/>
  <c r="BY242" i="3" s="1"/>
  <c r="BB184" i="7"/>
  <c r="BB189" i="7" s="1"/>
  <c r="BB190" i="7" s="1"/>
  <c r="BB211" i="7" s="1"/>
  <c r="BB207" i="7"/>
  <c r="BB204" i="7"/>
  <c r="BB205" i="7"/>
  <c r="BB206" i="7"/>
  <c r="BE57" i="7"/>
  <c r="BE192" i="7"/>
  <c r="BF45" i="7"/>
  <c r="BF54" i="7" s="1"/>
  <c r="CA216" i="3"/>
  <c r="CA218" i="3" s="1"/>
  <c r="CA11" i="8"/>
  <c r="CA67" i="3"/>
  <c r="CA143" i="3"/>
  <c r="CA251" i="3"/>
  <c r="BZ250" i="3"/>
  <c r="BZ239" i="3"/>
  <c r="BZ244" i="3"/>
  <c r="BZ246" i="3" s="1"/>
  <c r="BZ247" i="3" s="1"/>
  <c r="BZ152" i="3"/>
  <c r="AA8" i="9"/>
  <c r="AA56" i="9"/>
  <c r="AA90" i="9"/>
  <c r="CN184" i="7"/>
  <c r="CN189" i="7" s="1"/>
  <c r="CN190" i="7" s="1"/>
  <c r="CN211" i="7" s="1"/>
  <c r="CN206" i="7"/>
  <c r="CN207" i="7"/>
  <c r="CN204" i="7"/>
  <c r="DV159" i="7" l="1"/>
  <c r="DV150" i="7" s="1"/>
  <c r="DV12" i="7" s="1"/>
  <c r="DW158" i="7"/>
  <c r="DW159" i="7" s="1"/>
  <c r="DW150" i="7" s="1"/>
  <c r="DW12" i="7" s="1"/>
  <c r="DW169" i="7"/>
  <c r="DW197" i="7"/>
  <c r="DW18" i="7"/>
  <c r="DW155" i="7"/>
  <c r="DW28" i="7"/>
  <c r="DW8" i="2"/>
  <c r="BJ26" i="9"/>
  <c r="DW153" i="7"/>
  <c r="DW141" i="7" s="1"/>
  <c r="DW118" i="7"/>
  <c r="DV22" i="7"/>
  <c r="BI27" i="9" s="1"/>
  <c r="BI28" i="9" s="1"/>
  <c r="DV170" i="7"/>
  <c r="DV198" i="7"/>
  <c r="DW21" i="7"/>
  <c r="DW161" i="7"/>
  <c r="DW162" i="7" s="1"/>
  <c r="DW113" i="7"/>
  <c r="DW171" i="7"/>
  <c r="DX103" i="7"/>
  <c r="DX159" i="7"/>
  <c r="DX150" i="7" s="1"/>
  <c r="DY153" i="7"/>
  <c r="DY141" i="7" s="1"/>
  <c r="DY167" i="7"/>
  <c r="DY210" i="7"/>
  <c r="DY93" i="7"/>
  <c r="DX118" i="7"/>
  <c r="DX153" i="7"/>
  <c r="DX141" i="7" s="1"/>
  <c r="DY103" i="7"/>
  <c r="DX113" i="7"/>
  <c r="DX161" i="7"/>
  <c r="DX162" i="7" s="1"/>
  <c r="DX171" i="7"/>
  <c r="DX21" i="7"/>
  <c r="DX20" i="7" s="1"/>
  <c r="DY111" i="7"/>
  <c r="DY108" i="7"/>
  <c r="BK26" i="9"/>
  <c r="DX8" i="2"/>
  <c r="DX155" i="7"/>
  <c r="DX197" i="7"/>
  <c r="DX18" i="7"/>
  <c r="DX169" i="7"/>
  <c r="DX28" i="7"/>
  <c r="DY17" i="7"/>
  <c r="DY158" i="7" s="1"/>
  <c r="DY159" i="7" s="1"/>
  <c r="DC19" i="8"/>
  <c r="DC21" i="8" s="1"/>
  <c r="DC59" i="8"/>
  <c r="DF429" i="8"/>
  <c r="DF431" i="8" s="1"/>
  <c r="DD433" i="8"/>
  <c r="DD19" i="8" s="1"/>
  <c r="DD21" i="8" s="1"/>
  <c r="DD57" i="8"/>
  <c r="DD58" i="8" s="1"/>
  <c r="DD62" i="8"/>
  <c r="DC64" i="8"/>
  <c r="DC66" i="8" s="1"/>
  <c r="DC67" i="8"/>
  <c r="BG28" i="9"/>
  <c r="BZ181" i="3"/>
  <c r="BZ252" i="3"/>
  <c r="CB10" i="8"/>
  <c r="CB13" i="8" s="1"/>
  <c r="CF10" i="8"/>
  <c r="BF57" i="7"/>
  <c r="BH45" i="7"/>
  <c r="BH54" i="7" s="1"/>
  <c r="BF192" i="7"/>
  <c r="BG192" i="7" s="1"/>
  <c r="CA233" i="3"/>
  <c r="CA221" i="3"/>
  <c r="CA232" i="3"/>
  <c r="BZ249" i="3"/>
  <c r="BZ241" i="3"/>
  <c r="BZ242" i="3" s="1"/>
  <c r="CA250" i="3"/>
  <c r="CA239" i="3"/>
  <c r="CA152" i="3"/>
  <c r="CA244" i="3"/>
  <c r="CA246" i="3" s="1"/>
  <c r="CA247" i="3" s="1"/>
  <c r="CD67" i="3"/>
  <c r="CE64" i="3"/>
  <c r="CE65" i="3" s="1"/>
  <c r="CD132" i="3"/>
  <c r="DY8" i="2" l="1"/>
  <c r="DW198" i="7"/>
  <c r="DW22" i="7"/>
  <c r="BJ27" i="9" s="1"/>
  <c r="BJ28" i="9" s="1"/>
  <c r="DW20" i="7"/>
  <c r="DY20" i="7" s="1"/>
  <c r="DW170" i="7"/>
  <c r="DY161" i="7"/>
  <c r="DY171" i="7"/>
  <c r="DY113" i="7"/>
  <c r="DY162" i="7"/>
  <c r="DX12" i="7"/>
  <c r="DY150" i="7"/>
  <c r="DY12" i="7" s="1"/>
  <c r="BL26" i="9"/>
  <c r="DY18" i="7"/>
  <c r="DY197" i="7"/>
  <c r="DY169" i="7"/>
  <c r="DY155" i="7"/>
  <c r="DY28" i="7"/>
  <c r="DX22" i="7"/>
  <c r="BK27" i="9" s="1"/>
  <c r="BK28" i="9" s="1"/>
  <c r="DX198" i="7"/>
  <c r="DX170" i="7"/>
  <c r="DY21" i="7"/>
  <c r="DF57" i="8"/>
  <c r="DF58" i="8" s="1"/>
  <c r="DG429" i="8"/>
  <c r="DG431" i="8" s="1"/>
  <c r="DF62" i="8"/>
  <c r="DD64" i="8"/>
  <c r="DD66" i="8" s="1"/>
  <c r="DD67" i="8"/>
  <c r="DD59" i="8"/>
  <c r="DE433" i="8"/>
  <c r="DE19" i="8" s="1"/>
  <c r="DE21" i="8" s="1"/>
  <c r="CA241" i="3"/>
  <c r="CA242" i="3" s="1"/>
  <c r="CA249" i="3"/>
  <c r="BG194" i="7"/>
  <c r="BG259" i="3"/>
  <c r="BG260" i="3" s="1"/>
  <c r="BG215" i="7"/>
  <c r="BL259" i="3"/>
  <c r="BI45" i="7"/>
  <c r="BI54" i="7" s="1"/>
  <c r="BH192" i="7"/>
  <c r="CE67" i="3"/>
  <c r="CG64" i="3"/>
  <c r="CG65" i="3" s="1"/>
  <c r="CE132" i="3"/>
  <c r="CA181" i="3"/>
  <c r="CA252" i="3"/>
  <c r="DY198" i="7" l="1"/>
  <c r="DY170" i="7"/>
  <c r="DY22" i="7"/>
  <c r="DF59" i="8"/>
  <c r="DF64" i="8"/>
  <c r="DF66" i="8" s="1"/>
  <c r="DF67" i="8"/>
  <c r="DG57" i="8"/>
  <c r="DG58" i="8" s="1"/>
  <c r="DH429" i="8"/>
  <c r="DH431" i="8" s="1"/>
  <c r="DG62" i="8"/>
  <c r="CG67" i="3"/>
  <c r="CH64" i="3"/>
  <c r="CH65" i="3" s="1"/>
  <c r="CG132" i="3"/>
  <c r="BG216" i="7"/>
  <c r="BG181" i="7"/>
  <c r="BI192" i="7"/>
  <c r="BJ45" i="7"/>
  <c r="BJ54" i="7" s="1"/>
  <c r="BL260" i="3"/>
  <c r="BQ260" i="3"/>
  <c r="BL27" i="9" l="1"/>
  <c r="BL28" i="9"/>
  <c r="DG59" i="8"/>
  <c r="DH57" i="8"/>
  <c r="DH58" i="8" s="1"/>
  <c r="DI429" i="8"/>
  <c r="DI431" i="8" s="1"/>
  <c r="DH62" i="8"/>
  <c r="DH64" i="8" s="1"/>
  <c r="DH66" i="8" s="1"/>
  <c r="DG64" i="8"/>
  <c r="DG66" i="8" s="1"/>
  <c r="DG67" i="8"/>
  <c r="BK45" i="7"/>
  <c r="BJ192" i="7"/>
  <c r="BG204" i="7"/>
  <c r="BL206" i="7"/>
  <c r="BL204" i="7"/>
  <c r="BG206" i="7"/>
  <c r="BG205" i="7"/>
  <c r="BL207" i="7"/>
  <c r="BG184" i="7"/>
  <c r="BG189" i="7" s="1"/>
  <c r="BG190" i="7" s="1"/>
  <c r="BG211" i="7" s="1"/>
  <c r="BL205" i="7"/>
  <c r="BG207" i="7"/>
  <c r="CH67" i="3"/>
  <c r="CI64" i="3"/>
  <c r="CI65" i="3" s="1"/>
  <c r="CH132" i="3"/>
  <c r="DI57" i="8" l="1"/>
  <c r="DI58" i="8" s="1"/>
  <c r="DK429" i="8"/>
  <c r="DK431" i="8" s="1"/>
  <c r="DI62" i="8"/>
  <c r="DI64" i="8" s="1"/>
  <c r="DI66" i="8" s="1"/>
  <c r="DH59" i="8"/>
  <c r="CI67" i="3"/>
  <c r="CJ64" i="3"/>
  <c r="CJ65" i="3" s="1"/>
  <c r="CI132" i="3"/>
  <c r="DK57" i="8" l="1"/>
  <c r="DK58" i="8" s="1"/>
  <c r="DL429" i="8"/>
  <c r="DL431" i="8" s="1"/>
  <c r="DK62" i="8"/>
  <c r="DK64" i="8" s="1"/>
  <c r="DK66" i="8" s="1"/>
  <c r="DI59" i="8"/>
  <c r="CJ67" i="3"/>
  <c r="CL64" i="3"/>
  <c r="CL65" i="3" s="1"/>
  <c r="CJ132" i="3"/>
  <c r="DM429" i="8" l="1"/>
  <c r="DM431" i="8" s="1"/>
  <c r="DM433" i="8" s="1"/>
  <c r="DL57" i="8"/>
  <c r="DL58" i="8" s="1"/>
  <c r="DL62" i="8"/>
  <c r="DL64" i="8" s="1"/>
  <c r="DL66" i="8" s="1"/>
  <c r="DK59" i="8"/>
  <c r="CM64" i="3"/>
  <c r="CM65" i="3" s="1"/>
  <c r="CL132" i="3"/>
  <c r="CL67" i="3"/>
  <c r="DM172" i="2" l="1"/>
  <c r="DM173" i="2" s="1"/>
  <c r="DM19" i="8"/>
  <c r="DM20" i="2" s="1"/>
  <c r="DL59" i="8"/>
  <c r="DM57" i="8"/>
  <c r="DM58" i="8" s="1"/>
  <c r="DN429" i="8"/>
  <c r="DN431" i="8" s="1"/>
  <c r="DN433" i="8" s="1"/>
  <c r="DM62" i="8"/>
  <c r="DM64" i="8" s="1"/>
  <c r="DM66" i="8" s="1"/>
  <c r="CM132" i="3"/>
  <c r="CM67" i="3"/>
  <c r="CN64" i="3"/>
  <c r="CN65" i="3" s="1"/>
  <c r="DN172" i="2" l="1"/>
  <c r="DN173" i="2" s="1"/>
  <c r="DN174" i="2" s="1"/>
  <c r="DN19" i="8"/>
  <c r="DN20" i="2" s="1"/>
  <c r="DN20" i="8" s="1"/>
  <c r="DN21" i="8" s="1"/>
  <c r="DM20" i="8"/>
  <c r="DM174" i="2"/>
  <c r="DO433" i="8"/>
  <c r="DN57" i="8"/>
  <c r="DN58" i="8" s="1"/>
  <c r="DP429" i="8"/>
  <c r="DP431" i="8" s="1"/>
  <c r="DP433" i="8" s="1"/>
  <c r="DN62" i="8"/>
  <c r="DN64" i="8" s="1"/>
  <c r="DN66" i="8" s="1"/>
  <c r="DM59" i="8"/>
  <c r="CO64" i="3"/>
  <c r="CO65" i="3" s="1"/>
  <c r="CO67" i="3" s="1"/>
  <c r="CN132" i="3"/>
  <c r="CN67" i="3"/>
  <c r="DO173" i="2" l="1"/>
  <c r="DO20" i="2"/>
  <c r="DP172" i="2"/>
  <c r="DP173" i="2" s="1"/>
  <c r="DP19" i="8"/>
  <c r="DO172" i="2"/>
  <c r="DO19" i="8"/>
  <c r="DM21" i="8"/>
  <c r="DO20" i="8"/>
  <c r="DO174" i="2"/>
  <c r="DN59" i="8"/>
  <c r="DQ429" i="8"/>
  <c r="DQ431" i="8" s="1"/>
  <c r="DQ433" i="8" s="1"/>
  <c r="DP57" i="8"/>
  <c r="DP58" i="8" s="1"/>
  <c r="DP62" i="8"/>
  <c r="DP64" i="8" s="1"/>
  <c r="DP66" i="8" s="1"/>
  <c r="DO21" i="8" l="1"/>
  <c r="DP20" i="2"/>
  <c r="DP174" i="2"/>
  <c r="DQ172" i="2"/>
  <c r="DQ173" i="2" s="1"/>
  <c r="DQ174" i="2" s="1"/>
  <c r="DQ19" i="8"/>
  <c r="DQ20" i="2" s="1"/>
  <c r="DR429" i="8"/>
  <c r="DR431" i="8" s="1"/>
  <c r="DR433" i="8" s="1"/>
  <c r="DQ57" i="8"/>
  <c r="DQ58" i="8" s="1"/>
  <c r="DQ62" i="8"/>
  <c r="DQ64" i="8" s="1"/>
  <c r="DQ66" i="8" s="1"/>
  <c r="DP59" i="8"/>
  <c r="DP20" i="8" l="1"/>
  <c r="DR172" i="2"/>
  <c r="DR173" i="2" s="1"/>
  <c r="DR174" i="2" s="1"/>
  <c r="DR19" i="8"/>
  <c r="DR20" i="2" s="1"/>
  <c r="DQ20" i="8"/>
  <c r="DQ21" i="8" s="1"/>
  <c r="DR57" i="8"/>
  <c r="DR58" i="8" s="1"/>
  <c r="DS429" i="8"/>
  <c r="DS431" i="8" s="1"/>
  <c r="DR62" i="8"/>
  <c r="DR64" i="8" s="1"/>
  <c r="DR66" i="8" s="1"/>
  <c r="DQ59" i="8"/>
  <c r="DU429" i="8" l="1"/>
  <c r="DU431" i="8" s="1"/>
  <c r="DU433" i="8" s="1"/>
  <c r="DS433" i="8"/>
  <c r="DR20" i="8"/>
  <c r="DR21" i="8" s="1"/>
  <c r="DP21" i="8"/>
  <c r="DV429" i="8"/>
  <c r="DV431" i="8" s="1"/>
  <c r="DV433" i="8" s="1"/>
  <c r="DU62" i="8"/>
  <c r="DU64" i="8" s="1"/>
  <c r="DU66" i="8" s="1"/>
  <c r="DU57" i="8"/>
  <c r="DU58" i="8" s="1"/>
  <c r="DR59" i="8"/>
  <c r="DS57" i="8"/>
  <c r="DS58" i="8" s="1"/>
  <c r="DS62" i="8"/>
  <c r="DS64" i="8" s="1"/>
  <c r="DS66" i="8" s="1"/>
  <c r="DS172" i="2" l="1"/>
  <c r="DS173" i="2" s="1"/>
  <c r="DS19" i="8"/>
  <c r="DS20" i="2" s="1"/>
  <c r="DT433" i="8"/>
  <c r="DU172" i="2"/>
  <c r="DU173" i="2" s="1"/>
  <c r="DU19" i="8"/>
  <c r="DV172" i="2"/>
  <c r="DV173" i="2" s="1"/>
  <c r="DV174" i="2" s="1"/>
  <c r="DV19" i="8"/>
  <c r="DV20" i="2" s="1"/>
  <c r="DV20" i="8" s="1"/>
  <c r="DV21" i="8" s="1"/>
  <c r="DW429" i="8"/>
  <c r="DW431" i="8" s="1"/>
  <c r="DW433" i="8" s="1"/>
  <c r="DV57" i="8"/>
  <c r="DV58" i="8" s="1"/>
  <c r="DV62" i="8"/>
  <c r="DV64" i="8" s="1"/>
  <c r="DV66" i="8" s="1"/>
  <c r="DU59" i="8"/>
  <c r="DS59" i="8"/>
  <c r="DH305" i="3"/>
  <c r="DH14" i="8"/>
  <c r="AU1" i="9"/>
  <c r="AU23" i="9"/>
  <c r="AU123" i="9"/>
  <c r="DU174" i="2" l="1"/>
  <c r="DS174" i="2"/>
  <c r="DT174" i="2" s="1"/>
  <c r="DT173" i="2"/>
  <c r="DW172" i="2"/>
  <c r="DW173" i="2" s="1"/>
  <c r="DW174" i="2" s="1"/>
  <c r="DW19" i="8"/>
  <c r="DW20" i="2" s="1"/>
  <c r="DW20" i="8" s="1"/>
  <c r="DW21" i="8" s="1"/>
  <c r="DT19" i="8"/>
  <c r="DT172" i="2"/>
  <c r="DU20" i="2"/>
  <c r="DS20" i="8"/>
  <c r="DT20" i="2"/>
  <c r="DV59" i="8"/>
  <c r="DX429" i="8"/>
  <c r="DX431" i="8" s="1"/>
  <c r="DX433" i="8" s="1"/>
  <c r="DW57" i="8"/>
  <c r="DW58" i="8" s="1"/>
  <c r="DW62" i="8"/>
  <c r="DW64" i="8" s="1"/>
  <c r="DW66" i="8" s="1"/>
  <c r="DH262" i="3"/>
  <c r="DH263" i="3" s="1"/>
  <c r="DH282" i="3" s="1"/>
  <c r="DH259" i="3"/>
  <c r="DH255" i="3"/>
  <c r="DH257" i="3" s="1"/>
  <c r="DH1" i="6"/>
  <c r="DH144" i="2"/>
  <c r="DH158" i="2"/>
  <c r="AU29" i="9"/>
  <c r="AU30" i="9"/>
  <c r="AU31" i="9"/>
  <c r="DW59" i="8" l="1"/>
  <c r="DX172" i="2"/>
  <c r="DX173" i="2" s="1"/>
  <c r="DX174" i="2" s="1"/>
  <c r="DY174" i="2" s="1"/>
  <c r="DX19" i="8"/>
  <c r="DX20" i="2" s="1"/>
  <c r="DX20" i="8" s="1"/>
  <c r="DX21" i="8" s="1"/>
  <c r="DY433" i="8"/>
  <c r="DS21" i="8"/>
  <c r="DT20" i="8"/>
  <c r="DT21" i="8" s="1"/>
  <c r="DU20" i="8"/>
  <c r="DX57" i="8"/>
  <c r="DX58" i="8" s="1"/>
  <c r="DX62" i="8"/>
  <c r="DX64" i="8" s="1"/>
  <c r="DX66" i="8" s="1"/>
  <c r="DY20" i="8" l="1"/>
  <c r="DU21" i="8"/>
  <c r="DY20" i="2"/>
  <c r="DY172" i="2"/>
  <c r="DY19" i="8"/>
  <c r="DY173" i="2"/>
  <c r="DX59" i="8"/>
  <c r="CC333" i="3"/>
  <c r="CD333" i="3"/>
  <c r="CJ333" i="3"/>
  <c r="DC333" i="3"/>
  <c r="DQ333" i="3"/>
  <c r="DO333" i="3"/>
  <c r="CN333" i="3"/>
  <c r="CW333" i="3"/>
  <c r="DB333" i="3"/>
  <c r="CY333" i="3"/>
  <c r="CP333" i="3"/>
  <c r="DA333" i="3"/>
  <c r="CX333" i="3"/>
  <c r="DM333" i="3"/>
  <c r="CR333" i="3"/>
  <c r="CI333" i="3"/>
  <c r="CE333" i="3"/>
  <c r="CV333" i="3"/>
  <c r="DK333" i="3"/>
  <c r="CK333" i="3"/>
  <c r="DT333" i="3"/>
  <c r="DF333" i="3"/>
  <c r="CU333" i="3"/>
  <c r="CO333" i="3"/>
  <c r="CB333" i="3"/>
  <c r="DS333" i="3"/>
  <c r="CH333" i="3"/>
  <c r="DH333" i="3"/>
  <c r="DG333" i="3"/>
  <c r="CT333" i="3"/>
  <c r="DJ333" i="3"/>
  <c r="DE333" i="3"/>
  <c r="CS333" i="3"/>
  <c r="DI333" i="3"/>
  <c r="CL333" i="3"/>
  <c r="DN333" i="3"/>
  <c r="CQ333" i="3"/>
  <c r="DP333" i="3"/>
  <c r="CM333" i="3"/>
  <c r="CF333" i="3"/>
  <c r="DL333" i="3"/>
  <c r="DR333" i="3"/>
  <c r="CZ333" i="3"/>
  <c r="CG333" i="3"/>
  <c r="DD333" i="3"/>
  <c r="DY21" i="8" l="1"/>
  <c r="DH278" i="3"/>
  <c r="DH279" i="3" s="1"/>
  <c r="DH284" i="3" s="1"/>
  <c r="DH9" i="2"/>
  <c r="DH10" i="2" s="1"/>
  <c r="DH145" i="2"/>
  <c r="DH146" i="2" s="1"/>
  <c r="DH149" i="2" s="1"/>
  <c r="DH71" i="6" s="1"/>
  <c r="AU122" i="9" s="1"/>
  <c r="DH159" i="2"/>
  <c r="AU126" i="9"/>
  <c r="AU127" i="9"/>
  <c r="AU128" i="9" s="1"/>
  <c r="AU129" i="9"/>
  <c r="AU130" i="9" s="1"/>
  <c r="AU131" i="9"/>
  <c r="DH12" i="2" l="1"/>
  <c r="DH67" i="2" s="1"/>
  <c r="DH75" i="2" s="1"/>
  <c r="DH124" i="2"/>
  <c r="DH125" i="2" s="1"/>
  <c r="DH183" i="3"/>
  <c r="DH184" i="3" s="1"/>
  <c r="DH112" i="2"/>
  <c r="DH113" i="2" s="1"/>
  <c r="DH102" i="2"/>
  <c r="DH103" i="2" s="1"/>
  <c r="DH107" i="2"/>
  <c r="DH108" i="2" s="1"/>
  <c r="DH95" i="2"/>
  <c r="DH96" i="2" s="1"/>
  <c r="DH90" i="2"/>
  <c r="DH91" i="2" s="1"/>
  <c r="DH68" i="2"/>
  <c r="DH76" i="2" s="1"/>
  <c r="DH58" i="2"/>
  <c r="DH160" i="2"/>
  <c r="DH162" i="2" s="1"/>
  <c r="DH148" i="2"/>
  <c r="DH274" i="3"/>
  <c r="DH291" i="3"/>
  <c r="DH17" i="2" l="1"/>
  <c r="DH62" i="2" s="1"/>
  <c r="DH59" i="2"/>
  <c r="DM184" i="3"/>
  <c r="DH275" i="3"/>
  <c r="DH283" i="3" s="1"/>
  <c r="DH285" i="3" s="1"/>
  <c r="DM125" i="2"/>
  <c r="DH163" i="2"/>
  <c r="DH240" i="3"/>
  <c r="DH245" i="3"/>
  <c r="DH270" i="3"/>
  <c r="DH272" i="3" s="1"/>
  <c r="DH153" i="2" l="1"/>
  <c r="DH151" i="2" s="1"/>
  <c r="DH15" i="2"/>
  <c r="DH193" i="3" s="1"/>
  <c r="DH191" i="3" s="1"/>
  <c r="DH70" i="2"/>
  <c r="DH78" i="2" s="1"/>
  <c r="DH22" i="2"/>
  <c r="DH72" i="2" s="1"/>
  <c r="DR184" i="3"/>
  <c r="DW184" i="3" s="1"/>
  <c r="DW275" i="3" s="1"/>
  <c r="DW283" i="3" s="1"/>
  <c r="DM275" i="3"/>
  <c r="DM283" i="3" s="1"/>
  <c r="DH61" i="2"/>
  <c r="DH69" i="2"/>
  <c r="DH77" i="2" s="1"/>
  <c r="DH241" i="3"/>
  <c r="DH242" i="3" s="1"/>
  <c r="DH249" i="3"/>
  <c r="DH152" i="2" l="1"/>
  <c r="DH167" i="2"/>
  <c r="DH67" i="8"/>
  <c r="DH24" i="2"/>
  <c r="DH34" i="2" s="1"/>
  <c r="DR275" i="3"/>
  <c r="DR283" i="3" s="1"/>
  <c r="DH166" i="2"/>
  <c r="DH165" i="2"/>
  <c r="DH299" i="3"/>
  <c r="DH71" i="2" l="1"/>
  <c r="DH79" i="2" s="1"/>
  <c r="DH35" i="2"/>
  <c r="DH70" i="6" s="1"/>
  <c r="AU133" i="9" s="1"/>
  <c r="DH27" i="2"/>
  <c r="DH29" i="2" s="1"/>
  <c r="DH297" i="3" l="1"/>
  <c r="DH301" i="3" s="1"/>
  <c r="DH31" i="2"/>
  <c r="DH63" i="2"/>
  <c r="DH32" i="2"/>
  <c r="DH210" i="3"/>
  <c r="DH209" i="3"/>
  <c r="DH211" i="3" l="1"/>
  <c r="DH36" i="2"/>
  <c r="AU34" i="9"/>
  <c r="AU134" i="9" s="1"/>
  <c r="DH312" i="3"/>
  <c r="DH303" i="3"/>
  <c r="DH309" i="3"/>
  <c r="DH306" i="3"/>
  <c r="DH310" i="3" s="1"/>
  <c r="DH251" i="3" l="1"/>
  <c r="DH216" i="3"/>
  <c r="DH218" i="3" s="1"/>
  <c r="DH11" i="8"/>
  <c r="DH67" i="3"/>
  <c r="DI10" i="8" l="1"/>
  <c r="DH13" i="8"/>
  <c r="DH15" i="8" s="1"/>
  <c r="DH250" i="3"/>
  <c r="DH244" i="3"/>
  <c r="DH246" i="3" s="1"/>
  <c r="DH247" i="3" s="1"/>
  <c r="DH181" i="3" l="1"/>
  <c r="DH252" i="3"/>
  <c r="DM245" i="6"/>
  <c r="DM301" i="6"/>
  <c r="DH40" i="7"/>
  <c r="AU33" i="9" s="1"/>
  <c r="DH41" i="7"/>
  <c r="AU22" i="9" s="1"/>
  <c r="AL19" i="9" l="1"/>
  <c r="DI255" i="3" l="1"/>
  <c r="DI257" i="3" s="1"/>
  <c r="DI305" i="3"/>
  <c r="DI14" i="8"/>
  <c r="DJ11" i="2"/>
  <c r="DJ14" i="2"/>
  <c r="DJ13" i="2" s="1"/>
  <c r="DJ94" i="2" s="1"/>
  <c r="DJ97" i="2" s="1"/>
  <c r="DJ18" i="2"/>
  <c r="BB44" i="5" s="1"/>
  <c r="DJ19" i="2"/>
  <c r="DJ23" i="2"/>
  <c r="DJ39" i="2"/>
  <c r="DJ40" i="2" s="1"/>
  <c r="DJ110" i="2"/>
  <c r="DJ123" i="2"/>
  <c r="DJ126" i="2" s="1"/>
  <c r="AV1" i="9"/>
  <c r="AW1" i="9"/>
  <c r="AV23" i="9"/>
  <c r="AV123" i="9"/>
  <c r="DI262" i="3" l="1"/>
  <c r="DI263" i="3" s="1"/>
  <c r="DI282" i="3" s="1"/>
  <c r="AW123" i="9"/>
  <c r="DI259" i="3"/>
  <c r="DJ155" i="3"/>
  <c r="DJ89" i="2"/>
  <c r="DJ92" i="2" s="1"/>
  <c r="DJ60" i="2"/>
  <c r="AW23" i="9"/>
  <c r="BB40" i="5"/>
  <c r="AV40" i="5"/>
  <c r="AX40" i="5"/>
  <c r="BB54" i="5"/>
  <c r="AV54" i="5"/>
  <c r="AX54" i="5"/>
  <c r="BB53" i="5"/>
  <c r="AV53" i="5"/>
  <c r="AX53" i="5"/>
  <c r="DJ64" i="2"/>
  <c r="AX48" i="5"/>
  <c r="AX44" i="5"/>
  <c r="DJ185" i="3"/>
  <c r="DJ187" i="3" s="1"/>
  <c r="AV48" i="5"/>
  <c r="AV44" i="5"/>
  <c r="DJ305" i="3"/>
  <c r="BB48" i="5"/>
  <c r="DJ31" i="3"/>
  <c r="DJ140" i="3"/>
  <c r="DJ29" i="3"/>
  <c r="DJ186" i="3" l="1"/>
  <c r="DJ259" i="3"/>
  <c r="DJ260" i="3" s="1"/>
  <c r="DJ262" i="3"/>
  <c r="DJ263" i="3" s="1"/>
  <c r="DJ282" i="3" s="1"/>
  <c r="DJ255" i="3"/>
  <c r="DJ257" i="3" s="1"/>
  <c r="DJ188" i="3"/>
  <c r="DI1" i="6"/>
  <c r="DJ1" i="6"/>
  <c r="DI129" i="2"/>
  <c r="DI135" i="2" s="1"/>
  <c r="DK135" i="2" s="1"/>
  <c r="DI144" i="2"/>
  <c r="DI158" i="2"/>
  <c r="AV29" i="9"/>
  <c r="AV30" i="9"/>
  <c r="AV31" i="9"/>
  <c r="DK129" i="2" l="1"/>
  <c r="DK131" i="2" s="1"/>
  <c r="DL135" i="2"/>
  <c r="DM135" i="2" s="1"/>
  <c r="DM129" i="2" s="1"/>
  <c r="DM131" i="2" s="1"/>
  <c r="DL129" i="2" l="1"/>
  <c r="DL131" i="2" s="1"/>
  <c r="DN135" i="2"/>
  <c r="DP135" i="2" s="1"/>
  <c r="DN129" i="2"/>
  <c r="DN131" i="2" s="1"/>
  <c r="DO131" i="2" s="1"/>
  <c r="DP129" i="2" l="1"/>
  <c r="DP131" i="2" s="1"/>
  <c r="DQ135" i="2"/>
  <c r="DR135" i="2" l="1"/>
  <c r="DQ129" i="2"/>
  <c r="DQ131" i="2" s="1"/>
  <c r="DR129" i="2" l="1"/>
  <c r="DR131" i="2" s="1"/>
  <c r="DS135" i="2"/>
  <c r="DU135" i="2" l="1"/>
  <c r="DS129" i="2"/>
  <c r="DS131" i="2" s="1"/>
  <c r="DT131" i="2" s="1"/>
  <c r="DU129" i="2" l="1"/>
  <c r="DU131" i="2" s="1"/>
  <c r="DV135" i="2"/>
  <c r="DW135" i="2" l="1"/>
  <c r="DV129" i="2"/>
  <c r="DV131" i="2" s="1"/>
  <c r="DW129" i="2" l="1"/>
  <c r="DW131" i="2" s="1"/>
  <c r="DX135" i="2"/>
  <c r="DX129" i="2" s="1"/>
  <c r="DX131" i="2" s="1"/>
  <c r="DY131" i="2" l="1"/>
  <c r="DJ34" i="7"/>
  <c r="DJ24" i="7" s="1"/>
  <c r="DK34" i="7"/>
  <c r="DK24" i="7" s="1"/>
  <c r="DL34" i="7"/>
  <c r="DL24" i="7" s="1"/>
  <c r="DM34" i="7"/>
  <c r="DM24" i="7" s="1"/>
  <c r="DN34" i="7"/>
  <c r="DN24" i="7" s="1"/>
  <c r="DP34" i="7"/>
  <c r="DP24" i="7" s="1"/>
  <c r="DQ34" i="7"/>
  <c r="DQ24" i="7" s="1"/>
  <c r="DR34" i="7"/>
  <c r="DR24" i="7" s="1"/>
  <c r="DS34" i="7"/>
  <c r="DS24" i="7" s="1"/>
  <c r="DU34" i="7"/>
  <c r="DU24" i="7" s="1"/>
  <c r="DV34" i="7"/>
  <c r="DV24" i="7" s="1"/>
  <c r="DW34" i="7"/>
  <c r="DW24" i="7" s="1"/>
  <c r="DX34" i="7"/>
  <c r="DX24" i="7" s="1"/>
  <c r="DW36" i="7" l="1"/>
  <c r="DW37" i="7" s="1"/>
  <c r="BJ29" i="9" s="1"/>
  <c r="DW201" i="7"/>
  <c r="DW25" i="7"/>
  <c r="DO34" i="7"/>
  <c r="DO24" i="7" s="1"/>
  <c r="DO201" i="7" s="1"/>
  <c r="DK25" i="7"/>
  <c r="DK201" i="7"/>
  <c r="DK36" i="7"/>
  <c r="DK31" i="7" s="1"/>
  <c r="DU25" i="7"/>
  <c r="DU36" i="7"/>
  <c r="DU31" i="7" s="1"/>
  <c r="DU201" i="7"/>
  <c r="DP25" i="7"/>
  <c r="DP36" i="7"/>
  <c r="DP31" i="7" s="1"/>
  <c r="DP201" i="7"/>
  <c r="DL25" i="7"/>
  <c r="DL36" i="7"/>
  <c r="DL201" i="7"/>
  <c r="DS36" i="7"/>
  <c r="DS201" i="7"/>
  <c r="DS25" i="7"/>
  <c r="DV25" i="7"/>
  <c r="DV36" i="7"/>
  <c r="DV31" i="7" s="1"/>
  <c r="DV201" i="7"/>
  <c r="DQ25" i="7"/>
  <c r="DQ36" i="7"/>
  <c r="DQ31" i="7" s="1"/>
  <c r="DQ201" i="7"/>
  <c r="DM25" i="7"/>
  <c r="DM36" i="7"/>
  <c r="DM201" i="7"/>
  <c r="DX25" i="7"/>
  <c r="DX36" i="7"/>
  <c r="DX31" i="7" s="1"/>
  <c r="DX201" i="7"/>
  <c r="DR25" i="7"/>
  <c r="DR36" i="7"/>
  <c r="DR31" i="7" s="1"/>
  <c r="DR201" i="7"/>
  <c r="DN25" i="7"/>
  <c r="DN36" i="7"/>
  <c r="DN31" i="7" s="1"/>
  <c r="DN201" i="7"/>
  <c r="DJ25" i="7"/>
  <c r="DJ36" i="7"/>
  <c r="DJ201" i="7"/>
  <c r="DY34" i="7"/>
  <c r="DY24" i="7" s="1"/>
  <c r="DT34" i="7"/>
  <c r="DT24" i="7" s="1"/>
  <c r="DO36" i="7" l="1"/>
  <c r="DO38" i="7" s="1"/>
  <c r="DO25" i="7"/>
  <c r="BI85" i="5" s="1"/>
  <c r="DW31" i="7"/>
  <c r="DW158" i="2" s="1"/>
  <c r="DW200" i="7"/>
  <c r="DW144" i="2"/>
  <c r="DR158" i="2"/>
  <c r="DR32" i="7"/>
  <c r="DX158" i="2"/>
  <c r="DX32" i="7"/>
  <c r="DX144" i="2"/>
  <c r="DX37" i="7"/>
  <c r="DX38" i="7"/>
  <c r="BK31" i="9" s="1"/>
  <c r="DX174" i="7"/>
  <c r="DX200" i="7"/>
  <c r="DN158" i="2"/>
  <c r="DN32" i="7"/>
  <c r="DP158" i="2"/>
  <c r="DP32" i="7"/>
  <c r="DQ158" i="2"/>
  <c r="DQ32" i="7"/>
  <c r="DM144" i="2"/>
  <c r="DM37" i="7"/>
  <c r="DM38" i="7"/>
  <c r="AZ31" i="9" s="1"/>
  <c r="DM174" i="7"/>
  <c r="DM200" i="7"/>
  <c r="DU158" i="2"/>
  <c r="DU32" i="7"/>
  <c r="DL144" i="2"/>
  <c r="DL37" i="7"/>
  <c r="DL38" i="7"/>
  <c r="AY31" i="9" s="1"/>
  <c r="DL174" i="7"/>
  <c r="DL200" i="7"/>
  <c r="DP144" i="2"/>
  <c r="DP37" i="7"/>
  <c r="DP38" i="7"/>
  <c r="DP174" i="7"/>
  <c r="DP200" i="7"/>
  <c r="DV158" i="2"/>
  <c r="DV32" i="7"/>
  <c r="DY25" i="7"/>
  <c r="DY36" i="7"/>
  <c r="DY201" i="7"/>
  <c r="DJ144" i="2"/>
  <c r="DJ31" i="7"/>
  <c r="EJ36" i="7"/>
  <c r="DJ37" i="7"/>
  <c r="DJ38" i="7"/>
  <c r="DJ174" i="7"/>
  <c r="DJ200" i="7"/>
  <c r="DJ42" i="7"/>
  <c r="DN144" i="2"/>
  <c r="DN37" i="7"/>
  <c r="DN38" i="7"/>
  <c r="BA31" i="9" s="1"/>
  <c r="DN174" i="7"/>
  <c r="DN200" i="7"/>
  <c r="DR144" i="2"/>
  <c r="DR37" i="7"/>
  <c r="DR38" i="7"/>
  <c r="BE31" i="9" s="1"/>
  <c r="DR174" i="7"/>
  <c r="DR200" i="7"/>
  <c r="DW38" i="7"/>
  <c r="BJ31" i="9" s="1"/>
  <c r="DW174" i="7"/>
  <c r="DV144" i="2"/>
  <c r="DV37" i="7"/>
  <c r="DV38" i="7"/>
  <c r="BI31" i="9" s="1"/>
  <c r="DV174" i="7"/>
  <c r="DV200" i="7"/>
  <c r="DS144" i="2"/>
  <c r="DS37" i="7"/>
  <c r="DS38" i="7"/>
  <c r="BF31" i="9" s="1"/>
  <c r="DS174" i="7"/>
  <c r="DS200" i="7"/>
  <c r="DS31" i="7"/>
  <c r="DU144" i="2"/>
  <c r="DU37" i="7"/>
  <c r="DU38" i="7"/>
  <c r="BH31" i="9" s="1"/>
  <c r="DU174" i="7"/>
  <c r="DU200" i="7"/>
  <c r="DT25" i="7"/>
  <c r="DT36" i="7"/>
  <c r="DT201" i="7"/>
  <c r="DL31" i="7"/>
  <c r="DM31" i="7"/>
  <c r="DK158" i="2"/>
  <c r="DK32" i="7"/>
  <c r="AV85" i="5"/>
  <c r="AX85" i="5"/>
  <c r="BB85" i="5"/>
  <c r="DQ144" i="2"/>
  <c r="DQ37" i="7"/>
  <c r="DQ38" i="7"/>
  <c r="BD31" i="9" s="1"/>
  <c r="DQ174" i="7"/>
  <c r="DQ200" i="7"/>
  <c r="DK144" i="2"/>
  <c r="DK200" i="7"/>
  <c r="DK37" i="7"/>
  <c r="DK38" i="7"/>
  <c r="AX31" i="9" s="1"/>
  <c r="DK174" i="7"/>
  <c r="EK36" i="7" l="1"/>
  <c r="DO37" i="7"/>
  <c r="BB29" i="9" s="1"/>
  <c r="DO31" i="7"/>
  <c r="DO158" i="2" s="1"/>
  <c r="DO144" i="2"/>
  <c r="DO174" i="7"/>
  <c r="DO200" i="7"/>
  <c r="BC31" i="9"/>
  <c r="BI32" i="5"/>
  <c r="DW32" i="7"/>
  <c r="BD30" i="9"/>
  <c r="BD29" i="9"/>
  <c r="DL158" i="2"/>
  <c r="DL32" i="7"/>
  <c r="BH30" i="9"/>
  <c r="BH29" i="9"/>
  <c r="BE29" i="9"/>
  <c r="BE30" i="9"/>
  <c r="BJ30" i="9"/>
  <c r="AV89" i="5"/>
  <c r="AX89" i="5"/>
  <c r="BB89" i="5"/>
  <c r="AW29" i="9"/>
  <c r="AW30" i="9"/>
  <c r="BI87" i="5"/>
  <c r="BB31" i="9"/>
  <c r="BI29" i="9"/>
  <c r="BI30" i="9"/>
  <c r="BA29" i="9"/>
  <c r="BA30" i="9"/>
  <c r="DS158" i="2"/>
  <c r="DS32" i="7"/>
  <c r="BF29" i="9"/>
  <c r="BF30" i="9"/>
  <c r="BI89" i="5"/>
  <c r="DJ158" i="2"/>
  <c r="DJ32" i="7"/>
  <c r="DJ199" i="7"/>
  <c r="DY144" i="2"/>
  <c r="DY31" i="7"/>
  <c r="EM36" i="7"/>
  <c r="DY37" i="7"/>
  <c r="DY38" i="7"/>
  <c r="BL31" i="9" s="1"/>
  <c r="DY174" i="7"/>
  <c r="DY200" i="7"/>
  <c r="AY29" i="9"/>
  <c r="AY30" i="9"/>
  <c r="BK29" i="9"/>
  <c r="BK30" i="9"/>
  <c r="AX29" i="9"/>
  <c r="AX30" i="9"/>
  <c r="BC29" i="9"/>
  <c r="BC30" i="9"/>
  <c r="DM158" i="2"/>
  <c r="DM32" i="7"/>
  <c r="DT144" i="2"/>
  <c r="DT31" i="7"/>
  <c r="EL36" i="7"/>
  <c r="DT37" i="7"/>
  <c r="DT38" i="7"/>
  <c r="BG31" i="9" s="1"/>
  <c r="DT174" i="7"/>
  <c r="DT200" i="7"/>
  <c r="AV87" i="5"/>
  <c r="AX87" i="5"/>
  <c r="BB87" i="5"/>
  <c r="AW31" i="9"/>
  <c r="AZ30" i="9"/>
  <c r="AZ29" i="9"/>
  <c r="DO32" i="7" l="1"/>
  <c r="DO42" i="7"/>
  <c r="BB30" i="9"/>
  <c r="DO199" i="7"/>
  <c r="BG29" i="9"/>
  <c r="BG30" i="9"/>
  <c r="DT42" i="7"/>
  <c r="DY158" i="2"/>
  <c r="DY32" i="7"/>
  <c r="DY199" i="7"/>
  <c r="DT158" i="2"/>
  <c r="DT32" i="7"/>
  <c r="DT199" i="7"/>
  <c r="BL30" i="9"/>
  <c r="BL29" i="9"/>
  <c r="DY42" i="7"/>
  <c r="DI278" i="3"/>
  <c r="DI279" i="3" s="1"/>
  <c r="DI284" i="3" s="1"/>
  <c r="DI9" i="2"/>
  <c r="DJ9" i="2" s="1"/>
  <c r="DJ10" i="2" s="1"/>
  <c r="DI105" i="2"/>
  <c r="DJ105" i="2"/>
  <c r="DI115" i="2"/>
  <c r="DI101" i="2" s="1"/>
  <c r="DJ115" i="2"/>
  <c r="DJ101" i="2" s="1"/>
  <c r="DI130" i="2"/>
  <c r="DI131" i="2"/>
  <c r="DJ131" i="2" s="1"/>
  <c r="DI136" i="2"/>
  <c r="DI145" i="2"/>
  <c r="DI146" i="2"/>
  <c r="DI148" i="2" s="1"/>
  <c r="DI159" i="2"/>
  <c r="DI160" i="2" s="1"/>
  <c r="AV126" i="9"/>
  <c r="AV127" i="9"/>
  <c r="AV128" i="9" s="1"/>
  <c r="AV129" i="9"/>
  <c r="AV130" i="9" s="1"/>
  <c r="AV131" i="9"/>
  <c r="DJ107" i="2" l="1"/>
  <c r="DJ108" i="2" s="1"/>
  <c r="DI111" i="2"/>
  <c r="DI162" i="2"/>
  <c r="DI163" i="2"/>
  <c r="DJ90" i="2"/>
  <c r="DJ91" i="2" s="1"/>
  <c r="DJ95" i="2"/>
  <c r="DJ96" i="2" s="1"/>
  <c r="DJ102" i="2"/>
  <c r="DJ103" i="2" s="1"/>
  <c r="DJ68" i="2"/>
  <c r="DJ76" i="2" s="1"/>
  <c r="DJ58" i="2"/>
  <c r="AX38" i="5" s="1"/>
  <c r="DJ112" i="2"/>
  <c r="DJ113" i="2" s="1"/>
  <c r="DJ139" i="2"/>
  <c r="DJ124" i="2"/>
  <c r="DJ125" i="2" s="1"/>
  <c r="DI149" i="2"/>
  <c r="DI10" i="2"/>
  <c r="DI183" i="3" s="1"/>
  <c r="DI184" i="3" s="1"/>
  <c r="DJ106" i="2"/>
  <c r="DI106" i="2"/>
  <c r="DJ111" i="2"/>
  <c r="DI274" i="3"/>
  <c r="DJ291" i="3"/>
  <c r="DI291" i="3"/>
  <c r="DJ183" i="3"/>
  <c r="DJ32" i="3"/>
  <c r="DJ156" i="3"/>
  <c r="AV38" i="5" l="1"/>
  <c r="BB38" i="5"/>
  <c r="AV42" i="5"/>
  <c r="DI275" i="3"/>
  <c r="DI283" i="3" s="1"/>
  <c r="DI285" i="3" s="1"/>
  <c r="DN184" i="3"/>
  <c r="BB42" i="5"/>
  <c r="AX42" i="5"/>
  <c r="DI124" i="2"/>
  <c r="DI12" i="2"/>
  <c r="DI68" i="2"/>
  <c r="DI76" i="2" s="1"/>
  <c r="DI107" i="2"/>
  <c r="DI108" i="2" s="1"/>
  <c r="DI58" i="2"/>
  <c r="DI112" i="2"/>
  <c r="DI113" i="2" s="1"/>
  <c r="DI90" i="2"/>
  <c r="DI91" i="2" s="1"/>
  <c r="DI95" i="2"/>
  <c r="DI96" i="2" s="1"/>
  <c r="DI102" i="2"/>
  <c r="DI103" i="2" s="1"/>
  <c r="DI240" i="3"/>
  <c r="DI245" i="3"/>
  <c r="DJ139" i="3"/>
  <c r="DI270" i="3"/>
  <c r="DI272" i="3" s="1"/>
  <c r="DJ160" i="3"/>
  <c r="DJ278" i="3"/>
  <c r="DJ279" i="3" s="1"/>
  <c r="DJ284" i="3" s="1"/>
  <c r="DS184" i="3" l="1"/>
  <c r="DN275" i="3"/>
  <c r="DN283" i="3" s="1"/>
  <c r="DI59" i="2"/>
  <c r="DJ12" i="2"/>
  <c r="DI17" i="2"/>
  <c r="DI67" i="2"/>
  <c r="DI75" i="2" s="1"/>
  <c r="DI125" i="2"/>
  <c r="DN125" i="2"/>
  <c r="DJ184" i="3"/>
  <c r="DJ275" i="3" s="1"/>
  <c r="DJ283" i="3" s="1"/>
  <c r="DJ285" i="3" s="1"/>
  <c r="DJ270" i="3"/>
  <c r="DJ272" i="3" s="1"/>
  <c r="DJ274" i="3"/>
  <c r="DJ28" i="3"/>
  <c r="DJ34" i="3" s="1"/>
  <c r="DJ165" i="3"/>
  <c r="DJ240" i="3"/>
  <c r="DJ245" i="3"/>
  <c r="DI241" i="3"/>
  <c r="DI242" i="3" s="1"/>
  <c r="DI249" i="3"/>
  <c r="DX184" i="3" l="1"/>
  <c r="DX275" i="3" s="1"/>
  <c r="DX283" i="3" s="1"/>
  <c r="DS275" i="3"/>
  <c r="DS283" i="3" s="1"/>
  <c r="DI15" i="2"/>
  <c r="DI193" i="3" s="1"/>
  <c r="DI191" i="3" s="1"/>
  <c r="DI70" i="2"/>
  <c r="DI78" i="2" s="1"/>
  <c r="DI153" i="2"/>
  <c r="DI22" i="2"/>
  <c r="DI62" i="2"/>
  <c r="DJ17" i="2"/>
  <c r="DJ67" i="2"/>
  <c r="DJ59" i="2"/>
  <c r="DI299" i="3"/>
  <c r="DJ299" i="3"/>
  <c r="DJ318" i="3"/>
  <c r="DI72" i="2" l="1"/>
  <c r="DI24" i="2"/>
  <c r="DJ62" i="2"/>
  <c r="DJ70" i="2"/>
  <c r="DJ153" i="2"/>
  <c r="DJ22" i="2"/>
  <c r="DJ24" i="2" s="1"/>
  <c r="DJ15" i="2"/>
  <c r="DJ75" i="2"/>
  <c r="AV41" i="5"/>
  <c r="AX41" i="5"/>
  <c r="BB41" i="5"/>
  <c r="DI151" i="2"/>
  <c r="DI152" i="2"/>
  <c r="DI61" i="2"/>
  <c r="DI167" i="2"/>
  <c r="DI69" i="2"/>
  <c r="DI77" i="2" s="1"/>
  <c r="DI67" i="8"/>
  <c r="DI166" i="2" l="1"/>
  <c r="DI165" i="2"/>
  <c r="DJ27" i="2"/>
  <c r="DJ29" i="2" s="1"/>
  <c r="DJ71" i="2"/>
  <c r="DJ79" i="2" s="1"/>
  <c r="DI34" i="2"/>
  <c r="DI27" i="2"/>
  <c r="DI35" i="2"/>
  <c r="DI71" i="2"/>
  <c r="DI79" i="2" s="1"/>
  <c r="DJ78" i="2"/>
  <c r="AV46" i="5"/>
  <c r="AV43" i="5"/>
  <c r="BB43" i="5"/>
  <c r="AX46" i="5"/>
  <c r="AX43" i="5"/>
  <c r="BB46" i="5"/>
  <c r="DJ72" i="2"/>
  <c r="DJ67" i="8"/>
  <c r="DJ167" i="2"/>
  <c r="DJ227" i="3"/>
  <c r="DJ230" i="3" s="1"/>
  <c r="DJ61" i="2"/>
  <c r="DJ69" i="2"/>
  <c r="DJ77" i="2" s="1"/>
  <c r="DJ193" i="3"/>
  <c r="DJ191" i="3" s="1"/>
  <c r="AX39" i="5"/>
  <c r="BB39" i="5"/>
  <c r="AV39" i="5"/>
  <c r="AV49" i="5" l="1"/>
  <c r="AX49" i="5"/>
  <c r="BB49" i="5"/>
  <c r="DJ297" i="3"/>
  <c r="DJ301" i="3" s="1"/>
  <c r="DJ31" i="2"/>
  <c r="DJ63" i="2"/>
  <c r="DJ35" i="2"/>
  <c r="DJ34" i="2"/>
  <c r="DJ32" i="2"/>
  <c r="DI29" i="2"/>
  <c r="DJ43" i="2"/>
  <c r="DJ45" i="2" s="1"/>
  <c r="DJ38" i="2" s="1"/>
  <c r="DI297" i="3" l="1"/>
  <c r="DI301" i="3" s="1"/>
  <c r="DI31" i="2"/>
  <c r="DI63" i="2"/>
  <c r="DI32" i="2"/>
  <c r="DJ36" i="2"/>
  <c r="AW34" i="9"/>
  <c r="AW134" i="9" s="1"/>
  <c r="DJ303" i="3"/>
  <c r="DJ306" i="3"/>
  <c r="DJ309" i="3"/>
  <c r="DI210" i="3"/>
  <c r="DI209" i="3"/>
  <c r="DJ8" i="3"/>
  <c r="DJ209" i="3" l="1"/>
  <c r="DJ210" i="3"/>
  <c r="DJ316" i="3"/>
  <c r="DJ319" i="3" s="1"/>
  <c r="DJ323" i="3" s="1"/>
  <c r="DJ310" i="3"/>
  <c r="DJ307" i="3"/>
  <c r="DI36" i="2"/>
  <c r="AV34" i="9"/>
  <c r="AV134" i="9" s="1"/>
  <c r="DI312" i="3"/>
  <c r="DJ35" i="3"/>
  <c r="DI211" i="3"/>
  <c r="DJ174" i="3"/>
  <c r="DJ178" i="3" s="1"/>
  <c r="DI309" i="3"/>
  <c r="DI303" i="3"/>
  <c r="DI306" i="3"/>
  <c r="DI310" i="3" s="1"/>
  <c r="DJ179" i="3" l="1"/>
  <c r="DJ223" i="3"/>
  <c r="DJ225" i="3" s="1"/>
  <c r="DJ63" i="3"/>
  <c r="AX59" i="5"/>
  <c r="AX61" i="5" s="1"/>
  <c r="DJ312" i="3"/>
  <c r="AV59" i="5"/>
  <c r="AV61" i="5" s="1"/>
  <c r="BB59" i="5"/>
  <c r="BB61" i="5" s="1"/>
  <c r="DJ211" i="3"/>
  <c r="DJ65" i="3" l="1"/>
  <c r="DK64" i="3"/>
  <c r="DI67" i="3"/>
  <c r="DI216" i="3" l="1"/>
  <c r="DI218" i="3" s="1"/>
  <c r="DI251" i="3"/>
  <c r="DJ137" i="3"/>
  <c r="DJ67" i="3" s="1"/>
  <c r="DI11" i="8"/>
  <c r="DI13" i="8" s="1"/>
  <c r="DI15" i="8" s="1"/>
  <c r="DO64" i="3"/>
  <c r="DJ216" i="3" l="1"/>
  <c r="DJ218" i="3" s="1"/>
  <c r="DJ143" i="3"/>
  <c r="DJ251" i="3"/>
  <c r="DJ11" i="8"/>
  <c r="DI250" i="3"/>
  <c r="DI244" i="3"/>
  <c r="DI246" i="3" s="1"/>
  <c r="DI247" i="3" s="1"/>
  <c r="DO10" i="8" l="1"/>
  <c r="DK10" i="8"/>
  <c r="DI252" i="3"/>
  <c r="DJ250" i="3"/>
  <c r="DJ152" i="3"/>
  <c r="DJ239" i="3"/>
  <c r="DJ244" i="3"/>
  <c r="DJ246" i="3" s="1"/>
  <c r="DJ247" i="3" s="1"/>
  <c r="DJ232" i="3"/>
  <c r="DJ221" i="3"/>
  <c r="DJ233" i="3"/>
  <c r="DJ241" i="3" l="1"/>
  <c r="DJ242" i="3" s="1"/>
  <c r="DJ249" i="3"/>
  <c r="DJ181" i="3"/>
  <c r="DJ252" i="3"/>
  <c r="DJ10" i="6"/>
  <c r="DJ11" i="6"/>
  <c r="DJ12" i="6"/>
  <c r="DJ19" i="6"/>
  <c r="DJ32" i="6"/>
  <c r="DJ24" i="6" s="1"/>
  <c r="DJ40" i="6"/>
  <c r="DJ44" i="6"/>
  <c r="DJ46" i="6"/>
  <c r="DJ60" i="6" s="1"/>
  <c r="DJ49" i="6"/>
  <c r="DJ51" i="6"/>
  <c r="DJ63" i="6"/>
  <c r="DJ114" i="6"/>
  <c r="DJ120" i="6" s="1"/>
  <c r="DJ122" i="6"/>
  <c r="DJ123" i="6" s="1"/>
  <c r="DJ125" i="6"/>
  <c r="DJ132" i="6"/>
  <c r="DJ139" i="6" s="1"/>
  <c r="DJ221" i="6"/>
  <c r="DJ242" i="6"/>
  <c r="DN245" i="6"/>
  <c r="DO245" i="6"/>
  <c r="DJ256" i="6"/>
  <c r="DJ295" i="6"/>
  <c r="DJ300" i="6" s="1"/>
  <c r="DJ301" i="6"/>
  <c r="DN301" i="6"/>
  <c r="DO301" i="6"/>
  <c r="DJ223" i="6" l="1"/>
  <c r="DJ67" i="6"/>
  <c r="DJ48" i="6"/>
  <c r="DJ47" i="6"/>
  <c r="DJ14" i="6"/>
  <c r="DJ243" i="6" s="1"/>
  <c r="DJ244" i="6" s="1"/>
  <c r="DJ17" i="6"/>
  <c r="DJ189" i="3" s="1"/>
  <c r="DJ190" i="3" s="1"/>
  <c r="DJ245" i="6"/>
  <c r="DJ25" i="6"/>
  <c r="DJ34" i="6"/>
  <c r="DJ654" i="6" l="1"/>
  <c r="DJ655" i="6" s="1"/>
  <c r="DJ20" i="6"/>
  <c r="DJ41" i="6"/>
  <c r="DJ124" i="6"/>
  <c r="DJ143" i="6"/>
  <c r="DJ248" i="6"/>
  <c r="DJ249" i="6" s="1"/>
  <c r="DJ27" i="6"/>
  <c r="DJ55" i="6"/>
  <c r="DJ15" i="6"/>
  <c r="DJ65" i="6"/>
  <c r="DJ68" i="6"/>
  <c r="DJ42" i="6"/>
  <c r="DJ43" i="6" s="1"/>
  <c r="AV71" i="5"/>
  <c r="AX71" i="5"/>
  <c r="BB71" i="5"/>
  <c r="DJ145" i="2"/>
  <c r="DJ35" i="6"/>
  <c r="DJ29" i="6"/>
  <c r="DJ50" i="6"/>
  <c r="DJ36" i="6"/>
  <c r="EA34" i="6"/>
  <c r="DJ56" i="6" l="1"/>
  <c r="DJ58" i="6"/>
  <c r="DJ61" i="6"/>
  <c r="DJ224" i="6" s="1"/>
  <c r="DJ222" i="6"/>
  <c r="AX70" i="5"/>
  <c r="AW127" i="9"/>
  <c r="AW128" i="9" s="1"/>
  <c r="BB70" i="5"/>
  <c r="AV70" i="5"/>
  <c r="AX66" i="5"/>
  <c r="BB66" i="5"/>
  <c r="AV66" i="5"/>
  <c r="AW126" i="9"/>
  <c r="AX73" i="5"/>
  <c r="BB73" i="5"/>
  <c r="AV73" i="5"/>
  <c r="AW131" i="9"/>
  <c r="DJ159" i="2"/>
  <c r="DJ30" i="6"/>
  <c r="DJ297" i="6"/>
  <c r="DJ146" i="2"/>
  <c r="DJ148" i="2" s="1"/>
  <c r="BB75" i="5"/>
  <c r="AV75" i="5"/>
  <c r="AX75" i="5"/>
  <c r="AW129" i="9"/>
  <c r="AW130" i="9" s="1"/>
  <c r="DJ37" i="6"/>
  <c r="DJ151" i="2" l="1"/>
  <c r="DJ41" i="7"/>
  <c r="AW22" i="9" s="1"/>
  <c r="DJ40" i="7"/>
  <c r="AW33" i="9" s="1"/>
  <c r="DJ302" i="6"/>
  <c r="DJ296" i="6"/>
  <c r="DJ149" i="2"/>
  <c r="DJ160" i="2"/>
  <c r="DJ162" i="2" s="1"/>
  <c r="DJ165" i="2" s="1"/>
  <c r="DJ163" i="2" l="1"/>
  <c r="DJ166" i="2" s="1"/>
  <c r="DJ152" i="2"/>
  <c r="DJ71" i="6"/>
  <c r="AW122" i="9" s="1"/>
  <c r="DJ70" i="6"/>
  <c r="AW133" i="9" s="1"/>
  <c r="AV133" i="9"/>
  <c r="AV122" i="9"/>
  <c r="AV33" i="9"/>
  <c r="AV22" i="9"/>
  <c r="DO137" i="3" l="1"/>
  <c r="DT137" i="3"/>
  <c r="DY137" i="3"/>
  <c r="DK216" i="3"/>
  <c r="DL216" i="3"/>
  <c r="DL218" i="3" s="1"/>
  <c r="DM216" i="3"/>
  <c r="DN216" i="3"/>
  <c r="DN218" i="3" s="1"/>
  <c r="DO216" i="3"/>
  <c r="DP216" i="3"/>
  <c r="DP218" i="3" s="1"/>
  <c r="DQ216" i="3"/>
  <c r="DR216" i="3"/>
  <c r="DR218" i="3" s="1"/>
  <c r="DS216" i="3"/>
  <c r="DT216" i="3"/>
  <c r="DT218" i="3" s="1"/>
  <c r="DU216" i="3"/>
  <c r="DV216" i="3"/>
  <c r="DV218" i="3" s="1"/>
  <c r="DW216" i="3"/>
  <c r="DX216" i="3"/>
  <c r="DX218" i="3" s="1"/>
  <c r="DY216" i="3"/>
  <c r="DK218" i="3"/>
  <c r="DM218" i="3"/>
  <c r="DO218" i="3"/>
  <c r="DQ218" i="3"/>
  <c r="DS218" i="3"/>
  <c r="DU218" i="3"/>
  <c r="DW218" i="3"/>
  <c r="DY218" i="3"/>
  <c r="DM10" i="8"/>
  <c r="DP10" i="8"/>
  <c r="DP13" i="8" s="1"/>
  <c r="DT10" i="8"/>
  <c r="DX10" i="8"/>
  <c r="DX13" i="8" s="1"/>
  <c r="DX19" i="2" s="1"/>
  <c r="DX18" i="2" s="1"/>
  <c r="DX305" i="3" s="1"/>
  <c r="DK11" i="8"/>
  <c r="DL11" i="8"/>
  <c r="DM11" i="8"/>
  <c r="DN10" i="8" s="1"/>
  <c r="DN13" i="8" s="1"/>
  <c r="DN11" i="8"/>
  <c r="DO11" i="8"/>
  <c r="DP11" i="8"/>
  <c r="DQ10" i="8" s="1"/>
  <c r="DQ11" i="8"/>
  <c r="DR11" i="8"/>
  <c r="DS10" i="8" s="1"/>
  <c r="DS11" i="8"/>
  <c r="DT11" i="8"/>
  <c r="DU10" i="8" s="1"/>
  <c r="DU11" i="8"/>
  <c r="DV10" i="8" s="1"/>
  <c r="DV13" i="8" s="1"/>
  <c r="DV19" i="2" s="1"/>
  <c r="DV11" i="8"/>
  <c r="DW10" i="8" s="1"/>
  <c r="DW13" i="8" s="1"/>
  <c r="DW11" i="8"/>
  <c r="DX11" i="8"/>
  <c r="DY11" i="8"/>
  <c r="DS13" i="8"/>
  <c r="DS19" i="2" s="1"/>
  <c r="DN14" i="8"/>
  <c r="DN15" i="8" s="1"/>
  <c r="DN19" i="2"/>
  <c r="DN18" i="2" s="1"/>
  <c r="DN305" i="3" s="1"/>
  <c r="DP19" i="2"/>
  <c r="DP14" i="8" s="1"/>
  <c r="DP15" i="8" s="1"/>
  <c r="DW19" i="2"/>
  <c r="DW14" i="8" s="1"/>
  <c r="DW15" i="8" s="1"/>
  <c r="DV14" i="8" l="1"/>
  <c r="DV15" i="8" s="1"/>
  <c r="DV18" i="2"/>
  <c r="DV305" i="3" s="1"/>
  <c r="DQ13" i="8"/>
  <c r="DQ19" i="2" s="1"/>
  <c r="DR10" i="8"/>
  <c r="DR13" i="8" s="1"/>
  <c r="DR19" i="2" s="1"/>
  <c r="DX14" i="8"/>
  <c r="DX15" i="8" s="1"/>
  <c r="DS14" i="8"/>
  <c r="DS15" i="8" s="1"/>
  <c r="DS18" i="2"/>
  <c r="DS305" i="3" s="1"/>
  <c r="DM13" i="8"/>
  <c r="DM19" i="2" s="1"/>
  <c r="DW18" i="2"/>
  <c r="DW305" i="3" s="1"/>
  <c r="DL10" i="8"/>
  <c r="DL13" i="8" s="1"/>
  <c r="DL19" i="2" s="1"/>
  <c r="DK13" i="8"/>
  <c r="DK19" i="2" s="1"/>
  <c r="DP18" i="2"/>
  <c r="DU13" i="8"/>
  <c r="DU19" i="2" s="1"/>
  <c r="DY10" i="8"/>
  <c r="DP305" i="3" l="1"/>
  <c r="DM14" i="8"/>
  <c r="DM15" i="8" s="1"/>
  <c r="DM18" i="2"/>
  <c r="DM305" i="3" s="1"/>
  <c r="DR14" i="8"/>
  <c r="DR15" i="8" s="1"/>
  <c r="DR18" i="2"/>
  <c r="DR305" i="3" s="1"/>
  <c r="DK14" i="8"/>
  <c r="DK15" i="8" s="1"/>
  <c r="DO19" i="2"/>
  <c r="DK18" i="2"/>
  <c r="DQ14" i="8"/>
  <c r="DQ15" i="8" s="1"/>
  <c r="DT19" i="2"/>
  <c r="DQ18" i="2"/>
  <c r="DQ305" i="3" s="1"/>
  <c r="DL14" i="8"/>
  <c r="DL15" i="8" s="1"/>
  <c r="DL18" i="2"/>
  <c r="DL305" i="3" s="1"/>
  <c r="DU14" i="8"/>
  <c r="DU15" i="8" s="1"/>
  <c r="DY19" i="2"/>
  <c r="DU18" i="2"/>
  <c r="DU305" i="3" l="1"/>
  <c r="DY18" i="2"/>
  <c r="DY305" i="3" s="1"/>
  <c r="DK305" i="3"/>
  <c r="DO18" i="2"/>
  <c r="BI15" i="5"/>
  <c r="DT18" i="2"/>
  <c r="DT305" i="3" s="1"/>
  <c r="DO305" i="3" l="1"/>
  <c r="BI48" i="5"/>
  <c r="BI44" i="5"/>
  <c r="DK8" i="3"/>
  <c r="DL8" i="3"/>
  <c r="DM8" i="3"/>
  <c r="DN8" i="3"/>
  <c r="DO8" i="3"/>
  <c r="DP8" i="3"/>
  <c r="DQ8" i="3"/>
  <c r="DR8" i="3"/>
  <c r="DS8" i="3"/>
  <c r="DT8" i="3"/>
  <c r="DU8" i="3"/>
  <c r="DV8" i="3"/>
  <c r="DW8" i="3"/>
  <c r="DX8" i="3"/>
  <c r="DY8" i="3"/>
  <c r="DK28" i="3"/>
  <c r="DL28" i="3"/>
  <c r="DM28" i="3"/>
  <c r="DN28" i="3"/>
  <c r="DO28" i="3"/>
  <c r="DP28" i="3"/>
  <c r="DQ28" i="3"/>
  <c r="DR28" i="3"/>
  <c r="DS28" i="3"/>
  <c r="DT28" i="3"/>
  <c r="DU28" i="3"/>
  <c r="DV28" i="3"/>
  <c r="DW28" i="3"/>
  <c r="DX28" i="3"/>
  <c r="DY28" i="3"/>
  <c r="DK29" i="3"/>
  <c r="DL29" i="3"/>
  <c r="DM29" i="3"/>
  <c r="DN29" i="3"/>
  <c r="DO29" i="3"/>
  <c r="DP29" i="3"/>
  <c r="DQ29" i="3"/>
  <c r="DR29" i="3"/>
  <c r="DS29" i="3"/>
  <c r="DT29" i="3"/>
  <c r="DU29" i="3"/>
  <c r="DV29" i="3"/>
  <c r="DW29" i="3"/>
  <c r="DX29" i="3"/>
  <c r="DY29" i="3"/>
  <c r="DK31" i="3"/>
  <c r="DL31" i="3"/>
  <c r="DM31" i="3"/>
  <c r="DN31" i="3"/>
  <c r="DO31" i="3"/>
  <c r="DP31" i="3"/>
  <c r="DQ31" i="3"/>
  <c r="DR31" i="3"/>
  <c r="DS31" i="3"/>
  <c r="DT31" i="3"/>
  <c r="DU31" i="3"/>
  <c r="DV31" i="3"/>
  <c r="DW31" i="3"/>
  <c r="DX31" i="3"/>
  <c r="DY31" i="3"/>
  <c r="DK32" i="3"/>
  <c r="DL32" i="3"/>
  <c r="DM32" i="3"/>
  <c r="DN32" i="3"/>
  <c r="DO32" i="3"/>
  <c r="DP32" i="3"/>
  <c r="DQ32" i="3"/>
  <c r="DR32" i="3"/>
  <c r="DS32" i="3"/>
  <c r="DT32" i="3"/>
  <c r="DU32" i="3"/>
  <c r="DV32" i="3"/>
  <c r="DW32" i="3"/>
  <c r="DX32" i="3"/>
  <c r="DY32" i="3"/>
  <c r="DK34" i="3"/>
  <c r="DL34" i="3"/>
  <c r="DM34" i="3"/>
  <c r="DN34" i="3"/>
  <c r="DO34" i="3"/>
  <c r="DP34" i="3"/>
  <c r="DQ34" i="3"/>
  <c r="DR34" i="3"/>
  <c r="DS34" i="3"/>
  <c r="DT34" i="3"/>
  <c r="DU34" i="3"/>
  <c r="DV34" i="3"/>
  <c r="DW34" i="3"/>
  <c r="DX34" i="3"/>
  <c r="DY34" i="3"/>
  <c r="DK35" i="3"/>
  <c r="DL35" i="3"/>
  <c r="DM35" i="3"/>
  <c r="DN35" i="3"/>
  <c r="DO35" i="3"/>
  <c r="DP35" i="3"/>
  <c r="DQ35" i="3"/>
  <c r="DR35" i="3"/>
  <c r="DS35" i="3"/>
  <c r="DT35" i="3"/>
  <c r="DU35" i="3"/>
  <c r="DV35" i="3"/>
  <c r="DW35" i="3"/>
  <c r="DX35" i="3"/>
  <c r="DY35" i="3"/>
  <c r="DK63" i="3"/>
  <c r="DL63" i="3"/>
  <c r="DM63" i="3"/>
  <c r="DN63" i="3"/>
  <c r="DO63" i="3"/>
  <c r="DP63" i="3"/>
  <c r="DQ63" i="3"/>
  <c r="DR63" i="3"/>
  <c r="DS63" i="3"/>
  <c r="DT63" i="3"/>
  <c r="DU63" i="3"/>
  <c r="DV63" i="3"/>
  <c r="DW63" i="3"/>
  <c r="DX63" i="3"/>
  <c r="DY63" i="3"/>
  <c r="DL64" i="3"/>
  <c r="DM64" i="3"/>
  <c r="DN64" i="3"/>
  <c r="DP64" i="3"/>
  <c r="DQ64" i="3"/>
  <c r="DR64" i="3"/>
  <c r="DS64" i="3"/>
  <c r="DT64" i="3"/>
  <c r="DU64" i="3"/>
  <c r="DV64" i="3"/>
  <c r="DW64" i="3"/>
  <c r="DX64" i="3"/>
  <c r="DY64" i="3"/>
  <c r="DK65" i="3"/>
  <c r="DL65" i="3"/>
  <c r="DM65" i="3"/>
  <c r="DN65" i="3"/>
  <c r="DO65" i="3"/>
  <c r="DP65" i="3"/>
  <c r="DQ65" i="3"/>
  <c r="DR65" i="3"/>
  <c r="DS65" i="3"/>
  <c r="DT65" i="3"/>
  <c r="DU65" i="3"/>
  <c r="DV65" i="3"/>
  <c r="DW65" i="3"/>
  <c r="DX65" i="3"/>
  <c r="DY65" i="3"/>
  <c r="DK67" i="3"/>
  <c r="DL67" i="3"/>
  <c r="DM67" i="3"/>
  <c r="DN67" i="3"/>
  <c r="DO67" i="3"/>
  <c r="DP67" i="3"/>
  <c r="DQ67" i="3"/>
  <c r="DR67" i="3"/>
  <c r="DS67" i="3"/>
  <c r="DT67" i="3"/>
  <c r="DU67" i="3"/>
  <c r="DV67" i="3"/>
  <c r="DW67" i="3"/>
  <c r="DX67" i="3"/>
  <c r="DY67" i="3"/>
  <c r="DK139" i="3"/>
  <c r="DL139" i="3"/>
  <c r="DM139" i="3"/>
  <c r="DN139" i="3"/>
  <c r="DO139" i="3"/>
  <c r="DP139" i="3"/>
  <c r="DQ139" i="3"/>
  <c r="DR139" i="3"/>
  <c r="DS139" i="3"/>
  <c r="DT139" i="3"/>
  <c r="DU139" i="3"/>
  <c r="DV139" i="3"/>
  <c r="DW139" i="3"/>
  <c r="DX139" i="3"/>
  <c r="DY139" i="3"/>
  <c r="DK140" i="3"/>
  <c r="DL140" i="3"/>
  <c r="DM140" i="3"/>
  <c r="DN140" i="3"/>
  <c r="DO140" i="3"/>
  <c r="DP140" i="3"/>
  <c r="DQ140" i="3"/>
  <c r="DR140" i="3"/>
  <c r="DS140" i="3"/>
  <c r="DT140" i="3"/>
  <c r="DU140" i="3"/>
  <c r="DV140" i="3"/>
  <c r="DW140" i="3"/>
  <c r="DX140" i="3"/>
  <c r="DY140" i="3"/>
  <c r="DK143" i="3"/>
  <c r="DL143" i="3"/>
  <c r="DM143" i="3"/>
  <c r="DN143" i="3"/>
  <c r="DO143" i="3"/>
  <c r="DP143" i="3"/>
  <c r="DQ143" i="3"/>
  <c r="DR143" i="3"/>
  <c r="DS143" i="3"/>
  <c r="DT143" i="3"/>
  <c r="DU143" i="3"/>
  <c r="DV143" i="3"/>
  <c r="DW143" i="3"/>
  <c r="DX143" i="3"/>
  <c r="DY143" i="3"/>
  <c r="DK152" i="3"/>
  <c r="DL152" i="3"/>
  <c r="DM152" i="3"/>
  <c r="DN152" i="3"/>
  <c r="DO152" i="3"/>
  <c r="DP152" i="3"/>
  <c r="DQ152" i="3"/>
  <c r="DR152" i="3"/>
  <c r="DS152" i="3"/>
  <c r="DT152" i="3"/>
  <c r="DU152" i="3"/>
  <c r="DV152" i="3"/>
  <c r="DW152" i="3"/>
  <c r="DX152" i="3"/>
  <c r="DY152" i="3"/>
  <c r="DK155" i="3"/>
  <c r="DL155" i="3"/>
  <c r="DM155" i="3"/>
  <c r="DN155" i="3"/>
  <c r="DO155" i="3"/>
  <c r="DP155" i="3"/>
  <c r="DQ155" i="3"/>
  <c r="DR155" i="3"/>
  <c r="DS155" i="3"/>
  <c r="DT155" i="3"/>
  <c r="DU155" i="3"/>
  <c r="DV155" i="3"/>
  <c r="DW155" i="3"/>
  <c r="DX155" i="3"/>
  <c r="DY155" i="3"/>
  <c r="DK156" i="3"/>
  <c r="DL156" i="3"/>
  <c r="DM156" i="3"/>
  <c r="DN156" i="3"/>
  <c r="DO156" i="3"/>
  <c r="DP156" i="3"/>
  <c r="DQ156" i="3"/>
  <c r="DR156" i="3"/>
  <c r="DS156" i="3"/>
  <c r="DT156" i="3"/>
  <c r="DU156" i="3"/>
  <c r="DV156" i="3"/>
  <c r="DW156" i="3"/>
  <c r="DX156" i="3"/>
  <c r="DY156" i="3"/>
  <c r="DK160" i="3"/>
  <c r="DL160" i="3"/>
  <c r="DM160" i="3"/>
  <c r="DN160" i="3"/>
  <c r="DO160" i="3"/>
  <c r="DP160" i="3"/>
  <c r="DQ160" i="3"/>
  <c r="DR160" i="3"/>
  <c r="DS160" i="3"/>
  <c r="DT160" i="3"/>
  <c r="DU160" i="3"/>
  <c r="DV160" i="3"/>
  <c r="DW160" i="3"/>
  <c r="DX160" i="3"/>
  <c r="DY160" i="3"/>
  <c r="DK165" i="3"/>
  <c r="DL165" i="3"/>
  <c r="DM165" i="3"/>
  <c r="DN165" i="3"/>
  <c r="DO165" i="3"/>
  <c r="DP165" i="3"/>
  <c r="DQ165" i="3"/>
  <c r="DR165" i="3"/>
  <c r="DS165" i="3"/>
  <c r="DT165" i="3"/>
  <c r="DU165" i="3"/>
  <c r="DV165" i="3"/>
  <c r="DW165" i="3"/>
  <c r="DX165" i="3"/>
  <c r="DY165" i="3"/>
  <c r="DK174" i="3"/>
  <c r="DL174" i="3"/>
  <c r="DM174" i="3"/>
  <c r="DN174" i="3"/>
  <c r="DO174" i="3"/>
  <c r="DP174" i="3"/>
  <c r="DQ174" i="3"/>
  <c r="DR174" i="3"/>
  <c r="DS174" i="3"/>
  <c r="DT174" i="3"/>
  <c r="DU174" i="3"/>
  <c r="DV174" i="3"/>
  <c r="DW174" i="3"/>
  <c r="DX174" i="3"/>
  <c r="DY174" i="3"/>
  <c r="DK178" i="3"/>
  <c r="DL178" i="3"/>
  <c r="DM178" i="3"/>
  <c r="DN178" i="3"/>
  <c r="DO178" i="3"/>
  <c r="DP178" i="3"/>
  <c r="DQ178" i="3"/>
  <c r="DR178" i="3"/>
  <c r="DS178" i="3"/>
  <c r="DT178" i="3"/>
  <c r="DU178" i="3"/>
  <c r="DV178" i="3"/>
  <c r="DW178" i="3"/>
  <c r="DX178" i="3"/>
  <c r="DY178" i="3"/>
  <c r="DK179" i="3"/>
  <c r="DL179" i="3"/>
  <c r="DM179" i="3"/>
  <c r="DN179" i="3"/>
  <c r="DO179" i="3"/>
  <c r="DP179" i="3"/>
  <c r="DQ179" i="3"/>
  <c r="DR179" i="3"/>
  <c r="DS179" i="3"/>
  <c r="DT179" i="3"/>
  <c r="DU179" i="3"/>
  <c r="DV179" i="3"/>
  <c r="DW179" i="3"/>
  <c r="DX179" i="3"/>
  <c r="DY179" i="3"/>
  <c r="DK181" i="3"/>
  <c r="DL181" i="3"/>
  <c r="DM181" i="3"/>
  <c r="DN181" i="3"/>
  <c r="DO181" i="3"/>
  <c r="DP181" i="3"/>
  <c r="DQ181" i="3"/>
  <c r="DR181" i="3"/>
  <c r="DS181" i="3"/>
  <c r="DT181" i="3"/>
  <c r="DU181" i="3"/>
  <c r="DV181" i="3"/>
  <c r="DW181" i="3"/>
  <c r="DX181" i="3"/>
  <c r="DY181" i="3"/>
  <c r="DK183" i="3"/>
  <c r="DL183" i="3"/>
  <c r="DM183" i="3"/>
  <c r="DN183" i="3"/>
  <c r="DO183" i="3"/>
  <c r="DP183" i="3"/>
  <c r="DQ183" i="3"/>
  <c r="DR183" i="3"/>
  <c r="DS183" i="3"/>
  <c r="DT183" i="3"/>
  <c r="DU183" i="3"/>
  <c r="DV183" i="3"/>
  <c r="DW183" i="3"/>
  <c r="DX183" i="3"/>
  <c r="DY183" i="3"/>
  <c r="DO184" i="3"/>
  <c r="DT184" i="3"/>
  <c r="DY184" i="3"/>
  <c r="DK185" i="3"/>
  <c r="DL185" i="3"/>
  <c r="DM185" i="3"/>
  <c r="DN185" i="3"/>
  <c r="DO185" i="3"/>
  <c r="DP185" i="3"/>
  <c r="DQ185" i="3"/>
  <c r="DR185" i="3"/>
  <c r="DS185" i="3"/>
  <c r="DT185" i="3"/>
  <c r="DU185" i="3"/>
  <c r="DV185" i="3"/>
  <c r="DW185" i="3"/>
  <c r="DX185" i="3"/>
  <c r="DY185" i="3"/>
  <c r="DO186" i="3"/>
  <c r="DT186" i="3"/>
  <c r="DY186" i="3"/>
  <c r="DK187" i="3"/>
  <c r="DL187" i="3"/>
  <c r="DM187" i="3"/>
  <c r="DN187" i="3"/>
  <c r="DO187" i="3"/>
  <c r="DP187" i="3"/>
  <c r="DQ187" i="3"/>
  <c r="DR187" i="3"/>
  <c r="DS187" i="3"/>
  <c r="DT187" i="3"/>
  <c r="DU187" i="3"/>
  <c r="DV187" i="3"/>
  <c r="DW187" i="3"/>
  <c r="DX187" i="3"/>
  <c r="DY187" i="3"/>
  <c r="DO188" i="3"/>
  <c r="DT188" i="3"/>
  <c r="DY188" i="3"/>
  <c r="DK189" i="3"/>
  <c r="DL189" i="3"/>
  <c r="DM189" i="3"/>
  <c r="DN189" i="3"/>
  <c r="DO189" i="3"/>
  <c r="DP189" i="3"/>
  <c r="DQ189" i="3"/>
  <c r="DR189" i="3"/>
  <c r="DS189" i="3"/>
  <c r="DT189" i="3"/>
  <c r="DU189" i="3"/>
  <c r="DV189" i="3"/>
  <c r="DW189" i="3"/>
  <c r="DX189" i="3"/>
  <c r="DY189" i="3"/>
  <c r="DO190" i="3"/>
  <c r="DT190" i="3"/>
  <c r="DY190" i="3"/>
  <c r="DK191" i="3"/>
  <c r="DL191" i="3"/>
  <c r="DM191" i="3"/>
  <c r="DN191" i="3"/>
  <c r="DO191" i="3"/>
  <c r="DP191" i="3"/>
  <c r="DQ191" i="3"/>
  <c r="DR191" i="3"/>
  <c r="DS191" i="3"/>
  <c r="DT191" i="3"/>
  <c r="DU191" i="3"/>
  <c r="DV191" i="3"/>
  <c r="DW191" i="3"/>
  <c r="DX191" i="3"/>
  <c r="DY191" i="3"/>
  <c r="DK193" i="3"/>
  <c r="DL193" i="3"/>
  <c r="DM193" i="3"/>
  <c r="DN193" i="3"/>
  <c r="DO193" i="3"/>
  <c r="DP193" i="3"/>
  <c r="DQ193" i="3"/>
  <c r="DR193" i="3"/>
  <c r="DS193" i="3"/>
  <c r="DT193" i="3"/>
  <c r="DU193" i="3"/>
  <c r="DV193" i="3"/>
  <c r="DW193" i="3"/>
  <c r="DX193" i="3"/>
  <c r="DY193" i="3"/>
  <c r="CR200" i="3"/>
  <c r="CS200" i="3"/>
  <c r="CR202" i="3"/>
  <c r="CS202" i="3"/>
  <c r="CU202" i="3"/>
  <c r="CR204" i="3"/>
  <c r="CS204" i="3"/>
  <c r="CT204" i="3"/>
  <c r="CU204" i="3"/>
  <c r="CR205" i="3"/>
  <c r="CS205" i="3"/>
  <c r="CT205" i="3"/>
  <c r="CU205" i="3"/>
  <c r="CR209" i="3"/>
  <c r="CS209" i="3"/>
  <c r="CT209" i="3"/>
  <c r="CU209" i="3"/>
  <c r="DK209" i="3"/>
  <c r="DL209" i="3"/>
  <c r="DM209" i="3"/>
  <c r="DN209" i="3"/>
  <c r="DO209" i="3"/>
  <c r="DP209" i="3"/>
  <c r="DQ209" i="3"/>
  <c r="DR209" i="3"/>
  <c r="DS209" i="3"/>
  <c r="DT209" i="3"/>
  <c r="DU209" i="3"/>
  <c r="DV209" i="3"/>
  <c r="DW209" i="3"/>
  <c r="DX209" i="3"/>
  <c r="DY209" i="3"/>
  <c r="DK210" i="3"/>
  <c r="DL210" i="3"/>
  <c r="DM210" i="3"/>
  <c r="DN210" i="3"/>
  <c r="DO210" i="3"/>
  <c r="DP210" i="3"/>
  <c r="DQ210" i="3"/>
  <c r="DR210" i="3"/>
  <c r="DS210" i="3"/>
  <c r="DT210" i="3"/>
  <c r="DU210" i="3"/>
  <c r="DV210" i="3"/>
  <c r="DW210" i="3"/>
  <c r="DX210" i="3"/>
  <c r="DY210" i="3"/>
  <c r="CR211" i="3"/>
  <c r="CS211" i="3"/>
  <c r="CT211" i="3"/>
  <c r="CU211" i="3"/>
  <c r="DK211" i="3"/>
  <c r="DL211" i="3"/>
  <c r="DM211" i="3"/>
  <c r="DN211" i="3"/>
  <c r="DO211" i="3"/>
  <c r="DP211" i="3"/>
  <c r="DQ211" i="3"/>
  <c r="DR211" i="3"/>
  <c r="DS211" i="3"/>
  <c r="DT211" i="3"/>
  <c r="DU211" i="3"/>
  <c r="DV211" i="3"/>
  <c r="DW211" i="3"/>
  <c r="DX211" i="3"/>
  <c r="DY211" i="3"/>
  <c r="DO221" i="3"/>
  <c r="DT221" i="3"/>
  <c r="DY221" i="3"/>
  <c r="DO223" i="3"/>
  <c r="DT223" i="3"/>
  <c r="DY223" i="3"/>
  <c r="DO225" i="3"/>
  <c r="DT225" i="3"/>
  <c r="DY225" i="3"/>
  <c r="DO227" i="3"/>
  <c r="DT227" i="3"/>
  <c r="DY227" i="3"/>
  <c r="DO230" i="3"/>
  <c r="DT230" i="3"/>
  <c r="DY230" i="3"/>
  <c r="DO232" i="3"/>
  <c r="DT232" i="3"/>
  <c r="DY232" i="3"/>
  <c r="DO233" i="3"/>
  <c r="DT233" i="3"/>
  <c r="DY233" i="3"/>
  <c r="DO239" i="3"/>
  <c r="DT239" i="3"/>
  <c r="DY239" i="3"/>
  <c r="DK240" i="3"/>
  <c r="DL240" i="3"/>
  <c r="DM240" i="3"/>
  <c r="DN240" i="3"/>
  <c r="DO240" i="3"/>
  <c r="DP240" i="3"/>
  <c r="DQ240" i="3"/>
  <c r="DR240" i="3"/>
  <c r="DS240" i="3"/>
  <c r="DT240" i="3"/>
  <c r="DU240" i="3"/>
  <c r="DV240" i="3"/>
  <c r="DW240" i="3"/>
  <c r="DX240" i="3"/>
  <c r="DY240" i="3"/>
  <c r="DK241" i="3"/>
  <c r="DL241" i="3"/>
  <c r="DM241" i="3"/>
  <c r="DN241" i="3"/>
  <c r="DO241" i="3"/>
  <c r="DP241" i="3"/>
  <c r="DQ241" i="3"/>
  <c r="DR241" i="3"/>
  <c r="DS241" i="3"/>
  <c r="DT241" i="3"/>
  <c r="DU241" i="3"/>
  <c r="DV241" i="3"/>
  <c r="DW241" i="3"/>
  <c r="DX241" i="3"/>
  <c r="DY241" i="3"/>
  <c r="DK242" i="3"/>
  <c r="DL242" i="3"/>
  <c r="DM242" i="3"/>
  <c r="DN242" i="3"/>
  <c r="DO242" i="3"/>
  <c r="DP242" i="3"/>
  <c r="DQ242" i="3"/>
  <c r="DR242" i="3"/>
  <c r="DS242" i="3"/>
  <c r="DT242" i="3"/>
  <c r="DU242" i="3"/>
  <c r="DV242" i="3"/>
  <c r="DW242" i="3"/>
  <c r="DX242" i="3"/>
  <c r="DY242" i="3"/>
  <c r="DK244" i="3"/>
  <c r="DL244" i="3"/>
  <c r="DM244" i="3"/>
  <c r="DN244" i="3"/>
  <c r="DO244" i="3"/>
  <c r="DP244" i="3"/>
  <c r="DQ244" i="3"/>
  <c r="DR244" i="3"/>
  <c r="DS244" i="3"/>
  <c r="DT244" i="3"/>
  <c r="DU244" i="3"/>
  <c r="DV244" i="3"/>
  <c r="DW244" i="3"/>
  <c r="DX244" i="3"/>
  <c r="DY244" i="3"/>
  <c r="DK245" i="3"/>
  <c r="DL245" i="3"/>
  <c r="DM245" i="3"/>
  <c r="DN245" i="3"/>
  <c r="DO245" i="3"/>
  <c r="DP245" i="3"/>
  <c r="DQ245" i="3"/>
  <c r="DR245" i="3"/>
  <c r="DS245" i="3"/>
  <c r="DT245" i="3"/>
  <c r="DU245" i="3"/>
  <c r="DV245" i="3"/>
  <c r="DW245" i="3"/>
  <c r="DX245" i="3"/>
  <c r="DY245" i="3"/>
  <c r="DK246" i="3"/>
  <c r="DL246" i="3"/>
  <c r="DM246" i="3"/>
  <c r="DN246" i="3"/>
  <c r="DO246" i="3"/>
  <c r="DP246" i="3"/>
  <c r="DQ246" i="3"/>
  <c r="DR246" i="3"/>
  <c r="DS246" i="3"/>
  <c r="DT246" i="3"/>
  <c r="DU246" i="3"/>
  <c r="DV246" i="3"/>
  <c r="DW246" i="3"/>
  <c r="DX246" i="3"/>
  <c r="DY246" i="3"/>
  <c r="DK247" i="3"/>
  <c r="DL247" i="3"/>
  <c r="DM247" i="3"/>
  <c r="DN247" i="3"/>
  <c r="DO247" i="3"/>
  <c r="DP247" i="3"/>
  <c r="DQ247" i="3"/>
  <c r="DR247" i="3"/>
  <c r="DS247" i="3"/>
  <c r="DT247" i="3"/>
  <c r="DU247" i="3"/>
  <c r="DV247" i="3"/>
  <c r="DW247" i="3"/>
  <c r="DX247" i="3"/>
  <c r="DY247" i="3"/>
  <c r="DK249" i="3"/>
  <c r="DL249" i="3"/>
  <c r="DM249" i="3"/>
  <c r="DN249" i="3"/>
  <c r="DO249" i="3"/>
  <c r="DP249" i="3"/>
  <c r="DQ249" i="3"/>
  <c r="DR249" i="3"/>
  <c r="DS249" i="3"/>
  <c r="DT249" i="3"/>
  <c r="DU249" i="3"/>
  <c r="DV249" i="3"/>
  <c r="DW249" i="3"/>
  <c r="DX249" i="3"/>
  <c r="DY249" i="3"/>
  <c r="DK250" i="3"/>
  <c r="DL250" i="3"/>
  <c r="DM250" i="3"/>
  <c r="DN250" i="3"/>
  <c r="DO250" i="3"/>
  <c r="DP250" i="3"/>
  <c r="DQ250" i="3"/>
  <c r="DR250" i="3"/>
  <c r="DS250" i="3"/>
  <c r="DT250" i="3"/>
  <c r="DU250" i="3"/>
  <c r="DV250" i="3"/>
  <c r="DW250" i="3"/>
  <c r="DX250" i="3"/>
  <c r="DY250" i="3"/>
  <c r="DK251" i="3"/>
  <c r="DL251" i="3"/>
  <c r="DM251" i="3"/>
  <c r="DN251" i="3"/>
  <c r="DO251" i="3"/>
  <c r="DP251" i="3"/>
  <c r="DQ251" i="3"/>
  <c r="DR251" i="3"/>
  <c r="DS251" i="3"/>
  <c r="DT251" i="3"/>
  <c r="DU251" i="3"/>
  <c r="DV251" i="3"/>
  <c r="DW251" i="3"/>
  <c r="DX251" i="3"/>
  <c r="DY251" i="3"/>
  <c r="DK252" i="3"/>
  <c r="DL252" i="3"/>
  <c r="DM252" i="3"/>
  <c r="DN252" i="3"/>
  <c r="DO252" i="3"/>
  <c r="DP252" i="3"/>
  <c r="DQ252" i="3"/>
  <c r="DR252" i="3"/>
  <c r="DS252" i="3"/>
  <c r="DT252" i="3"/>
  <c r="DU252" i="3"/>
  <c r="DV252" i="3"/>
  <c r="DW252" i="3"/>
  <c r="DX252" i="3"/>
  <c r="DY252" i="3"/>
  <c r="DK255" i="3"/>
  <c r="DL255" i="3"/>
  <c r="DM255" i="3"/>
  <c r="DN255" i="3"/>
  <c r="DO255" i="3"/>
  <c r="DP255" i="3"/>
  <c r="DQ255" i="3"/>
  <c r="DR255" i="3"/>
  <c r="DS255" i="3"/>
  <c r="DT255" i="3"/>
  <c r="DU255" i="3"/>
  <c r="DV255" i="3"/>
  <c r="DW255" i="3"/>
  <c r="DX255" i="3"/>
  <c r="DY255" i="3"/>
  <c r="DK257" i="3"/>
  <c r="DL257" i="3"/>
  <c r="DM257" i="3"/>
  <c r="DN257" i="3"/>
  <c r="DO257" i="3"/>
  <c r="DP257" i="3"/>
  <c r="DQ257" i="3"/>
  <c r="DR257" i="3"/>
  <c r="DS257" i="3"/>
  <c r="DT257" i="3"/>
  <c r="DU257" i="3"/>
  <c r="DV257" i="3"/>
  <c r="DW257" i="3"/>
  <c r="DX257" i="3"/>
  <c r="DY257" i="3"/>
  <c r="DK259" i="3"/>
  <c r="DL259" i="3"/>
  <c r="DM259" i="3"/>
  <c r="DN259" i="3"/>
  <c r="DO259" i="3"/>
  <c r="DP259" i="3"/>
  <c r="DQ259" i="3"/>
  <c r="DR259" i="3"/>
  <c r="DS259" i="3"/>
  <c r="DT259" i="3"/>
  <c r="DU259" i="3"/>
  <c r="DV259" i="3"/>
  <c r="DW259" i="3"/>
  <c r="DX259" i="3"/>
  <c r="DY259" i="3"/>
  <c r="DO260" i="3"/>
  <c r="DT260" i="3"/>
  <c r="DY260" i="3"/>
  <c r="DK262" i="3"/>
  <c r="DL262" i="3"/>
  <c r="DM262" i="3"/>
  <c r="DN262" i="3"/>
  <c r="DO262" i="3"/>
  <c r="DP262" i="3"/>
  <c r="DQ262" i="3"/>
  <c r="DR262" i="3"/>
  <c r="DS262" i="3"/>
  <c r="DT262" i="3"/>
  <c r="DU262" i="3"/>
  <c r="DV262" i="3"/>
  <c r="DW262" i="3"/>
  <c r="DX262" i="3"/>
  <c r="DY262" i="3"/>
  <c r="DK263" i="3"/>
  <c r="DL263" i="3"/>
  <c r="DM263" i="3"/>
  <c r="DN263" i="3"/>
  <c r="DO263" i="3"/>
  <c r="DP263" i="3"/>
  <c r="DQ263" i="3"/>
  <c r="DR263" i="3"/>
  <c r="DS263" i="3"/>
  <c r="DT263" i="3"/>
  <c r="DU263" i="3"/>
  <c r="DV263" i="3"/>
  <c r="DW263" i="3"/>
  <c r="DX263" i="3"/>
  <c r="DY263" i="3"/>
  <c r="DK270" i="3"/>
  <c r="DL270" i="3"/>
  <c r="DM270" i="3"/>
  <c r="DN270" i="3"/>
  <c r="DO270" i="3"/>
  <c r="DP270" i="3"/>
  <c r="DQ270" i="3"/>
  <c r="DR270" i="3"/>
  <c r="DS270" i="3"/>
  <c r="DT270" i="3"/>
  <c r="DU270" i="3"/>
  <c r="DV270" i="3"/>
  <c r="DW270" i="3"/>
  <c r="DX270" i="3"/>
  <c r="DY270" i="3"/>
  <c r="DK272" i="3"/>
  <c r="DL272" i="3"/>
  <c r="DM272" i="3"/>
  <c r="DN272" i="3"/>
  <c r="DO272" i="3"/>
  <c r="DP272" i="3"/>
  <c r="DQ272" i="3"/>
  <c r="DR272" i="3"/>
  <c r="DS272" i="3"/>
  <c r="DT272" i="3"/>
  <c r="DU272" i="3"/>
  <c r="DV272" i="3"/>
  <c r="DW272" i="3"/>
  <c r="DX272" i="3"/>
  <c r="DY272" i="3"/>
  <c r="DK274" i="3"/>
  <c r="DL274" i="3"/>
  <c r="DM274" i="3"/>
  <c r="DN274" i="3"/>
  <c r="DO274" i="3"/>
  <c r="DP274" i="3"/>
  <c r="DQ274" i="3"/>
  <c r="DR274" i="3"/>
  <c r="DS274" i="3"/>
  <c r="DT274" i="3"/>
  <c r="DU274" i="3"/>
  <c r="DV274" i="3"/>
  <c r="DW274" i="3"/>
  <c r="DX274" i="3"/>
  <c r="DY274" i="3"/>
  <c r="DO275" i="3"/>
  <c r="DT275" i="3"/>
  <c r="DY275" i="3"/>
  <c r="DK278" i="3"/>
  <c r="DL278" i="3"/>
  <c r="DM278" i="3"/>
  <c r="DN278" i="3"/>
  <c r="DO278" i="3"/>
  <c r="DP278" i="3"/>
  <c r="DQ278" i="3"/>
  <c r="DR278" i="3"/>
  <c r="DS278" i="3"/>
  <c r="DT278" i="3"/>
  <c r="DU278" i="3"/>
  <c r="DV278" i="3"/>
  <c r="DW278" i="3"/>
  <c r="DX278" i="3"/>
  <c r="DY278" i="3"/>
  <c r="DK279" i="3"/>
  <c r="DL279" i="3"/>
  <c r="DM279" i="3"/>
  <c r="DN279" i="3"/>
  <c r="DO279" i="3"/>
  <c r="DP279" i="3"/>
  <c r="DQ279" i="3"/>
  <c r="DR279" i="3"/>
  <c r="DS279" i="3"/>
  <c r="DT279" i="3"/>
  <c r="DU279" i="3"/>
  <c r="DV279" i="3"/>
  <c r="DW279" i="3"/>
  <c r="DX279" i="3"/>
  <c r="DY279" i="3"/>
  <c r="DK282" i="3"/>
  <c r="DL282" i="3"/>
  <c r="DM282" i="3"/>
  <c r="DN282" i="3"/>
  <c r="DO282" i="3"/>
  <c r="DP282" i="3"/>
  <c r="DQ282" i="3"/>
  <c r="DR282" i="3"/>
  <c r="DS282" i="3"/>
  <c r="DT282" i="3"/>
  <c r="DU282" i="3"/>
  <c r="DV282" i="3"/>
  <c r="DW282" i="3"/>
  <c r="DX282" i="3"/>
  <c r="DY282" i="3"/>
  <c r="DO283" i="3"/>
  <c r="DT283" i="3"/>
  <c r="DY283" i="3"/>
  <c r="DK284" i="3"/>
  <c r="DL284" i="3"/>
  <c r="DM284" i="3"/>
  <c r="DN284" i="3"/>
  <c r="DO284" i="3"/>
  <c r="DP284" i="3"/>
  <c r="DQ284" i="3"/>
  <c r="DR284" i="3"/>
  <c r="DS284" i="3"/>
  <c r="DT284" i="3"/>
  <c r="DU284" i="3"/>
  <c r="DV284" i="3"/>
  <c r="DW284" i="3"/>
  <c r="DX284" i="3"/>
  <c r="DY284" i="3"/>
  <c r="DK285" i="3"/>
  <c r="DL285" i="3"/>
  <c r="DM285" i="3"/>
  <c r="DN285" i="3"/>
  <c r="DO285" i="3"/>
  <c r="DP285" i="3"/>
  <c r="DQ285" i="3"/>
  <c r="DR285" i="3"/>
  <c r="DS285" i="3"/>
  <c r="DT285" i="3"/>
  <c r="DU285" i="3"/>
  <c r="DV285" i="3"/>
  <c r="DW285" i="3"/>
  <c r="DX285" i="3"/>
  <c r="DY285" i="3"/>
  <c r="DK291" i="3"/>
  <c r="DL291" i="3"/>
  <c r="DM291" i="3"/>
  <c r="DN291" i="3"/>
  <c r="DO291" i="3"/>
  <c r="DP291" i="3"/>
  <c r="DQ291" i="3"/>
  <c r="DR291" i="3"/>
  <c r="DS291" i="3"/>
  <c r="DT291" i="3"/>
  <c r="DU291" i="3"/>
  <c r="DV291" i="3"/>
  <c r="DW291" i="3"/>
  <c r="DX291" i="3"/>
  <c r="DY291" i="3"/>
  <c r="DK297" i="3"/>
  <c r="DL297" i="3"/>
  <c r="DM297" i="3"/>
  <c r="DN297" i="3"/>
  <c r="DO297" i="3"/>
  <c r="DP297" i="3"/>
  <c r="DQ297" i="3"/>
  <c r="DR297" i="3"/>
  <c r="DS297" i="3"/>
  <c r="DT297" i="3"/>
  <c r="DU297" i="3"/>
  <c r="DV297" i="3"/>
  <c r="DW297" i="3"/>
  <c r="DX297" i="3"/>
  <c r="DY297" i="3"/>
  <c r="DK299" i="3"/>
  <c r="DL299" i="3"/>
  <c r="DM299" i="3"/>
  <c r="DN299" i="3"/>
  <c r="DO299" i="3"/>
  <c r="DP299" i="3"/>
  <c r="DQ299" i="3"/>
  <c r="DR299" i="3"/>
  <c r="DS299" i="3"/>
  <c r="DT299" i="3"/>
  <c r="DU299" i="3"/>
  <c r="DV299" i="3"/>
  <c r="DW299" i="3"/>
  <c r="DX299" i="3"/>
  <c r="DY299" i="3"/>
  <c r="DK301" i="3"/>
  <c r="DL301" i="3"/>
  <c r="DM301" i="3"/>
  <c r="DN301" i="3"/>
  <c r="DO301" i="3"/>
  <c r="DP301" i="3"/>
  <c r="DQ301" i="3"/>
  <c r="DR301" i="3"/>
  <c r="DS301" i="3"/>
  <c r="DT301" i="3"/>
  <c r="DU301" i="3"/>
  <c r="DV301" i="3"/>
  <c r="DW301" i="3"/>
  <c r="DX301" i="3"/>
  <c r="DY301" i="3"/>
  <c r="DK303" i="3"/>
  <c r="DL303" i="3"/>
  <c r="DM303" i="3"/>
  <c r="DN303" i="3"/>
  <c r="DO303" i="3"/>
  <c r="DP303" i="3"/>
  <c r="DQ303" i="3"/>
  <c r="DR303" i="3"/>
  <c r="DS303" i="3"/>
  <c r="DT303" i="3"/>
  <c r="DU303" i="3"/>
  <c r="DV303" i="3"/>
  <c r="DW303" i="3"/>
  <c r="DX303" i="3"/>
  <c r="DY303" i="3"/>
  <c r="DK306" i="3"/>
  <c r="DL306" i="3"/>
  <c r="DM306" i="3"/>
  <c r="DN306" i="3"/>
  <c r="DO306" i="3"/>
  <c r="DP306" i="3"/>
  <c r="DQ306" i="3"/>
  <c r="DR306" i="3"/>
  <c r="DS306" i="3"/>
  <c r="DT306" i="3"/>
  <c r="DU306" i="3"/>
  <c r="DV306" i="3"/>
  <c r="DW306" i="3"/>
  <c r="DX306" i="3"/>
  <c r="DY306" i="3"/>
  <c r="DO307" i="3"/>
  <c r="DT307" i="3"/>
  <c r="DY307" i="3"/>
  <c r="DK309" i="3"/>
  <c r="DL309" i="3"/>
  <c r="DM309" i="3"/>
  <c r="DN309" i="3"/>
  <c r="DO309" i="3"/>
  <c r="DP309" i="3"/>
  <c r="DQ309" i="3"/>
  <c r="DR309" i="3"/>
  <c r="DS309" i="3"/>
  <c r="DT309" i="3"/>
  <c r="DU309" i="3"/>
  <c r="DV309" i="3"/>
  <c r="DW309" i="3"/>
  <c r="DX309" i="3"/>
  <c r="DY309" i="3"/>
  <c r="DK310" i="3"/>
  <c r="DL310" i="3"/>
  <c r="DM310" i="3"/>
  <c r="DN310" i="3"/>
  <c r="DO310" i="3"/>
  <c r="DP310" i="3"/>
  <c r="DQ310" i="3"/>
  <c r="DR310" i="3"/>
  <c r="DS310" i="3"/>
  <c r="DT310" i="3"/>
  <c r="DU310" i="3"/>
  <c r="DV310" i="3"/>
  <c r="DW310" i="3"/>
  <c r="DX310" i="3"/>
  <c r="DY310" i="3"/>
  <c r="DK312" i="3"/>
  <c r="DL312" i="3"/>
  <c r="DM312" i="3"/>
  <c r="DN312" i="3"/>
  <c r="DO312" i="3"/>
  <c r="DP312" i="3"/>
  <c r="DQ312" i="3"/>
  <c r="DR312" i="3"/>
  <c r="DS312" i="3"/>
  <c r="DT312" i="3"/>
  <c r="DU312" i="3"/>
  <c r="DV312" i="3"/>
  <c r="DW312" i="3"/>
  <c r="DX312" i="3"/>
  <c r="DY312" i="3"/>
  <c r="DO316" i="3"/>
  <c r="DT316" i="3"/>
  <c r="DY316" i="3"/>
  <c r="DO318" i="3"/>
  <c r="DT318" i="3"/>
  <c r="DY318" i="3"/>
  <c r="DO319" i="3"/>
  <c r="DT319" i="3"/>
  <c r="DY319" i="3"/>
  <c r="DO323" i="3"/>
  <c r="DT323" i="3"/>
  <c r="DY323" i="3"/>
  <c r="DK67" i="8"/>
  <c r="DL67" i="8"/>
  <c r="DM67" i="8"/>
  <c r="DN67" i="8"/>
  <c r="DO67" i="8"/>
  <c r="DP67" i="8"/>
  <c r="DQ67" i="8"/>
  <c r="DR67" i="8"/>
  <c r="DS67" i="8"/>
  <c r="DT67" i="8"/>
  <c r="DU67" i="8"/>
  <c r="DV67" i="8"/>
  <c r="DW67" i="8"/>
  <c r="DX67" i="8"/>
  <c r="DY67" i="8"/>
  <c r="BI5" i="5"/>
  <c r="BI7" i="5"/>
  <c r="BI8" i="5"/>
  <c r="BI9" i="5"/>
  <c r="BI10" i="5"/>
  <c r="BI12" i="5"/>
  <c r="BI13" i="5"/>
  <c r="BI14" i="5"/>
  <c r="BI20" i="5"/>
  <c r="BI24" i="5"/>
  <c r="BI38" i="5"/>
  <c r="BI39" i="5"/>
  <c r="BI40" i="5"/>
  <c r="BI41" i="5"/>
  <c r="BI42" i="5"/>
  <c r="BI43" i="5"/>
  <c r="BI46" i="5"/>
  <c r="BI53" i="5"/>
  <c r="BI54" i="5"/>
  <c r="BI59" i="5"/>
  <c r="BI61" i="5"/>
  <c r="BI66" i="5"/>
  <c r="BI70" i="5"/>
  <c r="T71" i="5"/>
  <c r="AB71" i="5"/>
  <c r="BI71" i="5"/>
  <c r="T73" i="5"/>
  <c r="AB73" i="5"/>
  <c r="AE73" i="5"/>
  <c r="BI73" i="5"/>
  <c r="T74" i="5"/>
  <c r="T75" i="5"/>
  <c r="AB75" i="5"/>
  <c r="BI75" i="5"/>
  <c r="DK1" i="2"/>
  <c r="DK9" i="2"/>
  <c r="DL9" i="2"/>
  <c r="DM9" i="2"/>
  <c r="DN9" i="2"/>
  <c r="DO9" i="2"/>
  <c r="DP9" i="2"/>
  <c r="DQ9" i="2"/>
  <c r="DR9" i="2"/>
  <c r="DS9" i="2"/>
  <c r="DT9" i="2"/>
  <c r="DU9" i="2"/>
  <c r="DV9" i="2"/>
  <c r="DW9" i="2"/>
  <c r="DX9" i="2"/>
  <c r="DY9" i="2"/>
  <c r="DK10" i="2"/>
  <c r="DL10" i="2"/>
  <c r="DM10" i="2"/>
  <c r="DN10" i="2"/>
  <c r="DO10" i="2"/>
  <c r="DP10" i="2"/>
  <c r="DQ10" i="2"/>
  <c r="DR10" i="2"/>
  <c r="DS10" i="2"/>
  <c r="DT10" i="2"/>
  <c r="DU10" i="2"/>
  <c r="DV10" i="2"/>
  <c r="DW10" i="2"/>
  <c r="DX10" i="2"/>
  <c r="DY10" i="2"/>
  <c r="DK11" i="2"/>
  <c r="DL11" i="2"/>
  <c r="DM11" i="2"/>
  <c r="DN11" i="2"/>
  <c r="DO11" i="2"/>
  <c r="DP11" i="2"/>
  <c r="DQ11" i="2"/>
  <c r="DR11" i="2"/>
  <c r="DS11" i="2"/>
  <c r="DT11" i="2"/>
  <c r="DU11" i="2"/>
  <c r="DV11" i="2"/>
  <c r="DW11" i="2"/>
  <c r="DX11" i="2"/>
  <c r="DY11" i="2"/>
  <c r="DK12" i="2"/>
  <c r="DL12" i="2"/>
  <c r="DM12" i="2"/>
  <c r="DN12" i="2"/>
  <c r="DO12" i="2"/>
  <c r="DP12" i="2"/>
  <c r="DQ12" i="2"/>
  <c r="DR12" i="2"/>
  <c r="DS12" i="2"/>
  <c r="DT12" i="2"/>
  <c r="DU12" i="2"/>
  <c r="DV12" i="2"/>
  <c r="DW12" i="2"/>
  <c r="DX12" i="2"/>
  <c r="DY12" i="2"/>
  <c r="DK13" i="2"/>
  <c r="DL13" i="2"/>
  <c r="DM13" i="2"/>
  <c r="DN13" i="2"/>
  <c r="DO13" i="2"/>
  <c r="DP13" i="2"/>
  <c r="DQ13" i="2"/>
  <c r="DR13" i="2"/>
  <c r="DS13" i="2"/>
  <c r="DT13" i="2"/>
  <c r="DU13" i="2"/>
  <c r="DV13" i="2"/>
  <c r="DW13" i="2"/>
  <c r="DX13" i="2"/>
  <c r="DY13" i="2"/>
  <c r="DK14" i="2"/>
  <c r="DL14" i="2"/>
  <c r="DM14" i="2"/>
  <c r="DN14" i="2"/>
  <c r="DO14" i="2"/>
  <c r="DP14" i="2"/>
  <c r="DQ14" i="2"/>
  <c r="DR14" i="2"/>
  <c r="DS14" i="2"/>
  <c r="DT14" i="2"/>
  <c r="DU14" i="2"/>
  <c r="DV14" i="2"/>
  <c r="DW14" i="2"/>
  <c r="DX14" i="2"/>
  <c r="DY14" i="2"/>
  <c r="DK15" i="2"/>
  <c r="DL15" i="2"/>
  <c r="DM15" i="2"/>
  <c r="DN15" i="2"/>
  <c r="DO15" i="2"/>
  <c r="DP15" i="2"/>
  <c r="DQ15" i="2"/>
  <c r="DR15" i="2"/>
  <c r="DS15" i="2"/>
  <c r="DT15" i="2"/>
  <c r="DU15" i="2"/>
  <c r="DV15" i="2"/>
  <c r="DW15" i="2"/>
  <c r="DX15" i="2"/>
  <c r="DY15" i="2"/>
  <c r="DK17" i="2"/>
  <c r="DL17" i="2"/>
  <c r="DM17" i="2"/>
  <c r="DN17" i="2"/>
  <c r="DO17" i="2"/>
  <c r="DP17" i="2"/>
  <c r="DQ17" i="2"/>
  <c r="DR17" i="2"/>
  <c r="DS17" i="2"/>
  <c r="DT17" i="2"/>
  <c r="DU17" i="2"/>
  <c r="DV17" i="2"/>
  <c r="DW17" i="2"/>
  <c r="DX17" i="2"/>
  <c r="DY17" i="2"/>
  <c r="DK22" i="2"/>
  <c r="DL22" i="2"/>
  <c r="DM22" i="2"/>
  <c r="DN22" i="2"/>
  <c r="DO22" i="2"/>
  <c r="DP22" i="2"/>
  <c r="DQ22" i="2"/>
  <c r="DR22" i="2"/>
  <c r="DS22" i="2"/>
  <c r="DT22" i="2"/>
  <c r="DU22" i="2"/>
  <c r="DV22" i="2"/>
  <c r="DW22" i="2"/>
  <c r="DX22" i="2"/>
  <c r="DY22" i="2"/>
  <c r="DK23" i="2"/>
  <c r="DL23" i="2"/>
  <c r="DM23" i="2"/>
  <c r="DN23" i="2"/>
  <c r="DO23" i="2"/>
  <c r="DP23" i="2"/>
  <c r="DQ23" i="2"/>
  <c r="DR23" i="2"/>
  <c r="DS23" i="2"/>
  <c r="DT23" i="2"/>
  <c r="DU23" i="2"/>
  <c r="DV23" i="2"/>
  <c r="DW23" i="2"/>
  <c r="DX23" i="2"/>
  <c r="DY23" i="2"/>
  <c r="DK24" i="2"/>
  <c r="DL24" i="2"/>
  <c r="DM24" i="2"/>
  <c r="DN24" i="2"/>
  <c r="DO24" i="2"/>
  <c r="DP24" i="2"/>
  <c r="DQ24" i="2"/>
  <c r="DR24" i="2"/>
  <c r="DS24" i="2"/>
  <c r="DT24" i="2"/>
  <c r="DU24" i="2"/>
  <c r="DV24" i="2"/>
  <c r="DW24" i="2"/>
  <c r="DX24" i="2"/>
  <c r="DY24" i="2"/>
  <c r="DK27" i="2"/>
  <c r="DL27" i="2"/>
  <c r="DM27" i="2"/>
  <c r="DN27" i="2"/>
  <c r="DO27" i="2"/>
  <c r="DP27" i="2"/>
  <c r="DQ27" i="2"/>
  <c r="DR27" i="2"/>
  <c r="DS27" i="2"/>
  <c r="DT27" i="2"/>
  <c r="DU27" i="2"/>
  <c r="DV27" i="2"/>
  <c r="DW27" i="2"/>
  <c r="DX27" i="2"/>
  <c r="DY27" i="2"/>
  <c r="DK29" i="2"/>
  <c r="DL29" i="2"/>
  <c r="DM29" i="2"/>
  <c r="DN29" i="2"/>
  <c r="DO29" i="2"/>
  <c r="DP29" i="2"/>
  <c r="DQ29" i="2"/>
  <c r="DR29" i="2"/>
  <c r="DS29" i="2"/>
  <c r="DT29" i="2"/>
  <c r="DU29" i="2"/>
  <c r="DV29" i="2"/>
  <c r="DW29" i="2"/>
  <c r="DX29" i="2"/>
  <c r="DY29" i="2"/>
  <c r="CR31" i="2"/>
  <c r="CS31" i="2"/>
  <c r="CU31" i="2"/>
  <c r="DK31" i="2"/>
  <c r="DL31" i="2"/>
  <c r="DM31" i="2"/>
  <c r="DN31" i="2"/>
  <c r="DO31" i="2"/>
  <c r="DP31" i="2"/>
  <c r="DQ31" i="2"/>
  <c r="DR31" i="2"/>
  <c r="DS31" i="2"/>
  <c r="DT31" i="2"/>
  <c r="DU31" i="2"/>
  <c r="DV31" i="2"/>
  <c r="DW31" i="2"/>
  <c r="DX31" i="2"/>
  <c r="DY31" i="2"/>
  <c r="DK32" i="2"/>
  <c r="DL32" i="2"/>
  <c r="DM32" i="2"/>
  <c r="DN32" i="2"/>
  <c r="DO32" i="2"/>
  <c r="DP32" i="2"/>
  <c r="DQ32" i="2"/>
  <c r="DR32" i="2"/>
  <c r="DS32" i="2"/>
  <c r="DT32" i="2"/>
  <c r="DU32" i="2"/>
  <c r="DV32" i="2"/>
  <c r="DW32" i="2"/>
  <c r="DX32" i="2"/>
  <c r="DY32" i="2"/>
  <c r="CR34" i="2"/>
  <c r="CS34" i="2"/>
  <c r="CU34" i="2"/>
  <c r="DK34" i="2"/>
  <c r="DL34" i="2"/>
  <c r="DM34" i="2"/>
  <c r="DN34" i="2"/>
  <c r="DO34" i="2"/>
  <c r="DP34" i="2"/>
  <c r="DQ34" i="2"/>
  <c r="DR34" i="2"/>
  <c r="DS34" i="2"/>
  <c r="DT34" i="2"/>
  <c r="DU34" i="2"/>
  <c r="DV34" i="2"/>
  <c r="DW34" i="2"/>
  <c r="DX34" i="2"/>
  <c r="DY34" i="2"/>
  <c r="DK35" i="2"/>
  <c r="DL35" i="2"/>
  <c r="DM35" i="2"/>
  <c r="DN35" i="2"/>
  <c r="DO35" i="2"/>
  <c r="DP35" i="2"/>
  <c r="DQ35" i="2"/>
  <c r="DR35" i="2"/>
  <c r="DS35" i="2"/>
  <c r="DT35" i="2"/>
  <c r="DU35" i="2"/>
  <c r="DV35" i="2"/>
  <c r="DW35" i="2"/>
  <c r="DX35" i="2"/>
  <c r="DY35" i="2"/>
  <c r="H36" i="2"/>
  <c r="DK36" i="2"/>
  <c r="DL36" i="2"/>
  <c r="DM36" i="2"/>
  <c r="DN36" i="2"/>
  <c r="DO36" i="2"/>
  <c r="DP36" i="2"/>
  <c r="DQ36" i="2"/>
  <c r="DR36" i="2"/>
  <c r="DS36" i="2"/>
  <c r="DT36" i="2"/>
  <c r="DU36" i="2"/>
  <c r="DV36" i="2"/>
  <c r="DW36" i="2"/>
  <c r="DX36" i="2"/>
  <c r="DY36" i="2"/>
  <c r="CR38" i="2"/>
  <c r="CS38" i="2"/>
  <c r="DK38" i="2"/>
  <c r="DL38" i="2"/>
  <c r="DM38" i="2"/>
  <c r="DN38" i="2"/>
  <c r="DO38" i="2"/>
  <c r="DP38" i="2"/>
  <c r="DQ38" i="2"/>
  <c r="DR38" i="2"/>
  <c r="DS38" i="2"/>
  <c r="DT38" i="2"/>
  <c r="DU38" i="2"/>
  <c r="DV38" i="2"/>
  <c r="DW38" i="2"/>
  <c r="DX38" i="2"/>
  <c r="DY38" i="2"/>
  <c r="DK39" i="2"/>
  <c r="DL39" i="2"/>
  <c r="DM39" i="2"/>
  <c r="DN39" i="2"/>
  <c r="DO39" i="2"/>
  <c r="DP39" i="2"/>
  <c r="DQ39" i="2"/>
  <c r="DR39" i="2"/>
  <c r="DS39" i="2"/>
  <c r="DT39" i="2"/>
  <c r="DU39" i="2"/>
  <c r="DV39" i="2"/>
  <c r="DW39" i="2"/>
  <c r="DX39" i="2"/>
  <c r="DY39" i="2"/>
  <c r="DK40" i="2"/>
  <c r="DL40" i="2"/>
  <c r="DM40" i="2"/>
  <c r="DN40" i="2"/>
  <c r="DO40" i="2"/>
  <c r="DP40" i="2"/>
  <c r="DQ40" i="2"/>
  <c r="DR40" i="2"/>
  <c r="DS40" i="2"/>
  <c r="DT40" i="2"/>
  <c r="DU40" i="2"/>
  <c r="DV40" i="2"/>
  <c r="DW40" i="2"/>
  <c r="DX40" i="2"/>
  <c r="DY40" i="2"/>
  <c r="DK43" i="2"/>
  <c r="DL43" i="2"/>
  <c r="DM43" i="2"/>
  <c r="DN43" i="2"/>
  <c r="DO43" i="2"/>
  <c r="DP43" i="2"/>
  <c r="DQ43" i="2"/>
  <c r="DR43" i="2"/>
  <c r="DS43" i="2"/>
  <c r="DT43" i="2"/>
  <c r="DU43" i="2"/>
  <c r="DV43" i="2"/>
  <c r="DW43" i="2"/>
  <c r="DX43" i="2"/>
  <c r="DY43" i="2"/>
  <c r="CR44" i="2"/>
  <c r="CS44" i="2"/>
  <c r="CR45" i="2"/>
  <c r="CS45" i="2"/>
  <c r="DK45" i="2"/>
  <c r="DL45" i="2"/>
  <c r="DM45" i="2"/>
  <c r="DN45" i="2"/>
  <c r="DO45" i="2"/>
  <c r="DP45" i="2"/>
  <c r="DQ45" i="2"/>
  <c r="DR45" i="2"/>
  <c r="DS45" i="2"/>
  <c r="DT45" i="2"/>
  <c r="DU45" i="2"/>
  <c r="DV45" i="2"/>
  <c r="DW45" i="2"/>
  <c r="DX45" i="2"/>
  <c r="DY45" i="2"/>
  <c r="CR46" i="2"/>
  <c r="CS46" i="2"/>
  <c r="CU46" i="2"/>
  <c r="CR49" i="2"/>
  <c r="CS49" i="2"/>
  <c r="CU49" i="2"/>
  <c r="CZ49" i="2"/>
  <c r="CR50" i="2"/>
  <c r="CS50" i="2"/>
  <c r="CT50" i="2"/>
  <c r="CU50" i="2"/>
  <c r="CR51" i="2"/>
  <c r="CS51" i="2"/>
  <c r="CT51" i="2"/>
  <c r="CU51" i="2"/>
  <c r="CW51" i="2"/>
  <c r="CX51" i="2"/>
  <c r="CY51" i="2"/>
  <c r="CZ51" i="2"/>
  <c r="DK58" i="2"/>
  <c r="DL58" i="2"/>
  <c r="DM58" i="2"/>
  <c r="DN58" i="2"/>
  <c r="DO58" i="2"/>
  <c r="DP58" i="2"/>
  <c r="DQ58" i="2"/>
  <c r="DR58" i="2"/>
  <c r="DS58" i="2"/>
  <c r="DT58" i="2"/>
  <c r="DU58" i="2"/>
  <c r="DV58" i="2"/>
  <c r="DW58" i="2"/>
  <c r="DX58" i="2"/>
  <c r="DY58" i="2"/>
  <c r="DK59" i="2"/>
  <c r="DL59" i="2"/>
  <c r="DM59" i="2"/>
  <c r="DN59" i="2"/>
  <c r="DO59" i="2"/>
  <c r="DP59" i="2"/>
  <c r="DQ59" i="2"/>
  <c r="DR59" i="2"/>
  <c r="DS59" i="2"/>
  <c r="DT59" i="2"/>
  <c r="DU59" i="2"/>
  <c r="DV59" i="2"/>
  <c r="DW59" i="2"/>
  <c r="DX59" i="2"/>
  <c r="DY59" i="2"/>
  <c r="DK60" i="2"/>
  <c r="DL60" i="2"/>
  <c r="DM60" i="2"/>
  <c r="DN60" i="2"/>
  <c r="DO60" i="2"/>
  <c r="DP60" i="2"/>
  <c r="DQ60" i="2"/>
  <c r="DR60" i="2"/>
  <c r="DS60" i="2"/>
  <c r="DT60" i="2"/>
  <c r="DU60" i="2"/>
  <c r="DV60" i="2"/>
  <c r="DW60" i="2"/>
  <c r="DX60" i="2"/>
  <c r="DY60" i="2"/>
  <c r="DK61" i="2"/>
  <c r="DL61" i="2"/>
  <c r="DM61" i="2"/>
  <c r="DN61" i="2"/>
  <c r="DO61" i="2"/>
  <c r="DP61" i="2"/>
  <c r="DQ61" i="2"/>
  <c r="DR61" i="2"/>
  <c r="DS61" i="2"/>
  <c r="DT61" i="2"/>
  <c r="DU61" i="2"/>
  <c r="DV61" i="2"/>
  <c r="DW61" i="2"/>
  <c r="DX61" i="2"/>
  <c r="DY61" i="2"/>
  <c r="DK62" i="2"/>
  <c r="DL62" i="2"/>
  <c r="DM62" i="2"/>
  <c r="DN62" i="2"/>
  <c r="DO62" i="2"/>
  <c r="DP62" i="2"/>
  <c r="DQ62" i="2"/>
  <c r="DR62" i="2"/>
  <c r="DS62" i="2"/>
  <c r="DT62" i="2"/>
  <c r="DU62" i="2"/>
  <c r="DV62" i="2"/>
  <c r="DW62" i="2"/>
  <c r="DX62" i="2"/>
  <c r="DY62" i="2"/>
  <c r="DK63" i="2"/>
  <c r="DL63" i="2"/>
  <c r="DM63" i="2"/>
  <c r="DN63" i="2"/>
  <c r="DO63" i="2"/>
  <c r="DP63" i="2"/>
  <c r="DQ63" i="2"/>
  <c r="DR63" i="2"/>
  <c r="DS63" i="2"/>
  <c r="DT63" i="2"/>
  <c r="DU63" i="2"/>
  <c r="DV63" i="2"/>
  <c r="DW63" i="2"/>
  <c r="DX63" i="2"/>
  <c r="DY63" i="2"/>
  <c r="DK64" i="2"/>
  <c r="DL64" i="2"/>
  <c r="DM64" i="2"/>
  <c r="DN64" i="2"/>
  <c r="DO64" i="2"/>
  <c r="DP64" i="2"/>
  <c r="DQ64" i="2"/>
  <c r="DR64" i="2"/>
  <c r="DS64" i="2"/>
  <c r="DT64" i="2"/>
  <c r="DU64" i="2"/>
  <c r="DV64" i="2"/>
  <c r="DW64" i="2"/>
  <c r="DX64" i="2"/>
  <c r="DY64" i="2"/>
  <c r="DK67" i="2"/>
  <c r="DL67" i="2"/>
  <c r="DM67" i="2"/>
  <c r="DN67" i="2"/>
  <c r="DO67" i="2"/>
  <c r="DP67" i="2"/>
  <c r="DQ67" i="2"/>
  <c r="DR67" i="2"/>
  <c r="DS67" i="2"/>
  <c r="DT67" i="2"/>
  <c r="DU67" i="2"/>
  <c r="DV67" i="2"/>
  <c r="DW67" i="2"/>
  <c r="DX67" i="2"/>
  <c r="DY67" i="2"/>
  <c r="DK68" i="2"/>
  <c r="DL68" i="2"/>
  <c r="DM68" i="2"/>
  <c r="DN68" i="2"/>
  <c r="DO68" i="2"/>
  <c r="DP68" i="2"/>
  <c r="DQ68" i="2"/>
  <c r="DR68" i="2"/>
  <c r="DS68" i="2"/>
  <c r="DT68" i="2"/>
  <c r="DU68" i="2"/>
  <c r="DV68" i="2"/>
  <c r="DW68" i="2"/>
  <c r="DX68" i="2"/>
  <c r="DY68" i="2"/>
  <c r="DK69" i="2"/>
  <c r="DL69" i="2"/>
  <c r="DM69" i="2"/>
  <c r="DN69" i="2"/>
  <c r="DO69" i="2"/>
  <c r="DP69" i="2"/>
  <c r="DQ69" i="2"/>
  <c r="DR69" i="2"/>
  <c r="DS69" i="2"/>
  <c r="DT69" i="2"/>
  <c r="DU69" i="2"/>
  <c r="DV69" i="2"/>
  <c r="DW69" i="2"/>
  <c r="DX69" i="2"/>
  <c r="DY69" i="2"/>
  <c r="DK70" i="2"/>
  <c r="DL70" i="2"/>
  <c r="DM70" i="2"/>
  <c r="DN70" i="2"/>
  <c r="DO70" i="2"/>
  <c r="DP70" i="2"/>
  <c r="DQ70" i="2"/>
  <c r="DR70" i="2"/>
  <c r="DS70" i="2"/>
  <c r="DT70" i="2"/>
  <c r="DU70" i="2"/>
  <c r="DV70" i="2"/>
  <c r="DW70" i="2"/>
  <c r="DX70" i="2"/>
  <c r="DY70" i="2"/>
  <c r="DK71" i="2"/>
  <c r="DL71" i="2"/>
  <c r="DM71" i="2"/>
  <c r="DN71" i="2"/>
  <c r="DO71" i="2"/>
  <c r="DP71" i="2"/>
  <c r="DQ71" i="2"/>
  <c r="DR71" i="2"/>
  <c r="DS71" i="2"/>
  <c r="DT71" i="2"/>
  <c r="DU71" i="2"/>
  <c r="DV71" i="2"/>
  <c r="DW71" i="2"/>
  <c r="DX71" i="2"/>
  <c r="DY71" i="2"/>
  <c r="DK73" i="2"/>
  <c r="DL73" i="2"/>
  <c r="DK75" i="2"/>
  <c r="DL75" i="2"/>
  <c r="DM75" i="2"/>
  <c r="DN75" i="2"/>
  <c r="DO75" i="2"/>
  <c r="DP75" i="2"/>
  <c r="DQ75" i="2"/>
  <c r="DR75" i="2"/>
  <c r="DS75" i="2"/>
  <c r="DT75" i="2"/>
  <c r="DU75" i="2"/>
  <c r="DV75" i="2"/>
  <c r="DW75" i="2"/>
  <c r="DX75" i="2"/>
  <c r="DY75" i="2"/>
  <c r="DK76" i="2"/>
  <c r="DL76" i="2"/>
  <c r="DM76" i="2"/>
  <c r="DN76" i="2"/>
  <c r="DO76" i="2"/>
  <c r="DP76" i="2"/>
  <c r="DQ76" i="2"/>
  <c r="DR76" i="2"/>
  <c r="DS76" i="2"/>
  <c r="DT76" i="2"/>
  <c r="DU76" i="2"/>
  <c r="DV76" i="2"/>
  <c r="DW76" i="2"/>
  <c r="DX76" i="2"/>
  <c r="DY76" i="2"/>
  <c r="DK77" i="2"/>
  <c r="DL77" i="2"/>
  <c r="DM77" i="2"/>
  <c r="DN77" i="2"/>
  <c r="DO77" i="2"/>
  <c r="DP77" i="2"/>
  <c r="DQ77" i="2"/>
  <c r="DR77" i="2"/>
  <c r="DS77" i="2"/>
  <c r="DT77" i="2"/>
  <c r="DU77" i="2"/>
  <c r="DV77" i="2"/>
  <c r="DW77" i="2"/>
  <c r="DX77" i="2"/>
  <c r="DY77" i="2"/>
  <c r="DK78" i="2"/>
  <c r="DL78" i="2"/>
  <c r="DM78" i="2"/>
  <c r="DN78" i="2"/>
  <c r="DO78" i="2"/>
  <c r="DP78" i="2"/>
  <c r="DQ78" i="2"/>
  <c r="DR78" i="2"/>
  <c r="DS78" i="2"/>
  <c r="DT78" i="2"/>
  <c r="DU78" i="2"/>
  <c r="DV78" i="2"/>
  <c r="DW78" i="2"/>
  <c r="DX78" i="2"/>
  <c r="DY78" i="2"/>
  <c r="DK79" i="2"/>
  <c r="DL79" i="2"/>
  <c r="DM79" i="2"/>
  <c r="DN79" i="2"/>
  <c r="DO79" i="2"/>
  <c r="DP79" i="2"/>
  <c r="DQ79" i="2"/>
  <c r="DR79" i="2"/>
  <c r="DS79" i="2"/>
  <c r="DT79" i="2"/>
  <c r="DU79" i="2"/>
  <c r="DV79" i="2"/>
  <c r="DW79" i="2"/>
  <c r="DX79" i="2"/>
  <c r="DY79" i="2"/>
  <c r="DK89" i="2"/>
  <c r="DL89" i="2"/>
  <c r="DM89" i="2"/>
  <c r="DN89" i="2"/>
  <c r="DO89" i="2"/>
  <c r="DP89" i="2"/>
  <c r="DQ89" i="2"/>
  <c r="DR89" i="2"/>
  <c r="DS89" i="2"/>
  <c r="DT89" i="2"/>
  <c r="DU89" i="2"/>
  <c r="DV89" i="2"/>
  <c r="DW89" i="2"/>
  <c r="DX89" i="2"/>
  <c r="DY89" i="2"/>
  <c r="DK90" i="2"/>
  <c r="DL90" i="2"/>
  <c r="DM90" i="2"/>
  <c r="DN90" i="2"/>
  <c r="DO90" i="2"/>
  <c r="DP90" i="2"/>
  <c r="DQ90" i="2"/>
  <c r="DR90" i="2"/>
  <c r="DS90" i="2"/>
  <c r="DT90" i="2"/>
  <c r="DU90" i="2"/>
  <c r="DV90" i="2"/>
  <c r="DW90" i="2"/>
  <c r="DX90" i="2"/>
  <c r="DY90" i="2"/>
  <c r="DK91" i="2"/>
  <c r="DL91" i="2"/>
  <c r="DM91" i="2"/>
  <c r="DN91" i="2"/>
  <c r="DO91" i="2"/>
  <c r="DP91" i="2"/>
  <c r="DQ91" i="2"/>
  <c r="DR91" i="2"/>
  <c r="DS91" i="2"/>
  <c r="DT91" i="2"/>
  <c r="DU91" i="2"/>
  <c r="DV91" i="2"/>
  <c r="DW91" i="2"/>
  <c r="DX91" i="2"/>
  <c r="DY91" i="2"/>
  <c r="DK92" i="2"/>
  <c r="DL92" i="2"/>
  <c r="DM92" i="2"/>
  <c r="DN92" i="2"/>
  <c r="DO92" i="2"/>
  <c r="DP92" i="2"/>
  <c r="DQ92" i="2"/>
  <c r="DR92" i="2"/>
  <c r="DS92" i="2"/>
  <c r="DT92" i="2"/>
  <c r="DU92" i="2"/>
  <c r="DV92" i="2"/>
  <c r="DW92" i="2"/>
  <c r="DX92" i="2"/>
  <c r="DY92" i="2"/>
  <c r="DK94" i="2"/>
  <c r="DL94" i="2"/>
  <c r="DM94" i="2"/>
  <c r="DN94" i="2"/>
  <c r="DO94" i="2"/>
  <c r="DP94" i="2"/>
  <c r="DQ94" i="2"/>
  <c r="DR94" i="2"/>
  <c r="DS94" i="2"/>
  <c r="DT94" i="2"/>
  <c r="DU94" i="2"/>
  <c r="DV94" i="2"/>
  <c r="DW94" i="2"/>
  <c r="DX94" i="2"/>
  <c r="DY94" i="2"/>
  <c r="DK95" i="2"/>
  <c r="DL95" i="2"/>
  <c r="DM95" i="2"/>
  <c r="DN95" i="2"/>
  <c r="DO95" i="2"/>
  <c r="DP95" i="2"/>
  <c r="DQ95" i="2"/>
  <c r="DR95" i="2"/>
  <c r="DS95" i="2"/>
  <c r="DT95" i="2"/>
  <c r="DU95" i="2"/>
  <c r="DV95" i="2"/>
  <c r="DW95" i="2"/>
  <c r="DX95" i="2"/>
  <c r="DY95" i="2"/>
  <c r="DK96" i="2"/>
  <c r="DL96" i="2"/>
  <c r="DM96" i="2"/>
  <c r="DN96" i="2"/>
  <c r="DO96" i="2"/>
  <c r="DP96" i="2"/>
  <c r="DQ96" i="2"/>
  <c r="DR96" i="2"/>
  <c r="DS96" i="2"/>
  <c r="DT96" i="2"/>
  <c r="DU96" i="2"/>
  <c r="DV96" i="2"/>
  <c r="DW96" i="2"/>
  <c r="DX96" i="2"/>
  <c r="DY96" i="2"/>
  <c r="DK97" i="2"/>
  <c r="DL97" i="2"/>
  <c r="DM97" i="2"/>
  <c r="DN97" i="2"/>
  <c r="DO97" i="2"/>
  <c r="DP97" i="2"/>
  <c r="DQ97" i="2"/>
  <c r="DR97" i="2"/>
  <c r="DS97" i="2"/>
  <c r="DT97" i="2"/>
  <c r="DU97" i="2"/>
  <c r="DV97" i="2"/>
  <c r="DW97" i="2"/>
  <c r="DX97" i="2"/>
  <c r="DY97" i="2"/>
  <c r="CL101" i="2"/>
  <c r="CP101" i="2"/>
  <c r="DK101" i="2"/>
  <c r="DL101" i="2"/>
  <c r="DM101" i="2"/>
  <c r="DN101" i="2"/>
  <c r="DO101" i="2"/>
  <c r="DP101" i="2"/>
  <c r="DQ101" i="2"/>
  <c r="DR101" i="2"/>
  <c r="DS101" i="2"/>
  <c r="DT101" i="2"/>
  <c r="DU101" i="2"/>
  <c r="DV101" i="2"/>
  <c r="DW101" i="2"/>
  <c r="DX101" i="2"/>
  <c r="DY101" i="2"/>
  <c r="DK102" i="2"/>
  <c r="DL102" i="2"/>
  <c r="DM102" i="2"/>
  <c r="DN102" i="2"/>
  <c r="DO102" i="2"/>
  <c r="DP102" i="2"/>
  <c r="DQ102" i="2"/>
  <c r="DR102" i="2"/>
  <c r="DS102" i="2"/>
  <c r="DT102" i="2"/>
  <c r="DU102" i="2"/>
  <c r="DV102" i="2"/>
  <c r="DW102" i="2"/>
  <c r="DX102" i="2"/>
  <c r="DY102" i="2"/>
  <c r="DK103" i="2"/>
  <c r="DL103" i="2"/>
  <c r="DM103" i="2"/>
  <c r="DN103" i="2"/>
  <c r="DO103" i="2"/>
  <c r="DP103" i="2"/>
  <c r="DQ103" i="2"/>
  <c r="DR103" i="2"/>
  <c r="DS103" i="2"/>
  <c r="DT103" i="2"/>
  <c r="DU103" i="2"/>
  <c r="DV103" i="2"/>
  <c r="DW103" i="2"/>
  <c r="DX103" i="2"/>
  <c r="DY103" i="2"/>
  <c r="CL105" i="2"/>
  <c r="CP105" i="2"/>
  <c r="DK105" i="2"/>
  <c r="DL105" i="2"/>
  <c r="DM105" i="2"/>
  <c r="DN105" i="2"/>
  <c r="DO105" i="2"/>
  <c r="DP105" i="2"/>
  <c r="DQ105" i="2"/>
  <c r="DR105" i="2"/>
  <c r="DS105" i="2"/>
  <c r="DT105" i="2"/>
  <c r="DU105" i="2"/>
  <c r="DV105" i="2"/>
  <c r="DW105" i="2"/>
  <c r="DX105" i="2"/>
  <c r="DY105" i="2"/>
  <c r="CL106" i="2"/>
  <c r="CP106" i="2"/>
  <c r="DK106" i="2"/>
  <c r="DL106" i="2"/>
  <c r="DM106" i="2"/>
  <c r="DN106" i="2"/>
  <c r="DO106" i="2"/>
  <c r="DP106" i="2"/>
  <c r="DQ106" i="2"/>
  <c r="DR106" i="2"/>
  <c r="DS106" i="2"/>
  <c r="DT106" i="2"/>
  <c r="DU106" i="2"/>
  <c r="DV106" i="2"/>
  <c r="DW106" i="2"/>
  <c r="DX106" i="2"/>
  <c r="DY106" i="2"/>
  <c r="CL107" i="2"/>
  <c r="CP107" i="2"/>
  <c r="DK107" i="2"/>
  <c r="DL107" i="2"/>
  <c r="DM107" i="2"/>
  <c r="DN107" i="2"/>
  <c r="DO107" i="2"/>
  <c r="DP107" i="2"/>
  <c r="DQ107" i="2"/>
  <c r="DR107" i="2"/>
  <c r="DS107" i="2"/>
  <c r="DT107" i="2"/>
  <c r="DU107" i="2"/>
  <c r="DV107" i="2"/>
  <c r="DW107" i="2"/>
  <c r="DX107" i="2"/>
  <c r="DY107" i="2"/>
  <c r="CL108" i="2"/>
  <c r="CP108" i="2"/>
  <c r="CQ108" i="2"/>
  <c r="CU108" i="2"/>
  <c r="DK108" i="2"/>
  <c r="DL108" i="2"/>
  <c r="DM108" i="2"/>
  <c r="DN108" i="2"/>
  <c r="DO108" i="2"/>
  <c r="DP108" i="2"/>
  <c r="DQ108" i="2"/>
  <c r="DR108" i="2"/>
  <c r="DS108" i="2"/>
  <c r="DT108" i="2"/>
  <c r="DU108" i="2"/>
  <c r="DV108" i="2"/>
  <c r="DW108" i="2"/>
  <c r="DX108" i="2"/>
  <c r="DY108" i="2"/>
  <c r="DK110" i="2"/>
  <c r="DL110" i="2"/>
  <c r="DM110" i="2"/>
  <c r="DN110" i="2"/>
  <c r="DO110" i="2"/>
  <c r="DP110" i="2"/>
  <c r="DQ110" i="2"/>
  <c r="DR110" i="2"/>
  <c r="DS110" i="2"/>
  <c r="DT110" i="2"/>
  <c r="DU110" i="2"/>
  <c r="DV110" i="2"/>
  <c r="DW110" i="2"/>
  <c r="DX110" i="2"/>
  <c r="DY110" i="2"/>
  <c r="CL111" i="2"/>
  <c r="CP111" i="2"/>
  <c r="DK111" i="2"/>
  <c r="DL111" i="2"/>
  <c r="DM111" i="2"/>
  <c r="DN111" i="2"/>
  <c r="DO111" i="2"/>
  <c r="DP111" i="2"/>
  <c r="DQ111" i="2"/>
  <c r="DR111" i="2"/>
  <c r="DS111" i="2"/>
  <c r="DT111" i="2"/>
  <c r="DU111" i="2"/>
  <c r="DV111" i="2"/>
  <c r="DW111" i="2"/>
  <c r="DX111" i="2"/>
  <c r="DY111" i="2"/>
  <c r="DK112" i="2"/>
  <c r="DL112" i="2"/>
  <c r="DM112" i="2"/>
  <c r="DN112" i="2"/>
  <c r="DO112" i="2"/>
  <c r="DP112" i="2"/>
  <c r="DQ112" i="2"/>
  <c r="DR112" i="2"/>
  <c r="DS112" i="2"/>
  <c r="DT112" i="2"/>
  <c r="DU112" i="2"/>
  <c r="DV112" i="2"/>
  <c r="DW112" i="2"/>
  <c r="DX112" i="2"/>
  <c r="DY112" i="2"/>
  <c r="DK113" i="2"/>
  <c r="DL113" i="2"/>
  <c r="DM113" i="2"/>
  <c r="DN113" i="2"/>
  <c r="DO113" i="2"/>
  <c r="DP113" i="2"/>
  <c r="DQ113" i="2"/>
  <c r="DR113" i="2"/>
  <c r="DS113" i="2"/>
  <c r="DT113" i="2"/>
  <c r="DU113" i="2"/>
  <c r="DV113" i="2"/>
  <c r="DW113" i="2"/>
  <c r="DX113" i="2"/>
  <c r="DY113" i="2"/>
  <c r="CL115" i="2"/>
  <c r="CP115" i="2"/>
  <c r="DK115" i="2"/>
  <c r="DL115" i="2"/>
  <c r="DM115" i="2"/>
  <c r="DN115" i="2"/>
  <c r="DO115" i="2"/>
  <c r="DP115" i="2"/>
  <c r="DQ115" i="2"/>
  <c r="DR115" i="2"/>
  <c r="DS115" i="2"/>
  <c r="DT115" i="2"/>
  <c r="DU115" i="2"/>
  <c r="DV115" i="2"/>
  <c r="DW115" i="2"/>
  <c r="DX115" i="2"/>
  <c r="DY115" i="2"/>
  <c r="DK123" i="2"/>
  <c r="DL123" i="2"/>
  <c r="DM123" i="2"/>
  <c r="DN123" i="2"/>
  <c r="DO123" i="2"/>
  <c r="DP123" i="2"/>
  <c r="DQ123" i="2"/>
  <c r="DR123" i="2"/>
  <c r="DS123" i="2"/>
  <c r="DT123" i="2"/>
  <c r="DU123" i="2"/>
  <c r="DV123" i="2"/>
  <c r="DW123" i="2"/>
  <c r="DX123" i="2"/>
  <c r="DY123" i="2"/>
  <c r="DO124" i="2"/>
  <c r="DT124" i="2"/>
  <c r="DY124" i="2"/>
  <c r="DO125" i="2"/>
  <c r="DT125" i="2"/>
  <c r="DY125" i="2"/>
  <c r="DK126" i="2"/>
  <c r="DL126" i="2"/>
  <c r="DM126" i="2"/>
  <c r="DN126" i="2"/>
  <c r="DO126" i="2"/>
  <c r="DP126" i="2"/>
  <c r="DQ126" i="2"/>
  <c r="DR126" i="2"/>
  <c r="DS126" i="2"/>
  <c r="DT126" i="2"/>
  <c r="DU126" i="2"/>
  <c r="DV126" i="2"/>
  <c r="DW126" i="2"/>
  <c r="DX126" i="2"/>
  <c r="DY126" i="2"/>
  <c r="CL130" i="2"/>
  <c r="CP130" i="2"/>
  <c r="CS130" i="2"/>
  <c r="CT130" i="2"/>
  <c r="CL131" i="2"/>
  <c r="CP131" i="2"/>
  <c r="CS131" i="2"/>
  <c r="CT131" i="2"/>
  <c r="CU131" i="2"/>
  <c r="CL136" i="2"/>
  <c r="CP136" i="2"/>
  <c r="CS136" i="2"/>
  <c r="CT136" i="2"/>
  <c r="DO139" i="2"/>
  <c r="DT139" i="2"/>
  <c r="DY139" i="2"/>
  <c r="CP145" i="2"/>
  <c r="DK145" i="2"/>
  <c r="DL145" i="2"/>
  <c r="DM145" i="2"/>
  <c r="DN145" i="2"/>
  <c r="DO145" i="2"/>
  <c r="DP145" i="2"/>
  <c r="DQ145" i="2"/>
  <c r="DR145" i="2"/>
  <c r="DS145" i="2"/>
  <c r="DT145" i="2"/>
  <c r="DU145" i="2"/>
  <c r="DV145" i="2"/>
  <c r="DW145" i="2"/>
  <c r="DX145" i="2"/>
  <c r="DY145" i="2"/>
  <c r="CP146" i="2"/>
  <c r="DK146" i="2"/>
  <c r="DL146" i="2"/>
  <c r="DM146" i="2"/>
  <c r="DN146" i="2"/>
  <c r="DO146" i="2"/>
  <c r="DP146" i="2"/>
  <c r="DQ146" i="2"/>
  <c r="DR146" i="2"/>
  <c r="DS146" i="2"/>
  <c r="DT146" i="2"/>
  <c r="DU146" i="2"/>
  <c r="DV146" i="2"/>
  <c r="DW146" i="2"/>
  <c r="DX146" i="2"/>
  <c r="DY146" i="2"/>
  <c r="CP148" i="2"/>
  <c r="DK148" i="2"/>
  <c r="DL148" i="2"/>
  <c r="DM148" i="2"/>
  <c r="DN148" i="2"/>
  <c r="DO148" i="2"/>
  <c r="DP148" i="2"/>
  <c r="DQ148" i="2"/>
  <c r="DR148" i="2"/>
  <c r="DS148" i="2"/>
  <c r="DT148" i="2"/>
  <c r="DU148" i="2"/>
  <c r="DV148" i="2"/>
  <c r="DW148" i="2"/>
  <c r="DX148" i="2"/>
  <c r="DY148" i="2"/>
  <c r="CP149" i="2"/>
  <c r="DK149" i="2"/>
  <c r="DL149" i="2"/>
  <c r="DM149" i="2"/>
  <c r="DN149" i="2"/>
  <c r="DO149" i="2"/>
  <c r="DP149" i="2"/>
  <c r="DQ149" i="2"/>
  <c r="DR149" i="2"/>
  <c r="DS149" i="2"/>
  <c r="DT149" i="2"/>
  <c r="DU149" i="2"/>
  <c r="DV149" i="2"/>
  <c r="DW149" i="2"/>
  <c r="DX149" i="2"/>
  <c r="DY149" i="2"/>
  <c r="CP151" i="2"/>
  <c r="DK151" i="2"/>
  <c r="DL151" i="2"/>
  <c r="DM151" i="2"/>
  <c r="DN151" i="2"/>
  <c r="DO151" i="2"/>
  <c r="DP151" i="2"/>
  <c r="DQ151" i="2"/>
  <c r="DR151" i="2"/>
  <c r="DS151" i="2"/>
  <c r="DT151" i="2"/>
  <c r="DU151" i="2"/>
  <c r="DV151" i="2"/>
  <c r="DW151" i="2"/>
  <c r="DX151" i="2"/>
  <c r="DY151" i="2"/>
  <c r="CP152" i="2"/>
  <c r="DK152" i="2"/>
  <c r="DL152" i="2"/>
  <c r="DM152" i="2"/>
  <c r="DN152" i="2"/>
  <c r="DO152" i="2"/>
  <c r="DP152" i="2"/>
  <c r="DQ152" i="2"/>
  <c r="DR152" i="2"/>
  <c r="DS152" i="2"/>
  <c r="DT152" i="2"/>
  <c r="DU152" i="2"/>
  <c r="DV152" i="2"/>
  <c r="DW152" i="2"/>
  <c r="DX152" i="2"/>
  <c r="DY152" i="2"/>
  <c r="DK153" i="2"/>
  <c r="DL153" i="2"/>
  <c r="DM153" i="2"/>
  <c r="DN153" i="2"/>
  <c r="DO153" i="2"/>
  <c r="DP153" i="2"/>
  <c r="DQ153" i="2"/>
  <c r="DR153" i="2"/>
  <c r="DS153" i="2"/>
  <c r="DT153" i="2"/>
  <c r="DU153" i="2"/>
  <c r="DV153" i="2"/>
  <c r="DW153" i="2"/>
  <c r="DX153" i="2"/>
  <c r="DY153" i="2"/>
  <c r="CL159" i="2"/>
  <c r="CP159" i="2"/>
  <c r="DK159" i="2"/>
  <c r="DL159" i="2"/>
  <c r="DM159" i="2"/>
  <c r="DN159" i="2"/>
  <c r="DO159" i="2"/>
  <c r="DP159" i="2"/>
  <c r="DQ159" i="2"/>
  <c r="DR159" i="2"/>
  <c r="DS159" i="2"/>
  <c r="DT159" i="2"/>
  <c r="DU159" i="2"/>
  <c r="DV159" i="2"/>
  <c r="DW159" i="2"/>
  <c r="DX159" i="2"/>
  <c r="DY159" i="2"/>
  <c r="CL160" i="2"/>
  <c r="CP160" i="2"/>
  <c r="DK160" i="2"/>
  <c r="DL160" i="2"/>
  <c r="DM160" i="2"/>
  <c r="DN160" i="2"/>
  <c r="DO160" i="2"/>
  <c r="DP160" i="2"/>
  <c r="DQ160" i="2"/>
  <c r="DR160" i="2"/>
  <c r="DS160" i="2"/>
  <c r="DT160" i="2"/>
  <c r="DU160" i="2"/>
  <c r="DV160" i="2"/>
  <c r="DW160" i="2"/>
  <c r="DX160" i="2"/>
  <c r="DY160" i="2"/>
  <c r="CL162" i="2"/>
  <c r="CP162" i="2"/>
  <c r="DK162" i="2"/>
  <c r="DL162" i="2"/>
  <c r="DM162" i="2"/>
  <c r="DN162" i="2"/>
  <c r="DO162" i="2"/>
  <c r="DP162" i="2"/>
  <c r="DQ162" i="2"/>
  <c r="DR162" i="2"/>
  <c r="DS162" i="2"/>
  <c r="DT162" i="2"/>
  <c r="DU162" i="2"/>
  <c r="DV162" i="2"/>
  <c r="DW162" i="2"/>
  <c r="DX162" i="2"/>
  <c r="DY162" i="2"/>
  <c r="CL163" i="2"/>
  <c r="CP163" i="2"/>
  <c r="DK163" i="2"/>
  <c r="DL163" i="2"/>
  <c r="DM163" i="2"/>
  <c r="DN163" i="2"/>
  <c r="DO163" i="2"/>
  <c r="DP163" i="2"/>
  <c r="DQ163" i="2"/>
  <c r="DR163" i="2"/>
  <c r="DS163" i="2"/>
  <c r="DT163" i="2"/>
  <c r="DU163" i="2"/>
  <c r="DV163" i="2"/>
  <c r="DW163" i="2"/>
  <c r="DX163" i="2"/>
  <c r="DY163" i="2"/>
  <c r="CL165" i="2"/>
  <c r="CP165" i="2"/>
  <c r="DK165" i="2"/>
  <c r="DL165" i="2"/>
  <c r="DM165" i="2"/>
  <c r="DN165" i="2"/>
  <c r="DO165" i="2"/>
  <c r="DP165" i="2"/>
  <c r="DQ165" i="2"/>
  <c r="DR165" i="2"/>
  <c r="DS165" i="2"/>
  <c r="DT165" i="2"/>
  <c r="DU165" i="2"/>
  <c r="DV165" i="2"/>
  <c r="DW165" i="2"/>
  <c r="DX165" i="2"/>
  <c r="DY165" i="2"/>
  <c r="CL166" i="2"/>
  <c r="CP166" i="2"/>
  <c r="DK166" i="2"/>
  <c r="DL166" i="2"/>
  <c r="DM166" i="2"/>
  <c r="DN166" i="2"/>
  <c r="DO166" i="2"/>
  <c r="DP166" i="2"/>
  <c r="DQ166" i="2"/>
  <c r="DR166" i="2"/>
  <c r="DS166" i="2"/>
  <c r="DT166" i="2"/>
  <c r="DU166" i="2"/>
  <c r="DV166" i="2"/>
  <c r="DW166" i="2"/>
  <c r="DX166" i="2"/>
  <c r="DY166" i="2"/>
  <c r="DK167" i="2"/>
  <c r="DL167" i="2"/>
  <c r="DM167" i="2"/>
  <c r="DN167" i="2"/>
  <c r="DO167" i="2"/>
  <c r="DP167" i="2"/>
  <c r="DQ167" i="2"/>
  <c r="DR167" i="2"/>
  <c r="DS167" i="2"/>
  <c r="DT167" i="2"/>
  <c r="DU167" i="2"/>
  <c r="DV167" i="2"/>
  <c r="DW167" i="2"/>
  <c r="DX167" i="2"/>
  <c r="DY167" i="2"/>
  <c r="DK175" i="2"/>
  <c r="DL175" i="2"/>
  <c r="DM175" i="2"/>
  <c r="DN175" i="2"/>
  <c r="DO175" i="2"/>
  <c r="DP175" i="2"/>
  <c r="DQ175" i="2"/>
  <c r="DR175" i="2"/>
  <c r="DS175" i="2"/>
  <c r="DT175" i="2"/>
  <c r="DU175" i="2"/>
  <c r="DV175" i="2"/>
  <c r="DW175" i="2"/>
  <c r="DX175" i="2"/>
  <c r="DY175" i="2"/>
  <c r="AX1" i="9"/>
  <c r="AY1" i="9"/>
  <c r="AZ1" i="9"/>
  <c r="BA1" i="9"/>
  <c r="BB1" i="9"/>
  <c r="BC1" i="9"/>
  <c r="BD1" i="9"/>
  <c r="BE1" i="9"/>
  <c r="BF1" i="9"/>
  <c r="BG1" i="9"/>
  <c r="BH1" i="9"/>
  <c r="BI1" i="9"/>
  <c r="BJ1" i="9"/>
  <c r="BK1" i="9"/>
  <c r="BL1" i="9"/>
  <c r="AB8" i="9"/>
  <c r="AC8" i="9"/>
  <c r="AD8" i="9"/>
  <c r="AE8" i="9"/>
  <c r="AF8" i="9"/>
  <c r="AH8" i="9"/>
  <c r="AM8" i="9"/>
  <c r="AR8" i="9"/>
  <c r="Z10" i="9"/>
  <c r="AA10" i="9"/>
  <c r="AB10" i="9"/>
  <c r="AC10" i="9"/>
  <c r="AH10" i="9"/>
  <c r="AM10" i="9"/>
  <c r="AB14" i="9"/>
  <c r="AB17" i="9"/>
  <c r="AB18" i="9"/>
  <c r="AB19" i="9"/>
  <c r="AC19" i="9"/>
  <c r="AD19" i="9"/>
  <c r="AE19" i="9"/>
  <c r="AF19" i="9"/>
  <c r="AH19" i="9"/>
  <c r="AM19" i="9"/>
  <c r="AC22" i="9"/>
  <c r="AX22" i="9"/>
  <c r="AY22" i="9"/>
  <c r="AZ22" i="9"/>
  <c r="BA22" i="9"/>
  <c r="BB22" i="9"/>
  <c r="BC22" i="9"/>
  <c r="BD22" i="9"/>
  <c r="BE22" i="9"/>
  <c r="BF22" i="9"/>
  <c r="BG22" i="9"/>
  <c r="BH22" i="9"/>
  <c r="BI22" i="9"/>
  <c r="BJ22" i="9"/>
  <c r="BK22" i="9"/>
  <c r="BL22" i="9"/>
  <c r="AX23" i="9"/>
  <c r="AY23" i="9"/>
  <c r="AZ23" i="9"/>
  <c r="BA23" i="9"/>
  <c r="BB23" i="9"/>
  <c r="BC23" i="9"/>
  <c r="BD23" i="9"/>
  <c r="BE23" i="9"/>
  <c r="BF23" i="9"/>
  <c r="BG23" i="9"/>
  <c r="BH23" i="9"/>
  <c r="BI23" i="9"/>
  <c r="BJ23" i="9"/>
  <c r="BK23" i="9"/>
  <c r="BL23" i="9"/>
  <c r="AC33" i="9"/>
  <c r="AH33" i="9"/>
  <c r="AX33" i="9"/>
  <c r="AY33" i="9"/>
  <c r="AZ33" i="9"/>
  <c r="BA33" i="9"/>
  <c r="BB33" i="9"/>
  <c r="BC33" i="9"/>
  <c r="BD33" i="9"/>
  <c r="BE33" i="9"/>
  <c r="BF33" i="9"/>
  <c r="BG33" i="9"/>
  <c r="BH33" i="9"/>
  <c r="BI33" i="9"/>
  <c r="BJ33" i="9"/>
  <c r="BK33" i="9"/>
  <c r="BL33" i="9"/>
  <c r="AX34" i="9"/>
  <c r="AY34" i="9"/>
  <c r="AZ34" i="9"/>
  <c r="BA34" i="9"/>
  <c r="BB34" i="9"/>
  <c r="BC34" i="9"/>
  <c r="BD34" i="9"/>
  <c r="BE34" i="9"/>
  <c r="BF34" i="9"/>
  <c r="BG34" i="9"/>
  <c r="BH34" i="9"/>
  <c r="BI34" i="9"/>
  <c r="BJ34" i="9"/>
  <c r="BK34" i="9"/>
  <c r="BL34" i="9"/>
  <c r="AB56" i="9"/>
  <c r="Z58" i="9"/>
  <c r="AA58" i="9"/>
  <c r="AB58" i="9"/>
  <c r="AB62" i="9"/>
  <c r="AB65" i="9"/>
  <c r="AB66" i="9"/>
  <c r="AB67" i="9"/>
  <c r="AG67" i="9"/>
  <c r="AL67" i="9"/>
  <c r="AB73" i="9"/>
  <c r="Z75" i="9"/>
  <c r="AA75" i="9"/>
  <c r="AB75" i="9"/>
  <c r="AB79" i="9"/>
  <c r="AB82" i="9"/>
  <c r="AB83" i="9"/>
  <c r="AB84" i="9"/>
  <c r="AB90" i="9"/>
  <c r="Z92" i="9"/>
  <c r="AA92" i="9"/>
  <c r="AB92" i="9"/>
  <c r="AB96" i="9"/>
  <c r="AB99" i="9"/>
  <c r="AB100" i="9"/>
  <c r="AB101" i="9"/>
  <c r="AM113" i="9"/>
  <c r="AR113" i="9"/>
  <c r="AM114" i="9"/>
  <c r="AR114" i="9"/>
  <c r="AM117" i="9"/>
  <c r="AR117" i="9"/>
  <c r="Y118" i="9"/>
  <c r="AC118" i="9"/>
  <c r="AM118" i="9"/>
  <c r="AR118" i="9"/>
  <c r="Y121" i="9"/>
  <c r="AC121" i="9"/>
  <c r="AC122" i="9"/>
  <c r="AX122" i="9"/>
  <c r="AY122" i="9"/>
  <c r="AZ122" i="9"/>
  <c r="BA122" i="9"/>
  <c r="BB122" i="9"/>
  <c r="BC122" i="9"/>
  <c r="BD122" i="9"/>
  <c r="BE122" i="9"/>
  <c r="BF122" i="9"/>
  <c r="BG122" i="9"/>
  <c r="BH122" i="9"/>
  <c r="BI122" i="9"/>
  <c r="BJ122" i="9"/>
  <c r="BK122" i="9"/>
  <c r="BL122" i="9"/>
  <c r="AX123" i="9"/>
  <c r="AY123" i="9"/>
  <c r="AZ123" i="9"/>
  <c r="BA123" i="9"/>
  <c r="BB123" i="9"/>
  <c r="BC123" i="9"/>
  <c r="BD123" i="9"/>
  <c r="BE123" i="9"/>
  <c r="BF123" i="9"/>
  <c r="BG123" i="9"/>
  <c r="BH123" i="9"/>
  <c r="BI123" i="9"/>
  <c r="BJ123" i="9"/>
  <c r="BK123" i="9"/>
  <c r="BL123" i="9"/>
  <c r="AX126" i="9"/>
  <c r="AY126" i="9"/>
  <c r="AZ126" i="9"/>
  <c r="BA126" i="9"/>
  <c r="BB126" i="9"/>
  <c r="BC126" i="9"/>
  <c r="BD126" i="9"/>
  <c r="BE126" i="9"/>
  <c r="BF126" i="9"/>
  <c r="BG126" i="9"/>
  <c r="BH126" i="9"/>
  <c r="BI126" i="9"/>
  <c r="BJ126" i="9"/>
  <c r="BK126" i="9"/>
  <c r="BL126" i="9"/>
  <c r="AX127" i="9"/>
  <c r="AY127" i="9"/>
  <c r="AZ127" i="9"/>
  <c r="BA127" i="9"/>
  <c r="BB127" i="9"/>
  <c r="BC127" i="9"/>
  <c r="BD127" i="9"/>
  <c r="BE127" i="9"/>
  <c r="BF127" i="9"/>
  <c r="BG127" i="9"/>
  <c r="BH127" i="9"/>
  <c r="BI127" i="9"/>
  <c r="BJ127" i="9"/>
  <c r="BK127" i="9"/>
  <c r="BL127" i="9"/>
  <c r="AX128" i="9"/>
  <c r="AY128" i="9"/>
  <c r="AZ128" i="9"/>
  <c r="BA128" i="9"/>
  <c r="BB128" i="9"/>
  <c r="BC128" i="9"/>
  <c r="BD128" i="9"/>
  <c r="BE128" i="9"/>
  <c r="BF128" i="9"/>
  <c r="BG128" i="9"/>
  <c r="BH128" i="9"/>
  <c r="BI128" i="9"/>
  <c r="BJ128" i="9"/>
  <c r="BK128" i="9"/>
  <c r="BL128" i="9"/>
  <c r="AC129" i="9"/>
  <c r="AX129" i="9"/>
  <c r="AY129" i="9"/>
  <c r="AZ129" i="9"/>
  <c r="BA129" i="9"/>
  <c r="BB129" i="9"/>
  <c r="BC129" i="9"/>
  <c r="BD129" i="9"/>
  <c r="BE129" i="9"/>
  <c r="BF129" i="9"/>
  <c r="BG129" i="9"/>
  <c r="BH129" i="9"/>
  <c r="BI129" i="9"/>
  <c r="BJ129" i="9"/>
  <c r="BK129" i="9"/>
  <c r="BL129" i="9"/>
  <c r="AC130" i="9"/>
  <c r="AH130" i="9"/>
  <c r="AX130" i="9"/>
  <c r="AY130" i="9"/>
  <c r="AZ130" i="9"/>
  <c r="BA130" i="9"/>
  <c r="BB130" i="9"/>
  <c r="BC130" i="9"/>
  <c r="BD130" i="9"/>
  <c r="BE130" i="9"/>
  <c r="BF130" i="9"/>
  <c r="BG130" i="9"/>
  <c r="BH130" i="9"/>
  <c r="BI130" i="9"/>
  <c r="BJ130" i="9"/>
  <c r="BK130" i="9"/>
  <c r="BL130" i="9"/>
  <c r="AC131" i="9"/>
  <c r="AH131" i="9"/>
  <c r="AX131" i="9"/>
  <c r="AY131" i="9"/>
  <c r="AZ131" i="9"/>
  <c r="BA131" i="9"/>
  <c r="BB131" i="9"/>
  <c r="BC131" i="9"/>
  <c r="BD131" i="9"/>
  <c r="BE131" i="9"/>
  <c r="BF131" i="9"/>
  <c r="BG131" i="9"/>
  <c r="BH131" i="9"/>
  <c r="BI131" i="9"/>
  <c r="BJ131" i="9"/>
  <c r="BK131" i="9"/>
  <c r="BL131" i="9"/>
  <c r="AC133" i="9"/>
  <c r="AH133" i="9"/>
  <c r="AX133" i="9"/>
  <c r="AY133" i="9"/>
  <c r="AZ133" i="9"/>
  <c r="BA133" i="9"/>
  <c r="BB133" i="9"/>
  <c r="BC133" i="9"/>
  <c r="BD133" i="9"/>
  <c r="BE133" i="9"/>
  <c r="BF133" i="9"/>
  <c r="BG133" i="9"/>
  <c r="BH133" i="9"/>
  <c r="BI133" i="9"/>
  <c r="BJ133" i="9"/>
  <c r="BK133" i="9"/>
  <c r="BL133" i="9"/>
  <c r="AX134" i="9"/>
  <c r="AY134" i="9"/>
  <c r="AZ134" i="9"/>
  <c r="BA134" i="9"/>
  <c r="BB134" i="9"/>
  <c r="BC134" i="9"/>
  <c r="BD134" i="9"/>
  <c r="BE134" i="9"/>
  <c r="BF134" i="9"/>
  <c r="BG134" i="9"/>
  <c r="BH134" i="9"/>
  <c r="BI134" i="9"/>
  <c r="BJ134" i="9"/>
  <c r="BK134" i="9"/>
  <c r="BL134" i="9"/>
  <c r="Y168" i="9"/>
  <c r="Y171" i="9"/>
  <c r="AM181" i="9"/>
  <c r="AR181" i="9"/>
  <c r="AW181" i="9"/>
  <c r="BB181" i="9"/>
  <c r="BG181" i="9"/>
  <c r="BL181" i="9"/>
  <c r="AM182" i="9"/>
  <c r="AR182" i="9"/>
  <c r="AW182" i="9"/>
  <c r="BB182" i="9"/>
  <c r="BG182" i="9"/>
  <c r="BL182" i="9"/>
  <c r="AM185" i="9"/>
  <c r="AR185" i="9"/>
  <c r="AW185" i="9"/>
  <c r="BB185" i="9"/>
  <c r="BG185" i="9"/>
  <c r="BL185" i="9"/>
  <c r="Y186" i="9"/>
  <c r="AC186" i="9"/>
  <c r="AM186" i="9"/>
  <c r="AR186" i="9"/>
  <c r="AW186" i="9"/>
  <c r="BB186" i="9"/>
  <c r="BG186" i="9"/>
  <c r="BL186" i="9"/>
  <c r="Y189" i="9"/>
  <c r="Y204" i="9"/>
  <c r="Y207" i="9"/>
  <c r="DK1" i="6"/>
  <c r="DL1" i="6"/>
  <c r="DM1" i="6"/>
  <c r="DN1" i="6"/>
  <c r="DO1" i="6"/>
  <c r="DP1" i="6"/>
  <c r="DQ1" i="6"/>
  <c r="DR1" i="6"/>
  <c r="DS1" i="6"/>
  <c r="DT1" i="6"/>
  <c r="DU1" i="6"/>
  <c r="DV1" i="6"/>
  <c r="DW1" i="6"/>
  <c r="DX1" i="6"/>
  <c r="DY1" i="6"/>
  <c r="DK10" i="6"/>
  <c r="DL10" i="6"/>
  <c r="DM10" i="6"/>
  <c r="DN10" i="6"/>
  <c r="DO10" i="6"/>
  <c r="DP10" i="6"/>
  <c r="DQ10" i="6"/>
  <c r="DR10" i="6"/>
  <c r="DS10" i="6"/>
  <c r="DT10" i="6"/>
  <c r="DU10" i="6"/>
  <c r="DV10" i="6"/>
  <c r="DW10" i="6"/>
  <c r="DX10" i="6"/>
  <c r="DY10" i="6"/>
  <c r="DK11" i="6"/>
  <c r="DL11" i="6"/>
  <c r="DM11" i="6"/>
  <c r="DN11" i="6"/>
  <c r="DO11" i="6"/>
  <c r="DP11" i="6"/>
  <c r="DQ11" i="6"/>
  <c r="DR11" i="6"/>
  <c r="DS11" i="6"/>
  <c r="DT11" i="6"/>
  <c r="DU11" i="6"/>
  <c r="DV11" i="6"/>
  <c r="DW11" i="6"/>
  <c r="DX11" i="6"/>
  <c r="DY11" i="6"/>
  <c r="DK12" i="6"/>
  <c r="DL12" i="6"/>
  <c r="DM12" i="6"/>
  <c r="DN12" i="6"/>
  <c r="DO12" i="6"/>
  <c r="DP12" i="6"/>
  <c r="DQ12" i="6"/>
  <c r="DR12" i="6"/>
  <c r="DS12" i="6"/>
  <c r="DT12" i="6"/>
  <c r="DU12" i="6"/>
  <c r="DV12" i="6"/>
  <c r="DW12" i="6"/>
  <c r="DX12" i="6"/>
  <c r="DY12" i="6"/>
  <c r="DK14" i="6"/>
  <c r="DL14" i="6"/>
  <c r="DM14" i="6"/>
  <c r="DN14" i="6"/>
  <c r="DO14" i="6"/>
  <c r="DP14" i="6"/>
  <c r="DQ14" i="6"/>
  <c r="DR14" i="6"/>
  <c r="DS14" i="6"/>
  <c r="DT14" i="6"/>
  <c r="DU14" i="6"/>
  <c r="DV14" i="6"/>
  <c r="DW14" i="6"/>
  <c r="DX14" i="6"/>
  <c r="DY14" i="6"/>
  <c r="DK15" i="6"/>
  <c r="DL15" i="6"/>
  <c r="DM15" i="6"/>
  <c r="DN15" i="6"/>
  <c r="DO15" i="6"/>
  <c r="DP15" i="6"/>
  <c r="DQ15" i="6"/>
  <c r="DR15" i="6"/>
  <c r="DS15" i="6"/>
  <c r="DT15" i="6"/>
  <c r="DU15" i="6"/>
  <c r="DV15" i="6"/>
  <c r="DW15" i="6"/>
  <c r="DX15" i="6"/>
  <c r="DY15" i="6"/>
  <c r="DK17" i="6"/>
  <c r="DL17" i="6"/>
  <c r="DM17" i="6"/>
  <c r="DN17" i="6"/>
  <c r="DO17" i="6"/>
  <c r="DP17" i="6"/>
  <c r="DQ17" i="6"/>
  <c r="DR17" i="6"/>
  <c r="DS17" i="6"/>
  <c r="DT17" i="6"/>
  <c r="DU17" i="6"/>
  <c r="DV17" i="6"/>
  <c r="DW17" i="6"/>
  <c r="DX17" i="6"/>
  <c r="DY17" i="6"/>
  <c r="DK19" i="6"/>
  <c r="DL19" i="6"/>
  <c r="DM19" i="6"/>
  <c r="DN19" i="6"/>
  <c r="DO19" i="6"/>
  <c r="DP19" i="6"/>
  <c r="DQ19" i="6"/>
  <c r="DR19" i="6"/>
  <c r="DS19" i="6"/>
  <c r="DT19" i="6"/>
  <c r="DU19" i="6"/>
  <c r="DV19" i="6"/>
  <c r="DW19" i="6"/>
  <c r="DX19" i="6"/>
  <c r="DY19" i="6"/>
  <c r="DK20" i="6"/>
  <c r="DL20" i="6"/>
  <c r="DM20" i="6"/>
  <c r="DN20" i="6"/>
  <c r="DO20" i="6"/>
  <c r="DP20" i="6"/>
  <c r="DQ20" i="6"/>
  <c r="DR20" i="6"/>
  <c r="DS20" i="6"/>
  <c r="DT20" i="6"/>
  <c r="DU20" i="6"/>
  <c r="DV20" i="6"/>
  <c r="DW20" i="6"/>
  <c r="DX20" i="6"/>
  <c r="DY20" i="6"/>
  <c r="DO21" i="6"/>
  <c r="CP24" i="6"/>
  <c r="EA24" i="6"/>
  <c r="EB24" i="6"/>
  <c r="CP25" i="6"/>
  <c r="DK25" i="6"/>
  <c r="DL25" i="6"/>
  <c r="DM25" i="6"/>
  <c r="DN25" i="6"/>
  <c r="DO25" i="6"/>
  <c r="DP25" i="6"/>
  <c r="DQ25" i="6"/>
  <c r="DR25" i="6"/>
  <c r="DS25" i="6"/>
  <c r="DT25" i="6"/>
  <c r="DU25" i="6"/>
  <c r="DV25" i="6"/>
  <c r="DW25" i="6"/>
  <c r="DX25" i="6"/>
  <c r="DY25" i="6"/>
  <c r="EA25" i="6"/>
  <c r="EB25" i="6"/>
  <c r="EC25" i="6"/>
  <c r="CL26" i="6"/>
  <c r="CP26" i="6"/>
  <c r="CL27" i="6"/>
  <c r="CP27" i="6"/>
  <c r="DK27" i="6"/>
  <c r="DL27" i="6"/>
  <c r="DM27" i="6"/>
  <c r="DN27" i="6"/>
  <c r="DO27" i="6"/>
  <c r="DP27" i="6"/>
  <c r="DQ27" i="6"/>
  <c r="DR27" i="6"/>
  <c r="DS27" i="6"/>
  <c r="DT27" i="6"/>
  <c r="DU27" i="6"/>
  <c r="DV27" i="6"/>
  <c r="DW27" i="6"/>
  <c r="DX27" i="6"/>
  <c r="DY27" i="6"/>
  <c r="CL29" i="6"/>
  <c r="CP29" i="6"/>
  <c r="DK29" i="6"/>
  <c r="DL29" i="6"/>
  <c r="DM29" i="6"/>
  <c r="DN29" i="6"/>
  <c r="DO29" i="6"/>
  <c r="DP29" i="6"/>
  <c r="DQ29" i="6"/>
  <c r="DR29" i="6"/>
  <c r="DS29" i="6"/>
  <c r="DT29" i="6"/>
  <c r="DU29" i="6"/>
  <c r="DV29" i="6"/>
  <c r="DW29" i="6"/>
  <c r="DX29" i="6"/>
  <c r="DY29" i="6"/>
  <c r="CL30" i="6"/>
  <c r="CP30" i="6"/>
  <c r="DK30" i="6"/>
  <c r="DL30" i="6"/>
  <c r="DM30" i="6"/>
  <c r="DN30" i="6"/>
  <c r="DO30" i="6"/>
  <c r="DP30" i="6"/>
  <c r="DQ30" i="6"/>
  <c r="DR30" i="6"/>
  <c r="DS30" i="6"/>
  <c r="DT30" i="6"/>
  <c r="DU30" i="6"/>
  <c r="DV30" i="6"/>
  <c r="DW30" i="6"/>
  <c r="DX30" i="6"/>
  <c r="DY30" i="6"/>
  <c r="CL32" i="6"/>
  <c r="CP32" i="6"/>
  <c r="CP34" i="6"/>
  <c r="DK34" i="6"/>
  <c r="DL34" i="6"/>
  <c r="DM34" i="6"/>
  <c r="DN34" i="6"/>
  <c r="DO34" i="6"/>
  <c r="DP34" i="6"/>
  <c r="DQ34" i="6"/>
  <c r="DR34" i="6"/>
  <c r="DS34" i="6"/>
  <c r="DT34" i="6"/>
  <c r="DU34" i="6"/>
  <c r="DV34" i="6"/>
  <c r="DW34" i="6"/>
  <c r="DX34" i="6"/>
  <c r="DY34" i="6"/>
  <c r="EB34" i="6"/>
  <c r="EC34" i="6"/>
  <c r="ED34" i="6"/>
  <c r="CP35" i="6"/>
  <c r="DK35" i="6"/>
  <c r="DL35" i="6"/>
  <c r="DM35" i="6"/>
  <c r="DN35" i="6"/>
  <c r="DO35" i="6"/>
  <c r="DP35" i="6"/>
  <c r="DQ35" i="6"/>
  <c r="DR35" i="6"/>
  <c r="DS35" i="6"/>
  <c r="DT35" i="6"/>
  <c r="DU35" i="6"/>
  <c r="DV35" i="6"/>
  <c r="DW35" i="6"/>
  <c r="DX35" i="6"/>
  <c r="DY35" i="6"/>
  <c r="CP36" i="6"/>
  <c r="CU36" i="6"/>
  <c r="DK36" i="6"/>
  <c r="DL36" i="6"/>
  <c r="DM36" i="6"/>
  <c r="DN36" i="6"/>
  <c r="DO36" i="6"/>
  <c r="DP36" i="6"/>
  <c r="DQ36" i="6"/>
  <c r="DR36" i="6"/>
  <c r="DS36" i="6"/>
  <c r="DT36" i="6"/>
  <c r="DU36" i="6"/>
  <c r="DV36" i="6"/>
  <c r="DW36" i="6"/>
  <c r="DX36" i="6"/>
  <c r="DY36" i="6"/>
  <c r="CP37" i="6"/>
  <c r="CU37" i="6"/>
  <c r="DK37" i="6"/>
  <c r="DL37" i="6"/>
  <c r="DM37" i="6"/>
  <c r="DN37" i="6"/>
  <c r="DO37" i="6"/>
  <c r="DP37" i="6"/>
  <c r="DQ37" i="6"/>
  <c r="DR37" i="6"/>
  <c r="DS37" i="6"/>
  <c r="DT37" i="6"/>
  <c r="DU37" i="6"/>
  <c r="DV37" i="6"/>
  <c r="DW37" i="6"/>
  <c r="DX37" i="6"/>
  <c r="DY37" i="6"/>
  <c r="DK40" i="6"/>
  <c r="DL40" i="6"/>
  <c r="DM40" i="6"/>
  <c r="DN40" i="6"/>
  <c r="DO40" i="6"/>
  <c r="DP40" i="6"/>
  <c r="DQ40" i="6"/>
  <c r="DR40" i="6"/>
  <c r="DS40" i="6"/>
  <c r="DT40" i="6"/>
  <c r="DU40" i="6"/>
  <c r="DV40" i="6"/>
  <c r="DW40" i="6"/>
  <c r="DX40" i="6"/>
  <c r="DY40" i="6"/>
  <c r="DK41" i="6"/>
  <c r="DL41" i="6"/>
  <c r="DM41" i="6"/>
  <c r="DN41" i="6"/>
  <c r="DO41" i="6"/>
  <c r="DP41" i="6"/>
  <c r="DQ41" i="6"/>
  <c r="DR41" i="6"/>
  <c r="DS41" i="6"/>
  <c r="DT41" i="6"/>
  <c r="DU41" i="6"/>
  <c r="DV41" i="6"/>
  <c r="DW41" i="6"/>
  <c r="DX41" i="6"/>
  <c r="DY41" i="6"/>
  <c r="DO42" i="6"/>
  <c r="DT42" i="6"/>
  <c r="DY42" i="6"/>
  <c r="DO43" i="6"/>
  <c r="DT43" i="6"/>
  <c r="DY43" i="6"/>
  <c r="DK44" i="6"/>
  <c r="DL44" i="6"/>
  <c r="DM44" i="6"/>
  <c r="DN44" i="6"/>
  <c r="DO44" i="6"/>
  <c r="DP44" i="6"/>
  <c r="DQ44" i="6"/>
  <c r="DR44" i="6"/>
  <c r="DS44" i="6"/>
  <c r="DT44" i="6"/>
  <c r="DU44" i="6"/>
  <c r="DV44" i="6"/>
  <c r="DW44" i="6"/>
  <c r="DX44" i="6"/>
  <c r="DY44" i="6"/>
  <c r="DK46" i="6"/>
  <c r="DL46" i="6"/>
  <c r="DM46" i="6"/>
  <c r="DN46" i="6"/>
  <c r="DO46" i="6"/>
  <c r="DP46" i="6"/>
  <c r="DQ46" i="6"/>
  <c r="DR46" i="6"/>
  <c r="DS46" i="6"/>
  <c r="DT46" i="6"/>
  <c r="DU46" i="6"/>
  <c r="DV46" i="6"/>
  <c r="DW46" i="6"/>
  <c r="DX46" i="6"/>
  <c r="DY46" i="6"/>
  <c r="DO47" i="6"/>
  <c r="DT47" i="6"/>
  <c r="DY47" i="6"/>
  <c r="DK48" i="6"/>
  <c r="DL48" i="6"/>
  <c r="DM48" i="6"/>
  <c r="DN48" i="6"/>
  <c r="DO48" i="6"/>
  <c r="DP48" i="6"/>
  <c r="DQ48" i="6"/>
  <c r="DR48" i="6"/>
  <c r="DS48" i="6"/>
  <c r="DT48" i="6"/>
  <c r="DU48" i="6"/>
  <c r="DV48" i="6"/>
  <c r="DW48" i="6"/>
  <c r="DX48" i="6"/>
  <c r="DY48" i="6"/>
  <c r="DK49" i="6"/>
  <c r="DL49" i="6"/>
  <c r="DM49" i="6"/>
  <c r="DN49" i="6"/>
  <c r="DO49" i="6"/>
  <c r="DP49" i="6"/>
  <c r="DQ49" i="6"/>
  <c r="DR49" i="6"/>
  <c r="DS49" i="6"/>
  <c r="DT49" i="6"/>
  <c r="DU49" i="6"/>
  <c r="DV49" i="6"/>
  <c r="DW49" i="6"/>
  <c r="DX49" i="6"/>
  <c r="DY49" i="6"/>
  <c r="CP50" i="6"/>
  <c r="DK50" i="6"/>
  <c r="DL50" i="6"/>
  <c r="DM50" i="6"/>
  <c r="DN50" i="6"/>
  <c r="DO50" i="6"/>
  <c r="DP50" i="6"/>
  <c r="DQ50" i="6"/>
  <c r="DR50" i="6"/>
  <c r="DS50" i="6"/>
  <c r="DT50" i="6"/>
  <c r="DU50" i="6"/>
  <c r="DV50" i="6"/>
  <c r="DW50" i="6"/>
  <c r="DX50" i="6"/>
  <c r="DY50" i="6"/>
  <c r="DK51" i="6"/>
  <c r="DL51" i="6"/>
  <c r="DM51" i="6"/>
  <c r="DN51" i="6"/>
  <c r="DO51" i="6"/>
  <c r="DP51" i="6"/>
  <c r="DQ51" i="6"/>
  <c r="DR51" i="6"/>
  <c r="DS51" i="6"/>
  <c r="DT51" i="6"/>
  <c r="DU51" i="6"/>
  <c r="DV51" i="6"/>
  <c r="DW51" i="6"/>
  <c r="DX51" i="6"/>
  <c r="DY51" i="6"/>
  <c r="DK55" i="6"/>
  <c r="DL55" i="6"/>
  <c r="DM55" i="6"/>
  <c r="DN55" i="6"/>
  <c r="DO55" i="6"/>
  <c r="DP55" i="6"/>
  <c r="DQ55" i="6"/>
  <c r="DR55" i="6"/>
  <c r="DS55" i="6"/>
  <c r="DT55" i="6"/>
  <c r="DU55" i="6"/>
  <c r="DV55" i="6"/>
  <c r="DW55" i="6"/>
  <c r="DX55" i="6"/>
  <c r="DY55" i="6"/>
  <c r="DK56" i="6"/>
  <c r="DL56" i="6"/>
  <c r="DM56" i="6"/>
  <c r="DN56" i="6"/>
  <c r="DO56" i="6"/>
  <c r="DP56" i="6"/>
  <c r="DQ56" i="6"/>
  <c r="DR56" i="6"/>
  <c r="DS56" i="6"/>
  <c r="DT56" i="6"/>
  <c r="DU56" i="6"/>
  <c r="DV56" i="6"/>
  <c r="DW56" i="6"/>
  <c r="DX56" i="6"/>
  <c r="DY56" i="6"/>
  <c r="DK58" i="6"/>
  <c r="DL58" i="6"/>
  <c r="DM58" i="6"/>
  <c r="DN58" i="6"/>
  <c r="DO58" i="6"/>
  <c r="DP58" i="6"/>
  <c r="DQ58" i="6"/>
  <c r="DR58" i="6"/>
  <c r="DS58" i="6"/>
  <c r="DT58" i="6"/>
  <c r="DU58" i="6"/>
  <c r="DV58" i="6"/>
  <c r="DW58" i="6"/>
  <c r="DX58" i="6"/>
  <c r="DY58" i="6"/>
  <c r="DK60" i="6"/>
  <c r="DL60" i="6"/>
  <c r="DM60" i="6"/>
  <c r="DN60" i="6"/>
  <c r="DO60" i="6"/>
  <c r="DP60" i="6"/>
  <c r="DQ60" i="6"/>
  <c r="DR60" i="6"/>
  <c r="DS60" i="6"/>
  <c r="DT60" i="6"/>
  <c r="DU60" i="6"/>
  <c r="DV60" i="6"/>
  <c r="DW60" i="6"/>
  <c r="DX60" i="6"/>
  <c r="DY60" i="6"/>
  <c r="DK61" i="6"/>
  <c r="DL61" i="6"/>
  <c r="DM61" i="6"/>
  <c r="DN61" i="6"/>
  <c r="DO61" i="6"/>
  <c r="DP61" i="6"/>
  <c r="DQ61" i="6"/>
  <c r="DR61" i="6"/>
  <c r="DS61" i="6"/>
  <c r="DT61" i="6"/>
  <c r="DU61" i="6"/>
  <c r="DV61" i="6"/>
  <c r="DW61" i="6"/>
  <c r="DX61" i="6"/>
  <c r="DY61" i="6"/>
  <c r="CP63" i="6"/>
  <c r="DK63" i="6"/>
  <c r="DL63" i="6"/>
  <c r="DM63" i="6"/>
  <c r="DN63" i="6"/>
  <c r="DO63" i="6"/>
  <c r="DP63" i="6"/>
  <c r="DQ63" i="6"/>
  <c r="DR63" i="6"/>
  <c r="DS63" i="6"/>
  <c r="DT63" i="6"/>
  <c r="DU63" i="6"/>
  <c r="DV63" i="6"/>
  <c r="DW63" i="6"/>
  <c r="DX63" i="6"/>
  <c r="DY63" i="6"/>
  <c r="CL65" i="6"/>
  <c r="CP65" i="6"/>
  <c r="DK65" i="6"/>
  <c r="DL65" i="6"/>
  <c r="DM65" i="6"/>
  <c r="DN65" i="6"/>
  <c r="DO65" i="6"/>
  <c r="DP65" i="6"/>
  <c r="DQ65" i="6"/>
  <c r="DR65" i="6"/>
  <c r="DS65" i="6"/>
  <c r="DT65" i="6"/>
  <c r="DU65" i="6"/>
  <c r="DV65" i="6"/>
  <c r="DW65" i="6"/>
  <c r="DX65" i="6"/>
  <c r="DY65" i="6"/>
  <c r="CP67" i="6"/>
  <c r="DK67" i="6"/>
  <c r="DL67" i="6"/>
  <c r="DM67" i="6"/>
  <c r="DN67" i="6"/>
  <c r="DO67" i="6"/>
  <c r="DP67" i="6"/>
  <c r="DQ67" i="6"/>
  <c r="DR67" i="6"/>
  <c r="DS67" i="6"/>
  <c r="DT67" i="6"/>
  <c r="DU67" i="6"/>
  <c r="DV67" i="6"/>
  <c r="DW67" i="6"/>
  <c r="DX67" i="6"/>
  <c r="DY67" i="6"/>
  <c r="CP68" i="6"/>
  <c r="DK68" i="6"/>
  <c r="DL68" i="6"/>
  <c r="DM68" i="6"/>
  <c r="DN68" i="6"/>
  <c r="DO68" i="6"/>
  <c r="DP68" i="6"/>
  <c r="DQ68" i="6"/>
  <c r="DR68" i="6"/>
  <c r="DS68" i="6"/>
  <c r="DT68" i="6"/>
  <c r="DU68" i="6"/>
  <c r="DV68" i="6"/>
  <c r="DW68" i="6"/>
  <c r="DX68" i="6"/>
  <c r="DY68" i="6"/>
  <c r="CP70" i="6"/>
  <c r="DK70" i="6"/>
  <c r="DL70" i="6"/>
  <c r="DM70" i="6"/>
  <c r="DN70" i="6"/>
  <c r="DO70" i="6"/>
  <c r="DP70" i="6"/>
  <c r="DQ70" i="6"/>
  <c r="DR70" i="6"/>
  <c r="DS70" i="6"/>
  <c r="DT70" i="6"/>
  <c r="DU70" i="6"/>
  <c r="DV70" i="6"/>
  <c r="DW70" i="6"/>
  <c r="DX70" i="6"/>
  <c r="DY70" i="6"/>
  <c r="CP71" i="6"/>
  <c r="DK71" i="6"/>
  <c r="DL71" i="6"/>
  <c r="DM71" i="6"/>
  <c r="DN71" i="6"/>
  <c r="DO71" i="6"/>
  <c r="DP71" i="6"/>
  <c r="DQ71" i="6"/>
  <c r="DR71" i="6"/>
  <c r="DS71" i="6"/>
  <c r="DT71" i="6"/>
  <c r="DU71" i="6"/>
  <c r="DV71" i="6"/>
  <c r="DW71" i="6"/>
  <c r="DX71" i="6"/>
  <c r="DY71" i="6"/>
  <c r="DK72" i="6"/>
  <c r="DL72" i="6"/>
  <c r="DM72" i="6"/>
  <c r="DN72" i="6"/>
  <c r="DP72" i="6"/>
  <c r="DQ72" i="6"/>
  <c r="DR72" i="6"/>
  <c r="DS72" i="6"/>
  <c r="DU72" i="6"/>
  <c r="DV72" i="6"/>
  <c r="DW72" i="6"/>
  <c r="DX72" i="6"/>
  <c r="CV112" i="6"/>
  <c r="CW112" i="6"/>
  <c r="CX112" i="6"/>
  <c r="CY112" i="6"/>
  <c r="CZ112" i="6"/>
  <c r="DA112" i="6"/>
  <c r="DB112" i="6"/>
  <c r="DC112" i="6"/>
  <c r="DD112" i="6"/>
  <c r="DE112" i="6"/>
  <c r="DF112" i="6"/>
  <c r="DG112" i="6"/>
  <c r="DH112" i="6"/>
  <c r="DI112" i="6"/>
  <c r="DJ112" i="6"/>
  <c r="DK112" i="6"/>
  <c r="DL112" i="6"/>
  <c r="DM112" i="6"/>
  <c r="DN112" i="6"/>
  <c r="DO112" i="6"/>
  <c r="DP112" i="6"/>
  <c r="DQ112" i="6"/>
  <c r="DR112" i="6"/>
  <c r="DS112" i="6"/>
  <c r="DT112" i="6"/>
  <c r="DU112" i="6"/>
  <c r="DV112" i="6"/>
  <c r="DW112" i="6"/>
  <c r="DX112" i="6"/>
  <c r="DY112" i="6"/>
  <c r="CV113" i="6"/>
  <c r="CW113" i="6"/>
  <c r="CX113" i="6"/>
  <c r="CY113" i="6"/>
  <c r="CZ113" i="6"/>
  <c r="DA113" i="6"/>
  <c r="DB113" i="6"/>
  <c r="DC113" i="6"/>
  <c r="DD113" i="6"/>
  <c r="DE113" i="6"/>
  <c r="DF113" i="6"/>
  <c r="DG113" i="6"/>
  <c r="DH113" i="6"/>
  <c r="DI113" i="6"/>
  <c r="DJ113" i="6"/>
  <c r="DK113" i="6"/>
  <c r="DL113" i="6"/>
  <c r="DM113" i="6"/>
  <c r="DN113" i="6"/>
  <c r="DO113" i="6"/>
  <c r="DP113" i="6"/>
  <c r="DQ113" i="6"/>
  <c r="DR113" i="6"/>
  <c r="DS113" i="6"/>
  <c r="DT113" i="6"/>
  <c r="DU113" i="6"/>
  <c r="DV113" i="6"/>
  <c r="DW113" i="6"/>
  <c r="DX113" i="6"/>
  <c r="DY113" i="6"/>
  <c r="CV114" i="6"/>
  <c r="CW114" i="6"/>
  <c r="CX114" i="6"/>
  <c r="CY114" i="6"/>
  <c r="DA114" i="6"/>
  <c r="DB114" i="6"/>
  <c r="DC114" i="6"/>
  <c r="DD114" i="6"/>
  <c r="DF114" i="6"/>
  <c r="DG114" i="6"/>
  <c r="DH114" i="6"/>
  <c r="DI114" i="6"/>
  <c r="DK114" i="6"/>
  <c r="DL114" i="6"/>
  <c r="DM114" i="6"/>
  <c r="DN114" i="6"/>
  <c r="DO114" i="6"/>
  <c r="DP114" i="6"/>
  <c r="DQ114" i="6"/>
  <c r="DR114" i="6"/>
  <c r="DS114" i="6"/>
  <c r="DT114" i="6"/>
  <c r="DU114" i="6"/>
  <c r="DV114" i="6"/>
  <c r="DW114" i="6"/>
  <c r="DX114" i="6"/>
  <c r="DY114" i="6"/>
  <c r="CV118" i="6"/>
  <c r="CW118" i="6"/>
  <c r="CX118" i="6"/>
  <c r="CY118" i="6"/>
  <c r="CZ118" i="6"/>
  <c r="DA118" i="6"/>
  <c r="DB118" i="6"/>
  <c r="DC118" i="6"/>
  <c r="DD118" i="6"/>
  <c r="DE118" i="6"/>
  <c r="DF118" i="6"/>
  <c r="DG118" i="6"/>
  <c r="DH118" i="6"/>
  <c r="DI118" i="6"/>
  <c r="DJ118" i="6"/>
  <c r="DO118" i="6"/>
  <c r="DT118" i="6"/>
  <c r="DY118" i="6"/>
  <c r="CV119" i="6"/>
  <c r="CW119" i="6"/>
  <c r="CX119" i="6"/>
  <c r="CY119" i="6"/>
  <c r="CZ119" i="6"/>
  <c r="DA119" i="6"/>
  <c r="DB119" i="6"/>
  <c r="DC119" i="6"/>
  <c r="DD119" i="6"/>
  <c r="DE119" i="6"/>
  <c r="DF119" i="6"/>
  <c r="DG119" i="6"/>
  <c r="DH119" i="6"/>
  <c r="DI119" i="6"/>
  <c r="DJ119" i="6"/>
  <c r="DO119" i="6"/>
  <c r="DT119" i="6"/>
  <c r="DY119" i="6"/>
  <c r="CV120" i="6"/>
  <c r="CW120" i="6"/>
  <c r="CX120" i="6"/>
  <c r="CY120" i="6"/>
  <c r="DA120" i="6"/>
  <c r="DB120" i="6"/>
  <c r="DC120" i="6"/>
  <c r="DD120" i="6"/>
  <c r="DF120" i="6"/>
  <c r="DG120" i="6"/>
  <c r="DH120" i="6"/>
  <c r="DI120" i="6"/>
  <c r="DK120" i="6"/>
  <c r="DL120" i="6"/>
  <c r="DM120" i="6"/>
  <c r="DN120" i="6"/>
  <c r="DO120" i="6"/>
  <c r="DP120" i="6"/>
  <c r="DQ120" i="6"/>
  <c r="DR120" i="6"/>
  <c r="DS120" i="6"/>
  <c r="DT120" i="6"/>
  <c r="DU120" i="6"/>
  <c r="DV120" i="6"/>
  <c r="DW120" i="6"/>
  <c r="DX120" i="6"/>
  <c r="DY120" i="6"/>
  <c r="DK122" i="6"/>
  <c r="DL122" i="6"/>
  <c r="DM122" i="6"/>
  <c r="DN122" i="6"/>
  <c r="DO122" i="6"/>
  <c r="DP122" i="6"/>
  <c r="DQ122" i="6"/>
  <c r="DR122" i="6"/>
  <c r="DS122" i="6"/>
  <c r="DT122" i="6"/>
  <c r="DU122" i="6"/>
  <c r="DV122" i="6"/>
  <c r="DW122" i="6"/>
  <c r="DX122" i="6"/>
  <c r="DY122" i="6"/>
  <c r="DO123" i="6"/>
  <c r="DT123" i="6"/>
  <c r="DY123" i="6"/>
  <c r="DK124" i="6"/>
  <c r="DL124" i="6"/>
  <c r="DM124" i="6"/>
  <c r="DN124" i="6"/>
  <c r="DO124" i="6"/>
  <c r="DP124" i="6"/>
  <c r="DQ124" i="6"/>
  <c r="DR124" i="6"/>
  <c r="DS124" i="6"/>
  <c r="DT124" i="6"/>
  <c r="DU124" i="6"/>
  <c r="DV124" i="6"/>
  <c r="DW124" i="6"/>
  <c r="DX124" i="6"/>
  <c r="DY124" i="6"/>
  <c r="DK125" i="6"/>
  <c r="DL125" i="6"/>
  <c r="DM125" i="6"/>
  <c r="DN125" i="6"/>
  <c r="DO125" i="6"/>
  <c r="DP125" i="6"/>
  <c r="DQ125" i="6"/>
  <c r="DR125" i="6"/>
  <c r="DS125" i="6"/>
  <c r="DT125" i="6"/>
  <c r="DU125" i="6"/>
  <c r="DV125" i="6"/>
  <c r="DW125" i="6"/>
  <c r="DX125" i="6"/>
  <c r="DY125" i="6"/>
  <c r="CV130" i="6"/>
  <c r="CW130" i="6"/>
  <c r="CX130" i="6"/>
  <c r="CY130" i="6"/>
  <c r="CZ130" i="6"/>
  <c r="DA130" i="6"/>
  <c r="DB130" i="6"/>
  <c r="DC130" i="6"/>
  <c r="DD130" i="6"/>
  <c r="DE130" i="6"/>
  <c r="DF130" i="6"/>
  <c r="DG130" i="6"/>
  <c r="DH130" i="6"/>
  <c r="DI130" i="6"/>
  <c r="DJ130" i="6"/>
  <c r="DK130" i="6"/>
  <c r="DL130" i="6"/>
  <c r="DM130" i="6"/>
  <c r="DN130" i="6"/>
  <c r="DO130" i="6"/>
  <c r="DP130" i="6"/>
  <c r="DQ130" i="6"/>
  <c r="DR130" i="6"/>
  <c r="DS130" i="6"/>
  <c r="DT130" i="6"/>
  <c r="DU130" i="6"/>
  <c r="DV130" i="6"/>
  <c r="DW130" i="6"/>
  <c r="DX130" i="6"/>
  <c r="DY130" i="6"/>
  <c r="CV131" i="6"/>
  <c r="CW131" i="6"/>
  <c r="CX131" i="6"/>
  <c r="CY131" i="6"/>
  <c r="CZ131" i="6"/>
  <c r="DA131" i="6"/>
  <c r="DB131" i="6"/>
  <c r="DC131" i="6"/>
  <c r="DD131" i="6"/>
  <c r="DE131" i="6"/>
  <c r="DF131" i="6"/>
  <c r="DG131" i="6"/>
  <c r="DH131" i="6"/>
  <c r="DI131" i="6"/>
  <c r="DJ131" i="6"/>
  <c r="DK131" i="6"/>
  <c r="DL131" i="6"/>
  <c r="DM131" i="6"/>
  <c r="DN131" i="6"/>
  <c r="DO131" i="6"/>
  <c r="DP131" i="6"/>
  <c r="DQ131" i="6"/>
  <c r="DR131" i="6"/>
  <c r="DS131" i="6"/>
  <c r="DT131" i="6"/>
  <c r="DU131" i="6"/>
  <c r="DV131" i="6"/>
  <c r="DW131" i="6"/>
  <c r="DX131" i="6"/>
  <c r="DY131" i="6"/>
  <c r="CV132" i="6"/>
  <c r="CW132" i="6"/>
  <c r="CX132" i="6"/>
  <c r="CY132" i="6"/>
  <c r="DA132" i="6"/>
  <c r="DB132" i="6"/>
  <c r="DC132" i="6"/>
  <c r="DD132" i="6"/>
  <c r="DF132" i="6"/>
  <c r="DG132" i="6"/>
  <c r="DH132" i="6"/>
  <c r="DI132" i="6"/>
  <c r="DK132" i="6"/>
  <c r="DL132" i="6"/>
  <c r="DM132" i="6"/>
  <c r="DN132" i="6"/>
  <c r="DO132" i="6"/>
  <c r="DP132" i="6"/>
  <c r="DQ132" i="6"/>
  <c r="DR132" i="6"/>
  <c r="DS132" i="6"/>
  <c r="DT132" i="6"/>
  <c r="DU132" i="6"/>
  <c r="DV132" i="6"/>
  <c r="DW132" i="6"/>
  <c r="DX132" i="6"/>
  <c r="DY132" i="6"/>
  <c r="CV137" i="6"/>
  <c r="CW137" i="6"/>
  <c r="CX137" i="6"/>
  <c r="CY137" i="6"/>
  <c r="CZ137" i="6"/>
  <c r="DA137" i="6"/>
  <c r="DB137" i="6"/>
  <c r="DC137" i="6"/>
  <c r="DD137" i="6"/>
  <c r="DE137" i="6"/>
  <c r="DF137" i="6"/>
  <c r="DG137" i="6"/>
  <c r="DH137" i="6"/>
  <c r="DI137" i="6"/>
  <c r="DJ137" i="6"/>
  <c r="DO137" i="6"/>
  <c r="DT137" i="6"/>
  <c r="DY137" i="6"/>
  <c r="CV138" i="6"/>
  <c r="CW138" i="6"/>
  <c r="CX138" i="6"/>
  <c r="CY138" i="6"/>
  <c r="CZ138" i="6"/>
  <c r="DA138" i="6"/>
  <c r="DB138" i="6"/>
  <c r="DC138" i="6"/>
  <c r="DD138" i="6"/>
  <c r="DE138" i="6"/>
  <c r="DF138" i="6"/>
  <c r="DG138" i="6"/>
  <c r="DH138" i="6"/>
  <c r="DI138" i="6"/>
  <c r="DJ138" i="6"/>
  <c r="DO138" i="6"/>
  <c r="DT138" i="6"/>
  <c r="DY138" i="6"/>
  <c r="CV139" i="6"/>
  <c r="CW139" i="6"/>
  <c r="CX139" i="6"/>
  <c r="CY139" i="6"/>
  <c r="DA139" i="6"/>
  <c r="DB139" i="6"/>
  <c r="DC139" i="6"/>
  <c r="DD139" i="6"/>
  <c r="DF139" i="6"/>
  <c r="DG139" i="6"/>
  <c r="DH139" i="6"/>
  <c r="DI139" i="6"/>
  <c r="DK139" i="6"/>
  <c r="DL139" i="6"/>
  <c r="DM139" i="6"/>
  <c r="DN139" i="6"/>
  <c r="DO139" i="6"/>
  <c r="DP139" i="6"/>
  <c r="DQ139" i="6"/>
  <c r="DR139" i="6"/>
  <c r="DS139" i="6"/>
  <c r="DT139" i="6"/>
  <c r="DU139" i="6"/>
  <c r="DV139" i="6"/>
  <c r="DW139" i="6"/>
  <c r="DX139" i="6"/>
  <c r="DY139" i="6"/>
  <c r="CS141" i="6"/>
  <c r="CT141" i="6"/>
  <c r="CS142" i="6"/>
  <c r="CT142" i="6"/>
  <c r="CX142" i="6"/>
  <c r="CY142" i="6"/>
  <c r="CS143" i="6"/>
  <c r="CT143" i="6"/>
  <c r="DK143" i="6"/>
  <c r="DL143" i="6"/>
  <c r="DM143" i="6"/>
  <c r="DN143" i="6"/>
  <c r="DO143" i="6"/>
  <c r="DP143" i="6"/>
  <c r="DQ143" i="6"/>
  <c r="DR143" i="6"/>
  <c r="DS143" i="6"/>
  <c r="DT143" i="6"/>
  <c r="DU143" i="6"/>
  <c r="DV143" i="6"/>
  <c r="DW143" i="6"/>
  <c r="DX143" i="6"/>
  <c r="DY143" i="6"/>
  <c r="CV148" i="6"/>
  <c r="CW148" i="6"/>
  <c r="CX148" i="6"/>
  <c r="CY148" i="6"/>
  <c r="CZ148" i="6"/>
  <c r="DA148" i="6"/>
  <c r="DB148" i="6"/>
  <c r="DC148" i="6"/>
  <c r="DD148" i="6"/>
  <c r="DE148" i="6"/>
  <c r="DF148" i="6"/>
  <c r="DG148" i="6"/>
  <c r="DH148" i="6"/>
  <c r="DI148" i="6"/>
  <c r="DJ148" i="6"/>
  <c r="DK148" i="6"/>
  <c r="DL148" i="6"/>
  <c r="DM148" i="6"/>
  <c r="DN148" i="6"/>
  <c r="DO148" i="6"/>
  <c r="DP148" i="6"/>
  <c r="DQ148" i="6"/>
  <c r="DR148" i="6"/>
  <c r="DS148" i="6"/>
  <c r="DT148" i="6"/>
  <c r="DU148" i="6"/>
  <c r="DV148" i="6"/>
  <c r="DW148" i="6"/>
  <c r="DX148" i="6"/>
  <c r="DY148" i="6"/>
  <c r="CV149" i="6"/>
  <c r="CW149" i="6"/>
  <c r="CX149" i="6"/>
  <c r="CY149" i="6"/>
  <c r="CZ149" i="6"/>
  <c r="DA149" i="6"/>
  <c r="DB149" i="6"/>
  <c r="DC149" i="6"/>
  <c r="DD149" i="6"/>
  <c r="DE149" i="6"/>
  <c r="DF149" i="6"/>
  <c r="DG149" i="6"/>
  <c r="DH149" i="6"/>
  <c r="DI149" i="6"/>
  <c r="DJ149" i="6"/>
  <c r="DK149" i="6"/>
  <c r="DL149" i="6"/>
  <c r="DM149" i="6"/>
  <c r="DN149" i="6"/>
  <c r="DO149" i="6"/>
  <c r="DP149" i="6"/>
  <c r="DQ149" i="6"/>
  <c r="DR149" i="6"/>
  <c r="DS149" i="6"/>
  <c r="DT149" i="6"/>
  <c r="DU149" i="6"/>
  <c r="DV149" i="6"/>
  <c r="DW149" i="6"/>
  <c r="DX149" i="6"/>
  <c r="DY149" i="6"/>
  <c r="CV151" i="6"/>
  <c r="CW151" i="6"/>
  <c r="CX151" i="6"/>
  <c r="CY151" i="6"/>
  <c r="CZ151" i="6"/>
  <c r="DA151" i="6"/>
  <c r="DB151" i="6"/>
  <c r="DC151" i="6"/>
  <c r="DD151" i="6"/>
  <c r="DE151" i="6"/>
  <c r="DF151" i="6"/>
  <c r="DG151" i="6"/>
  <c r="DH151" i="6"/>
  <c r="DI151" i="6"/>
  <c r="DJ151" i="6"/>
  <c r="DK151" i="6"/>
  <c r="DL151" i="6"/>
  <c r="DM151" i="6"/>
  <c r="DN151" i="6"/>
  <c r="DO151" i="6"/>
  <c r="DP151" i="6"/>
  <c r="DQ151" i="6"/>
  <c r="DR151" i="6"/>
  <c r="DS151" i="6"/>
  <c r="DT151" i="6"/>
  <c r="DU151" i="6"/>
  <c r="DV151" i="6"/>
  <c r="DW151" i="6"/>
  <c r="DX151" i="6"/>
  <c r="DY151" i="6"/>
  <c r="CV152" i="6"/>
  <c r="CW152" i="6"/>
  <c r="CX152" i="6"/>
  <c r="CY152" i="6"/>
  <c r="CZ152" i="6"/>
  <c r="DA152" i="6"/>
  <c r="DB152" i="6"/>
  <c r="DC152" i="6"/>
  <c r="DD152" i="6"/>
  <c r="DE152" i="6"/>
  <c r="DF152" i="6"/>
  <c r="DG152" i="6"/>
  <c r="DH152" i="6"/>
  <c r="DI152" i="6"/>
  <c r="DJ152" i="6"/>
  <c r="DK152" i="6"/>
  <c r="DL152" i="6"/>
  <c r="DM152" i="6"/>
  <c r="DN152" i="6"/>
  <c r="DO152" i="6"/>
  <c r="DP152" i="6"/>
  <c r="DQ152" i="6"/>
  <c r="DR152" i="6"/>
  <c r="DS152" i="6"/>
  <c r="DT152" i="6"/>
  <c r="DU152" i="6"/>
  <c r="DV152" i="6"/>
  <c r="DW152" i="6"/>
  <c r="DX152" i="6"/>
  <c r="DY152" i="6"/>
  <c r="CV158" i="6"/>
  <c r="CW158" i="6"/>
  <c r="CX158" i="6"/>
  <c r="CY158" i="6"/>
  <c r="CZ158" i="6"/>
  <c r="DA158" i="6"/>
  <c r="DB158" i="6"/>
  <c r="DC158" i="6"/>
  <c r="DD158" i="6"/>
  <c r="DE158" i="6"/>
  <c r="DF158" i="6"/>
  <c r="DG158" i="6"/>
  <c r="DH158" i="6"/>
  <c r="DI158" i="6"/>
  <c r="DJ158" i="6"/>
  <c r="DK158" i="6"/>
  <c r="DL158" i="6"/>
  <c r="DM158" i="6"/>
  <c r="DN158" i="6"/>
  <c r="DO158" i="6"/>
  <c r="DP158" i="6"/>
  <c r="DQ158" i="6"/>
  <c r="DR158" i="6"/>
  <c r="DS158" i="6"/>
  <c r="DT158" i="6"/>
  <c r="DU158" i="6"/>
  <c r="DV158" i="6"/>
  <c r="DW158" i="6"/>
  <c r="DX158" i="6"/>
  <c r="DY158" i="6"/>
  <c r="CV159" i="6"/>
  <c r="CW159" i="6"/>
  <c r="CX159" i="6"/>
  <c r="CY159" i="6"/>
  <c r="CZ159" i="6"/>
  <c r="DA159" i="6"/>
  <c r="DB159" i="6"/>
  <c r="DC159" i="6"/>
  <c r="DD159" i="6"/>
  <c r="DE159" i="6"/>
  <c r="DF159" i="6"/>
  <c r="DG159" i="6"/>
  <c r="DH159" i="6"/>
  <c r="DI159" i="6"/>
  <c r="DJ159" i="6"/>
  <c r="DK159" i="6"/>
  <c r="DL159" i="6"/>
  <c r="DM159" i="6"/>
  <c r="DN159" i="6"/>
  <c r="DO159" i="6"/>
  <c r="DP159" i="6"/>
  <c r="DQ159" i="6"/>
  <c r="DR159" i="6"/>
  <c r="DS159" i="6"/>
  <c r="DT159" i="6"/>
  <c r="DU159" i="6"/>
  <c r="DV159" i="6"/>
  <c r="DW159" i="6"/>
  <c r="DX159" i="6"/>
  <c r="DY159" i="6"/>
  <c r="CV160" i="6"/>
  <c r="CW160" i="6"/>
  <c r="CX160" i="6"/>
  <c r="CY160" i="6"/>
  <c r="CZ160" i="6"/>
  <c r="DA160" i="6"/>
  <c r="DB160" i="6"/>
  <c r="DC160" i="6"/>
  <c r="DD160" i="6"/>
  <c r="DE160" i="6"/>
  <c r="DF160" i="6"/>
  <c r="DG160" i="6"/>
  <c r="DH160" i="6"/>
  <c r="DI160" i="6"/>
  <c r="DJ160" i="6"/>
  <c r="DK160" i="6"/>
  <c r="DL160" i="6"/>
  <c r="DM160" i="6"/>
  <c r="DN160" i="6"/>
  <c r="DO160" i="6"/>
  <c r="DP160" i="6"/>
  <c r="DQ160" i="6"/>
  <c r="DR160" i="6"/>
  <c r="DS160" i="6"/>
  <c r="DT160" i="6"/>
  <c r="DU160" i="6"/>
  <c r="DV160" i="6"/>
  <c r="DW160" i="6"/>
  <c r="DX160" i="6"/>
  <c r="DY160" i="6"/>
  <c r="CV161" i="6"/>
  <c r="CW161" i="6"/>
  <c r="CX161" i="6"/>
  <c r="CY161" i="6"/>
  <c r="CZ161" i="6"/>
  <c r="DA161" i="6"/>
  <c r="DB161" i="6"/>
  <c r="DC161" i="6"/>
  <c r="DD161" i="6"/>
  <c r="DE161" i="6"/>
  <c r="DF161" i="6"/>
  <c r="DG161" i="6"/>
  <c r="DH161" i="6"/>
  <c r="DI161" i="6"/>
  <c r="DJ161" i="6"/>
  <c r="DK161" i="6"/>
  <c r="DL161" i="6"/>
  <c r="DM161" i="6"/>
  <c r="DN161" i="6"/>
  <c r="DO161" i="6"/>
  <c r="DP161" i="6"/>
  <c r="DQ161" i="6"/>
  <c r="DR161" i="6"/>
  <c r="DS161" i="6"/>
  <c r="DT161" i="6"/>
  <c r="DU161" i="6"/>
  <c r="DV161" i="6"/>
  <c r="DW161" i="6"/>
  <c r="DX161" i="6"/>
  <c r="DY161" i="6"/>
  <c r="CV165" i="6"/>
  <c r="CW165" i="6"/>
  <c r="CX165" i="6"/>
  <c r="CY165" i="6"/>
  <c r="CZ165" i="6"/>
  <c r="DA165" i="6"/>
  <c r="DB165" i="6"/>
  <c r="DC165" i="6"/>
  <c r="DD165" i="6"/>
  <c r="DE165" i="6"/>
  <c r="DF165" i="6"/>
  <c r="DG165" i="6"/>
  <c r="DH165" i="6"/>
  <c r="DI165" i="6"/>
  <c r="DJ165" i="6"/>
  <c r="DK165" i="6"/>
  <c r="DL165" i="6"/>
  <c r="DM165" i="6"/>
  <c r="DN165" i="6"/>
  <c r="DO165" i="6"/>
  <c r="DP165" i="6"/>
  <c r="DQ165" i="6"/>
  <c r="DR165" i="6"/>
  <c r="DS165" i="6"/>
  <c r="DT165" i="6"/>
  <c r="DU165" i="6"/>
  <c r="DV165" i="6"/>
  <c r="DW165" i="6"/>
  <c r="DX165" i="6"/>
  <c r="DY165" i="6"/>
  <c r="CV166" i="6"/>
  <c r="CW166" i="6"/>
  <c r="CX166" i="6"/>
  <c r="CY166" i="6"/>
  <c r="CZ166" i="6"/>
  <c r="DA166" i="6"/>
  <c r="DB166" i="6"/>
  <c r="DC166" i="6"/>
  <c r="DD166" i="6"/>
  <c r="DE166" i="6"/>
  <c r="DF166" i="6"/>
  <c r="DG166" i="6"/>
  <c r="DH166" i="6"/>
  <c r="DI166" i="6"/>
  <c r="DJ166" i="6"/>
  <c r="DK166" i="6"/>
  <c r="DL166" i="6"/>
  <c r="DM166" i="6"/>
  <c r="DN166" i="6"/>
  <c r="DO166" i="6"/>
  <c r="DP166" i="6"/>
  <c r="DQ166" i="6"/>
  <c r="DR166" i="6"/>
  <c r="DS166" i="6"/>
  <c r="DT166" i="6"/>
  <c r="DU166" i="6"/>
  <c r="DV166" i="6"/>
  <c r="DW166" i="6"/>
  <c r="DX166" i="6"/>
  <c r="DY166" i="6"/>
  <c r="CV169" i="6"/>
  <c r="CW169" i="6"/>
  <c r="CX169" i="6"/>
  <c r="CY169" i="6"/>
  <c r="CZ169" i="6"/>
  <c r="DA169" i="6"/>
  <c r="DB169" i="6"/>
  <c r="DC169" i="6"/>
  <c r="DD169" i="6"/>
  <c r="DE169" i="6"/>
  <c r="DF169" i="6"/>
  <c r="DG169" i="6"/>
  <c r="DH169" i="6"/>
  <c r="DI169" i="6"/>
  <c r="DJ169" i="6"/>
  <c r="DK169" i="6"/>
  <c r="DL169" i="6"/>
  <c r="DM169" i="6"/>
  <c r="DN169" i="6"/>
  <c r="DO169" i="6"/>
  <c r="DP169" i="6"/>
  <c r="DQ169" i="6"/>
  <c r="DR169" i="6"/>
  <c r="DS169" i="6"/>
  <c r="DT169" i="6"/>
  <c r="DU169" i="6"/>
  <c r="DV169" i="6"/>
  <c r="DW169" i="6"/>
  <c r="DX169" i="6"/>
  <c r="DY169" i="6"/>
  <c r="CV170" i="6"/>
  <c r="CW170" i="6"/>
  <c r="CX170" i="6"/>
  <c r="CY170" i="6"/>
  <c r="CZ170" i="6"/>
  <c r="DA170" i="6"/>
  <c r="DB170" i="6"/>
  <c r="DC170" i="6"/>
  <c r="DD170" i="6"/>
  <c r="DE170" i="6"/>
  <c r="DF170" i="6"/>
  <c r="DG170" i="6"/>
  <c r="DH170" i="6"/>
  <c r="DI170" i="6"/>
  <c r="DJ170" i="6"/>
  <c r="DK170" i="6"/>
  <c r="DL170" i="6"/>
  <c r="DM170" i="6"/>
  <c r="DN170" i="6"/>
  <c r="DO170" i="6"/>
  <c r="DP170" i="6"/>
  <c r="DQ170" i="6"/>
  <c r="DR170" i="6"/>
  <c r="DS170" i="6"/>
  <c r="DT170" i="6"/>
  <c r="DU170" i="6"/>
  <c r="DV170" i="6"/>
  <c r="DW170" i="6"/>
  <c r="DX170" i="6"/>
  <c r="DY170" i="6"/>
  <c r="CV171" i="6"/>
  <c r="CW171" i="6"/>
  <c r="CX171" i="6"/>
  <c r="CY171" i="6"/>
  <c r="CZ171" i="6"/>
  <c r="DA171" i="6"/>
  <c r="DB171" i="6"/>
  <c r="DC171" i="6"/>
  <c r="DD171" i="6"/>
  <c r="DE171" i="6"/>
  <c r="DF171" i="6"/>
  <c r="DG171" i="6"/>
  <c r="DH171" i="6"/>
  <c r="DI171" i="6"/>
  <c r="DJ171" i="6"/>
  <c r="DK171" i="6"/>
  <c r="DL171" i="6"/>
  <c r="DM171" i="6"/>
  <c r="DN171" i="6"/>
  <c r="DO171" i="6"/>
  <c r="DP171" i="6"/>
  <c r="DQ171" i="6"/>
  <c r="DR171" i="6"/>
  <c r="DS171" i="6"/>
  <c r="DT171" i="6"/>
  <c r="DU171" i="6"/>
  <c r="DV171" i="6"/>
  <c r="DW171" i="6"/>
  <c r="DX171" i="6"/>
  <c r="DY171" i="6"/>
  <c r="CV176" i="6"/>
  <c r="CW176" i="6"/>
  <c r="CX176" i="6"/>
  <c r="CY176" i="6"/>
  <c r="CZ176" i="6"/>
  <c r="DA176" i="6"/>
  <c r="DB176" i="6"/>
  <c r="DC176" i="6"/>
  <c r="DD176" i="6"/>
  <c r="DE176" i="6"/>
  <c r="DF176" i="6"/>
  <c r="DG176" i="6"/>
  <c r="DH176" i="6"/>
  <c r="DI176" i="6"/>
  <c r="DJ176" i="6"/>
  <c r="DK176" i="6"/>
  <c r="DL176" i="6"/>
  <c r="DM176" i="6"/>
  <c r="DN176" i="6"/>
  <c r="DO176" i="6"/>
  <c r="DP176" i="6"/>
  <c r="DQ176" i="6"/>
  <c r="DR176" i="6"/>
  <c r="DS176" i="6"/>
  <c r="DT176" i="6"/>
  <c r="DU176" i="6"/>
  <c r="DV176" i="6"/>
  <c r="DW176" i="6"/>
  <c r="DX176" i="6"/>
  <c r="DY176" i="6"/>
  <c r="CV177" i="6"/>
  <c r="CW177" i="6"/>
  <c r="CX177" i="6"/>
  <c r="CY177" i="6"/>
  <c r="CZ177" i="6"/>
  <c r="DA177" i="6"/>
  <c r="DB177" i="6"/>
  <c r="DC177" i="6"/>
  <c r="DD177" i="6"/>
  <c r="DE177" i="6"/>
  <c r="DF177" i="6"/>
  <c r="DG177" i="6"/>
  <c r="DH177" i="6"/>
  <c r="DI177" i="6"/>
  <c r="DJ177" i="6"/>
  <c r="DK177" i="6"/>
  <c r="DL177" i="6"/>
  <c r="DM177" i="6"/>
  <c r="DN177" i="6"/>
  <c r="DO177" i="6"/>
  <c r="DP177" i="6"/>
  <c r="DQ177" i="6"/>
  <c r="DR177" i="6"/>
  <c r="DS177" i="6"/>
  <c r="DT177" i="6"/>
  <c r="DU177" i="6"/>
  <c r="DV177" i="6"/>
  <c r="DW177" i="6"/>
  <c r="DX177" i="6"/>
  <c r="DY177" i="6"/>
  <c r="CS179" i="6"/>
  <c r="CT179" i="6"/>
  <c r="CU179" i="6"/>
  <c r="CS180" i="6"/>
  <c r="CT180" i="6"/>
  <c r="CU180" i="6"/>
  <c r="CS182" i="6"/>
  <c r="CT182" i="6"/>
  <c r="CU182" i="6"/>
  <c r="CV182" i="6"/>
  <c r="CW182" i="6"/>
  <c r="CX182" i="6"/>
  <c r="CY182" i="6"/>
  <c r="CZ182" i="6"/>
  <c r="DA182" i="6"/>
  <c r="DB182" i="6"/>
  <c r="DC182" i="6"/>
  <c r="DD182" i="6"/>
  <c r="DE182" i="6"/>
  <c r="DF182" i="6"/>
  <c r="DG182" i="6"/>
  <c r="DH182" i="6"/>
  <c r="DI182" i="6"/>
  <c r="DJ182" i="6"/>
  <c r="DK182" i="6"/>
  <c r="DL182" i="6"/>
  <c r="DM182" i="6"/>
  <c r="DN182" i="6"/>
  <c r="DO182" i="6"/>
  <c r="DP182" i="6"/>
  <c r="DQ182" i="6"/>
  <c r="DR182" i="6"/>
  <c r="DS182" i="6"/>
  <c r="DT182" i="6"/>
  <c r="DU182" i="6"/>
  <c r="DV182" i="6"/>
  <c r="DW182" i="6"/>
  <c r="DX182" i="6"/>
  <c r="DY182" i="6"/>
  <c r="CS183" i="6"/>
  <c r="CT183" i="6"/>
  <c r="CU183" i="6"/>
  <c r="CV183" i="6"/>
  <c r="CW183" i="6"/>
  <c r="CX183" i="6"/>
  <c r="CY183" i="6"/>
  <c r="CZ183" i="6"/>
  <c r="DA183" i="6"/>
  <c r="DB183" i="6"/>
  <c r="DC183" i="6"/>
  <c r="DD183" i="6"/>
  <c r="DE183" i="6"/>
  <c r="DF183" i="6"/>
  <c r="DG183" i="6"/>
  <c r="DH183" i="6"/>
  <c r="DI183" i="6"/>
  <c r="DJ183" i="6"/>
  <c r="DK183" i="6"/>
  <c r="DL183" i="6"/>
  <c r="DM183" i="6"/>
  <c r="DN183" i="6"/>
  <c r="DO183" i="6"/>
  <c r="DP183" i="6"/>
  <c r="DQ183" i="6"/>
  <c r="DR183" i="6"/>
  <c r="DS183" i="6"/>
  <c r="DT183" i="6"/>
  <c r="DU183" i="6"/>
  <c r="DV183" i="6"/>
  <c r="DW183" i="6"/>
  <c r="DX183" i="6"/>
  <c r="DY183" i="6"/>
  <c r="CZ189" i="6"/>
  <c r="DE189" i="6"/>
  <c r="DJ189" i="6"/>
  <c r="DO189" i="6"/>
  <c r="DT189" i="6"/>
  <c r="DY189" i="6"/>
  <c r="CZ190" i="6"/>
  <c r="DE190" i="6"/>
  <c r="DJ190" i="6"/>
  <c r="DO190" i="6"/>
  <c r="DT190" i="6"/>
  <c r="DY190" i="6"/>
  <c r="CV191" i="6"/>
  <c r="CW191" i="6"/>
  <c r="CX191" i="6"/>
  <c r="CY191" i="6"/>
  <c r="CZ191" i="6"/>
  <c r="DA191" i="6"/>
  <c r="DB191" i="6"/>
  <c r="DC191" i="6"/>
  <c r="DD191" i="6"/>
  <c r="DE191" i="6"/>
  <c r="DF191" i="6"/>
  <c r="DG191" i="6"/>
  <c r="DH191" i="6"/>
  <c r="DI191" i="6"/>
  <c r="DJ191" i="6"/>
  <c r="DK191" i="6"/>
  <c r="DL191" i="6"/>
  <c r="DM191" i="6"/>
  <c r="DN191" i="6"/>
  <c r="DO191" i="6"/>
  <c r="DP191" i="6"/>
  <c r="DQ191" i="6"/>
  <c r="DR191" i="6"/>
  <c r="DS191" i="6"/>
  <c r="DT191" i="6"/>
  <c r="DU191" i="6"/>
  <c r="DV191" i="6"/>
  <c r="DW191" i="6"/>
  <c r="DX191" i="6"/>
  <c r="DY191" i="6"/>
  <c r="CZ195" i="6"/>
  <c r="DE195" i="6"/>
  <c r="DJ195" i="6"/>
  <c r="DO195" i="6"/>
  <c r="DT195" i="6"/>
  <c r="DY195" i="6"/>
  <c r="CL196" i="6"/>
  <c r="CP196" i="6"/>
  <c r="CZ196" i="6"/>
  <c r="DE196" i="6"/>
  <c r="DJ196" i="6"/>
  <c r="DO196" i="6"/>
  <c r="DT196" i="6"/>
  <c r="DY196" i="6"/>
  <c r="CL198" i="6"/>
  <c r="CP198" i="6"/>
  <c r="CV198" i="6"/>
  <c r="CW198" i="6"/>
  <c r="CX198" i="6"/>
  <c r="CY198" i="6"/>
  <c r="CZ198" i="6"/>
  <c r="DA198" i="6"/>
  <c r="DB198" i="6"/>
  <c r="DC198" i="6"/>
  <c r="DD198" i="6"/>
  <c r="DE198" i="6"/>
  <c r="DF198" i="6"/>
  <c r="DG198" i="6"/>
  <c r="DH198" i="6"/>
  <c r="DI198" i="6"/>
  <c r="DJ198" i="6"/>
  <c r="DK198" i="6"/>
  <c r="DL198" i="6"/>
  <c r="DM198" i="6"/>
  <c r="DN198" i="6"/>
  <c r="DO198" i="6"/>
  <c r="DP198" i="6"/>
  <c r="DQ198" i="6"/>
  <c r="DR198" i="6"/>
  <c r="DS198" i="6"/>
  <c r="DT198" i="6"/>
  <c r="DU198" i="6"/>
  <c r="DV198" i="6"/>
  <c r="DW198" i="6"/>
  <c r="DX198" i="6"/>
  <c r="DY198" i="6"/>
  <c r="CU200" i="6"/>
  <c r="CV206" i="6"/>
  <c r="CW206" i="6"/>
  <c r="CX206" i="6"/>
  <c r="CY206" i="6"/>
  <c r="CZ206" i="6"/>
  <c r="DA206" i="6"/>
  <c r="DB206" i="6"/>
  <c r="DC206" i="6"/>
  <c r="DD206" i="6"/>
  <c r="DE206" i="6"/>
  <c r="DF206" i="6"/>
  <c r="DG206" i="6"/>
  <c r="DH206" i="6"/>
  <c r="DI206" i="6"/>
  <c r="DJ206" i="6"/>
  <c r="DK206" i="6"/>
  <c r="DL206" i="6"/>
  <c r="DM206" i="6"/>
  <c r="DN206" i="6"/>
  <c r="DO206" i="6"/>
  <c r="DP206" i="6"/>
  <c r="DQ206" i="6"/>
  <c r="DR206" i="6"/>
  <c r="DS206" i="6"/>
  <c r="DT206" i="6"/>
  <c r="DU206" i="6"/>
  <c r="DV206" i="6"/>
  <c r="DW206" i="6"/>
  <c r="DX206" i="6"/>
  <c r="DY206" i="6"/>
  <c r="CV207" i="6"/>
  <c r="CW207" i="6"/>
  <c r="CX207" i="6"/>
  <c r="CY207" i="6"/>
  <c r="CZ207" i="6"/>
  <c r="DA207" i="6"/>
  <c r="DB207" i="6"/>
  <c r="DC207" i="6"/>
  <c r="DD207" i="6"/>
  <c r="DE207" i="6"/>
  <c r="DF207" i="6"/>
  <c r="DG207" i="6"/>
  <c r="DH207" i="6"/>
  <c r="DI207" i="6"/>
  <c r="DJ207" i="6"/>
  <c r="DK207" i="6"/>
  <c r="DL207" i="6"/>
  <c r="DM207" i="6"/>
  <c r="DN207" i="6"/>
  <c r="DO207" i="6"/>
  <c r="DP207" i="6"/>
  <c r="DQ207" i="6"/>
  <c r="DR207" i="6"/>
  <c r="DS207" i="6"/>
  <c r="DT207" i="6"/>
  <c r="DU207" i="6"/>
  <c r="DV207" i="6"/>
  <c r="DW207" i="6"/>
  <c r="DX207" i="6"/>
  <c r="DY207" i="6"/>
  <c r="CV208" i="6"/>
  <c r="CW208" i="6"/>
  <c r="CX208" i="6"/>
  <c r="CY208" i="6"/>
  <c r="CZ208" i="6"/>
  <c r="DA208" i="6"/>
  <c r="DB208" i="6"/>
  <c r="DC208" i="6"/>
  <c r="DD208" i="6"/>
  <c r="DE208" i="6"/>
  <c r="DF208" i="6"/>
  <c r="DG208" i="6"/>
  <c r="DH208" i="6"/>
  <c r="DI208" i="6"/>
  <c r="DJ208" i="6"/>
  <c r="DK208" i="6"/>
  <c r="DL208" i="6"/>
  <c r="DM208" i="6"/>
  <c r="DN208" i="6"/>
  <c r="DO208" i="6"/>
  <c r="DP208" i="6"/>
  <c r="DQ208" i="6"/>
  <c r="DR208" i="6"/>
  <c r="DS208" i="6"/>
  <c r="DT208" i="6"/>
  <c r="DU208" i="6"/>
  <c r="DV208" i="6"/>
  <c r="DW208" i="6"/>
  <c r="DX208" i="6"/>
  <c r="DY208" i="6"/>
  <c r="CV212" i="6"/>
  <c r="CW212" i="6"/>
  <c r="CX212" i="6"/>
  <c r="CY212" i="6"/>
  <c r="CZ212" i="6"/>
  <c r="DA212" i="6"/>
  <c r="DB212" i="6"/>
  <c r="DC212" i="6"/>
  <c r="DD212" i="6"/>
  <c r="DE212" i="6"/>
  <c r="DF212" i="6"/>
  <c r="DG212" i="6"/>
  <c r="DH212" i="6"/>
  <c r="DI212" i="6"/>
  <c r="DJ212" i="6"/>
  <c r="DK212" i="6"/>
  <c r="DL212" i="6"/>
  <c r="DM212" i="6"/>
  <c r="DN212" i="6"/>
  <c r="DO212" i="6"/>
  <c r="DP212" i="6"/>
  <c r="DQ212" i="6"/>
  <c r="DR212" i="6"/>
  <c r="DS212" i="6"/>
  <c r="DT212" i="6"/>
  <c r="DU212" i="6"/>
  <c r="DV212" i="6"/>
  <c r="DW212" i="6"/>
  <c r="DX212" i="6"/>
  <c r="DY212" i="6"/>
  <c r="CL213" i="6"/>
  <c r="CP213" i="6"/>
  <c r="CV213" i="6"/>
  <c r="CW213" i="6"/>
  <c r="CX213" i="6"/>
  <c r="CY213" i="6"/>
  <c r="CZ213" i="6"/>
  <c r="DA213" i="6"/>
  <c r="DB213" i="6"/>
  <c r="DC213" i="6"/>
  <c r="DD213" i="6"/>
  <c r="DE213" i="6"/>
  <c r="DF213" i="6"/>
  <c r="DG213" i="6"/>
  <c r="DH213" i="6"/>
  <c r="DI213" i="6"/>
  <c r="DJ213" i="6"/>
  <c r="DK213" i="6"/>
  <c r="DL213" i="6"/>
  <c r="DM213" i="6"/>
  <c r="DN213" i="6"/>
  <c r="DO213" i="6"/>
  <c r="DP213" i="6"/>
  <c r="DQ213" i="6"/>
  <c r="DR213" i="6"/>
  <c r="DS213" i="6"/>
  <c r="DT213" i="6"/>
  <c r="DU213" i="6"/>
  <c r="DV213" i="6"/>
  <c r="DW213" i="6"/>
  <c r="DX213" i="6"/>
  <c r="DY213" i="6"/>
  <c r="CL214" i="6"/>
  <c r="CP214" i="6"/>
  <c r="CV214" i="6"/>
  <c r="CW214" i="6"/>
  <c r="CX214" i="6"/>
  <c r="CY214" i="6"/>
  <c r="CZ214" i="6"/>
  <c r="DA214" i="6"/>
  <c r="DB214" i="6"/>
  <c r="DC214" i="6"/>
  <c r="DD214" i="6"/>
  <c r="DE214" i="6"/>
  <c r="DF214" i="6"/>
  <c r="DG214" i="6"/>
  <c r="DH214" i="6"/>
  <c r="DI214" i="6"/>
  <c r="DJ214" i="6"/>
  <c r="DK214" i="6"/>
  <c r="DL214" i="6"/>
  <c r="DM214" i="6"/>
  <c r="DN214" i="6"/>
  <c r="DO214" i="6"/>
  <c r="DP214" i="6"/>
  <c r="DQ214" i="6"/>
  <c r="DR214" i="6"/>
  <c r="DS214" i="6"/>
  <c r="DT214" i="6"/>
  <c r="DU214" i="6"/>
  <c r="DV214" i="6"/>
  <c r="DW214" i="6"/>
  <c r="DX214" i="6"/>
  <c r="DY214" i="6"/>
  <c r="CS216" i="6"/>
  <c r="CT216" i="6"/>
  <c r="CU216" i="6"/>
  <c r="CL218" i="6"/>
  <c r="CP218" i="6"/>
  <c r="CS218" i="6"/>
  <c r="CT218" i="6"/>
  <c r="CU218" i="6"/>
  <c r="CV218" i="6"/>
  <c r="CW218" i="6"/>
  <c r="CX218" i="6"/>
  <c r="CY218" i="6"/>
  <c r="CZ218" i="6"/>
  <c r="DA218" i="6"/>
  <c r="DB218" i="6"/>
  <c r="DC218" i="6"/>
  <c r="DD218" i="6"/>
  <c r="DE218" i="6"/>
  <c r="DF218" i="6"/>
  <c r="DG218" i="6"/>
  <c r="DH218" i="6"/>
  <c r="DI218" i="6"/>
  <c r="DJ218" i="6"/>
  <c r="DK218" i="6"/>
  <c r="DL218" i="6"/>
  <c r="DM218" i="6"/>
  <c r="DN218" i="6"/>
  <c r="DO218" i="6"/>
  <c r="DP218" i="6"/>
  <c r="DQ218" i="6"/>
  <c r="DR218" i="6"/>
  <c r="DS218" i="6"/>
  <c r="DT218" i="6"/>
  <c r="DU218" i="6"/>
  <c r="DV218" i="6"/>
  <c r="DW218" i="6"/>
  <c r="DX218" i="6"/>
  <c r="DY218" i="6"/>
  <c r="CL219" i="6"/>
  <c r="CP219" i="6"/>
  <c r="CS219" i="6"/>
  <c r="CT219" i="6"/>
  <c r="CU219" i="6"/>
  <c r="CV219" i="6"/>
  <c r="CW219" i="6"/>
  <c r="CX219" i="6"/>
  <c r="CY219" i="6"/>
  <c r="CZ219" i="6"/>
  <c r="DA219" i="6"/>
  <c r="DB219" i="6"/>
  <c r="DC219" i="6"/>
  <c r="DD219" i="6"/>
  <c r="DE219" i="6"/>
  <c r="DF219" i="6"/>
  <c r="DG219" i="6"/>
  <c r="DH219" i="6"/>
  <c r="DI219" i="6"/>
  <c r="DJ219" i="6"/>
  <c r="DK219" i="6"/>
  <c r="DL219" i="6"/>
  <c r="DM219" i="6"/>
  <c r="DN219" i="6"/>
  <c r="DO219" i="6"/>
  <c r="DP219" i="6"/>
  <c r="DQ219" i="6"/>
  <c r="DR219" i="6"/>
  <c r="DS219" i="6"/>
  <c r="DT219" i="6"/>
  <c r="DU219" i="6"/>
  <c r="DV219" i="6"/>
  <c r="DW219" i="6"/>
  <c r="DX219" i="6"/>
  <c r="DY219" i="6"/>
  <c r="DK221" i="6"/>
  <c r="DL221" i="6"/>
  <c r="DM221" i="6"/>
  <c r="DN221" i="6"/>
  <c r="DO221" i="6"/>
  <c r="DP221" i="6"/>
  <c r="DQ221" i="6"/>
  <c r="DR221" i="6"/>
  <c r="DS221" i="6"/>
  <c r="DT221" i="6"/>
  <c r="DU221" i="6"/>
  <c r="DV221" i="6"/>
  <c r="DW221" i="6"/>
  <c r="DX221" i="6"/>
  <c r="DY221" i="6"/>
  <c r="DK222" i="6"/>
  <c r="DL222" i="6"/>
  <c r="DM222" i="6"/>
  <c r="DN222" i="6"/>
  <c r="DO222" i="6"/>
  <c r="DP222" i="6"/>
  <c r="DQ222" i="6"/>
  <c r="DR222" i="6"/>
  <c r="DS222" i="6"/>
  <c r="DT222" i="6"/>
  <c r="DU222" i="6"/>
  <c r="DV222" i="6"/>
  <c r="DW222" i="6"/>
  <c r="DX222" i="6"/>
  <c r="DY222" i="6"/>
  <c r="DK223" i="6"/>
  <c r="DL223" i="6"/>
  <c r="DM223" i="6"/>
  <c r="DN223" i="6"/>
  <c r="DO223" i="6"/>
  <c r="DP223" i="6"/>
  <c r="DQ223" i="6"/>
  <c r="DR223" i="6"/>
  <c r="DS223" i="6"/>
  <c r="DT223" i="6"/>
  <c r="DU223" i="6"/>
  <c r="DV223" i="6"/>
  <c r="DW223" i="6"/>
  <c r="DX223" i="6"/>
  <c r="DY223" i="6"/>
  <c r="DK224" i="6"/>
  <c r="DL224" i="6"/>
  <c r="DM224" i="6"/>
  <c r="DN224" i="6"/>
  <c r="DO224" i="6"/>
  <c r="DP224" i="6"/>
  <c r="DQ224" i="6"/>
  <c r="DR224" i="6"/>
  <c r="DS224" i="6"/>
  <c r="DT224" i="6"/>
  <c r="DU224" i="6"/>
  <c r="DV224" i="6"/>
  <c r="DW224" i="6"/>
  <c r="DX224" i="6"/>
  <c r="DY224" i="6"/>
  <c r="CL225" i="6"/>
  <c r="CP225" i="6"/>
  <c r="CS225" i="6"/>
  <c r="CT225" i="6"/>
  <c r="CU225" i="6"/>
  <c r="CV225" i="6"/>
  <c r="CW225" i="6"/>
  <c r="CX225" i="6"/>
  <c r="CY225" i="6"/>
  <c r="CZ225" i="6"/>
  <c r="DA225" i="6"/>
  <c r="DB225" i="6"/>
  <c r="DC225" i="6"/>
  <c r="DD225" i="6"/>
  <c r="DE225" i="6"/>
  <c r="DF225" i="6"/>
  <c r="DG225" i="6"/>
  <c r="DH225" i="6"/>
  <c r="DI225" i="6"/>
  <c r="DJ225" i="6"/>
  <c r="DK225" i="6"/>
  <c r="DL225" i="6"/>
  <c r="DM225" i="6"/>
  <c r="DN225" i="6"/>
  <c r="DO225" i="6"/>
  <c r="DP225" i="6"/>
  <c r="DQ225" i="6"/>
  <c r="DR225" i="6"/>
  <c r="DS225" i="6"/>
  <c r="DT225" i="6"/>
  <c r="DU225" i="6"/>
  <c r="DV225" i="6"/>
  <c r="DW225" i="6"/>
  <c r="DX225" i="6"/>
  <c r="DY225" i="6"/>
  <c r="CL226" i="6"/>
  <c r="CP226" i="6"/>
  <c r="CS226" i="6"/>
  <c r="CT226" i="6"/>
  <c r="CU226" i="6"/>
  <c r="CV226" i="6"/>
  <c r="CW226" i="6"/>
  <c r="CX226" i="6"/>
  <c r="CY226" i="6"/>
  <c r="CZ226" i="6"/>
  <c r="DA226" i="6"/>
  <c r="DB226" i="6"/>
  <c r="DC226" i="6"/>
  <c r="DD226" i="6"/>
  <c r="DE226" i="6"/>
  <c r="DF226" i="6"/>
  <c r="DG226" i="6"/>
  <c r="DH226" i="6"/>
  <c r="DI226" i="6"/>
  <c r="DJ226" i="6"/>
  <c r="DK226" i="6"/>
  <c r="DL226" i="6"/>
  <c r="DM226" i="6"/>
  <c r="DN226" i="6"/>
  <c r="DO226" i="6"/>
  <c r="DP226" i="6"/>
  <c r="DQ226" i="6"/>
  <c r="DR226" i="6"/>
  <c r="DS226" i="6"/>
  <c r="DT226" i="6"/>
  <c r="DU226" i="6"/>
  <c r="DV226" i="6"/>
  <c r="DW226" i="6"/>
  <c r="DX226" i="6"/>
  <c r="DY226" i="6"/>
  <c r="CV231" i="6"/>
  <c r="CW231" i="6"/>
  <c r="CX231" i="6"/>
  <c r="CY231" i="6"/>
  <c r="CZ231" i="6"/>
  <c r="DA231" i="6"/>
  <c r="DB231" i="6"/>
  <c r="DC231" i="6"/>
  <c r="DD231" i="6"/>
  <c r="DE231" i="6"/>
  <c r="DF231" i="6"/>
  <c r="DG231" i="6"/>
  <c r="DH231" i="6"/>
  <c r="DI231" i="6"/>
  <c r="DJ231" i="6"/>
  <c r="DK231" i="6"/>
  <c r="DL231" i="6"/>
  <c r="DM231" i="6"/>
  <c r="DN231" i="6"/>
  <c r="DO231" i="6"/>
  <c r="DP231" i="6"/>
  <c r="DQ231" i="6"/>
  <c r="DR231" i="6"/>
  <c r="DS231" i="6"/>
  <c r="DT231" i="6"/>
  <c r="DU231" i="6"/>
  <c r="DV231" i="6"/>
  <c r="DW231" i="6"/>
  <c r="DX231" i="6"/>
  <c r="DY231" i="6"/>
  <c r="CV232" i="6"/>
  <c r="CW232" i="6"/>
  <c r="CX232" i="6"/>
  <c r="CY232" i="6"/>
  <c r="CZ232" i="6"/>
  <c r="DA232" i="6"/>
  <c r="DB232" i="6"/>
  <c r="DC232" i="6"/>
  <c r="DD232" i="6"/>
  <c r="DE232" i="6"/>
  <c r="DF232" i="6"/>
  <c r="DG232" i="6"/>
  <c r="DH232" i="6"/>
  <c r="DI232" i="6"/>
  <c r="DJ232" i="6"/>
  <c r="DK232" i="6"/>
  <c r="DL232" i="6"/>
  <c r="DM232" i="6"/>
  <c r="DN232" i="6"/>
  <c r="DO232" i="6"/>
  <c r="DP232" i="6"/>
  <c r="DQ232" i="6"/>
  <c r="DR232" i="6"/>
  <c r="DS232" i="6"/>
  <c r="DT232" i="6"/>
  <c r="DU232" i="6"/>
  <c r="DV232" i="6"/>
  <c r="DW232" i="6"/>
  <c r="DX232" i="6"/>
  <c r="DY232" i="6"/>
  <c r="CV235" i="6"/>
  <c r="CW235" i="6"/>
  <c r="CX235" i="6"/>
  <c r="CY235" i="6"/>
  <c r="CZ235" i="6"/>
  <c r="DA235" i="6"/>
  <c r="DB235" i="6"/>
  <c r="DC235" i="6"/>
  <c r="DD235" i="6"/>
  <c r="DE235" i="6"/>
  <c r="DF235" i="6"/>
  <c r="DG235" i="6"/>
  <c r="DH235" i="6"/>
  <c r="DI235" i="6"/>
  <c r="DJ235" i="6"/>
  <c r="DK235" i="6"/>
  <c r="DL235" i="6"/>
  <c r="DM235" i="6"/>
  <c r="DN235" i="6"/>
  <c r="DO235" i="6"/>
  <c r="DP235" i="6"/>
  <c r="DQ235" i="6"/>
  <c r="DR235" i="6"/>
  <c r="DS235" i="6"/>
  <c r="DT235" i="6"/>
  <c r="DU235" i="6"/>
  <c r="DV235" i="6"/>
  <c r="DW235" i="6"/>
  <c r="DX235" i="6"/>
  <c r="DY235" i="6"/>
  <c r="CL236" i="6"/>
  <c r="CP236" i="6"/>
  <c r="CV236" i="6"/>
  <c r="CW236" i="6"/>
  <c r="CX236" i="6"/>
  <c r="CY236" i="6"/>
  <c r="CZ236" i="6"/>
  <c r="DA236" i="6"/>
  <c r="DB236" i="6"/>
  <c r="DC236" i="6"/>
  <c r="DD236" i="6"/>
  <c r="DE236" i="6"/>
  <c r="DF236" i="6"/>
  <c r="DG236" i="6"/>
  <c r="DH236" i="6"/>
  <c r="DI236" i="6"/>
  <c r="DJ236" i="6"/>
  <c r="DK236" i="6"/>
  <c r="DL236" i="6"/>
  <c r="DM236" i="6"/>
  <c r="DN236" i="6"/>
  <c r="DO236" i="6"/>
  <c r="DP236" i="6"/>
  <c r="DQ236" i="6"/>
  <c r="DR236" i="6"/>
  <c r="DS236" i="6"/>
  <c r="DT236" i="6"/>
  <c r="DU236" i="6"/>
  <c r="DV236" i="6"/>
  <c r="DW236" i="6"/>
  <c r="DX236" i="6"/>
  <c r="DY236" i="6"/>
  <c r="CP242" i="6"/>
  <c r="CP243" i="6"/>
  <c r="DK243" i="6"/>
  <c r="DL243" i="6"/>
  <c r="DM243" i="6"/>
  <c r="DN243" i="6"/>
  <c r="DO243" i="6"/>
  <c r="DP243" i="6"/>
  <c r="DQ243" i="6"/>
  <c r="DR243" i="6"/>
  <c r="DS243" i="6"/>
  <c r="DT243" i="6"/>
  <c r="DU243" i="6"/>
  <c r="DV243" i="6"/>
  <c r="DW243" i="6"/>
  <c r="DX243" i="6"/>
  <c r="DY243" i="6"/>
  <c r="CP244" i="6"/>
  <c r="CU244" i="6"/>
  <c r="DK244" i="6"/>
  <c r="DL244" i="6"/>
  <c r="DM244" i="6"/>
  <c r="DN244" i="6"/>
  <c r="DO244" i="6"/>
  <c r="DP244" i="6"/>
  <c r="DQ244" i="6"/>
  <c r="DR244" i="6"/>
  <c r="DS244" i="6"/>
  <c r="DT244" i="6"/>
  <c r="DU244" i="6"/>
  <c r="DV244" i="6"/>
  <c r="DW244" i="6"/>
  <c r="DX244" i="6"/>
  <c r="DY244" i="6"/>
  <c r="CP245" i="6"/>
  <c r="CU245" i="6"/>
  <c r="CL247" i="6"/>
  <c r="CP247" i="6"/>
  <c r="CL248" i="6"/>
  <c r="CP248" i="6"/>
  <c r="DK248" i="6"/>
  <c r="DL248" i="6"/>
  <c r="DM248" i="6"/>
  <c r="DN248" i="6"/>
  <c r="DO248" i="6"/>
  <c r="DP248" i="6"/>
  <c r="DQ248" i="6"/>
  <c r="DR248" i="6"/>
  <c r="DS248" i="6"/>
  <c r="DT248" i="6"/>
  <c r="DU248" i="6"/>
  <c r="DV248" i="6"/>
  <c r="DW248" i="6"/>
  <c r="DX248" i="6"/>
  <c r="DY248" i="6"/>
  <c r="CL249" i="6"/>
  <c r="CP249" i="6"/>
  <c r="CQ249" i="6"/>
  <c r="CU249" i="6"/>
  <c r="DK249" i="6"/>
  <c r="DL249" i="6"/>
  <c r="DM249" i="6"/>
  <c r="DN249" i="6"/>
  <c r="DO249" i="6"/>
  <c r="DP249" i="6"/>
  <c r="DQ249" i="6"/>
  <c r="DR249" i="6"/>
  <c r="DS249" i="6"/>
  <c r="DT249" i="6"/>
  <c r="DU249" i="6"/>
  <c r="DV249" i="6"/>
  <c r="DW249" i="6"/>
  <c r="DX249" i="6"/>
  <c r="DY249" i="6"/>
  <c r="CL250" i="6"/>
  <c r="CP250" i="6"/>
  <c r="CQ250" i="6"/>
  <c r="CU250" i="6"/>
  <c r="CP256" i="6"/>
  <c r="CL257" i="6"/>
  <c r="CP257" i="6"/>
  <c r="CL258" i="6"/>
  <c r="CP258" i="6"/>
  <c r="CS267" i="6"/>
  <c r="CT267" i="6"/>
  <c r="CU267" i="6"/>
  <c r="CV267" i="6"/>
  <c r="CW267" i="6"/>
  <c r="CX267" i="6"/>
  <c r="CY267" i="6"/>
  <c r="CZ267" i="6"/>
  <c r="DA267" i="6"/>
  <c r="DB267" i="6"/>
  <c r="DC267" i="6"/>
  <c r="DD267" i="6"/>
  <c r="DE267" i="6"/>
  <c r="DF267" i="6"/>
  <c r="DG267" i="6"/>
  <c r="DH267" i="6"/>
  <c r="DI267" i="6"/>
  <c r="DJ267" i="6"/>
  <c r="DK267" i="6"/>
  <c r="DL267" i="6"/>
  <c r="DM267" i="6"/>
  <c r="DN267" i="6"/>
  <c r="DO267" i="6"/>
  <c r="DP267" i="6"/>
  <c r="DQ267" i="6"/>
  <c r="DR267" i="6"/>
  <c r="DS267" i="6"/>
  <c r="DT267" i="6"/>
  <c r="DU267" i="6"/>
  <c r="DV267" i="6"/>
  <c r="DW267" i="6"/>
  <c r="DX267" i="6"/>
  <c r="DY267" i="6"/>
  <c r="CS268" i="6"/>
  <c r="CT268" i="6"/>
  <c r="CU268" i="6"/>
  <c r="CV268" i="6"/>
  <c r="CW268" i="6"/>
  <c r="CX268" i="6"/>
  <c r="CY268" i="6"/>
  <c r="CZ268" i="6"/>
  <c r="DA268" i="6"/>
  <c r="DB268" i="6"/>
  <c r="DC268" i="6"/>
  <c r="DD268" i="6"/>
  <c r="DE268" i="6"/>
  <c r="DF268" i="6"/>
  <c r="DG268" i="6"/>
  <c r="DH268" i="6"/>
  <c r="DI268" i="6"/>
  <c r="DJ268" i="6"/>
  <c r="DK268" i="6"/>
  <c r="DL268" i="6"/>
  <c r="DM268" i="6"/>
  <c r="DN268" i="6"/>
  <c r="DO268" i="6"/>
  <c r="DP268" i="6"/>
  <c r="DQ268" i="6"/>
  <c r="DR268" i="6"/>
  <c r="DS268" i="6"/>
  <c r="DT268" i="6"/>
  <c r="DU268" i="6"/>
  <c r="DV268" i="6"/>
  <c r="DW268" i="6"/>
  <c r="DX268" i="6"/>
  <c r="DY268" i="6"/>
  <c r="CS269" i="6"/>
  <c r="CT269" i="6"/>
  <c r="CU269" i="6"/>
  <c r="CV269" i="6"/>
  <c r="CW269" i="6"/>
  <c r="CX269" i="6"/>
  <c r="CY269" i="6"/>
  <c r="CZ269" i="6"/>
  <c r="DA269" i="6"/>
  <c r="DB269" i="6"/>
  <c r="DC269" i="6"/>
  <c r="DD269" i="6"/>
  <c r="DE269" i="6"/>
  <c r="DF269" i="6"/>
  <c r="DG269" i="6"/>
  <c r="DH269" i="6"/>
  <c r="DI269" i="6"/>
  <c r="DJ269" i="6"/>
  <c r="DK269" i="6"/>
  <c r="DL269" i="6"/>
  <c r="DM269" i="6"/>
  <c r="DN269" i="6"/>
  <c r="DO269" i="6"/>
  <c r="DP269" i="6"/>
  <c r="DQ269" i="6"/>
  <c r="DR269" i="6"/>
  <c r="DS269" i="6"/>
  <c r="DT269" i="6"/>
  <c r="DU269" i="6"/>
  <c r="DV269" i="6"/>
  <c r="DW269" i="6"/>
  <c r="DX269" i="6"/>
  <c r="DY269" i="6"/>
  <c r="CS271" i="6"/>
  <c r="CT271" i="6"/>
  <c r="CU271" i="6"/>
  <c r="CV271" i="6"/>
  <c r="CW271" i="6"/>
  <c r="CX271" i="6"/>
  <c r="CY271" i="6"/>
  <c r="CZ271" i="6"/>
  <c r="DA271" i="6"/>
  <c r="DB271" i="6"/>
  <c r="DC271" i="6"/>
  <c r="DD271" i="6"/>
  <c r="DE271" i="6"/>
  <c r="DF271" i="6"/>
  <c r="DG271" i="6"/>
  <c r="DH271" i="6"/>
  <c r="DI271" i="6"/>
  <c r="DJ271" i="6"/>
  <c r="DK271" i="6"/>
  <c r="DL271" i="6"/>
  <c r="DM271" i="6"/>
  <c r="DN271" i="6"/>
  <c r="DO271" i="6"/>
  <c r="DP271" i="6"/>
  <c r="DQ271" i="6"/>
  <c r="DR271" i="6"/>
  <c r="DS271" i="6"/>
  <c r="DT271" i="6"/>
  <c r="DU271" i="6"/>
  <c r="DV271" i="6"/>
  <c r="DW271" i="6"/>
  <c r="DX271" i="6"/>
  <c r="DY271" i="6"/>
  <c r="CS272" i="6"/>
  <c r="CT272" i="6"/>
  <c r="CU272" i="6"/>
  <c r="CV272" i="6"/>
  <c r="CW272" i="6"/>
  <c r="CX272" i="6"/>
  <c r="CY272" i="6"/>
  <c r="CZ272" i="6"/>
  <c r="DA272" i="6"/>
  <c r="DB272" i="6"/>
  <c r="DC272" i="6"/>
  <c r="DD272" i="6"/>
  <c r="DE272" i="6"/>
  <c r="DF272" i="6"/>
  <c r="DG272" i="6"/>
  <c r="DH272" i="6"/>
  <c r="DI272" i="6"/>
  <c r="DJ272" i="6"/>
  <c r="DK272" i="6"/>
  <c r="DL272" i="6"/>
  <c r="DM272" i="6"/>
  <c r="DN272" i="6"/>
  <c r="DO272" i="6"/>
  <c r="DP272" i="6"/>
  <c r="DQ272" i="6"/>
  <c r="DR272" i="6"/>
  <c r="DS272" i="6"/>
  <c r="DT272" i="6"/>
  <c r="DU272" i="6"/>
  <c r="DV272" i="6"/>
  <c r="DW272" i="6"/>
  <c r="DX272" i="6"/>
  <c r="DY272" i="6"/>
  <c r="CS273" i="6"/>
  <c r="CT273" i="6"/>
  <c r="CU273" i="6"/>
  <c r="CV273" i="6"/>
  <c r="CW273" i="6"/>
  <c r="CX273" i="6"/>
  <c r="CY273" i="6"/>
  <c r="CZ273" i="6"/>
  <c r="DA273" i="6"/>
  <c r="DB273" i="6"/>
  <c r="DC273" i="6"/>
  <c r="DD273" i="6"/>
  <c r="DE273" i="6"/>
  <c r="DF273" i="6"/>
  <c r="DG273" i="6"/>
  <c r="DH273" i="6"/>
  <c r="DI273" i="6"/>
  <c r="DJ273" i="6"/>
  <c r="DK273" i="6"/>
  <c r="DL273" i="6"/>
  <c r="DM273" i="6"/>
  <c r="DN273" i="6"/>
  <c r="DO273" i="6"/>
  <c r="DP273" i="6"/>
  <c r="DQ273" i="6"/>
  <c r="DR273" i="6"/>
  <c r="DS273" i="6"/>
  <c r="DT273" i="6"/>
  <c r="DU273" i="6"/>
  <c r="DV273" i="6"/>
  <c r="DW273" i="6"/>
  <c r="DX273" i="6"/>
  <c r="DY273" i="6"/>
  <c r="CS275" i="6"/>
  <c r="CT275" i="6"/>
  <c r="CU275" i="6"/>
  <c r="CV275" i="6"/>
  <c r="CW275" i="6"/>
  <c r="CX275" i="6"/>
  <c r="CY275" i="6"/>
  <c r="CZ275" i="6"/>
  <c r="DA275" i="6"/>
  <c r="DB275" i="6"/>
  <c r="DC275" i="6"/>
  <c r="DD275" i="6"/>
  <c r="DE275" i="6"/>
  <c r="DF275" i="6"/>
  <c r="DG275" i="6"/>
  <c r="DH275" i="6"/>
  <c r="DI275" i="6"/>
  <c r="DJ275" i="6"/>
  <c r="DK275" i="6"/>
  <c r="DL275" i="6"/>
  <c r="DM275" i="6"/>
  <c r="DN275" i="6"/>
  <c r="DO275" i="6"/>
  <c r="DP275" i="6"/>
  <c r="DQ275" i="6"/>
  <c r="DR275" i="6"/>
  <c r="DS275" i="6"/>
  <c r="DT275" i="6"/>
  <c r="DU275" i="6"/>
  <c r="DV275" i="6"/>
  <c r="DW275" i="6"/>
  <c r="DX275" i="6"/>
  <c r="DY275" i="6"/>
  <c r="CS277" i="6"/>
  <c r="CT277" i="6"/>
  <c r="CU277" i="6"/>
  <c r="CV277" i="6"/>
  <c r="CW277" i="6"/>
  <c r="CX277" i="6"/>
  <c r="CY277" i="6"/>
  <c r="CZ277" i="6"/>
  <c r="DA277" i="6"/>
  <c r="DB277" i="6"/>
  <c r="DC277" i="6"/>
  <c r="DD277" i="6"/>
  <c r="DE277" i="6"/>
  <c r="DF277" i="6"/>
  <c r="DG277" i="6"/>
  <c r="DH277" i="6"/>
  <c r="DI277" i="6"/>
  <c r="DJ277" i="6"/>
  <c r="DK277" i="6"/>
  <c r="DL277" i="6"/>
  <c r="DM277" i="6"/>
  <c r="DN277" i="6"/>
  <c r="DO277" i="6"/>
  <c r="DP277" i="6"/>
  <c r="DQ277" i="6"/>
  <c r="DR277" i="6"/>
  <c r="DS277" i="6"/>
  <c r="DT277" i="6"/>
  <c r="DU277" i="6"/>
  <c r="DV277" i="6"/>
  <c r="DW277" i="6"/>
  <c r="DX277" i="6"/>
  <c r="DY277" i="6"/>
  <c r="CL280" i="6"/>
  <c r="CP280" i="6"/>
  <c r="CS280" i="6"/>
  <c r="CT280" i="6"/>
  <c r="CU280" i="6"/>
  <c r="CV280" i="6"/>
  <c r="CW280" i="6"/>
  <c r="CX280" i="6"/>
  <c r="CY280" i="6"/>
  <c r="CZ280" i="6"/>
  <c r="DA280" i="6"/>
  <c r="DB280" i="6"/>
  <c r="DC280" i="6"/>
  <c r="DD280" i="6"/>
  <c r="DE280" i="6"/>
  <c r="DF280" i="6"/>
  <c r="DG280" i="6"/>
  <c r="DH280" i="6"/>
  <c r="DI280" i="6"/>
  <c r="DJ280" i="6"/>
  <c r="DK280" i="6"/>
  <c r="DL280" i="6"/>
  <c r="DM280" i="6"/>
  <c r="DN280" i="6"/>
  <c r="DO280" i="6"/>
  <c r="DP280" i="6"/>
  <c r="DQ280" i="6"/>
  <c r="DR280" i="6"/>
  <c r="DS280" i="6"/>
  <c r="DT280" i="6"/>
  <c r="DU280" i="6"/>
  <c r="DV280" i="6"/>
  <c r="DW280" i="6"/>
  <c r="DX280" i="6"/>
  <c r="DY280" i="6"/>
  <c r="CL281" i="6"/>
  <c r="CP281" i="6"/>
  <c r="CS281" i="6"/>
  <c r="CT281" i="6"/>
  <c r="CU281" i="6"/>
  <c r="CV281" i="6"/>
  <c r="CW281" i="6"/>
  <c r="CX281" i="6"/>
  <c r="CY281" i="6"/>
  <c r="CZ281" i="6"/>
  <c r="DA281" i="6"/>
  <c r="DB281" i="6"/>
  <c r="DC281" i="6"/>
  <c r="DD281" i="6"/>
  <c r="DE281" i="6"/>
  <c r="DF281" i="6"/>
  <c r="DG281" i="6"/>
  <c r="DH281" i="6"/>
  <c r="DI281" i="6"/>
  <c r="DJ281" i="6"/>
  <c r="DK281" i="6"/>
  <c r="DL281" i="6"/>
  <c r="DM281" i="6"/>
  <c r="DN281" i="6"/>
  <c r="DO281" i="6"/>
  <c r="DP281" i="6"/>
  <c r="DQ281" i="6"/>
  <c r="DR281" i="6"/>
  <c r="DS281" i="6"/>
  <c r="DT281" i="6"/>
  <c r="DU281" i="6"/>
  <c r="DV281" i="6"/>
  <c r="DW281" i="6"/>
  <c r="DX281" i="6"/>
  <c r="DY281" i="6"/>
  <c r="CL282" i="6"/>
  <c r="CP282" i="6"/>
  <c r="CS282" i="6"/>
  <c r="CT282" i="6"/>
  <c r="CU282" i="6"/>
  <c r="CV282" i="6"/>
  <c r="CW282" i="6"/>
  <c r="CX282" i="6"/>
  <c r="CY282" i="6"/>
  <c r="CZ282" i="6"/>
  <c r="DA282" i="6"/>
  <c r="DB282" i="6"/>
  <c r="DC282" i="6"/>
  <c r="DD282" i="6"/>
  <c r="DE282" i="6"/>
  <c r="DF282" i="6"/>
  <c r="DG282" i="6"/>
  <c r="DH282" i="6"/>
  <c r="DI282" i="6"/>
  <c r="DJ282" i="6"/>
  <c r="DK282" i="6"/>
  <c r="DL282" i="6"/>
  <c r="DM282" i="6"/>
  <c r="DN282" i="6"/>
  <c r="DO282" i="6"/>
  <c r="DP282" i="6"/>
  <c r="DQ282" i="6"/>
  <c r="DR282" i="6"/>
  <c r="DS282" i="6"/>
  <c r="DT282" i="6"/>
  <c r="DU282" i="6"/>
  <c r="DV282" i="6"/>
  <c r="DW282" i="6"/>
  <c r="DX282" i="6"/>
  <c r="DY282" i="6"/>
  <c r="CL284" i="6"/>
  <c r="CP284" i="6"/>
  <c r="CS284" i="6"/>
  <c r="CT284" i="6"/>
  <c r="CU284" i="6"/>
  <c r="CV284" i="6"/>
  <c r="CW284" i="6"/>
  <c r="CX284" i="6"/>
  <c r="CY284" i="6"/>
  <c r="CZ284" i="6"/>
  <c r="DA284" i="6"/>
  <c r="DB284" i="6"/>
  <c r="DC284" i="6"/>
  <c r="DD284" i="6"/>
  <c r="DE284" i="6"/>
  <c r="DF284" i="6"/>
  <c r="DG284" i="6"/>
  <c r="DH284" i="6"/>
  <c r="DI284" i="6"/>
  <c r="DJ284" i="6"/>
  <c r="DK284" i="6"/>
  <c r="DL284" i="6"/>
  <c r="DM284" i="6"/>
  <c r="DN284" i="6"/>
  <c r="DO284" i="6"/>
  <c r="DP284" i="6"/>
  <c r="DQ284" i="6"/>
  <c r="DR284" i="6"/>
  <c r="DS284" i="6"/>
  <c r="DT284" i="6"/>
  <c r="DU284" i="6"/>
  <c r="DV284" i="6"/>
  <c r="DW284" i="6"/>
  <c r="DX284" i="6"/>
  <c r="DY284" i="6"/>
  <c r="CL285" i="6"/>
  <c r="CP285" i="6"/>
  <c r="CS285" i="6"/>
  <c r="CT285" i="6"/>
  <c r="CU285" i="6"/>
  <c r="CV285" i="6"/>
  <c r="CW285" i="6"/>
  <c r="CX285" i="6"/>
  <c r="CY285" i="6"/>
  <c r="CZ285" i="6"/>
  <c r="DA285" i="6"/>
  <c r="DB285" i="6"/>
  <c r="DC285" i="6"/>
  <c r="DD285" i="6"/>
  <c r="DE285" i="6"/>
  <c r="DF285" i="6"/>
  <c r="DG285" i="6"/>
  <c r="DH285" i="6"/>
  <c r="DI285" i="6"/>
  <c r="DJ285" i="6"/>
  <c r="DK285" i="6"/>
  <c r="DL285" i="6"/>
  <c r="DM285" i="6"/>
  <c r="DN285" i="6"/>
  <c r="DO285" i="6"/>
  <c r="DP285" i="6"/>
  <c r="DQ285" i="6"/>
  <c r="DR285" i="6"/>
  <c r="DS285" i="6"/>
  <c r="DT285" i="6"/>
  <c r="DU285" i="6"/>
  <c r="DV285" i="6"/>
  <c r="DW285" i="6"/>
  <c r="DX285" i="6"/>
  <c r="DY285" i="6"/>
  <c r="CL286" i="6"/>
  <c r="CP286" i="6"/>
  <c r="CS286" i="6"/>
  <c r="CT286" i="6"/>
  <c r="CU286" i="6"/>
  <c r="CV286" i="6"/>
  <c r="CW286" i="6"/>
  <c r="CX286" i="6"/>
  <c r="CY286" i="6"/>
  <c r="CZ286" i="6"/>
  <c r="DA286" i="6"/>
  <c r="DB286" i="6"/>
  <c r="DC286" i="6"/>
  <c r="DD286" i="6"/>
  <c r="DE286" i="6"/>
  <c r="DF286" i="6"/>
  <c r="DG286" i="6"/>
  <c r="DH286" i="6"/>
  <c r="DI286" i="6"/>
  <c r="DJ286" i="6"/>
  <c r="DK286" i="6"/>
  <c r="DL286" i="6"/>
  <c r="DM286" i="6"/>
  <c r="DN286" i="6"/>
  <c r="DO286" i="6"/>
  <c r="DP286" i="6"/>
  <c r="DQ286" i="6"/>
  <c r="DR286" i="6"/>
  <c r="DS286" i="6"/>
  <c r="DT286" i="6"/>
  <c r="DU286" i="6"/>
  <c r="DV286" i="6"/>
  <c r="DW286" i="6"/>
  <c r="DX286" i="6"/>
  <c r="DY286" i="6"/>
  <c r="CL288" i="6"/>
  <c r="CP288" i="6"/>
  <c r="CS288" i="6"/>
  <c r="CT288" i="6"/>
  <c r="CU288" i="6"/>
  <c r="CV288" i="6"/>
  <c r="CW288" i="6"/>
  <c r="CX288" i="6"/>
  <c r="CY288" i="6"/>
  <c r="CZ288" i="6"/>
  <c r="DA288" i="6"/>
  <c r="DB288" i="6"/>
  <c r="DC288" i="6"/>
  <c r="DD288" i="6"/>
  <c r="DE288" i="6"/>
  <c r="DF288" i="6"/>
  <c r="DG288" i="6"/>
  <c r="DH288" i="6"/>
  <c r="DI288" i="6"/>
  <c r="DJ288" i="6"/>
  <c r="DK288" i="6"/>
  <c r="DL288" i="6"/>
  <c r="DM288" i="6"/>
  <c r="DN288" i="6"/>
  <c r="DO288" i="6"/>
  <c r="DP288" i="6"/>
  <c r="DQ288" i="6"/>
  <c r="DR288" i="6"/>
  <c r="DS288" i="6"/>
  <c r="DT288" i="6"/>
  <c r="DU288" i="6"/>
  <c r="DV288" i="6"/>
  <c r="DW288" i="6"/>
  <c r="DX288" i="6"/>
  <c r="DY288" i="6"/>
  <c r="CL290" i="6"/>
  <c r="CP290" i="6"/>
  <c r="CS290" i="6"/>
  <c r="CT290" i="6"/>
  <c r="CU290" i="6"/>
  <c r="CV290" i="6"/>
  <c r="CW290" i="6"/>
  <c r="CX290" i="6"/>
  <c r="CY290" i="6"/>
  <c r="CZ290" i="6"/>
  <c r="DA290" i="6"/>
  <c r="DB290" i="6"/>
  <c r="DC290" i="6"/>
  <c r="DD290" i="6"/>
  <c r="DE290" i="6"/>
  <c r="DF290" i="6"/>
  <c r="DG290" i="6"/>
  <c r="DH290" i="6"/>
  <c r="DI290" i="6"/>
  <c r="DJ290" i="6"/>
  <c r="DK290" i="6"/>
  <c r="DL290" i="6"/>
  <c r="DM290" i="6"/>
  <c r="DN290" i="6"/>
  <c r="DO290" i="6"/>
  <c r="DP290" i="6"/>
  <c r="DQ290" i="6"/>
  <c r="DR290" i="6"/>
  <c r="DS290" i="6"/>
  <c r="DT290" i="6"/>
  <c r="DU290" i="6"/>
  <c r="DV290" i="6"/>
  <c r="DW290" i="6"/>
  <c r="DX290" i="6"/>
  <c r="DY290" i="6"/>
  <c r="DK295" i="6"/>
  <c r="DL295" i="6"/>
  <c r="DM295" i="6"/>
  <c r="DN295" i="6"/>
  <c r="DO295" i="6"/>
  <c r="DP295" i="6"/>
  <c r="DQ295" i="6"/>
  <c r="DR295" i="6"/>
  <c r="DS295" i="6"/>
  <c r="DT295" i="6"/>
  <c r="DU295" i="6"/>
  <c r="DV295" i="6"/>
  <c r="DW295" i="6"/>
  <c r="DX295" i="6"/>
  <c r="DY295" i="6"/>
  <c r="CP296" i="6"/>
  <c r="DK296" i="6"/>
  <c r="DL296" i="6"/>
  <c r="DM296" i="6"/>
  <c r="DN296" i="6"/>
  <c r="DO296" i="6"/>
  <c r="DP296" i="6"/>
  <c r="DQ296" i="6"/>
  <c r="DR296" i="6"/>
  <c r="DS296" i="6"/>
  <c r="DT296" i="6"/>
  <c r="DU296" i="6"/>
  <c r="DV296" i="6"/>
  <c r="DW296" i="6"/>
  <c r="DX296" i="6"/>
  <c r="DY296" i="6"/>
  <c r="CL297" i="6"/>
  <c r="CP297" i="6"/>
  <c r="DK297" i="6"/>
  <c r="DL297" i="6"/>
  <c r="DM297" i="6"/>
  <c r="DN297" i="6"/>
  <c r="DO297" i="6"/>
  <c r="DP297" i="6"/>
  <c r="DQ297" i="6"/>
  <c r="DR297" i="6"/>
  <c r="DS297" i="6"/>
  <c r="DT297" i="6"/>
  <c r="DU297" i="6"/>
  <c r="DV297" i="6"/>
  <c r="DW297" i="6"/>
  <c r="DX297" i="6"/>
  <c r="DY297" i="6"/>
  <c r="DK300" i="6"/>
  <c r="DL300" i="6"/>
  <c r="DM300" i="6"/>
  <c r="DN300" i="6"/>
  <c r="DO300" i="6"/>
  <c r="DP300" i="6"/>
  <c r="DQ300" i="6"/>
  <c r="DR300" i="6"/>
  <c r="DS300" i="6"/>
  <c r="DT300" i="6"/>
  <c r="DU300" i="6"/>
  <c r="DV300" i="6"/>
  <c r="DW300" i="6"/>
  <c r="DX300" i="6"/>
  <c r="DY300" i="6"/>
  <c r="CP301" i="6"/>
  <c r="CU301" i="6"/>
  <c r="CL302" i="6"/>
  <c r="CP302" i="6"/>
  <c r="CQ302" i="6"/>
  <c r="CU302" i="6"/>
  <c r="DK302" i="6"/>
  <c r="DL302" i="6"/>
  <c r="DM302" i="6"/>
  <c r="DN302" i="6"/>
  <c r="DO302" i="6"/>
  <c r="DP302" i="6"/>
  <c r="DQ302" i="6"/>
  <c r="DR302" i="6"/>
  <c r="DS302" i="6"/>
  <c r="DT302" i="6"/>
  <c r="DU302" i="6"/>
  <c r="DV302" i="6"/>
  <c r="DW302" i="6"/>
  <c r="DX302" i="6"/>
  <c r="DY302" i="6"/>
  <c r="DO654" i="6"/>
  <c r="DT654" i="6"/>
  <c r="DY654" i="6"/>
  <c r="DO655" i="6"/>
  <c r="DT655" i="6"/>
  <c r="DY655" i="6"/>
  <c r="CP40" i="7"/>
  <c r="DK40" i="7"/>
  <c r="DL40" i="7"/>
  <c r="DM40" i="7"/>
  <c r="DN40" i="7"/>
  <c r="DO40" i="7"/>
  <c r="DP40" i="7"/>
  <c r="DQ40" i="7"/>
  <c r="DR40" i="7"/>
  <c r="DS40" i="7"/>
  <c r="DT40" i="7"/>
  <c r="DU40" i="7"/>
  <c r="DV40" i="7"/>
  <c r="DW40" i="7"/>
  <c r="DX40" i="7"/>
  <c r="DY40" i="7"/>
  <c r="CP41" i="7"/>
  <c r="DK41" i="7"/>
  <c r="DL41" i="7"/>
  <c r="DM41" i="7"/>
  <c r="DN41" i="7"/>
  <c r="DO41" i="7"/>
  <c r="DP41" i="7"/>
  <c r="DQ41" i="7"/>
  <c r="DR41" i="7"/>
  <c r="DS41" i="7"/>
  <c r="DT41" i="7"/>
  <c r="DU41" i="7"/>
  <c r="DV41" i="7"/>
  <c r="DW41" i="7"/>
  <c r="DX41" i="7"/>
  <c r="DY41" i="7"/>
  <c r="CO56" i="7"/>
  <c r="CP56" i="7"/>
  <c r="CQ56" i="7"/>
  <c r="CR56" i="7"/>
  <c r="CS56" i="7"/>
  <c r="CT56" i="7"/>
  <c r="CU56" i="7"/>
  <c r="CV56" i="7"/>
  <c r="CW56" i="7"/>
  <c r="CX56" i="7"/>
  <c r="CY56" i="7"/>
  <c r="CZ56" i="7"/>
  <c r="DA56" i="7"/>
  <c r="DB56" i="7"/>
  <c r="DC56" i="7"/>
  <c r="DD56" i="7"/>
  <c r="DE56" i="7"/>
  <c r="DF56" i="7"/>
  <c r="DG56" i="7"/>
  <c r="DH56" i="7"/>
  <c r="DI56" i="7"/>
  <c r="DJ56" i="7"/>
  <c r="DK56" i="7"/>
  <c r="DL56" i="7"/>
  <c r="DM56" i="7"/>
  <c r="DN56" i="7"/>
  <c r="DO56" i="7"/>
  <c r="DP56" i="7"/>
  <c r="DQ56" i="7"/>
  <c r="DR56" i="7"/>
  <c r="DS56" i="7"/>
  <c r="DT56" i="7"/>
  <c r="DU56" i="7"/>
  <c r="DV56" i="7"/>
  <c r="DW56" i="7"/>
  <c r="DX56" i="7"/>
  <c r="DY56" i="7"/>
  <c r="CP57" i="7"/>
  <c r="CQ57" i="7"/>
  <c r="CR57" i="7"/>
  <c r="CS57" i="7"/>
  <c r="CT57" i="7"/>
  <c r="CU57" i="7"/>
  <c r="CV57" i="7"/>
  <c r="CW57" i="7"/>
  <c r="CX57" i="7"/>
  <c r="CY57" i="7"/>
  <c r="CZ57" i="7"/>
  <c r="DA57" i="7"/>
  <c r="DB57" i="7"/>
  <c r="DC57" i="7"/>
  <c r="DD57" i="7"/>
  <c r="DE57" i="7"/>
  <c r="DF57" i="7"/>
  <c r="DG57" i="7"/>
  <c r="DH57" i="7"/>
  <c r="DI57" i="7"/>
  <c r="DJ57" i="7"/>
  <c r="DK57" i="7"/>
  <c r="DL57" i="7"/>
  <c r="DM57" i="7"/>
  <c r="DN57" i="7"/>
  <c r="DO57" i="7"/>
  <c r="DP57" i="7"/>
  <c r="DQ57" i="7"/>
  <c r="DR57" i="7"/>
  <c r="DS57" i="7"/>
  <c r="DT57" i="7"/>
  <c r="DU57" i="7"/>
  <c r="DV57" i="7"/>
  <c r="DW57" i="7"/>
  <c r="DX57" i="7"/>
  <c r="DY57" i="7"/>
  <c r="CO58" i="7"/>
  <c r="CP58" i="7"/>
  <c r="CQ58" i="7"/>
  <c r="CR58" i="7"/>
  <c r="CS58" i="7"/>
  <c r="CT58" i="7"/>
  <c r="CU58" i="7"/>
  <c r="CV58" i="7"/>
  <c r="CW58" i="7"/>
  <c r="CX58" i="7"/>
  <c r="CY58" i="7"/>
  <c r="CZ58" i="7"/>
  <c r="DE58" i="7"/>
  <c r="DJ58" i="7"/>
  <c r="DO58" i="7"/>
  <c r="DT58" i="7"/>
  <c r="DY58" i="7"/>
  <c r="CO127" i="7"/>
  <c r="CP127" i="7"/>
  <c r="CQ127" i="7"/>
  <c r="CR127" i="7"/>
  <c r="CS127" i="7"/>
  <c r="CT127" i="7"/>
  <c r="CU127" i="7"/>
  <c r="CV127" i="7"/>
  <c r="CW127" i="7"/>
  <c r="CX127" i="7"/>
  <c r="CY127" i="7"/>
  <c r="CZ127" i="7"/>
  <c r="CO128" i="7"/>
  <c r="CP128" i="7"/>
  <c r="CQ128" i="7"/>
  <c r="CR128" i="7"/>
  <c r="CS128" i="7"/>
  <c r="CT128" i="7"/>
  <c r="CU128" i="7"/>
  <c r="CV128" i="7"/>
  <c r="CW128" i="7"/>
  <c r="CX128" i="7"/>
  <c r="CY128" i="7"/>
  <c r="CZ128" i="7"/>
  <c r="CO129" i="7"/>
  <c r="CP129" i="7"/>
  <c r="CQ129" i="7"/>
  <c r="CR129" i="7"/>
  <c r="CS129" i="7"/>
  <c r="CT129" i="7"/>
  <c r="CU129" i="7"/>
  <c r="CV129" i="7"/>
  <c r="CW129" i="7"/>
  <c r="CX129" i="7"/>
  <c r="CY129" i="7"/>
  <c r="CZ129" i="7"/>
  <c r="CO130" i="7"/>
  <c r="CP130" i="7"/>
  <c r="CQ130" i="7"/>
  <c r="CR130" i="7"/>
  <c r="CS130" i="7"/>
  <c r="CT130" i="7"/>
  <c r="CU130" i="7"/>
  <c r="CV130" i="7"/>
  <c r="CW130" i="7"/>
  <c r="CX130" i="7"/>
  <c r="CY130" i="7"/>
  <c r="CZ130" i="7"/>
  <c r="CO131" i="7"/>
  <c r="CP131" i="7"/>
  <c r="CQ131" i="7"/>
  <c r="CR131" i="7"/>
  <c r="CS131" i="7"/>
  <c r="CT131" i="7"/>
  <c r="CU131" i="7"/>
  <c r="CV131" i="7"/>
  <c r="CW131" i="7"/>
  <c r="CX131" i="7"/>
  <c r="CY131" i="7"/>
  <c r="CZ131" i="7"/>
  <c r="DA131" i="7"/>
  <c r="DB131" i="7"/>
  <c r="DC131" i="7"/>
  <c r="DD131" i="7"/>
  <c r="DE131" i="7"/>
  <c r="CO136" i="7"/>
  <c r="CP136" i="7"/>
  <c r="CQ136" i="7"/>
  <c r="CR136" i="7"/>
  <c r="CS136" i="7"/>
  <c r="CT136" i="7"/>
  <c r="CU136" i="7"/>
  <c r="CV136" i="7"/>
  <c r="CW136" i="7"/>
  <c r="CX136" i="7"/>
  <c r="CY136" i="7"/>
  <c r="CZ136" i="7"/>
  <c r="DE136" i="7"/>
  <c r="DJ136" i="7"/>
  <c r="DO136" i="7"/>
  <c r="DT136" i="7"/>
  <c r="DY136" i="7"/>
  <c r="CO137" i="7"/>
  <c r="CP137" i="7"/>
  <c r="CQ137" i="7"/>
  <c r="CR137" i="7"/>
  <c r="CS137" i="7"/>
  <c r="CT137" i="7"/>
  <c r="CU137" i="7"/>
  <c r="CV137" i="7"/>
  <c r="CW137" i="7"/>
  <c r="CX137" i="7"/>
  <c r="CY137" i="7"/>
  <c r="CZ137" i="7"/>
  <c r="CM138" i="7"/>
  <c r="CN138" i="7"/>
  <c r="CO138" i="7"/>
  <c r="CP138" i="7"/>
  <c r="CU138" i="7"/>
  <c r="CZ138" i="7"/>
  <c r="CM142" i="7"/>
  <c r="CN142" i="7"/>
  <c r="CO142" i="7"/>
  <c r="CQ142" i="7"/>
  <c r="CR142" i="7"/>
  <c r="CS142" i="7"/>
  <c r="CT142" i="7"/>
  <c r="CV142" i="7"/>
  <c r="CW142" i="7"/>
  <c r="CX142" i="7"/>
  <c r="CY142" i="7"/>
  <c r="CN154" i="7"/>
  <c r="CO154" i="7"/>
  <c r="CQ154" i="7"/>
  <c r="CR154" i="7"/>
  <c r="CS154" i="7"/>
  <c r="CT154" i="7"/>
  <c r="CV154" i="7"/>
  <c r="CW154" i="7"/>
  <c r="CX154" i="7"/>
  <c r="CY154" i="7"/>
  <c r="CO161" i="7"/>
  <c r="CP161" i="7"/>
  <c r="CQ161" i="7"/>
  <c r="CR161" i="7"/>
  <c r="CS161" i="7"/>
  <c r="CT161" i="7"/>
  <c r="CU161" i="7"/>
  <c r="CV161" i="7"/>
  <c r="CW161" i="7"/>
  <c r="CX161" i="7"/>
  <c r="CY161" i="7"/>
  <c r="CZ161" i="7"/>
  <c r="CO162" i="7"/>
  <c r="CP162" i="7"/>
  <c r="CQ162" i="7"/>
  <c r="CR162" i="7"/>
  <c r="CS162" i="7"/>
  <c r="CT162" i="7"/>
  <c r="CU162" i="7"/>
  <c r="CV162" i="7"/>
  <c r="CW162" i="7"/>
  <c r="CX162" i="7"/>
  <c r="CY162" i="7"/>
  <c r="CZ162" i="7"/>
  <c r="CO172" i="7"/>
  <c r="CP172" i="7"/>
  <c r="CQ172" i="7"/>
  <c r="CR172" i="7"/>
  <c r="CS172" i="7"/>
  <c r="CT172" i="7"/>
  <c r="CU172" i="7"/>
  <c r="CV172" i="7"/>
  <c r="CW172" i="7"/>
  <c r="CX172" i="7"/>
  <c r="CY172" i="7"/>
  <c r="CZ172" i="7"/>
  <c r="DA172" i="7"/>
  <c r="DB172" i="7"/>
  <c r="DC172" i="7"/>
  <c r="DD172" i="7"/>
  <c r="DE172" i="7"/>
  <c r="CO180" i="7"/>
  <c r="CP180" i="7"/>
  <c r="CQ180" i="7"/>
  <c r="CR180" i="7"/>
  <c r="CS180" i="7"/>
  <c r="CT180" i="7"/>
  <c r="CU180" i="7"/>
  <c r="CV180" i="7"/>
  <c r="CW180" i="7"/>
  <c r="CX180" i="7"/>
  <c r="CY180" i="7"/>
  <c r="CZ180" i="7"/>
  <c r="DA180" i="7"/>
  <c r="DB180" i="7"/>
  <c r="DC180" i="7"/>
  <c r="DD180" i="7"/>
  <c r="DE180" i="7"/>
  <c r="DF180" i="7"/>
  <c r="DG180" i="7"/>
  <c r="DH180" i="7"/>
  <c r="DI180" i="7"/>
  <c r="DJ180" i="7"/>
  <c r="DK180" i="7"/>
  <c r="DL180" i="7"/>
  <c r="DM180" i="7"/>
  <c r="DN180" i="7"/>
  <c r="DO180" i="7"/>
  <c r="DP180" i="7"/>
  <c r="DQ180" i="7"/>
  <c r="DR180" i="7"/>
  <c r="DS180" i="7"/>
  <c r="DT180" i="7"/>
  <c r="DU180" i="7"/>
  <c r="DV180" i="7"/>
  <c r="DW180" i="7"/>
  <c r="DX180" i="7"/>
  <c r="DY180" i="7"/>
  <c r="CO181" i="7"/>
  <c r="CP181" i="7"/>
  <c r="CQ181" i="7"/>
  <c r="CR181" i="7"/>
  <c r="CS181" i="7"/>
  <c r="CT181" i="7"/>
  <c r="CU181" i="7"/>
  <c r="CV181" i="7"/>
  <c r="CW181" i="7"/>
  <c r="CX181" i="7"/>
  <c r="CY181" i="7"/>
  <c r="CZ181" i="7"/>
  <c r="DA181" i="7"/>
  <c r="DB181" i="7"/>
  <c r="DC181" i="7"/>
  <c r="DD181" i="7"/>
  <c r="DE181" i="7"/>
  <c r="DF181" i="7"/>
  <c r="DG181" i="7"/>
  <c r="DH181" i="7"/>
  <c r="DI181" i="7"/>
  <c r="DJ181" i="7"/>
  <c r="DK181" i="7"/>
  <c r="DL181" i="7"/>
  <c r="DM181" i="7"/>
  <c r="DN181" i="7"/>
  <c r="DO181" i="7"/>
  <c r="DP181" i="7"/>
  <c r="DQ181" i="7"/>
  <c r="DR181" i="7"/>
  <c r="DS181" i="7"/>
  <c r="DT181" i="7"/>
  <c r="DU181" i="7"/>
  <c r="DV181" i="7"/>
  <c r="DW181" i="7"/>
  <c r="DX181" i="7"/>
  <c r="DY181" i="7"/>
  <c r="CO184" i="7"/>
  <c r="CP184" i="7"/>
  <c r="CQ184" i="7"/>
  <c r="CR184" i="7"/>
  <c r="CS184" i="7"/>
  <c r="CT184" i="7"/>
  <c r="CU184" i="7"/>
  <c r="CV184" i="7"/>
  <c r="CW184" i="7"/>
  <c r="CX184" i="7"/>
  <c r="CY184" i="7"/>
  <c r="CZ184" i="7"/>
  <c r="DA184" i="7"/>
  <c r="DB184" i="7"/>
  <c r="DC184" i="7"/>
  <c r="DD184" i="7"/>
  <c r="DE184" i="7"/>
  <c r="DF184" i="7"/>
  <c r="DG184" i="7"/>
  <c r="DH184" i="7"/>
  <c r="DI184" i="7"/>
  <c r="DJ184" i="7"/>
  <c r="DK184" i="7"/>
  <c r="DL184" i="7"/>
  <c r="DM184" i="7"/>
  <c r="DN184" i="7"/>
  <c r="DO184" i="7"/>
  <c r="DP184" i="7"/>
  <c r="DQ184" i="7"/>
  <c r="DR184" i="7"/>
  <c r="DS184" i="7"/>
  <c r="DT184" i="7"/>
  <c r="DU184" i="7"/>
  <c r="DV184" i="7"/>
  <c r="DW184" i="7"/>
  <c r="DX184" i="7"/>
  <c r="DY184" i="7"/>
  <c r="CO189" i="7"/>
  <c r="CP189" i="7"/>
  <c r="CQ189" i="7"/>
  <c r="CR189" i="7"/>
  <c r="CS189" i="7"/>
  <c r="CT189" i="7"/>
  <c r="CU189" i="7"/>
  <c r="CV189" i="7"/>
  <c r="CW189" i="7"/>
  <c r="CX189" i="7"/>
  <c r="CY189" i="7"/>
  <c r="CZ189" i="7"/>
  <c r="DA189" i="7"/>
  <c r="DB189" i="7"/>
  <c r="DC189" i="7"/>
  <c r="DD189" i="7"/>
  <c r="DE189" i="7"/>
  <c r="DF189" i="7"/>
  <c r="DG189" i="7"/>
  <c r="DH189" i="7"/>
  <c r="DI189" i="7"/>
  <c r="DJ189" i="7"/>
  <c r="DK189" i="7"/>
  <c r="DL189" i="7"/>
  <c r="DM189" i="7"/>
  <c r="DN189" i="7"/>
  <c r="DO189" i="7"/>
  <c r="DP189" i="7"/>
  <c r="DQ189" i="7"/>
  <c r="DR189" i="7"/>
  <c r="DS189" i="7"/>
  <c r="DT189" i="7"/>
  <c r="DU189" i="7"/>
  <c r="DV189" i="7"/>
  <c r="DW189" i="7"/>
  <c r="DX189" i="7"/>
  <c r="DY189" i="7"/>
  <c r="CO190" i="7"/>
  <c r="CP190" i="7"/>
  <c r="CQ190" i="7"/>
  <c r="CR190" i="7"/>
  <c r="CS190" i="7"/>
  <c r="CT190" i="7"/>
  <c r="CU190" i="7"/>
  <c r="CV190" i="7"/>
  <c r="CW190" i="7"/>
  <c r="CX190" i="7"/>
  <c r="CY190" i="7"/>
  <c r="CZ190" i="7"/>
  <c r="DA190" i="7"/>
  <c r="DB190" i="7"/>
  <c r="DC190" i="7"/>
  <c r="DD190" i="7"/>
  <c r="DE190" i="7"/>
  <c r="DF190" i="7"/>
  <c r="DG190" i="7"/>
  <c r="DH190" i="7"/>
  <c r="DI190" i="7"/>
  <c r="DJ190" i="7"/>
  <c r="DK190" i="7"/>
  <c r="DL190" i="7"/>
  <c r="DM190" i="7"/>
  <c r="DN190" i="7"/>
  <c r="DO190" i="7"/>
  <c r="DP190" i="7"/>
  <c r="DQ190" i="7"/>
  <c r="DR190" i="7"/>
  <c r="DS190" i="7"/>
  <c r="DT190" i="7"/>
  <c r="DU190" i="7"/>
  <c r="DV190" i="7"/>
  <c r="DW190" i="7"/>
  <c r="DX190" i="7"/>
  <c r="DY190" i="7"/>
  <c r="CO204" i="7"/>
  <c r="CP204" i="7"/>
  <c r="CQ204" i="7"/>
  <c r="CR204" i="7"/>
  <c r="CS204" i="7"/>
  <c r="CT204" i="7"/>
  <c r="CU204" i="7"/>
  <c r="CV204" i="7"/>
  <c r="CW204" i="7"/>
  <c r="CX204" i="7"/>
  <c r="CY204" i="7"/>
  <c r="CZ204" i="7"/>
  <c r="DA204" i="7"/>
  <c r="DB204" i="7"/>
  <c r="DC204" i="7"/>
  <c r="DD204" i="7"/>
  <c r="DE204" i="7"/>
  <c r="DF204" i="7"/>
  <c r="DG204" i="7"/>
  <c r="DH204" i="7"/>
  <c r="DI204" i="7"/>
  <c r="DJ204" i="7"/>
  <c r="DK204" i="7"/>
  <c r="DL204" i="7"/>
  <c r="DM204" i="7"/>
  <c r="DN204" i="7"/>
  <c r="DO204" i="7"/>
  <c r="DP204" i="7"/>
  <c r="DQ204" i="7"/>
  <c r="DR204" i="7"/>
  <c r="DS204" i="7"/>
  <c r="DT204" i="7"/>
  <c r="DU204" i="7"/>
  <c r="DV204" i="7"/>
  <c r="DW204" i="7"/>
  <c r="DX204" i="7"/>
  <c r="DY204" i="7"/>
  <c r="CP205" i="7"/>
  <c r="CU205" i="7"/>
  <c r="CZ205" i="7"/>
  <c r="DE205" i="7"/>
  <c r="DJ205" i="7"/>
  <c r="DO205" i="7"/>
  <c r="DT205" i="7"/>
  <c r="DY205" i="7"/>
  <c r="CO206" i="7"/>
  <c r="CP206" i="7"/>
  <c r="CQ206" i="7"/>
  <c r="CR206" i="7"/>
  <c r="CS206" i="7"/>
  <c r="CT206" i="7"/>
  <c r="CU206" i="7"/>
  <c r="CV206" i="7"/>
  <c r="CW206" i="7"/>
  <c r="CX206" i="7"/>
  <c r="CY206" i="7"/>
  <c r="CZ206" i="7"/>
  <c r="DA206" i="7"/>
  <c r="DB206" i="7"/>
  <c r="DC206" i="7"/>
  <c r="DD206" i="7"/>
  <c r="DE206" i="7"/>
  <c r="DF206" i="7"/>
  <c r="DG206" i="7"/>
  <c r="DH206" i="7"/>
  <c r="DI206" i="7"/>
  <c r="DJ206" i="7"/>
  <c r="DK206" i="7"/>
  <c r="DL206" i="7"/>
  <c r="DM206" i="7"/>
  <c r="DN206" i="7"/>
  <c r="DO206" i="7"/>
  <c r="DP206" i="7"/>
  <c r="DQ206" i="7"/>
  <c r="DR206" i="7"/>
  <c r="DS206" i="7"/>
  <c r="DT206" i="7"/>
  <c r="DU206" i="7"/>
  <c r="DV206" i="7"/>
  <c r="DW206" i="7"/>
  <c r="DX206" i="7"/>
  <c r="DY206" i="7"/>
  <c r="CO207" i="7"/>
  <c r="CP207" i="7"/>
  <c r="CQ207" i="7"/>
  <c r="CR207" i="7"/>
  <c r="CS207" i="7"/>
  <c r="CT207" i="7"/>
  <c r="CU207" i="7"/>
  <c r="CV207" i="7"/>
  <c r="CW207" i="7"/>
  <c r="CX207" i="7"/>
  <c r="CY207" i="7"/>
  <c r="CZ207" i="7"/>
  <c r="DA207" i="7"/>
  <c r="DB207" i="7"/>
  <c r="DC207" i="7"/>
  <c r="DD207" i="7"/>
  <c r="DE207" i="7"/>
  <c r="DF207" i="7"/>
  <c r="DG207" i="7"/>
  <c r="DH207" i="7"/>
  <c r="DI207" i="7"/>
  <c r="DJ207" i="7"/>
  <c r="DK207" i="7"/>
  <c r="DL207" i="7"/>
  <c r="DM207" i="7"/>
  <c r="DN207" i="7"/>
  <c r="DO207" i="7"/>
  <c r="DP207" i="7"/>
  <c r="DQ207" i="7"/>
  <c r="DR207" i="7"/>
  <c r="DS207" i="7"/>
  <c r="DT207" i="7"/>
  <c r="DU207" i="7"/>
  <c r="DV207" i="7"/>
  <c r="DW207" i="7"/>
  <c r="DX207" i="7"/>
  <c r="DY207" i="7"/>
  <c r="CO211" i="7"/>
  <c r="CP211" i="7"/>
  <c r="CQ211" i="7"/>
  <c r="CR211" i="7"/>
  <c r="CS211" i="7"/>
  <c r="CT211" i="7"/>
  <c r="CU211" i="7"/>
  <c r="CV211" i="7"/>
  <c r="CW211" i="7"/>
  <c r="CX211" i="7"/>
  <c r="CY211" i="7"/>
  <c r="CZ211" i="7"/>
  <c r="DA211" i="7"/>
  <c r="DB211" i="7"/>
  <c r="DC211" i="7"/>
  <c r="DD211" i="7"/>
  <c r="DE211" i="7"/>
  <c r="DF211" i="7"/>
  <c r="DG211" i="7"/>
  <c r="DH211" i="7"/>
  <c r="DI211" i="7"/>
  <c r="DJ211" i="7"/>
  <c r="DK211" i="7"/>
  <c r="DL211" i="7"/>
  <c r="DM211" i="7"/>
  <c r="DN211" i="7"/>
  <c r="DO211" i="7"/>
  <c r="DP211" i="7"/>
  <c r="DQ211" i="7"/>
  <c r="DR211" i="7"/>
  <c r="DS211" i="7"/>
  <c r="DT211" i="7"/>
  <c r="DU211" i="7"/>
  <c r="DV211" i="7"/>
  <c r="DW211" i="7"/>
  <c r="DX211" i="7"/>
  <c r="DY211" i="7"/>
  <c r="CO216" i="7"/>
  <c r="CP216" i="7"/>
  <c r="CQ216" i="7"/>
  <c r="CR216" i="7"/>
  <c r="CS216" i="7"/>
  <c r="CT216" i="7"/>
  <c r="CU216" i="7"/>
  <c r="CV216" i="7"/>
  <c r="CW216" i="7"/>
  <c r="CX216" i="7"/>
  <c r="CY216" i="7"/>
  <c r="CZ216" i="7"/>
  <c r="DA216" i="7"/>
  <c r="DB216" i="7"/>
  <c r="DC216" i="7"/>
  <c r="DD216" i="7"/>
  <c r="DE216" i="7"/>
  <c r="DF216" i="7"/>
  <c r="DG216" i="7"/>
  <c r="DH216" i="7"/>
  <c r="DI216" i="7"/>
  <c r="DJ216" i="7"/>
  <c r="DK216" i="7"/>
  <c r="DL216" i="7"/>
  <c r="DM216" i="7"/>
  <c r="DN216" i="7"/>
  <c r="DO216" i="7"/>
  <c r="DP216" i="7"/>
  <c r="DQ216" i="7"/>
  <c r="DR216" i="7"/>
  <c r="DS216" i="7"/>
  <c r="DT216" i="7"/>
  <c r="DU216" i="7"/>
  <c r="DV216" i="7"/>
  <c r="DW216" i="7"/>
  <c r="DX216" i="7"/>
  <c r="DY216" i="7"/>
</calcChain>
</file>

<file path=xl/comments1.xml><?xml version="1.0" encoding="utf-8"?>
<comments xmlns="http://schemas.openxmlformats.org/spreadsheetml/2006/main">
  <authors>
    <author>justinv</author>
    <author>scheandr</author>
    <author>sopcak</author>
    <author>dlevin</author>
    <author>jbirnbau</author>
    <author>Sopcak, Zachary (Research)</author>
    <author>Rosenblum, Mark (Research)</author>
    <author>zhanmay</author>
    <author>murphjul</author>
    <author>Mark Wiltamuth</author>
  </authors>
  <commentList>
    <comment ref="BH9" authorId="0">
      <text>
        <r>
          <rPr>
            <b/>
            <sz val="8"/>
            <color indexed="8"/>
            <rFont val="Tahoma"/>
            <family val="2"/>
          </rPr>
          <t>justinv:</t>
        </r>
        <r>
          <rPr>
            <sz val="8"/>
            <color indexed="8"/>
            <rFont val="Tahoma"/>
            <family val="2"/>
          </rPr>
          <t xml:space="preserve">
$1.0 bn of revenue increase y/y represents CMX</t>
        </r>
      </text>
    </comment>
    <comment ref="CG10" authorId="1">
      <text>
        <r>
          <rPr>
            <b/>
            <sz val="8"/>
            <color indexed="8"/>
            <rFont val="Tahoma"/>
            <family val="2"/>
          </rPr>
          <t>4Q11cc:
+ 17% to 18.5%
12/20/11:</t>
        </r>
        <r>
          <rPr>
            <sz val="8"/>
            <color indexed="8"/>
            <rFont val="Tahoma"/>
            <family val="2"/>
          </rPr>
          <t xml:space="preserve">
+14.5% to 16%</t>
        </r>
      </text>
    </comment>
    <comment ref="CK10" authorId="1">
      <text>
        <r>
          <rPr>
            <b/>
            <sz val="8"/>
            <color indexed="8"/>
            <rFont val="Tahoma"/>
            <family val="2"/>
          </rPr>
          <t>2Q12cc:
+ 14% to 15%
1q12cc:
+ 13.5% to 15%
12/20/11:</t>
        </r>
        <r>
          <rPr>
            <sz val="8"/>
            <color indexed="8"/>
            <rFont val="Tahoma"/>
            <family val="2"/>
          </rPr>
          <t xml:space="preserve">
Net Revenue +11.5% to +13%</t>
        </r>
      </text>
    </comment>
    <comment ref="CL10" authorId="2">
      <text>
        <r>
          <rPr>
            <b/>
            <sz val="8"/>
            <color indexed="81"/>
            <rFont val="Tahoma"/>
            <family val="2"/>
          </rPr>
          <t>Inv Day
-4% to -2.5%</t>
        </r>
        <r>
          <rPr>
            <sz val="8"/>
            <color indexed="81"/>
            <rFont val="Tahoma"/>
            <family val="2"/>
          </rPr>
          <t xml:space="preserve">
</t>
        </r>
      </text>
    </comment>
    <comment ref="CM10" authorId="2">
      <text>
        <r>
          <rPr>
            <b/>
            <sz val="8"/>
            <color indexed="81"/>
            <rFont val="Tahoma"/>
            <family val="2"/>
          </rPr>
          <t>1Q13cc:
0.75% to 2.0% implies
$30.9B to $31.3B</t>
        </r>
        <r>
          <rPr>
            <sz val="8"/>
            <color indexed="81"/>
            <rFont val="Tahoma"/>
            <family val="2"/>
          </rPr>
          <t xml:space="preserve">
</t>
        </r>
      </text>
    </comment>
    <comment ref="CP10" authorId="2">
      <text>
        <r>
          <rPr>
            <b/>
            <sz val="8"/>
            <color indexed="81"/>
            <rFont val="Tahoma"/>
            <family val="2"/>
          </rPr>
          <t>2Q13cc:
2% to 3.0% growth
$125.2B to $126.8B</t>
        </r>
      </text>
    </comment>
    <comment ref="AA13" authorId="3">
      <text>
        <r>
          <rPr>
            <b/>
            <sz val="8"/>
            <color indexed="8"/>
            <rFont val="Tahoma"/>
            <family val="2"/>
          </rPr>
          <t>fariborz:</t>
        </r>
        <r>
          <rPr>
            <sz val="8"/>
            <color indexed="8"/>
            <rFont val="Tahoma"/>
            <family val="2"/>
          </rPr>
          <t xml:space="preserve">
3Q i $19.2 mil pretax proceeds from drug manu lawsuit settlement, = 39 basis points</t>
        </r>
      </text>
    </comment>
    <comment ref="AG13" authorId="0">
      <text>
        <r>
          <rPr>
            <b/>
            <sz val="8"/>
            <color indexed="8"/>
            <rFont val="Tahoma"/>
            <family val="2"/>
          </rPr>
          <t>justinv:</t>
        </r>
        <r>
          <rPr>
            <sz val="8"/>
            <color indexed="8"/>
            <rFont val="Tahoma"/>
            <family val="2"/>
          </rPr>
          <t xml:space="preserve">
Reflects a 343 mm pre-tax charge.  </t>
        </r>
      </text>
    </comment>
    <comment ref="BH13" authorId="0">
      <text>
        <r>
          <rPr>
            <b/>
            <sz val="8"/>
            <color indexed="8"/>
            <rFont val="Tahoma"/>
            <family val="2"/>
          </rPr>
          <t>justinv:</t>
        </r>
        <r>
          <rPr>
            <sz val="8"/>
            <color indexed="8"/>
            <rFont val="Tahoma"/>
            <family val="2"/>
          </rPr>
          <t xml:space="preserve">
Excludes excludes:
1. $80.3M of stock option expense due to accelerated vesting of CMX stcok upon acq. Closing
2. $42.9M in change of control payments to CMX employees
3. $92.1M in banking, legal, and accounting fees</t>
        </r>
      </text>
    </comment>
    <comment ref="BI13" authorId="0">
      <text>
        <r>
          <rPr>
            <b/>
            <sz val="8"/>
            <color indexed="8"/>
            <rFont val="Tahoma"/>
            <family val="2"/>
          </rPr>
          <t>justinv:</t>
        </r>
        <r>
          <rPr>
            <sz val="8"/>
            <color indexed="8"/>
            <rFont val="Tahoma"/>
            <family val="2"/>
          </rPr>
          <t xml:space="preserve">
Stopped reporting depreciation seperately, now lumped into SG&amp;A</t>
        </r>
      </text>
    </comment>
    <comment ref="BL13" authorId="0">
      <text>
        <r>
          <rPr>
            <b/>
            <sz val="8"/>
            <color indexed="8"/>
            <rFont val="Tahoma"/>
            <family val="2"/>
          </rPr>
          <t>justinv:</t>
        </r>
        <r>
          <rPr>
            <sz val="8"/>
            <color indexed="8"/>
            <rFont val="Tahoma"/>
            <family val="2"/>
          </rPr>
          <t xml:space="preserve">
Starting in 2007. the company lumped in depreciation with SG&amp;A on the income statement, but we still have it taken out in this model.</t>
        </r>
      </text>
    </comment>
    <comment ref="AW14" authorId="0">
      <text>
        <r>
          <rPr>
            <b/>
            <sz val="8"/>
            <color indexed="8"/>
            <rFont val="Tahoma"/>
            <family val="2"/>
          </rPr>
          <t>justinv:</t>
        </r>
        <r>
          <rPr>
            <sz val="8"/>
            <color indexed="8"/>
            <rFont val="Tahoma"/>
            <family val="2"/>
          </rPr>
          <t xml:space="preserve">
This is for modelware purposes.  Starting in 2005 they don't specifically break out D&amp;A.</t>
        </r>
      </text>
    </comment>
    <comment ref="CF16" authorId="1">
      <text>
        <r>
          <rPr>
            <b/>
            <sz val="8"/>
            <color indexed="8"/>
            <rFont val="Tahoma"/>
            <family val="2"/>
          </rPr>
          <t>2Q11cc:</t>
        </r>
        <r>
          <rPr>
            <sz val="8"/>
            <color indexed="8"/>
            <rFont val="Tahoma"/>
            <family val="2"/>
          </rPr>
          <t xml:space="preserve">
~ $1.6 billion</t>
        </r>
      </text>
    </comment>
    <comment ref="CK16" authorId="1">
      <text>
        <r>
          <rPr>
            <b/>
            <sz val="8"/>
            <color indexed="8"/>
            <rFont val="Tahoma"/>
            <family val="2"/>
          </rPr>
          <t>12/20/11:</t>
        </r>
        <r>
          <rPr>
            <sz val="8"/>
            <color indexed="8"/>
            <rFont val="Tahoma"/>
            <family val="2"/>
          </rPr>
          <t xml:space="preserve">
~$1.7 billion</t>
        </r>
      </text>
    </comment>
    <comment ref="CP16" authorId="2">
      <text>
        <r>
          <rPr>
            <b/>
            <sz val="8"/>
            <color indexed="81"/>
            <rFont val="Tahoma"/>
            <family val="2"/>
          </rPr>
          <t>4Q12 cc:
$1.9b</t>
        </r>
        <r>
          <rPr>
            <sz val="8"/>
            <color indexed="81"/>
            <rFont val="Tahoma"/>
            <family val="2"/>
          </rPr>
          <t xml:space="preserve">
</t>
        </r>
      </text>
    </comment>
    <comment ref="BL17" authorId="0">
      <text>
        <r>
          <rPr>
            <b/>
            <sz val="8"/>
            <color indexed="8"/>
            <rFont val="Tahoma"/>
            <family val="2"/>
          </rPr>
          <t>justinv:</t>
        </r>
        <r>
          <rPr>
            <sz val="8"/>
            <color indexed="8"/>
            <rFont val="Tahoma"/>
            <family val="2"/>
          </rPr>
          <t xml:space="preserve">
This cell has a formula different than the others because depreciation was now included in SG&amp;A…goofed up the flow for this year only</t>
        </r>
      </text>
    </comment>
    <comment ref="BE18" authorId="4">
      <text>
        <r>
          <rPr>
            <b/>
            <sz val="8"/>
            <color indexed="8"/>
            <rFont val="Tahoma"/>
            <family val="2"/>
          </rPr>
          <t>jbirnbau:</t>
        </r>
        <r>
          <rPr>
            <sz val="8"/>
            <color indexed="8"/>
            <rFont val="Tahoma"/>
            <family val="2"/>
          </rPr>
          <t xml:space="preserve">
greater interest due to higher debt from Sav-on/Osco acquisition</t>
        </r>
      </text>
    </comment>
    <comment ref="BF18" authorId="4">
      <text>
        <r>
          <rPr>
            <b/>
            <sz val="8"/>
            <color indexed="8"/>
            <rFont val="Tahoma"/>
            <family val="2"/>
          </rPr>
          <t>jbirnbau:</t>
        </r>
        <r>
          <rPr>
            <sz val="8"/>
            <color indexed="8"/>
            <rFont val="Tahoma"/>
            <family val="2"/>
          </rPr>
          <t xml:space="preserve">
greater interest due to higher debt from Sav-on/Osco acquisition</t>
        </r>
      </text>
    </comment>
    <comment ref="BI18" authorId="4">
      <text>
        <r>
          <rPr>
            <b/>
            <sz val="8"/>
            <color indexed="8"/>
            <rFont val="Tahoma"/>
            <family val="2"/>
          </rPr>
          <t>jbirnbau:</t>
        </r>
        <r>
          <rPr>
            <sz val="8"/>
            <color indexed="8"/>
            <rFont val="Tahoma"/>
            <family val="2"/>
          </rPr>
          <t xml:space="preserve">
13 MM in acquired interest expense from CMX; $7.50 special dividend to CMX shareholders; 10.4 MM shares tendered at $35</t>
        </r>
      </text>
    </comment>
    <comment ref="BJ18" authorId="4">
      <text>
        <r>
          <rPr>
            <b/>
            <sz val="8"/>
            <color indexed="8"/>
            <rFont val="Tahoma"/>
            <family val="2"/>
          </rPr>
          <t>markwilt:</t>
        </r>
        <r>
          <rPr>
            <sz val="8"/>
            <color indexed="8"/>
            <rFont val="Tahoma"/>
            <family val="2"/>
          </rPr>
          <t xml:space="preserve">
Should total $400-430 for yr</t>
        </r>
      </text>
    </comment>
    <comment ref="BK18" authorId="4">
      <text>
        <r>
          <rPr>
            <b/>
            <sz val="8"/>
            <color indexed="8"/>
            <rFont val="Tahoma"/>
            <family val="2"/>
          </rPr>
          <t>markwilt:</t>
        </r>
        <r>
          <rPr>
            <sz val="8"/>
            <color indexed="8"/>
            <rFont val="Tahoma"/>
            <family val="2"/>
          </rPr>
          <t xml:space="preserve">
Should total $400-430 for yr</t>
        </r>
      </text>
    </comment>
    <comment ref="CF18" authorId="1">
      <text>
        <r>
          <rPr>
            <b/>
            <sz val="8"/>
            <color indexed="8"/>
            <rFont val="Tahoma"/>
            <family val="2"/>
          </rPr>
          <t>2q11cc:</t>
        </r>
        <r>
          <rPr>
            <sz val="8"/>
            <color indexed="8"/>
            <rFont val="Tahoma"/>
            <family val="2"/>
          </rPr>
          <t xml:space="preserve">
~$585 million</t>
        </r>
      </text>
    </comment>
    <comment ref="CJ18" authorId="1">
      <text>
        <r>
          <rPr>
            <b/>
            <sz val="8"/>
            <color indexed="8"/>
            <rFont val="Tahoma"/>
            <family val="2"/>
          </rPr>
          <t>scheandr:</t>
        </r>
        <r>
          <rPr>
            <sz val="8"/>
            <color indexed="8"/>
            <rFont val="Tahoma"/>
            <family val="2"/>
          </rPr>
          <t xml:space="preserve">
$ 135 to 140 Million</t>
        </r>
      </text>
    </comment>
    <comment ref="CK18" authorId="1">
      <text>
        <r>
          <rPr>
            <b/>
            <sz val="8"/>
            <color indexed="8"/>
            <rFont val="Tahoma"/>
            <family val="2"/>
          </rPr>
          <t>2Q12cc
$530 to $540 million
1Q12CC
$550 to $560 million
12/20/11:</t>
        </r>
        <r>
          <rPr>
            <sz val="8"/>
            <color indexed="8"/>
            <rFont val="Tahoma"/>
            <family val="2"/>
          </rPr>
          <t xml:space="preserve">
$560 to $570 million</t>
        </r>
      </text>
    </comment>
    <comment ref="CO18" authorId="2">
      <text>
        <r>
          <rPr>
            <b/>
            <sz val="8"/>
            <color indexed="81"/>
            <rFont val="Tahoma"/>
            <family val="2"/>
          </rPr>
          <t>3Q13cc:
$130 to $135M</t>
        </r>
        <r>
          <rPr>
            <sz val="8"/>
            <color indexed="81"/>
            <rFont val="Tahoma"/>
            <family val="2"/>
          </rPr>
          <t xml:space="preserve">
</t>
        </r>
      </text>
    </comment>
    <comment ref="CP18" authorId="2">
      <text>
        <r>
          <rPr>
            <b/>
            <sz val="8"/>
            <color indexed="81"/>
            <rFont val="Tahoma"/>
            <family val="2"/>
          </rPr>
          <t>3Q13
$505M to $510M</t>
        </r>
        <r>
          <rPr>
            <sz val="8"/>
            <color indexed="81"/>
            <rFont val="Tahoma"/>
            <family val="2"/>
          </rPr>
          <t xml:space="preserve">
</t>
        </r>
      </text>
    </comment>
    <comment ref="CT18" authorId="5">
      <text>
        <r>
          <rPr>
            <b/>
            <sz val="9"/>
            <color indexed="81"/>
            <rFont val="Tahoma"/>
            <family val="2"/>
          </rPr>
          <t>3Qcc
$125 to $135 m</t>
        </r>
        <r>
          <rPr>
            <sz val="9"/>
            <color indexed="81"/>
            <rFont val="Tahoma"/>
            <family val="2"/>
          </rPr>
          <t xml:space="preserve">
</t>
        </r>
      </text>
    </comment>
    <comment ref="CU18" authorId="2">
      <text>
        <r>
          <rPr>
            <b/>
            <sz val="8"/>
            <color indexed="81"/>
            <rFont val="Tahoma"/>
            <family val="2"/>
          </rPr>
          <t>2Q14 cc
$630 to $640 million</t>
        </r>
        <r>
          <rPr>
            <sz val="8"/>
            <color indexed="81"/>
            <rFont val="Tahoma"/>
            <family val="2"/>
          </rPr>
          <t xml:space="preserve">
</t>
        </r>
      </text>
    </comment>
    <comment ref="CW18" authorId="6">
      <text>
        <r>
          <rPr>
            <b/>
            <sz val="9"/>
            <color indexed="81"/>
            <rFont val="Tahoma"/>
            <family val="2"/>
          </rPr>
          <t>Rosenblum, Mark (Research):</t>
        </r>
        <r>
          <rPr>
            <sz val="9"/>
            <color indexed="81"/>
            <rFont val="Tahoma"/>
            <family val="2"/>
          </rPr>
          <t xml:space="preserve">
Adjusted for OCR/TGT Financing Fees: $36M</t>
        </r>
      </text>
    </comment>
    <comment ref="CZ18" authorId="5">
      <text>
        <r>
          <rPr>
            <sz val="9"/>
            <color indexed="81"/>
            <rFont val="Tahoma"/>
            <family val="2"/>
          </rPr>
          <t xml:space="preserve">3Q15:
$785 to $801 (includes 3Q addback of ~$11M)
2Q15:
$540 to $550 (does not include acquisition financing)
1Q15 reiterated 4Q14cc reiterated:
Analyst Day
$540 to $550 million
</t>
        </r>
      </text>
    </comment>
    <comment ref="CK20" authorId="1">
      <text>
        <r>
          <rPr>
            <b/>
            <sz val="8"/>
            <color indexed="8"/>
            <rFont val="Tahoma"/>
            <family val="2"/>
          </rPr>
          <t>2Q12cc
$530 to $540 million
1Q12CC
$550 to $560 million
12/20/11:</t>
        </r>
        <r>
          <rPr>
            <sz val="8"/>
            <color indexed="8"/>
            <rFont val="Tahoma"/>
            <family val="2"/>
          </rPr>
          <t xml:space="preserve">
$560 to $570 million</t>
        </r>
      </text>
    </comment>
    <comment ref="CJ21" authorId="7">
      <text>
        <r>
          <rPr>
            <b/>
            <sz val="8"/>
            <color indexed="81"/>
            <rFont val="Tahoma"/>
            <family val="2"/>
          </rPr>
          <t>zhanmay:</t>
        </r>
        <r>
          <rPr>
            <sz val="8"/>
            <color indexed="81"/>
            <rFont val="Tahoma"/>
            <family val="2"/>
          </rPr>
          <t xml:space="preserve">
loss on early extinguishment of debt</t>
        </r>
      </text>
    </comment>
    <comment ref="BF23" authorId="4">
      <text>
        <r>
          <rPr>
            <b/>
            <sz val="8"/>
            <color indexed="8"/>
            <rFont val="Tahoma"/>
            <family val="2"/>
          </rPr>
          <t>jbirnbau:</t>
        </r>
        <r>
          <rPr>
            <sz val="8"/>
            <color indexed="8"/>
            <rFont val="Tahoma"/>
            <family val="2"/>
          </rPr>
          <t xml:space="preserve">
Reversed $10.0 MM of previously recorded tax reserves</t>
        </r>
      </text>
    </comment>
    <comment ref="BT23" authorId="0">
      <text>
        <r>
          <rPr>
            <b/>
            <sz val="8"/>
            <color indexed="8"/>
            <rFont val="Tahoma"/>
            <family val="2"/>
          </rPr>
          <t>justinv:</t>
        </r>
        <r>
          <rPr>
            <sz val="8"/>
            <color indexed="8"/>
            <rFont val="Tahoma"/>
            <family val="2"/>
          </rPr>
          <t xml:space="preserve">
Includes 155.7M of tax benefits that are taken back out in the extraordinary / one-time items line</t>
        </r>
      </text>
    </comment>
    <comment ref="BN25" authorId="0">
      <text>
        <r>
          <rPr>
            <b/>
            <sz val="8"/>
            <color indexed="8"/>
            <rFont val="Tahoma"/>
            <family val="2"/>
          </rPr>
          <t>justinv:</t>
        </r>
        <r>
          <rPr>
            <sz val="8"/>
            <color indexed="8"/>
            <rFont val="Tahoma"/>
            <family val="2"/>
          </rPr>
          <t xml:space="preserve">
$78.8M ($8.7M net of tax) due to lease-related costs need to satisfy lease guarantees on 220  Linens 'n Things stores, which declared bankruptcy in 2Q08</t>
        </r>
      </text>
    </comment>
    <comment ref="BT26" authorId="0">
      <text>
        <r>
          <rPr>
            <b/>
            <sz val="8"/>
            <color indexed="8"/>
            <rFont val="Tahoma"/>
            <family val="2"/>
          </rPr>
          <t>justinv:</t>
        </r>
        <r>
          <rPr>
            <sz val="8"/>
            <color indexed="8"/>
            <rFont val="Tahoma"/>
            <family val="2"/>
          </rPr>
          <t xml:space="preserve">
Tax benefits</t>
        </r>
      </text>
    </comment>
    <comment ref="BU26" authorId="0">
      <text>
        <r>
          <rPr>
            <b/>
            <sz val="8"/>
            <color indexed="8"/>
            <rFont val="Tahoma"/>
            <family val="2"/>
          </rPr>
          <t>justinv:</t>
        </r>
        <r>
          <rPr>
            <sz val="8"/>
            <color indexed="8"/>
            <rFont val="Tahoma"/>
            <family val="2"/>
          </rPr>
          <t xml:space="preserve">
Tax benefit of $0.01.  7M</t>
        </r>
      </text>
    </comment>
    <comment ref="CN26" authorId="8">
      <text>
        <r>
          <rPr>
            <b/>
            <sz val="8"/>
            <color indexed="81"/>
            <rFont val="Tahoma"/>
            <family val="2"/>
          </rPr>
          <t>$72M benefit from legal settlement before tax</t>
        </r>
      </text>
    </comment>
    <comment ref="CG32" authorId="1">
      <text>
        <r>
          <rPr>
            <b/>
            <sz val="8"/>
            <color indexed="8"/>
            <rFont val="Tahoma"/>
            <family val="2"/>
          </rPr>
          <t>4Q11cc:</t>
        </r>
        <r>
          <rPr>
            <sz val="8"/>
            <color indexed="8"/>
            <rFont val="Tahoma"/>
            <family val="2"/>
          </rPr>
          <t xml:space="preserve">
55¢ to 57¢</t>
        </r>
      </text>
    </comment>
    <comment ref="CL32" authorId="2">
      <text>
        <r>
          <rPr>
            <b/>
            <sz val="8"/>
            <color indexed="81"/>
            <rFont val="Tahoma"/>
            <family val="2"/>
          </rPr>
          <t>inv day:
71c to 74c</t>
        </r>
        <r>
          <rPr>
            <sz val="8"/>
            <color indexed="81"/>
            <rFont val="Tahoma"/>
            <family val="2"/>
          </rPr>
          <t xml:space="preserve">
</t>
        </r>
      </text>
    </comment>
    <comment ref="CP32" authorId="2">
      <text>
        <r>
          <rPr>
            <b/>
            <sz val="8"/>
            <color indexed="81"/>
            <rFont val="Tahoma"/>
            <family val="2"/>
          </rPr>
          <t>2Q13
$3.65 to $3.71</t>
        </r>
        <r>
          <rPr>
            <sz val="8"/>
            <color indexed="81"/>
            <rFont val="Tahoma"/>
            <family val="2"/>
          </rPr>
          <t xml:space="preserve">
</t>
        </r>
      </text>
    </comment>
    <comment ref="BT34" authorId="0">
      <text>
        <r>
          <rPr>
            <b/>
            <sz val="8"/>
            <color indexed="8"/>
            <rFont val="Tahoma"/>
            <family val="2"/>
          </rPr>
          <t>justinv:</t>
        </r>
        <r>
          <rPr>
            <sz val="8"/>
            <color indexed="8"/>
            <rFont val="Tahoma"/>
            <family val="2"/>
          </rPr>
          <t xml:space="preserve">
Reflects Adjusted Continuing ops line to show tax benefits of 155.7M</t>
        </r>
      </text>
    </comment>
    <comment ref="AM35" authorId="9">
      <text>
        <r>
          <rPr>
            <b/>
            <sz val="8"/>
            <color indexed="8"/>
            <rFont val="Tahoma"/>
            <family val="2"/>
          </rPr>
          <t>Mark Wiltamuth:</t>
        </r>
        <r>
          <rPr>
            <sz val="8"/>
            <color indexed="8"/>
            <rFont val="Tahoma"/>
            <family val="2"/>
          </rPr>
          <t xml:space="preserve">
includes $0.05  boost from change in goodwill accounting rules</t>
        </r>
      </text>
    </comment>
    <comment ref="BG35" authorId="4">
      <text>
        <r>
          <rPr>
            <b/>
            <sz val="8"/>
            <color indexed="8"/>
            <rFont val="Tahoma"/>
            <family val="2"/>
          </rPr>
          <t>jbirnbau:</t>
        </r>
        <r>
          <rPr>
            <sz val="8"/>
            <color indexed="8"/>
            <rFont val="Tahoma"/>
            <family val="2"/>
          </rPr>
          <t xml:space="preserve">
includes $.12 of Sav-On/Osco dilution</t>
        </r>
      </text>
    </comment>
    <comment ref="CK35" authorId="1">
      <text>
        <r>
          <rPr>
            <b/>
            <sz val="8"/>
            <color indexed="8"/>
            <rFont val="Tahoma"/>
            <family val="2"/>
          </rPr>
          <t>scheandr:</t>
        </r>
        <r>
          <rPr>
            <sz val="8"/>
            <color indexed="8"/>
            <rFont val="Tahoma"/>
            <family val="2"/>
          </rPr>
          <t xml:space="preserve">
$3 09 to $3 15</t>
        </r>
      </text>
    </comment>
    <comment ref="CD39" authorId="1">
      <text>
        <r>
          <rPr>
            <b/>
            <sz val="8"/>
            <color indexed="8"/>
            <rFont val="Tahoma"/>
            <family val="2"/>
          </rPr>
          <t>2Q11cc:</t>
        </r>
        <r>
          <rPr>
            <sz val="8"/>
            <color indexed="8"/>
            <rFont val="Tahoma"/>
            <family val="2"/>
          </rPr>
          <t xml:space="preserve">
$0.66 - $0.68</t>
        </r>
      </text>
    </comment>
    <comment ref="CF39" authorId="1">
      <text>
        <r>
          <rPr>
            <b/>
            <sz val="8"/>
            <color indexed="8"/>
            <rFont val="Tahoma"/>
            <family val="2"/>
          </rPr>
          <t>2Q11cc:</t>
        </r>
        <r>
          <rPr>
            <sz val="8"/>
            <color indexed="8"/>
            <rFont val="Tahoma"/>
            <family val="2"/>
          </rPr>
          <t xml:space="preserve">
$2.75 - $2.81</t>
        </r>
      </text>
    </comment>
    <comment ref="CG39" authorId="1">
      <text>
        <r>
          <rPr>
            <b/>
            <sz val="8"/>
            <color indexed="8"/>
            <rFont val="Tahoma"/>
            <family val="2"/>
          </rPr>
          <t>4Q11cc:
61¢ to 63¢
12/20/11:</t>
        </r>
        <r>
          <rPr>
            <sz val="8"/>
            <color indexed="8"/>
            <rFont val="Tahoma"/>
            <family val="2"/>
          </rPr>
          <t xml:space="preserve">
$0.58 to $0.60</t>
        </r>
      </text>
    </comment>
    <comment ref="CH39" authorId="1">
      <text>
        <r>
          <rPr>
            <b/>
            <sz val="8"/>
            <color indexed="8"/>
            <rFont val="Tahoma"/>
            <family val="2"/>
          </rPr>
          <t>1Q12cc:</t>
        </r>
        <r>
          <rPr>
            <sz val="8"/>
            <color indexed="8"/>
            <rFont val="Tahoma"/>
            <family val="2"/>
          </rPr>
          <t xml:space="preserve">
</t>
        </r>
        <r>
          <rPr>
            <b/>
            <sz val="8"/>
            <color indexed="8"/>
            <rFont val="Tahoma"/>
            <family val="2"/>
          </rPr>
          <t>Adjusted EPS (from cont. ops.) 78¢ to 80¢</t>
        </r>
        <r>
          <rPr>
            <sz val="8"/>
            <color indexed="8"/>
            <rFont val="Tahoma"/>
            <family val="2"/>
          </rPr>
          <t xml:space="preserve">
Year‐over‐year Growth + 20% to 24%
GAAP Diluted EPS (from cont. ops.) 72¢ to 74¢
</t>
        </r>
      </text>
    </comment>
    <comment ref="CI39" authorId="1">
      <text>
        <r>
          <rPr>
            <b/>
            <sz val="8"/>
            <color indexed="8"/>
            <rFont val="Tahoma"/>
            <family val="2"/>
          </rPr>
          <t>scheandr:</t>
        </r>
        <r>
          <rPr>
            <sz val="8"/>
            <color indexed="8"/>
            <rFont val="Tahoma"/>
            <family val="2"/>
          </rPr>
          <t xml:space="preserve">
81¢ to 83¢</t>
        </r>
      </text>
    </comment>
    <comment ref="CJ39" authorId="1">
      <text>
        <r>
          <rPr>
            <b/>
            <sz val="8"/>
            <color indexed="8"/>
            <rFont val="Tahoma"/>
            <family val="2"/>
          </rPr>
          <t>scheandr:</t>
        </r>
        <r>
          <rPr>
            <sz val="8"/>
            <color indexed="8"/>
            <rFont val="Tahoma"/>
            <family val="2"/>
          </rPr>
          <t xml:space="preserve">
$1.08 to $1.11</t>
        </r>
      </text>
    </comment>
    <comment ref="CK39" authorId="1">
      <text>
        <r>
          <rPr>
            <b/>
            <sz val="8"/>
            <color indexed="8"/>
            <rFont val="Tahoma"/>
            <family val="2"/>
          </rPr>
          <t>3Q12
3.38-3.41
7/19
$3.28 TO $3.38
1Q12CC:
$3.23 TO $3.33
4Q11cc:
$3.18 to $3.28
12/20/11:</t>
        </r>
        <r>
          <rPr>
            <sz val="8"/>
            <color indexed="8"/>
            <rFont val="Tahoma"/>
            <family val="2"/>
          </rPr>
          <t xml:space="preserve">
$3.15 to $3.25</t>
        </r>
      </text>
    </comment>
    <comment ref="CL39" authorId="2">
      <text>
        <r>
          <rPr>
            <b/>
            <sz val="8"/>
            <color indexed="81"/>
            <rFont val="Tahoma"/>
            <family val="2"/>
          </rPr>
          <t>4Q12 cc:
$0.77 to $0.80
Flu likely to push to high end of range</t>
        </r>
        <r>
          <rPr>
            <sz val="8"/>
            <color indexed="81"/>
            <rFont val="Tahoma"/>
            <family val="2"/>
          </rPr>
          <t xml:space="preserve">
</t>
        </r>
      </text>
    </comment>
    <comment ref="CM39" authorId="2">
      <text>
        <r>
          <rPr>
            <b/>
            <sz val="8"/>
            <color indexed="81"/>
            <rFont val="Tahoma"/>
            <family val="2"/>
          </rPr>
          <t>1Q13:
$0.94 to $0.97</t>
        </r>
        <r>
          <rPr>
            <sz val="8"/>
            <color indexed="81"/>
            <rFont val="Tahoma"/>
            <family val="2"/>
          </rPr>
          <t xml:space="preserve">
</t>
        </r>
      </text>
    </comment>
    <comment ref="CN39" authorId="2">
      <text>
        <r>
          <rPr>
            <b/>
            <sz val="8"/>
            <color indexed="81"/>
            <rFont val="Tahoma"/>
            <family val="2"/>
          </rPr>
          <t>3Q13 cc:
excludes 4c litigation benefit</t>
        </r>
        <r>
          <rPr>
            <sz val="8"/>
            <color indexed="81"/>
            <rFont val="Tahoma"/>
            <family val="2"/>
          </rPr>
          <t xml:space="preserve">
</t>
        </r>
      </text>
    </comment>
    <comment ref="CO39" authorId="2">
      <text>
        <r>
          <rPr>
            <b/>
            <sz val="8"/>
            <color indexed="81"/>
            <rFont val="Tahoma"/>
            <family val="2"/>
          </rPr>
          <t>3Q13:
$1.09 to $1.12</t>
        </r>
      </text>
    </comment>
    <comment ref="CP39" authorId="2">
      <text>
        <r>
          <rPr>
            <b/>
            <sz val="8"/>
            <color indexed="81"/>
            <rFont val="Tahoma"/>
            <family val="2"/>
          </rPr>
          <t>3Q13 cc:
$3.94-$3.97 ex 4c litigation benefit in 3Q</t>
        </r>
        <r>
          <rPr>
            <sz val="8"/>
            <color indexed="81"/>
            <rFont val="Tahoma"/>
            <family val="2"/>
          </rPr>
          <t xml:space="preserve">
</t>
        </r>
      </text>
    </comment>
    <comment ref="CQ39" authorId="2">
      <text>
        <r>
          <rPr>
            <b/>
            <sz val="8"/>
            <color indexed="81"/>
            <rFont val="Tahoma"/>
            <family val="2"/>
          </rPr>
          <t xml:space="preserve">4Q13 cc:
$1.03 to $1.06
</t>
        </r>
        <r>
          <rPr>
            <sz val="8"/>
            <color indexed="81"/>
            <rFont val="Tahoma"/>
            <family val="2"/>
          </rPr>
          <t xml:space="preserve">
</t>
        </r>
      </text>
    </comment>
    <comment ref="CR39" authorId="2">
      <text>
        <r>
          <rPr>
            <b/>
            <sz val="8"/>
            <color indexed="81"/>
            <rFont val="Tahoma"/>
            <family val="2"/>
          </rPr>
          <t>1Q14 cc:
$1.08 to $1.11</t>
        </r>
        <r>
          <rPr>
            <sz val="8"/>
            <color indexed="81"/>
            <rFont val="Tahoma"/>
            <family val="2"/>
          </rPr>
          <t xml:space="preserve">
</t>
        </r>
      </text>
    </comment>
    <comment ref="CS39" authorId="5">
      <text>
        <r>
          <rPr>
            <b/>
            <sz val="9"/>
            <color indexed="81"/>
            <rFont val="Tahoma"/>
            <family val="2"/>
          </rPr>
          <t>2Q14 cc:
$1.11 to $1.14</t>
        </r>
        <r>
          <rPr>
            <sz val="9"/>
            <color indexed="81"/>
            <rFont val="Tahoma"/>
            <family val="2"/>
          </rPr>
          <t xml:space="preserve">
</t>
        </r>
      </text>
    </comment>
    <comment ref="CT39" authorId="5">
      <text>
        <r>
          <rPr>
            <b/>
            <sz val="9"/>
            <color indexed="81"/>
            <rFont val="Tahoma"/>
            <family val="2"/>
          </rPr>
          <t>3Qcc:
$1.18 to $1.21</t>
        </r>
      </text>
    </comment>
    <comment ref="CU39" authorId="2">
      <text>
        <r>
          <rPr>
            <b/>
            <sz val="8"/>
            <color indexed="81"/>
            <rFont val="Tahoma"/>
            <family val="2"/>
          </rPr>
          <t>2Q14 cc
$4.43 to $4.51
1Q14 cc:
$4.36 to $4.50</t>
        </r>
        <r>
          <rPr>
            <sz val="8"/>
            <color indexed="81"/>
            <rFont val="Tahoma"/>
            <family val="2"/>
          </rPr>
          <t xml:space="preserve">
</t>
        </r>
      </text>
    </comment>
    <comment ref="CV39" authorId="5">
      <text>
        <r>
          <rPr>
            <b/>
            <sz val="9"/>
            <color indexed="81"/>
            <rFont val="Tahoma"/>
            <family val="2"/>
          </rPr>
          <t>Analyst Day:
$1.06 to $1.09</t>
        </r>
        <r>
          <rPr>
            <sz val="9"/>
            <color indexed="81"/>
            <rFont val="Tahoma"/>
            <family val="2"/>
          </rPr>
          <t xml:space="preserve">
</t>
        </r>
      </text>
    </comment>
    <comment ref="CW39" authorId="5">
      <text>
        <r>
          <rPr>
            <b/>
            <sz val="9"/>
            <color indexed="81"/>
            <rFont val="Tahoma"/>
            <family val="2"/>
          </rPr>
          <t xml:space="preserve">
1Q15 cc</t>
        </r>
        <r>
          <rPr>
            <sz val="9"/>
            <color indexed="81"/>
            <rFont val="Tahoma"/>
            <family val="2"/>
          </rPr>
          <t xml:space="preserve">
$1.17 to $1.20</t>
        </r>
      </text>
    </comment>
    <comment ref="CY39" authorId="6">
      <text>
        <r>
          <rPr>
            <b/>
            <sz val="9"/>
            <color indexed="81"/>
            <rFont val="Tahoma"/>
            <family val="2"/>
          </rPr>
          <t>Rosenblum, Mark (Research):</t>
        </r>
        <r>
          <rPr>
            <sz val="9"/>
            <color indexed="81"/>
            <rFont val="Tahoma"/>
            <family val="2"/>
          </rPr>
          <t xml:space="preserve">
</t>
        </r>
        <r>
          <rPr>
            <b/>
            <sz val="9"/>
            <color indexed="81"/>
            <rFont val="Tahoma"/>
            <family val="2"/>
          </rPr>
          <t>3Q15</t>
        </r>
        <r>
          <rPr>
            <sz val="9"/>
            <color indexed="81"/>
            <rFont val="Tahoma"/>
            <family val="2"/>
          </rPr>
          <t xml:space="preserve">
$1.51 to $1.55</t>
        </r>
      </text>
    </comment>
    <comment ref="CZ39" authorId="5">
      <text>
        <r>
          <rPr>
            <b/>
            <sz val="9"/>
            <color indexed="81"/>
            <rFont val="Tahoma"/>
            <family val="2"/>
          </rPr>
          <t>3Q15:
5.14 to 5.18 
2Q15:
4.96 to 5.03 with acquisition financing costs (OCR early close adds ~$0.12)
1Q15:
$5.08 to $5.19
2Q15 cc (adjusted for financing cost):
$4.96 to $5.03
Reiterated 4Q14cc:
Analyst Day
$5.05 to $5.19</t>
        </r>
        <r>
          <rPr>
            <sz val="9"/>
            <color indexed="81"/>
            <rFont val="Tahoma"/>
            <family val="2"/>
          </rPr>
          <t xml:space="preserve">
</t>
        </r>
      </text>
    </comment>
    <comment ref="DA39" authorId="6">
      <text>
        <r>
          <rPr>
            <b/>
            <sz val="9"/>
            <color indexed="81"/>
            <rFont val="Tahoma"/>
            <family val="2"/>
          </rPr>
          <t>Rosenblum, Mark (Research):</t>
        </r>
        <r>
          <rPr>
            <sz val="9"/>
            <color indexed="81"/>
            <rFont val="Tahoma"/>
            <family val="2"/>
          </rPr>
          <t xml:space="preserve">
4</t>
        </r>
        <r>
          <rPr>
            <b/>
            <sz val="9"/>
            <color indexed="81"/>
            <rFont val="Tahoma"/>
            <family val="2"/>
          </rPr>
          <t>Q15</t>
        </r>
        <r>
          <rPr>
            <sz val="9"/>
            <color indexed="81"/>
            <rFont val="Tahoma"/>
            <family val="2"/>
          </rPr>
          <t xml:space="preserve">
$1.14 to $1.17</t>
        </r>
      </text>
    </comment>
    <comment ref="DL39" authorId="6">
      <text>
        <r>
          <rPr>
            <b/>
            <sz val="9"/>
            <color indexed="81"/>
            <rFont val="Tahoma"/>
            <family val="2"/>
          </rPr>
          <t>Rosenblum, Mark (Research):</t>
        </r>
        <r>
          <rPr>
            <sz val="9"/>
            <color indexed="81"/>
            <rFont val="Tahoma"/>
            <family val="2"/>
          </rPr>
          <t xml:space="preserve">
Includes incremental interest from proposed Aetna transaction</t>
        </r>
      </text>
    </comment>
    <comment ref="DM39" authorId="6">
      <text>
        <r>
          <rPr>
            <b/>
            <sz val="9"/>
            <color indexed="81"/>
            <rFont val="Tahoma"/>
            <family val="2"/>
          </rPr>
          <t>Rosenblum, Mark (Research):</t>
        </r>
        <r>
          <rPr>
            <sz val="9"/>
            <color indexed="81"/>
            <rFont val="Tahoma"/>
            <family val="2"/>
          </rPr>
          <t xml:space="preserve">
Excludes incremental interest from proposed Aetna transaction</t>
        </r>
      </text>
    </comment>
    <comment ref="DN39" authorId="6">
      <text>
        <r>
          <rPr>
            <b/>
            <sz val="9"/>
            <color indexed="81"/>
            <rFont val="Tahoma"/>
            <family val="2"/>
          </rPr>
          <t>Rosenblum, Mark (Research):</t>
        </r>
        <r>
          <rPr>
            <sz val="9"/>
            <color indexed="81"/>
            <rFont val="Tahoma"/>
            <family val="2"/>
          </rPr>
          <t xml:space="preserve">
Excludes incremental interest from proposed Aetna transaction</t>
        </r>
      </text>
    </comment>
    <comment ref="CG40" authorId="1">
      <text>
        <r>
          <rPr>
            <b/>
            <sz val="8"/>
            <color indexed="8"/>
            <rFont val="Tahoma"/>
            <family val="2"/>
          </rPr>
          <t>4Q11cc:
+ 7.5% to 11%
12/20/11:</t>
        </r>
        <r>
          <rPr>
            <sz val="8"/>
            <color indexed="8"/>
            <rFont val="Tahoma"/>
            <family val="2"/>
          </rPr>
          <t xml:space="preserve">
+3% to 6.5%</t>
        </r>
      </text>
    </comment>
    <comment ref="CK40" authorId="1">
      <text>
        <r>
          <rPr>
            <b/>
            <sz val="8"/>
            <color indexed="8"/>
            <rFont val="Tahoma"/>
            <family val="2"/>
          </rPr>
          <t>4Q11cc:
+ 13.5% to 17%
12/20/11:</t>
        </r>
        <r>
          <rPr>
            <sz val="8"/>
            <color indexed="8"/>
            <rFont val="Tahoma"/>
            <family val="2"/>
          </rPr>
          <t xml:space="preserve">
13% to 16.5%</t>
        </r>
      </text>
    </comment>
    <comment ref="CL40" authorId="2">
      <text>
        <r>
          <rPr>
            <b/>
            <sz val="8"/>
            <color indexed="81"/>
            <rFont val="Tahoma"/>
            <family val="2"/>
          </rPr>
          <t>4Q12cc:
up 18% to 23%</t>
        </r>
      </text>
    </comment>
    <comment ref="CM40" authorId="2">
      <text>
        <r>
          <rPr>
            <b/>
            <sz val="8"/>
            <color indexed="81"/>
            <rFont val="Tahoma"/>
            <family val="2"/>
          </rPr>
          <t>1Q13cc:
16.25% to 20.25%</t>
        </r>
        <r>
          <rPr>
            <sz val="8"/>
            <color indexed="81"/>
            <rFont val="Tahoma"/>
            <family val="2"/>
          </rPr>
          <t xml:space="preserve">
</t>
        </r>
      </text>
    </comment>
    <comment ref="CP40" authorId="2">
      <text>
        <r>
          <rPr>
            <b/>
            <sz val="8"/>
            <color indexed="81"/>
            <rFont val="Tahoma"/>
            <family val="2"/>
          </rPr>
          <t>4Q12cc:
12.25% to 16.5%</t>
        </r>
        <r>
          <rPr>
            <sz val="8"/>
            <color indexed="81"/>
            <rFont val="Tahoma"/>
            <family val="2"/>
          </rPr>
          <t xml:space="preserve">
</t>
        </r>
      </text>
    </comment>
    <comment ref="CE42" authorId="1">
      <text>
        <r>
          <rPr>
            <b/>
            <sz val="8"/>
            <color indexed="8"/>
            <rFont val="Tahoma"/>
            <family val="2"/>
          </rPr>
          <t>4Q11cc:</t>
        </r>
        <r>
          <rPr>
            <sz val="8"/>
            <color indexed="8"/>
            <rFont val="Tahoma"/>
            <family val="2"/>
          </rPr>
          <t xml:space="preserve">
~$115</t>
        </r>
      </text>
    </comment>
    <comment ref="CF42" authorId="1">
      <text>
        <r>
          <rPr>
            <b/>
            <sz val="8"/>
            <color indexed="8"/>
            <rFont val="Tahoma"/>
            <family val="2"/>
          </rPr>
          <t>2Q11cc:</t>
        </r>
        <r>
          <rPr>
            <sz val="8"/>
            <color indexed="8"/>
            <rFont val="Tahoma"/>
            <family val="2"/>
          </rPr>
          <t xml:space="preserve">
~ $460 million</t>
        </r>
      </text>
    </comment>
    <comment ref="CJ42" authorId="1">
      <text>
        <r>
          <rPr>
            <b/>
            <sz val="8"/>
            <color indexed="8"/>
            <rFont val="Tahoma"/>
            <family val="2"/>
          </rPr>
          <t>scheandr:</t>
        </r>
        <r>
          <rPr>
            <sz val="8"/>
            <color indexed="8"/>
            <rFont val="Tahoma"/>
            <family val="2"/>
          </rPr>
          <t xml:space="preserve">
~ $120 Million</t>
        </r>
      </text>
    </comment>
    <comment ref="CK42" authorId="1">
      <text>
        <r>
          <rPr>
            <b/>
            <sz val="8"/>
            <color indexed="8"/>
            <rFont val="Tahoma"/>
            <family val="2"/>
          </rPr>
          <t>2Q12cc
~ $480 million
1Q12ccc:
~ $475 million
12/11/20:</t>
        </r>
        <r>
          <rPr>
            <sz val="8"/>
            <color indexed="8"/>
            <rFont val="Tahoma"/>
            <family val="2"/>
          </rPr>
          <t xml:space="preserve">
~$460 million</t>
        </r>
      </text>
    </comment>
    <comment ref="CP42" authorId="2">
      <text>
        <r>
          <rPr>
            <b/>
            <sz val="8"/>
            <color indexed="81"/>
            <rFont val="Tahoma"/>
            <family val="2"/>
          </rPr>
          <t>1Q13 cc:
~$495M</t>
        </r>
        <r>
          <rPr>
            <sz val="8"/>
            <color indexed="81"/>
            <rFont val="Tahoma"/>
            <family val="2"/>
          </rPr>
          <t xml:space="preserve">
</t>
        </r>
      </text>
    </comment>
    <comment ref="CR42" authorId="2">
      <text>
        <r>
          <rPr>
            <b/>
            <sz val="8"/>
            <color indexed="81"/>
            <rFont val="Tahoma"/>
            <family val="2"/>
          </rPr>
          <t>includes Coram</t>
        </r>
        <r>
          <rPr>
            <sz val="8"/>
            <color indexed="81"/>
            <rFont val="Tahoma"/>
            <family val="2"/>
          </rPr>
          <t xml:space="preserve">
</t>
        </r>
      </text>
    </comment>
    <comment ref="CU42" authorId="2">
      <text>
        <r>
          <rPr>
            <sz val="8"/>
            <color indexed="81"/>
            <rFont val="Tahoma"/>
            <family val="2"/>
          </rPr>
          <t xml:space="preserve">1Q14 cc:
~$520 million
</t>
        </r>
      </text>
    </comment>
    <comment ref="CY42" authorId="6">
      <text>
        <r>
          <rPr>
            <b/>
            <sz val="9"/>
            <color indexed="81"/>
            <rFont val="Tahoma"/>
            <family val="2"/>
          </rPr>
          <t>Rosenblum, Mark (Research):</t>
        </r>
        <r>
          <rPr>
            <sz val="9"/>
            <color indexed="81"/>
            <rFont val="Tahoma"/>
            <family val="2"/>
          </rPr>
          <t xml:space="preserve">
</t>
        </r>
        <r>
          <rPr>
            <b/>
            <sz val="9"/>
            <color indexed="81"/>
            <rFont val="Tahoma"/>
            <family val="2"/>
          </rPr>
          <t>3Q15</t>
        </r>
        <r>
          <rPr>
            <sz val="9"/>
            <color indexed="81"/>
            <rFont val="Tahoma"/>
            <family val="2"/>
          </rPr>
          <t xml:space="preserve">
~$190M</t>
        </r>
      </text>
    </comment>
    <comment ref="CZ42" authorId="5">
      <text>
        <r>
          <rPr>
            <b/>
            <sz val="9"/>
            <color indexed="81"/>
            <rFont val="Tahoma"/>
            <family val="2"/>
          </rPr>
          <t>2Q15
~$520M
1Q15:
~$520 million</t>
        </r>
        <r>
          <rPr>
            <sz val="9"/>
            <color indexed="81"/>
            <rFont val="Tahoma"/>
            <family val="2"/>
          </rPr>
          <t xml:space="preserve">
</t>
        </r>
      </text>
    </comment>
    <comment ref="B43" authorId="0">
      <text>
        <r>
          <rPr>
            <b/>
            <sz val="8"/>
            <color indexed="8"/>
            <rFont val="Tahoma"/>
            <family val="2"/>
          </rPr>
          <t>justinv:</t>
        </r>
        <r>
          <rPr>
            <sz val="8"/>
            <color indexed="8"/>
            <rFont val="Tahoma"/>
            <family val="2"/>
          </rPr>
          <t xml:space="preserve">
Take income from continuing operations and add back the after tax impact of amortization</t>
        </r>
      </text>
    </comment>
    <comment ref="CW43" authorId="6">
      <text>
        <r>
          <rPr>
            <b/>
            <sz val="9"/>
            <color indexed="81"/>
            <rFont val="Tahoma"/>
            <family val="2"/>
          </rPr>
          <t>Rosenblum, Mark (Research):</t>
        </r>
        <r>
          <rPr>
            <sz val="9"/>
            <color indexed="81"/>
            <rFont val="Tahoma"/>
            <family val="2"/>
          </rPr>
          <t xml:space="preserve">
Adjusted for OCR/TGT Financing Fees: $36M</t>
        </r>
      </text>
    </comment>
    <comment ref="CX43" authorId="6">
      <text>
        <r>
          <rPr>
            <b/>
            <sz val="9"/>
            <color indexed="81"/>
            <rFont val="Tahoma"/>
            <family val="2"/>
          </rPr>
          <t>Rosenblum, Mark (Research):</t>
        </r>
        <r>
          <rPr>
            <sz val="9"/>
            <color indexed="81"/>
            <rFont val="Tahoma"/>
            <family val="2"/>
          </rPr>
          <t xml:space="preserve">
Adjusted for $0.01 in financing costs (in-line with CVS calc)</t>
        </r>
      </text>
    </comment>
    <comment ref="CJ44" authorId="7">
      <text>
        <r>
          <rPr>
            <b/>
            <sz val="8"/>
            <color indexed="81"/>
            <rFont val="Tahoma"/>
            <family val="2"/>
          </rPr>
          <t>zhanmay:</t>
        </r>
        <r>
          <rPr>
            <sz val="8"/>
            <color indexed="81"/>
            <rFont val="Tahoma"/>
            <family val="2"/>
          </rPr>
          <t xml:space="preserve">
loss on early extinguishment of debt</t>
        </r>
      </text>
    </comment>
    <comment ref="B45" authorId="0">
      <text>
        <r>
          <rPr>
            <b/>
            <sz val="8"/>
            <color indexed="8"/>
            <rFont val="Tahoma"/>
            <family val="2"/>
          </rPr>
          <t>justinv:</t>
        </r>
        <r>
          <rPr>
            <sz val="8"/>
            <color indexed="8"/>
            <rFont val="Tahoma"/>
            <family val="2"/>
          </rPr>
          <t xml:space="preserve">
Take income from continuing operations and add back the after tax impact of amortization</t>
        </r>
      </text>
    </comment>
    <comment ref="CF47" authorId="1">
      <text>
        <r>
          <rPr>
            <b/>
            <sz val="8"/>
            <color indexed="8"/>
            <rFont val="Tahoma"/>
            <family val="2"/>
          </rPr>
          <t>2Q11cc:</t>
        </r>
        <r>
          <rPr>
            <sz val="8"/>
            <color indexed="8"/>
            <rFont val="Tahoma"/>
            <family val="2"/>
          </rPr>
          <t xml:space="preserve">
~ 1.35 billion</t>
        </r>
      </text>
    </comment>
    <comment ref="CI47" authorId="2">
      <text>
        <r>
          <rPr>
            <b/>
            <sz val="8"/>
            <color indexed="8"/>
            <rFont val="Tahoma"/>
            <family val="2"/>
          </rPr>
          <t>Weighted for ASR; $1.2B on 9/19, $800M prior</t>
        </r>
        <r>
          <rPr>
            <sz val="8"/>
            <color indexed="8"/>
            <rFont val="Tahoma"/>
            <family val="2"/>
          </rPr>
          <t xml:space="preserve">
</t>
        </r>
      </text>
    </comment>
    <comment ref="CJ47" authorId="1">
      <text>
        <r>
          <rPr>
            <b/>
            <sz val="8"/>
            <color indexed="8"/>
            <rFont val="Tahoma"/>
            <family val="2"/>
          </rPr>
          <t>scheandr:</t>
        </r>
        <r>
          <rPr>
            <sz val="8"/>
            <color indexed="8"/>
            <rFont val="Tahoma"/>
            <family val="2"/>
          </rPr>
          <t xml:space="preserve">
~ 1.26 Billion</t>
        </r>
      </text>
    </comment>
    <comment ref="CK47" authorId="1">
      <text>
        <r>
          <rPr>
            <b/>
            <sz val="8"/>
            <color indexed="8"/>
            <rFont val="Tahoma"/>
            <family val="2"/>
          </rPr>
          <t>2Q12
~ 1.29 billion
12/20/11:</t>
        </r>
        <r>
          <rPr>
            <sz val="8"/>
            <color indexed="8"/>
            <rFont val="Tahoma"/>
            <family val="2"/>
          </rPr>
          <t xml:space="preserve">
$3 billion of repurchases to weighted average shares ~1.28 billion</t>
        </r>
      </text>
    </comment>
    <comment ref="CP47" authorId="2">
      <text>
        <r>
          <rPr>
            <b/>
            <sz val="8"/>
            <color indexed="81"/>
            <rFont val="Tahoma"/>
            <family val="2"/>
          </rPr>
          <t>1Q13 cc::
1.22b</t>
        </r>
        <r>
          <rPr>
            <sz val="8"/>
            <color indexed="81"/>
            <rFont val="Tahoma"/>
            <family val="2"/>
          </rPr>
          <t xml:space="preserve">
</t>
        </r>
      </text>
    </comment>
    <comment ref="CT47" authorId="5">
      <text>
        <r>
          <rPr>
            <b/>
            <sz val="9"/>
            <color indexed="81"/>
            <rFont val="Tahoma"/>
            <family val="2"/>
          </rPr>
          <t>3Qcc
~1.15B</t>
        </r>
        <r>
          <rPr>
            <sz val="9"/>
            <color indexed="81"/>
            <rFont val="Tahoma"/>
            <family val="2"/>
          </rPr>
          <t xml:space="preserve">
</t>
        </r>
      </text>
    </comment>
    <comment ref="CU47" authorId="2">
      <text>
        <r>
          <rPr>
            <b/>
            <sz val="8"/>
            <color indexed="81"/>
            <rFont val="Tahoma"/>
            <family val="2"/>
          </rPr>
          <t>3Q14 cc:
~1.17 billion</t>
        </r>
        <r>
          <rPr>
            <sz val="8"/>
            <color indexed="81"/>
            <rFont val="Tahoma"/>
            <family val="2"/>
          </rPr>
          <t xml:space="preserve">
</t>
        </r>
      </text>
    </comment>
    <comment ref="CY47" authorId="6">
      <text>
        <r>
          <rPr>
            <b/>
            <sz val="9"/>
            <color indexed="81"/>
            <rFont val="Tahoma"/>
            <family val="2"/>
          </rPr>
          <t>Rosenblum, Mark (Research):</t>
        </r>
        <r>
          <rPr>
            <sz val="9"/>
            <color indexed="81"/>
            <rFont val="Tahoma"/>
            <family val="2"/>
          </rPr>
          <t xml:space="preserve">
3Q15
~1.1B</t>
        </r>
      </text>
    </comment>
    <comment ref="CZ47" authorId="5">
      <text>
        <r>
          <rPr>
            <b/>
            <sz val="9"/>
            <color indexed="81"/>
            <rFont val="Tahoma"/>
            <family val="2"/>
          </rPr>
          <t>3Q15:
~1.13B
2Q15:
~1.13B
4Q14cc reiterated:
Analyst Day
~1.12 billion</t>
        </r>
        <r>
          <rPr>
            <sz val="9"/>
            <color indexed="81"/>
            <rFont val="Tahoma"/>
            <family val="2"/>
          </rPr>
          <t xml:space="preserve">
</t>
        </r>
      </text>
    </comment>
    <comment ref="CD58" authorId="1">
      <text>
        <r>
          <rPr>
            <b/>
            <sz val="8"/>
            <color indexed="8"/>
            <rFont val="Tahoma"/>
            <family val="2"/>
          </rPr>
          <t>Q2 CC:</t>
        </r>
        <r>
          <rPr>
            <sz val="8"/>
            <color indexed="8"/>
            <rFont val="Tahoma"/>
            <family val="2"/>
          </rPr>
          <t xml:space="preserve">
10.5% to 12.5%</t>
        </r>
      </text>
    </comment>
    <comment ref="CF58" authorId="1">
      <text>
        <r>
          <rPr>
            <b/>
            <sz val="8"/>
            <color indexed="8"/>
            <rFont val="Tahoma"/>
            <family val="2"/>
          </rPr>
          <t>2Q11cc:</t>
        </r>
        <r>
          <rPr>
            <sz val="8"/>
            <color indexed="8"/>
            <rFont val="Tahoma"/>
            <family val="2"/>
          </rPr>
          <t xml:space="preserve">
10.5% to 11.5%</t>
        </r>
      </text>
    </comment>
    <comment ref="CG58" authorId="1">
      <text>
        <r>
          <rPr>
            <b/>
            <sz val="8"/>
            <color indexed="8"/>
            <rFont val="Tahoma"/>
            <family val="2"/>
          </rPr>
          <t>4Q11cc:
+ 17% to 18.5%
12/20/11:</t>
        </r>
        <r>
          <rPr>
            <sz val="8"/>
            <color indexed="8"/>
            <rFont val="Tahoma"/>
            <family val="2"/>
          </rPr>
          <t xml:space="preserve">
+14.5% to 16%</t>
        </r>
      </text>
    </comment>
    <comment ref="CH58" authorId="1">
      <text>
        <r>
          <rPr>
            <b/>
            <sz val="8"/>
            <color indexed="8"/>
            <rFont val="Tahoma"/>
            <family val="2"/>
          </rPr>
          <t>scheandr:</t>
        </r>
        <r>
          <rPr>
            <sz val="8"/>
            <color indexed="8"/>
            <rFont val="Tahoma"/>
            <family val="2"/>
          </rPr>
          <t xml:space="preserve">
+ 16% to 17.5%</t>
        </r>
      </text>
    </comment>
    <comment ref="CI58" authorId="1">
      <text>
        <r>
          <rPr>
            <b/>
            <sz val="8"/>
            <color indexed="8"/>
            <rFont val="Tahoma"/>
            <family val="2"/>
          </rPr>
          <t>scheandr:</t>
        </r>
        <r>
          <rPr>
            <sz val="8"/>
            <color indexed="8"/>
            <rFont val="Tahoma"/>
            <family val="2"/>
          </rPr>
          <t xml:space="preserve">
+ 11.75% to 12.75%</t>
        </r>
      </text>
    </comment>
    <comment ref="CJ58" authorId="1">
      <text>
        <r>
          <rPr>
            <b/>
            <sz val="8"/>
            <color indexed="8"/>
            <rFont val="Tahoma"/>
            <family val="2"/>
          </rPr>
          <t>scheandr:</t>
        </r>
        <r>
          <rPr>
            <sz val="8"/>
            <color indexed="8"/>
            <rFont val="Tahoma"/>
            <family val="2"/>
          </rPr>
          <t xml:space="preserve">
+9.25% to 10.25%</t>
        </r>
      </text>
    </comment>
    <comment ref="CK58" authorId="1">
      <text>
        <r>
          <rPr>
            <b/>
            <sz val="8"/>
            <color indexed="8"/>
            <rFont val="Tahoma"/>
            <family val="2"/>
          </rPr>
          <t>2Q12cc:
+ 14% to 15%
1q12cc:
+ 13.5% to 15%
12/20/11:</t>
        </r>
        <r>
          <rPr>
            <sz val="8"/>
            <color indexed="8"/>
            <rFont val="Tahoma"/>
            <family val="2"/>
          </rPr>
          <t xml:space="preserve">
Net Revenue +11.5% to +13%</t>
        </r>
      </text>
    </comment>
    <comment ref="CL58" authorId="2">
      <text>
        <r>
          <rPr>
            <b/>
            <sz val="8"/>
            <color indexed="81"/>
            <rFont val="Tahoma"/>
            <family val="2"/>
          </rPr>
          <t>-4% to -2.5%</t>
        </r>
        <r>
          <rPr>
            <sz val="8"/>
            <color indexed="81"/>
            <rFont val="Tahoma"/>
            <family val="2"/>
          </rPr>
          <t xml:space="preserve">
</t>
        </r>
      </text>
    </comment>
    <comment ref="CM58" authorId="2">
      <text>
        <r>
          <rPr>
            <b/>
            <sz val="8"/>
            <color indexed="81"/>
            <rFont val="Tahoma"/>
            <family val="2"/>
          </rPr>
          <t>1Q13cc:
0.75% to 2.0%</t>
        </r>
        <r>
          <rPr>
            <sz val="8"/>
            <color indexed="81"/>
            <rFont val="Tahoma"/>
            <family val="2"/>
          </rPr>
          <t xml:space="preserve">
</t>
        </r>
      </text>
    </comment>
    <comment ref="CO58" authorId="2">
      <text>
        <r>
          <rPr>
            <b/>
            <sz val="8"/>
            <color indexed="81"/>
            <rFont val="Tahoma"/>
            <family val="2"/>
          </rPr>
          <t>3Q13cc:
2.75% to 4.25%</t>
        </r>
        <r>
          <rPr>
            <sz val="8"/>
            <color indexed="81"/>
            <rFont val="Tahoma"/>
            <family val="2"/>
          </rPr>
          <t xml:space="preserve">
</t>
        </r>
      </text>
    </comment>
    <comment ref="CP58" authorId="2">
      <text>
        <r>
          <rPr>
            <b/>
            <sz val="8"/>
            <color indexed="81"/>
            <rFont val="Tahoma"/>
            <family val="2"/>
          </rPr>
          <t>3Q13 
2.5% to 3.0% growth</t>
        </r>
      </text>
    </comment>
    <comment ref="CQ58" authorId="2">
      <text>
        <r>
          <rPr>
            <b/>
            <sz val="8"/>
            <color indexed="81"/>
            <rFont val="Tahoma"/>
            <family val="2"/>
          </rPr>
          <t>4Q13 cc:
4.25% to 5.5%</t>
        </r>
        <r>
          <rPr>
            <sz val="8"/>
            <color indexed="81"/>
            <rFont val="Tahoma"/>
            <family val="2"/>
          </rPr>
          <t xml:space="preserve">
</t>
        </r>
      </text>
    </comment>
    <comment ref="CS58" authorId="5">
      <text>
        <r>
          <rPr>
            <b/>
            <sz val="9"/>
            <color indexed="81"/>
            <rFont val="Tahoma"/>
            <family val="2"/>
          </rPr>
          <t>2Q14 cc:
7.75% to 9.25%</t>
        </r>
        <r>
          <rPr>
            <sz val="9"/>
            <color indexed="81"/>
            <rFont val="Tahoma"/>
            <family val="2"/>
          </rPr>
          <t xml:space="preserve">
</t>
        </r>
      </text>
    </comment>
    <comment ref="CT58" authorId="5">
      <text>
        <r>
          <rPr>
            <sz val="9"/>
            <color indexed="81"/>
            <rFont val="Tahoma"/>
            <family val="2"/>
          </rPr>
          <t xml:space="preserve">3Qcc:
9% to 10.5%
</t>
        </r>
      </text>
    </comment>
    <comment ref="CU58" authorId="2">
      <text>
        <r>
          <rPr>
            <b/>
            <sz val="8"/>
            <color indexed="81"/>
            <rFont val="Tahoma"/>
            <family val="2"/>
          </rPr>
          <t>2Q14
8% to 9%
1Q14 cc:
5.25% to 6.5%</t>
        </r>
        <r>
          <rPr>
            <sz val="8"/>
            <color indexed="81"/>
            <rFont val="Tahoma"/>
            <family val="2"/>
          </rPr>
          <t xml:space="preserve">
</t>
        </r>
      </text>
    </comment>
    <comment ref="CV58" authorId="5">
      <text>
        <r>
          <rPr>
            <b/>
            <sz val="9"/>
            <color indexed="81"/>
            <rFont val="Tahoma"/>
            <family val="2"/>
          </rPr>
          <t>4Q14 cc:
8.5% to 10%</t>
        </r>
        <r>
          <rPr>
            <sz val="9"/>
            <color indexed="81"/>
            <rFont val="Tahoma"/>
            <family val="2"/>
          </rPr>
          <t xml:space="preserve">
</t>
        </r>
      </text>
    </comment>
    <comment ref="CX58" authorId="6">
      <text>
        <r>
          <rPr>
            <b/>
            <sz val="9"/>
            <color indexed="81"/>
            <rFont val="Tahoma"/>
            <family val="2"/>
          </rPr>
          <t>Rosenblum, Mark (Research):</t>
        </r>
        <r>
          <rPr>
            <sz val="9"/>
            <color indexed="81"/>
            <rFont val="Tahoma"/>
            <family val="2"/>
          </rPr>
          <t xml:space="preserve">
2Q15 cc:
6.5% to 7.75% excluding OCR</t>
        </r>
      </text>
    </comment>
    <comment ref="CY58" authorId="6">
      <text>
        <r>
          <rPr>
            <b/>
            <sz val="9"/>
            <color indexed="81"/>
            <rFont val="Tahoma"/>
            <family val="2"/>
          </rPr>
          <t>Rosenblum, Mark (Research):</t>
        </r>
        <r>
          <rPr>
            <sz val="9"/>
            <color indexed="81"/>
            <rFont val="Tahoma"/>
            <family val="2"/>
          </rPr>
          <t xml:space="preserve">
</t>
        </r>
        <r>
          <rPr>
            <b/>
            <sz val="9"/>
            <color indexed="81"/>
            <rFont val="Tahoma"/>
            <family val="2"/>
          </rPr>
          <t>3Q15</t>
        </r>
        <r>
          <rPr>
            <sz val="9"/>
            <color indexed="81"/>
            <rFont val="Tahoma"/>
            <family val="2"/>
          </rPr>
          <t xml:space="preserve">
9.75% to 11.50%</t>
        </r>
      </text>
    </comment>
    <comment ref="CZ58" authorId="5">
      <text>
        <r>
          <rPr>
            <b/>
            <sz val="9"/>
            <color indexed="81"/>
            <rFont val="Tahoma"/>
            <family val="2"/>
          </rPr>
          <t>3Q15cc:
9.75% to 10.25% including OCR
2Q15cc:
7.5% to 8.5% excluding OCR
4Q14cc reiterated:
Analyst Day:
7.0% to 8.25%</t>
        </r>
        <r>
          <rPr>
            <sz val="9"/>
            <color indexed="81"/>
            <rFont val="Tahoma"/>
            <family val="2"/>
          </rPr>
          <t xml:space="preserve">
</t>
        </r>
      </text>
    </comment>
    <comment ref="DA58" authorId="6">
      <text>
        <r>
          <rPr>
            <b/>
            <sz val="9"/>
            <color indexed="81"/>
            <rFont val="Tahoma"/>
            <family val="2"/>
          </rPr>
          <t>Rosenblum, Mark (Research):</t>
        </r>
        <r>
          <rPr>
            <sz val="9"/>
            <color indexed="81"/>
            <rFont val="Tahoma"/>
            <family val="2"/>
          </rPr>
          <t xml:space="preserve">
4</t>
        </r>
        <r>
          <rPr>
            <b/>
            <sz val="9"/>
            <color indexed="81"/>
            <rFont val="Tahoma"/>
            <family val="2"/>
          </rPr>
          <t>Q15</t>
        </r>
        <r>
          <rPr>
            <sz val="9"/>
            <color indexed="81"/>
            <rFont val="Tahoma"/>
            <family val="2"/>
          </rPr>
          <t xml:space="preserve">
17.0% to 18.5%</t>
        </r>
      </text>
    </comment>
    <comment ref="CP64" authorId="2">
      <text>
        <r>
          <rPr>
            <b/>
            <sz val="8"/>
            <color indexed="81"/>
            <rFont val="Tahoma"/>
            <family val="2"/>
          </rPr>
          <t>Inv Day:
13.25% to 17.25%</t>
        </r>
        <r>
          <rPr>
            <sz val="8"/>
            <color indexed="81"/>
            <rFont val="Tahoma"/>
            <family val="2"/>
          </rPr>
          <t xml:space="preserve">
</t>
        </r>
      </text>
    </comment>
    <comment ref="CK67" authorId="1">
      <text>
        <r>
          <rPr>
            <b/>
            <sz val="8"/>
            <color indexed="8"/>
            <rFont val="Tahoma"/>
            <family val="2"/>
          </rPr>
          <t>12/20/11:</t>
        </r>
        <r>
          <rPr>
            <sz val="8"/>
            <color indexed="8"/>
            <rFont val="Tahoma"/>
            <family val="2"/>
          </rPr>
          <t xml:space="preserve">
Down Significantly</t>
        </r>
      </text>
    </comment>
    <comment ref="CP67" authorId="2">
      <text>
        <r>
          <rPr>
            <b/>
            <sz val="8"/>
            <color indexed="81"/>
            <rFont val="Tahoma"/>
            <family val="2"/>
          </rPr>
          <t>1Q13cc:
Moderately up</t>
        </r>
        <r>
          <rPr>
            <sz val="8"/>
            <color indexed="81"/>
            <rFont val="Tahoma"/>
            <family val="2"/>
          </rPr>
          <t xml:space="preserve">
</t>
        </r>
      </text>
    </comment>
    <comment ref="CU67" authorId="2">
      <text>
        <r>
          <rPr>
            <b/>
            <sz val="8"/>
            <color indexed="81"/>
            <rFont val="Tahoma"/>
            <family val="2"/>
          </rPr>
          <t>2Q14 cc:
Moderately down</t>
        </r>
        <r>
          <rPr>
            <sz val="8"/>
            <color indexed="81"/>
            <rFont val="Tahoma"/>
            <family val="2"/>
          </rPr>
          <t xml:space="preserve">
</t>
        </r>
      </text>
    </comment>
    <comment ref="CZ67" authorId="5">
      <text>
        <r>
          <rPr>
            <b/>
            <sz val="9"/>
            <color indexed="81"/>
            <rFont val="Tahoma"/>
            <family val="2"/>
          </rPr>
          <t>2Q15cc:
Notably down
4Q14cc:
Notably down</t>
        </r>
        <r>
          <rPr>
            <sz val="9"/>
            <color indexed="81"/>
            <rFont val="Tahoma"/>
            <family val="2"/>
          </rPr>
          <t xml:space="preserve">
</t>
        </r>
      </text>
    </comment>
    <comment ref="CJ68" authorId="1">
      <text>
        <r>
          <rPr>
            <b/>
            <sz val="8"/>
            <color indexed="8"/>
            <rFont val="Tahoma"/>
            <family val="2"/>
          </rPr>
          <t>scheandr:</t>
        </r>
        <r>
          <rPr>
            <sz val="8"/>
            <color indexed="8"/>
            <rFont val="Tahoma"/>
            <family val="2"/>
          </rPr>
          <t xml:space="preserve">
Operating Expenses (% of revenue) ~ 13%</t>
        </r>
      </text>
    </comment>
    <comment ref="CK68" authorId="1">
      <text>
        <r>
          <rPr>
            <b/>
            <sz val="8"/>
            <color indexed="8"/>
            <rFont val="Tahoma"/>
            <family val="2"/>
          </rPr>
          <t>12/20/11:</t>
        </r>
        <r>
          <rPr>
            <sz val="8"/>
            <color indexed="8"/>
            <rFont val="Tahoma"/>
            <family val="2"/>
          </rPr>
          <t xml:space="preserve">
Improve Significantly</t>
        </r>
      </text>
    </comment>
    <comment ref="CP68" authorId="2">
      <text>
        <r>
          <rPr>
            <b/>
            <sz val="8"/>
            <color indexed="81"/>
            <rFont val="Tahoma"/>
            <family val="2"/>
          </rPr>
          <t>1Q13 cc:
Flat to down</t>
        </r>
        <r>
          <rPr>
            <sz val="8"/>
            <color indexed="81"/>
            <rFont val="Tahoma"/>
            <family val="2"/>
          </rPr>
          <t xml:space="preserve">
</t>
        </r>
      </text>
    </comment>
    <comment ref="CU68" authorId="2">
      <text>
        <r>
          <rPr>
            <b/>
            <sz val="8"/>
            <color indexed="81"/>
            <rFont val="Tahoma"/>
            <family val="2"/>
          </rPr>
          <t>2Q14 cc:
Modest improvement</t>
        </r>
      </text>
    </comment>
    <comment ref="CZ68" authorId="5">
      <text>
        <r>
          <rPr>
            <b/>
            <sz val="9"/>
            <color indexed="81"/>
            <rFont val="Tahoma"/>
            <family val="2"/>
          </rPr>
          <t>2Q15
Notable Improvement
4Q14 cc:
Notable improvement</t>
        </r>
        <r>
          <rPr>
            <sz val="9"/>
            <color indexed="81"/>
            <rFont val="Tahoma"/>
            <family val="2"/>
          </rPr>
          <t xml:space="preserve">
</t>
        </r>
      </text>
    </comment>
    <comment ref="CJ70" authorId="1">
      <text>
        <r>
          <rPr>
            <b/>
            <sz val="8"/>
            <color indexed="8"/>
            <rFont val="Tahoma"/>
            <family val="2"/>
          </rPr>
          <t>scheandr:</t>
        </r>
        <r>
          <rPr>
            <sz val="8"/>
            <color indexed="8"/>
            <rFont val="Tahoma"/>
            <family val="2"/>
          </rPr>
          <t xml:space="preserve">
Moderately Up</t>
        </r>
      </text>
    </comment>
    <comment ref="CK70" authorId="1">
      <text>
        <r>
          <rPr>
            <b/>
            <sz val="8"/>
            <color indexed="8"/>
            <rFont val="Tahoma"/>
            <family val="2"/>
          </rPr>
          <t>2Q12
Down 10 to 20 bps
12/20/11</t>
        </r>
        <r>
          <rPr>
            <sz val="8"/>
            <color indexed="8"/>
            <rFont val="Tahoma"/>
            <family val="2"/>
          </rPr>
          <t xml:space="preserve">
Down 15 to 25 bps</t>
        </r>
      </text>
    </comment>
    <comment ref="CU70" authorId="2">
      <text>
        <r>
          <rPr>
            <b/>
            <sz val="8"/>
            <color indexed="81"/>
            <rFont val="Tahoma"/>
            <family val="2"/>
          </rPr>
          <t>2Q14 cc:
up 5 to 10 bps</t>
        </r>
        <r>
          <rPr>
            <sz val="8"/>
            <color indexed="81"/>
            <rFont val="Tahoma"/>
            <family val="2"/>
          </rPr>
          <t xml:space="preserve">
</t>
        </r>
      </text>
    </comment>
    <comment ref="CY70" authorId="6">
      <text>
        <r>
          <rPr>
            <b/>
            <sz val="9"/>
            <color indexed="81"/>
            <rFont val="Tahoma"/>
            <family val="2"/>
          </rPr>
          <t>Rosenblum, Mark (Research):</t>
        </r>
        <r>
          <rPr>
            <sz val="9"/>
            <color indexed="81"/>
            <rFont val="Tahoma"/>
            <family val="2"/>
          </rPr>
          <t xml:space="preserve">
</t>
        </r>
        <r>
          <rPr>
            <b/>
            <sz val="9"/>
            <color indexed="81"/>
            <rFont val="Tahoma"/>
            <family val="2"/>
          </rPr>
          <t>3Q15</t>
        </r>
        <r>
          <rPr>
            <sz val="9"/>
            <color indexed="81"/>
            <rFont val="Tahoma"/>
            <family val="2"/>
          </rPr>
          <t xml:space="preserve">
Up 80 to 90bps</t>
        </r>
      </text>
    </comment>
    <comment ref="CZ70" authorId="5">
      <text>
        <r>
          <rPr>
            <sz val="9"/>
            <color indexed="81"/>
            <rFont val="Tahoma"/>
            <family val="2"/>
          </rPr>
          <t xml:space="preserve">3Q15 cc:
flat to up
2Q15 cc:
flat to up
4Q14 cc:
Flat to up 10 bps
</t>
        </r>
      </text>
    </comment>
    <comment ref="BT72" authorId="0">
      <text>
        <r>
          <rPr>
            <b/>
            <sz val="8"/>
            <color indexed="8"/>
            <rFont val="Tahoma"/>
            <family val="2"/>
          </rPr>
          <t>justinv:</t>
        </r>
        <r>
          <rPr>
            <sz val="8"/>
            <color indexed="8"/>
            <rFont val="Tahoma"/>
            <family val="2"/>
          </rPr>
          <t xml:space="preserve">
Including the tax benefits of 155.7M this would have been 29.1%</t>
        </r>
      </text>
    </comment>
    <comment ref="CF72" authorId="1">
      <text>
        <r>
          <rPr>
            <b/>
            <sz val="8"/>
            <color indexed="8"/>
            <rFont val="Tahoma"/>
            <family val="2"/>
          </rPr>
          <t>2Q11cc:</t>
        </r>
        <r>
          <rPr>
            <sz val="8"/>
            <color indexed="8"/>
            <rFont val="Tahoma"/>
            <family val="2"/>
          </rPr>
          <t xml:space="preserve">
~ 39.2%</t>
        </r>
      </text>
    </comment>
    <comment ref="CK72" authorId="1">
      <text>
        <r>
          <rPr>
            <b/>
            <sz val="8"/>
            <color indexed="8"/>
            <rFont val="Tahoma"/>
            <family val="2"/>
          </rPr>
          <t>2Q12
~ 38.7%
12/20/11:</t>
        </r>
        <r>
          <rPr>
            <sz val="8"/>
            <color indexed="8"/>
            <rFont val="Tahoma"/>
            <family val="2"/>
          </rPr>
          <t xml:space="preserve">
~39%</t>
        </r>
      </text>
    </comment>
    <comment ref="CP72" authorId="2">
      <text>
        <r>
          <rPr>
            <b/>
            <sz val="8"/>
            <color indexed="81"/>
            <rFont val="Tahoma"/>
            <family val="2"/>
          </rPr>
          <t xml:space="preserve">3Q13:
~39%
</t>
        </r>
      </text>
    </comment>
    <comment ref="CU72" authorId="2">
      <text>
        <r>
          <rPr>
            <b/>
            <sz val="8"/>
            <color indexed="81"/>
            <rFont val="Tahoma"/>
            <family val="2"/>
          </rPr>
          <t xml:space="preserve">2Q14 cc:
~39.4% effective tax rate
</t>
        </r>
      </text>
    </comment>
    <comment ref="CZ72" authorId="5">
      <text>
        <r>
          <rPr>
            <b/>
            <sz val="9"/>
            <color indexed="81"/>
            <rFont val="Tahoma"/>
            <family val="2"/>
          </rPr>
          <t>2Q15 reiterated
1Q15 reiterated 4Q14cc reiterated:</t>
        </r>
        <r>
          <rPr>
            <sz val="9"/>
            <color indexed="81"/>
            <rFont val="Tahoma"/>
            <family val="2"/>
          </rPr>
          <t xml:space="preserve">
Analyst Day
39.3%</t>
        </r>
      </text>
    </comment>
    <comment ref="CP76" authorId="2">
      <text>
        <r>
          <rPr>
            <b/>
            <sz val="8"/>
            <color indexed="81"/>
            <rFont val="Tahoma"/>
            <family val="2"/>
          </rPr>
          <t>1Q13 cc:
Flat to down</t>
        </r>
        <r>
          <rPr>
            <sz val="8"/>
            <color indexed="81"/>
            <rFont val="Tahoma"/>
            <family val="2"/>
          </rPr>
          <t xml:space="preserve">
</t>
        </r>
      </text>
    </comment>
    <comment ref="CP78" authorId="2">
      <text>
        <r>
          <rPr>
            <sz val="8"/>
            <color indexed="81"/>
            <rFont val="Tahoma"/>
            <family val="2"/>
          </rPr>
          <t xml:space="preserve">1Q13 cc:
up 30bps to 40 bps
</t>
        </r>
      </text>
    </comment>
    <comment ref="CK110" authorId="1">
      <text>
        <r>
          <rPr>
            <b/>
            <sz val="8"/>
            <color indexed="8"/>
            <rFont val="Tahoma"/>
            <family val="2"/>
          </rPr>
          <t>12/20/11:</t>
        </r>
        <r>
          <rPr>
            <sz val="8"/>
            <color indexed="8"/>
            <rFont val="Tahoma"/>
            <family val="2"/>
          </rPr>
          <t xml:space="preserve">
$650 to $660 million</t>
        </r>
      </text>
    </comment>
    <comment ref="CU110" authorId="2">
      <text>
        <r>
          <rPr>
            <sz val="8"/>
            <color indexed="81"/>
            <rFont val="Tahoma"/>
            <family val="2"/>
          </rPr>
          <t xml:space="preserve">4Q13 cc:
$785 million to $800 million
</t>
        </r>
      </text>
    </comment>
    <comment ref="BT115" authorId="0">
      <text>
        <r>
          <rPr>
            <b/>
            <sz val="8"/>
            <color indexed="8"/>
            <rFont val="Tahoma"/>
            <family val="2"/>
          </rPr>
          <t>justinv:</t>
        </r>
        <r>
          <rPr>
            <sz val="8"/>
            <color indexed="8"/>
            <rFont val="Tahoma"/>
            <family val="2"/>
          </rPr>
          <t xml:space="preserve">
Started including the corporate SG&amp;A separate, so is now included in SG&amp;A as separate line item</t>
        </r>
      </text>
    </comment>
    <comment ref="CF123" authorId="0">
      <text>
        <r>
          <rPr>
            <b/>
            <sz val="8"/>
            <color indexed="8"/>
            <rFont val="Tahoma"/>
            <family val="2"/>
          </rPr>
          <t>justinv:</t>
        </r>
        <r>
          <rPr>
            <sz val="8"/>
            <color indexed="8"/>
            <rFont val="Tahoma"/>
            <family val="2"/>
          </rPr>
          <t xml:space="preserve">
guidance of 625 to 645 for 2011</t>
        </r>
      </text>
    </comment>
    <comment ref="CJ123" authorId="1">
      <text>
        <r>
          <rPr>
            <b/>
            <sz val="8"/>
            <color indexed="8"/>
            <rFont val="Tahoma"/>
            <family val="2"/>
          </rPr>
          <t>scheandr:</t>
        </r>
        <r>
          <rPr>
            <sz val="8"/>
            <color indexed="8"/>
            <rFont val="Tahoma"/>
            <family val="2"/>
          </rPr>
          <t xml:space="preserve">
~ $180  Million</t>
        </r>
      </text>
    </comment>
    <comment ref="CK123" authorId="1">
      <text>
        <r>
          <rPr>
            <b/>
            <sz val="8"/>
            <color indexed="8"/>
            <rFont val="Tahoma"/>
            <family val="2"/>
          </rPr>
          <t>3Q
$690
2Q12cc
$680 to $690 million
12/20/11:</t>
        </r>
        <r>
          <rPr>
            <sz val="8"/>
            <color indexed="8"/>
            <rFont val="Tahoma"/>
            <family val="2"/>
          </rPr>
          <t xml:space="preserve">
$650 to $660 million</t>
        </r>
      </text>
    </comment>
    <comment ref="CP123" authorId="2">
      <text>
        <r>
          <rPr>
            <b/>
            <sz val="8"/>
            <color indexed="81"/>
            <rFont val="Tahoma"/>
            <family val="2"/>
          </rPr>
          <t>1Q13 cc:
$745M to $760M</t>
        </r>
        <r>
          <rPr>
            <sz val="8"/>
            <color indexed="81"/>
            <rFont val="Tahoma"/>
            <family val="2"/>
          </rPr>
          <t xml:space="preserve">
</t>
        </r>
      </text>
    </comment>
    <comment ref="CT123" authorId="5">
      <text>
        <r>
          <rPr>
            <b/>
            <sz val="9"/>
            <color indexed="81"/>
            <rFont val="Tahoma"/>
            <family val="2"/>
          </rPr>
          <t>3Qcc
$200 to $205 mil</t>
        </r>
        <r>
          <rPr>
            <sz val="9"/>
            <color indexed="81"/>
            <rFont val="Tahoma"/>
            <family val="2"/>
          </rPr>
          <t xml:space="preserve">
</t>
        </r>
      </text>
    </comment>
    <comment ref="CU123" authorId="2">
      <text>
        <r>
          <rPr>
            <b/>
            <sz val="8"/>
            <color indexed="81"/>
            <rFont val="Tahoma"/>
            <family val="2"/>
          </rPr>
          <t>1Q14:
$785 to $800</t>
        </r>
        <r>
          <rPr>
            <sz val="8"/>
            <color indexed="81"/>
            <rFont val="Tahoma"/>
            <family val="2"/>
          </rPr>
          <t xml:space="preserve">
</t>
        </r>
      </text>
    </comment>
    <comment ref="CX123" authorId="6">
      <text>
        <r>
          <rPr>
            <b/>
            <sz val="9"/>
            <color indexed="81"/>
            <rFont val="Tahoma"/>
            <family val="2"/>
          </rPr>
          <t>Rosenblum, Mark (Research):</t>
        </r>
        <r>
          <rPr>
            <sz val="9"/>
            <color indexed="81"/>
            <rFont val="Tahoma"/>
            <family val="2"/>
          </rPr>
          <t xml:space="preserve">
Net of $115M in transaction related expenses</t>
        </r>
      </text>
    </comment>
    <comment ref="CY123" authorId="6">
      <text>
        <r>
          <rPr>
            <b/>
            <sz val="9"/>
            <color indexed="81"/>
            <rFont val="Tahoma"/>
            <family val="2"/>
          </rPr>
          <t>Rosenblum, Mark (Research):</t>
        </r>
        <r>
          <rPr>
            <sz val="9"/>
            <color indexed="81"/>
            <rFont val="Tahoma"/>
            <family val="2"/>
          </rPr>
          <t xml:space="preserve">
3Q15
$215M to $220M</t>
        </r>
      </text>
    </comment>
    <comment ref="CZ123" authorId="2">
      <text>
        <r>
          <rPr>
            <b/>
            <sz val="8"/>
            <color indexed="81"/>
            <rFont val="Tahoma"/>
            <family val="2"/>
          </rPr>
          <t>3Q15
$790 to $800
Analyst Day
$785 to $800</t>
        </r>
        <r>
          <rPr>
            <sz val="8"/>
            <color indexed="81"/>
            <rFont val="Tahoma"/>
            <family val="2"/>
          </rPr>
          <t xml:space="preserve">
</t>
        </r>
      </text>
    </comment>
    <comment ref="CF132" authorId="1">
      <text>
        <r>
          <rPr>
            <b/>
            <sz val="8"/>
            <color indexed="8"/>
            <rFont val="Tahoma"/>
            <family val="2"/>
          </rPr>
          <t>2q11cc:</t>
        </r>
        <r>
          <rPr>
            <sz val="8"/>
            <color indexed="8"/>
            <rFont val="Tahoma"/>
            <family val="2"/>
          </rPr>
          <t xml:space="preserve">
~$1.6 billion</t>
        </r>
      </text>
    </comment>
    <comment ref="CU132" authorId="2">
      <text>
        <r>
          <rPr>
            <b/>
            <sz val="8"/>
            <color indexed="81"/>
            <rFont val="Tahoma"/>
            <family val="2"/>
          </rPr>
          <t>4Q13 cc:
~$1.9 billion</t>
        </r>
        <r>
          <rPr>
            <sz val="8"/>
            <color indexed="81"/>
            <rFont val="Tahoma"/>
            <family val="2"/>
          </rPr>
          <t xml:space="preserve">
</t>
        </r>
      </text>
    </comment>
  </commentList>
</comments>
</file>

<file path=xl/comments2.xml><?xml version="1.0" encoding="utf-8"?>
<comments xmlns="http://schemas.openxmlformats.org/spreadsheetml/2006/main">
  <authors>
    <author>justinv</author>
    <author>scheandr</author>
    <author>sopcak</author>
    <author>Rosenblum, Mark (Research)</author>
    <author>Mark Wiltamuth</author>
    <author>jbirnbau</author>
    <author>murphjul</author>
    <author>parkjose</author>
    <author>fariborz</author>
    <author>aggarwam</author>
    <author>dlevin</author>
    <author>Sopcak, Zachary (Research)</author>
  </authors>
  <commentList>
    <comment ref="BV8" authorId="0">
      <text>
        <r>
          <rPr>
            <b/>
            <sz val="8"/>
            <color indexed="8"/>
            <rFont val="Tahoma"/>
            <family val="2"/>
          </rPr>
          <t>justinv:</t>
        </r>
        <r>
          <rPr>
            <sz val="8"/>
            <color indexed="8"/>
            <rFont val="Tahoma"/>
            <family val="2"/>
          </rPr>
          <t xml:space="preserve">
1.2 is to reflect press release not reporting decimals.  Acts as a plug that can fill when 10-k is released.</t>
        </r>
      </text>
    </comment>
    <comment ref="CF13" authorId="1">
      <text>
        <r>
          <rPr>
            <b/>
            <sz val="8"/>
            <color indexed="8"/>
            <rFont val="Tahoma"/>
            <family val="2"/>
          </rPr>
          <t>2Q11cc:</t>
        </r>
        <r>
          <rPr>
            <sz val="8"/>
            <color indexed="8"/>
            <rFont val="Tahoma"/>
            <family val="2"/>
          </rPr>
          <t xml:space="preserve">
~ $460 million</t>
        </r>
      </text>
    </comment>
    <comment ref="CK13" authorId="1">
      <text>
        <r>
          <rPr>
            <b/>
            <sz val="8"/>
            <color indexed="8"/>
            <rFont val="Tahoma"/>
            <family val="2"/>
          </rPr>
          <t>2Q12
~ $480 million
12/11/20:</t>
        </r>
        <r>
          <rPr>
            <sz val="8"/>
            <color indexed="8"/>
            <rFont val="Tahoma"/>
            <family val="2"/>
          </rPr>
          <t xml:space="preserve">
~$460 million</t>
        </r>
      </text>
    </comment>
    <comment ref="CP13" authorId="1">
      <text>
        <r>
          <rPr>
            <b/>
            <sz val="8"/>
            <color indexed="8"/>
            <rFont val="Tahoma"/>
            <family val="2"/>
          </rPr>
          <t>2Q13
~495M</t>
        </r>
      </text>
    </comment>
    <comment ref="CU13" authorId="2">
      <text>
        <r>
          <rPr>
            <b/>
            <sz val="8"/>
            <color indexed="81"/>
            <rFont val="Tahoma"/>
            <family val="2"/>
          </rPr>
          <t>12/2013
~$515 million</t>
        </r>
      </text>
    </comment>
    <comment ref="CF14" authorId="1">
      <text>
        <r>
          <rPr>
            <b/>
            <sz val="8"/>
            <color indexed="8"/>
            <rFont val="Tahoma"/>
            <family val="2"/>
          </rPr>
          <t>2Q11cc:</t>
        </r>
        <r>
          <rPr>
            <sz val="8"/>
            <color indexed="8"/>
            <rFont val="Tahoma"/>
            <family val="2"/>
          </rPr>
          <t xml:space="preserve">
~ $1.6 billion</t>
        </r>
      </text>
    </comment>
    <comment ref="CK14" authorId="1">
      <text>
        <r>
          <rPr>
            <b/>
            <sz val="8"/>
            <color indexed="8"/>
            <rFont val="Tahoma"/>
            <family val="2"/>
          </rPr>
          <t>12/20/11:</t>
        </r>
        <r>
          <rPr>
            <sz val="8"/>
            <color indexed="8"/>
            <rFont val="Tahoma"/>
            <family val="2"/>
          </rPr>
          <t xml:space="preserve">
~$1.7 billion</t>
        </r>
      </text>
    </comment>
    <comment ref="CP14" authorId="1">
      <text>
        <r>
          <rPr>
            <b/>
            <sz val="8"/>
            <color indexed="8"/>
            <rFont val="Tahoma"/>
            <family val="2"/>
          </rPr>
          <t>2Q13 cc:
~$1.9B</t>
        </r>
      </text>
    </comment>
    <comment ref="CU14" authorId="2">
      <text>
        <r>
          <rPr>
            <b/>
            <sz val="8"/>
            <color indexed="81"/>
            <rFont val="Tahoma"/>
            <family val="2"/>
          </rPr>
          <t>12/2013:
~$1.9 billion</t>
        </r>
        <r>
          <rPr>
            <sz val="8"/>
            <color indexed="81"/>
            <rFont val="Tahoma"/>
            <family val="2"/>
          </rPr>
          <t xml:space="preserve">
</t>
        </r>
      </text>
    </comment>
    <comment ref="CF35" authorId="1">
      <text>
        <r>
          <rPr>
            <b/>
            <sz val="8"/>
            <color indexed="8"/>
            <rFont val="Tahoma"/>
            <family val="2"/>
          </rPr>
          <t>2q11cc:</t>
        </r>
        <r>
          <rPr>
            <sz val="8"/>
            <color indexed="8"/>
            <rFont val="Tahoma"/>
            <family val="2"/>
          </rPr>
          <t xml:space="preserve">
$5.5 - $5.6 billion</t>
        </r>
      </text>
    </comment>
    <comment ref="CK35" authorId="1">
      <text>
        <r>
          <rPr>
            <b/>
            <sz val="8"/>
            <color indexed="8"/>
            <rFont val="Tahoma"/>
            <family val="2"/>
          </rPr>
          <t>4Q11cc:
$6.2 to $6.4
12/20/11:</t>
        </r>
        <r>
          <rPr>
            <sz val="8"/>
            <color indexed="8"/>
            <rFont val="Tahoma"/>
            <family val="2"/>
          </rPr>
          <t xml:space="preserve">
$5.7 to $6.0 billion</t>
        </r>
      </text>
    </comment>
    <comment ref="CP35" authorId="2">
      <text>
        <r>
          <rPr>
            <b/>
            <sz val="8"/>
            <color indexed="81"/>
            <rFont val="Tahoma"/>
            <family val="2"/>
          </rPr>
          <t>2Q13 cc:
$6.4 to $6.6B</t>
        </r>
        <r>
          <rPr>
            <sz val="8"/>
            <color indexed="81"/>
            <rFont val="Tahoma"/>
            <family val="2"/>
          </rPr>
          <t xml:space="preserve">
</t>
        </r>
      </text>
    </comment>
    <comment ref="CU35" authorId="2">
      <text>
        <r>
          <rPr>
            <b/>
            <sz val="8"/>
            <color indexed="81"/>
            <rFont val="Tahoma"/>
            <family val="2"/>
          </rPr>
          <t>3Q14 cc:
$7.24 to $7.7 billion</t>
        </r>
        <r>
          <rPr>
            <sz val="8"/>
            <color indexed="81"/>
            <rFont val="Tahoma"/>
            <family val="2"/>
          </rPr>
          <t xml:space="preserve">
</t>
        </r>
      </text>
    </comment>
    <comment ref="CZ35" authorId="3">
      <text>
        <r>
          <rPr>
            <b/>
            <sz val="9"/>
            <color indexed="81"/>
            <rFont val="Tahoma"/>
            <family val="2"/>
          </rPr>
          <t>Rosenblum, Mark (Research):</t>
        </r>
        <r>
          <rPr>
            <sz val="9"/>
            <color indexed="81"/>
            <rFont val="Tahoma"/>
            <family val="2"/>
          </rPr>
          <t xml:space="preserve">
3Q15
$7.6B to $7.9B</t>
        </r>
      </text>
    </comment>
    <comment ref="BB37" authorId="4">
      <text>
        <r>
          <rPr>
            <b/>
            <sz val="8"/>
            <color indexed="8"/>
            <rFont val="Tahoma"/>
            <family val="2"/>
          </rPr>
          <t>Mark Wiltamuth:</t>
        </r>
        <r>
          <rPr>
            <sz val="8"/>
            <color indexed="8"/>
            <rFont val="Tahoma"/>
            <family val="2"/>
          </rPr>
          <t xml:space="preserve">
$1 billion net of share leasebacks</t>
        </r>
      </text>
    </comment>
    <comment ref="BG37" authorId="5">
      <text>
        <r>
          <rPr>
            <b/>
            <sz val="8"/>
            <color indexed="8"/>
            <rFont val="Tahoma"/>
            <family val="2"/>
          </rPr>
          <t>jbirnbau:</t>
        </r>
        <r>
          <rPr>
            <sz val="8"/>
            <color indexed="8"/>
            <rFont val="Tahoma"/>
            <family val="2"/>
          </rPr>
          <t xml:space="preserve">
=Pre-Sav-On/Osco run rate + 3.93B for deal + 150M for capex in acquired stores</t>
        </r>
      </text>
    </comment>
    <comment ref="CF37" authorId="1">
      <text>
        <r>
          <rPr>
            <b/>
            <sz val="8"/>
            <color indexed="8"/>
            <rFont val="Tahoma"/>
            <family val="2"/>
          </rPr>
          <t>2q11cc:</t>
        </r>
        <r>
          <rPr>
            <sz val="8"/>
            <color indexed="8"/>
            <rFont val="Tahoma"/>
            <family val="2"/>
          </rPr>
          <t xml:space="preserve">
$2.0 - $2.1 billion</t>
        </r>
      </text>
    </comment>
    <comment ref="CK37" authorId="1">
      <text>
        <r>
          <rPr>
            <b/>
            <sz val="8"/>
            <color indexed="8"/>
            <rFont val="Tahoma"/>
            <family val="2"/>
          </rPr>
          <t>4Q11cc:</t>
        </r>
        <r>
          <rPr>
            <sz val="8"/>
            <color indexed="8"/>
            <rFont val="Tahoma"/>
            <family val="2"/>
          </rPr>
          <t xml:space="preserve">
~$2.1 B</t>
        </r>
      </text>
    </comment>
    <comment ref="CP37" authorId="2">
      <text>
        <r>
          <rPr>
            <b/>
            <sz val="8"/>
            <color indexed="81"/>
            <rFont val="Tahoma"/>
            <family val="2"/>
          </rPr>
          <t>2Q13cc:
$2.0 to $2.2B</t>
        </r>
        <r>
          <rPr>
            <sz val="8"/>
            <color indexed="81"/>
            <rFont val="Tahoma"/>
            <family val="2"/>
          </rPr>
          <t xml:space="preserve">
</t>
        </r>
      </text>
    </comment>
    <comment ref="CU37" authorId="2">
      <text>
        <r>
          <rPr>
            <b/>
            <sz val="8"/>
            <color indexed="81"/>
            <rFont val="Tahoma"/>
            <family val="2"/>
          </rPr>
          <t>3Q14 cc:
-$2.3 billion to -2.2 billion</t>
        </r>
        <r>
          <rPr>
            <sz val="8"/>
            <color indexed="81"/>
            <rFont val="Tahoma"/>
            <family val="2"/>
          </rPr>
          <t xml:space="preserve">
</t>
        </r>
      </text>
    </comment>
    <comment ref="CZ37" authorId="3">
      <text>
        <r>
          <rPr>
            <b/>
            <sz val="9"/>
            <color indexed="81"/>
            <rFont val="Tahoma"/>
            <family val="2"/>
          </rPr>
          <t>Rosenblum, Mark (Research):</t>
        </r>
        <r>
          <rPr>
            <sz val="9"/>
            <color indexed="81"/>
            <rFont val="Tahoma"/>
            <family val="2"/>
          </rPr>
          <t xml:space="preserve">
3Q15
$2.2B to $2.3B</t>
        </r>
      </text>
    </comment>
    <comment ref="BG38" authorId="5">
      <text>
        <r>
          <rPr>
            <b/>
            <sz val="8"/>
            <color indexed="8"/>
            <rFont val="Tahoma"/>
            <family val="2"/>
          </rPr>
          <t>jbirnbau:</t>
        </r>
        <r>
          <rPr>
            <sz val="8"/>
            <color indexed="8"/>
            <rFont val="Tahoma"/>
            <family val="2"/>
          </rPr>
          <t xml:space="preserve">
=Pre-Sav-On/Osco run rate + 1B for immediate sale-leaseback of acquired real estate</t>
        </r>
      </text>
    </comment>
    <comment ref="CF38" authorId="1">
      <text>
        <r>
          <rPr>
            <b/>
            <sz val="8"/>
            <color indexed="8"/>
            <rFont val="Tahoma"/>
            <family val="2"/>
          </rPr>
          <t>2Q11cc:</t>
        </r>
        <r>
          <rPr>
            <sz val="8"/>
            <color indexed="8"/>
            <rFont val="Tahoma"/>
            <family val="2"/>
          </rPr>
          <t xml:space="preserve">
$550 - $600 million</t>
        </r>
      </text>
    </comment>
    <comment ref="CK38" authorId="1">
      <text>
        <r>
          <rPr>
            <b/>
            <sz val="8"/>
            <color indexed="8"/>
            <rFont val="Tahoma"/>
            <family val="2"/>
          </rPr>
          <t>4Q11cc:</t>
        </r>
        <r>
          <rPr>
            <sz val="8"/>
            <color indexed="8"/>
            <rFont val="Tahoma"/>
            <family val="2"/>
          </rPr>
          <t xml:space="preserve">
$0.5 to $0.6</t>
        </r>
      </text>
    </comment>
    <comment ref="CP38" authorId="2">
      <text>
        <r>
          <rPr>
            <b/>
            <sz val="8"/>
            <color indexed="81"/>
            <rFont val="Tahoma"/>
            <family val="2"/>
          </rPr>
          <t>2Q12 cc:</t>
        </r>
        <r>
          <rPr>
            <sz val="8"/>
            <color indexed="81"/>
            <rFont val="Tahoma"/>
            <family val="2"/>
          </rPr>
          <t xml:space="preserve">
$0.5B to $0.6B</t>
        </r>
      </text>
    </comment>
    <comment ref="CU38" authorId="2">
      <text>
        <r>
          <rPr>
            <b/>
            <sz val="8"/>
            <color indexed="81"/>
            <rFont val="Tahoma"/>
            <family val="2"/>
          </rPr>
          <t>$500 to $600 million</t>
        </r>
        <r>
          <rPr>
            <sz val="8"/>
            <color indexed="81"/>
            <rFont val="Tahoma"/>
            <family val="2"/>
          </rPr>
          <t xml:space="preserve">
</t>
        </r>
      </text>
    </comment>
    <comment ref="CZ38" authorId="3">
      <text>
        <r>
          <rPr>
            <b/>
            <sz val="9"/>
            <color indexed="81"/>
            <rFont val="Tahoma"/>
            <family val="2"/>
          </rPr>
          <t>Rosenblum, Mark (Research):</t>
        </r>
        <r>
          <rPr>
            <sz val="9"/>
            <color indexed="81"/>
            <rFont val="Tahoma"/>
            <family val="2"/>
          </rPr>
          <t xml:space="preserve">
3Q15: 
$0.5B to </t>
        </r>
      </text>
    </comment>
    <comment ref="CK45" authorId="1">
      <text>
        <r>
          <rPr>
            <b/>
            <sz val="8"/>
            <color indexed="8"/>
            <rFont val="Tahoma"/>
            <family val="2"/>
          </rPr>
          <t>4Q11cc:
($1.6) to ($1.5)
12/20/11:</t>
        </r>
        <r>
          <rPr>
            <sz val="8"/>
            <color indexed="8"/>
            <rFont val="Tahoma"/>
            <family val="2"/>
          </rPr>
          <t xml:space="preserve">
-$1.4 to -$1.6 billion</t>
        </r>
      </text>
    </comment>
    <comment ref="CN47" authorId="6">
      <text>
        <r>
          <rPr>
            <b/>
            <sz val="8"/>
            <color indexed="81"/>
            <rFont val="Tahoma"/>
            <family val="2"/>
          </rPr>
          <t>Includes effect of exchange rates on cash</t>
        </r>
      </text>
    </comment>
    <comment ref="BL58" authorId="7">
      <text>
        <r>
          <rPr>
            <b/>
            <sz val="8"/>
            <color indexed="8"/>
            <rFont val="Tahoma"/>
            <family val="2"/>
          </rPr>
          <t>parkjose:</t>
        </r>
        <r>
          <rPr>
            <sz val="8"/>
            <color indexed="8"/>
            <rFont val="Tahoma"/>
            <family val="2"/>
          </rPr>
          <t xml:space="preserve">
$7.50 Dividend was paid off of Caremark's B/S before acquisition was completed)</t>
        </r>
      </text>
    </comment>
    <comment ref="AM59" authorId="8">
      <text>
        <r>
          <rPr>
            <b/>
            <sz val="8"/>
            <color indexed="8"/>
            <rFont val="Tahoma"/>
            <family val="2"/>
          </rPr>
          <t>fariborz:
Due to concerns over debt ratings, CVS was not active on share repurchase in 2002</t>
        </r>
      </text>
    </comment>
    <comment ref="BL59" authorId="4">
      <text>
        <r>
          <rPr>
            <b/>
            <sz val="8"/>
            <color indexed="8"/>
            <rFont val="Tahoma"/>
            <family val="2"/>
          </rPr>
          <t>Mark Wiltamuth:</t>
        </r>
        <r>
          <rPr>
            <sz val="8"/>
            <color indexed="8"/>
            <rFont val="Tahoma"/>
            <family val="2"/>
          </rPr>
          <t xml:space="preserve">
tender for post-CMX close of 150 million shares at $35/share only netted 10.4 million shares, followed by announcement of $5.0B buyback</t>
        </r>
      </text>
    </comment>
    <comment ref="BV60" authorId="0">
      <text>
        <r>
          <rPr>
            <b/>
            <sz val="8"/>
            <color indexed="8"/>
            <rFont val="Tahoma"/>
            <family val="2"/>
          </rPr>
          <t>justinv:</t>
        </r>
        <r>
          <rPr>
            <sz val="8"/>
            <color indexed="8"/>
            <rFont val="Tahoma"/>
            <family val="2"/>
          </rPr>
          <t xml:space="preserve">
Includes a 3M derivative loss </t>
        </r>
      </text>
    </comment>
    <comment ref="BM95" authorId="0">
      <text>
        <r>
          <rPr>
            <b/>
            <sz val="8"/>
            <color indexed="8"/>
            <rFont val="Tahoma"/>
            <family val="2"/>
          </rPr>
          <t>justinv:</t>
        </r>
        <r>
          <rPr>
            <sz val="8"/>
            <color indexed="8"/>
            <rFont val="Tahoma"/>
            <family val="2"/>
          </rPr>
          <t xml:space="preserve">
Includes accounts payable and claims payable</t>
        </r>
      </text>
    </comment>
    <comment ref="BT123" authorId="0">
      <text>
        <r>
          <rPr>
            <b/>
            <sz val="8"/>
            <color indexed="8"/>
            <rFont val="Tahoma"/>
            <family val="2"/>
          </rPr>
          <t>justinv:</t>
        </r>
        <r>
          <rPr>
            <sz val="8"/>
            <color indexed="8"/>
            <rFont val="Tahoma"/>
            <family val="2"/>
          </rPr>
          <t xml:space="preserve">
Includes an outflow of 3.4M from derivative settlements</t>
        </r>
      </text>
    </comment>
    <comment ref="N142" authorId="9">
      <text>
        <r>
          <rPr>
            <b/>
            <sz val="8"/>
            <color indexed="8"/>
            <rFont val="Tahoma"/>
            <family val="2"/>
          </rPr>
          <t>fariborz:</t>
        </r>
        <r>
          <rPr>
            <sz val="8"/>
            <color indexed="8"/>
            <rFont val="Tahoma"/>
            <family val="2"/>
          </rPr>
          <t xml:space="preserve">
Note that other assets include deferred charges through 1997 until CVS started breaking out deferred income taxes.</t>
        </r>
      </text>
    </comment>
    <comment ref="AC150" authorId="10">
      <text>
        <r>
          <rPr>
            <b/>
            <sz val="8"/>
            <color indexed="8"/>
            <rFont val="Tahoma"/>
            <family val="2"/>
          </rPr>
          <t>fariborz:</t>
        </r>
        <r>
          <rPr>
            <sz val="8"/>
            <color indexed="8"/>
            <rFont val="Tahoma"/>
            <family val="2"/>
          </rPr>
          <t xml:space="preserve">
$75 million is for independent file buys
</t>
        </r>
      </text>
    </comment>
    <comment ref="BG158" authorId="5">
      <text>
        <r>
          <rPr>
            <b/>
            <sz val="8"/>
            <color indexed="8"/>
            <rFont val="Tahoma"/>
            <family val="2"/>
          </rPr>
          <t>jbirnbau:</t>
        </r>
        <r>
          <rPr>
            <sz val="8"/>
            <color indexed="8"/>
            <rFont val="Tahoma"/>
            <family val="2"/>
          </rPr>
          <t xml:space="preserve">
Includes approx. half Sav-On/Osco purchase of 2.93B in LT Debt and half in ST Debt</t>
        </r>
      </text>
    </comment>
    <comment ref="BG162" authorId="5">
      <text>
        <r>
          <rPr>
            <b/>
            <sz val="8"/>
            <color indexed="8"/>
            <rFont val="Tahoma"/>
            <family val="2"/>
          </rPr>
          <t>jbirnbau:</t>
        </r>
        <r>
          <rPr>
            <sz val="8"/>
            <color indexed="8"/>
            <rFont val="Tahoma"/>
            <family val="2"/>
          </rPr>
          <t xml:space="preserve">
Includes approx. half Sav-On/Osco purchase of 2.93B in LT Debt and half in ST Debt</t>
        </r>
      </text>
    </comment>
    <comment ref="N164" authorId="9">
      <text>
        <r>
          <rPr>
            <b/>
            <sz val="8"/>
            <color indexed="8"/>
            <rFont val="Tahoma"/>
            <family val="2"/>
          </rPr>
          <t>fariborz:</t>
        </r>
        <r>
          <rPr>
            <sz val="8"/>
            <color indexed="8"/>
            <rFont val="Tahoma"/>
            <family val="2"/>
          </rPr>
          <t xml:space="preserve">
includes deferred income taxes.</t>
        </r>
      </text>
    </comment>
    <comment ref="BU164" authorId="0">
      <text>
        <r>
          <rPr>
            <b/>
            <sz val="8"/>
            <color indexed="8"/>
            <rFont val="Tahoma"/>
            <family val="2"/>
          </rPr>
          <t xml:space="preserve">justinv:
</t>
        </r>
        <r>
          <rPr>
            <sz val="8"/>
            <color indexed="8"/>
            <rFont val="Tahoma"/>
            <family val="2"/>
          </rPr>
          <t>includes 36.9M from commitments and contingencies from redeemable non-controlling interest</t>
        </r>
      </text>
    </comment>
    <comment ref="B169" authorId="0">
      <text>
        <r>
          <rPr>
            <b/>
            <sz val="8"/>
            <color indexed="8"/>
            <rFont val="Tahoma"/>
            <family val="2"/>
          </rPr>
          <t>justinv:</t>
        </r>
        <r>
          <rPr>
            <sz val="8"/>
            <color indexed="8"/>
            <rFont val="Tahoma"/>
            <family val="2"/>
          </rPr>
          <t xml:space="preserve">
Preference stock, series one ESOP convertible, par value $1.00: authorized 50,000,000 shares; issued and outstanding 3,583,000 shares at December 31, 2008 and 3,798,000 shares at December 29, 2007</t>
        </r>
      </text>
    </comment>
    <comment ref="BW196" authorId="0">
      <text>
        <r>
          <rPr>
            <b/>
            <sz val="8"/>
            <color indexed="8"/>
            <rFont val="Tahoma"/>
            <family val="2"/>
          </rPr>
          <t>justinv:</t>
        </r>
        <r>
          <rPr>
            <sz val="8"/>
            <color indexed="8"/>
            <rFont val="Tahoma"/>
            <family val="2"/>
          </rPr>
          <t xml:space="preserve">
Plugged to get to 26M share number they called out in 1Q conference call.</t>
        </r>
      </text>
    </comment>
    <comment ref="CI196" authorId="2">
      <text>
        <r>
          <rPr>
            <b/>
            <sz val="8"/>
            <color indexed="8"/>
            <rFont val="Tahoma"/>
            <family val="2"/>
          </rPr>
          <t>$800M at average price from 7/1 to 9/18
$1200M at 9/19 price</t>
        </r>
        <r>
          <rPr>
            <sz val="8"/>
            <color indexed="8"/>
            <rFont val="Tahoma"/>
            <family val="2"/>
          </rPr>
          <t xml:space="preserve">
</t>
        </r>
      </text>
    </comment>
    <comment ref="CJ196" authorId="2">
      <text>
        <r>
          <rPr>
            <b/>
            <sz val="8"/>
            <color indexed="81"/>
            <rFont val="Tahoma"/>
            <family val="2"/>
          </rPr>
          <t>4Q12 cc:
$45.58 per share in the quarter</t>
        </r>
        <r>
          <rPr>
            <sz val="8"/>
            <color indexed="81"/>
            <rFont val="Tahoma"/>
            <family val="2"/>
          </rPr>
          <t xml:space="preserve">
</t>
        </r>
      </text>
    </comment>
    <comment ref="CW196" authorId="3">
      <text>
        <r>
          <rPr>
            <b/>
            <sz val="9"/>
            <color indexed="81"/>
            <rFont val="Tahoma"/>
            <family val="2"/>
          </rPr>
          <t>Rosenblum, Mark (Research):</t>
        </r>
        <r>
          <rPr>
            <sz val="9"/>
            <color indexed="81"/>
            <rFont val="Tahoma"/>
            <family val="2"/>
          </rPr>
          <t xml:space="preserve">
Closing price as of 6/10/15</t>
        </r>
      </text>
    </comment>
    <comment ref="CY196" authorId="3">
      <text>
        <r>
          <rPr>
            <b/>
            <sz val="9"/>
            <color indexed="81"/>
            <rFont val="Tahoma"/>
            <family val="2"/>
          </rPr>
          <t>Rosenblum, Mark (Research):</t>
        </r>
        <r>
          <rPr>
            <sz val="9"/>
            <color indexed="81"/>
            <rFont val="Tahoma"/>
            <family val="2"/>
          </rPr>
          <t xml:space="preserve">
12 month price target</t>
        </r>
      </text>
    </comment>
    <comment ref="CI197" authorId="2">
      <text>
        <r>
          <rPr>
            <b/>
            <sz val="8"/>
            <color indexed="8"/>
            <rFont val="Tahoma"/>
            <family val="2"/>
          </rPr>
          <t>New $6B share authorization as of 9/19/12</t>
        </r>
        <r>
          <rPr>
            <sz val="8"/>
            <color indexed="8"/>
            <rFont val="Tahoma"/>
            <family val="2"/>
          </rPr>
          <t xml:space="preserve">
$1.2B ASR on 9/19; $800M done prior in the quarter</t>
        </r>
      </text>
    </comment>
    <comment ref="CP197" authorId="2">
      <text>
        <r>
          <rPr>
            <b/>
            <sz val="8"/>
            <color indexed="81"/>
            <rFont val="Tahoma"/>
            <family val="2"/>
          </rPr>
          <t>2Q13cc:
About $4 billion</t>
        </r>
        <r>
          <rPr>
            <sz val="8"/>
            <color indexed="81"/>
            <rFont val="Tahoma"/>
            <family val="2"/>
          </rPr>
          <t xml:space="preserve">
</t>
        </r>
      </text>
    </comment>
    <comment ref="CU197" authorId="11">
      <text>
        <r>
          <rPr>
            <b/>
            <sz val="9"/>
            <color indexed="81"/>
            <rFont val="Tahoma"/>
            <family val="2"/>
          </rPr>
          <t>3Qcc:
On track for $4B in 2014</t>
        </r>
        <r>
          <rPr>
            <sz val="9"/>
            <color indexed="81"/>
            <rFont val="Tahoma"/>
            <family val="2"/>
          </rPr>
          <t xml:space="preserve">
</t>
        </r>
      </text>
    </comment>
    <comment ref="BU206" authorId="0">
      <text>
        <r>
          <rPr>
            <b/>
            <sz val="8"/>
            <color indexed="8"/>
            <rFont val="Tahoma"/>
            <family val="2"/>
          </rPr>
          <t>justinv:</t>
        </r>
        <r>
          <rPr>
            <sz val="8"/>
            <color indexed="8"/>
            <rFont val="Tahoma"/>
            <family val="2"/>
          </rPr>
          <t xml:space="preserve">
Raised dividend to annualized $0.35 from $0.305.</t>
        </r>
      </text>
    </comment>
    <comment ref="B234" authorId="0">
      <text>
        <r>
          <rPr>
            <b/>
            <sz val="8"/>
            <color indexed="8"/>
            <rFont val="Tahoma"/>
            <family val="2"/>
          </rPr>
          <t>justinv:</t>
        </r>
        <r>
          <rPr>
            <sz val="8"/>
            <color indexed="8"/>
            <rFont val="Tahoma"/>
            <family val="2"/>
          </rPr>
          <t xml:space="preserve">
Assumes leased properties are owned</t>
        </r>
      </text>
    </comment>
    <comment ref="B254" authorId="0">
      <text>
        <r>
          <rPr>
            <b/>
            <sz val="8"/>
            <color indexed="8"/>
            <rFont val="Tahoma"/>
            <family val="2"/>
          </rPr>
          <t>justinv:</t>
        </r>
        <r>
          <rPr>
            <sz val="8"/>
            <color indexed="8"/>
            <rFont val="Tahoma"/>
            <family val="2"/>
          </rPr>
          <t xml:space="preserve">
CVS records inventory at FIFO</t>
        </r>
      </text>
    </comment>
    <comment ref="CP300" authorId="2">
      <text>
        <r>
          <rPr>
            <b/>
            <sz val="8"/>
            <color indexed="81"/>
            <rFont val="Tahoma"/>
            <family val="2"/>
          </rPr>
          <t>-1.6B to -1.4B</t>
        </r>
        <r>
          <rPr>
            <sz val="8"/>
            <color indexed="81"/>
            <rFont val="Tahoma"/>
            <family val="2"/>
          </rPr>
          <t xml:space="preserve">
</t>
        </r>
      </text>
    </comment>
    <comment ref="CP301" authorId="2">
      <text>
        <r>
          <rPr>
            <b/>
            <sz val="8"/>
            <color indexed="81"/>
            <rFont val="Tahoma"/>
            <family val="2"/>
          </rPr>
          <t>$4.8 to $5.1b</t>
        </r>
        <r>
          <rPr>
            <sz val="8"/>
            <color indexed="81"/>
            <rFont val="Tahoma"/>
            <family val="2"/>
          </rPr>
          <t xml:space="preserve">
</t>
        </r>
      </text>
    </comment>
    <comment ref="CP319" authorId="2">
      <text>
        <r>
          <rPr>
            <b/>
            <sz val="8"/>
            <color indexed="81"/>
            <rFont val="Tahoma"/>
            <family val="2"/>
          </rPr>
          <t>$6.4B to $6.6B</t>
        </r>
        <r>
          <rPr>
            <sz val="8"/>
            <color indexed="81"/>
            <rFont val="Tahoma"/>
            <family val="2"/>
          </rPr>
          <t xml:space="preserve">
</t>
        </r>
      </text>
    </comment>
    <comment ref="CP321" authorId="2">
      <text>
        <r>
          <rPr>
            <b/>
            <sz val="8"/>
            <color indexed="81"/>
            <rFont val="Tahoma"/>
            <family val="2"/>
          </rPr>
          <t>Inv Day
-$2.1B</t>
        </r>
        <r>
          <rPr>
            <sz val="8"/>
            <color indexed="81"/>
            <rFont val="Tahoma"/>
            <family val="2"/>
          </rPr>
          <t xml:space="preserve">
</t>
        </r>
      </text>
    </comment>
    <comment ref="CF323" authorId="1">
      <text>
        <r>
          <rPr>
            <b/>
            <sz val="8"/>
            <color indexed="8"/>
            <rFont val="Tahoma"/>
            <family val="2"/>
          </rPr>
          <t>2Q11cc:</t>
        </r>
        <r>
          <rPr>
            <sz val="8"/>
            <color indexed="8"/>
            <rFont val="Tahoma"/>
            <family val="2"/>
          </rPr>
          <t xml:space="preserve">
$4.0 - $4.2 billion</t>
        </r>
      </text>
    </comment>
    <comment ref="CK323" authorId="1">
      <text>
        <r>
          <rPr>
            <b/>
            <sz val="8"/>
            <color indexed="8"/>
            <rFont val="Tahoma"/>
            <family val="2"/>
          </rPr>
          <t>4Q11cc:
$4.6 to $4.9
12/20/11</t>
        </r>
        <r>
          <rPr>
            <sz val="8"/>
            <color indexed="8"/>
            <rFont val="Tahoma"/>
            <family val="2"/>
          </rPr>
          <t xml:space="preserve">
$4.3 to $4.6 billion</t>
        </r>
      </text>
    </comment>
    <comment ref="CP323" authorId="2">
      <text>
        <r>
          <rPr>
            <b/>
            <sz val="8"/>
            <color indexed="81"/>
            <rFont val="Tahoma"/>
            <family val="2"/>
          </rPr>
          <t>Inv Day
$4.8B to $5.1B</t>
        </r>
        <r>
          <rPr>
            <sz val="8"/>
            <color indexed="81"/>
            <rFont val="Tahoma"/>
            <family val="2"/>
          </rPr>
          <t xml:space="preserve">
</t>
        </r>
      </text>
    </comment>
  </commentList>
</comments>
</file>

<file path=xl/comments3.xml><?xml version="1.0" encoding="utf-8"?>
<comments xmlns="http://schemas.openxmlformats.org/spreadsheetml/2006/main">
  <authors>
    <author>Sopcak, Zachary (Research)</author>
    <author>scheandr</author>
    <author>zhanmay</author>
    <author>sopcak</author>
  </authors>
  <commentList>
    <comment ref="AG3" authorId="0">
      <text>
        <r>
          <rPr>
            <b/>
            <sz val="9"/>
            <color indexed="81"/>
            <rFont val="Tahoma"/>
            <family val="2"/>
          </rPr>
          <t>Reiterated 2/10/15</t>
        </r>
      </text>
    </comment>
    <comment ref="E7" authorId="1">
      <text>
        <r>
          <rPr>
            <b/>
            <sz val="8"/>
            <color indexed="8"/>
            <rFont val="Tahoma"/>
            <family val="2"/>
          </rPr>
          <t>scheandr:</t>
        </r>
        <r>
          <rPr>
            <sz val="8"/>
            <color indexed="8"/>
            <rFont val="Tahoma"/>
            <family val="2"/>
          </rPr>
          <t xml:space="preserve">
GAAP Diluted EPS (from cont. ops.) 72¢ to 74¢</t>
        </r>
      </text>
    </comment>
    <comment ref="G7" authorId="1">
      <text>
        <r>
          <rPr>
            <b/>
            <sz val="8"/>
            <color indexed="8"/>
            <rFont val="Tahoma"/>
            <family val="2"/>
          </rPr>
          <t>scheandr:</t>
        </r>
        <r>
          <rPr>
            <sz val="8"/>
            <color indexed="8"/>
            <rFont val="Tahoma"/>
            <family val="2"/>
          </rPr>
          <t xml:space="preserve">
Low‐end of guidance contemplates a one cent per share negative impact
related to Hurricane Sandy</t>
        </r>
      </text>
    </comment>
    <comment ref="Q20" authorId="2">
      <text>
        <r>
          <rPr>
            <b/>
            <sz val="8"/>
            <color indexed="81"/>
            <rFont val="Tahoma"/>
            <family val="2"/>
          </rPr>
          <t>zhanmay:</t>
        </r>
        <r>
          <rPr>
            <sz val="8"/>
            <color indexed="81"/>
            <rFont val="Tahoma"/>
            <family val="2"/>
          </rPr>
          <t xml:space="preserve">
solid volume growth dampened by continued growth in generic utilization</t>
        </r>
      </text>
    </comment>
    <comment ref="Q26" authorId="2">
      <text>
        <r>
          <rPr>
            <b/>
            <sz val="8"/>
            <color indexed="81"/>
            <rFont val="Tahoma"/>
            <family val="2"/>
          </rPr>
          <t>zhanmay:</t>
        </r>
        <r>
          <rPr>
            <sz val="8"/>
            <color indexed="81"/>
            <rFont val="Tahoma"/>
            <family val="2"/>
          </rPr>
          <t xml:space="preserve">
solid volume growth dampened by continued growth in generic utilization</t>
        </r>
      </text>
    </comment>
    <comment ref="Q40" authorId="2">
      <text>
        <r>
          <rPr>
            <b/>
            <sz val="8"/>
            <color indexed="81"/>
            <rFont val="Tahoma"/>
            <family val="2"/>
          </rPr>
          <t>zhanmay:</t>
        </r>
        <r>
          <rPr>
            <sz val="8"/>
            <color indexed="81"/>
            <rFont val="Tahoma"/>
            <family val="2"/>
          </rPr>
          <t xml:space="preserve">
due to higher legal expenses</t>
        </r>
      </text>
    </comment>
    <comment ref="Q48" authorId="2">
      <text>
        <r>
          <rPr>
            <b/>
            <sz val="8"/>
            <color indexed="81"/>
            <rFont val="Tahoma"/>
            <family val="2"/>
          </rPr>
          <t>zhanmay:</t>
        </r>
        <r>
          <rPr>
            <sz val="8"/>
            <color indexed="81"/>
            <rFont val="Tahoma"/>
            <family val="2"/>
          </rPr>
          <t xml:space="preserve">
increase accounts for capital leases</t>
        </r>
      </text>
    </comment>
    <comment ref="E53" authorId="1">
      <text>
        <r>
          <rPr>
            <b/>
            <sz val="8"/>
            <color indexed="8"/>
            <rFont val="Tahoma"/>
            <family val="2"/>
          </rPr>
          <t>scheandr:</t>
        </r>
        <r>
          <rPr>
            <sz val="8"/>
            <color indexed="8"/>
            <rFont val="Tahoma"/>
            <family val="2"/>
          </rPr>
          <t xml:space="preserve">
EPS estimates assume completion of $3 billion in share repurchases, as part of $4.0 billion share repurchase program authorized by CVS
Caremark’s Board of Directors in August 2011</t>
        </r>
      </text>
    </comment>
    <comment ref="F53" authorId="1">
      <text>
        <r>
          <rPr>
            <b/>
            <sz val="8"/>
            <color indexed="8"/>
            <rFont val="Tahoma"/>
            <family val="2"/>
          </rPr>
          <t>scheandr:</t>
        </r>
        <r>
          <rPr>
            <sz val="8"/>
            <color indexed="8"/>
            <rFont val="Tahoma"/>
            <family val="2"/>
          </rPr>
          <t xml:space="preserve">
EPS estimates assume completion of $3 billion in share repurchases, as part of $4.0 billion share repurchase program authorized by CVS
Caremark’s Board of Directors in August 2011</t>
        </r>
      </text>
    </comment>
    <comment ref="G53" authorId="1">
      <text>
        <r>
          <rPr>
            <b/>
            <sz val="8"/>
            <color indexed="8"/>
            <rFont val="Tahoma"/>
            <family val="2"/>
          </rPr>
          <t>scheandr:</t>
        </r>
        <r>
          <rPr>
            <sz val="8"/>
            <color indexed="8"/>
            <rFont val="Tahoma"/>
            <family val="2"/>
          </rPr>
          <t xml:space="preserve">
Low‐end of guidance contemplates a one cent per share negative impact in
Q4 2012 related to Hurricane Sandy</t>
        </r>
      </text>
    </comment>
    <comment ref="AF54" authorId="3">
      <text>
        <r>
          <rPr>
            <b/>
            <sz val="8"/>
            <color indexed="81"/>
            <rFont val="Tahoma"/>
            <family val="2"/>
          </rPr>
          <t>4% to 6% from share repurchases
7% to 9% operating profit</t>
        </r>
      </text>
    </comment>
    <comment ref="AG63" authorId="0">
      <text>
        <r>
          <rPr>
            <b/>
            <sz val="9"/>
            <color indexed="81"/>
            <rFont val="Tahoma"/>
            <family val="2"/>
          </rPr>
          <t>Reiterated 2/10/15</t>
        </r>
        <r>
          <rPr>
            <sz val="9"/>
            <color indexed="81"/>
            <rFont val="Tahoma"/>
            <family val="2"/>
          </rPr>
          <t xml:space="preserve">
</t>
        </r>
      </text>
    </comment>
  </commentList>
</comments>
</file>

<file path=xl/comments4.xml><?xml version="1.0" encoding="utf-8"?>
<comments xmlns="http://schemas.openxmlformats.org/spreadsheetml/2006/main">
  <authors>
    <author>scheandr</author>
    <author>Justin Van Vleck</author>
    <author>sopcak</author>
    <author>Sopcak, Zachary (Research)</author>
    <author>Rosenblum, Mark (Research)</author>
    <author>fariborz</author>
    <author>dlevin</author>
    <author>justinv</author>
    <author>Mark Wiltamuth</author>
    <author>jbirnbau</author>
    <author>Goldwasser, Ricky (Research)</author>
    <author>Rao, Sushil (Research)</author>
    <author>murphjul</author>
    <author>saursing</author>
    <author>rickgold</author>
  </authors>
  <commentList>
    <comment ref="CH11" authorId="0">
      <text>
        <r>
          <rPr>
            <b/>
            <sz val="8"/>
            <color indexed="8"/>
            <rFont val="Tahoma"/>
            <family val="2"/>
          </rPr>
          <t>scheandr:</t>
        </r>
        <r>
          <rPr>
            <sz val="8"/>
            <color indexed="8"/>
            <rFont val="Tahoma"/>
            <family val="2"/>
          </rPr>
          <t xml:space="preserve">
Walgreens ‐ Express Scripts Impasse Positively Impacted Our Front Store Comp By More Than 100 Basis Points In Q2</t>
        </r>
      </text>
    </comment>
    <comment ref="CD12" authorId="1">
      <text>
        <r>
          <rPr>
            <b/>
            <sz val="8"/>
            <color indexed="8"/>
            <rFont val="Tahoma"/>
            <family val="2"/>
          </rPr>
          <t>Justin Van Vleck:</t>
        </r>
        <r>
          <rPr>
            <sz val="8"/>
            <color indexed="8"/>
            <rFont val="Tahoma"/>
            <family val="2"/>
          </rPr>
          <t xml:space="preserve">
guided same-store sales growth 1% to 2.5% for 3Q</t>
        </r>
      </text>
    </comment>
    <comment ref="CG12" authorId="0">
      <text>
        <r>
          <rPr>
            <b/>
            <sz val="8"/>
            <color indexed="8"/>
            <rFont val="Tahoma"/>
            <family val="2"/>
          </rPr>
          <t>4Q11cc:
+ 6.5% to 7.5%
12/20/11:
+</t>
        </r>
        <r>
          <rPr>
            <sz val="8"/>
            <color indexed="8"/>
            <rFont val="Tahoma"/>
            <family val="2"/>
          </rPr>
          <t>1.5% to +2.5%</t>
        </r>
      </text>
    </comment>
    <comment ref="CH12" authorId="0">
      <text>
        <r>
          <rPr>
            <b/>
            <sz val="8"/>
            <color indexed="8"/>
            <rFont val="Tahoma"/>
            <family val="2"/>
          </rPr>
          <t>scheandr:</t>
        </r>
        <r>
          <rPr>
            <sz val="8"/>
            <color indexed="8"/>
            <rFont val="Tahoma"/>
            <family val="2"/>
          </rPr>
          <t xml:space="preserve">
+ 5% to 6%</t>
        </r>
      </text>
    </comment>
    <comment ref="CI12" authorId="0">
      <text>
        <r>
          <rPr>
            <b/>
            <sz val="8"/>
            <color indexed="8"/>
            <rFont val="Tahoma"/>
            <family val="2"/>
          </rPr>
          <t>scheandr:</t>
        </r>
        <r>
          <rPr>
            <sz val="8"/>
            <color indexed="8"/>
            <rFont val="Tahoma"/>
            <family val="2"/>
          </rPr>
          <t xml:space="preserve">
+ 2.5% to 3.5%</t>
        </r>
      </text>
    </comment>
    <comment ref="CJ12" authorId="0">
      <text>
        <r>
          <rPr>
            <b/>
            <sz val="8"/>
            <color indexed="8"/>
            <rFont val="Tahoma"/>
            <family val="2"/>
          </rPr>
          <t>scheandr:</t>
        </r>
        <r>
          <rPr>
            <sz val="8"/>
            <color indexed="8"/>
            <rFont val="Tahoma"/>
            <family val="2"/>
          </rPr>
          <t xml:space="preserve">
+ 2% to 3%</t>
        </r>
      </text>
    </comment>
    <comment ref="CK12" authorId="0">
      <text>
        <r>
          <rPr>
            <b/>
            <sz val="8"/>
            <color indexed="8"/>
            <rFont val="Tahoma"/>
            <family val="2"/>
          </rPr>
          <t>3Q12
+ 4.75% to 5%
2Q12
+ 4% to 4.75%
1Q12cc
3.5% to 4.5%
4Q11cc
+ 1.5% to 2.5%
12/20/11:</t>
        </r>
        <r>
          <rPr>
            <sz val="8"/>
            <color indexed="8"/>
            <rFont val="Tahoma"/>
            <family val="2"/>
          </rPr>
          <t xml:space="preserve">
Guidance provided of +0.5% to +1.5%</t>
        </r>
      </text>
    </comment>
    <comment ref="CL12" authorId="2">
      <text>
        <r>
          <rPr>
            <b/>
            <sz val="8"/>
            <color indexed="81"/>
            <rFont val="Tahoma"/>
            <family val="2"/>
          </rPr>
          <t>-3.5% to -2.0%</t>
        </r>
        <r>
          <rPr>
            <sz val="8"/>
            <color indexed="81"/>
            <rFont val="Tahoma"/>
            <family val="2"/>
          </rPr>
          <t xml:space="preserve">
</t>
        </r>
      </text>
    </comment>
    <comment ref="CM12" authorId="2">
      <text>
        <r>
          <rPr>
            <b/>
            <sz val="8"/>
            <color indexed="81"/>
            <rFont val="Tahoma"/>
            <family val="2"/>
          </rPr>
          <t>1Q13 cc:
-0.25% to +1.0%</t>
        </r>
        <r>
          <rPr>
            <sz val="8"/>
            <color indexed="81"/>
            <rFont val="Tahoma"/>
            <family val="2"/>
          </rPr>
          <t xml:space="preserve">
</t>
        </r>
      </text>
    </comment>
    <comment ref="CO12" authorId="2">
      <text>
        <r>
          <rPr>
            <b/>
            <sz val="8"/>
            <color indexed="81"/>
            <rFont val="Tahoma"/>
            <family val="2"/>
          </rPr>
          <t>3Q13cc:
2.25% to 3.75%</t>
        </r>
        <r>
          <rPr>
            <sz val="8"/>
            <color indexed="81"/>
            <rFont val="Tahoma"/>
            <family val="2"/>
          </rPr>
          <t xml:space="preserve">
</t>
        </r>
      </text>
    </comment>
    <comment ref="CP12" authorId="2">
      <text>
        <r>
          <rPr>
            <b/>
            <sz val="8"/>
            <color indexed="81"/>
            <rFont val="Tahoma"/>
            <family val="2"/>
          </rPr>
          <t>3Q13:
1.25% to 1.75%</t>
        </r>
      </text>
    </comment>
    <comment ref="CQ12" authorId="2">
      <text>
        <r>
          <rPr>
            <b/>
            <sz val="8"/>
            <color indexed="81"/>
            <rFont val="Tahoma"/>
            <family val="2"/>
          </rPr>
          <t>4Q13 cc:
1.75% to 3.25%</t>
        </r>
        <r>
          <rPr>
            <sz val="8"/>
            <color indexed="81"/>
            <rFont val="Tahoma"/>
            <family val="2"/>
          </rPr>
          <t xml:space="preserve">
</t>
        </r>
      </text>
    </comment>
    <comment ref="CR12" authorId="2">
      <text>
        <r>
          <rPr>
            <sz val="8"/>
            <color indexed="81"/>
            <rFont val="Tahoma"/>
            <family val="2"/>
          </rPr>
          <t xml:space="preserve">1Q14 cc:
1.25% to 2.75%
</t>
        </r>
      </text>
    </comment>
    <comment ref="CS12" authorId="3">
      <text>
        <r>
          <rPr>
            <b/>
            <sz val="9"/>
            <color indexed="81"/>
            <rFont val="Tahoma"/>
            <family val="2"/>
          </rPr>
          <t>-1% to +0.5%</t>
        </r>
        <r>
          <rPr>
            <sz val="9"/>
            <color indexed="81"/>
            <rFont val="Tahoma"/>
            <family val="2"/>
          </rPr>
          <t xml:space="preserve">
</t>
        </r>
      </text>
    </comment>
    <comment ref="CT12" authorId="3">
      <text>
        <r>
          <rPr>
            <sz val="9"/>
            <color indexed="81"/>
            <rFont val="Tahoma"/>
            <family val="2"/>
          </rPr>
          <t xml:space="preserve">3Qcc
-1% to 0.5%
</t>
        </r>
      </text>
    </comment>
    <comment ref="CU12" authorId="2">
      <text>
        <r>
          <rPr>
            <sz val="8"/>
            <color indexed="81"/>
            <rFont val="Tahoma"/>
            <family val="2"/>
          </rPr>
          <t xml:space="preserve">2Q14 cc:
0.25% to 1%
</t>
        </r>
      </text>
    </comment>
    <comment ref="CV12" authorId="3">
      <text>
        <r>
          <rPr>
            <b/>
            <sz val="9"/>
            <color indexed="81"/>
            <rFont val="Tahoma"/>
            <family val="2"/>
          </rPr>
          <t>-0.5% to 1%</t>
        </r>
        <r>
          <rPr>
            <sz val="9"/>
            <color indexed="81"/>
            <rFont val="Tahoma"/>
            <family val="2"/>
          </rPr>
          <t xml:space="preserve">
</t>
        </r>
      </text>
    </comment>
    <comment ref="CW12" authorId="3">
      <text>
        <r>
          <rPr>
            <b/>
            <sz val="9"/>
            <color indexed="81"/>
            <rFont val="Tahoma"/>
            <family val="2"/>
          </rPr>
          <t>-1.25% to +0.25%</t>
        </r>
        <r>
          <rPr>
            <sz val="9"/>
            <color indexed="81"/>
            <rFont val="Tahoma"/>
            <family val="2"/>
          </rPr>
          <t xml:space="preserve">
</t>
        </r>
      </text>
    </comment>
    <comment ref="CX12" authorId="4">
      <text>
        <r>
          <rPr>
            <b/>
            <sz val="9"/>
            <color indexed="81"/>
            <rFont val="Tahoma"/>
            <family val="2"/>
          </rPr>
          <t>Rosenblum, Mark (Research):</t>
        </r>
        <r>
          <rPr>
            <sz val="9"/>
            <color indexed="81"/>
            <rFont val="Tahoma"/>
            <family val="2"/>
          </rPr>
          <t xml:space="preserve">
2Q15cc:
1.0% to 2.5%</t>
        </r>
      </text>
    </comment>
    <comment ref="CY12" authorId="4">
      <text>
        <r>
          <rPr>
            <b/>
            <sz val="9"/>
            <color indexed="81"/>
            <rFont val="Tahoma"/>
            <family val="2"/>
          </rPr>
          <t>Rosenblum, Mark (Research):</t>
        </r>
        <r>
          <rPr>
            <sz val="9"/>
            <color indexed="81"/>
            <rFont val="Tahoma"/>
            <family val="2"/>
          </rPr>
          <t xml:space="preserve">
</t>
        </r>
        <r>
          <rPr>
            <b/>
            <sz val="9"/>
            <color indexed="81"/>
            <rFont val="Tahoma"/>
            <family val="2"/>
          </rPr>
          <t>3Q15</t>
        </r>
        <r>
          <rPr>
            <sz val="9"/>
            <color indexed="81"/>
            <rFont val="Tahoma"/>
            <family val="2"/>
          </rPr>
          <t xml:space="preserve">
0.75% to 2.25%</t>
        </r>
      </text>
    </comment>
    <comment ref="CZ12" authorId="4">
      <text>
        <r>
          <rPr>
            <b/>
            <sz val="9"/>
            <color indexed="81"/>
            <rFont val="Tahoma"/>
            <family val="2"/>
          </rPr>
          <t>Rosenblum, Mark (Research):</t>
        </r>
        <r>
          <rPr>
            <sz val="9"/>
            <color indexed="81"/>
            <rFont val="Tahoma"/>
            <family val="2"/>
          </rPr>
          <t xml:space="preserve">
3Q15:
1.00% to 1.50%
2Q15:
0.75% to 1.50%</t>
        </r>
      </text>
    </comment>
    <comment ref="B14" authorId="5">
      <text>
        <r>
          <rPr>
            <b/>
            <sz val="8"/>
            <color indexed="8"/>
            <rFont val="Tahoma"/>
            <family val="2"/>
          </rPr>
          <t>fariborz:</t>
        </r>
        <r>
          <rPr>
            <sz val="8"/>
            <color indexed="8"/>
            <rFont val="Tahoma"/>
            <family val="2"/>
          </rPr>
          <t xml:space="preserve">
drugstores + cvs.com</t>
        </r>
      </text>
    </comment>
    <comment ref="B15" authorId="5">
      <text>
        <r>
          <rPr>
            <b/>
            <sz val="8"/>
            <color indexed="8"/>
            <rFont val="Tahoma"/>
            <family val="2"/>
          </rPr>
          <t>fariborz:</t>
        </r>
        <r>
          <rPr>
            <sz val="8"/>
            <color indexed="8"/>
            <rFont val="Tahoma"/>
            <family val="2"/>
          </rPr>
          <t xml:space="preserve">
drugstores + cvs.com</t>
        </r>
      </text>
    </comment>
    <comment ref="X18" authorId="6">
      <text>
        <r>
          <rPr>
            <b/>
            <sz val="7"/>
            <color indexed="8"/>
            <rFont val="Tahoma"/>
            <family val="2"/>
          </rPr>
          <t>fariborz:</t>
        </r>
        <r>
          <rPr>
            <sz val="7"/>
            <color indexed="8"/>
            <rFont val="Tahoma"/>
            <family val="2"/>
          </rPr>
          <t xml:space="preserve">
1999 was a 53 week year
 Should be 14.7% w/o 53rd week</t>
        </r>
      </text>
    </comment>
    <comment ref="CD18" authorId="1">
      <text>
        <r>
          <rPr>
            <b/>
            <sz val="8"/>
            <color indexed="8"/>
            <rFont val="Tahoma"/>
            <family val="2"/>
          </rPr>
          <t>Justin Van Vleck:</t>
        </r>
        <r>
          <rPr>
            <sz val="8"/>
            <color indexed="8"/>
            <rFont val="Tahoma"/>
            <family val="2"/>
          </rPr>
          <t xml:space="preserve">
guided to revenue growth of 2.5% to 4% for 3Q</t>
        </r>
      </text>
    </comment>
    <comment ref="CF18" authorId="0">
      <text>
        <r>
          <rPr>
            <b/>
            <sz val="8"/>
            <color indexed="8"/>
            <rFont val="Tahoma"/>
            <family val="2"/>
          </rPr>
          <t>2Q11cc:</t>
        </r>
        <r>
          <rPr>
            <sz val="8"/>
            <color indexed="8"/>
            <rFont val="Tahoma"/>
            <family val="2"/>
          </rPr>
          <t xml:space="preserve">
3% to 4%</t>
        </r>
      </text>
    </comment>
    <comment ref="CG18" authorId="0">
      <text>
        <r>
          <rPr>
            <b/>
            <sz val="8"/>
            <color indexed="8"/>
            <rFont val="Tahoma"/>
            <family val="2"/>
          </rPr>
          <t>4Q11cc:
+ 8% to 9%
12/20/11:</t>
        </r>
        <r>
          <rPr>
            <sz val="8"/>
            <color indexed="8"/>
            <rFont val="Tahoma"/>
            <family val="2"/>
          </rPr>
          <t xml:space="preserve">
+3% to +4%</t>
        </r>
      </text>
    </comment>
    <comment ref="CH18" authorId="0">
      <text>
        <r>
          <rPr>
            <b/>
            <sz val="8"/>
            <color indexed="8"/>
            <rFont val="Tahoma"/>
            <family val="2"/>
          </rPr>
          <t>scheandr:</t>
        </r>
        <r>
          <rPr>
            <sz val="8"/>
            <color indexed="8"/>
            <rFont val="Tahoma"/>
            <family val="2"/>
          </rPr>
          <t xml:space="preserve">
+ 6.5% to 7.5%</t>
        </r>
      </text>
    </comment>
    <comment ref="CI18" authorId="0">
      <text>
        <r>
          <rPr>
            <b/>
            <sz val="8"/>
            <color indexed="8"/>
            <rFont val="Tahoma"/>
            <family val="2"/>
          </rPr>
          <t>scheandr:</t>
        </r>
        <r>
          <rPr>
            <sz val="8"/>
            <color indexed="8"/>
            <rFont val="Tahoma"/>
            <family val="2"/>
          </rPr>
          <t xml:space="preserve">
+ 3.5% to 4.5%</t>
        </r>
      </text>
    </comment>
    <comment ref="CJ18" authorId="0">
      <text>
        <r>
          <rPr>
            <b/>
            <sz val="8"/>
            <color indexed="8"/>
            <rFont val="Tahoma"/>
            <family val="2"/>
          </rPr>
          <t>scheandr:</t>
        </r>
        <r>
          <rPr>
            <sz val="8"/>
            <color indexed="8"/>
            <rFont val="Tahoma"/>
            <family val="2"/>
          </rPr>
          <t xml:space="preserve">
+3% - 4%
</t>
        </r>
      </text>
    </comment>
    <comment ref="CK18" authorId="0">
      <text>
        <r>
          <rPr>
            <b/>
            <sz val="8"/>
            <color indexed="8"/>
            <rFont val="Tahoma"/>
            <family val="2"/>
          </rPr>
          <t>3Q12
6 25% to 6 5%
2q12
+ 5.5% to 6.25%
1Q12cc:
+5% to 6%
2Q12
+ 5.5% to 6.25%
4Q11cc:
+3% to 4%
12/20/11</t>
        </r>
        <r>
          <rPr>
            <sz val="8"/>
            <color indexed="8"/>
            <rFont val="Tahoma"/>
            <family val="2"/>
          </rPr>
          <t xml:space="preserve">
Guidance of +2% to 3%</t>
        </r>
      </text>
    </comment>
    <comment ref="CL18" authorId="2">
      <text>
        <r>
          <rPr>
            <b/>
            <sz val="8"/>
            <color indexed="81"/>
            <rFont val="Tahoma"/>
            <family val="2"/>
          </rPr>
          <t>inv Day
-2.5% to -1.0%</t>
        </r>
        <r>
          <rPr>
            <sz val="8"/>
            <color indexed="81"/>
            <rFont val="Tahoma"/>
            <family val="2"/>
          </rPr>
          <t xml:space="preserve">
</t>
        </r>
      </text>
    </comment>
    <comment ref="CM18" authorId="2">
      <text>
        <r>
          <rPr>
            <b/>
            <sz val="8"/>
            <color indexed="81"/>
            <rFont val="Tahoma"/>
            <family val="2"/>
          </rPr>
          <t>1Q13 cc
0.75% to 2.25%</t>
        </r>
        <r>
          <rPr>
            <sz val="8"/>
            <color indexed="81"/>
            <rFont val="Tahoma"/>
            <family val="2"/>
          </rPr>
          <t xml:space="preserve">
</t>
        </r>
      </text>
    </comment>
    <comment ref="CP18" authorId="2">
      <text>
        <r>
          <rPr>
            <b/>
            <sz val="8"/>
            <color indexed="81"/>
            <rFont val="Tahoma"/>
            <family val="2"/>
          </rPr>
          <t>3Q13:
2.5% to 3.0%</t>
        </r>
        <r>
          <rPr>
            <sz val="8"/>
            <color indexed="81"/>
            <rFont val="Tahoma"/>
            <family val="2"/>
          </rPr>
          <t xml:space="preserve">
</t>
        </r>
      </text>
    </comment>
    <comment ref="CQ18" authorId="2">
      <text>
        <r>
          <rPr>
            <b/>
            <sz val="8"/>
            <color indexed="81"/>
            <rFont val="Tahoma"/>
            <family val="2"/>
          </rPr>
          <t>4Q13 cc:
3% to 4.5%</t>
        </r>
        <r>
          <rPr>
            <sz val="8"/>
            <color indexed="81"/>
            <rFont val="Tahoma"/>
            <family val="2"/>
          </rPr>
          <t xml:space="preserve">
</t>
        </r>
      </text>
    </comment>
    <comment ref="CR18" authorId="2">
      <text>
        <r>
          <rPr>
            <b/>
            <sz val="8"/>
            <color indexed="81"/>
            <rFont val="Tahoma"/>
            <family val="2"/>
          </rPr>
          <t>1Q14 cc:
2.5% to 4%</t>
        </r>
        <r>
          <rPr>
            <sz val="8"/>
            <color indexed="81"/>
            <rFont val="Tahoma"/>
            <family val="2"/>
          </rPr>
          <t xml:space="preserve">
</t>
        </r>
      </text>
    </comment>
    <comment ref="CS18" authorId="3">
      <text>
        <r>
          <rPr>
            <b/>
            <sz val="9"/>
            <color indexed="81"/>
            <rFont val="Tahoma"/>
            <family val="2"/>
          </rPr>
          <t>2Q14cc:
0.25% to 1.75%</t>
        </r>
        <r>
          <rPr>
            <sz val="9"/>
            <color indexed="81"/>
            <rFont val="Tahoma"/>
            <family val="2"/>
          </rPr>
          <t xml:space="preserve">
</t>
        </r>
      </text>
    </comment>
    <comment ref="CT18" authorId="3">
      <text>
        <r>
          <rPr>
            <b/>
            <sz val="9"/>
            <color indexed="81"/>
            <rFont val="Tahoma"/>
            <family val="2"/>
          </rPr>
          <t>3Qcc
0.25% to 1.75%</t>
        </r>
        <r>
          <rPr>
            <sz val="9"/>
            <color indexed="81"/>
            <rFont val="Tahoma"/>
            <family val="2"/>
          </rPr>
          <t xml:space="preserve">
</t>
        </r>
      </text>
    </comment>
    <comment ref="CU18" authorId="2">
      <text>
        <r>
          <rPr>
            <sz val="8"/>
            <color indexed="81"/>
            <rFont val="Tahoma"/>
            <family val="2"/>
          </rPr>
          <t xml:space="preserve">2Q14 cc:
1.25% to 2%
</t>
        </r>
      </text>
    </comment>
    <comment ref="CV18" authorId="3">
      <text>
        <r>
          <rPr>
            <b/>
            <sz val="9"/>
            <color indexed="81"/>
            <rFont val="Tahoma"/>
            <family val="2"/>
          </rPr>
          <t>Analyst Day
1.5% to 3.0%</t>
        </r>
      </text>
    </comment>
    <comment ref="CX18" authorId="4">
      <text>
        <r>
          <rPr>
            <b/>
            <sz val="9"/>
            <color indexed="81"/>
            <rFont val="Tahoma"/>
            <family val="2"/>
          </rPr>
          <t>Rosenblum, Mark (Research):</t>
        </r>
        <r>
          <rPr>
            <sz val="9"/>
            <color indexed="81"/>
            <rFont val="Tahoma"/>
            <family val="2"/>
          </rPr>
          <t xml:space="preserve">
2Qcc:
2.75% to 4.25%</t>
        </r>
      </text>
    </comment>
    <comment ref="CY18" authorId="4">
      <text>
        <r>
          <rPr>
            <b/>
            <sz val="9"/>
            <color indexed="81"/>
            <rFont val="Tahoma"/>
            <family val="2"/>
          </rPr>
          <t>Rosenblum, Mark (Research):</t>
        </r>
        <r>
          <rPr>
            <sz val="9"/>
            <color indexed="81"/>
            <rFont val="Tahoma"/>
            <family val="2"/>
          </rPr>
          <t xml:space="preserve">
</t>
        </r>
        <r>
          <rPr>
            <b/>
            <sz val="9"/>
            <color indexed="81"/>
            <rFont val="Tahoma"/>
            <family val="2"/>
          </rPr>
          <t>3Q15</t>
        </r>
        <r>
          <rPr>
            <sz val="9"/>
            <color indexed="81"/>
            <rFont val="Tahoma"/>
            <family val="2"/>
          </rPr>
          <t xml:space="preserve">
9.0% to 10.50%</t>
        </r>
      </text>
    </comment>
    <comment ref="CZ18" authorId="4">
      <text>
        <r>
          <rPr>
            <b/>
            <sz val="9"/>
            <color indexed="81"/>
            <rFont val="Tahoma"/>
            <family val="2"/>
          </rPr>
          <t>Rosenblum, Mark (Research):</t>
        </r>
        <r>
          <rPr>
            <sz val="9"/>
            <color indexed="81"/>
            <rFont val="Tahoma"/>
            <family val="2"/>
          </rPr>
          <t xml:space="preserve">
3Q15: 5.25% to 5.75%
2Q15: 2.50% to 3.25%</t>
        </r>
      </text>
    </comment>
    <comment ref="BB21" authorId="7">
      <text>
        <r>
          <rPr>
            <b/>
            <sz val="8"/>
            <color indexed="8"/>
            <rFont val="Tahoma"/>
            <family val="2"/>
          </rPr>
          <t>justinv:</t>
        </r>
        <r>
          <rPr>
            <sz val="8"/>
            <color indexed="8"/>
            <rFont val="Tahoma"/>
            <family val="2"/>
          </rPr>
          <t xml:space="preserve">
Backward looking number given in 2007 annual report.  2007 started disclosing gross profit and SG&amp;A by segment.</t>
        </r>
      </text>
    </comment>
    <comment ref="BE22" authorId="8">
      <text>
        <r>
          <rPr>
            <b/>
            <sz val="8"/>
            <color indexed="8"/>
            <rFont val="Tahoma"/>
            <family val="2"/>
          </rPr>
          <t>Mark Wiltamuth:</t>
        </r>
        <r>
          <rPr>
            <sz val="8"/>
            <color indexed="8"/>
            <rFont val="Tahoma"/>
            <family val="2"/>
          </rPr>
          <t xml:space="preserve">
margin gains pick up as big 2006 generic wave enters market
</t>
        </r>
      </text>
    </comment>
    <comment ref="BF22" authorId="8">
      <text>
        <r>
          <rPr>
            <b/>
            <sz val="8"/>
            <color indexed="8"/>
            <rFont val="Tahoma"/>
            <family val="2"/>
          </rPr>
          <t>Mark Wiltamuth:</t>
        </r>
        <r>
          <rPr>
            <sz val="8"/>
            <color indexed="8"/>
            <rFont val="Tahoma"/>
            <family val="2"/>
          </rPr>
          <t xml:space="preserve">
margin gains pick up as big 2006 generic wave enters market
</t>
        </r>
      </text>
    </comment>
    <comment ref="CJ22" authorId="0">
      <text>
        <r>
          <rPr>
            <b/>
            <sz val="8"/>
            <color indexed="8"/>
            <rFont val="Tahoma"/>
            <family val="2"/>
          </rPr>
          <t>scheandr:</t>
        </r>
        <r>
          <rPr>
            <sz val="8"/>
            <color indexed="8"/>
            <rFont val="Tahoma"/>
            <family val="2"/>
          </rPr>
          <t xml:space="preserve">
Significantly 
Up</t>
        </r>
      </text>
    </comment>
    <comment ref="CK22" authorId="0">
      <text>
        <r>
          <rPr>
            <b/>
            <sz val="8"/>
            <color indexed="8"/>
            <rFont val="Tahoma"/>
            <family val="2"/>
          </rPr>
          <t>2Q12
Up Notably
12/20/11</t>
        </r>
        <r>
          <rPr>
            <sz val="8"/>
            <color indexed="8"/>
            <rFont val="Tahoma"/>
            <family val="2"/>
          </rPr>
          <t xml:space="preserve">
guidance provided of Up Moderately</t>
        </r>
      </text>
    </comment>
    <comment ref="CO22" authorId="2">
      <text>
        <r>
          <rPr>
            <b/>
            <sz val="8"/>
            <color indexed="81"/>
            <rFont val="Tahoma"/>
            <family val="2"/>
          </rPr>
          <t>3Q13cc:
Down notably</t>
        </r>
        <r>
          <rPr>
            <sz val="8"/>
            <color indexed="81"/>
            <rFont val="Tahoma"/>
            <family val="2"/>
          </rPr>
          <t xml:space="preserve">
</t>
        </r>
      </text>
    </comment>
    <comment ref="CP22" authorId="2">
      <text>
        <r>
          <rPr>
            <b/>
            <sz val="8"/>
            <color indexed="81"/>
            <rFont val="Tahoma"/>
            <family val="2"/>
          </rPr>
          <t>2Q13cc:
Up moderately</t>
        </r>
      </text>
    </comment>
    <comment ref="CT22" authorId="3">
      <text>
        <r>
          <rPr>
            <b/>
            <sz val="9"/>
            <color indexed="81"/>
            <rFont val="Tahoma"/>
            <family val="2"/>
          </rPr>
          <t>3Qcc
"signficant improvement"</t>
        </r>
      </text>
    </comment>
    <comment ref="CU22" authorId="2">
      <text>
        <r>
          <rPr>
            <b/>
            <sz val="8"/>
            <color indexed="81"/>
            <rFont val="Tahoma"/>
            <family val="2"/>
          </rPr>
          <t>2Q14 cc:
"modest improvement"</t>
        </r>
        <r>
          <rPr>
            <sz val="8"/>
            <color indexed="81"/>
            <rFont val="Tahoma"/>
            <family val="2"/>
          </rPr>
          <t xml:space="preserve">
</t>
        </r>
      </text>
    </comment>
    <comment ref="CY22" authorId="4">
      <text>
        <r>
          <rPr>
            <b/>
            <sz val="9"/>
            <color indexed="81"/>
            <rFont val="Tahoma"/>
            <family val="2"/>
          </rPr>
          <t>Rosenblum, Mark (Research):</t>
        </r>
        <r>
          <rPr>
            <sz val="9"/>
            <color indexed="81"/>
            <rFont val="Tahoma"/>
            <family val="2"/>
          </rPr>
          <t xml:space="preserve">
3Q15:
Moderate decline</t>
        </r>
      </text>
    </comment>
    <comment ref="CZ22" authorId="3">
      <text>
        <r>
          <rPr>
            <b/>
            <sz val="9"/>
            <color indexed="81"/>
            <rFont val="Tahoma"/>
            <family val="2"/>
          </rPr>
          <t>3Q15 cc:
Notable decline
4Q14 cc:
Flat to up</t>
        </r>
        <r>
          <rPr>
            <sz val="9"/>
            <color indexed="81"/>
            <rFont val="Tahoma"/>
            <family val="2"/>
          </rPr>
          <t xml:space="preserve">
</t>
        </r>
      </text>
    </comment>
    <comment ref="BH25" authorId="9">
      <text>
        <r>
          <rPr>
            <b/>
            <sz val="8"/>
            <color indexed="8"/>
            <rFont val="Tahoma"/>
            <family val="2"/>
          </rPr>
          <t>jbirnbau:</t>
        </r>
        <r>
          <rPr>
            <sz val="8"/>
            <color indexed="8"/>
            <rFont val="Tahoma"/>
            <family val="2"/>
          </rPr>
          <t xml:space="preserve">
includes $.01 stock option expense</t>
        </r>
      </text>
    </comment>
    <comment ref="BI25" authorId="9">
      <text>
        <r>
          <rPr>
            <b/>
            <sz val="8"/>
            <color indexed="8"/>
            <rFont val="Tahoma"/>
            <family val="2"/>
          </rPr>
          <t>jbirnbau:</t>
        </r>
        <r>
          <rPr>
            <sz val="8"/>
            <color indexed="8"/>
            <rFont val="Tahoma"/>
            <family val="2"/>
          </rPr>
          <t xml:space="preserve">
includes $.01 stock option expense</t>
        </r>
      </text>
    </comment>
    <comment ref="BJ25" authorId="9">
      <text>
        <r>
          <rPr>
            <b/>
            <sz val="8"/>
            <color indexed="8"/>
            <rFont val="Tahoma"/>
            <family val="2"/>
          </rPr>
          <t>jbirnbau:</t>
        </r>
        <r>
          <rPr>
            <sz val="8"/>
            <color indexed="8"/>
            <rFont val="Tahoma"/>
            <family val="2"/>
          </rPr>
          <t xml:space="preserve">
includes $.01 stock option expense</t>
        </r>
      </text>
    </comment>
    <comment ref="BK25" authorId="9">
      <text>
        <r>
          <rPr>
            <b/>
            <sz val="8"/>
            <color indexed="8"/>
            <rFont val="Tahoma"/>
            <family val="2"/>
          </rPr>
          <t>jbirnbau:</t>
        </r>
        <r>
          <rPr>
            <sz val="8"/>
            <color indexed="8"/>
            <rFont val="Tahoma"/>
            <family val="2"/>
          </rPr>
          <t xml:space="preserve">
includes $.02 stock option expense</t>
        </r>
      </text>
    </comment>
    <comment ref="CJ25" authorId="0">
      <text>
        <r>
          <rPr>
            <b/>
            <sz val="8"/>
            <color indexed="8"/>
            <rFont val="Tahoma"/>
            <family val="2"/>
          </rPr>
          <t>scheandr:</t>
        </r>
        <r>
          <rPr>
            <sz val="8"/>
            <color indexed="8"/>
            <rFont val="Tahoma"/>
            <family val="2"/>
          </rPr>
          <t xml:space="preserve">
Deteriorate Significantly</t>
        </r>
      </text>
    </comment>
    <comment ref="CP25" authorId="2">
      <text>
        <r>
          <rPr>
            <b/>
            <sz val="8"/>
            <color indexed="81"/>
            <rFont val="Tahoma"/>
            <family val="2"/>
          </rPr>
          <t>2Q13 cc:
Flat to down</t>
        </r>
        <r>
          <rPr>
            <sz val="8"/>
            <color indexed="81"/>
            <rFont val="Tahoma"/>
            <family val="2"/>
          </rPr>
          <t xml:space="preserve">
</t>
        </r>
      </text>
    </comment>
    <comment ref="CT25" authorId="3">
      <text>
        <r>
          <rPr>
            <b/>
            <sz val="9"/>
            <color indexed="81"/>
            <rFont val="Tahoma"/>
            <family val="2"/>
          </rPr>
          <t>3Qcc
"Moderate Decline"</t>
        </r>
      </text>
    </comment>
    <comment ref="CU25" authorId="2">
      <text>
        <r>
          <rPr>
            <b/>
            <sz val="8"/>
            <color indexed="81"/>
            <rFont val="Tahoma"/>
            <family val="2"/>
          </rPr>
          <t>2Q14 cc
"modest decline"</t>
        </r>
        <r>
          <rPr>
            <sz val="8"/>
            <color indexed="81"/>
            <rFont val="Tahoma"/>
            <family val="2"/>
          </rPr>
          <t xml:space="preserve">
</t>
        </r>
      </text>
    </comment>
    <comment ref="CY25" authorId="4">
      <text>
        <r>
          <rPr>
            <b/>
            <sz val="9"/>
            <color indexed="81"/>
            <rFont val="Tahoma"/>
            <family val="2"/>
          </rPr>
          <t>Rosenblum, Mark (Research):</t>
        </r>
        <r>
          <rPr>
            <sz val="9"/>
            <color indexed="81"/>
            <rFont val="Tahoma"/>
            <family val="2"/>
          </rPr>
          <t xml:space="preserve">
</t>
        </r>
        <r>
          <rPr>
            <b/>
            <sz val="9"/>
            <color indexed="81"/>
            <rFont val="Tahoma"/>
            <family val="2"/>
          </rPr>
          <t>3Q15</t>
        </r>
        <r>
          <rPr>
            <sz val="9"/>
            <color indexed="81"/>
            <rFont val="Tahoma"/>
            <family val="2"/>
          </rPr>
          <t xml:space="preserve">
Significant improvement</t>
        </r>
      </text>
    </comment>
    <comment ref="CZ25" authorId="3">
      <text>
        <r>
          <rPr>
            <b/>
            <sz val="9"/>
            <color indexed="81"/>
            <rFont val="Tahoma"/>
            <family val="2"/>
          </rPr>
          <t>3Q15 cc:
Notable improvement
4Q14 cc:
Modest improvement</t>
        </r>
        <r>
          <rPr>
            <sz val="9"/>
            <color indexed="81"/>
            <rFont val="Tahoma"/>
            <family val="2"/>
          </rPr>
          <t xml:space="preserve">
</t>
        </r>
      </text>
    </comment>
    <comment ref="BQ26" authorId="7">
      <text>
        <r>
          <rPr>
            <b/>
            <sz val="8"/>
            <color indexed="8"/>
            <rFont val="Tahoma"/>
            <family val="2"/>
          </rPr>
          <t>justinv:</t>
        </r>
        <r>
          <rPr>
            <sz val="8"/>
            <color indexed="8"/>
            <rFont val="Tahoma"/>
            <family val="2"/>
          </rPr>
          <t xml:space="preserve">
Reflects accounting change reported in 3Q09</t>
        </r>
      </text>
    </comment>
    <comment ref="CK28" authorId="0">
      <text>
        <r>
          <rPr>
            <b/>
            <sz val="8"/>
            <color indexed="8"/>
            <rFont val="Tahoma"/>
            <family val="2"/>
          </rPr>
          <t>2Q12
Modestly Deteriorate
12/20/11:</t>
        </r>
        <r>
          <rPr>
            <sz val="8"/>
            <color indexed="8"/>
            <rFont val="Tahoma"/>
            <family val="2"/>
          </rPr>
          <t xml:space="preserve">
guidance provided of Modest Deleverage</t>
        </r>
      </text>
    </comment>
    <comment ref="CO28" authorId="2">
      <text>
        <r>
          <rPr>
            <b/>
            <sz val="8"/>
            <color indexed="81"/>
            <rFont val="Tahoma"/>
            <family val="2"/>
          </rPr>
          <t>3Q13cc:
Notable improvement</t>
        </r>
        <r>
          <rPr>
            <sz val="8"/>
            <color indexed="81"/>
            <rFont val="Tahoma"/>
            <family val="2"/>
          </rPr>
          <t xml:space="preserve">
</t>
        </r>
      </text>
    </comment>
    <comment ref="CK37" authorId="0">
      <text>
        <r>
          <rPr>
            <b/>
            <sz val="8"/>
            <color indexed="8"/>
            <rFont val="Tahoma"/>
            <family val="2"/>
          </rPr>
          <t>3Q12
Up 60 to 65 bps
2Q12
Up 65 to 70 bps
12/20/11:</t>
        </r>
        <r>
          <rPr>
            <sz val="8"/>
            <color indexed="8"/>
            <rFont val="Tahoma"/>
            <family val="2"/>
          </rPr>
          <t xml:space="preserve">
guidance provided of Up 40 to 50 bps</t>
        </r>
      </text>
    </comment>
    <comment ref="CO37" authorId="2">
      <text>
        <r>
          <rPr>
            <b/>
            <sz val="8"/>
            <color indexed="81"/>
            <rFont val="Tahoma"/>
            <family val="2"/>
          </rPr>
          <t>3Q13cc:
Down by up to 10 bps</t>
        </r>
        <r>
          <rPr>
            <sz val="8"/>
            <color indexed="81"/>
            <rFont val="Tahoma"/>
            <family val="2"/>
          </rPr>
          <t xml:space="preserve">
</t>
        </r>
      </text>
    </comment>
    <comment ref="CP37" authorId="2">
      <text>
        <r>
          <rPr>
            <b/>
            <sz val="8"/>
            <color indexed="81"/>
            <rFont val="Tahoma"/>
            <family val="2"/>
          </rPr>
          <t>3Q13cc:
up 55bps to 60 bps</t>
        </r>
        <r>
          <rPr>
            <sz val="8"/>
            <color indexed="81"/>
            <rFont val="Tahoma"/>
            <family val="2"/>
          </rPr>
          <t xml:space="preserve">
</t>
        </r>
      </text>
    </comment>
    <comment ref="CT37" authorId="3">
      <text>
        <r>
          <rPr>
            <b/>
            <sz val="9"/>
            <color indexed="81"/>
            <rFont val="Tahoma"/>
            <family val="2"/>
          </rPr>
          <t>3Qcc
Up 40 to 45 bps</t>
        </r>
        <r>
          <rPr>
            <sz val="9"/>
            <color indexed="81"/>
            <rFont val="Tahoma"/>
            <family val="2"/>
          </rPr>
          <t xml:space="preserve">
</t>
        </r>
      </text>
    </comment>
    <comment ref="CU37" authorId="2">
      <text>
        <r>
          <rPr>
            <b/>
            <sz val="8"/>
            <color indexed="81"/>
            <rFont val="Tahoma"/>
            <family val="2"/>
          </rPr>
          <t>2Q14 cc:
up 55 bps to 60 bps</t>
        </r>
        <r>
          <rPr>
            <sz val="8"/>
            <color indexed="81"/>
            <rFont val="Tahoma"/>
            <family val="2"/>
          </rPr>
          <t xml:space="preserve">
</t>
        </r>
      </text>
    </comment>
    <comment ref="CD38" authorId="1">
      <text>
        <r>
          <rPr>
            <b/>
            <sz val="8"/>
            <color indexed="8"/>
            <rFont val="Tahoma"/>
            <family val="2"/>
          </rPr>
          <t>Justin Van Vleck:</t>
        </r>
        <r>
          <rPr>
            <sz val="8"/>
            <color indexed="8"/>
            <rFont val="Tahoma"/>
            <family val="2"/>
          </rPr>
          <t xml:space="preserve">
guided retail operating profit to grow 6.5% to 8.5% in 3Q</t>
        </r>
      </text>
    </comment>
    <comment ref="CF38" authorId="1">
      <text>
        <r>
          <rPr>
            <b/>
            <sz val="8"/>
            <color indexed="8"/>
            <rFont val="Tahoma"/>
            <family val="2"/>
          </rPr>
          <t>Justin Van Vleck:</t>
        </r>
        <r>
          <rPr>
            <sz val="8"/>
            <color indexed="8"/>
            <rFont val="Tahoma"/>
            <family val="2"/>
          </rPr>
          <t xml:space="preserve">
raised guidance to 7.5% to 9% growth for 2011 in 2Q vs. 6-8% previously</t>
        </r>
      </text>
    </comment>
    <comment ref="CG38" authorId="0">
      <text>
        <r>
          <rPr>
            <b/>
            <sz val="8"/>
            <color indexed="8"/>
            <rFont val="Tahoma"/>
            <family val="2"/>
          </rPr>
          <t>4Q11cc:</t>
        </r>
        <r>
          <rPr>
            <sz val="8"/>
            <color indexed="8"/>
            <rFont val="Tahoma"/>
            <family val="2"/>
          </rPr>
          <t xml:space="preserve">
+ 14% to 16%</t>
        </r>
      </text>
    </comment>
    <comment ref="CH38" authorId="0">
      <text>
        <r>
          <rPr>
            <b/>
            <sz val="8"/>
            <color indexed="8"/>
            <rFont val="Tahoma"/>
            <family val="2"/>
          </rPr>
          <t>scheandr:</t>
        </r>
        <r>
          <rPr>
            <sz val="8"/>
            <color indexed="8"/>
            <rFont val="Tahoma"/>
            <family val="2"/>
          </rPr>
          <t xml:space="preserve">
+ 16.5% to 18.5%</t>
        </r>
      </text>
    </comment>
    <comment ref="CI38" authorId="0">
      <text>
        <r>
          <rPr>
            <b/>
            <sz val="8"/>
            <color indexed="8"/>
            <rFont val="Tahoma"/>
            <family val="2"/>
          </rPr>
          <t>scheandr:</t>
        </r>
        <r>
          <rPr>
            <sz val="8"/>
            <color indexed="8"/>
            <rFont val="Tahoma"/>
            <family val="2"/>
          </rPr>
          <t xml:space="preserve">
+ 15% to 17%</t>
        </r>
      </text>
    </comment>
    <comment ref="CJ38" authorId="0">
      <text>
        <r>
          <rPr>
            <b/>
            <sz val="8"/>
            <color indexed="8"/>
            <rFont val="Tahoma"/>
            <family val="2"/>
          </rPr>
          <t>scheandr:</t>
        </r>
        <r>
          <rPr>
            <sz val="8"/>
            <color indexed="8"/>
            <rFont val="Tahoma"/>
            <family val="2"/>
          </rPr>
          <t xml:space="preserve">
+ 6% to 8%</t>
        </r>
      </text>
    </comment>
    <comment ref="CK38" authorId="1">
      <text>
        <r>
          <rPr>
            <b/>
            <sz val="8"/>
            <color indexed="8"/>
            <rFont val="Tahoma"/>
            <family val="2"/>
          </rPr>
          <t xml:space="preserve">3Q12
+14 25% to 14 75%
2q12
+ 14% to 15%
4Q11cc:
+ 8 5% to 10 5%
12/20/11
+7% to 9% guidance
</t>
        </r>
        <r>
          <rPr>
            <sz val="8"/>
            <color indexed="8"/>
            <rFont val="Tahoma"/>
            <family val="2"/>
          </rPr>
          <t xml:space="preserve">
</t>
        </r>
      </text>
    </comment>
    <comment ref="CL38" authorId="2">
      <text>
        <r>
          <rPr>
            <b/>
            <sz val="8"/>
            <color indexed="81"/>
            <rFont val="Tahoma"/>
            <family val="2"/>
          </rPr>
          <t>9.5% to 11.5%</t>
        </r>
        <r>
          <rPr>
            <sz val="8"/>
            <color indexed="81"/>
            <rFont val="Tahoma"/>
            <family val="2"/>
          </rPr>
          <t xml:space="preserve">
</t>
        </r>
      </text>
    </comment>
    <comment ref="CM38" authorId="2">
      <text>
        <r>
          <rPr>
            <b/>
            <sz val="8"/>
            <color indexed="81"/>
            <rFont val="Tahoma"/>
            <family val="2"/>
          </rPr>
          <t>1Q13 cc:
7.25% to 9.0%</t>
        </r>
        <r>
          <rPr>
            <sz val="8"/>
            <color indexed="81"/>
            <rFont val="Tahoma"/>
            <family val="2"/>
          </rPr>
          <t xml:space="preserve">
</t>
        </r>
      </text>
    </comment>
    <comment ref="CN38" authorId="2">
      <text>
        <r>
          <rPr>
            <b/>
            <sz val="8"/>
            <color indexed="81"/>
            <rFont val="Tahoma"/>
            <family val="2"/>
          </rPr>
          <t>2Q13 cc:
7.5% to 9.0%</t>
        </r>
        <r>
          <rPr>
            <sz val="8"/>
            <color indexed="81"/>
            <rFont val="Tahoma"/>
            <family val="2"/>
          </rPr>
          <t xml:space="preserve">
</t>
        </r>
      </text>
    </comment>
    <comment ref="CO38" authorId="2">
      <text>
        <r>
          <rPr>
            <b/>
            <sz val="8"/>
            <color indexed="81"/>
            <rFont val="Tahoma"/>
            <family val="2"/>
          </rPr>
          <t>3Q13cc:
2.75% to 4.5%</t>
        </r>
        <r>
          <rPr>
            <sz val="8"/>
            <color indexed="81"/>
            <rFont val="Tahoma"/>
            <family val="2"/>
          </rPr>
          <t xml:space="preserve">
</t>
        </r>
      </text>
    </comment>
    <comment ref="CP38" authorId="2">
      <text>
        <r>
          <rPr>
            <b/>
            <sz val="8"/>
            <color indexed="81"/>
            <rFont val="Tahoma"/>
            <family val="2"/>
          </rPr>
          <t>3Q13cc
9% to 9.5%</t>
        </r>
      </text>
    </comment>
    <comment ref="CQ38" authorId="2">
      <text>
        <r>
          <rPr>
            <b/>
            <sz val="8"/>
            <color indexed="81"/>
            <rFont val="Tahoma"/>
            <family val="2"/>
          </rPr>
          <t>4Q13 cc:
14.5% to 16.5%</t>
        </r>
        <r>
          <rPr>
            <sz val="8"/>
            <color indexed="81"/>
            <rFont val="Tahoma"/>
            <family val="2"/>
          </rPr>
          <t xml:space="preserve">
</t>
        </r>
      </text>
    </comment>
    <comment ref="CR38" authorId="2">
      <text>
        <r>
          <rPr>
            <b/>
            <sz val="8"/>
            <color indexed="81"/>
            <rFont val="Tahoma"/>
            <family val="2"/>
          </rPr>
          <t>1Q14 cc:
4.5% to 6.5%</t>
        </r>
        <r>
          <rPr>
            <sz val="8"/>
            <color indexed="81"/>
            <rFont val="Tahoma"/>
            <family val="2"/>
          </rPr>
          <t xml:space="preserve">
</t>
        </r>
      </text>
    </comment>
    <comment ref="CS38" authorId="3">
      <text>
        <r>
          <rPr>
            <b/>
            <sz val="9"/>
            <color indexed="81"/>
            <rFont val="Tahoma"/>
            <family val="2"/>
          </rPr>
          <t>8.8% excluding a $61m legal gain in 3Q13
2Q14 cc:
7% to 9%</t>
        </r>
        <r>
          <rPr>
            <sz val="9"/>
            <color indexed="81"/>
            <rFont val="Tahoma"/>
            <family val="2"/>
          </rPr>
          <t xml:space="preserve">
</t>
        </r>
      </text>
    </comment>
    <comment ref="CT38" authorId="3">
      <text>
        <r>
          <rPr>
            <b/>
            <sz val="9"/>
            <color indexed="81"/>
            <rFont val="Tahoma"/>
            <family val="2"/>
          </rPr>
          <t>3Qcc
4.5% to 6.25%</t>
        </r>
        <r>
          <rPr>
            <sz val="9"/>
            <color indexed="81"/>
            <rFont val="Tahoma"/>
            <family val="2"/>
          </rPr>
          <t xml:space="preserve">
</t>
        </r>
      </text>
    </comment>
    <comment ref="CU38" authorId="2">
      <text>
        <r>
          <rPr>
            <b/>
            <sz val="8"/>
            <color indexed="81"/>
            <rFont val="Tahoma"/>
            <family val="2"/>
          </rPr>
          <t>2Q14cc:
7.25% to 8.5%</t>
        </r>
        <r>
          <rPr>
            <sz val="8"/>
            <color indexed="81"/>
            <rFont val="Tahoma"/>
            <family val="2"/>
          </rPr>
          <t xml:space="preserve">
</t>
        </r>
      </text>
    </comment>
    <comment ref="CV38" authorId="3">
      <text>
        <r>
          <rPr>
            <b/>
            <sz val="9"/>
            <color indexed="81"/>
            <rFont val="Tahoma"/>
            <family val="2"/>
          </rPr>
          <t>-1.5% to 0.5%</t>
        </r>
        <r>
          <rPr>
            <sz val="9"/>
            <color indexed="81"/>
            <rFont val="Tahoma"/>
            <family val="2"/>
          </rPr>
          <t xml:space="preserve">
</t>
        </r>
      </text>
    </comment>
    <comment ref="CW38" authorId="3">
      <text>
        <r>
          <rPr>
            <b/>
            <sz val="9"/>
            <color indexed="81"/>
            <rFont val="Tahoma"/>
            <family val="2"/>
          </rPr>
          <t>-4% to -2%</t>
        </r>
        <r>
          <rPr>
            <sz val="9"/>
            <color indexed="81"/>
            <rFont val="Tahoma"/>
            <family val="2"/>
          </rPr>
          <t xml:space="preserve">
</t>
        </r>
      </text>
    </comment>
    <comment ref="CX38" authorId="4">
      <text>
        <r>
          <rPr>
            <b/>
            <sz val="9"/>
            <color indexed="81"/>
            <rFont val="Tahoma"/>
            <family val="2"/>
          </rPr>
          <t>Rosenblum, Mark (Research):</t>
        </r>
        <r>
          <rPr>
            <sz val="9"/>
            <color indexed="81"/>
            <rFont val="Tahoma"/>
            <family val="2"/>
          </rPr>
          <t xml:space="preserve">
2Q15cc:
4.0 to 6.0%</t>
        </r>
      </text>
    </comment>
    <comment ref="CY38" authorId="4">
      <text>
        <r>
          <rPr>
            <b/>
            <sz val="9"/>
            <color indexed="81"/>
            <rFont val="Tahoma"/>
            <family val="2"/>
          </rPr>
          <t>Rosenblum, Mark (Research):</t>
        </r>
        <r>
          <rPr>
            <sz val="9"/>
            <color indexed="81"/>
            <rFont val="Tahoma"/>
            <family val="2"/>
          </rPr>
          <t xml:space="preserve">
</t>
        </r>
        <r>
          <rPr>
            <b/>
            <sz val="9"/>
            <color indexed="81"/>
            <rFont val="Tahoma"/>
            <family val="2"/>
          </rPr>
          <t>3Q15:</t>
        </r>
        <r>
          <rPr>
            <sz val="9"/>
            <color indexed="81"/>
            <rFont val="Tahoma"/>
            <family val="2"/>
          </rPr>
          <t xml:space="preserve">
19.25% to 21.25%</t>
        </r>
      </text>
    </comment>
    <comment ref="CZ38" authorId="3">
      <text>
        <r>
          <rPr>
            <b/>
            <sz val="9"/>
            <color indexed="81"/>
            <rFont val="Tahoma"/>
            <family val="2"/>
          </rPr>
          <t>3Q15 cc:
6.25% to 6.75%
4Q14 cc:
4.75% to 6.5%</t>
        </r>
        <r>
          <rPr>
            <sz val="9"/>
            <color indexed="81"/>
            <rFont val="Tahoma"/>
            <family val="2"/>
          </rPr>
          <t xml:space="preserve">
</t>
        </r>
      </text>
    </comment>
    <comment ref="DE38" authorId="10">
      <text>
        <r>
          <rPr>
            <b/>
            <sz val="9"/>
            <color indexed="81"/>
            <rFont val="Tahoma"/>
            <family val="2"/>
          </rPr>
          <t>Goldwasser, Ricky (Research):</t>
        </r>
        <r>
          <rPr>
            <sz val="9"/>
            <color indexed="81"/>
            <rFont val="Tahoma"/>
            <family val="2"/>
          </rPr>
          <t xml:space="preserve">
Mngmt guides on 3q15 cc to mid single digits y/y growth rate</t>
        </r>
      </text>
    </comment>
    <comment ref="CF47" authorId="0">
      <text>
        <r>
          <rPr>
            <b/>
            <sz val="8"/>
            <color indexed="8"/>
            <rFont val="Tahoma"/>
            <family val="2"/>
          </rPr>
          <t>2Q11cc:</t>
        </r>
        <r>
          <rPr>
            <sz val="8"/>
            <color indexed="8"/>
            <rFont val="Tahoma"/>
            <family val="2"/>
          </rPr>
          <t xml:space="preserve">
on track to open approximately 150
net-new stores for the year</t>
        </r>
      </text>
    </comment>
    <comment ref="CF49" authorId="0">
      <text>
        <r>
          <rPr>
            <b/>
            <sz val="8"/>
            <color indexed="8"/>
            <rFont val="Tahoma"/>
            <family val="2"/>
          </rPr>
          <t>scheandr:</t>
        </r>
        <r>
          <rPr>
            <sz val="8"/>
            <color indexed="8"/>
            <rFont val="Tahoma"/>
            <family val="2"/>
          </rPr>
          <t xml:space="preserve">
Expect To Open 225 To 250 New Or Relocated Stores</t>
        </r>
      </text>
    </comment>
    <comment ref="P51" authorId="7">
      <text>
        <r>
          <rPr>
            <b/>
            <sz val="8"/>
            <color indexed="8"/>
            <rFont val="Tahoma"/>
            <family val="2"/>
          </rPr>
          <t>justinv:</t>
        </r>
        <r>
          <rPr>
            <sz val="8"/>
            <color indexed="8"/>
            <rFont val="Tahoma"/>
            <family val="2"/>
          </rPr>
          <t xml:space="preserve">
Arbor Drugs merger</t>
        </r>
      </text>
    </comment>
    <comment ref="AU51" authorId="7">
      <text>
        <r>
          <rPr>
            <b/>
            <sz val="8"/>
            <color indexed="8"/>
            <rFont val="Tahoma"/>
            <family val="2"/>
          </rPr>
          <t>justinv:</t>
        </r>
        <r>
          <rPr>
            <sz val="8"/>
            <color indexed="8"/>
            <rFont val="Tahoma"/>
            <family val="2"/>
          </rPr>
          <t xml:space="preserve">
Eckard acquisition</t>
        </r>
      </text>
    </comment>
    <comment ref="AW51" authorId="7">
      <text>
        <r>
          <rPr>
            <b/>
            <sz val="8"/>
            <color indexed="8"/>
            <rFont val="Tahoma"/>
            <family val="2"/>
          </rPr>
          <t>justinv:</t>
        </r>
        <r>
          <rPr>
            <sz val="8"/>
            <color indexed="8"/>
            <rFont val="Tahoma"/>
            <family val="2"/>
          </rPr>
          <t xml:space="preserve">
Eckerd Acquisition</t>
        </r>
      </text>
    </comment>
    <comment ref="BD51" authorId="7">
      <text>
        <r>
          <rPr>
            <b/>
            <sz val="8"/>
            <color indexed="8"/>
            <rFont val="Tahoma"/>
            <family val="2"/>
          </rPr>
          <t>justinv:</t>
        </r>
        <r>
          <rPr>
            <sz val="8"/>
            <color indexed="8"/>
            <rFont val="Tahoma"/>
            <family val="2"/>
          </rPr>
          <t xml:space="preserve">
Sav-On acquisition</t>
        </r>
      </text>
    </comment>
    <comment ref="BG51" authorId="7">
      <text>
        <r>
          <rPr>
            <b/>
            <sz val="8"/>
            <color indexed="8"/>
            <rFont val="Tahoma"/>
            <family val="2"/>
          </rPr>
          <t>justinv:</t>
        </r>
        <r>
          <rPr>
            <sz val="8"/>
            <color indexed="8"/>
            <rFont val="Tahoma"/>
            <family val="2"/>
          </rPr>
          <t xml:space="preserve">
Sav-On and Osco stores acquired from Albertson's.  Most were in SoCal</t>
        </r>
      </text>
    </comment>
    <comment ref="BP51" authorId="7">
      <text>
        <r>
          <rPr>
            <b/>
            <sz val="8"/>
            <color indexed="8"/>
            <rFont val="Tahoma"/>
            <family val="2"/>
          </rPr>
          <t>justinv:</t>
        </r>
        <r>
          <rPr>
            <sz val="8"/>
            <color indexed="8"/>
            <rFont val="Tahoma"/>
            <family val="2"/>
          </rPr>
          <t xml:space="preserve">
Longs Acquisition</t>
        </r>
      </text>
    </comment>
    <comment ref="BQ51" authorId="7">
      <text>
        <r>
          <rPr>
            <b/>
            <sz val="8"/>
            <color indexed="8"/>
            <rFont val="Tahoma"/>
            <family val="2"/>
          </rPr>
          <t>justinv:</t>
        </r>
        <r>
          <rPr>
            <sz val="8"/>
            <color indexed="8"/>
            <rFont val="Tahoma"/>
            <family val="2"/>
          </rPr>
          <t xml:space="preserve">
Longs Acquisition</t>
        </r>
      </text>
    </comment>
    <comment ref="CY51" authorId="4">
      <text>
        <r>
          <rPr>
            <b/>
            <sz val="9"/>
            <color indexed="81"/>
            <rFont val="Tahoma"/>
            <family val="2"/>
          </rPr>
          <t>Rosenblum, Mark (Research):</t>
        </r>
        <r>
          <rPr>
            <sz val="9"/>
            <color indexed="81"/>
            <rFont val="Tahoma"/>
            <family val="2"/>
          </rPr>
          <t xml:space="preserve">
TGT acquisition</t>
        </r>
      </text>
    </comment>
    <comment ref="BG52" authorId="7">
      <text>
        <r>
          <rPr>
            <b/>
            <sz val="8"/>
            <color indexed="8"/>
            <rFont val="Tahoma"/>
            <family val="2"/>
          </rPr>
          <t>justinv:</t>
        </r>
        <r>
          <rPr>
            <sz val="8"/>
            <color indexed="8"/>
            <rFont val="Tahoma"/>
            <family val="2"/>
          </rPr>
          <t xml:space="preserve">
Included 73 stores of the standalone drug business</t>
        </r>
      </text>
    </comment>
    <comment ref="DF52" authorId="11">
      <text>
        <r>
          <rPr>
            <sz val="9"/>
            <color indexed="81"/>
            <rFont val="Tahoma"/>
            <family val="2"/>
          </rPr>
          <t>Includes: 
Reclass of onsite pharmacies 38 stores 
pg. 18, 1Q 17 presentation</t>
        </r>
      </text>
    </comment>
    <comment ref="BK54" authorId="7">
      <text>
        <r>
          <rPr>
            <b/>
            <sz val="8"/>
            <color indexed="8"/>
            <rFont val="Tahoma"/>
            <family val="2"/>
          </rPr>
          <t>justinv:</t>
        </r>
        <r>
          <rPr>
            <sz val="8"/>
            <color indexed="8"/>
            <rFont val="Tahoma"/>
            <family val="2"/>
          </rPr>
          <t xml:space="preserve">
Should be 6297, but this is reported number.  Company's backward looking total store numbers are greater than their former reported numbers by 3 stores too.
Company now includes the specialty retail drug stores in the PBM segment, and the changes in stores is now only for the retail drugstores themselves.  For this year, the total retail stores are 6301, with 6245 retail drugstores.  Since these are what the changes are being referred to, this will be the ending number and base for 1Q08.</t>
        </r>
      </text>
    </comment>
    <comment ref="BL54" authorId="7">
      <text>
        <r>
          <rPr>
            <b/>
            <sz val="8"/>
            <color indexed="8"/>
            <rFont val="Tahoma"/>
            <family val="2"/>
          </rPr>
          <t>justinv:</t>
        </r>
        <r>
          <rPr>
            <sz val="8"/>
            <color indexed="8"/>
            <rFont val="Tahoma"/>
            <family val="2"/>
          </rPr>
          <t xml:space="preserve">
company includes retail specialty drug stores in pharmacy services segment and not in this number.  These stores selling space is also not included in the selling square footage</t>
        </r>
      </text>
    </comment>
    <comment ref="BS54" authorId="7">
      <text>
        <r>
          <rPr>
            <b/>
            <sz val="8"/>
            <color indexed="8"/>
            <rFont val="Tahoma"/>
            <family val="2"/>
          </rPr>
          <t>justinv:</t>
        </r>
        <r>
          <rPr>
            <sz val="8"/>
            <color indexed="8"/>
            <rFont val="Tahoma"/>
            <family val="2"/>
          </rPr>
          <t xml:space="preserve">
Now only have 483 Longs stores open - given in 10-q.  </t>
        </r>
      </text>
    </comment>
    <comment ref="BT54" authorId="7">
      <text>
        <r>
          <rPr>
            <b/>
            <sz val="8"/>
            <color indexed="8"/>
            <rFont val="Tahoma"/>
            <family val="2"/>
          </rPr>
          <t>justinv:</t>
        </r>
        <r>
          <rPr>
            <sz val="8"/>
            <color indexed="8"/>
            <rFont val="Tahoma"/>
            <family val="2"/>
          </rPr>
          <t xml:space="preserve">
Includes 481 Longs stores</t>
        </r>
      </text>
    </comment>
    <comment ref="B56" authorId="1">
      <text>
        <r>
          <rPr>
            <b/>
            <sz val="8"/>
            <color indexed="8"/>
            <rFont val="Tahoma"/>
            <family val="2"/>
          </rPr>
          <t>Justin Van Vleck:</t>
        </r>
        <r>
          <rPr>
            <sz val="8"/>
            <color indexed="8"/>
            <rFont val="Tahoma"/>
            <family val="2"/>
          </rPr>
          <t xml:space="preserve">
000's</t>
        </r>
      </text>
    </comment>
    <comment ref="BK56" authorId="7">
      <text>
        <r>
          <rPr>
            <b/>
            <sz val="8"/>
            <color indexed="8"/>
            <rFont val="Tahoma"/>
            <family val="2"/>
          </rPr>
          <t>justinv:</t>
        </r>
        <r>
          <rPr>
            <sz val="8"/>
            <color indexed="8"/>
            <rFont val="Tahoma"/>
            <family val="2"/>
          </rPr>
          <t xml:space="preserve">
Stated in 2007 10-k that this now only represents the retail drugstores and does not include the specialty retail stores </t>
        </r>
      </text>
    </comment>
    <comment ref="CF58" authorId="0">
      <text>
        <r>
          <rPr>
            <b/>
            <sz val="8"/>
            <color indexed="8"/>
            <rFont val="Tahoma"/>
            <family val="2"/>
          </rPr>
          <t>2Q11cc:</t>
        </r>
        <r>
          <rPr>
            <sz val="8"/>
            <color indexed="8"/>
            <rFont val="Tahoma"/>
            <family val="2"/>
          </rPr>
          <t xml:space="preserve">
retail square footage growth of 2% to 3%</t>
        </r>
      </text>
    </comment>
    <comment ref="B62" authorId="1">
      <text>
        <r>
          <rPr>
            <b/>
            <sz val="8"/>
            <color indexed="8"/>
            <rFont val="Tahoma"/>
            <family val="2"/>
          </rPr>
          <t>Justin Van Vleck:</t>
        </r>
        <r>
          <rPr>
            <sz val="8"/>
            <color indexed="8"/>
            <rFont val="Tahoma"/>
            <family val="2"/>
          </rPr>
          <t xml:space="preserve">
This is unadjusted prescriptions.  Maintenance Choice counted as 1 in this line</t>
        </r>
      </text>
    </comment>
    <comment ref="B76" authorId="1">
      <text>
        <r>
          <rPr>
            <b/>
            <sz val="8"/>
            <color indexed="8"/>
            <rFont val="Tahoma"/>
            <family val="2"/>
          </rPr>
          <t>Justin Van Vleck:</t>
        </r>
        <r>
          <rPr>
            <sz val="8"/>
            <color indexed="8"/>
            <rFont val="Tahoma"/>
            <family val="2"/>
          </rPr>
          <t xml:space="preserve">
This Line Item Counts Maintenance Choice Scripts as 1 script</t>
        </r>
      </text>
    </comment>
    <comment ref="CG76" authorId="0">
      <text>
        <r>
          <rPr>
            <b/>
            <sz val="8"/>
            <color indexed="8"/>
            <rFont val="Tahoma"/>
            <family val="2"/>
          </rPr>
          <t>4Q11cc:
+ 5.5% to 6.5%
12/20/11:</t>
        </r>
        <r>
          <rPr>
            <sz val="8"/>
            <color indexed="8"/>
            <rFont val="Tahoma"/>
            <family val="2"/>
          </rPr>
          <t xml:space="preserve">
+2% to +3%</t>
        </r>
      </text>
    </comment>
    <comment ref="CH76" authorId="0">
      <text>
        <r>
          <rPr>
            <sz val="8"/>
            <color indexed="8"/>
            <rFont val="Tahoma"/>
            <family val="2"/>
          </rPr>
          <t>Estimate WAG‐ESI Added 410 To 430 Basis Points To Pharmacy Comp And 400 To 430 Basis Points To Script Comp; Equates To 6.5 To 7.0 Million Scripts</t>
        </r>
        <r>
          <rPr>
            <b/>
            <sz val="8"/>
            <color indexed="8"/>
            <rFont val="Tahoma"/>
            <family val="2"/>
          </rPr>
          <t xml:space="preserve">
scheandr:</t>
        </r>
        <r>
          <rPr>
            <sz val="8"/>
            <color indexed="8"/>
            <rFont val="Tahoma"/>
            <family val="2"/>
          </rPr>
          <t xml:space="preserve">
+ 6.5% to 7.5%</t>
        </r>
      </text>
    </comment>
    <comment ref="CI76" authorId="0">
      <text>
        <r>
          <rPr>
            <b/>
            <sz val="8"/>
            <color indexed="8"/>
            <rFont val="Tahoma"/>
            <family val="2"/>
          </rPr>
          <t>scheandr:</t>
        </r>
        <r>
          <rPr>
            <sz val="8"/>
            <color indexed="8"/>
            <rFont val="Tahoma"/>
            <family val="2"/>
          </rPr>
          <t xml:space="preserve">
+ 6.5% to 7.5%</t>
        </r>
      </text>
    </comment>
    <comment ref="CJ76" authorId="0">
      <text>
        <r>
          <rPr>
            <b/>
            <sz val="8"/>
            <color indexed="8"/>
            <rFont val="Tahoma"/>
            <family val="2"/>
          </rPr>
          <t>scheandr:</t>
        </r>
        <r>
          <rPr>
            <sz val="8"/>
            <color indexed="8"/>
            <rFont val="Tahoma"/>
            <family val="2"/>
          </rPr>
          <t xml:space="preserve">
+ 7% to 8%</t>
        </r>
      </text>
    </comment>
    <comment ref="CK76" authorId="0">
      <text>
        <r>
          <rPr>
            <b/>
            <sz val="8"/>
            <color indexed="8"/>
            <rFont val="Tahoma"/>
            <family val="2"/>
          </rPr>
          <t>3Q12
7.75% to 8%
1q12cc
+ 5% to 6%
2Q12
+ 6% to 7%
4Q11cc:
+ 4% to 5%
12/20/11:</t>
        </r>
        <r>
          <rPr>
            <sz val="8"/>
            <color indexed="8"/>
            <rFont val="Tahoma"/>
            <family val="2"/>
          </rPr>
          <t xml:space="preserve">
+3% to +4%</t>
        </r>
      </text>
    </comment>
    <comment ref="CL76" authorId="2">
      <text>
        <r>
          <rPr>
            <b/>
            <sz val="8"/>
            <color indexed="81"/>
            <rFont val="Tahoma"/>
            <family val="2"/>
          </rPr>
          <t>inv day</t>
        </r>
        <r>
          <rPr>
            <sz val="8"/>
            <color indexed="81"/>
            <rFont val="Tahoma"/>
            <family val="2"/>
          </rPr>
          <t xml:space="preserve">
0.75% to 1.75%</t>
        </r>
      </text>
    </comment>
    <comment ref="CM76" authorId="2">
      <text>
        <r>
          <rPr>
            <b/>
            <sz val="8"/>
            <color indexed="81"/>
            <rFont val="Tahoma"/>
            <family val="2"/>
          </rPr>
          <t>1Q13 cc:
1.5% to 2.5%</t>
        </r>
      </text>
    </comment>
    <comment ref="CN76" authorId="12">
      <text>
        <r>
          <rPr>
            <sz val="8"/>
            <color indexed="81"/>
            <rFont val="Tahoma"/>
            <family val="2"/>
          </rPr>
          <t>CC: "Pharmacy same-store scripts increased 1.4% when counting 90 day scripts and increased 4.5% on a 30 day equivalent bsis"</t>
        </r>
      </text>
    </comment>
    <comment ref="CO76" authorId="2">
      <text>
        <r>
          <rPr>
            <b/>
            <sz val="8"/>
            <color indexed="81"/>
            <rFont val="Tahoma"/>
            <family val="2"/>
          </rPr>
          <t>3Q13cc:
0.5% to 1.5%</t>
        </r>
        <r>
          <rPr>
            <sz val="8"/>
            <color indexed="81"/>
            <rFont val="Tahoma"/>
            <family val="2"/>
          </rPr>
          <t xml:space="preserve">
</t>
        </r>
      </text>
    </comment>
    <comment ref="CP76" authorId="2">
      <text>
        <r>
          <rPr>
            <sz val="8"/>
            <color indexed="81"/>
            <rFont val="Tahoma"/>
            <family val="2"/>
          </rPr>
          <t xml:space="preserve">3Q13 cc
1.5% to 2.0%
</t>
        </r>
      </text>
    </comment>
    <comment ref="B77" authorId="1">
      <text>
        <r>
          <rPr>
            <b/>
            <sz val="8"/>
            <color indexed="8"/>
            <rFont val="Tahoma"/>
            <family val="2"/>
          </rPr>
          <t>Justin Van Vleck:</t>
        </r>
        <r>
          <rPr>
            <sz val="8"/>
            <color indexed="8"/>
            <rFont val="Tahoma"/>
            <family val="2"/>
          </rPr>
          <t xml:space="preserve">
This line item counts maintenance choice scripts as 3 scripts</t>
        </r>
      </text>
    </comment>
    <comment ref="CS77" authorId="3">
      <text>
        <r>
          <rPr>
            <b/>
            <sz val="9"/>
            <color indexed="81"/>
            <rFont val="Tahoma"/>
            <family val="2"/>
          </rPr>
          <t>2Q14 cc:
3.75% to 4.75%</t>
        </r>
        <r>
          <rPr>
            <sz val="9"/>
            <color indexed="81"/>
            <rFont val="Tahoma"/>
            <family val="2"/>
          </rPr>
          <t xml:space="preserve">
</t>
        </r>
      </text>
    </comment>
    <comment ref="CT77" authorId="3">
      <text>
        <r>
          <rPr>
            <b/>
            <sz val="9"/>
            <color indexed="81"/>
            <rFont val="Tahoma"/>
            <family val="2"/>
          </rPr>
          <t>3Qcc
3.5% to 4.5%</t>
        </r>
        <r>
          <rPr>
            <sz val="9"/>
            <color indexed="81"/>
            <rFont val="Tahoma"/>
            <family val="2"/>
          </rPr>
          <t xml:space="preserve">
</t>
        </r>
      </text>
    </comment>
    <comment ref="CU77" authorId="2">
      <text>
        <r>
          <rPr>
            <b/>
            <sz val="8"/>
            <color indexed="81"/>
            <rFont val="Tahoma"/>
            <family val="2"/>
          </rPr>
          <t>1Q14cc:
3.25% to 4.25%</t>
        </r>
        <r>
          <rPr>
            <sz val="8"/>
            <color indexed="81"/>
            <rFont val="Tahoma"/>
            <family val="2"/>
          </rPr>
          <t xml:space="preserve">
</t>
        </r>
      </text>
    </comment>
    <comment ref="CV77" authorId="3">
      <text>
        <r>
          <rPr>
            <b/>
            <sz val="9"/>
            <color indexed="81"/>
            <rFont val="Tahoma"/>
            <family val="2"/>
          </rPr>
          <t>4% to 5%</t>
        </r>
        <r>
          <rPr>
            <sz val="9"/>
            <color indexed="81"/>
            <rFont val="Tahoma"/>
            <family val="2"/>
          </rPr>
          <t xml:space="preserve">
</t>
        </r>
      </text>
    </comment>
    <comment ref="CX77" authorId="4">
      <text>
        <r>
          <rPr>
            <b/>
            <sz val="9"/>
            <color indexed="81"/>
            <rFont val="Tahoma"/>
            <family val="2"/>
          </rPr>
          <t>Rosenblum, Mark (Research):</t>
        </r>
        <r>
          <rPr>
            <sz val="9"/>
            <color indexed="81"/>
            <rFont val="Tahoma"/>
            <family val="2"/>
          </rPr>
          <t xml:space="preserve">
2Q15cc:
4.75% to 5.75%</t>
        </r>
      </text>
    </comment>
    <comment ref="CZ77" authorId="3">
      <text>
        <r>
          <rPr>
            <b/>
            <sz val="9"/>
            <color indexed="81"/>
            <rFont val="Tahoma"/>
            <family val="2"/>
          </rPr>
          <t>3Q15
4.25% to 4.75%
2Q15
4% to 5%
4Q14cc:
4% to 5%</t>
        </r>
        <r>
          <rPr>
            <sz val="9"/>
            <color indexed="81"/>
            <rFont val="Tahoma"/>
            <family val="2"/>
          </rPr>
          <t xml:space="preserve">
</t>
        </r>
      </text>
    </comment>
    <comment ref="BU79" authorId="1">
      <text>
        <r>
          <rPr>
            <b/>
            <sz val="8"/>
            <color indexed="8"/>
            <rFont val="Tahoma"/>
            <family val="2"/>
          </rPr>
          <t>Justin Van Vleck:</t>
        </r>
        <r>
          <rPr>
            <sz val="8"/>
            <color indexed="8"/>
            <rFont val="Tahoma"/>
            <family val="2"/>
          </rPr>
          <t xml:space="preserve">
goofy because of the Longs integration.  The Longs stores started in the comp base this quarter, but last year's script count included Longs stores, so the script growth number Ryan called out might be oddly impacted by that.  The figures in Q's 2 and 3 also seem to be strange, as the scripts per store per week from new stores is way too high.</t>
        </r>
      </text>
    </comment>
    <comment ref="CG108" authorId="0">
      <text>
        <r>
          <rPr>
            <b/>
            <sz val="8"/>
            <color indexed="8"/>
            <rFont val="Tahoma"/>
            <family val="2"/>
          </rPr>
          <t>scheandr:</t>
        </r>
        <r>
          <rPr>
            <sz val="8"/>
            <color indexed="8"/>
            <rFont val="Tahoma"/>
            <family val="2"/>
          </rPr>
          <t xml:space="preserve">
includes $30 million one tmie benefit from pharmacy revaluation </t>
        </r>
      </text>
    </comment>
    <comment ref="BF146" authorId="8">
      <text>
        <r>
          <rPr>
            <b/>
            <sz val="8"/>
            <color indexed="8"/>
            <rFont val="Tahoma"/>
            <family val="2"/>
          </rPr>
          <t>Mark Wiltamuth:</t>
        </r>
        <r>
          <rPr>
            <sz val="8"/>
            <color indexed="8"/>
            <rFont val="Tahoma"/>
            <family val="2"/>
          </rPr>
          <t xml:space="preserve">
Rx sales should slow again as $11B in patents lose protection in 2006 and generic mix rises</t>
        </r>
      </text>
    </comment>
    <comment ref="X149" authorId="5">
      <text>
        <r>
          <rPr>
            <b/>
            <sz val="8"/>
            <color indexed="8"/>
            <rFont val="Tahoma"/>
            <family val="2"/>
          </rPr>
          <t>fariborz:</t>
        </r>
        <r>
          <rPr>
            <sz val="8"/>
            <color indexed="8"/>
            <rFont val="Tahoma"/>
            <family val="2"/>
          </rPr>
          <t xml:space="preserve">
1998 was the first year CVS provided front-end comp info</t>
        </r>
      </text>
    </comment>
    <comment ref="BA149" authorId="8">
      <text>
        <r>
          <rPr>
            <b/>
            <sz val="8"/>
            <color indexed="8"/>
            <rFont val="Tahoma"/>
            <family val="2"/>
          </rPr>
          <t>Mark Wiltamuth:</t>
        </r>
        <r>
          <rPr>
            <sz val="8"/>
            <color indexed="8"/>
            <rFont val="Tahoma"/>
            <family val="2"/>
          </rPr>
          <t xml:space="preserve">
Eckerd turnaround vs. declines in year ago inflates comps</t>
        </r>
      </text>
    </comment>
    <comment ref="CB149" authorId="1">
      <text>
        <r>
          <rPr>
            <b/>
            <sz val="8"/>
            <color indexed="8"/>
            <rFont val="Tahoma"/>
            <family val="2"/>
          </rPr>
          <t>Justin Van Vleck:</t>
        </r>
        <r>
          <rPr>
            <sz val="8"/>
            <color indexed="8"/>
            <rFont val="Tahoma"/>
            <family val="2"/>
          </rPr>
          <t xml:space="preserve">
Easter shift hurt by 45 bps</t>
        </r>
      </text>
    </comment>
    <comment ref="CC149" authorId="1">
      <text>
        <r>
          <rPr>
            <b/>
            <sz val="8"/>
            <color indexed="8"/>
            <rFont val="Tahoma"/>
            <family val="2"/>
          </rPr>
          <t>Justin Van Vleck:</t>
        </r>
        <r>
          <rPr>
            <sz val="8"/>
            <color indexed="8"/>
            <rFont val="Tahoma"/>
            <family val="2"/>
          </rPr>
          <t xml:space="preserve">
Easter helped by 45 bps</t>
        </r>
      </text>
    </comment>
    <comment ref="CS149" authorId="3">
      <text>
        <r>
          <rPr>
            <sz val="9"/>
            <color indexed="81"/>
            <rFont val="Tahoma"/>
            <family val="2"/>
          </rPr>
          <t xml:space="preserve">3Q cc
Tobacco and related sales decreased by 480 bps (+0.3% without)
</t>
        </r>
      </text>
    </comment>
    <comment ref="CT149" authorId="3">
      <text>
        <r>
          <rPr>
            <b/>
            <sz val="9"/>
            <color indexed="81"/>
            <rFont val="Tahoma"/>
            <family val="2"/>
          </rPr>
          <t>3Qcc
-900 bps from tobacco exit</t>
        </r>
        <r>
          <rPr>
            <sz val="9"/>
            <color indexed="81"/>
            <rFont val="Tahoma"/>
            <family val="2"/>
          </rPr>
          <t xml:space="preserve">
</t>
        </r>
      </text>
    </comment>
    <comment ref="BN150" authorId="7">
      <text>
        <r>
          <rPr>
            <b/>
            <sz val="8"/>
            <color indexed="8"/>
            <rFont val="Tahoma"/>
            <family val="2"/>
          </rPr>
          <t>justinv:</t>
        </r>
        <r>
          <rPr>
            <sz val="8"/>
            <color indexed="8"/>
            <rFont val="Tahoma"/>
            <family val="2"/>
          </rPr>
          <t xml:space="preserve">
negatively impacted by an easter shift - 40 bps in pharmacy and 110 bps on Front-end</t>
        </r>
      </text>
    </comment>
    <comment ref="CF150" authorId="0">
      <text>
        <r>
          <rPr>
            <b/>
            <sz val="8"/>
            <color indexed="8"/>
            <rFont val="Tahoma"/>
            <family val="2"/>
          </rPr>
          <t>2Q11cc:</t>
        </r>
        <r>
          <rPr>
            <sz val="8"/>
            <color indexed="8"/>
            <rFont val="Tahoma"/>
            <family val="2"/>
          </rPr>
          <t xml:space="preserve">
1.5% to 2.5%</t>
        </r>
      </text>
    </comment>
    <comment ref="CG150" authorId="0">
      <text>
        <r>
          <rPr>
            <b/>
            <sz val="8"/>
            <color indexed="8"/>
            <rFont val="Tahoma"/>
            <family val="2"/>
          </rPr>
          <t>4Q11cc:</t>
        </r>
        <r>
          <rPr>
            <sz val="8"/>
            <color indexed="8"/>
            <rFont val="Tahoma"/>
            <family val="2"/>
          </rPr>
          <t xml:space="preserve">
+ 6.5% to 7.5%</t>
        </r>
      </text>
    </comment>
    <comment ref="CL153" authorId="13">
      <text>
        <r>
          <rPr>
            <b/>
            <sz val="8"/>
            <color indexed="81"/>
            <rFont val="Tahoma"/>
            <family val="2"/>
          </rPr>
          <t>saursing:</t>
        </r>
        <r>
          <rPr>
            <sz val="8"/>
            <color indexed="81"/>
            <rFont val="Tahoma"/>
            <family val="2"/>
          </rPr>
          <t xml:space="preserve">
-2.3% pharmacy SSS comps</t>
        </r>
      </text>
    </comment>
    <comment ref="CM153" authorId="13">
      <text>
        <r>
          <rPr>
            <b/>
            <sz val="8"/>
            <color indexed="81"/>
            <rFont val="Tahoma"/>
            <family val="2"/>
          </rPr>
          <t>saursing:</t>
        </r>
        <r>
          <rPr>
            <sz val="8"/>
            <color indexed="81"/>
            <rFont val="Tahoma"/>
            <family val="2"/>
          </rPr>
          <t xml:space="preserve">
+0.8% pharmacy SSS comps</t>
        </r>
      </text>
    </comment>
    <comment ref="CL154" authorId="13">
      <text>
        <r>
          <rPr>
            <b/>
            <sz val="8"/>
            <color indexed="81"/>
            <rFont val="Tahoma"/>
            <family val="2"/>
          </rPr>
          <t>saursing:</t>
        </r>
        <r>
          <rPr>
            <sz val="8"/>
            <color indexed="81"/>
            <rFont val="Tahoma"/>
            <family val="2"/>
          </rPr>
          <t xml:space="preserve">
1.4% FE SSS comp</t>
        </r>
      </text>
    </comment>
    <comment ref="CM154" authorId="13">
      <text>
        <r>
          <rPr>
            <b/>
            <sz val="8"/>
            <color indexed="81"/>
            <rFont val="Tahoma"/>
            <family val="2"/>
          </rPr>
          <t>saursing:</t>
        </r>
        <r>
          <rPr>
            <sz val="8"/>
            <color indexed="81"/>
            <rFont val="Tahoma"/>
            <family val="2"/>
          </rPr>
          <t xml:space="preserve">
-0.4% FE SSS comp</t>
        </r>
      </text>
    </comment>
    <comment ref="CD155" authorId="0">
      <text>
        <r>
          <rPr>
            <b/>
            <sz val="8"/>
            <color indexed="8"/>
            <rFont val="Tahoma"/>
            <family val="2"/>
          </rPr>
          <t>2Q11cc:</t>
        </r>
        <r>
          <rPr>
            <sz val="8"/>
            <color indexed="8"/>
            <rFont val="Tahoma"/>
            <family val="2"/>
          </rPr>
          <t xml:space="preserve">
2.5% - 4.0%</t>
        </r>
      </text>
    </comment>
    <comment ref="B188" authorId="7">
      <text>
        <r>
          <rPr>
            <b/>
            <sz val="8"/>
            <color indexed="8"/>
            <rFont val="Tahoma"/>
            <family val="2"/>
          </rPr>
          <t>justinv:</t>
        </r>
        <r>
          <rPr>
            <sz val="8"/>
            <color indexed="8"/>
            <rFont val="Tahoma"/>
            <family val="2"/>
          </rPr>
          <t xml:space="preserve">
Started calling out in 2022 10k</t>
        </r>
      </text>
    </comment>
    <comment ref="AL188" authorId="7">
      <text>
        <r>
          <rPr>
            <b/>
            <sz val="8"/>
            <color indexed="8"/>
            <rFont val="Tahoma"/>
            <family val="2"/>
          </rPr>
          <t>justinv:</t>
        </r>
        <r>
          <rPr>
            <sz val="8"/>
            <color indexed="8"/>
            <rFont val="Tahoma"/>
            <family val="2"/>
          </rPr>
          <t xml:space="preserve">
Started calling this out in 2002 10-k</t>
        </r>
      </text>
    </comment>
    <comment ref="BR188" authorId="7">
      <text>
        <r>
          <rPr>
            <b/>
            <sz val="8"/>
            <color indexed="8"/>
            <rFont val="Tahoma"/>
            <family val="2"/>
          </rPr>
          <t>justinv:</t>
        </r>
        <r>
          <rPr>
            <sz val="8"/>
            <color indexed="8"/>
            <rFont val="Tahoma"/>
            <family val="2"/>
          </rPr>
          <t xml:space="preserve">
Started disclosing quarterly in 1Q09</t>
        </r>
      </text>
    </comment>
    <comment ref="B192" authorId="7">
      <text>
        <r>
          <rPr>
            <b/>
            <sz val="8"/>
            <color indexed="8"/>
            <rFont val="Tahoma"/>
            <family val="2"/>
          </rPr>
          <t>justinv:</t>
        </r>
        <r>
          <rPr>
            <sz val="8"/>
            <color indexed="8"/>
            <rFont val="Tahoma"/>
            <family val="2"/>
          </rPr>
          <t xml:space="preserve">
Include very small amount of front-end items, so not counted in front-end productivity metrics</t>
        </r>
      </text>
    </comment>
    <comment ref="BJ192" authorId="7">
      <text>
        <r>
          <rPr>
            <b/>
            <sz val="8"/>
            <color indexed="8"/>
            <rFont val="Tahoma"/>
            <family val="2"/>
          </rPr>
          <t>justinv:</t>
        </r>
        <r>
          <rPr>
            <sz val="8"/>
            <color indexed="8"/>
            <rFont val="Tahoma"/>
            <family val="2"/>
          </rPr>
          <t xml:space="preserve">
Included in Pharmacy Services</t>
        </r>
      </text>
    </comment>
    <comment ref="I210" authorId="7">
      <text>
        <r>
          <rPr>
            <b/>
            <sz val="8"/>
            <color indexed="8"/>
            <rFont val="Tahoma"/>
            <family val="2"/>
          </rPr>
          <t>justinv:</t>
        </r>
        <r>
          <rPr>
            <sz val="8"/>
            <color indexed="8"/>
            <rFont val="Tahoma"/>
            <family val="2"/>
          </rPr>
          <t xml:space="preserve">
Actual pharmacies not given, just used total stores, was thinking of switching to retail drugstores until number of pharmacies given...</t>
        </r>
      </text>
    </comment>
    <comment ref="CQ224" authorId="2">
      <text>
        <r>
          <rPr>
            <b/>
            <sz val="8"/>
            <color indexed="81"/>
            <rFont val="Tahoma"/>
            <family val="2"/>
          </rPr>
          <t>Closed 1/17</t>
        </r>
        <r>
          <rPr>
            <sz val="8"/>
            <color indexed="81"/>
            <rFont val="Tahoma"/>
            <family val="2"/>
          </rPr>
          <t xml:space="preserve">
</t>
        </r>
      </text>
    </comment>
    <comment ref="CR224" authorId="2">
      <text>
        <r>
          <rPr>
            <b/>
            <sz val="8"/>
            <color indexed="81"/>
            <rFont val="Tahoma"/>
            <family val="2"/>
          </rPr>
          <t>Coram is expected to generate approximately $1.4 billion in revenues during the first twelve months following the close of the deal.  Including one-time transaction and integration costs, the transaction is expected to have an immaterial impact on CVS Caremark's overall financial results in 2014.  The transaction is expected to add $0.03 to $0.05 cents to the Company's Adjusted Earnings Per Share in 2015, the first full year following the close of the deal.  The deal is subject to customary closing conditions, including necessary regulatory approvals, and is expected to close by the end of the first quarter of 2014.</t>
        </r>
        <r>
          <rPr>
            <sz val="8"/>
            <color indexed="81"/>
            <rFont val="Tahoma"/>
            <family val="2"/>
          </rPr>
          <t xml:space="preserve">
Note: modeled revs after 5% growth over Coram 2013</t>
        </r>
      </text>
    </comment>
    <comment ref="CF226" authorId="14">
      <text>
        <r>
          <rPr>
            <b/>
            <sz val="8"/>
            <color indexed="8"/>
            <rFont val="Tahoma"/>
            <family val="2"/>
          </rPr>
          <t>rickgold:</t>
        </r>
        <r>
          <rPr>
            <sz val="8"/>
            <color indexed="8"/>
            <rFont val="Tahoma"/>
            <family val="2"/>
          </rPr>
          <t xml:space="preserve">
$2.90</t>
        </r>
      </text>
    </comment>
    <comment ref="CR239" authorId="2">
      <text>
        <r>
          <rPr>
            <b/>
            <sz val="8"/>
            <color indexed="81"/>
            <rFont val="Tahoma"/>
            <family val="2"/>
          </rPr>
          <t>Based on BIOS</t>
        </r>
      </text>
    </comment>
  </commentList>
</comments>
</file>

<file path=xl/comments5.xml><?xml version="1.0" encoding="utf-8"?>
<comments xmlns="http://schemas.openxmlformats.org/spreadsheetml/2006/main">
  <authors>
    <author>Rosenblum, Mark (Research)</author>
    <author>scheandr</author>
    <author>sopcak</author>
    <author>Sopcak, Zachary (Research)</author>
    <author>justinv</author>
    <author>Justin Van Vleck</author>
    <author>rickgold</author>
    <author>saursing</author>
    <author>Dixit, Siddharth (Research)</author>
  </authors>
  <commentList>
    <comment ref="CY13" authorId="0">
      <text>
        <r>
          <rPr>
            <b/>
            <sz val="9"/>
            <color indexed="81"/>
            <rFont val="Tahoma"/>
            <family val="2"/>
          </rPr>
          <t>Rosenblum, Mark (Research):</t>
        </r>
        <r>
          <rPr>
            <sz val="9"/>
            <color indexed="81"/>
            <rFont val="Tahoma"/>
            <family val="2"/>
          </rPr>
          <t xml:space="preserve">
Includes contribution from OCR</t>
        </r>
      </text>
    </comment>
    <comment ref="CD15" authorId="1">
      <text>
        <r>
          <rPr>
            <b/>
            <sz val="8"/>
            <color indexed="8"/>
            <rFont val="Tahoma"/>
            <family val="2"/>
          </rPr>
          <t>2Q11cc</t>
        </r>
        <r>
          <rPr>
            <sz val="8"/>
            <color indexed="8"/>
            <rFont val="Tahoma"/>
            <family val="2"/>
          </rPr>
          <t xml:space="preserve">
23% to 26%</t>
        </r>
      </text>
    </comment>
    <comment ref="CF15" authorId="1">
      <text>
        <r>
          <rPr>
            <b/>
            <sz val="8"/>
            <color indexed="8"/>
            <rFont val="Tahoma"/>
            <family val="2"/>
          </rPr>
          <t>2Q11cc</t>
        </r>
        <r>
          <rPr>
            <sz val="8"/>
            <color indexed="8"/>
            <rFont val="Tahoma"/>
            <family val="2"/>
          </rPr>
          <t xml:space="preserve">
23% to 24%</t>
        </r>
      </text>
    </comment>
    <comment ref="CG15" authorId="1">
      <text>
        <r>
          <rPr>
            <b/>
            <sz val="8"/>
            <color indexed="8"/>
            <rFont val="Tahoma"/>
            <family val="2"/>
          </rPr>
          <t>12/20/11:</t>
        </r>
        <r>
          <rPr>
            <sz val="8"/>
            <color indexed="8"/>
            <rFont val="Tahoma"/>
            <family val="2"/>
          </rPr>
          <t xml:space="preserve">
+28% to +30%</t>
        </r>
      </text>
    </comment>
    <comment ref="CH15" authorId="1">
      <text>
        <r>
          <rPr>
            <b/>
            <sz val="8"/>
            <color indexed="8"/>
            <rFont val="Tahoma"/>
            <family val="2"/>
          </rPr>
          <t>1Q12CC:</t>
        </r>
        <r>
          <rPr>
            <sz val="8"/>
            <color indexed="8"/>
            <rFont val="Tahoma"/>
            <family val="2"/>
          </rPr>
          <t xml:space="preserve">
+ 27% to 29%</t>
        </r>
      </text>
    </comment>
    <comment ref="CI15" authorId="1">
      <text>
        <r>
          <rPr>
            <b/>
            <sz val="8"/>
            <color indexed="8"/>
            <rFont val="Tahoma"/>
            <family val="2"/>
          </rPr>
          <t>scheandr:</t>
        </r>
        <r>
          <rPr>
            <sz val="8"/>
            <color indexed="8"/>
            <rFont val="Tahoma"/>
            <family val="2"/>
          </rPr>
          <t xml:space="preserve">
+ 22% to 23%</t>
        </r>
      </text>
    </comment>
    <comment ref="CJ15" authorId="1">
      <text>
        <r>
          <rPr>
            <b/>
            <sz val="8"/>
            <color indexed="8"/>
            <rFont val="Tahoma"/>
            <family val="2"/>
          </rPr>
          <t>scheandr:</t>
        </r>
        <r>
          <rPr>
            <sz val="8"/>
            <color indexed="8"/>
            <rFont val="Tahoma"/>
            <family val="2"/>
          </rPr>
          <t xml:space="preserve">
+ 15 5% to 16 5%</t>
        </r>
      </text>
    </comment>
    <comment ref="CK15" authorId="1">
      <text>
        <r>
          <rPr>
            <b/>
            <sz val="8"/>
            <color indexed="8"/>
            <rFont val="Tahoma"/>
            <family val="2"/>
          </rPr>
          <t>3Q12
24 25% to 24 5%
2Q12
+ 24.5% to 25.5%
1Q12CC:
+ 23.5% to 25.5%
12/20/11:</t>
        </r>
        <r>
          <rPr>
            <sz val="8"/>
            <color indexed="8"/>
            <rFont val="Tahoma"/>
            <family val="2"/>
          </rPr>
          <t xml:space="preserve">
22% to 24%</t>
        </r>
      </text>
    </comment>
    <comment ref="CL15" authorId="2">
      <text>
        <r>
          <rPr>
            <b/>
            <sz val="8"/>
            <color indexed="81"/>
            <rFont val="Tahoma"/>
            <family val="2"/>
          </rPr>
          <t>Inv Day
-3% to -1.75%</t>
        </r>
        <r>
          <rPr>
            <sz val="8"/>
            <color indexed="81"/>
            <rFont val="Tahoma"/>
            <family val="2"/>
          </rPr>
          <t xml:space="preserve">
</t>
        </r>
      </text>
    </comment>
    <comment ref="CM15" authorId="2">
      <text>
        <r>
          <rPr>
            <b/>
            <sz val="8"/>
            <color indexed="81"/>
            <rFont val="Tahoma"/>
            <family val="2"/>
          </rPr>
          <t>1Q13 cc:
0.5% to 1.5%</t>
        </r>
        <r>
          <rPr>
            <sz val="8"/>
            <color indexed="81"/>
            <rFont val="Tahoma"/>
            <family val="2"/>
          </rPr>
          <t xml:space="preserve">
</t>
        </r>
      </text>
    </comment>
    <comment ref="CN15" authorId="2">
      <text>
        <r>
          <rPr>
            <b/>
            <sz val="8"/>
            <color indexed="81"/>
            <rFont val="Tahoma"/>
            <family val="2"/>
          </rPr>
          <t>2Q13 cc:
4.5% to 5.5%</t>
        </r>
        <r>
          <rPr>
            <sz val="8"/>
            <color indexed="81"/>
            <rFont val="Tahoma"/>
            <family val="2"/>
          </rPr>
          <t xml:space="preserve">
</t>
        </r>
      </text>
    </comment>
    <comment ref="CO15" authorId="2">
      <text>
        <r>
          <rPr>
            <b/>
            <sz val="8"/>
            <color indexed="81"/>
            <rFont val="Tahoma"/>
            <family val="2"/>
          </rPr>
          <t xml:space="preserve">3Q13:
3.5% to 5.0%
</t>
        </r>
        <r>
          <rPr>
            <sz val="8"/>
            <color indexed="81"/>
            <rFont val="Tahoma"/>
            <family val="2"/>
          </rPr>
          <t xml:space="preserve">
</t>
        </r>
      </text>
    </comment>
    <comment ref="CP15" authorId="2">
      <text>
        <r>
          <rPr>
            <b/>
            <sz val="8"/>
            <color indexed="81"/>
            <rFont val="Tahoma"/>
            <family val="2"/>
          </rPr>
          <t>3Q13 cc:
3.25% to 3.75%</t>
        </r>
        <r>
          <rPr>
            <sz val="8"/>
            <color indexed="81"/>
            <rFont val="Tahoma"/>
            <family val="2"/>
          </rPr>
          <t xml:space="preserve">
</t>
        </r>
      </text>
    </comment>
    <comment ref="CQ15" authorId="2">
      <text>
        <r>
          <rPr>
            <b/>
            <sz val="8"/>
            <color indexed="81"/>
            <rFont val="Tahoma"/>
            <family val="2"/>
          </rPr>
          <t>4Q13 cc
5.5% to 6.75%</t>
        </r>
        <r>
          <rPr>
            <sz val="8"/>
            <color indexed="81"/>
            <rFont val="Tahoma"/>
            <family val="2"/>
          </rPr>
          <t xml:space="preserve">
</t>
        </r>
      </text>
    </comment>
    <comment ref="CR15" authorId="2">
      <text>
        <r>
          <rPr>
            <b/>
            <sz val="8"/>
            <color indexed="81"/>
            <rFont val="Tahoma"/>
            <family val="2"/>
          </rPr>
          <t>1Q14 cc:
10.75% to 12%</t>
        </r>
        <r>
          <rPr>
            <sz val="8"/>
            <color indexed="81"/>
            <rFont val="Tahoma"/>
            <family val="2"/>
          </rPr>
          <t xml:space="preserve">
</t>
        </r>
      </text>
    </comment>
    <comment ref="CS15" authorId="3">
      <text>
        <r>
          <rPr>
            <b/>
            <sz val="9"/>
            <color indexed="81"/>
            <rFont val="Tahoma"/>
            <family val="2"/>
          </rPr>
          <t>2Q14 cc:
14.25% to 15.25%</t>
        </r>
        <r>
          <rPr>
            <sz val="9"/>
            <color indexed="81"/>
            <rFont val="Tahoma"/>
            <family val="2"/>
          </rPr>
          <t xml:space="preserve">
</t>
        </r>
      </text>
    </comment>
    <comment ref="CT15" authorId="3">
      <text>
        <r>
          <rPr>
            <b/>
            <sz val="9"/>
            <color indexed="81"/>
            <rFont val="Tahoma"/>
            <family val="2"/>
          </rPr>
          <t>3Q
16.75% to 18.25%</t>
        </r>
        <r>
          <rPr>
            <sz val="9"/>
            <color indexed="81"/>
            <rFont val="Tahoma"/>
            <family val="2"/>
          </rPr>
          <t xml:space="preserve">
</t>
        </r>
      </text>
    </comment>
    <comment ref="CU15" authorId="2">
      <text>
        <r>
          <rPr>
            <b/>
            <sz val="8"/>
            <color indexed="81"/>
            <rFont val="Tahoma"/>
            <family val="2"/>
          </rPr>
          <t>2Q14cc:
13.75% to 14.75%</t>
        </r>
        <r>
          <rPr>
            <sz val="8"/>
            <color indexed="81"/>
            <rFont val="Tahoma"/>
            <family val="2"/>
          </rPr>
          <t xml:space="preserve">
</t>
        </r>
      </text>
    </comment>
    <comment ref="CV15" authorId="3">
      <text>
        <r>
          <rPr>
            <b/>
            <sz val="9"/>
            <color indexed="81"/>
            <rFont val="Tahoma"/>
            <family val="2"/>
          </rPr>
          <t>Sopcak, Zachary (Research):</t>
        </r>
        <r>
          <rPr>
            <sz val="9"/>
            <color indexed="81"/>
            <rFont val="Tahoma"/>
            <family val="2"/>
          </rPr>
          <t xml:space="preserve">
14.5% to 15.75%</t>
        </r>
      </text>
    </comment>
    <comment ref="CW15" authorId="3">
      <text>
        <r>
          <rPr>
            <b/>
            <sz val="9"/>
            <color indexed="81"/>
            <rFont val="Tahoma"/>
            <family val="2"/>
          </rPr>
          <t>11.25% to 12.5%</t>
        </r>
        <r>
          <rPr>
            <sz val="9"/>
            <color indexed="81"/>
            <rFont val="Tahoma"/>
            <family val="2"/>
          </rPr>
          <t xml:space="preserve">
</t>
        </r>
      </text>
    </comment>
    <comment ref="CX15" authorId="0">
      <text>
        <r>
          <rPr>
            <b/>
            <sz val="9"/>
            <color indexed="81"/>
            <rFont val="Tahoma"/>
            <family val="2"/>
          </rPr>
          <t>Rosenblum, Mark (Research):</t>
        </r>
        <r>
          <rPr>
            <sz val="9"/>
            <color indexed="81"/>
            <rFont val="Tahoma"/>
            <family val="2"/>
          </rPr>
          <t xml:space="preserve">
2Q15cc:
9.0% to 10.25%</t>
        </r>
      </text>
    </comment>
    <comment ref="CY15" authorId="0">
      <text>
        <r>
          <rPr>
            <b/>
            <sz val="9"/>
            <color indexed="81"/>
            <rFont val="Tahoma"/>
            <family val="2"/>
          </rPr>
          <t>Rosenblum, Mark (Research):</t>
        </r>
        <r>
          <rPr>
            <sz val="9"/>
            <color indexed="81"/>
            <rFont val="Tahoma"/>
            <family val="2"/>
          </rPr>
          <t xml:space="preserve">
3Q15:
10.5% to 12.0%</t>
        </r>
      </text>
    </comment>
    <comment ref="CZ15" authorId="3">
      <text>
        <r>
          <rPr>
            <b/>
            <sz val="9"/>
            <color indexed="81"/>
            <rFont val="Tahoma"/>
            <family val="2"/>
          </rPr>
          <t>3Q15 cc:
13.25% to 13.75%
2Q15 cc:
11.5% to 12.5%
4Q14 cc:
11% to 12.25%</t>
        </r>
        <r>
          <rPr>
            <sz val="9"/>
            <color indexed="81"/>
            <rFont val="Tahoma"/>
            <family val="2"/>
          </rPr>
          <t xml:space="preserve">
</t>
        </r>
      </text>
    </comment>
    <comment ref="DA15" authorId="0">
      <text>
        <r>
          <rPr>
            <b/>
            <sz val="9"/>
            <color indexed="81"/>
            <rFont val="Tahoma"/>
            <family val="2"/>
          </rPr>
          <t>Rosenblum, Mark (Research):</t>
        </r>
        <r>
          <rPr>
            <sz val="9"/>
            <color indexed="81"/>
            <rFont val="Tahoma"/>
            <family val="2"/>
          </rPr>
          <t xml:space="preserve">
4Q15
18.0% to 19.25%</t>
        </r>
      </text>
    </comment>
    <comment ref="DE15" authorId="0">
      <text>
        <r>
          <rPr>
            <b/>
            <sz val="9"/>
            <color indexed="81"/>
            <rFont val="Tahoma"/>
            <family val="2"/>
          </rPr>
          <t>Rosenblum, Mark (Research):</t>
        </r>
        <r>
          <rPr>
            <sz val="9"/>
            <color indexed="81"/>
            <rFont val="Tahoma"/>
            <family val="2"/>
          </rPr>
          <t xml:space="preserve">
4Q15
20.25% to 19.5%</t>
        </r>
      </text>
    </comment>
    <comment ref="BH17" authorId="4">
      <text>
        <r>
          <rPr>
            <b/>
            <sz val="8"/>
            <color indexed="8"/>
            <rFont val="Tahoma"/>
            <family val="2"/>
          </rPr>
          <t>justinv:</t>
        </r>
        <r>
          <rPr>
            <sz val="8"/>
            <color indexed="8"/>
            <rFont val="Tahoma"/>
            <family val="2"/>
          </rPr>
          <t xml:space="preserve">
check this</t>
        </r>
      </text>
    </comment>
    <comment ref="B19" authorId="4">
      <text>
        <r>
          <rPr>
            <b/>
            <sz val="8"/>
            <color indexed="8"/>
            <rFont val="Tahoma"/>
            <family val="2"/>
          </rPr>
          <t>justinv:</t>
        </r>
        <r>
          <rPr>
            <sz val="8"/>
            <color indexed="8"/>
            <rFont val="Tahoma"/>
            <family val="2"/>
          </rPr>
          <t xml:space="preserve">
Starting in 3Q09 they will double count any gross profit from a Caremark script filled at a CVS pharmacy as gross profit for both the retail and PBM segments and then eliminate this on the PBM side (just like with revenues before) when the statements are consolidated).  </t>
        </r>
      </text>
    </comment>
    <comment ref="BV19" authorId="5">
      <text>
        <r>
          <rPr>
            <b/>
            <sz val="8"/>
            <color indexed="8"/>
            <rFont val="Tahoma"/>
            <family val="2"/>
          </rPr>
          <t>Justin Van Vleck:</t>
        </r>
        <r>
          <rPr>
            <sz val="8"/>
            <color indexed="8"/>
            <rFont val="Tahoma"/>
            <family val="2"/>
          </rPr>
          <t xml:space="preserve">
Said at the 2009 JP Morgan healthcare conference in Jan. 2009 that they "We invested in margin in key accounts. I said this on the call. And we invested in key accounts, one that had a fairly decent share of CVS stores in the market, ones that had a high mail share, and ones that had potential to add some lives. So we had a case where we had to re-price a significant amount of business to get maybe a third more business. And that, obviously, takes a hit on the margin. But at the end of the day, we think it’s the right thing to do.  We also looked at high value accounts. So this wasn’t some epiphany we had to say we just got to lower these prices because we’re not able to hold onto the account, we got to get more pricecompetitive, we got to make more margin investment. We looked at this on an account-by-account basis. So there were some big accounts that we did it to. This was not across the whole book of business. And they were high value accounts, accounts that we thought we could sell into. So an account that was going to take Maintenance Mail, an account that might take MinuteClinic, an
account that might take our Specialty business. Those are accounts we wanted to lock down forthe next three and four years. And we decided to make that conscious decision.</t>
        </r>
      </text>
    </comment>
    <comment ref="CD20" authorId="1">
      <text>
        <r>
          <rPr>
            <b/>
            <sz val="8"/>
            <color indexed="8"/>
            <rFont val="Tahoma"/>
            <family val="2"/>
          </rPr>
          <t>2Q11cc:</t>
        </r>
        <r>
          <rPr>
            <sz val="8"/>
            <color indexed="8"/>
            <rFont val="Tahoma"/>
            <family val="2"/>
          </rPr>
          <t xml:space="preserve">
guidance is for Significant y/y Decline. Sequntially
UAM +30/40 bp + seasonality as a + driver. Historically + 50/75 bp increase from 2Q to 3Q</t>
        </r>
      </text>
    </comment>
    <comment ref="CE20" authorId="6">
      <text>
        <r>
          <rPr>
            <b/>
            <sz val="8"/>
            <color indexed="8"/>
            <rFont val="Tahoma"/>
            <family val="2"/>
          </rPr>
          <t>rickgold:</t>
        </r>
        <r>
          <rPr>
            <sz val="8"/>
            <color indexed="8"/>
            <rFont val="Tahoma"/>
            <family val="2"/>
          </rPr>
          <t xml:space="preserve">
UAM +53BP seq &amp; 87bp y/y, generic lipitor &lt;15bp y/y &amp; seq</t>
        </r>
      </text>
    </comment>
    <comment ref="CF20" authorId="1">
      <text>
        <r>
          <rPr>
            <b/>
            <sz val="8"/>
            <color indexed="8"/>
            <rFont val="Tahoma"/>
            <family val="2"/>
          </rPr>
          <t>2Q11cc:</t>
        </r>
        <r>
          <rPr>
            <sz val="8"/>
            <color indexed="8"/>
            <rFont val="Tahoma"/>
            <family val="2"/>
          </rPr>
          <t xml:space="preserve">
Significant Decline
Aetna + FEP ~ 200bp</t>
        </r>
      </text>
    </comment>
    <comment ref="CJ20" authorId="1">
      <text>
        <r>
          <rPr>
            <b/>
            <sz val="8"/>
            <color indexed="8"/>
            <rFont val="Tahoma"/>
            <family val="2"/>
          </rPr>
          <t>scheandr:</t>
        </r>
        <r>
          <rPr>
            <sz val="8"/>
            <color indexed="8"/>
            <rFont val="Tahoma"/>
            <family val="2"/>
          </rPr>
          <t xml:space="preserve">
Notably 
Up</t>
        </r>
      </text>
    </comment>
    <comment ref="CK20" authorId="1">
      <text>
        <r>
          <rPr>
            <b/>
            <sz val="8"/>
            <color indexed="8"/>
            <rFont val="Tahoma"/>
            <family val="2"/>
          </rPr>
          <t>312
Moderately Down
2Q12cc:
Down Notably
12/20/11:</t>
        </r>
        <r>
          <rPr>
            <sz val="8"/>
            <color indexed="8"/>
            <rFont val="Tahoma"/>
            <family val="2"/>
          </rPr>
          <t xml:space="preserve">
"Down Notably" according to Analyst Day guidance</t>
        </r>
      </text>
    </comment>
    <comment ref="CO20" authorId="2">
      <text>
        <r>
          <rPr>
            <b/>
            <sz val="8"/>
            <color indexed="81"/>
            <rFont val="Tahoma"/>
            <family val="2"/>
          </rPr>
          <t>3Q13cc:
"Down signficantly"</t>
        </r>
        <r>
          <rPr>
            <sz val="8"/>
            <color indexed="81"/>
            <rFont val="Tahoma"/>
            <family val="2"/>
          </rPr>
          <t xml:space="preserve">
</t>
        </r>
      </text>
    </comment>
    <comment ref="CP20" authorId="2">
      <text>
        <r>
          <rPr>
            <b/>
            <sz val="8"/>
            <color indexed="81"/>
            <rFont val="Tahoma"/>
            <family val="2"/>
          </rPr>
          <t>2Q13 cc:
Modestly up</t>
        </r>
        <r>
          <rPr>
            <sz val="8"/>
            <color indexed="81"/>
            <rFont val="Tahoma"/>
            <family val="2"/>
          </rPr>
          <t xml:space="preserve">
</t>
        </r>
      </text>
    </comment>
    <comment ref="CT20" authorId="3">
      <text>
        <r>
          <rPr>
            <b/>
            <sz val="9"/>
            <color indexed="81"/>
            <rFont val="Tahoma"/>
            <family val="2"/>
          </rPr>
          <t>3Qcc
Notable decline</t>
        </r>
        <r>
          <rPr>
            <sz val="9"/>
            <color indexed="81"/>
            <rFont val="Tahoma"/>
            <family val="2"/>
          </rPr>
          <t xml:space="preserve">
</t>
        </r>
      </text>
    </comment>
    <comment ref="CU20" authorId="2">
      <text>
        <r>
          <rPr>
            <b/>
            <sz val="8"/>
            <color indexed="81"/>
            <rFont val="Tahoma"/>
            <family val="2"/>
          </rPr>
          <t>2Q14 cc:
modest decline</t>
        </r>
        <r>
          <rPr>
            <sz val="8"/>
            <color indexed="81"/>
            <rFont val="Tahoma"/>
            <family val="2"/>
          </rPr>
          <t xml:space="preserve">
</t>
        </r>
      </text>
    </comment>
    <comment ref="CY20" authorId="0">
      <text>
        <r>
          <rPr>
            <b/>
            <sz val="9"/>
            <color indexed="81"/>
            <rFont val="Tahoma"/>
            <family val="2"/>
          </rPr>
          <t>Rosenblum, Mark (Research):</t>
        </r>
        <r>
          <rPr>
            <sz val="9"/>
            <color indexed="81"/>
            <rFont val="Tahoma"/>
            <family val="2"/>
          </rPr>
          <t xml:space="preserve">
3Q15
Moderate improvement</t>
        </r>
      </text>
    </comment>
    <comment ref="CZ20" authorId="3">
      <text>
        <r>
          <rPr>
            <b/>
            <sz val="9"/>
            <color indexed="81"/>
            <rFont val="Tahoma"/>
            <family val="2"/>
          </rPr>
          <t>4Q14 cc:
Modest decline</t>
        </r>
        <r>
          <rPr>
            <sz val="9"/>
            <color indexed="81"/>
            <rFont val="Tahoma"/>
            <family val="2"/>
          </rPr>
          <t xml:space="preserve">
</t>
        </r>
      </text>
    </comment>
    <comment ref="CJ25" authorId="1">
      <text>
        <r>
          <rPr>
            <b/>
            <sz val="8"/>
            <color indexed="8"/>
            <rFont val="Tahoma"/>
            <family val="2"/>
          </rPr>
          <t>scheandr:</t>
        </r>
        <r>
          <rPr>
            <sz val="8"/>
            <color indexed="8"/>
            <rFont val="Tahoma"/>
            <family val="2"/>
          </rPr>
          <t xml:space="preserve">
Modest Improvement</t>
        </r>
      </text>
    </comment>
    <comment ref="CK25" authorId="1">
      <text>
        <r>
          <rPr>
            <b/>
            <sz val="8"/>
            <color indexed="8"/>
            <rFont val="Tahoma"/>
            <family val="2"/>
          </rPr>
          <t>3Q12
Modest Improvement
2Q12cc
Moderate Improvement
12/20/11:</t>
        </r>
        <r>
          <rPr>
            <sz val="8"/>
            <color indexed="8"/>
            <rFont val="Tahoma"/>
            <family val="2"/>
          </rPr>
          <t xml:space="preserve">
Modest Deleverage</t>
        </r>
      </text>
    </comment>
    <comment ref="CP25" authorId="2">
      <text>
        <r>
          <rPr>
            <b/>
            <sz val="8"/>
            <color indexed="81"/>
            <rFont val="Tahoma"/>
            <family val="2"/>
          </rPr>
          <t>2Q13cc:
Flattish
t</t>
        </r>
        <r>
          <rPr>
            <sz val="8"/>
            <color indexed="81"/>
            <rFont val="Tahoma"/>
            <family val="2"/>
          </rPr>
          <t xml:space="preserve">
</t>
        </r>
      </text>
    </comment>
    <comment ref="CT25" authorId="3">
      <text>
        <r>
          <rPr>
            <b/>
            <sz val="9"/>
            <color indexed="81"/>
            <rFont val="Tahoma"/>
            <family val="2"/>
          </rPr>
          <t>3Qcc
Modest improvement</t>
        </r>
        <r>
          <rPr>
            <sz val="9"/>
            <color indexed="81"/>
            <rFont val="Tahoma"/>
            <family val="2"/>
          </rPr>
          <t xml:space="preserve">
</t>
        </r>
      </text>
    </comment>
    <comment ref="CU25" authorId="2">
      <text>
        <r>
          <rPr>
            <b/>
            <sz val="8"/>
            <color indexed="81"/>
            <rFont val="Tahoma"/>
            <family val="2"/>
          </rPr>
          <t>2Q14 cc:
modest improvement</t>
        </r>
        <r>
          <rPr>
            <sz val="8"/>
            <color indexed="81"/>
            <rFont val="Tahoma"/>
            <family val="2"/>
          </rPr>
          <t xml:space="preserve">
</t>
        </r>
      </text>
    </comment>
    <comment ref="CZ25" authorId="3">
      <text>
        <r>
          <rPr>
            <b/>
            <sz val="9"/>
            <color indexed="81"/>
            <rFont val="Tahoma"/>
            <family val="2"/>
          </rPr>
          <t>4Q14 cc
Modest improvement</t>
        </r>
        <r>
          <rPr>
            <sz val="9"/>
            <color indexed="81"/>
            <rFont val="Tahoma"/>
            <family val="2"/>
          </rPr>
          <t xml:space="preserve">
</t>
        </r>
      </text>
    </comment>
    <comment ref="CF27" authorId="1">
      <text>
        <r>
          <rPr>
            <b/>
            <sz val="8"/>
            <color indexed="8"/>
            <rFont val="Tahoma"/>
            <family val="2"/>
          </rPr>
          <t>2Q11cc:</t>
        </r>
        <r>
          <rPr>
            <sz val="8"/>
            <color indexed="8"/>
            <rFont val="Tahoma"/>
            <family val="2"/>
          </rPr>
          <t xml:space="preserve">
Modest Improvement</t>
        </r>
      </text>
    </comment>
    <comment ref="CO27" authorId="2">
      <text>
        <r>
          <rPr>
            <b/>
            <sz val="8"/>
            <color indexed="81"/>
            <rFont val="Tahoma"/>
            <family val="2"/>
          </rPr>
          <t>3Q13cc:
"Modest Improvement"</t>
        </r>
        <r>
          <rPr>
            <sz val="8"/>
            <color indexed="81"/>
            <rFont val="Tahoma"/>
            <family val="2"/>
          </rPr>
          <t xml:space="preserve">
</t>
        </r>
      </text>
    </comment>
    <comment ref="BT32" authorId="4">
      <text>
        <r>
          <rPr>
            <b/>
            <sz val="8"/>
            <color indexed="8"/>
            <rFont val="Tahoma"/>
            <family val="2"/>
          </rPr>
          <t>justinv:</t>
        </r>
        <r>
          <rPr>
            <sz val="8"/>
            <color indexed="8"/>
            <rFont val="Tahoma"/>
            <family val="2"/>
          </rPr>
          <t xml:space="preserve">
Found from press release reconciliation to Adjusted EBITDA per Rx.  Total depreciation number given less this number gives you retail D&amp;A</t>
        </r>
      </text>
    </comment>
    <comment ref="CK35" authorId="1">
      <text>
        <r>
          <rPr>
            <b/>
            <sz val="8"/>
            <color indexed="8"/>
            <rFont val="Tahoma"/>
            <family val="2"/>
          </rPr>
          <t>2Q12cc
Down 30 to 35 bps
1Q12CC:
Down 30 to 40 bps
12/20/11:</t>
        </r>
        <r>
          <rPr>
            <sz val="8"/>
            <color indexed="8"/>
            <rFont val="Tahoma"/>
            <family val="2"/>
          </rPr>
          <t xml:space="preserve">
Down 25 to 35 bps guidance given at the Analyst Day</t>
        </r>
      </text>
    </comment>
    <comment ref="CP35" authorId="2">
      <text>
        <r>
          <rPr>
            <b/>
            <sz val="8"/>
            <color indexed="81"/>
            <rFont val="Tahoma"/>
            <family val="2"/>
          </rPr>
          <t>2Q13 cc:</t>
        </r>
        <r>
          <rPr>
            <sz val="8"/>
            <color indexed="81"/>
            <rFont val="Tahoma"/>
            <family val="2"/>
          </rPr>
          <t xml:space="preserve">
up 30 to 35 bps</t>
        </r>
      </text>
    </comment>
    <comment ref="CT35" authorId="3">
      <text>
        <r>
          <rPr>
            <b/>
            <sz val="9"/>
            <color indexed="81"/>
            <rFont val="Tahoma"/>
            <family val="2"/>
          </rPr>
          <t>Sopcak, Zachary (Research):</t>
        </r>
        <r>
          <rPr>
            <sz val="9"/>
            <color indexed="81"/>
            <rFont val="Tahoma"/>
            <family val="2"/>
          </rPr>
          <t xml:space="preserve">
-65 to 70 bps</t>
        </r>
      </text>
    </comment>
    <comment ref="CU35" authorId="2">
      <text>
        <r>
          <rPr>
            <b/>
            <sz val="8"/>
            <color indexed="81"/>
            <rFont val="Tahoma"/>
            <family val="2"/>
          </rPr>
          <t>2Q14 cc:
Flattish</t>
        </r>
      </text>
    </comment>
    <comment ref="CY35" authorId="0">
      <text>
        <r>
          <rPr>
            <b/>
            <sz val="9"/>
            <color indexed="81"/>
            <rFont val="Tahoma"/>
            <family val="2"/>
          </rPr>
          <t>Rosenblum, Mark (Research):</t>
        </r>
        <r>
          <rPr>
            <sz val="9"/>
            <color indexed="81"/>
            <rFont val="Tahoma"/>
            <family val="2"/>
          </rPr>
          <t xml:space="preserve">
</t>
        </r>
      </text>
    </comment>
    <comment ref="CD36" authorId="1">
      <text>
        <r>
          <rPr>
            <b/>
            <sz val="8"/>
            <color indexed="8"/>
            <rFont val="Tahoma"/>
            <family val="2"/>
          </rPr>
          <t>2Q11cc:</t>
        </r>
        <r>
          <rPr>
            <sz val="8"/>
            <color indexed="8"/>
            <rFont val="Tahoma"/>
            <family val="2"/>
          </rPr>
          <t xml:space="preserve">
(2%) to (5%)</t>
        </r>
      </text>
    </comment>
    <comment ref="CF36" authorId="1">
      <text>
        <r>
          <rPr>
            <b/>
            <sz val="8"/>
            <color indexed="8"/>
            <rFont val="Tahoma"/>
            <family val="2"/>
          </rPr>
          <t>2Q11cc:</t>
        </r>
        <r>
          <rPr>
            <sz val="8"/>
            <color indexed="8"/>
            <rFont val="Tahoma"/>
            <family val="2"/>
          </rPr>
          <t xml:space="preserve">
(7.0%) to (9.0%)</t>
        </r>
      </text>
    </comment>
    <comment ref="CG36" authorId="1">
      <text>
        <r>
          <rPr>
            <b/>
            <sz val="8"/>
            <color indexed="8"/>
            <rFont val="Tahoma"/>
            <family val="2"/>
          </rPr>
          <t>12/20/11:</t>
        </r>
        <r>
          <rPr>
            <sz val="8"/>
            <color indexed="8"/>
            <rFont val="Tahoma"/>
            <family val="2"/>
          </rPr>
          <t xml:space="preserve">
-10% to -14%</t>
        </r>
      </text>
    </comment>
    <comment ref="CH36" authorId="1">
      <text>
        <r>
          <rPr>
            <b/>
            <sz val="8"/>
            <color indexed="8"/>
            <rFont val="Tahoma"/>
            <family val="2"/>
          </rPr>
          <t>1q12cc:</t>
        </r>
        <r>
          <rPr>
            <sz val="8"/>
            <color indexed="8"/>
            <rFont val="Tahoma"/>
            <family val="2"/>
          </rPr>
          <t xml:space="preserve">
+ 7% to 11%</t>
        </r>
      </text>
    </comment>
    <comment ref="CI36" authorId="1">
      <text>
        <r>
          <rPr>
            <b/>
            <sz val="8"/>
            <color indexed="8"/>
            <rFont val="Tahoma"/>
            <family val="2"/>
          </rPr>
          <t>scheandr:</t>
        </r>
        <r>
          <rPr>
            <sz val="8"/>
            <color indexed="8"/>
            <rFont val="Tahoma"/>
            <family val="2"/>
          </rPr>
          <t xml:space="preserve">
+ 4% to 7.5%</t>
        </r>
      </text>
    </comment>
    <comment ref="CJ36" authorId="1">
      <text>
        <r>
          <rPr>
            <b/>
            <sz val="8"/>
            <color indexed="8"/>
            <rFont val="Tahoma"/>
            <family val="2"/>
          </rPr>
          <t>scheandr:</t>
        </r>
        <r>
          <rPr>
            <sz val="8"/>
            <color indexed="8"/>
            <rFont val="Tahoma"/>
            <family val="2"/>
          </rPr>
          <t xml:space="preserve">
+ 38% to 41%</t>
        </r>
      </text>
    </comment>
    <comment ref="CK36" authorId="1">
      <text>
        <r>
          <rPr>
            <b/>
            <sz val="8"/>
            <color indexed="8"/>
            <rFont val="Tahoma"/>
            <family val="2"/>
          </rPr>
          <t>3Q12
+ 19% to 20%
2Q12
+ 13% to 15%
1Q12cc:</t>
        </r>
        <r>
          <rPr>
            <sz val="8"/>
            <color indexed="8"/>
            <rFont val="Tahoma"/>
            <family val="2"/>
          </rPr>
          <t xml:space="preserve">
11-15%</t>
        </r>
      </text>
    </comment>
    <comment ref="CL36" authorId="2">
      <text>
        <r>
          <rPr>
            <b/>
            <sz val="8"/>
            <color indexed="81"/>
            <rFont val="Tahoma"/>
            <family val="2"/>
          </rPr>
          <t>Inv Day
24% to 31%:</t>
        </r>
        <r>
          <rPr>
            <sz val="8"/>
            <color indexed="81"/>
            <rFont val="Tahoma"/>
            <family val="2"/>
          </rPr>
          <t xml:space="preserve">
</t>
        </r>
      </text>
    </comment>
    <comment ref="CM36" authorId="2">
      <text>
        <r>
          <rPr>
            <b/>
            <sz val="8"/>
            <color indexed="81"/>
            <rFont val="Tahoma"/>
            <family val="2"/>
          </rPr>
          <t>1Q13 cc:
26.5% to 32.5%</t>
        </r>
        <r>
          <rPr>
            <sz val="8"/>
            <color indexed="81"/>
            <rFont val="Tahoma"/>
            <family val="2"/>
          </rPr>
          <t xml:space="preserve">
</t>
        </r>
      </text>
    </comment>
    <comment ref="CN36" authorId="2">
      <text>
        <r>
          <rPr>
            <b/>
            <sz val="8"/>
            <color indexed="81"/>
            <rFont val="Tahoma"/>
            <family val="2"/>
          </rPr>
          <t>1Q13 cc:
19.0% to 23.0%</t>
        </r>
        <r>
          <rPr>
            <sz val="8"/>
            <color indexed="81"/>
            <rFont val="Tahoma"/>
            <family val="2"/>
          </rPr>
          <t xml:space="preserve">
</t>
        </r>
      </text>
    </comment>
    <comment ref="CO36" authorId="2">
      <text>
        <r>
          <rPr>
            <b/>
            <sz val="8"/>
            <color indexed="81"/>
            <rFont val="Tahoma"/>
            <family val="2"/>
          </rPr>
          <t>3Q13cc:
-18.0% to -15.0%</t>
        </r>
        <r>
          <rPr>
            <sz val="8"/>
            <color indexed="81"/>
            <rFont val="Tahoma"/>
            <family val="2"/>
          </rPr>
          <t xml:space="preserve">
</t>
        </r>
      </text>
    </comment>
    <comment ref="CP36" authorId="2">
      <text>
        <r>
          <rPr>
            <sz val="8"/>
            <color indexed="81"/>
            <rFont val="Tahoma"/>
            <family val="2"/>
          </rPr>
          <t>3Q13cc:
up 12.75% to 14.0%</t>
        </r>
      </text>
    </comment>
    <comment ref="CQ36" authorId="2">
      <text>
        <r>
          <rPr>
            <b/>
            <sz val="8"/>
            <color indexed="81"/>
            <rFont val="Tahoma"/>
            <family val="2"/>
          </rPr>
          <t>4Q13 cc:
21.25% to 28.25%</t>
        </r>
        <r>
          <rPr>
            <sz val="8"/>
            <color indexed="81"/>
            <rFont val="Tahoma"/>
            <family val="2"/>
          </rPr>
          <t xml:space="preserve">
</t>
        </r>
      </text>
    </comment>
    <comment ref="CR36" authorId="2">
      <text>
        <r>
          <rPr>
            <b/>
            <sz val="8"/>
            <color indexed="81"/>
            <rFont val="Tahoma"/>
            <family val="2"/>
          </rPr>
          <t>18.25% to 23.25%</t>
        </r>
        <r>
          <rPr>
            <sz val="8"/>
            <color indexed="81"/>
            <rFont val="Tahoma"/>
            <family val="2"/>
          </rPr>
          <t xml:space="preserve">
</t>
        </r>
      </text>
    </comment>
    <comment ref="CS36" authorId="3">
      <text>
        <r>
          <rPr>
            <b/>
            <sz val="9"/>
            <color indexed="81"/>
            <rFont val="Tahoma"/>
            <family val="2"/>
          </rPr>
          <t xml:space="preserve">2Q14 cc
1.5% to 4.5%
</t>
        </r>
        <r>
          <rPr>
            <sz val="9"/>
            <color indexed="81"/>
            <rFont val="Tahoma"/>
            <family val="2"/>
          </rPr>
          <t xml:space="preserve">
</t>
        </r>
      </text>
    </comment>
    <comment ref="CT36" authorId="3">
      <text>
        <r>
          <rPr>
            <b/>
            <sz val="9"/>
            <color indexed="81"/>
            <rFont val="Tahoma"/>
            <family val="2"/>
          </rPr>
          <t>3Qcc
Flat to +2%</t>
        </r>
        <r>
          <rPr>
            <sz val="9"/>
            <color indexed="81"/>
            <rFont val="Tahoma"/>
            <family val="2"/>
          </rPr>
          <t xml:space="preserve">
</t>
        </r>
      </text>
    </comment>
    <comment ref="CU36" authorId="2">
      <text>
        <r>
          <rPr>
            <b/>
            <sz val="8"/>
            <color indexed="81"/>
            <rFont val="Tahoma"/>
            <family val="2"/>
          </rPr>
          <t>2Q14cc:
12.5% to 14.5%</t>
        </r>
        <r>
          <rPr>
            <sz val="8"/>
            <color indexed="81"/>
            <rFont val="Tahoma"/>
            <family val="2"/>
          </rPr>
          <t xml:space="preserve">
</t>
        </r>
      </text>
    </comment>
    <comment ref="CV36" authorId="3">
      <text>
        <r>
          <rPr>
            <b/>
            <sz val="9"/>
            <color indexed="81"/>
            <rFont val="Tahoma"/>
            <family val="2"/>
          </rPr>
          <t>Analyst Day
-5% to flat</t>
        </r>
        <r>
          <rPr>
            <sz val="9"/>
            <color indexed="81"/>
            <rFont val="Tahoma"/>
            <family val="2"/>
          </rPr>
          <t xml:space="preserve">
</t>
        </r>
      </text>
    </comment>
    <comment ref="CW36" authorId="3">
      <text>
        <r>
          <rPr>
            <b/>
            <sz val="9"/>
            <color indexed="81"/>
            <rFont val="Tahoma"/>
            <family val="2"/>
          </rPr>
          <t>5% to 9%</t>
        </r>
        <r>
          <rPr>
            <sz val="9"/>
            <color indexed="81"/>
            <rFont val="Tahoma"/>
            <family val="2"/>
          </rPr>
          <t xml:space="preserve">
</t>
        </r>
      </text>
    </comment>
    <comment ref="CX36" authorId="0">
      <text>
        <r>
          <rPr>
            <b/>
            <sz val="9"/>
            <color indexed="81"/>
            <rFont val="Tahoma"/>
            <family val="2"/>
          </rPr>
          <t>Rosenblum, Mark (Research):</t>
        </r>
        <r>
          <rPr>
            <sz val="9"/>
            <color indexed="81"/>
            <rFont val="Tahoma"/>
            <family val="2"/>
          </rPr>
          <t xml:space="preserve">
2Q15cc:
2.0% to 6.0%</t>
        </r>
      </text>
    </comment>
    <comment ref="CY36" authorId="0">
      <text>
        <r>
          <rPr>
            <b/>
            <sz val="9"/>
            <color indexed="81"/>
            <rFont val="Tahoma"/>
            <family val="2"/>
          </rPr>
          <t>Rosenblum, Mark (Research):</t>
        </r>
        <r>
          <rPr>
            <sz val="9"/>
            <color indexed="81"/>
            <rFont val="Tahoma"/>
            <family val="2"/>
          </rPr>
          <t xml:space="preserve">
</t>
        </r>
        <r>
          <rPr>
            <b/>
            <sz val="9"/>
            <color indexed="81"/>
            <rFont val="Tahoma"/>
            <family val="2"/>
          </rPr>
          <t>3Q15</t>
        </r>
        <r>
          <rPr>
            <sz val="9"/>
            <color indexed="81"/>
            <rFont val="Tahoma"/>
            <family val="2"/>
          </rPr>
          <t xml:space="preserve">
24% to 27%</t>
        </r>
      </text>
    </comment>
    <comment ref="CZ36" authorId="3">
      <text>
        <r>
          <rPr>
            <b/>
            <sz val="9"/>
            <color indexed="81"/>
            <rFont val="Tahoma"/>
            <family val="2"/>
          </rPr>
          <t>3Q15 cc:
12.75 to 13.5%
2Q15 cc:
10.0 to 12.0%
4Q14 cc:
6.75% to 10.75%</t>
        </r>
        <r>
          <rPr>
            <sz val="9"/>
            <color indexed="81"/>
            <rFont val="Tahoma"/>
            <family val="2"/>
          </rPr>
          <t xml:space="preserve">
</t>
        </r>
      </text>
    </comment>
    <comment ref="CK37" authorId="1">
      <text>
        <r>
          <rPr>
            <b/>
            <sz val="8"/>
            <color indexed="8"/>
            <rFont val="Tahoma"/>
            <family val="2"/>
          </rPr>
          <t>scheandr:</t>
        </r>
        <r>
          <rPr>
            <sz val="8"/>
            <color indexed="8"/>
            <rFont val="Tahoma"/>
            <family val="2"/>
          </rPr>
          <t xml:space="preserve">
Down 10 to 15 bps</t>
        </r>
      </text>
    </comment>
    <comment ref="CO37" authorId="2">
      <text>
        <r>
          <rPr>
            <b/>
            <sz val="8"/>
            <color indexed="81"/>
            <rFont val="Tahoma"/>
            <family val="2"/>
          </rPr>
          <t>3Q13cc:
Down 115 to 105 bps</t>
        </r>
        <r>
          <rPr>
            <sz val="8"/>
            <color indexed="81"/>
            <rFont val="Tahoma"/>
            <family val="2"/>
          </rPr>
          <t xml:space="preserve">
</t>
        </r>
      </text>
    </comment>
    <comment ref="CP37" authorId="2">
      <text>
        <r>
          <rPr>
            <b/>
            <sz val="8"/>
            <color indexed="81"/>
            <rFont val="Tahoma"/>
            <family val="2"/>
          </rPr>
          <t>3Q13cc:
Up 35 to 40 bps</t>
        </r>
      </text>
    </comment>
    <comment ref="CU37" authorId="2">
      <text>
        <r>
          <rPr>
            <b/>
            <sz val="8"/>
            <color indexed="81"/>
            <rFont val="Tahoma"/>
            <family val="2"/>
          </rPr>
          <t>3Q13cc:
Up 35 to 40 bps</t>
        </r>
      </text>
    </comment>
    <comment ref="CM40" authorId="7">
      <text>
        <r>
          <rPr>
            <b/>
            <sz val="8"/>
            <color indexed="81"/>
            <rFont val="Tahoma"/>
            <family val="2"/>
          </rPr>
          <t>saursing:</t>
        </r>
        <r>
          <rPr>
            <sz val="8"/>
            <color indexed="81"/>
            <rFont val="Tahoma"/>
            <family val="2"/>
          </rPr>
          <t xml:space="preserve">
Supplemental information has $3,648.2M vs. $3,691M in press release</t>
        </r>
      </text>
    </comment>
    <comment ref="CF41" authorId="1">
      <text>
        <r>
          <rPr>
            <b/>
            <sz val="8"/>
            <color indexed="8"/>
            <rFont val="Tahoma"/>
            <family val="2"/>
          </rPr>
          <t>2Q11cc:</t>
        </r>
        <r>
          <rPr>
            <sz val="8"/>
            <color indexed="8"/>
            <rFont val="Tahoma"/>
            <family val="2"/>
          </rPr>
          <t xml:space="preserve">
~ 9.5%</t>
        </r>
      </text>
    </comment>
    <comment ref="CJ41" authorId="1">
      <text>
        <r>
          <rPr>
            <b/>
            <sz val="8"/>
            <color indexed="8"/>
            <rFont val="Tahoma"/>
            <family val="2"/>
          </rPr>
          <t>scheandr:</t>
        </r>
        <r>
          <rPr>
            <sz val="8"/>
            <color indexed="8"/>
            <rFont val="Tahoma"/>
            <family val="2"/>
          </rPr>
          <t xml:space="preserve">
~ 9.75%</t>
        </r>
      </text>
    </comment>
    <comment ref="CK41" authorId="1">
      <text>
        <r>
          <rPr>
            <b/>
            <sz val="8"/>
            <color indexed="8"/>
            <rFont val="Tahoma"/>
            <family val="2"/>
          </rPr>
          <t>3Q12
~ 10.1%
2Q12cc
~ 10.25%
12/20/11:</t>
        </r>
        <r>
          <rPr>
            <sz val="8"/>
            <color indexed="8"/>
            <rFont val="Tahoma"/>
            <family val="2"/>
          </rPr>
          <t xml:space="preserve">
~10%</t>
        </r>
      </text>
    </comment>
    <comment ref="CO41" authorId="2">
      <text>
        <r>
          <rPr>
            <b/>
            <sz val="8"/>
            <color indexed="81"/>
            <rFont val="Tahoma"/>
            <family val="2"/>
          </rPr>
          <t>~10.6%</t>
        </r>
        <r>
          <rPr>
            <sz val="8"/>
            <color indexed="81"/>
            <rFont val="Tahoma"/>
            <family val="2"/>
          </rPr>
          <t xml:space="preserve">
</t>
        </r>
      </text>
    </comment>
    <comment ref="CP41" authorId="2">
      <text>
        <r>
          <rPr>
            <sz val="8"/>
            <color indexed="81"/>
            <rFont val="Tahoma"/>
            <family val="2"/>
          </rPr>
          <t xml:space="preserve">2Q13 cc:
~10.3%
</t>
        </r>
      </text>
    </comment>
    <comment ref="BL61" authorId="4">
      <text>
        <r>
          <rPr>
            <b/>
            <sz val="8"/>
            <color indexed="8"/>
            <rFont val="Tahoma"/>
            <family val="2"/>
          </rPr>
          <t>justinv:</t>
        </r>
        <r>
          <rPr>
            <sz val="8"/>
            <color indexed="8"/>
            <rFont val="Tahoma"/>
            <family val="2"/>
          </rPr>
          <t xml:space="preserve">
20 basis points lower y/y all else equal due to pharmacare conversions from net to gross</t>
        </r>
      </text>
    </comment>
    <comment ref="BQ61" authorId="4">
      <text>
        <r>
          <rPr>
            <b/>
            <sz val="8"/>
            <color indexed="8"/>
            <rFont val="Tahoma"/>
            <family val="2"/>
          </rPr>
          <t>justinv:</t>
        </r>
        <r>
          <rPr>
            <sz val="8"/>
            <color indexed="8"/>
            <rFont val="Tahoma"/>
            <family val="2"/>
          </rPr>
          <t xml:space="preserve">
35 basis points lower due to PharmaCare contract conversions.</t>
        </r>
      </text>
    </comment>
    <comment ref="B79" authorId="4">
      <text>
        <r>
          <rPr>
            <b/>
            <sz val="8"/>
            <color indexed="8"/>
            <rFont val="Tahoma"/>
            <family val="2"/>
          </rPr>
          <t>justinv:</t>
        </r>
        <r>
          <rPr>
            <sz val="8"/>
            <color indexed="8"/>
            <rFont val="Tahoma"/>
            <family val="2"/>
          </rPr>
          <t xml:space="preserve">
Mail choice- which includes mail scripts plus maintenance choice 90 scripts filled at retail- started as metric in 3Q09</t>
        </r>
      </text>
    </comment>
    <comment ref="BQ79" authorId="4">
      <text>
        <r>
          <rPr>
            <b/>
            <sz val="8"/>
            <color indexed="8"/>
            <rFont val="Tahoma"/>
            <family val="2"/>
          </rPr>
          <t>justinv:</t>
        </r>
        <r>
          <rPr>
            <sz val="8"/>
            <color indexed="8"/>
            <rFont val="Tahoma"/>
            <family val="2"/>
          </rPr>
          <t xml:space="preserve">
Mostly due to loss of FEP mail contract</t>
        </r>
      </text>
    </comment>
    <comment ref="CV79" authorId="0">
      <text>
        <r>
          <rPr>
            <b/>
            <sz val="9"/>
            <color indexed="81"/>
            <rFont val="Tahoma"/>
            <family val="2"/>
          </rPr>
          <t>Rosenblum, Mark (Research):</t>
        </r>
        <r>
          <rPr>
            <sz val="9"/>
            <color indexed="81"/>
            <rFont val="Tahoma"/>
            <family val="2"/>
          </rPr>
          <t xml:space="preserve">
Changed to new methodology to adjust for 90 at retail Rx</t>
        </r>
      </text>
    </comment>
    <comment ref="CW79" authorId="0">
      <text>
        <r>
          <rPr>
            <b/>
            <sz val="9"/>
            <color indexed="81"/>
            <rFont val="Tahoma"/>
            <family val="2"/>
          </rPr>
          <t>Rosenblum, Mark (Research):</t>
        </r>
        <r>
          <rPr>
            <sz val="9"/>
            <color indexed="81"/>
            <rFont val="Tahoma"/>
            <family val="2"/>
          </rPr>
          <t xml:space="preserve">
Changed to new methodology to adjust for 90 at retail Rx</t>
        </r>
      </text>
    </comment>
    <comment ref="CX79" authorId="0">
      <text>
        <r>
          <rPr>
            <b/>
            <sz val="9"/>
            <color indexed="81"/>
            <rFont val="Tahoma"/>
            <family val="2"/>
          </rPr>
          <t>Rosenblum, Mark (Research):</t>
        </r>
        <r>
          <rPr>
            <sz val="9"/>
            <color indexed="81"/>
            <rFont val="Tahoma"/>
            <family val="2"/>
          </rPr>
          <t xml:space="preserve">
Changed to new methodology to adjust for 90 at retail Rx</t>
        </r>
      </text>
    </comment>
    <comment ref="CY79" authorId="0">
      <text>
        <r>
          <rPr>
            <b/>
            <sz val="9"/>
            <color indexed="81"/>
            <rFont val="Tahoma"/>
            <family val="2"/>
          </rPr>
          <t>Rosenblum, Mark (Research):</t>
        </r>
        <r>
          <rPr>
            <sz val="9"/>
            <color indexed="81"/>
            <rFont val="Tahoma"/>
            <family val="2"/>
          </rPr>
          <t xml:space="preserve">
Changed to new methodology to adjust for 90 at retail Rx</t>
        </r>
      </text>
    </comment>
    <comment ref="CZ79" authorId="0">
      <text>
        <r>
          <rPr>
            <b/>
            <sz val="9"/>
            <color indexed="81"/>
            <rFont val="Tahoma"/>
            <family val="2"/>
          </rPr>
          <t>Rosenblum, Mark (Research):</t>
        </r>
        <r>
          <rPr>
            <sz val="9"/>
            <color indexed="81"/>
            <rFont val="Tahoma"/>
            <family val="2"/>
          </rPr>
          <t xml:space="preserve">
Changed to new methodology to adjust for 90 at retail Rx</t>
        </r>
      </text>
    </comment>
    <comment ref="DA79" authorId="0">
      <text>
        <r>
          <rPr>
            <b/>
            <sz val="9"/>
            <color indexed="81"/>
            <rFont val="Tahoma"/>
            <family val="2"/>
          </rPr>
          <t>Rosenblum, Mark (Research):</t>
        </r>
        <r>
          <rPr>
            <sz val="9"/>
            <color indexed="81"/>
            <rFont val="Tahoma"/>
            <family val="2"/>
          </rPr>
          <t xml:space="preserve">
Changed to new methodology to adjust for 90 at retail Rx</t>
        </r>
      </text>
    </comment>
    <comment ref="DB79" authorId="0">
      <text>
        <r>
          <rPr>
            <b/>
            <sz val="9"/>
            <color indexed="81"/>
            <rFont val="Tahoma"/>
            <family val="2"/>
          </rPr>
          <t>Rosenblum, Mark (Research):</t>
        </r>
        <r>
          <rPr>
            <sz val="9"/>
            <color indexed="81"/>
            <rFont val="Tahoma"/>
            <family val="2"/>
          </rPr>
          <t xml:space="preserve">
Changed to new methodology to adjust for 90 at retail Rx</t>
        </r>
      </text>
    </comment>
    <comment ref="DC79" authorId="0">
      <text>
        <r>
          <rPr>
            <b/>
            <sz val="9"/>
            <color indexed="81"/>
            <rFont val="Tahoma"/>
            <family val="2"/>
          </rPr>
          <t>Rosenblum, Mark (Research):</t>
        </r>
        <r>
          <rPr>
            <sz val="9"/>
            <color indexed="81"/>
            <rFont val="Tahoma"/>
            <family val="2"/>
          </rPr>
          <t xml:space="preserve">
Changed to new methodology to adjust for 90 at retail Rx</t>
        </r>
      </text>
    </comment>
    <comment ref="DD79" authorId="0">
      <text>
        <r>
          <rPr>
            <b/>
            <sz val="9"/>
            <color indexed="81"/>
            <rFont val="Tahoma"/>
            <family val="2"/>
          </rPr>
          <t>Rosenblum, Mark (Research):</t>
        </r>
        <r>
          <rPr>
            <sz val="9"/>
            <color indexed="81"/>
            <rFont val="Tahoma"/>
            <family val="2"/>
          </rPr>
          <t xml:space="preserve">
Changed to new methodology to adjust for 90 at retail Rx</t>
        </r>
      </text>
    </comment>
    <comment ref="DE79" authorId="0">
      <text>
        <r>
          <rPr>
            <b/>
            <sz val="9"/>
            <color indexed="81"/>
            <rFont val="Tahoma"/>
            <family val="2"/>
          </rPr>
          <t>Rosenblum, Mark (Research):</t>
        </r>
        <r>
          <rPr>
            <sz val="9"/>
            <color indexed="81"/>
            <rFont val="Tahoma"/>
            <family val="2"/>
          </rPr>
          <t xml:space="preserve">
Changed to new methodology to adjust for 90 at retail Rx</t>
        </r>
      </text>
    </comment>
    <comment ref="DF79" authorId="0">
      <text>
        <r>
          <rPr>
            <b/>
            <sz val="9"/>
            <color indexed="81"/>
            <rFont val="Tahoma"/>
            <family val="2"/>
          </rPr>
          <t>Rosenblum, Mark (Research):</t>
        </r>
        <r>
          <rPr>
            <sz val="9"/>
            <color indexed="81"/>
            <rFont val="Tahoma"/>
            <family val="2"/>
          </rPr>
          <t xml:space="preserve">
Changed to new methodology to adjust for 90 at retail Rx</t>
        </r>
      </text>
    </comment>
    <comment ref="B84" authorId="4">
      <text>
        <r>
          <rPr>
            <b/>
            <sz val="8"/>
            <color indexed="8"/>
            <rFont val="Tahoma"/>
            <family val="2"/>
          </rPr>
          <t>justinv:</t>
        </r>
        <r>
          <rPr>
            <sz val="8"/>
            <color indexed="8"/>
            <rFont val="Tahoma"/>
            <family val="2"/>
          </rPr>
          <t xml:space="preserve">
Maintenance choice scripts count as 1</t>
        </r>
      </text>
    </comment>
    <comment ref="CV90" authorId="0">
      <text>
        <r>
          <rPr>
            <b/>
            <sz val="9"/>
            <color indexed="81"/>
            <rFont val="Tahoma"/>
            <family val="2"/>
          </rPr>
          <t>Rosenblum, Mark (Research):</t>
        </r>
        <r>
          <rPr>
            <sz val="9"/>
            <color indexed="81"/>
            <rFont val="Tahoma"/>
            <family val="2"/>
          </rPr>
          <t xml:space="preserve">
Changed to new methodology to adjust for 90 at retail Rx</t>
        </r>
      </text>
    </comment>
    <comment ref="CW90" authorId="0">
      <text>
        <r>
          <rPr>
            <b/>
            <sz val="9"/>
            <color indexed="81"/>
            <rFont val="Tahoma"/>
            <family val="2"/>
          </rPr>
          <t>Rosenblum, Mark (Research):</t>
        </r>
        <r>
          <rPr>
            <sz val="9"/>
            <color indexed="81"/>
            <rFont val="Tahoma"/>
            <family val="2"/>
          </rPr>
          <t xml:space="preserve">
Changed to new methodology to adjust for 90 at retail Rx</t>
        </r>
      </text>
    </comment>
    <comment ref="CX90" authorId="0">
      <text>
        <r>
          <rPr>
            <b/>
            <sz val="9"/>
            <color indexed="81"/>
            <rFont val="Tahoma"/>
            <family val="2"/>
          </rPr>
          <t>Rosenblum, Mark (Research):</t>
        </r>
        <r>
          <rPr>
            <sz val="9"/>
            <color indexed="81"/>
            <rFont val="Tahoma"/>
            <family val="2"/>
          </rPr>
          <t xml:space="preserve">
Changed to new methodology to adjust for 90 at retail Rx</t>
        </r>
      </text>
    </comment>
    <comment ref="CY90" authorId="0">
      <text>
        <r>
          <rPr>
            <b/>
            <sz val="9"/>
            <color indexed="81"/>
            <rFont val="Tahoma"/>
            <family val="2"/>
          </rPr>
          <t>Rosenblum, Mark (Research):</t>
        </r>
        <r>
          <rPr>
            <sz val="9"/>
            <color indexed="81"/>
            <rFont val="Tahoma"/>
            <family val="2"/>
          </rPr>
          <t xml:space="preserve">
Changed to new methodology to adjust for 90 at retail Rx</t>
        </r>
      </text>
    </comment>
    <comment ref="CZ90" authorId="0">
      <text>
        <r>
          <rPr>
            <b/>
            <sz val="9"/>
            <color indexed="81"/>
            <rFont val="Tahoma"/>
            <family val="2"/>
          </rPr>
          <t>Rosenblum, Mark (Research):</t>
        </r>
        <r>
          <rPr>
            <sz val="9"/>
            <color indexed="81"/>
            <rFont val="Tahoma"/>
            <family val="2"/>
          </rPr>
          <t xml:space="preserve">
Changed to new methodology to adjust for 90 at retail Rx</t>
        </r>
      </text>
    </comment>
    <comment ref="DA90" authorId="0">
      <text>
        <r>
          <rPr>
            <b/>
            <sz val="9"/>
            <color indexed="81"/>
            <rFont val="Tahoma"/>
            <family val="2"/>
          </rPr>
          <t>Rosenblum, Mark (Research):</t>
        </r>
        <r>
          <rPr>
            <sz val="9"/>
            <color indexed="81"/>
            <rFont val="Tahoma"/>
            <family val="2"/>
          </rPr>
          <t xml:space="preserve">
Changed to new methodology to adjust for 90 at retail Rx</t>
        </r>
      </text>
    </comment>
    <comment ref="DB90" authorId="0">
      <text>
        <r>
          <rPr>
            <b/>
            <sz val="9"/>
            <color indexed="81"/>
            <rFont val="Tahoma"/>
            <family val="2"/>
          </rPr>
          <t>Rosenblum, Mark (Research):</t>
        </r>
        <r>
          <rPr>
            <sz val="9"/>
            <color indexed="81"/>
            <rFont val="Tahoma"/>
            <family val="2"/>
          </rPr>
          <t xml:space="preserve">
Changed to new methodology to adjust for 90 at retail Rx</t>
        </r>
      </text>
    </comment>
    <comment ref="DC90" authorId="0">
      <text>
        <r>
          <rPr>
            <b/>
            <sz val="9"/>
            <color indexed="81"/>
            <rFont val="Tahoma"/>
            <family val="2"/>
          </rPr>
          <t>Rosenblum, Mark (Research):</t>
        </r>
        <r>
          <rPr>
            <sz val="9"/>
            <color indexed="81"/>
            <rFont val="Tahoma"/>
            <family val="2"/>
          </rPr>
          <t xml:space="preserve">
Changed to new methodology to adjust for 90 at retail Rx</t>
        </r>
      </text>
    </comment>
    <comment ref="DD90" authorId="0">
      <text>
        <r>
          <rPr>
            <b/>
            <sz val="9"/>
            <color indexed="81"/>
            <rFont val="Tahoma"/>
            <family val="2"/>
          </rPr>
          <t>Rosenblum, Mark (Research):</t>
        </r>
        <r>
          <rPr>
            <sz val="9"/>
            <color indexed="81"/>
            <rFont val="Tahoma"/>
            <family val="2"/>
          </rPr>
          <t xml:space="preserve">
Changed to new methodology to adjust for 90 at retail Rx</t>
        </r>
      </text>
    </comment>
    <comment ref="DE90" authorId="0">
      <text>
        <r>
          <rPr>
            <b/>
            <sz val="9"/>
            <color indexed="81"/>
            <rFont val="Tahoma"/>
            <family val="2"/>
          </rPr>
          <t>Rosenblum, Mark (Research):</t>
        </r>
        <r>
          <rPr>
            <sz val="9"/>
            <color indexed="81"/>
            <rFont val="Tahoma"/>
            <family val="2"/>
          </rPr>
          <t xml:space="preserve">
Changed to new methodology to adjust for 90 at retail Rx</t>
        </r>
      </text>
    </comment>
    <comment ref="DF90" authorId="0">
      <text>
        <r>
          <rPr>
            <b/>
            <sz val="9"/>
            <color indexed="81"/>
            <rFont val="Tahoma"/>
            <family val="2"/>
          </rPr>
          <t>Rosenblum, Mark (Research):</t>
        </r>
        <r>
          <rPr>
            <sz val="9"/>
            <color indexed="81"/>
            <rFont val="Tahoma"/>
            <family val="2"/>
          </rPr>
          <t xml:space="preserve">
Changed to new methodology to adjust for 90 at retail Rx</t>
        </r>
      </text>
    </comment>
    <comment ref="CG91" authorId="1">
      <text>
        <r>
          <rPr>
            <b/>
            <sz val="8"/>
            <color indexed="8"/>
            <rFont val="Tahoma"/>
            <family val="2"/>
          </rPr>
          <t>scheandr:</t>
        </r>
        <r>
          <rPr>
            <sz val="8"/>
            <color indexed="8"/>
            <rFont val="Tahoma"/>
            <family val="2"/>
          </rPr>
          <t xml:space="preserve">
1Q &amp; part of 2Q reflect annualizing of UAM scripts</t>
        </r>
      </text>
    </comment>
    <comment ref="CF98" authorId="1">
      <text>
        <r>
          <rPr>
            <b/>
            <sz val="8"/>
            <color indexed="8"/>
            <rFont val="Tahoma"/>
            <family val="2"/>
          </rPr>
          <t xml:space="preserve">2Q11cc:
</t>
        </r>
        <r>
          <rPr>
            <sz val="8"/>
            <color indexed="8"/>
            <rFont val="Tahoma"/>
            <family val="2"/>
          </rPr>
          <t>~895 to 915 million</t>
        </r>
        <r>
          <rPr>
            <sz val="8"/>
            <color indexed="8"/>
            <rFont val="Tahoma"/>
            <family val="2"/>
          </rPr>
          <t xml:space="preserve">
</t>
        </r>
      </text>
    </comment>
    <comment ref="CK98" authorId="1">
      <text>
        <r>
          <rPr>
            <b/>
            <sz val="8"/>
            <color indexed="8"/>
            <rFont val="Tahoma"/>
            <family val="2"/>
          </rPr>
          <t>3Q12
~ 1.03 Billion
2Q12
1.02 to 1.03 billion
12/20/11:</t>
        </r>
        <r>
          <rPr>
            <sz val="8"/>
            <color indexed="8"/>
            <rFont val="Tahoma"/>
            <family val="2"/>
          </rPr>
          <t xml:space="preserve">
1.025 to 1.045 B</t>
        </r>
      </text>
    </comment>
    <comment ref="CP98" authorId="2">
      <text>
        <r>
          <rPr>
            <b/>
            <sz val="8"/>
            <color indexed="81"/>
            <rFont val="Tahoma"/>
            <family val="2"/>
          </rPr>
          <t>3Q13
1.055 to 1.058 b adj. claims</t>
        </r>
        <r>
          <rPr>
            <sz val="8"/>
            <color indexed="81"/>
            <rFont val="Tahoma"/>
            <family val="2"/>
          </rPr>
          <t xml:space="preserve">
</t>
        </r>
      </text>
    </comment>
    <comment ref="CT98" authorId="3">
      <text>
        <r>
          <rPr>
            <b/>
            <sz val="9"/>
            <color indexed="81"/>
            <rFont val="Tahoma"/>
            <family val="2"/>
          </rPr>
          <t>3Qcc
270 to 275 million</t>
        </r>
        <r>
          <rPr>
            <sz val="9"/>
            <color indexed="81"/>
            <rFont val="Tahoma"/>
            <family val="2"/>
          </rPr>
          <t xml:space="preserve">
</t>
        </r>
      </text>
    </comment>
    <comment ref="CU98" authorId="2">
      <text>
        <r>
          <rPr>
            <b/>
            <sz val="8"/>
            <color indexed="81"/>
            <rFont val="Tahoma"/>
            <family val="2"/>
          </rPr>
          <t>1Q14cc:
1.06 to 1.068 billion</t>
        </r>
        <r>
          <rPr>
            <sz val="8"/>
            <color indexed="81"/>
            <rFont val="Tahoma"/>
            <family val="2"/>
          </rPr>
          <t xml:space="preserve">
</t>
        </r>
      </text>
    </comment>
    <comment ref="CV98" authorId="0">
      <text>
        <r>
          <rPr>
            <b/>
            <sz val="9"/>
            <color indexed="81"/>
            <rFont val="Tahoma"/>
            <family val="2"/>
          </rPr>
          <t>Rosenblum, Mark (Research):</t>
        </r>
        <r>
          <rPr>
            <sz val="9"/>
            <color indexed="81"/>
            <rFont val="Tahoma"/>
            <family val="2"/>
          </rPr>
          <t xml:space="preserve">
Based on new methodology and consistent with ESRX</t>
        </r>
      </text>
    </comment>
    <comment ref="CW98" authorId="0">
      <text>
        <r>
          <rPr>
            <b/>
            <sz val="9"/>
            <color indexed="81"/>
            <rFont val="Tahoma"/>
            <family val="2"/>
          </rPr>
          <t>Rosenblum, Mark (Research):</t>
        </r>
        <r>
          <rPr>
            <sz val="9"/>
            <color indexed="81"/>
            <rFont val="Tahoma"/>
            <family val="2"/>
          </rPr>
          <t xml:space="preserve">
Based on new methodology and consistent with ESRX</t>
        </r>
      </text>
    </comment>
    <comment ref="CX98" authorId="0">
      <text>
        <r>
          <rPr>
            <b/>
            <sz val="9"/>
            <color indexed="81"/>
            <rFont val="Tahoma"/>
            <family val="2"/>
          </rPr>
          <t>Rosenblum, Mark (Research):</t>
        </r>
        <r>
          <rPr>
            <sz val="9"/>
            <color indexed="81"/>
            <rFont val="Tahoma"/>
            <family val="2"/>
          </rPr>
          <t xml:space="preserve">
Based on new methodology and consistent with ESRX</t>
        </r>
      </text>
    </comment>
    <comment ref="CY98" authorId="0">
      <text>
        <r>
          <rPr>
            <b/>
            <sz val="9"/>
            <color indexed="81"/>
            <rFont val="Tahoma"/>
            <family val="2"/>
          </rPr>
          <t>Rosenblum, Mark (Research):</t>
        </r>
        <r>
          <rPr>
            <sz val="9"/>
            <color indexed="81"/>
            <rFont val="Tahoma"/>
            <family val="2"/>
          </rPr>
          <t xml:space="preserve">
Based on new methodology and consistent with ESRX</t>
        </r>
      </text>
    </comment>
    <comment ref="DA98" authorId="0">
      <text>
        <r>
          <rPr>
            <b/>
            <sz val="9"/>
            <color indexed="81"/>
            <rFont val="Tahoma"/>
            <family val="2"/>
          </rPr>
          <t>Rosenblum, Mark (Research):</t>
        </r>
        <r>
          <rPr>
            <sz val="9"/>
            <color indexed="81"/>
            <rFont val="Tahoma"/>
            <family val="2"/>
          </rPr>
          <t xml:space="preserve">
Based on new methodology and consistent with ESRX</t>
        </r>
      </text>
    </comment>
    <comment ref="DB98" authorId="0">
      <text>
        <r>
          <rPr>
            <b/>
            <sz val="9"/>
            <color indexed="81"/>
            <rFont val="Tahoma"/>
            <family val="2"/>
          </rPr>
          <t>Rosenblum, Mark (Research):</t>
        </r>
        <r>
          <rPr>
            <sz val="9"/>
            <color indexed="81"/>
            <rFont val="Tahoma"/>
            <family val="2"/>
          </rPr>
          <t xml:space="preserve">
Based on new methodology and consistent with ESRX</t>
        </r>
      </text>
    </comment>
    <comment ref="DC98" authorId="0">
      <text>
        <r>
          <rPr>
            <b/>
            <sz val="9"/>
            <color indexed="81"/>
            <rFont val="Tahoma"/>
            <family val="2"/>
          </rPr>
          <t>Rosenblum, Mark (Research):</t>
        </r>
        <r>
          <rPr>
            <sz val="9"/>
            <color indexed="81"/>
            <rFont val="Tahoma"/>
            <family val="2"/>
          </rPr>
          <t xml:space="preserve">
Based on new methodology and consistent with ESRX</t>
        </r>
      </text>
    </comment>
    <comment ref="DD98" authorId="0">
      <text>
        <r>
          <rPr>
            <b/>
            <sz val="9"/>
            <color indexed="81"/>
            <rFont val="Tahoma"/>
            <family val="2"/>
          </rPr>
          <t>Rosenblum, Mark (Research):</t>
        </r>
        <r>
          <rPr>
            <sz val="9"/>
            <color indexed="81"/>
            <rFont val="Tahoma"/>
            <family val="2"/>
          </rPr>
          <t xml:space="preserve">
Based on new methodology and consistent with ESRX</t>
        </r>
      </text>
    </comment>
    <comment ref="DF98" authorId="8">
      <text>
        <r>
          <rPr>
            <sz val="9"/>
            <color indexed="81"/>
            <rFont val="Tahoma"/>
            <family val="2"/>
          </rPr>
          <t xml:space="preserve">Based on new methodology and consistent with ESRX
</t>
        </r>
      </text>
    </comment>
    <comment ref="B101" authorId="4">
      <text>
        <r>
          <rPr>
            <b/>
            <sz val="8"/>
            <color indexed="8"/>
            <rFont val="Tahoma"/>
            <family val="2"/>
          </rPr>
          <t>justinv:</t>
        </r>
        <r>
          <rPr>
            <sz val="8"/>
            <color indexed="8"/>
            <rFont val="Tahoma"/>
            <family val="2"/>
          </rPr>
          <t xml:space="preserve">
Mail Choice penetration rate included in 3Q</t>
        </r>
      </text>
    </comment>
    <comment ref="CG118" authorId="1">
      <text>
        <r>
          <rPr>
            <b/>
            <sz val="8"/>
            <color indexed="8"/>
            <rFont val="Tahoma"/>
            <family val="2"/>
          </rPr>
          <t>scheandr:</t>
        </r>
        <r>
          <rPr>
            <sz val="8"/>
            <color indexed="8"/>
            <rFont val="Tahoma"/>
            <family val="2"/>
          </rPr>
          <t xml:space="preserve">
reflects addition of $5.5 billion in UAM revenues with only partial addition of scripts</t>
        </r>
      </text>
    </comment>
    <comment ref="CG137" authorId="1">
      <text>
        <r>
          <rPr>
            <b/>
            <sz val="8"/>
            <color indexed="8"/>
            <rFont val="Tahoma"/>
            <family val="2"/>
          </rPr>
          <t>scheandr:</t>
        </r>
        <r>
          <rPr>
            <sz val="8"/>
            <color indexed="8"/>
            <rFont val="Tahoma"/>
            <family val="2"/>
          </rPr>
          <t xml:space="preserve">
reflects addition of $5.5 billion in UAM revenues with only partial addition of scripts</t>
        </r>
      </text>
    </comment>
    <comment ref="BO148" authorId="1">
      <text>
        <r>
          <rPr>
            <b/>
            <sz val="8"/>
            <color indexed="8"/>
            <rFont val="Tahoma"/>
            <family val="2"/>
          </rPr>
          <t>scheandr:</t>
        </r>
        <r>
          <rPr>
            <sz val="8"/>
            <color indexed="8"/>
            <rFont val="Tahoma"/>
            <family val="2"/>
          </rPr>
          <t xml:space="preserve">
IMS Channel and Generic/Brand Data (excludes other and classifies "Branded Generic" as generic)</t>
        </r>
      </text>
    </comment>
    <comment ref="BP148" authorId="1">
      <text>
        <r>
          <rPr>
            <b/>
            <sz val="8"/>
            <color indexed="8"/>
            <rFont val="Tahoma"/>
            <family val="2"/>
          </rPr>
          <t>scheandr:</t>
        </r>
        <r>
          <rPr>
            <sz val="8"/>
            <color indexed="8"/>
            <rFont val="Tahoma"/>
            <family val="2"/>
          </rPr>
          <t xml:space="preserve">
IMS Channel and Generic/Brand Data (excludes other and classifies "Branded Generic" as generic)</t>
        </r>
      </text>
    </comment>
    <comment ref="BR148" authorId="1">
      <text>
        <r>
          <rPr>
            <b/>
            <sz val="8"/>
            <color indexed="8"/>
            <rFont val="Tahoma"/>
            <family val="2"/>
          </rPr>
          <t>scheandr:</t>
        </r>
        <r>
          <rPr>
            <sz val="8"/>
            <color indexed="8"/>
            <rFont val="Tahoma"/>
            <family val="2"/>
          </rPr>
          <t xml:space="preserve">
IMS Channel and Generic/Brand Data (excludes other and classifies "Branded Generic" as generic)</t>
        </r>
      </text>
    </comment>
    <comment ref="BS148" authorId="1">
      <text>
        <r>
          <rPr>
            <b/>
            <sz val="8"/>
            <color indexed="8"/>
            <rFont val="Tahoma"/>
            <family val="2"/>
          </rPr>
          <t>scheandr:</t>
        </r>
        <r>
          <rPr>
            <sz val="8"/>
            <color indexed="8"/>
            <rFont val="Tahoma"/>
            <family val="2"/>
          </rPr>
          <t xml:space="preserve">
Based on IMS data for generic rev from the retail channel (chains, indep, &amp; food)</t>
        </r>
      </text>
    </comment>
    <comment ref="BT148" authorId="1">
      <text>
        <r>
          <rPr>
            <b/>
            <sz val="8"/>
            <color indexed="8"/>
            <rFont val="Tahoma"/>
            <family val="2"/>
          </rPr>
          <t>scheandr:</t>
        </r>
        <r>
          <rPr>
            <sz val="8"/>
            <color indexed="8"/>
            <rFont val="Tahoma"/>
            <family val="2"/>
          </rPr>
          <t xml:space="preserve">
Based on IMS data for generic rev from the retail channel (chains, indep, &amp; food)</t>
        </r>
      </text>
    </comment>
    <comment ref="BU148" authorId="1">
      <text>
        <r>
          <rPr>
            <b/>
            <sz val="8"/>
            <color indexed="8"/>
            <rFont val="Tahoma"/>
            <family val="2"/>
          </rPr>
          <t>scheandr:</t>
        </r>
        <r>
          <rPr>
            <sz val="8"/>
            <color indexed="8"/>
            <rFont val="Tahoma"/>
            <family val="2"/>
          </rPr>
          <t xml:space="preserve">
Based on IMS data for generic rev from the retail channel (chains, indep, &amp; food)</t>
        </r>
      </text>
    </comment>
    <comment ref="BO151" authorId="1">
      <text>
        <r>
          <rPr>
            <b/>
            <sz val="8"/>
            <color indexed="8"/>
            <rFont val="Tahoma"/>
            <family val="2"/>
          </rPr>
          <t>scheandr:</t>
        </r>
        <r>
          <rPr>
            <sz val="8"/>
            <color indexed="8"/>
            <rFont val="Tahoma"/>
            <family val="2"/>
          </rPr>
          <t xml:space="preserve">
IMS Channel and Generic/Brand Data (excludes other and classifies "Branded Generic" as generic)</t>
        </r>
      </text>
    </comment>
    <comment ref="BP151" authorId="1">
      <text>
        <r>
          <rPr>
            <b/>
            <sz val="8"/>
            <color indexed="8"/>
            <rFont val="Tahoma"/>
            <family val="2"/>
          </rPr>
          <t>scheandr:</t>
        </r>
        <r>
          <rPr>
            <sz val="8"/>
            <color indexed="8"/>
            <rFont val="Tahoma"/>
            <family val="2"/>
          </rPr>
          <t xml:space="preserve">
IMS Channel and Generic/Brand Data (excludes other and classifies "Branded Generic" as generic)</t>
        </r>
      </text>
    </comment>
    <comment ref="BR151" authorId="1">
      <text>
        <r>
          <rPr>
            <b/>
            <sz val="8"/>
            <color indexed="8"/>
            <rFont val="Tahoma"/>
            <family val="2"/>
          </rPr>
          <t>scheandr:</t>
        </r>
        <r>
          <rPr>
            <sz val="8"/>
            <color indexed="8"/>
            <rFont val="Tahoma"/>
            <family val="2"/>
          </rPr>
          <t xml:space="preserve">
based on IMS data for the mail channel. </t>
        </r>
      </text>
    </comment>
    <comment ref="BS151" authorId="1">
      <text>
        <r>
          <rPr>
            <b/>
            <sz val="8"/>
            <color indexed="8"/>
            <rFont val="Tahoma"/>
            <family val="2"/>
          </rPr>
          <t>scheandr:</t>
        </r>
        <r>
          <rPr>
            <sz val="8"/>
            <color indexed="8"/>
            <rFont val="Tahoma"/>
            <family val="2"/>
          </rPr>
          <t xml:space="preserve">
IMS Channel and Generic/Brand Data (excludes other and classifies "Branded Generic" as generic)</t>
        </r>
      </text>
    </comment>
    <comment ref="BT151" authorId="1">
      <text>
        <r>
          <rPr>
            <b/>
            <sz val="8"/>
            <color indexed="8"/>
            <rFont val="Tahoma"/>
            <family val="2"/>
          </rPr>
          <t>scheandr:</t>
        </r>
        <r>
          <rPr>
            <sz val="8"/>
            <color indexed="8"/>
            <rFont val="Tahoma"/>
            <family val="2"/>
          </rPr>
          <t xml:space="preserve">
IMS Channel and Generic/Brand Data (excludes other and classifies "Branded Generic" as generic)</t>
        </r>
      </text>
    </comment>
    <comment ref="BU151" authorId="1">
      <text>
        <r>
          <rPr>
            <b/>
            <sz val="8"/>
            <color indexed="8"/>
            <rFont val="Tahoma"/>
            <family val="2"/>
          </rPr>
          <t>scheandr:</t>
        </r>
        <r>
          <rPr>
            <sz val="8"/>
            <color indexed="8"/>
            <rFont val="Tahoma"/>
            <family val="2"/>
          </rPr>
          <t xml:space="preserve">
IMS Channel and Generic/Brand Data (excludes other and classifies "Branded Generic" as generic)</t>
        </r>
      </text>
    </comment>
    <comment ref="CG189" authorId="1">
      <text>
        <r>
          <rPr>
            <b/>
            <sz val="8"/>
            <color indexed="8"/>
            <rFont val="Tahoma"/>
            <family val="2"/>
          </rPr>
          <t>scheandr:</t>
        </r>
        <r>
          <rPr>
            <sz val="8"/>
            <color indexed="8"/>
            <rFont val="Tahoma"/>
            <family val="2"/>
          </rPr>
          <t xml:space="preserve">
refelcts impact of very low margin UAM revenue as well as down tick in FEP retail margins offset in part by AET expansion and Streamlining initiatives</t>
        </r>
      </text>
    </comment>
    <comment ref="CK189" authorId="1">
      <text>
        <r>
          <rPr>
            <b/>
            <sz val="8"/>
            <color indexed="8"/>
            <rFont val="Tahoma"/>
            <family val="2"/>
          </rPr>
          <t>scheandr:</t>
        </r>
        <r>
          <rPr>
            <sz val="8"/>
            <color indexed="8"/>
            <rFont val="Tahoma"/>
            <family val="2"/>
          </rPr>
          <t xml:space="preserve">
refelcts impact of very low margin UAM revenue as well as down tick in FEP retail margins offset in part by AET expansion and Streamlining initiatives</t>
        </r>
      </text>
    </comment>
    <comment ref="CL189" authorId="1">
      <text>
        <r>
          <rPr>
            <b/>
            <sz val="8"/>
            <color indexed="8"/>
            <rFont val="Tahoma"/>
            <family val="2"/>
          </rPr>
          <t>scheandr:</t>
        </r>
        <r>
          <rPr>
            <sz val="8"/>
            <color indexed="8"/>
            <rFont val="Tahoma"/>
            <family val="2"/>
          </rPr>
          <t xml:space="preserve">
benefit of AET &amp; streamlining offset by 25
 bps of pricing pressure</t>
        </r>
      </text>
    </comment>
    <comment ref="CV189" authorId="1">
      <text>
        <r>
          <rPr>
            <b/>
            <sz val="8"/>
            <color indexed="8"/>
            <rFont val="Tahoma"/>
            <family val="2"/>
          </rPr>
          <t>scheandr:</t>
        </r>
        <r>
          <rPr>
            <sz val="8"/>
            <color indexed="8"/>
            <rFont val="Tahoma"/>
            <family val="2"/>
          </rPr>
          <t xml:space="preserve">
 25  bps of pricing pressure</t>
        </r>
      </text>
    </comment>
    <comment ref="CK190" authorId="1">
      <text>
        <r>
          <rPr>
            <b/>
            <sz val="8"/>
            <color indexed="8"/>
            <rFont val="Tahoma"/>
            <family val="2"/>
          </rPr>
          <t>scheandr:</t>
        </r>
        <r>
          <rPr>
            <sz val="8"/>
            <color indexed="8"/>
            <rFont val="Tahoma"/>
            <family val="2"/>
          </rPr>
          <t xml:space="preserve">
refelcts impact of very low margin UAM revenue as well as down tick in FEP retail margins offset in part by AET expansion and Streamlining initiatives</t>
        </r>
      </text>
    </comment>
    <comment ref="CG195" authorId="1">
      <text>
        <r>
          <rPr>
            <b/>
            <sz val="8"/>
            <color indexed="8"/>
            <rFont val="Tahoma"/>
            <family val="2"/>
          </rPr>
          <t>scheandr:</t>
        </r>
        <r>
          <rPr>
            <sz val="8"/>
            <color indexed="8"/>
            <rFont val="Tahoma"/>
            <family val="2"/>
          </rPr>
          <t xml:space="preserve">
refelcts impact of very low margin UAM revenue as well as lower margin FEP at mail margins offset in part by AET expansion and Streamlining initiatives</t>
        </r>
      </text>
    </comment>
    <comment ref="CK195" authorId="1">
      <text>
        <r>
          <rPr>
            <b/>
            <sz val="8"/>
            <color indexed="8"/>
            <rFont val="Tahoma"/>
            <family val="2"/>
          </rPr>
          <t>scheandr:</t>
        </r>
        <r>
          <rPr>
            <sz val="8"/>
            <color indexed="8"/>
            <rFont val="Tahoma"/>
            <family val="2"/>
          </rPr>
          <t xml:space="preserve">
refelcts impact of very low margin UAM revenue as well as lower margin FEP at mail margins offset in part by AET expansion and Streamlining initiatives</t>
        </r>
      </text>
    </comment>
    <comment ref="CL195" authorId="1">
      <text>
        <r>
          <rPr>
            <b/>
            <sz val="8"/>
            <color indexed="8"/>
            <rFont val="Tahoma"/>
            <family val="2"/>
          </rPr>
          <t>scheandr:</t>
        </r>
        <r>
          <rPr>
            <sz val="8"/>
            <color indexed="8"/>
            <rFont val="Tahoma"/>
            <family val="2"/>
          </rPr>
          <t xml:space="preserve">
benefit of AET &amp; streamlining offset by 75 bps of pricing pressure</t>
        </r>
      </text>
    </comment>
    <comment ref="CV195" authorId="1">
      <text>
        <r>
          <rPr>
            <b/>
            <sz val="8"/>
            <color indexed="8"/>
            <rFont val="Tahoma"/>
            <family val="2"/>
          </rPr>
          <t>scheandr:</t>
        </r>
        <r>
          <rPr>
            <sz val="8"/>
            <color indexed="8"/>
            <rFont val="Tahoma"/>
            <family val="2"/>
          </rPr>
          <t xml:space="preserve">
75 bps of pricing pressure</t>
        </r>
      </text>
    </comment>
    <comment ref="CK196" authorId="1">
      <text>
        <r>
          <rPr>
            <b/>
            <sz val="8"/>
            <color indexed="8"/>
            <rFont val="Tahoma"/>
            <family val="2"/>
          </rPr>
          <t>scheandr:</t>
        </r>
        <r>
          <rPr>
            <sz val="8"/>
            <color indexed="8"/>
            <rFont val="Tahoma"/>
            <family val="2"/>
          </rPr>
          <t xml:space="preserve">
refelcts impact of very low margin UAM revenue as well as lower margin FEP at mail margins offset in part by AET expansion and Streamlining initiatives</t>
        </r>
      </text>
    </comment>
    <comment ref="B242" authorId="4">
      <text>
        <r>
          <rPr>
            <b/>
            <sz val="8"/>
            <color indexed="8"/>
            <rFont val="Tahoma"/>
            <family val="2"/>
          </rPr>
          <t>justinv:</t>
        </r>
        <r>
          <rPr>
            <sz val="8"/>
            <color indexed="8"/>
            <rFont val="Tahoma"/>
            <family val="2"/>
          </rPr>
          <t xml:space="preserve">
2009 shows SG&amp;A how the company reports it starting in 3Q.  1Q and 2Q are changed to reflect the numbers had the new reported method been used then.  2008 remains as they reported in those quarters.</t>
        </r>
      </text>
    </comment>
    <comment ref="BU277" authorId="4">
      <text>
        <r>
          <rPr>
            <b/>
            <sz val="8"/>
            <color indexed="8"/>
            <rFont val="Tahoma"/>
            <family val="2"/>
          </rPr>
          <t>justinv:</t>
        </r>
        <r>
          <rPr>
            <sz val="8"/>
            <color indexed="8"/>
            <rFont val="Tahoma"/>
            <family val="2"/>
          </rPr>
          <t xml:space="preserve">
Formula different because of  Longs mail</t>
        </r>
      </text>
    </comment>
    <comment ref="CF297" authorId="6">
      <text>
        <r>
          <rPr>
            <b/>
            <sz val="8"/>
            <color indexed="8"/>
            <rFont val="Tahoma"/>
            <family val="2"/>
          </rPr>
          <t>rickgold:</t>
        </r>
        <r>
          <rPr>
            <sz val="8"/>
            <color indexed="8"/>
            <rFont val="Tahoma"/>
            <family val="2"/>
          </rPr>
          <t xml:space="preserve">
$2.90</t>
        </r>
      </text>
    </comment>
    <comment ref="BH311" authorId="4">
      <text>
        <r>
          <rPr>
            <b/>
            <sz val="8"/>
            <color indexed="8"/>
            <rFont val="Tahoma"/>
            <family val="2"/>
          </rPr>
          <t>justinv:</t>
        </r>
        <r>
          <rPr>
            <sz val="8"/>
            <color indexed="8"/>
            <rFont val="Tahoma"/>
            <family val="2"/>
          </rPr>
          <t xml:space="preserve">
Just used 2Q GDRs.  1Q wasn't given for mail and retail</t>
        </r>
      </text>
    </comment>
    <comment ref="BH314" authorId="4">
      <text>
        <r>
          <rPr>
            <b/>
            <sz val="8"/>
            <color indexed="8"/>
            <rFont val="Tahoma"/>
            <family val="2"/>
          </rPr>
          <t>justinv:</t>
        </r>
        <r>
          <rPr>
            <sz val="8"/>
            <color indexed="8"/>
            <rFont val="Tahoma"/>
            <family val="2"/>
          </rPr>
          <t xml:space="preserve">
Just used 2Q GDRs.  1Q wasn't given for mail and retail</t>
        </r>
      </text>
    </comment>
    <comment ref="CQ321" authorId="2">
      <text>
        <r>
          <rPr>
            <b/>
            <sz val="8"/>
            <color indexed="81"/>
            <rFont val="Tahoma"/>
            <family val="2"/>
          </rPr>
          <t>Closed 1/17</t>
        </r>
        <r>
          <rPr>
            <sz val="8"/>
            <color indexed="81"/>
            <rFont val="Tahoma"/>
            <family val="2"/>
          </rPr>
          <t xml:space="preserve">
</t>
        </r>
      </text>
    </comment>
    <comment ref="CR321" authorId="2">
      <text>
        <r>
          <rPr>
            <b/>
            <sz val="8"/>
            <color indexed="81"/>
            <rFont val="Tahoma"/>
            <family val="2"/>
          </rPr>
          <t>Coram is expected to generate approximately $1.4 billion in revenues during the first twelve months following the close of the deal.  Including one-time transaction and integration costs, the transaction is expected to have an immaterial impact on CVS Caremark's overall financial results in 2014.  The transaction is expected to add $0.03 to $0.05 cents to the Company's Adjusted Earnings Per Share in 2015, the first full year following the close of the deal.  The deal is subject to customary closing conditions, including necessary regulatory approvals, and is expected to close by the end of the first quarter of 2014.</t>
        </r>
        <r>
          <rPr>
            <sz val="8"/>
            <color indexed="81"/>
            <rFont val="Tahoma"/>
            <family val="2"/>
          </rPr>
          <t xml:space="preserve">
Note: modeled revs after 5% growth over Coram 2013</t>
        </r>
      </text>
    </comment>
    <comment ref="CF323" authorId="6">
      <text>
        <r>
          <rPr>
            <b/>
            <sz val="8"/>
            <color indexed="8"/>
            <rFont val="Tahoma"/>
            <family val="2"/>
          </rPr>
          <t>rickgold:</t>
        </r>
        <r>
          <rPr>
            <sz val="8"/>
            <color indexed="8"/>
            <rFont val="Tahoma"/>
            <family val="2"/>
          </rPr>
          <t xml:space="preserve">
$2.90</t>
        </r>
      </text>
    </comment>
    <comment ref="CR330" authorId="2">
      <text>
        <r>
          <rPr>
            <b/>
            <sz val="8"/>
            <color indexed="81"/>
            <rFont val="Tahoma"/>
            <family val="2"/>
          </rPr>
          <t>Based on BIOS</t>
        </r>
      </text>
    </comment>
    <comment ref="CQ336" authorId="2">
      <text>
        <r>
          <rPr>
            <b/>
            <sz val="8"/>
            <color indexed="81"/>
            <rFont val="Tahoma"/>
            <family val="2"/>
          </rPr>
          <t>Closed 1/17</t>
        </r>
        <r>
          <rPr>
            <sz val="8"/>
            <color indexed="81"/>
            <rFont val="Tahoma"/>
            <family val="2"/>
          </rPr>
          <t xml:space="preserve">
</t>
        </r>
      </text>
    </comment>
    <comment ref="CR336" authorId="2">
      <text>
        <r>
          <rPr>
            <b/>
            <sz val="8"/>
            <color indexed="81"/>
            <rFont val="Tahoma"/>
            <family val="2"/>
          </rPr>
          <t>Coram is expected to generate approximately $1.4 billion in revenues during the first twelve months following the close of the deal.  Including one-time transaction and integration costs, the transaction is expected to have an immaterial impact on CVS Caremark's overall financial results in 2014.  The transaction is expected to add $0.03 to $0.05 cents to the Company's Adjusted Earnings Per Share in 2015, the first full year following the close of the deal.  The deal is subject to customary closing conditions, including necessary regulatory approvals, and is expected to close by the end of the first quarter of 2014.</t>
        </r>
        <r>
          <rPr>
            <sz val="8"/>
            <color indexed="81"/>
            <rFont val="Tahoma"/>
            <family val="2"/>
          </rPr>
          <t xml:space="preserve">
Note: modeled revs after 5% growth over Coram 2013</t>
        </r>
      </text>
    </comment>
    <comment ref="CF338" authorId="6">
      <text>
        <r>
          <rPr>
            <b/>
            <sz val="8"/>
            <color indexed="8"/>
            <rFont val="Tahoma"/>
            <family val="2"/>
          </rPr>
          <t>rickgold:</t>
        </r>
        <r>
          <rPr>
            <sz val="8"/>
            <color indexed="8"/>
            <rFont val="Tahoma"/>
            <family val="2"/>
          </rPr>
          <t xml:space="preserve">
$2.90</t>
        </r>
      </text>
    </comment>
    <comment ref="CR351" authorId="2">
      <text>
        <r>
          <rPr>
            <b/>
            <sz val="8"/>
            <color indexed="81"/>
            <rFont val="Tahoma"/>
            <family val="2"/>
          </rPr>
          <t>Based on BIOS</t>
        </r>
      </text>
    </comment>
    <comment ref="B636" authorId="4">
      <text>
        <r>
          <rPr>
            <b/>
            <sz val="8"/>
            <color indexed="8"/>
            <rFont val="Tahoma"/>
            <family val="2"/>
          </rPr>
          <t>justinv:</t>
        </r>
        <r>
          <rPr>
            <sz val="8"/>
            <color indexed="8"/>
            <rFont val="Tahoma"/>
            <family val="2"/>
          </rPr>
          <t xml:space="preserve">
Started disclosing in 1Q07 after Caremark purchase</t>
        </r>
      </text>
    </comment>
    <comment ref="BH636" authorId="4">
      <text>
        <r>
          <rPr>
            <b/>
            <sz val="8"/>
            <color indexed="8"/>
            <rFont val="Tahoma"/>
            <family val="2"/>
          </rPr>
          <t>justinv:</t>
        </r>
        <r>
          <rPr>
            <sz val="8"/>
            <color indexed="8"/>
            <rFont val="Tahoma"/>
            <family val="2"/>
          </rPr>
          <t xml:space="preserve">
Part of CMX</t>
        </r>
      </text>
    </comment>
    <comment ref="BJ636" authorId="4">
      <text>
        <r>
          <rPr>
            <b/>
            <sz val="8"/>
            <color indexed="8"/>
            <rFont val="Tahoma"/>
            <family val="2"/>
          </rPr>
          <t>justinv:</t>
        </r>
        <r>
          <rPr>
            <sz val="8"/>
            <color indexed="8"/>
            <rFont val="Tahoma"/>
            <family val="2"/>
          </rPr>
          <t xml:space="preserve">
Included in Pharmacy services</t>
        </r>
      </text>
    </comment>
    <comment ref="BI637" authorId="4">
      <text>
        <r>
          <rPr>
            <b/>
            <sz val="8"/>
            <color indexed="8"/>
            <rFont val="Tahoma"/>
            <family val="2"/>
          </rPr>
          <t>justinv:</t>
        </r>
        <r>
          <rPr>
            <sz val="8"/>
            <color indexed="8"/>
            <rFont val="Tahoma"/>
            <family val="2"/>
          </rPr>
          <t xml:space="preserve">
Started disclosing specifically, although they called out last Q they had 7 </t>
        </r>
      </text>
    </comment>
    <comment ref="BJ637" authorId="4">
      <text>
        <r>
          <rPr>
            <b/>
            <sz val="8"/>
            <color indexed="8"/>
            <rFont val="Tahoma"/>
            <family val="2"/>
          </rPr>
          <t>justinv:</t>
        </r>
        <r>
          <rPr>
            <sz val="8"/>
            <color indexed="8"/>
            <rFont val="Tahoma"/>
            <family val="2"/>
          </rPr>
          <t xml:space="preserve">
Included in pharmacy services</t>
        </r>
      </text>
    </comment>
    <comment ref="BR650" authorId="4">
      <text>
        <r>
          <rPr>
            <b/>
            <sz val="8"/>
            <color indexed="8"/>
            <rFont val="Tahoma"/>
            <family val="2"/>
          </rPr>
          <t>justinv:</t>
        </r>
        <r>
          <rPr>
            <sz val="8"/>
            <color indexed="8"/>
            <rFont val="Tahoma"/>
            <family val="2"/>
          </rPr>
          <t xml:space="preserve">
Large health insurer grossed up on Mar. 1 2009</t>
        </r>
      </text>
    </comment>
    <comment ref="BS651" authorId="4">
      <text>
        <r>
          <rPr>
            <b/>
            <sz val="8"/>
            <color indexed="8"/>
            <rFont val="Tahoma"/>
            <family val="2"/>
          </rPr>
          <t>justinv:</t>
        </r>
        <r>
          <rPr>
            <sz val="8"/>
            <color indexed="8"/>
            <rFont val="Tahoma"/>
            <family val="2"/>
          </rPr>
          <t xml:space="preserve">
Includes grossing up impact</t>
        </r>
      </text>
    </comment>
    <comment ref="BT651" authorId="4">
      <text>
        <r>
          <rPr>
            <b/>
            <sz val="8"/>
            <color indexed="8"/>
            <rFont val="Tahoma"/>
            <family val="2"/>
          </rPr>
          <t>justinv:</t>
        </r>
        <r>
          <rPr>
            <sz val="8"/>
            <color indexed="8"/>
            <rFont val="Tahoma"/>
            <family val="2"/>
          </rPr>
          <t xml:space="preserve">
includes impact of RxAmerica gross up</t>
        </r>
      </text>
    </comment>
  </commentList>
</comments>
</file>

<file path=xl/comments6.xml><?xml version="1.0" encoding="utf-8"?>
<comments xmlns="http://schemas.openxmlformats.org/spreadsheetml/2006/main">
  <authors>
    <author>ancsan</author>
    <author>Sopcak, Zachary (Research)</author>
    <author>sopcak</author>
  </authors>
  <commentList>
    <comment ref="B9" authorId="0">
      <text>
        <r>
          <rPr>
            <sz val="8"/>
            <color indexed="8"/>
            <rFont val="Tahoma"/>
            <family val="2"/>
          </rPr>
          <t>Assumed</t>
        </r>
      </text>
    </comment>
    <comment ref="BL75" authorId="0">
      <text>
        <r>
          <rPr>
            <sz val="8"/>
            <color indexed="8"/>
            <rFont val="Tahoma"/>
            <family val="2"/>
          </rPr>
          <t>Assumed</t>
        </r>
      </text>
    </comment>
    <comment ref="BQ75" authorId="0">
      <text>
        <r>
          <rPr>
            <sz val="8"/>
            <color indexed="8"/>
            <rFont val="Tahoma"/>
            <family val="2"/>
          </rPr>
          <t>Assumed</t>
        </r>
      </text>
    </comment>
    <comment ref="BV75" authorId="0">
      <text>
        <r>
          <rPr>
            <sz val="8"/>
            <color indexed="8"/>
            <rFont val="Tahoma"/>
            <family val="2"/>
          </rPr>
          <t>Assumed</t>
        </r>
      </text>
    </comment>
    <comment ref="CA75" authorId="0">
      <text>
        <r>
          <rPr>
            <sz val="8"/>
            <color indexed="8"/>
            <rFont val="Tahoma"/>
            <family val="2"/>
          </rPr>
          <t>Assumed</t>
        </r>
      </text>
    </comment>
    <comment ref="CB75" authorId="0">
      <text>
        <r>
          <rPr>
            <sz val="8"/>
            <color indexed="8"/>
            <rFont val="Tahoma"/>
            <family val="2"/>
          </rPr>
          <t>Assumed</t>
        </r>
      </text>
    </comment>
    <comment ref="CC75" authorId="0">
      <text>
        <r>
          <rPr>
            <sz val="8"/>
            <color indexed="8"/>
            <rFont val="Tahoma"/>
            <family val="2"/>
          </rPr>
          <t>Assumed</t>
        </r>
      </text>
    </comment>
    <comment ref="BQ86" authorId="0">
      <text>
        <r>
          <rPr>
            <sz val="8"/>
            <color indexed="8"/>
            <rFont val="Tahoma"/>
            <family val="2"/>
          </rPr>
          <t>Assumed</t>
        </r>
      </text>
    </comment>
    <comment ref="BV86" authorId="0">
      <text>
        <r>
          <rPr>
            <sz val="8"/>
            <color indexed="8"/>
            <rFont val="Tahoma"/>
            <family val="2"/>
          </rPr>
          <t>Assumed</t>
        </r>
      </text>
    </comment>
    <comment ref="CA86" authorId="0">
      <text>
        <r>
          <rPr>
            <sz val="8"/>
            <color indexed="8"/>
            <rFont val="Tahoma"/>
            <family val="2"/>
          </rPr>
          <t>Assumed</t>
        </r>
      </text>
    </comment>
    <comment ref="CB86" authorId="0">
      <text>
        <r>
          <rPr>
            <sz val="8"/>
            <color indexed="8"/>
            <rFont val="Tahoma"/>
            <family val="2"/>
          </rPr>
          <t>Assumed</t>
        </r>
      </text>
    </comment>
    <comment ref="CC86" authorId="0">
      <text>
        <r>
          <rPr>
            <sz val="8"/>
            <color indexed="8"/>
            <rFont val="Tahoma"/>
            <family val="2"/>
          </rPr>
          <t>Assumed</t>
        </r>
      </text>
    </comment>
    <comment ref="CS122" authorId="1">
      <text>
        <r>
          <rPr>
            <b/>
            <sz val="9"/>
            <color indexed="81"/>
            <rFont val="Tahoma"/>
            <family val="2"/>
          </rPr>
          <t>Estimated pre 10-Q</t>
        </r>
      </text>
    </comment>
    <comment ref="CJ133" authorId="2">
      <text>
        <r>
          <rPr>
            <b/>
            <sz val="8"/>
            <color indexed="8"/>
            <rFont val="Tahoma"/>
            <family val="2"/>
          </rPr>
          <t>Assumed redemption in 11/26 cash tender offer</t>
        </r>
        <r>
          <rPr>
            <sz val="8"/>
            <color indexed="8"/>
            <rFont val="Tahoma"/>
            <family val="2"/>
          </rPr>
          <t xml:space="preserve">
</t>
        </r>
      </text>
    </comment>
    <comment ref="BV141" authorId="0">
      <text>
        <r>
          <rPr>
            <sz val="8"/>
            <color indexed="8"/>
            <rFont val="Tahoma"/>
            <family val="2"/>
          </rPr>
          <t>Assumed</t>
        </r>
      </text>
    </comment>
    <comment ref="CA141" authorId="0">
      <text>
        <r>
          <rPr>
            <sz val="8"/>
            <color indexed="8"/>
            <rFont val="Tahoma"/>
            <family val="2"/>
          </rPr>
          <t>Assumed</t>
        </r>
      </text>
    </comment>
    <comment ref="CB141" authorId="0">
      <text>
        <r>
          <rPr>
            <sz val="8"/>
            <color indexed="8"/>
            <rFont val="Tahoma"/>
            <family val="2"/>
          </rPr>
          <t>Assumed</t>
        </r>
      </text>
    </comment>
    <comment ref="CC141" authorId="0">
      <text>
        <r>
          <rPr>
            <sz val="8"/>
            <color indexed="8"/>
            <rFont val="Tahoma"/>
            <family val="2"/>
          </rPr>
          <t>Assumed</t>
        </r>
      </text>
    </comment>
    <comment ref="CD141" authorId="0">
      <text>
        <r>
          <rPr>
            <sz val="8"/>
            <color indexed="8"/>
            <rFont val="Tahoma"/>
            <family val="2"/>
          </rPr>
          <t>Assumed</t>
        </r>
      </text>
    </comment>
    <comment ref="CE141" authorId="0">
      <text>
        <r>
          <rPr>
            <sz val="8"/>
            <color indexed="8"/>
            <rFont val="Tahoma"/>
            <family val="2"/>
          </rPr>
          <t>Assumed</t>
        </r>
      </text>
    </comment>
    <comment ref="CV166" authorId="2">
      <text>
        <r>
          <rPr>
            <sz val="8"/>
            <color indexed="81"/>
            <rFont val="Tahoma"/>
            <family val="2"/>
          </rPr>
          <t xml:space="preserve">
assume repayment</t>
        </r>
      </text>
    </comment>
    <comment ref="DA166" authorId="2">
      <text>
        <r>
          <rPr>
            <sz val="8"/>
            <color indexed="81"/>
            <rFont val="Tahoma"/>
            <family val="2"/>
          </rPr>
          <t xml:space="preserve">
assume repayment</t>
        </r>
      </text>
    </comment>
    <comment ref="DF166" authorId="2">
      <text>
        <r>
          <rPr>
            <sz val="8"/>
            <color indexed="81"/>
            <rFont val="Tahoma"/>
            <family val="2"/>
          </rPr>
          <t xml:space="preserve">
assume repayment</t>
        </r>
      </text>
    </comment>
    <comment ref="DK166" authorId="2">
      <text>
        <r>
          <rPr>
            <sz val="8"/>
            <color indexed="81"/>
            <rFont val="Tahoma"/>
            <family val="2"/>
          </rPr>
          <t xml:space="preserve">
assume repayment</t>
        </r>
      </text>
    </comment>
    <comment ref="DP166" authorId="2">
      <text>
        <r>
          <rPr>
            <sz val="8"/>
            <color indexed="81"/>
            <rFont val="Tahoma"/>
            <family val="2"/>
          </rPr>
          <t xml:space="preserve">
assume repayment</t>
        </r>
      </text>
    </comment>
    <comment ref="DU166" authorId="2">
      <text>
        <r>
          <rPr>
            <sz val="8"/>
            <color indexed="81"/>
            <rFont val="Tahoma"/>
            <family val="2"/>
          </rPr>
          <t xml:space="preserve">
assume repayment</t>
        </r>
      </text>
    </comment>
    <comment ref="CJ177" authorId="2">
      <text>
        <r>
          <rPr>
            <b/>
            <sz val="8"/>
            <color indexed="8"/>
            <rFont val="Tahoma"/>
            <family val="2"/>
          </rPr>
          <t>Assumed redemption in 11/26 cash tender offer</t>
        </r>
        <r>
          <rPr>
            <sz val="8"/>
            <color indexed="8"/>
            <rFont val="Tahoma"/>
            <family val="2"/>
          </rPr>
          <t xml:space="preserve">
</t>
        </r>
      </text>
    </comment>
    <comment ref="CJ188" authorId="2">
      <text>
        <r>
          <rPr>
            <b/>
            <sz val="8"/>
            <color indexed="8"/>
            <rFont val="Tahoma"/>
            <family val="2"/>
          </rPr>
          <t>Assumed redemption in 11/26 cash tender offer</t>
        </r>
        <r>
          <rPr>
            <sz val="8"/>
            <color indexed="8"/>
            <rFont val="Tahoma"/>
            <family val="2"/>
          </rPr>
          <t xml:space="preserve">
</t>
        </r>
      </text>
    </comment>
    <comment ref="CJ199" authorId="2">
      <text>
        <r>
          <rPr>
            <b/>
            <sz val="8"/>
            <color indexed="8"/>
            <rFont val="Tahoma"/>
            <family val="2"/>
          </rPr>
          <t>Assumed redemption in 11/26 cash tender offer</t>
        </r>
        <r>
          <rPr>
            <sz val="8"/>
            <color indexed="8"/>
            <rFont val="Tahoma"/>
            <family val="2"/>
          </rPr>
          <t xml:space="preserve">
</t>
        </r>
      </text>
    </comment>
    <comment ref="CJ210" authorId="2">
      <text>
        <r>
          <rPr>
            <b/>
            <sz val="8"/>
            <color indexed="8"/>
            <rFont val="Tahoma"/>
            <family val="2"/>
          </rPr>
          <t>Assumed redemption in 11/26 cash tender offer</t>
        </r>
        <r>
          <rPr>
            <sz val="8"/>
            <color indexed="8"/>
            <rFont val="Tahoma"/>
            <family val="2"/>
          </rPr>
          <t xml:space="preserve">
</t>
        </r>
      </text>
    </comment>
    <comment ref="CJ221" authorId="2">
      <text>
        <r>
          <rPr>
            <b/>
            <sz val="8"/>
            <color indexed="8"/>
            <rFont val="Tahoma"/>
            <family val="2"/>
          </rPr>
          <t>Assumed redemption in 11/26 cash tender offer</t>
        </r>
        <r>
          <rPr>
            <sz val="8"/>
            <color indexed="8"/>
            <rFont val="Tahoma"/>
            <family val="2"/>
          </rPr>
          <t xml:space="preserve">
</t>
        </r>
      </text>
    </comment>
    <comment ref="CJ232" authorId="2">
      <text>
        <r>
          <rPr>
            <b/>
            <sz val="8"/>
            <color indexed="8"/>
            <rFont val="Tahoma"/>
            <family val="2"/>
          </rPr>
          <t>Assumed redemption in 11/26 cash tender offer</t>
        </r>
        <r>
          <rPr>
            <sz val="8"/>
            <color indexed="8"/>
            <rFont val="Tahoma"/>
            <family val="2"/>
          </rPr>
          <t xml:space="preserve">
</t>
        </r>
      </text>
    </comment>
    <comment ref="CJ243" authorId="2">
      <text>
        <r>
          <rPr>
            <b/>
            <sz val="8"/>
            <color indexed="8"/>
            <rFont val="Tahoma"/>
            <family val="2"/>
          </rPr>
          <t>Assumed redemption in 11/26 cash tender offer</t>
        </r>
        <r>
          <rPr>
            <sz val="8"/>
            <color indexed="8"/>
            <rFont val="Tahoma"/>
            <family val="2"/>
          </rPr>
          <t xml:space="preserve">
</t>
        </r>
      </text>
    </comment>
    <comment ref="CS254" authorId="1">
      <text>
        <r>
          <rPr>
            <b/>
            <sz val="9"/>
            <color indexed="81"/>
            <rFont val="Tahoma"/>
            <family val="2"/>
          </rPr>
          <t>Estimated pre-10Q</t>
        </r>
        <r>
          <rPr>
            <sz val="9"/>
            <color indexed="81"/>
            <rFont val="Tahoma"/>
            <family val="2"/>
          </rPr>
          <t xml:space="preserve">
</t>
        </r>
      </text>
    </comment>
    <comment ref="CJ265" authorId="2">
      <text>
        <r>
          <rPr>
            <sz val="8"/>
            <color indexed="8"/>
            <rFont val="Tahoma"/>
            <family val="2"/>
          </rPr>
          <t>Assumed redemption in 11/26 cash tender offer</t>
        </r>
      </text>
    </comment>
    <comment ref="B315" authorId="2">
      <text>
        <r>
          <rPr>
            <b/>
            <sz val="8"/>
            <color indexed="8"/>
            <rFont val="Tahoma"/>
            <family val="2"/>
          </rPr>
          <t>http://www.sec.gov/Archives/edgar/data/64803/000095010312006385/dp34486_8k.htm</t>
        </r>
        <r>
          <rPr>
            <sz val="8"/>
            <color indexed="8"/>
            <rFont val="Tahoma"/>
            <family val="2"/>
          </rPr>
          <t xml:space="preserve">
</t>
        </r>
      </text>
    </comment>
    <comment ref="BL405" authorId="0">
      <text>
        <r>
          <rPr>
            <sz val="8"/>
            <color indexed="8"/>
            <rFont val="Tahoma"/>
            <family val="2"/>
          </rPr>
          <t xml:space="preserve">Assumed
</t>
        </r>
      </text>
    </comment>
    <comment ref="BQ405" authorId="0">
      <text>
        <r>
          <rPr>
            <sz val="8"/>
            <color indexed="8"/>
            <rFont val="Tahoma"/>
            <family val="2"/>
          </rPr>
          <t xml:space="preserve">Assumed
</t>
        </r>
      </text>
    </comment>
    <comment ref="BV405" authorId="0">
      <text>
        <r>
          <rPr>
            <sz val="8"/>
            <color indexed="8"/>
            <rFont val="Tahoma"/>
            <family val="2"/>
          </rPr>
          <t xml:space="preserve">Assumed
</t>
        </r>
      </text>
    </comment>
    <comment ref="CA405" authorId="0">
      <text>
        <r>
          <rPr>
            <sz val="8"/>
            <color indexed="8"/>
            <rFont val="Tahoma"/>
            <family val="2"/>
          </rPr>
          <t xml:space="preserve">Assumed
</t>
        </r>
      </text>
    </comment>
    <comment ref="CB405" authorId="0">
      <text>
        <r>
          <rPr>
            <sz val="8"/>
            <color indexed="8"/>
            <rFont val="Tahoma"/>
            <family val="2"/>
          </rPr>
          <t xml:space="preserve">Assumed
</t>
        </r>
      </text>
    </comment>
    <comment ref="CC405" authorId="0">
      <text>
        <r>
          <rPr>
            <sz val="8"/>
            <color indexed="8"/>
            <rFont val="Tahoma"/>
            <family val="2"/>
          </rPr>
          <t xml:space="preserve">Assumed
</t>
        </r>
      </text>
    </comment>
    <comment ref="CD405" authorId="0">
      <text>
        <r>
          <rPr>
            <sz val="8"/>
            <color indexed="8"/>
            <rFont val="Tahoma"/>
            <family val="2"/>
          </rPr>
          <t xml:space="preserve">Assumed
</t>
        </r>
      </text>
    </comment>
    <comment ref="CE405" authorId="0">
      <text>
        <r>
          <rPr>
            <sz val="8"/>
            <color indexed="8"/>
            <rFont val="Tahoma"/>
            <family val="2"/>
          </rPr>
          <t xml:space="preserve">Assumed
</t>
        </r>
      </text>
    </comment>
    <comment ref="BL416" authorId="0">
      <text>
        <r>
          <rPr>
            <sz val="8"/>
            <color indexed="8"/>
            <rFont val="Tahoma"/>
            <family val="2"/>
          </rPr>
          <t xml:space="preserve">Assumed
</t>
        </r>
      </text>
    </comment>
    <comment ref="BQ416" authorId="0">
      <text>
        <r>
          <rPr>
            <sz val="8"/>
            <color indexed="8"/>
            <rFont val="Tahoma"/>
            <family val="2"/>
          </rPr>
          <t xml:space="preserve">Assumed
</t>
        </r>
      </text>
    </comment>
    <comment ref="BV416" authorId="0">
      <text>
        <r>
          <rPr>
            <sz val="8"/>
            <color indexed="8"/>
            <rFont val="Tahoma"/>
            <family val="2"/>
          </rPr>
          <t xml:space="preserve">Assumed
</t>
        </r>
      </text>
    </comment>
    <comment ref="CA416" authorId="0">
      <text>
        <r>
          <rPr>
            <sz val="8"/>
            <color indexed="8"/>
            <rFont val="Tahoma"/>
            <family val="2"/>
          </rPr>
          <t xml:space="preserve">Assumed
</t>
        </r>
      </text>
    </comment>
    <comment ref="CB416" authorId="0">
      <text>
        <r>
          <rPr>
            <sz val="8"/>
            <color indexed="8"/>
            <rFont val="Tahoma"/>
            <family val="2"/>
          </rPr>
          <t xml:space="preserve">Assumed
</t>
        </r>
      </text>
    </comment>
    <comment ref="CC416" authorId="0">
      <text>
        <r>
          <rPr>
            <sz val="8"/>
            <color indexed="8"/>
            <rFont val="Tahoma"/>
            <family val="2"/>
          </rPr>
          <t xml:space="preserve">Assumed
</t>
        </r>
      </text>
    </comment>
    <comment ref="CD416" authorId="0">
      <text>
        <r>
          <rPr>
            <sz val="8"/>
            <color indexed="8"/>
            <rFont val="Tahoma"/>
            <family val="2"/>
          </rPr>
          <t xml:space="preserve">Assumed
</t>
        </r>
      </text>
    </comment>
    <comment ref="CE416" authorId="0">
      <text>
        <r>
          <rPr>
            <sz val="8"/>
            <color indexed="8"/>
            <rFont val="Tahoma"/>
            <family val="2"/>
          </rPr>
          <t xml:space="preserve">Assumed
</t>
        </r>
      </text>
    </comment>
    <comment ref="CM422" authorId="2">
      <text>
        <r>
          <rPr>
            <b/>
            <sz val="8"/>
            <color indexed="81"/>
            <rFont val="Tahoma"/>
            <family val="2"/>
          </rPr>
          <t>1Q13 cc:
Expected to be higher, driving ~10M increase to int exp guidance range</t>
        </r>
      </text>
    </comment>
    <comment ref="BL427" authorId="0">
      <text>
        <r>
          <rPr>
            <sz val="8"/>
            <color indexed="8"/>
            <rFont val="Tahoma"/>
            <family val="2"/>
          </rPr>
          <t xml:space="preserve">Assumed
</t>
        </r>
      </text>
    </comment>
    <comment ref="BQ427" authorId="0">
      <text>
        <r>
          <rPr>
            <sz val="8"/>
            <color indexed="8"/>
            <rFont val="Tahoma"/>
            <family val="2"/>
          </rPr>
          <t xml:space="preserve">Assumed
</t>
        </r>
      </text>
    </comment>
    <comment ref="BV427" authorId="0">
      <text>
        <r>
          <rPr>
            <sz val="8"/>
            <color indexed="8"/>
            <rFont val="Tahoma"/>
            <family val="2"/>
          </rPr>
          <t xml:space="preserve">Assumed
</t>
        </r>
      </text>
    </comment>
    <comment ref="CA427" authorId="0">
      <text>
        <r>
          <rPr>
            <sz val="8"/>
            <color indexed="8"/>
            <rFont val="Tahoma"/>
            <family val="2"/>
          </rPr>
          <t xml:space="preserve">Assumed
</t>
        </r>
      </text>
    </comment>
    <comment ref="CB427" authorId="0">
      <text>
        <r>
          <rPr>
            <sz val="8"/>
            <color indexed="8"/>
            <rFont val="Tahoma"/>
            <family val="2"/>
          </rPr>
          <t xml:space="preserve">Assumed
</t>
        </r>
      </text>
    </comment>
    <comment ref="CC427" authorId="0">
      <text>
        <r>
          <rPr>
            <sz val="8"/>
            <color indexed="8"/>
            <rFont val="Tahoma"/>
            <family val="2"/>
          </rPr>
          <t xml:space="preserve">Assumed
</t>
        </r>
      </text>
    </comment>
    <comment ref="CB431" authorId="0">
      <text>
        <r>
          <rPr>
            <sz val="8"/>
            <color indexed="8"/>
            <rFont val="Tahoma"/>
            <family val="2"/>
          </rPr>
          <t>Quaterly break down of debt not given</t>
        </r>
      </text>
    </comment>
    <comment ref="CC431" authorId="0">
      <text>
        <r>
          <rPr>
            <sz val="8"/>
            <color indexed="8"/>
            <rFont val="Tahoma"/>
            <family val="2"/>
          </rPr>
          <t>Quaterly break down of debt not given</t>
        </r>
      </text>
    </comment>
  </commentList>
</comments>
</file>

<file path=xl/comments7.xml><?xml version="1.0" encoding="utf-8"?>
<comments xmlns="http://schemas.openxmlformats.org/spreadsheetml/2006/main">
  <authors>
    <author>Sopcak, Zachary (Research)</author>
    <author>scheandr</author>
    <author>saursing</author>
    <author>justinv</author>
    <author>sopcak</author>
    <author>Rosenblum, Mark (Research)</author>
  </authors>
  <commentList>
    <comment ref="AG13" authorId="0">
      <text>
        <r>
          <rPr>
            <b/>
            <sz val="9"/>
            <color indexed="81"/>
            <rFont val="Tahoma"/>
            <family val="2"/>
          </rPr>
          <t>3Qcc
-900 bps from tobacco exit
+0.3% underlying</t>
        </r>
        <r>
          <rPr>
            <sz val="9"/>
            <color indexed="81"/>
            <rFont val="Tahoma"/>
            <family val="2"/>
          </rPr>
          <t xml:space="preserve">
</t>
        </r>
      </text>
    </comment>
    <comment ref="AI13" authorId="0">
      <text>
        <r>
          <rPr>
            <b/>
            <sz val="9"/>
            <color indexed="81"/>
            <rFont val="Tahoma"/>
            <family val="2"/>
          </rPr>
          <t>Tobacco -900, organic +100 bps</t>
        </r>
      </text>
    </comment>
    <comment ref="U79" authorId="1">
      <text>
        <r>
          <rPr>
            <b/>
            <sz val="8"/>
            <color indexed="8"/>
            <rFont val="Tahoma"/>
            <family val="2"/>
          </rPr>
          <t>scheandr:</t>
        </r>
        <r>
          <rPr>
            <sz val="8"/>
            <color indexed="8"/>
            <rFont val="Tahoma"/>
            <family val="2"/>
          </rPr>
          <t xml:space="preserve">
+ 6.5% to 7.5%</t>
        </r>
      </text>
    </comment>
    <comment ref="AA79" authorId="2">
      <text>
        <r>
          <rPr>
            <b/>
            <sz val="8"/>
            <color indexed="81"/>
            <rFont val="Tahoma"/>
            <family val="2"/>
          </rPr>
          <t>saursing:</t>
        </r>
        <r>
          <rPr>
            <sz val="8"/>
            <color indexed="81"/>
            <rFont val="Tahoma"/>
            <family val="2"/>
          </rPr>
          <t xml:space="preserve">
2Q13 CC: 1.25% - 2.25%</t>
        </r>
      </text>
    </comment>
    <comment ref="AJ113" authorId="0">
      <text>
        <r>
          <rPr>
            <b/>
            <sz val="9"/>
            <color indexed="81"/>
            <rFont val="Tahoma"/>
            <family val="2"/>
          </rPr>
          <t>Generic Nexium late in the Q</t>
        </r>
        <r>
          <rPr>
            <sz val="9"/>
            <color indexed="81"/>
            <rFont val="Tahoma"/>
            <family val="2"/>
          </rPr>
          <t xml:space="preserve">
</t>
        </r>
      </text>
    </comment>
    <comment ref="Q175" authorId="3">
      <text>
        <r>
          <rPr>
            <b/>
            <sz val="8"/>
            <color indexed="8"/>
            <rFont val="Tahoma"/>
            <family val="2"/>
          </rPr>
          <t>justinv:</t>
        </r>
        <r>
          <rPr>
            <sz val="8"/>
            <color indexed="8"/>
            <rFont val="Tahoma"/>
            <family val="2"/>
          </rPr>
          <t xml:space="preserve">
AET Mail.  AET in total should add 150M scripts in 2011, and has a mail pen of 10%</t>
        </r>
      </text>
    </comment>
    <comment ref="R175" authorId="3">
      <text>
        <r>
          <rPr>
            <b/>
            <sz val="8"/>
            <color indexed="8"/>
            <rFont val="Tahoma"/>
            <family val="2"/>
          </rPr>
          <t>justinv:</t>
        </r>
        <r>
          <rPr>
            <sz val="8"/>
            <color indexed="8"/>
            <rFont val="Tahoma"/>
            <family val="2"/>
          </rPr>
          <t xml:space="preserve">
UAM contract supposed to add ~55M scripts in 2H of 2011</t>
        </r>
      </text>
    </comment>
    <comment ref="AR176" authorId="0">
      <text>
        <r>
          <rPr>
            <b/>
            <sz val="9"/>
            <color indexed="81"/>
            <rFont val="Tahoma"/>
            <family val="2"/>
          </rPr>
          <t>CVH Medicare + wins</t>
        </r>
      </text>
    </comment>
    <comment ref="AI181" authorId="4">
      <text>
        <r>
          <rPr>
            <b/>
            <sz val="8"/>
            <color indexed="81"/>
            <rFont val="Tahoma"/>
            <family val="2"/>
          </rPr>
          <t>AET Repricing</t>
        </r>
        <r>
          <rPr>
            <sz val="8"/>
            <color indexed="81"/>
            <rFont val="Tahoma"/>
            <family val="2"/>
          </rPr>
          <t xml:space="preserve">
</t>
        </r>
      </text>
    </comment>
    <comment ref="BC186" authorId="5">
      <text>
        <r>
          <rPr>
            <b/>
            <sz val="9"/>
            <color indexed="81"/>
            <rFont val="Tahoma"/>
            <family val="2"/>
          </rPr>
          <t>Rosenblum, Mark (Research):</t>
        </r>
        <r>
          <rPr>
            <sz val="9"/>
            <color indexed="81"/>
            <rFont val="Tahoma"/>
            <family val="2"/>
          </rPr>
          <t xml:space="preserve">
FEP Specialty Repricing</t>
        </r>
      </text>
    </comment>
    <comment ref="BD186" authorId="5">
      <text>
        <r>
          <rPr>
            <b/>
            <sz val="9"/>
            <color indexed="81"/>
            <rFont val="Tahoma"/>
            <family val="2"/>
          </rPr>
          <t>Rosenblum, Mark (Research):</t>
        </r>
        <r>
          <rPr>
            <sz val="9"/>
            <color indexed="81"/>
            <rFont val="Tahoma"/>
            <family val="2"/>
          </rPr>
          <t xml:space="preserve">
FEP Specialty Repricing</t>
        </r>
      </text>
    </comment>
    <comment ref="BE186" authorId="5">
      <text>
        <r>
          <rPr>
            <b/>
            <sz val="9"/>
            <color indexed="81"/>
            <rFont val="Tahoma"/>
            <family val="2"/>
          </rPr>
          <t>Rosenblum, Mark (Research):</t>
        </r>
        <r>
          <rPr>
            <sz val="9"/>
            <color indexed="81"/>
            <rFont val="Tahoma"/>
            <family val="2"/>
          </rPr>
          <t xml:space="preserve">
FEP Specialty Repricing</t>
        </r>
      </text>
    </comment>
    <comment ref="BF186" authorId="5">
      <text>
        <r>
          <rPr>
            <b/>
            <sz val="9"/>
            <color indexed="81"/>
            <rFont val="Tahoma"/>
            <family val="2"/>
          </rPr>
          <t>Rosenblum, Mark (Research):</t>
        </r>
        <r>
          <rPr>
            <sz val="9"/>
            <color indexed="81"/>
            <rFont val="Tahoma"/>
            <family val="2"/>
          </rPr>
          <t xml:space="preserve">
FEP Specialty Repricing</t>
        </r>
      </text>
    </comment>
    <comment ref="BH186" authorId="5">
      <text>
        <r>
          <rPr>
            <b/>
            <sz val="9"/>
            <color indexed="81"/>
            <rFont val="Tahoma"/>
            <family val="2"/>
          </rPr>
          <t>Rosenblum, Mark (Research):</t>
        </r>
        <r>
          <rPr>
            <sz val="9"/>
            <color indexed="81"/>
            <rFont val="Tahoma"/>
            <family val="2"/>
          </rPr>
          <t xml:space="preserve">
FEP Specialty Repricing</t>
        </r>
      </text>
    </comment>
    <comment ref="BI186" authorId="5">
      <text>
        <r>
          <rPr>
            <b/>
            <sz val="9"/>
            <color indexed="81"/>
            <rFont val="Tahoma"/>
            <family val="2"/>
          </rPr>
          <t>Rosenblum, Mark (Research):</t>
        </r>
        <r>
          <rPr>
            <sz val="9"/>
            <color indexed="81"/>
            <rFont val="Tahoma"/>
            <family val="2"/>
          </rPr>
          <t xml:space="preserve">
FEP Specialty Repricing</t>
        </r>
      </text>
    </comment>
    <comment ref="BJ186" authorId="5">
      <text>
        <r>
          <rPr>
            <b/>
            <sz val="9"/>
            <color indexed="81"/>
            <rFont val="Tahoma"/>
            <family val="2"/>
          </rPr>
          <t>Rosenblum, Mark (Research):</t>
        </r>
        <r>
          <rPr>
            <sz val="9"/>
            <color indexed="81"/>
            <rFont val="Tahoma"/>
            <family val="2"/>
          </rPr>
          <t xml:space="preserve">
FEP Specialty Repricing</t>
        </r>
      </text>
    </comment>
    <comment ref="BK186" authorId="5">
      <text>
        <r>
          <rPr>
            <b/>
            <sz val="9"/>
            <color indexed="81"/>
            <rFont val="Tahoma"/>
            <family val="2"/>
          </rPr>
          <t>Rosenblum, Mark (Research):</t>
        </r>
        <r>
          <rPr>
            <sz val="9"/>
            <color indexed="81"/>
            <rFont val="Tahoma"/>
            <family val="2"/>
          </rPr>
          <t xml:space="preserve">
FEP Specialty Repricing</t>
        </r>
      </text>
    </comment>
    <comment ref="M189" authorId="3">
      <text>
        <r>
          <rPr>
            <b/>
            <sz val="8"/>
            <color indexed="8"/>
            <rFont val="Tahoma"/>
            <family val="2"/>
          </rPr>
          <t>justinv:</t>
        </r>
        <r>
          <rPr>
            <sz val="8"/>
            <color indexed="8"/>
            <rFont val="Tahoma"/>
            <family val="2"/>
          </rPr>
          <t xml:space="preserve">
Includes AET integration costs, which will likely continue through 2011 as contract ramps up. The $0.01 to $0.02 of dilution results in about $0.30 per claim 
Also adding in 40M worth of streamlining costs per Q310 company guidance on 3Q call.  They said they were spending an additional 60M in 2010 on the streamlining project, so the remaining 40 comes in 4Q.  60M ended up being an additional $0.39 per claim, so 40M works out to be $0.26.
Excluding these two items would put you at about $1.00 per claim, in-line with the other 2 quarters of the year</t>
        </r>
      </text>
    </comment>
    <comment ref="R189" authorId="3">
      <text>
        <r>
          <rPr>
            <b/>
            <sz val="8"/>
            <color indexed="8"/>
            <rFont val="Tahoma"/>
            <family val="2"/>
          </rPr>
          <t>justinv:</t>
        </r>
        <r>
          <rPr>
            <sz val="8"/>
            <color indexed="8"/>
            <rFont val="Tahoma"/>
            <family val="2"/>
          </rPr>
          <t xml:space="preserve">
this doesn't reflect the last year's SG&amp;A per claim because using the 1.00 number excludes last year's AET dilution and 60M of incremental PBM restructuring costs in 4Q</t>
        </r>
      </text>
    </comment>
    <comment ref="Q231" authorId="3">
      <text>
        <r>
          <rPr>
            <b/>
            <sz val="8"/>
            <color indexed="8"/>
            <rFont val="Tahoma"/>
            <family val="2"/>
          </rPr>
          <t>justinv:</t>
        </r>
        <r>
          <rPr>
            <sz val="8"/>
            <color indexed="8"/>
            <rFont val="Tahoma"/>
            <family val="2"/>
          </rPr>
          <t xml:space="preserve">
AET Mail.  AET in total should add 150M scripts in 2011, and has a mail pen of 10%</t>
        </r>
      </text>
    </comment>
    <comment ref="R231" authorId="3">
      <text>
        <r>
          <rPr>
            <b/>
            <sz val="8"/>
            <color indexed="8"/>
            <rFont val="Tahoma"/>
            <family val="2"/>
          </rPr>
          <t>justinv:</t>
        </r>
        <r>
          <rPr>
            <sz val="8"/>
            <color indexed="8"/>
            <rFont val="Tahoma"/>
            <family val="2"/>
          </rPr>
          <t xml:space="preserve">
UAM contract supposed to add ~55M scripts in 2H of 2011</t>
        </r>
      </text>
    </comment>
    <comment ref="Q250" authorId="3">
      <text>
        <r>
          <rPr>
            <b/>
            <sz val="8"/>
            <color indexed="8"/>
            <rFont val="Tahoma"/>
            <family val="2"/>
          </rPr>
          <t>justinv:</t>
        </r>
        <r>
          <rPr>
            <sz val="8"/>
            <color indexed="8"/>
            <rFont val="Tahoma"/>
            <family val="2"/>
          </rPr>
          <t xml:space="preserve">
AET Mail.  AET in total should add 150M scripts in 2011, and has a mail pen of 10%</t>
        </r>
      </text>
    </comment>
    <comment ref="R250" authorId="3">
      <text>
        <r>
          <rPr>
            <b/>
            <sz val="8"/>
            <color indexed="8"/>
            <rFont val="Tahoma"/>
            <family val="2"/>
          </rPr>
          <t>justinv:</t>
        </r>
        <r>
          <rPr>
            <sz val="8"/>
            <color indexed="8"/>
            <rFont val="Tahoma"/>
            <family val="2"/>
          </rPr>
          <t xml:space="preserve">
UAM contract supposed to add ~55M scripts in 2H of 2011</t>
        </r>
      </text>
    </comment>
  </commentList>
</comments>
</file>

<file path=xl/connections.xml><?xml version="1.0" encoding="utf-8"?>
<connections xmlns="http://schemas.openxmlformats.org/spreadsheetml/2006/main">
  <connection id="1" name="Connection" type="4" refreshedVersion="2" background="1" saveData="1">
    <webPr sourceData="1" parsePre="1" consecutive="1" xl2000="1" url="http://sec.gov/Archives/edgar/data/1012956/000119312503025659/d10ka.htm#tx668_8" htmlTables="1">
      <tables count="1">
        <x v="97"/>
      </tables>
    </webPr>
  </connection>
</connections>
</file>

<file path=xl/sharedStrings.xml><?xml version="1.0" encoding="utf-8"?>
<sst xmlns="http://schemas.openxmlformats.org/spreadsheetml/2006/main" count="4163" uniqueCount="2051">
  <si>
    <t>$3.84-$3.98</t>
  </si>
  <si>
    <t>$3.38-$3.41</t>
  </si>
  <si>
    <t>Non controlling interest</t>
  </si>
  <si>
    <t>Effect of exchange rates on tax</t>
  </si>
  <si>
    <t>0.25% to 1.75%</t>
  </si>
  <si>
    <t>-1.0% to 0.5%</t>
  </si>
  <si>
    <t>Modest decline</t>
  </si>
  <si>
    <t>Notable improvement</t>
  </si>
  <si>
    <t>($1.7 billion)</t>
  </si>
  <si>
    <t>As of Investor Day</t>
  </si>
  <si>
    <t>2013 Guidance</t>
  </si>
  <si>
    <t>1Q13 Guidance</t>
  </si>
  <si>
    <t>Op Profit Growth</t>
  </si>
  <si>
    <t>CVS.N</t>
  </si>
  <si>
    <t>2.25% to 3.5%</t>
  </si>
  <si>
    <t>1.75% to 3.0%</t>
  </si>
  <si>
    <t>1.75% to 2.75%</t>
  </si>
  <si>
    <t>1.050B to 1.058B</t>
  </si>
  <si>
    <t>11% to 14%</t>
  </si>
  <si>
    <t>up 35 to 40 bps</t>
  </si>
  <si>
    <t>up 40 to 45 bps</t>
  </si>
  <si>
    <t>Modest deterioration</t>
  </si>
  <si>
    <t>Moderately Up</t>
  </si>
  <si>
    <t>Flat to Down</t>
  </si>
  <si>
    <t>up 30 to 40 bps</t>
  </si>
  <si>
    <t>495 m</t>
  </si>
  <si>
    <t>$1.9B</t>
  </si>
  <si>
    <t>-</t>
  </si>
  <si>
    <t>Currency</t>
  </si>
  <si>
    <t>Count</t>
  </si>
  <si>
    <t>Guidance 2Q14</t>
  </si>
  <si>
    <t>2.5% to 4%</t>
  </si>
  <si>
    <t>11% to 14.75%</t>
  </si>
  <si>
    <t>10.75% to 12%</t>
  </si>
  <si>
    <t>18.25% to 23.25%</t>
  </si>
  <si>
    <t>1.25% to 2.75%</t>
  </si>
  <si>
    <t>Same store adj script growth</t>
  </si>
  <si>
    <t>4.5% to 6.5%</t>
  </si>
  <si>
    <t>MS 2Q14</t>
  </si>
  <si>
    <t>1Q14 cc</t>
  </si>
  <si>
    <t>5.25% to 6.5%</t>
  </si>
  <si>
    <t>~$520 mllion</t>
  </si>
  <si>
    <t>$7.0 to $7.3 billion</t>
  </si>
  <si>
    <t>8.75% to 10%</t>
  </si>
  <si>
    <t>flattish</t>
  </si>
  <si>
    <t>USD</t>
  </si>
  <si>
    <t>CVS/Caremark</t>
  </si>
  <si>
    <t>Ticker: CVS</t>
  </si>
  <si>
    <t>Rating: Overweight</t>
  </si>
  <si>
    <t>Ricky Goldwasser</t>
  </si>
  <si>
    <t>Senior Analyst</t>
  </si>
  <si>
    <t>(212) 761-4097</t>
  </si>
  <si>
    <t>Ricky.Goldwasser@morganstanley.com</t>
  </si>
  <si>
    <t>INCOME STATEMENT</t>
  </si>
  <si>
    <t>Fiscal Year End, Dec 31 1996</t>
  </si>
  <si>
    <t>Fiscal Year End, Dec 31 1997</t>
  </si>
  <si>
    <t>Fiscal Year End, Dec 31 1998</t>
  </si>
  <si>
    <t>Fiscal Year End, Dec 31 1999</t>
  </si>
  <si>
    <t>Fiscal Year End, Dec 31 2000</t>
  </si>
  <si>
    <t>Fiscal Year End, Dec 31 2001</t>
  </si>
  <si>
    <t>Fiscal Year End, Dec 31 2002</t>
  </si>
  <si>
    <t>Fiscal Year End, Dec 31 2003</t>
  </si>
  <si>
    <t>Fiscal Year End, Dec 31 2004</t>
  </si>
  <si>
    <t xml:space="preserve">Fiscal Year End, Dec 31 2005 </t>
  </si>
  <si>
    <t xml:space="preserve">Fiscal Year End, Dec 31 2006 </t>
  </si>
  <si>
    <t xml:space="preserve">Fiscal Year End, Dec 31 2007 </t>
  </si>
  <si>
    <t>Fiscal Year End, Dec 31 2008</t>
  </si>
  <si>
    <t>Fiscal Year End, Dec 31 2009</t>
  </si>
  <si>
    <t>Fiscal Year End, Dec 31 2010</t>
  </si>
  <si>
    <t>Fiscal Year End, Dec 31 2011</t>
  </si>
  <si>
    <t>Fiscal Year End, Dec 31 2012</t>
  </si>
  <si>
    <t>Fiscal Year End, Dec 31 2013</t>
  </si>
  <si>
    <t>Fiscal Year End, Dec 31 2014</t>
  </si>
  <si>
    <t>Fiscal Year End, Dec 31 2015</t>
  </si>
  <si>
    <t>(In millions, except per share)</t>
  </si>
  <si>
    <t>1Q96A</t>
  </si>
  <si>
    <t>2Q96A</t>
  </si>
  <si>
    <t>3Q96A</t>
  </si>
  <si>
    <t>4Q96A</t>
  </si>
  <si>
    <t>1996A</t>
  </si>
  <si>
    <t>1Q97A</t>
  </si>
  <si>
    <t>2Q97A</t>
  </si>
  <si>
    <t>Guidance 1Q14</t>
  </si>
  <si>
    <t>CVS CY14</t>
  </si>
  <si>
    <t>MS CY14</t>
  </si>
  <si>
    <t>4% to 5.25%</t>
  </si>
  <si>
    <t>$4.36 to $4.50</t>
  </si>
  <si>
    <t>10.25% to 13.75%</t>
  </si>
  <si>
    <t>$6.6 to $6.9 billion</t>
  </si>
  <si>
    <t>($1.5 billion)</t>
  </si>
  <si>
    <t>$5.1 to $5.4 billion</t>
  </si>
  <si>
    <t>2% to 3.25%</t>
  </si>
  <si>
    <t>0.75% to 2%</t>
  </si>
  <si>
    <t>3.25% to 4.25%</t>
  </si>
  <si>
    <t>7% to 8.75%</t>
  </si>
  <si>
    <t>CVS CY14 Guidance</t>
  </si>
  <si>
    <t>Analyst Day</t>
  </si>
  <si>
    <t>7.25% to 8.5%</t>
  </si>
  <si>
    <t>1.05B to 1.06B</t>
  </si>
  <si>
    <t>6.75% to 10.75%</t>
  </si>
  <si>
    <t>0 to 10 bps up</t>
  </si>
  <si>
    <t>$0.96 to $0.99</t>
  </si>
  <si>
    <t>15% to 19%</t>
  </si>
  <si>
    <t>3% to 4.5%</t>
  </si>
  <si>
    <t>1.75% to 3.25%</t>
  </si>
  <si>
    <t>2.75% to 3.75%</t>
  </si>
  <si>
    <t>6.75% to 8.75%</t>
  </si>
  <si>
    <t>5.5% to 6.75%</t>
  </si>
  <si>
    <t>21.25% to 28.25%</t>
  </si>
  <si>
    <t>$785 to $800 million</t>
  </si>
  <si>
    <t>$630 to $640 million</t>
  </si>
  <si>
    <t>~$515 mllion</t>
  </si>
  <si>
    <t>~$1.9 bllion</t>
  </si>
  <si>
    <t>'13 - '18 Growth</t>
  </si>
  <si>
    <t>9% to 13%</t>
  </si>
  <si>
    <t>10% to 14%</t>
  </si>
  <si>
    <t>3Q97A</t>
  </si>
  <si>
    <t>4Q97A</t>
  </si>
  <si>
    <t>1997A</t>
  </si>
  <si>
    <t>1Q98A</t>
  </si>
  <si>
    <t>2Q98A</t>
  </si>
  <si>
    <t>3Q98A</t>
  </si>
  <si>
    <t>4Q98A</t>
  </si>
  <si>
    <t>1998A</t>
  </si>
  <si>
    <t>1Q99A</t>
  </si>
  <si>
    <t>2Q99A</t>
  </si>
  <si>
    <t>3Q99A</t>
  </si>
  <si>
    <t>4Q99A</t>
  </si>
  <si>
    <t>1999A</t>
  </si>
  <si>
    <t>1Q00A</t>
  </si>
  <si>
    <t>2Q00A</t>
  </si>
  <si>
    <t>3Q00A</t>
  </si>
  <si>
    <t>4Q00A</t>
  </si>
  <si>
    <t>2000A</t>
  </si>
  <si>
    <t>1Q01A</t>
  </si>
  <si>
    <t>2Q01A</t>
  </si>
  <si>
    <t>3Q01A</t>
  </si>
  <si>
    <t>4Q01A</t>
  </si>
  <si>
    <t>2001A</t>
  </si>
  <si>
    <t>1Q02A</t>
  </si>
  <si>
    <t>2Q02A</t>
  </si>
  <si>
    <t>3Q02A</t>
  </si>
  <si>
    <t>4Q02A</t>
  </si>
  <si>
    <t>2002A</t>
  </si>
  <si>
    <t>1Q03A</t>
  </si>
  <si>
    <t>2Q03A</t>
  </si>
  <si>
    <t>3Q03A</t>
  </si>
  <si>
    <t>4Q03A</t>
  </si>
  <si>
    <t>2003A</t>
  </si>
  <si>
    <t>1QA</t>
  </si>
  <si>
    <t>2QA</t>
  </si>
  <si>
    <t>3QA</t>
  </si>
  <si>
    <t>4QA</t>
  </si>
  <si>
    <t>2004A</t>
  </si>
  <si>
    <t>2005A</t>
  </si>
  <si>
    <t>2006A</t>
  </si>
  <si>
    <t>2007A</t>
  </si>
  <si>
    <t>2008A</t>
  </si>
  <si>
    <t>2009A</t>
  </si>
  <si>
    <t>2010A</t>
  </si>
  <si>
    <t>2011A</t>
  </si>
  <si>
    <t>4QE</t>
  </si>
  <si>
    <t>2012E</t>
  </si>
  <si>
    <t>1QE</t>
  </si>
  <si>
    <t>2QE</t>
  </si>
  <si>
    <t>3QE</t>
  </si>
  <si>
    <t>2013E</t>
  </si>
  <si>
    <t>2014E</t>
  </si>
  <si>
    <t>2015E</t>
  </si>
  <si>
    <t>Retail Sales</t>
  </si>
  <si>
    <t>PBM Sales (After Inter-Segment Eliminations)</t>
  </si>
  <si>
    <t>Total Sales</t>
  </si>
  <si>
    <t>Cost of Goods Sold</t>
  </si>
  <si>
    <t>Gross Profit</t>
  </si>
  <si>
    <t>SG&amp;A / Operating Expenses</t>
  </si>
  <si>
    <t>SG&amp;A ex D&amp;A</t>
  </si>
  <si>
    <t>EBITDA</t>
  </si>
  <si>
    <t>Depreciation &amp; Amortization</t>
  </si>
  <si>
    <t>Operating Income</t>
  </si>
  <si>
    <t>Interest Expense, Net</t>
  </si>
  <si>
    <t xml:space="preserve">     Interest Income</t>
  </si>
  <si>
    <t xml:space="preserve">    Interest expense</t>
  </si>
  <si>
    <t>Earnings Before Taxes</t>
  </si>
  <si>
    <t>Tax Expense</t>
  </si>
  <si>
    <t>Income from Cont. Ops. Reported</t>
  </si>
  <si>
    <t>Loss from Discontinued Operations</t>
  </si>
  <si>
    <t>Extraordinary / One-Time Items</t>
  </si>
  <si>
    <t>Net Earnings</t>
  </si>
  <si>
    <t>ESOP Dividend</t>
  </si>
  <si>
    <t>Net Available For Common Shareholders</t>
  </si>
  <si>
    <t>Reported EPS - Basic</t>
  </si>
  <si>
    <t>Reported EPS - Fully Diluted</t>
  </si>
  <si>
    <t>Operating EPS - Basic</t>
  </si>
  <si>
    <t>Operating EPS - Fully Diluted</t>
  </si>
  <si>
    <t>Growth</t>
  </si>
  <si>
    <t>Adjusted EPS - Excluding one-time items</t>
  </si>
  <si>
    <t>Adjusted EPS - Fully Diluted</t>
  </si>
  <si>
    <t>Amortization</t>
  </si>
  <si>
    <t>Adjusted Net Income (excluding amortization)</t>
  </si>
  <si>
    <t>Adjusted Net Income (excluding one-time items)</t>
  </si>
  <si>
    <t>Average Shares Outstanding - Basic</t>
  </si>
  <si>
    <t>Average Shares Outstanding - Fully Diluted</t>
  </si>
  <si>
    <t>Net Inc. / Dec. In Shares Outstanding</t>
  </si>
  <si>
    <t>End of Period Shares Outstanding</t>
  </si>
  <si>
    <t>y/y growth</t>
  </si>
  <si>
    <t>2011E</t>
  </si>
  <si>
    <t>Year Over Year Growth</t>
  </si>
  <si>
    <t>Sales</t>
  </si>
  <si>
    <t>SG&amp;A</t>
  </si>
  <si>
    <t>Net Income</t>
  </si>
  <si>
    <t>EPS</t>
  </si>
  <si>
    <t>As a % of Sales</t>
  </si>
  <si>
    <t>Tax Rate</t>
  </si>
  <si>
    <t>Year Over Year Change</t>
  </si>
  <si>
    <t>SG&amp;A Analysis</t>
  </si>
  <si>
    <t>Note: Retail, PBM analysis in segment tabs</t>
  </si>
  <si>
    <t>SG&amp;A Including D&amp;A</t>
  </si>
  <si>
    <t>% Revenue</t>
  </si>
  <si>
    <t>Y/Y Change</t>
  </si>
  <si>
    <t>Y/Y Growth</t>
  </si>
  <si>
    <t>SG&amp;A Ex. D&amp;A by Segment</t>
  </si>
  <si>
    <t>Retail SG&amp;A</t>
  </si>
  <si>
    <t>% Total</t>
  </si>
  <si>
    <t>% Revenues</t>
  </si>
  <si>
    <t>BP Change</t>
  </si>
  <si>
    <t>PBM SG&amp;A</t>
  </si>
  <si>
    <t>Corporate Segment</t>
  </si>
  <si>
    <t>% of Total</t>
  </si>
  <si>
    <t>Total SG&amp;A ex. D&amp;A</t>
  </si>
  <si>
    <t>Segment Changes</t>
  </si>
  <si>
    <t>Pharmacy Services (to Corporate)</t>
  </si>
  <si>
    <t>Retail Pharmacy (to Corporate)</t>
  </si>
  <si>
    <t>Corporate (from Pharmacy Services)</t>
  </si>
  <si>
    <t>Corporate (from Retail Pharmacy)</t>
  </si>
  <si>
    <t>SG&amp;A from Corporate Segment</t>
  </si>
  <si>
    <t>D&amp;A Allocation:</t>
  </si>
  <si>
    <t>Retail Pharmacy (RPS)</t>
  </si>
  <si>
    <t>Pharmacy Services (PSS)</t>
  </si>
  <si>
    <t>Corporate</t>
  </si>
  <si>
    <t>Total D&amp;A</t>
  </si>
  <si>
    <t>Retail</t>
  </si>
  <si>
    <t>PBM</t>
  </si>
  <si>
    <t>D&amp;A as % of Previous PPE</t>
  </si>
  <si>
    <t>D&amp;A as % Sales</t>
  </si>
  <si>
    <t>Up 12.25% to 16.5%</t>
  </si>
  <si>
    <t>4Q12 cc</t>
  </si>
  <si>
    <t>Modestly Up</t>
  </si>
  <si>
    <t>$475 to $485m</t>
  </si>
  <si>
    <t>~10.7%</t>
  </si>
  <si>
    <t>Moderately up</t>
  </si>
  <si>
    <t>Operating Income Breakdown</t>
  </si>
  <si>
    <t>Total</t>
  </si>
  <si>
    <t>Component Breakdown</t>
  </si>
  <si>
    <t>EBITDA Breakdown</t>
  </si>
  <si>
    <t>2006-FY</t>
  </si>
  <si>
    <t>2007-Q1</t>
  </si>
  <si>
    <t>2007-Q2</t>
  </si>
  <si>
    <t>2007-Q3</t>
  </si>
  <si>
    <t>2007-Q4</t>
  </si>
  <si>
    <t>2007-FY</t>
  </si>
  <si>
    <t>2008-Q1</t>
  </si>
  <si>
    <t>2008-Q2</t>
  </si>
  <si>
    <t>2008-Q3</t>
  </si>
  <si>
    <t>2008-FY</t>
  </si>
  <si>
    <t>2009-Q1</t>
  </si>
  <si>
    <t>2009-Q2</t>
  </si>
  <si>
    <t>2009-Q3</t>
  </si>
  <si>
    <t>2009-Q4</t>
  </si>
  <si>
    <t>2009-FY</t>
  </si>
  <si>
    <t>2010-Q1</t>
  </si>
  <si>
    <t>2010-Q2</t>
  </si>
  <si>
    <t>2010-Q3</t>
  </si>
  <si>
    <t>2010-Q4</t>
  </si>
  <si>
    <t>2010-FY</t>
  </si>
  <si>
    <t>2011-Q1</t>
  </si>
  <si>
    <t>2011-Q2</t>
  </si>
  <si>
    <t>2011-Q3</t>
  </si>
  <si>
    <t>2011-Q4</t>
  </si>
  <si>
    <t>2011-FY</t>
  </si>
  <si>
    <t>2012-Q1</t>
  </si>
  <si>
    <t>2012-Q2</t>
  </si>
  <si>
    <t>2012-Q3</t>
  </si>
  <si>
    <t>2012-Q4</t>
  </si>
  <si>
    <t>2012-FY</t>
  </si>
  <si>
    <t>2013-Q1</t>
  </si>
  <si>
    <t>2013-Q2</t>
  </si>
  <si>
    <t>2013-Q3</t>
  </si>
  <si>
    <t>2013-Q4</t>
  </si>
  <si>
    <t>2013-FY</t>
  </si>
  <si>
    <t>2014-Q1</t>
  </si>
  <si>
    <t>2014-Q2</t>
  </si>
  <si>
    <t>2014-Q3</t>
  </si>
  <si>
    <t>2014-Q4</t>
  </si>
  <si>
    <t>2014-FY</t>
  </si>
  <si>
    <t>2015-Q1</t>
  </si>
  <si>
    <t>2015-Q2</t>
  </si>
  <si>
    <t>2015-Q3</t>
  </si>
  <si>
    <t>2015-Q4</t>
  </si>
  <si>
    <t>2015-FY</t>
  </si>
  <si>
    <t>STATEMENT OF QUARTERLY CASH FLOWS</t>
  </si>
  <si>
    <t>c</t>
  </si>
  <si>
    <t xml:space="preserve">    Merger/Restructuring/Non-Recurring</t>
  </si>
  <si>
    <t xml:space="preserve">    Depreciation </t>
  </si>
  <si>
    <t>As % of Previous Year PPE</t>
  </si>
  <si>
    <t xml:space="preserve">    Amortization</t>
  </si>
  <si>
    <t xml:space="preserve">    Gain on Sale of Securities</t>
  </si>
  <si>
    <t xml:space="preserve">    Minority Interest</t>
  </si>
  <si>
    <t xml:space="preserve">    Income from Unconsolidated Subs</t>
  </si>
  <si>
    <t xml:space="preserve">    NOL's utilized</t>
  </si>
  <si>
    <t xml:space="preserve">    Stock-based Compensation</t>
  </si>
  <si>
    <t xml:space="preserve">    Deferred Income Taxes &amp; Other Noncash Items</t>
  </si>
  <si>
    <t xml:space="preserve">    Change in Other Assets  </t>
  </si>
  <si>
    <t xml:space="preserve">    Loss on early retirement of debt, net of tax</t>
  </si>
  <si>
    <t xml:space="preserve">   Change in Other Long-Term Liabilities</t>
  </si>
  <si>
    <t xml:space="preserve">   Change in other assets &amp; long-term liabilities</t>
  </si>
  <si>
    <t>Sum of Other Operating Activities</t>
  </si>
  <si>
    <t xml:space="preserve">    Change in Accounts Receivables</t>
  </si>
  <si>
    <t xml:space="preserve">    Change in Inventories</t>
  </si>
  <si>
    <t xml:space="preserve">    Change in Other Current Assets</t>
  </si>
  <si>
    <t xml:space="preserve">    Change in Accounts Payable</t>
  </si>
  <si>
    <t xml:space="preserve">    Change in Discounts / Claims Payable</t>
  </si>
  <si>
    <t xml:space="preserve">    Change in Accrued Expenses</t>
  </si>
  <si>
    <t>2012A</t>
  </si>
  <si>
    <t>Gain/Loss on Sale of Securities and Other</t>
  </si>
  <si>
    <t>4Q12 CC</t>
  </si>
  <si>
    <t>$3.86-$4.00</t>
  </si>
  <si>
    <t>$3.61-$3.75</t>
  </si>
  <si>
    <t>$0.71-$0.74</t>
  </si>
  <si>
    <t>As of 3Q12 CC</t>
  </si>
  <si>
    <t>Adjustment</t>
  </si>
  <si>
    <t xml:space="preserve">  Changes in Working Capital</t>
  </si>
  <si>
    <t>Net Cash from Operating Activities</t>
  </si>
  <si>
    <t>Capital Expenditures</t>
  </si>
  <si>
    <t>Sale Leaseback Transaction Proceeds</t>
  </si>
  <si>
    <t>Acquisitions, net of cash</t>
  </si>
  <si>
    <t>Sale of PP&amp;E and businesses</t>
  </si>
  <si>
    <t>Proceeds from sale of investments/hedging</t>
  </si>
  <si>
    <t>Sale / (Purchase) of Short-Term Investments</t>
  </si>
  <si>
    <t>Goodwill acquisition</t>
  </si>
  <si>
    <t>Intangible Acquisition</t>
  </si>
  <si>
    <t>Net Cash from Investing Activities</t>
  </si>
  <si>
    <t>Other</t>
  </si>
  <si>
    <t>Additions to Long Term Debt</t>
  </si>
  <si>
    <t>Reductions in Long Term Debt</t>
  </si>
  <si>
    <t>Net Additions (Reductions) in Long Term Debt</t>
  </si>
  <si>
    <t>Increase In Short Term Borrowings</t>
  </si>
  <si>
    <t>Decrease in Short Term Borrowings</t>
  </si>
  <si>
    <t>Net Additions (Reductions) in Short Term Debt</t>
  </si>
  <si>
    <t>Increase In Current Maturities of Long Term Debt</t>
  </si>
  <si>
    <t>Decrease in Current Maturities of Long Term Debt</t>
  </si>
  <si>
    <t xml:space="preserve">Net Additions (Reductions) in Current Mat. LT Debt </t>
  </si>
  <si>
    <t>Proceeds from Exercise of Stock Options</t>
  </si>
  <si>
    <t>Dividends Paid</t>
  </si>
  <si>
    <t>Repurchase of Common Stock</t>
  </si>
  <si>
    <t>Excess Tax Benefits from Stock-Based Comp</t>
  </si>
  <si>
    <t>Net Cash from Financing Activities</t>
  </si>
  <si>
    <t>Change in Cash and Equivalents</t>
  </si>
  <si>
    <t>Beginning Cash and Equivalents</t>
  </si>
  <si>
    <t>Ending Cash and Equivalents</t>
  </si>
  <si>
    <t>Cash Flow = Balance Sheet?</t>
  </si>
  <si>
    <t>STATEMENT OF CUMULATIVE CASH FLOWS</t>
  </si>
  <si>
    <t>Repayment of Debt Assumed In acquisition</t>
  </si>
  <si>
    <t>Cumulative = Quarterly?</t>
  </si>
  <si>
    <t>BALANCE SHEET</t>
  </si>
  <si>
    <t>Assets</t>
  </si>
  <si>
    <t>Cash and Equivalents</t>
  </si>
  <si>
    <t>Short-Term Investments</t>
  </si>
  <si>
    <t>Accounts &amp; Notes Receivable</t>
  </si>
  <si>
    <t>Inventories</t>
  </si>
  <si>
    <t>Deferred Income Taxes</t>
  </si>
  <si>
    <t>Total Current Assets</t>
  </si>
  <si>
    <t>Net Property and Equipment</t>
  </si>
  <si>
    <t xml:space="preserve">     Property and Equipment</t>
  </si>
  <si>
    <t xml:space="preserve">     Accumulated Depreciation</t>
  </si>
  <si>
    <t>Deferred Income Taxes and Other Assets</t>
  </si>
  <si>
    <t>Intangible Assets</t>
  </si>
  <si>
    <t>Goodwill, net</t>
  </si>
  <si>
    <t>Unrecorded Goodwill due to Pooling</t>
  </si>
  <si>
    <t>Total Assets</t>
  </si>
  <si>
    <t>Liabilities</t>
  </si>
  <si>
    <t>Accounts Payable</t>
  </si>
  <si>
    <t>Claims and Discounts Payable</t>
  </si>
  <si>
    <t>Accrued Expenses and Other Current Liabilities</t>
  </si>
  <si>
    <t>Short-term Debt</t>
  </si>
  <si>
    <t>Current maturities of long-term debt</t>
  </si>
  <si>
    <t>Total Current Liabilities</t>
  </si>
  <si>
    <t>Long Term Debt</t>
  </si>
  <si>
    <t>Deferred Tax Liability</t>
  </si>
  <si>
    <t>0.5%-1.5%</t>
  </si>
  <si>
    <t>7%-8.5%</t>
  </si>
  <si>
    <t>$745m-$760m</t>
  </si>
  <si>
    <t>$495-$505m</t>
  </si>
  <si>
    <t>1.22bn</t>
  </si>
  <si>
    <t>1.21bn</t>
  </si>
  <si>
    <t>Up 16.25%-20.25%</t>
  </si>
  <si>
    <t>$0.88-$0.91</t>
  </si>
  <si>
    <t>0.75%-2.25%</t>
  </si>
  <si>
    <t>-0.25% to 1%</t>
  </si>
  <si>
    <t>7.25%-9%</t>
  </si>
  <si>
    <t>26.5%-32.5%</t>
  </si>
  <si>
    <t>Up 13% to 16.5%</t>
  </si>
  <si>
    <t>Other Long Term Liabilities</t>
  </si>
  <si>
    <t>Total Liabilities</t>
  </si>
  <si>
    <t>Common Stock</t>
  </si>
  <si>
    <t>Preferred Stock</t>
  </si>
  <si>
    <t>Preference Stock</t>
  </si>
  <si>
    <t>Guaranteed ESOP obligation</t>
  </si>
  <si>
    <t>Additional Paid-in Capital</t>
  </si>
  <si>
    <t>Shares Held in Trust</t>
  </si>
  <si>
    <t>Accumulated other comprehensive loss</t>
  </si>
  <si>
    <t>Retained Earnings</t>
  </si>
  <si>
    <t>Treasury Stock, at cost</t>
  </si>
  <si>
    <t>Low</t>
  </si>
  <si>
    <t>High</t>
  </si>
  <si>
    <t>Shareholders Equity</t>
  </si>
  <si>
    <t>Total Liabilities and Shareholders Equity</t>
  </si>
  <si>
    <t>Assets = Liabilities + Equity?</t>
  </si>
  <si>
    <t>Sales Per Day</t>
  </si>
  <si>
    <t>Days Receivable Outstanding</t>
  </si>
  <si>
    <t>COGS Per Day</t>
  </si>
  <si>
    <t>Days of Inventory</t>
  </si>
  <si>
    <t>Days Payable Outstanding</t>
  </si>
  <si>
    <t>PBM COGS Per Day</t>
  </si>
  <si>
    <t>Discounts Payable Outstanding</t>
  </si>
  <si>
    <t>Total Debt / EBITDA</t>
  </si>
  <si>
    <t xml:space="preserve">          Total Debt</t>
  </si>
  <si>
    <t xml:space="preserve">          EBITDA</t>
  </si>
  <si>
    <t>Capital Allocation Model</t>
  </si>
  <si>
    <t>Stock Price Calculation / Assumption</t>
  </si>
  <si>
    <t>Net Repurchases of Common Stock</t>
  </si>
  <si>
    <t>Shares Issued / (Repurchased)</t>
  </si>
  <si>
    <t>Stock Options Exercised and Awarded</t>
  </si>
  <si>
    <t>Net Change in Shares Outstanding</t>
  </si>
  <si>
    <t>Common Dividends</t>
  </si>
  <si>
    <t>Per Share</t>
  </si>
  <si>
    <t xml:space="preserve">Dividend Payout Ratio </t>
  </si>
  <si>
    <t>Share Repurchase Payout Ratio</t>
  </si>
  <si>
    <t>Total Payout</t>
  </si>
  <si>
    <t>Adjustments for Operating Leases</t>
  </si>
  <si>
    <t>Debt Obligations</t>
  </si>
  <si>
    <t xml:space="preserve">     Net Debt on Balance Sheet</t>
  </si>
  <si>
    <t xml:space="preserve">     Present Value of Operating Leases</t>
  </si>
  <si>
    <t>Total Debt</t>
  </si>
  <si>
    <t>Rent</t>
  </si>
  <si>
    <t>Lease Adjusted Net Debt / EBITDAR</t>
  </si>
  <si>
    <t>Shareholders' Equity</t>
  </si>
  <si>
    <t>Adjustments for Op. Lease</t>
  </si>
  <si>
    <t>Adjusted Shareholders' Equity</t>
  </si>
  <si>
    <t>Operating Lease Adjustment</t>
  </si>
  <si>
    <t>Rent Expense</t>
  </si>
  <si>
    <t xml:space="preserve">EBITDAR </t>
  </si>
  <si>
    <t>Debt/Total Cap (adj for leases)</t>
  </si>
  <si>
    <t>Total Debt/EBITDAR</t>
  </si>
  <si>
    <t xml:space="preserve">EBITDAR/Interest Coverage </t>
  </si>
  <si>
    <t>Working Capital Analysis</t>
  </si>
  <si>
    <t>Current Assets</t>
  </si>
  <si>
    <t>Current Liabilities</t>
  </si>
  <si>
    <t>Working Capital</t>
  </si>
  <si>
    <t>% Sales</t>
  </si>
  <si>
    <t>Operating Current Assets</t>
  </si>
  <si>
    <t>Operating Current Liabilities</t>
  </si>
  <si>
    <t>Operating Working Capital</t>
  </si>
  <si>
    <t>Current Ratio</t>
  </si>
  <si>
    <t>Quick Ratio</t>
  </si>
  <si>
    <t>Cash Ratio</t>
  </si>
  <si>
    <t>Cash as % of Total Assets</t>
  </si>
  <si>
    <t>Inventory</t>
  </si>
  <si>
    <t>Inventory Growth</t>
  </si>
  <si>
    <t>Retail Sales Growth</t>
  </si>
  <si>
    <t>Spread</t>
  </si>
  <si>
    <t>Avg. Inventory per Store (mm)</t>
  </si>
  <si>
    <t>Inventory Turnover</t>
  </si>
  <si>
    <t>Days Inventory on Hand</t>
  </si>
  <si>
    <t>LIFO Reserve</t>
  </si>
  <si>
    <t>LIFO Charge</t>
  </si>
  <si>
    <t>FIFO Inventory</t>
  </si>
  <si>
    <t>Receivables</t>
  </si>
  <si>
    <t>Receivables Growth</t>
  </si>
  <si>
    <t>Receivables Turnover</t>
  </si>
  <si>
    <t>Days Receivable Oustanding</t>
  </si>
  <si>
    <t>Payables</t>
  </si>
  <si>
    <t>Payables Turnover</t>
  </si>
  <si>
    <t>Total Days Payable Outstanding</t>
  </si>
  <si>
    <t>Cash Cycle</t>
  </si>
  <si>
    <t>Days Inventory Outstanding</t>
  </si>
  <si>
    <t>+ Days Sales Outstanding</t>
  </si>
  <si>
    <t>- Days Payable Outstanding</t>
  </si>
  <si>
    <t xml:space="preserve">Days Tied Up / (Days of Funding) </t>
  </si>
  <si>
    <t>Cap Ex as % of Beginning PPE</t>
  </si>
  <si>
    <t>Cap Ex as % Sales</t>
  </si>
  <si>
    <t>Free Cash Flow Summary</t>
  </si>
  <si>
    <t>Plus: Depreciation and Amortization</t>
  </si>
  <si>
    <t xml:space="preserve">Less: Increase in  Working Capital </t>
  </si>
  <si>
    <t>Less: Capital Expenditures</t>
  </si>
  <si>
    <t>= Total Free Cash Flow to Equity Holders</t>
  </si>
  <si>
    <t>Less: Dividends</t>
  </si>
  <si>
    <t>FCFE Less Dividends</t>
  </si>
  <si>
    <t>Net Interest Expense</t>
  </si>
  <si>
    <t>Free Cash Flow to Firm</t>
  </si>
  <si>
    <t>FCFE Less Sale Leaseback Proceeds</t>
  </si>
  <si>
    <t>FCFF Less Sale Leaseback Proceeds</t>
  </si>
  <si>
    <t>CFO / Net Income</t>
  </si>
  <si>
    <t>Company Calculation - Cumulative</t>
  </si>
  <si>
    <t>Non-Cash Charges (including D&amp;A)</t>
  </si>
  <si>
    <t>Working Capital Change</t>
  </si>
  <si>
    <t>Net Cash From Operating Activities</t>
  </si>
  <si>
    <t>Add: Proceeds from Sale Leasebacks</t>
  </si>
  <si>
    <t>Free Cash Flow</t>
  </si>
  <si>
    <t>Quarterly FCF</t>
  </si>
  <si>
    <t>Statutory Tax Rate</t>
  </si>
  <si>
    <t>Stock Price</t>
  </si>
  <si>
    <t/>
  </si>
  <si>
    <t>Selling, General &amp; Administrative</t>
  </si>
  <si>
    <t>EBIT</t>
  </si>
  <si>
    <t>Adjusted EPS</t>
  </si>
  <si>
    <t>Margins</t>
  </si>
  <si>
    <t>Gross Margin</t>
  </si>
  <si>
    <t>Total Revenue</t>
  </si>
  <si>
    <t>Operating Profit</t>
  </si>
  <si>
    <t>Operating Margin</t>
  </si>
  <si>
    <t>Revenue</t>
  </si>
  <si>
    <t>Adjusted Claims</t>
  </si>
  <si>
    <t>EBITDA / Adjusted Claim</t>
  </si>
  <si>
    <t>CVS.N,mscalc:targetPrice,,,,USD</t>
  </si>
  <si>
    <t>CVS.N,mscalc:sedolCodeCalc</t>
  </si>
  <si>
    <t>CVS.N,mscalc:closePriceCurrencyCalc</t>
  </si>
  <si>
    <t>$F$2</t>
  </si>
  <si>
    <t>2577609</t>
  </si>
  <si>
    <t>Operating Profit Margin</t>
  </si>
  <si>
    <t>Net Revenue</t>
  </si>
  <si>
    <t>Same store sales growth</t>
  </si>
  <si>
    <t>Same store script growth</t>
  </si>
  <si>
    <t>Share Count</t>
  </si>
  <si>
    <t>CVS</t>
  </si>
  <si>
    <t>12/2011 Analyst Day</t>
  </si>
  <si>
    <t>4Q11 CC</t>
  </si>
  <si>
    <t>1Q12 CC</t>
  </si>
  <si>
    <t>2Q12 CC</t>
  </si>
  <si>
    <t>4Q12 Estimates</t>
  </si>
  <si>
    <t>Total Company Guidance</t>
  </si>
  <si>
    <t>1Q 2012</t>
  </si>
  <si>
    <t>2Q12 Guidance</t>
  </si>
  <si>
    <t>3Q12 Guidance</t>
  </si>
  <si>
    <t>4Q12 Guidance</t>
  </si>
  <si>
    <t>MS</t>
  </si>
  <si>
    <t>Consensus</t>
  </si>
  <si>
    <t>+14.5% to 16%</t>
  </si>
  <si>
    <t>+ 17% to 18.5%</t>
  </si>
  <si>
    <t>+ 16% to 17.5%</t>
  </si>
  <si>
    <t>+ 11.75% to 12.75%</t>
  </si>
  <si>
    <t>+ 9 25% to 10 25%</t>
  </si>
  <si>
    <t>$0.58 to $0.60</t>
  </si>
  <si>
    <t>61¢ to 63¢</t>
  </si>
  <si>
    <t>78¢ to 80¢</t>
  </si>
  <si>
    <t>81¢ to 83¢</t>
  </si>
  <si>
    <t>$1.08 to $1.11</t>
  </si>
  <si>
    <t>+3% to 6.5%</t>
  </si>
  <si>
    <t>+ 7.5% to 11%</t>
  </si>
  <si>
    <t>+ 20% to 24%</t>
  </si>
  <si>
    <t>+ 15% to 18%</t>
  </si>
  <si>
    <t>+ 21% to 24%</t>
  </si>
  <si>
    <t>PBM Guidance Metrics</t>
  </si>
  <si>
    <t>+28% to +30%</t>
  </si>
  <si>
    <t>+ 27% to 29%</t>
  </si>
  <si>
    <t>+ 22% to 23%</t>
  </si>
  <si>
    <t>+ 15 5% to 16 5%</t>
  </si>
  <si>
    <t>-10% to -14%</t>
  </si>
  <si>
    <t>+ 7% to 11%</t>
  </si>
  <si>
    <t>+ 4% to 7.5%</t>
  </si>
  <si>
    <t>+ 38% to 41%</t>
  </si>
  <si>
    <t>Retail Guidance Metrics</t>
  </si>
  <si>
    <t>+3% to +4%</t>
  </si>
  <si>
    <t>+ 8% to 9%</t>
  </si>
  <si>
    <t>+ 6.5% to 7.5%</t>
  </si>
  <si>
    <t>+ 3.5% to 4.5%</t>
  </si>
  <si>
    <t>+ 3% to 4%</t>
  </si>
  <si>
    <t>+1.5% to +2.5%</t>
  </si>
  <si>
    <t>+ 5% to 6%</t>
  </si>
  <si>
    <t>+ 2.5% to 3.5%</t>
  </si>
  <si>
    <t>+ 2% to 3%</t>
  </si>
  <si>
    <t>+2% to +3%</t>
  </si>
  <si>
    <t>+ 5.5% to 6.5%</t>
  </si>
  <si>
    <t>+ 7% to 8%</t>
  </si>
  <si>
    <t>+8% to +10%</t>
  </si>
  <si>
    <t>+ 14% to 16%</t>
  </si>
  <si>
    <t>+ 16.5% to 18.5%</t>
  </si>
  <si>
    <t>+ 15% to 17%</t>
  </si>
  <si>
    <t>+ 6% to 8%</t>
  </si>
  <si>
    <t>Corporate Guidance Metrics</t>
  </si>
  <si>
    <t>CY2012 Guidance</t>
  </si>
  <si>
    <t>MS CY12</t>
  </si>
  <si>
    <t>CY13 Guidance</t>
  </si>
  <si>
    <t>MS CY13</t>
  </si>
  <si>
    <t>Cons 2013</t>
  </si>
  <si>
    <t>'10-15 Growth</t>
  </si>
  <si>
    <t>+11.5% to +13%</t>
  </si>
  <si>
    <t>+ 12% to 13.5%</t>
  </si>
  <si>
    <t>+ 13.5% to 15%</t>
  </si>
  <si>
    <t>+ 14% to 15%</t>
  </si>
  <si>
    <t>+ 14 5% to 14 75%</t>
  </si>
  <si>
    <t>5% to 8%</t>
  </si>
  <si>
    <t>Corporate Expense</t>
  </si>
  <si>
    <t>$650 to $660 million</t>
  </si>
  <si>
    <t>$680 to $690 million</t>
  </si>
  <si>
    <t>~$690 million</t>
  </si>
  <si>
    <t>~10%</t>
  </si>
  <si>
    <t>~ 10.25%</t>
  </si>
  <si>
    <t>~ 10.1%</t>
  </si>
  <si>
    <t>Gross Profit Margin</t>
  </si>
  <si>
    <t>Down Significantly</t>
  </si>
  <si>
    <t>Significantly Down</t>
  </si>
  <si>
    <t>Operating Expense</t>
  </si>
  <si>
    <t>Improve Significantly</t>
  </si>
  <si>
    <t>Significantly Improving</t>
  </si>
  <si>
    <t>Down 15 to 25 bps</t>
  </si>
  <si>
    <t>Down 10 to 20 bps</t>
  </si>
  <si>
    <t>Down 5 to 10 bps</t>
  </si>
  <si>
    <t>Op Profit 8% to 10%</t>
  </si>
  <si>
    <t>$560 to $570 million</t>
  </si>
  <si>
    <t>$550 to $560 million</t>
  </si>
  <si>
    <t>$530 to $540 million</t>
  </si>
  <si>
    <t>$530 to $535 Million</t>
  </si>
  <si>
    <t>Effective Tax Rate</t>
  </si>
  <si>
    <t>~39%</t>
  </si>
  <si>
    <t>~ 38.7%</t>
  </si>
  <si>
    <t>~ 39%</t>
  </si>
  <si>
    <t>Weighted Average Shares</t>
  </si>
  <si>
    <t>~1.28 billion</t>
  </si>
  <si>
    <t>~ 1.29 billion</t>
  </si>
  <si>
    <t>~ 1.28 billion</t>
  </si>
  <si>
    <t>GAAP EPS</t>
  </si>
  <si>
    <t>$3 01 to 3 11</t>
  </si>
  <si>
    <t>$3 09 to $3 15</t>
  </si>
  <si>
    <t>$3.15 to $3.18</t>
  </si>
  <si>
    <t>$3.15 to $3.25</t>
  </si>
  <si>
    <t>$3.18 to $3.28</t>
  </si>
  <si>
    <t>$3.23 to $3.33</t>
  </si>
  <si>
    <t>$3.32 to $3.38</t>
  </si>
  <si>
    <t>13% to 16.5%</t>
  </si>
  <si>
    <t>13.5% to 17%</t>
  </si>
  <si>
    <t>+ 15.5% to 19%</t>
  </si>
  <si>
    <t>+ 18.5% to 21%</t>
  </si>
  <si>
    <t>+ 21% to 22</t>
  </si>
  <si>
    <t>10% to15%</t>
  </si>
  <si>
    <t>Consolidated Amortization</t>
  </si>
  <si>
    <t>~$460 million</t>
  </si>
  <si>
    <t>~$475 million</t>
  </si>
  <si>
    <t>~ $480 million</t>
  </si>
  <si>
    <t>Consolidated D&amp;A</t>
  </si>
  <si>
    <t>~$1.7 billion</t>
  </si>
  <si>
    <t>~ $1.7 billion</t>
  </si>
  <si>
    <t>Operating Cash Flow</t>
  </si>
  <si>
    <t>$5.7 to $6.0 billion</t>
  </si>
  <si>
    <t>$6.2 to $6.4 billion</t>
  </si>
  <si>
    <t>$6.2 to $6.4</t>
  </si>
  <si>
    <t>Net Cap Ex</t>
  </si>
  <si>
    <t>-$1.4 to -$1.6 billion</t>
  </si>
  <si>
    <t>-$1.5 to -$1.6 billion</t>
  </si>
  <si>
    <t>($1.6) to ($1.5)</t>
  </si>
  <si>
    <t>$4.3 to $4.6 billion</t>
  </si>
  <si>
    <t>$4.6 to $4.9 billion</t>
  </si>
  <si>
    <t>$4.6 to $4.9</t>
  </si>
  <si>
    <t>22% to 24%</t>
  </si>
  <si>
    <t>+ 23.5% to 25.5%</t>
  </si>
  <si>
    <t>+ 24.5% to 25.5%</t>
  </si>
  <si>
    <t>+ 24.25% to 24.5%</t>
  </si>
  <si>
    <t>11% to 13%</t>
  </si>
  <si>
    <t>Adjusted Total Claims (billion)</t>
  </si>
  <si>
    <t>1.025 to 1.045 B</t>
  </si>
  <si>
    <t>1.025 to 1.045 billion</t>
  </si>
  <si>
    <t>1.02 to 1.03 billion</t>
  </si>
  <si>
    <t>~1.03 billion</t>
  </si>
  <si>
    <t>Adj. Claims Growth</t>
  </si>
  <si>
    <t>Down Notably</t>
  </si>
  <si>
    <t>Fiscal Year End, Dec 31 2016</t>
  </si>
  <si>
    <t>2016E</t>
  </si>
  <si>
    <t>2016-Q1</t>
  </si>
  <si>
    <t>2016-Q2</t>
  </si>
  <si>
    <t>2016-Q3</t>
  </si>
  <si>
    <t>2016-Q4</t>
  </si>
  <si>
    <t>2016-FY</t>
  </si>
  <si>
    <t>Moderately Down</t>
  </si>
  <si>
    <t>Moderate Improvement</t>
  </si>
  <si>
    <t>Modest Improvement</t>
  </si>
  <si>
    <t>Operating Profit Growth</t>
  </si>
  <si>
    <t>11% to 15%</t>
  </si>
  <si>
    <t>+ 13% to 15%</t>
  </si>
  <si>
    <t>+ 19% to 20%</t>
  </si>
  <si>
    <t>9% to 11%</t>
  </si>
  <si>
    <t>Implied Operating Profit ($ bil)</t>
  </si>
  <si>
    <t>Down 25 to 35 bps</t>
  </si>
  <si>
    <t>Down 30 to 40 bps</t>
  </si>
  <si>
    <t>Down 30 to 35 bps</t>
  </si>
  <si>
    <t>Down 10 to 15 bps</t>
  </si>
  <si>
    <t>+2% to 3%</t>
  </si>
  <si>
    <t>+3% to 4%</t>
  </si>
  <si>
    <t>+5% to 6%</t>
  </si>
  <si>
    <t>+5.5% to 6.25%</t>
  </si>
  <si>
    <t>+6 25% to 6 5%</t>
  </si>
  <si>
    <t>2% to 5%</t>
  </si>
  <si>
    <t>+ 4% to 5%</t>
  </si>
  <si>
    <t>+ 6% to 7%</t>
  </si>
  <si>
    <t>+ 7.75% 8%</t>
  </si>
  <si>
    <t>Up Moderately</t>
  </si>
  <si>
    <t>Up Notably</t>
  </si>
  <si>
    <t>Modest Deleverage</t>
  </si>
  <si>
    <t>Modestly Deteriorate</t>
  </si>
  <si>
    <t>+7% to 9%</t>
  </si>
  <si>
    <t>+ 8 5% to 10 5%</t>
  </si>
  <si>
    <t>+ 10 5% to 12 5%</t>
  </si>
  <si>
    <t>+ 14.25% to 14.75%</t>
  </si>
  <si>
    <t>8% to 10%</t>
  </si>
  <si>
    <t>Up 40 to 50 bps</t>
  </si>
  <si>
    <t>Up 65 to 70 bps</t>
  </si>
  <si>
    <t>Up 60 to 65 bps</t>
  </si>
  <si>
    <t>PBM SEGMENT INCOME STATEMENT</t>
  </si>
  <si>
    <t>BEFORE INTERSEGMENT ELIMINATIONS</t>
  </si>
  <si>
    <t>Retail Co-Pays</t>
  </si>
  <si>
    <t>Mail service</t>
  </si>
  <si>
    <t>Retail network</t>
  </si>
  <si>
    <t>Total PBM Revenues</t>
  </si>
  <si>
    <t>Cost of goods</t>
  </si>
  <si>
    <t xml:space="preserve">Margin </t>
  </si>
  <si>
    <t>SG&amp;A ex merger costs</t>
  </si>
  <si>
    <t>Merger &amp; integration costs</t>
  </si>
  <si>
    <t>SG&amp;A / Operating expenses</t>
  </si>
  <si>
    <t>SG&amp;A / Operating expenses ex. D&amp;A</t>
  </si>
  <si>
    <t>EBITDA margin</t>
  </si>
  <si>
    <t>Depreciation &amp; amortization</t>
  </si>
  <si>
    <t>Operating margin</t>
  </si>
  <si>
    <t>INTERSEGMENT ELIMINATIONS</t>
  </si>
  <si>
    <t>% Total Revenue</t>
  </si>
  <si>
    <t>% PBM Revenue</t>
  </si>
  <si>
    <t>Y/Y Chg.</t>
  </si>
  <si>
    <t>% Gross Profit</t>
  </si>
  <si>
    <t>Margin</t>
  </si>
  <si>
    <t>% Operating Profit</t>
  </si>
  <si>
    <t>AFTER INTERSEGMENT ELIMINATIONS</t>
  </si>
  <si>
    <t>Gross margin</t>
  </si>
  <si>
    <t xml:space="preserve">Operating Income </t>
  </si>
  <si>
    <t>Diluted EPS from PBM Segment - Operating</t>
  </si>
  <si>
    <t>Diluted EPS from PBM Segment - Adjusted</t>
  </si>
  <si>
    <t>CLAIM VOLUME</t>
  </si>
  <si>
    <t>Mail Script Volumes</t>
  </si>
  <si>
    <t>Generic</t>
  </si>
  <si>
    <t>Brand</t>
  </si>
  <si>
    <t>Total Mail / Mail Choice</t>
  </si>
  <si>
    <t>Adjusted Mail Scripts</t>
  </si>
  <si>
    <t>Mail Choice Scripts w/o MC</t>
  </si>
  <si>
    <t>Maintenance Choice Rx Filled @ Retail</t>
  </si>
  <si>
    <t>% Total Mail Rx</t>
  </si>
  <si>
    <t>Retail Script Volumes</t>
  </si>
  <si>
    <t>Total Retail</t>
  </si>
  <si>
    <t>Total Script Volume</t>
  </si>
  <si>
    <t>90-day rx as % of mail claims</t>
  </si>
  <si>
    <t>Mail penetration / Mail Choice</t>
  </si>
  <si>
    <t>Maintenance Choice Impact</t>
  </si>
  <si>
    <t>RxAmerica Impact</t>
  </si>
  <si>
    <t>REVENUE MODEL</t>
  </si>
  <si>
    <t>RETAIL NETWORK</t>
  </si>
  <si>
    <t>Revenues per Script</t>
  </si>
  <si>
    <t>y/y growth - ex Pharmacare gross-up</t>
  </si>
  <si>
    <t>Revenue per Script - % Growth</t>
  </si>
  <si>
    <t>Retail Co-payments</t>
  </si>
  <si>
    <t>% of Retail Revenues</t>
  </si>
  <si>
    <t>% Total Revenues</t>
  </si>
  <si>
    <t>MAIL ORDER PHARMACY</t>
  </si>
  <si>
    <t>impact of specialty pharmacy</t>
  </si>
  <si>
    <t>y/y growth - ex. specialty</t>
  </si>
  <si>
    <t>OTHER REVENUE</t>
  </si>
  <si>
    <t>% Total PBM Revenues</t>
  </si>
  <si>
    <t>Revenue Mix by Channel and Product</t>
  </si>
  <si>
    <t>% Generic</t>
  </si>
  <si>
    <t>% Branded</t>
  </si>
  <si>
    <t>Mail</t>
  </si>
  <si>
    <t>REVENUE BUILD-UP</t>
  </si>
  <si>
    <t>Retail Network</t>
  </si>
  <si>
    <t>Longs Retail</t>
  </si>
  <si>
    <t>Total Retail Including Longs</t>
  </si>
  <si>
    <t>Check</t>
  </si>
  <si>
    <t>Mail Order</t>
  </si>
  <si>
    <t>Total Mail</t>
  </si>
  <si>
    <t>Longs Mail</t>
  </si>
  <si>
    <t>Total Mail Including Longs</t>
  </si>
  <si>
    <t>Total Revenues</t>
  </si>
  <si>
    <t>GROSS MARGINS - MS ESTIMATES</t>
  </si>
  <si>
    <t>Generics</t>
  </si>
  <si>
    <t>MAIL ORDER</t>
  </si>
  <si>
    <t>Specialty</t>
  </si>
  <si>
    <t>Services &amp; Other</t>
  </si>
  <si>
    <t xml:space="preserve">GROSS PROFIT BY CHANNEL </t>
  </si>
  <si>
    <t>Gross profit - total (est)</t>
  </si>
  <si>
    <t>Gross Margin (est)</t>
  </si>
  <si>
    <t>Gross Profit - as reported</t>
  </si>
  <si>
    <t>Gross Margin - as reported</t>
  </si>
  <si>
    <t>After Intersegment Eliminations</t>
  </si>
  <si>
    <t>Difference - PBM gross profit</t>
  </si>
  <si>
    <t>Difference - PBM gross profit margin</t>
  </si>
  <si>
    <t>Gross Profit Per Script</t>
  </si>
  <si>
    <t>SG&amp;A ANALYSIS</t>
  </si>
  <si>
    <t>Excluding Segment Changes in 3Q09</t>
  </si>
  <si>
    <t>BP Change Due to Reporting Change</t>
  </si>
  <si>
    <t>SG&amp;A / Adjusted Claim</t>
  </si>
  <si>
    <t>SG&amp;A ex. D&amp;A / Adjusted Claim</t>
  </si>
  <si>
    <t>SG&amp;A ex. D&amp;A / Claim</t>
  </si>
  <si>
    <t>OPERATING SUMMARY</t>
  </si>
  <si>
    <t xml:space="preserve">PBM Revenue Mix </t>
  </si>
  <si>
    <t>Services and Other</t>
  </si>
  <si>
    <t>PBM Gross Profit Mix</t>
  </si>
  <si>
    <t>PROFITABILITY PER RX ANALYSIS</t>
  </si>
  <si>
    <t>Gross Profit / Adjusted Claim</t>
  </si>
  <si>
    <t>PROFITABILITY GROWTH:</t>
  </si>
  <si>
    <t>GENERIC DISPENSING RATES</t>
  </si>
  <si>
    <t>Generic dispensing rate - overall</t>
  </si>
  <si>
    <t>Y/Y bp change</t>
  </si>
  <si>
    <t>Sequential bp change</t>
  </si>
  <si>
    <t>Generic dispensing rate - retail</t>
  </si>
  <si>
    <t>Generic dispensing rate - mail</t>
  </si>
  <si>
    <t>LONGS DRUGS - RX AMERICA FINANCIALS</t>
  </si>
  <si>
    <t>($ Million, except per share data)</t>
  </si>
  <si>
    <t>1Q04A</t>
  </si>
  <si>
    <t>2Q04A</t>
  </si>
  <si>
    <t>3Q04A</t>
  </si>
  <si>
    <t>4Q04A</t>
  </si>
  <si>
    <t>1Q05A</t>
  </si>
  <si>
    <t>2Q05A</t>
  </si>
  <si>
    <t>3Q05A</t>
  </si>
  <si>
    <t>4Q05A</t>
  </si>
  <si>
    <t>1Q06A</t>
  </si>
  <si>
    <t>2Q06A</t>
  </si>
  <si>
    <t>3Q06A</t>
  </si>
  <si>
    <t>4Q06A</t>
  </si>
  <si>
    <t>1Q07A</t>
  </si>
  <si>
    <t>2Q07A</t>
  </si>
  <si>
    <t>3Q07A</t>
  </si>
  <si>
    <t>4Q07A</t>
  </si>
  <si>
    <t>1Q08A</t>
  </si>
  <si>
    <t>2Q08A</t>
  </si>
  <si>
    <t>3Q08A</t>
  </si>
  <si>
    <t>4Q08A</t>
  </si>
  <si>
    <t>1Q09A</t>
  </si>
  <si>
    <t>2Q09A</t>
  </si>
  <si>
    <t>3Q09E</t>
  </si>
  <si>
    <t>4Q09E</t>
  </si>
  <si>
    <t>Rx America - as adjusted</t>
  </si>
  <si>
    <t>Rx America - PBM revenues (net)</t>
  </si>
  <si>
    <t>Rx America - PDP revenues</t>
  </si>
  <si>
    <t>Total Rx America Revenues</t>
  </si>
  <si>
    <t>Rx America - PBM COGS</t>
  </si>
  <si>
    <t>Rx America - PDP Benefit Expenses</t>
  </si>
  <si>
    <t>gross margin</t>
  </si>
  <si>
    <t>Rx America - PBM SG&amp;A</t>
  </si>
  <si>
    <t>Rx America - PDP SG&amp;A</t>
  </si>
  <si>
    <t>as a % of revenue</t>
  </si>
  <si>
    <t>Operating Income (EBIT)</t>
  </si>
  <si>
    <t>operating margin</t>
  </si>
  <si>
    <t>Assumed PBM gross margin</t>
  </si>
  <si>
    <t>PBM Revenue Multiplier</t>
  </si>
  <si>
    <t>Rx America - as reported</t>
  </si>
  <si>
    <t>Gross profit</t>
  </si>
  <si>
    <t>Margins &amp; Growth</t>
  </si>
  <si>
    <t>Gross Margin - PBM business</t>
  </si>
  <si>
    <t>Gross Margin - PDP business</t>
  </si>
  <si>
    <t>PDP Medical Loss Ratio</t>
  </si>
  <si>
    <t>SG&amp;A Ratio - PBM business</t>
  </si>
  <si>
    <t>SG&amp;A Ratio - PDP business</t>
  </si>
  <si>
    <t>Y/Y Growth in PBM net revenues</t>
  </si>
  <si>
    <t>Y/Y Growth in PDP revenues</t>
  </si>
  <si>
    <t>Consolidated LDG Cost of Goods Sold</t>
  </si>
  <si>
    <t>CAREMARK RX - FINANCIALS</t>
  </si>
  <si>
    <t>Fiscal Year ends December 31</t>
  </si>
  <si>
    <t>Total PBM revenues</t>
  </si>
  <si>
    <t>y/y growth - constant GDR</t>
  </si>
  <si>
    <t>Ingredient cost</t>
  </si>
  <si>
    <t>as % of total revenue</t>
  </si>
  <si>
    <t>Pharmacy operating cost &amp; other</t>
  </si>
  <si>
    <t>as a % of mail service revenue</t>
  </si>
  <si>
    <t>Cost of goods sold</t>
  </si>
  <si>
    <t>Depreciation</t>
  </si>
  <si>
    <t>Amortization of Intangibles</t>
  </si>
  <si>
    <t>Operating income</t>
  </si>
  <si>
    <t>REPORTED CLAIMS - CAREMARK</t>
  </si>
  <si>
    <t>Total  Reported Claims</t>
  </si>
  <si>
    <t>Total Adjusted Claims</t>
  </si>
  <si>
    <t>Mail Order Script Growth</t>
  </si>
  <si>
    <t>Retail Script Growth</t>
  </si>
  <si>
    <t>Adjusted Claim Growth</t>
  </si>
  <si>
    <t>Mail Penetration (Adjusted)</t>
  </si>
  <si>
    <t xml:space="preserve">Generics Total (Calculated) </t>
  </si>
  <si>
    <t>Generic Disp Rate - Mail</t>
  </si>
  <si>
    <t>Generic Disp Rate - Retail</t>
  </si>
  <si>
    <t>PROFITABILITY ANALYSIS</t>
  </si>
  <si>
    <t>REVENUES</t>
  </si>
  <si>
    <t>Mail Revenues</t>
  </si>
  <si>
    <t>Retail Revenues</t>
  </si>
  <si>
    <t>as a % of retail revenues</t>
  </si>
  <si>
    <t>Growth Rate</t>
  </si>
  <si>
    <t>na</t>
  </si>
  <si>
    <t>Revenues / Mail Script</t>
  </si>
  <si>
    <t>Revenues / Retail Script</t>
  </si>
  <si>
    <t>excluding copayments</t>
  </si>
  <si>
    <t>Total Revenues/Adjusted Script</t>
  </si>
  <si>
    <t>AdvancePCS</t>
  </si>
  <si>
    <t>ChoiceSource</t>
  </si>
  <si>
    <t>Internal Revenues</t>
  </si>
  <si>
    <t>Internal Growth</t>
  </si>
  <si>
    <t>Retail specialty drugstores</t>
  </si>
  <si>
    <t>Specialty mail order pharmacies</t>
  </si>
  <si>
    <t>Mail order pharmacies</t>
  </si>
  <si>
    <t>SCRIPT GROWTH ANALYSIS</t>
  </si>
  <si>
    <t>Customer Analysis</t>
  </si>
  <si>
    <t>% of revenues from largest customer</t>
  </si>
  <si>
    <t>Revenue from largest customer</t>
  </si>
  <si>
    <t>Company Metrics</t>
  </si>
  <si>
    <t>National mail service pharmacies</t>
  </si>
  <si>
    <t>Regional mail service pharmacies</t>
  </si>
  <si>
    <t>Retail pharmacy network</t>
  </si>
  <si>
    <t>PHARMACARE - FINANCIALS</t>
  </si>
  <si>
    <t>Operating expenses</t>
  </si>
  <si>
    <t>REPORTED CLAIMS - PHARMACARE</t>
  </si>
  <si>
    <t>ADVANCE PCS Financials</t>
  </si>
  <si>
    <t xml:space="preserve">  </t>
  </si>
  <si>
    <t>Revenues (1)</t>
  </si>
  <si>
    <t>Data services</t>
  </si>
  <si>
    <t>Mail services</t>
  </si>
  <si>
    <t>Clinical and other services</t>
  </si>
  <si>
    <t>Total revenues</t>
  </si>
  <si>
    <t>Cost of revenues</t>
  </si>
  <si>
    <t>Drug Ingredient Costs</t>
  </si>
  <si>
    <t>Non Ingredient COR</t>
  </si>
  <si>
    <t>Selling, general and administrative expenses</t>
  </si>
  <si>
    <t>Non-recurring and impairment expenses</t>
  </si>
  <si>
    <t>Net interest expense</t>
  </si>
  <si>
    <t>Loss from joint venture</t>
  </si>
  <si>
    <t>Merger costs &amp; asset disposal</t>
  </si>
  <si>
    <t>Income before income taxes</t>
  </si>
  <si>
    <t>Provision for income taxes</t>
  </si>
  <si>
    <t>Income before extraordinary loss</t>
  </si>
  <si>
    <t>Extraordinary loss on early retirement of debt, net of tax</t>
  </si>
  <si>
    <t>Net income</t>
  </si>
  <si>
    <t>Basic net income per share</t>
  </si>
  <si>
    <t>Diluted net income per share</t>
  </si>
  <si>
    <t>Depreciation and Amortization</t>
  </si>
  <si>
    <t>CFO</t>
  </si>
  <si>
    <t>CAPEX</t>
  </si>
  <si>
    <t>Purchase Economics</t>
  </si>
  <si>
    <t>Purchase Price</t>
  </si>
  <si>
    <t>Debt Included</t>
  </si>
  <si>
    <t>Purchase Multiples</t>
  </si>
  <si>
    <t>Implied Equity Value</t>
  </si>
  <si>
    <t>Market Cap at Purchase</t>
  </si>
  <si>
    <t>PE</t>
  </si>
  <si>
    <t>Share Value at Purchase</t>
  </si>
  <si>
    <t>Advance Share Price</t>
  </si>
  <si>
    <t>Market Multiples</t>
  </si>
  <si>
    <t>Premium</t>
  </si>
  <si>
    <t>Discount Rate</t>
  </si>
  <si>
    <t>DCF</t>
  </si>
  <si>
    <t>mm</t>
  </si>
  <si>
    <t>Implied Terminal Growth Rate in Price</t>
  </si>
  <si>
    <t>Specialty Pharmacies</t>
  </si>
  <si>
    <t>Mail Order Pharmacies</t>
  </si>
  <si>
    <t>Healthcare Clinics</t>
  </si>
  <si>
    <t>Clinics in CVS Stores</t>
  </si>
  <si>
    <t>ADJUSTED REVENUE</t>
  </si>
  <si>
    <t>Extra Days</t>
  </si>
  <si>
    <t>Number of Days</t>
  </si>
  <si>
    <t>Revenue Contribution</t>
  </si>
  <si>
    <t>Contract Conversion - Net to Gross</t>
  </si>
  <si>
    <t>Pharmacare</t>
  </si>
  <si>
    <t>Gross Up Effect</t>
  </si>
  <si>
    <t>RxAmerica Contribution</t>
  </si>
  <si>
    <t>Adjusted Revenue</t>
  </si>
  <si>
    <t>Generics Drag</t>
  </si>
  <si>
    <t>Growth Excluding Generics Drag</t>
  </si>
  <si>
    <t>RETAIL SEGMENT INCOME STATEMENT</t>
  </si>
  <si>
    <t>Pharmacy Sales</t>
  </si>
  <si>
    <t>Front-End Sales</t>
  </si>
  <si>
    <t>% Sales Growth</t>
  </si>
  <si>
    <t>SG&amp;A ex. D&amp;A</t>
  </si>
  <si>
    <t>SG&amp;A ex D&amp;A per Rx</t>
  </si>
  <si>
    <t>EBITDA Margin</t>
  </si>
  <si>
    <t>Operating Income Growth</t>
  </si>
  <si>
    <t>Diluted EPS from Retail Segment</t>
  </si>
  <si>
    <t>Adjusted Diluted EPS from Retail Segment</t>
  </si>
  <si>
    <t>STORE MODEL</t>
  </si>
  <si>
    <t>Beginning Store Count</t>
  </si>
  <si>
    <t>+ Stores Opened</t>
  </si>
  <si>
    <t>Relocations</t>
  </si>
  <si>
    <t>Net New Stores</t>
  </si>
  <si>
    <t>+ Stores Acquired</t>
  </si>
  <si>
    <t>- Stores Closed</t>
  </si>
  <si>
    <t xml:space="preserve">Total Stores </t>
  </si>
  <si>
    <t>CVS Selling Square Footage (000's)</t>
  </si>
  <si>
    <t>Average Sq. Ft. per Store</t>
  </si>
  <si>
    <t>PHARMACY</t>
  </si>
  <si>
    <t>Total Prescriptions Filled</t>
  </si>
  <si>
    <t>Brands</t>
  </si>
  <si>
    <t>Comparable Store Prescriptions</t>
  </si>
  <si>
    <t>Generic (Est.)</t>
  </si>
  <si>
    <t>Brands (Est.)</t>
  </si>
  <si>
    <t>Comp Store Sales Growth</t>
  </si>
  <si>
    <t>Comp Store Script Growth</t>
  </si>
  <si>
    <t>Comp Store Script Growth (MC as 3 scripts)</t>
  </si>
  <si>
    <t>Scripts From New Stores</t>
  </si>
  <si>
    <t>New Stores</t>
  </si>
  <si>
    <t>Scripts per Store per Week - Total</t>
  </si>
  <si>
    <t>Scripts per New Store per Week</t>
  </si>
  <si>
    <t>GDR</t>
  </si>
  <si>
    <t>Sequential Change</t>
  </si>
  <si>
    <t>Pharmacy Revenues - Total (Estimates)</t>
  </si>
  <si>
    <t>Reported</t>
  </si>
  <si>
    <t>Pharmacy Revenues - Comp Sales (Estimates)</t>
  </si>
  <si>
    <t>Pharmacy COGS (Estimates)</t>
  </si>
  <si>
    <t>Pharmacy Gross Profits (Estimates)</t>
  </si>
  <si>
    <t>Total Pharmacy</t>
  </si>
  <si>
    <t>Revenue per Script (Total Pharmacy)</t>
  </si>
  <si>
    <t>Y/Y Chg. In Revenue per Script</t>
  </si>
  <si>
    <t>FRONT END</t>
  </si>
  <si>
    <t>Front-End Revenues</t>
  </si>
  <si>
    <t>Front-End COGS</t>
  </si>
  <si>
    <t>Front-End Gross Profits</t>
  </si>
  <si>
    <t>YoY Chg.</t>
  </si>
  <si>
    <t>OTHER</t>
  </si>
  <si>
    <t>% YoY Change in Square Footage</t>
  </si>
  <si>
    <t>x Est. Expansion Productivity for Pharmacy</t>
  </si>
  <si>
    <t>x Est. Expansion Productivity for Front End</t>
  </si>
  <si>
    <t>Expansion-driven Growth</t>
  </si>
  <si>
    <t>Pharmacy</t>
  </si>
  <si>
    <t>Front-End</t>
  </si>
  <si>
    <t xml:space="preserve">Total </t>
  </si>
  <si>
    <t>Identical Store Sales Growth</t>
  </si>
  <si>
    <t>Pharmacy Excluding MC</t>
  </si>
  <si>
    <t>Total Sales Growth (Expansion + Ids)</t>
  </si>
  <si>
    <t>14 weeks</t>
  </si>
  <si>
    <t>extra week</t>
  </si>
  <si>
    <t>13 weeks</t>
  </si>
  <si>
    <t>Phamacy</t>
  </si>
  <si>
    <t>Front End</t>
  </si>
  <si>
    <t>Year over Year Growth</t>
  </si>
  <si>
    <t>Pharmacy Revenue</t>
  </si>
  <si>
    <t>Front-end Revenue</t>
  </si>
  <si>
    <t>Gross Profits</t>
  </si>
  <si>
    <t>Pharmacy Gross Profits</t>
  </si>
  <si>
    <t>SG&amp;A Ex. D&amp;A</t>
  </si>
  <si>
    <t>Productivity Model</t>
  </si>
  <si>
    <t>Total Stores</t>
  </si>
  <si>
    <t>Total Selling Sq. Ft (000's)</t>
  </si>
  <si>
    <t>Retail Drugstore Sq. Footage</t>
  </si>
  <si>
    <t>Retail Drugstores</t>
  </si>
  <si>
    <t>Avg. Sq. ft. per RDS</t>
  </si>
  <si>
    <t>% Stores Owned</t>
  </si>
  <si>
    <t>Retail Drugstores w/o Operating Pharmacies</t>
  </si>
  <si>
    <t>Stores Operating Pharmacies</t>
  </si>
  <si>
    <t>Avg. Sq. ft. per SDS (000's)</t>
  </si>
  <si>
    <t>Total Sq. Ft. (000's)</t>
  </si>
  <si>
    <t>Retail Specialty Drug Stores</t>
  </si>
  <si>
    <t>Total Store Productivity</t>
  </si>
  <si>
    <t>Sales per Store (000's)</t>
  </si>
  <si>
    <t>Gross Profit Per Store</t>
  </si>
  <si>
    <t>Operating Profit Per Store (000's)</t>
  </si>
  <si>
    <t>SG&amp;A per Store (000's)</t>
  </si>
  <si>
    <t>Sq. Ft Basis</t>
  </si>
  <si>
    <t>SG&amp;A Inc. D&amp;A</t>
  </si>
  <si>
    <t>Pharmacy Productivity</t>
  </si>
  <si>
    <t>Sales per Pharmacy</t>
  </si>
  <si>
    <t>Pharmacy Sales per Ft.</t>
  </si>
  <si>
    <t>Front-end Productivity</t>
  </si>
  <si>
    <t>Front-end Sales per Store</t>
  </si>
  <si>
    <t>Front-end Sales per Sq. Ft.</t>
  </si>
  <si>
    <t>Weeks in Period</t>
  </si>
  <si>
    <t>1.035b to 1.045b</t>
  </si>
  <si>
    <t>Modest improvement</t>
  </si>
  <si>
    <t>-4% to -2.5%</t>
  </si>
  <si>
    <t>$0.77 to $0.80</t>
  </si>
  <si>
    <t>Up 30 bps to 40 bps</t>
  </si>
  <si>
    <t>-2.5% to -1.0%</t>
  </si>
  <si>
    <t>-3.5% to -2.0%</t>
  </si>
  <si>
    <t>Op Margin y/y change</t>
  </si>
  <si>
    <t>Up 18% to 23%</t>
  </si>
  <si>
    <t>-3.0% to -1.75%</t>
  </si>
  <si>
    <t>24% to 31%</t>
  </si>
  <si>
    <t>0.75% to 1.75%</t>
  </si>
  <si>
    <t>9.5% to 11.5%</t>
  </si>
  <si>
    <t>0.75% to 2.0%</t>
  </si>
  <si>
    <t>$730m to $745m</t>
  </si>
  <si>
    <t>~10.5%</t>
  </si>
  <si>
    <t>Moderate improvement</t>
  </si>
  <si>
    <t>Flattish</t>
  </si>
  <si>
    <t>$520 to $530m</t>
  </si>
  <si>
    <t>~1.21b</t>
  </si>
  <si>
    <t>$3.59 to $3.73</t>
  </si>
  <si>
    <t>Up 13.25% to 17.25%</t>
  </si>
  <si>
    <t>~$485m</t>
  </si>
  <si>
    <t>~$1.9b</t>
  </si>
  <si>
    <t>$6.4 to $6.6</t>
  </si>
  <si>
    <t>Guidance 4Q13</t>
  </si>
  <si>
    <t>4Q13 Guidance (as of 3Q)</t>
  </si>
  <si>
    <t>4Q13 Guidance</t>
  </si>
  <si>
    <t>2.5% to 3.0%</t>
  </si>
  <si>
    <t>$1.09-$1.12</t>
  </si>
  <si>
    <t>2.75% to 4.25%</t>
  </si>
  <si>
    <t>-4.25% to -1.5%</t>
  </si>
  <si>
    <t>3.5% to 5.0%</t>
  </si>
  <si>
    <t>-18.0% to -15.0%</t>
  </si>
  <si>
    <t>2.25% to 3.75%</t>
  </si>
  <si>
    <t>0.5% to 1.5%</t>
  </si>
  <si>
    <t>2.75% to 4.5%</t>
  </si>
  <si>
    <t>3.25% to 3.75%</t>
  </si>
  <si>
    <t>1.055B to 1.058B</t>
  </si>
  <si>
    <t>12.75% to 14.0%</t>
  </si>
  <si>
    <t>$3.94 to $3.97</t>
  </si>
  <si>
    <t>1.5% to 2.0%</t>
  </si>
  <si>
    <t>9.0% to 9.5%</t>
  </si>
  <si>
    <t>Up 55 to 60 bps</t>
  </si>
  <si>
    <t>-$1.6 to -$1.5</t>
  </si>
  <si>
    <t>$4.8 to $5.1</t>
  </si>
  <si>
    <t>1.5% to 2.75%</t>
  </si>
  <si>
    <t>10.0% to 14.0%</t>
  </si>
  <si>
    <t>1.25% to 2.5%</t>
  </si>
  <si>
    <t>1.5% to 2.5%</t>
  </si>
  <si>
    <t>5.0% to 6.75%</t>
  </si>
  <si>
    <t>Debt Schedule</t>
  </si>
  <si>
    <t>Interest Income</t>
  </si>
  <si>
    <t>Rate</t>
  </si>
  <si>
    <t>Beginning Cash Balance</t>
  </si>
  <si>
    <t>Ending Cash Balance</t>
  </si>
  <si>
    <t>Estimated Interest income</t>
  </si>
  <si>
    <t>Actual (reported) interest income</t>
  </si>
  <si>
    <t>Interest Expense</t>
  </si>
  <si>
    <t>Estimated Total Interest Expense</t>
  </si>
  <si>
    <t>Actual (reported) interest expense</t>
  </si>
  <si>
    <t>Totals</t>
  </si>
  <si>
    <t>Total debt</t>
  </si>
  <si>
    <t>Current portion of LT debt</t>
  </si>
  <si>
    <t>LT debt - calculated</t>
  </si>
  <si>
    <t>LT - as reported</t>
  </si>
  <si>
    <t>Debt/EBITDA</t>
  </si>
  <si>
    <t>Debt</t>
  </si>
  <si>
    <t>LIBOR</t>
  </si>
  <si>
    <t xml:space="preserve">Commercial paper </t>
  </si>
  <si>
    <t xml:space="preserve">1.20% senior notes due 2016 </t>
  </si>
  <si>
    <t xml:space="preserve">2.25% senior notes due 2018 </t>
  </si>
  <si>
    <t>5.30% senior notes due 2043</t>
  </si>
  <si>
    <t>CORAM INFUSION BUSINESS</t>
  </si>
  <si>
    <t>y/y Growth</t>
  </si>
  <si>
    <t>COGS</t>
  </si>
  <si>
    <t>GM%</t>
  </si>
  <si>
    <t>EBIT Margin %</t>
  </si>
  <si>
    <t>Interest Rate - commitment fee on unused funds</t>
  </si>
  <si>
    <t>Interest Rate - funds drawn</t>
  </si>
  <si>
    <t>Total Available</t>
  </si>
  <si>
    <t xml:space="preserve">Beg. Balance </t>
  </si>
  <si>
    <t>Borrowings/(Repayments)</t>
  </si>
  <si>
    <t>Ending Balance</t>
  </si>
  <si>
    <t>Remaining Amount Available</t>
  </si>
  <si>
    <t>Interest Expense - loans</t>
  </si>
  <si>
    <t>Interest Expense - commitment fee</t>
  </si>
  <si>
    <t xml:space="preserve">Bridge credit facility </t>
  </si>
  <si>
    <t xml:space="preserve">4.0% senior notes due 2009 </t>
  </si>
  <si>
    <t>Floating rate notes due 2010</t>
  </si>
  <si>
    <t xml:space="preserve">5.75% senior notes due 2041 </t>
  </si>
  <si>
    <t>Floating rate notes due 2011</t>
  </si>
  <si>
    <t xml:space="preserve">4.875% senior notes due 2014 </t>
  </si>
  <si>
    <t>3.250% senior notes due 2015</t>
  </si>
  <si>
    <t xml:space="preserve">6.125% senior notes due 2016 </t>
  </si>
  <si>
    <t xml:space="preserve">5.75% senior notes due 2017 </t>
  </si>
  <si>
    <t>6.60% senior notes due 2019</t>
  </si>
  <si>
    <t>6.125% note due 2039</t>
  </si>
  <si>
    <t xml:space="preserve">8.52% ESOP notes due 2008 </t>
  </si>
  <si>
    <t>6.302% Enhanced Capital Advantage Preferred Securities</t>
  </si>
  <si>
    <t>4.75% senior notes due 2020</t>
  </si>
  <si>
    <t>2.75% senior notes due 2022</t>
  </si>
  <si>
    <t xml:space="preserve">Mortgage notes payable </t>
  </si>
  <si>
    <t xml:space="preserve">Capital lease obligations </t>
  </si>
  <si>
    <t>Others</t>
  </si>
  <si>
    <t>Total available under facility</t>
  </si>
  <si>
    <t>Total Principal Borrowing (Repayments)</t>
  </si>
  <si>
    <t>Total Company EPS</t>
  </si>
  <si>
    <t>Total Company EPS - Base Case</t>
  </si>
  <si>
    <t>Scenarios</t>
  </si>
  <si>
    <t>RETAIL INPUTS CURRENTLY IN MODEL</t>
  </si>
  <si>
    <t xml:space="preserve">Base </t>
  </si>
  <si>
    <t>Square Footage</t>
  </si>
  <si>
    <t>Expansion Productivity</t>
  </si>
  <si>
    <t>Same Store Growth</t>
  </si>
  <si>
    <t>Gross Margins</t>
  </si>
  <si>
    <t>Pharmacy -Generic</t>
  </si>
  <si>
    <t>Pharmacy - Retail</t>
  </si>
  <si>
    <t xml:space="preserve">Front-End </t>
  </si>
  <si>
    <t>SG&amp;A Y/Y Growth</t>
  </si>
  <si>
    <t xml:space="preserve">Retail EPS </t>
  </si>
  <si>
    <t>Retail Gross Margin</t>
  </si>
  <si>
    <t>Retail Operating Margin</t>
  </si>
  <si>
    <t>Retail Operating Income Growth</t>
  </si>
  <si>
    <t>Retail EPS Growth</t>
  </si>
  <si>
    <t>Total Company EPS Growth</t>
  </si>
  <si>
    <t>Retail Bull Case</t>
  </si>
  <si>
    <t>Retail Base Case</t>
  </si>
  <si>
    <t>Retail Bear Case</t>
  </si>
  <si>
    <t>Front-End Comp</t>
  </si>
  <si>
    <t>PBM INPUTS CURRENTLY IN MODEL</t>
  </si>
  <si>
    <t>Rx Volume Growth</t>
  </si>
  <si>
    <t>3Q13 Guidance</t>
  </si>
  <si>
    <t>As of 2Q13</t>
  </si>
  <si>
    <t>2.0% to 3.0%</t>
  </si>
  <si>
    <t>$3.65-$3.71</t>
  </si>
  <si>
    <t>$3.90-$3.96</t>
  </si>
  <si>
    <t>Up 13.5% to 15.25%</t>
  </si>
  <si>
    <t>1.23bn</t>
  </si>
  <si>
    <t>$500-$510m</t>
  </si>
  <si>
    <t>Oper. Expense (% of rev.)</t>
  </si>
  <si>
    <t>up 30 to 35 bps</t>
  </si>
  <si>
    <t>2.25% to 3.25%</t>
  </si>
  <si>
    <t>1.0% to 2.0%</t>
  </si>
  <si>
    <t>Flat to down</t>
  </si>
  <si>
    <t>9%-10%</t>
  </si>
  <si>
    <t>up 55 to 60 bps</t>
  </si>
  <si>
    <t>4.0% to 5.5%</t>
  </si>
  <si>
    <t>$1.00-$1.03</t>
  </si>
  <si>
    <t>Up 17.0%-21.0%</t>
  </si>
  <si>
    <t>$1.6 to $1.5</t>
  </si>
  <si>
    <t>4.0%-5.5%</t>
  </si>
  <si>
    <t>3.0% to 4.25%</t>
  </si>
  <si>
    <t>1.25% to 2.25%</t>
  </si>
  <si>
    <t>7.5%-9%</t>
  </si>
  <si>
    <t>19.0%-23.0%</t>
  </si>
  <si>
    <t>4.5%-5.5%</t>
  </si>
  <si>
    <t>Guidance Implied 4Q13</t>
  </si>
  <si>
    <t>Consensus 4Q13</t>
  </si>
  <si>
    <t>MS 4Q13</t>
  </si>
  <si>
    <t>Gross Margin Estimates</t>
  </si>
  <si>
    <t>SG&amp;A per Script</t>
  </si>
  <si>
    <t xml:space="preserve">PBM EPS </t>
  </si>
  <si>
    <t>Revenue Growth</t>
  </si>
  <si>
    <t xml:space="preserve">Operating Margin </t>
  </si>
  <si>
    <t>PBM EPS Growth</t>
  </si>
  <si>
    <t>Total company EPS Growth</t>
  </si>
  <si>
    <t>PBM Ultra Bull Case</t>
  </si>
  <si>
    <t>PBM Bull Case</t>
  </si>
  <si>
    <t>PBM Base Case</t>
  </si>
  <si>
    <t>PBM Bear Case</t>
  </si>
  <si>
    <t>`</t>
  </si>
  <si>
    <t>Circularity</t>
  </si>
  <si>
    <t>Bull</t>
  </si>
  <si>
    <t>Bear</t>
  </si>
  <si>
    <t>2013A</t>
  </si>
  <si>
    <t>4Q13 cc</t>
  </si>
  <si>
    <t>4.25% to 5.5%</t>
  </si>
  <si>
    <t>$1.03 to $1.06</t>
  </si>
  <si>
    <t>24.25% to 28.25%</t>
  </si>
  <si>
    <t>14.5% to 16.5%</t>
  </si>
  <si>
    <t>Up 60 bps to 65 bps</t>
  </si>
  <si>
    <t>4% to 5.5%</t>
  </si>
  <si>
    <t>Up 15 bps to 25 bps</t>
  </si>
  <si>
    <t>$6.9 to $7.3 billion</t>
  </si>
  <si>
    <t>$5.5 to $5.8 billion</t>
  </si>
  <si>
    <t>Current Stock Price</t>
  </si>
  <si>
    <t>2Q13 Guidance (as of 1Q)</t>
  </si>
  <si>
    <t>2Q13 Guidance</t>
  </si>
  <si>
    <t>$0.94-$0.97</t>
  </si>
  <si>
    <t>As of 1Q13</t>
  </si>
  <si>
    <t>$3.89-$4.00</t>
  </si>
  <si>
    <t>$3.64-$3.75</t>
  </si>
  <si>
    <t>Share Repurchases</t>
  </si>
  <si>
    <t>$4bn</t>
  </si>
  <si>
    <t xml:space="preserve">2.25% senior notes due 2019 </t>
  </si>
  <si>
    <t>3.375% senior notes due 2024</t>
  </si>
  <si>
    <t>Guidance 4Q14</t>
  </si>
  <si>
    <t>MS 4Q14</t>
  </si>
  <si>
    <t>9% to 10.5%</t>
  </si>
  <si>
    <t>$1.18 to $1.21</t>
  </si>
  <si>
    <t>6% to 8.75%</t>
  </si>
  <si>
    <t>3.5% to 4.5%</t>
  </si>
  <si>
    <t>4.5% to 6.25%</t>
  </si>
  <si>
    <t>16.75% to 18.25%</t>
  </si>
  <si>
    <t>0% to 2.0%</t>
  </si>
  <si>
    <t>3Q14 cc</t>
  </si>
  <si>
    <t>9% to 9.5%</t>
  </si>
  <si>
    <t>$4.47 to $4.50</t>
  </si>
  <si>
    <t>12.75% to 13.5%</t>
  </si>
  <si>
    <t>$7.4 to $7.7billion</t>
  </si>
  <si>
    <t>$795 to $800 million</t>
  </si>
  <si>
    <t>Effect of exchange changes on cash and cash equivalents</t>
  </si>
  <si>
    <t>2.5% to 3%</t>
  </si>
  <si>
    <t>3.5% to 4%5%</t>
  </si>
  <si>
    <t>Up 50 bps to 55 bps</t>
  </si>
  <si>
    <t>14.75% to 15.25%</t>
  </si>
  <si>
    <t>1.07B to 1.075B</t>
  </si>
  <si>
    <t>Dec Analyst Day</t>
  </si>
  <si>
    <t>MS 2015</t>
  </si>
  <si>
    <t>1.25% to 2.50%</t>
  </si>
  <si>
    <t>4.0% to 5.0%</t>
  </si>
  <si>
    <t>Flat to up</t>
  </si>
  <si>
    <t>4.75% to 6.5%</t>
  </si>
  <si>
    <t>Up 35 bps to 40 bps</t>
  </si>
  <si>
    <t>11.0% to 12.25%</t>
  </si>
  <si>
    <t>1.13B to 1.15B</t>
  </si>
  <si>
    <t>$5.05 to $5.19</t>
  </si>
  <si>
    <t>12.50% to 15.75%</t>
  </si>
  <si>
    <t>$7.6 to $7.9 billion</t>
  </si>
  <si>
    <t>$5.9 to $6.2 billion</t>
  </si>
  <si>
    <t>CVS CY15</t>
  </si>
  <si>
    <t>Guidance 1Q15</t>
  </si>
  <si>
    <t>8.5% to 10.0%</t>
  </si>
  <si>
    <t>$1.06 to $1.09</t>
  </si>
  <si>
    <t>4.0% to 7.25%</t>
  </si>
  <si>
    <t>$0.99 to $1.02</t>
  </si>
  <si>
    <t>14.5% to 15.75%</t>
  </si>
  <si>
    <t>(5.0)% to flat</t>
  </si>
  <si>
    <t>1.5% to 3.0%</t>
  </si>
  <si>
    <t>(0.5)% to 1.0%</t>
  </si>
  <si>
    <t>(1.5)% to 0.5%</t>
  </si>
  <si>
    <t>7.0% to 8.25%</t>
  </si>
  <si>
    <t>$780 to $800 million</t>
  </si>
  <si>
    <t>Flat to 2%</t>
  </si>
  <si>
    <t>2014A</t>
  </si>
  <si>
    <t>~39.3%</t>
  </si>
  <si>
    <t>~1.12 billion</t>
  </si>
  <si>
    <t>~$6 billion</t>
  </si>
  <si>
    <t>CVS CY15 Guidance</t>
  </si>
  <si>
    <t>Down to 5 bps to 15 bps</t>
  </si>
  <si>
    <t>Fiscal Year End, Dec 31 2017</t>
  </si>
  <si>
    <t>2017E</t>
  </si>
  <si>
    <t>2017-FY</t>
  </si>
  <si>
    <t>2017-Q1</t>
  </si>
  <si>
    <t>2017-Q2</t>
  </si>
  <si>
    <t>2017-Q3</t>
  </si>
  <si>
    <t>2017-Q4</t>
  </si>
  <si>
    <t>Guidance 2Q15</t>
  </si>
  <si>
    <t>6.25% to 7.75%</t>
  </si>
  <si>
    <t>$1.17 to $1.20</t>
  </si>
  <si>
    <t>3.25% to 6.0%</t>
  </si>
  <si>
    <t>11.25% to 12.5%</t>
  </si>
  <si>
    <t>5.0% to 9.0%</t>
  </si>
  <si>
    <t>0.5% to 2.0%</t>
  </si>
  <si>
    <t>-1.25% to 0.25%</t>
  </si>
  <si>
    <t>4.25% to 5.25%</t>
  </si>
  <si>
    <t>$5.08 to $5.19</t>
  </si>
  <si>
    <t>13% to 15.5%</t>
  </si>
  <si>
    <t>11.25% to 12.25%</t>
  </si>
  <si>
    <t>7.75% to 10.75%</t>
  </si>
  <si>
    <t>CY15 Guidance</t>
  </si>
  <si>
    <t>Notable Improvement</t>
  </si>
  <si>
    <t>$2.0 billion</t>
  </si>
  <si>
    <t>$520 million</t>
  </si>
  <si>
    <t>-4% to -2%</t>
  </si>
  <si>
    <t>LTC</t>
  </si>
  <si>
    <t>SCG</t>
  </si>
  <si>
    <t>OCR INPUTS CURRENTLY IN MODEL</t>
  </si>
  <si>
    <t>SCG Revenue Growth</t>
  </si>
  <si>
    <t>Total OCR</t>
  </si>
  <si>
    <t>SG&amp;A Growth</t>
  </si>
  <si>
    <t>LTC Scripts Dispensed Growth</t>
  </si>
  <si>
    <t>LTC Net Sales / Script Growth</t>
  </si>
  <si>
    <t>Other Expenses less Special Items ($ millions)</t>
  </si>
  <si>
    <t>OCR Base Case</t>
  </si>
  <si>
    <t>OCR Bear Case</t>
  </si>
  <si>
    <t>Depreciation (Margin)</t>
  </si>
  <si>
    <t>Synergies</t>
  </si>
  <si>
    <t>Gross Profit Allocation</t>
  </si>
  <si>
    <t xml:space="preserve">SG&amp;A Allocation </t>
  </si>
  <si>
    <t>Quarterly Guidance</t>
  </si>
  <si>
    <t>Debt Summary</t>
  </si>
  <si>
    <t xml:space="preserve">4.125% unsecured senior notes due 2021 </t>
  </si>
  <si>
    <t xml:space="preserve">4.00% senior notes due 2018 </t>
  </si>
  <si>
    <t>6.25% senior notes due 2027</t>
  </si>
  <si>
    <t>1.9% senior notes due 2018</t>
  </si>
  <si>
    <t>2.8% senior notes due 2020</t>
  </si>
  <si>
    <t>3.5% senior notes due 2022</t>
  </si>
  <si>
    <t>3.875% senior notes due 2025</t>
  </si>
  <si>
    <t>4.875% senior notes due 2035</t>
  </si>
  <si>
    <t>5.125% senior notes due 2045</t>
  </si>
  <si>
    <t>OCR/TGT Acquisition Interest Expense</t>
  </si>
  <si>
    <t>Guidance 3Q15</t>
  </si>
  <si>
    <t>6.5%to 7.75%</t>
  </si>
  <si>
    <t>$1.27 to $1.30</t>
  </si>
  <si>
    <t>10.5% to 13.5%</t>
  </si>
  <si>
    <t>1.00% to 2.50%</t>
  </si>
  <si>
    <t>4.75% to 5.75%</t>
  </si>
  <si>
    <t>4.0% to 6.0%</t>
  </si>
  <si>
    <t>9.00% to 10.25%</t>
  </si>
  <si>
    <t>2.0% to 6.0%</t>
  </si>
  <si>
    <t>7.5% to 8.25%</t>
  </si>
  <si>
    <t>13.75% to 15.25%</t>
  </si>
  <si>
    <t>11.5% to 12.5%</t>
  </si>
  <si>
    <t>1.15B to 1.16B</t>
  </si>
  <si>
    <t>10.0% to 12.0%</t>
  </si>
  <si>
    <t>2.5% to 3.25%</t>
  </si>
  <si>
    <t>Moderate Decline</t>
  </si>
  <si>
    <t>4.25% to 5.50%</t>
  </si>
  <si>
    <t>$790 to $800 million</t>
  </si>
  <si>
    <t>~1.13 billion</t>
  </si>
  <si>
    <t>$5.11 to $5.18</t>
  </si>
  <si>
    <t>Guidance 4Q15</t>
  </si>
  <si>
    <t>MS 4Q15</t>
  </si>
  <si>
    <t>9.75% to 10.25%</t>
  </si>
  <si>
    <t>$5.14 to $5.18</t>
  </si>
  <si>
    <t>14.25% to 15.25%</t>
  </si>
  <si>
    <t>9.75%to 11.5%</t>
  </si>
  <si>
    <t>$1.51 to $1.55</t>
  </si>
  <si>
    <t>24.75% to 28.25%</t>
  </si>
  <si>
    <t>9.00% to 10.5%</t>
  </si>
  <si>
    <t>0.75% to 2.25%</t>
  </si>
  <si>
    <t>19.25% to 21.25%</t>
  </si>
  <si>
    <t>Up 95 bps to 100 bps</t>
  </si>
  <si>
    <t>10.5% to 12.0%</t>
  </si>
  <si>
    <t>295M to 300M</t>
  </si>
  <si>
    <t>Up 45 to 50 bps</t>
  </si>
  <si>
    <t>24.0% to 27.0%</t>
  </si>
  <si>
    <t>Corporate Expenses</t>
  </si>
  <si>
    <t>Intersegment Eliminations</t>
  </si>
  <si>
    <t>$215M to $220M</t>
  </si>
  <si>
    <t>~10.8%</t>
  </si>
  <si>
    <t>Modestly down</t>
  </si>
  <si>
    <t>Up 80bps to 90bps</t>
  </si>
  <si>
    <t>Effective TR</t>
  </si>
  <si>
    <t xml:space="preserve">Weighted Avg Shares </t>
  </si>
  <si>
    <t>$275M to $280M</t>
  </si>
  <si>
    <t>~1.11B</t>
  </si>
  <si>
    <t>~$190M</t>
  </si>
  <si>
    <t>13.25% to 13.75%</t>
  </si>
  <si>
    <t>5.25% to 5.75%</t>
  </si>
  <si>
    <t>4.25% to 4.75%</t>
  </si>
  <si>
    <t>Notable Decline</t>
  </si>
  <si>
    <t>flat to up</t>
  </si>
  <si>
    <t>6.25% to 6.75%</t>
  </si>
  <si>
    <t>OCR CONTRIBUTION - RETAIL</t>
  </si>
  <si>
    <t>OCR CONTRIBUTION - PBM</t>
  </si>
  <si>
    <t>Significant Improvement</t>
  </si>
  <si>
    <t>Operating Expense Margin</t>
  </si>
  <si>
    <t>$610 million</t>
  </si>
  <si>
    <t>$2.1 billion</t>
  </si>
  <si>
    <t>$785 to $790 million</t>
  </si>
  <si>
    <t>Notably Down</t>
  </si>
  <si>
    <t>CVS CY16</t>
  </si>
  <si>
    <t>MS 2016</t>
  </si>
  <si>
    <t>OCR Bull Case</t>
  </si>
  <si>
    <t>Adj. Prescriptions Filled</t>
  </si>
  <si>
    <t>2018E</t>
  </si>
  <si>
    <t>Y</t>
  </si>
  <si>
    <t>Guidance 1Q16</t>
  </si>
  <si>
    <t>MS 1Q16</t>
  </si>
  <si>
    <t>17.0%to 18.5%</t>
  </si>
  <si>
    <t>$5.73 to $5.88</t>
  </si>
  <si>
    <t>11.25% to 14.25%</t>
  </si>
  <si>
    <t>$5.3 to $5.6 billion</t>
  </si>
  <si>
    <t>($2.3 billion)</t>
  </si>
  <si>
    <t>14.25% to 15.5%</t>
  </si>
  <si>
    <t>Significant Decline</t>
  </si>
  <si>
    <t>6.25% to 8.25%</t>
  </si>
  <si>
    <t>Down 60 to 70 bps</t>
  </si>
  <si>
    <t>20.25% to 21.75%</t>
  </si>
  <si>
    <t>1.33B to 1.35B</t>
  </si>
  <si>
    <t>Moderate decline</t>
  </si>
  <si>
    <t>9.75% to 13.25%</t>
  </si>
  <si>
    <t>$1.14 to $1.17</t>
  </si>
  <si>
    <t>Flat to up 3%</t>
  </si>
  <si>
    <t>Fiscal Year End, Dec 31 2018</t>
  </si>
  <si>
    <t>4.5% to 6.0%</t>
  </si>
  <si>
    <t>5.0% to 7.0%</t>
  </si>
  <si>
    <t>Flat to Up</t>
  </si>
  <si>
    <t>18.0% to 19.25%</t>
  </si>
  <si>
    <t>$860 to $870 million</t>
  </si>
  <si>
    <t>Significant decline</t>
  </si>
  <si>
    <t>Down 40 to 50 bps</t>
  </si>
  <si>
    <t>$1.13 to $1.14 billion</t>
  </si>
  <si>
    <t>1.08 billion</t>
  </si>
  <si>
    <t>19.0% to 20.5%</t>
  </si>
  <si>
    <t>2015A</t>
  </si>
  <si>
    <t>~800M</t>
  </si>
  <si>
    <t>2018-Q1</t>
  </si>
  <si>
    <t>2018-Q2</t>
  </si>
  <si>
    <t>2018-Q3</t>
  </si>
  <si>
    <t>2018-Q4</t>
  </si>
  <si>
    <t>2018-FY</t>
  </si>
  <si>
    <t>Guidance 2Q16</t>
  </si>
  <si>
    <t>MS 2Q16</t>
  </si>
  <si>
    <t>17.5%to 19.0%</t>
  </si>
  <si>
    <t>21.75% to 23.25%</t>
  </si>
  <si>
    <t>1.35B to 1.40B</t>
  </si>
  <si>
    <t>11.0% to 13.25%</t>
  </si>
  <si>
    <t>13.0% to 14.25%</t>
  </si>
  <si>
    <t>Down 50 to 60 bps</t>
  </si>
  <si>
    <t>Down 45 to 55 bps</t>
  </si>
  <si>
    <t>18.5%to 20.0%</t>
  </si>
  <si>
    <t>$1.28 to $1.31</t>
  </si>
  <si>
    <t>4.75% to 7.5%</t>
  </si>
  <si>
    <t>15.5% to 17.0%</t>
  </si>
  <si>
    <t>3.0% to 4.0%</t>
  </si>
  <si>
    <t>22.0% to 23.25%</t>
  </si>
  <si>
    <t>4.0% to 8.0%</t>
  </si>
  <si>
    <t>CVS Health</t>
  </si>
  <si>
    <t>Mark Rosenblum</t>
  </si>
  <si>
    <t>Associate</t>
  </si>
  <si>
    <t>(212) 761-6235</t>
  </si>
  <si>
    <t>Mark.Rosenblum@morganstanley.com</t>
  </si>
  <si>
    <t>Guidance 3Q16</t>
  </si>
  <si>
    <t>MS 3Q16</t>
  </si>
  <si>
    <t>17.0%to 17.75%</t>
  </si>
  <si>
    <t>$5.81 to $5.89</t>
  </si>
  <si>
    <t>12.5% to 14.25%</t>
  </si>
  <si>
    <t>21.0% to 22.0%</t>
  </si>
  <si>
    <t>13.5% to 15.5%</t>
  </si>
  <si>
    <t>Down 20 to 30 bps</t>
  </si>
  <si>
    <t>13.0% to 13.75%</t>
  </si>
  <si>
    <t>6.75% to 8.0%</t>
  </si>
  <si>
    <t>$870 to $875 million</t>
  </si>
  <si>
    <t>$1.07 to $1.08 billion</t>
  </si>
  <si>
    <t>~795M</t>
  </si>
  <si>
    <t>$8.8 to $9.1 billion</t>
  </si>
  <si>
    <t>$6.3 to $6.6 billion</t>
  </si>
  <si>
    <t>16.5%to 17.75%</t>
  </si>
  <si>
    <t>$1.55 to $1.58</t>
  </si>
  <si>
    <t>21.0% to 23.75%</t>
  </si>
  <si>
    <t>14.75% to 17.50%</t>
  </si>
  <si>
    <t>21.25% to 22.5%</t>
  </si>
  <si>
    <t>20.25 to 24.25%</t>
  </si>
  <si>
    <t>11.5% to 13.0%</t>
  </si>
  <si>
    <t>1.00% to 2.25%</t>
  </si>
  <si>
    <t>Guidance 4Q16</t>
  </si>
  <si>
    <t>MS 4Q16</t>
  </si>
  <si>
    <t>CVS CY17</t>
  </si>
  <si>
    <t>MS 2017</t>
  </si>
  <si>
    <t>$5.77 to $5.83</t>
  </si>
  <si>
    <t>11.75% to 13.0%</t>
  </si>
  <si>
    <t>16.0% to 16.5%</t>
  </si>
  <si>
    <t>7.5% to 8.5%</t>
  </si>
  <si>
    <t>$9.1 to $9.3 billion</t>
  </si>
  <si>
    <t>$6.8 to $7.0 billion</t>
  </si>
  <si>
    <t>$1.64 to $1.70</t>
  </si>
  <si>
    <t>7.0% to 10.75%</t>
  </si>
  <si>
    <t>2.0% to 5.5%</t>
  </si>
  <si>
    <t>18.75% to 20.5%</t>
  </si>
  <si>
    <t>9.5 to 11.5%</t>
  </si>
  <si>
    <t>4.0% to 5.75%</t>
  </si>
  <si>
    <t>Flat to -1.75%</t>
  </si>
  <si>
    <t>-1.25% to 2.25%</t>
  </si>
  <si>
    <t>Down 35 to 55 bps</t>
  </si>
  <si>
    <t>$220 to $225 million</t>
  </si>
  <si>
    <t>$245 million</t>
  </si>
  <si>
    <t>1.07 billion</t>
  </si>
  <si>
    <t>$205 million</t>
  </si>
  <si>
    <t>$5.77 to $5.93</t>
  </si>
  <si>
    <t>-0.5% to 2.5%</t>
  </si>
  <si>
    <t>Liza garcia</t>
  </si>
  <si>
    <t>(212) 761-7827</t>
  </si>
  <si>
    <t>Liza.Garcia@morganstanley.com</t>
  </si>
  <si>
    <t>Guidance 1Q17</t>
  </si>
  <si>
    <t>MS 1Q17</t>
  </si>
  <si>
    <t>8.5% to 10.5%</t>
  </si>
  <si>
    <t>$7.7 to $8.6 billion</t>
  </si>
  <si>
    <t>$6.0 to $6.4 billion</t>
  </si>
  <si>
    <t>($1.7 to 2.2 billion)</t>
  </si>
  <si>
    <t>1.46B to 1.48B</t>
  </si>
  <si>
    <t>6.5% to 9.5%</t>
  </si>
  <si>
    <t>Flat to -1.5%</t>
  </si>
  <si>
    <t>-1% to -2.5%</t>
  </si>
  <si>
    <t>Same store sales</t>
  </si>
  <si>
    <t>0% to 1%</t>
  </si>
  <si>
    <t>-7.0% to -9.5%</t>
  </si>
  <si>
    <t>$1.07 to $1.13</t>
  </si>
  <si>
    <t>-9.75% to -4.75%</t>
  </si>
  <si>
    <t>2.5% to 4.25%</t>
  </si>
  <si>
    <t>12.25% to 14.0%</t>
  </si>
  <si>
    <t>2016A</t>
  </si>
  <si>
    <t>Fiscal Year End, Dec 31 2019</t>
  </si>
  <si>
    <t>2019E</t>
  </si>
  <si>
    <t>-1.25% to 1.5%</t>
  </si>
  <si>
    <t>7.5% to 9.5%</t>
  </si>
  <si>
    <t>5.75% to 8.75%</t>
  </si>
  <si>
    <t>-3.25% to -1.75%</t>
  </si>
  <si>
    <t>-4.25% to -2.75%</t>
  </si>
  <si>
    <t>-0.25% to 0.75%</t>
  </si>
  <si>
    <t>$890M to $900M</t>
  </si>
  <si>
    <t>IS</t>
  </si>
  <si>
    <t>1.76B to 1.78B</t>
  </si>
  <si>
    <t>2.5 billion</t>
  </si>
  <si>
    <t>$1.01 to $1.02 billion</t>
  </si>
  <si>
    <t>2019-Q1</t>
  </si>
  <si>
    <t>2019-Q2</t>
  </si>
  <si>
    <t>2019-Q3</t>
  </si>
  <si>
    <t>2019-Q4</t>
  </si>
  <si>
    <t>2019-FY</t>
  </si>
  <si>
    <t>Notable deterioration</t>
  </si>
  <si>
    <t>1.03 billion</t>
  </si>
  <si>
    <t>$820 million</t>
  </si>
  <si>
    <t>3.25% to 5.0%</t>
  </si>
  <si>
    <t>$1.29 to $1.33</t>
  </si>
  <si>
    <t>-2.5% to 1.0%</t>
  </si>
  <si>
    <t>-4.25% to -2.5%</t>
  </si>
  <si>
    <t>-4.75% to -3.0%</t>
  </si>
  <si>
    <t>-1.5% to -0.5%</t>
  </si>
  <si>
    <t>-13.25% to -10.25%</t>
  </si>
  <si>
    <t>9.0% to 10.75%</t>
  </si>
  <si>
    <t>2.5% to 5.5%</t>
  </si>
  <si>
    <t>Guidance 2Q17</t>
  </si>
  <si>
    <t>MS 2Q17</t>
  </si>
  <si>
    <t>-5.25% to -3.0%</t>
  </si>
  <si>
    <t>-9.5% to -7.75%</t>
  </si>
  <si>
    <t>Guidance 3Q17</t>
  </si>
  <si>
    <t>-5.75% to -4.25%</t>
  </si>
  <si>
    <t>$5.83 to $5.93</t>
  </si>
  <si>
    <t>-0.25% to 1.5%</t>
  </si>
  <si>
    <t>8.0% to 9.0%</t>
  </si>
  <si>
    <t>1.78B to 1.80B</t>
  </si>
  <si>
    <t>5.75% to 7.25%</t>
  </si>
  <si>
    <t>-3.50% to -2.75%</t>
  </si>
  <si>
    <t>-4.25% to -3.50%</t>
  </si>
  <si>
    <t>-0.75% to 0.25%</t>
  </si>
  <si>
    <t>Significant deterioration</t>
  </si>
  <si>
    <t>-10.0% to -8.75%</t>
  </si>
  <si>
    <t>$925M to $945M</t>
  </si>
  <si>
    <t>$1.00 to $1.01 billion</t>
  </si>
  <si>
    <t>1.02 billion</t>
  </si>
  <si>
    <t>$1.47 to $1.50</t>
  </si>
  <si>
    <t>-10.5% to -8.0%</t>
  </si>
  <si>
    <t>-5.0% to -3.25%</t>
  </si>
  <si>
    <t>-5.75% to -4.0%</t>
  </si>
  <si>
    <t>-13.5% to -11.0%</t>
  </si>
  <si>
    <t>8.5% to 9.75%</t>
  </si>
  <si>
    <t>-7.5% to -5.5%</t>
  </si>
  <si>
    <t>Rose V. Lauricella</t>
  </si>
  <si>
    <t>Research Associate</t>
  </si>
  <si>
    <t>(212) 761-8118</t>
  </si>
  <si>
    <t>Rose.Lauricella@morganstanley.com</t>
  </si>
  <si>
    <t>-2.75% to -2.25%</t>
  </si>
  <si>
    <t>-3.25% to -2.75%</t>
  </si>
  <si>
    <t>Flat to 0.25%</t>
  </si>
  <si>
    <t>-10.5% to -9.50%</t>
  </si>
  <si>
    <t>8.0% to 8.5%</t>
  </si>
  <si>
    <t>1.77B to 1.79B</t>
  </si>
  <si>
    <t>6.0% to 6.5%</t>
  </si>
  <si>
    <t>$5.87 to $5.91</t>
  </si>
  <si>
    <t>0.5% to 1.25%</t>
  </si>
  <si>
    <t>~$1B</t>
  </si>
  <si>
    <t>Fiscal Year End, Dec 31 2020</t>
  </si>
  <si>
    <t>2020E</t>
  </si>
  <si>
    <t>2020-Q1</t>
  </si>
  <si>
    <t>2020-Q2</t>
  </si>
  <si>
    <t>2020-Q3</t>
  </si>
  <si>
    <t>2020-Q4</t>
  </si>
  <si>
    <t>2020-FY</t>
  </si>
  <si>
    <t>1.5% to 3.5%</t>
  </si>
  <si>
    <t>1.91B to 1.93B</t>
  </si>
  <si>
    <t>LTM single digits</t>
  </si>
  <si>
    <t>2.0% to 3.5%</t>
  </si>
  <si>
    <t>6.0% to 7.0%</t>
  </si>
  <si>
    <t>Low single digits</t>
  </si>
  <si>
    <t>MS 2018</t>
  </si>
  <si>
    <t>~4%</t>
  </si>
  <si>
    <t>2.5% to 4.0%</t>
  </si>
  <si>
    <t>Incremental Interest Expense</t>
  </si>
  <si>
    <t>After Tax</t>
  </si>
  <si>
    <t>EPS Impact</t>
  </si>
  <si>
    <t>Adjusted EPS excluding incremental interest</t>
  </si>
  <si>
    <t>01/04/2018</t>
  </si>
  <si>
    <t>Midpoint</t>
  </si>
  <si>
    <t>4Q Earnings CC</t>
  </si>
  <si>
    <t>Guidance Release CC</t>
  </si>
  <si>
    <t>1Q18</t>
  </si>
  <si>
    <t>4Q Earnings CC - 02/08/2018</t>
  </si>
  <si>
    <t>2017A</t>
  </si>
  <si>
    <t>Annual Guidance</t>
  </si>
  <si>
    <t>Flattish to slightly up</t>
  </si>
  <si>
    <t>Low to mid single digits</t>
  </si>
  <si>
    <t>Down low single digits</t>
  </si>
  <si>
    <t>88</t>
  </si>
  <si>
    <t>MSA12825</t>
  </si>
  <si>
    <t>Research</t>
  </si>
  <si>
    <t>OK</t>
  </si>
  <si>
    <t>e = Morgan Stanley Research estimates unless otherwise noted</t>
  </si>
  <si>
    <t>Source: Morgan Stanley Research unless otherwise noted</t>
  </si>
  <si>
    <t>Stocks ratings are relative to the analyst's industry coverage universe.</t>
  </si>
  <si>
    <t>1585 Broadway</t>
  </si>
  <si>
    <t>New York, NY  10036-8293</t>
  </si>
  <si>
    <t>United States</t>
  </si>
  <si>
    <t>Tel: +1 (1)212 761 4000</t>
  </si>
  <si>
    <t>Authors: Ricky Goldwasser</t>
  </si>
  <si>
    <t>Date: 13 Apr 2018</t>
  </si>
  <si>
    <t>Ticker: CVS.N</t>
  </si>
  <si>
    <t>Stock Rating: Overweight</t>
  </si>
  <si>
    <t>Industry: Healthcare Services &amp; Distribution</t>
  </si>
  <si>
    <t>Industry View: In-Line</t>
  </si>
  <si>
    <t>Price as of 13 Apr 2018: 63.37</t>
  </si>
  <si>
    <t>Target Price: 88</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</si>
  <si>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</si>
  <si>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</si>
  <si>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</si>
  <si>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</si>
  <si>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CVS Health Corp.</t>
  </si>
  <si>
    <t>STOCK RATINGS</t>
  </si>
  <si>
    <t>Global Stock Ratings Distribution</t>
  </si>
  <si>
    <t>(as of March 31, 2018)</t>
  </si>
  <si>
    <t>Coverage Universe</t>
  </si>
  <si>
    <t>Investment Banking Clients (IBC)</t>
  </si>
  <si>
    <t>Other Material Investment Services Clients (MISC)</t>
  </si>
  <si>
    <t>Stock Rating Category</t>
  </si>
  <si>
    <t>% of Total IBC</t>
  </si>
  <si>
    <t>% of Rating Category</t>
  </si>
  <si>
    <t>% of Total Other MISC</t>
  </si>
  <si>
    <t>Overweight/Buy</t>
  </si>
  <si>
    <t>Equal-weight/Hold</t>
  </si>
  <si>
    <t>Not-Rated/Hold</t>
  </si>
  <si>
    <t>Underweight/Sell</t>
  </si>
  <si>
    <t>Analyst Stock Ratings</t>
  </si>
  <si>
    <t>Analyst Industry Views</t>
  </si>
  <si>
    <t>.</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</si>
  <si>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</si>
  <si>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</si>
  <si>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</si>
  <si>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</si>
  <si>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</si>
  <si>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</si>
  <si>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</si>
  <si>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</si>
  <si>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</si>
  <si>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</si>
  <si>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</si>
  <si>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</si>
  <si>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</si>
  <si>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</si>
  <si>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</si>
  <si>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</si>
  <si>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</si>
  <si>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</si>
  <si>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</si>
  <si>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</si>
  <si>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</si>
  <si>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</si>
  <si>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</si>
  <si>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</si>
  <si>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</si>
  <si>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</si>
  <si>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</si>
  <si>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</si>
  <si>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</si>
  <si>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</si>
  <si>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</si>
  <si>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</si>
  <si>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</si>
  <si>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</si>
  <si>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</si>
  <si>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</si>
  <si>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</si>
  <si>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</si>
  <si>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</si>
  <si>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</si>
  <si>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</si>
  <si>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</si>
  <si>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</si>
  <si>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</si>
  <si>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</si>
  <si>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</si>
  <si>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</si>
  <si>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</si>
  <si>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</si>
  <si>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</si>
  <si>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</si>
  <si>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</si>
  <si>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</si>
  <si>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</si>
  <si>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</si>
  <si>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</si>
  <si>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</si>
  <si>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</si>
  <si>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</si>
  <si>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</si>
  <si>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</si>
  <si>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</si>
  <si>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</si>
  <si>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</si>
  <si>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</si>
  <si>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</si>
  <si>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</si>
  <si>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</si>
  <si>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</si>
  <si>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</si>
  <si>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</si>
  <si>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</si>
  <si>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</si>
  <si>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</si>
  <si>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</si>
  <si>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</si>
  <si>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</si>
  <si>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</si>
  <si>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</si>
  <si>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</si>
  <si>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</si>
  <si>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</si>
  <si>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</si>
  <si>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</si>
  <si>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</si>
  <si>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</si>
  <si>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</si>
  <si>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</si>
  <si>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</si>
  <si>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</si>
  <si>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</si>
  <si>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</si>
  <si>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</si>
  <si>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</si>
  <si>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</si>
  <si>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</si>
  <si>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</si>
  <si>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</si>
  <si>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</si>
  <si>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</si>
  <si>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</si>
  <si>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</si>
  <si>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</si>
  <si>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</si>
  <si>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</si>
  <si>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</si>
  <si>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</si>
  <si>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</si>
  <si>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</si>
  <si>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</si>
  <si>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</si>
  <si>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</si>
  <si>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</si>
  <si>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</si>
  <si>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</si>
  <si>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</si>
  <si>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</si>
  <si>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</si>
  <si>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</si>
  <si>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</si>
  <si>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</si>
  <si>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</si>
  <si>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</si>
  <si>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</si>
  <si>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</si>
  <si>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</si>
  <si>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</si>
  <si>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</si>
  <si>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</si>
  <si>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</si>
  <si>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</si>
  <si>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</si>
  <si>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</si>
  <si>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</si>
  <si>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</si>
  <si>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</si>
  <si>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</si>
  <si>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</si>
  <si>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</si>
  <si>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</si>
  <si>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</si>
  <si>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</si>
  <si>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</si>
  <si>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</si>
  <si>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</si>
  <si>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</si>
  <si>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</si>
  <si>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</si>
  <si>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</si>
  <si>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</si>
  <si>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</si>
  <si>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</si>
  <si>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</si>
  <si>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</si>
  <si>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</si>
  <si>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</si>
  <si>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</si>
  <si>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Morgan Stanley &amp; Co. International PLC and its affiliates have a significant financial interest in the</t>
  </si>
  <si>
    <t>debt securities of CVS Health Corp.</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</si>
  <si>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</si>
  <si>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</si>
  <si>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</si>
  <si>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</si>
  <si>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</si>
  <si>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</si>
  <si>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</si>
  <si>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</si>
  <si>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</si>
  <si>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</si>
  <si>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</si>
  <si>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</si>
  <si>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</si>
  <si>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</si>
  <si>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</si>
  <si>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</si>
  <si>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</si>
  <si>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</si>
  <si>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</si>
  <si>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</si>
  <si>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</si>
  <si>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</si>
  <si>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</si>
  <si>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</si>
  <si>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</si>
  <si>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</si>
  <si>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</si>
  <si>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</si>
  <si>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</si>
  <si>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</si>
  <si>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</si>
  <si>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</si>
  <si>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</si>
  <si>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</si>
  <si>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</si>
  <si>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</si>
  <si>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</si>
  <si>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</si>
  <si>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</si>
  <si>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</si>
  <si>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</si>
  <si>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</si>
  <si>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</si>
  <si>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</si>
  <si>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</si>
  <si>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</si>
  <si>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</si>
  <si>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</si>
  <si>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</si>
  <si>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</si>
  <si>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</si>
  <si>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</si>
  <si>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</si>
  <si>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</si>
  <si>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</si>
  <si>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</si>
  <si>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</si>
  <si>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</si>
  <si>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</si>
  <si>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</si>
  <si>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</si>
  <si>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</si>
  <si>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</si>
  <si>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</si>
  <si>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</si>
  <si>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</si>
  <si>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either provided or is providing non-investment banking,</t>
  </si>
  <si>
    <t>securities-related services to and/or in the past has entered into an agreement to provide services or</t>
  </si>
  <si>
    <t>has a client relationship with the following company: CVS Health Corp.</t>
  </si>
  <si>
    <t>Within the last 12 months, Morgan Stanley has received compensation for products and services other than</t>
  </si>
  <si>
    <t>investment banking services from CVS Health Corp.</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</si>
  <si>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</si>
  <si>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</si>
  <si>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</si>
  <si>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</si>
  <si>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</si>
  <si>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Ricky R Goldwasser.</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</si>
  <si>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</si>
  <si>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</si>
  <si>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</si>
  <si>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</si>
  <si>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</si>
  <si>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</si>
  <si>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</si>
  <si>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</si>
  <si>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</si>
  <si>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</si>
  <si>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</si>
  <si>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</si>
  <si>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</si>
  <si>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</si>
  <si>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</si>
  <si>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</si>
  <si>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</si>
  <si>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</si>
  <si>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</si>
  <si>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</si>
  <si>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</si>
  <si>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</si>
  <si>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</si>
  <si>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</si>
  <si>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Company</t>
  </si>
  <si>
    <t>DocType</t>
  </si>
  <si>
    <t>Model</t>
  </si>
  <si>
    <t>SubjectCode</t>
  </si>
  <si>
    <t>Description</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</si>
  <si>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</si>
  <si>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</si>
  <si>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</si>
  <si>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</si>
  <si>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</si>
  <si>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</si>
  <si>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</si>
  <si>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</si>
  <si>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</si>
  <si>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</si>
  <si>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</si>
  <si>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</si>
  <si>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</si>
  <si>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</si>
  <si>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</si>
  <si>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</si>
  <si>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 xml:space="preserve"> </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</si>
  <si>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</si>
  <si>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</si>
  <si>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</si>
  <si>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</si>
  <si>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</si>
  <si>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</si>
  <si>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</si>
  <si>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</si>
  <si>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</si>
  <si>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</si>
  <si>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</si>
  <si>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</si>
  <si>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</si>
  <si>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</si>
  <si>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</si>
  <si>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</si>
  <si>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</si>
  <si>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</si>
  <si>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</si>
  <si>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</si>
  <si>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</si>
  <si>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</si>
  <si>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</si>
  <si>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Overweight / In-Line</t>
  </si>
  <si>
    <t>Regular Update</t>
  </si>
  <si>
    <t>NorthAmerica</t>
  </si>
  <si>
    <t>marrosen</t>
  </si>
  <si>
    <t>CVS Health Corp</t>
  </si>
  <si>
    <t>L:\HEALTH\Goldwasser\Models\Clients\Rlink\CVS 04 05 18.xlsm</t>
  </si>
  <si>
    <t>[BRO MSA]</t>
  </si>
  <si>
    <t>[PRODUCT MODEL]</t>
  </si>
  <si>
    <t>[EMAIL_ALERT YES]</t>
  </si>
  <si>
    <t>[DISCIPLINE Company]</t>
  </si>
  <si>
    <t>[SUPPRESSED NO]</t>
  </si>
  <si>
    <t>[DOCDAT 2018-04-13]</t>
  </si>
  <si>
    <t>[DOCTIME 14:50]</t>
  </si>
  <si>
    <t>[PSYM CVS.N(S&amp;P) (None)]</t>
  </si>
  <si>
    <t>[COU 1]</t>
  </si>
  <si>
    <t>[ANA ]</t>
  </si>
  <si>
    <t>[HL CVS.N Model]</t>
  </si>
  <si>
    <t>[IND ]</t>
  </si>
  <si>
    <t>[PANA MSA12825]</t>
  </si>
  <si>
    <r>
      <t xml:space="preserve">This workbook contains formulas which </t>
    </r>
    <r>
      <rPr>
        <u/>
        <sz val="14"/>
        <rFont val="Arial"/>
        <family val="2"/>
      </rPr>
      <t>intentionally</t>
    </r>
    <r>
      <rPr>
        <sz val="14"/>
        <rFont val="Arial"/>
        <family val="2"/>
      </rPr>
      <t xml:space="preserve"> use circular reference calculation. These calculations can be resolved as intended by the originating analyst by selecting the Apply Circular Settings button below.</t>
    </r>
  </si>
  <si>
    <r>
      <t xml:space="preserve">This workbook contains formulas which </t>
    </r>
    <r>
      <rPr>
        <u/>
        <sz val="14"/>
        <rFont val="Arial"/>
        <family val="2"/>
      </rPr>
      <t>intentionally</t>
    </r>
    <r>
      <rPr>
        <sz val="14"/>
        <rFont val="Arial"/>
        <family val="2"/>
      </rPr>
      <t xml:space="preserve"> use circular reference calculation. These calculations can be resolved as intended by the originating analyst by applying the following settings in the Tools &gt;&gt; Options &gt;&gt; Calculation dialog box:</t>
    </r>
  </si>
  <si>
    <t>Clicking the Apply Circular Settings button will display the model worksheets and make the following settings changes in the Tools &gt;&gt; Options &gt;&gt; Calculation dialog box:</t>
  </si>
  <si>
    <t>1) Select the Iteration check box</t>
  </si>
  <si>
    <t>Failure to apply these settings can result in incorrect calculation or unexpected termination of your Microsoft Excel session.</t>
  </si>
  <si>
    <t>2) Set Maximum Iterations = 100</t>
  </si>
  <si>
    <t>3) Set Maximum Change = 0.001</t>
  </si>
  <si>
    <t>Sheet Name</t>
  </si>
  <si>
    <t>Visible Status</t>
  </si>
  <si>
    <t>ImportantDisclosures</t>
  </si>
  <si>
    <t>SheetVisibilityStatus</t>
  </si>
  <si>
    <t>CircularReferenceAlert</t>
  </si>
  <si>
    <t>Cover</t>
  </si>
  <si>
    <t>BS and CFS</t>
  </si>
  <si>
    <t>Guidance</t>
  </si>
  <si>
    <t>Key Inputs and Scenarios</t>
  </si>
  <si>
    <t>IndexInformation</t>
  </si>
  <si>
    <t>ModPubIndex</t>
  </si>
  <si>
    <t>MW-Cache</t>
  </si>
</sst>
</file>

<file path=xl/styles.xml><?xml version="1.0" encoding="utf-8"?>
<styleSheet xmlns="http://schemas.openxmlformats.org/spreadsheetml/2006/main" xmlns:mc="http://schemas.openxmlformats.org/markup-compatibility/2006" xmlns:x14ac="http://schemas.microsoft.com/office/spreadsheetml/2009/9/ac" mc:Ignorable="x14ac">
  <numFmts count="38">
    <numFmt numFmtId="5" formatCode="&quot;$&quot;#,##0_);\(&quot;$&quot;#,##0\)"/>
    <numFmt numFmtId="7" formatCode="&quot;$&quot;#,##0.00_);\(&quot;$&quot;#,##0.00\)"/>
    <numFmt numFmtId="8" formatCode="&quot;$&quot;#,##0.00_);[Red]\(&quot;$&quot;#,##0.00\)"/>
    <numFmt numFmtId="41" formatCode="_(* #,##0_);_(* \(#,##0\);_(* &quot;-&quot;_);_(@_)"/>
    <numFmt numFmtId="44" formatCode="_(&quot;$&quot;* #,##0.00_);_(&quot;$&quot;* \(#,##0.00\);_(&quot;$&quot;* &quot;-&quot;??_);_(@_)"/>
    <numFmt numFmtId="43" formatCode="_(* #,##0.00_);_(* \(#,##0.00\);_(* &quot;-&quot;??_);_(@_)"/>
    <numFmt numFmtId="164" formatCode="_-* #,##0.00_-;\-* #,##0.00_-;_-* &quot;-&quot;??_-;_-@_-"/>
    <numFmt numFmtId="165" formatCode="_-&quot;$&quot;* #,##0.00_-;\-&quot;$&quot;* #,##0.00_-;_-&quot;$&quot;* &quot;-&quot;??_-;_-@_-"/>
    <numFmt numFmtId="166" formatCode="#,##0.0\x_);\(#,##0.0\x\)"/>
    <numFmt numFmtId="167" formatCode="#,##0.0_);\(#,##0.0\)"/>
    <numFmt numFmtId="168" formatCode="0.0_);\(0.0\)"/>
    <numFmt numFmtId="169" formatCode="&quot;$&quot;#,##0.0_);\(&quot;$&quot;#,##0.0\)"/>
    <numFmt numFmtId="170" formatCode="0.0"/>
    <numFmt numFmtId="171" formatCode="0.0%"/>
    <numFmt numFmtId="172" formatCode="#,##0.000_);\(#,##0.000\)"/>
    <numFmt numFmtId="173" formatCode="&quot;$&quot;#,##0.00"/>
    <numFmt numFmtId="174" formatCode="&quot;$&quot;#,##0.000"/>
    <numFmt numFmtId="175" formatCode="#,##0.0_);[Red]\(#,##0.0\)"/>
    <numFmt numFmtId="176" formatCode="0.000_);\(0.000\)"/>
    <numFmt numFmtId="177" formatCode="#,##0.0"/>
    <numFmt numFmtId="178" formatCode="&quot;$&quot;#,##0.0"/>
    <numFmt numFmtId="179" formatCode="&quot;$&quot;#,##0.00000"/>
    <numFmt numFmtId="180" formatCode="_(* #,##0_);_(* \(#,##0\);_(* &quot;-&quot;??_);_(@_)"/>
    <numFmt numFmtId="181" formatCode="0.0&quot;x&quot;"/>
    <numFmt numFmtId="182" formatCode="_-* #,##0_-;\-* #,##0_-;_-* &quot;-&quot;??_-;_-@_-"/>
    <numFmt numFmtId="185" formatCode="#,##0.0000_);\(#,##0.0000\)"/>
    <numFmt numFmtId="186" formatCode="0.000%"/>
    <numFmt numFmtId="187" formatCode="0&quot; bps&quot;"/>
    <numFmt numFmtId="188" formatCode=";;"/>
    <numFmt numFmtId="189" formatCode="_(* #,##0.000_);_(* \(#,##0.000\);_(* &quot;-&quot;??_);_(@_)"/>
    <numFmt numFmtId="190" formatCode="_(* #,##0.0_);_(* \(#,##0.0\);_(* &quot;-&quot;??_);_(@_)"/>
    <numFmt numFmtId="191" formatCode="_(* #,##0.000_);_(* \(#,##0.000\);_(* &quot;-&quot;_);_(@_)"/>
    <numFmt numFmtId="192" formatCode="0.00_);\(0.00\)"/>
    <numFmt numFmtId="193" formatCode="0_);\(0\)"/>
    <numFmt numFmtId="208" formatCode="0.0000%"/>
    <numFmt numFmtId="209" formatCode="0.00000%"/>
    <numFmt numFmtId="211" formatCode="0%_);\(0%\)"/>
    <numFmt numFmtId="222" formatCode="mm/dd/yy\ hh:mm"/>
  </numFmts>
  <fonts count="112" x14ac:knownFonts="1">
    <font>
      <sz val="10"/>
      <name val="Arial"/>
    </font>
    <font>
      <sz val="11"/>
      <color theme="1"/>
      <name val="Calibri"/>
      <family val="2"/>
      <scheme val="minor"/>
    </font>
    <font>
      <sz val="10"/>
      <name val="Arial"/>
      <family val="2"/>
    </font>
    <font>
      <sz val="10"/>
      <name val="Arial"/>
      <family val="2"/>
    </font>
    <font>
      <u/>
      <sz val="10"/>
      <color indexed="12"/>
      <name val="Arial"/>
      <family val="2"/>
    </font>
    <font>
      <sz val="8"/>
      <name val="Arial"/>
      <family val="2"/>
    </font>
    <font>
      <sz val="10"/>
      <name val="Arial"/>
      <family val="2"/>
    </font>
    <font>
      <b/>
      <sz val="8"/>
      <color indexed="9"/>
      <name val="Arial"/>
      <family val="2"/>
    </font>
    <font>
      <sz val="8"/>
      <color indexed="12"/>
      <name val="Arial"/>
      <family val="2"/>
    </font>
    <font>
      <u/>
      <sz val="10"/>
      <color indexed="12"/>
      <name val="Arial"/>
      <family val="2"/>
    </font>
    <font>
      <sz val="8"/>
      <name val="Arial"/>
      <family val="2"/>
    </font>
    <font>
      <sz val="9"/>
      <name val="Times New Roman"/>
      <family val="1"/>
    </font>
    <font>
      <sz val="10"/>
      <name val="Times New Roman"/>
      <family val="1"/>
    </font>
    <font>
      <i/>
      <sz val="8"/>
      <name val="Arial"/>
      <family val="2"/>
    </font>
    <font>
      <sz val="10"/>
      <color indexed="8"/>
      <name val="Arial Narrow"/>
      <family val="2"/>
    </font>
    <font>
      <sz val="10"/>
      <name val="Arial Narrow"/>
      <family val="2"/>
    </font>
    <font>
      <b/>
      <sz val="18"/>
      <color indexed="9"/>
      <name val="Arial Narrow"/>
      <family val="2"/>
    </font>
    <font>
      <sz val="20"/>
      <color indexed="9"/>
      <name val="Arial Narrow"/>
      <family val="2"/>
    </font>
    <font>
      <b/>
      <sz val="14"/>
      <color indexed="9"/>
      <name val="Arial Narrow"/>
      <family val="2"/>
    </font>
    <font>
      <sz val="20"/>
      <name val="Arial Narrow"/>
      <family val="2"/>
    </font>
    <font>
      <b/>
      <sz val="12"/>
      <name val="Arial Narrow"/>
      <family val="2"/>
    </font>
    <font>
      <sz val="8"/>
      <color indexed="8"/>
      <name val="Times New Roman"/>
      <family val="1"/>
    </font>
    <font>
      <sz val="8"/>
      <name val="Times New Roman"/>
      <family val="1"/>
    </font>
    <font>
      <sz val="8"/>
      <color indexed="10"/>
      <name val="Times New Roman"/>
      <family val="1"/>
    </font>
    <font>
      <b/>
      <sz val="14"/>
      <color indexed="9"/>
      <name val="Times New Roman"/>
      <family val="1"/>
    </font>
    <font>
      <b/>
      <sz val="14"/>
      <name val="Times New Roman"/>
      <family val="1"/>
    </font>
    <font>
      <b/>
      <sz val="12"/>
      <name val="Times New Roman"/>
      <family val="1"/>
    </font>
    <font>
      <sz val="8"/>
      <color indexed="9"/>
      <name val="Times New Roman"/>
      <family val="1"/>
    </font>
    <font>
      <b/>
      <sz val="9"/>
      <name val="Times New Roman"/>
      <family val="1"/>
    </font>
    <font>
      <b/>
      <sz val="8"/>
      <name val="Times New Roman"/>
      <family val="1"/>
    </font>
    <font>
      <sz val="9"/>
      <name val="Times New Roman"/>
      <family val="1"/>
    </font>
    <font>
      <i/>
      <sz val="8"/>
      <name val="Times New Roman"/>
      <family val="1"/>
    </font>
    <font>
      <b/>
      <sz val="8"/>
      <color indexed="9"/>
      <name val="Times New Roman"/>
      <family val="1"/>
    </font>
    <font>
      <sz val="8"/>
      <color indexed="12"/>
      <name val="Times New Roman"/>
      <family val="1"/>
    </font>
    <font>
      <b/>
      <i/>
      <sz val="8"/>
      <name val="Arial"/>
      <family val="2"/>
    </font>
    <font>
      <b/>
      <sz val="8"/>
      <color indexed="12"/>
      <name val="Times New Roman"/>
      <family val="1"/>
    </font>
    <font>
      <b/>
      <sz val="8"/>
      <color indexed="8"/>
      <name val="Times New Roman"/>
      <family val="1"/>
    </font>
    <font>
      <i/>
      <sz val="8"/>
      <color indexed="8"/>
      <name val="Times New Roman"/>
      <family val="1"/>
    </font>
    <font>
      <i/>
      <sz val="8"/>
      <color indexed="17"/>
      <name val="Times New Roman"/>
      <family val="1"/>
    </font>
    <font>
      <i/>
      <sz val="8"/>
      <color indexed="12"/>
      <name val="Times New Roman"/>
      <family val="1"/>
    </font>
    <font>
      <b/>
      <sz val="8"/>
      <color indexed="10"/>
      <name val="Times New Roman"/>
      <family val="1"/>
    </font>
    <font>
      <b/>
      <i/>
      <sz val="8"/>
      <name val="Times New Roman"/>
      <family val="1"/>
    </font>
    <font>
      <b/>
      <sz val="8"/>
      <color indexed="8"/>
      <name val="Tahoma"/>
      <family val="2"/>
    </font>
    <font>
      <sz val="8"/>
      <color indexed="8"/>
      <name val="Tahoma"/>
      <family val="2"/>
    </font>
    <font>
      <b/>
      <u/>
      <sz val="8"/>
      <name val="Times New Roman"/>
      <family val="1"/>
    </font>
    <font>
      <i/>
      <sz val="8"/>
      <color indexed="12"/>
      <name val="Arial"/>
      <family val="2"/>
    </font>
    <font>
      <sz val="9"/>
      <name val="Arial"/>
      <family val="2"/>
    </font>
    <font>
      <b/>
      <u/>
      <sz val="8"/>
      <name val="Arial"/>
      <family val="2"/>
    </font>
    <font>
      <b/>
      <sz val="9"/>
      <name val="Arial"/>
      <family val="2"/>
    </font>
    <font>
      <u/>
      <sz val="8"/>
      <name val="Arial"/>
      <family val="2"/>
    </font>
    <font>
      <b/>
      <sz val="10"/>
      <name val="Arial"/>
      <family val="2"/>
    </font>
    <font>
      <b/>
      <sz val="10"/>
      <color indexed="9"/>
      <name val="Arial"/>
      <family val="2"/>
    </font>
    <font>
      <b/>
      <sz val="8"/>
      <name val="Arial"/>
      <family val="2"/>
    </font>
    <font>
      <sz val="10"/>
      <color indexed="9"/>
      <name val="Arial"/>
      <family val="2"/>
    </font>
    <font>
      <i/>
      <sz val="8"/>
      <color indexed="8"/>
      <name val="Arial"/>
      <family val="2"/>
    </font>
    <font>
      <sz val="8"/>
      <color indexed="12"/>
      <name val="Arial"/>
      <family val="2"/>
    </font>
    <font>
      <sz val="8"/>
      <color indexed="8"/>
      <name val="Arial"/>
      <family val="2"/>
    </font>
    <font>
      <b/>
      <sz val="8"/>
      <color indexed="12"/>
      <name val="Arial"/>
      <family val="2"/>
    </font>
    <font>
      <b/>
      <sz val="8"/>
      <color indexed="8"/>
      <name val="Arial"/>
      <family val="2"/>
    </font>
    <font>
      <b/>
      <sz val="8"/>
      <color indexed="12"/>
      <name val="Arial"/>
      <family val="2"/>
    </font>
    <font>
      <sz val="8"/>
      <color indexed="8"/>
      <name val="Arial"/>
      <family val="2"/>
    </font>
    <font>
      <sz val="8"/>
      <color indexed="17"/>
      <name val="Arial"/>
      <family val="2"/>
    </font>
    <font>
      <sz val="8"/>
      <color indexed="17"/>
      <name val="Times New Roman"/>
      <family val="1"/>
    </font>
    <font>
      <b/>
      <sz val="8"/>
      <color indexed="17"/>
      <name val="Arial"/>
      <family val="2"/>
    </font>
    <font>
      <i/>
      <sz val="8"/>
      <color indexed="17"/>
      <name val="Arial"/>
      <family val="2"/>
    </font>
    <font>
      <sz val="8"/>
      <color indexed="10"/>
      <name val="Arial"/>
      <family val="2"/>
    </font>
    <font>
      <i/>
      <sz val="8"/>
      <color indexed="10"/>
      <name val="Times New Roman"/>
      <family val="1"/>
    </font>
    <font>
      <u/>
      <sz val="8"/>
      <name val="Times New Roman"/>
      <family val="1"/>
    </font>
    <font>
      <u/>
      <sz val="8"/>
      <color indexed="10"/>
      <name val="Times New Roman"/>
      <family val="1"/>
    </font>
    <font>
      <u/>
      <sz val="8"/>
      <color indexed="8"/>
      <name val="Times New Roman"/>
      <family val="1"/>
    </font>
    <font>
      <b/>
      <u/>
      <sz val="8"/>
      <color indexed="10"/>
      <name val="Times New Roman"/>
      <family val="1"/>
    </font>
    <font>
      <u/>
      <sz val="8"/>
      <color indexed="12"/>
      <name val="Times New Roman"/>
      <family val="1"/>
    </font>
    <font>
      <b/>
      <sz val="7"/>
      <color indexed="8"/>
      <name val="Tahoma"/>
      <family val="2"/>
    </font>
    <font>
      <sz val="7"/>
      <color indexed="8"/>
      <name val="Tahoma"/>
      <family val="2"/>
    </font>
    <font>
      <b/>
      <sz val="14"/>
      <color indexed="9"/>
      <name val="Arial"/>
      <family val="2"/>
    </font>
    <font>
      <sz val="8"/>
      <color indexed="9"/>
      <name val="Arial"/>
      <family val="2"/>
    </font>
    <font>
      <u/>
      <sz val="8"/>
      <color indexed="12"/>
      <name val="Arial"/>
      <family val="2"/>
    </font>
    <font>
      <b/>
      <u/>
      <sz val="8"/>
      <color indexed="12"/>
      <name val="Arial"/>
      <family val="2"/>
    </font>
    <font>
      <sz val="8"/>
      <color indexed="48"/>
      <name val="Arial"/>
      <family val="2"/>
    </font>
    <font>
      <i/>
      <sz val="8"/>
      <color indexed="9"/>
      <name val="Arial"/>
      <family val="2"/>
    </font>
    <font>
      <sz val="6"/>
      <name val="Times New Roman"/>
      <family val="1"/>
    </font>
    <font>
      <sz val="11"/>
      <name val="Times New Roman"/>
      <family val="1"/>
    </font>
    <font>
      <sz val="10"/>
      <color indexed="12"/>
      <name val="Arial"/>
      <family val="2"/>
    </font>
    <font>
      <sz val="11"/>
      <name val="Arial"/>
      <family val="2"/>
    </font>
    <font>
      <sz val="8"/>
      <color indexed="81"/>
      <name val="Tahoma"/>
      <family val="2"/>
    </font>
    <font>
      <b/>
      <sz val="8"/>
      <color indexed="81"/>
      <name val="Tahoma"/>
      <family val="2"/>
    </font>
    <font>
      <i/>
      <sz val="10"/>
      <name val="Arial"/>
      <family val="2"/>
    </font>
    <font>
      <sz val="10"/>
      <name val="MS Sans Serif"/>
      <family val="2"/>
    </font>
    <font>
      <b/>
      <sz val="10"/>
      <color indexed="8"/>
      <name val="Times New Roman"/>
      <family val="1"/>
    </font>
    <font>
      <sz val="10"/>
      <color indexed="8"/>
      <name val="Times New Roman"/>
      <family val="1"/>
    </font>
    <font>
      <b/>
      <i/>
      <sz val="10"/>
      <name val="Arial"/>
      <family val="2"/>
    </font>
    <font>
      <sz val="10"/>
      <name val="Arial"/>
      <family val="2"/>
    </font>
    <font>
      <sz val="8"/>
      <name val="Arial"/>
      <family val="2"/>
    </font>
    <font>
      <sz val="9"/>
      <color indexed="81"/>
      <name val="Tahoma"/>
      <family val="2"/>
    </font>
    <font>
      <b/>
      <sz val="9"/>
      <color indexed="81"/>
      <name val="Tahoma"/>
      <family val="2"/>
    </font>
    <font>
      <sz val="8"/>
      <color indexed="62"/>
      <name val="Times New Roman"/>
      <family val="1"/>
    </font>
    <font>
      <sz val="8"/>
      <color rgb="FFFF0000"/>
      <name val="Arial"/>
      <family val="2"/>
    </font>
    <font>
      <b/>
      <i/>
      <sz val="10"/>
      <color rgb="FFFF0000"/>
      <name val="Arial"/>
      <family val="2"/>
    </font>
    <font>
      <i/>
      <sz val="8"/>
      <color rgb="FFFF0000"/>
      <name val="Arial"/>
      <family val="2"/>
    </font>
    <font>
      <sz val="8"/>
      <color rgb="FF0000FF"/>
      <name val="Times New Roman"/>
      <family val="1"/>
    </font>
    <font>
      <sz val="11"/>
      <color indexed="8"/>
      <name val="Calibri"/>
      <family val="2"/>
    </font>
    <font>
      <b/>
      <sz val="10"/>
      <color rgb="FFFF0000"/>
      <name val="Arial"/>
      <family val="2"/>
    </font>
    <font>
      <sz val="8"/>
      <color rgb="FF0000FF"/>
      <name val="Arial"/>
      <family val="2"/>
    </font>
    <font>
      <sz val="10"/>
      <color rgb="FFFF0000"/>
      <name val="Arial"/>
      <family val="2"/>
    </font>
    <font>
      <i/>
      <sz val="10"/>
      <color rgb="FFFF0000"/>
      <name val="Arial"/>
      <family val="2"/>
    </font>
    <font>
      <sz val="10"/>
      <name val="Courier"/>
      <family val="3"/>
    </font>
    <font>
      <sz val="10"/>
      <color rgb="FF000000"/>
      <name val="Arial"/>
      <family val="2"/>
    </font>
    <font>
      <b/>
      <sz val="12"/>
      <color rgb="FF000080"/>
      <name val="Arial"/>
      <family val="2"/>
    </font>
    <font>
      <sz val="14"/>
      <name val="Arial"/>
      <family val="2"/>
    </font>
    <font>
      <u/>
      <sz val="14"/>
      <name val="Arial"/>
      <family val="2"/>
    </font>
    <font>
      <b/>
      <u/>
      <sz val="14"/>
      <color indexed="10"/>
      <name val="Arial"/>
      <family val="2"/>
    </font>
    <font>
      <b/>
      <sz val="18"/>
      <name val="Arial"/>
      <family val="2"/>
    </font>
  </fonts>
  <fills count="13">
    <fill>
      <patternFill patternType="none"/>
    </fill>
    <fill>
      <patternFill patternType="gray125"/>
    </fill>
    <fill>
      <patternFill patternType="solid">
        <fgColor indexed="9"/>
        <bgColor indexed="64"/>
      </patternFill>
    </fill>
    <fill>
      <patternFill patternType="solid">
        <fgColor indexed="56"/>
        <bgColor indexed="64"/>
      </patternFill>
    </fill>
    <fill>
      <patternFill patternType="solid">
        <fgColor indexed="8"/>
        <bgColor indexed="64"/>
      </patternFill>
    </fill>
    <fill>
      <patternFill patternType="solid">
        <fgColor indexed="43"/>
        <bgColor indexed="64"/>
      </patternFill>
    </fill>
    <fill>
      <patternFill patternType="solid">
        <fgColor indexed="13"/>
        <bgColor indexed="64"/>
      </patternFill>
    </fill>
    <fill>
      <patternFill patternType="solid">
        <fgColor indexed="65"/>
        <bgColor indexed="64"/>
      </patternFill>
    </fill>
    <fill>
      <patternFill patternType="solid">
        <fgColor indexed="22"/>
        <bgColor indexed="64"/>
      </patternFill>
    </fill>
    <fill>
      <patternFill patternType="solid">
        <fgColor indexed="42"/>
        <bgColor indexed="64"/>
      </patternFill>
    </fill>
    <fill>
      <patternFill patternType="solid">
        <fgColor indexed="27"/>
        <bgColor indexed="64"/>
      </patternFill>
    </fill>
    <fill>
      <patternFill patternType="solid">
        <fgColor theme="0"/>
        <bgColor indexed="64"/>
      </patternFill>
    </fill>
    <fill>
      <patternFill patternType="solid">
        <fgColor rgb="FFFFC000"/>
        <bgColor indexed="64"/>
      </patternFill>
    </fill>
  </fills>
  <borders count="104">
    <border>
      <left/>
      <right/>
      <top/>
      <bottom/>
      <diagonal/>
    </border>
    <border>
      <left style="thin">
        <color indexed="64"/>
      </left>
      <right style="thin">
        <color indexed="64"/>
      </right>
      <top style="thin">
        <color indexed="64"/>
      </top>
      <bottom style="thin">
        <color indexed="64"/>
      </bottom>
      <diagonal/>
    </border>
    <border>
      <left/>
      <right/>
      <top/>
      <bottom style="thin">
        <color indexed="8"/>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top style="thin">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diagonal/>
    </border>
    <border>
      <left style="medium">
        <color indexed="64"/>
      </left>
      <right style="medium">
        <color indexed="64"/>
      </right>
      <top/>
      <bottom/>
      <diagonal/>
    </border>
    <border>
      <left style="medium">
        <color indexed="64"/>
      </left>
      <right/>
      <top/>
      <bottom style="thin">
        <color indexed="64"/>
      </bottom>
      <diagonal/>
    </border>
    <border>
      <left/>
      <right/>
      <top/>
      <bottom style="thin">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right/>
      <top/>
      <bottom style="hair">
        <color indexed="64"/>
      </bottom>
      <diagonal/>
    </border>
    <border>
      <left style="medium">
        <color indexed="64"/>
      </left>
      <right style="medium">
        <color indexed="64"/>
      </right>
      <top/>
      <bottom style="hair">
        <color indexed="64"/>
      </bottom>
      <diagonal/>
    </border>
    <border>
      <left style="medium">
        <color indexed="64"/>
      </left>
      <right/>
      <top style="hair">
        <color indexed="64"/>
      </top>
      <bottom/>
      <diagonal/>
    </border>
    <border>
      <left/>
      <right/>
      <top style="hair">
        <color indexed="64"/>
      </top>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thin">
        <color indexed="64"/>
      </left>
      <right style="thin">
        <color indexed="64"/>
      </right>
      <top/>
      <bottom/>
      <diagonal/>
    </border>
    <border>
      <left style="medium">
        <color indexed="8"/>
      </left>
      <right style="medium">
        <color indexed="64"/>
      </right>
      <top/>
      <bottom/>
      <diagonal/>
    </border>
    <border>
      <left style="medium">
        <color indexed="64"/>
      </left>
      <right style="medium">
        <color indexed="64"/>
      </right>
      <top style="medium">
        <color indexed="8"/>
      </top>
      <bottom/>
      <diagonal/>
    </border>
    <border>
      <left style="medium">
        <color indexed="64"/>
      </left>
      <right style="medium">
        <color indexed="64"/>
      </right>
      <top/>
      <bottom style="thin">
        <color indexed="8"/>
      </bottom>
      <diagonal/>
    </border>
    <border>
      <left style="medium">
        <color indexed="64"/>
      </left>
      <right/>
      <top/>
      <bottom style="thin">
        <color indexed="8"/>
      </bottom>
      <diagonal/>
    </border>
    <border>
      <left style="medium">
        <color indexed="64"/>
      </left>
      <right/>
      <top/>
      <bottom style="medium">
        <color indexed="8"/>
      </bottom>
      <diagonal/>
    </border>
    <border>
      <left/>
      <right/>
      <top/>
      <bottom style="medium">
        <color indexed="8"/>
      </bottom>
      <diagonal/>
    </border>
    <border>
      <left style="medium">
        <color indexed="64"/>
      </left>
      <right style="medium">
        <color indexed="64"/>
      </right>
      <top/>
      <bottom style="medium">
        <color indexed="8"/>
      </bottom>
      <diagonal/>
    </border>
    <border>
      <left style="medium">
        <color indexed="8"/>
      </left>
      <right/>
      <top/>
      <bottom/>
      <diagonal/>
    </border>
    <border>
      <left style="medium">
        <color indexed="64"/>
      </left>
      <right/>
      <top style="medium">
        <color indexed="8"/>
      </top>
      <bottom/>
      <diagonal/>
    </border>
    <border>
      <left/>
      <right style="medium">
        <color indexed="8"/>
      </right>
      <top style="medium">
        <color indexed="8"/>
      </top>
      <bottom/>
      <diagonal/>
    </border>
    <border>
      <left style="medium">
        <color indexed="8"/>
      </left>
      <right/>
      <top/>
      <bottom style="medium">
        <color indexed="8"/>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top/>
      <bottom style="hair">
        <color indexed="64"/>
      </bottom>
      <diagonal/>
    </border>
    <border>
      <left style="medium">
        <color indexed="64"/>
      </left>
      <right style="medium">
        <color indexed="64"/>
      </right>
      <top style="hair">
        <color indexed="64"/>
      </top>
      <bottom/>
      <diagonal/>
    </border>
    <border>
      <left style="thin">
        <color indexed="64"/>
      </left>
      <right style="medium">
        <color indexed="64"/>
      </right>
      <top/>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medium">
        <color indexed="64"/>
      </left>
      <right style="medium">
        <color indexed="64"/>
      </right>
      <top style="hair">
        <color indexed="64"/>
      </top>
      <bottom style="hair">
        <color indexed="64"/>
      </bottom>
      <diagonal/>
    </border>
    <border>
      <left style="thin">
        <color indexed="64"/>
      </left>
      <right style="medium">
        <color indexed="64"/>
      </right>
      <top style="hair">
        <color indexed="64"/>
      </top>
      <bottom style="hair">
        <color indexed="64"/>
      </bottom>
      <diagonal/>
    </border>
    <border>
      <left style="thin">
        <color indexed="64"/>
      </left>
      <right style="medium">
        <color indexed="64"/>
      </right>
      <top/>
      <bottom style="medium">
        <color indexed="64"/>
      </bottom>
      <diagonal/>
    </border>
    <border>
      <left style="thin">
        <color indexed="64"/>
      </left>
      <right/>
      <top/>
      <bottom/>
      <diagonal/>
    </border>
    <border>
      <left style="thin">
        <color indexed="64"/>
      </left>
      <right/>
      <top/>
      <bottom style="medium">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right style="medium">
        <color indexed="64"/>
      </right>
      <top style="medium">
        <color indexed="8"/>
      </top>
      <bottom/>
      <diagonal/>
    </border>
    <border>
      <left/>
      <right/>
      <top style="medium">
        <color indexed="8"/>
      </top>
      <bottom/>
      <diagonal/>
    </border>
    <border>
      <left style="thin">
        <color indexed="64"/>
      </left>
      <right style="thin">
        <color indexed="64"/>
      </right>
      <top/>
      <bottom style="thin">
        <color indexed="64"/>
      </bottom>
      <diagonal/>
    </border>
    <border>
      <left/>
      <right style="thin">
        <color indexed="64"/>
      </right>
      <top/>
      <bottom style="medium">
        <color indexed="64"/>
      </bottom>
      <diagonal/>
    </border>
    <border>
      <left/>
      <right style="thin">
        <color indexed="64"/>
      </right>
      <top/>
      <bottom/>
      <diagonal/>
    </border>
    <border>
      <left/>
      <right/>
      <top style="thin">
        <color indexed="64"/>
      </top>
      <bottom style="thin">
        <color indexed="64"/>
      </bottom>
      <diagonal/>
    </border>
    <border>
      <left/>
      <right style="medium">
        <color indexed="64"/>
      </right>
      <top/>
      <bottom style="hair">
        <color indexed="64"/>
      </bottom>
      <diagonal/>
    </border>
    <border>
      <left/>
      <right style="thin">
        <color indexed="64"/>
      </right>
      <top style="medium">
        <color indexed="64"/>
      </top>
      <bottom/>
      <diagonal/>
    </border>
    <border>
      <left style="medium">
        <color auto="1"/>
      </left>
      <right style="medium">
        <color auto="1"/>
      </right>
      <top/>
      <bottom/>
      <diagonal/>
    </border>
    <border>
      <left style="medium">
        <color indexed="64"/>
      </left>
      <right/>
      <top/>
      <bottom/>
      <diagonal/>
    </border>
    <border>
      <left/>
      <right style="medium">
        <color auto="1"/>
      </right>
      <top/>
      <bottom/>
      <diagonal/>
    </border>
    <border>
      <left style="medium">
        <color auto="1"/>
      </left>
      <right style="medium">
        <color auto="1"/>
      </right>
      <top style="medium">
        <color auto="1"/>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style="medium">
        <color indexed="64"/>
      </top>
      <bottom/>
      <diagonal/>
    </border>
    <border>
      <left style="thin">
        <color theme="0" tint="-0.249977111117893"/>
      </left>
      <right style="medium">
        <color indexed="64"/>
      </right>
      <top style="thin">
        <color theme="0" tint="-0.249977111117893"/>
      </top>
      <bottom style="thin">
        <color theme="0" tint="-0.249977111117893"/>
      </bottom>
      <diagonal/>
    </border>
    <border>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style="medium">
        <color indexed="64"/>
      </left>
      <right style="medium">
        <color indexed="64"/>
      </right>
      <top style="thin">
        <color theme="0" tint="-0.249977111117893"/>
      </top>
      <bottom style="thin">
        <color theme="0" tint="-0.249977111117893"/>
      </bottom>
      <diagonal/>
    </border>
    <border>
      <left/>
      <right/>
      <top/>
      <bottom style="medium">
        <color theme="0" tint="-0.249977111117893"/>
      </bottom>
      <diagonal/>
    </border>
    <border>
      <left style="medium">
        <color theme="0" tint="-0.249977111117893"/>
      </left>
      <right/>
      <top/>
      <bottom style="medium">
        <color theme="0" tint="-0.249977111117893"/>
      </bottom>
      <diagonal/>
    </border>
    <border>
      <left/>
      <right style="medium">
        <color indexed="64"/>
      </right>
      <top/>
      <bottom style="medium">
        <color theme="0" tint="-0.249977111117893"/>
      </bottom>
      <diagonal/>
    </border>
    <border>
      <left style="medium">
        <color auto="1"/>
      </left>
      <right style="medium">
        <color auto="1"/>
      </right>
      <top/>
      <bottom style="medium">
        <color theme="0" tint="-0.249977111117893"/>
      </bottom>
      <diagonal/>
    </border>
    <border>
      <left style="medium">
        <color theme="0" tint="-0.249977111117893"/>
      </left>
      <right/>
      <top style="medium">
        <color theme="0" tint="-0.249977111117893"/>
      </top>
      <bottom style="medium">
        <color theme="0" tint="-0.249977111117893"/>
      </bottom>
      <diagonal/>
    </border>
    <border>
      <left/>
      <right style="medium">
        <color indexed="64"/>
      </right>
      <top style="medium">
        <color theme="0" tint="-0.249977111117893"/>
      </top>
      <bottom style="medium">
        <color theme="0" tint="-0.249977111117893"/>
      </bottom>
      <diagonal/>
    </border>
    <border>
      <left/>
      <right/>
      <top style="medium">
        <color theme="0" tint="-0.249977111117893"/>
      </top>
      <bottom style="medium">
        <color theme="0" tint="-0.249977111117893"/>
      </bottom>
      <diagonal/>
    </border>
    <border>
      <left style="medium">
        <color indexed="64"/>
      </left>
      <right style="medium">
        <color indexed="64"/>
      </right>
      <top style="medium">
        <color theme="0" tint="-0.249977111117893"/>
      </top>
      <bottom style="medium">
        <color theme="0" tint="-0.249977111117893"/>
      </bottom>
      <diagonal/>
    </border>
    <border>
      <left/>
      <right/>
      <top style="medium">
        <color indexed="64"/>
      </top>
      <bottom/>
      <diagonal/>
    </border>
    <border>
      <left/>
      <right style="medium">
        <color auto="1"/>
      </right>
      <top style="thin">
        <color indexed="64"/>
      </top>
      <bottom/>
      <diagonal/>
    </border>
    <border>
      <left/>
      <right style="medium">
        <color auto="1"/>
      </right>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45">
    <xf numFmtId="37" fontId="0" fillId="0" borderId="0" applyNumberFormat="0" applyFont="0" applyFill="0" applyBorder="0" applyAlignment="0" applyProtection="0"/>
    <xf numFmtId="0" fontId="3" fillId="0" borderId="0"/>
    <xf numFmtId="0" fontId="6" fillId="0" borderId="0"/>
    <xf numFmtId="0" fontId="2" fillId="0" borderId="0"/>
    <xf numFmtId="0" fontId="87" fillId="0" borderId="0"/>
    <xf numFmtId="0" fontId="87" fillId="0" borderId="0"/>
    <xf numFmtId="0" fontId="91" fillId="2" borderId="0" applyNumberFormat="0" applyFont="0" applyBorder="0" applyAlignment="0" applyProtection="0"/>
    <xf numFmtId="0" fontId="91" fillId="2" borderId="0" applyNumberFormat="0" applyFont="0" applyBorder="0" applyAlignment="0" applyProtection="0"/>
    <xf numFmtId="0" fontId="3" fillId="2" borderId="0" applyNumberFormat="0" applyFont="0" applyBorder="0" applyAlignment="0" applyProtection="0"/>
    <xf numFmtId="0" fontId="7" fillId="4" borderId="0" applyNumberFormat="0" applyBorder="0" applyAlignment="0" applyProtection="0"/>
    <xf numFmtId="0" fontId="3" fillId="2" borderId="0" applyNumberFormat="0" applyFont="0" applyBorder="0" applyAlignment="0" applyProtection="0"/>
    <xf numFmtId="0" fontId="8" fillId="0" borderId="0" applyNumberFormat="0" applyFill="0" applyBorder="0" applyAlignment="0"/>
    <xf numFmtId="0" fontId="88" fillId="0" borderId="0"/>
    <xf numFmtId="43" fontId="91" fillId="0" borderId="0" applyFont="0" applyFill="0" applyBorder="0" applyAlignment="0" applyProtection="0"/>
    <xf numFmtId="43" fontId="3" fillId="0" borderId="0" applyFont="0" applyFill="0" applyBorder="0" applyAlignment="0" applyProtection="0"/>
    <xf numFmtId="44" fontId="91" fillId="0" borderId="0" applyFont="0" applyFill="0" applyBorder="0" applyAlignment="0" applyProtection="0"/>
    <xf numFmtId="165" fontId="91" fillId="0" borderId="0" applyFont="0" applyFill="0" applyBorder="0" applyAlignment="0" applyProtection="0"/>
    <xf numFmtId="0" fontId="9" fillId="0" borderId="0" applyNumberFormat="0" applyFill="0" applyBorder="0" applyAlignment="0" applyProtection="0"/>
    <xf numFmtId="0" fontId="8" fillId="5" borderId="1" applyNumberFormat="0" applyAlignment="0" applyProtection="0"/>
    <xf numFmtId="0" fontId="2" fillId="5" borderId="0" applyNumberFormat="0" applyFont="0" applyBorder="0" applyAlignment="0" applyProtection="0"/>
    <xf numFmtId="166" fontId="10" fillId="0" borderId="0" applyFill="0" applyBorder="0" applyAlignment="0"/>
    <xf numFmtId="37" fontId="3" fillId="0" borderId="0" applyFont="0" applyFill="0" applyBorder="0" applyProtection="0"/>
    <xf numFmtId="0" fontId="6" fillId="0" borderId="0"/>
    <xf numFmtId="167" fontId="3" fillId="0" borderId="0" applyFill="0" applyBorder="0" applyAlignment="0" applyProtection="0"/>
    <xf numFmtId="0" fontId="3" fillId="0" borderId="0"/>
    <xf numFmtId="37" fontId="5" fillId="0" borderId="0" applyFill="0" applyBorder="0" applyAlignment="0" applyProtection="0"/>
    <xf numFmtId="168" fontId="10" fillId="0" borderId="0"/>
    <xf numFmtId="0" fontId="30" fillId="0" borderId="0">
      <alignment vertical="center"/>
    </xf>
    <xf numFmtId="10" fontId="13" fillId="0" borderId="0" applyFill="0" applyBorder="0"/>
    <xf numFmtId="9" fontId="3" fillId="0" borderId="0" applyFont="0" applyFill="0" applyBorder="0" applyAlignment="0" applyProtection="0"/>
    <xf numFmtId="9" fontId="91" fillId="0" borderId="0" applyFont="0" applyFill="0" applyBorder="0" applyAlignment="0" applyProtection="0"/>
    <xf numFmtId="9" fontId="91" fillId="0" borderId="0" applyFont="0" applyFill="0" applyBorder="0" applyAlignment="0" applyProtection="0"/>
    <xf numFmtId="0" fontId="89" fillId="0" borderId="0"/>
    <xf numFmtId="0" fontId="89" fillId="0" borderId="2">
      <alignment horizontal="centerContinuous"/>
    </xf>
    <xf numFmtId="0" fontId="31" fillId="0" borderId="2"/>
    <xf numFmtId="0" fontId="2" fillId="0" borderId="0"/>
    <xf numFmtId="0" fontId="2" fillId="5" borderId="0" applyNumberFormat="0" applyFont="0" applyBorder="0" applyAlignment="0" applyProtection="0"/>
    <xf numFmtId="0" fontId="1" fillId="0" borderId="0"/>
    <xf numFmtId="44" fontId="100" fillId="0" borderId="0" applyFont="0" applyFill="0" applyBorder="0" applyAlignment="0" applyProtection="0"/>
    <xf numFmtId="43" fontId="100" fillId="0" borderId="0" applyFont="0" applyFill="0" applyBorder="0" applyAlignment="0" applyProtection="0"/>
    <xf numFmtId="0" fontId="2" fillId="0" borderId="0"/>
    <xf numFmtId="0" fontId="87" fillId="0" borderId="0"/>
    <xf numFmtId="44" fontId="2" fillId="0" borderId="0" applyFont="0" applyFill="0" applyBorder="0" applyAlignment="0" applyProtection="0"/>
    <xf numFmtId="0" fontId="2" fillId="0" borderId="0"/>
    <xf numFmtId="0" fontId="105" fillId="0" borderId="0"/>
  </cellStyleXfs>
  <cellXfs count="3274">
    <xf numFmtId="37" fontId="5" fillId="2" borderId="0" xfId="0" applyFont="1" applyFill="1"/>
    <xf numFmtId="10" fontId="23" fillId="2" borderId="9" xfId="6" applyNumberFormat="1" applyFont="1" applyFill="1" applyBorder="1"/>
    <xf numFmtId="0" fontId="14" fillId="3" borderId="3" xfId="22" applyFont="1" applyFill="1" applyBorder="1"/>
    <xf numFmtId="0" fontId="15" fillId="3" borderId="4" xfId="22" applyFont="1" applyFill="1" applyBorder="1" applyAlignment="1">
      <alignment horizontal="left"/>
    </xf>
    <xf numFmtId="0" fontId="15" fillId="3" borderId="4" xfId="22" applyFont="1" applyFill="1" applyBorder="1"/>
    <xf numFmtId="0" fontId="16" fillId="3" borderId="0" xfId="22" applyFont="1" applyFill="1" applyBorder="1" applyAlignment="1">
      <alignment horizontal="left"/>
    </xf>
    <xf numFmtId="0" fontId="15" fillId="3" borderId="0" xfId="22" applyFont="1" applyFill="1" applyBorder="1"/>
    <xf numFmtId="0" fontId="18" fillId="3" borderId="0" xfId="22" applyFont="1" applyFill="1" applyBorder="1" applyAlignment="1">
      <alignment horizontal="left"/>
    </xf>
    <xf numFmtId="0" fontId="18" fillId="3" borderId="0" xfId="22" applyFont="1" applyFill="1" applyBorder="1"/>
    <xf numFmtId="0" fontId="15" fillId="2" borderId="0" xfId="22" applyFont="1" applyFill="1" applyBorder="1"/>
    <xf numFmtId="0" fontId="20" fillId="2" borderId="0" xfId="22" applyFont="1" applyFill="1" applyBorder="1" applyAlignment="1">
      <alignment horizontal="left"/>
    </xf>
    <xf numFmtId="0" fontId="4" fillId="2" borderId="0" xfId="17" applyNumberFormat="1" applyFont="1" applyFill="1" applyBorder="1" applyAlignment="1">
      <alignment horizontal="left"/>
    </xf>
    <xf numFmtId="0" fontId="21" fillId="7" borderId="0" xfId="6" applyNumberFormat="1" applyFont="1" applyFill="1"/>
    <xf numFmtId="0" fontId="22" fillId="2" borderId="0" xfId="6" applyNumberFormat="1" applyFont="1" applyFill="1"/>
    <xf numFmtId="0" fontId="22" fillId="2" borderId="6" xfId="6" applyNumberFormat="1" applyFont="1" applyFill="1" applyBorder="1"/>
    <xf numFmtId="0" fontId="22" fillId="2" borderId="0" xfId="6" applyNumberFormat="1" applyFont="1" applyFill="1" applyAlignment="1">
      <alignment wrapText="1"/>
    </xf>
    <xf numFmtId="0" fontId="22" fillId="7" borderId="0" xfId="6" applyNumberFormat="1" applyFont="1" applyFill="1"/>
    <xf numFmtId="0" fontId="22" fillId="8" borderId="0" xfId="6" applyNumberFormat="1" applyFont="1" applyFill="1"/>
    <xf numFmtId="0" fontId="23" fillId="7" borderId="0" xfId="6" applyNumberFormat="1" applyFont="1" applyFill="1"/>
    <xf numFmtId="37" fontId="24" fillId="3" borderId="3" xfId="0" applyFont="1" applyFill="1" applyBorder="1" applyAlignment="1">
      <alignment wrapText="1"/>
    </xf>
    <xf numFmtId="0" fontId="25" fillId="2" borderId="4" xfId="6" applyNumberFormat="1" applyFont="1" applyFill="1" applyBorder="1"/>
    <xf numFmtId="0" fontId="26" fillId="2" borderId="4" xfId="6" applyNumberFormat="1" applyFont="1" applyFill="1" applyBorder="1"/>
    <xf numFmtId="0" fontId="23" fillId="3" borderId="4" xfId="6" applyNumberFormat="1" applyFont="1" applyFill="1" applyBorder="1"/>
    <xf numFmtId="169" fontId="23" fillId="3" borderId="4" xfId="6" applyNumberFormat="1" applyFont="1" applyFill="1" applyBorder="1"/>
    <xf numFmtId="10" fontId="23" fillId="3" borderId="4" xfId="6" applyNumberFormat="1" applyFont="1" applyFill="1" applyBorder="1"/>
    <xf numFmtId="170" fontId="23" fillId="3" borderId="4" xfId="6" applyNumberFormat="1" applyFont="1" applyFill="1" applyBorder="1"/>
    <xf numFmtId="171" fontId="23" fillId="3" borderId="4" xfId="6" applyNumberFormat="1" applyFont="1" applyFill="1" applyBorder="1"/>
    <xf numFmtId="0" fontId="22" fillId="3" borderId="4" xfId="6" applyNumberFormat="1" applyFont="1" applyFill="1" applyBorder="1"/>
    <xf numFmtId="1" fontId="22" fillId="3" borderId="4" xfId="6" applyNumberFormat="1" applyFont="1" applyFill="1" applyBorder="1"/>
    <xf numFmtId="1" fontId="22" fillId="3" borderId="4" xfId="6" applyNumberFormat="1" applyFont="1" applyFill="1" applyBorder="1" applyAlignment="1">
      <alignment wrapText="1"/>
    </xf>
    <xf numFmtId="8" fontId="22" fillId="3" borderId="4" xfId="6" applyNumberFormat="1" applyFont="1" applyFill="1" applyBorder="1"/>
    <xf numFmtId="8" fontId="23" fillId="3" borderId="4" xfId="6" applyNumberFormat="1" applyFont="1" applyFill="1" applyBorder="1"/>
    <xf numFmtId="37" fontId="27" fillId="3" borderId="8" xfId="0" applyFont="1" applyFill="1" applyBorder="1" applyAlignment="1">
      <alignment wrapText="1"/>
    </xf>
    <xf numFmtId="0" fontId="22" fillId="2" borderId="9" xfId="6" applyNumberFormat="1" applyFont="1" applyFill="1" applyBorder="1"/>
    <xf numFmtId="0" fontId="22" fillId="3" borderId="9" xfId="6" applyNumberFormat="1" applyFont="1" applyFill="1" applyBorder="1"/>
    <xf numFmtId="0" fontId="22" fillId="3" borderId="9" xfId="6" applyNumberFormat="1" applyFont="1" applyFill="1" applyBorder="1" applyAlignment="1">
      <alignment horizontal="left"/>
    </xf>
    <xf numFmtId="0" fontId="22" fillId="3" borderId="9" xfId="6" applyNumberFormat="1" applyFont="1" applyFill="1" applyBorder="1" applyAlignment="1">
      <alignment horizontal="right"/>
    </xf>
    <xf numFmtId="169" fontId="22" fillId="3" borderId="9" xfId="6" applyNumberFormat="1" applyFont="1" applyFill="1" applyBorder="1"/>
    <xf numFmtId="1" fontId="22" fillId="3" borderId="9" xfId="6" applyNumberFormat="1" applyFont="1" applyFill="1" applyBorder="1"/>
    <xf numFmtId="1" fontId="22" fillId="3" borderId="9" xfId="6" applyNumberFormat="1" applyFont="1" applyFill="1" applyBorder="1" applyAlignment="1">
      <alignment wrapText="1"/>
    </xf>
    <xf numFmtId="2" fontId="22" fillId="3" borderId="9" xfId="6" applyNumberFormat="1" applyFont="1" applyFill="1" applyBorder="1"/>
    <xf numFmtId="2" fontId="22" fillId="3" borderId="9" xfId="6" applyNumberFormat="1" applyFont="1" applyFill="1" applyBorder="1" applyAlignment="1">
      <alignment horizontal="left"/>
    </xf>
    <xf numFmtId="37" fontId="27" fillId="7" borderId="0" xfId="0" applyFont="1" applyFill="1" applyAlignment="1">
      <alignment wrapText="1"/>
    </xf>
    <xf numFmtId="0" fontId="22" fillId="7" borderId="0" xfId="6" applyNumberFormat="1" applyFont="1" applyFill="1" applyBorder="1"/>
    <xf numFmtId="17" fontId="22" fillId="7" borderId="0" xfId="0" applyNumberFormat="1" applyFont="1" applyFill="1" applyAlignment="1">
      <alignment horizontal="center"/>
    </xf>
    <xf numFmtId="37" fontId="28" fillId="8" borderId="3" xfId="0" applyFont="1" applyFill="1" applyBorder="1" applyAlignment="1">
      <alignment horizontal="left" wrapText="1"/>
    </xf>
    <xf numFmtId="37" fontId="29" fillId="4" borderId="0" xfId="0" applyFont="1" applyFill="1"/>
    <xf numFmtId="37" fontId="29" fillId="8" borderId="3" xfId="0" applyFont="1" applyFill="1" applyBorder="1" applyAlignment="1">
      <alignment horizontal="centerContinuous"/>
    </xf>
    <xf numFmtId="37" fontId="29" fillId="8" borderId="4" xfId="0" applyFont="1" applyFill="1" applyBorder="1" applyAlignment="1">
      <alignment horizontal="centerContinuous"/>
    </xf>
    <xf numFmtId="37" fontId="22" fillId="8" borderId="11" xfId="0" applyFont="1" applyFill="1" applyBorder="1"/>
    <xf numFmtId="37" fontId="30" fillId="8" borderId="8" xfId="0" quotePrefix="1" applyFont="1" applyFill="1" applyBorder="1" applyAlignment="1">
      <alignment wrapText="1"/>
    </xf>
    <xf numFmtId="167" fontId="29" fillId="2" borderId="12" xfId="7" applyNumberFormat="1" applyFont="1" applyFill="1" applyBorder="1" applyAlignment="1">
      <alignment horizontal="right"/>
    </xf>
    <xf numFmtId="167" fontId="29" fillId="2" borderId="0" xfId="6" applyNumberFormat="1" applyFont="1" applyFill="1" applyAlignment="1">
      <alignment horizontal="right"/>
    </xf>
    <xf numFmtId="37" fontId="29" fillId="8" borderId="13" xfId="0" quotePrefix="1" applyFont="1" applyFill="1" applyBorder="1" applyAlignment="1">
      <alignment horizontal="center"/>
    </xf>
    <xf numFmtId="37" fontId="29" fillId="8" borderId="14" xfId="0" quotePrefix="1" applyFont="1" applyFill="1" applyBorder="1" applyAlignment="1">
      <alignment horizontal="center"/>
    </xf>
    <xf numFmtId="37" fontId="29" fillId="8" borderId="15" xfId="0" applyFont="1" applyFill="1" applyBorder="1" applyAlignment="1">
      <alignment horizontal="center"/>
    </xf>
    <xf numFmtId="37" fontId="29" fillId="8" borderId="15" xfId="0" quotePrefix="1" applyFont="1" applyFill="1" applyBorder="1" applyAlignment="1">
      <alignment horizontal="center"/>
    </xf>
    <xf numFmtId="167" fontId="22" fillId="7" borderId="0" xfId="6" applyNumberFormat="1" applyFont="1" applyFill="1"/>
    <xf numFmtId="167" fontId="22" fillId="2" borderId="5" xfId="0" applyNumberFormat="1" applyFont="1" applyFill="1" applyBorder="1"/>
    <xf numFmtId="167" fontId="22" fillId="2" borderId="0" xfId="0" applyNumberFormat="1" applyFont="1" applyFill="1"/>
    <xf numFmtId="167" fontId="33" fillId="2" borderId="0" xfId="0" applyNumberFormat="1" applyFont="1" applyFill="1"/>
    <xf numFmtId="167" fontId="21" fillId="2" borderId="17" xfId="0" applyNumberFormat="1" applyFont="1" applyFill="1" applyBorder="1"/>
    <xf numFmtId="167" fontId="21" fillId="2" borderId="0" xfId="0" applyNumberFormat="1" applyFont="1" applyFill="1"/>
    <xf numFmtId="167" fontId="33" fillId="2" borderId="17" xfId="0" applyNumberFormat="1" applyFont="1" applyFill="1" applyBorder="1"/>
    <xf numFmtId="167" fontId="22" fillId="7" borderId="0" xfId="6" applyNumberFormat="1" applyFont="1" applyFill="1" applyBorder="1"/>
    <xf numFmtId="167" fontId="22" fillId="2" borderId="18" xfId="0" applyNumberFormat="1" applyFont="1" applyFill="1" applyBorder="1"/>
    <xf numFmtId="167" fontId="22" fillId="2" borderId="19" xfId="0" applyNumberFormat="1" applyFont="1" applyFill="1" applyBorder="1"/>
    <xf numFmtId="167" fontId="33" fillId="2" borderId="19" xfId="0" applyNumberFormat="1" applyFont="1" applyFill="1" applyBorder="1"/>
    <xf numFmtId="167" fontId="21" fillId="2" borderId="20" xfId="0" applyNumberFormat="1" applyFont="1" applyFill="1" applyBorder="1"/>
    <xf numFmtId="167" fontId="21" fillId="2" borderId="19" xfId="0" applyNumberFormat="1" applyFont="1" applyFill="1" applyBorder="1"/>
    <xf numFmtId="167" fontId="33" fillId="2" borderId="20" xfId="0" applyNumberFormat="1" applyFont="1" applyFill="1" applyBorder="1"/>
    <xf numFmtId="167" fontId="29" fillId="7" borderId="0" xfId="6" applyNumberFormat="1" applyFont="1" applyFill="1"/>
    <xf numFmtId="167" fontId="29" fillId="2" borderId="5" xfId="0" applyNumberFormat="1" applyFont="1" applyFill="1" applyBorder="1"/>
    <xf numFmtId="167" fontId="29" fillId="2" borderId="0" xfId="0" applyNumberFormat="1" applyFont="1" applyFill="1"/>
    <xf numFmtId="167" fontId="35" fillId="2" borderId="17" xfId="0" applyNumberFormat="1" applyFont="1" applyFill="1" applyBorder="1"/>
    <xf numFmtId="167" fontId="36" fillId="2" borderId="0" xfId="0" applyNumberFormat="1" applyFont="1" applyFill="1"/>
    <xf numFmtId="167" fontId="36" fillId="2" borderId="17" xfId="0" applyNumberFormat="1" applyFont="1" applyFill="1" applyBorder="1"/>
    <xf numFmtId="167" fontId="29" fillId="7" borderId="0" xfId="6" applyNumberFormat="1" applyFont="1" applyFill="1" applyBorder="1"/>
    <xf numFmtId="167" fontId="22" fillId="7" borderId="0" xfId="0" applyNumberFormat="1" applyFont="1" applyFill="1"/>
    <xf numFmtId="167" fontId="22" fillId="8" borderId="0" xfId="0" applyNumberFormat="1" applyFont="1" applyFill="1"/>
    <xf numFmtId="167" fontId="29" fillId="7" borderId="0" xfId="0" applyNumberFormat="1" applyFont="1" applyFill="1"/>
    <xf numFmtId="167" fontId="29" fillId="2" borderId="18" xfId="0" applyNumberFormat="1" applyFont="1" applyFill="1" applyBorder="1"/>
    <xf numFmtId="167" fontId="29" fillId="2" borderId="19" xfId="0" applyNumberFormat="1" applyFont="1" applyFill="1" applyBorder="1"/>
    <xf numFmtId="167" fontId="36" fillId="2" borderId="19" xfId="0" applyNumberFormat="1" applyFont="1" applyFill="1" applyBorder="1"/>
    <xf numFmtId="167" fontId="36" fillId="2" borderId="20" xfId="0" applyNumberFormat="1" applyFont="1" applyFill="1" applyBorder="1"/>
    <xf numFmtId="172" fontId="22" fillId="7" borderId="0" xfId="0" applyNumberFormat="1" applyFont="1" applyFill="1"/>
    <xf numFmtId="167" fontId="22" fillId="2" borderId="17" xfId="0" applyNumberFormat="1" applyFont="1" applyFill="1" applyBorder="1"/>
    <xf numFmtId="167" fontId="31" fillId="7" borderId="0" xfId="0" applyNumberFormat="1" applyFont="1" applyFill="1"/>
    <xf numFmtId="167" fontId="31" fillId="2" borderId="5" xfId="0" applyNumberFormat="1" applyFont="1" applyFill="1" applyBorder="1"/>
    <xf numFmtId="167" fontId="37" fillId="2" borderId="17" xfId="0" applyNumberFormat="1" applyFont="1" applyFill="1" applyBorder="1"/>
    <xf numFmtId="167" fontId="22" fillId="2" borderId="20" xfId="0" applyNumberFormat="1" applyFont="1" applyFill="1" applyBorder="1"/>
    <xf numFmtId="167" fontId="21" fillId="7" borderId="0" xfId="0" applyNumberFormat="1" applyFont="1" applyFill="1"/>
    <xf numFmtId="167" fontId="38" fillId="7" borderId="0" xfId="0" applyNumberFormat="1" applyFont="1" applyFill="1"/>
    <xf numFmtId="167" fontId="39" fillId="2" borderId="17" xfId="0" applyNumberFormat="1" applyFont="1" applyFill="1" applyBorder="1"/>
    <xf numFmtId="167" fontId="23" fillId="7" borderId="0" xfId="0" applyNumberFormat="1" applyFont="1" applyFill="1"/>
    <xf numFmtId="167" fontId="21" fillId="2" borderId="22" xfId="0" applyNumberFormat="1" applyFont="1" applyFill="1" applyBorder="1"/>
    <xf numFmtId="167" fontId="36" fillId="2" borderId="6" xfId="0" applyNumberFormat="1" applyFont="1" applyFill="1" applyBorder="1"/>
    <xf numFmtId="167" fontId="36" fillId="2" borderId="23" xfId="0" applyNumberFormat="1" applyFont="1" applyFill="1" applyBorder="1"/>
    <xf numFmtId="0" fontId="22" fillId="2" borderId="5" xfId="7" applyNumberFormat="1" applyFont="1" applyFill="1" applyBorder="1"/>
    <xf numFmtId="0" fontId="22" fillId="2" borderId="0" xfId="7" applyNumberFormat="1" applyFont="1" applyFill="1" applyBorder="1"/>
    <xf numFmtId="167" fontId="22" fillId="2" borderId="0" xfId="7" applyNumberFormat="1" applyFont="1" applyFill="1" applyBorder="1" applyAlignment="1">
      <alignment horizontal="right"/>
    </xf>
    <xf numFmtId="167" fontId="22" fillId="2" borderId="17" xfId="7" applyNumberFormat="1" applyFont="1" applyFill="1" applyBorder="1" applyAlignment="1">
      <alignment horizontal="right"/>
    </xf>
    <xf numFmtId="0" fontId="22" fillId="2" borderId="0" xfId="7" applyNumberFormat="1" applyFont="1" applyFill="1"/>
    <xf numFmtId="0" fontId="29" fillId="7" borderId="0" xfId="6" applyNumberFormat="1" applyFont="1" applyFill="1"/>
    <xf numFmtId="0" fontId="29" fillId="2" borderId="5" xfId="7" applyNumberFormat="1" applyFont="1" applyFill="1" applyBorder="1"/>
    <xf numFmtId="0" fontId="29" fillId="2" borderId="0" xfId="7" applyNumberFormat="1" applyFont="1" applyFill="1" applyBorder="1"/>
    <xf numFmtId="8" fontId="29" fillId="2" borderId="0" xfId="7" applyNumberFormat="1" applyFont="1" applyFill="1" applyAlignment="1">
      <alignment horizontal="right"/>
    </xf>
    <xf numFmtId="8" fontId="36" fillId="2" borderId="17" xfId="7" applyNumberFormat="1" applyFont="1" applyFill="1" applyBorder="1"/>
    <xf numFmtId="8" fontId="36" fillId="2" borderId="0" xfId="7" applyNumberFormat="1" applyFont="1" applyFill="1"/>
    <xf numFmtId="173" fontId="29" fillId="7" borderId="0" xfId="6" applyNumberFormat="1" applyFont="1" applyFill="1"/>
    <xf numFmtId="173" fontId="29" fillId="2" borderId="5" xfId="7" applyNumberFormat="1" applyFont="1" applyFill="1" applyBorder="1"/>
    <xf numFmtId="173" fontId="29" fillId="2" borderId="0" xfId="7" applyNumberFormat="1" applyFont="1" applyFill="1" applyBorder="1"/>
    <xf numFmtId="8" fontId="36" fillId="2" borderId="17" xfId="7" applyNumberFormat="1" applyFont="1" applyFill="1" applyBorder="1" applyAlignment="1">
      <alignment horizontal="right"/>
    </xf>
    <xf numFmtId="8" fontId="36" fillId="2" borderId="0" xfId="7" applyNumberFormat="1" applyFont="1" applyFill="1" applyAlignment="1">
      <alignment horizontal="right"/>
    </xf>
    <xf numFmtId="173" fontId="22" fillId="7" borderId="0" xfId="6" applyNumberFormat="1" applyFont="1" applyFill="1"/>
    <xf numFmtId="173" fontId="22" fillId="2" borderId="5" xfId="7" applyNumberFormat="1" applyFont="1" applyFill="1" applyBorder="1"/>
    <xf numFmtId="173" fontId="22" fillId="2" borderId="0" xfId="7" applyNumberFormat="1" applyFont="1" applyFill="1" applyBorder="1"/>
    <xf numFmtId="173" fontId="22" fillId="2" borderId="17" xfId="7" applyNumberFormat="1" applyFont="1" applyFill="1" applyBorder="1"/>
    <xf numFmtId="8" fontId="22" fillId="2" borderId="0" xfId="7" applyNumberFormat="1" applyFont="1" applyFill="1" applyBorder="1"/>
    <xf numFmtId="173" fontId="29" fillId="2" borderId="0" xfId="7" applyNumberFormat="1" applyFont="1" applyFill="1" applyAlignment="1">
      <alignment horizontal="right"/>
    </xf>
    <xf numFmtId="173" fontId="36" fillId="2" borderId="0" xfId="7" applyNumberFormat="1" applyFont="1" applyFill="1"/>
    <xf numFmtId="171" fontId="31" fillId="7" borderId="0" xfId="6" applyNumberFormat="1" applyFont="1" applyFill="1"/>
    <xf numFmtId="171" fontId="31" fillId="2" borderId="8" xfId="7" applyNumberFormat="1" applyFont="1" applyFill="1" applyBorder="1" applyAlignment="1">
      <alignment horizontal="left" indent="1"/>
    </xf>
    <xf numFmtId="171" fontId="31" fillId="2" borderId="9" xfId="7" applyNumberFormat="1" applyFont="1" applyFill="1" applyBorder="1" applyAlignment="1">
      <alignment horizontal="left" indent="1"/>
    </xf>
    <xf numFmtId="171" fontId="31" fillId="2" borderId="9" xfId="7" applyNumberFormat="1" applyFont="1" applyFill="1" applyBorder="1"/>
    <xf numFmtId="171" fontId="31" fillId="2" borderId="9" xfId="7" applyNumberFormat="1" applyFont="1" applyFill="1" applyBorder="1" applyAlignment="1">
      <alignment horizontal="right"/>
    </xf>
    <xf numFmtId="171" fontId="31" fillId="2" borderId="15" xfId="7" applyNumberFormat="1" applyFont="1" applyFill="1" applyBorder="1"/>
    <xf numFmtId="171" fontId="37" fillId="2" borderId="15" xfId="7" applyNumberFormat="1" applyFont="1" applyFill="1" applyBorder="1"/>
    <xf numFmtId="171" fontId="37" fillId="2" borderId="9" xfId="7" applyNumberFormat="1" applyFont="1" applyFill="1" applyBorder="1"/>
    <xf numFmtId="0" fontId="22" fillId="2" borderId="9" xfId="7" applyNumberFormat="1" applyFont="1" applyFill="1" applyBorder="1"/>
    <xf numFmtId="171" fontId="22" fillId="2" borderId="9" xfId="7" applyNumberFormat="1" applyFont="1" applyFill="1" applyBorder="1"/>
    <xf numFmtId="0" fontId="40" fillId="7" borderId="0" xfId="6" applyNumberFormat="1" applyFont="1" applyFill="1"/>
    <xf numFmtId="0" fontId="29" fillId="9" borderId="5" xfId="7" applyNumberFormat="1" applyFont="1" applyFill="1" applyBorder="1"/>
    <xf numFmtId="0" fontId="29" fillId="9" borderId="0" xfId="7" applyNumberFormat="1" applyFont="1" applyFill="1"/>
    <xf numFmtId="43" fontId="40" fillId="9" borderId="0" xfId="7" applyNumberFormat="1" applyFont="1" applyFill="1"/>
    <xf numFmtId="8" fontId="29" fillId="9" borderId="0" xfId="7" applyNumberFormat="1" applyFont="1" applyFill="1" applyAlignment="1">
      <alignment horizontal="right"/>
    </xf>
    <xf numFmtId="8" fontId="29" fillId="9" borderId="17" xfId="7" applyNumberFormat="1" applyFont="1" applyFill="1" applyBorder="1"/>
    <xf numFmtId="8" fontId="29" fillId="9" borderId="0" xfId="7" applyNumberFormat="1" applyFont="1" applyFill="1"/>
    <xf numFmtId="8" fontId="29" fillId="9" borderId="15" xfId="7" applyNumberFormat="1" applyFont="1" applyFill="1" applyBorder="1"/>
    <xf numFmtId="0" fontId="29" fillId="9" borderId="13" xfId="7" applyNumberFormat="1" applyFont="1" applyFill="1" applyBorder="1"/>
    <xf numFmtId="0" fontId="29" fillId="9" borderId="14" xfId="7" applyNumberFormat="1" applyFont="1" applyFill="1" applyBorder="1"/>
    <xf numFmtId="43" fontId="40" fillId="9" borderId="14" xfId="7" applyNumberFormat="1" applyFont="1" applyFill="1" applyBorder="1"/>
    <xf numFmtId="8" fontId="29" fillId="9" borderId="14" xfId="7" applyNumberFormat="1" applyFont="1" applyFill="1" applyBorder="1" applyAlignment="1">
      <alignment horizontal="right"/>
    </xf>
    <xf numFmtId="8" fontId="29" fillId="9" borderId="24" xfId="7" applyNumberFormat="1" applyFont="1" applyFill="1" applyBorder="1"/>
    <xf numFmtId="8" fontId="29" fillId="9" borderId="14" xfId="7" applyNumberFormat="1" applyFont="1" applyFill="1" applyBorder="1"/>
    <xf numFmtId="171" fontId="31" fillId="2" borderId="8" xfId="28" applyNumberFormat="1" applyFont="1" applyFill="1" applyBorder="1" applyAlignment="1">
      <alignment horizontal="left" indent="1"/>
    </xf>
    <xf numFmtId="171" fontId="31" fillId="2" borderId="9" xfId="28" applyNumberFormat="1" applyFont="1" applyFill="1" applyBorder="1"/>
    <xf numFmtId="171" fontId="31" fillId="2" borderId="9" xfId="28" applyNumberFormat="1" applyFont="1" applyFill="1" applyBorder="1" applyAlignment="1">
      <alignment horizontal="right"/>
    </xf>
    <xf numFmtId="171" fontId="31" fillId="2" borderId="15" xfId="28" applyNumberFormat="1" applyFont="1" applyFill="1" applyBorder="1"/>
    <xf numFmtId="171" fontId="31" fillId="7" borderId="0" xfId="6" applyNumberFormat="1" applyFont="1" applyFill="1" applyBorder="1"/>
    <xf numFmtId="43" fontId="23" fillId="2" borderId="0" xfId="7" applyNumberFormat="1" applyFont="1" applyFill="1"/>
    <xf numFmtId="171" fontId="23" fillId="2" borderId="0" xfId="7" applyNumberFormat="1" applyFont="1" applyFill="1" applyBorder="1"/>
    <xf numFmtId="171" fontId="22" fillId="2" borderId="0" xfId="7" applyNumberFormat="1" applyFont="1" applyFill="1"/>
    <xf numFmtId="171" fontId="21" fillId="2" borderId="0" xfId="7" applyNumberFormat="1" applyFont="1" applyFill="1" applyBorder="1"/>
    <xf numFmtId="171" fontId="23" fillId="2" borderId="0" xfId="7" applyNumberFormat="1" applyFont="1" applyFill="1"/>
    <xf numFmtId="167" fontId="22" fillId="2" borderId="3" xfId="0" applyNumberFormat="1" applyFont="1" applyFill="1" applyBorder="1"/>
    <xf numFmtId="167" fontId="22" fillId="2" borderId="4" xfId="0" applyNumberFormat="1" applyFont="1" applyFill="1" applyBorder="1"/>
    <xf numFmtId="167" fontId="22" fillId="2" borderId="11" xfId="0" applyNumberFormat="1" applyFont="1" applyFill="1" applyBorder="1"/>
    <xf numFmtId="167" fontId="33" fillId="2" borderId="4" xfId="0" applyNumberFormat="1" applyFont="1" applyFill="1" applyBorder="1"/>
    <xf numFmtId="167" fontId="22" fillId="2" borderId="8" xfId="0" applyNumberFormat="1" applyFont="1" applyFill="1" applyBorder="1"/>
    <xf numFmtId="167" fontId="22" fillId="2" borderId="9" xfId="0" applyNumberFormat="1" applyFont="1" applyFill="1" applyBorder="1"/>
    <xf numFmtId="167" fontId="22" fillId="2" borderId="15" xfId="0" applyNumberFormat="1" applyFont="1" applyFill="1" applyBorder="1"/>
    <xf numFmtId="167" fontId="33" fillId="2" borderId="9" xfId="0" applyNumberFormat="1" applyFont="1" applyFill="1" applyBorder="1"/>
    <xf numFmtId="167" fontId="22" fillId="2" borderId="5" xfId="7" applyNumberFormat="1" applyFont="1" applyFill="1" applyBorder="1"/>
    <xf numFmtId="167" fontId="22" fillId="2" borderId="0" xfId="7" applyNumberFormat="1" applyFont="1" applyFill="1" applyBorder="1"/>
    <xf numFmtId="167" fontId="22" fillId="2" borderId="17" xfId="7" applyNumberFormat="1" applyFont="1" applyFill="1" applyBorder="1"/>
    <xf numFmtId="167" fontId="33" fillId="2" borderId="0" xfId="7" applyNumberFormat="1" applyFont="1" applyFill="1"/>
    <xf numFmtId="167" fontId="22" fillId="2" borderId="0" xfId="7" applyNumberFormat="1" applyFont="1" applyFill="1"/>
    <xf numFmtId="167" fontId="22" fillId="2" borderId="8" xfId="7" applyNumberFormat="1" applyFont="1" applyFill="1" applyBorder="1"/>
    <xf numFmtId="167" fontId="22" fillId="2" borderId="9" xfId="7" applyNumberFormat="1" applyFont="1" applyFill="1" applyBorder="1"/>
    <xf numFmtId="167" fontId="22" fillId="2" borderId="15" xfId="7" applyNumberFormat="1" applyFont="1" applyFill="1" applyBorder="1"/>
    <xf numFmtId="167" fontId="33" fillId="2" borderId="9" xfId="7" applyNumberFormat="1" applyFont="1" applyFill="1" applyBorder="1"/>
    <xf numFmtId="171" fontId="22" fillId="2" borderId="0" xfId="7" applyNumberFormat="1" applyFont="1" applyFill="1" applyBorder="1"/>
    <xf numFmtId="43" fontId="23" fillId="2" borderId="17" xfId="7" applyNumberFormat="1" applyFont="1" applyFill="1" applyBorder="1"/>
    <xf numFmtId="167" fontId="23" fillId="7" borderId="0" xfId="6" applyNumberFormat="1" applyFont="1" applyFill="1"/>
    <xf numFmtId="167" fontId="33" fillId="7" borderId="0" xfId="7" applyNumberFormat="1" applyFont="1" applyFill="1"/>
    <xf numFmtId="0" fontId="31" fillId="2" borderId="8" xfId="7" applyNumberFormat="1" applyFont="1" applyFill="1" applyBorder="1" applyAlignment="1">
      <alignment horizontal="left" indent="1"/>
    </xf>
    <xf numFmtId="0" fontId="31" fillId="2" borderId="9" xfId="7" applyNumberFormat="1" applyFont="1" applyFill="1" applyBorder="1" applyAlignment="1">
      <alignment horizontal="left" indent="1"/>
    </xf>
    <xf numFmtId="171" fontId="22" fillId="2" borderId="15" xfId="7" applyNumberFormat="1" applyFont="1" applyFill="1" applyBorder="1"/>
    <xf numFmtId="0" fontId="21" fillId="2" borderId="0" xfId="6" applyNumberFormat="1" applyFont="1" applyFill="1"/>
    <xf numFmtId="0" fontId="23" fillId="2" borderId="0" xfId="6" applyNumberFormat="1" applyFont="1" applyFill="1" applyBorder="1"/>
    <xf numFmtId="0" fontId="23" fillId="2" borderId="9" xfId="6" applyNumberFormat="1" applyFont="1" applyFill="1" applyBorder="1"/>
    <xf numFmtId="43" fontId="23" fillId="2" borderId="9" xfId="6" applyNumberFormat="1" applyFont="1" applyFill="1" applyBorder="1"/>
    <xf numFmtId="174" fontId="23" fillId="2" borderId="9" xfId="6" applyNumberFormat="1" applyFont="1" applyFill="1" applyBorder="1"/>
    <xf numFmtId="171" fontId="23" fillId="2" borderId="9" xfId="6" applyNumberFormat="1" applyFont="1" applyFill="1" applyBorder="1"/>
    <xf numFmtId="171" fontId="22" fillId="2" borderId="9" xfId="6" applyNumberFormat="1" applyFont="1" applyFill="1" applyBorder="1" applyAlignment="1">
      <alignment horizontal="right"/>
    </xf>
    <xf numFmtId="171" fontId="22" fillId="2" borderId="9" xfId="6" applyNumberFormat="1" applyFont="1" applyFill="1" applyBorder="1"/>
    <xf numFmtId="3" fontId="23" fillId="2" borderId="9" xfId="6" applyNumberFormat="1" applyFont="1" applyFill="1" applyBorder="1"/>
    <xf numFmtId="0" fontId="23" fillId="3" borderId="0" xfId="6" applyNumberFormat="1" applyFont="1" applyFill="1"/>
    <xf numFmtId="169" fontId="23" fillId="3" borderId="0" xfId="6" applyNumberFormat="1" applyFont="1" applyFill="1"/>
    <xf numFmtId="10" fontId="23" fillId="3" borderId="0" xfId="6" applyNumberFormat="1" applyFont="1" applyFill="1"/>
    <xf numFmtId="170" fontId="23" fillId="3" borderId="0" xfId="6" applyNumberFormat="1" applyFont="1" applyFill="1"/>
    <xf numFmtId="171" fontId="23" fillId="3" borderId="0" xfId="6" applyNumberFormat="1" applyFont="1" applyFill="1"/>
    <xf numFmtId="0" fontId="22" fillId="3" borderId="0" xfId="6" applyNumberFormat="1" applyFont="1" applyFill="1"/>
    <xf numFmtId="1" fontId="22" fillId="3" borderId="0" xfId="6" applyNumberFormat="1" applyFont="1" applyFill="1"/>
    <xf numFmtId="1" fontId="22" fillId="3" borderId="0" xfId="6" applyNumberFormat="1" applyFont="1" applyFill="1" applyAlignment="1">
      <alignment wrapText="1"/>
    </xf>
    <xf numFmtId="8" fontId="22" fillId="3" borderId="0" xfId="6" applyNumberFormat="1" applyFont="1" applyFill="1"/>
    <xf numFmtId="8" fontId="23" fillId="3" borderId="0" xfId="6" applyNumberFormat="1" applyFont="1" applyFill="1"/>
    <xf numFmtId="37" fontId="30" fillId="8" borderId="8" xfId="0" applyFont="1" applyFill="1" applyBorder="1" applyAlignment="1">
      <alignment wrapText="1"/>
    </xf>
    <xf numFmtId="0" fontId="29" fillId="8" borderId="15" xfId="9" applyNumberFormat="1" applyFont="1" applyFill="1" applyBorder="1"/>
    <xf numFmtId="0" fontId="22" fillId="8" borderId="9" xfId="6" applyNumberFormat="1" applyFont="1" applyFill="1" applyBorder="1"/>
    <xf numFmtId="43" fontId="22" fillId="8" borderId="9" xfId="6" applyNumberFormat="1" applyFont="1" applyFill="1" applyBorder="1"/>
    <xf numFmtId="174" fontId="22" fillId="8" borderId="9" xfId="6" applyNumberFormat="1" applyFont="1" applyFill="1" applyBorder="1"/>
    <xf numFmtId="171" fontId="22" fillId="8" borderId="9" xfId="6" applyNumberFormat="1" applyFont="1" applyFill="1" applyBorder="1"/>
    <xf numFmtId="171" fontId="22" fillId="8" borderId="9" xfId="6" applyNumberFormat="1" applyFont="1" applyFill="1" applyBorder="1" applyAlignment="1">
      <alignment horizontal="right"/>
    </xf>
    <xf numFmtId="10" fontId="23" fillId="7" borderId="0" xfId="6" applyNumberFormat="1" applyFont="1" applyFill="1"/>
    <xf numFmtId="10" fontId="22" fillId="2" borderId="5" xfId="7" applyNumberFormat="1" applyFont="1" applyFill="1" applyBorder="1"/>
    <xf numFmtId="10" fontId="22" fillId="2" borderId="4" xfId="7" applyNumberFormat="1" applyFont="1" applyFill="1" applyBorder="1"/>
    <xf numFmtId="10" fontId="22" fillId="2" borderId="0" xfId="7" applyNumberFormat="1" applyFont="1" applyFill="1"/>
    <xf numFmtId="10" fontId="23" fillId="2" borderId="0" xfId="6" applyNumberFormat="1" applyFont="1" applyFill="1" applyBorder="1"/>
    <xf numFmtId="10" fontId="22" fillId="2" borderId="17" xfId="7" applyNumberFormat="1" applyFont="1" applyFill="1" applyBorder="1"/>
    <xf numFmtId="10" fontId="22" fillId="2" borderId="0" xfId="6" applyNumberFormat="1" applyFont="1" applyFill="1" applyBorder="1"/>
    <xf numFmtId="10" fontId="22" fillId="2" borderId="0" xfId="6" applyNumberFormat="1" applyFont="1" applyFill="1"/>
    <xf numFmtId="10" fontId="22" fillId="2" borderId="0" xfId="7" applyNumberFormat="1" applyFont="1" applyFill="1" applyBorder="1"/>
    <xf numFmtId="10" fontId="22" fillId="7" borderId="0" xfId="6" applyNumberFormat="1" applyFont="1" applyFill="1"/>
    <xf numFmtId="10" fontId="22" fillId="2" borderId="8" xfId="7" applyNumberFormat="1" applyFont="1" applyFill="1" applyBorder="1"/>
    <xf numFmtId="10" fontId="22" fillId="2" borderId="9" xfId="7" applyNumberFormat="1" applyFont="1" applyFill="1" applyBorder="1"/>
    <xf numFmtId="10" fontId="22" fillId="2" borderId="9" xfId="6" applyNumberFormat="1" applyFont="1" applyFill="1" applyBorder="1"/>
    <xf numFmtId="10" fontId="22" fillId="2" borderId="15" xfId="7" applyNumberFormat="1" applyFont="1" applyFill="1" applyBorder="1"/>
    <xf numFmtId="10" fontId="33" fillId="2" borderId="9" xfId="6" applyNumberFormat="1" applyFont="1" applyFill="1" applyBorder="1"/>
    <xf numFmtId="10" fontId="22" fillId="2" borderId="9" xfId="6" applyNumberFormat="1" applyFont="1" applyFill="1" applyBorder="1" applyAlignment="1">
      <alignment wrapText="1"/>
    </xf>
    <xf numFmtId="0" fontId="29" fillId="8" borderId="24" xfId="9" applyNumberFormat="1" applyFont="1" applyFill="1" applyBorder="1"/>
    <xf numFmtId="10" fontId="22" fillId="2" borderId="0" xfId="6" applyNumberFormat="1" applyFont="1" applyFill="1" applyAlignment="1">
      <alignment wrapText="1"/>
    </xf>
    <xf numFmtId="0" fontId="22" fillId="2" borderId="8" xfId="7" applyNumberFormat="1" applyFont="1" applyFill="1" applyBorder="1"/>
    <xf numFmtId="37" fontId="22" fillId="2" borderId="9" xfId="6" applyNumberFormat="1" applyFont="1" applyFill="1" applyBorder="1"/>
    <xf numFmtId="1" fontId="22" fillId="2" borderId="9" xfId="6" applyNumberFormat="1" applyFont="1" applyFill="1" applyBorder="1"/>
    <xf numFmtId="0" fontId="22" fillId="2" borderId="9" xfId="6" applyNumberFormat="1" applyFont="1" applyFill="1" applyBorder="1" applyAlignment="1">
      <alignment wrapText="1"/>
    </xf>
    <xf numFmtId="10" fontId="22" fillId="2" borderId="9" xfId="11" applyNumberFormat="1" applyFont="1" applyFill="1" applyBorder="1"/>
    <xf numFmtId="171" fontId="33" fillId="2" borderId="9" xfId="6" applyNumberFormat="1" applyFont="1" applyFill="1" applyBorder="1"/>
    <xf numFmtId="171" fontId="22" fillId="2" borderId="0" xfId="6" applyNumberFormat="1" applyFont="1" applyFill="1" applyBorder="1"/>
    <xf numFmtId="37" fontId="22" fillId="2" borderId="0" xfId="6" applyNumberFormat="1" applyFont="1" applyFill="1"/>
    <xf numFmtId="171" fontId="22" fillId="2" borderId="0" xfId="6" applyNumberFormat="1" applyFont="1" applyFill="1"/>
    <xf numFmtId="1" fontId="22" fillId="2" borderId="0" xfId="6" applyNumberFormat="1" applyFont="1" applyFill="1"/>
    <xf numFmtId="0" fontId="22" fillId="2" borderId="0" xfId="6" applyNumberFormat="1" applyFont="1" applyFill="1" applyBorder="1"/>
    <xf numFmtId="167" fontId="22" fillId="2" borderId="0" xfId="0" applyNumberFormat="1" applyFont="1" applyFill="1" applyAlignment="1">
      <alignment wrapText="1"/>
    </xf>
    <xf numFmtId="39" fontId="22" fillId="2" borderId="0" xfId="0" applyNumberFormat="1" applyFont="1" applyFill="1"/>
    <xf numFmtId="167" fontId="22" fillId="2" borderId="0" xfId="6" applyNumberFormat="1" applyFont="1" applyFill="1" applyBorder="1"/>
    <xf numFmtId="10" fontId="31" fillId="2" borderId="5" xfId="7" applyNumberFormat="1" applyFont="1" applyFill="1" applyBorder="1"/>
    <xf numFmtId="37" fontId="22" fillId="2" borderId="0" xfId="0" applyFont="1" applyFill="1"/>
    <xf numFmtId="37" fontId="22" fillId="2" borderId="17" xfId="0" applyFont="1" applyFill="1" applyBorder="1"/>
    <xf numFmtId="37" fontId="22" fillId="7" borderId="0" xfId="0" applyFont="1" applyFill="1"/>
    <xf numFmtId="167" fontId="22" fillId="2" borderId="0" xfId="6" applyNumberFormat="1" applyFont="1" applyFill="1"/>
    <xf numFmtId="37" fontId="22" fillId="8" borderId="0" xfId="0" applyFont="1" applyFill="1"/>
    <xf numFmtId="10" fontId="31" fillId="7" borderId="0" xfId="6" applyNumberFormat="1" applyFont="1" applyFill="1"/>
    <xf numFmtId="10" fontId="31" fillId="2" borderId="5" xfId="28" applyFont="1" applyFill="1" applyBorder="1"/>
    <xf numFmtId="10" fontId="31" fillId="2" borderId="0" xfId="28" applyFont="1" applyFill="1" applyBorder="1"/>
    <xf numFmtId="10" fontId="31" fillId="2" borderId="17" xfId="28" applyFont="1" applyFill="1" applyBorder="1"/>
    <xf numFmtId="10" fontId="31" fillId="2" borderId="0" xfId="28" applyFont="1" applyFill="1"/>
    <xf numFmtId="10" fontId="31" fillId="7" borderId="0" xfId="28" applyFont="1" applyFill="1"/>
    <xf numFmtId="10" fontId="31" fillId="2" borderId="0" xfId="6" applyNumberFormat="1" applyFont="1" applyFill="1"/>
    <xf numFmtId="10" fontId="31" fillId="7" borderId="0" xfId="6" applyNumberFormat="1" applyFont="1" applyFill="1" applyBorder="1"/>
    <xf numFmtId="10" fontId="22" fillId="2" borderId="5" xfId="7" applyNumberFormat="1" applyFont="1" applyFill="1" applyBorder="1" applyAlignment="1">
      <alignment horizontal="left"/>
    </xf>
    <xf numFmtId="10" fontId="22" fillId="2" borderId="0" xfId="7" applyNumberFormat="1" applyFont="1" applyFill="1" applyAlignment="1">
      <alignment horizontal="left"/>
    </xf>
    <xf numFmtId="171" fontId="22" fillId="2" borderId="17" xfId="7" applyNumberFormat="1" applyFont="1" applyFill="1" applyBorder="1"/>
    <xf numFmtId="37" fontId="22" fillId="2" borderId="5" xfId="0" applyFont="1" applyFill="1" applyBorder="1"/>
    <xf numFmtId="37" fontId="33" fillId="2" borderId="0" xfId="0" applyFont="1" applyFill="1"/>
    <xf numFmtId="10" fontId="31" fillId="2" borderId="0" xfId="6" applyNumberFormat="1" applyFont="1" applyFill="1" applyBorder="1"/>
    <xf numFmtId="10" fontId="29" fillId="2" borderId="5" xfId="7" applyNumberFormat="1" applyFont="1" applyFill="1" applyBorder="1" applyAlignment="1">
      <alignment horizontal="left"/>
    </xf>
    <xf numFmtId="167" fontId="33" fillId="2" borderId="0" xfId="6" applyNumberFormat="1" applyFont="1" applyFill="1"/>
    <xf numFmtId="10" fontId="33" fillId="2" borderId="0" xfId="6" applyNumberFormat="1" applyFont="1" applyFill="1"/>
    <xf numFmtId="9" fontId="22" fillId="7" borderId="0" xfId="6" applyNumberFormat="1" applyFont="1" applyFill="1"/>
    <xf numFmtId="9" fontId="22" fillId="2" borderId="0" xfId="7" applyNumberFormat="1" applyFont="1" applyFill="1" applyBorder="1"/>
    <xf numFmtId="9" fontId="22" fillId="2" borderId="17" xfId="7" applyNumberFormat="1" applyFont="1" applyFill="1" applyBorder="1"/>
    <xf numFmtId="9" fontId="22" fillId="2" borderId="0" xfId="7" applyNumberFormat="1" applyFont="1" applyFill="1" applyAlignment="1">
      <alignment wrapText="1"/>
    </xf>
    <xf numFmtId="9" fontId="22" fillId="2" borderId="0" xfId="6" applyNumberFormat="1" applyFont="1" applyFill="1" applyBorder="1"/>
    <xf numFmtId="0" fontId="22" fillId="2" borderId="17" xfId="7" applyNumberFormat="1" applyFont="1" applyFill="1" applyBorder="1"/>
    <xf numFmtId="175" fontId="22" fillId="2" borderId="0" xfId="7" applyNumberFormat="1" applyFont="1" applyFill="1" applyBorder="1"/>
    <xf numFmtId="175" fontId="22" fillId="2" borderId="0" xfId="7" applyNumberFormat="1" applyFont="1" applyFill="1" applyAlignment="1">
      <alignment wrapText="1"/>
    </xf>
    <xf numFmtId="10" fontId="33" fillId="2" borderId="0" xfId="11" applyNumberFormat="1" applyFont="1" applyFill="1" applyBorder="1"/>
    <xf numFmtId="4" fontId="33" fillId="2" borderId="0" xfId="11" applyNumberFormat="1" applyFont="1" applyFill="1"/>
    <xf numFmtId="10" fontId="33" fillId="2" borderId="0" xfId="11" applyNumberFormat="1" applyFont="1" applyFill="1"/>
    <xf numFmtId="10" fontId="33" fillId="2" borderId="0" xfId="6" applyNumberFormat="1" applyFont="1" applyFill="1" applyBorder="1"/>
    <xf numFmtId="10" fontId="22" fillId="2" borderId="5" xfId="28" applyFont="1" applyFill="1" applyBorder="1" applyAlignment="1">
      <alignment horizontal="left" indent="1"/>
    </xf>
    <xf numFmtId="10" fontId="22" fillId="2" borderId="8" xfId="7" applyNumberFormat="1" applyFont="1" applyFill="1" applyBorder="1" applyAlignment="1">
      <alignment horizontal="left"/>
    </xf>
    <xf numFmtId="10" fontId="22" fillId="2" borderId="9" xfId="7" applyNumberFormat="1" applyFont="1" applyFill="1" applyBorder="1" applyAlignment="1">
      <alignment horizontal="left"/>
    </xf>
    <xf numFmtId="37" fontId="22" fillId="2" borderId="9" xfId="0" applyFont="1" applyFill="1" applyBorder="1"/>
    <xf numFmtId="37" fontId="22" fillId="2" borderId="15" xfId="0" applyFont="1" applyFill="1" applyBorder="1"/>
    <xf numFmtId="37" fontId="22" fillId="7" borderId="9" xfId="0" applyFont="1" applyFill="1" applyBorder="1"/>
    <xf numFmtId="167" fontId="22" fillId="2" borderId="9" xfId="6" applyNumberFormat="1" applyFont="1" applyFill="1" applyBorder="1"/>
    <xf numFmtId="37" fontId="22" fillId="2" borderId="8" xfId="0" applyFont="1" applyFill="1" applyBorder="1"/>
    <xf numFmtId="0" fontId="22" fillId="2" borderId="4" xfId="7" applyNumberFormat="1" applyFont="1" applyFill="1" applyBorder="1"/>
    <xf numFmtId="0" fontId="22" fillId="2" borderId="0" xfId="7" applyNumberFormat="1" applyFont="1" applyFill="1" applyAlignment="1">
      <alignment wrapText="1"/>
    </xf>
    <xf numFmtId="10" fontId="22" fillId="2" borderId="5" xfId="28" applyFont="1" applyFill="1" applyBorder="1"/>
    <xf numFmtId="167" fontId="22" fillId="2" borderId="0" xfId="6" applyNumberFormat="1" applyFont="1" applyFill="1" applyBorder="1" applyAlignment="1">
      <alignment horizontal="right"/>
    </xf>
    <xf numFmtId="167" fontId="22" fillId="2" borderId="5" xfId="7" applyNumberFormat="1" applyFont="1" applyFill="1" applyBorder="1" applyAlignment="1">
      <alignment horizontal="right"/>
    </xf>
    <xf numFmtId="171" fontId="22" fillId="7" borderId="9" xfId="6" applyNumberFormat="1" applyFont="1" applyFill="1" applyBorder="1"/>
    <xf numFmtId="171" fontId="22" fillId="2" borderId="8" xfId="7" applyNumberFormat="1" applyFont="1" applyFill="1" applyBorder="1"/>
    <xf numFmtId="0" fontId="22" fillId="7" borderId="9" xfId="6" applyNumberFormat="1" applyFont="1" applyFill="1" applyBorder="1"/>
    <xf numFmtId="10" fontId="31" fillId="2" borderId="0" xfId="28" applyFont="1" applyFill="1" applyAlignment="1">
      <alignment horizontal="right"/>
    </xf>
    <xf numFmtId="168" fontId="22" fillId="2" borderId="0" xfId="6" applyNumberFormat="1" applyFont="1" applyFill="1"/>
    <xf numFmtId="0" fontId="24" fillId="3" borderId="3" xfId="7" applyNumberFormat="1" applyFont="1" applyFill="1" applyBorder="1"/>
    <xf numFmtId="168" fontId="22" fillId="3" borderId="4" xfId="6" applyNumberFormat="1" applyFont="1" applyFill="1" applyBorder="1"/>
    <xf numFmtId="10" fontId="22" fillId="3" borderId="4" xfId="6" applyNumberFormat="1" applyFont="1" applyFill="1" applyBorder="1"/>
    <xf numFmtId="171" fontId="22" fillId="3" borderId="4" xfId="6" applyNumberFormat="1" applyFont="1" applyFill="1" applyBorder="1"/>
    <xf numFmtId="168" fontId="22" fillId="3" borderId="7" xfId="6" applyNumberFormat="1" applyFont="1" applyFill="1" applyBorder="1"/>
    <xf numFmtId="168" fontId="22" fillId="7" borderId="0" xfId="6" applyNumberFormat="1" applyFont="1" applyFill="1" applyBorder="1"/>
    <xf numFmtId="37" fontId="32" fillId="3" borderId="8" xfId="0" applyFont="1" applyFill="1" applyBorder="1"/>
    <xf numFmtId="37" fontId="32" fillId="3" borderId="9" xfId="0" applyFont="1" applyFill="1" applyBorder="1"/>
    <xf numFmtId="168" fontId="22" fillId="3" borderId="9" xfId="6" applyNumberFormat="1" applyFont="1" applyFill="1" applyBorder="1"/>
    <xf numFmtId="168" fontId="22" fillId="3" borderId="10" xfId="6" applyNumberFormat="1" applyFont="1" applyFill="1" applyBorder="1"/>
    <xf numFmtId="168" fontId="22" fillId="2" borderId="0" xfId="6" applyNumberFormat="1" applyFont="1" applyFill="1" applyBorder="1"/>
    <xf numFmtId="37" fontId="28" fillId="8" borderId="13" xfId="0" applyFont="1" applyFill="1" applyBorder="1" applyAlignment="1">
      <alignment horizontal="left"/>
    </xf>
    <xf numFmtId="37" fontId="29" fillId="4" borderId="4" xfId="0" applyFont="1" applyFill="1" applyBorder="1"/>
    <xf numFmtId="37" fontId="29" fillId="8" borderId="13" xfId="0" applyFont="1" applyFill="1" applyBorder="1" applyAlignment="1">
      <alignment horizontal="center"/>
    </xf>
    <xf numFmtId="37" fontId="29" fillId="8" borderId="14" xfId="0" applyFont="1" applyFill="1" applyBorder="1" applyAlignment="1">
      <alignment horizontal="center"/>
    </xf>
    <xf numFmtId="37" fontId="33" fillId="2" borderId="17" xfId="0" applyFont="1" applyFill="1" applyBorder="1"/>
    <xf numFmtId="37" fontId="21" fillId="2" borderId="17" xfId="0" applyFont="1" applyFill="1" applyBorder="1"/>
    <xf numFmtId="10" fontId="37" fillId="2" borderId="17" xfId="28" applyFont="1" applyFill="1" applyBorder="1"/>
    <xf numFmtId="10" fontId="37" fillId="2" borderId="0" xfId="28" applyFont="1" applyFill="1"/>
    <xf numFmtId="10" fontId="31" fillId="7" borderId="17" xfId="28" applyFont="1" applyFill="1" applyBorder="1"/>
    <xf numFmtId="167" fontId="22" fillId="2" borderId="25" xfId="0" applyNumberFormat="1" applyFont="1" applyFill="1" applyBorder="1"/>
    <xf numFmtId="167" fontId="33" fillId="2" borderId="26" xfId="0" applyNumberFormat="1" applyFont="1" applyFill="1" applyBorder="1"/>
    <xf numFmtId="167" fontId="21" fillId="2" borderId="26" xfId="0" applyNumberFormat="1" applyFont="1" applyFill="1" applyBorder="1"/>
    <xf numFmtId="167" fontId="21" fillId="2" borderId="25" xfId="0" applyNumberFormat="1" applyFont="1" applyFill="1" applyBorder="1"/>
    <xf numFmtId="167" fontId="22" fillId="2" borderId="26" xfId="0" applyNumberFormat="1" applyFont="1" applyFill="1" applyBorder="1"/>
    <xf numFmtId="167" fontId="22" fillId="2" borderId="27" xfId="0" applyNumberFormat="1" applyFont="1" applyFill="1" applyBorder="1"/>
    <xf numFmtId="167" fontId="22" fillId="2" borderId="28" xfId="0" applyNumberFormat="1" applyFont="1" applyFill="1" applyBorder="1"/>
    <xf numFmtId="167" fontId="29" fillId="2" borderId="20" xfId="0" applyNumberFormat="1" applyFont="1" applyFill="1" applyBorder="1"/>
    <xf numFmtId="167" fontId="29" fillId="7" borderId="5" xfId="0" applyNumberFormat="1" applyFont="1" applyFill="1" applyBorder="1"/>
    <xf numFmtId="167" fontId="36" fillId="7" borderId="0" xfId="0" applyNumberFormat="1" applyFont="1" applyFill="1"/>
    <xf numFmtId="167" fontId="36" fillId="7" borderId="17" xfId="0" applyNumberFormat="1" applyFont="1" applyFill="1" applyBorder="1"/>
    <xf numFmtId="167" fontId="29" fillId="7" borderId="17" xfId="0" applyNumberFormat="1" applyFont="1" applyFill="1" applyBorder="1"/>
    <xf numFmtId="167" fontId="33" fillId="7" borderId="0" xfId="0" applyNumberFormat="1" applyFont="1" applyFill="1"/>
    <xf numFmtId="167" fontId="29" fillId="2" borderId="17" xfId="0" applyNumberFormat="1" applyFont="1" applyFill="1" applyBorder="1"/>
    <xf numFmtId="167" fontId="33" fillId="2" borderId="25" xfId="0" applyNumberFormat="1" applyFont="1" applyFill="1" applyBorder="1"/>
    <xf numFmtId="167" fontId="29" fillId="7" borderId="29" xfId="0" applyNumberFormat="1" applyFont="1" applyFill="1" applyBorder="1"/>
    <xf numFmtId="167" fontId="29" fillId="7" borderId="6" xfId="0" applyNumberFormat="1" applyFont="1" applyFill="1" applyBorder="1"/>
    <xf numFmtId="167" fontId="29" fillId="7" borderId="30" xfId="0" applyNumberFormat="1" applyFont="1" applyFill="1" applyBorder="1"/>
    <xf numFmtId="167" fontId="29" fillId="7" borderId="31" xfId="0" applyNumberFormat="1" applyFont="1" applyFill="1" applyBorder="1"/>
    <xf numFmtId="167" fontId="29" fillId="7" borderId="9" xfId="0" applyNumberFormat="1" applyFont="1" applyFill="1" applyBorder="1"/>
    <xf numFmtId="167" fontId="36" fillId="7" borderId="15" xfId="0" applyNumberFormat="1" applyFont="1" applyFill="1" applyBorder="1"/>
    <xf numFmtId="167" fontId="36" fillId="7" borderId="9" xfId="0" applyNumberFormat="1" applyFont="1" applyFill="1" applyBorder="1"/>
    <xf numFmtId="167" fontId="29" fillId="7" borderId="15" xfId="0" applyNumberFormat="1" applyFont="1" applyFill="1" applyBorder="1"/>
    <xf numFmtId="37" fontId="29" fillId="7" borderId="0" xfId="0" applyFont="1" applyFill="1"/>
    <xf numFmtId="37" fontId="22" fillId="10" borderId="0" xfId="0" applyFont="1" applyFill="1"/>
    <xf numFmtId="37" fontId="22" fillId="10" borderId="0" xfId="0" applyFont="1" applyFill="1" applyAlignment="1">
      <alignment horizontal="center"/>
    </xf>
    <xf numFmtId="174" fontId="22" fillId="10" borderId="0" xfId="16" applyNumberFormat="1" applyFont="1" applyFill="1" applyAlignment="1">
      <alignment horizontal="center"/>
    </xf>
    <xf numFmtId="174" fontId="22" fillId="10" borderId="0" xfId="16" applyNumberFormat="1" applyFont="1" applyFill="1" applyBorder="1" applyAlignment="1">
      <alignment horizontal="center"/>
    </xf>
    <xf numFmtId="167" fontId="22" fillId="10" borderId="0" xfId="16" applyNumberFormat="1" applyFont="1" applyFill="1" applyAlignment="1">
      <alignment horizontal="center"/>
    </xf>
    <xf numFmtId="174" fontId="22" fillId="10" borderId="32" xfId="16" applyNumberFormat="1" applyFont="1" applyFill="1" applyBorder="1" applyAlignment="1">
      <alignment horizontal="center"/>
    </xf>
    <xf numFmtId="37" fontId="22" fillId="7" borderId="0" xfId="0" applyFont="1" applyFill="1" applyAlignment="1">
      <alignment horizontal="center"/>
    </xf>
    <xf numFmtId="174" fontId="22" fillId="7" borderId="0" xfId="16" applyNumberFormat="1" applyFont="1" applyFill="1" applyAlignment="1">
      <alignment horizontal="center"/>
    </xf>
    <xf numFmtId="174" fontId="22" fillId="7" borderId="0" xfId="16" applyNumberFormat="1" applyFont="1" applyFill="1" applyBorder="1" applyAlignment="1">
      <alignment horizontal="center"/>
    </xf>
    <xf numFmtId="167" fontId="22" fillId="7" borderId="0" xfId="16" applyNumberFormat="1" applyFont="1" applyFill="1" applyAlignment="1">
      <alignment horizontal="center"/>
    </xf>
    <xf numFmtId="167" fontId="22" fillId="7" borderId="0" xfId="16" applyNumberFormat="1" applyFont="1" applyFill="1" applyBorder="1" applyAlignment="1">
      <alignment horizontal="center"/>
    </xf>
    <xf numFmtId="37" fontId="29" fillId="4" borderId="9" xfId="0" applyFont="1" applyFill="1" applyBorder="1"/>
    <xf numFmtId="37" fontId="29" fillId="8" borderId="13" xfId="0" applyFont="1" applyFill="1" applyBorder="1" applyAlignment="1">
      <alignment horizontal="centerContinuous"/>
    </xf>
    <xf numFmtId="37" fontId="29" fillId="8" borderId="14" xfId="0" applyFont="1" applyFill="1" applyBorder="1" applyAlignment="1">
      <alignment horizontal="centerContinuous"/>
    </xf>
    <xf numFmtId="37" fontId="22" fillId="8" borderId="24" xfId="0" applyFont="1" applyFill="1" applyBorder="1"/>
    <xf numFmtId="37" fontId="29" fillId="8" borderId="8" xfId="0" quotePrefix="1" applyFont="1" applyFill="1" applyBorder="1" applyAlignment="1">
      <alignment horizontal="center"/>
    </xf>
    <xf numFmtId="37" fontId="29" fillId="8" borderId="9" xfId="0" quotePrefix="1" applyFont="1" applyFill="1" applyBorder="1" applyAlignment="1">
      <alignment horizontal="center"/>
    </xf>
    <xf numFmtId="0" fontId="29" fillId="2" borderId="17" xfId="7" applyNumberFormat="1" applyFont="1" applyFill="1" applyBorder="1"/>
    <xf numFmtId="167" fontId="31" fillId="2" borderId="17" xfId="28" applyNumberFormat="1" applyFont="1" applyFill="1" applyBorder="1"/>
    <xf numFmtId="167" fontId="31" fillId="2" borderId="0" xfId="28" applyNumberFormat="1" applyFont="1" applyFill="1" applyBorder="1"/>
    <xf numFmtId="167" fontId="37" fillId="2" borderId="0" xfId="28" applyNumberFormat="1" applyFont="1" applyFill="1"/>
    <xf numFmtId="167" fontId="31" fillId="2" borderId="0" xfId="28" applyNumberFormat="1" applyFont="1" applyFill="1"/>
    <xf numFmtId="167" fontId="31" fillId="7" borderId="0" xfId="28" applyNumberFormat="1" applyFont="1" applyFill="1" applyBorder="1"/>
    <xf numFmtId="167" fontId="22" fillId="2" borderId="33" xfId="0" applyNumberFormat="1" applyFont="1" applyFill="1" applyBorder="1"/>
    <xf numFmtId="167" fontId="29" fillId="7" borderId="17" xfId="0" applyNumberFormat="1" applyFont="1" applyFill="1" applyBorder="1" applyAlignment="1">
      <alignment horizontal="left"/>
    </xf>
    <xf numFmtId="167" fontId="36" fillId="7" borderId="0" xfId="0" applyNumberFormat="1" applyFont="1" applyFill="1" applyAlignment="1">
      <alignment horizontal="right"/>
    </xf>
    <xf numFmtId="167" fontId="29" fillId="7" borderId="0" xfId="0" applyNumberFormat="1" applyFont="1" applyFill="1" applyAlignment="1">
      <alignment horizontal="right"/>
    </xf>
    <xf numFmtId="167" fontId="29" fillId="2" borderId="0" xfId="7" applyNumberFormat="1" applyFont="1" applyFill="1" applyAlignment="1">
      <alignment horizontal="right"/>
    </xf>
    <xf numFmtId="167" fontId="36" fillId="7" borderId="9" xfId="0" applyNumberFormat="1" applyFont="1" applyFill="1" applyBorder="1" applyAlignment="1">
      <alignment horizontal="right"/>
    </xf>
    <xf numFmtId="37" fontId="32" fillId="7" borderId="0" xfId="0" applyFont="1" applyFill="1"/>
    <xf numFmtId="167" fontId="32" fillId="7" borderId="0" xfId="0" applyNumberFormat="1" applyFont="1" applyFill="1" applyAlignment="1">
      <alignment horizontal="right"/>
    </xf>
    <xf numFmtId="37" fontId="22" fillId="7" borderId="17" xfId="0" applyFont="1" applyFill="1" applyBorder="1"/>
    <xf numFmtId="10" fontId="22" fillId="2" borderId="17" xfId="0" applyNumberFormat="1" applyFont="1" applyFill="1" applyBorder="1"/>
    <xf numFmtId="10" fontId="22" fillId="2" borderId="0" xfId="0" applyNumberFormat="1" applyFont="1" applyFill="1"/>
    <xf numFmtId="10" fontId="22" fillId="2" borderId="34" xfId="0" applyNumberFormat="1" applyFont="1" applyFill="1" applyBorder="1"/>
    <xf numFmtId="167" fontId="22" fillId="2" borderId="2" xfId="0" applyNumberFormat="1" applyFont="1" applyFill="1" applyBorder="1"/>
    <xf numFmtId="167" fontId="33" fillId="2" borderId="35" xfId="0" applyNumberFormat="1" applyFont="1" applyFill="1" applyBorder="1"/>
    <xf numFmtId="167" fontId="33" fillId="2" borderId="2" xfId="0" applyNumberFormat="1" applyFont="1" applyFill="1" applyBorder="1"/>
    <xf numFmtId="167" fontId="21" fillId="2" borderId="35" xfId="0" applyNumberFormat="1" applyFont="1" applyFill="1" applyBorder="1"/>
    <xf numFmtId="167" fontId="22" fillId="2" borderId="35" xfId="0" applyNumberFormat="1" applyFont="1" applyFill="1" applyBorder="1"/>
    <xf numFmtId="167" fontId="22" fillId="2" borderId="36" xfId="0" applyNumberFormat="1" applyFont="1" applyFill="1" applyBorder="1"/>
    <xf numFmtId="167" fontId="29" fillId="8" borderId="5" xfId="0" applyNumberFormat="1" applyFont="1" applyFill="1" applyBorder="1"/>
    <xf numFmtId="167" fontId="29" fillId="8" borderId="0" xfId="0" applyNumberFormat="1" applyFont="1" applyFill="1"/>
    <xf numFmtId="167" fontId="36" fillId="8" borderId="17" xfId="0" applyNumberFormat="1" applyFont="1" applyFill="1" applyBorder="1"/>
    <xf numFmtId="167" fontId="36" fillId="8" borderId="0" xfId="0" applyNumberFormat="1" applyFont="1" applyFill="1"/>
    <xf numFmtId="167" fontId="29" fillId="8" borderId="17" xfId="0" applyNumberFormat="1" applyFont="1" applyFill="1" applyBorder="1"/>
    <xf numFmtId="167" fontId="21" fillId="7" borderId="17" xfId="0" applyNumberFormat="1" applyFont="1" applyFill="1" applyBorder="1"/>
    <xf numFmtId="167" fontId="33" fillId="7" borderId="17" xfId="0" applyNumberFormat="1" applyFont="1" applyFill="1" applyBorder="1"/>
    <xf numFmtId="167" fontId="29" fillId="8" borderId="29" xfId="0" applyNumberFormat="1" applyFont="1" applyFill="1" applyBorder="1"/>
    <xf numFmtId="167" fontId="29" fillId="8" borderId="6" xfId="0" applyNumberFormat="1" applyFont="1" applyFill="1" applyBorder="1"/>
    <xf numFmtId="167" fontId="29" fillId="8" borderId="37" xfId="0" applyNumberFormat="1" applyFont="1" applyFill="1" applyBorder="1"/>
    <xf numFmtId="167" fontId="29" fillId="8" borderId="38" xfId="0" applyNumberFormat="1" applyFont="1" applyFill="1" applyBorder="1"/>
    <xf numFmtId="167" fontId="22" fillId="8" borderId="38" xfId="0" applyNumberFormat="1" applyFont="1" applyFill="1" applyBorder="1"/>
    <xf numFmtId="167" fontId="36" fillId="8" borderId="39" xfId="0" applyNumberFormat="1" applyFont="1" applyFill="1" applyBorder="1"/>
    <xf numFmtId="167" fontId="36" fillId="8" borderId="38" xfId="0" applyNumberFormat="1" applyFont="1" applyFill="1" applyBorder="1"/>
    <xf numFmtId="167" fontId="29" fillId="8" borderId="39" xfId="0" applyNumberFormat="1" applyFont="1" applyFill="1" applyBorder="1"/>
    <xf numFmtId="167" fontId="32" fillId="7" borderId="0" xfId="0" applyNumberFormat="1" applyFont="1" applyFill="1"/>
    <xf numFmtId="37" fontId="29" fillId="10" borderId="5" xfId="0" applyFont="1" applyFill="1" applyBorder="1"/>
    <xf numFmtId="37" fontId="29" fillId="10" borderId="0" xfId="0" applyFont="1" applyFill="1" applyAlignment="1">
      <alignment horizontal="center"/>
    </xf>
    <xf numFmtId="174" fontId="29" fillId="10" borderId="0" xfId="16" applyNumberFormat="1" applyFont="1" applyFill="1" applyAlignment="1">
      <alignment horizontal="center"/>
    </xf>
    <xf numFmtId="168" fontId="22" fillId="2" borderId="16" xfId="6" applyNumberFormat="1" applyFont="1" applyFill="1" applyBorder="1"/>
    <xf numFmtId="37" fontId="22" fillId="7" borderId="4" xfId="0" applyFont="1" applyFill="1" applyBorder="1"/>
    <xf numFmtId="37" fontId="22" fillId="7" borderId="11" xfId="0" applyFont="1" applyFill="1" applyBorder="1"/>
    <xf numFmtId="37" fontId="41" fillId="7" borderId="0" xfId="0" applyFont="1" applyFill="1"/>
    <xf numFmtId="37" fontId="41" fillId="7" borderId="17" xfId="0" applyFont="1" applyFill="1" applyBorder="1"/>
    <xf numFmtId="167" fontId="33" fillId="7" borderId="0" xfId="11" applyNumberFormat="1" applyFont="1" applyFill="1"/>
    <xf numFmtId="37" fontId="21" fillId="7" borderId="17" xfId="0" applyFont="1" applyFill="1" applyBorder="1"/>
    <xf numFmtId="37" fontId="21" fillId="7" borderId="0" xfId="0" applyFont="1" applyFill="1"/>
    <xf numFmtId="166" fontId="22" fillId="2" borderId="8" xfId="20" applyFont="1" applyFill="1" applyBorder="1" applyAlignment="1">
      <alignment horizontal="left"/>
    </xf>
    <xf numFmtId="166" fontId="22" fillId="2" borderId="9" xfId="20" applyFont="1" applyFill="1" applyBorder="1"/>
    <xf numFmtId="166" fontId="22" fillId="2" borderId="9" xfId="20" applyFont="1" applyFill="1" applyBorder="1" applyAlignment="1">
      <alignment horizontal="right"/>
    </xf>
    <xf numFmtId="166" fontId="21" fillId="2" borderId="15" xfId="20" applyFont="1" applyFill="1" applyBorder="1" applyAlignment="1">
      <alignment horizontal="right"/>
    </xf>
    <xf numFmtId="166" fontId="33" fillId="2" borderId="9" xfId="20" applyFont="1" applyFill="1" applyBorder="1" applyAlignment="1">
      <alignment horizontal="right"/>
    </xf>
    <xf numFmtId="166" fontId="22" fillId="2" borderId="9" xfId="11" applyNumberFormat="1" applyFont="1" applyFill="1" applyBorder="1" applyAlignment="1">
      <alignment horizontal="right"/>
    </xf>
    <xf numFmtId="166" fontId="22" fillId="2" borderId="15" xfId="20" applyFont="1" applyFill="1" applyBorder="1" applyAlignment="1">
      <alignment horizontal="right"/>
    </xf>
    <xf numFmtId="167" fontId="21" fillId="2" borderId="15" xfId="0" applyNumberFormat="1" applyFont="1" applyFill="1" applyBorder="1"/>
    <xf numFmtId="167" fontId="21" fillId="2" borderId="9" xfId="0" applyNumberFormat="1" applyFont="1" applyFill="1" applyBorder="1"/>
    <xf numFmtId="168" fontId="22" fillId="2" borderId="9" xfId="6" applyNumberFormat="1" applyFont="1" applyFill="1" applyBorder="1"/>
    <xf numFmtId="0" fontId="29" fillId="8" borderId="8" xfId="9" applyNumberFormat="1" applyFont="1" applyFill="1" applyBorder="1"/>
    <xf numFmtId="8" fontId="33" fillId="2" borderId="0" xfId="11" applyNumberFormat="1" applyFont="1" applyFill="1" applyAlignment="1">
      <alignment horizontal="right"/>
    </xf>
    <xf numFmtId="37" fontId="22" fillId="2" borderId="16" xfId="0" applyFont="1" applyFill="1" applyBorder="1"/>
    <xf numFmtId="167" fontId="22" fillId="2" borderId="17" xfId="11" applyNumberFormat="1" applyFont="1" applyFill="1" applyBorder="1"/>
    <xf numFmtId="167" fontId="33" fillId="2" borderId="0" xfId="11" applyNumberFormat="1" applyFont="1" applyFill="1" applyBorder="1"/>
    <xf numFmtId="167" fontId="33" fillId="2" borderId="17" xfId="11" applyNumberFormat="1" applyFont="1" applyFill="1" applyBorder="1"/>
    <xf numFmtId="167" fontId="33" fillId="2" borderId="0" xfId="11" applyNumberFormat="1" applyFont="1" applyFill="1"/>
    <xf numFmtId="167" fontId="22" fillId="2" borderId="0" xfId="11" applyNumberFormat="1" applyFont="1" applyFill="1"/>
    <xf numFmtId="167" fontId="22" fillId="2" borderId="16" xfId="11" applyNumberFormat="1" applyFont="1" applyFill="1" applyBorder="1"/>
    <xf numFmtId="9" fontId="33" fillId="2" borderId="17" xfId="11" applyNumberFormat="1" applyFont="1" applyFill="1" applyBorder="1"/>
    <xf numFmtId="9" fontId="33" fillId="2" borderId="0" xfId="11" applyNumberFormat="1" applyFont="1" applyFill="1" applyBorder="1"/>
    <xf numFmtId="8" fontId="22" fillId="2" borderId="0" xfId="11" applyNumberFormat="1" applyFont="1" applyFill="1" applyAlignment="1">
      <alignment horizontal="right"/>
    </xf>
    <xf numFmtId="8" fontId="33" fillId="2" borderId="17" xfId="11" applyNumberFormat="1" applyFont="1" applyFill="1" applyBorder="1" applyAlignment="1">
      <alignment horizontal="right"/>
    </xf>
    <xf numFmtId="171" fontId="31" fillId="2" borderId="17" xfId="7" applyNumberFormat="1" applyFont="1" applyFill="1" applyBorder="1" applyAlignment="1">
      <alignment horizontal="right"/>
    </xf>
    <xf numFmtId="9" fontId="22" fillId="2" borderId="0" xfId="11" applyNumberFormat="1" applyFont="1" applyFill="1"/>
    <xf numFmtId="0" fontId="29" fillId="8" borderId="13" xfId="9" applyNumberFormat="1" applyFont="1" applyFill="1" applyBorder="1"/>
    <xf numFmtId="0" fontId="22" fillId="8" borderId="14" xfId="6" applyNumberFormat="1" applyFont="1" applyFill="1" applyBorder="1"/>
    <xf numFmtId="167" fontId="22" fillId="2" borderId="29" xfId="0" applyNumberFormat="1" applyFont="1" applyFill="1" applyBorder="1"/>
    <xf numFmtId="167" fontId="22" fillId="2" borderId="23" xfId="0" applyNumberFormat="1" applyFont="1" applyFill="1" applyBorder="1"/>
    <xf numFmtId="167" fontId="22" fillId="2" borderId="5" xfId="0" applyNumberFormat="1" applyFont="1" applyFill="1" applyBorder="1" applyAlignment="1">
      <alignment horizontal="left" indent="1"/>
    </xf>
    <xf numFmtId="166" fontId="29" fillId="2" borderId="17" xfId="20" applyFont="1" applyFill="1" applyBorder="1" applyAlignment="1">
      <alignment horizontal="right"/>
    </xf>
    <xf numFmtId="166" fontId="29" fillId="2" borderId="0" xfId="20" applyFont="1" applyFill="1" applyBorder="1" applyAlignment="1">
      <alignment horizontal="right"/>
    </xf>
    <xf numFmtId="166" fontId="29" fillId="2" borderId="15" xfId="20" applyFont="1" applyFill="1" applyBorder="1" applyAlignment="1">
      <alignment horizontal="right"/>
    </xf>
    <xf numFmtId="166" fontId="29" fillId="2" borderId="9" xfId="20" applyFont="1" applyFill="1" applyBorder="1" applyAlignment="1">
      <alignment horizontal="right"/>
    </xf>
    <xf numFmtId="166" fontId="22" fillId="2" borderId="17" xfId="20" applyFont="1" applyFill="1" applyBorder="1"/>
    <xf numFmtId="166" fontId="22" fillId="2" borderId="0" xfId="20" applyFont="1" applyFill="1"/>
    <xf numFmtId="10" fontId="31" fillId="2" borderId="5" xfId="28" applyFont="1" applyFill="1" applyBorder="1" applyAlignment="1">
      <alignment horizontal="left" indent="1"/>
    </xf>
    <xf numFmtId="37" fontId="22" fillId="2" borderId="40" xfId="0" applyFont="1" applyFill="1" applyBorder="1"/>
    <xf numFmtId="0" fontId="22" fillId="2" borderId="15" xfId="7" applyNumberFormat="1" applyFont="1" applyFill="1" applyBorder="1"/>
    <xf numFmtId="167" fontId="22" fillId="8" borderId="25" xfId="0" applyNumberFormat="1" applyFont="1" applyFill="1" applyBorder="1"/>
    <xf numFmtId="167" fontId="29" fillId="2" borderId="27" xfId="0" quotePrefix="1" applyNumberFormat="1" applyFont="1" applyFill="1" applyBorder="1"/>
    <xf numFmtId="167" fontId="29" fillId="2" borderId="27" xfId="0" applyNumberFormat="1" applyFont="1" applyFill="1" applyBorder="1"/>
    <xf numFmtId="37" fontId="31" fillId="2" borderId="5" xfId="0" applyFont="1" applyFill="1" applyBorder="1" applyAlignment="1">
      <alignment horizontal="left" indent="1"/>
    </xf>
    <xf numFmtId="37" fontId="31" fillId="2" borderId="0" xfId="0" applyFont="1" applyFill="1"/>
    <xf numFmtId="37" fontId="31" fillId="8" borderId="0" xfId="0" applyFont="1" applyFill="1"/>
    <xf numFmtId="37" fontId="31" fillId="2" borderId="17" xfId="0" applyFont="1" applyFill="1" applyBorder="1"/>
    <xf numFmtId="171" fontId="31" fillId="2" borderId="0" xfId="0" applyNumberFormat="1" applyFont="1" applyFill="1"/>
    <xf numFmtId="9" fontId="22" fillId="2" borderId="0" xfId="0" applyNumberFormat="1" applyFont="1" applyFill="1"/>
    <xf numFmtId="9" fontId="22" fillId="2" borderId="17" xfId="0" applyNumberFormat="1" applyFont="1" applyFill="1" applyBorder="1"/>
    <xf numFmtId="37" fontId="44" fillId="2" borderId="5" xfId="0" applyFont="1" applyFill="1" applyBorder="1"/>
    <xf numFmtId="9" fontId="44" fillId="2" borderId="0" xfId="0" applyNumberFormat="1" applyFont="1" applyFill="1"/>
    <xf numFmtId="37" fontId="44" fillId="8" borderId="0" xfId="0" applyFont="1" applyFill="1"/>
    <xf numFmtId="9" fontId="44" fillId="2" borderId="17" xfId="0" applyNumberFormat="1" applyFont="1" applyFill="1" applyBorder="1"/>
    <xf numFmtId="167" fontId="22" fillId="8" borderId="19" xfId="0" applyNumberFormat="1" applyFont="1" applyFill="1" applyBorder="1"/>
    <xf numFmtId="171" fontId="13" fillId="7" borderId="0" xfId="28" applyNumberFormat="1" applyFill="1"/>
    <xf numFmtId="171" fontId="13" fillId="2" borderId="13" xfId="28" applyNumberFormat="1" applyFill="1" applyBorder="1"/>
    <xf numFmtId="171" fontId="13" fillId="2" borderId="14" xfId="28" applyNumberFormat="1" applyFill="1" applyBorder="1"/>
    <xf numFmtId="171" fontId="45" fillId="2" borderId="24" xfId="28" applyNumberFormat="1" applyFont="1" applyFill="1" applyBorder="1"/>
    <xf numFmtId="171" fontId="13" fillId="2" borderId="24" xfId="28" applyNumberFormat="1" applyFill="1" applyBorder="1"/>
    <xf numFmtId="171" fontId="13" fillId="2" borderId="0" xfId="28" applyNumberFormat="1" applyFill="1"/>
    <xf numFmtId="171" fontId="13" fillId="7" borderId="0" xfId="28" applyNumberFormat="1" applyFill="1" applyBorder="1"/>
    <xf numFmtId="37" fontId="5" fillId="7" borderId="0" xfId="0" applyFont="1" applyFill="1"/>
    <xf numFmtId="37" fontId="22" fillId="2" borderId="0" xfId="0" applyFont="1" applyFill="1" applyAlignment="1">
      <alignment wrapText="1"/>
    </xf>
    <xf numFmtId="8" fontId="22" fillId="7" borderId="0" xfId="0" applyNumberFormat="1" applyFont="1" applyFill="1"/>
    <xf numFmtId="167" fontId="10" fillId="2" borderId="0" xfId="6" applyNumberFormat="1" applyFont="1" applyFill="1"/>
    <xf numFmtId="167" fontId="13" fillId="2" borderId="0" xfId="6" applyNumberFormat="1" applyFont="1" applyFill="1"/>
    <xf numFmtId="10" fontId="13" fillId="2" borderId="0" xfId="28" applyFill="1"/>
    <xf numFmtId="10" fontId="13" fillId="2" borderId="0" xfId="28" applyFill="1" applyBorder="1"/>
    <xf numFmtId="167" fontId="10" fillId="2" borderId="0" xfId="6" applyNumberFormat="1" applyFont="1" applyFill="1" applyBorder="1"/>
    <xf numFmtId="167" fontId="5" fillId="2" borderId="0" xfId="6" applyNumberFormat="1" applyFont="1" applyFill="1"/>
    <xf numFmtId="171" fontId="13" fillId="2" borderId="0" xfId="6" applyNumberFormat="1" applyFont="1" applyFill="1"/>
    <xf numFmtId="10" fontId="13" fillId="2" borderId="0" xfId="6" applyNumberFormat="1" applyFont="1" applyFill="1"/>
    <xf numFmtId="10" fontId="10" fillId="2" borderId="0" xfId="6" applyNumberFormat="1" applyFont="1" applyFill="1"/>
    <xf numFmtId="171" fontId="22" fillId="2" borderId="0" xfId="7" applyNumberFormat="1" applyFont="1" applyFill="1" applyAlignment="1">
      <alignment horizontal="center"/>
    </xf>
    <xf numFmtId="8" fontId="10" fillId="2" borderId="0" xfId="6" applyNumberFormat="1" applyFont="1" applyFill="1"/>
    <xf numFmtId="37" fontId="51" fillId="7" borderId="0" xfId="0" applyFont="1" applyFill="1"/>
    <xf numFmtId="10" fontId="13" fillId="7" borderId="5" xfId="28" applyFill="1" applyBorder="1"/>
    <xf numFmtId="37" fontId="51" fillId="3" borderId="13" xfId="0" applyFont="1" applyFill="1" applyBorder="1"/>
    <xf numFmtId="0" fontId="51" fillId="3" borderId="12" xfId="0" applyNumberFormat="1" applyFont="1" applyFill="1" applyBorder="1" applyAlignment="1">
      <alignment horizontal="center"/>
    </xf>
    <xf numFmtId="37" fontId="51" fillId="3" borderId="14" xfId="0" applyFont="1" applyFill="1" applyBorder="1" applyAlignment="1">
      <alignment horizontal="center"/>
    </xf>
    <xf numFmtId="0" fontId="53" fillId="3" borderId="12" xfId="0" applyNumberFormat="1" applyFont="1" applyFill="1" applyBorder="1" applyAlignment="1">
      <alignment horizontal="center"/>
    </xf>
    <xf numFmtId="37" fontId="5" fillId="2" borderId="4" xfId="0" applyFont="1" applyFill="1" applyBorder="1"/>
    <xf numFmtId="37" fontId="51" fillId="3" borderId="13" xfId="0" applyFont="1" applyFill="1" applyBorder="1" applyAlignment="1">
      <alignment horizontal="left"/>
    </xf>
    <xf numFmtId="0" fontId="51" fillId="3" borderId="24" xfId="0" applyNumberFormat="1" applyFont="1" applyFill="1" applyBorder="1" applyAlignment="1">
      <alignment horizontal="center"/>
    </xf>
    <xf numFmtId="37" fontId="51" fillId="3" borderId="8" xfId="0" applyFont="1" applyFill="1" applyBorder="1" applyAlignment="1">
      <alignment horizontal="left"/>
    </xf>
    <xf numFmtId="37" fontId="51" fillId="3" borderId="17" xfId="0" applyFont="1" applyFill="1" applyBorder="1" applyAlignment="1">
      <alignment horizontal="center"/>
    </xf>
    <xf numFmtId="37" fontId="51" fillId="3" borderId="13" xfId="0" applyFont="1" applyFill="1" applyBorder="1" applyAlignment="1">
      <alignment horizontal="center"/>
    </xf>
    <xf numFmtId="37" fontId="51" fillId="3" borderId="12" xfId="0" applyFont="1" applyFill="1" applyBorder="1" applyAlignment="1">
      <alignment horizontal="center"/>
    </xf>
    <xf numFmtId="37" fontId="53" fillId="3" borderId="7" xfId="0" applyFont="1" applyFill="1" applyBorder="1" applyAlignment="1">
      <alignment horizontal="center"/>
    </xf>
    <xf numFmtId="37" fontId="51" fillId="3" borderId="7" xfId="0" applyFont="1" applyFill="1" applyBorder="1" applyAlignment="1">
      <alignment horizontal="center"/>
    </xf>
    <xf numFmtId="37" fontId="51" fillId="3" borderId="8" xfId="0" applyFont="1" applyFill="1" applyBorder="1"/>
    <xf numFmtId="37" fontId="51" fillId="3" borderId="10" xfId="0" applyFont="1" applyFill="1" applyBorder="1"/>
    <xf numFmtId="37" fontId="51" fillId="3" borderId="9" xfId="0" applyFont="1" applyFill="1" applyBorder="1" applyAlignment="1">
      <alignment horizontal="center"/>
    </xf>
    <xf numFmtId="37" fontId="51" fillId="3" borderId="10" xfId="0" applyFont="1" applyFill="1" applyBorder="1" applyAlignment="1">
      <alignment horizontal="center"/>
    </xf>
    <xf numFmtId="171" fontId="51" fillId="3" borderId="10" xfId="28" applyNumberFormat="1" applyFont="1" applyFill="1" applyBorder="1"/>
    <xf numFmtId="171" fontId="51" fillId="3" borderId="15" xfId="28" applyNumberFormat="1" applyFont="1" applyFill="1" applyBorder="1"/>
    <xf numFmtId="37" fontId="50" fillId="7" borderId="44" xfId="0" quotePrefix="1" applyFont="1" applyFill="1" applyBorder="1" applyAlignment="1">
      <alignment horizontal="center"/>
    </xf>
    <xf numFmtId="171" fontId="50" fillId="7" borderId="44" xfId="28" applyNumberFormat="1" applyFont="1" applyFill="1" applyBorder="1" applyAlignment="1">
      <alignment horizontal="center"/>
    </xf>
    <xf numFmtId="171" fontId="50" fillId="7" borderId="45" xfId="28" applyNumberFormat="1" applyFont="1" applyFill="1" applyBorder="1" applyAlignment="1">
      <alignment horizontal="center"/>
    </xf>
    <xf numFmtId="37" fontId="51" fillId="3" borderId="12" xfId="0" applyFont="1" applyFill="1" applyBorder="1"/>
    <xf numFmtId="37" fontId="51" fillId="3" borderId="12" xfId="0" applyFont="1" applyFill="1" applyBorder="1" applyAlignment="1">
      <alignment horizontal="left"/>
    </xf>
    <xf numFmtId="37" fontId="51" fillId="3" borderId="24" xfId="0" applyFont="1" applyFill="1" applyBorder="1"/>
    <xf numFmtId="37" fontId="50" fillId="7" borderId="47" xfId="0" quotePrefix="1" applyFont="1" applyFill="1" applyBorder="1" applyAlignment="1">
      <alignment horizontal="center"/>
    </xf>
    <xf numFmtId="171" fontId="50" fillId="7" borderId="47" xfId="28" applyNumberFormat="1" applyFont="1" applyFill="1" applyBorder="1" applyAlignment="1">
      <alignment horizontal="center"/>
    </xf>
    <xf numFmtId="37" fontId="5" fillId="2" borderId="9" xfId="0" applyFont="1" applyFill="1" applyBorder="1"/>
    <xf numFmtId="171" fontId="50" fillId="7" borderId="48" xfId="28" applyNumberFormat="1" applyFont="1" applyFill="1" applyBorder="1" applyAlignment="1">
      <alignment horizontal="center"/>
    </xf>
    <xf numFmtId="37" fontId="50" fillId="7" borderId="0" xfId="0" applyFont="1" applyFill="1"/>
    <xf numFmtId="37" fontId="50" fillId="7" borderId="0" xfId="0" applyFont="1" applyFill="1" applyAlignment="1">
      <alignment horizontal="center"/>
    </xf>
    <xf numFmtId="171" fontId="50" fillId="7" borderId="0" xfId="28" applyNumberFormat="1" applyFont="1" applyFill="1" applyAlignment="1">
      <alignment horizontal="center"/>
    </xf>
    <xf numFmtId="171" fontId="50" fillId="7" borderId="0" xfId="28" applyNumberFormat="1" applyFont="1" applyFill="1" applyBorder="1" applyAlignment="1">
      <alignment horizontal="center"/>
    </xf>
    <xf numFmtId="37" fontId="51" fillId="3" borderId="11" xfId="0" applyFont="1" applyFill="1" applyBorder="1" applyAlignment="1">
      <alignment horizontal="center"/>
    </xf>
    <xf numFmtId="37" fontId="50" fillId="5" borderId="3" xfId="0" applyFont="1" applyFill="1" applyBorder="1"/>
    <xf numFmtId="37" fontId="50" fillId="5" borderId="7" xfId="0" applyFont="1" applyFill="1" applyBorder="1" applyAlignment="1">
      <alignment horizontal="center"/>
    </xf>
    <xf numFmtId="7" fontId="50" fillId="5" borderId="7" xfId="0" applyNumberFormat="1" applyFont="1" applyFill="1" applyBorder="1" applyAlignment="1">
      <alignment horizontal="center"/>
    </xf>
    <xf numFmtId="7" fontId="50" fillId="7" borderId="0" xfId="0" applyNumberFormat="1" applyFont="1" applyFill="1" applyAlignment="1">
      <alignment horizontal="center"/>
    </xf>
    <xf numFmtId="7" fontId="50" fillId="5" borderId="11" xfId="0" applyNumberFormat="1" applyFont="1" applyFill="1" applyBorder="1" applyAlignment="1">
      <alignment horizontal="center"/>
    </xf>
    <xf numFmtId="37" fontId="50" fillId="5" borderId="8" xfId="0" applyFont="1" applyFill="1" applyBorder="1"/>
    <xf numFmtId="37" fontId="50" fillId="5" borderId="10" xfId="0" applyFont="1" applyFill="1" applyBorder="1" applyAlignment="1">
      <alignment horizontal="center"/>
    </xf>
    <xf numFmtId="37" fontId="50" fillId="5" borderId="10" xfId="0" quotePrefix="1" applyFont="1" applyFill="1" applyBorder="1" applyAlignment="1">
      <alignment horizontal="center"/>
    </xf>
    <xf numFmtId="171" fontId="50" fillId="5" borderId="10" xfId="28" applyNumberFormat="1" applyFont="1" applyFill="1" applyBorder="1" applyAlignment="1">
      <alignment horizontal="center"/>
    </xf>
    <xf numFmtId="171" fontId="50" fillId="5" borderId="15" xfId="28" applyNumberFormat="1" applyFont="1" applyFill="1" applyBorder="1" applyAlignment="1">
      <alignment horizontal="center"/>
    </xf>
    <xf numFmtId="9" fontId="50" fillId="5" borderId="10" xfId="28" applyNumberFormat="1" applyFont="1" applyFill="1" applyBorder="1" applyAlignment="1">
      <alignment horizontal="center"/>
    </xf>
    <xf numFmtId="37" fontId="50" fillId="7" borderId="44" xfId="0" applyFont="1" applyFill="1" applyBorder="1" applyAlignment="1">
      <alignment horizontal="center"/>
    </xf>
    <xf numFmtId="0" fontId="51" fillId="3" borderId="10" xfId="0" applyNumberFormat="1" applyFont="1" applyFill="1" applyBorder="1" applyAlignment="1">
      <alignment horizontal="center"/>
    </xf>
    <xf numFmtId="0" fontId="10" fillId="2" borderId="0" xfId="6" applyNumberFormat="1" applyFont="1" applyFill="1"/>
    <xf numFmtId="0" fontId="10" fillId="2" borderId="49" xfId="6" applyNumberFormat="1" applyFont="1" applyFill="1" applyBorder="1"/>
    <xf numFmtId="44" fontId="10" fillId="9" borderId="0" xfId="15" applyFont="1" applyFill="1"/>
    <xf numFmtId="44" fontId="10" fillId="9" borderId="49" xfId="15" applyFont="1" applyFill="1" applyBorder="1"/>
    <xf numFmtId="168" fontId="27" fillId="3" borderId="9" xfId="6" applyNumberFormat="1" applyFont="1" applyFill="1" applyBorder="1"/>
    <xf numFmtId="0" fontId="10" fillId="7" borderId="0" xfId="6" applyNumberFormat="1" applyFont="1" applyFill="1"/>
    <xf numFmtId="10" fontId="13" fillId="7" borderId="0" xfId="28" applyFill="1"/>
    <xf numFmtId="37" fontId="30" fillId="8" borderId="0" xfId="0" applyFont="1" applyFill="1" applyAlignment="1">
      <alignment wrapText="1"/>
    </xf>
    <xf numFmtId="37" fontId="29" fillId="8" borderId="0" xfId="0" applyFont="1" applyFill="1" applyAlignment="1">
      <alignment horizontal="center"/>
    </xf>
    <xf numFmtId="37" fontId="29" fillId="8" borderId="17" xfId="0" applyFont="1" applyFill="1" applyBorder="1" applyAlignment="1">
      <alignment horizontal="center"/>
    </xf>
    <xf numFmtId="0" fontId="10" fillId="8" borderId="0" xfId="6" applyNumberFormat="1" applyFont="1" applyFill="1"/>
    <xf numFmtId="10" fontId="49" fillId="2" borderId="40" xfId="28" applyFont="1" applyFill="1" applyBorder="1"/>
    <xf numFmtId="10" fontId="10" fillId="2" borderId="0" xfId="28" applyFont="1" applyFill="1" applyBorder="1"/>
    <xf numFmtId="10" fontId="10" fillId="2" borderId="17" xfId="28" applyFont="1" applyFill="1" applyBorder="1"/>
    <xf numFmtId="4" fontId="10" fillId="2" borderId="0" xfId="28" applyNumberFormat="1" applyFont="1" applyFill="1"/>
    <xf numFmtId="43" fontId="10" fillId="2" borderId="17" xfId="13" applyFont="1" applyFill="1" applyBorder="1"/>
    <xf numFmtId="10" fontId="10" fillId="2" borderId="0" xfId="6" applyNumberFormat="1" applyFont="1" applyFill="1" applyBorder="1"/>
    <xf numFmtId="10" fontId="10" fillId="2" borderId="40" xfId="28" applyFont="1" applyFill="1" applyBorder="1"/>
    <xf numFmtId="167" fontId="13" fillId="2" borderId="40" xfId="0" applyNumberFormat="1" applyFont="1" applyFill="1" applyBorder="1"/>
    <xf numFmtId="167" fontId="13" fillId="2" borderId="0" xfId="0" applyNumberFormat="1" applyFont="1" applyFill="1"/>
    <xf numFmtId="167" fontId="13" fillId="2" borderId="17" xfId="0" applyNumberFormat="1" applyFont="1" applyFill="1" applyBorder="1"/>
    <xf numFmtId="167" fontId="54" fillId="2" borderId="0" xfId="0" applyNumberFormat="1" applyFont="1" applyFill="1"/>
    <xf numFmtId="167" fontId="54" fillId="2" borderId="17" xfId="0" applyNumberFormat="1" applyFont="1" applyFill="1" applyBorder="1"/>
    <xf numFmtId="167" fontId="5" fillId="2" borderId="40" xfId="0" applyNumberFormat="1" applyFont="1" applyFill="1" applyBorder="1"/>
    <xf numFmtId="167" fontId="5" fillId="2" borderId="0" xfId="0" applyNumberFormat="1" applyFont="1" applyFill="1"/>
    <xf numFmtId="167" fontId="5" fillId="2" borderId="17" xfId="0" applyNumberFormat="1" applyFont="1" applyFill="1" applyBorder="1"/>
    <xf numFmtId="167" fontId="55" fillId="2" borderId="0" xfId="0" applyNumberFormat="1" applyFont="1" applyFill="1"/>
    <xf numFmtId="167" fontId="56" fillId="2" borderId="17" xfId="0" applyNumberFormat="1" applyFont="1" applyFill="1" applyBorder="1"/>
    <xf numFmtId="167" fontId="5" fillId="2" borderId="50" xfId="0" applyNumberFormat="1" applyFont="1" applyFill="1" applyBorder="1"/>
    <xf numFmtId="167" fontId="5" fillId="2" borderId="25" xfId="0" applyNumberFormat="1" applyFont="1" applyFill="1" applyBorder="1"/>
    <xf numFmtId="167" fontId="5" fillId="2" borderId="26" xfId="0" applyNumberFormat="1" applyFont="1" applyFill="1" applyBorder="1"/>
    <xf numFmtId="167" fontId="55" fillId="2" borderId="25" xfId="0" applyNumberFormat="1" applyFont="1" applyFill="1" applyBorder="1"/>
    <xf numFmtId="167" fontId="56" fillId="2" borderId="26" xfId="0" applyNumberFormat="1" applyFont="1" applyFill="1" applyBorder="1"/>
    <xf numFmtId="167" fontId="52" fillId="2" borderId="0" xfId="6" applyNumberFormat="1" applyFont="1" applyFill="1"/>
    <xf numFmtId="167" fontId="52" fillId="2" borderId="40" xfId="0" applyNumberFormat="1" applyFont="1" applyFill="1" applyBorder="1"/>
    <xf numFmtId="167" fontId="52" fillId="2" borderId="0" xfId="0" applyNumberFormat="1" applyFont="1" applyFill="1"/>
    <xf numFmtId="167" fontId="57" fillId="2" borderId="17" xfId="0" applyNumberFormat="1" applyFont="1" applyFill="1" applyBorder="1"/>
    <xf numFmtId="167" fontId="57" fillId="2" borderId="0" xfId="0" applyNumberFormat="1" applyFont="1" applyFill="1"/>
    <xf numFmtId="167" fontId="58" fillId="2" borderId="17" xfId="0" applyNumberFormat="1" applyFont="1" applyFill="1" applyBorder="1"/>
    <xf numFmtId="167" fontId="58" fillId="2" borderId="0" xfId="0" applyNumberFormat="1" applyFont="1" applyFill="1"/>
    <xf numFmtId="167" fontId="58" fillId="2" borderId="28" xfId="0" applyNumberFormat="1" applyFont="1" applyFill="1" applyBorder="1"/>
    <xf numFmtId="167" fontId="58" fillId="2" borderId="51" xfId="0" applyNumberFormat="1" applyFont="1" applyFill="1" applyBorder="1"/>
    <xf numFmtId="167" fontId="52" fillId="2" borderId="28" xfId="0" applyNumberFormat="1" applyFont="1" applyFill="1" applyBorder="1"/>
    <xf numFmtId="167" fontId="52" fillId="2" borderId="51" xfId="0" applyNumberFormat="1" applyFont="1" applyFill="1" applyBorder="1"/>
    <xf numFmtId="171" fontId="13" fillId="2" borderId="40" xfId="28" applyNumberFormat="1" applyFill="1" applyBorder="1"/>
    <xf numFmtId="171" fontId="13" fillId="2" borderId="0" xfId="28" applyNumberFormat="1" applyFill="1" applyBorder="1"/>
    <xf numFmtId="171" fontId="13" fillId="2" borderId="17" xfId="28" applyNumberFormat="1" applyFill="1" applyBorder="1"/>
    <xf numFmtId="4" fontId="10" fillId="2" borderId="17" xfId="28" applyNumberFormat="1" applyFont="1" applyFill="1" applyBorder="1"/>
    <xf numFmtId="167" fontId="56" fillId="2" borderId="0" xfId="0" applyNumberFormat="1" applyFont="1" applyFill="1"/>
    <xf numFmtId="37" fontId="5" fillId="2" borderId="40" xfId="0" applyFont="1" applyFill="1" applyBorder="1"/>
    <xf numFmtId="37" fontId="5" fillId="2" borderId="17" xfId="0" applyFont="1" applyFill="1" applyBorder="1"/>
    <xf numFmtId="167" fontId="52" fillId="2" borderId="17" xfId="0" applyNumberFormat="1" applyFont="1" applyFill="1" applyBorder="1"/>
    <xf numFmtId="167" fontId="59" fillId="2" borderId="0" xfId="0" applyNumberFormat="1" applyFont="1" applyFill="1"/>
    <xf numFmtId="10" fontId="13" fillId="2" borderId="40" xfId="28" applyFill="1" applyBorder="1" applyAlignment="1">
      <alignment horizontal="left" indent="1"/>
    </xf>
    <xf numFmtId="10" fontId="13" fillId="2" borderId="17" xfId="28" applyFill="1" applyBorder="1"/>
    <xf numFmtId="10" fontId="54" fillId="2" borderId="0" xfId="28" applyFont="1" applyFill="1"/>
    <xf numFmtId="10" fontId="54" fillId="2" borderId="17" xfId="28" applyFont="1" applyFill="1" applyBorder="1"/>
    <xf numFmtId="10" fontId="13" fillId="7" borderId="17" xfId="28" applyFill="1" applyBorder="1"/>
    <xf numFmtId="167" fontId="10" fillId="2" borderId="40" xfId="7" applyNumberFormat="1" applyFont="1" applyFill="1" applyBorder="1"/>
    <xf numFmtId="167" fontId="10" fillId="2" borderId="0" xfId="7" applyNumberFormat="1" applyFont="1" applyFill="1" applyBorder="1"/>
    <xf numFmtId="167" fontId="10" fillId="2" borderId="17" xfId="7" applyNumberFormat="1" applyFont="1" applyFill="1" applyBorder="1"/>
    <xf numFmtId="167" fontId="10" fillId="2" borderId="0" xfId="7" applyNumberFormat="1" applyFont="1" applyFill="1"/>
    <xf numFmtId="167" fontId="60" fillId="2" borderId="0" xfId="7" applyNumberFormat="1" applyFont="1" applyFill="1"/>
    <xf numFmtId="167" fontId="60" fillId="2" borderId="17" xfId="7" applyNumberFormat="1" applyFont="1" applyFill="1" applyBorder="1"/>
    <xf numFmtId="186" fontId="13" fillId="2" borderId="0" xfId="28" applyNumberFormat="1" applyFill="1"/>
    <xf numFmtId="186" fontId="13" fillId="2" borderId="17" xfId="28" applyNumberFormat="1" applyFill="1" applyBorder="1"/>
    <xf numFmtId="167" fontId="8" fillId="2" borderId="0" xfId="7" applyNumberFormat="1" applyFont="1" applyFill="1"/>
    <xf numFmtId="10" fontId="10" fillId="2" borderId="17" xfId="7" applyNumberFormat="1" applyFont="1" applyFill="1" applyBorder="1"/>
    <xf numFmtId="167" fontId="5" fillId="2" borderId="40" xfId="0" applyNumberFormat="1" applyFont="1" applyFill="1" applyBorder="1" applyAlignment="1">
      <alignment horizontal="left"/>
    </xf>
    <xf numFmtId="167" fontId="55" fillId="2" borderId="17" xfId="0" applyNumberFormat="1" applyFont="1" applyFill="1" applyBorder="1"/>
    <xf numFmtId="0" fontId="10" fillId="2" borderId="40" xfId="7" applyNumberFormat="1" applyFont="1" applyFill="1" applyBorder="1"/>
    <xf numFmtId="0" fontId="10" fillId="2" borderId="0" xfId="7" applyNumberFormat="1" applyFont="1" applyFill="1" applyBorder="1"/>
    <xf numFmtId="0" fontId="10" fillId="2" borderId="17" xfId="7" applyNumberFormat="1" applyFont="1" applyFill="1" applyBorder="1"/>
    <xf numFmtId="0" fontId="10" fillId="2" borderId="0" xfId="7" applyNumberFormat="1" applyFont="1" applyFill="1"/>
    <xf numFmtId="10" fontId="10" fillId="2" borderId="0" xfId="7" applyNumberFormat="1" applyFont="1" applyFill="1" applyBorder="1"/>
    <xf numFmtId="10" fontId="45" fillId="2" borderId="0" xfId="28" applyFont="1" applyFill="1"/>
    <xf numFmtId="37" fontId="52" fillId="2" borderId="17" xfId="0" applyFont="1" applyFill="1" applyBorder="1"/>
    <xf numFmtId="8" fontId="13" fillId="2" borderId="17" xfId="28" applyNumberFormat="1" applyFill="1" applyBorder="1"/>
    <xf numFmtId="43" fontId="13" fillId="2" borderId="0" xfId="13" applyFont="1" applyFill="1"/>
    <xf numFmtId="43" fontId="13" fillId="2" borderId="17" xfId="13" applyFont="1" applyFill="1" applyBorder="1"/>
    <xf numFmtId="10" fontId="49" fillId="2" borderId="5" xfId="28" applyFont="1" applyFill="1" applyBorder="1"/>
    <xf numFmtId="167" fontId="10" fillId="2" borderId="5" xfId="7" applyNumberFormat="1" applyFont="1" applyFill="1" applyBorder="1"/>
    <xf numFmtId="167" fontId="13" fillId="2" borderId="0" xfId="7" applyNumberFormat="1" applyFont="1" applyFill="1"/>
    <xf numFmtId="167" fontId="10" fillId="2" borderId="0" xfId="7" applyNumberFormat="1" applyFont="1" applyFill="1" applyAlignment="1">
      <alignment horizontal="right"/>
    </xf>
    <xf numFmtId="167" fontId="8" fillId="2" borderId="0" xfId="7" applyNumberFormat="1" applyFont="1" applyFill="1" applyAlignment="1">
      <alignment horizontal="right"/>
    </xf>
    <xf numFmtId="0" fontId="13" fillId="2" borderId="0" xfId="6" applyNumberFormat="1" applyFont="1" applyFill="1"/>
    <xf numFmtId="0" fontId="13" fillId="2" borderId="5" xfId="7" applyNumberFormat="1" applyFont="1" applyFill="1" applyBorder="1" applyAlignment="1">
      <alignment horizontal="left" indent="1"/>
    </xf>
    <xf numFmtId="0" fontId="13" fillId="2" borderId="0" xfId="7" applyNumberFormat="1" applyFont="1" applyFill="1"/>
    <xf numFmtId="167" fontId="13" fillId="2" borderId="0" xfId="7" applyNumberFormat="1" applyFont="1" applyFill="1" applyBorder="1" applyAlignment="1">
      <alignment horizontal="right"/>
    </xf>
    <xf numFmtId="37" fontId="13" fillId="2" borderId="17" xfId="0" applyFont="1" applyFill="1" applyBorder="1"/>
    <xf numFmtId="171" fontId="54" fillId="2" borderId="17" xfId="0" applyNumberFormat="1" applyFont="1" applyFill="1" applyBorder="1"/>
    <xf numFmtId="171" fontId="54" fillId="2" borderId="0" xfId="0" applyNumberFormat="1" applyFont="1" applyFill="1"/>
    <xf numFmtId="171" fontId="13" fillId="2" borderId="0" xfId="0" applyNumberFormat="1" applyFont="1" applyFill="1"/>
    <xf numFmtId="171" fontId="13" fillId="2" borderId="17" xfId="0" applyNumberFormat="1" applyFont="1" applyFill="1" applyBorder="1"/>
    <xf numFmtId="10" fontId="13" fillId="2" borderId="0" xfId="0" applyNumberFormat="1" applyFont="1" applyFill="1"/>
    <xf numFmtId="10" fontId="13" fillId="2" borderId="17" xfId="0" applyNumberFormat="1" applyFont="1" applyFill="1" applyBorder="1"/>
    <xf numFmtId="171" fontId="54" fillId="2" borderId="0" xfId="7" applyNumberFormat="1" applyFont="1" applyFill="1" applyAlignment="1">
      <alignment horizontal="right"/>
    </xf>
    <xf numFmtId="10" fontId="8" fillId="2" borderId="0" xfId="11" applyNumberFormat="1" applyFill="1"/>
    <xf numFmtId="10" fontId="13" fillId="2" borderId="40" xfId="28" applyFill="1" applyBorder="1" applyAlignment="1">
      <alignment horizontal="left" indent="2"/>
    </xf>
    <xf numFmtId="187" fontId="13" fillId="2" borderId="17" xfId="28" applyNumberFormat="1" applyFill="1" applyBorder="1"/>
    <xf numFmtId="187" fontId="13" fillId="2" borderId="0" xfId="28" applyNumberFormat="1" applyFill="1"/>
    <xf numFmtId="10" fontId="13" fillId="2" borderId="5" xfId="28" applyFill="1" applyBorder="1" applyAlignment="1">
      <alignment horizontal="left" indent="2"/>
    </xf>
    <xf numFmtId="167" fontId="10" fillId="2" borderId="0" xfId="7" applyNumberFormat="1" applyFont="1" applyFill="1" applyBorder="1" applyAlignment="1">
      <alignment horizontal="right"/>
    </xf>
    <xf numFmtId="171" fontId="13" fillId="2" borderId="0" xfId="7" applyNumberFormat="1" applyFont="1" applyFill="1" applyAlignment="1">
      <alignment horizontal="right"/>
    </xf>
    <xf numFmtId="171" fontId="13" fillId="2" borderId="0" xfId="7" applyNumberFormat="1" applyFont="1" applyFill="1" applyBorder="1" applyAlignment="1">
      <alignment horizontal="right"/>
    </xf>
    <xf numFmtId="10" fontId="54" fillId="2" borderId="0" xfId="7" applyNumberFormat="1" applyFont="1" applyFill="1" applyAlignment="1">
      <alignment horizontal="right"/>
    </xf>
    <xf numFmtId="10" fontId="54" fillId="2" borderId="17" xfId="7" applyNumberFormat="1" applyFont="1" applyFill="1" applyBorder="1" applyAlignment="1">
      <alignment horizontal="right"/>
    </xf>
    <xf numFmtId="10" fontId="13" fillId="2" borderId="0" xfId="7" applyNumberFormat="1" applyFont="1" applyFill="1" applyAlignment="1">
      <alignment horizontal="right"/>
    </xf>
    <xf numFmtId="10" fontId="13" fillId="2" borderId="17" xfId="7" applyNumberFormat="1" applyFont="1" applyFill="1" applyBorder="1" applyAlignment="1">
      <alignment horizontal="right"/>
    </xf>
    <xf numFmtId="167" fontId="10" fillId="2" borderId="5" xfId="7" applyNumberFormat="1" applyFont="1" applyFill="1" applyBorder="1" applyAlignment="1">
      <alignment horizontal="left"/>
    </xf>
    <xf numFmtId="167" fontId="10" fillId="2" borderId="0" xfId="7" applyNumberFormat="1" applyFont="1" applyFill="1" applyAlignment="1">
      <alignment horizontal="left"/>
    </xf>
    <xf numFmtId="167" fontId="60" fillId="2" borderId="0" xfId="7" applyNumberFormat="1" applyFont="1" applyFill="1" applyAlignment="1">
      <alignment horizontal="right"/>
    </xf>
    <xf numFmtId="167" fontId="13" fillId="2" borderId="0" xfId="7" applyNumberFormat="1" applyFont="1" applyFill="1" applyAlignment="1">
      <alignment horizontal="right"/>
    </xf>
    <xf numFmtId="10" fontId="10" fillId="2" borderId="5" xfId="28" applyFont="1" applyFill="1" applyBorder="1"/>
    <xf numFmtId="167" fontId="10" fillId="2" borderId="0" xfId="7" applyNumberFormat="1" applyFont="1" applyFill="1" applyAlignment="1">
      <alignment horizontal="left" indent="1"/>
    </xf>
    <xf numFmtId="167" fontId="10" fillId="2" borderId="0" xfId="0" applyNumberFormat="1" applyFont="1" applyFill="1"/>
    <xf numFmtId="167" fontId="10" fillId="2" borderId="40" xfId="0" applyNumberFormat="1" applyFont="1" applyFill="1" applyBorder="1"/>
    <xf numFmtId="167" fontId="10" fillId="2" borderId="17" xfId="0" applyNumberFormat="1" applyFont="1" applyFill="1" applyBorder="1"/>
    <xf numFmtId="167" fontId="60" fillId="2" borderId="0" xfId="0" applyNumberFormat="1" applyFont="1" applyFill="1"/>
    <xf numFmtId="167" fontId="60" fillId="2" borderId="17" xfId="0" applyNumberFormat="1" applyFont="1" applyFill="1" applyBorder="1"/>
    <xf numFmtId="167" fontId="60" fillId="7" borderId="17" xfId="0" applyNumberFormat="1" applyFont="1" applyFill="1" applyBorder="1"/>
    <xf numFmtId="167" fontId="60" fillId="7" borderId="0" xfId="0" applyNumberFormat="1" applyFont="1" applyFill="1"/>
    <xf numFmtId="167" fontId="10" fillId="7" borderId="0" xfId="0" applyNumberFormat="1" applyFont="1" applyFill="1"/>
    <xf numFmtId="167" fontId="10" fillId="7" borderId="17" xfId="0" applyNumberFormat="1" applyFont="1" applyFill="1" applyBorder="1"/>
    <xf numFmtId="10" fontId="13" fillId="7" borderId="0" xfId="28" applyFill="1" applyBorder="1"/>
    <xf numFmtId="167" fontId="58" fillId="7" borderId="17" xfId="0" applyNumberFormat="1" applyFont="1" applyFill="1" applyBorder="1"/>
    <xf numFmtId="167" fontId="58" fillId="7" borderId="0" xfId="0" applyNumberFormat="1" applyFont="1" applyFill="1"/>
    <xf numFmtId="167" fontId="52" fillId="7" borderId="0" xfId="0" applyNumberFormat="1" applyFont="1" applyFill="1"/>
    <xf numFmtId="167" fontId="52" fillId="7" borderId="17" xfId="0" applyNumberFormat="1" applyFont="1" applyFill="1" applyBorder="1"/>
    <xf numFmtId="10" fontId="54" fillId="7" borderId="17" xfId="28" applyFont="1" applyFill="1" applyBorder="1"/>
    <xf numFmtId="10" fontId="54" fillId="7" borderId="0" xfId="28" applyFont="1" applyFill="1"/>
    <xf numFmtId="167" fontId="56" fillId="7" borderId="17" xfId="0" applyNumberFormat="1" applyFont="1" applyFill="1" applyBorder="1"/>
    <xf numFmtId="167" fontId="56" fillId="7" borderId="0" xfId="0" applyNumberFormat="1" applyFont="1" applyFill="1"/>
    <xf numFmtId="167" fontId="5" fillId="7" borderId="0" xfId="0" applyNumberFormat="1" applyFont="1" applyFill="1"/>
    <xf numFmtId="167" fontId="5" fillId="7" borderId="17" xfId="0" applyNumberFormat="1" applyFont="1" applyFill="1" applyBorder="1"/>
    <xf numFmtId="37" fontId="10" fillId="2" borderId="40" xfId="0" applyFont="1" applyFill="1" applyBorder="1"/>
    <xf numFmtId="37" fontId="60" fillId="2" borderId="17" xfId="0" applyFont="1" applyFill="1" applyBorder="1"/>
    <xf numFmtId="37" fontId="60" fillId="2" borderId="0" xfId="0" applyFont="1" applyFill="1"/>
    <xf numFmtId="37" fontId="10" fillId="2" borderId="0" xfId="0" applyFont="1" applyFill="1"/>
    <xf numFmtId="37" fontId="10" fillId="2" borderId="17" xfId="0" applyFont="1" applyFill="1" applyBorder="1"/>
    <xf numFmtId="167" fontId="52" fillId="2" borderId="0" xfId="28" applyNumberFormat="1" applyFont="1" applyFill="1" applyBorder="1"/>
    <xf numFmtId="167" fontId="52" fillId="2" borderId="17" xfId="28" applyNumberFormat="1" applyFont="1" applyFill="1" applyBorder="1"/>
    <xf numFmtId="0" fontId="52" fillId="2" borderId="0" xfId="6" applyNumberFormat="1" applyFont="1" applyFill="1"/>
    <xf numFmtId="0" fontId="52" fillId="2" borderId="40" xfId="7" applyNumberFormat="1" applyFont="1" applyFill="1" applyBorder="1"/>
    <xf numFmtId="0" fontId="52" fillId="2" borderId="0" xfId="7" applyNumberFormat="1" applyFont="1" applyFill="1" applyBorder="1"/>
    <xf numFmtId="8" fontId="58" fillId="2" borderId="0" xfId="7" applyNumberFormat="1" applyFont="1" applyFill="1" applyAlignment="1">
      <alignment horizontal="right"/>
    </xf>
    <xf numFmtId="8" fontId="58" fillId="2" borderId="17" xfId="7" applyNumberFormat="1" applyFont="1" applyFill="1" applyBorder="1" applyAlignment="1">
      <alignment horizontal="right"/>
    </xf>
    <xf numFmtId="8" fontId="52" fillId="2" borderId="0" xfId="7" applyNumberFormat="1" applyFont="1" applyFill="1" applyAlignment="1">
      <alignment horizontal="right"/>
    </xf>
    <xf numFmtId="8" fontId="52" fillId="2" borderId="17" xfId="7" applyNumberFormat="1" applyFont="1" applyFill="1" applyBorder="1" applyAlignment="1">
      <alignment horizontal="right"/>
    </xf>
    <xf numFmtId="0" fontId="52" fillId="2" borderId="43" xfId="7" applyNumberFormat="1" applyFont="1" applyFill="1" applyBorder="1"/>
    <xf numFmtId="0" fontId="52" fillId="2" borderId="38" xfId="7" applyNumberFormat="1" applyFont="1" applyFill="1" applyBorder="1"/>
    <xf numFmtId="0" fontId="58" fillId="2" borderId="9" xfId="7" applyNumberFormat="1" applyFont="1" applyFill="1" applyBorder="1" applyAlignment="1">
      <alignment horizontal="right"/>
    </xf>
    <xf numFmtId="8" fontId="58" fillId="2" borderId="9" xfId="7" applyNumberFormat="1" applyFont="1" applyFill="1" applyBorder="1" applyAlignment="1">
      <alignment horizontal="right"/>
    </xf>
    <xf numFmtId="8" fontId="58" fillId="2" borderId="39" xfId="7" applyNumberFormat="1" applyFont="1" applyFill="1" applyBorder="1" applyAlignment="1">
      <alignment horizontal="right"/>
    </xf>
    <xf numFmtId="8" fontId="52" fillId="2" borderId="9" xfId="7" applyNumberFormat="1" applyFont="1" applyFill="1" applyBorder="1" applyAlignment="1">
      <alignment horizontal="right"/>
    </xf>
    <xf numFmtId="8" fontId="52" fillId="2" borderId="39" xfId="7" applyNumberFormat="1" applyFont="1" applyFill="1" applyBorder="1" applyAlignment="1">
      <alignment horizontal="right"/>
    </xf>
    <xf numFmtId="0" fontId="10" fillId="2" borderId="0" xfId="6" applyNumberFormat="1" applyFont="1" applyFill="1" applyBorder="1"/>
    <xf numFmtId="171" fontId="10" fillId="2" borderId="0" xfId="6" applyNumberFormat="1" applyFont="1" applyFill="1"/>
    <xf numFmtId="9" fontId="10" fillId="2" borderId="0" xfId="6" applyNumberFormat="1" applyFont="1" applyFill="1"/>
    <xf numFmtId="0" fontId="52" fillId="8" borderId="13" xfId="9" applyNumberFormat="1" applyFont="1" applyFill="1" applyBorder="1"/>
    <xf numFmtId="0" fontId="10" fillId="8" borderId="14" xfId="6" applyNumberFormat="1" applyFont="1" applyFill="1" applyBorder="1"/>
    <xf numFmtId="0" fontId="10" fillId="8" borderId="24" xfId="6" applyNumberFormat="1" applyFont="1" applyFill="1" applyBorder="1"/>
    <xf numFmtId="10" fontId="10" fillId="8" borderId="24" xfId="6" applyNumberFormat="1" applyFont="1" applyFill="1" applyBorder="1"/>
    <xf numFmtId="0" fontId="10" fillId="8" borderId="12" xfId="6" applyNumberFormat="1" applyFont="1" applyFill="1" applyBorder="1"/>
    <xf numFmtId="0" fontId="52" fillId="2" borderId="5" xfId="7" applyNumberFormat="1" applyFont="1" applyFill="1" applyBorder="1"/>
    <xf numFmtId="0" fontId="52" fillId="2" borderId="0" xfId="7" applyNumberFormat="1" applyFont="1" applyFill="1"/>
    <xf numFmtId="0" fontId="10" fillId="2" borderId="52" xfId="7" applyNumberFormat="1" applyFont="1" applyFill="1" applyBorder="1"/>
    <xf numFmtId="167" fontId="5" fillId="2" borderId="5" xfId="0" applyNumberFormat="1" applyFont="1" applyFill="1" applyBorder="1"/>
    <xf numFmtId="167" fontId="5" fillId="2" borderId="52" xfId="0" applyNumberFormat="1" applyFont="1" applyFill="1" applyBorder="1"/>
    <xf numFmtId="167" fontId="56" fillId="2" borderId="25" xfId="0" applyNumberFormat="1" applyFont="1" applyFill="1" applyBorder="1"/>
    <xf numFmtId="167" fontId="5" fillId="7" borderId="53" xfId="0" applyNumberFormat="1" applyFont="1" applyFill="1" applyBorder="1" applyAlignment="1">
      <alignment horizontal="left"/>
    </xf>
    <xf numFmtId="167" fontId="55" fillId="2" borderId="26" xfId="0" applyNumberFormat="1" applyFont="1" applyFill="1" applyBorder="1"/>
    <xf numFmtId="167" fontId="55" fillId="2" borderId="54" xfId="0" applyNumberFormat="1" applyFont="1" applyFill="1" applyBorder="1"/>
    <xf numFmtId="167" fontId="55" fillId="2" borderId="55" xfId="0" applyNumberFormat="1" applyFont="1" applyFill="1" applyBorder="1"/>
    <xf numFmtId="167" fontId="56" fillId="2" borderId="55" xfId="0" applyNumberFormat="1" applyFont="1" applyFill="1" applyBorder="1"/>
    <xf numFmtId="167" fontId="5" fillId="2" borderId="54" xfId="0" applyNumberFormat="1" applyFont="1" applyFill="1" applyBorder="1"/>
    <xf numFmtId="167" fontId="5" fillId="2" borderId="56" xfId="0" applyNumberFormat="1" applyFont="1" applyFill="1" applyBorder="1"/>
    <xf numFmtId="10" fontId="13" fillId="7" borderId="5" xfId="28" applyFill="1" applyBorder="1" applyAlignment="1">
      <alignment horizontal="left" indent="1"/>
    </xf>
    <xf numFmtId="10" fontId="60" fillId="2" borderId="0" xfId="11" applyNumberFormat="1" applyFont="1" applyFill="1"/>
    <xf numFmtId="10" fontId="61" fillId="2" borderId="0" xfId="11" applyNumberFormat="1" applyFont="1" applyFill="1"/>
    <xf numFmtId="10" fontId="13" fillId="2" borderId="52" xfId="28" applyFill="1" applyBorder="1"/>
    <xf numFmtId="10" fontId="8" fillId="2" borderId="0" xfId="11" applyNumberFormat="1" applyFill="1" applyBorder="1"/>
    <xf numFmtId="10" fontId="8" fillId="7" borderId="0" xfId="11" applyNumberFormat="1" applyFill="1" applyBorder="1"/>
    <xf numFmtId="10" fontId="8" fillId="7" borderId="0" xfId="6" applyNumberFormat="1" applyFont="1" applyFill="1" applyBorder="1"/>
    <xf numFmtId="10" fontId="8" fillId="2" borderId="0" xfId="6" applyNumberFormat="1" applyFont="1" applyFill="1" applyBorder="1"/>
    <xf numFmtId="167" fontId="5" fillId="7" borderId="5" xfId="0" applyNumberFormat="1" applyFont="1" applyFill="1" applyBorder="1"/>
    <xf numFmtId="10" fontId="10" fillId="7" borderId="5" xfId="28" applyFont="1" applyFill="1" applyBorder="1" applyAlignment="1">
      <alignment horizontal="left" indent="1"/>
    </xf>
    <xf numFmtId="177" fontId="8" fillId="2" borderId="0" xfId="28" applyNumberFormat="1" applyFont="1" applyFill="1"/>
    <xf numFmtId="177" fontId="10" fillId="2" borderId="0" xfId="28" applyNumberFormat="1" applyFont="1" applyFill="1"/>
    <xf numFmtId="10" fontId="10" fillId="7" borderId="17" xfId="28" applyFont="1" applyFill="1" applyBorder="1"/>
    <xf numFmtId="10" fontId="10" fillId="2" borderId="52" xfId="28" applyFont="1" applyFill="1" applyBorder="1"/>
    <xf numFmtId="10" fontId="10" fillId="2" borderId="0" xfId="28" applyFont="1" applyFill="1"/>
    <xf numFmtId="4" fontId="60" fillId="2" borderId="0" xfId="7" applyNumberFormat="1" applyFont="1" applyFill="1"/>
    <xf numFmtId="4" fontId="10" fillId="2" borderId="0" xfId="7" applyNumberFormat="1" applyFont="1" applyFill="1"/>
    <xf numFmtId="10" fontId="10" fillId="7" borderId="0" xfId="28" applyFont="1" applyFill="1" applyBorder="1"/>
    <xf numFmtId="10" fontId="10" fillId="7" borderId="0" xfId="6" applyNumberFormat="1" applyFont="1" applyFill="1" applyBorder="1"/>
    <xf numFmtId="10" fontId="13" fillId="7" borderId="5" xfId="28" applyFill="1" applyBorder="1" applyAlignment="1">
      <alignment horizontal="left" indent="2"/>
    </xf>
    <xf numFmtId="10" fontId="13" fillId="7" borderId="0" xfId="6" applyNumberFormat="1" applyFont="1" applyFill="1" applyBorder="1"/>
    <xf numFmtId="10" fontId="13" fillId="2" borderId="0" xfId="6" applyNumberFormat="1" applyFont="1" applyFill="1" applyBorder="1"/>
    <xf numFmtId="188" fontId="13" fillId="7" borderId="5" xfId="28" applyNumberFormat="1" applyFill="1" applyBorder="1" applyAlignment="1">
      <alignment horizontal="left" indent="1"/>
    </xf>
    <xf numFmtId="177" fontId="10" fillId="2" borderId="0" xfId="7" applyNumberFormat="1" applyFont="1" applyFill="1" applyBorder="1"/>
    <xf numFmtId="0" fontId="52" fillId="7" borderId="5" xfId="7" applyNumberFormat="1" applyFont="1" applyFill="1" applyBorder="1"/>
    <xf numFmtId="177" fontId="10" fillId="7" borderId="0" xfId="7" applyNumberFormat="1" applyFont="1" applyFill="1" applyBorder="1"/>
    <xf numFmtId="37" fontId="10" fillId="7" borderId="17" xfId="0" applyFont="1" applyFill="1" applyBorder="1"/>
    <xf numFmtId="177" fontId="10" fillId="7" borderId="0" xfId="6" applyNumberFormat="1" applyFont="1" applyFill="1" applyBorder="1"/>
    <xf numFmtId="177" fontId="10" fillId="2" borderId="0" xfId="6" applyNumberFormat="1" applyFont="1" applyFill="1" applyBorder="1"/>
    <xf numFmtId="37" fontId="10" fillId="2" borderId="52" xfId="0" applyFont="1" applyFill="1" applyBorder="1"/>
    <xf numFmtId="177" fontId="10" fillId="2" borderId="0" xfId="7" applyNumberFormat="1" applyFont="1" applyFill="1"/>
    <xf numFmtId="167" fontId="55" fillId="7" borderId="54" xfId="0" applyNumberFormat="1" applyFont="1" applyFill="1" applyBorder="1"/>
    <xf numFmtId="167" fontId="5" fillId="7" borderId="55" xfId="0" applyNumberFormat="1" applyFont="1" applyFill="1" applyBorder="1"/>
    <xf numFmtId="10" fontId="10" fillId="7" borderId="0" xfId="11" applyNumberFormat="1" applyFont="1" applyFill="1"/>
    <xf numFmtId="37" fontId="5" fillId="2" borderId="52" xfId="0" applyFont="1" applyFill="1" applyBorder="1"/>
    <xf numFmtId="167" fontId="52" fillId="7" borderId="5" xfId="0" applyNumberFormat="1" applyFont="1" applyFill="1" applyBorder="1"/>
    <xf numFmtId="167" fontId="52" fillId="2" borderId="52" xfId="0" applyNumberFormat="1" applyFont="1" applyFill="1" applyBorder="1"/>
    <xf numFmtId="0" fontId="13" fillId="7" borderId="5" xfId="7" applyNumberFormat="1" applyFont="1" applyFill="1" applyBorder="1" applyAlignment="1">
      <alignment horizontal="left" indent="1"/>
    </xf>
    <xf numFmtId="4" fontId="13" fillId="2" borderId="17" xfId="28" applyNumberFormat="1" applyFill="1" applyBorder="1"/>
    <xf numFmtId="0" fontId="10" fillId="7" borderId="5" xfId="7" applyNumberFormat="1" applyFont="1" applyFill="1" applyBorder="1"/>
    <xf numFmtId="171" fontId="10" fillId="2" borderId="0" xfId="7" applyNumberFormat="1" applyFont="1" applyFill="1" applyBorder="1"/>
    <xf numFmtId="171" fontId="8" fillId="2" borderId="0" xfId="7" applyNumberFormat="1" applyFont="1" applyFill="1"/>
    <xf numFmtId="171" fontId="8" fillId="2" borderId="17" xfId="7" applyNumberFormat="1" applyFont="1" applyFill="1" applyBorder="1"/>
    <xf numFmtId="171" fontId="8" fillId="2" borderId="17" xfId="11" applyNumberFormat="1" applyFill="1" applyBorder="1"/>
    <xf numFmtId="171" fontId="8" fillId="2" borderId="0" xfId="11" applyNumberFormat="1" applyFill="1"/>
    <xf numFmtId="171" fontId="10" fillId="2" borderId="0" xfId="11" applyNumberFormat="1" applyFont="1" applyFill="1"/>
    <xf numFmtId="171" fontId="10" fillId="2" borderId="17" xfId="11" applyNumberFormat="1" applyFont="1" applyFill="1" applyBorder="1"/>
    <xf numFmtId="171" fontId="10" fillId="2" borderId="52" xfId="11" applyNumberFormat="1" applyFont="1" applyFill="1" applyBorder="1"/>
    <xf numFmtId="171" fontId="10" fillId="2" borderId="0" xfId="7" applyNumberFormat="1" applyFont="1" applyFill="1"/>
    <xf numFmtId="8" fontId="10" fillId="2" borderId="17" xfId="7" applyNumberFormat="1" applyFont="1" applyFill="1" applyBorder="1"/>
    <xf numFmtId="167" fontId="10" fillId="7" borderId="5" xfId="7" applyNumberFormat="1" applyFont="1" applyFill="1" applyBorder="1"/>
    <xf numFmtId="167" fontId="8" fillId="2" borderId="17" xfId="7" applyNumberFormat="1" applyFont="1" applyFill="1" applyBorder="1"/>
    <xf numFmtId="167" fontId="10" fillId="2" borderId="52" xfId="7" applyNumberFormat="1" applyFont="1" applyFill="1" applyBorder="1"/>
    <xf numFmtId="0" fontId="10" fillId="2" borderId="5" xfId="7" applyNumberFormat="1" applyFont="1" applyFill="1" applyBorder="1"/>
    <xf numFmtId="0" fontId="10" fillId="2" borderId="8" xfId="7" applyNumberFormat="1" applyFont="1" applyFill="1" applyBorder="1"/>
    <xf numFmtId="0" fontId="10" fillId="2" borderId="9" xfId="7" applyNumberFormat="1" applyFont="1" applyFill="1" applyBorder="1"/>
    <xf numFmtId="0" fontId="10" fillId="2" borderId="15" xfId="7" applyNumberFormat="1" applyFont="1" applyFill="1" applyBorder="1"/>
    <xf numFmtId="171" fontId="10" fillId="2" borderId="9" xfId="7" applyNumberFormat="1" applyFont="1" applyFill="1" applyBorder="1"/>
    <xf numFmtId="171" fontId="8" fillId="2" borderId="9" xfId="7" applyNumberFormat="1" applyFont="1" applyFill="1" applyBorder="1"/>
    <xf numFmtId="171" fontId="8" fillId="2" borderId="15" xfId="7" applyNumberFormat="1" applyFont="1" applyFill="1" applyBorder="1"/>
    <xf numFmtId="171" fontId="10" fillId="2" borderId="15" xfId="7" applyNumberFormat="1" applyFont="1" applyFill="1" applyBorder="1"/>
    <xf numFmtId="171" fontId="10" fillId="2" borderId="57" xfId="7" applyNumberFormat="1" applyFont="1" applyFill="1" applyBorder="1"/>
    <xf numFmtId="10" fontId="13" fillId="2" borderId="5" xfId="28" applyFill="1" applyBorder="1" applyAlignment="1">
      <alignment horizontal="left" indent="1"/>
    </xf>
    <xf numFmtId="10" fontId="13" fillId="2" borderId="58" xfId="28" applyFill="1" applyBorder="1"/>
    <xf numFmtId="0" fontId="10" fillId="2" borderId="9" xfId="6" applyNumberFormat="1" applyFont="1" applyFill="1" applyBorder="1"/>
    <xf numFmtId="0" fontId="10" fillId="2" borderId="59" xfId="7" applyNumberFormat="1" applyFont="1" applyFill="1" applyBorder="1"/>
    <xf numFmtId="44" fontId="10" fillId="2" borderId="0" xfId="6" applyNumberFormat="1" applyFont="1" applyFill="1"/>
    <xf numFmtId="0" fontId="10" fillId="2" borderId="5" xfId="7" applyNumberFormat="1" applyFont="1" applyFill="1" applyBorder="1" applyAlignment="1">
      <alignment horizontal="left" indent="1"/>
    </xf>
    <xf numFmtId="44" fontId="10" fillId="2" borderId="0" xfId="7" applyNumberFormat="1" applyFont="1" applyFill="1" applyBorder="1"/>
    <xf numFmtId="44" fontId="10" fillId="2" borderId="17" xfId="7" applyNumberFormat="1" applyFont="1" applyFill="1" applyBorder="1"/>
    <xf numFmtId="44" fontId="60" fillId="2" borderId="0" xfId="7" applyNumberFormat="1" applyFont="1" applyFill="1"/>
    <xf numFmtId="44" fontId="60" fillId="2" borderId="17" xfId="7" applyNumberFormat="1" applyFont="1" applyFill="1" applyBorder="1"/>
    <xf numFmtId="44" fontId="10" fillId="2" borderId="0" xfId="7" applyNumberFormat="1" applyFont="1" applyFill="1"/>
    <xf numFmtId="44" fontId="8" fillId="2" borderId="17" xfId="7" applyNumberFormat="1" applyFont="1" applyFill="1" applyBorder="1"/>
    <xf numFmtId="44" fontId="13" fillId="2" borderId="0" xfId="6" applyNumberFormat="1" applyFont="1" applyFill="1" applyBorder="1"/>
    <xf numFmtId="0" fontId="10" fillId="7" borderId="5" xfId="7" applyNumberFormat="1" applyFont="1" applyFill="1" applyBorder="1" applyAlignment="1">
      <alignment horizontal="left" indent="1"/>
    </xf>
    <xf numFmtId="10" fontId="60" fillId="2" borderId="0" xfId="28" applyFont="1" applyFill="1"/>
    <xf numFmtId="10" fontId="60" fillId="2" borderId="17" xfId="7" applyNumberFormat="1" applyFont="1" applyFill="1" applyBorder="1"/>
    <xf numFmtId="10" fontId="10" fillId="7" borderId="17" xfId="7" applyNumberFormat="1" applyFont="1" applyFill="1" applyBorder="1"/>
    <xf numFmtId="10" fontId="8" fillId="7" borderId="0" xfId="11" applyNumberFormat="1" applyFill="1"/>
    <xf numFmtId="177" fontId="8" fillId="2" borderId="0" xfId="7" applyNumberFormat="1" applyFont="1" applyFill="1"/>
    <xf numFmtId="177" fontId="8" fillId="2" borderId="17" xfId="7" applyNumberFormat="1" applyFont="1" applyFill="1" applyBorder="1"/>
    <xf numFmtId="177" fontId="60" fillId="2" borderId="17" xfId="7" applyNumberFormat="1" applyFont="1" applyFill="1" applyBorder="1"/>
    <xf numFmtId="177" fontId="60" fillId="2" borderId="0" xfId="7" applyNumberFormat="1" applyFont="1" applyFill="1"/>
    <xf numFmtId="177" fontId="10" fillId="2" borderId="17" xfId="7" applyNumberFormat="1" applyFont="1" applyFill="1" applyBorder="1"/>
    <xf numFmtId="177" fontId="10" fillId="2" borderId="0" xfId="6" applyNumberFormat="1" applyFont="1" applyFill="1"/>
    <xf numFmtId="10" fontId="45" fillId="2" borderId="0" xfId="11" applyNumberFormat="1" applyFont="1" applyFill="1"/>
    <xf numFmtId="10" fontId="54" fillId="2" borderId="0" xfId="11" applyNumberFormat="1" applyFont="1" applyFill="1"/>
    <xf numFmtId="10" fontId="8" fillId="2" borderId="0" xfId="6" applyNumberFormat="1" applyFont="1" applyFill="1"/>
    <xf numFmtId="44" fontId="5" fillId="2" borderId="0" xfId="6" applyNumberFormat="1" applyFont="1" applyFill="1"/>
    <xf numFmtId="0" fontId="5" fillId="7" borderId="5" xfId="0" applyNumberFormat="1" applyFont="1" applyFill="1" applyBorder="1" applyAlignment="1">
      <alignment horizontal="left" indent="1"/>
    </xf>
    <xf numFmtId="44" fontId="5" fillId="2" borderId="0" xfId="0" applyNumberFormat="1" applyFont="1" applyFill="1"/>
    <xf numFmtId="44" fontId="5" fillId="2" borderId="17" xfId="0" applyNumberFormat="1" applyFont="1" applyFill="1" applyBorder="1"/>
    <xf numFmtId="44" fontId="56" fillId="2" borderId="0" xfId="0" applyNumberFormat="1" applyFont="1" applyFill="1"/>
    <xf numFmtId="44" fontId="56" fillId="2" borderId="17" xfId="0" applyNumberFormat="1" applyFont="1" applyFill="1" applyBorder="1"/>
    <xf numFmtId="10" fontId="10" fillId="2" borderId="0" xfId="7" applyNumberFormat="1" applyFont="1" applyFill="1"/>
    <xf numFmtId="10" fontId="45" fillId="2" borderId="17" xfId="28" applyFont="1" applyFill="1" applyBorder="1"/>
    <xf numFmtId="10" fontId="8" fillId="2" borderId="0" xfId="7" applyNumberFormat="1" applyFont="1" applyFill="1"/>
    <xf numFmtId="10" fontId="60" fillId="2" borderId="0" xfId="7" applyNumberFormat="1" applyFont="1" applyFill="1"/>
    <xf numFmtId="10" fontId="10" fillId="7" borderId="5" xfId="28" applyFont="1" applyFill="1" applyBorder="1"/>
    <xf numFmtId="171" fontId="60" fillId="2" borderId="0" xfId="7" applyNumberFormat="1" applyFont="1" applyFill="1"/>
    <xf numFmtId="171" fontId="60" fillId="2" borderId="0" xfId="11" applyNumberFormat="1" applyFont="1" applyFill="1"/>
    <xf numFmtId="171" fontId="10" fillId="7" borderId="0" xfId="11" applyNumberFormat="1" applyFont="1" applyFill="1"/>
    <xf numFmtId="10" fontId="60" fillId="2" borderId="17" xfId="28" applyFont="1" applyFill="1" applyBorder="1"/>
    <xf numFmtId="37" fontId="52" fillId="7" borderId="5" xfId="0" applyFont="1" applyFill="1" applyBorder="1"/>
    <xf numFmtId="37" fontId="55" fillId="2" borderId="0" xfId="0" applyFont="1" applyFill="1"/>
    <xf numFmtId="37" fontId="55" fillId="2" borderId="17" xfId="0" applyFont="1" applyFill="1" applyBorder="1"/>
    <xf numFmtId="37" fontId="56" fillId="2" borderId="17" xfId="0" applyFont="1" applyFill="1" applyBorder="1"/>
    <xf numFmtId="37" fontId="56" fillId="2" borderId="0" xfId="0" applyFont="1" applyFill="1"/>
    <xf numFmtId="10" fontId="60" fillId="2" borderId="17" xfId="11" applyNumberFormat="1" applyFont="1" applyFill="1" applyBorder="1"/>
    <xf numFmtId="10" fontId="10" fillId="2" borderId="17" xfId="11" applyNumberFormat="1" applyFont="1" applyFill="1" applyBorder="1"/>
    <xf numFmtId="10" fontId="10" fillId="2" borderId="0" xfId="11" applyNumberFormat="1" applyFont="1" applyFill="1"/>
    <xf numFmtId="0" fontId="13" fillId="2" borderId="0" xfId="7" applyNumberFormat="1" applyFont="1" applyFill="1" applyBorder="1"/>
    <xf numFmtId="171" fontId="13" fillId="2" borderId="0" xfId="7" applyNumberFormat="1" applyFont="1" applyFill="1" applyBorder="1"/>
    <xf numFmtId="0" fontId="13" fillId="2" borderId="17" xfId="7" applyNumberFormat="1" applyFont="1" applyFill="1" applyBorder="1"/>
    <xf numFmtId="171" fontId="54" fillId="2" borderId="0" xfId="7" applyNumberFormat="1" applyFont="1" applyFill="1"/>
    <xf numFmtId="171" fontId="13" fillId="2" borderId="0" xfId="7" applyNumberFormat="1" applyFont="1" applyFill="1"/>
    <xf numFmtId="171" fontId="10" fillId="2" borderId="0" xfId="6" applyNumberFormat="1" applyFont="1" applyFill="1" applyBorder="1"/>
    <xf numFmtId="10" fontId="10" fillId="2" borderId="5" xfId="28" applyFont="1" applyFill="1" applyBorder="1" applyAlignment="1">
      <alignment horizontal="left" indent="1"/>
    </xf>
    <xf numFmtId="10" fontId="10" fillId="2" borderId="5" xfId="28" applyFont="1" applyFill="1" applyBorder="1" applyAlignment="1">
      <alignment horizontal="left" indent="2"/>
    </xf>
    <xf numFmtId="10" fontId="8" fillId="2" borderId="0" xfId="28" applyFont="1" applyFill="1"/>
    <xf numFmtId="10" fontId="8" fillId="7" borderId="0" xfId="6" applyNumberFormat="1" applyFont="1" applyFill="1"/>
    <xf numFmtId="3" fontId="10" fillId="2" borderId="0" xfId="6" applyNumberFormat="1" applyFont="1" applyFill="1"/>
    <xf numFmtId="3" fontId="10" fillId="2" borderId="5" xfId="7" applyNumberFormat="1" applyFont="1" applyFill="1" applyBorder="1"/>
    <xf numFmtId="3" fontId="10" fillId="2" borderId="0" xfId="7" applyNumberFormat="1" applyFont="1" applyFill="1"/>
    <xf numFmtId="3" fontId="52" fillId="2" borderId="0" xfId="7" applyNumberFormat="1" applyFont="1" applyFill="1"/>
    <xf numFmtId="3" fontId="10" fillId="2" borderId="0" xfId="7" applyNumberFormat="1" applyFont="1" applyFill="1" applyBorder="1"/>
    <xf numFmtId="3" fontId="10" fillId="2" borderId="17" xfId="7" applyNumberFormat="1" applyFont="1" applyFill="1" applyBorder="1"/>
    <xf numFmtId="3" fontId="10" fillId="2" borderId="0" xfId="6" applyNumberFormat="1" applyFont="1" applyFill="1" applyBorder="1"/>
    <xf numFmtId="0" fontId="47" fillId="2" borderId="5" xfId="7" applyNumberFormat="1" applyFont="1" applyFill="1" applyBorder="1"/>
    <xf numFmtId="167" fontId="5" fillId="2" borderId="5" xfId="0" applyNumberFormat="1" applyFont="1" applyFill="1" applyBorder="1" applyAlignment="1">
      <alignment horizontal="left" indent="1"/>
    </xf>
    <xf numFmtId="167" fontId="52" fillId="2" borderId="53" xfId="0" applyNumberFormat="1" applyFont="1" applyFill="1" applyBorder="1" applyAlignment="1">
      <alignment horizontal="left" indent="1"/>
    </xf>
    <xf numFmtId="167" fontId="52" fillId="2" borderId="25" xfId="0" applyNumberFormat="1" applyFont="1" applyFill="1" applyBorder="1"/>
    <xf numFmtId="167" fontId="52" fillId="2" borderId="26" xfId="0" applyNumberFormat="1" applyFont="1" applyFill="1" applyBorder="1"/>
    <xf numFmtId="167" fontId="58" fillId="2" borderId="25" xfId="0" applyNumberFormat="1" applyFont="1" applyFill="1" applyBorder="1"/>
    <xf numFmtId="167" fontId="58" fillId="2" borderId="26" xfId="0" applyNumberFormat="1" applyFont="1" applyFill="1" applyBorder="1"/>
    <xf numFmtId="167" fontId="58" fillId="2" borderId="54" xfId="0" applyNumberFormat="1" applyFont="1" applyFill="1" applyBorder="1"/>
    <xf numFmtId="167" fontId="58" fillId="2" borderId="55" xfId="0" applyNumberFormat="1" applyFont="1" applyFill="1" applyBorder="1"/>
    <xf numFmtId="167" fontId="52" fillId="2" borderId="54" xfId="0" applyNumberFormat="1" applyFont="1" applyFill="1" applyBorder="1"/>
    <xf numFmtId="167" fontId="52" fillId="2" borderId="55" xfId="0" applyNumberFormat="1" applyFont="1" applyFill="1" applyBorder="1"/>
    <xf numFmtId="37" fontId="5" fillId="2" borderId="5" xfId="0" applyFont="1" applyFill="1" applyBorder="1" applyAlignment="1">
      <alignment horizontal="left" indent="2"/>
    </xf>
    <xf numFmtId="37" fontId="5" fillId="2" borderId="5" xfId="0" applyFont="1" applyFill="1" applyBorder="1" applyAlignment="1">
      <alignment horizontal="left" indent="1"/>
    </xf>
    <xf numFmtId="167" fontId="52" fillId="2" borderId="5" xfId="0" applyNumberFormat="1" applyFont="1" applyFill="1" applyBorder="1" applyAlignment="1">
      <alignment horizontal="left" indent="1"/>
    </xf>
    <xf numFmtId="37" fontId="5" fillId="2" borderId="0" xfId="0" applyFont="1" applyFill="1" applyAlignment="1">
      <alignment horizontal="center"/>
    </xf>
    <xf numFmtId="37" fontId="5" fillId="2" borderId="17" xfId="0" applyFont="1" applyFill="1" applyBorder="1" applyAlignment="1">
      <alignment horizontal="center"/>
    </xf>
    <xf numFmtId="37" fontId="55" fillId="2" borderId="0" xfId="0" applyFont="1" applyFill="1" applyAlignment="1">
      <alignment horizontal="center"/>
    </xf>
    <xf numFmtId="171" fontId="10" fillId="2" borderId="17" xfId="7" applyNumberFormat="1" applyFont="1" applyFill="1" applyBorder="1"/>
    <xf numFmtId="37" fontId="13" fillId="2" borderId="5" xfId="0" applyFont="1" applyFill="1" applyBorder="1" applyAlignment="1">
      <alignment horizontal="left" indent="2"/>
    </xf>
    <xf numFmtId="3" fontId="10" fillId="2" borderId="17" xfId="7" applyNumberFormat="1" applyFont="1" applyFill="1" applyBorder="1" applyAlignment="1">
      <alignment horizontal="center"/>
    </xf>
    <xf numFmtId="167" fontId="52" fillId="2" borderId="13" xfId="0" applyNumberFormat="1" applyFont="1" applyFill="1" applyBorder="1"/>
    <xf numFmtId="167" fontId="52" fillId="2" borderId="14" xfId="0" applyNumberFormat="1" applyFont="1" applyFill="1" applyBorder="1"/>
    <xf numFmtId="167" fontId="52" fillId="2" borderId="24" xfId="0" applyNumberFormat="1" applyFont="1" applyFill="1" applyBorder="1"/>
    <xf numFmtId="167" fontId="58" fillId="2" borderId="14" xfId="0" applyNumberFormat="1" applyFont="1" applyFill="1" applyBorder="1"/>
    <xf numFmtId="167" fontId="58" fillId="2" borderId="24" xfId="0" applyNumberFormat="1" applyFont="1" applyFill="1" applyBorder="1"/>
    <xf numFmtId="3" fontId="10" fillId="2" borderId="8" xfId="7" applyNumberFormat="1" applyFont="1" applyFill="1" applyBorder="1"/>
    <xf numFmtId="3" fontId="10" fillId="2" borderId="9" xfId="7" applyNumberFormat="1" applyFont="1" applyFill="1" applyBorder="1"/>
    <xf numFmtId="3" fontId="52" fillId="2" borderId="9" xfId="7" applyNumberFormat="1" applyFont="1" applyFill="1" applyBorder="1"/>
    <xf numFmtId="3" fontId="10" fillId="2" borderId="15" xfId="7" applyNumberFormat="1" applyFont="1" applyFill="1" applyBorder="1"/>
    <xf numFmtId="3" fontId="8" fillId="2" borderId="9" xfId="7" applyNumberFormat="1" applyFont="1" applyFill="1" applyBorder="1" applyAlignment="1">
      <alignment horizontal="center"/>
    </xf>
    <xf numFmtId="3" fontId="10" fillId="2" borderId="9" xfId="7" applyNumberFormat="1" applyFont="1" applyFill="1" applyBorder="1" applyAlignment="1">
      <alignment horizontal="center"/>
    </xf>
    <xf numFmtId="3" fontId="10" fillId="2" borderId="15" xfId="7" applyNumberFormat="1" applyFont="1" applyFill="1" applyBorder="1" applyAlignment="1">
      <alignment horizontal="center"/>
    </xf>
    <xf numFmtId="44" fontId="10" fillId="7" borderId="0" xfId="15" applyFont="1" applyFill="1" applyBorder="1"/>
    <xf numFmtId="171" fontId="10" fillId="2" borderId="32" xfId="7" applyNumberFormat="1" applyFont="1" applyFill="1" applyBorder="1"/>
    <xf numFmtId="8" fontId="10" fillId="2" borderId="0" xfId="7" applyNumberFormat="1" applyFont="1" applyFill="1"/>
    <xf numFmtId="43" fontId="10" fillId="2" borderId="0" xfId="13" applyFont="1" applyFill="1"/>
    <xf numFmtId="8" fontId="10" fillId="2" borderId="0" xfId="7" applyNumberFormat="1" applyFont="1" applyFill="1" applyBorder="1"/>
    <xf numFmtId="171" fontId="10" fillId="7" borderId="0" xfId="6" applyNumberFormat="1" applyFont="1" applyFill="1" applyBorder="1"/>
    <xf numFmtId="171" fontId="60" fillId="2" borderId="17" xfId="7" applyNumberFormat="1" applyFont="1" applyFill="1" applyBorder="1"/>
    <xf numFmtId="171" fontId="60" fillId="2" borderId="32" xfId="7" applyNumberFormat="1" applyFont="1" applyFill="1" applyBorder="1"/>
    <xf numFmtId="10" fontId="10" fillId="7" borderId="0" xfId="6" applyNumberFormat="1" applyFont="1" applyFill="1"/>
    <xf numFmtId="167" fontId="56" fillId="2" borderId="32" xfId="0" applyNumberFormat="1" applyFont="1" applyFill="1" applyBorder="1"/>
    <xf numFmtId="167" fontId="5" fillId="2" borderId="53" xfId="0" applyNumberFormat="1" applyFont="1" applyFill="1" applyBorder="1"/>
    <xf numFmtId="167" fontId="5" fillId="2" borderId="55" xfId="0" applyNumberFormat="1" applyFont="1" applyFill="1" applyBorder="1"/>
    <xf numFmtId="167" fontId="56" fillId="2" borderId="54" xfId="0" applyNumberFormat="1" applyFont="1" applyFill="1" applyBorder="1"/>
    <xf numFmtId="167" fontId="56" fillId="2" borderId="60" xfId="0" applyNumberFormat="1" applyFont="1" applyFill="1" applyBorder="1"/>
    <xf numFmtId="167" fontId="58" fillId="2" borderId="61" xfId="0" applyNumberFormat="1" applyFont="1" applyFill="1" applyBorder="1"/>
    <xf numFmtId="10" fontId="13" fillId="2" borderId="5" xfId="7" applyNumberFormat="1" applyFont="1" applyFill="1" applyBorder="1" applyAlignment="1">
      <alignment horizontal="left" indent="1"/>
    </xf>
    <xf numFmtId="10" fontId="60" fillId="2" borderId="32" xfId="7" applyNumberFormat="1" applyFont="1" applyFill="1" applyBorder="1"/>
    <xf numFmtId="167" fontId="52" fillId="2" borderId="3" xfId="0" applyNumberFormat="1" applyFont="1" applyFill="1" applyBorder="1"/>
    <xf numFmtId="167" fontId="58" fillId="2" borderId="4" xfId="0" applyNumberFormat="1" applyFont="1" applyFill="1" applyBorder="1"/>
    <xf numFmtId="167" fontId="58" fillId="2" borderId="11" xfId="0" applyNumberFormat="1" applyFont="1" applyFill="1" applyBorder="1"/>
    <xf numFmtId="167" fontId="58" fillId="2" borderId="62" xfId="0" applyNumberFormat="1" applyFont="1" applyFill="1" applyBorder="1"/>
    <xf numFmtId="167" fontId="52" fillId="2" borderId="4" xfId="0" applyNumberFormat="1" applyFont="1" applyFill="1" applyBorder="1"/>
    <xf numFmtId="167" fontId="52" fillId="2" borderId="11" xfId="0" applyNumberFormat="1" applyFont="1" applyFill="1" applyBorder="1"/>
    <xf numFmtId="10" fontId="56" fillId="2" borderId="0" xfId="0" applyNumberFormat="1" applyFont="1" applyFill="1"/>
    <xf numFmtId="10" fontId="5" fillId="2" borderId="0" xfId="0" applyNumberFormat="1" applyFont="1" applyFill="1"/>
    <xf numFmtId="0" fontId="10" fillId="2" borderId="8" xfId="7" applyNumberFormat="1" applyFont="1" applyFill="1" applyBorder="1" applyAlignment="1">
      <alignment horizontal="left" indent="1"/>
    </xf>
    <xf numFmtId="10" fontId="60" fillId="2" borderId="9" xfId="7" applyNumberFormat="1" applyFont="1" applyFill="1" applyBorder="1"/>
    <xf numFmtId="10" fontId="60" fillId="2" borderId="15" xfId="7" applyNumberFormat="1" applyFont="1" applyFill="1" applyBorder="1"/>
    <xf numFmtId="10" fontId="60" fillId="2" borderId="63" xfId="7" applyNumberFormat="1" applyFont="1" applyFill="1" applyBorder="1"/>
    <xf numFmtId="10" fontId="10" fillId="2" borderId="9" xfId="7" applyNumberFormat="1" applyFont="1" applyFill="1" applyBorder="1"/>
    <xf numFmtId="10" fontId="10" fillId="2" borderId="15" xfId="7" applyNumberFormat="1" applyFont="1" applyFill="1" applyBorder="1"/>
    <xf numFmtId="10" fontId="10" fillId="2" borderId="5" xfId="7" applyNumberFormat="1" applyFont="1" applyFill="1" applyBorder="1"/>
    <xf numFmtId="10" fontId="5" fillId="2" borderId="0" xfId="6" applyNumberFormat="1" applyFont="1" applyFill="1"/>
    <xf numFmtId="4" fontId="10" fillId="2" borderId="0" xfId="7" applyNumberFormat="1" applyFont="1" applyFill="1" applyBorder="1"/>
    <xf numFmtId="10" fontId="10" fillId="2" borderId="32" xfId="7" applyNumberFormat="1" applyFont="1" applyFill="1" applyBorder="1"/>
    <xf numFmtId="10" fontId="5" fillId="2" borderId="0" xfId="6" applyNumberFormat="1" applyFont="1" applyFill="1" applyBorder="1"/>
    <xf numFmtId="10" fontId="49" fillId="2" borderId="5" xfId="7" applyNumberFormat="1" applyFont="1" applyFill="1" applyBorder="1"/>
    <xf numFmtId="8" fontId="10" fillId="2" borderId="5" xfId="7" applyNumberFormat="1" applyFont="1" applyFill="1" applyBorder="1"/>
    <xf numFmtId="8" fontId="5" fillId="2" borderId="0" xfId="0" applyNumberFormat="1" applyFont="1" applyFill="1"/>
    <xf numFmtId="8" fontId="60" fillId="2" borderId="0" xfId="7" applyNumberFormat="1" applyFont="1" applyFill="1"/>
    <xf numFmtId="8" fontId="60" fillId="2" borderId="32" xfId="7" applyNumberFormat="1" applyFont="1" applyFill="1" applyBorder="1"/>
    <xf numFmtId="8" fontId="60" fillId="2" borderId="17" xfId="7" applyNumberFormat="1" applyFont="1" applyFill="1" applyBorder="1"/>
    <xf numFmtId="171" fontId="10" fillId="2" borderId="63" xfId="7" applyNumberFormat="1" applyFont="1" applyFill="1" applyBorder="1"/>
    <xf numFmtId="171" fontId="10" fillId="2" borderId="9" xfId="6" applyNumberFormat="1" applyFont="1" applyFill="1" applyBorder="1"/>
    <xf numFmtId="167" fontId="10" fillId="2" borderId="5" xfId="0" applyNumberFormat="1" applyFont="1" applyFill="1" applyBorder="1"/>
    <xf numFmtId="10" fontId="13" fillId="2" borderId="17" xfId="7" applyNumberFormat="1" applyFont="1" applyFill="1" applyBorder="1"/>
    <xf numFmtId="10" fontId="54" fillId="2" borderId="17" xfId="7" applyNumberFormat="1" applyFont="1" applyFill="1" applyBorder="1"/>
    <xf numFmtId="10" fontId="54" fillId="2" borderId="0" xfId="7" applyNumberFormat="1" applyFont="1" applyFill="1"/>
    <xf numFmtId="10" fontId="13" fillId="2" borderId="0" xfId="7" applyNumberFormat="1" applyFont="1" applyFill="1"/>
    <xf numFmtId="10" fontId="13" fillId="2" borderId="0" xfId="7" applyNumberFormat="1" applyFont="1" applyFill="1" applyBorder="1"/>
    <xf numFmtId="167" fontId="5" fillId="2" borderId="0" xfId="6" applyNumberFormat="1" applyFont="1" applyFill="1" applyBorder="1"/>
    <xf numFmtId="3" fontId="13" fillId="2" borderId="0" xfId="6" applyNumberFormat="1" applyFont="1" applyFill="1"/>
    <xf numFmtId="3" fontId="13" fillId="2" borderId="5" xfId="7" applyNumberFormat="1" applyFont="1" applyFill="1" applyBorder="1" applyAlignment="1">
      <alignment horizontal="left" indent="1"/>
    </xf>
    <xf numFmtId="3" fontId="13" fillId="2" borderId="0" xfId="7" applyNumberFormat="1" applyFont="1" applyFill="1" applyBorder="1"/>
    <xf numFmtId="3" fontId="13" fillId="2" borderId="0" xfId="6" applyNumberFormat="1" applyFont="1" applyFill="1" applyBorder="1"/>
    <xf numFmtId="44" fontId="61" fillId="2" borderId="0" xfId="7" applyNumberFormat="1" applyFont="1" applyFill="1"/>
    <xf numFmtId="44" fontId="8" fillId="2" borderId="0" xfId="6" applyNumberFormat="1" applyFont="1" applyFill="1" applyBorder="1"/>
    <xf numFmtId="3" fontId="10" fillId="2" borderId="9" xfId="6" applyNumberFormat="1" applyFont="1" applyFill="1" applyBorder="1"/>
    <xf numFmtId="37" fontId="60" fillId="2" borderId="0" xfId="6" applyNumberFormat="1" applyFont="1" applyFill="1" applyBorder="1"/>
    <xf numFmtId="37" fontId="10" fillId="2" borderId="0" xfId="6" applyNumberFormat="1" applyFont="1" applyFill="1" applyBorder="1"/>
    <xf numFmtId="3" fontId="47" fillId="2" borderId="5" xfId="7" applyNumberFormat="1" applyFont="1" applyFill="1" applyBorder="1"/>
    <xf numFmtId="10" fontId="10" fillId="2" borderId="53" xfId="28" applyFont="1" applyFill="1" applyBorder="1" applyAlignment="1">
      <alignment horizontal="left" indent="2"/>
    </xf>
    <xf numFmtId="3" fontId="10" fillId="2" borderId="54" xfId="7" applyNumberFormat="1" applyFont="1" applyFill="1" applyBorder="1"/>
    <xf numFmtId="3" fontId="52" fillId="2" borderId="54" xfId="7" applyNumberFormat="1" applyFont="1" applyFill="1" applyBorder="1"/>
    <xf numFmtId="3" fontId="10" fillId="2" borderId="55" xfId="7" applyNumberFormat="1" applyFont="1" applyFill="1" applyBorder="1"/>
    <xf numFmtId="171" fontId="60" fillId="2" borderId="55" xfId="7" applyNumberFormat="1" applyFont="1" applyFill="1" applyBorder="1"/>
    <xf numFmtId="9" fontId="60" fillId="2" borderId="54" xfId="7" applyNumberFormat="1" applyFont="1" applyFill="1" applyBorder="1"/>
    <xf numFmtId="9" fontId="60" fillId="7" borderId="54" xfId="7" applyNumberFormat="1" applyFont="1" applyFill="1" applyBorder="1"/>
    <xf numFmtId="171" fontId="60" fillId="7" borderId="55" xfId="7" applyNumberFormat="1" applyFont="1" applyFill="1" applyBorder="1"/>
    <xf numFmtId="9" fontId="10" fillId="2" borderId="54" xfId="7" applyNumberFormat="1" applyFont="1" applyFill="1" applyBorder="1"/>
    <xf numFmtId="171" fontId="10" fillId="2" borderId="55" xfId="7" applyNumberFormat="1" applyFont="1" applyFill="1" applyBorder="1"/>
    <xf numFmtId="171" fontId="10" fillId="2" borderId="54" xfId="7" applyNumberFormat="1" applyFont="1" applyFill="1" applyBorder="1"/>
    <xf numFmtId="171" fontId="52" fillId="2" borderId="54" xfId="7" applyNumberFormat="1" applyFont="1" applyFill="1" applyBorder="1"/>
    <xf numFmtId="171" fontId="60" fillId="2" borderId="54" xfId="7" applyNumberFormat="1" applyFont="1" applyFill="1" applyBorder="1"/>
    <xf numFmtId="171" fontId="13" fillId="2" borderId="5" xfId="7" applyNumberFormat="1" applyFont="1" applyFill="1" applyBorder="1"/>
    <xf numFmtId="171" fontId="13" fillId="2" borderId="17" xfId="7" applyNumberFormat="1" applyFont="1" applyFill="1" applyBorder="1"/>
    <xf numFmtId="44" fontId="52" fillId="2" borderId="0" xfId="6" applyNumberFormat="1" applyFont="1" applyFill="1"/>
    <xf numFmtId="44" fontId="52" fillId="2" borderId="0" xfId="7" applyNumberFormat="1" applyFont="1" applyFill="1" applyBorder="1"/>
    <xf numFmtId="44" fontId="52" fillId="2" borderId="17" xfId="7" applyNumberFormat="1" applyFont="1" applyFill="1" applyBorder="1"/>
    <xf numFmtId="44" fontId="57" fillId="2" borderId="0" xfId="7" applyNumberFormat="1" applyFont="1" applyFill="1"/>
    <xf numFmtId="44" fontId="58" fillId="2" borderId="17" xfId="7" applyNumberFormat="1" applyFont="1" applyFill="1" applyBorder="1"/>
    <xf numFmtId="44" fontId="58" fillId="2" borderId="0" xfId="7" applyNumberFormat="1" applyFont="1" applyFill="1"/>
    <xf numFmtId="44" fontId="52" fillId="7" borderId="0" xfId="7" applyNumberFormat="1" applyFont="1" applyFill="1"/>
    <xf numFmtId="44" fontId="52" fillId="7" borderId="17" xfId="7" applyNumberFormat="1" applyFont="1" applyFill="1" applyBorder="1"/>
    <xf numFmtId="44" fontId="52" fillId="2" borderId="0" xfId="7" applyNumberFormat="1" applyFont="1" applyFill="1"/>
    <xf numFmtId="0" fontId="52" fillId="2" borderId="17" xfId="7" applyNumberFormat="1" applyFont="1" applyFill="1" applyBorder="1"/>
    <xf numFmtId="0" fontId="52" fillId="2" borderId="0" xfId="6" applyNumberFormat="1" applyFont="1" applyFill="1" applyBorder="1"/>
    <xf numFmtId="171" fontId="52" fillId="2" borderId="0" xfId="7" applyNumberFormat="1" applyFont="1" applyFill="1" applyBorder="1"/>
    <xf numFmtId="171" fontId="57" fillId="2" borderId="0" xfId="7" applyNumberFormat="1" applyFont="1" applyFill="1"/>
    <xf numFmtId="171" fontId="57" fillId="2" borderId="17" xfId="7" applyNumberFormat="1" applyFont="1" applyFill="1" applyBorder="1"/>
    <xf numFmtId="171" fontId="58" fillId="2" borderId="17" xfId="7" applyNumberFormat="1" applyFont="1" applyFill="1" applyBorder="1"/>
    <xf numFmtId="171" fontId="52" fillId="2" borderId="17" xfId="7" applyNumberFormat="1" applyFont="1" applyFill="1" applyBorder="1"/>
    <xf numFmtId="171" fontId="57" fillId="2" borderId="0" xfId="6" applyNumberFormat="1" applyFont="1" applyFill="1"/>
    <xf numFmtId="171" fontId="52" fillId="2" borderId="0" xfId="6" applyNumberFormat="1" applyFont="1" applyFill="1"/>
    <xf numFmtId="171" fontId="52" fillId="2" borderId="0" xfId="7" applyNumberFormat="1" applyFont="1" applyFill="1"/>
    <xf numFmtId="187" fontId="13" fillId="2" borderId="0" xfId="7" applyNumberFormat="1" applyFont="1" applyFill="1"/>
    <xf numFmtId="187" fontId="13" fillId="2" borderId="17" xfId="7" applyNumberFormat="1" applyFont="1" applyFill="1" applyBorder="1"/>
    <xf numFmtId="187" fontId="13" fillId="2" borderId="0" xfId="6" applyNumberFormat="1" applyFont="1" applyFill="1"/>
    <xf numFmtId="171" fontId="52" fillId="7" borderId="17" xfId="7" applyNumberFormat="1" applyFont="1" applyFill="1" applyBorder="1"/>
    <xf numFmtId="187" fontId="13" fillId="2" borderId="0" xfId="7" applyNumberFormat="1" applyFont="1" applyFill="1" applyBorder="1"/>
    <xf numFmtId="187" fontId="13" fillId="7" borderId="17" xfId="7" applyNumberFormat="1" applyFont="1" applyFill="1" applyBorder="1"/>
    <xf numFmtId="171" fontId="13" fillId="7" borderId="17" xfId="7" applyNumberFormat="1" applyFont="1" applyFill="1" applyBorder="1"/>
    <xf numFmtId="187" fontId="61" fillId="2" borderId="0" xfId="11" applyNumberFormat="1" applyFont="1" applyFill="1"/>
    <xf numFmtId="0" fontId="47" fillId="2" borderId="0" xfId="7" applyNumberFormat="1" applyFont="1" applyFill="1"/>
    <xf numFmtId="0" fontId="8" fillId="2" borderId="0" xfId="7" applyNumberFormat="1" applyFont="1" applyFill="1"/>
    <xf numFmtId="10" fontId="8" fillId="2" borderId="17" xfId="7" applyNumberFormat="1" applyFont="1" applyFill="1" applyBorder="1"/>
    <xf numFmtId="0" fontId="8" fillId="2" borderId="9" xfId="7" applyNumberFormat="1" applyFont="1" applyFill="1" applyBorder="1"/>
    <xf numFmtId="14" fontId="10" fillId="2" borderId="0" xfId="7" applyNumberFormat="1" applyFont="1" applyFill="1" applyAlignment="1">
      <alignment horizontal="center"/>
    </xf>
    <xf numFmtId="0" fontId="10" fillId="2" borderId="0" xfId="7" applyNumberFormat="1" applyFont="1" applyFill="1" applyAlignment="1">
      <alignment horizontal="center"/>
    </xf>
    <xf numFmtId="171" fontId="54" fillId="2" borderId="17" xfId="7" applyNumberFormat="1" applyFont="1" applyFill="1" applyBorder="1"/>
    <xf numFmtId="171" fontId="45" fillId="2" borderId="0" xfId="7" applyNumberFormat="1" applyFont="1" applyFill="1"/>
    <xf numFmtId="0" fontId="8" fillId="2" borderId="17" xfId="7" applyNumberFormat="1" applyFont="1" applyFill="1" applyBorder="1"/>
    <xf numFmtId="10" fontId="8" fillId="2" borderId="9" xfId="7" applyNumberFormat="1" applyFont="1" applyFill="1" applyBorder="1"/>
    <xf numFmtId="10" fontId="10" fillId="2" borderId="9" xfId="6" applyNumberFormat="1" applyFont="1" applyFill="1" applyBorder="1"/>
    <xf numFmtId="8" fontId="8" fillId="2" borderId="0" xfId="7" applyNumberFormat="1" applyFont="1" applyFill="1"/>
    <xf numFmtId="8" fontId="8" fillId="2" borderId="17" xfId="7" applyNumberFormat="1" applyFont="1" applyFill="1" applyBorder="1"/>
    <xf numFmtId="8" fontId="10" fillId="2" borderId="0" xfId="6" applyNumberFormat="1" applyFont="1" applyFill="1" applyBorder="1"/>
    <xf numFmtId="9" fontId="10" fillId="2" borderId="0" xfId="7" applyNumberFormat="1" applyFont="1" applyFill="1" applyBorder="1"/>
    <xf numFmtId="9" fontId="10" fillId="2" borderId="17" xfId="7" applyNumberFormat="1" applyFont="1" applyFill="1" applyBorder="1"/>
    <xf numFmtId="9" fontId="10" fillId="2" borderId="0" xfId="7" applyNumberFormat="1" applyFont="1" applyFill="1"/>
    <xf numFmtId="9" fontId="10" fillId="2" borderId="17" xfId="7" applyNumberFormat="1" applyFont="1" applyFill="1" applyBorder="1" applyAlignment="1">
      <alignment horizontal="right"/>
    </xf>
    <xf numFmtId="9" fontId="8" fillId="2" borderId="0" xfId="7" applyNumberFormat="1" applyFont="1" applyFill="1"/>
    <xf numFmtId="9" fontId="8" fillId="2" borderId="17" xfId="7" applyNumberFormat="1" applyFont="1" applyFill="1" applyBorder="1"/>
    <xf numFmtId="9" fontId="10" fillId="2" borderId="0" xfId="6" applyNumberFormat="1" applyFont="1" applyFill="1" applyBorder="1"/>
    <xf numFmtId="171" fontId="10" fillId="2" borderId="17" xfId="7" applyNumberFormat="1" applyFont="1" applyFill="1" applyBorder="1" applyAlignment="1">
      <alignment horizontal="right"/>
    </xf>
    <xf numFmtId="171" fontId="10" fillId="2" borderId="5" xfId="7" applyNumberFormat="1" applyFont="1" applyFill="1" applyBorder="1"/>
    <xf numFmtId="171" fontId="13" fillId="2" borderId="5" xfId="28" applyNumberFormat="1" applyFill="1" applyBorder="1"/>
    <xf numFmtId="171" fontId="45" fillId="2" borderId="17" xfId="28" applyNumberFormat="1" applyFont="1" applyFill="1" applyBorder="1"/>
    <xf numFmtId="167" fontId="10" fillId="2" borderId="8" xfId="7" applyNumberFormat="1" applyFont="1" applyFill="1" applyBorder="1"/>
    <xf numFmtId="167" fontId="10" fillId="2" borderId="9" xfId="7" applyNumberFormat="1" applyFont="1" applyFill="1" applyBorder="1"/>
    <xf numFmtId="167" fontId="10" fillId="2" borderId="15" xfId="7" applyNumberFormat="1" applyFont="1" applyFill="1" applyBorder="1"/>
    <xf numFmtId="167" fontId="8" fillId="2" borderId="15" xfId="7" applyNumberFormat="1" applyFont="1" applyFill="1" applyBorder="1"/>
    <xf numFmtId="167" fontId="10" fillId="2" borderId="9" xfId="6" applyNumberFormat="1" applyFont="1" applyFill="1" applyBorder="1"/>
    <xf numFmtId="167" fontId="47" fillId="2" borderId="5" xfId="7" applyNumberFormat="1" applyFont="1" applyFill="1" applyBorder="1"/>
    <xf numFmtId="167" fontId="47" fillId="2" borderId="0" xfId="7" applyNumberFormat="1" applyFont="1" applyFill="1"/>
    <xf numFmtId="167" fontId="13" fillId="2" borderId="5" xfId="7" applyNumberFormat="1" applyFont="1" applyFill="1" applyBorder="1" applyAlignment="1">
      <alignment horizontal="left" indent="1"/>
    </xf>
    <xf numFmtId="167" fontId="13" fillId="2" borderId="0" xfId="7" applyNumberFormat="1" applyFont="1" applyFill="1" applyAlignment="1">
      <alignment horizontal="left" indent="1"/>
    </xf>
    <xf numFmtId="0" fontId="60" fillId="2" borderId="17" xfId="7" applyNumberFormat="1" applyFont="1" applyFill="1" applyBorder="1"/>
    <xf numFmtId="0" fontId="10" fillId="2" borderId="17" xfId="6" applyNumberFormat="1" applyFont="1" applyFill="1" applyBorder="1"/>
    <xf numFmtId="167" fontId="52" fillId="2" borderId="0" xfId="7" applyNumberFormat="1" applyFont="1" applyFill="1"/>
    <xf numFmtId="167" fontId="52" fillId="2" borderId="9" xfId="7" applyNumberFormat="1" applyFont="1" applyFill="1" applyBorder="1"/>
    <xf numFmtId="167" fontId="8" fillId="2" borderId="9" xfId="7" applyNumberFormat="1" applyFont="1" applyFill="1" applyBorder="1"/>
    <xf numFmtId="167" fontId="60" fillId="2" borderId="15" xfId="7" applyNumberFormat="1" applyFont="1" applyFill="1" applyBorder="1"/>
    <xf numFmtId="3" fontId="52" fillId="2" borderId="5" xfId="7" applyNumberFormat="1" applyFont="1" applyFill="1" applyBorder="1"/>
    <xf numFmtId="167" fontId="13" fillId="2" borderId="5" xfId="0" applyNumberFormat="1" applyFont="1" applyFill="1" applyBorder="1" applyAlignment="1">
      <alignment horizontal="left" indent="1"/>
    </xf>
    <xf numFmtId="3" fontId="49" fillId="2" borderId="5" xfId="7" applyNumberFormat="1" applyFont="1" applyFill="1" applyBorder="1"/>
    <xf numFmtId="37" fontId="5" fillId="2" borderId="5" xfId="0" applyFont="1" applyFill="1" applyBorder="1"/>
    <xf numFmtId="37" fontId="13" fillId="2" borderId="5" xfId="0" applyFont="1" applyFill="1" applyBorder="1" applyAlignment="1">
      <alignment horizontal="left" indent="1"/>
    </xf>
    <xf numFmtId="10" fontId="13" fillId="2" borderId="15" xfId="28" applyFill="1" applyBorder="1"/>
    <xf numFmtId="0" fontId="10" fillId="8" borderId="0" xfId="6" applyNumberFormat="1" applyFont="1" applyFill="1" applyBorder="1"/>
    <xf numFmtId="0" fontId="10" fillId="8" borderId="0" xfId="6" applyNumberFormat="1" applyFont="1" applyFill="1" applyAlignment="1">
      <alignment wrapText="1"/>
    </xf>
    <xf numFmtId="37" fontId="32" fillId="7" borderId="9" xfId="0" applyFont="1" applyFill="1" applyBorder="1"/>
    <xf numFmtId="37" fontId="28" fillId="8" borderId="8" xfId="0" applyFont="1" applyFill="1" applyBorder="1" applyAlignment="1">
      <alignment horizontal="left"/>
    </xf>
    <xf numFmtId="37" fontId="22" fillId="8" borderId="17" xfId="0" applyFont="1" applyFill="1" applyBorder="1"/>
    <xf numFmtId="37" fontId="21" fillId="2" borderId="0" xfId="0" applyFont="1" applyFill="1"/>
    <xf numFmtId="37" fontId="22" fillId="2" borderId="18" xfId="0" applyFont="1" applyFill="1" applyBorder="1"/>
    <xf numFmtId="37" fontId="22" fillId="2" borderId="19" xfId="0" applyFont="1" applyFill="1" applyBorder="1"/>
    <xf numFmtId="37" fontId="21" fillId="2" borderId="20" xfId="0" applyFont="1" applyFill="1" applyBorder="1"/>
    <xf numFmtId="37" fontId="33" fillId="2" borderId="19" xfId="0" applyFont="1" applyFill="1" applyBorder="1"/>
    <xf numFmtId="37" fontId="21" fillId="2" borderId="19" xfId="0" applyFont="1" applyFill="1" applyBorder="1"/>
    <xf numFmtId="37" fontId="22" fillId="2" borderId="20" xfId="0" applyFont="1" applyFill="1" applyBorder="1"/>
    <xf numFmtId="37" fontId="29" fillId="2" borderId="5" xfId="0" applyFont="1" applyFill="1" applyBorder="1"/>
    <xf numFmtId="37" fontId="29" fillId="2" borderId="0" xfId="0" applyFont="1" applyFill="1"/>
    <xf numFmtId="37" fontId="35" fillId="2" borderId="0" xfId="0" applyFont="1" applyFill="1"/>
    <xf numFmtId="37" fontId="35" fillId="2" borderId="17" xfId="0" applyFont="1" applyFill="1" applyBorder="1"/>
    <xf numFmtId="37" fontId="36" fillId="2" borderId="17" xfId="0" applyFont="1" applyFill="1" applyBorder="1"/>
    <xf numFmtId="37" fontId="29" fillId="2" borderId="17" xfId="0" applyFont="1" applyFill="1" applyBorder="1"/>
    <xf numFmtId="37" fontId="35" fillId="7" borderId="0" xfId="0" applyFont="1" applyFill="1"/>
    <xf numFmtId="37" fontId="33" fillId="2" borderId="20" xfId="0" applyFont="1" applyFill="1" applyBorder="1"/>
    <xf numFmtId="37" fontId="22" fillId="7" borderId="19" xfId="0" applyFont="1" applyFill="1" applyBorder="1"/>
    <xf numFmtId="37" fontId="33" fillId="7" borderId="0" xfId="0" applyFont="1" applyFill="1"/>
    <xf numFmtId="10" fontId="39" fillId="2" borderId="0" xfId="28" applyFont="1" applyFill="1"/>
    <xf numFmtId="10" fontId="61" fillId="7" borderId="0" xfId="18" applyNumberFormat="1" applyFont="1" applyFill="1" applyBorder="1"/>
    <xf numFmtId="10" fontId="13" fillId="2" borderId="16" xfId="28" applyFill="1" applyBorder="1"/>
    <xf numFmtId="44" fontId="8" fillId="2" borderId="0" xfId="0" applyNumberFormat="1" applyFont="1" applyFill="1"/>
    <xf numFmtId="44" fontId="10" fillId="2" borderId="0" xfId="6" applyNumberFormat="1" applyFont="1" applyFill="1" applyBorder="1"/>
    <xf numFmtId="37" fontId="52" fillId="2" borderId="5" xfId="0" applyFont="1" applyFill="1" applyBorder="1"/>
    <xf numFmtId="37" fontId="52" fillId="2" borderId="0" xfId="0" applyFont="1" applyFill="1"/>
    <xf numFmtId="37" fontId="58" fillId="2" borderId="0" xfId="0" applyFont="1" applyFill="1"/>
    <xf numFmtId="37" fontId="58" fillId="2" borderId="17" xfId="0" applyFont="1" applyFill="1" applyBorder="1"/>
    <xf numFmtId="37" fontId="8" fillId="2" borderId="0" xfId="0" applyFont="1" applyFill="1"/>
    <xf numFmtId="37" fontId="57" fillId="2" borderId="17" xfId="0" applyFont="1" applyFill="1" applyBorder="1"/>
    <xf numFmtId="37" fontId="57" fillId="2" borderId="0" xfId="0" applyFont="1" applyFill="1"/>
    <xf numFmtId="186" fontId="13" fillId="2" borderId="9" xfId="28" applyNumberFormat="1" applyFill="1" applyBorder="1"/>
    <xf numFmtId="37" fontId="33" fillId="2" borderId="0" xfId="11" applyNumberFormat="1" applyFont="1" applyFill="1" applyAlignment="1">
      <alignment horizontal="right"/>
    </xf>
    <xf numFmtId="37" fontId="33" fillId="7" borderId="0" xfId="11" applyNumberFormat="1" applyFont="1" applyFill="1" applyAlignment="1">
      <alignment horizontal="right"/>
    </xf>
    <xf numFmtId="10" fontId="62" fillId="7" borderId="0" xfId="18" applyNumberFormat="1" applyFont="1" applyFill="1" applyBorder="1" applyAlignment="1">
      <alignment horizontal="right"/>
    </xf>
    <xf numFmtId="9" fontId="22" fillId="2" borderId="5" xfId="7" applyNumberFormat="1" applyFont="1" applyFill="1" applyBorder="1"/>
    <xf numFmtId="171" fontId="22" fillId="2" borderId="17" xfId="7" applyNumberFormat="1" applyFont="1" applyFill="1" applyBorder="1" applyAlignment="1">
      <alignment horizontal="right"/>
    </xf>
    <xf numFmtId="167" fontId="22" fillId="2" borderId="16" xfId="0" applyNumberFormat="1" applyFont="1" applyFill="1" applyBorder="1"/>
    <xf numFmtId="37" fontId="23" fillId="2" borderId="0" xfId="0" applyFont="1" applyFill="1"/>
    <xf numFmtId="171" fontId="31" fillId="2" borderId="5" xfId="0" applyNumberFormat="1" applyFont="1" applyFill="1" applyBorder="1"/>
    <xf numFmtId="171" fontId="31" fillId="2" borderId="17" xfId="0" applyNumberFormat="1" applyFont="1" applyFill="1" applyBorder="1"/>
    <xf numFmtId="171" fontId="66" fillId="2" borderId="0" xfId="0" applyNumberFormat="1" applyFont="1" applyFill="1"/>
    <xf numFmtId="171" fontId="37" fillId="2" borderId="0" xfId="0" applyNumberFormat="1" applyFont="1" applyFill="1"/>
    <xf numFmtId="171" fontId="37" fillId="2" borderId="17" xfId="0" applyNumberFormat="1" applyFont="1" applyFill="1" applyBorder="1"/>
    <xf numFmtId="171" fontId="33" fillId="7" borderId="0" xfId="18" applyNumberFormat="1" applyFont="1" applyFill="1" applyBorder="1"/>
    <xf numFmtId="171" fontId="62" fillId="7" borderId="0" xfId="18" applyNumberFormat="1" applyFont="1" applyFill="1" applyBorder="1"/>
    <xf numFmtId="37" fontId="33" fillId="7" borderId="0" xfId="18" applyNumberFormat="1" applyFont="1" applyFill="1" applyBorder="1"/>
    <xf numFmtId="10" fontId="64" fillId="2" borderId="17" xfId="28" applyFont="1" applyFill="1" applyBorder="1"/>
    <xf numFmtId="10" fontId="64" fillId="7" borderId="0" xfId="28" applyFont="1" applyFill="1"/>
    <xf numFmtId="10" fontId="64" fillId="7" borderId="16" xfId="28" applyFont="1" applyFill="1" applyBorder="1"/>
    <xf numFmtId="10" fontId="64" fillId="2" borderId="16" xfId="28" applyFont="1" applyFill="1" applyBorder="1"/>
    <xf numFmtId="171" fontId="31" fillId="2" borderId="16" xfId="7" applyNumberFormat="1" applyFont="1" applyFill="1" applyBorder="1" applyAlignment="1">
      <alignment horizontal="right"/>
    </xf>
    <xf numFmtId="171" fontId="31" fillId="7" borderId="0" xfId="18" applyNumberFormat="1" applyFont="1" applyFill="1" applyBorder="1"/>
    <xf numFmtId="37" fontId="29" fillId="7" borderId="17" xfId="0" applyFont="1" applyFill="1" applyBorder="1"/>
    <xf numFmtId="37" fontId="69" fillId="7" borderId="17" xfId="0" applyFont="1" applyFill="1" applyBorder="1"/>
    <xf numFmtId="37" fontId="69" fillId="7" borderId="0" xfId="0" applyFont="1" applyFill="1"/>
    <xf numFmtId="37" fontId="67" fillId="7" borderId="0" xfId="0" applyFont="1" applyFill="1"/>
    <xf numFmtId="37" fontId="67" fillId="2" borderId="17" xfId="0" applyFont="1" applyFill="1" applyBorder="1"/>
    <xf numFmtId="37" fontId="67" fillId="7" borderId="17" xfId="0" applyFont="1" applyFill="1" applyBorder="1"/>
    <xf numFmtId="37" fontId="44" fillId="7" borderId="17" xfId="0" applyFont="1" applyFill="1" applyBorder="1"/>
    <xf numFmtId="37" fontId="67" fillId="2" borderId="0" xfId="0" applyFont="1" applyFill="1"/>
    <xf numFmtId="37" fontId="67" fillId="2" borderId="5" xfId="0" applyFont="1" applyFill="1" applyBorder="1"/>
    <xf numFmtId="37" fontId="68" fillId="2" borderId="0" xfId="0" applyFont="1" applyFill="1"/>
    <xf numFmtId="37" fontId="69" fillId="2" borderId="0" xfId="0" applyFont="1" applyFill="1"/>
    <xf numFmtId="37" fontId="67" fillId="7" borderId="5" xfId="0" applyFont="1" applyFill="1" applyBorder="1"/>
    <xf numFmtId="171" fontId="33" fillId="7" borderId="17" xfId="0" applyNumberFormat="1" applyFont="1" applyFill="1" applyBorder="1"/>
    <xf numFmtId="171" fontId="22" fillId="7" borderId="17" xfId="0" applyNumberFormat="1" applyFont="1" applyFill="1" applyBorder="1"/>
    <xf numFmtId="8" fontId="22" fillId="2" borderId="5" xfId="0" applyNumberFormat="1" applyFont="1" applyFill="1" applyBorder="1"/>
    <xf numFmtId="8" fontId="22" fillId="2" borderId="0" xfId="0" applyNumberFormat="1" applyFont="1" applyFill="1"/>
    <xf numFmtId="8" fontId="22" fillId="2" borderId="17" xfId="0" applyNumberFormat="1" applyFont="1" applyFill="1" applyBorder="1"/>
    <xf numFmtId="8" fontId="23" fillId="2" borderId="0" xfId="0" applyNumberFormat="1" applyFont="1" applyFill="1"/>
    <xf numFmtId="8" fontId="33" fillId="7" borderId="17" xfId="25" applyNumberFormat="1" applyFont="1" applyFill="1" applyBorder="1"/>
    <xf numFmtId="8" fontId="33" fillId="7" borderId="0" xfId="25" applyNumberFormat="1" applyFont="1" applyFill="1"/>
    <xf numFmtId="8" fontId="21" fillId="7" borderId="17" xfId="25" applyNumberFormat="1" applyFont="1" applyFill="1" applyBorder="1"/>
    <xf numFmtId="8" fontId="21" fillId="7" borderId="0" xfId="25" applyNumberFormat="1" applyFont="1" applyFill="1"/>
    <xf numFmtId="8" fontId="22" fillId="7" borderId="17" xfId="25" applyNumberFormat="1" applyFont="1" applyFill="1" applyBorder="1"/>
    <xf numFmtId="8" fontId="67" fillId="2" borderId="5" xfId="0" applyNumberFormat="1" applyFont="1" applyFill="1" applyBorder="1"/>
    <xf numFmtId="8" fontId="67" fillId="2" borderId="0" xfId="0" applyNumberFormat="1" applyFont="1" applyFill="1"/>
    <xf numFmtId="8" fontId="67" fillId="2" borderId="17" xfId="0" applyNumberFormat="1" applyFont="1" applyFill="1" applyBorder="1"/>
    <xf numFmtId="8" fontId="68" fillId="2" borderId="0" xfId="0" applyNumberFormat="1" applyFont="1" applyFill="1"/>
    <xf numFmtId="8" fontId="71" fillId="7" borderId="17" xfId="25" applyNumberFormat="1" applyFont="1" applyFill="1" applyBorder="1"/>
    <xf numFmtId="8" fontId="71" fillId="7" borderId="0" xfId="25" applyNumberFormat="1" applyFont="1" applyFill="1"/>
    <xf numFmtId="8" fontId="69" fillId="7" borderId="17" xfId="25" applyNumberFormat="1" applyFont="1" applyFill="1" applyBorder="1"/>
    <xf numFmtId="8" fontId="67" fillId="7" borderId="17" xfId="25" applyNumberFormat="1" applyFont="1" applyFill="1" applyBorder="1"/>
    <xf numFmtId="8" fontId="67" fillId="7" borderId="0" xfId="0" applyNumberFormat="1" applyFont="1" applyFill="1"/>
    <xf numFmtId="8" fontId="22" fillId="2" borderId="5" xfId="0" applyNumberFormat="1" applyFont="1" applyFill="1" applyBorder="1" applyAlignment="1">
      <alignment horizontal="left" indent="1"/>
    </xf>
    <xf numFmtId="8" fontId="21" fillId="2" borderId="0" xfId="0" applyNumberFormat="1" applyFont="1" applyFill="1"/>
    <xf numFmtId="171" fontId="21" fillId="7" borderId="17" xfId="0" applyNumberFormat="1" applyFont="1" applyFill="1" applyBorder="1"/>
    <xf numFmtId="37" fontId="29" fillId="8" borderId="17" xfId="0" applyFont="1" applyFill="1" applyBorder="1"/>
    <xf numFmtId="10" fontId="31" fillId="2" borderId="17" xfId="7" applyNumberFormat="1" applyFont="1" applyFill="1" applyBorder="1" applyAlignment="1">
      <alignment horizontal="right"/>
    </xf>
    <xf numFmtId="10" fontId="62" fillId="7" borderId="0" xfId="18" applyNumberFormat="1" applyFont="1" applyFill="1" applyBorder="1"/>
    <xf numFmtId="9" fontId="62" fillId="7" borderId="0" xfId="18" applyNumberFormat="1" applyFont="1" applyFill="1" applyBorder="1"/>
    <xf numFmtId="10" fontId="31" fillId="2" borderId="5" xfId="28" applyFont="1" applyFill="1" applyBorder="1" applyAlignment="1">
      <alignment horizontal="left" indent="2"/>
    </xf>
    <xf numFmtId="10" fontId="39" fillId="2" borderId="0" xfId="28" applyFont="1" applyFill="1" applyAlignment="1">
      <alignment horizontal="center"/>
    </xf>
    <xf numFmtId="171" fontId="22" fillId="2" borderId="0" xfId="28" applyNumberFormat="1" applyFont="1" applyFill="1" applyBorder="1"/>
    <xf numFmtId="171" fontId="22" fillId="2" borderId="17" xfId="28" applyNumberFormat="1" applyFont="1" applyFill="1" applyBorder="1"/>
    <xf numFmtId="171" fontId="21" fillId="2" borderId="0" xfId="28" applyNumberFormat="1" applyFont="1" applyFill="1"/>
    <xf numFmtId="171" fontId="22" fillId="2" borderId="0" xfId="28" applyNumberFormat="1" applyFont="1" applyFill="1"/>
    <xf numFmtId="177" fontId="22" fillId="2" borderId="0" xfId="6" applyNumberFormat="1" applyFont="1" applyFill="1" applyBorder="1"/>
    <xf numFmtId="0" fontId="52" fillId="8" borderId="15" xfId="9" applyNumberFormat="1" applyFont="1" applyFill="1" applyBorder="1"/>
    <xf numFmtId="0" fontId="7" fillId="2" borderId="5" xfId="9" applyNumberFormat="1" applyFill="1" applyBorder="1"/>
    <xf numFmtId="39" fontId="10" fillId="2" borderId="0" xfId="6" applyNumberFormat="1" applyFont="1" applyFill="1" applyBorder="1"/>
    <xf numFmtId="0" fontId="52" fillId="8" borderId="24" xfId="9" applyNumberFormat="1" applyFont="1" applyFill="1" applyBorder="1"/>
    <xf numFmtId="10" fontId="8" fillId="2" borderId="17" xfId="11" applyNumberFormat="1" applyFill="1" applyBorder="1"/>
    <xf numFmtId="3" fontId="8" fillId="2" borderId="0" xfId="11" applyNumberFormat="1" applyFill="1"/>
    <xf numFmtId="167" fontId="8" fillId="2" borderId="17" xfId="11" applyNumberFormat="1" applyFill="1" applyBorder="1"/>
    <xf numFmtId="167" fontId="8" fillId="2" borderId="0" xfId="11" applyNumberFormat="1" applyFill="1"/>
    <xf numFmtId="0" fontId="60" fillId="7" borderId="0" xfId="2" applyFont="1" applyFill="1"/>
    <xf numFmtId="0" fontId="74" fillId="3" borderId="0" xfId="2" applyFont="1" applyFill="1" applyAlignment="1">
      <alignment wrapText="1"/>
    </xf>
    <xf numFmtId="0" fontId="7" fillId="3" borderId="0" xfId="2" applyFont="1" applyFill="1"/>
    <xf numFmtId="0" fontId="7" fillId="7" borderId="0" xfId="2" applyFont="1" applyFill="1" applyBorder="1"/>
    <xf numFmtId="43" fontId="75" fillId="3" borderId="0" xfId="13" applyFont="1" applyFill="1"/>
    <xf numFmtId="0" fontId="75" fillId="3" borderId="0" xfId="2" applyFont="1" applyFill="1" applyBorder="1"/>
    <xf numFmtId="43" fontId="75" fillId="3" borderId="0" xfId="2" applyNumberFormat="1" applyFont="1" applyFill="1"/>
    <xf numFmtId="0" fontId="75" fillId="3" borderId="0" xfId="2" applyFont="1" applyFill="1"/>
    <xf numFmtId="178" fontId="75" fillId="3" borderId="0" xfId="2" applyNumberFormat="1" applyFont="1" applyFill="1" applyBorder="1"/>
    <xf numFmtId="189" fontId="75" fillId="3" borderId="0" xfId="2" applyNumberFormat="1" applyFont="1" applyFill="1"/>
    <xf numFmtId="167" fontId="75" fillId="3" borderId="0" xfId="2" applyNumberFormat="1" applyFont="1" applyFill="1"/>
    <xf numFmtId="7" fontId="75" fillId="3" borderId="0" xfId="2" applyNumberFormat="1" applyFont="1" applyFill="1" applyBorder="1"/>
    <xf numFmtId="7" fontId="75" fillId="3" borderId="0" xfId="2" applyNumberFormat="1" applyFont="1" applyFill="1"/>
    <xf numFmtId="10" fontId="75" fillId="3" borderId="0" xfId="30" applyNumberFormat="1" applyFont="1" applyFill="1"/>
    <xf numFmtId="0" fontId="75" fillId="7" borderId="0" xfId="2" applyFont="1" applyFill="1" applyBorder="1"/>
    <xf numFmtId="171" fontId="75" fillId="3" borderId="0" xfId="30" applyNumberFormat="1" applyFont="1" applyFill="1"/>
    <xf numFmtId="43" fontId="75" fillId="3" borderId="0" xfId="2" applyNumberFormat="1" applyFont="1" applyFill="1" applyBorder="1"/>
    <xf numFmtId="167" fontId="75" fillId="3" borderId="0" xfId="2" applyNumberFormat="1" applyFont="1" applyFill="1" applyBorder="1"/>
    <xf numFmtId="10" fontId="75" fillId="3" borderId="0" xfId="2" applyNumberFormat="1" applyFont="1" applyFill="1"/>
    <xf numFmtId="190" fontId="75" fillId="3" borderId="0" xfId="2" applyNumberFormat="1" applyFont="1" applyFill="1"/>
    <xf numFmtId="172" fontId="75" fillId="3" borderId="0" xfId="2" applyNumberFormat="1" applyFont="1" applyFill="1"/>
    <xf numFmtId="169" fontId="75" fillId="3" borderId="0" xfId="2" applyNumberFormat="1" applyFont="1" applyFill="1"/>
    <xf numFmtId="0" fontId="10" fillId="7" borderId="0" xfId="2" applyFont="1" applyFill="1" applyBorder="1"/>
    <xf numFmtId="17" fontId="10" fillId="7" borderId="0" xfId="2" applyNumberFormat="1" applyFont="1" applyFill="1" applyBorder="1" applyAlignment="1">
      <alignment horizontal="center"/>
    </xf>
    <xf numFmtId="0" fontId="48" fillId="8" borderId="41" xfId="2" applyFont="1" applyFill="1" applyBorder="1" applyAlignment="1">
      <alignment horizontal="left" wrapText="1"/>
    </xf>
    <xf numFmtId="0" fontId="10" fillId="8" borderId="64" xfId="2" applyFont="1" applyFill="1" applyBorder="1"/>
    <xf numFmtId="0" fontId="10" fillId="7" borderId="64" xfId="2" applyFont="1" applyFill="1" applyBorder="1"/>
    <xf numFmtId="0" fontId="52" fillId="8" borderId="41" xfId="2" applyFont="1" applyFill="1" applyBorder="1" applyAlignment="1">
      <alignment horizontal="centerContinuous"/>
    </xf>
    <xf numFmtId="0" fontId="52" fillId="8" borderId="65" xfId="2" applyFont="1" applyFill="1" applyBorder="1" applyAlignment="1">
      <alignment horizontal="centerContinuous"/>
    </xf>
    <xf numFmtId="0" fontId="52" fillId="8" borderId="42" xfId="2" applyFont="1" applyFill="1" applyBorder="1" applyAlignment="1">
      <alignment horizontal="centerContinuous"/>
    </xf>
    <xf numFmtId="0" fontId="10" fillId="8" borderId="34" xfId="2" applyFont="1" applyFill="1" applyBorder="1"/>
    <xf numFmtId="0" fontId="9" fillId="8" borderId="8" xfId="17" quotePrefix="1" applyFill="1" applyBorder="1" applyAlignment="1">
      <alignment wrapText="1"/>
    </xf>
    <xf numFmtId="0" fontId="52" fillId="8" borderId="10" xfId="2" applyFont="1" applyFill="1" applyBorder="1" applyAlignment="1">
      <alignment horizontal="center"/>
    </xf>
    <xf numFmtId="0" fontId="52" fillId="7" borderId="10" xfId="2" applyFont="1" applyFill="1" applyBorder="1" applyAlignment="1">
      <alignment horizontal="center"/>
    </xf>
    <xf numFmtId="37" fontId="52" fillId="8" borderId="10" xfId="2" applyNumberFormat="1" applyFont="1" applyFill="1" applyBorder="1" applyAlignment="1">
      <alignment horizontal="center"/>
    </xf>
    <xf numFmtId="37" fontId="52" fillId="8" borderId="14" xfId="2" applyNumberFormat="1" applyFont="1" applyFill="1" applyBorder="1" applyAlignment="1">
      <alignment horizontal="center"/>
    </xf>
    <xf numFmtId="37" fontId="52" fillId="8" borderId="15" xfId="2" applyNumberFormat="1" applyFont="1" applyFill="1" applyBorder="1" applyAlignment="1">
      <alignment horizontal="center"/>
    </xf>
    <xf numFmtId="37" fontId="52" fillId="8" borderId="12" xfId="2" applyNumberFormat="1" applyFont="1" applyFill="1" applyBorder="1" applyAlignment="1">
      <alignment horizontal="center"/>
    </xf>
    <xf numFmtId="0" fontId="52" fillId="8" borderId="14" xfId="2" quotePrefix="1" applyFont="1" applyFill="1" applyBorder="1" applyAlignment="1">
      <alignment horizontal="center"/>
    </xf>
    <xf numFmtId="0" fontId="52" fillId="8" borderId="15" xfId="2" quotePrefix="1" applyFont="1" applyFill="1" applyBorder="1" applyAlignment="1">
      <alignment horizontal="center"/>
    </xf>
    <xf numFmtId="0" fontId="52" fillId="8" borderId="15" xfId="2" applyFont="1" applyFill="1" applyBorder="1" applyAlignment="1">
      <alignment horizontal="center"/>
    </xf>
    <xf numFmtId="0" fontId="46" fillId="7" borderId="8" xfId="2" applyFont="1" applyFill="1" applyBorder="1" applyAlignment="1">
      <alignment wrapText="1"/>
    </xf>
    <xf numFmtId="0" fontId="52" fillId="7" borderId="9" xfId="2" applyFont="1" applyFill="1" applyBorder="1" applyAlignment="1">
      <alignment horizontal="center"/>
    </xf>
    <xf numFmtId="0" fontId="10" fillId="7" borderId="0" xfId="2" applyFont="1" applyFill="1"/>
    <xf numFmtId="0" fontId="47" fillId="8" borderId="8" xfId="2" applyFont="1" applyFill="1" applyBorder="1"/>
    <xf numFmtId="0" fontId="10" fillId="8" borderId="9" xfId="2" applyFont="1" applyFill="1" applyBorder="1"/>
    <xf numFmtId="0" fontId="10" fillId="7" borderId="9" xfId="2" applyFont="1" applyFill="1" applyBorder="1"/>
    <xf numFmtId="0" fontId="10" fillId="8" borderId="15" xfId="2" applyFont="1" applyFill="1" applyBorder="1"/>
    <xf numFmtId="0" fontId="10" fillId="8" borderId="10" xfId="2" applyFont="1" applyFill="1" applyBorder="1"/>
    <xf numFmtId="0" fontId="60" fillId="7" borderId="0" xfId="2" applyFont="1" applyFill="1" applyAlignment="1">
      <alignment horizontal="right"/>
    </xf>
    <xf numFmtId="0" fontId="60" fillId="7" borderId="5" xfId="2" applyFont="1" applyFill="1" applyBorder="1" applyAlignment="1">
      <alignment horizontal="left"/>
    </xf>
    <xf numFmtId="10" fontId="8" fillId="7" borderId="0" xfId="30" applyNumberFormat="1" applyFont="1" applyFill="1" applyBorder="1" applyAlignment="1">
      <alignment horizontal="right"/>
    </xf>
    <xf numFmtId="191" fontId="60" fillId="7" borderId="32" xfId="2" applyNumberFormat="1" applyFont="1" applyFill="1" applyBorder="1" applyAlignment="1">
      <alignment horizontal="right"/>
    </xf>
    <xf numFmtId="10" fontId="8" fillId="7" borderId="32" xfId="28" applyFont="1" applyFill="1" applyBorder="1" applyAlignment="1">
      <alignment horizontal="center"/>
    </xf>
    <xf numFmtId="10" fontId="8" fillId="7" borderId="0" xfId="30" applyNumberFormat="1" applyFont="1" applyFill="1" applyAlignment="1">
      <alignment horizontal="right"/>
    </xf>
    <xf numFmtId="191" fontId="60" fillId="7" borderId="17" xfId="2" applyNumberFormat="1" applyFont="1" applyFill="1" applyBorder="1" applyAlignment="1">
      <alignment horizontal="right"/>
    </xf>
    <xf numFmtId="191" fontId="60" fillId="7" borderId="52" xfId="2" applyNumberFormat="1" applyFont="1" applyFill="1" applyBorder="1" applyAlignment="1">
      <alignment horizontal="right"/>
    </xf>
    <xf numFmtId="167" fontId="60" fillId="7" borderId="0" xfId="2" applyNumberFormat="1" applyFont="1" applyFill="1" applyAlignment="1">
      <alignment horizontal="center"/>
    </xf>
    <xf numFmtId="167" fontId="10" fillId="7" borderId="5" xfId="2" applyNumberFormat="1" applyFont="1" applyFill="1" applyBorder="1"/>
    <xf numFmtId="167" fontId="8" fillId="7" borderId="0" xfId="13" applyNumberFormat="1" applyFont="1" applyFill="1" applyBorder="1"/>
    <xf numFmtId="167" fontId="60" fillId="7" borderId="32" xfId="13" applyNumberFormat="1" applyFont="1" applyFill="1" applyBorder="1" applyAlignment="1">
      <alignment horizontal="center"/>
    </xf>
    <xf numFmtId="167" fontId="60" fillId="7" borderId="0" xfId="13" applyNumberFormat="1" applyFont="1" applyFill="1" applyBorder="1" applyAlignment="1">
      <alignment horizontal="center"/>
    </xf>
    <xf numFmtId="167" fontId="60" fillId="7" borderId="0" xfId="13" applyNumberFormat="1" applyFont="1" applyFill="1" applyAlignment="1">
      <alignment horizontal="center"/>
    </xf>
    <xf numFmtId="167" fontId="60" fillId="7" borderId="17" xfId="13" applyNumberFormat="1" applyFont="1" applyFill="1" applyBorder="1" applyAlignment="1">
      <alignment horizontal="right"/>
    </xf>
    <xf numFmtId="167" fontId="60" fillId="7" borderId="0" xfId="13" applyNumberFormat="1" applyFont="1" applyFill="1" applyAlignment="1">
      <alignment horizontal="right"/>
    </xf>
    <xf numFmtId="167" fontId="60" fillId="7" borderId="52" xfId="13" applyNumberFormat="1" applyFont="1" applyFill="1" applyBorder="1" applyAlignment="1">
      <alignment horizontal="right"/>
    </xf>
    <xf numFmtId="167" fontId="57" fillId="7" borderId="0" xfId="2" applyNumberFormat="1" applyFont="1" applyFill="1" applyBorder="1" applyAlignment="1">
      <alignment horizontal="center"/>
    </xf>
    <xf numFmtId="167" fontId="60" fillId="7" borderId="5" xfId="2" applyNumberFormat="1" applyFont="1" applyFill="1" applyBorder="1"/>
    <xf numFmtId="167" fontId="10" fillId="7" borderId="0" xfId="2" applyNumberFormat="1" applyFont="1" applyFill="1" applyBorder="1"/>
    <xf numFmtId="167" fontId="60" fillId="7" borderId="32" xfId="2" applyNumberFormat="1" applyFont="1" applyFill="1" applyBorder="1" applyAlignment="1">
      <alignment horizontal="center"/>
    </xf>
    <xf numFmtId="167" fontId="60" fillId="7" borderId="0" xfId="2" applyNumberFormat="1" applyFont="1" applyFill="1" applyBorder="1" applyAlignment="1">
      <alignment horizontal="center"/>
    </xf>
    <xf numFmtId="167" fontId="60" fillId="7" borderId="17" xfId="2" applyNumberFormat="1" applyFont="1" applyFill="1" applyBorder="1" applyAlignment="1">
      <alignment horizontal="right"/>
    </xf>
    <xf numFmtId="167" fontId="60" fillId="7" borderId="0" xfId="2" applyNumberFormat="1" applyFont="1" applyFill="1" applyBorder="1" applyAlignment="1">
      <alignment horizontal="right"/>
    </xf>
    <xf numFmtId="167" fontId="60" fillId="7" borderId="52" xfId="2" applyNumberFormat="1" applyFont="1" applyFill="1" applyBorder="1" applyAlignment="1">
      <alignment horizontal="right"/>
    </xf>
    <xf numFmtId="167" fontId="10" fillId="7" borderId="0" xfId="2" applyNumberFormat="1" applyFont="1" applyFill="1" applyAlignment="1">
      <alignment horizontal="center"/>
    </xf>
    <xf numFmtId="167" fontId="60" fillId="7" borderId="0" xfId="13" applyNumberFormat="1" applyFont="1" applyFill="1" applyBorder="1" applyAlignment="1">
      <alignment horizontal="right"/>
    </xf>
    <xf numFmtId="167" fontId="60" fillId="9" borderId="5" xfId="2" applyNumberFormat="1" applyFont="1" applyFill="1" applyBorder="1"/>
    <xf numFmtId="167" fontId="8" fillId="9" borderId="0" xfId="13" applyNumberFormat="1" applyFont="1" applyFill="1"/>
    <xf numFmtId="167" fontId="60" fillId="9" borderId="32" xfId="2" applyNumberFormat="1" applyFont="1" applyFill="1" applyBorder="1" applyAlignment="1">
      <alignment horizontal="center"/>
    </xf>
    <xf numFmtId="167" fontId="60" fillId="9" borderId="0" xfId="2" applyNumberFormat="1" applyFont="1" applyFill="1" applyBorder="1" applyAlignment="1">
      <alignment horizontal="center"/>
    </xf>
    <xf numFmtId="167" fontId="60" fillId="9" borderId="17" xfId="2" applyNumberFormat="1" applyFont="1" applyFill="1" applyBorder="1" applyAlignment="1">
      <alignment horizontal="center"/>
    </xf>
    <xf numFmtId="167" fontId="60" fillId="9" borderId="0" xfId="2" applyNumberFormat="1" applyFont="1" applyFill="1" applyAlignment="1">
      <alignment horizontal="right"/>
    </xf>
    <xf numFmtId="167" fontId="60" fillId="9" borderId="0" xfId="13" applyNumberFormat="1" applyFont="1" applyFill="1" applyBorder="1" applyAlignment="1">
      <alignment horizontal="right"/>
    </xf>
    <xf numFmtId="167" fontId="60" fillId="9" borderId="0" xfId="13" applyNumberFormat="1" applyFont="1" applyFill="1" applyAlignment="1">
      <alignment horizontal="right"/>
    </xf>
    <xf numFmtId="0" fontId="10" fillId="7" borderId="0" xfId="2" applyFont="1" applyFill="1" applyAlignment="1">
      <alignment horizontal="center"/>
    </xf>
    <xf numFmtId="0" fontId="60" fillId="7" borderId="8" xfId="2" applyFont="1" applyFill="1" applyBorder="1"/>
    <xf numFmtId="190" fontId="8" fillId="7" borderId="9" xfId="13" applyNumberFormat="1" applyFont="1" applyFill="1" applyBorder="1"/>
    <xf numFmtId="191" fontId="60" fillId="7" borderId="63" xfId="2" applyNumberFormat="1" applyFont="1" applyFill="1" applyBorder="1" applyAlignment="1">
      <alignment horizontal="center"/>
    </xf>
    <xf numFmtId="191" fontId="60" fillId="7" borderId="9" xfId="2" applyNumberFormat="1" applyFont="1" applyFill="1" applyBorder="1" applyAlignment="1">
      <alignment horizontal="center"/>
    </xf>
    <xf numFmtId="191" fontId="60" fillId="7" borderId="15" xfId="2" applyNumberFormat="1" applyFont="1" applyFill="1" applyBorder="1" applyAlignment="1">
      <alignment horizontal="center"/>
    </xf>
    <xf numFmtId="191" fontId="60" fillId="7" borderId="57" xfId="2" applyNumberFormat="1" applyFont="1" applyFill="1" applyBorder="1" applyAlignment="1">
      <alignment horizontal="center"/>
    </xf>
    <xf numFmtId="190" fontId="8" fillId="7" borderId="0" xfId="13" applyNumberFormat="1" applyFont="1" applyFill="1" applyBorder="1"/>
    <xf numFmtId="191" fontId="60" fillId="7" borderId="0" xfId="2" applyNumberFormat="1" applyFont="1" applyFill="1" applyBorder="1"/>
    <xf numFmtId="191" fontId="60" fillId="7" borderId="0" xfId="2" applyNumberFormat="1" applyFont="1" applyFill="1" applyBorder="1" applyAlignment="1">
      <alignment horizontal="center"/>
    </xf>
    <xf numFmtId="0" fontId="47" fillId="8" borderId="13" xfId="2" applyFont="1" applyFill="1" applyBorder="1"/>
    <xf numFmtId="0" fontId="52" fillId="8" borderId="14" xfId="2" applyFont="1" applyFill="1" applyBorder="1"/>
    <xf numFmtId="0" fontId="52" fillId="7" borderId="14" xfId="2" applyFont="1" applyFill="1" applyBorder="1"/>
    <xf numFmtId="0" fontId="52" fillId="8" borderId="14" xfId="2" applyFont="1" applyFill="1" applyBorder="1" applyAlignment="1">
      <alignment horizontal="center"/>
    </xf>
    <xf numFmtId="0" fontId="52" fillId="8" borderId="24" xfId="2" applyFont="1" applyFill="1" applyBorder="1" applyAlignment="1">
      <alignment horizontal="center"/>
    </xf>
    <xf numFmtId="0" fontId="52" fillId="8" borderId="11" xfId="2" applyFont="1" applyFill="1" applyBorder="1" applyAlignment="1">
      <alignment horizontal="center"/>
    </xf>
    <xf numFmtId="167" fontId="60" fillId="7" borderId="0" xfId="2" applyNumberFormat="1" applyFont="1" applyFill="1"/>
    <xf numFmtId="167" fontId="8" fillId="7" borderId="0" xfId="13" applyNumberFormat="1" applyFont="1" applyFill="1"/>
    <xf numFmtId="167" fontId="10" fillId="7" borderId="32" xfId="2" applyNumberFormat="1" applyFont="1" applyFill="1" applyBorder="1"/>
    <xf numFmtId="167" fontId="10" fillId="7" borderId="0" xfId="13" applyNumberFormat="1" applyFont="1" applyFill="1"/>
    <xf numFmtId="167" fontId="60" fillId="7" borderId="32" xfId="2" applyNumberFormat="1" applyFont="1" applyFill="1" applyBorder="1"/>
    <xf numFmtId="167" fontId="10" fillId="7" borderId="0" xfId="2" applyNumberFormat="1" applyFont="1" applyFill="1"/>
    <xf numFmtId="167" fontId="60" fillId="7" borderId="0" xfId="2" applyNumberFormat="1" applyFont="1" applyFill="1" applyAlignment="1">
      <alignment horizontal="right"/>
    </xf>
    <xf numFmtId="167" fontId="60" fillId="7" borderId="11" xfId="2" applyNumberFormat="1" applyFont="1" applyFill="1" applyBorder="1" applyAlignment="1">
      <alignment horizontal="right"/>
    </xf>
    <xf numFmtId="167" fontId="60" fillId="7" borderId="0" xfId="2" applyNumberFormat="1" applyFont="1" applyFill="1" applyBorder="1"/>
    <xf numFmtId="167" fontId="60" fillId="9" borderId="32" xfId="2" applyNumberFormat="1" applyFont="1" applyFill="1" applyBorder="1"/>
    <xf numFmtId="167" fontId="60" fillId="9" borderId="0" xfId="2" applyNumberFormat="1" applyFont="1" applyFill="1" applyBorder="1"/>
    <xf numFmtId="167" fontId="60" fillId="9" borderId="17" xfId="2" applyNumberFormat="1" applyFont="1" applyFill="1" applyBorder="1" applyAlignment="1">
      <alignment horizontal="right"/>
    </xf>
    <xf numFmtId="167" fontId="60" fillId="9" borderId="0" xfId="2" applyNumberFormat="1" applyFont="1" applyFill="1" applyBorder="1" applyAlignment="1">
      <alignment horizontal="right"/>
    </xf>
    <xf numFmtId="191" fontId="60" fillId="7" borderId="63" xfId="2" applyNumberFormat="1" applyFont="1" applyFill="1" applyBorder="1"/>
    <xf numFmtId="191" fontId="60" fillId="7" borderId="9" xfId="2" applyNumberFormat="1" applyFont="1" applyFill="1" applyBorder="1"/>
    <xf numFmtId="191" fontId="60" fillId="7" borderId="15" xfId="2" applyNumberFormat="1" applyFont="1" applyFill="1" applyBorder="1" applyAlignment="1">
      <alignment horizontal="right"/>
    </xf>
    <xf numFmtId="191" fontId="60" fillId="7" borderId="9" xfId="2" applyNumberFormat="1" applyFont="1" applyFill="1" applyBorder="1" applyAlignment="1">
      <alignment horizontal="right"/>
    </xf>
    <xf numFmtId="0" fontId="60" fillId="7" borderId="0" xfId="2" applyFont="1" applyFill="1" applyBorder="1"/>
    <xf numFmtId="191" fontId="60" fillId="7" borderId="0" xfId="2" applyNumberFormat="1" applyFont="1" applyFill="1" applyBorder="1" applyAlignment="1">
      <alignment horizontal="right"/>
    </xf>
    <xf numFmtId="0" fontId="52" fillId="8" borderId="13" xfId="2" applyFont="1" applyFill="1" applyBorder="1"/>
    <xf numFmtId="190" fontId="10" fillId="8" borderId="14" xfId="13" applyNumberFormat="1" applyFont="1" applyFill="1" applyBorder="1"/>
    <xf numFmtId="190" fontId="10" fillId="7" borderId="14" xfId="13" applyNumberFormat="1" applyFont="1" applyFill="1" applyBorder="1"/>
    <xf numFmtId="191" fontId="10" fillId="8" borderId="14" xfId="2" applyNumberFormat="1" applyFont="1" applyFill="1" applyBorder="1"/>
    <xf numFmtId="191" fontId="10" fillId="8" borderId="24" xfId="2" applyNumberFormat="1" applyFont="1" applyFill="1" applyBorder="1" applyAlignment="1">
      <alignment horizontal="right"/>
    </xf>
    <xf numFmtId="191" fontId="10" fillId="8" borderId="14" xfId="2" applyNumberFormat="1" applyFont="1" applyFill="1" applyBorder="1" applyAlignment="1">
      <alignment horizontal="right"/>
    </xf>
    <xf numFmtId="191" fontId="10" fillId="8" borderId="11" xfId="2" applyNumberFormat="1" applyFont="1" applyFill="1" applyBorder="1" applyAlignment="1">
      <alignment horizontal="right"/>
    </xf>
    <xf numFmtId="167" fontId="60" fillId="7" borderId="23" xfId="2" applyNumberFormat="1" applyFont="1" applyFill="1" applyBorder="1" applyAlignment="1">
      <alignment horizontal="right"/>
    </xf>
    <xf numFmtId="167" fontId="60" fillId="7" borderId="8" xfId="2" applyNumberFormat="1" applyFont="1" applyFill="1" applyBorder="1"/>
    <xf numFmtId="167" fontId="8" fillId="7" borderId="9" xfId="13" applyNumberFormat="1" applyFont="1" applyFill="1" applyBorder="1"/>
    <xf numFmtId="167" fontId="60" fillId="7" borderId="63" xfId="2" applyNumberFormat="1" applyFont="1" applyFill="1" applyBorder="1"/>
    <xf numFmtId="167" fontId="60" fillId="7" borderId="9" xfId="2" applyNumberFormat="1" applyFont="1" applyFill="1" applyBorder="1"/>
    <xf numFmtId="167" fontId="60" fillId="7" borderId="9" xfId="2" applyNumberFormat="1" applyFont="1" applyFill="1" applyBorder="1" applyAlignment="1">
      <alignment horizontal="right"/>
    </xf>
    <xf numFmtId="167" fontId="60" fillId="7" borderId="15" xfId="2" applyNumberFormat="1" applyFont="1" applyFill="1" applyBorder="1" applyAlignment="1">
      <alignment horizontal="right"/>
    </xf>
    <xf numFmtId="167" fontId="60" fillId="9" borderId="8" xfId="2" applyNumberFormat="1" applyFont="1" applyFill="1" applyBorder="1"/>
    <xf numFmtId="167" fontId="8" fillId="9" borderId="9" xfId="13" applyNumberFormat="1" applyFont="1" applyFill="1" applyBorder="1"/>
    <xf numFmtId="167" fontId="10" fillId="9" borderId="63" xfId="2" applyNumberFormat="1" applyFont="1" applyFill="1" applyBorder="1"/>
    <xf numFmtId="167" fontId="10" fillId="9" borderId="9" xfId="13" applyNumberFormat="1" applyFont="1" applyFill="1" applyBorder="1"/>
    <xf numFmtId="167" fontId="10" fillId="9" borderId="9" xfId="13" applyNumberFormat="1" applyFont="1" applyFill="1" applyBorder="1" applyAlignment="1">
      <alignment horizontal="right"/>
    </xf>
    <xf numFmtId="167" fontId="10" fillId="9" borderId="9" xfId="2" applyNumberFormat="1" applyFont="1" applyFill="1" applyBorder="1"/>
    <xf numFmtId="167" fontId="60" fillId="9" borderId="9" xfId="2" applyNumberFormat="1" applyFont="1" applyFill="1" applyBorder="1"/>
    <xf numFmtId="167" fontId="60" fillId="9" borderId="63" xfId="2" applyNumberFormat="1" applyFont="1" applyFill="1" applyBorder="1"/>
    <xf numFmtId="167" fontId="60" fillId="9" borderId="57" xfId="2" applyNumberFormat="1" applyFont="1" applyFill="1" applyBorder="1"/>
    <xf numFmtId="167" fontId="60" fillId="9" borderId="0" xfId="2" applyNumberFormat="1" applyFont="1" applyFill="1"/>
    <xf numFmtId="167" fontId="10" fillId="9" borderId="0" xfId="2" applyNumberFormat="1" applyFont="1" applyFill="1"/>
    <xf numFmtId="0" fontId="50" fillId="8" borderId="13" xfId="17" applyNumberFormat="1" applyFont="1" applyFill="1" applyBorder="1"/>
    <xf numFmtId="191" fontId="10" fillId="8" borderId="14" xfId="2" applyNumberFormat="1" applyFont="1" applyFill="1" applyBorder="1" applyAlignment="1">
      <alignment horizontal="center"/>
    </xf>
    <xf numFmtId="191" fontId="10" fillId="8" borderId="24" xfId="2" applyNumberFormat="1" applyFont="1" applyFill="1" applyBorder="1" applyAlignment="1">
      <alignment horizontal="center"/>
    </xf>
    <xf numFmtId="0" fontId="58" fillId="7" borderId="8" xfId="2" applyFont="1" applyFill="1" applyBorder="1"/>
    <xf numFmtId="0" fontId="58" fillId="7" borderId="9" xfId="2" applyFont="1" applyFill="1" applyBorder="1"/>
    <xf numFmtId="10" fontId="8" fillId="7" borderId="63" xfId="30" applyNumberFormat="1" applyFont="1" applyFill="1" applyBorder="1" applyAlignment="1">
      <alignment horizontal="center"/>
    </xf>
    <xf numFmtId="10" fontId="8" fillId="7" borderId="9" xfId="30" applyNumberFormat="1" applyFont="1" applyFill="1" applyBorder="1" applyAlignment="1">
      <alignment horizontal="center"/>
    </xf>
    <xf numFmtId="9" fontId="8" fillId="7" borderId="63" xfId="30" applyFont="1" applyFill="1" applyBorder="1" applyAlignment="1">
      <alignment horizontal="center"/>
    </xf>
    <xf numFmtId="9" fontId="8" fillId="7" borderId="15" xfId="30" applyFont="1" applyFill="1" applyBorder="1" applyAlignment="1">
      <alignment horizontal="center"/>
    </xf>
    <xf numFmtId="10" fontId="8" fillId="7" borderId="9" xfId="30" applyNumberFormat="1" applyFont="1" applyFill="1" applyBorder="1" applyAlignment="1">
      <alignment horizontal="right"/>
    </xf>
    <xf numFmtId="9" fontId="8" fillId="2" borderId="15" xfId="30" applyFont="1" applyFill="1" applyBorder="1" applyAlignment="1">
      <alignment horizontal="center"/>
    </xf>
    <xf numFmtId="10" fontId="8" fillId="2" borderId="9" xfId="30" applyNumberFormat="1" applyFont="1" applyFill="1" applyBorder="1" applyAlignment="1">
      <alignment horizontal="center"/>
    </xf>
    <xf numFmtId="0" fontId="76" fillId="7" borderId="0" xfId="17" applyNumberFormat="1" applyFont="1" applyFill="1"/>
    <xf numFmtId="0" fontId="58" fillId="7" borderId="0" xfId="2" applyFont="1" applyFill="1" applyBorder="1"/>
    <xf numFmtId="0" fontId="58" fillId="7" borderId="0" xfId="2" applyFont="1" applyFill="1" applyBorder="1" applyAlignment="1">
      <alignment horizontal="center"/>
    </xf>
    <xf numFmtId="0" fontId="52" fillId="8" borderId="13" xfId="2" applyFont="1" applyFill="1" applyBorder="1" applyAlignment="1">
      <alignment wrapText="1"/>
    </xf>
    <xf numFmtId="190" fontId="52" fillId="8" borderId="14" xfId="13" applyNumberFormat="1" applyFont="1" applyFill="1" applyBorder="1"/>
    <xf numFmtId="190" fontId="52" fillId="7" borderId="14" xfId="13" applyNumberFormat="1" applyFont="1" applyFill="1" applyBorder="1"/>
    <xf numFmtId="191" fontId="52" fillId="8" borderId="14" xfId="2" applyNumberFormat="1" applyFont="1" applyFill="1" applyBorder="1"/>
    <xf numFmtId="191" fontId="52" fillId="8" borderId="24" xfId="2" applyNumberFormat="1" applyFont="1" applyFill="1" applyBorder="1"/>
    <xf numFmtId="0" fontId="60" fillId="7" borderId="5" xfId="2" applyFont="1" applyFill="1" applyBorder="1"/>
    <xf numFmtId="10" fontId="13" fillId="7" borderId="32" xfId="28" applyFill="1" applyBorder="1"/>
    <xf numFmtId="10" fontId="45" fillId="7" borderId="32" xfId="28" applyFont="1" applyFill="1" applyBorder="1"/>
    <xf numFmtId="10" fontId="45" fillId="7" borderId="17" xfId="28" applyFont="1" applyFill="1" applyBorder="1" applyAlignment="1">
      <alignment horizontal="right"/>
    </xf>
    <xf numFmtId="10" fontId="13" fillId="7" borderId="0" xfId="28" applyFill="1" applyBorder="1" applyAlignment="1">
      <alignment horizontal="right"/>
    </xf>
    <xf numFmtId="10" fontId="45" fillId="7" borderId="0" xfId="28" applyFont="1" applyFill="1" applyAlignment="1">
      <alignment horizontal="right"/>
    </xf>
    <xf numFmtId="167" fontId="77" fillId="7" borderId="0" xfId="2" applyNumberFormat="1" applyFont="1" applyFill="1" applyBorder="1" applyAlignment="1">
      <alignment horizontal="center"/>
    </xf>
    <xf numFmtId="167" fontId="8" fillId="7" borderId="0" xfId="2" applyNumberFormat="1" applyFont="1" applyFill="1"/>
    <xf numFmtId="167" fontId="60" fillId="7" borderId="0" xfId="13" applyNumberFormat="1" applyFont="1" applyFill="1"/>
    <xf numFmtId="167" fontId="60" fillId="7" borderId="66" xfId="13" applyNumberFormat="1" applyFont="1" applyFill="1" applyBorder="1"/>
    <xf numFmtId="167" fontId="60" fillId="7" borderId="19" xfId="13" applyNumberFormat="1" applyFont="1" applyFill="1" applyBorder="1"/>
    <xf numFmtId="167" fontId="8" fillId="7" borderId="19" xfId="13" applyNumberFormat="1" applyFont="1" applyFill="1" applyBorder="1"/>
    <xf numFmtId="167" fontId="78" fillId="7" borderId="19" xfId="13" applyNumberFormat="1" applyFont="1" applyFill="1" applyBorder="1"/>
    <xf numFmtId="167" fontId="8" fillId="7" borderId="66" xfId="13" applyNumberFormat="1" applyFont="1" applyFill="1" applyBorder="1"/>
    <xf numFmtId="167" fontId="60" fillId="7" borderId="20" xfId="13" applyNumberFormat="1" applyFont="1" applyFill="1" applyBorder="1" applyAlignment="1">
      <alignment horizontal="right"/>
    </xf>
    <xf numFmtId="167" fontId="8" fillId="7" borderId="19" xfId="13" applyNumberFormat="1" applyFont="1" applyFill="1" applyBorder="1" applyAlignment="1">
      <alignment horizontal="right"/>
    </xf>
    <xf numFmtId="167" fontId="10" fillId="7" borderId="19" xfId="13" applyNumberFormat="1" applyFont="1" applyFill="1" applyBorder="1" applyAlignment="1">
      <alignment horizontal="right"/>
    </xf>
    <xf numFmtId="167" fontId="60" fillId="7" borderId="32" xfId="13" applyNumberFormat="1" applyFont="1" applyFill="1" applyBorder="1"/>
    <xf numFmtId="167" fontId="60" fillId="7" borderId="0" xfId="13" applyNumberFormat="1" applyFont="1" applyFill="1" applyBorder="1"/>
    <xf numFmtId="167" fontId="8" fillId="7" borderId="32" xfId="13" applyNumberFormat="1" applyFont="1" applyFill="1" applyBorder="1"/>
    <xf numFmtId="167" fontId="8" fillId="7" borderId="17" xfId="13" applyNumberFormat="1" applyFont="1" applyFill="1" applyBorder="1" applyAlignment="1">
      <alignment horizontal="right"/>
    </xf>
    <xf numFmtId="0" fontId="60" fillId="7" borderId="0" xfId="2" applyFont="1" applyFill="1" applyBorder="1" applyAlignment="1">
      <alignment horizontal="right"/>
    </xf>
    <xf numFmtId="0" fontId="47" fillId="8" borderId="14" xfId="2" applyFont="1" applyFill="1" applyBorder="1" applyAlignment="1">
      <alignment horizontal="center"/>
    </xf>
    <xf numFmtId="0" fontId="47" fillId="7" borderId="14" xfId="2" applyFont="1" applyFill="1" applyBorder="1" applyAlignment="1">
      <alignment horizontal="center"/>
    </xf>
    <xf numFmtId="41" fontId="10" fillId="8" borderId="14" xfId="2" applyNumberFormat="1" applyFont="1" applyFill="1" applyBorder="1"/>
    <xf numFmtId="0" fontId="10" fillId="8" borderId="14" xfId="2" applyFont="1" applyFill="1" applyBorder="1"/>
    <xf numFmtId="0" fontId="10" fillId="8" borderId="24" xfId="2" applyFont="1" applyFill="1" applyBorder="1" applyAlignment="1">
      <alignment horizontal="right"/>
    </xf>
    <xf numFmtId="0" fontId="10" fillId="8" borderId="14" xfId="2" applyFont="1" applyFill="1" applyBorder="1" applyAlignment="1">
      <alignment horizontal="right"/>
    </xf>
    <xf numFmtId="10" fontId="13" fillId="7" borderId="17" xfId="28" applyFill="1" applyBorder="1" applyAlignment="1">
      <alignment horizontal="right"/>
    </xf>
    <xf numFmtId="0" fontId="58" fillId="7" borderId="0" xfId="2" applyFont="1" applyFill="1"/>
    <xf numFmtId="0" fontId="60" fillId="7" borderId="9" xfId="2" applyFont="1" applyFill="1" applyBorder="1"/>
    <xf numFmtId="0" fontId="52" fillId="8" borderId="8" xfId="2" applyFont="1" applyFill="1" applyBorder="1" applyAlignment="1">
      <alignment wrapText="1"/>
    </xf>
    <xf numFmtId="190" fontId="8" fillId="8" borderId="9" xfId="13" applyNumberFormat="1" applyFont="1" applyFill="1" applyBorder="1"/>
    <xf numFmtId="191" fontId="60" fillId="8" borderId="9" xfId="2" applyNumberFormat="1" applyFont="1" applyFill="1" applyBorder="1"/>
    <xf numFmtId="0" fontId="60" fillId="8" borderId="9" xfId="2" applyFont="1" applyFill="1" applyBorder="1"/>
    <xf numFmtId="191" fontId="60" fillId="8" borderId="15" xfId="2" applyNumberFormat="1" applyFont="1" applyFill="1" applyBorder="1" applyAlignment="1">
      <alignment horizontal="right"/>
    </xf>
    <xf numFmtId="191" fontId="60" fillId="8" borderId="9" xfId="2" applyNumberFormat="1" applyFont="1" applyFill="1" applyBorder="1" applyAlignment="1">
      <alignment horizontal="right"/>
    </xf>
    <xf numFmtId="167" fontId="8" fillId="7" borderId="0" xfId="13" applyNumberFormat="1" applyFont="1" applyFill="1" applyAlignment="1">
      <alignment horizontal="right"/>
    </xf>
    <xf numFmtId="167" fontId="60" fillId="7" borderId="17" xfId="13" applyNumberFormat="1" applyFont="1" applyFill="1" applyBorder="1"/>
    <xf numFmtId="167" fontId="60" fillId="7" borderId="17" xfId="2" applyNumberFormat="1" applyFont="1" applyFill="1" applyBorder="1"/>
    <xf numFmtId="167" fontId="60" fillId="7" borderId="15" xfId="2" applyNumberFormat="1" applyFont="1" applyFill="1" applyBorder="1"/>
    <xf numFmtId="190" fontId="8" fillId="8" borderId="14" xfId="13" applyNumberFormat="1" applyFont="1" applyFill="1" applyBorder="1"/>
    <xf numFmtId="190" fontId="8" fillId="7" borderId="14" xfId="13" applyNumberFormat="1" applyFont="1" applyFill="1" applyBorder="1"/>
    <xf numFmtId="191" fontId="60" fillId="8" borderId="14" xfId="2" applyNumberFormat="1" applyFont="1" applyFill="1" applyBorder="1"/>
    <xf numFmtId="0" fontId="60" fillId="8" borderId="14" xfId="2" applyFont="1" applyFill="1" applyBorder="1"/>
    <xf numFmtId="191" fontId="60" fillId="8" borderId="24" xfId="2" applyNumberFormat="1" applyFont="1" applyFill="1" applyBorder="1"/>
    <xf numFmtId="10" fontId="45" fillId="7" borderId="17" xfId="28" applyFont="1" applyFill="1" applyBorder="1"/>
    <xf numFmtId="10" fontId="45" fillId="7" borderId="0" xfId="28" applyFont="1" applyFill="1"/>
    <xf numFmtId="167" fontId="60" fillId="7" borderId="20" xfId="13" applyNumberFormat="1" applyFont="1" applyFill="1" applyBorder="1"/>
    <xf numFmtId="167" fontId="10" fillId="7" borderId="19" xfId="13" applyNumberFormat="1" applyFont="1" applyFill="1" applyBorder="1"/>
    <xf numFmtId="167" fontId="8" fillId="7" borderId="17" xfId="13" applyNumberFormat="1" applyFont="1" applyFill="1" applyBorder="1"/>
    <xf numFmtId="41" fontId="60" fillId="7" borderId="0" xfId="2" applyNumberFormat="1" applyFont="1" applyFill="1"/>
    <xf numFmtId="10" fontId="45" fillId="7" borderId="0" xfId="28" applyFont="1" applyFill="1" applyBorder="1"/>
    <xf numFmtId="180" fontId="60" fillId="7" borderId="0" xfId="13" applyNumberFormat="1" applyFont="1" applyFill="1" applyBorder="1"/>
    <xf numFmtId="167" fontId="60" fillId="7" borderId="3" xfId="2" applyNumberFormat="1" applyFont="1" applyFill="1" applyBorder="1"/>
    <xf numFmtId="167" fontId="8" fillId="7" borderId="4" xfId="13" applyNumberFormat="1" applyFont="1" applyFill="1" applyBorder="1"/>
    <xf numFmtId="167" fontId="60" fillId="7" borderId="62" xfId="2" applyNumberFormat="1" applyFont="1" applyFill="1" applyBorder="1"/>
    <xf numFmtId="167" fontId="10" fillId="7" borderId="4" xfId="13" applyNumberFormat="1" applyFont="1" applyFill="1" applyBorder="1"/>
    <xf numFmtId="167" fontId="60" fillId="7" borderId="11" xfId="2" applyNumberFormat="1" applyFont="1" applyFill="1" applyBorder="1"/>
    <xf numFmtId="167" fontId="10" fillId="7" borderId="9" xfId="13" applyNumberFormat="1" applyFont="1" applyFill="1" applyBorder="1"/>
    <xf numFmtId="167" fontId="10" fillId="7" borderId="9" xfId="2" applyNumberFormat="1" applyFont="1" applyFill="1" applyBorder="1"/>
    <xf numFmtId="167" fontId="60" fillId="7" borderId="67" xfId="2" applyNumberFormat="1" applyFont="1" applyFill="1" applyBorder="1"/>
    <xf numFmtId="167" fontId="29" fillId="9" borderId="11" xfId="23" applyFont="1" applyFill="1" applyBorder="1"/>
    <xf numFmtId="168" fontId="22" fillId="9" borderId="4" xfId="6" applyNumberFormat="1" applyFont="1" applyFill="1" applyBorder="1"/>
    <xf numFmtId="8" fontId="29" fillId="9" borderId="3" xfId="24" applyNumberFormat="1" applyFont="1" applyFill="1" applyBorder="1" applyAlignment="1">
      <alignment horizontal="center"/>
    </xf>
    <xf numFmtId="8" fontId="29" fillId="9" borderId="4" xfId="24" applyNumberFormat="1" applyFont="1" applyFill="1" applyBorder="1" applyAlignment="1">
      <alignment horizontal="center"/>
    </xf>
    <xf numFmtId="8" fontId="29" fillId="9" borderId="11" xfId="24" applyNumberFormat="1" applyFont="1" applyFill="1" applyBorder="1" applyAlignment="1">
      <alignment horizontal="center"/>
    </xf>
    <xf numFmtId="167" fontId="29" fillId="9" borderId="15" xfId="23" applyFont="1" applyFill="1" applyBorder="1"/>
    <xf numFmtId="168" fontId="23" fillId="9" borderId="9" xfId="6" applyNumberFormat="1" applyFont="1" applyFill="1" applyBorder="1"/>
    <xf numFmtId="8" fontId="40" fillId="9" borderId="8" xfId="24" applyNumberFormat="1" applyFont="1" applyFill="1" applyBorder="1" applyAlignment="1">
      <alignment horizontal="center"/>
    </xf>
    <xf numFmtId="8" fontId="40" fillId="9" borderId="9" xfId="24" applyNumberFormat="1" applyFont="1" applyFill="1" applyBorder="1" applyAlignment="1">
      <alignment horizontal="center"/>
    </xf>
    <xf numFmtId="8" fontId="40" fillId="9" borderId="15" xfId="24" applyNumberFormat="1" applyFont="1" applyFill="1" applyBorder="1" applyAlignment="1">
      <alignment horizontal="center"/>
    </xf>
    <xf numFmtId="0" fontId="24" fillId="3" borderId="5" xfId="7" applyNumberFormat="1" applyFont="1" applyFill="1" applyBorder="1"/>
    <xf numFmtId="168" fontId="22" fillId="3" borderId="0" xfId="6" applyNumberFormat="1" applyFont="1" applyFill="1"/>
    <xf numFmtId="44" fontId="27" fillId="3" borderId="0" xfId="15" applyFont="1" applyFill="1"/>
    <xf numFmtId="44" fontId="79" fillId="3" borderId="0" xfId="15" applyFont="1" applyFill="1"/>
    <xf numFmtId="171" fontId="31" fillId="2" borderId="0" xfId="6" applyNumberFormat="1" applyFont="1" applyFill="1"/>
    <xf numFmtId="37" fontId="32" fillId="3" borderId="5" xfId="0" applyFont="1" applyFill="1" applyBorder="1"/>
    <xf numFmtId="168" fontId="22" fillId="3" borderId="0" xfId="6" applyNumberFormat="1" applyFont="1" applyFill="1" applyBorder="1"/>
    <xf numFmtId="176" fontId="22" fillId="3" borderId="0" xfId="6" applyNumberFormat="1" applyFont="1" applyFill="1"/>
    <xf numFmtId="192" fontId="27" fillId="3" borderId="0" xfId="6" applyNumberFormat="1" applyFont="1" applyFill="1"/>
    <xf numFmtId="193" fontId="27" fillId="3" borderId="0" xfId="6" applyNumberFormat="1" applyFont="1" applyFill="1"/>
    <xf numFmtId="10" fontId="13" fillId="3" borderId="0" xfId="28" applyFill="1"/>
    <xf numFmtId="168" fontId="22" fillId="8" borderId="8" xfId="6" applyNumberFormat="1" applyFont="1" applyFill="1" applyBorder="1"/>
    <xf numFmtId="168" fontId="22" fillId="2" borderId="4" xfId="6" applyNumberFormat="1" applyFont="1" applyFill="1" applyBorder="1"/>
    <xf numFmtId="167" fontId="29" fillId="8" borderId="15" xfId="23" applyFont="1" applyFill="1" applyBorder="1"/>
    <xf numFmtId="168" fontId="22" fillId="8" borderId="9" xfId="6" applyNumberFormat="1" applyFont="1" applyFill="1" applyBorder="1"/>
    <xf numFmtId="168" fontId="22" fillId="8" borderId="15" xfId="6" applyNumberFormat="1" applyFont="1" applyFill="1" applyBorder="1"/>
    <xf numFmtId="168" fontId="29" fillId="5" borderId="24" xfId="9" applyNumberFormat="1" applyFont="1" applyFill="1" applyBorder="1" applyAlignment="1">
      <alignment horizontal="center"/>
    </xf>
    <xf numFmtId="168" fontId="22" fillId="7" borderId="16" xfId="26" applyFont="1" applyFill="1" applyBorder="1"/>
    <xf numFmtId="171" fontId="22" fillId="7" borderId="5" xfId="24" applyNumberFormat="1" applyFont="1" applyFill="1" applyBorder="1" applyAlignment="1">
      <alignment horizontal="right"/>
    </xf>
    <xf numFmtId="171" fontId="22" fillId="7" borderId="0" xfId="24" applyNumberFormat="1" applyFont="1" applyFill="1" applyAlignment="1">
      <alignment horizontal="right"/>
    </xf>
    <xf numFmtId="171" fontId="22" fillId="7" borderId="17" xfId="24" applyNumberFormat="1" applyFont="1" applyFill="1" applyBorder="1" applyAlignment="1">
      <alignment horizontal="right"/>
    </xf>
    <xf numFmtId="168" fontId="22" fillId="7" borderId="17" xfId="26" applyFont="1" applyFill="1" applyBorder="1"/>
    <xf numFmtId="171" fontId="22" fillId="7" borderId="0" xfId="24" applyNumberFormat="1" applyFont="1" applyFill="1" applyBorder="1" applyAlignment="1">
      <alignment horizontal="right"/>
    </xf>
    <xf numFmtId="171" fontId="22" fillId="7" borderId="16" xfId="24" applyNumberFormat="1" applyFont="1" applyFill="1" applyBorder="1" applyAlignment="1">
      <alignment horizontal="right"/>
    </xf>
    <xf numFmtId="168" fontId="22" fillId="7" borderId="17" xfId="26" applyFont="1" applyFill="1" applyBorder="1" applyAlignment="1">
      <alignment horizontal="left" indent="1"/>
    </xf>
    <xf numFmtId="168" fontId="29" fillId="7" borderId="16" xfId="26" applyFont="1" applyFill="1" applyBorder="1"/>
    <xf numFmtId="171" fontId="22" fillId="7" borderId="17" xfId="26" applyNumberFormat="1" applyFont="1" applyFill="1" applyBorder="1" applyAlignment="1">
      <alignment horizontal="left"/>
    </xf>
    <xf numFmtId="168" fontId="22" fillId="7" borderId="17" xfId="26" applyFont="1" applyFill="1" applyBorder="1" applyAlignment="1">
      <alignment horizontal="left" indent="2"/>
    </xf>
    <xf numFmtId="168" fontId="29" fillId="7" borderId="16" xfId="26" applyFont="1" applyFill="1" applyBorder="1" applyAlignment="1">
      <alignment horizontal="left"/>
    </xf>
    <xf numFmtId="10" fontId="22" fillId="7" borderId="5" xfId="24" applyNumberFormat="1" applyFont="1" applyFill="1" applyBorder="1" applyAlignment="1">
      <alignment horizontal="right"/>
    </xf>
    <xf numFmtId="10" fontId="22" fillId="7" borderId="0" xfId="24" applyNumberFormat="1" applyFont="1" applyFill="1" applyAlignment="1">
      <alignment horizontal="right"/>
    </xf>
    <xf numFmtId="10" fontId="22" fillId="7" borderId="17" xfId="24" applyNumberFormat="1" applyFont="1" applyFill="1" applyBorder="1" applyAlignment="1">
      <alignment horizontal="right"/>
    </xf>
    <xf numFmtId="10" fontId="22" fillId="7" borderId="16" xfId="24" applyNumberFormat="1" applyFont="1" applyFill="1" applyBorder="1" applyAlignment="1">
      <alignment horizontal="right"/>
    </xf>
    <xf numFmtId="167" fontId="29" fillId="9" borderId="17" xfId="23" applyFont="1" applyFill="1" applyBorder="1"/>
    <xf numFmtId="168" fontId="22" fillId="9" borderId="0" xfId="6" applyNumberFormat="1" applyFont="1" applyFill="1"/>
    <xf numFmtId="8" fontId="29" fillId="9" borderId="5" xfId="24" applyNumberFormat="1" applyFont="1" applyFill="1" applyBorder="1" applyAlignment="1">
      <alignment horizontal="right"/>
    </xf>
    <xf numFmtId="8" fontId="29" fillId="9" borderId="0" xfId="24" applyNumberFormat="1" applyFont="1" applyFill="1" applyAlignment="1">
      <alignment horizontal="right"/>
    </xf>
    <xf numFmtId="8" fontId="29" fillId="9" borderId="17" xfId="24" applyNumberFormat="1" applyFont="1" applyFill="1" applyBorder="1" applyAlignment="1">
      <alignment horizontal="right"/>
    </xf>
    <xf numFmtId="8" fontId="29" fillId="9" borderId="8" xfId="24" applyNumberFormat="1" applyFont="1" applyFill="1" applyBorder="1" applyAlignment="1">
      <alignment horizontal="right"/>
    </xf>
    <xf numFmtId="8" fontId="29" fillId="9" borderId="9" xfId="24" applyNumberFormat="1" applyFont="1" applyFill="1" applyBorder="1" applyAlignment="1">
      <alignment horizontal="right"/>
    </xf>
    <xf numFmtId="8" fontId="29" fillId="9" borderId="15" xfId="24" applyNumberFormat="1" applyFont="1" applyFill="1" applyBorder="1" applyAlignment="1">
      <alignment horizontal="right"/>
    </xf>
    <xf numFmtId="168" fontId="29" fillId="2" borderId="0" xfId="6" applyNumberFormat="1" applyFont="1" applyFill="1"/>
    <xf numFmtId="168" fontId="29" fillId="2" borderId="11" xfId="7" applyNumberFormat="1" applyFont="1" applyFill="1" applyBorder="1"/>
    <xf numFmtId="167" fontId="22" fillId="2" borderId="3" xfId="7" applyNumberFormat="1" applyFont="1" applyFill="1" applyBorder="1"/>
    <xf numFmtId="167" fontId="22" fillId="2" borderId="4" xfId="7" applyNumberFormat="1" applyFont="1" applyFill="1" applyBorder="1"/>
    <xf numFmtId="167" fontId="22" fillId="2" borderId="11" xfId="7" applyNumberFormat="1" applyFont="1" applyFill="1" applyBorder="1"/>
    <xf numFmtId="171" fontId="22" fillId="7" borderId="5" xfId="26" applyNumberFormat="1" applyFont="1" applyFill="1" applyBorder="1"/>
    <xf numFmtId="171" fontId="22" fillId="7" borderId="0" xfId="26" applyNumberFormat="1" applyFont="1" applyFill="1"/>
    <xf numFmtId="171" fontId="22" fillId="7" borderId="17" xfId="26" applyNumberFormat="1" applyFont="1" applyFill="1" applyBorder="1"/>
    <xf numFmtId="10" fontId="22" fillId="7" borderId="17" xfId="26" applyNumberFormat="1" applyFont="1" applyFill="1" applyBorder="1"/>
    <xf numFmtId="10" fontId="22" fillId="7" borderId="5" xfId="26" applyNumberFormat="1" applyFont="1" applyFill="1" applyBorder="1"/>
    <xf numFmtId="10" fontId="22" fillId="7" borderId="0" xfId="26" applyNumberFormat="1" applyFont="1" applyFill="1"/>
    <xf numFmtId="10" fontId="31" fillId="7" borderId="17" xfId="28" applyFont="1" applyFill="1" applyBorder="1" applyAlignment="1">
      <alignment horizontal="left" indent="1"/>
    </xf>
    <xf numFmtId="10" fontId="31" fillId="7" borderId="5" xfId="26" applyNumberFormat="1" applyFont="1" applyFill="1" applyBorder="1"/>
    <xf numFmtId="10" fontId="31" fillId="7" borderId="0" xfId="26" applyNumberFormat="1" applyFont="1" applyFill="1"/>
    <xf numFmtId="10" fontId="31" fillId="7" borderId="17" xfId="26" applyNumberFormat="1" applyFont="1" applyFill="1" applyBorder="1"/>
    <xf numFmtId="10" fontId="22" fillId="7" borderId="5" xfId="31" applyNumberFormat="1" applyFont="1" applyFill="1" applyBorder="1"/>
    <xf numFmtId="10" fontId="22" fillId="7" borderId="0" xfId="31" applyNumberFormat="1" applyFont="1" applyFill="1"/>
    <xf numFmtId="10" fontId="22" fillId="7" borderId="17" xfId="31" applyNumberFormat="1" applyFont="1" applyFill="1" applyBorder="1"/>
    <xf numFmtId="10" fontId="31" fillId="7" borderId="5" xfId="28" applyFont="1" applyFill="1" applyBorder="1"/>
    <xf numFmtId="10" fontId="22" fillId="7" borderId="5" xfId="28" applyFont="1" applyFill="1" applyBorder="1"/>
    <xf numFmtId="10" fontId="22" fillId="7" borderId="0" xfId="28" applyFont="1" applyFill="1"/>
    <xf numFmtId="10" fontId="22" fillId="7" borderId="17" xfId="28" applyFont="1" applyFill="1" applyBorder="1"/>
    <xf numFmtId="10" fontId="22" fillId="7" borderId="0" xfId="28" applyFont="1" applyFill="1" applyBorder="1"/>
    <xf numFmtId="168" fontId="80" fillId="2" borderId="0" xfId="6" applyNumberFormat="1" applyFont="1" applyFill="1"/>
    <xf numFmtId="0" fontId="80" fillId="7" borderId="15" xfId="24" applyFont="1" applyFill="1" applyBorder="1"/>
    <xf numFmtId="0" fontId="80" fillId="7" borderId="8" xfId="24" applyFont="1" applyFill="1" applyBorder="1"/>
    <xf numFmtId="0" fontId="80" fillId="7" borderId="9" xfId="24" applyFont="1" applyFill="1" applyBorder="1"/>
    <xf numFmtId="10" fontId="80" fillId="7" borderId="15" xfId="31" applyNumberFormat="1" applyFont="1" applyFill="1" applyBorder="1"/>
    <xf numFmtId="10" fontId="80" fillId="7" borderId="9" xfId="31" applyNumberFormat="1" applyFont="1" applyFill="1" applyBorder="1"/>
    <xf numFmtId="190" fontId="81" fillId="2" borderId="0" xfId="13" applyNumberFormat="1" applyFont="1" applyFill="1" applyBorder="1"/>
    <xf numFmtId="190" fontId="81" fillId="7" borderId="0" xfId="13" applyNumberFormat="1" applyFont="1" applyFill="1"/>
    <xf numFmtId="190" fontId="81" fillId="2" borderId="0" xfId="13" applyNumberFormat="1" applyFont="1" applyFill="1"/>
    <xf numFmtId="190" fontId="81" fillId="7" borderId="0" xfId="13" applyNumberFormat="1" applyFont="1" applyFill="1" applyBorder="1"/>
    <xf numFmtId="167" fontId="29" fillId="8" borderId="24" xfId="23" applyFont="1" applyFill="1" applyBorder="1"/>
    <xf numFmtId="168" fontId="22" fillId="8" borderId="14" xfId="6" applyNumberFormat="1" applyFont="1" applyFill="1" applyBorder="1"/>
    <xf numFmtId="168" fontId="22" fillId="8" borderId="24" xfId="6" applyNumberFormat="1" applyFont="1" applyFill="1" applyBorder="1"/>
    <xf numFmtId="186" fontId="13" fillId="8" borderId="24" xfId="28" applyNumberFormat="1" applyFill="1" applyBorder="1"/>
    <xf numFmtId="171" fontId="22" fillId="7" borderId="5" xfId="24" applyNumberFormat="1" applyFont="1" applyFill="1" applyBorder="1"/>
    <xf numFmtId="171" fontId="22" fillId="7" borderId="0" xfId="24" applyNumberFormat="1" applyFont="1" applyFill="1"/>
    <xf numFmtId="168" fontId="22" fillId="2" borderId="17" xfId="6" applyNumberFormat="1" applyFont="1" applyFill="1" applyBorder="1"/>
    <xf numFmtId="171" fontId="22" fillId="7" borderId="0" xfId="18" applyNumberFormat="1" applyFont="1" applyFill="1" applyBorder="1"/>
    <xf numFmtId="0" fontId="22" fillId="7" borderId="5" xfId="24" applyFont="1" applyFill="1" applyBorder="1"/>
    <xf numFmtId="0" fontId="22" fillId="7" borderId="0" xfId="24" applyFont="1" applyFill="1" applyBorder="1"/>
    <xf numFmtId="171" fontId="33" fillId="7" borderId="0" xfId="24" applyNumberFormat="1" applyFont="1" applyFill="1"/>
    <xf numFmtId="171" fontId="33" fillId="7" borderId="0" xfId="24" applyNumberFormat="1" applyFont="1" applyFill="1" applyBorder="1"/>
    <xf numFmtId="171" fontId="22" fillId="7" borderId="0" xfId="24" applyNumberFormat="1" applyFont="1" applyFill="1" applyBorder="1"/>
    <xf numFmtId="43" fontId="23" fillId="2" borderId="17" xfId="13" applyFont="1" applyFill="1" applyBorder="1"/>
    <xf numFmtId="43" fontId="23" fillId="7" borderId="0" xfId="13" applyFont="1" applyFill="1" applyBorder="1"/>
    <xf numFmtId="168" fontId="29" fillId="7" borderId="17" xfId="26" applyFont="1" applyFill="1" applyBorder="1"/>
    <xf numFmtId="171" fontId="22" fillId="7" borderId="17" xfId="24" applyNumberFormat="1" applyFont="1" applyFill="1" applyBorder="1"/>
    <xf numFmtId="43" fontId="23" fillId="7" borderId="17" xfId="13" applyFont="1" applyFill="1" applyBorder="1"/>
    <xf numFmtId="192" fontId="22" fillId="2" borderId="17" xfId="6" applyNumberFormat="1" applyFont="1" applyFill="1" applyBorder="1"/>
    <xf numFmtId="171" fontId="22" fillId="7" borderId="5" xfId="28" applyNumberFormat="1" applyFont="1" applyFill="1" applyBorder="1"/>
    <xf numFmtId="171" fontId="22" fillId="7" borderId="0" xfId="28" applyNumberFormat="1" applyFont="1" applyFill="1" applyBorder="1"/>
    <xf numFmtId="171" fontId="22" fillId="7" borderId="0" xfId="28" applyNumberFormat="1" applyFont="1" applyFill="1"/>
    <xf numFmtId="171" fontId="22" fillId="2" borderId="17" xfId="6" applyNumberFormat="1" applyFont="1" applyFill="1" applyBorder="1"/>
    <xf numFmtId="171" fontId="33" fillId="2" borderId="17" xfId="6" applyNumberFormat="1" applyFont="1" applyFill="1" applyBorder="1"/>
    <xf numFmtId="168" fontId="22" fillId="7" borderId="15" xfId="26" applyFont="1" applyFill="1" applyBorder="1" applyAlignment="1">
      <alignment horizontal="left"/>
    </xf>
    <xf numFmtId="10" fontId="22" fillId="7" borderId="8" xfId="24" applyNumberFormat="1" applyFont="1" applyFill="1" applyBorder="1"/>
    <xf numFmtId="10" fontId="22" fillId="7" borderId="9" xfId="24" applyNumberFormat="1" applyFont="1" applyFill="1" applyBorder="1"/>
    <xf numFmtId="10" fontId="31" fillId="2" borderId="15" xfId="28" applyFont="1" applyFill="1" applyBorder="1"/>
    <xf numFmtId="10" fontId="22" fillId="7" borderId="9" xfId="18" applyNumberFormat="1" applyFont="1" applyFill="1" applyBorder="1"/>
    <xf numFmtId="10" fontId="33" fillId="7" borderId="9" xfId="18" applyNumberFormat="1" applyFont="1" applyFill="1" applyBorder="1"/>
    <xf numFmtId="176" fontId="22" fillId="2" borderId="0" xfId="6" applyNumberFormat="1" applyFont="1" applyFill="1"/>
    <xf numFmtId="186" fontId="13" fillId="8" borderId="14" xfId="28" applyNumberFormat="1" applyFill="1" applyBorder="1"/>
    <xf numFmtId="171" fontId="33" fillId="7" borderId="16" xfId="18" applyNumberFormat="1" applyFont="1" applyFill="1" applyBorder="1"/>
    <xf numFmtId="10" fontId="33" fillId="7" borderId="0" xfId="18" applyNumberFormat="1" applyFont="1" applyFill="1" applyBorder="1"/>
    <xf numFmtId="10" fontId="33" fillId="7" borderId="16" xfId="18" applyNumberFormat="1" applyFont="1" applyFill="1" applyBorder="1"/>
    <xf numFmtId="171" fontId="33" fillId="7" borderId="16" xfId="24" applyNumberFormat="1" applyFont="1" applyFill="1" applyBorder="1"/>
    <xf numFmtId="171" fontId="22" fillId="7" borderId="16" xfId="24" applyNumberFormat="1" applyFont="1" applyFill="1" applyBorder="1"/>
    <xf numFmtId="171" fontId="22" fillId="2" borderId="16" xfId="7" applyNumberFormat="1" applyFont="1" applyFill="1" applyBorder="1" applyAlignment="1">
      <alignment horizontal="right"/>
    </xf>
    <xf numFmtId="10" fontId="33" fillId="7" borderId="10" xfId="18" applyNumberFormat="1" applyFont="1" applyFill="1" applyBorder="1"/>
    <xf numFmtId="10" fontId="31" fillId="2" borderId="10" xfId="28" applyFont="1" applyFill="1" applyBorder="1"/>
    <xf numFmtId="186" fontId="13" fillId="2" borderId="0" xfId="28" applyNumberFormat="1" applyFill="1" applyBorder="1"/>
    <xf numFmtId="8" fontId="22" fillId="2" borderId="17" xfId="6" applyNumberFormat="1" applyFont="1" applyFill="1" applyBorder="1"/>
    <xf numFmtId="8" fontId="22" fillId="2" borderId="16" xfId="6" applyNumberFormat="1" applyFont="1" applyFill="1" applyBorder="1"/>
    <xf numFmtId="10" fontId="22" fillId="7" borderId="5" xfId="24" applyNumberFormat="1" applyFont="1" applyFill="1" applyBorder="1"/>
    <xf numFmtId="10" fontId="22" fillId="7" borderId="0" xfId="24" applyNumberFormat="1" applyFont="1" applyFill="1" applyBorder="1"/>
    <xf numFmtId="10" fontId="22" fillId="7" borderId="16" xfId="24" applyNumberFormat="1" applyFont="1" applyFill="1" applyBorder="1"/>
    <xf numFmtId="10" fontId="22" fillId="7" borderId="0" xfId="24" applyNumberFormat="1" applyFont="1" applyFill="1"/>
    <xf numFmtId="168" fontId="33" fillId="2" borderId="17" xfId="6" applyNumberFormat="1" applyFont="1" applyFill="1" applyBorder="1"/>
    <xf numFmtId="10" fontId="33" fillId="7" borderId="0" xfId="24" applyNumberFormat="1" applyFont="1" applyFill="1"/>
    <xf numFmtId="168" fontId="22" fillId="7" borderId="17" xfId="26" applyFont="1" applyFill="1" applyBorder="1" applyAlignment="1">
      <alignment horizontal="left"/>
    </xf>
    <xf numFmtId="10" fontId="31" fillId="2" borderId="16" xfId="7" applyNumberFormat="1" applyFont="1" applyFill="1" applyBorder="1" applyAlignment="1">
      <alignment horizontal="right"/>
    </xf>
    <xf numFmtId="9" fontId="22" fillId="7" borderId="5" xfId="24" applyNumberFormat="1" applyFont="1" applyFill="1" applyBorder="1"/>
    <xf numFmtId="9" fontId="22" fillId="7" borderId="0" xfId="24" applyNumberFormat="1" applyFont="1" applyFill="1"/>
    <xf numFmtId="10" fontId="33" fillId="7" borderId="16" xfId="24" applyNumberFormat="1" applyFont="1" applyFill="1" applyBorder="1"/>
    <xf numFmtId="10" fontId="33" fillId="7" borderId="0" xfId="24" applyNumberFormat="1" applyFont="1" applyFill="1" applyBorder="1"/>
    <xf numFmtId="172" fontId="22" fillId="2" borderId="0" xfId="6" applyNumberFormat="1" applyFont="1" applyFill="1"/>
    <xf numFmtId="168" fontId="44" fillId="7" borderId="16" xfId="26" applyFont="1" applyFill="1" applyBorder="1"/>
    <xf numFmtId="171" fontId="22" fillId="2" borderId="0" xfId="7" applyNumberFormat="1" applyFont="1" applyFill="1" applyBorder="1" applyAlignment="1">
      <alignment horizontal="center"/>
    </xf>
    <xf numFmtId="171" fontId="22" fillId="2" borderId="68" xfId="7" applyNumberFormat="1" applyFont="1" applyFill="1" applyBorder="1" applyAlignment="1">
      <alignment horizontal="center"/>
    </xf>
    <xf numFmtId="171" fontId="22" fillId="7" borderId="17" xfId="24" applyNumberFormat="1" applyFont="1" applyFill="1" applyBorder="1" applyAlignment="1">
      <alignment horizontal="center"/>
    </xf>
    <xf numFmtId="43" fontId="22" fillId="7" borderId="17" xfId="13" applyFont="1" applyFill="1" applyBorder="1" applyAlignment="1">
      <alignment horizontal="center"/>
    </xf>
    <xf numFmtId="171" fontId="22" fillId="7" borderId="68" xfId="24" applyNumberFormat="1" applyFont="1" applyFill="1" applyBorder="1" applyAlignment="1">
      <alignment horizontal="right"/>
    </xf>
    <xf numFmtId="0" fontId="29" fillId="7" borderId="17" xfId="7" applyNumberFormat="1" applyFont="1" applyFill="1" applyBorder="1"/>
    <xf numFmtId="0" fontId="22" fillId="7" borderId="17" xfId="7" applyNumberFormat="1" applyFont="1" applyFill="1" applyBorder="1"/>
    <xf numFmtId="10" fontId="22" fillId="7" borderId="68" xfId="24" applyNumberFormat="1" applyFont="1" applyFill="1" applyBorder="1" applyAlignment="1">
      <alignment horizontal="right"/>
    </xf>
    <xf numFmtId="171" fontId="22" fillId="7" borderId="58" xfId="24" applyNumberFormat="1" applyFont="1" applyFill="1" applyBorder="1" applyAlignment="1">
      <alignment horizontal="right"/>
    </xf>
    <xf numFmtId="10" fontId="22" fillId="7" borderId="17" xfId="7" applyNumberFormat="1" applyFont="1" applyFill="1" applyBorder="1"/>
    <xf numFmtId="0" fontId="22" fillId="7" borderId="16" xfId="7" applyNumberFormat="1" applyFont="1" applyFill="1" applyBorder="1"/>
    <xf numFmtId="44" fontId="22" fillId="7" borderId="5" xfId="24" applyNumberFormat="1" applyFont="1" applyFill="1" applyBorder="1" applyAlignment="1">
      <alignment horizontal="right"/>
    </xf>
    <xf numFmtId="44" fontId="22" fillId="7" borderId="0" xfId="24" applyNumberFormat="1" applyFont="1" applyFill="1" applyAlignment="1">
      <alignment horizontal="right"/>
    </xf>
    <xf numFmtId="44" fontId="22" fillId="7" borderId="68" xfId="24" applyNumberFormat="1" applyFont="1" applyFill="1" applyBorder="1" applyAlignment="1">
      <alignment horizontal="right"/>
    </xf>
    <xf numFmtId="44" fontId="22" fillId="7" borderId="17" xfId="24" applyNumberFormat="1" applyFont="1" applyFill="1" applyBorder="1" applyAlignment="1">
      <alignment horizontal="right"/>
    </xf>
    <xf numFmtId="167" fontId="22" fillId="2" borderId="0" xfId="6" applyNumberFormat="1" applyFont="1" applyFill="1" applyBorder="1" applyAlignment="1">
      <alignment horizontal="center"/>
    </xf>
    <xf numFmtId="39" fontId="22" fillId="2" borderId="0" xfId="6" applyNumberFormat="1" applyFont="1" applyFill="1" applyAlignment="1">
      <alignment horizontal="center"/>
    </xf>
    <xf numFmtId="168" fontId="22" fillId="7" borderId="11" xfId="26" applyFont="1" applyFill="1" applyBorder="1"/>
    <xf numFmtId="171" fontId="22" fillId="7" borderId="3" xfId="26" applyNumberFormat="1" applyFont="1" applyFill="1" applyBorder="1" applyAlignment="1">
      <alignment horizontal="center"/>
    </xf>
    <xf numFmtId="171" fontId="22" fillId="7" borderId="4" xfId="26" applyNumberFormat="1" applyFont="1" applyFill="1" applyBorder="1" applyAlignment="1">
      <alignment horizontal="center"/>
    </xf>
    <xf numFmtId="171" fontId="22" fillId="7" borderId="11" xfId="26" applyNumberFormat="1" applyFont="1" applyFill="1" applyBorder="1" applyAlignment="1">
      <alignment horizontal="center"/>
    </xf>
    <xf numFmtId="180" fontId="22" fillId="7" borderId="11" xfId="13" applyNumberFormat="1" applyFont="1" applyFill="1" applyBorder="1" applyAlignment="1">
      <alignment horizontal="center"/>
    </xf>
    <xf numFmtId="180" fontId="22" fillId="7" borderId="4" xfId="13" applyNumberFormat="1" applyFont="1" applyFill="1" applyBorder="1" applyAlignment="1">
      <alignment horizontal="center"/>
    </xf>
    <xf numFmtId="171" fontId="22" fillId="7" borderId="5" xfId="26" applyNumberFormat="1" applyFont="1" applyFill="1" applyBorder="1" applyAlignment="1">
      <alignment horizontal="center"/>
    </xf>
    <xf numFmtId="171" fontId="22" fillId="7" borderId="0" xfId="26" applyNumberFormat="1" applyFont="1" applyFill="1" applyAlignment="1">
      <alignment horizontal="center"/>
    </xf>
    <xf numFmtId="171" fontId="22" fillId="7" borderId="17" xfId="26" applyNumberFormat="1" applyFont="1" applyFill="1" applyBorder="1" applyAlignment="1">
      <alignment horizontal="center"/>
    </xf>
    <xf numFmtId="10" fontId="22" fillId="7" borderId="5" xfId="31" applyNumberFormat="1" applyFont="1" applyFill="1" applyBorder="1" applyAlignment="1">
      <alignment horizontal="center"/>
    </xf>
    <xf numFmtId="10" fontId="22" fillId="7" borderId="0" xfId="31" applyNumberFormat="1" applyFont="1" applyFill="1" applyAlignment="1">
      <alignment horizontal="center"/>
    </xf>
    <xf numFmtId="10" fontId="22" fillId="7" borderId="17" xfId="31" applyNumberFormat="1" applyFont="1" applyFill="1" applyBorder="1" applyAlignment="1">
      <alignment horizontal="center"/>
    </xf>
    <xf numFmtId="0" fontId="31" fillId="2" borderId="17" xfId="7" applyNumberFormat="1" applyFont="1" applyFill="1" applyBorder="1" applyAlignment="1">
      <alignment horizontal="left" indent="1"/>
    </xf>
    <xf numFmtId="10" fontId="31" fillId="7" borderId="5" xfId="28" applyFont="1" applyFill="1" applyBorder="1" applyAlignment="1">
      <alignment horizontal="center"/>
    </xf>
    <xf numFmtId="10" fontId="31" fillId="7" borderId="0" xfId="28" applyFont="1" applyFill="1" applyAlignment="1">
      <alignment horizontal="center"/>
    </xf>
    <xf numFmtId="10" fontId="31" fillId="7" borderId="17" xfId="28" applyFont="1" applyFill="1" applyBorder="1" applyAlignment="1">
      <alignment horizontal="center"/>
    </xf>
    <xf numFmtId="168" fontId="31" fillId="2" borderId="0" xfId="6" applyNumberFormat="1" applyFont="1" applyFill="1"/>
    <xf numFmtId="10" fontId="31" fillId="7" borderId="5" xfId="31" applyNumberFormat="1" applyFont="1" applyFill="1" applyBorder="1" applyAlignment="1">
      <alignment horizontal="center"/>
    </xf>
    <xf numFmtId="10" fontId="31" fillId="7" borderId="0" xfId="31" applyNumberFormat="1" applyFont="1" applyFill="1" applyAlignment="1">
      <alignment horizontal="center"/>
    </xf>
    <xf numFmtId="10" fontId="31" fillId="7" borderId="17" xfId="31" applyNumberFormat="1" applyFont="1" applyFill="1" applyBorder="1" applyAlignment="1">
      <alignment horizontal="center"/>
    </xf>
    <xf numFmtId="10" fontId="31" fillId="7" borderId="0" xfId="31" applyNumberFormat="1" applyFont="1" applyFill="1" applyBorder="1" applyAlignment="1">
      <alignment horizontal="center"/>
    </xf>
    <xf numFmtId="10" fontId="80" fillId="7" borderId="9" xfId="31" applyNumberFormat="1" applyFont="1" applyFill="1" applyBorder="1" applyAlignment="1">
      <alignment horizontal="center"/>
    </xf>
    <xf numFmtId="192" fontId="22" fillId="2" borderId="0" xfId="6" applyNumberFormat="1" applyFont="1" applyFill="1"/>
    <xf numFmtId="171" fontId="33" fillId="7" borderId="0" xfId="11" applyNumberFormat="1" applyFont="1" applyFill="1"/>
    <xf numFmtId="171" fontId="33" fillId="7" borderId="0" xfId="11" applyNumberFormat="1" applyFont="1" applyFill="1" applyBorder="1"/>
    <xf numFmtId="171" fontId="33" fillId="7" borderId="16" xfId="11" applyNumberFormat="1" applyFont="1" applyFill="1" applyBorder="1"/>
    <xf numFmtId="171" fontId="22" fillId="7" borderId="0" xfId="24" applyNumberFormat="1" applyFont="1" applyFill="1" applyAlignment="1">
      <alignment horizontal="center"/>
    </xf>
    <xf numFmtId="171" fontId="22" fillId="7" borderId="0" xfId="24" applyNumberFormat="1" applyFont="1" applyFill="1" applyBorder="1" applyAlignment="1">
      <alignment horizontal="center"/>
    </xf>
    <xf numFmtId="171" fontId="33" fillId="7" borderId="0" xfId="18" applyNumberFormat="1" applyFont="1" applyFill="1" applyBorder="1" applyAlignment="1">
      <alignment horizontal="center"/>
    </xf>
    <xf numFmtId="171" fontId="33" fillId="7" borderId="16" xfId="18" applyNumberFormat="1" applyFont="1" applyFill="1" applyBorder="1" applyAlignment="1">
      <alignment horizontal="center"/>
    </xf>
    <xf numFmtId="171" fontId="22" fillId="7" borderId="16" xfId="24" applyNumberFormat="1" applyFont="1" applyFill="1" applyBorder="1" applyAlignment="1">
      <alignment horizontal="center"/>
    </xf>
    <xf numFmtId="168" fontId="44" fillId="7" borderId="17" xfId="26" applyFont="1" applyFill="1" applyBorder="1"/>
    <xf numFmtId="168" fontId="29" fillId="2" borderId="17" xfId="7" applyNumberFormat="1" applyFont="1" applyFill="1" applyBorder="1"/>
    <xf numFmtId="168" fontId="22" fillId="2" borderId="17" xfId="7" applyNumberFormat="1" applyFont="1" applyFill="1" applyBorder="1"/>
    <xf numFmtId="10" fontId="22" fillId="7" borderId="0" xfId="11" applyNumberFormat="1" applyFont="1" applyFill="1" applyBorder="1"/>
    <xf numFmtId="10" fontId="33" fillId="7" borderId="0" xfId="11" applyNumberFormat="1" applyFont="1" applyFill="1"/>
    <xf numFmtId="10" fontId="33" fillId="7" borderId="0" xfId="11" applyNumberFormat="1" applyFont="1" applyFill="1" applyBorder="1"/>
    <xf numFmtId="10" fontId="33" fillId="7" borderId="16" xfId="11" applyNumberFormat="1" applyFont="1" applyFill="1" applyBorder="1"/>
    <xf numFmtId="171" fontId="22" fillId="7" borderId="0" xfId="11" applyNumberFormat="1" applyFont="1" applyFill="1" applyBorder="1"/>
    <xf numFmtId="168" fontId="22" fillId="2" borderId="15" xfId="7" applyNumberFormat="1" applyFont="1" applyFill="1" applyBorder="1"/>
    <xf numFmtId="44" fontId="22" fillId="7" borderId="8" xfId="24" applyNumberFormat="1" applyFont="1" applyFill="1" applyBorder="1"/>
    <xf numFmtId="44" fontId="22" fillId="7" borderId="9" xfId="24" applyNumberFormat="1" applyFont="1" applyFill="1" applyBorder="1"/>
    <xf numFmtId="168" fontId="22" fillId="2" borderId="15" xfId="6" applyNumberFormat="1" applyFont="1" applyFill="1" applyBorder="1"/>
    <xf numFmtId="44" fontId="33" fillId="7" borderId="9" xfId="18" applyNumberFormat="1" applyFont="1" applyFill="1" applyBorder="1"/>
    <xf numFmtId="44" fontId="33" fillId="7" borderId="10" xfId="18" applyNumberFormat="1" applyFont="1" applyFill="1" applyBorder="1"/>
    <xf numFmtId="168" fontId="22" fillId="2" borderId="10" xfId="6" applyNumberFormat="1" applyFont="1" applyFill="1" applyBorder="1"/>
    <xf numFmtId="10" fontId="22" fillId="7" borderId="0" xfId="11" applyNumberFormat="1" applyFont="1" applyFill="1"/>
    <xf numFmtId="171" fontId="22" fillId="7" borderId="0" xfId="11" applyNumberFormat="1" applyFont="1" applyFill="1"/>
    <xf numFmtId="43" fontId="22" fillId="2" borderId="0" xfId="13" applyFont="1" applyFill="1" applyBorder="1"/>
    <xf numFmtId="10" fontId="22" fillId="2" borderId="0" xfId="13" applyNumberFormat="1" applyFont="1" applyFill="1" applyBorder="1"/>
    <xf numFmtId="180" fontId="13" fillId="2" borderId="0" xfId="13" applyNumberFormat="1" applyFont="1" applyFill="1" applyBorder="1"/>
    <xf numFmtId="168" fontId="22" fillId="8" borderId="12" xfId="6" applyNumberFormat="1" applyFont="1" applyFill="1" applyBorder="1"/>
    <xf numFmtId="168" fontId="22" fillId="7" borderId="17" xfId="6" applyNumberFormat="1" applyFont="1" applyFill="1" applyBorder="1" applyAlignment="1">
      <alignment horizontal="right"/>
    </xf>
    <xf numFmtId="171" fontId="33" fillId="7" borderId="0" xfId="11" applyNumberFormat="1" applyFont="1" applyFill="1" applyAlignment="1">
      <alignment horizontal="right"/>
    </xf>
    <xf numFmtId="171" fontId="33" fillId="7" borderId="16" xfId="11" applyNumberFormat="1" applyFont="1" applyFill="1" applyBorder="1" applyAlignment="1">
      <alignment horizontal="right"/>
    </xf>
    <xf numFmtId="168" fontId="22" fillId="2" borderId="16" xfId="6" applyNumberFormat="1" applyFont="1" applyFill="1" applyBorder="1" applyAlignment="1">
      <alignment horizontal="right"/>
    </xf>
    <xf numFmtId="171" fontId="33" fillId="7" borderId="0" xfId="11" applyNumberFormat="1" applyFont="1" applyFill="1" applyBorder="1" applyAlignment="1">
      <alignment horizontal="right"/>
    </xf>
    <xf numFmtId="10" fontId="22" fillId="7" borderId="17" xfId="26" applyNumberFormat="1" applyFont="1" applyFill="1" applyBorder="1" applyAlignment="1">
      <alignment horizontal="left" indent="1"/>
    </xf>
    <xf numFmtId="10" fontId="22" fillId="7" borderId="5" xfId="24" applyNumberFormat="1" applyFont="1" applyFill="1" applyBorder="1" applyAlignment="1">
      <alignment horizontal="center"/>
    </xf>
    <xf numFmtId="10" fontId="22" fillId="7" borderId="0" xfId="24" applyNumberFormat="1" applyFont="1" applyFill="1" applyAlignment="1">
      <alignment horizontal="center"/>
    </xf>
    <xf numFmtId="10" fontId="22" fillId="7" borderId="17" xfId="6" applyNumberFormat="1" applyFont="1" applyFill="1" applyBorder="1" applyAlignment="1">
      <alignment horizontal="right"/>
    </xf>
    <xf numFmtId="10" fontId="33" fillId="7" borderId="16" xfId="18" applyNumberFormat="1" applyFont="1" applyFill="1" applyBorder="1" applyAlignment="1">
      <alignment horizontal="right"/>
    </xf>
    <xf numFmtId="10" fontId="22" fillId="7" borderId="16" xfId="6" applyNumberFormat="1" applyFont="1" applyFill="1" applyBorder="1" applyAlignment="1">
      <alignment horizontal="right"/>
    </xf>
    <xf numFmtId="10" fontId="33" fillId="7" borderId="0" xfId="18" applyNumberFormat="1" applyFont="1" applyFill="1" applyBorder="1" applyAlignment="1">
      <alignment horizontal="right"/>
    </xf>
    <xf numFmtId="171" fontId="22" fillId="7" borderId="5" xfId="24" applyNumberFormat="1" applyFont="1" applyFill="1" applyBorder="1" applyAlignment="1">
      <alignment horizontal="center"/>
    </xf>
    <xf numFmtId="171" fontId="22" fillId="7" borderId="17" xfId="6" applyNumberFormat="1" applyFont="1" applyFill="1" applyBorder="1" applyAlignment="1">
      <alignment horizontal="right"/>
    </xf>
    <xf numFmtId="171" fontId="22" fillId="2" borderId="16" xfId="6" applyNumberFormat="1" applyFont="1" applyFill="1" applyBorder="1" applyAlignment="1">
      <alignment horizontal="right"/>
    </xf>
    <xf numFmtId="171" fontId="22" fillId="2" borderId="16" xfId="6" applyNumberFormat="1" applyFont="1" applyFill="1" applyBorder="1"/>
    <xf numFmtId="10" fontId="33" fillId="7" borderId="16" xfId="11" applyNumberFormat="1" applyFont="1" applyFill="1" applyBorder="1" applyAlignment="1">
      <alignment horizontal="right"/>
    </xf>
    <xf numFmtId="171" fontId="33" fillId="7" borderId="0" xfId="11" applyNumberFormat="1" applyFont="1" applyFill="1" applyBorder="1" applyAlignment="1">
      <alignment horizontal="center"/>
    </xf>
    <xf numFmtId="10" fontId="22" fillId="7" borderId="0" xfId="11" applyNumberFormat="1" applyFont="1" applyFill="1" applyAlignment="1">
      <alignment horizontal="center"/>
    </xf>
    <xf numFmtId="44" fontId="22" fillId="2" borderId="0" xfId="6" applyNumberFormat="1" applyFont="1" applyFill="1"/>
    <xf numFmtId="44" fontId="22" fillId="2" borderId="9" xfId="6" applyNumberFormat="1" applyFont="1" applyFill="1" applyBorder="1"/>
    <xf numFmtId="44" fontId="22" fillId="2" borderId="15" xfId="6" applyNumberFormat="1" applyFont="1" applyFill="1" applyBorder="1"/>
    <xf numFmtId="44" fontId="22" fillId="7" borderId="15" xfId="6" applyNumberFormat="1" applyFont="1" applyFill="1" applyBorder="1" applyAlignment="1">
      <alignment horizontal="right"/>
    </xf>
    <xf numFmtId="44" fontId="33" fillId="7" borderId="10" xfId="18" applyNumberFormat="1" applyFont="1" applyFill="1" applyBorder="1" applyAlignment="1">
      <alignment horizontal="right"/>
    </xf>
    <xf numFmtId="44" fontId="22" fillId="2" borderId="10" xfId="6" applyNumberFormat="1" applyFont="1" applyFill="1" applyBorder="1" applyAlignment="1">
      <alignment horizontal="right"/>
    </xf>
    <xf numFmtId="44" fontId="33" fillId="7" borderId="9" xfId="18" applyNumberFormat="1" applyFont="1" applyFill="1" applyBorder="1" applyAlignment="1">
      <alignment horizontal="right"/>
    </xf>
    <xf numFmtId="44" fontId="22" fillId="2" borderId="10" xfId="6" applyNumberFormat="1" applyFont="1" applyFill="1" applyBorder="1"/>
    <xf numFmtId="168" fontId="22" fillId="8" borderId="14" xfId="6" applyNumberFormat="1" applyFont="1" applyFill="1" applyBorder="1" applyAlignment="1">
      <alignment horizontal="right"/>
    </xf>
    <xf numFmtId="171" fontId="33" fillId="7" borderId="0" xfId="24" applyNumberFormat="1" applyFont="1" applyFill="1" applyAlignment="1">
      <alignment horizontal="right"/>
    </xf>
    <xf numFmtId="171" fontId="33" fillId="7" borderId="16" xfId="24" applyNumberFormat="1" applyFont="1" applyFill="1" applyBorder="1" applyAlignment="1">
      <alignment horizontal="right"/>
    </xf>
    <xf numFmtId="171" fontId="33" fillId="7" borderId="0" xfId="24" applyNumberFormat="1" applyFont="1" applyFill="1" applyBorder="1" applyAlignment="1">
      <alignment horizontal="right"/>
    </xf>
    <xf numFmtId="4" fontId="22" fillId="2" borderId="17" xfId="6" applyNumberFormat="1" applyFont="1" applyFill="1" applyBorder="1"/>
    <xf numFmtId="171" fontId="33" fillId="7" borderId="0" xfId="18" applyNumberFormat="1" applyFont="1" applyFill="1" applyBorder="1" applyAlignment="1">
      <alignment horizontal="right"/>
    </xf>
    <xf numFmtId="171" fontId="33" fillId="7" borderId="16" xfId="18" applyNumberFormat="1" applyFont="1" applyFill="1" applyBorder="1" applyAlignment="1">
      <alignment horizontal="right"/>
    </xf>
    <xf numFmtId="4" fontId="22" fillId="2" borderId="16" xfId="6" applyNumberFormat="1" applyFont="1" applyFill="1" applyBorder="1"/>
    <xf numFmtId="10" fontId="22" fillId="2" borderId="17" xfId="6" applyNumberFormat="1" applyFont="1" applyFill="1" applyBorder="1"/>
    <xf numFmtId="10" fontId="22" fillId="2" borderId="16" xfId="6" applyNumberFormat="1" applyFont="1" applyFill="1" applyBorder="1"/>
    <xf numFmtId="44" fontId="22" fillId="7" borderId="5" xfId="24" applyNumberFormat="1" applyFont="1" applyFill="1" applyBorder="1"/>
    <xf numFmtId="44" fontId="22" fillId="7" borderId="0" xfId="24" applyNumberFormat="1" applyFont="1" applyFill="1"/>
    <xf numFmtId="44" fontId="22" fillId="2" borderId="17" xfId="6" applyNumberFormat="1" applyFont="1" applyFill="1" applyBorder="1"/>
    <xf numFmtId="44" fontId="33" fillId="7" borderId="16" xfId="18" applyNumberFormat="1" applyFont="1" applyFill="1" applyBorder="1" applyAlignment="1">
      <alignment horizontal="right"/>
    </xf>
    <xf numFmtId="44" fontId="22" fillId="2" borderId="16" xfId="6" applyNumberFormat="1" applyFont="1" applyFill="1" applyBorder="1"/>
    <xf numFmtId="44" fontId="33" fillId="7" borderId="0" xfId="18" applyNumberFormat="1" applyFont="1" applyFill="1" applyBorder="1" applyAlignment="1">
      <alignment horizontal="right"/>
    </xf>
    <xf numFmtId="168" fontId="22" fillId="7" borderId="15" xfId="26" applyFont="1" applyFill="1" applyBorder="1" applyAlignment="1">
      <alignment horizontal="left" indent="1"/>
    </xf>
    <xf numFmtId="10" fontId="33" fillId="7" borderId="9" xfId="11" applyNumberFormat="1" applyFont="1" applyFill="1" applyBorder="1"/>
    <xf numFmtId="10" fontId="33" fillId="7" borderId="10" xfId="11" applyNumberFormat="1" applyFont="1" applyFill="1" applyBorder="1" applyAlignment="1">
      <alignment horizontal="right"/>
    </xf>
    <xf numFmtId="10" fontId="33" fillId="7" borderId="9" xfId="11" applyNumberFormat="1" applyFont="1" applyFill="1" applyBorder="1" applyAlignment="1">
      <alignment horizontal="right"/>
    </xf>
    <xf numFmtId="37" fontId="29" fillId="2" borderId="0" xfId="0" applyFont="1" applyFill="1" applyAlignment="1">
      <alignment horizontal="center"/>
    </xf>
    <xf numFmtId="171" fontId="29" fillId="5" borderId="24" xfId="28" applyNumberFormat="1" applyFont="1" applyFill="1" applyBorder="1" applyAlignment="1">
      <alignment horizontal="center"/>
    </xf>
    <xf numFmtId="37" fontId="5" fillId="8" borderId="0" xfId="0" applyFont="1" applyFill="1"/>
    <xf numFmtId="0" fontId="5" fillId="2" borderId="0" xfId="6" applyNumberFormat="1" applyFont="1" applyFill="1"/>
    <xf numFmtId="0" fontId="5" fillId="2" borderId="0" xfId="6" applyNumberFormat="1" applyFont="1" applyFill="1" applyBorder="1"/>
    <xf numFmtId="37" fontId="5" fillId="0" borderId="0" xfId="0" applyFont="1" applyFill="1"/>
    <xf numFmtId="0" fontId="51" fillId="0" borderId="12" xfId="0" applyNumberFormat="1" applyFont="1" applyFill="1" applyBorder="1" applyAlignment="1">
      <alignment horizontal="center"/>
    </xf>
    <xf numFmtId="37" fontId="51" fillId="0" borderId="12" xfId="0" applyFont="1" applyFill="1" applyBorder="1" applyAlignment="1">
      <alignment horizontal="center"/>
    </xf>
    <xf numFmtId="37" fontId="51" fillId="0" borderId="10" xfId="0" applyFont="1" applyFill="1" applyBorder="1" applyAlignment="1">
      <alignment horizontal="center"/>
    </xf>
    <xf numFmtId="37" fontId="50" fillId="0" borderId="44" xfId="0" quotePrefix="1" applyFont="1" applyFill="1" applyBorder="1" applyAlignment="1">
      <alignment horizontal="center"/>
    </xf>
    <xf numFmtId="37" fontId="50" fillId="0" borderId="47" xfId="0" quotePrefix="1" applyFont="1" applyFill="1" applyBorder="1" applyAlignment="1">
      <alignment horizontal="center"/>
    </xf>
    <xf numFmtId="37" fontId="50" fillId="0" borderId="0" xfId="0" applyFont="1" applyFill="1" applyAlignment="1">
      <alignment horizontal="center"/>
    </xf>
    <xf numFmtId="37" fontId="5" fillId="0" borderId="0" xfId="0" applyFont="1" applyFill="1" applyAlignment="1">
      <alignment horizontal="center"/>
    </xf>
    <xf numFmtId="10" fontId="13" fillId="2" borderId="40" xfId="28" applyFont="1" applyFill="1" applyBorder="1" applyAlignment="1">
      <alignment horizontal="left" indent="1"/>
    </xf>
    <xf numFmtId="170" fontId="22" fillId="2" borderId="16" xfId="7" applyNumberFormat="1" applyFont="1" applyFill="1" applyBorder="1" applyAlignment="1">
      <alignment horizontal="right"/>
    </xf>
    <xf numFmtId="37" fontId="50" fillId="7" borderId="47" xfId="0" applyFont="1" applyFill="1" applyBorder="1" applyAlignment="1">
      <alignment horizontal="center"/>
    </xf>
    <xf numFmtId="37" fontId="22" fillId="2" borderId="0" xfId="0" applyFont="1" applyFill="1" applyBorder="1"/>
    <xf numFmtId="49" fontId="5" fillId="2" borderId="0" xfId="0" applyNumberFormat="1" applyFont="1" applyFill="1"/>
    <xf numFmtId="10" fontId="33" fillId="0" borderId="0" xfId="11" applyNumberFormat="1" applyFont="1" applyFill="1"/>
    <xf numFmtId="39" fontId="22" fillId="2" borderId="0" xfId="6" applyNumberFormat="1" applyFont="1" applyFill="1"/>
    <xf numFmtId="167" fontId="33" fillId="7" borderId="0" xfId="0" applyNumberFormat="1" applyFont="1" applyFill="1" applyAlignment="1">
      <alignment horizontal="center"/>
    </xf>
    <xf numFmtId="39" fontId="29" fillId="2" borderId="0" xfId="0" applyNumberFormat="1" applyFont="1" applyFill="1"/>
    <xf numFmtId="172" fontId="22" fillId="10" borderId="0" xfId="16" applyNumberFormat="1" applyFont="1" applyFill="1" applyAlignment="1">
      <alignment horizontal="center"/>
    </xf>
    <xf numFmtId="167" fontId="33" fillId="7" borderId="0" xfId="0" applyNumberFormat="1" applyFont="1" applyFill="1" applyAlignment="1">
      <alignment horizontal="right"/>
    </xf>
    <xf numFmtId="167" fontId="33" fillId="2" borderId="16" xfId="11" applyNumberFormat="1" applyFont="1" applyFill="1" applyBorder="1"/>
    <xf numFmtId="9" fontId="33" fillId="2" borderId="16" xfId="11" applyNumberFormat="1" applyFont="1" applyFill="1" applyBorder="1"/>
    <xf numFmtId="167" fontId="33" fillId="2" borderId="5" xfId="11" applyNumberFormat="1" applyFont="1" applyFill="1" applyBorder="1"/>
    <xf numFmtId="167" fontId="22" fillId="2" borderId="5" xfId="11" applyNumberFormat="1" applyFont="1" applyFill="1" applyBorder="1"/>
    <xf numFmtId="167" fontId="22" fillId="2" borderId="0" xfId="11" applyNumberFormat="1" applyFont="1" applyFill="1" applyBorder="1"/>
    <xf numFmtId="8" fontId="22" fillId="2" borderId="5" xfId="11" applyNumberFormat="1" applyFont="1" applyFill="1" applyBorder="1" applyAlignment="1">
      <alignment horizontal="right"/>
    </xf>
    <xf numFmtId="8" fontId="22" fillId="2" borderId="0" xfId="11" applyNumberFormat="1" applyFont="1" applyFill="1" applyBorder="1" applyAlignment="1">
      <alignment horizontal="right"/>
    </xf>
    <xf numFmtId="8" fontId="22" fillId="2" borderId="16" xfId="11" applyNumberFormat="1" applyFont="1" applyFill="1" applyBorder="1" applyAlignment="1">
      <alignment horizontal="right"/>
    </xf>
    <xf numFmtId="9" fontId="22" fillId="2" borderId="5" xfId="11" applyNumberFormat="1" applyFont="1" applyFill="1" applyBorder="1"/>
    <xf numFmtId="9" fontId="22" fillId="2" borderId="0" xfId="11" applyNumberFormat="1" applyFont="1" applyFill="1" applyBorder="1"/>
    <xf numFmtId="9" fontId="22" fillId="2" borderId="16" xfId="11" applyNumberFormat="1" applyFont="1" applyFill="1" applyBorder="1"/>
    <xf numFmtId="171" fontId="33" fillId="7" borderId="7" xfId="11" applyNumberFormat="1" applyFont="1" applyFill="1" applyBorder="1" applyAlignment="1">
      <alignment horizontal="right"/>
    </xf>
    <xf numFmtId="10" fontId="22" fillId="7" borderId="16" xfId="24" applyNumberFormat="1" applyFont="1" applyFill="1" applyBorder="1" applyAlignment="1">
      <alignment horizontal="center"/>
    </xf>
    <xf numFmtId="171" fontId="33" fillId="7" borderId="16" xfId="11" applyNumberFormat="1" applyFont="1" applyFill="1" applyBorder="1" applyAlignment="1">
      <alignment horizontal="center"/>
    </xf>
    <xf numFmtId="10" fontId="22" fillId="7" borderId="16" xfId="11" applyNumberFormat="1" applyFont="1" applyFill="1" applyBorder="1" applyAlignment="1">
      <alignment horizontal="center"/>
    </xf>
    <xf numFmtId="44" fontId="22" fillId="7" borderId="10" xfId="24" applyNumberFormat="1" applyFont="1" applyFill="1" applyBorder="1"/>
    <xf numFmtId="171" fontId="33" fillId="2" borderId="16" xfId="6" applyNumberFormat="1" applyFont="1" applyFill="1" applyBorder="1"/>
    <xf numFmtId="171" fontId="22" fillId="7" borderId="7" xfId="24" applyNumberFormat="1" applyFont="1" applyFill="1" applyBorder="1"/>
    <xf numFmtId="171" fontId="22" fillId="7" borderId="16" xfId="28" applyNumberFormat="1" applyFont="1" applyFill="1" applyBorder="1"/>
    <xf numFmtId="10" fontId="22" fillId="7" borderId="10" xfId="24" applyNumberFormat="1" applyFont="1" applyFill="1" applyBorder="1"/>
    <xf numFmtId="168" fontId="33" fillId="2" borderId="16" xfId="6" applyNumberFormat="1" applyFont="1" applyFill="1" applyBorder="1"/>
    <xf numFmtId="0" fontId="22" fillId="7" borderId="16" xfId="24" applyFont="1" applyFill="1" applyBorder="1"/>
    <xf numFmtId="9" fontId="22" fillId="7" borderId="16" xfId="24" applyNumberFormat="1" applyFont="1" applyFill="1" applyBorder="1"/>
    <xf numFmtId="0" fontId="9" fillId="8" borderId="0" xfId="17" applyNumberFormat="1" applyFill="1" applyBorder="1" applyAlignment="1">
      <alignment horizontal="left"/>
    </xf>
    <xf numFmtId="37" fontId="2" fillId="7" borderId="16" xfId="0" applyFont="1" applyFill="1" applyBorder="1" applyAlignment="1">
      <alignment horizontal="center"/>
    </xf>
    <xf numFmtId="171" fontId="22" fillId="7" borderId="3" xfId="24" applyNumberFormat="1" applyFont="1" applyFill="1" applyBorder="1"/>
    <xf numFmtId="171" fontId="33" fillId="7" borderId="5" xfId="24" applyNumberFormat="1" applyFont="1" applyFill="1" applyBorder="1"/>
    <xf numFmtId="171" fontId="22" fillId="7" borderId="0" xfId="18" applyNumberFormat="1" applyFont="1" applyFill="1" applyBorder="1" applyAlignment="1">
      <alignment horizontal="center"/>
    </xf>
    <xf numFmtId="44" fontId="22" fillId="7" borderId="9" xfId="18" applyNumberFormat="1" applyFont="1" applyFill="1" applyBorder="1"/>
    <xf numFmtId="171" fontId="22" fillId="7" borderId="0" xfId="11" applyNumberFormat="1" applyFont="1" applyFill="1" applyAlignment="1">
      <alignment horizontal="right"/>
    </xf>
    <xf numFmtId="10" fontId="22" fillId="7" borderId="0" xfId="18" applyNumberFormat="1" applyFont="1" applyFill="1" applyBorder="1" applyAlignment="1">
      <alignment horizontal="right"/>
    </xf>
    <xf numFmtId="10" fontId="22" fillId="7" borderId="0" xfId="11" applyNumberFormat="1" applyFont="1" applyFill="1" applyAlignment="1">
      <alignment horizontal="right"/>
    </xf>
    <xf numFmtId="8" fontId="22" fillId="7" borderId="0" xfId="11" applyNumberFormat="1" applyFont="1" applyFill="1" applyAlignment="1">
      <alignment horizontal="right"/>
    </xf>
    <xf numFmtId="44" fontId="22" fillId="7" borderId="9" xfId="18" applyNumberFormat="1" applyFont="1" applyFill="1" applyBorder="1" applyAlignment="1">
      <alignment horizontal="right"/>
    </xf>
    <xf numFmtId="171" fontId="22" fillId="7" borderId="0" xfId="18" applyNumberFormat="1" applyFont="1" applyFill="1" applyBorder="1" applyAlignment="1">
      <alignment horizontal="right"/>
    </xf>
    <xf numFmtId="44" fontId="22" fillId="7" borderId="0" xfId="18" applyNumberFormat="1" applyFont="1" applyFill="1" applyBorder="1" applyAlignment="1">
      <alignment horizontal="right"/>
    </xf>
    <xf numFmtId="10" fontId="22" fillId="7" borderId="9" xfId="11" applyNumberFormat="1" applyFont="1" applyFill="1" applyBorder="1" applyAlignment="1">
      <alignment horizontal="right"/>
    </xf>
    <xf numFmtId="171" fontId="22" fillId="2" borderId="9" xfId="11" applyNumberFormat="1" applyFont="1" applyFill="1" applyBorder="1"/>
    <xf numFmtId="8" fontId="33" fillId="2" borderId="16" xfId="11" applyNumberFormat="1" applyFont="1" applyFill="1" applyBorder="1" applyAlignment="1">
      <alignment horizontal="right"/>
    </xf>
    <xf numFmtId="9" fontId="33" fillId="2" borderId="5" xfId="11" applyNumberFormat="1" applyFont="1" applyFill="1" applyBorder="1"/>
    <xf numFmtId="0" fontId="9" fillId="2" borderId="0" xfId="17" applyFill="1" applyBorder="1" applyAlignment="1">
      <alignment horizontal="left"/>
    </xf>
    <xf numFmtId="37" fontId="5" fillId="2" borderId="0" xfId="0" applyNumberFormat="1" applyFont="1" applyFill="1"/>
    <xf numFmtId="10" fontId="22" fillId="2" borderId="3" xfId="7" applyNumberFormat="1" applyFont="1" applyFill="1" applyBorder="1"/>
    <xf numFmtId="10" fontId="23" fillId="2" borderId="4" xfId="6" applyNumberFormat="1" applyFont="1" applyFill="1" applyBorder="1"/>
    <xf numFmtId="10" fontId="22" fillId="2" borderId="11" xfId="7" applyNumberFormat="1" applyFont="1" applyFill="1" applyBorder="1"/>
    <xf numFmtId="10" fontId="22" fillId="2" borderId="4" xfId="6" applyNumberFormat="1" applyFont="1" applyFill="1" applyBorder="1" applyAlignment="1">
      <alignment horizontal="right"/>
    </xf>
    <xf numFmtId="10" fontId="22" fillId="2" borderId="4" xfId="6" applyNumberFormat="1" applyFont="1" applyFill="1" applyBorder="1"/>
    <xf numFmtId="10" fontId="22" fillId="2" borderId="0" xfId="6" applyNumberFormat="1" applyFont="1" applyFill="1" applyBorder="1" applyAlignment="1">
      <alignment horizontal="right"/>
    </xf>
    <xf numFmtId="10" fontId="33" fillId="6" borderId="0" xfId="11" applyNumberFormat="1" applyFont="1" applyFill="1"/>
    <xf numFmtId="192" fontId="13" fillId="2" borderId="0" xfId="28" applyNumberFormat="1" applyFill="1" applyBorder="1"/>
    <xf numFmtId="10" fontId="22" fillId="2" borderId="0" xfId="11" applyNumberFormat="1" applyFont="1" applyFill="1"/>
    <xf numFmtId="171" fontId="22" fillId="7" borderId="4" xfId="24" applyNumberFormat="1" applyFont="1" applyFill="1" applyBorder="1"/>
    <xf numFmtId="37" fontId="22" fillId="7" borderId="0" xfId="0" applyNumberFormat="1" applyFont="1" applyFill="1"/>
    <xf numFmtId="171" fontId="22" fillId="7" borderId="9" xfId="18" applyNumberFormat="1" applyFont="1" applyFill="1" applyBorder="1"/>
    <xf numFmtId="171" fontId="22" fillId="7" borderId="0" xfId="11" applyNumberFormat="1" applyFont="1" applyFill="1" applyBorder="1" applyAlignment="1">
      <alignment horizontal="right"/>
    </xf>
    <xf numFmtId="8" fontId="22" fillId="7" borderId="0" xfId="11" applyNumberFormat="1" applyFont="1" applyFill="1" applyBorder="1" applyAlignment="1">
      <alignment horizontal="right"/>
    </xf>
    <xf numFmtId="37" fontId="51" fillId="7" borderId="14" xfId="0" applyFont="1" applyFill="1" applyBorder="1" applyAlignment="1">
      <alignment horizontal="left"/>
    </xf>
    <xf numFmtId="0" fontId="51" fillId="7" borderId="14" xfId="0" applyNumberFormat="1" applyFont="1" applyFill="1" applyBorder="1" applyAlignment="1">
      <alignment horizontal="center"/>
    </xf>
    <xf numFmtId="14" fontId="51" fillId="3" borderId="12" xfId="0" applyNumberFormat="1" applyFont="1" applyFill="1" applyBorder="1" applyAlignment="1">
      <alignment horizontal="center"/>
    </xf>
    <xf numFmtId="14" fontId="51" fillId="3" borderId="24" xfId="0" applyNumberFormat="1" applyFont="1" applyFill="1" applyBorder="1" applyAlignment="1">
      <alignment horizontal="center"/>
    </xf>
    <xf numFmtId="37" fontId="51" fillId="3" borderId="24" xfId="0" applyFont="1" applyFill="1" applyBorder="1" applyAlignment="1">
      <alignment horizontal="center"/>
    </xf>
    <xf numFmtId="37" fontId="60" fillId="9" borderId="17" xfId="2" applyNumberFormat="1" applyFont="1" applyFill="1" applyBorder="1" applyAlignment="1">
      <alignment horizontal="center"/>
    </xf>
    <xf numFmtId="37" fontId="60" fillId="9" borderId="52" xfId="2" applyNumberFormat="1" applyFont="1" applyFill="1" applyBorder="1" applyAlignment="1">
      <alignment horizontal="center"/>
    </xf>
    <xf numFmtId="167" fontId="60" fillId="9" borderId="0" xfId="2" applyNumberFormat="1" applyFont="1" applyFill="1" applyAlignment="1"/>
    <xf numFmtId="167" fontId="60" fillId="9" borderId="0" xfId="13" applyNumberFormat="1" applyFont="1" applyFill="1" applyAlignment="1"/>
    <xf numFmtId="167" fontId="41" fillId="7" borderId="0" xfId="0" applyNumberFormat="1" applyFont="1" applyFill="1"/>
    <xf numFmtId="37" fontId="41" fillId="7" borderId="0" xfId="0" applyNumberFormat="1" applyFont="1" applyFill="1"/>
    <xf numFmtId="171" fontId="33" fillId="0" borderId="0" xfId="18" applyNumberFormat="1" applyFont="1" applyFill="1" applyBorder="1"/>
    <xf numFmtId="9" fontId="50" fillId="0" borderId="44" xfId="28" applyNumberFormat="1" applyFont="1" applyFill="1" applyBorder="1" applyAlignment="1">
      <alignment horizontal="center"/>
    </xf>
    <xf numFmtId="173" fontId="50" fillId="0" borderId="16" xfId="28" applyNumberFormat="1" applyFont="1" applyFill="1" applyBorder="1" applyAlignment="1">
      <alignment horizontal="center"/>
    </xf>
    <xf numFmtId="171" fontId="50" fillId="0" borderId="44" xfId="28" applyNumberFormat="1" applyFont="1" applyFill="1" applyBorder="1" applyAlignment="1">
      <alignment horizontal="center"/>
    </xf>
    <xf numFmtId="10" fontId="8" fillId="2" borderId="0" xfId="11" applyNumberFormat="1" applyFont="1" applyFill="1"/>
    <xf numFmtId="37" fontId="5" fillId="0" borderId="0" xfId="0" applyFont="1" applyFill="1" applyAlignment="1">
      <alignment horizontal="right"/>
    </xf>
    <xf numFmtId="167" fontId="33" fillId="0" borderId="0" xfId="0" applyNumberFormat="1" applyFont="1" applyFill="1"/>
    <xf numFmtId="167" fontId="33" fillId="0" borderId="0" xfId="7" applyNumberFormat="1" applyFont="1" applyFill="1"/>
    <xf numFmtId="167" fontId="52" fillId="0" borderId="14" xfId="0" applyNumberFormat="1" applyFont="1" applyFill="1" applyBorder="1"/>
    <xf numFmtId="3" fontId="10" fillId="0" borderId="9" xfId="7" applyNumberFormat="1" applyFont="1" applyFill="1" applyBorder="1" applyAlignment="1">
      <alignment horizontal="right"/>
    </xf>
    <xf numFmtId="3" fontId="10" fillId="0" borderId="9" xfId="7" applyNumberFormat="1" applyFont="1" applyFill="1" applyBorder="1" applyAlignment="1">
      <alignment horizontal="center"/>
    </xf>
    <xf numFmtId="14" fontId="51" fillId="3" borderId="10" xfId="0" applyNumberFormat="1" applyFont="1" applyFill="1" applyBorder="1" applyAlignment="1">
      <alignment horizontal="center"/>
    </xf>
    <xf numFmtId="10" fontId="8" fillId="2" borderId="17" xfId="28" applyFont="1" applyFill="1" applyBorder="1"/>
    <xf numFmtId="171" fontId="10" fillId="0" borderId="0" xfId="7" applyNumberFormat="1" applyFont="1" applyFill="1"/>
    <xf numFmtId="171" fontId="10" fillId="0" borderId="0" xfId="6" applyNumberFormat="1" applyFont="1" applyFill="1" applyBorder="1"/>
    <xf numFmtId="10" fontId="8" fillId="0" borderId="0" xfId="11" applyNumberFormat="1" applyFill="1"/>
    <xf numFmtId="10" fontId="10" fillId="0" borderId="0" xfId="6" applyNumberFormat="1" applyFont="1" applyFill="1"/>
    <xf numFmtId="10" fontId="8" fillId="0" borderId="0" xfId="6" applyNumberFormat="1" applyFont="1" applyFill="1"/>
    <xf numFmtId="171" fontId="10" fillId="0" borderId="0" xfId="6" applyNumberFormat="1" applyFont="1" applyFill="1"/>
    <xf numFmtId="171" fontId="22" fillId="7" borderId="16" xfId="18" applyNumberFormat="1" applyFont="1" applyFill="1" applyBorder="1" applyAlignment="1">
      <alignment horizontal="center"/>
    </xf>
    <xf numFmtId="10" fontId="22" fillId="7" borderId="16" xfId="11" applyNumberFormat="1" applyFont="1" applyFill="1" applyBorder="1"/>
    <xf numFmtId="171" fontId="22" fillId="7" borderId="16" xfId="11" applyNumberFormat="1" applyFont="1" applyFill="1" applyBorder="1"/>
    <xf numFmtId="44" fontId="22" fillId="7" borderId="10" xfId="18" applyNumberFormat="1" applyFont="1" applyFill="1" applyBorder="1"/>
    <xf numFmtId="10" fontId="22" fillId="7" borderId="16" xfId="18" applyNumberFormat="1" applyFont="1" applyFill="1" applyBorder="1" applyAlignment="1">
      <alignment horizontal="right"/>
    </xf>
    <xf numFmtId="171" fontId="22" fillId="7" borderId="16" xfId="11" applyNumberFormat="1" applyFont="1" applyFill="1" applyBorder="1" applyAlignment="1">
      <alignment horizontal="right"/>
    </xf>
    <xf numFmtId="10" fontId="22" fillId="7" borderId="16" xfId="11" applyNumberFormat="1" applyFont="1" applyFill="1" applyBorder="1" applyAlignment="1">
      <alignment horizontal="right"/>
    </xf>
    <xf numFmtId="8" fontId="22" fillId="7" borderId="16" xfId="11" applyNumberFormat="1" applyFont="1" applyFill="1" applyBorder="1" applyAlignment="1">
      <alignment horizontal="right"/>
    </xf>
    <xf numFmtId="44" fontId="22" fillId="7" borderId="10" xfId="18" applyNumberFormat="1" applyFont="1" applyFill="1" applyBorder="1" applyAlignment="1">
      <alignment horizontal="right"/>
    </xf>
    <xf numFmtId="171" fontId="22" fillId="7" borderId="16" xfId="18" applyNumberFormat="1" applyFont="1" applyFill="1" applyBorder="1" applyAlignment="1">
      <alignment horizontal="right"/>
    </xf>
    <xf numFmtId="44" fontId="22" fillId="7" borderId="16" xfId="18" applyNumberFormat="1" applyFont="1" applyFill="1" applyBorder="1" applyAlignment="1">
      <alignment horizontal="right"/>
    </xf>
    <xf numFmtId="10" fontId="22" fillId="7" borderId="16" xfId="18" applyNumberFormat="1" applyFont="1" applyFill="1" applyBorder="1"/>
    <xf numFmtId="171" fontId="22" fillId="7" borderId="16" xfId="18" applyNumberFormat="1" applyFont="1" applyFill="1" applyBorder="1"/>
    <xf numFmtId="10" fontId="22" fillId="7" borderId="10" xfId="18" applyNumberFormat="1" applyFont="1" applyFill="1" applyBorder="1"/>
    <xf numFmtId="171" fontId="22" fillId="7" borderId="7" xfId="18" applyNumberFormat="1" applyFont="1" applyFill="1" applyBorder="1"/>
    <xf numFmtId="171" fontId="22" fillId="7" borderId="10" xfId="18" applyNumberFormat="1" applyFont="1" applyFill="1" applyBorder="1"/>
    <xf numFmtId="37" fontId="53" fillId="3" borderId="12" xfId="0" applyFont="1" applyFill="1" applyBorder="1" applyAlignment="1">
      <alignment horizontal="center"/>
    </xf>
    <xf numFmtId="171" fontId="90" fillId="7" borderId="0" xfId="28" applyNumberFormat="1" applyFont="1" applyFill="1" applyBorder="1" applyAlignment="1">
      <alignment horizontal="center"/>
    </xf>
    <xf numFmtId="171" fontId="50" fillId="7" borderId="31" xfId="28" applyNumberFormat="1" applyFont="1" applyFill="1" applyBorder="1" applyAlignment="1">
      <alignment horizontal="center"/>
    </xf>
    <xf numFmtId="171" fontId="90" fillId="7" borderId="17" xfId="28" applyNumberFormat="1" applyFont="1" applyFill="1" applyBorder="1" applyAlignment="1">
      <alignment horizontal="center"/>
    </xf>
    <xf numFmtId="37" fontId="22" fillId="0" borderId="0" xfId="0" applyFont="1" applyFill="1"/>
    <xf numFmtId="37" fontId="33" fillId="0" borderId="0" xfId="18" applyNumberFormat="1" applyFont="1" applyFill="1" applyBorder="1"/>
    <xf numFmtId="171" fontId="31" fillId="0" borderId="0" xfId="18" applyNumberFormat="1" applyFont="1" applyFill="1" applyBorder="1"/>
    <xf numFmtId="10" fontId="22" fillId="7" borderId="0" xfId="18" applyNumberFormat="1" applyFont="1" applyFill="1" applyBorder="1"/>
    <xf numFmtId="9" fontId="22" fillId="7" borderId="0" xfId="18" applyNumberFormat="1" applyFont="1" applyFill="1" applyBorder="1"/>
    <xf numFmtId="0" fontId="10" fillId="0" borderId="0" xfId="6" applyNumberFormat="1" applyFont="1" applyFill="1" applyBorder="1"/>
    <xf numFmtId="187" fontId="5" fillId="2" borderId="0" xfId="11" applyNumberFormat="1" applyFont="1" applyFill="1"/>
    <xf numFmtId="44" fontId="22" fillId="3" borderId="0" xfId="15" applyFont="1" applyFill="1"/>
    <xf numFmtId="10" fontId="13" fillId="3" borderId="0" xfId="28" applyFont="1" applyFill="1"/>
    <xf numFmtId="10" fontId="13" fillId="2" borderId="0" xfId="28" applyFont="1" applyFill="1"/>
    <xf numFmtId="37" fontId="92" fillId="2" borderId="0" xfId="0" applyFont="1" applyFill="1"/>
    <xf numFmtId="186" fontId="33" fillId="7" borderId="16" xfId="11" applyNumberFormat="1" applyFont="1" applyFill="1" applyBorder="1" applyAlignment="1">
      <alignment horizontal="right"/>
    </xf>
    <xf numFmtId="171" fontId="90" fillId="7" borderId="17" xfId="28" quotePrefix="1" applyNumberFormat="1" applyFont="1" applyFill="1" applyBorder="1" applyAlignment="1">
      <alignment horizontal="center"/>
    </xf>
    <xf numFmtId="186" fontId="33" fillId="7" borderId="0" xfId="11" applyNumberFormat="1" applyFont="1" applyFill="1"/>
    <xf numFmtId="208" fontId="33" fillId="7" borderId="0" xfId="11" applyNumberFormat="1" applyFont="1" applyFill="1"/>
    <xf numFmtId="186" fontId="33" fillId="7" borderId="16" xfId="18" applyNumberFormat="1" applyFont="1" applyFill="1" applyBorder="1"/>
    <xf numFmtId="209" fontId="33" fillId="7" borderId="0" xfId="24" applyNumberFormat="1" applyFont="1" applyFill="1"/>
    <xf numFmtId="43" fontId="10" fillId="2" borderId="0" xfId="13" applyFont="1" applyFill="1" applyBorder="1"/>
    <xf numFmtId="167" fontId="21" fillId="0" borderId="19" xfId="0" applyNumberFormat="1" applyFont="1" applyFill="1" applyBorder="1"/>
    <xf numFmtId="167" fontId="33" fillId="0" borderId="19" xfId="0" applyNumberFormat="1" applyFont="1" applyFill="1" applyBorder="1"/>
    <xf numFmtId="167" fontId="36" fillId="0" borderId="25" xfId="0" applyNumberFormat="1" applyFont="1" applyFill="1" applyBorder="1"/>
    <xf numFmtId="167" fontId="22" fillId="0" borderId="25" xfId="0" applyNumberFormat="1" applyFont="1" applyFill="1" applyBorder="1"/>
    <xf numFmtId="167" fontId="21" fillId="0" borderId="25" xfId="0" applyNumberFormat="1" applyFont="1" applyFill="1" applyBorder="1"/>
    <xf numFmtId="167" fontId="33" fillId="0" borderId="25" xfId="0" applyNumberFormat="1" applyFont="1" applyFill="1" applyBorder="1"/>
    <xf numFmtId="37" fontId="22" fillId="8" borderId="7" xfId="0" applyFont="1" applyFill="1" applyBorder="1"/>
    <xf numFmtId="37" fontId="29" fillId="8" borderId="10" xfId="0" applyFont="1" applyFill="1" applyBorder="1" applyAlignment="1">
      <alignment horizontal="center"/>
    </xf>
    <xf numFmtId="167" fontId="29" fillId="7" borderId="16" xfId="0" applyNumberFormat="1" applyFont="1" applyFill="1" applyBorder="1"/>
    <xf numFmtId="167" fontId="22" fillId="2" borderId="21" xfId="0" applyNumberFormat="1" applyFont="1" applyFill="1" applyBorder="1"/>
    <xf numFmtId="167" fontId="29" fillId="7" borderId="10" xfId="0" applyNumberFormat="1" applyFont="1" applyFill="1" applyBorder="1"/>
    <xf numFmtId="37" fontId="29" fillId="8" borderId="7" xfId="0" applyFont="1" applyFill="1" applyBorder="1" applyAlignment="1">
      <alignment horizontal="centerContinuous"/>
    </xf>
    <xf numFmtId="37" fontId="29" fillId="8" borderId="12" xfId="0" applyFont="1" applyFill="1" applyBorder="1" applyAlignment="1">
      <alignment horizontal="center"/>
    </xf>
    <xf numFmtId="167" fontId="95" fillId="2" borderId="5" xfId="0" applyNumberFormat="1" applyFont="1" applyFill="1" applyBorder="1"/>
    <xf numFmtId="167" fontId="95" fillId="0" borderId="0" xfId="0" applyNumberFormat="1" applyFont="1" applyFill="1" applyBorder="1"/>
    <xf numFmtId="167" fontId="95" fillId="0" borderId="16" xfId="0" applyNumberFormat="1" applyFont="1" applyFill="1" applyBorder="1"/>
    <xf numFmtId="37" fontId="22" fillId="0" borderId="0" xfId="0" applyFont="1" applyFill="1" applyBorder="1"/>
    <xf numFmtId="167" fontId="36" fillId="7" borderId="5" xfId="0" applyNumberFormat="1" applyFont="1" applyFill="1" applyBorder="1"/>
    <xf numFmtId="167" fontId="36" fillId="0" borderId="0" xfId="0" applyNumberFormat="1" applyFont="1" applyFill="1" applyBorder="1"/>
    <xf numFmtId="167" fontId="36" fillId="0" borderId="16" xfId="0" applyNumberFormat="1" applyFont="1" applyFill="1" applyBorder="1"/>
    <xf numFmtId="10" fontId="37" fillId="2" borderId="5" xfId="28" applyFont="1" applyFill="1" applyBorder="1"/>
    <xf numFmtId="10" fontId="37" fillId="0" borderId="0" xfId="28" applyFont="1" applyFill="1" applyBorder="1"/>
    <xf numFmtId="10" fontId="37" fillId="0" borderId="16" xfId="28" applyFont="1" applyFill="1" applyBorder="1"/>
    <xf numFmtId="167" fontId="36" fillId="2" borderId="50" xfId="0" applyNumberFormat="1" applyFont="1" applyFill="1" applyBorder="1"/>
    <xf numFmtId="167" fontId="36" fillId="0" borderId="70" xfId="0" applyNumberFormat="1" applyFont="1" applyFill="1" applyBorder="1"/>
    <xf numFmtId="167" fontId="22" fillId="0" borderId="0" xfId="0" applyNumberFormat="1" applyFont="1" applyFill="1" applyBorder="1"/>
    <xf numFmtId="167" fontId="22" fillId="0" borderId="16" xfId="0" applyNumberFormat="1" applyFont="1" applyFill="1" applyBorder="1"/>
    <xf numFmtId="167" fontId="21" fillId="2" borderId="5" xfId="0" applyNumberFormat="1" applyFont="1" applyFill="1" applyBorder="1"/>
    <xf numFmtId="167" fontId="21" fillId="0" borderId="0" xfId="0" applyNumberFormat="1" applyFont="1" applyFill="1" applyBorder="1"/>
    <xf numFmtId="167" fontId="33" fillId="0" borderId="0" xfId="0" applyNumberFormat="1" applyFont="1" applyFill="1" applyBorder="1"/>
    <xf numFmtId="167" fontId="33" fillId="0" borderId="16" xfId="0" applyNumberFormat="1" applyFont="1" applyFill="1" applyBorder="1"/>
    <xf numFmtId="167" fontId="21" fillId="0" borderId="16" xfId="0" applyNumberFormat="1" applyFont="1" applyFill="1" applyBorder="1"/>
    <xf numFmtId="167" fontId="21" fillId="7" borderId="5" xfId="0" applyNumberFormat="1" applyFont="1" applyFill="1" applyBorder="1"/>
    <xf numFmtId="167" fontId="21" fillId="2" borderId="18" xfId="0" applyNumberFormat="1" applyFont="1" applyFill="1" applyBorder="1"/>
    <xf numFmtId="167" fontId="33" fillId="0" borderId="21" xfId="0" applyNumberFormat="1" applyFont="1" applyFill="1" applyBorder="1"/>
    <xf numFmtId="167" fontId="29" fillId="0" borderId="0" xfId="0" applyNumberFormat="1" applyFont="1" applyFill="1" applyBorder="1"/>
    <xf numFmtId="167" fontId="29" fillId="0" borderId="16" xfId="0" applyNumberFormat="1" applyFont="1" applyFill="1" applyBorder="1"/>
    <xf numFmtId="167" fontId="21" fillId="2" borderId="50" xfId="0" applyNumberFormat="1" applyFont="1" applyFill="1" applyBorder="1"/>
    <xf numFmtId="167" fontId="22" fillId="0" borderId="70" xfId="0" applyNumberFormat="1" applyFont="1" applyFill="1" applyBorder="1"/>
    <xf numFmtId="167" fontId="33" fillId="0" borderId="70" xfId="0" applyNumberFormat="1" applyFont="1" applyFill="1" applyBorder="1"/>
    <xf numFmtId="167" fontId="33" fillId="2" borderId="5" xfId="0" applyNumberFormat="1" applyFont="1" applyFill="1" applyBorder="1"/>
    <xf numFmtId="167" fontId="33" fillId="2" borderId="50" xfId="0" applyNumberFormat="1" applyFont="1" applyFill="1" applyBorder="1"/>
    <xf numFmtId="167" fontId="29" fillId="7" borderId="8" xfId="0" applyNumberFormat="1" applyFont="1" applyFill="1" applyBorder="1"/>
    <xf numFmtId="167" fontId="21" fillId="0" borderId="21" xfId="0" applyNumberFormat="1" applyFont="1" applyFill="1" applyBorder="1"/>
    <xf numFmtId="167" fontId="22" fillId="0" borderId="19" xfId="0" applyNumberFormat="1" applyFont="1" applyFill="1" applyBorder="1"/>
    <xf numFmtId="167" fontId="22" fillId="0" borderId="21" xfId="0" applyNumberFormat="1" applyFont="1" applyFill="1" applyBorder="1"/>
    <xf numFmtId="39" fontId="22" fillId="10" borderId="0" xfId="16" applyNumberFormat="1" applyFont="1" applyFill="1" applyAlignment="1">
      <alignment horizontal="center"/>
    </xf>
    <xf numFmtId="37" fontId="22" fillId="0" borderId="16" xfId="0" applyFont="1" applyFill="1" applyBorder="1"/>
    <xf numFmtId="171" fontId="33" fillId="2" borderId="0" xfId="11" applyNumberFormat="1" applyFont="1" applyFill="1"/>
    <xf numFmtId="167" fontId="57" fillId="2" borderId="27" xfId="0" applyNumberFormat="1" applyFont="1" applyFill="1" applyBorder="1"/>
    <xf numFmtId="168" fontId="44" fillId="7" borderId="11" xfId="26" applyFont="1" applyFill="1" applyBorder="1"/>
    <xf numFmtId="168" fontId="22" fillId="2" borderId="7" xfId="6" applyNumberFormat="1" applyFont="1" applyFill="1" applyBorder="1"/>
    <xf numFmtId="171" fontId="22" fillId="2" borderId="4" xfId="7" applyNumberFormat="1" applyFont="1" applyFill="1" applyBorder="1" applyAlignment="1">
      <alignment horizontal="center"/>
    </xf>
    <xf numFmtId="171" fontId="22" fillId="2" borderId="71" xfId="7" applyNumberFormat="1" applyFont="1" applyFill="1" applyBorder="1" applyAlignment="1">
      <alignment horizontal="center"/>
    </xf>
    <xf numFmtId="171" fontId="22" fillId="7" borderId="11" xfId="24" applyNumberFormat="1" applyFont="1" applyFill="1" applyBorder="1" applyAlignment="1">
      <alignment horizontal="center"/>
    </xf>
    <xf numFmtId="43" fontId="22" fillId="7" borderId="11" xfId="13" applyFont="1" applyFill="1" applyBorder="1" applyAlignment="1">
      <alignment horizontal="center"/>
    </xf>
    <xf numFmtId="10" fontId="22" fillId="7" borderId="0" xfId="24" applyNumberFormat="1" applyFont="1" applyFill="1" applyBorder="1" applyAlignment="1">
      <alignment horizontal="right"/>
    </xf>
    <xf numFmtId="0" fontId="22" fillId="7" borderId="17" xfId="7" applyNumberFormat="1" applyFont="1" applyFill="1" applyBorder="1" applyAlignment="1">
      <alignment horizontal="left" indent="1"/>
    </xf>
    <xf numFmtId="0" fontId="22" fillId="7" borderId="15" xfId="7" applyNumberFormat="1" applyFont="1" applyFill="1" applyBorder="1" applyAlignment="1">
      <alignment horizontal="left" indent="1"/>
    </xf>
    <xf numFmtId="171" fontId="22" fillId="7" borderId="8" xfId="24" applyNumberFormat="1" applyFont="1" applyFill="1" applyBorder="1" applyAlignment="1">
      <alignment horizontal="right"/>
    </xf>
    <xf numFmtId="171" fontId="22" fillId="7" borderId="9" xfId="24" applyNumberFormat="1" applyFont="1" applyFill="1" applyBorder="1" applyAlignment="1">
      <alignment horizontal="right"/>
    </xf>
    <xf numFmtId="171" fontId="22" fillId="7" borderId="67" xfId="24" applyNumberFormat="1" applyFont="1" applyFill="1" applyBorder="1" applyAlignment="1">
      <alignment horizontal="right"/>
    </xf>
    <xf numFmtId="171" fontId="22" fillId="7" borderId="15" xfId="24" applyNumberFormat="1" applyFont="1" applyFill="1" applyBorder="1" applyAlignment="1">
      <alignment horizontal="right"/>
    </xf>
    <xf numFmtId="171" fontId="22" fillId="7" borderId="59" xfId="24" applyNumberFormat="1" applyFont="1" applyFill="1" applyBorder="1" applyAlignment="1">
      <alignment horizontal="right"/>
    </xf>
    <xf numFmtId="167" fontId="29" fillId="2" borderId="12" xfId="8" applyNumberFormat="1" applyFont="1" applyFill="1" applyBorder="1" applyAlignment="1">
      <alignment horizontal="right"/>
    </xf>
    <xf numFmtId="10" fontId="22" fillId="2" borderId="5" xfId="8" applyNumberFormat="1" applyFont="1" applyFill="1" applyBorder="1"/>
    <xf numFmtId="10" fontId="22" fillId="2" borderId="0" xfId="8" applyNumberFormat="1" applyFont="1" applyFill="1" applyBorder="1"/>
    <xf numFmtId="171" fontId="22" fillId="7" borderId="9" xfId="24" applyNumberFormat="1" applyFont="1" applyFill="1" applyBorder="1"/>
    <xf numFmtId="10" fontId="22" fillId="2" borderId="15" xfId="6" applyNumberFormat="1" applyFont="1" applyFill="1" applyBorder="1"/>
    <xf numFmtId="37" fontId="5" fillId="2" borderId="15" xfId="0" applyFont="1" applyFill="1" applyBorder="1"/>
    <xf numFmtId="37" fontId="5" fillId="2" borderId="11" xfId="0" applyFont="1" applyFill="1" applyBorder="1"/>
    <xf numFmtId="7" fontId="33" fillId="2" borderId="0" xfId="8" applyNumberFormat="1" applyFont="1" applyFill="1" applyAlignment="1">
      <alignment horizontal="right"/>
    </xf>
    <xf numFmtId="167" fontId="33" fillId="2" borderId="0" xfId="8" applyNumberFormat="1" applyFont="1" applyFill="1" applyAlignment="1">
      <alignment horizontal="right"/>
    </xf>
    <xf numFmtId="37" fontId="5" fillId="2" borderId="0" xfId="0" applyFont="1" applyFill="1" applyBorder="1"/>
    <xf numFmtId="171" fontId="31" fillId="7" borderId="0" xfId="8" applyNumberFormat="1" applyFont="1" applyFill="1"/>
    <xf numFmtId="168" fontId="22" fillId="2" borderId="0" xfId="8" applyNumberFormat="1" applyFont="1" applyFill="1"/>
    <xf numFmtId="168" fontId="22" fillId="2" borderId="6" xfId="8" applyNumberFormat="1" applyFont="1" applyFill="1" applyBorder="1"/>
    <xf numFmtId="176" fontId="22" fillId="2" borderId="6" xfId="8" applyNumberFormat="1" applyFont="1" applyFill="1" applyBorder="1"/>
    <xf numFmtId="7" fontId="22" fillId="2" borderId="0" xfId="8" applyNumberFormat="1" applyFont="1" applyFill="1"/>
    <xf numFmtId="168" fontId="22" fillId="7" borderId="0" xfId="8" applyNumberFormat="1" applyFont="1" applyFill="1"/>
    <xf numFmtId="168" fontId="22" fillId="3" borderId="4" xfId="8" applyNumberFormat="1" applyFont="1" applyFill="1" applyBorder="1"/>
    <xf numFmtId="10" fontId="22" fillId="3" borderId="4" xfId="8" applyNumberFormat="1" applyFont="1" applyFill="1" applyBorder="1"/>
    <xf numFmtId="171" fontId="22" fillId="3" borderId="4" xfId="8" applyNumberFormat="1" applyFont="1" applyFill="1" applyBorder="1"/>
    <xf numFmtId="168" fontId="22" fillId="3" borderId="7" xfId="8" applyNumberFormat="1" applyFont="1" applyFill="1" applyBorder="1"/>
    <xf numFmtId="168" fontId="22" fillId="7" borderId="0" xfId="8" applyNumberFormat="1" applyFont="1" applyFill="1" applyBorder="1"/>
    <xf numFmtId="168" fontId="22" fillId="3" borderId="9" xfId="8" applyNumberFormat="1" applyFont="1" applyFill="1" applyBorder="1"/>
    <xf numFmtId="168" fontId="22" fillId="3" borderId="10" xfId="8" applyNumberFormat="1" applyFont="1" applyFill="1" applyBorder="1"/>
    <xf numFmtId="168" fontId="22" fillId="2" borderId="0" xfId="8" applyNumberFormat="1" applyFont="1" applyFill="1" applyBorder="1"/>
    <xf numFmtId="0" fontId="22" fillId="7" borderId="0" xfId="8" applyNumberFormat="1" applyFont="1" applyFill="1"/>
    <xf numFmtId="0" fontId="29" fillId="7" borderId="0" xfId="8" applyNumberFormat="1" applyFont="1" applyFill="1"/>
    <xf numFmtId="0" fontId="29" fillId="7" borderId="0" xfId="8" applyNumberFormat="1" applyFont="1" applyFill="1" applyBorder="1"/>
    <xf numFmtId="37" fontId="11" fillId="8" borderId="8" xfId="0" quotePrefix="1" applyFont="1" applyFill="1" applyBorder="1" applyAlignment="1">
      <alignment wrapText="1"/>
    </xf>
    <xf numFmtId="167" fontId="29" fillId="2" borderId="0" xfId="8" applyNumberFormat="1" applyFont="1" applyFill="1" applyAlignment="1">
      <alignment horizontal="right"/>
    </xf>
    <xf numFmtId="0" fontId="22" fillId="7" borderId="0" xfId="8" applyNumberFormat="1" applyFont="1" applyFill="1" applyAlignment="1">
      <alignment horizontal="right"/>
    </xf>
    <xf numFmtId="0" fontId="22" fillId="7" borderId="0" xfId="8" applyNumberFormat="1" applyFont="1" applyFill="1" applyBorder="1"/>
    <xf numFmtId="0" fontId="22" fillId="2" borderId="5" xfId="8" applyNumberFormat="1" applyFont="1" applyFill="1" applyBorder="1"/>
    <xf numFmtId="0" fontId="22" fillId="2" borderId="0" xfId="8" applyNumberFormat="1" applyFont="1" applyFill="1" applyBorder="1"/>
    <xf numFmtId="0" fontId="22" fillId="2" borderId="17" xfId="8" applyNumberFormat="1" applyFont="1" applyFill="1" applyBorder="1"/>
    <xf numFmtId="0" fontId="22" fillId="2" borderId="16" xfId="8" applyNumberFormat="1" applyFont="1" applyFill="1" applyBorder="1"/>
    <xf numFmtId="167" fontId="22" fillId="7" borderId="0" xfId="8" applyNumberFormat="1" applyFont="1" applyFill="1"/>
    <xf numFmtId="167" fontId="21" fillId="2" borderId="0" xfId="8" applyNumberFormat="1" applyFont="1" applyFill="1"/>
    <xf numFmtId="167" fontId="95" fillId="0" borderId="5" xfId="0" applyNumberFormat="1" applyFont="1" applyFill="1" applyBorder="1"/>
    <xf numFmtId="167" fontId="22" fillId="0" borderId="0" xfId="0" applyNumberFormat="1" applyFont="1" applyFill="1"/>
    <xf numFmtId="167" fontId="22" fillId="0" borderId="17" xfId="0" applyNumberFormat="1" applyFont="1" applyFill="1" applyBorder="1"/>
    <xf numFmtId="167" fontId="22" fillId="7" borderId="0" xfId="8" applyNumberFormat="1" applyFont="1" applyFill="1" applyBorder="1"/>
    <xf numFmtId="37" fontId="22" fillId="0" borderId="17" xfId="0" applyFont="1" applyFill="1" applyBorder="1"/>
    <xf numFmtId="167" fontId="21" fillId="0" borderId="0" xfId="0" applyNumberFormat="1" applyFont="1" applyFill="1"/>
    <xf numFmtId="10" fontId="31" fillId="7" borderId="0" xfId="8" applyNumberFormat="1" applyFont="1" applyFill="1"/>
    <xf numFmtId="10" fontId="31" fillId="0" borderId="16" xfId="28" applyFont="1" applyFill="1" applyBorder="1"/>
    <xf numFmtId="10" fontId="37" fillId="0" borderId="5" xfId="28" applyFont="1" applyFill="1" applyBorder="1"/>
    <xf numFmtId="10" fontId="31" fillId="0" borderId="17" xfId="28" applyFont="1" applyFill="1" applyBorder="1"/>
    <xf numFmtId="10" fontId="31" fillId="7" borderId="0" xfId="8" applyNumberFormat="1" applyFont="1" applyFill="1" applyBorder="1"/>
    <xf numFmtId="167" fontId="22" fillId="0" borderId="26" xfId="0" applyNumberFormat="1" applyFont="1" applyFill="1" applyBorder="1"/>
    <xf numFmtId="167" fontId="21" fillId="2" borderId="0" xfId="0" applyNumberFormat="1" applyFont="1" applyFill="1" applyBorder="1"/>
    <xf numFmtId="167" fontId="21" fillId="2" borderId="16" xfId="0" applyNumberFormat="1" applyFont="1" applyFill="1" applyBorder="1"/>
    <xf numFmtId="167" fontId="29" fillId="7" borderId="0" xfId="8" applyNumberFormat="1" applyFont="1" applyFill="1"/>
    <xf numFmtId="167" fontId="29" fillId="0" borderId="20" xfId="0" applyNumberFormat="1" applyFont="1" applyFill="1" applyBorder="1"/>
    <xf numFmtId="167" fontId="29" fillId="0" borderId="19" xfId="0" applyNumberFormat="1" applyFont="1" applyFill="1" applyBorder="1"/>
    <xf numFmtId="167" fontId="29" fillId="7" borderId="0" xfId="8" applyNumberFormat="1" applyFont="1" applyFill="1" applyBorder="1"/>
    <xf numFmtId="167" fontId="29" fillId="0" borderId="17" xfId="0" applyNumberFormat="1" applyFont="1" applyFill="1" applyBorder="1"/>
    <xf numFmtId="167" fontId="29" fillId="0" borderId="0" xfId="0" applyNumberFormat="1" applyFont="1" applyFill="1"/>
    <xf numFmtId="167" fontId="22" fillId="0" borderId="20" xfId="0" applyNumberFormat="1" applyFont="1" applyFill="1" applyBorder="1"/>
    <xf numFmtId="167" fontId="21" fillId="0" borderId="5" xfId="0" applyNumberFormat="1" applyFont="1" applyFill="1" applyBorder="1"/>
    <xf numFmtId="167" fontId="21" fillId="0" borderId="18" xfId="0" applyNumberFormat="1" applyFont="1" applyFill="1" applyBorder="1"/>
    <xf numFmtId="37" fontId="29" fillId="7" borderId="0" xfId="8" applyNumberFormat="1" applyFont="1" applyFill="1"/>
    <xf numFmtId="37" fontId="29" fillId="7" borderId="0" xfId="8" applyNumberFormat="1" applyFont="1" applyFill="1" applyBorder="1"/>
    <xf numFmtId="0" fontId="22" fillId="10" borderId="0" xfId="8" applyNumberFormat="1" applyFont="1" applyFill="1" applyBorder="1"/>
    <xf numFmtId="167" fontId="29" fillId="2" borderId="10" xfId="8" applyNumberFormat="1" applyFont="1" applyFill="1" applyBorder="1" applyAlignment="1">
      <alignment horizontal="right"/>
    </xf>
    <xf numFmtId="0" fontId="29" fillId="2" borderId="17" xfId="8" applyNumberFormat="1" applyFont="1" applyFill="1" applyBorder="1"/>
    <xf numFmtId="9" fontId="22" fillId="2" borderId="0" xfId="8" applyNumberFormat="1" applyFont="1" applyFill="1" applyBorder="1"/>
    <xf numFmtId="167" fontId="22" fillId="2" borderId="0" xfId="8" applyNumberFormat="1" applyFont="1" applyFill="1" applyBorder="1"/>
    <xf numFmtId="167" fontId="22" fillId="2" borderId="17" xfId="8" applyNumberFormat="1" applyFont="1" applyFill="1" applyBorder="1"/>
    <xf numFmtId="37" fontId="22" fillId="2" borderId="0" xfId="8" applyNumberFormat="1" applyFont="1" applyFill="1" applyBorder="1"/>
    <xf numFmtId="167" fontId="31" fillId="7" borderId="0" xfId="8" applyNumberFormat="1" applyFont="1" applyFill="1"/>
    <xf numFmtId="167" fontId="22" fillId="2" borderId="25" xfId="8" applyNumberFormat="1" applyFont="1" applyFill="1" applyBorder="1"/>
    <xf numFmtId="167" fontId="22" fillId="2" borderId="26" xfId="8" applyNumberFormat="1" applyFont="1" applyFill="1" applyBorder="1"/>
    <xf numFmtId="167" fontId="33" fillId="2" borderId="0" xfId="8" applyNumberFormat="1" applyFont="1" applyFill="1" applyBorder="1"/>
    <xf numFmtId="167" fontId="33" fillId="0" borderId="0" xfId="8" applyNumberFormat="1" applyFont="1" applyFill="1" applyBorder="1"/>
    <xf numFmtId="167" fontId="22" fillId="2" borderId="19" xfId="8" applyNumberFormat="1" applyFont="1" applyFill="1" applyBorder="1"/>
    <xf numFmtId="167" fontId="22" fillId="2" borderId="20" xfId="8" applyNumberFormat="1" applyFont="1" applyFill="1" applyBorder="1"/>
    <xf numFmtId="167" fontId="22" fillId="7" borderId="17" xfId="8" applyNumberFormat="1" applyFont="1" applyFill="1" applyBorder="1"/>
    <xf numFmtId="167" fontId="22" fillId="7" borderId="0" xfId="8" applyNumberFormat="1" applyFont="1" applyFill="1" applyAlignment="1">
      <alignment horizontal="right"/>
    </xf>
    <xf numFmtId="167" fontId="29" fillId="2" borderId="17" xfId="8" applyNumberFormat="1" applyFont="1" applyFill="1" applyBorder="1"/>
    <xf numFmtId="167" fontId="33" fillId="2" borderId="0" xfId="8" applyNumberFormat="1" applyFont="1" applyFill="1"/>
    <xf numFmtId="167" fontId="33" fillId="0" borderId="0" xfId="8" applyNumberFormat="1" applyFont="1" applyFill="1"/>
    <xf numFmtId="167" fontId="21" fillId="2" borderId="0" xfId="8" applyNumberFormat="1" applyFont="1" applyFill="1" applyAlignment="1">
      <alignment horizontal="right"/>
    </xf>
    <xf numFmtId="167" fontId="22" fillId="2" borderId="0" xfId="8" applyNumberFormat="1" applyFont="1" applyFill="1" applyAlignment="1">
      <alignment horizontal="right"/>
    </xf>
    <xf numFmtId="167" fontId="33" fillId="2" borderId="0" xfId="8" applyNumberFormat="1" applyFont="1" applyFill="1" applyBorder="1" applyAlignment="1">
      <alignment horizontal="right"/>
    </xf>
    <xf numFmtId="167" fontId="22" fillId="2" borderId="0" xfId="8" applyNumberFormat="1" applyFont="1" applyFill="1" applyBorder="1" applyAlignment="1">
      <alignment horizontal="right"/>
    </xf>
    <xf numFmtId="167" fontId="22" fillId="7" borderId="0" xfId="8" applyNumberFormat="1" applyFont="1" applyFill="1" applyBorder="1" applyAlignment="1">
      <alignment horizontal="right"/>
    </xf>
    <xf numFmtId="167" fontId="33" fillId="2" borderId="19" xfId="8" applyNumberFormat="1" applyFont="1" applyFill="1" applyBorder="1" applyAlignment="1">
      <alignment horizontal="right"/>
    </xf>
    <xf numFmtId="167" fontId="21" fillId="2" borderId="19" xfId="8" applyNumberFormat="1" applyFont="1" applyFill="1" applyBorder="1" applyAlignment="1">
      <alignment horizontal="right"/>
    </xf>
    <xf numFmtId="167" fontId="22" fillId="2" borderId="19" xfId="8" applyNumberFormat="1" applyFont="1" applyFill="1" applyBorder="1" applyAlignment="1">
      <alignment horizontal="right"/>
    </xf>
    <xf numFmtId="167" fontId="22" fillId="7" borderId="19" xfId="8" applyNumberFormat="1" applyFont="1" applyFill="1" applyBorder="1" applyAlignment="1">
      <alignment horizontal="right"/>
    </xf>
    <xf numFmtId="167" fontId="29" fillId="2" borderId="0" xfId="8" applyNumberFormat="1" applyFont="1" applyFill="1" applyBorder="1" applyAlignment="1">
      <alignment horizontal="right"/>
    </xf>
    <xf numFmtId="167" fontId="29" fillId="7" borderId="0" xfId="8" applyNumberFormat="1" applyFont="1" applyFill="1" applyBorder="1" applyAlignment="1">
      <alignment horizontal="right"/>
    </xf>
    <xf numFmtId="167" fontId="29" fillId="2" borderId="17" xfId="8" applyNumberFormat="1" applyFont="1" applyFill="1" applyBorder="1" applyAlignment="1">
      <alignment horizontal="left"/>
    </xf>
    <xf numFmtId="167" fontId="22" fillId="2" borderId="0" xfId="8" applyNumberFormat="1" applyFont="1" applyFill="1"/>
    <xf numFmtId="167" fontId="33" fillId="7" borderId="0" xfId="8" applyNumberFormat="1" applyFont="1" applyFill="1"/>
    <xf numFmtId="167" fontId="33" fillId="7" borderId="0" xfId="8" applyNumberFormat="1" applyFont="1" applyFill="1" applyAlignment="1">
      <alignment horizontal="right"/>
    </xf>
    <xf numFmtId="167" fontId="33" fillId="7" borderId="0" xfId="8" applyNumberFormat="1" applyFont="1" applyFill="1" applyBorder="1" applyAlignment="1">
      <alignment horizontal="right"/>
    </xf>
    <xf numFmtId="167" fontId="22" fillId="2" borderId="17" xfId="8" applyNumberFormat="1" applyFont="1" applyFill="1" applyBorder="1" applyAlignment="1">
      <alignment horizontal="left" indent="1"/>
    </xf>
    <xf numFmtId="167" fontId="21" fillId="0" borderId="0" xfId="8" applyNumberFormat="1" applyFont="1" applyFill="1" applyAlignment="1">
      <alignment horizontal="right"/>
    </xf>
    <xf numFmtId="167" fontId="33" fillId="0" borderId="0" xfId="8" applyNumberFormat="1" applyFont="1" applyFill="1" applyAlignment="1">
      <alignment horizontal="right"/>
    </xf>
    <xf numFmtId="167" fontId="33" fillId="7" borderId="0" xfId="8" applyNumberFormat="1" applyFont="1" applyFill="1" applyBorder="1"/>
    <xf numFmtId="167" fontId="33" fillId="2" borderId="19" xfId="8" applyNumberFormat="1" applyFont="1" applyFill="1" applyBorder="1"/>
    <xf numFmtId="167" fontId="21" fillId="2" borderId="19" xfId="8" applyNumberFormat="1" applyFont="1" applyFill="1" applyBorder="1"/>
    <xf numFmtId="167" fontId="33" fillId="7" borderId="19" xfId="8" applyNumberFormat="1" applyFont="1" applyFill="1" applyBorder="1"/>
    <xf numFmtId="167" fontId="33" fillId="0" borderId="19" xfId="8" applyNumberFormat="1" applyFont="1" applyFill="1" applyBorder="1"/>
    <xf numFmtId="167" fontId="29" fillId="2" borderId="20" xfId="8" applyNumberFormat="1" applyFont="1" applyFill="1" applyBorder="1"/>
    <xf numFmtId="167" fontId="22" fillId="7" borderId="9" xfId="8" applyNumberFormat="1" applyFont="1" applyFill="1" applyBorder="1"/>
    <xf numFmtId="167" fontId="22" fillId="7" borderId="15" xfId="8" applyNumberFormat="1" applyFont="1" applyFill="1" applyBorder="1"/>
    <xf numFmtId="0" fontId="22" fillId="10" borderId="0" xfId="8" applyNumberFormat="1" applyFont="1" applyFill="1"/>
    <xf numFmtId="0" fontId="29" fillId="2" borderId="41" xfId="8" applyNumberFormat="1" applyFont="1" applyFill="1" applyBorder="1"/>
    <xf numFmtId="0" fontId="29" fillId="2" borderId="65" xfId="8" applyNumberFormat="1" applyFont="1" applyFill="1" applyBorder="1"/>
    <xf numFmtId="171" fontId="22" fillId="2" borderId="0" xfId="8" applyNumberFormat="1" applyFont="1" applyFill="1" applyBorder="1"/>
    <xf numFmtId="171" fontId="22" fillId="2" borderId="0" xfId="8" applyNumberFormat="1" applyFont="1" applyFill="1"/>
    <xf numFmtId="177" fontId="22" fillId="2" borderId="0" xfId="8" applyNumberFormat="1" applyFont="1" applyFill="1"/>
    <xf numFmtId="167" fontId="22" fillId="2" borderId="5" xfId="8" applyNumberFormat="1" applyFont="1" applyFill="1" applyBorder="1"/>
    <xf numFmtId="167" fontId="22" fillId="2" borderId="36" xfId="8" applyNumberFormat="1" applyFont="1" applyFill="1" applyBorder="1"/>
    <xf numFmtId="167" fontId="22" fillId="2" borderId="2" xfId="8" applyNumberFormat="1" applyFont="1" applyFill="1" applyBorder="1"/>
    <xf numFmtId="167" fontId="29" fillId="2" borderId="5" xfId="8" applyNumberFormat="1" applyFont="1" applyFill="1" applyBorder="1"/>
    <xf numFmtId="167" fontId="29" fillId="2" borderId="0" xfId="8" applyNumberFormat="1" applyFont="1" applyFill="1"/>
    <xf numFmtId="167" fontId="33" fillId="2" borderId="35" xfId="8" applyNumberFormat="1" applyFont="1" applyFill="1" applyBorder="1"/>
    <xf numFmtId="167" fontId="33" fillId="2" borderId="2" xfId="8" applyNumberFormat="1" applyFont="1" applyFill="1" applyBorder="1"/>
    <xf numFmtId="167" fontId="22" fillId="2" borderId="35" xfId="8" applyNumberFormat="1" applyFont="1" applyFill="1" applyBorder="1"/>
    <xf numFmtId="164" fontId="22" fillId="2" borderId="17" xfId="8" applyNumberFormat="1" applyFont="1" applyFill="1" applyBorder="1"/>
    <xf numFmtId="164" fontId="33" fillId="2" borderId="17" xfId="8" applyNumberFormat="1" applyFont="1" applyFill="1" applyBorder="1"/>
    <xf numFmtId="0" fontId="29" fillId="2" borderId="5" xfId="8" applyNumberFormat="1" applyFont="1" applyFill="1" applyBorder="1"/>
    <xf numFmtId="0" fontId="29" fillId="2" borderId="0" xfId="8" applyNumberFormat="1" applyFont="1" applyFill="1" applyBorder="1"/>
    <xf numFmtId="167" fontId="21" fillId="7" borderId="0" xfId="8" applyNumberFormat="1" applyFont="1" applyFill="1"/>
    <xf numFmtId="167" fontId="21" fillId="2" borderId="5" xfId="8" applyNumberFormat="1" applyFont="1" applyFill="1" applyBorder="1" applyAlignment="1">
      <alignment horizontal="left"/>
    </xf>
    <xf numFmtId="167" fontId="21" fillId="2" borderId="0" xfId="8" applyNumberFormat="1" applyFont="1" applyFill="1" applyAlignment="1">
      <alignment horizontal="left" indent="1"/>
    </xf>
    <xf numFmtId="167" fontId="41" fillId="2" borderId="0" xfId="8" applyNumberFormat="1" applyFont="1" applyFill="1"/>
    <xf numFmtId="167" fontId="29" fillId="2" borderId="0" xfId="8" applyNumberFormat="1" applyFont="1" applyFill="1" applyBorder="1"/>
    <xf numFmtId="167" fontId="21" fillId="2" borderId="0" xfId="8" applyNumberFormat="1" applyFont="1" applyFill="1" applyBorder="1" applyAlignment="1">
      <alignment horizontal="left"/>
    </xf>
    <xf numFmtId="167" fontId="33" fillId="2" borderId="17" xfId="8" applyNumberFormat="1" applyFont="1" applyFill="1" applyBorder="1"/>
    <xf numFmtId="167" fontId="21" fillId="2" borderId="0" xfId="8" applyNumberFormat="1" applyFont="1" applyFill="1" applyAlignment="1">
      <alignment horizontal="left"/>
    </xf>
    <xf numFmtId="167" fontId="21" fillId="2" borderId="19" xfId="8" applyNumberFormat="1" applyFont="1" applyFill="1" applyBorder="1" applyAlignment="1">
      <alignment horizontal="left"/>
    </xf>
    <xf numFmtId="168" fontId="22" fillId="2" borderId="5" xfId="8" applyNumberFormat="1" applyFont="1" applyFill="1" applyBorder="1"/>
    <xf numFmtId="8" fontId="22" fillId="2" borderId="0" xfId="8" applyNumberFormat="1" applyFont="1" applyFill="1"/>
    <xf numFmtId="0" fontId="22" fillId="7" borderId="3" xfId="8" applyNumberFormat="1" applyFont="1" applyFill="1" applyBorder="1" applyAlignment="1">
      <alignment horizontal="left"/>
    </xf>
    <xf numFmtId="0" fontId="31" fillId="7" borderId="4" xfId="8" applyNumberFormat="1" applyFont="1" applyFill="1" applyBorder="1"/>
    <xf numFmtId="0" fontId="41" fillId="7" borderId="0" xfId="8" applyNumberFormat="1" applyFont="1" applyFill="1"/>
    <xf numFmtId="0" fontId="29" fillId="7" borderId="5" xfId="8" applyNumberFormat="1" applyFont="1" applyFill="1" applyBorder="1" applyAlignment="1">
      <alignment horizontal="left"/>
    </xf>
    <xf numFmtId="167" fontId="41" fillId="7" borderId="0" xfId="8" applyNumberFormat="1" applyFont="1" applyFill="1" applyBorder="1"/>
    <xf numFmtId="0" fontId="22" fillId="7" borderId="5" xfId="8" applyNumberFormat="1" applyFont="1" applyFill="1" applyBorder="1" applyAlignment="1">
      <alignment horizontal="left"/>
    </xf>
    <xf numFmtId="0" fontId="31" fillId="7" borderId="0" xfId="8" applyNumberFormat="1" applyFont="1" applyFill="1"/>
    <xf numFmtId="170" fontId="22" fillId="7" borderId="0" xfId="8" applyNumberFormat="1" applyFont="1" applyFill="1"/>
    <xf numFmtId="170" fontId="22" fillId="7" borderId="5" xfId="8" applyNumberFormat="1" applyFont="1" applyFill="1" applyBorder="1" applyAlignment="1">
      <alignment horizontal="left"/>
    </xf>
    <xf numFmtId="170" fontId="31" fillId="7" borderId="0" xfId="8" applyNumberFormat="1" applyFont="1" applyFill="1" applyAlignment="1">
      <alignment horizontal="left" indent="1"/>
    </xf>
    <xf numFmtId="170" fontId="31" fillId="7" borderId="0" xfId="8" applyNumberFormat="1" applyFont="1" applyFill="1"/>
    <xf numFmtId="170" fontId="41" fillId="7" borderId="0" xfId="8" applyNumberFormat="1" applyFont="1" applyFill="1"/>
    <xf numFmtId="170" fontId="29" fillId="7" borderId="5" xfId="8" applyNumberFormat="1" applyFont="1" applyFill="1" applyBorder="1" applyAlignment="1">
      <alignment horizontal="left"/>
    </xf>
    <xf numFmtId="170" fontId="41" fillId="7" borderId="0" xfId="8" applyNumberFormat="1" applyFont="1" applyFill="1" applyBorder="1"/>
    <xf numFmtId="170" fontId="41" fillId="7" borderId="0" xfId="8" applyNumberFormat="1" applyFont="1" applyFill="1" applyAlignment="1">
      <alignment horizontal="left" indent="1"/>
    </xf>
    <xf numFmtId="166" fontId="22" fillId="7" borderId="0" xfId="8" applyNumberFormat="1" applyFont="1" applyFill="1"/>
    <xf numFmtId="166" fontId="22" fillId="7" borderId="0" xfId="8" applyNumberFormat="1" applyFont="1" applyFill="1" applyBorder="1" applyAlignment="1">
      <alignment horizontal="right"/>
    </xf>
    <xf numFmtId="167" fontId="22" fillId="2" borderId="8" xfId="8" applyNumberFormat="1" applyFont="1" applyFill="1" applyBorder="1"/>
    <xf numFmtId="167" fontId="22" fillId="2" borderId="9" xfId="8" applyNumberFormat="1" applyFont="1" applyFill="1" applyBorder="1"/>
    <xf numFmtId="168" fontId="22" fillId="2" borderId="9" xfId="8" applyNumberFormat="1" applyFont="1" applyFill="1" applyBorder="1"/>
    <xf numFmtId="0" fontId="22" fillId="8" borderId="9" xfId="8" applyNumberFormat="1" applyFont="1" applyFill="1" applyBorder="1"/>
    <xf numFmtId="169" fontId="22" fillId="8" borderId="15" xfId="8" applyNumberFormat="1" applyFont="1" applyFill="1" applyBorder="1"/>
    <xf numFmtId="171" fontId="22" fillId="8" borderId="15" xfId="8" applyNumberFormat="1" applyFont="1" applyFill="1" applyBorder="1"/>
    <xf numFmtId="178" fontId="22" fillId="8" borderId="15" xfId="8" applyNumberFormat="1" applyFont="1" applyFill="1" applyBorder="1"/>
    <xf numFmtId="0" fontId="22" fillId="8" borderId="15" xfId="8" applyNumberFormat="1" applyFont="1" applyFill="1" applyBorder="1"/>
    <xf numFmtId="0" fontId="22" fillId="8" borderId="13" xfId="8" applyNumberFormat="1" applyFont="1" applyFill="1" applyBorder="1"/>
    <xf numFmtId="0" fontId="22" fillId="8" borderId="14" xfId="8" applyNumberFormat="1" applyFont="1" applyFill="1" applyBorder="1"/>
    <xf numFmtId="0" fontId="22" fillId="8" borderId="12" xfId="8" applyNumberFormat="1" applyFont="1" applyFill="1" applyBorder="1"/>
    <xf numFmtId="0" fontId="22" fillId="8" borderId="10" xfId="8" applyNumberFormat="1" applyFont="1" applyFill="1" applyBorder="1"/>
    <xf numFmtId="0" fontId="22" fillId="2" borderId="0" xfId="8" applyNumberFormat="1" applyFont="1" applyFill="1"/>
    <xf numFmtId="8" fontId="22" fillId="2" borderId="17" xfId="8" applyNumberFormat="1" applyFont="1" applyFill="1" applyBorder="1" applyAlignment="1">
      <alignment horizontal="right"/>
    </xf>
    <xf numFmtId="8" fontId="22" fillId="2" borderId="0" xfId="8" applyNumberFormat="1" applyFont="1" applyFill="1" applyBorder="1" applyAlignment="1">
      <alignment horizontal="right"/>
    </xf>
    <xf numFmtId="8" fontId="33" fillId="2" borderId="0" xfId="8" applyNumberFormat="1" applyFont="1" applyFill="1" applyAlignment="1">
      <alignment horizontal="right"/>
    </xf>
    <xf numFmtId="8" fontId="22" fillId="2" borderId="0" xfId="8" applyNumberFormat="1" applyFont="1" applyFill="1" applyAlignment="1">
      <alignment horizontal="right"/>
    </xf>
    <xf numFmtId="8" fontId="22" fillId="7" borderId="5" xfId="8" applyNumberFormat="1" applyFont="1" applyFill="1" applyBorder="1" applyAlignment="1">
      <alignment horizontal="right"/>
    </xf>
    <xf numFmtId="8" fontId="22" fillId="7" borderId="0" xfId="8" applyNumberFormat="1" applyFont="1" applyFill="1" applyBorder="1" applyAlignment="1">
      <alignment horizontal="right"/>
    </xf>
    <xf numFmtId="8" fontId="22" fillId="2" borderId="16" xfId="8" applyNumberFormat="1" applyFont="1" applyFill="1" applyBorder="1" applyAlignment="1">
      <alignment horizontal="right"/>
    </xf>
    <xf numFmtId="8" fontId="22" fillId="2" borderId="11" xfId="8" applyNumberFormat="1" applyFont="1" applyFill="1" applyBorder="1" applyAlignment="1">
      <alignment horizontal="right"/>
    </xf>
    <xf numFmtId="7" fontId="33" fillId="2" borderId="3" xfId="8" applyNumberFormat="1" applyFont="1" applyFill="1" applyBorder="1" applyAlignment="1">
      <alignment horizontal="right"/>
    </xf>
    <xf numFmtId="7" fontId="33" fillId="2" borderId="4" xfId="8" applyNumberFormat="1" applyFont="1" applyFill="1" applyBorder="1" applyAlignment="1">
      <alignment horizontal="right"/>
    </xf>
    <xf numFmtId="8" fontId="22" fillId="2" borderId="4" xfId="8" applyNumberFormat="1" applyFont="1" applyFill="1" applyBorder="1" applyAlignment="1">
      <alignment horizontal="right"/>
    </xf>
    <xf numFmtId="7" fontId="33" fillId="2" borderId="7" xfId="8" applyNumberFormat="1" applyFont="1" applyFill="1" applyBorder="1" applyAlignment="1">
      <alignment horizontal="right"/>
    </xf>
    <xf numFmtId="8" fontId="22" fillId="2" borderId="3" xfId="8" applyNumberFormat="1" applyFont="1" applyFill="1" applyBorder="1" applyAlignment="1">
      <alignment horizontal="right"/>
    </xf>
    <xf numFmtId="8" fontId="22" fillId="2" borderId="7" xfId="8" applyNumberFormat="1" applyFont="1" applyFill="1" applyBorder="1" applyAlignment="1">
      <alignment horizontal="right"/>
    </xf>
    <xf numFmtId="37" fontId="22" fillId="7" borderId="0" xfId="8" applyNumberFormat="1" applyFont="1" applyFill="1"/>
    <xf numFmtId="37" fontId="33" fillId="2" borderId="0" xfId="8" applyNumberFormat="1" applyFont="1" applyFill="1"/>
    <xf numFmtId="37" fontId="33" fillId="0" borderId="16" xfId="8" applyNumberFormat="1" applyFont="1" applyFill="1" applyBorder="1"/>
    <xf numFmtId="37" fontId="33" fillId="2" borderId="5" xfId="8" applyNumberFormat="1" applyFont="1" applyFill="1" applyBorder="1"/>
    <xf numFmtId="37" fontId="33" fillId="2" borderId="0" xfId="8" applyNumberFormat="1" applyFont="1" applyFill="1" applyBorder="1"/>
    <xf numFmtId="37" fontId="33" fillId="2" borderId="16" xfId="8" applyNumberFormat="1" applyFont="1" applyFill="1" applyBorder="1"/>
    <xf numFmtId="37" fontId="22" fillId="7" borderId="0" xfId="8" applyNumberFormat="1" applyFont="1" applyFill="1" applyBorder="1"/>
    <xf numFmtId="167" fontId="22" fillId="2" borderId="17" xfId="8" applyNumberFormat="1" applyFont="1" applyFill="1" applyBorder="1" applyAlignment="1">
      <alignment horizontal="right"/>
    </xf>
    <xf numFmtId="167" fontId="22" fillId="7" borderId="5" xfId="8" applyNumberFormat="1" applyFont="1" applyFill="1" applyBorder="1" applyAlignment="1">
      <alignment horizontal="right"/>
    </xf>
    <xf numFmtId="167" fontId="22" fillId="2" borderId="16" xfId="8" applyNumberFormat="1" applyFont="1" applyFill="1" applyBorder="1" applyAlignment="1">
      <alignment horizontal="right"/>
    </xf>
    <xf numFmtId="167" fontId="22" fillId="2" borderId="5" xfId="8" applyNumberFormat="1" applyFont="1" applyFill="1" applyBorder="1" applyAlignment="1">
      <alignment horizontal="right"/>
    </xf>
    <xf numFmtId="167" fontId="22" fillId="2" borderId="5" xfId="8" applyNumberFormat="1" applyFont="1" applyFill="1" applyBorder="1" applyAlignment="1">
      <alignment horizontal="left"/>
    </xf>
    <xf numFmtId="167" fontId="22" fillId="2" borderId="0" xfId="8" applyNumberFormat="1" applyFont="1" applyFill="1" applyAlignment="1">
      <alignment horizontal="left"/>
    </xf>
    <xf numFmtId="37" fontId="22" fillId="2" borderId="16" xfId="8" applyNumberFormat="1" applyFont="1" applyFill="1" applyBorder="1"/>
    <xf numFmtId="37" fontId="22" fillId="2" borderId="0" xfId="8" applyNumberFormat="1" applyFont="1" applyFill="1"/>
    <xf numFmtId="37" fontId="22" fillId="2" borderId="5" xfId="8" applyNumberFormat="1" applyFont="1" applyFill="1" applyBorder="1"/>
    <xf numFmtId="178" fontId="31" fillId="2" borderId="5" xfId="8" applyNumberFormat="1" applyFont="1" applyFill="1" applyBorder="1" applyAlignment="1">
      <alignment horizontal="left" indent="1"/>
    </xf>
    <xf numFmtId="178" fontId="31" fillId="2" borderId="0" xfId="8" applyNumberFormat="1" applyFont="1" applyFill="1"/>
    <xf numFmtId="0" fontId="31" fillId="2" borderId="0" xfId="8" applyNumberFormat="1" applyFont="1" applyFill="1" applyBorder="1"/>
    <xf numFmtId="8" fontId="31" fillId="2" borderId="17" xfId="8" applyNumberFormat="1" applyFont="1" applyFill="1" applyBorder="1" applyAlignment="1">
      <alignment horizontal="right"/>
    </xf>
    <xf numFmtId="8" fontId="31" fillId="2" borderId="0" xfId="8" applyNumberFormat="1" applyFont="1" applyFill="1" applyAlignment="1">
      <alignment horizontal="right"/>
    </xf>
    <xf numFmtId="8" fontId="31" fillId="2" borderId="16" xfId="8" applyNumberFormat="1" applyFont="1" applyFill="1" applyBorder="1" applyAlignment="1">
      <alignment horizontal="right"/>
    </xf>
    <xf numFmtId="0" fontId="31" fillId="7" borderId="0" xfId="8" applyNumberFormat="1" applyFont="1" applyFill="1" applyBorder="1"/>
    <xf numFmtId="171" fontId="31" fillId="2" borderId="17" xfId="8" applyNumberFormat="1" applyFont="1" applyFill="1" applyBorder="1" applyAlignment="1">
      <alignment horizontal="right"/>
    </xf>
    <xf numFmtId="8" fontId="31" fillId="2" borderId="0" xfId="8" applyNumberFormat="1" applyFont="1" applyFill="1" applyBorder="1" applyAlignment="1">
      <alignment horizontal="right"/>
    </xf>
    <xf numFmtId="171" fontId="31" fillId="2" borderId="0" xfId="8" applyNumberFormat="1" applyFont="1" applyFill="1" applyAlignment="1">
      <alignment horizontal="right"/>
    </xf>
    <xf numFmtId="171" fontId="31" fillId="2" borderId="5" xfId="8" applyNumberFormat="1" applyFont="1" applyFill="1" applyBorder="1" applyAlignment="1">
      <alignment horizontal="right"/>
    </xf>
    <xf numFmtId="171" fontId="31" fillId="2" borderId="0" xfId="8" applyNumberFormat="1" applyFont="1" applyFill="1" applyBorder="1" applyAlignment="1">
      <alignment horizontal="right"/>
    </xf>
    <xf numFmtId="171" fontId="31" fillId="2" borderId="16" xfId="8" applyNumberFormat="1" applyFont="1" applyFill="1" applyBorder="1" applyAlignment="1">
      <alignment horizontal="right"/>
    </xf>
    <xf numFmtId="167" fontId="31" fillId="2" borderId="0" xfId="8" applyNumberFormat="1" applyFont="1" applyFill="1" applyBorder="1" applyAlignment="1">
      <alignment horizontal="right"/>
    </xf>
    <xf numFmtId="167" fontId="31" fillId="2" borderId="5" xfId="8" applyNumberFormat="1" applyFont="1" applyFill="1" applyBorder="1" applyAlignment="1">
      <alignment horizontal="right"/>
    </xf>
    <xf numFmtId="167" fontId="31" fillId="2" borderId="16" xfId="8" applyNumberFormat="1" applyFont="1" applyFill="1" applyBorder="1" applyAlignment="1">
      <alignment horizontal="right"/>
    </xf>
    <xf numFmtId="178" fontId="22" fillId="2" borderId="5" xfId="8" applyNumberFormat="1" applyFont="1" applyFill="1" applyBorder="1"/>
    <xf numFmtId="178" fontId="22" fillId="2" borderId="0" xfId="8" applyNumberFormat="1" applyFont="1" applyFill="1"/>
    <xf numFmtId="9" fontId="22" fillId="2" borderId="17" xfId="8" applyNumberFormat="1" applyFont="1" applyFill="1" applyBorder="1" applyAlignment="1">
      <alignment horizontal="right"/>
    </xf>
    <xf numFmtId="9" fontId="22" fillId="2" borderId="0" xfId="8" applyNumberFormat="1" applyFont="1" applyFill="1" applyAlignment="1">
      <alignment horizontal="right"/>
    </xf>
    <xf numFmtId="9" fontId="22" fillId="2" borderId="16" xfId="8" applyNumberFormat="1" applyFont="1" applyFill="1" applyBorder="1" applyAlignment="1">
      <alignment horizontal="right"/>
    </xf>
    <xf numFmtId="9" fontId="22" fillId="2" borderId="5" xfId="8" applyNumberFormat="1" applyFont="1" applyFill="1" applyBorder="1" applyAlignment="1">
      <alignment horizontal="right"/>
    </xf>
    <xf numFmtId="9" fontId="22" fillId="2" borderId="0" xfId="8" applyNumberFormat="1" applyFont="1" applyFill="1" applyBorder="1" applyAlignment="1">
      <alignment horizontal="right"/>
    </xf>
    <xf numFmtId="178" fontId="22" fillId="2" borderId="8" xfId="8" applyNumberFormat="1" applyFont="1" applyFill="1" applyBorder="1"/>
    <xf numFmtId="178" fontId="22" fillId="2" borderId="9" xfId="8" applyNumberFormat="1" applyFont="1" applyFill="1" applyBorder="1"/>
    <xf numFmtId="0" fontId="22" fillId="2" borderId="9" xfId="8" applyNumberFormat="1" applyFont="1" applyFill="1" applyBorder="1"/>
    <xf numFmtId="9" fontId="22" fillId="2" borderId="15" xfId="8" applyNumberFormat="1" applyFont="1" applyFill="1" applyBorder="1" applyAlignment="1">
      <alignment horizontal="right"/>
    </xf>
    <xf numFmtId="9" fontId="22" fillId="2" borderId="9" xfId="8" applyNumberFormat="1" applyFont="1" applyFill="1" applyBorder="1" applyAlignment="1">
      <alignment horizontal="right"/>
    </xf>
    <xf numFmtId="9" fontId="22" fillId="2" borderId="8" xfId="8" applyNumberFormat="1" applyFont="1" applyFill="1" applyBorder="1" applyAlignment="1">
      <alignment horizontal="right"/>
    </xf>
    <xf numFmtId="9" fontId="22" fillId="2" borderId="10" xfId="8" applyNumberFormat="1" applyFont="1" applyFill="1" applyBorder="1" applyAlignment="1">
      <alignment horizontal="right"/>
    </xf>
    <xf numFmtId="169" fontId="22" fillId="2" borderId="0" xfId="8" applyNumberFormat="1" applyFont="1" applyFill="1"/>
    <xf numFmtId="178" fontId="33" fillId="2" borderId="0" xfId="8" applyNumberFormat="1" applyFont="1" applyFill="1"/>
    <xf numFmtId="179" fontId="22" fillId="2" borderId="0" xfId="8" applyNumberFormat="1" applyFont="1" applyFill="1"/>
    <xf numFmtId="178" fontId="23" fillId="2" borderId="0" xfId="8" applyNumberFormat="1" applyFont="1" applyFill="1"/>
    <xf numFmtId="174" fontId="23" fillId="2" borderId="0" xfId="8" applyNumberFormat="1" applyFont="1" applyFill="1"/>
    <xf numFmtId="178" fontId="23" fillId="2" borderId="0" xfId="8" applyNumberFormat="1" applyFont="1" applyFill="1" applyBorder="1"/>
    <xf numFmtId="169" fontId="22" fillId="8" borderId="24" xfId="8" applyNumberFormat="1" applyFont="1" applyFill="1" applyBorder="1"/>
    <xf numFmtId="171" fontId="22" fillId="8" borderId="24" xfId="8" applyNumberFormat="1" applyFont="1" applyFill="1" applyBorder="1"/>
    <xf numFmtId="178" fontId="22" fillId="8" borderId="24" xfId="8" applyNumberFormat="1" applyFont="1" applyFill="1" applyBorder="1"/>
    <xf numFmtId="0" fontId="22" fillId="8" borderId="24" xfId="8" applyNumberFormat="1" applyFont="1" applyFill="1" applyBorder="1"/>
    <xf numFmtId="0" fontId="22" fillId="2" borderId="5" xfId="8" applyNumberFormat="1" applyFont="1" applyFill="1" applyBorder="1" applyAlignment="1">
      <alignment horizontal="left"/>
    </xf>
    <xf numFmtId="0" fontId="22" fillId="2" borderId="0" xfId="8" applyNumberFormat="1" applyFont="1" applyFill="1" applyAlignment="1">
      <alignment horizontal="left"/>
    </xf>
    <xf numFmtId="0" fontId="31" fillId="2" borderId="0" xfId="8" applyNumberFormat="1" applyFont="1" applyFill="1"/>
    <xf numFmtId="0" fontId="33" fillId="2" borderId="17" xfId="8" applyNumberFormat="1" applyFont="1" applyFill="1" applyBorder="1"/>
    <xf numFmtId="0" fontId="29" fillId="2" borderId="5" xfId="8" applyNumberFormat="1" applyFont="1" applyFill="1" applyBorder="1" applyAlignment="1">
      <alignment horizontal="left"/>
    </xf>
    <xf numFmtId="0" fontId="29" fillId="2" borderId="0" xfId="8" applyNumberFormat="1" applyFont="1" applyFill="1" applyAlignment="1">
      <alignment horizontal="left"/>
    </xf>
    <xf numFmtId="0" fontId="41" fillId="2" borderId="0" xfId="8" applyNumberFormat="1" applyFont="1" applyFill="1"/>
    <xf numFmtId="180" fontId="29" fillId="2" borderId="0" xfId="8" applyNumberFormat="1" applyFont="1" applyFill="1"/>
    <xf numFmtId="180" fontId="29" fillId="2" borderId="17" xfId="8" applyNumberFormat="1" applyFont="1" applyFill="1" applyBorder="1"/>
    <xf numFmtId="9" fontId="29" fillId="2" borderId="17" xfId="8" applyNumberFormat="1" applyFont="1" applyFill="1" applyBorder="1"/>
    <xf numFmtId="181" fontId="29" fillId="2" borderId="17" xfId="8" applyNumberFormat="1" applyFont="1" applyFill="1" applyBorder="1"/>
    <xf numFmtId="181" fontId="29" fillId="2" borderId="0" xfId="8" applyNumberFormat="1" applyFont="1" applyFill="1" applyBorder="1"/>
    <xf numFmtId="180" fontId="22" fillId="2" borderId="0" xfId="8" applyNumberFormat="1" applyFont="1" applyFill="1"/>
    <xf numFmtId="180" fontId="22" fillId="2" borderId="17" xfId="8" applyNumberFormat="1" applyFont="1" applyFill="1" applyBorder="1"/>
    <xf numFmtId="9" fontId="22" fillId="2" borderId="17" xfId="8" applyNumberFormat="1" applyFont="1" applyFill="1" applyBorder="1"/>
    <xf numFmtId="180" fontId="22" fillId="2" borderId="0" xfId="8" applyNumberFormat="1" applyFont="1" applyFill="1" applyBorder="1"/>
    <xf numFmtId="167" fontId="31" fillId="2" borderId="0" xfId="8" applyNumberFormat="1" applyFont="1" applyFill="1"/>
    <xf numFmtId="167" fontId="22" fillId="2" borderId="5" xfId="8" applyNumberFormat="1" applyFont="1" applyFill="1" applyBorder="1" applyAlignment="1">
      <alignment horizontal="left" indent="1"/>
    </xf>
    <xf numFmtId="167" fontId="22" fillId="2" borderId="19" xfId="8" applyNumberFormat="1" applyFont="1" applyFill="1" applyBorder="1" applyAlignment="1">
      <alignment horizontal="left"/>
    </xf>
    <xf numFmtId="167" fontId="31" fillId="2" borderId="19" xfId="8" applyNumberFormat="1" applyFont="1" applyFill="1" applyBorder="1"/>
    <xf numFmtId="167" fontId="22" fillId="2" borderId="29" xfId="8" applyNumberFormat="1" applyFont="1" applyFill="1" applyBorder="1" applyAlignment="1">
      <alignment horizontal="left"/>
    </xf>
    <xf numFmtId="167" fontId="22" fillId="2" borderId="23" xfId="8" applyNumberFormat="1" applyFont="1" applyFill="1" applyBorder="1"/>
    <xf numFmtId="177" fontId="22" fillId="2" borderId="5" xfId="8" applyNumberFormat="1" applyFont="1" applyFill="1" applyBorder="1" applyAlignment="1">
      <alignment horizontal="left"/>
    </xf>
    <xf numFmtId="177" fontId="22" fillId="2" borderId="0" xfId="8" applyNumberFormat="1" applyFont="1" applyFill="1" applyAlignment="1">
      <alignment horizontal="left"/>
    </xf>
    <xf numFmtId="0" fontId="31" fillId="2" borderId="19" xfId="8" applyNumberFormat="1" applyFont="1" applyFill="1" applyBorder="1"/>
    <xf numFmtId="0" fontId="22" fillId="2" borderId="19" xfId="8" applyNumberFormat="1" applyFont="1" applyFill="1" applyBorder="1"/>
    <xf numFmtId="0" fontId="22" fillId="2" borderId="20" xfId="8" applyNumberFormat="1" applyFont="1" applyFill="1" applyBorder="1"/>
    <xf numFmtId="180" fontId="33" fillId="2" borderId="20" xfId="8" applyNumberFormat="1" applyFont="1" applyFill="1" applyBorder="1"/>
    <xf numFmtId="0" fontId="33" fillId="2" borderId="20" xfId="8" applyNumberFormat="1" applyFont="1" applyFill="1" applyBorder="1"/>
    <xf numFmtId="177" fontId="29" fillId="2" borderId="29" xfId="8" applyNumberFormat="1" applyFont="1" applyFill="1" applyBorder="1" applyAlignment="1">
      <alignment horizontal="left"/>
    </xf>
    <xf numFmtId="177" fontId="29" fillId="2" borderId="6" xfId="8" applyNumberFormat="1" applyFont="1" applyFill="1" applyBorder="1" applyAlignment="1">
      <alignment horizontal="left"/>
    </xf>
    <xf numFmtId="171" fontId="29" fillId="2" borderId="0" xfId="8" applyNumberFormat="1" applyFont="1" applyFill="1"/>
    <xf numFmtId="171" fontId="29" fillId="2" borderId="17" xfId="8" applyNumberFormat="1" applyFont="1" applyFill="1" applyBorder="1"/>
    <xf numFmtId="171" fontId="29" fillId="2" borderId="0" xfId="8" applyNumberFormat="1" applyFont="1" applyFill="1" applyBorder="1"/>
    <xf numFmtId="171" fontId="29" fillId="2" borderId="23" xfId="8" applyNumberFormat="1" applyFont="1" applyFill="1" applyBorder="1"/>
    <xf numFmtId="0" fontId="29" fillId="2" borderId="0" xfId="8" applyNumberFormat="1" applyFont="1" applyFill="1"/>
    <xf numFmtId="43" fontId="29" fillId="2" borderId="0" xfId="8" applyNumberFormat="1" applyFont="1" applyFill="1"/>
    <xf numFmtId="0" fontId="29" fillId="2" borderId="8" xfId="8" applyNumberFormat="1" applyFont="1" applyFill="1" applyBorder="1"/>
    <xf numFmtId="0" fontId="29" fillId="2" borderId="9" xfId="8" applyNumberFormat="1" applyFont="1" applyFill="1" applyBorder="1"/>
    <xf numFmtId="0" fontId="41" fillId="2" borderId="9" xfId="8" applyNumberFormat="1" applyFont="1" applyFill="1" applyBorder="1"/>
    <xf numFmtId="43" fontId="29" fillId="2" borderId="9" xfId="8" applyNumberFormat="1" applyFont="1" applyFill="1" applyBorder="1"/>
    <xf numFmtId="0" fontId="33" fillId="2" borderId="0" xfId="8" applyNumberFormat="1" applyFont="1" applyFill="1"/>
    <xf numFmtId="0" fontId="31" fillId="2" borderId="5" xfId="8" applyNumberFormat="1" applyFont="1" applyFill="1" applyBorder="1" applyAlignment="1">
      <alignment horizontal="left" indent="1"/>
    </xf>
    <xf numFmtId="171" fontId="31" fillId="2" borderId="17" xfId="8" applyNumberFormat="1" applyFont="1" applyFill="1" applyBorder="1"/>
    <xf numFmtId="171" fontId="31" fillId="2" borderId="0" xfId="8" applyNumberFormat="1" applyFont="1" applyFill="1"/>
    <xf numFmtId="0" fontId="44" fillId="2" borderId="5" xfId="8" applyNumberFormat="1" applyFont="1" applyFill="1" applyBorder="1"/>
    <xf numFmtId="171" fontId="22" fillId="2" borderId="17" xfId="8" applyNumberFormat="1" applyFont="1" applyFill="1" applyBorder="1"/>
    <xf numFmtId="39" fontId="22" fillId="2" borderId="17" xfId="8" applyNumberFormat="1" applyFont="1" applyFill="1" applyBorder="1"/>
    <xf numFmtId="39" fontId="22" fillId="2" borderId="0" xfId="8" applyNumberFormat="1" applyFont="1" applyFill="1"/>
    <xf numFmtId="37" fontId="22" fillId="2" borderId="17" xfId="8" applyNumberFormat="1" applyFont="1" applyFill="1" applyBorder="1"/>
    <xf numFmtId="0" fontId="22" fillId="2" borderId="5" xfId="8" quotePrefix="1" applyNumberFormat="1" applyFont="1" applyFill="1" applyBorder="1"/>
    <xf numFmtId="0" fontId="22" fillId="2" borderId="25" xfId="8" applyNumberFormat="1" applyFont="1" applyFill="1" applyBorder="1"/>
    <xf numFmtId="37" fontId="22" fillId="2" borderId="26" xfId="8" applyNumberFormat="1" applyFont="1" applyFill="1" applyBorder="1"/>
    <xf numFmtId="37" fontId="22" fillId="2" borderId="25" xfId="8" applyNumberFormat="1" applyFont="1" applyFill="1" applyBorder="1"/>
    <xf numFmtId="0" fontId="22" fillId="2" borderId="27" xfId="8" applyNumberFormat="1" applyFont="1" applyFill="1" applyBorder="1"/>
    <xf numFmtId="182" fontId="22" fillId="2" borderId="17" xfId="8" applyNumberFormat="1" applyFont="1" applyFill="1" applyBorder="1"/>
    <xf numFmtId="182" fontId="22" fillId="2" borderId="0" xfId="8" applyNumberFormat="1" applyFont="1" applyFill="1"/>
    <xf numFmtId="0" fontId="22" fillId="2" borderId="8" xfId="8" applyNumberFormat="1" applyFont="1" applyFill="1" applyBorder="1"/>
    <xf numFmtId="0" fontId="33" fillId="2" borderId="15" xfId="8" applyNumberFormat="1" applyFont="1" applyFill="1" applyBorder="1"/>
    <xf numFmtId="0" fontId="22" fillId="2" borderId="15" xfId="8" applyNumberFormat="1" applyFont="1" applyFill="1" applyBorder="1"/>
    <xf numFmtId="0" fontId="22" fillId="2" borderId="0" xfId="8" applyNumberFormat="1" applyFont="1" applyFill="1" applyAlignment="1">
      <alignment wrapText="1"/>
    </xf>
    <xf numFmtId="0" fontId="22" fillId="7" borderId="0" xfId="8" applyNumberFormat="1" applyFont="1" applyFill="1" applyAlignment="1">
      <alignment horizontal="left"/>
    </xf>
    <xf numFmtId="9" fontId="22" fillId="7" borderId="0" xfId="8" applyNumberFormat="1" applyFont="1" applyFill="1"/>
    <xf numFmtId="9" fontId="22" fillId="2" borderId="9" xfId="8" applyNumberFormat="1" applyFont="1" applyFill="1" applyBorder="1"/>
    <xf numFmtId="9" fontId="22" fillId="2" borderId="15" xfId="8" applyNumberFormat="1" applyFont="1" applyFill="1" applyBorder="1"/>
    <xf numFmtId="9" fontId="22" fillId="2" borderId="9" xfId="8" applyNumberFormat="1" applyFont="1" applyFill="1" applyBorder="1" applyAlignment="1">
      <alignment wrapText="1"/>
    </xf>
    <xf numFmtId="9" fontId="22" fillId="7" borderId="0" xfId="8" applyNumberFormat="1" applyFont="1" applyFill="1" applyBorder="1"/>
    <xf numFmtId="167" fontId="31" fillId="7" borderId="0" xfId="8" applyNumberFormat="1" applyFont="1" applyFill="1" applyBorder="1"/>
    <xf numFmtId="170" fontId="22" fillId="2" borderId="0" xfId="8" applyNumberFormat="1" applyFont="1" applyFill="1" applyBorder="1"/>
    <xf numFmtId="170" fontId="22" fillId="2" borderId="17" xfId="8" applyNumberFormat="1" applyFont="1" applyFill="1" applyBorder="1"/>
    <xf numFmtId="167" fontId="44" fillId="7" borderId="0" xfId="8" applyNumberFormat="1" applyFont="1" applyFill="1"/>
    <xf numFmtId="167" fontId="44" fillId="7" borderId="0" xfId="8" applyNumberFormat="1" applyFont="1" applyFill="1" applyBorder="1"/>
    <xf numFmtId="171" fontId="5" fillId="7" borderId="0" xfId="28" applyNumberFormat="1" applyFont="1" applyFill="1"/>
    <xf numFmtId="174" fontId="29" fillId="10" borderId="0" xfId="16" applyNumberFormat="1" applyFont="1" applyFill="1" applyBorder="1" applyAlignment="1">
      <alignment horizontal="center"/>
    </xf>
    <xf numFmtId="0" fontId="22" fillId="2" borderId="6" xfId="8" applyNumberFormat="1" applyFont="1" applyFill="1" applyBorder="1"/>
    <xf numFmtId="0" fontId="23" fillId="2" borderId="0" xfId="8" applyNumberFormat="1" applyFont="1" applyFill="1"/>
    <xf numFmtId="0" fontId="23" fillId="2" borderId="0" xfId="8" applyNumberFormat="1" applyFont="1" applyFill="1" applyBorder="1"/>
    <xf numFmtId="168" fontId="22" fillId="7" borderId="9" xfId="8" applyNumberFormat="1" applyFont="1" applyFill="1" applyBorder="1"/>
    <xf numFmtId="0" fontId="32" fillId="2" borderId="5" xfId="8" applyNumberFormat="1" applyFont="1" applyFill="1" applyBorder="1"/>
    <xf numFmtId="0" fontId="22" fillId="2" borderId="17" xfId="8" applyNumberFormat="1" applyFont="1" applyFill="1" applyBorder="1" applyAlignment="1">
      <alignment horizontal="right"/>
    </xf>
    <xf numFmtId="0" fontId="22" fillId="2" borderId="0" xfId="8" applyNumberFormat="1" applyFont="1" applyFill="1" applyBorder="1" applyAlignment="1">
      <alignment horizontal="left"/>
    </xf>
    <xf numFmtId="3" fontId="22" fillId="2" borderId="0" xfId="8" applyNumberFormat="1" applyFont="1" applyFill="1" applyAlignment="1">
      <alignment horizontal="left"/>
    </xf>
    <xf numFmtId="3" fontId="22" fillId="2" borderId="0" xfId="8" applyNumberFormat="1" applyFont="1" applyFill="1" applyAlignment="1">
      <alignment wrapText="1"/>
    </xf>
    <xf numFmtId="0" fontId="22" fillId="2" borderId="3" xfId="8" applyNumberFormat="1" applyFont="1" applyFill="1" applyBorder="1"/>
    <xf numFmtId="0" fontId="22" fillId="2" borderId="4" xfId="8" applyNumberFormat="1" applyFont="1" applyFill="1" applyBorder="1"/>
    <xf numFmtId="0" fontId="22" fillId="2" borderId="11" xfId="8" applyNumberFormat="1" applyFont="1" applyFill="1" applyBorder="1"/>
    <xf numFmtId="0" fontId="22" fillId="2" borderId="4" xfId="8" applyNumberFormat="1" applyFont="1" applyFill="1" applyBorder="1" applyAlignment="1">
      <alignment wrapText="1"/>
    </xf>
    <xf numFmtId="9" fontId="29" fillId="2" borderId="5" xfId="8" applyNumberFormat="1" applyFont="1" applyFill="1" applyBorder="1"/>
    <xf numFmtId="9" fontId="29" fillId="2" borderId="0" xfId="8" applyNumberFormat="1" applyFont="1" applyFill="1"/>
    <xf numFmtId="177" fontId="22" fillId="2" borderId="5" xfId="8" applyNumberFormat="1" applyFont="1" applyFill="1" applyBorder="1" applyAlignment="1">
      <alignment horizontal="left" indent="1"/>
    </xf>
    <xf numFmtId="177" fontId="22" fillId="2" borderId="0" xfId="8" applyNumberFormat="1" applyFont="1" applyFill="1" applyAlignment="1">
      <alignment horizontal="left" indent="1"/>
    </xf>
    <xf numFmtId="171" fontId="21" fillId="2" borderId="17" xfId="8" applyNumberFormat="1" applyFont="1" applyFill="1" applyBorder="1"/>
    <xf numFmtId="171" fontId="21" fillId="2" borderId="0" xfId="8" applyNumberFormat="1" applyFont="1" applyFill="1"/>
    <xf numFmtId="177" fontId="22" fillId="2" borderId="50" xfId="8" applyNumberFormat="1" applyFont="1" applyFill="1" applyBorder="1" applyAlignment="1">
      <alignment horizontal="left" indent="1"/>
    </xf>
    <xf numFmtId="177" fontId="22" fillId="2" borderId="25" xfId="8" applyNumberFormat="1" applyFont="1" applyFill="1" applyBorder="1" applyAlignment="1">
      <alignment horizontal="left" indent="1"/>
    </xf>
    <xf numFmtId="171" fontId="22" fillId="2" borderId="25" xfId="8" applyNumberFormat="1" applyFont="1" applyFill="1" applyBorder="1"/>
    <xf numFmtId="0" fontId="22" fillId="2" borderId="26" xfId="8" applyNumberFormat="1" applyFont="1" applyFill="1" applyBorder="1"/>
    <xf numFmtId="171" fontId="21" fillId="2" borderId="26" xfId="8" applyNumberFormat="1" applyFont="1" applyFill="1" applyBorder="1"/>
    <xf numFmtId="171" fontId="21" fillId="2" borderId="25" xfId="8" applyNumberFormat="1" applyFont="1" applyFill="1" applyBorder="1"/>
    <xf numFmtId="9" fontId="29" fillId="2" borderId="5" xfId="8" applyNumberFormat="1" applyFont="1" applyFill="1" applyBorder="1" applyAlignment="1">
      <alignment horizontal="left" indent="2"/>
    </xf>
    <xf numFmtId="9" fontId="29" fillId="2" borderId="0" xfId="8" applyNumberFormat="1" applyFont="1" applyFill="1" applyAlignment="1">
      <alignment horizontal="left" indent="2"/>
    </xf>
    <xf numFmtId="171" fontId="36" fillId="2" borderId="17" xfId="8" applyNumberFormat="1" applyFont="1" applyFill="1" applyBorder="1"/>
    <xf numFmtId="171" fontId="36" fillId="2" borderId="0" xfId="8" applyNumberFormat="1" applyFont="1" applyFill="1"/>
    <xf numFmtId="171" fontId="36" fillId="2" borderId="28" xfId="8" applyNumberFormat="1" applyFont="1" applyFill="1" applyBorder="1"/>
    <xf numFmtId="171" fontId="36" fillId="2" borderId="51" xfId="8" applyNumberFormat="1" applyFont="1" applyFill="1" applyBorder="1"/>
    <xf numFmtId="171" fontId="29" fillId="2" borderId="28" xfId="8" applyNumberFormat="1" applyFont="1" applyFill="1" applyBorder="1"/>
    <xf numFmtId="171" fontId="29" fillId="2" borderId="51" xfId="8" applyNumberFormat="1" applyFont="1" applyFill="1" applyBorder="1"/>
    <xf numFmtId="37" fontId="29" fillId="2" borderId="0" xfId="8" applyNumberFormat="1" applyFont="1" applyFill="1"/>
    <xf numFmtId="37" fontId="29" fillId="2" borderId="0" xfId="8" applyNumberFormat="1" applyFont="1" applyFill="1" applyBorder="1"/>
    <xf numFmtId="169" fontId="22" fillId="2" borderId="0" xfId="8" applyNumberFormat="1" applyFont="1" applyFill="1" applyBorder="1"/>
    <xf numFmtId="169" fontId="22" fillId="2" borderId="17" xfId="8" applyNumberFormat="1" applyFont="1" applyFill="1" applyBorder="1"/>
    <xf numFmtId="169" fontId="33" fillId="2" borderId="0" xfId="8" applyNumberFormat="1" applyFont="1" applyFill="1"/>
    <xf numFmtId="169" fontId="22" fillId="2" borderId="0" xfId="8" applyNumberFormat="1" applyFont="1" applyFill="1" applyAlignment="1">
      <alignment wrapText="1"/>
    </xf>
    <xf numFmtId="9" fontId="33" fillId="2" borderId="0" xfId="8" applyNumberFormat="1" applyFont="1" applyFill="1"/>
    <xf numFmtId="10" fontId="31" fillId="2" borderId="0" xfId="8" applyNumberFormat="1" applyFont="1" applyFill="1"/>
    <xf numFmtId="10" fontId="31" fillId="2" borderId="0" xfId="8" applyNumberFormat="1" applyFont="1" applyFill="1" applyBorder="1"/>
    <xf numFmtId="0" fontId="62" fillId="2" borderId="0" xfId="8" applyNumberFormat="1" applyFont="1" applyFill="1"/>
    <xf numFmtId="0" fontId="21" fillId="2" borderId="5" xfId="8" applyNumberFormat="1" applyFont="1" applyFill="1" applyBorder="1"/>
    <xf numFmtId="0" fontId="62" fillId="2" borderId="0" xfId="8" applyNumberFormat="1" applyFont="1" applyFill="1" applyBorder="1"/>
    <xf numFmtId="167" fontId="62" fillId="2" borderId="0" xfId="8" applyNumberFormat="1" applyFont="1" applyFill="1" applyBorder="1"/>
    <xf numFmtId="10" fontId="21" fillId="2" borderId="17" xfId="8" applyNumberFormat="1" applyFont="1" applyFill="1" applyBorder="1"/>
    <xf numFmtId="172" fontId="62" fillId="2" borderId="0" xfId="8" applyNumberFormat="1" applyFont="1" applyFill="1" applyBorder="1"/>
    <xf numFmtId="172" fontId="62" fillId="2" borderId="0" xfId="8" applyNumberFormat="1" applyFont="1" applyFill="1"/>
    <xf numFmtId="9" fontId="62" fillId="2" borderId="0" xfId="8" applyNumberFormat="1" applyFont="1" applyFill="1"/>
    <xf numFmtId="167" fontId="62" fillId="2" borderId="0" xfId="8" applyNumberFormat="1" applyFont="1" applyFill="1"/>
    <xf numFmtId="10" fontId="62" fillId="2" borderId="0" xfId="8" applyNumberFormat="1" applyFont="1" applyFill="1" applyBorder="1"/>
    <xf numFmtId="10" fontId="62" fillId="2" borderId="0" xfId="8" applyNumberFormat="1" applyFont="1" applyFill="1" applyBorder="1" applyAlignment="1">
      <alignment wrapText="1"/>
    </xf>
    <xf numFmtId="10" fontId="62" fillId="2" borderId="0" xfId="8" applyNumberFormat="1" applyFont="1" applyFill="1" applyAlignment="1">
      <alignment wrapText="1"/>
    </xf>
    <xf numFmtId="10" fontId="62" fillId="7" borderId="0" xfId="8" applyNumberFormat="1" applyFont="1" applyFill="1" applyAlignment="1">
      <alignment wrapText="1"/>
    </xf>
    <xf numFmtId="10" fontId="13" fillId="2" borderId="0" xfId="8" applyNumberFormat="1" applyFont="1" applyFill="1"/>
    <xf numFmtId="10" fontId="13" fillId="2" borderId="5" xfId="8" applyNumberFormat="1" applyFont="1" applyFill="1" applyBorder="1" applyAlignment="1">
      <alignment horizontal="left" indent="1"/>
    </xf>
    <xf numFmtId="10" fontId="13" fillId="2" borderId="0" xfId="8" applyNumberFormat="1" applyFont="1" applyFill="1" applyBorder="1"/>
    <xf numFmtId="44" fontId="5" fillId="2" borderId="0" xfId="8" applyNumberFormat="1" applyFont="1" applyFill="1"/>
    <xf numFmtId="44" fontId="5" fillId="2" borderId="5" xfId="8" applyNumberFormat="1" applyFont="1" applyFill="1" applyBorder="1" applyAlignment="1">
      <alignment horizontal="left"/>
    </xf>
    <xf numFmtId="44" fontId="5" fillId="2" borderId="0" xfId="8" applyNumberFormat="1" applyFont="1" applyFill="1" applyAlignment="1">
      <alignment horizontal="left"/>
    </xf>
    <xf numFmtId="44" fontId="5" fillId="2" borderId="0" xfId="8" applyNumberFormat="1" applyFont="1" applyFill="1" applyBorder="1"/>
    <xf numFmtId="44" fontId="5" fillId="2" borderId="17" xfId="8" applyNumberFormat="1" applyFont="1" applyFill="1" applyBorder="1"/>
    <xf numFmtId="44" fontId="56" fillId="2" borderId="17" xfId="8" applyNumberFormat="1" applyFont="1" applyFill="1" applyBorder="1"/>
    <xf numFmtId="44" fontId="5" fillId="7" borderId="0" xfId="0" applyNumberFormat="1" applyFont="1" applyFill="1"/>
    <xf numFmtId="44" fontId="5" fillId="2" borderId="0" xfId="0" applyNumberFormat="1" applyFont="1" applyFill="1" applyAlignment="1">
      <alignment wrapText="1"/>
    </xf>
    <xf numFmtId="44" fontId="56" fillId="2" borderId="0" xfId="8" applyNumberFormat="1" applyFont="1" applyFill="1"/>
    <xf numFmtId="169" fontId="61" fillId="2" borderId="0" xfId="8" applyNumberFormat="1" applyFont="1" applyFill="1"/>
    <xf numFmtId="167" fontId="61" fillId="2" borderId="0" xfId="8" applyNumberFormat="1" applyFont="1" applyFill="1"/>
    <xf numFmtId="169" fontId="61" fillId="2" borderId="17" xfId="8" applyNumberFormat="1" applyFont="1" applyFill="1" applyBorder="1"/>
    <xf numFmtId="167" fontId="61" fillId="2" borderId="0" xfId="8" applyNumberFormat="1" applyFont="1" applyFill="1" applyBorder="1"/>
    <xf numFmtId="167" fontId="61" fillId="2" borderId="17" xfId="8" applyNumberFormat="1" applyFont="1" applyFill="1" applyBorder="1"/>
    <xf numFmtId="167" fontId="61" fillId="2" borderId="0" xfId="8" applyNumberFormat="1" applyFont="1" applyFill="1" applyAlignment="1">
      <alignment horizontal="right"/>
    </xf>
    <xf numFmtId="10" fontId="61" fillId="2" borderId="17" xfId="8" applyNumberFormat="1" applyFont="1" applyFill="1" applyBorder="1"/>
    <xf numFmtId="10" fontId="61" fillId="2" borderId="0" xfId="8" applyNumberFormat="1" applyFont="1" applyFill="1"/>
    <xf numFmtId="10" fontId="61" fillId="2" borderId="0" xfId="8" applyNumberFormat="1" applyFont="1" applyFill="1" applyBorder="1"/>
    <xf numFmtId="10" fontId="56" fillId="2" borderId="17" xfId="8" applyNumberFormat="1" applyFont="1" applyFill="1" applyBorder="1"/>
    <xf numFmtId="10" fontId="61" fillId="2" borderId="0" xfId="8" applyNumberFormat="1" applyFont="1" applyFill="1" applyBorder="1" applyAlignment="1">
      <alignment wrapText="1"/>
    </xf>
    <xf numFmtId="44" fontId="61" fillId="2" borderId="17" xfId="8" applyNumberFormat="1" applyFont="1" applyFill="1" applyBorder="1"/>
    <xf numFmtId="10" fontId="63" fillId="2" borderId="17" xfId="8" applyNumberFormat="1" applyFont="1" applyFill="1" applyBorder="1"/>
    <xf numFmtId="171" fontId="61" fillId="2" borderId="0" xfId="8" applyNumberFormat="1" applyFont="1" applyFill="1" applyAlignment="1">
      <alignment wrapText="1"/>
    </xf>
    <xf numFmtId="8" fontId="61" fillId="2" borderId="0" xfId="8" applyNumberFormat="1" applyFont="1" applyFill="1" applyAlignment="1">
      <alignment wrapText="1"/>
    </xf>
    <xf numFmtId="0" fontId="61" fillId="2" borderId="0" xfId="8" applyNumberFormat="1" applyFont="1" applyFill="1" applyBorder="1"/>
    <xf numFmtId="37" fontId="52" fillId="2" borderId="0" xfId="8" applyNumberFormat="1" applyFont="1" applyFill="1"/>
    <xf numFmtId="37" fontId="52" fillId="2" borderId="0" xfId="8" applyNumberFormat="1" applyFont="1" applyFill="1" applyBorder="1"/>
    <xf numFmtId="0" fontId="64" fillId="2" borderId="0" xfId="8" applyNumberFormat="1" applyFont="1" applyFill="1"/>
    <xf numFmtId="10" fontId="13" fillId="2" borderId="0" xfId="8" applyNumberFormat="1" applyFont="1" applyFill="1" applyAlignment="1">
      <alignment horizontal="left" indent="1"/>
    </xf>
    <xf numFmtId="10" fontId="54" fillId="2" borderId="0" xfId="8" applyNumberFormat="1" applyFont="1" applyFill="1"/>
    <xf numFmtId="10" fontId="54" fillId="2" borderId="17" xfId="8" applyNumberFormat="1" applyFont="1" applyFill="1" applyBorder="1"/>
    <xf numFmtId="10" fontId="13" fillId="2" borderId="17" xfId="8" applyNumberFormat="1" applyFont="1" applyFill="1" applyBorder="1"/>
    <xf numFmtId="0" fontId="64" fillId="2" borderId="0" xfId="8" applyNumberFormat="1" applyFont="1" applyFill="1" applyBorder="1"/>
    <xf numFmtId="0" fontId="61" fillId="2" borderId="0" xfId="8" applyNumberFormat="1" applyFont="1" applyFill="1"/>
    <xf numFmtId="0" fontId="61" fillId="2" borderId="5" xfId="8" applyNumberFormat="1" applyFont="1" applyFill="1" applyBorder="1"/>
    <xf numFmtId="37" fontId="5" fillId="2" borderId="0" xfId="8" applyNumberFormat="1" applyFont="1" applyFill="1"/>
    <xf numFmtId="37" fontId="8" fillId="2" borderId="17" xfId="0" applyFont="1" applyFill="1" applyBorder="1"/>
    <xf numFmtId="37" fontId="5" fillId="2" borderId="0" xfId="8" applyNumberFormat="1" applyFont="1" applyFill="1" applyBorder="1"/>
    <xf numFmtId="0" fontId="5" fillId="2" borderId="0" xfId="8" applyNumberFormat="1" applyFont="1" applyFill="1"/>
    <xf numFmtId="0" fontId="5" fillId="2" borderId="5" xfId="8" applyNumberFormat="1" applyFont="1" applyFill="1" applyBorder="1"/>
    <xf numFmtId="0" fontId="5" fillId="2" borderId="0" xfId="8" applyNumberFormat="1" applyFont="1" applyFill="1" applyBorder="1"/>
    <xf numFmtId="167" fontId="5" fillId="2" borderId="0" xfId="8" applyNumberFormat="1" applyFont="1" applyFill="1" applyBorder="1"/>
    <xf numFmtId="169" fontId="5" fillId="2" borderId="17" xfId="8" applyNumberFormat="1" applyFont="1" applyFill="1" applyBorder="1"/>
    <xf numFmtId="167" fontId="5" fillId="2" borderId="17" xfId="8" applyNumberFormat="1" applyFont="1" applyFill="1" applyBorder="1"/>
    <xf numFmtId="167" fontId="65" fillId="2" borderId="0" xfId="8" applyNumberFormat="1" applyFont="1" applyFill="1"/>
    <xf numFmtId="167" fontId="5" fillId="2" borderId="0" xfId="8" applyNumberFormat="1" applyFont="1" applyFill="1"/>
    <xf numFmtId="10" fontId="5" fillId="2" borderId="0" xfId="8" applyNumberFormat="1" applyFont="1" applyFill="1"/>
    <xf numFmtId="185" fontId="5" fillId="2" borderId="0" xfId="8" applyNumberFormat="1" applyFont="1" applyFill="1"/>
    <xf numFmtId="10" fontId="8" fillId="2" borderId="0" xfId="8" applyNumberFormat="1" applyFont="1" applyFill="1"/>
    <xf numFmtId="172" fontId="8" fillId="2" borderId="0" xfId="8" applyNumberFormat="1" applyFont="1" applyFill="1"/>
    <xf numFmtId="167" fontId="8" fillId="2" borderId="17" xfId="8" applyNumberFormat="1" applyFont="1" applyFill="1" applyBorder="1"/>
    <xf numFmtId="167" fontId="5" fillId="2" borderId="0" xfId="8" applyNumberFormat="1" applyFont="1" applyFill="1" applyAlignment="1">
      <alignment wrapText="1"/>
    </xf>
    <xf numFmtId="172" fontId="5" fillId="2" borderId="0" xfId="8" applyNumberFormat="1" applyFont="1" applyFill="1"/>
    <xf numFmtId="9" fontId="8" fillId="2" borderId="17" xfId="8" applyNumberFormat="1" applyFont="1" applyFill="1" applyBorder="1"/>
    <xf numFmtId="167" fontId="8" fillId="2" borderId="0" xfId="8" applyNumberFormat="1" applyFont="1" applyFill="1"/>
    <xf numFmtId="9" fontId="5" fillId="2" borderId="17" xfId="8" applyNumberFormat="1" applyFont="1" applyFill="1" applyBorder="1"/>
    <xf numFmtId="10" fontId="5" fillId="2" borderId="17" xfId="8" applyNumberFormat="1" applyFont="1" applyFill="1" applyBorder="1"/>
    <xf numFmtId="10" fontId="52" fillId="2" borderId="17" xfId="8" applyNumberFormat="1" applyFont="1" applyFill="1" applyBorder="1"/>
    <xf numFmtId="0" fontId="13" fillId="2" borderId="0" xfId="8" applyNumberFormat="1" applyFont="1" applyFill="1"/>
    <xf numFmtId="0" fontId="13" fillId="2" borderId="0" xfId="8" applyNumberFormat="1" applyFont="1" applyFill="1" applyBorder="1"/>
    <xf numFmtId="167" fontId="8" fillId="2" borderId="0" xfId="8" applyNumberFormat="1" applyFont="1" applyFill="1" applyBorder="1"/>
    <xf numFmtId="39" fontId="5" fillId="2" borderId="0" xfId="8" applyNumberFormat="1" applyFont="1" applyFill="1" applyBorder="1"/>
    <xf numFmtId="43" fontId="5" fillId="2" borderId="17" xfId="8" applyNumberFormat="1" applyFont="1" applyFill="1" applyBorder="1"/>
    <xf numFmtId="0" fontId="5" fillId="2" borderId="17" xfId="8" applyNumberFormat="1" applyFont="1" applyFill="1" applyBorder="1"/>
    <xf numFmtId="8" fontId="5" fillId="2" borderId="0" xfId="8" applyNumberFormat="1" applyFont="1" applyFill="1"/>
    <xf numFmtId="0" fontId="52" fillId="2" borderId="0" xfId="8" applyNumberFormat="1" applyFont="1" applyFill="1"/>
    <xf numFmtId="0" fontId="52" fillId="2" borderId="5" xfId="8" applyNumberFormat="1" applyFont="1" applyFill="1" applyBorder="1"/>
    <xf numFmtId="0" fontId="52" fillId="2" borderId="0" xfId="8" applyNumberFormat="1" applyFont="1" applyFill="1" applyBorder="1"/>
    <xf numFmtId="8" fontId="52" fillId="2" borderId="0" xfId="8" applyNumberFormat="1" applyFont="1" applyFill="1" applyAlignment="1">
      <alignment horizontal="right"/>
    </xf>
    <xf numFmtId="8" fontId="58" fillId="2" borderId="17" xfId="8" applyNumberFormat="1" applyFont="1" applyFill="1" applyBorder="1" applyAlignment="1">
      <alignment horizontal="right"/>
    </xf>
    <xf numFmtId="8" fontId="58" fillId="2" borderId="0" xfId="8" applyNumberFormat="1" applyFont="1" applyFill="1" applyAlignment="1">
      <alignment horizontal="right"/>
    </xf>
    <xf numFmtId="8" fontId="52" fillId="2" borderId="17" xfId="8" applyNumberFormat="1" applyFont="1" applyFill="1" applyBorder="1" applyAlignment="1">
      <alignment horizontal="right"/>
    </xf>
    <xf numFmtId="0" fontId="52" fillId="2" borderId="8" xfId="8" applyNumberFormat="1" applyFont="1" applyFill="1" applyBorder="1"/>
    <xf numFmtId="0" fontId="52" fillId="2" borderId="9" xfId="8" applyNumberFormat="1" applyFont="1" applyFill="1" applyBorder="1"/>
    <xf numFmtId="8" fontId="52" fillId="2" borderId="9" xfId="8" applyNumberFormat="1" applyFont="1" applyFill="1" applyBorder="1" applyAlignment="1">
      <alignment horizontal="right"/>
    </xf>
    <xf numFmtId="8" fontId="58" fillId="2" borderId="15" xfId="8" applyNumberFormat="1" applyFont="1" applyFill="1" applyBorder="1" applyAlignment="1">
      <alignment horizontal="right"/>
    </xf>
    <xf numFmtId="8" fontId="58" fillId="2" borderId="9" xfId="8" applyNumberFormat="1" applyFont="1" applyFill="1" applyBorder="1" applyAlignment="1">
      <alignment horizontal="right"/>
    </xf>
    <xf numFmtId="8" fontId="52" fillId="2" borderId="15" xfId="8" applyNumberFormat="1" applyFont="1" applyFill="1" applyBorder="1" applyAlignment="1">
      <alignment horizontal="right"/>
    </xf>
    <xf numFmtId="0" fontId="5" fillId="2" borderId="9" xfId="8" applyNumberFormat="1" applyFont="1" applyFill="1" applyBorder="1"/>
    <xf numFmtId="167" fontId="5" fillId="2" borderId="9" xfId="8" applyNumberFormat="1" applyFont="1" applyFill="1" applyBorder="1"/>
    <xf numFmtId="167" fontId="8" fillId="2" borderId="9" xfId="8" applyNumberFormat="1" applyFont="1" applyFill="1" applyBorder="1"/>
    <xf numFmtId="167" fontId="5" fillId="2" borderId="9" xfId="8" applyNumberFormat="1" applyFont="1" applyFill="1" applyBorder="1" applyAlignment="1">
      <alignment wrapText="1"/>
    </xf>
    <xf numFmtId="39" fontId="5" fillId="2" borderId="9" xfId="8" applyNumberFormat="1" applyFont="1" applyFill="1" applyBorder="1"/>
    <xf numFmtId="43" fontId="5" fillId="2" borderId="9" xfId="8" applyNumberFormat="1" applyFont="1" applyFill="1" applyBorder="1"/>
    <xf numFmtId="10" fontId="5" fillId="2" borderId="9" xfId="8" applyNumberFormat="1" applyFont="1" applyFill="1" applyBorder="1"/>
    <xf numFmtId="167" fontId="5" fillId="0" borderId="9" xfId="8" applyNumberFormat="1" applyFont="1" applyFill="1" applyBorder="1"/>
    <xf numFmtId="0" fontId="29" fillId="8" borderId="5" xfId="8" applyNumberFormat="1" applyFont="1" applyFill="1" applyBorder="1"/>
    <xf numFmtId="0" fontId="29" fillId="8" borderId="0" xfId="8" applyNumberFormat="1" applyFont="1" applyFill="1"/>
    <xf numFmtId="0" fontId="29" fillId="8" borderId="0" xfId="8" applyNumberFormat="1" applyFont="1" applyFill="1" applyAlignment="1">
      <alignment horizontal="left"/>
    </xf>
    <xf numFmtId="0" fontId="29" fillId="8" borderId="17" xfId="8" applyNumberFormat="1" applyFont="1" applyFill="1" applyBorder="1" applyAlignment="1">
      <alignment horizontal="right"/>
    </xf>
    <xf numFmtId="3" fontId="29" fillId="8" borderId="0" xfId="8" applyNumberFormat="1" applyFont="1" applyFill="1" applyAlignment="1">
      <alignment horizontal="left"/>
    </xf>
    <xf numFmtId="3" fontId="29" fillId="8" borderId="0" xfId="8" applyNumberFormat="1" applyFont="1" applyFill="1" applyAlignment="1">
      <alignment wrapText="1"/>
    </xf>
    <xf numFmtId="37" fontId="22" fillId="2" borderId="17" xfId="8" applyNumberFormat="1" applyFont="1" applyFill="1" applyBorder="1" applyAlignment="1">
      <alignment horizontal="right"/>
    </xf>
    <xf numFmtId="37" fontId="21" fillId="2" borderId="0" xfId="8" applyNumberFormat="1" applyFont="1" applyFill="1"/>
    <xf numFmtId="37" fontId="21" fillId="2" borderId="17" xfId="8" applyNumberFormat="1" applyFont="1" applyFill="1" applyBorder="1" applyAlignment="1">
      <alignment horizontal="right"/>
    </xf>
    <xf numFmtId="37" fontId="21" fillId="2" borderId="0" xfId="8" applyNumberFormat="1" applyFont="1" applyFill="1" applyAlignment="1">
      <alignment horizontal="right"/>
    </xf>
    <xf numFmtId="37" fontId="22" fillId="2" borderId="0" xfId="8" applyNumberFormat="1" applyFont="1" applyFill="1" applyAlignment="1">
      <alignment horizontal="right"/>
    </xf>
    <xf numFmtId="3" fontId="22" fillId="2" borderId="0" xfId="8" applyNumberFormat="1" applyFont="1" applyFill="1" applyBorder="1"/>
    <xf numFmtId="3" fontId="22" fillId="2" borderId="17" xfId="8" applyNumberFormat="1" applyFont="1" applyFill="1" applyBorder="1" applyAlignment="1">
      <alignment horizontal="right"/>
    </xf>
    <xf numFmtId="3" fontId="22" fillId="2" borderId="0" xfId="8" applyNumberFormat="1" applyFont="1" applyFill="1"/>
    <xf numFmtId="3" fontId="22" fillId="2" borderId="0" xfId="8" applyNumberFormat="1" applyFont="1" applyFill="1" applyAlignment="1">
      <alignment horizontal="right"/>
    </xf>
    <xf numFmtId="3" fontId="22" fillId="2" borderId="0" xfId="8" applyNumberFormat="1" applyFont="1" applyFill="1" applyBorder="1" applyAlignment="1">
      <alignment horizontal="right"/>
    </xf>
    <xf numFmtId="37" fontId="22" fillId="2" borderId="5" xfId="8" quotePrefix="1" applyNumberFormat="1" applyFont="1" applyFill="1" applyBorder="1"/>
    <xf numFmtId="37" fontId="33" fillId="2" borderId="17" xfId="8" applyNumberFormat="1" applyFont="1" applyFill="1" applyBorder="1" applyAlignment="1">
      <alignment horizontal="right"/>
    </xf>
    <xf numFmtId="37" fontId="33" fillId="2" borderId="0" xfId="8" applyNumberFormat="1" applyFont="1" applyFill="1" applyAlignment="1">
      <alignment horizontal="right"/>
    </xf>
    <xf numFmtId="37" fontId="29" fillId="2" borderId="25" xfId="8" applyNumberFormat="1" applyFont="1" applyFill="1" applyBorder="1"/>
    <xf numFmtId="37" fontId="22" fillId="2" borderId="27" xfId="8" applyNumberFormat="1" applyFont="1" applyFill="1" applyBorder="1"/>
    <xf numFmtId="37" fontId="22" fillId="2" borderId="28" xfId="8" applyNumberFormat="1" applyFont="1" applyFill="1" applyBorder="1"/>
    <xf numFmtId="37" fontId="21" fillId="2" borderId="51" xfId="8" applyNumberFormat="1" applyFont="1" applyFill="1" applyBorder="1" applyAlignment="1">
      <alignment horizontal="right"/>
    </xf>
    <xf numFmtId="37" fontId="21" fillId="2" borderId="28" xfId="8" applyNumberFormat="1" applyFont="1" applyFill="1" applyBorder="1"/>
    <xf numFmtId="37" fontId="22" fillId="2" borderId="51" xfId="8" applyNumberFormat="1" applyFont="1" applyFill="1" applyBorder="1" applyAlignment="1">
      <alignment horizontal="right"/>
    </xf>
    <xf numFmtId="37" fontId="33" fillId="2" borderId="17" xfId="8" applyNumberFormat="1" applyFont="1" applyFill="1" applyBorder="1"/>
    <xf numFmtId="37" fontId="29" fillId="2" borderId="5" xfId="8" applyNumberFormat="1" applyFont="1" applyFill="1" applyBorder="1"/>
    <xf numFmtId="37" fontId="29" fillId="2" borderId="0" xfId="8" applyNumberFormat="1" applyFont="1" applyFill="1" applyAlignment="1">
      <alignment horizontal="right"/>
    </xf>
    <xf numFmtId="37" fontId="36" fillId="2" borderId="0" xfId="8" applyNumberFormat="1" applyFont="1" applyFill="1" applyAlignment="1">
      <alignment horizontal="right"/>
    </xf>
    <xf numFmtId="37" fontId="35" fillId="2" borderId="0" xfId="8" applyNumberFormat="1" applyFont="1" applyFill="1" applyAlignment="1">
      <alignment horizontal="right"/>
    </xf>
    <xf numFmtId="37" fontId="35" fillId="2" borderId="17" xfId="8" applyNumberFormat="1" applyFont="1" applyFill="1" applyBorder="1" applyAlignment="1">
      <alignment horizontal="right"/>
    </xf>
    <xf numFmtId="37" fontId="36" fillId="2" borderId="17" xfId="8" applyNumberFormat="1" applyFont="1" applyFill="1" applyBorder="1" applyAlignment="1">
      <alignment horizontal="right"/>
    </xf>
    <xf numFmtId="37" fontId="29" fillId="2" borderId="17" xfId="8" applyNumberFormat="1" applyFont="1" applyFill="1" applyBorder="1" applyAlignment="1">
      <alignment horizontal="right"/>
    </xf>
    <xf numFmtId="3" fontId="29" fillId="2" borderId="0" xfId="8" applyNumberFormat="1" applyFont="1" applyFill="1" applyBorder="1" applyAlignment="1">
      <alignment horizontal="right"/>
    </xf>
    <xf numFmtId="3" fontId="29" fillId="2" borderId="17" xfId="8" applyNumberFormat="1" applyFont="1" applyFill="1" applyBorder="1" applyAlignment="1">
      <alignment horizontal="right"/>
    </xf>
    <xf numFmtId="3" fontId="31" fillId="2" borderId="0" xfId="8" applyNumberFormat="1" applyFont="1" applyFill="1"/>
    <xf numFmtId="3" fontId="33" fillId="2" borderId="0" xfId="8" applyNumberFormat="1" applyFont="1" applyFill="1" applyAlignment="1">
      <alignment horizontal="right"/>
    </xf>
    <xf numFmtId="3" fontId="33" fillId="2" borderId="17" xfId="8" applyNumberFormat="1" applyFont="1" applyFill="1" applyBorder="1" applyAlignment="1">
      <alignment horizontal="right"/>
    </xf>
    <xf numFmtId="177" fontId="22" fillId="2" borderId="0" xfId="8" applyNumberFormat="1" applyFont="1" applyFill="1" applyBorder="1" applyAlignment="1">
      <alignment horizontal="right"/>
    </xf>
    <xf numFmtId="177" fontId="22" fillId="2" borderId="0" xfId="8" applyNumberFormat="1" applyFont="1" applyFill="1" applyAlignment="1">
      <alignment horizontal="right"/>
    </xf>
    <xf numFmtId="10" fontId="22" fillId="2" borderId="0" xfId="8" applyNumberFormat="1" applyFont="1" applyFill="1"/>
    <xf numFmtId="10" fontId="22" fillId="2" borderId="0" xfId="8" applyNumberFormat="1" applyFont="1" applyFill="1" applyBorder="1" applyAlignment="1">
      <alignment horizontal="right"/>
    </xf>
    <xf numFmtId="10" fontId="22" fillId="2" borderId="17" xfId="8" applyNumberFormat="1" applyFont="1" applyFill="1" applyBorder="1" applyAlignment="1">
      <alignment horizontal="right"/>
    </xf>
    <xf numFmtId="10" fontId="22" fillId="2" borderId="0" xfId="8" applyNumberFormat="1" applyFont="1" applyFill="1" applyAlignment="1">
      <alignment horizontal="right"/>
    </xf>
    <xf numFmtId="10" fontId="22" fillId="2" borderId="0" xfId="8" applyNumberFormat="1" applyFont="1" applyFill="1" applyAlignment="1">
      <alignment horizontal="left"/>
    </xf>
    <xf numFmtId="9" fontId="22" fillId="2" borderId="5" xfId="8" applyNumberFormat="1" applyFont="1" applyFill="1" applyBorder="1"/>
    <xf numFmtId="10" fontId="22" fillId="2" borderId="0" xfId="8" applyNumberFormat="1" applyFont="1" applyFill="1" applyBorder="1" applyAlignment="1">
      <alignment horizontal="left"/>
    </xf>
    <xf numFmtId="10" fontId="23" fillId="2" borderId="0" xfId="8" applyNumberFormat="1" applyFont="1" applyFill="1" applyBorder="1" applyAlignment="1">
      <alignment horizontal="left"/>
    </xf>
    <xf numFmtId="10" fontId="23" fillId="2" borderId="0" xfId="8" applyNumberFormat="1" applyFont="1" applyFill="1" applyAlignment="1">
      <alignment horizontal="left" wrapText="1"/>
    </xf>
    <xf numFmtId="171" fontId="22" fillId="2" borderId="17" xfId="8" applyNumberFormat="1" applyFont="1" applyFill="1" applyBorder="1" applyAlignment="1">
      <alignment horizontal="right"/>
    </xf>
    <xf numFmtId="9" fontId="44" fillId="8" borderId="5" xfId="8" applyNumberFormat="1" applyFont="1" applyFill="1" applyBorder="1"/>
    <xf numFmtId="9" fontId="29" fillId="8" borderId="0" xfId="8" applyNumberFormat="1" applyFont="1" applyFill="1" applyBorder="1"/>
    <xf numFmtId="0" fontId="29" fillId="8" borderId="0" xfId="8" applyNumberFormat="1" applyFont="1" applyFill="1" applyBorder="1"/>
    <xf numFmtId="169" fontId="29" fillId="8" borderId="0" xfId="8" applyNumberFormat="1" applyFont="1" applyFill="1"/>
    <xf numFmtId="10" fontId="29" fillId="8" borderId="0" xfId="8" applyNumberFormat="1" applyFont="1" applyFill="1" applyBorder="1" applyAlignment="1">
      <alignment horizontal="left"/>
    </xf>
    <xf numFmtId="10" fontId="29" fillId="8" borderId="0" xfId="8" applyNumberFormat="1" applyFont="1" applyFill="1" applyAlignment="1">
      <alignment horizontal="left"/>
    </xf>
    <xf numFmtId="10" fontId="40" fillId="8" borderId="0" xfId="8" applyNumberFormat="1" applyFont="1" applyFill="1" applyBorder="1" applyAlignment="1">
      <alignment horizontal="left"/>
    </xf>
    <xf numFmtId="10" fontId="40" fillId="8" borderId="0" xfId="8" applyNumberFormat="1" applyFont="1" applyFill="1" applyAlignment="1">
      <alignment horizontal="left" wrapText="1"/>
    </xf>
    <xf numFmtId="171" fontId="29" fillId="8" borderId="17" xfId="8" applyNumberFormat="1" applyFont="1" applyFill="1" applyBorder="1" applyAlignment="1">
      <alignment horizontal="right"/>
    </xf>
    <xf numFmtId="37" fontId="29" fillId="8" borderId="0" xfId="8" applyNumberFormat="1" applyFont="1" applyFill="1" applyBorder="1"/>
    <xf numFmtId="171" fontId="21" fillId="2" borderId="17" xfId="8" applyNumberFormat="1" applyFont="1" applyFill="1" applyBorder="1" applyAlignment="1">
      <alignment horizontal="right"/>
    </xf>
    <xf numFmtId="171" fontId="22" fillId="2" borderId="0" xfId="8" applyNumberFormat="1" applyFont="1" applyFill="1" applyAlignment="1">
      <alignment horizontal="right"/>
    </xf>
    <xf numFmtId="171" fontId="21" fillId="2" borderId="0" xfId="8" applyNumberFormat="1" applyFont="1" applyFill="1" applyAlignment="1">
      <alignment horizontal="right"/>
    </xf>
    <xf numFmtId="171" fontId="22" fillId="2" borderId="0" xfId="8" applyNumberFormat="1" applyFont="1" applyFill="1" applyBorder="1" applyAlignment="1">
      <alignment horizontal="right"/>
    </xf>
    <xf numFmtId="9" fontId="22" fillId="7" borderId="5" xfId="8" applyNumberFormat="1" applyFont="1" applyFill="1" applyBorder="1"/>
    <xf numFmtId="0" fontId="22" fillId="7" borderId="17" xfId="8" applyNumberFormat="1" applyFont="1" applyFill="1" applyBorder="1" applyAlignment="1">
      <alignment horizontal="right"/>
    </xf>
    <xf numFmtId="169" fontId="22" fillId="7" borderId="0" xfId="8" applyNumberFormat="1" applyFont="1" applyFill="1"/>
    <xf numFmtId="171" fontId="22" fillId="7" borderId="17" xfId="8" applyNumberFormat="1" applyFont="1" applyFill="1" applyBorder="1" applyAlignment="1">
      <alignment horizontal="right"/>
    </xf>
    <xf numFmtId="10" fontId="22" fillId="7" borderId="0" xfId="8" applyNumberFormat="1" applyFont="1" applyFill="1" applyBorder="1" applyAlignment="1">
      <alignment horizontal="left"/>
    </xf>
    <xf numFmtId="10" fontId="22" fillId="7" borderId="0" xfId="8" applyNumberFormat="1" applyFont="1" applyFill="1" applyAlignment="1">
      <alignment horizontal="left"/>
    </xf>
    <xf numFmtId="10" fontId="23" fillId="7" borderId="0" xfId="8" applyNumberFormat="1" applyFont="1" applyFill="1" applyBorder="1" applyAlignment="1">
      <alignment horizontal="left"/>
    </xf>
    <xf numFmtId="10" fontId="23" fillId="7" borderId="0" xfId="8" applyNumberFormat="1" applyFont="1" applyFill="1" applyAlignment="1">
      <alignment horizontal="left" wrapText="1"/>
    </xf>
    <xf numFmtId="171" fontId="33" fillId="7" borderId="0" xfId="8" applyNumberFormat="1" applyFont="1" applyFill="1" applyAlignment="1">
      <alignment horizontal="right"/>
    </xf>
    <xf numFmtId="171" fontId="33" fillId="7" borderId="0" xfId="8" applyNumberFormat="1" applyFont="1" applyFill="1"/>
    <xf numFmtId="171" fontId="33" fillId="2" borderId="0" xfId="8" applyNumberFormat="1" applyFont="1" applyFill="1" applyAlignment="1">
      <alignment horizontal="right"/>
    </xf>
    <xf numFmtId="171" fontId="33" fillId="2" borderId="0" xfId="8" applyNumberFormat="1" applyFont="1" applyFill="1"/>
    <xf numFmtId="10" fontId="33" fillId="2" borderId="0" xfId="8" applyNumberFormat="1" applyFont="1" applyFill="1"/>
    <xf numFmtId="0" fontId="22" fillId="0" borderId="0" xfId="8" applyNumberFormat="1" applyFont="1" applyFill="1" applyBorder="1"/>
    <xf numFmtId="9" fontId="22" fillId="2" borderId="0" xfId="8" applyNumberFormat="1" applyFont="1" applyFill="1"/>
    <xf numFmtId="9" fontId="31" fillId="2" borderId="5" xfId="8" applyNumberFormat="1" applyFont="1" applyFill="1" applyBorder="1"/>
    <xf numFmtId="9" fontId="31" fillId="2" borderId="0" xfId="8" applyNumberFormat="1" applyFont="1" applyFill="1" applyBorder="1"/>
    <xf numFmtId="0" fontId="31" fillId="2" borderId="0" xfId="8" applyNumberFormat="1" applyFont="1" applyFill="1" applyAlignment="1">
      <alignment horizontal="left"/>
    </xf>
    <xf numFmtId="0" fontId="31" fillId="2" borderId="17" xfId="8" applyNumberFormat="1" applyFont="1" applyFill="1" applyBorder="1" applyAlignment="1">
      <alignment horizontal="right"/>
    </xf>
    <xf numFmtId="169" fontId="31" fillId="2" borderId="0" xfId="8" applyNumberFormat="1" applyFont="1" applyFill="1"/>
    <xf numFmtId="10" fontId="31" fillId="2" borderId="0" xfId="8" applyNumberFormat="1" applyFont="1" applyFill="1" applyBorder="1" applyAlignment="1">
      <alignment horizontal="left"/>
    </xf>
    <xf numFmtId="10" fontId="31" fillId="2" borderId="0" xfId="8" applyNumberFormat="1" applyFont="1" applyFill="1" applyAlignment="1">
      <alignment horizontal="left"/>
    </xf>
    <xf numFmtId="10" fontId="66" fillId="2" borderId="0" xfId="8" applyNumberFormat="1" applyFont="1" applyFill="1" applyBorder="1" applyAlignment="1">
      <alignment horizontal="left"/>
    </xf>
    <xf numFmtId="10" fontId="66" fillId="2" borderId="0" xfId="8" applyNumberFormat="1" applyFont="1" applyFill="1" applyAlignment="1">
      <alignment horizontal="left" wrapText="1"/>
    </xf>
    <xf numFmtId="171" fontId="39" fillId="2" borderId="17" xfId="8" applyNumberFormat="1" applyFont="1" applyFill="1" applyBorder="1" applyAlignment="1">
      <alignment horizontal="right"/>
    </xf>
    <xf numFmtId="171" fontId="39" fillId="2" borderId="0" xfId="8" applyNumberFormat="1" applyFont="1" applyFill="1" applyAlignment="1">
      <alignment horizontal="right"/>
    </xf>
    <xf numFmtId="171" fontId="39" fillId="2" borderId="0" xfId="8" applyNumberFormat="1" applyFont="1" applyFill="1"/>
    <xf numFmtId="171" fontId="39" fillId="7" borderId="0" xfId="8" applyNumberFormat="1" applyFont="1" applyFill="1"/>
    <xf numFmtId="171" fontId="39" fillId="0" borderId="0" xfId="8" applyNumberFormat="1" applyFont="1" applyFill="1"/>
    <xf numFmtId="171" fontId="37" fillId="2" borderId="0" xfId="8" applyNumberFormat="1" applyFont="1" applyFill="1" applyAlignment="1">
      <alignment horizontal="right"/>
    </xf>
    <xf numFmtId="171" fontId="37" fillId="2" borderId="17" xfId="8" applyNumberFormat="1" applyFont="1" applyFill="1" applyBorder="1" applyAlignment="1">
      <alignment horizontal="right"/>
    </xf>
    <xf numFmtId="171" fontId="37" fillId="0" borderId="0" xfId="8" applyNumberFormat="1" applyFont="1" applyFill="1" applyAlignment="1">
      <alignment horizontal="right"/>
    </xf>
    <xf numFmtId="9" fontId="44" fillId="2" borderId="5" xfId="8" applyNumberFormat="1" applyFont="1" applyFill="1" applyBorder="1"/>
    <xf numFmtId="9" fontId="29" fillId="2" borderId="0" xfId="8" applyNumberFormat="1" applyFont="1" applyFill="1" applyBorder="1"/>
    <xf numFmtId="0" fontId="29" fillId="2" borderId="17" xfId="8" applyNumberFormat="1" applyFont="1" applyFill="1" applyBorder="1" applyAlignment="1">
      <alignment horizontal="right"/>
    </xf>
    <xf numFmtId="169" fontId="29" fillId="2" borderId="0" xfId="8" applyNumberFormat="1" applyFont="1" applyFill="1"/>
    <xf numFmtId="10" fontId="29" fillId="2" borderId="0" xfId="8" applyNumberFormat="1" applyFont="1" applyFill="1" applyBorder="1" applyAlignment="1">
      <alignment horizontal="left"/>
    </xf>
    <xf numFmtId="10" fontId="29" fillId="2" borderId="0" xfId="8" applyNumberFormat="1" applyFont="1" applyFill="1" applyAlignment="1">
      <alignment horizontal="left"/>
    </xf>
    <xf numFmtId="10" fontId="40" fillId="2" borderId="0" xfId="8" applyNumberFormat="1" applyFont="1" applyFill="1" applyBorder="1" applyAlignment="1">
      <alignment horizontal="left"/>
    </xf>
    <xf numFmtId="10" fontId="40" fillId="2" borderId="0" xfId="8" applyNumberFormat="1" applyFont="1" applyFill="1" applyAlignment="1">
      <alignment horizontal="left" wrapText="1"/>
    </xf>
    <xf numFmtId="171" fontId="29" fillId="2" borderId="17" xfId="8" applyNumberFormat="1" applyFont="1" applyFill="1" applyBorder="1" applyAlignment="1">
      <alignment horizontal="right"/>
    </xf>
    <xf numFmtId="0" fontId="67" fillId="2" borderId="0" xfId="8" applyNumberFormat="1" applyFont="1" applyFill="1"/>
    <xf numFmtId="9" fontId="67" fillId="2" borderId="5" xfId="8" applyNumberFormat="1" applyFont="1" applyFill="1" applyBorder="1"/>
    <xf numFmtId="9" fontId="67" fillId="2" borderId="0" xfId="8" applyNumberFormat="1" applyFont="1" applyFill="1" applyBorder="1"/>
    <xf numFmtId="0" fontId="67" fillId="2" borderId="0" xfId="8" applyNumberFormat="1" applyFont="1" applyFill="1" applyAlignment="1">
      <alignment horizontal="left"/>
    </xf>
    <xf numFmtId="0" fontId="67" fillId="2" borderId="0" xfId="8" applyNumberFormat="1" applyFont="1" applyFill="1" applyBorder="1"/>
    <xf numFmtId="0" fontId="67" fillId="2" borderId="17" xfId="8" applyNumberFormat="1" applyFont="1" applyFill="1" applyBorder="1" applyAlignment="1">
      <alignment horizontal="right"/>
    </xf>
    <xf numFmtId="169" fontId="67" fillId="2" borderId="0" xfId="8" applyNumberFormat="1" applyFont="1" applyFill="1"/>
    <xf numFmtId="10" fontId="67" fillId="2" borderId="0" xfId="8" applyNumberFormat="1" applyFont="1" applyFill="1" applyBorder="1" applyAlignment="1">
      <alignment horizontal="left"/>
    </xf>
    <xf numFmtId="10" fontId="67" fillId="2" borderId="0" xfId="8" applyNumberFormat="1" applyFont="1" applyFill="1" applyAlignment="1">
      <alignment horizontal="left"/>
    </xf>
    <xf numFmtId="10" fontId="68" fillId="2" borderId="0" xfId="8" applyNumberFormat="1" applyFont="1" applyFill="1" applyBorder="1" applyAlignment="1">
      <alignment horizontal="left"/>
    </xf>
    <xf numFmtId="10" fontId="68" fillId="2" borderId="0" xfId="8" applyNumberFormat="1" applyFont="1" applyFill="1" applyAlignment="1">
      <alignment horizontal="left" wrapText="1"/>
    </xf>
    <xf numFmtId="171" fontId="67" fillId="2" borderId="17" xfId="8" applyNumberFormat="1" applyFont="1" applyFill="1" applyBorder="1" applyAlignment="1">
      <alignment horizontal="right"/>
    </xf>
    <xf numFmtId="9" fontId="22" fillId="2" borderId="5" xfId="8" applyNumberFormat="1" applyFont="1" applyFill="1" applyBorder="1" applyAlignment="1">
      <alignment horizontal="left" indent="1"/>
    </xf>
    <xf numFmtId="0" fontId="44" fillId="2" borderId="0" xfId="8" applyNumberFormat="1" applyFont="1" applyFill="1"/>
    <xf numFmtId="9" fontId="44" fillId="2" borderId="0" xfId="8" applyNumberFormat="1" applyFont="1" applyFill="1" applyBorder="1"/>
    <xf numFmtId="0" fontId="44" fillId="2" borderId="0" xfId="8" applyNumberFormat="1" applyFont="1" applyFill="1" applyAlignment="1">
      <alignment horizontal="left"/>
    </xf>
    <xf numFmtId="0" fontId="44" fillId="2" borderId="0" xfId="8" applyNumberFormat="1" applyFont="1" applyFill="1" applyBorder="1"/>
    <xf numFmtId="0" fontId="44" fillId="2" borderId="17" xfId="8" applyNumberFormat="1" applyFont="1" applyFill="1" applyBorder="1" applyAlignment="1">
      <alignment horizontal="right"/>
    </xf>
    <xf numFmtId="169" fontId="44" fillId="2" borderId="0" xfId="8" applyNumberFormat="1" applyFont="1" applyFill="1"/>
    <xf numFmtId="10" fontId="44" fillId="2" borderId="0" xfId="8" applyNumberFormat="1" applyFont="1" applyFill="1" applyBorder="1" applyAlignment="1">
      <alignment horizontal="left"/>
    </xf>
    <xf numFmtId="10" fontId="44" fillId="2" borderId="0" xfId="8" applyNumberFormat="1" applyFont="1" applyFill="1" applyAlignment="1">
      <alignment horizontal="left"/>
    </xf>
    <xf numFmtId="10" fontId="70" fillId="2" borderId="0" xfId="8" applyNumberFormat="1" applyFont="1" applyFill="1" applyBorder="1" applyAlignment="1">
      <alignment horizontal="left"/>
    </xf>
    <xf numFmtId="10" fontId="70" fillId="2" borderId="0" xfId="8" applyNumberFormat="1" applyFont="1" applyFill="1" applyAlignment="1">
      <alignment horizontal="left" wrapText="1"/>
    </xf>
    <xf numFmtId="171" fontId="44" fillId="2" borderId="17" xfId="8" applyNumberFormat="1" applyFont="1" applyFill="1" applyBorder="1" applyAlignment="1">
      <alignment horizontal="right"/>
    </xf>
    <xf numFmtId="9" fontId="44" fillId="7" borderId="5" xfId="8" applyNumberFormat="1" applyFont="1" applyFill="1" applyBorder="1"/>
    <xf numFmtId="9" fontId="22" fillId="7" borderId="5" xfId="8" applyNumberFormat="1" applyFont="1" applyFill="1" applyBorder="1" applyAlignment="1">
      <alignment horizontal="left" indent="1"/>
    </xf>
    <xf numFmtId="9" fontId="67" fillId="7" borderId="5" xfId="8" applyNumberFormat="1" applyFont="1" applyFill="1" applyBorder="1"/>
    <xf numFmtId="171" fontId="22" fillId="7" borderId="5" xfId="8" applyNumberFormat="1" applyFont="1" applyFill="1" applyBorder="1"/>
    <xf numFmtId="171" fontId="22" fillId="2" borderId="0" xfId="8" applyNumberFormat="1" applyFont="1" applyFill="1" applyAlignment="1">
      <alignment horizontal="left"/>
    </xf>
    <xf numFmtId="171" fontId="22" fillId="2" borderId="0" xfId="8" applyNumberFormat="1" applyFont="1" applyFill="1" applyBorder="1" applyAlignment="1">
      <alignment horizontal="left"/>
    </xf>
    <xf numFmtId="171" fontId="23" fillId="2" borderId="0" xfId="8" applyNumberFormat="1" applyFont="1" applyFill="1" applyBorder="1" applyAlignment="1">
      <alignment horizontal="left"/>
    </xf>
    <xf numFmtId="171" fontId="23" fillId="2" borderId="0" xfId="8" applyNumberFormat="1" applyFont="1" applyFill="1" applyAlignment="1">
      <alignment horizontal="left" wrapText="1"/>
    </xf>
    <xf numFmtId="171" fontId="33" fillId="2" borderId="0" xfId="8" applyNumberFormat="1" applyFont="1" applyFill="1" applyBorder="1" applyAlignment="1">
      <alignment horizontal="left"/>
    </xf>
    <xf numFmtId="171" fontId="33" fillId="0" borderId="0" xfId="8" applyNumberFormat="1" applyFont="1" applyFill="1"/>
    <xf numFmtId="171" fontId="62" fillId="2" borderId="0" xfId="8" applyNumberFormat="1" applyFont="1" applyFill="1"/>
    <xf numFmtId="171" fontId="22" fillId="7" borderId="5" xfId="8" applyNumberFormat="1" applyFont="1" applyFill="1" applyBorder="1" applyAlignment="1">
      <alignment horizontal="left" indent="1"/>
    </xf>
    <xf numFmtId="171" fontId="33" fillId="2" borderId="17" xfId="8" applyNumberFormat="1" applyFont="1" applyFill="1" applyBorder="1" applyAlignment="1">
      <alignment horizontal="right"/>
    </xf>
    <xf numFmtId="171" fontId="22" fillId="0" borderId="0" xfId="8" applyNumberFormat="1" applyFont="1" applyFill="1"/>
    <xf numFmtId="8" fontId="67" fillId="2" borderId="0" xfId="8" applyNumberFormat="1" applyFont="1" applyFill="1"/>
    <xf numFmtId="8" fontId="71" fillId="2" borderId="0" xfId="8" applyNumberFormat="1" applyFont="1" applyFill="1"/>
    <xf numFmtId="171" fontId="22" fillId="2" borderId="5" xfId="8" applyNumberFormat="1" applyFont="1" applyFill="1" applyBorder="1"/>
    <xf numFmtId="9" fontId="29" fillId="8" borderId="5" xfId="8" applyNumberFormat="1" applyFont="1" applyFill="1" applyBorder="1"/>
    <xf numFmtId="167" fontId="22" fillId="2" borderId="18" xfId="8" applyNumberFormat="1" applyFont="1" applyFill="1" applyBorder="1"/>
    <xf numFmtId="9" fontId="31" fillId="2" borderId="5" xfId="8" applyNumberFormat="1" applyFont="1" applyFill="1" applyBorder="1" applyAlignment="1">
      <alignment horizontal="left" indent="1"/>
    </xf>
    <xf numFmtId="10" fontId="37" fillId="2" borderId="17" xfId="8" applyNumberFormat="1" applyFont="1" applyFill="1" applyBorder="1" applyAlignment="1">
      <alignment horizontal="right"/>
    </xf>
    <xf numFmtId="10" fontId="37" fillId="2" borderId="0" xfId="8" applyNumberFormat="1" applyFont="1" applyFill="1"/>
    <xf numFmtId="10" fontId="31" fillId="2" borderId="17" xfId="8" applyNumberFormat="1" applyFont="1" applyFill="1" applyBorder="1" applyAlignment="1">
      <alignment horizontal="right"/>
    </xf>
    <xf numFmtId="10" fontId="21" fillId="2" borderId="17" xfId="8" applyNumberFormat="1" applyFont="1" applyFill="1" applyBorder="1" applyAlignment="1">
      <alignment horizontal="right"/>
    </xf>
    <xf numFmtId="10" fontId="21" fillId="2" borderId="0" xfId="8" applyNumberFormat="1" applyFont="1" applyFill="1" applyAlignment="1">
      <alignment horizontal="right"/>
    </xf>
    <xf numFmtId="171" fontId="29" fillId="2" borderId="5" xfId="8" applyNumberFormat="1" applyFont="1" applyFill="1" applyBorder="1"/>
    <xf numFmtId="0" fontId="22" fillId="2" borderId="5" xfId="8" applyNumberFormat="1" applyFont="1" applyFill="1" applyBorder="1" applyAlignment="1">
      <alignment horizontal="left" indent="1"/>
    </xf>
    <xf numFmtId="0" fontId="22" fillId="2" borderId="0" xfId="8" applyNumberFormat="1" applyFont="1" applyFill="1" applyAlignment="1">
      <alignment horizontal="left" indent="1"/>
    </xf>
    <xf numFmtId="9" fontId="21" fillId="2" borderId="17" xfId="8" applyNumberFormat="1" applyFont="1" applyFill="1" applyBorder="1" applyAlignment="1">
      <alignment horizontal="right"/>
    </xf>
    <xf numFmtId="9" fontId="21" fillId="2" borderId="0" xfId="8" applyNumberFormat="1" applyFont="1" applyFill="1"/>
    <xf numFmtId="0" fontId="33" fillId="2" borderId="0" xfId="8" applyNumberFormat="1" applyFont="1" applyFill="1" applyBorder="1"/>
    <xf numFmtId="171" fontId="22" fillId="2" borderId="5" xfId="8" applyNumberFormat="1" applyFont="1" applyFill="1" applyBorder="1" applyAlignment="1">
      <alignment horizontal="left" indent="1"/>
    </xf>
    <xf numFmtId="171" fontId="22" fillId="2" borderId="0" xfId="8" applyNumberFormat="1" applyFont="1" applyFill="1" applyAlignment="1">
      <alignment horizontal="left" indent="1"/>
    </xf>
    <xf numFmtId="9" fontId="22" fillId="2" borderId="5" xfId="8" applyNumberFormat="1" applyFont="1" applyFill="1" applyBorder="1" applyAlignment="1">
      <alignment horizontal="left" indent="2"/>
    </xf>
    <xf numFmtId="9" fontId="22" fillId="2" borderId="0" xfId="8" applyNumberFormat="1" applyFont="1" applyFill="1" applyAlignment="1">
      <alignment horizontal="left" indent="2"/>
    </xf>
    <xf numFmtId="16" fontId="22" fillId="2" borderId="0" xfId="8" applyNumberFormat="1" applyFont="1" applyFill="1" applyAlignment="1">
      <alignment horizontal="left"/>
    </xf>
    <xf numFmtId="16" fontId="22" fillId="2" borderId="0" xfId="8" applyNumberFormat="1" applyFont="1" applyFill="1"/>
    <xf numFmtId="171" fontId="35" fillId="2" borderId="0" xfId="8" applyNumberFormat="1" applyFont="1" applyFill="1"/>
    <xf numFmtId="171" fontId="36" fillId="2" borderId="17" xfId="8" applyNumberFormat="1" applyFont="1" applyFill="1" applyBorder="1" applyAlignment="1">
      <alignment horizontal="right"/>
    </xf>
    <xf numFmtId="0" fontId="33" fillId="2" borderId="17" xfId="8" applyNumberFormat="1" applyFont="1" applyFill="1" applyBorder="1" applyAlignment="1">
      <alignment horizontal="right"/>
    </xf>
    <xf numFmtId="9" fontId="22" fillId="2" borderId="0" xfId="8" applyNumberFormat="1" applyFont="1" applyFill="1" applyAlignment="1">
      <alignment horizontal="left" indent="1"/>
    </xf>
    <xf numFmtId="171" fontId="22" fillId="0" borderId="0" xfId="8" applyNumberFormat="1" applyFont="1" applyFill="1" applyAlignment="1">
      <alignment horizontal="right"/>
    </xf>
    <xf numFmtId="9" fontId="22" fillId="2" borderId="50" xfId="8" applyNumberFormat="1" applyFont="1" applyFill="1" applyBorder="1" applyAlignment="1">
      <alignment horizontal="left" indent="1"/>
    </xf>
    <xf numFmtId="9" fontId="22" fillId="2" borderId="25" xfId="8" applyNumberFormat="1" applyFont="1" applyFill="1" applyBorder="1" applyAlignment="1">
      <alignment horizontal="left" indent="1"/>
    </xf>
    <xf numFmtId="9" fontId="22" fillId="2" borderId="25" xfId="8" applyNumberFormat="1" applyFont="1" applyFill="1" applyBorder="1"/>
    <xf numFmtId="0" fontId="22" fillId="2" borderId="25" xfId="8" applyNumberFormat="1" applyFont="1" applyFill="1" applyBorder="1" applyAlignment="1">
      <alignment horizontal="left"/>
    </xf>
    <xf numFmtId="171" fontId="22" fillId="2" borderId="26" xfId="8" applyNumberFormat="1" applyFont="1" applyFill="1" applyBorder="1" applyAlignment="1">
      <alignment horizontal="right"/>
    </xf>
    <xf numFmtId="171" fontId="22" fillId="2" borderId="25" xfId="8" applyNumberFormat="1" applyFont="1" applyFill="1" applyBorder="1" applyAlignment="1">
      <alignment horizontal="right"/>
    </xf>
    <xf numFmtId="171" fontId="21" fillId="2" borderId="25" xfId="8" applyNumberFormat="1" applyFont="1" applyFill="1" applyBorder="1" applyAlignment="1">
      <alignment horizontal="right"/>
    </xf>
    <xf numFmtId="171" fontId="21" fillId="0" borderId="0" xfId="8" applyNumberFormat="1" applyFont="1" applyFill="1" applyAlignment="1">
      <alignment horizontal="right"/>
    </xf>
    <xf numFmtId="171" fontId="21" fillId="2" borderId="28" xfId="8" applyNumberFormat="1" applyFont="1" applyFill="1" applyBorder="1" applyAlignment="1">
      <alignment horizontal="right"/>
    </xf>
    <xf numFmtId="171" fontId="21" fillId="2" borderId="51" xfId="8" applyNumberFormat="1" applyFont="1" applyFill="1" applyBorder="1" applyAlignment="1">
      <alignment horizontal="right"/>
    </xf>
    <xf numFmtId="171" fontId="22" fillId="2" borderId="28" xfId="8" applyNumberFormat="1" applyFont="1" applyFill="1" applyBorder="1" applyAlignment="1">
      <alignment horizontal="right"/>
    </xf>
    <xf numFmtId="171" fontId="22" fillId="2" borderId="51" xfId="8" applyNumberFormat="1" applyFont="1" applyFill="1" applyBorder="1" applyAlignment="1">
      <alignment horizontal="right"/>
    </xf>
    <xf numFmtId="177" fontId="41" fillId="2" borderId="5" xfId="8" applyNumberFormat="1" applyFont="1" applyFill="1" applyBorder="1" applyAlignment="1">
      <alignment horizontal="left" indent="1"/>
    </xf>
    <xf numFmtId="177" fontId="41" fillId="2" borderId="0" xfId="8" applyNumberFormat="1" applyFont="1" applyFill="1" applyAlignment="1">
      <alignment horizontal="left" indent="1"/>
    </xf>
    <xf numFmtId="177" fontId="22" fillId="2" borderId="0" xfId="8" applyNumberFormat="1" applyFont="1" applyFill="1" applyBorder="1"/>
    <xf numFmtId="177" fontId="22" fillId="2" borderId="17" xfId="8" applyNumberFormat="1" applyFont="1" applyFill="1" applyBorder="1" applyAlignment="1">
      <alignment horizontal="right"/>
    </xf>
    <xf numFmtId="177" fontId="33" fillId="2" borderId="0" xfId="8" applyNumberFormat="1" applyFont="1" applyFill="1" applyAlignment="1">
      <alignment horizontal="right"/>
    </xf>
    <xf numFmtId="178" fontId="22" fillId="2" borderId="17" xfId="8" applyNumberFormat="1" applyFont="1" applyFill="1" applyBorder="1" applyAlignment="1">
      <alignment horizontal="right"/>
    </xf>
    <xf numFmtId="171" fontId="22" fillId="2" borderId="17" xfId="0" applyNumberFormat="1" applyFont="1" applyFill="1" applyBorder="1"/>
    <xf numFmtId="37" fontId="30" fillId="8" borderId="5" xfId="0" quotePrefix="1" applyFont="1" applyFill="1" applyBorder="1" applyAlignment="1">
      <alignment wrapText="1"/>
    </xf>
    <xf numFmtId="167" fontId="29" fillId="2" borderId="7" xfId="7" applyNumberFormat="1" applyFont="1" applyFill="1" applyBorder="1" applyAlignment="1">
      <alignment horizontal="right"/>
    </xf>
    <xf numFmtId="37" fontId="29" fillId="8" borderId="3" xfId="0" quotePrefix="1" applyFont="1" applyFill="1" applyBorder="1" applyAlignment="1">
      <alignment horizontal="center"/>
    </xf>
    <xf numFmtId="37" fontId="29" fillId="8" borderId="4" xfId="0" quotePrefix="1" applyFont="1" applyFill="1" applyBorder="1" applyAlignment="1">
      <alignment horizontal="center"/>
    </xf>
    <xf numFmtId="37" fontId="29" fillId="8" borderId="17" xfId="0" quotePrefix="1" applyFont="1" applyFill="1" applyBorder="1" applyAlignment="1">
      <alignment horizontal="center"/>
    </xf>
    <xf numFmtId="0" fontId="31" fillId="2" borderId="3" xfId="6" applyNumberFormat="1" applyFont="1" applyFill="1" applyBorder="1"/>
    <xf numFmtId="0" fontId="31" fillId="2" borderId="4" xfId="6" applyNumberFormat="1" applyFont="1" applyFill="1" applyBorder="1"/>
    <xf numFmtId="0" fontId="22" fillId="2" borderId="4" xfId="6" applyNumberFormat="1" applyFont="1" applyFill="1" applyBorder="1"/>
    <xf numFmtId="0" fontId="32" fillId="2" borderId="4" xfId="6" applyNumberFormat="1" applyFont="1" applyFill="1" applyBorder="1" applyAlignment="1">
      <alignment horizontal="center"/>
    </xf>
    <xf numFmtId="7" fontId="5" fillId="2" borderId="0" xfId="0" applyNumberFormat="1" applyFont="1" applyFill="1"/>
    <xf numFmtId="7" fontId="5" fillId="2" borderId="0" xfId="0" applyNumberFormat="1" applyFont="1" applyFill="1" applyAlignment="1">
      <alignment horizontal="center"/>
    </xf>
    <xf numFmtId="44" fontId="10" fillId="2" borderId="0" xfId="28" applyNumberFormat="1" applyFont="1" applyFill="1"/>
    <xf numFmtId="167" fontId="33" fillId="2" borderId="0" xfId="7" applyNumberFormat="1" applyFont="1" applyFill="1" applyBorder="1"/>
    <xf numFmtId="167" fontId="33" fillId="2" borderId="8" xfId="7" applyNumberFormat="1" applyFont="1" applyFill="1" applyBorder="1"/>
    <xf numFmtId="167" fontId="57" fillId="2" borderId="28" xfId="0" applyNumberFormat="1" applyFont="1" applyFill="1" applyBorder="1"/>
    <xf numFmtId="171" fontId="50" fillId="7" borderId="31" xfId="28" quotePrefix="1" applyNumberFormat="1" applyFont="1" applyFill="1" applyBorder="1" applyAlignment="1">
      <alignment horizontal="center"/>
    </xf>
    <xf numFmtId="37" fontId="50" fillId="7" borderId="30" xfId="0" applyFont="1" applyFill="1" applyBorder="1"/>
    <xf numFmtId="37" fontId="50" fillId="7" borderId="8" xfId="0" applyFont="1" applyFill="1" applyBorder="1"/>
    <xf numFmtId="37" fontId="50" fillId="7" borderId="17" xfId="0" applyFont="1" applyFill="1" applyBorder="1"/>
    <xf numFmtId="0" fontId="5" fillId="2" borderId="5" xfId="7" applyNumberFormat="1" applyFont="1" applyFill="1" applyBorder="1"/>
    <xf numFmtId="10" fontId="5" fillId="2" borderId="0" xfId="28" applyFont="1" applyFill="1"/>
    <xf numFmtId="0" fontId="10" fillId="2" borderId="11" xfId="7" applyNumberFormat="1" applyFont="1" applyFill="1" applyBorder="1"/>
    <xf numFmtId="10" fontId="5" fillId="2" borderId="17" xfId="28" applyFont="1" applyFill="1" applyBorder="1"/>
    <xf numFmtId="178" fontId="13" fillId="2" borderId="0" xfId="28" applyNumberFormat="1" applyFill="1" applyBorder="1"/>
    <xf numFmtId="178" fontId="13" fillId="2" borderId="17" xfId="28" applyNumberFormat="1" applyFill="1" applyBorder="1"/>
    <xf numFmtId="178" fontId="10" fillId="2" borderId="0" xfId="6" applyNumberFormat="1" applyFont="1" applyFill="1" applyBorder="1"/>
    <xf numFmtId="178" fontId="10" fillId="2" borderId="17" xfId="6" applyNumberFormat="1" applyFont="1" applyFill="1" applyBorder="1"/>
    <xf numFmtId="178" fontId="10" fillId="2" borderId="0" xfId="7" applyNumberFormat="1" applyFont="1" applyFill="1"/>
    <xf numFmtId="178" fontId="10" fillId="2" borderId="17" xfId="7" applyNumberFormat="1" applyFont="1" applyFill="1" applyBorder="1"/>
    <xf numFmtId="171" fontId="10" fillId="2" borderId="0" xfId="28" applyNumberFormat="1" applyFont="1" applyFill="1"/>
    <xf numFmtId="171" fontId="10" fillId="2" borderId="17" xfId="28" applyNumberFormat="1" applyFont="1" applyFill="1" applyBorder="1"/>
    <xf numFmtId="171" fontId="5" fillId="2" borderId="0" xfId="28" applyNumberFormat="1" applyFont="1" applyFill="1"/>
    <xf numFmtId="171" fontId="5" fillId="2" borderId="17" xfId="28" applyNumberFormat="1" applyFont="1" applyFill="1" applyBorder="1"/>
    <xf numFmtId="178" fontId="5" fillId="2" borderId="0" xfId="28" applyNumberFormat="1" applyFont="1" applyFill="1" applyBorder="1"/>
    <xf numFmtId="178" fontId="52" fillId="2" borderId="17" xfId="28" applyNumberFormat="1" applyFont="1" applyFill="1" applyBorder="1"/>
    <xf numFmtId="178" fontId="52" fillId="2" borderId="0" xfId="28" applyNumberFormat="1" applyFont="1" applyFill="1" applyBorder="1"/>
    <xf numFmtId="171" fontId="34" fillId="2" borderId="17" xfId="28" applyNumberFormat="1" applyFont="1" applyFill="1" applyBorder="1"/>
    <xf numFmtId="171" fontId="34" fillId="2" borderId="0" xfId="28" applyNumberFormat="1" applyFont="1" applyFill="1" applyBorder="1"/>
    <xf numFmtId="37" fontId="33" fillId="2" borderId="0" xfId="0" applyFont="1" applyFill="1" applyBorder="1"/>
    <xf numFmtId="37" fontId="21" fillId="2" borderId="0" xfId="0" applyFont="1" applyFill="1" applyBorder="1"/>
    <xf numFmtId="171" fontId="90" fillId="7" borderId="0" xfId="28" quotePrefix="1" applyNumberFormat="1" applyFont="1" applyFill="1" applyBorder="1" applyAlignment="1">
      <alignment horizontal="center"/>
    </xf>
    <xf numFmtId="171" fontId="50" fillId="7" borderId="48" xfId="28" quotePrefix="1" applyNumberFormat="1" applyFont="1" applyFill="1" applyBorder="1" applyAlignment="1">
      <alignment horizontal="center"/>
    </xf>
    <xf numFmtId="10" fontId="33" fillId="7" borderId="7" xfId="18" applyNumberFormat="1" applyFont="1" applyFill="1" applyBorder="1"/>
    <xf numFmtId="10" fontId="50" fillId="7" borderId="47" xfId="28" applyNumberFormat="1" applyFont="1" applyFill="1" applyBorder="1" applyAlignment="1">
      <alignment horizontal="center"/>
    </xf>
    <xf numFmtId="170" fontId="13" fillId="2" borderId="0" xfId="28" applyNumberFormat="1" applyFill="1" applyBorder="1"/>
    <xf numFmtId="37" fontId="5" fillId="2" borderId="0" xfId="0" applyFont="1" applyFill="1"/>
    <xf numFmtId="10" fontId="29" fillId="2" borderId="0" xfId="0" applyNumberFormat="1" applyFont="1" applyFill="1"/>
    <xf numFmtId="171" fontId="33" fillId="7" borderId="3" xfId="11" applyNumberFormat="1" applyFont="1" applyFill="1" applyBorder="1" applyAlignment="1">
      <alignment horizontal="right"/>
    </xf>
    <xf numFmtId="171" fontId="33" fillId="7" borderId="4" xfId="11" applyNumberFormat="1" applyFont="1" applyFill="1" applyBorder="1" applyAlignment="1">
      <alignment horizontal="right"/>
    </xf>
    <xf numFmtId="10" fontId="33" fillId="7" borderId="5" xfId="18" applyNumberFormat="1" applyFont="1" applyFill="1" applyBorder="1" applyAlignment="1">
      <alignment horizontal="right"/>
    </xf>
    <xf numFmtId="171" fontId="33" fillId="7" borderId="5" xfId="11" applyNumberFormat="1" applyFont="1" applyFill="1" applyBorder="1" applyAlignment="1">
      <alignment horizontal="right"/>
    </xf>
    <xf numFmtId="10" fontId="33" fillId="7" borderId="5" xfId="11" applyNumberFormat="1" applyFont="1" applyFill="1" applyBorder="1" applyAlignment="1">
      <alignment horizontal="right"/>
    </xf>
    <xf numFmtId="10" fontId="33" fillId="7" borderId="0" xfId="11" applyNumberFormat="1" applyFont="1" applyFill="1" applyBorder="1" applyAlignment="1">
      <alignment horizontal="right"/>
    </xf>
    <xf numFmtId="44" fontId="33" fillId="7" borderId="8" xfId="18" applyNumberFormat="1" applyFont="1" applyFill="1" applyBorder="1" applyAlignment="1">
      <alignment horizontal="right"/>
    </xf>
    <xf numFmtId="171" fontId="5" fillId="2" borderId="0" xfId="0" applyNumberFormat="1" applyFont="1" applyFill="1"/>
    <xf numFmtId="186" fontId="33" fillId="7" borderId="5" xfId="11" applyNumberFormat="1" applyFont="1" applyFill="1" applyBorder="1" applyAlignment="1">
      <alignment horizontal="right"/>
    </xf>
    <xf numFmtId="170" fontId="10" fillId="2" borderId="0" xfId="6" applyNumberFormat="1" applyFont="1" applyFill="1" applyBorder="1"/>
    <xf numFmtId="171" fontId="5" fillId="2" borderId="17" xfId="0" applyNumberFormat="1" applyFont="1" applyFill="1" applyBorder="1"/>
    <xf numFmtId="10" fontId="33" fillId="7" borderId="3" xfId="18" applyNumberFormat="1" applyFont="1" applyFill="1" applyBorder="1"/>
    <xf numFmtId="10" fontId="33" fillId="7" borderId="4" xfId="18" applyNumberFormat="1" applyFont="1" applyFill="1" applyBorder="1"/>
    <xf numFmtId="171" fontId="33" fillId="7" borderId="5" xfId="18" applyNumberFormat="1" applyFont="1" applyFill="1" applyBorder="1"/>
    <xf numFmtId="10" fontId="33" fillId="7" borderId="5" xfId="24" applyNumberFormat="1" applyFont="1" applyFill="1" applyBorder="1"/>
    <xf numFmtId="10" fontId="33" fillId="7" borderId="5" xfId="18" applyNumberFormat="1" applyFont="1" applyFill="1" applyBorder="1"/>
    <xf numFmtId="10" fontId="33" fillId="7" borderId="8" xfId="18" applyNumberFormat="1" applyFont="1" applyFill="1" applyBorder="1"/>
    <xf numFmtId="7" fontId="50" fillId="0" borderId="17" xfId="0" applyNumberFormat="1" applyFont="1" applyFill="1" applyBorder="1" applyAlignment="1">
      <alignment horizontal="center"/>
    </xf>
    <xf numFmtId="7" fontId="50" fillId="0" borderId="0" xfId="0" applyNumberFormat="1" applyFont="1" applyFill="1" applyBorder="1" applyAlignment="1">
      <alignment horizontal="center"/>
    </xf>
    <xf numFmtId="171" fontId="90" fillId="0" borderId="0" xfId="28" applyNumberFormat="1" applyFont="1" applyFill="1" applyBorder="1" applyAlignment="1">
      <alignment horizontal="center"/>
    </xf>
    <xf numFmtId="171" fontId="90" fillId="0" borderId="17" xfId="28" applyNumberFormat="1" applyFont="1" applyFill="1" applyBorder="1" applyAlignment="1">
      <alignment horizontal="center"/>
    </xf>
    <xf numFmtId="177" fontId="90" fillId="0" borderId="17" xfId="28" applyNumberFormat="1" applyFont="1" applyFill="1" applyBorder="1" applyAlignment="1">
      <alignment horizontal="center"/>
    </xf>
    <xf numFmtId="171" fontId="90" fillId="0" borderId="10" xfId="28" applyNumberFormat="1" applyFont="1" applyFill="1" applyBorder="1" applyAlignment="1">
      <alignment horizontal="center"/>
    </xf>
    <xf numFmtId="171" fontId="90" fillId="0" borderId="9" xfId="28" applyNumberFormat="1" applyFont="1" applyFill="1" applyBorder="1" applyAlignment="1">
      <alignment horizontal="center"/>
    </xf>
    <xf numFmtId="171" fontId="90" fillId="0" borderId="15" xfId="28" applyNumberFormat="1" applyFont="1" applyFill="1" applyBorder="1" applyAlignment="1">
      <alignment horizontal="center"/>
    </xf>
    <xf numFmtId="3" fontId="90" fillId="0" borderId="10" xfId="28" applyNumberFormat="1" applyFont="1" applyFill="1" applyBorder="1" applyAlignment="1">
      <alignment horizontal="center"/>
    </xf>
    <xf numFmtId="37" fontId="86" fillId="0" borderId="16" xfId="0" applyFont="1" applyFill="1" applyBorder="1" applyAlignment="1">
      <alignment horizontal="center"/>
    </xf>
    <xf numFmtId="37" fontId="50" fillId="0" borderId="46" xfId="0" applyFont="1" applyFill="1" applyBorder="1"/>
    <xf numFmtId="37" fontId="50" fillId="0" borderId="44" xfId="0" applyFont="1" applyFill="1" applyBorder="1" applyAlignment="1">
      <alignment horizontal="center"/>
    </xf>
    <xf numFmtId="171" fontId="50" fillId="0" borderId="0" xfId="28" applyNumberFormat="1" applyFont="1" applyFill="1" applyBorder="1" applyAlignment="1">
      <alignment horizontal="center"/>
    </xf>
    <xf numFmtId="171" fontId="50" fillId="0" borderId="45" xfId="28" applyNumberFormat="1" applyFont="1" applyFill="1" applyBorder="1" applyAlignment="1">
      <alignment horizontal="center"/>
    </xf>
    <xf numFmtId="37" fontId="50" fillId="0" borderId="16" xfId="0" applyFont="1" applyFill="1" applyBorder="1" applyAlignment="1">
      <alignment horizontal="center"/>
    </xf>
    <xf numFmtId="171" fontId="50" fillId="0" borderId="16" xfId="28" applyNumberFormat="1" applyFont="1" applyFill="1" applyBorder="1" applyAlignment="1">
      <alignment horizontal="center"/>
    </xf>
    <xf numFmtId="171" fontId="50" fillId="0" borderId="17" xfId="28" applyNumberFormat="1" applyFont="1" applyFill="1" applyBorder="1" applyAlignment="1">
      <alignment horizontal="center"/>
    </xf>
    <xf numFmtId="173" fontId="50" fillId="0" borderId="0" xfId="28" applyNumberFormat="1" applyFont="1" applyFill="1" applyBorder="1" applyAlignment="1">
      <alignment horizontal="center"/>
    </xf>
    <xf numFmtId="168" fontId="22" fillId="2" borderId="11" xfId="6" applyNumberFormat="1" applyFont="1" applyFill="1" applyBorder="1"/>
    <xf numFmtId="177" fontId="29" fillId="8" borderId="17" xfId="8" applyNumberFormat="1" applyFont="1" applyFill="1" applyBorder="1" applyAlignment="1">
      <alignment horizontal="right"/>
    </xf>
    <xf numFmtId="208" fontId="33" fillId="7" borderId="5" xfId="11" applyNumberFormat="1" applyFont="1" applyFill="1" applyBorder="1" applyAlignment="1">
      <alignment horizontal="right"/>
    </xf>
    <xf numFmtId="186" fontId="33" fillId="7" borderId="0" xfId="11" applyNumberFormat="1" applyFont="1" applyFill="1" applyBorder="1" applyAlignment="1">
      <alignment horizontal="right"/>
    </xf>
    <xf numFmtId="37" fontId="5" fillId="2" borderId="0" xfId="0" applyFont="1" applyFill="1"/>
    <xf numFmtId="177" fontId="22" fillId="2" borderId="5" xfId="8" applyNumberFormat="1" applyFont="1" applyFill="1" applyBorder="1"/>
    <xf numFmtId="177" fontId="21" fillId="2" borderId="17" xfId="8" applyNumberFormat="1" applyFont="1" applyFill="1" applyBorder="1" applyAlignment="1">
      <alignment horizontal="right"/>
    </xf>
    <xf numFmtId="177" fontId="22" fillId="2" borderId="0" xfId="8" applyNumberFormat="1" applyFont="1" applyFill="1" applyBorder="1" applyAlignment="1">
      <alignment horizontal="left"/>
    </xf>
    <xf numFmtId="177" fontId="23" fillId="2" borderId="0" xfId="8" applyNumberFormat="1" applyFont="1" applyFill="1" applyBorder="1" applyAlignment="1">
      <alignment horizontal="left"/>
    </xf>
    <xf numFmtId="177" fontId="23" fillId="2" borderId="0" xfId="8" applyNumberFormat="1" applyFont="1" applyFill="1" applyAlignment="1">
      <alignment horizontal="left" wrapText="1"/>
    </xf>
    <xf numFmtId="177" fontId="21" fillId="2" borderId="0" xfId="8" applyNumberFormat="1" applyFont="1" applyFill="1" applyAlignment="1">
      <alignment horizontal="right"/>
    </xf>
    <xf numFmtId="177" fontId="5" fillId="2" borderId="0" xfId="0" applyNumberFormat="1" applyFont="1" applyFill="1"/>
    <xf numFmtId="3" fontId="5" fillId="2" borderId="0" xfId="0" applyNumberFormat="1" applyFont="1" applyFill="1"/>
    <xf numFmtId="3" fontId="5" fillId="2" borderId="17" xfId="0" applyNumberFormat="1" applyFont="1" applyFill="1" applyBorder="1"/>
    <xf numFmtId="37" fontId="5" fillId="2" borderId="0" xfId="0" applyFont="1" applyFill="1"/>
    <xf numFmtId="171" fontId="97" fillId="0" borderId="17" xfId="28" applyNumberFormat="1" applyFont="1" applyFill="1" applyBorder="1" applyAlignment="1">
      <alignment horizontal="center"/>
    </xf>
    <xf numFmtId="171" fontId="97" fillId="0" borderId="15" xfId="28" applyNumberFormat="1" applyFont="1" applyFill="1" applyBorder="1" applyAlignment="1">
      <alignment horizontal="center"/>
    </xf>
    <xf numFmtId="171" fontId="97" fillId="7" borderId="17" xfId="28" applyNumberFormat="1" applyFont="1" applyFill="1" applyBorder="1" applyAlignment="1">
      <alignment horizontal="center"/>
    </xf>
    <xf numFmtId="173" fontId="50" fillId="0" borderId="17" xfId="28" applyNumberFormat="1" applyFont="1" applyFill="1" applyBorder="1" applyAlignment="1">
      <alignment horizontal="center"/>
    </xf>
    <xf numFmtId="171" fontId="50" fillId="0" borderId="69" xfId="28" applyNumberFormat="1" applyFont="1" applyFill="1" applyBorder="1" applyAlignment="1">
      <alignment horizontal="center"/>
    </xf>
    <xf numFmtId="171" fontId="50" fillId="0" borderId="23" xfId="28" applyNumberFormat="1" applyFont="1" applyFill="1" applyBorder="1" applyAlignment="1">
      <alignment horizontal="center"/>
    </xf>
    <xf numFmtId="171" fontId="33" fillId="7" borderId="3" xfId="24" applyNumberFormat="1" applyFont="1" applyFill="1" applyBorder="1" applyAlignment="1">
      <alignment horizontal="right"/>
    </xf>
    <xf numFmtId="171" fontId="33" fillId="7" borderId="4" xfId="24" applyNumberFormat="1" applyFont="1" applyFill="1" applyBorder="1" applyAlignment="1">
      <alignment horizontal="right"/>
    </xf>
    <xf numFmtId="171" fontId="33" fillId="7" borderId="7" xfId="24" applyNumberFormat="1" applyFont="1" applyFill="1" applyBorder="1" applyAlignment="1">
      <alignment horizontal="right"/>
    </xf>
    <xf numFmtId="171" fontId="33" fillId="7" borderId="5" xfId="18" applyNumberFormat="1" applyFont="1" applyFill="1" applyBorder="1" applyAlignment="1">
      <alignment horizontal="right"/>
    </xf>
    <xf numFmtId="10" fontId="33" fillId="7" borderId="5" xfId="11" applyNumberFormat="1" applyFont="1" applyFill="1" applyBorder="1"/>
    <xf numFmtId="171" fontId="33" fillId="7" borderId="5" xfId="11" applyNumberFormat="1" applyFont="1" applyFill="1" applyBorder="1"/>
    <xf numFmtId="44" fontId="33" fillId="7" borderId="5" xfId="18" applyNumberFormat="1" applyFont="1" applyFill="1" applyBorder="1" applyAlignment="1">
      <alignment horizontal="right"/>
    </xf>
    <xf numFmtId="10" fontId="33" fillId="7" borderId="8" xfId="11" applyNumberFormat="1" applyFont="1" applyFill="1" applyBorder="1" applyAlignment="1">
      <alignment horizontal="right"/>
    </xf>
    <xf numFmtId="171" fontId="22" fillId="7" borderId="9" xfId="8" applyNumberFormat="1" applyFont="1" applyFill="1" applyBorder="1"/>
    <xf numFmtId="37" fontId="5" fillId="2" borderId="0" xfId="0" applyFont="1" applyFill="1"/>
    <xf numFmtId="14" fontId="22" fillId="7" borderId="0" xfId="6" applyNumberFormat="1" applyFont="1" applyFill="1" applyBorder="1"/>
    <xf numFmtId="1" fontId="22" fillId="7" borderId="0" xfId="6" applyNumberFormat="1" applyFont="1" applyFill="1" applyBorder="1"/>
    <xf numFmtId="171" fontId="22" fillId="7" borderId="0" xfId="6" applyNumberFormat="1" applyFont="1" applyFill="1" applyBorder="1"/>
    <xf numFmtId="171" fontId="22" fillId="2" borderId="6" xfId="6" applyNumberFormat="1" applyFont="1" applyFill="1" applyBorder="1"/>
    <xf numFmtId="1" fontId="22" fillId="2" borderId="9" xfId="7" applyNumberFormat="1" applyFont="1" applyFill="1" applyBorder="1"/>
    <xf numFmtId="171" fontId="50" fillId="5" borderId="10" xfId="28" quotePrefix="1" applyNumberFormat="1" applyFont="1" applyFill="1" applyBorder="1" applyAlignment="1">
      <alignment horizontal="center"/>
    </xf>
    <xf numFmtId="171" fontId="50" fillId="7" borderId="17" xfId="28" applyNumberFormat="1" applyFont="1" applyFill="1" applyBorder="1" applyAlignment="1">
      <alignment horizontal="center"/>
    </xf>
    <xf numFmtId="167" fontId="99" fillId="2" borderId="0" xfId="7" applyNumberFormat="1" applyFont="1" applyFill="1"/>
    <xf numFmtId="37" fontId="5" fillId="2" borderId="0" xfId="0" applyFont="1" applyFill="1"/>
    <xf numFmtId="37" fontId="5" fillId="2" borderId="0" xfId="0" applyFont="1" applyFill="1"/>
    <xf numFmtId="171" fontId="22" fillId="2" borderId="72" xfId="8" applyNumberFormat="1" applyFont="1" applyFill="1" applyBorder="1" applyAlignment="1">
      <alignment horizontal="right"/>
    </xf>
    <xf numFmtId="171" fontId="22" fillId="7" borderId="72" xfId="0" applyNumberFormat="1" applyFont="1" applyFill="1" applyBorder="1"/>
    <xf numFmtId="37" fontId="5" fillId="2" borderId="72" xfId="0" applyFont="1" applyFill="1" applyBorder="1"/>
    <xf numFmtId="37" fontId="22" fillId="7" borderId="72" xfId="0" applyFont="1" applyFill="1" applyBorder="1"/>
    <xf numFmtId="171" fontId="29" fillId="8" borderId="72" xfId="8" applyNumberFormat="1" applyFont="1" applyFill="1" applyBorder="1" applyAlignment="1">
      <alignment horizontal="right"/>
    </xf>
    <xf numFmtId="178" fontId="22" fillId="2" borderId="72" xfId="8" applyNumberFormat="1" applyFont="1" applyFill="1" applyBorder="1" applyAlignment="1">
      <alignment horizontal="right"/>
    </xf>
    <xf numFmtId="43" fontId="5" fillId="2" borderId="72" xfId="8" applyNumberFormat="1" applyFont="1" applyFill="1" applyBorder="1"/>
    <xf numFmtId="10" fontId="5" fillId="2" borderId="72" xfId="8" applyNumberFormat="1" applyFont="1" applyFill="1" applyBorder="1"/>
    <xf numFmtId="37" fontId="5" fillId="2" borderId="18" xfId="0" applyFont="1" applyFill="1" applyBorder="1"/>
    <xf numFmtId="37" fontId="5" fillId="2" borderId="19" xfId="0" applyFont="1" applyFill="1" applyBorder="1"/>
    <xf numFmtId="37" fontId="22" fillId="2" borderId="0" xfId="11" applyNumberFormat="1" applyFont="1" applyFill="1" applyAlignment="1">
      <alignment horizontal="right"/>
    </xf>
    <xf numFmtId="0" fontId="22" fillId="2" borderId="72" xfId="8" applyNumberFormat="1" applyFont="1" applyFill="1" applyBorder="1"/>
    <xf numFmtId="37" fontId="22" fillId="2" borderId="72" xfId="0" applyFont="1" applyFill="1" applyBorder="1"/>
    <xf numFmtId="171" fontId="21" fillId="2" borderId="0" xfId="0" applyNumberFormat="1" applyFont="1" applyFill="1" applyBorder="1"/>
    <xf numFmtId="1" fontId="21" fillId="2" borderId="0" xfId="0" applyNumberFormat="1" applyFont="1" applyFill="1" applyBorder="1"/>
    <xf numFmtId="0" fontId="60" fillId="7" borderId="13" xfId="2" applyFont="1" applyFill="1" applyBorder="1"/>
    <xf numFmtId="10" fontId="13" fillId="7" borderId="14" xfId="28" applyFill="1" applyBorder="1"/>
    <xf numFmtId="10" fontId="13" fillId="7" borderId="61" xfId="28" applyFill="1" applyBorder="1"/>
    <xf numFmtId="10" fontId="13" fillId="7" borderId="24" xfId="28" applyFill="1" applyBorder="1"/>
    <xf numFmtId="170" fontId="13" fillId="7" borderId="14" xfId="28" applyNumberFormat="1" applyFill="1" applyBorder="1"/>
    <xf numFmtId="170" fontId="5" fillId="7" borderId="14" xfId="28" applyNumberFormat="1" applyFont="1" applyFill="1" applyBorder="1"/>
    <xf numFmtId="170" fontId="13" fillId="7" borderId="24" xfId="28" applyNumberFormat="1" applyFill="1" applyBorder="1"/>
    <xf numFmtId="186" fontId="33" fillId="7" borderId="5" xfId="11" applyNumberFormat="1" applyFont="1" applyFill="1" applyBorder="1"/>
    <xf numFmtId="186" fontId="33" fillId="7" borderId="0" xfId="18" applyNumberFormat="1" applyFont="1" applyFill="1" applyBorder="1"/>
    <xf numFmtId="208" fontId="33" fillId="7" borderId="0" xfId="18" applyNumberFormat="1" applyFont="1" applyFill="1" applyBorder="1"/>
    <xf numFmtId="37" fontId="5" fillId="2" borderId="73" xfId="0" applyFont="1" applyFill="1" applyBorder="1"/>
    <xf numFmtId="37" fontId="5" fillId="2" borderId="8" xfId="0" applyFont="1" applyFill="1" applyBorder="1"/>
    <xf numFmtId="37" fontId="5" fillId="2" borderId="10" xfId="0" applyFont="1" applyFill="1" applyBorder="1"/>
    <xf numFmtId="37" fontId="5" fillId="2" borderId="0" xfId="0" applyFont="1" applyFill="1"/>
    <xf numFmtId="10" fontId="5" fillId="2" borderId="0" xfId="11" applyNumberFormat="1" applyFont="1" applyFill="1"/>
    <xf numFmtId="10" fontId="5" fillId="2" borderId="17" xfId="11" applyNumberFormat="1" applyFont="1" applyFill="1" applyBorder="1"/>
    <xf numFmtId="171" fontId="5" fillId="2" borderId="0" xfId="11" applyNumberFormat="1" applyFont="1" applyFill="1"/>
    <xf numFmtId="170" fontId="22" fillId="2" borderId="0" xfId="8" applyNumberFormat="1" applyFont="1" applyFill="1" applyAlignment="1">
      <alignment horizontal="right"/>
    </xf>
    <xf numFmtId="185" fontId="22" fillId="2" borderId="0" xfId="8" applyNumberFormat="1" applyFont="1" applyFill="1" applyBorder="1"/>
    <xf numFmtId="171" fontId="90" fillId="0" borderId="72" xfId="28" applyNumberFormat="1" applyFont="1" applyFill="1" applyBorder="1" applyAlignment="1">
      <alignment horizontal="center"/>
    </xf>
    <xf numFmtId="37" fontId="2" fillId="0" borderId="73" xfId="0" applyFont="1" applyFill="1" applyBorder="1"/>
    <xf numFmtId="3" fontId="22" fillId="2" borderId="6" xfId="6" applyNumberFormat="1" applyFont="1" applyFill="1" applyBorder="1"/>
    <xf numFmtId="37" fontId="5" fillId="2" borderId="75" xfId="0" applyFont="1" applyFill="1" applyBorder="1"/>
    <xf numFmtId="167" fontId="21" fillId="2" borderId="72" xfId="0" applyNumberFormat="1" applyFont="1" applyFill="1" applyBorder="1"/>
    <xf numFmtId="167" fontId="37" fillId="2" borderId="72" xfId="0" applyNumberFormat="1" applyFont="1" applyFill="1" applyBorder="1"/>
    <xf numFmtId="167" fontId="36" fillId="2" borderId="72" xfId="0" applyNumberFormat="1" applyFont="1" applyFill="1" applyBorder="1"/>
    <xf numFmtId="167" fontId="22" fillId="2" borderId="72" xfId="0" applyNumberFormat="1" applyFont="1" applyFill="1" applyBorder="1"/>
    <xf numFmtId="171" fontId="22" fillId="2" borderId="72" xfId="0" applyNumberFormat="1" applyFont="1" applyFill="1" applyBorder="1"/>
    <xf numFmtId="170" fontId="22" fillId="2" borderId="17" xfId="8" applyNumberFormat="1" applyFont="1" applyFill="1" applyBorder="1" applyAlignment="1">
      <alignment horizontal="right"/>
    </xf>
    <xf numFmtId="170" fontId="29" fillId="8" borderId="17" xfId="8" applyNumberFormat="1" applyFont="1" applyFill="1" applyBorder="1" applyAlignment="1">
      <alignment horizontal="right"/>
    </xf>
    <xf numFmtId="37" fontId="5" fillId="2" borderId="0" xfId="0" applyFont="1" applyFill="1"/>
    <xf numFmtId="3" fontId="96" fillId="2" borderId="9" xfId="7" applyNumberFormat="1" applyFont="1" applyFill="1" applyBorder="1" applyAlignment="1">
      <alignment horizontal="center"/>
    </xf>
    <xf numFmtId="171" fontId="90" fillId="0" borderId="74" xfId="28" applyNumberFormat="1" applyFont="1" applyFill="1" applyBorder="1" applyAlignment="1">
      <alignment horizontal="center"/>
    </xf>
    <xf numFmtId="2" fontId="13" fillId="2" borderId="17" xfId="28" applyNumberFormat="1" applyFill="1" applyBorder="1"/>
    <xf numFmtId="10" fontId="33" fillId="7" borderId="73" xfId="18" applyNumberFormat="1" applyFont="1" applyFill="1" applyBorder="1" applyAlignment="1">
      <alignment horizontal="right"/>
    </xf>
    <xf numFmtId="10" fontId="33" fillId="7" borderId="74" xfId="18" applyNumberFormat="1" applyFont="1" applyFill="1" applyBorder="1" applyAlignment="1">
      <alignment horizontal="right"/>
    </xf>
    <xf numFmtId="10" fontId="5" fillId="2" borderId="17" xfId="0" applyNumberFormat="1" applyFont="1" applyFill="1" applyBorder="1"/>
    <xf numFmtId="171" fontId="22" fillId="2" borderId="9" xfId="8" applyNumberFormat="1" applyFont="1" applyFill="1" applyBorder="1"/>
    <xf numFmtId="170" fontId="22" fillId="2" borderId="0" xfId="0" applyNumberFormat="1" applyFont="1" applyFill="1"/>
    <xf numFmtId="37" fontId="5" fillId="2" borderId="0" xfId="0" applyFont="1" applyFill="1"/>
    <xf numFmtId="170" fontId="10" fillId="2" borderId="17" xfId="7" applyNumberFormat="1" applyFont="1" applyFill="1" applyBorder="1"/>
    <xf numFmtId="171" fontId="97" fillId="0" borderId="72" xfId="28" applyNumberFormat="1" applyFont="1" applyFill="1" applyBorder="1" applyAlignment="1">
      <alignment horizontal="center"/>
    </xf>
    <xf numFmtId="37" fontId="86" fillId="0" borderId="74" xfId="0" applyFont="1" applyFill="1" applyBorder="1" applyAlignment="1">
      <alignment horizontal="center"/>
    </xf>
    <xf numFmtId="171" fontId="50" fillId="0" borderId="23" xfId="28" quotePrefix="1" applyNumberFormat="1" applyFont="1" applyFill="1" applyBorder="1" applyAlignment="1">
      <alignment horizontal="center"/>
    </xf>
    <xf numFmtId="171" fontId="90" fillId="0" borderId="17" xfId="28" quotePrefix="1" applyNumberFormat="1" applyFont="1" applyFill="1" applyBorder="1" applyAlignment="1">
      <alignment horizontal="center"/>
    </xf>
    <xf numFmtId="171" fontId="33" fillId="7" borderId="74" xfId="24" applyNumberFormat="1" applyFont="1" applyFill="1" applyBorder="1"/>
    <xf numFmtId="171" fontId="33" fillId="7" borderId="74" xfId="18" applyNumberFormat="1" applyFont="1" applyFill="1" applyBorder="1"/>
    <xf numFmtId="10" fontId="22" fillId="7" borderId="74" xfId="24" applyNumberFormat="1" applyFont="1" applyFill="1" applyBorder="1"/>
    <xf numFmtId="37" fontId="5" fillId="2" borderId="0" xfId="0" applyFont="1" applyFill="1"/>
    <xf numFmtId="171" fontId="31" fillId="2" borderId="72" xfId="8" applyNumberFormat="1" applyFont="1" applyFill="1" applyBorder="1" applyAlignment="1">
      <alignment horizontal="right"/>
    </xf>
    <xf numFmtId="171" fontId="29" fillId="2" borderId="72" xfId="8" applyNumberFormat="1" applyFont="1" applyFill="1" applyBorder="1" applyAlignment="1">
      <alignment horizontal="right"/>
    </xf>
    <xf numFmtId="37" fontId="67" fillId="2" borderId="72" xfId="0" applyFont="1" applyFill="1" applyBorder="1"/>
    <xf numFmtId="9" fontId="22" fillId="2" borderId="72" xfId="8" applyNumberFormat="1" applyFont="1" applyFill="1" applyBorder="1" applyAlignment="1">
      <alignment horizontal="right"/>
    </xf>
    <xf numFmtId="0" fontId="22" fillId="2" borderId="72" xfId="8" applyNumberFormat="1" applyFont="1" applyFill="1" applyBorder="1" applyAlignment="1">
      <alignment horizontal="right"/>
    </xf>
    <xf numFmtId="171" fontId="22" fillId="2" borderId="72" xfId="8" applyNumberFormat="1" applyFont="1" applyFill="1" applyBorder="1"/>
    <xf numFmtId="10" fontId="31" fillId="2" borderId="72" xfId="28" applyFont="1" applyFill="1" applyBorder="1"/>
    <xf numFmtId="171" fontId="22" fillId="2" borderId="72" xfId="28" applyNumberFormat="1" applyFont="1" applyFill="1" applyBorder="1"/>
    <xf numFmtId="8" fontId="22" fillId="2" borderId="75" xfId="8" applyNumberFormat="1" applyFont="1" applyFill="1" applyBorder="1" applyAlignment="1">
      <alignment horizontal="right"/>
    </xf>
    <xf numFmtId="167" fontId="22" fillId="2" borderId="72" xfId="8" applyNumberFormat="1" applyFont="1" applyFill="1" applyBorder="1" applyAlignment="1">
      <alignment horizontal="right"/>
    </xf>
    <xf numFmtId="167" fontId="33" fillId="2" borderId="72" xfId="11" applyNumberFormat="1" applyFont="1" applyFill="1" applyBorder="1"/>
    <xf numFmtId="167" fontId="22" fillId="2" borderId="72" xfId="11" applyNumberFormat="1" applyFont="1" applyFill="1" applyBorder="1"/>
    <xf numFmtId="9" fontId="33" fillId="2" borderId="72" xfId="11" applyNumberFormat="1" applyFont="1" applyFill="1" applyBorder="1"/>
    <xf numFmtId="8" fontId="33" fillId="2" borderId="72" xfId="11" applyNumberFormat="1" applyFont="1" applyFill="1" applyBorder="1" applyAlignment="1">
      <alignment horizontal="right"/>
    </xf>
    <xf numFmtId="171" fontId="90" fillId="0" borderId="72" xfId="28" quotePrefix="1" applyNumberFormat="1" applyFont="1" applyFill="1" applyBorder="1" applyAlignment="1">
      <alignment horizontal="center"/>
    </xf>
    <xf numFmtId="177" fontId="22" fillId="2" borderId="72" xfId="8" applyNumberFormat="1" applyFont="1" applyFill="1" applyBorder="1" applyAlignment="1">
      <alignment horizontal="right"/>
    </xf>
    <xf numFmtId="177" fontId="21" fillId="2" borderId="72" xfId="8" applyNumberFormat="1" applyFont="1" applyFill="1" applyBorder="1" applyAlignment="1">
      <alignment horizontal="right"/>
    </xf>
    <xf numFmtId="171" fontId="31" fillId="2" borderId="72" xfId="0" applyNumberFormat="1" applyFont="1" applyFill="1" applyBorder="1"/>
    <xf numFmtId="171" fontId="22" fillId="7" borderId="72" xfId="8" applyNumberFormat="1" applyFont="1" applyFill="1" applyBorder="1" applyAlignment="1">
      <alignment horizontal="right"/>
    </xf>
    <xf numFmtId="9" fontId="29" fillId="0" borderId="0" xfId="8" applyNumberFormat="1" applyFont="1" applyFill="1" applyBorder="1"/>
    <xf numFmtId="9" fontId="29" fillId="2" borderId="17" xfId="8" applyNumberFormat="1" applyFont="1" applyFill="1" applyBorder="1" applyAlignment="1">
      <alignment horizontal="right"/>
    </xf>
    <xf numFmtId="8" fontId="22" fillId="2" borderId="0" xfId="8" applyNumberFormat="1" applyFont="1" applyFill="1" applyBorder="1"/>
    <xf numFmtId="168" fontId="22" fillId="2" borderId="75" xfId="6" applyNumberFormat="1" applyFont="1" applyFill="1" applyBorder="1"/>
    <xf numFmtId="168" fontId="22" fillId="2" borderId="72" xfId="6" applyNumberFormat="1" applyFont="1" applyFill="1" applyBorder="1"/>
    <xf numFmtId="8" fontId="22" fillId="2" borderId="72" xfId="6" applyNumberFormat="1" applyFont="1" applyFill="1" applyBorder="1"/>
    <xf numFmtId="171" fontId="22" fillId="2" borderId="72" xfId="7" applyNumberFormat="1" applyFont="1" applyFill="1" applyBorder="1" applyAlignment="1">
      <alignment horizontal="right"/>
    </xf>
    <xf numFmtId="10" fontId="31" fillId="2" borderId="72" xfId="7" applyNumberFormat="1" applyFont="1" applyFill="1" applyBorder="1" applyAlignment="1">
      <alignment horizontal="right"/>
    </xf>
    <xf numFmtId="208" fontId="33" fillId="7" borderId="0" xfId="11" applyNumberFormat="1" applyFont="1" applyFill="1" applyBorder="1" applyAlignment="1">
      <alignment horizontal="right"/>
    </xf>
    <xf numFmtId="10" fontId="22" fillId="7" borderId="72" xfId="6" applyNumberFormat="1" applyFont="1" applyFill="1" applyBorder="1" applyAlignment="1">
      <alignment horizontal="right"/>
    </xf>
    <xf numFmtId="171" fontId="22" fillId="2" borderId="72" xfId="6" applyNumberFormat="1" applyFont="1" applyFill="1" applyBorder="1"/>
    <xf numFmtId="10" fontId="13" fillId="2" borderId="72" xfId="28" applyFill="1" applyBorder="1"/>
    <xf numFmtId="168" fontId="22" fillId="2" borderId="72" xfId="6" applyNumberFormat="1" applyFont="1" applyFill="1" applyBorder="1" applyAlignment="1">
      <alignment horizontal="right"/>
    </xf>
    <xf numFmtId="37" fontId="5" fillId="2" borderId="0" xfId="0" applyFont="1" applyFill="1"/>
    <xf numFmtId="37" fontId="5" fillId="2" borderId="0" xfId="0" applyFont="1" applyFill="1"/>
    <xf numFmtId="171" fontId="22" fillId="0" borderId="0" xfId="28" applyNumberFormat="1" applyFont="1" applyFill="1"/>
    <xf numFmtId="171" fontId="29" fillId="0" borderId="0" xfId="8" applyNumberFormat="1" applyFont="1" applyFill="1"/>
    <xf numFmtId="10" fontId="31" fillId="7" borderId="72" xfId="28" applyFont="1" applyFill="1" applyBorder="1"/>
    <xf numFmtId="167" fontId="29" fillId="7" borderId="72" xfId="0" applyNumberFormat="1" applyFont="1" applyFill="1" applyBorder="1"/>
    <xf numFmtId="167" fontId="29" fillId="2" borderId="72" xfId="0" applyNumberFormat="1" applyFont="1" applyFill="1" applyBorder="1"/>
    <xf numFmtId="167" fontId="22" fillId="2" borderId="74" xfId="0" applyNumberFormat="1" applyFont="1" applyFill="1" applyBorder="1"/>
    <xf numFmtId="167" fontId="22" fillId="2" borderId="72" xfId="8" applyNumberFormat="1" applyFont="1" applyFill="1" applyBorder="1"/>
    <xf numFmtId="167" fontId="22" fillId="7" borderId="72" xfId="8" applyNumberFormat="1" applyFont="1" applyFill="1" applyBorder="1"/>
    <xf numFmtId="10" fontId="13" fillId="0" borderId="0" xfId="6" applyNumberFormat="1" applyFont="1" applyFill="1" applyBorder="1"/>
    <xf numFmtId="171" fontId="8" fillId="0" borderId="0" xfId="11" applyNumberFormat="1" applyFill="1"/>
    <xf numFmtId="177" fontId="10" fillId="0" borderId="0" xfId="6" applyNumberFormat="1" applyFont="1" applyFill="1"/>
    <xf numFmtId="10" fontId="13" fillId="0" borderId="0" xfId="6" applyNumberFormat="1" applyFont="1" applyFill="1"/>
    <xf numFmtId="44" fontId="5" fillId="0" borderId="0" xfId="6" applyNumberFormat="1" applyFont="1" applyFill="1"/>
    <xf numFmtId="167" fontId="5" fillId="0" borderId="0" xfId="6" applyNumberFormat="1" applyFont="1" applyFill="1"/>
    <xf numFmtId="37" fontId="29" fillId="0" borderId="0" xfId="8" applyNumberFormat="1" applyFont="1" applyFill="1" applyAlignment="1">
      <alignment horizontal="right"/>
    </xf>
    <xf numFmtId="43" fontId="23" fillId="2" borderId="9" xfId="13" applyFont="1" applyFill="1" applyBorder="1"/>
    <xf numFmtId="37" fontId="5" fillId="0" borderId="0" xfId="0" applyNumberFormat="1" applyFont="1" applyFill="1"/>
    <xf numFmtId="10" fontId="22" fillId="2" borderId="72" xfId="7" applyNumberFormat="1" applyFont="1" applyFill="1" applyBorder="1"/>
    <xf numFmtId="9" fontId="21" fillId="0" borderId="0" xfId="8" applyNumberFormat="1" applyFont="1" applyFill="1"/>
    <xf numFmtId="170" fontId="13" fillId="2" borderId="0" xfId="6" applyNumberFormat="1" applyFont="1" applyFill="1" applyBorder="1"/>
    <xf numFmtId="3" fontId="96" fillId="2" borderId="15" xfId="7" applyNumberFormat="1" applyFont="1" applyFill="1" applyBorder="1" applyAlignment="1">
      <alignment horizontal="center"/>
    </xf>
    <xf numFmtId="37" fontId="5" fillId="2" borderId="0" xfId="0" applyFont="1" applyFill="1"/>
    <xf numFmtId="37" fontId="5" fillId="2" borderId="74" xfId="0" applyFont="1" applyFill="1" applyBorder="1"/>
    <xf numFmtId="173" fontId="23" fillId="2" borderId="9" xfId="6" applyNumberFormat="1" applyFont="1" applyFill="1" applyBorder="1"/>
    <xf numFmtId="171" fontId="22" fillId="7" borderId="74" xfId="24" applyNumberFormat="1" applyFont="1" applyFill="1" applyBorder="1"/>
    <xf numFmtId="10" fontId="33" fillId="7" borderId="74" xfId="24" applyNumberFormat="1" applyFont="1" applyFill="1" applyBorder="1"/>
    <xf numFmtId="10" fontId="33" fillId="7" borderId="74" xfId="18" applyNumberFormat="1" applyFont="1" applyFill="1" applyBorder="1"/>
    <xf numFmtId="173" fontId="10" fillId="2" borderId="0" xfId="6" applyNumberFormat="1" applyFont="1" applyFill="1"/>
    <xf numFmtId="0" fontId="15" fillId="3" borderId="7" xfId="22" applyFont="1" applyFill="1" applyBorder="1"/>
    <xf numFmtId="0" fontId="16" fillId="3" borderId="73" xfId="22" applyFont="1" applyFill="1" applyBorder="1" applyAlignment="1">
      <alignment horizontal="left"/>
    </xf>
    <xf numFmtId="0" fontId="17" fillId="3" borderId="0" xfId="22" applyFont="1" applyFill="1" applyBorder="1"/>
    <xf numFmtId="0" fontId="15" fillId="3" borderId="74" xfId="22" applyFont="1" applyFill="1" applyBorder="1"/>
    <xf numFmtId="0" fontId="18" fillId="3" borderId="73" xfId="22" applyFont="1" applyFill="1" applyBorder="1" applyAlignment="1">
      <alignment horizontal="left"/>
    </xf>
    <xf numFmtId="0" fontId="18" fillId="3" borderId="73" xfId="22" applyFont="1" applyFill="1" applyBorder="1"/>
    <xf numFmtId="0" fontId="19" fillId="3" borderId="0" xfId="22" applyFont="1" applyFill="1" applyBorder="1"/>
    <xf numFmtId="0" fontId="15" fillId="2" borderId="73" xfId="22" applyFont="1" applyFill="1" applyBorder="1"/>
    <xf numFmtId="0" fontId="15" fillId="2" borderId="0" xfId="22" applyFont="1" applyFill="1" applyBorder="1" applyAlignment="1">
      <alignment horizontal="left"/>
    </xf>
    <xf numFmtId="0" fontId="15" fillId="2" borderId="74" xfId="22" applyFont="1" applyFill="1" applyBorder="1"/>
    <xf numFmtId="0" fontId="20" fillId="2" borderId="73" xfId="22" applyFont="1" applyFill="1" applyBorder="1" applyAlignment="1">
      <alignment horizontal="left"/>
    </xf>
    <xf numFmtId="0" fontId="20" fillId="2" borderId="74" xfId="22" applyFont="1" applyFill="1" applyBorder="1" applyAlignment="1">
      <alignment horizontal="left"/>
    </xf>
    <xf numFmtId="0" fontId="4" fillId="2" borderId="73" xfId="17" applyNumberFormat="1" applyFont="1" applyFill="1" applyBorder="1" applyAlignment="1">
      <alignment horizontal="left"/>
    </xf>
    <xf numFmtId="0" fontId="9" fillId="2" borderId="74" xfId="17" applyFill="1" applyBorder="1" applyAlignment="1" applyProtection="1">
      <alignment horizontal="left"/>
    </xf>
    <xf numFmtId="171" fontId="33" fillId="7" borderId="73" xfId="18" applyNumberFormat="1" applyFont="1" applyFill="1" applyBorder="1"/>
    <xf numFmtId="37" fontId="29" fillId="2" borderId="72" xfId="0" applyFont="1" applyFill="1" applyBorder="1"/>
    <xf numFmtId="10" fontId="62" fillId="2" borderId="72" xfId="8" applyNumberFormat="1" applyFont="1" applyFill="1" applyBorder="1" applyAlignment="1">
      <alignment wrapText="1"/>
    </xf>
    <xf numFmtId="10" fontId="22" fillId="2" borderId="75" xfId="7" applyNumberFormat="1" applyFont="1" applyFill="1" applyBorder="1"/>
    <xf numFmtId="171" fontId="22" fillId="7" borderId="0" xfId="6" applyNumberFormat="1" applyFont="1" applyFill="1"/>
    <xf numFmtId="8" fontId="40" fillId="7" borderId="0" xfId="6" applyNumberFormat="1" applyFont="1" applyFill="1"/>
    <xf numFmtId="37" fontId="29" fillId="2" borderId="23" xfId="0" applyFont="1" applyFill="1" applyBorder="1"/>
    <xf numFmtId="0" fontId="2" fillId="0" borderId="0" xfId="43"/>
    <xf numFmtId="37" fontId="5" fillId="2" borderId="0" xfId="0" applyFont="1" applyFill="1"/>
    <xf numFmtId="37" fontId="5" fillId="2" borderId="0" xfId="0" applyFont="1" applyFill="1"/>
    <xf numFmtId="167" fontId="55" fillId="11" borderId="0" xfId="0" applyNumberFormat="1" applyFont="1" applyFill="1"/>
    <xf numFmtId="171" fontId="33" fillId="11" borderId="0" xfId="8" applyNumberFormat="1" applyFont="1" applyFill="1" applyAlignment="1">
      <alignment horizontal="right"/>
    </xf>
    <xf numFmtId="171" fontId="39" fillId="11" borderId="0" xfId="8" applyNumberFormat="1" applyFont="1" applyFill="1"/>
    <xf numFmtId="37" fontId="5" fillId="12" borderId="0" xfId="0" applyFont="1" applyFill="1"/>
    <xf numFmtId="3" fontId="8" fillId="12" borderId="0" xfId="11" applyNumberFormat="1" applyFill="1"/>
    <xf numFmtId="167" fontId="8" fillId="12" borderId="0" xfId="11" applyNumberFormat="1" applyFill="1"/>
    <xf numFmtId="0" fontId="5" fillId="12" borderId="0" xfId="8" applyNumberFormat="1" applyFont="1" applyFill="1"/>
    <xf numFmtId="167" fontId="55" fillId="11" borderId="54" xfId="0" applyNumberFormat="1" applyFont="1" applyFill="1" applyBorder="1"/>
    <xf numFmtId="167" fontId="8" fillId="11" borderId="0" xfId="7" applyNumberFormat="1" applyFont="1" applyFill="1"/>
    <xf numFmtId="171" fontId="45" fillId="12" borderId="0" xfId="7" applyNumberFormat="1" applyFont="1" applyFill="1"/>
    <xf numFmtId="10" fontId="8" fillId="12" borderId="0" xfId="28" applyFont="1" applyFill="1"/>
    <xf numFmtId="37" fontId="8" fillId="0" borderId="0" xfId="0" applyFont="1" applyFill="1"/>
    <xf numFmtId="37" fontId="22" fillId="0" borderId="0" xfId="8" applyNumberFormat="1" applyFont="1" applyFill="1" applyAlignment="1">
      <alignment horizontal="right"/>
    </xf>
    <xf numFmtId="37" fontId="22" fillId="0" borderId="0" xfId="11" applyNumberFormat="1" applyFont="1" applyFill="1" applyAlignment="1">
      <alignment horizontal="right"/>
    </xf>
    <xf numFmtId="37" fontId="22" fillId="0" borderId="28" xfId="8" applyNumberFormat="1" applyFont="1" applyFill="1" applyBorder="1"/>
    <xf numFmtId="37" fontId="22" fillId="0" borderId="0" xfId="8" applyNumberFormat="1" applyFont="1" applyFill="1"/>
    <xf numFmtId="171" fontId="22" fillId="0" borderId="0" xfId="18" applyNumberFormat="1" applyFont="1" applyFill="1" applyBorder="1"/>
    <xf numFmtId="10" fontId="22" fillId="0" borderId="0" xfId="8" applyNumberFormat="1" applyFont="1" applyFill="1" applyAlignment="1">
      <alignment horizontal="right"/>
    </xf>
    <xf numFmtId="9" fontId="62" fillId="0" borderId="0" xfId="18" applyNumberFormat="1" applyFont="1" applyFill="1" applyBorder="1"/>
    <xf numFmtId="167" fontId="55" fillId="0" borderId="0" xfId="0" applyNumberFormat="1" applyFont="1" applyFill="1"/>
    <xf numFmtId="167" fontId="8" fillId="0" borderId="0" xfId="7" applyNumberFormat="1" applyFont="1" applyFill="1"/>
    <xf numFmtId="171" fontId="13" fillId="0" borderId="0" xfId="0" applyNumberFormat="1" applyFont="1" applyFill="1"/>
    <xf numFmtId="171" fontId="54" fillId="0" borderId="0" xfId="7" applyNumberFormat="1" applyFont="1" applyFill="1" applyAlignment="1">
      <alignment horizontal="right"/>
    </xf>
    <xf numFmtId="187" fontId="13" fillId="0" borderId="0" xfId="28" applyNumberFormat="1" applyFill="1"/>
    <xf numFmtId="10" fontId="13" fillId="0" borderId="0" xfId="28" applyFill="1"/>
    <xf numFmtId="10" fontId="13" fillId="0" borderId="0" xfId="28" applyFill="1" applyBorder="1"/>
    <xf numFmtId="167" fontId="8" fillId="0" borderId="0" xfId="7" applyNumberFormat="1" applyFont="1" applyFill="1" applyAlignment="1">
      <alignment horizontal="right"/>
    </xf>
    <xf numFmtId="171" fontId="13" fillId="0" borderId="0" xfId="7" applyNumberFormat="1" applyFont="1" applyFill="1" applyAlignment="1">
      <alignment horizontal="right"/>
    </xf>
    <xf numFmtId="10" fontId="13" fillId="0" borderId="0" xfId="7" applyNumberFormat="1" applyFont="1" applyFill="1" applyAlignment="1">
      <alignment horizontal="right"/>
    </xf>
    <xf numFmtId="167" fontId="29" fillId="2" borderId="19" xfId="8" applyNumberFormat="1" applyFont="1" applyFill="1" applyBorder="1"/>
    <xf numFmtId="171" fontId="97" fillId="7" borderId="74" xfId="28" applyNumberFormat="1" applyFont="1" applyFill="1" applyBorder="1" applyAlignment="1">
      <alignment horizontal="center"/>
    </xf>
    <xf numFmtId="171" fontId="50" fillId="7" borderId="47" xfId="28" quotePrefix="1" applyNumberFormat="1" applyFont="1" applyFill="1" applyBorder="1" applyAlignment="1">
      <alignment horizontal="center"/>
    </xf>
    <xf numFmtId="37" fontId="51" fillId="3" borderId="74" xfId="0" applyFont="1" applyFill="1" applyBorder="1" applyAlignment="1">
      <alignment horizontal="center"/>
    </xf>
    <xf numFmtId="173" fontId="50" fillId="0" borderId="72" xfId="28" applyNumberFormat="1" applyFont="1" applyFill="1" applyBorder="1" applyAlignment="1">
      <alignment horizontal="center"/>
    </xf>
    <xf numFmtId="37" fontId="33" fillId="2" borderId="73" xfId="8" applyNumberFormat="1" applyFont="1" applyFill="1" applyBorder="1"/>
    <xf numFmtId="37" fontId="5" fillId="2" borderId="0" xfId="0" applyFont="1" applyFill="1"/>
    <xf numFmtId="3" fontId="22" fillId="7" borderId="0" xfId="0" applyNumberFormat="1" applyFont="1" applyFill="1" applyAlignment="1">
      <alignment horizontal="center"/>
    </xf>
    <xf numFmtId="8" fontId="23" fillId="2" borderId="9" xfId="6" applyNumberFormat="1" applyFont="1" applyFill="1" applyBorder="1"/>
    <xf numFmtId="170" fontId="22" fillId="2" borderId="9" xfId="7" applyNumberFormat="1" applyFont="1" applyFill="1" applyBorder="1"/>
    <xf numFmtId="9" fontId="5" fillId="2" borderId="0" xfId="0" applyNumberFormat="1" applyFont="1" applyFill="1"/>
    <xf numFmtId="37" fontId="33" fillId="2" borderId="74" xfId="8" applyNumberFormat="1" applyFont="1" applyFill="1" applyBorder="1"/>
    <xf numFmtId="37" fontId="5" fillId="2" borderId="0" xfId="0" applyFont="1" applyFill="1"/>
    <xf numFmtId="7" fontId="101" fillId="5" borderId="11" xfId="0" applyNumberFormat="1" applyFont="1" applyFill="1" applyBorder="1" applyAlignment="1">
      <alignment horizontal="center"/>
    </xf>
    <xf numFmtId="173" fontId="101" fillId="0" borderId="72" xfId="28" applyNumberFormat="1" applyFont="1" applyFill="1" applyBorder="1" applyAlignment="1">
      <alignment horizontal="center"/>
    </xf>
    <xf numFmtId="171" fontId="90" fillId="0" borderId="75" xfId="28" applyNumberFormat="1" applyFont="1" applyFill="1" applyBorder="1" applyAlignment="1">
      <alignment horizontal="center"/>
    </xf>
    <xf numFmtId="171" fontId="90" fillId="0" borderId="74" xfId="28" quotePrefix="1" applyNumberFormat="1" applyFont="1" applyFill="1" applyBorder="1" applyAlignment="1">
      <alignment horizontal="center"/>
    </xf>
    <xf numFmtId="7" fontId="50" fillId="5" borderId="76" xfId="0" applyNumberFormat="1" applyFont="1" applyFill="1" applyBorder="1" applyAlignment="1">
      <alignment horizontal="center"/>
    </xf>
    <xf numFmtId="37" fontId="51" fillId="3" borderId="76" xfId="0" applyFont="1" applyFill="1" applyBorder="1" applyAlignment="1">
      <alignment horizontal="center"/>
    </xf>
    <xf numFmtId="171" fontId="33" fillId="7" borderId="77" xfId="11" applyNumberFormat="1" applyFont="1" applyFill="1" applyBorder="1" applyAlignment="1">
      <alignment horizontal="right"/>
    </xf>
    <xf numFmtId="10" fontId="33" fillId="7" borderId="78" xfId="18" applyNumberFormat="1" applyFont="1" applyFill="1" applyBorder="1"/>
    <xf numFmtId="10" fontId="33" fillId="7" borderId="77" xfId="18" applyNumberFormat="1" applyFont="1" applyFill="1" applyBorder="1"/>
    <xf numFmtId="10" fontId="33" fillId="7" borderId="79" xfId="18" applyNumberFormat="1" applyFont="1" applyFill="1" applyBorder="1"/>
    <xf numFmtId="171" fontId="22" fillId="7" borderId="73" xfId="24" applyNumberFormat="1" applyFont="1" applyFill="1" applyBorder="1"/>
    <xf numFmtId="10" fontId="22" fillId="7" borderId="73" xfId="24" applyNumberFormat="1" applyFont="1" applyFill="1" applyBorder="1"/>
    <xf numFmtId="10" fontId="33" fillId="7" borderId="73" xfId="24" applyNumberFormat="1" applyFont="1" applyFill="1" applyBorder="1"/>
    <xf numFmtId="10" fontId="33" fillId="7" borderId="73" xfId="18" applyNumberFormat="1" applyFont="1" applyFill="1" applyBorder="1"/>
    <xf numFmtId="2" fontId="5" fillId="2" borderId="0" xfId="0" applyNumberFormat="1" applyFont="1" applyFill="1"/>
    <xf numFmtId="7" fontId="50" fillId="5" borderId="75" xfId="0" applyNumberFormat="1" applyFont="1" applyFill="1" applyBorder="1" applyAlignment="1">
      <alignment horizontal="center"/>
    </xf>
    <xf numFmtId="177" fontId="5" fillId="2" borderId="9" xfId="8" applyNumberFormat="1" applyFont="1" applyFill="1" applyBorder="1"/>
    <xf numFmtId="37" fontId="5" fillId="2" borderId="0" xfId="0" applyFont="1" applyFill="1"/>
    <xf numFmtId="167" fontId="8" fillId="11" borderId="0" xfId="0" applyNumberFormat="1" applyFont="1" applyFill="1"/>
    <xf numFmtId="10" fontId="5" fillId="2" borderId="0" xfId="28" applyFont="1" applyFill="1" applyBorder="1"/>
    <xf numFmtId="167" fontId="5" fillId="2" borderId="0" xfId="7" applyNumberFormat="1" applyFont="1" applyFill="1" applyBorder="1"/>
    <xf numFmtId="167" fontId="8" fillId="2" borderId="0" xfId="0" applyNumberFormat="1" applyFont="1" applyFill="1"/>
    <xf numFmtId="0" fontId="5" fillId="2" borderId="0" xfId="7" applyNumberFormat="1" applyFont="1" applyFill="1" applyBorder="1"/>
    <xf numFmtId="167" fontId="8" fillId="0" borderId="0" xfId="0" applyNumberFormat="1" applyFont="1" applyFill="1"/>
    <xf numFmtId="167" fontId="5" fillId="2" borderId="0" xfId="7" applyNumberFormat="1" applyFont="1" applyFill="1"/>
    <xf numFmtId="0" fontId="5" fillId="8" borderId="14" xfId="6" applyNumberFormat="1" applyFont="1" applyFill="1" applyBorder="1"/>
    <xf numFmtId="0" fontId="5" fillId="2" borderId="0" xfId="7" applyNumberFormat="1" applyFont="1" applyFill="1"/>
    <xf numFmtId="167" fontId="8" fillId="2" borderId="54" xfId="0" applyNumberFormat="1" applyFont="1" applyFill="1" applyBorder="1"/>
    <xf numFmtId="10" fontId="56" fillId="2" borderId="0" xfId="11" applyNumberFormat="1" applyFont="1" applyFill="1"/>
    <xf numFmtId="177" fontId="5" fillId="2" borderId="0" xfId="6" applyNumberFormat="1" applyFont="1" applyFill="1" applyBorder="1"/>
    <xf numFmtId="167" fontId="8" fillId="11" borderId="54" xfId="0" applyNumberFormat="1" applyFont="1" applyFill="1" applyBorder="1"/>
    <xf numFmtId="10" fontId="5" fillId="7" borderId="0" xfId="11" applyNumberFormat="1" applyFont="1" applyFill="1"/>
    <xf numFmtId="171" fontId="5" fillId="2" borderId="9" xfId="7" applyNumberFormat="1" applyFont="1" applyFill="1" applyBorder="1"/>
    <xf numFmtId="0" fontId="5" fillId="2" borderId="9" xfId="6" applyNumberFormat="1" applyFont="1" applyFill="1" applyBorder="1"/>
    <xf numFmtId="177" fontId="5" fillId="2" borderId="0" xfId="6" applyNumberFormat="1" applyFont="1" applyFill="1"/>
    <xf numFmtId="173" fontId="5" fillId="2" borderId="0" xfId="6" applyNumberFormat="1" applyFont="1" applyFill="1"/>
    <xf numFmtId="171" fontId="5" fillId="2" borderId="0" xfId="6" applyNumberFormat="1" applyFont="1" applyFill="1"/>
    <xf numFmtId="171" fontId="5" fillId="2" borderId="0" xfId="6" applyNumberFormat="1" applyFont="1" applyFill="1" applyBorder="1"/>
    <xf numFmtId="3" fontId="5" fillId="2" borderId="0" xfId="6" applyNumberFormat="1" applyFont="1" applyFill="1" applyBorder="1"/>
    <xf numFmtId="167" fontId="96" fillId="2" borderId="0" xfId="0" applyNumberFormat="1" applyFont="1" applyFill="1"/>
    <xf numFmtId="171" fontId="5" fillId="2" borderId="0" xfId="7" applyNumberFormat="1" applyFont="1" applyFill="1" applyBorder="1"/>
    <xf numFmtId="3" fontId="5" fillId="2" borderId="0" xfId="7" applyNumberFormat="1" applyFont="1" applyFill="1" applyBorder="1"/>
    <xf numFmtId="3" fontId="5" fillId="2" borderId="9" xfId="7" applyNumberFormat="1" applyFont="1" applyFill="1" applyBorder="1" applyAlignment="1">
      <alignment horizontal="center"/>
    </xf>
    <xf numFmtId="171" fontId="5" fillId="2" borderId="0" xfId="7" applyNumberFormat="1" applyFont="1" applyFill="1"/>
    <xf numFmtId="10" fontId="96" fillId="2" borderId="0" xfId="6" applyNumberFormat="1" applyFont="1" applyFill="1"/>
    <xf numFmtId="10" fontId="96" fillId="2" borderId="0" xfId="11" applyNumberFormat="1" applyFont="1" applyFill="1"/>
    <xf numFmtId="10" fontId="5" fillId="2" borderId="0" xfId="7" applyNumberFormat="1" applyFont="1" applyFill="1"/>
    <xf numFmtId="10" fontId="5" fillId="2" borderId="9" xfId="7" applyNumberFormat="1" applyFont="1" applyFill="1" applyBorder="1"/>
    <xf numFmtId="8" fontId="5" fillId="2" borderId="0" xfId="7" applyNumberFormat="1" applyFont="1" applyFill="1"/>
    <xf numFmtId="10" fontId="5" fillId="2" borderId="0" xfId="7" applyNumberFormat="1" applyFont="1" applyFill="1" applyBorder="1"/>
    <xf numFmtId="171" fontId="5" fillId="2" borderId="9" xfId="6" applyNumberFormat="1" applyFont="1" applyFill="1" applyBorder="1"/>
    <xf numFmtId="44" fontId="5" fillId="2" borderId="0" xfId="7" applyNumberFormat="1" applyFont="1" applyFill="1"/>
    <xf numFmtId="44" fontId="56" fillId="2" borderId="0" xfId="7" applyNumberFormat="1" applyFont="1" applyFill="1"/>
    <xf numFmtId="3" fontId="5" fillId="2" borderId="9" xfId="6" applyNumberFormat="1" applyFont="1" applyFill="1" applyBorder="1"/>
    <xf numFmtId="37" fontId="5" fillId="2" borderId="0" xfId="6" applyNumberFormat="1" applyFont="1" applyFill="1" applyBorder="1"/>
    <xf numFmtId="9" fontId="5" fillId="2" borderId="54" xfId="7" applyNumberFormat="1" applyFont="1" applyFill="1" applyBorder="1"/>
    <xf numFmtId="171" fontId="5" fillId="2" borderId="54" xfId="7" applyNumberFormat="1" applyFont="1" applyFill="1" applyBorder="1"/>
    <xf numFmtId="171" fontId="98" fillId="11" borderId="0" xfId="7" applyNumberFormat="1" applyFont="1" applyFill="1"/>
    <xf numFmtId="44" fontId="5" fillId="2" borderId="0" xfId="6" applyNumberFormat="1" applyFont="1" applyFill="1" applyBorder="1"/>
    <xf numFmtId="10" fontId="96" fillId="11" borderId="0" xfId="28" applyFont="1" applyFill="1"/>
    <xf numFmtId="178" fontId="5" fillId="2" borderId="0" xfId="7" applyNumberFormat="1" applyFont="1" applyFill="1"/>
    <xf numFmtId="178" fontId="5" fillId="2" borderId="0" xfId="6" applyNumberFormat="1" applyFont="1" applyFill="1" applyBorder="1"/>
    <xf numFmtId="10" fontId="5" fillId="2" borderId="9" xfId="6" applyNumberFormat="1" applyFont="1" applyFill="1" applyBorder="1"/>
    <xf numFmtId="8" fontId="5" fillId="2" borderId="0" xfId="6" applyNumberFormat="1" applyFont="1" applyFill="1" applyBorder="1"/>
    <xf numFmtId="9" fontId="5" fillId="2" borderId="0" xfId="6" applyNumberFormat="1" applyFont="1" applyFill="1" applyBorder="1"/>
    <xf numFmtId="167" fontId="5" fillId="2" borderId="9" xfId="6" applyNumberFormat="1" applyFont="1" applyFill="1" applyBorder="1"/>
    <xf numFmtId="37" fontId="102" fillId="2" borderId="0" xfId="0" applyFont="1" applyFill="1"/>
    <xf numFmtId="37" fontId="99" fillId="0" borderId="0" xfId="8" applyNumberFormat="1" applyFont="1" applyFill="1" applyAlignment="1">
      <alignment horizontal="right"/>
    </xf>
    <xf numFmtId="37" fontId="99" fillId="0" borderId="0" xfId="8" applyNumberFormat="1" applyFont="1" applyFill="1"/>
    <xf numFmtId="37" fontId="99" fillId="0" borderId="0" xfId="11" applyNumberFormat="1" applyFont="1" applyFill="1" applyAlignment="1">
      <alignment horizontal="right"/>
    </xf>
    <xf numFmtId="0" fontId="53" fillId="3" borderId="80" xfId="0" applyNumberFormat="1" applyFont="1" applyFill="1" applyBorder="1" applyAlignment="1">
      <alignment horizontal="center"/>
    </xf>
    <xf numFmtId="0" fontId="51" fillId="3" borderId="80" xfId="0" applyNumberFormat="1" applyFont="1" applyFill="1" applyBorder="1" applyAlignment="1">
      <alignment horizontal="center"/>
    </xf>
    <xf numFmtId="0" fontId="51" fillId="3" borderId="75" xfId="0" applyNumberFormat="1" applyFont="1" applyFill="1" applyBorder="1" applyAlignment="1">
      <alignment horizontal="center"/>
    </xf>
    <xf numFmtId="171" fontId="90" fillId="0" borderId="80" xfId="28" applyNumberFormat="1" applyFont="1" applyFill="1" applyBorder="1" applyAlignment="1">
      <alignment horizontal="center"/>
    </xf>
    <xf numFmtId="7" fontId="101" fillId="5" borderId="80" xfId="0" applyNumberFormat="1" applyFont="1" applyFill="1" applyBorder="1" applyAlignment="1">
      <alignment horizontal="center"/>
    </xf>
    <xf numFmtId="37" fontId="51" fillId="7" borderId="0" xfId="0" applyFont="1" applyFill="1" applyBorder="1" applyAlignment="1">
      <alignment horizontal="left"/>
    </xf>
    <xf numFmtId="0" fontId="51" fillId="7" borderId="0" xfId="0" applyNumberFormat="1" applyFont="1" applyFill="1" applyBorder="1" applyAlignment="1">
      <alignment horizontal="center"/>
    </xf>
    <xf numFmtId="14" fontId="51" fillId="3" borderId="74" xfId="0" applyNumberFormat="1" applyFont="1" applyFill="1" applyBorder="1" applyAlignment="1">
      <alignment horizontal="center"/>
    </xf>
    <xf numFmtId="0" fontId="51" fillId="3" borderId="74" xfId="0" applyNumberFormat="1" applyFont="1" applyFill="1" applyBorder="1" applyAlignment="1">
      <alignment horizontal="center"/>
    </xf>
    <xf numFmtId="0" fontId="51" fillId="0" borderId="10" xfId="0" applyNumberFormat="1" applyFont="1" applyFill="1" applyBorder="1" applyAlignment="1">
      <alignment horizontal="center"/>
    </xf>
    <xf numFmtId="0" fontId="53" fillId="3" borderId="74" xfId="0" applyNumberFormat="1" applyFont="1" applyFill="1" applyBorder="1" applyAlignment="1">
      <alignment horizontal="center"/>
    </xf>
    <xf numFmtId="0" fontId="51" fillId="3" borderId="72" xfId="0" applyNumberFormat="1" applyFont="1" applyFill="1" applyBorder="1" applyAlignment="1">
      <alignment horizontal="center"/>
    </xf>
    <xf numFmtId="37" fontId="51" fillId="3" borderId="84" xfId="0" applyFont="1" applyFill="1" applyBorder="1"/>
    <xf numFmtId="0" fontId="51" fillId="3" borderId="82" xfId="0" applyNumberFormat="1" applyFont="1" applyFill="1" applyBorder="1" applyAlignment="1">
      <alignment horizontal="center"/>
    </xf>
    <xf numFmtId="0" fontId="51" fillId="0" borderId="82" xfId="0" applyNumberFormat="1" applyFont="1" applyFill="1" applyBorder="1" applyAlignment="1">
      <alignment horizontal="center"/>
    </xf>
    <xf numFmtId="0" fontId="53" fillId="3" borderId="82" xfId="0" applyNumberFormat="1" applyFont="1" applyFill="1" applyBorder="1" applyAlignment="1">
      <alignment horizontal="center"/>
    </xf>
    <xf numFmtId="37" fontId="51" fillId="7" borderId="85" xfId="0" applyFont="1" applyFill="1" applyBorder="1" applyAlignment="1">
      <alignment horizontal="left"/>
    </xf>
    <xf numFmtId="0" fontId="51" fillId="7" borderId="85" xfId="0" applyNumberFormat="1" applyFont="1" applyFill="1" applyBorder="1" applyAlignment="1">
      <alignment horizontal="center"/>
    </xf>
    <xf numFmtId="0" fontId="51" fillId="3" borderId="86" xfId="0" applyNumberFormat="1" applyFont="1" applyFill="1" applyBorder="1" applyAlignment="1">
      <alignment horizontal="center"/>
    </xf>
    <xf numFmtId="14" fontId="51" fillId="3" borderId="82" xfId="0" applyNumberFormat="1" applyFont="1" applyFill="1" applyBorder="1" applyAlignment="1">
      <alignment horizontal="center"/>
    </xf>
    <xf numFmtId="14" fontId="51" fillId="3" borderId="86" xfId="0" applyNumberFormat="1" applyFont="1" applyFill="1" applyBorder="1" applyAlignment="1">
      <alignment horizontal="center"/>
    </xf>
    <xf numFmtId="37" fontId="53" fillId="3" borderId="74" xfId="0" applyFont="1" applyFill="1" applyBorder="1" applyAlignment="1">
      <alignment horizontal="center"/>
    </xf>
    <xf numFmtId="37" fontId="51" fillId="7" borderId="87" xfId="0" applyFont="1" applyFill="1" applyBorder="1" applyAlignment="1">
      <alignment horizontal="left"/>
    </xf>
    <xf numFmtId="0" fontId="51" fillId="7" borderId="87" xfId="0" applyNumberFormat="1" applyFont="1" applyFill="1" applyBorder="1" applyAlignment="1">
      <alignment horizontal="center"/>
    </xf>
    <xf numFmtId="37" fontId="51" fillId="3" borderId="88" xfId="0" applyFont="1" applyFill="1" applyBorder="1"/>
    <xf numFmtId="0" fontId="51" fillId="3" borderId="89" xfId="0" applyNumberFormat="1" applyFont="1" applyFill="1" applyBorder="1" applyAlignment="1">
      <alignment horizontal="center"/>
    </xf>
    <xf numFmtId="0" fontId="51" fillId="0" borderId="89" xfId="0" applyNumberFormat="1" applyFont="1" applyFill="1" applyBorder="1" applyAlignment="1">
      <alignment horizontal="center"/>
    </xf>
    <xf numFmtId="0" fontId="53" fillId="3" borderId="89" xfId="0" applyNumberFormat="1" applyFont="1" applyFill="1" applyBorder="1" applyAlignment="1">
      <alignment horizontal="center"/>
    </xf>
    <xf numFmtId="0" fontId="51" fillId="3" borderId="90" xfId="0" applyNumberFormat="1" applyFont="1" applyFill="1" applyBorder="1" applyAlignment="1">
      <alignment horizontal="center"/>
    </xf>
    <xf numFmtId="37" fontId="51" fillId="3" borderId="91" xfId="0" applyFont="1" applyFill="1" applyBorder="1"/>
    <xf numFmtId="0" fontId="51" fillId="3" borderId="92" xfId="0" applyNumberFormat="1" applyFont="1" applyFill="1" applyBorder="1" applyAlignment="1">
      <alignment horizontal="center"/>
    </xf>
    <xf numFmtId="0" fontId="51" fillId="0" borderId="92" xfId="0" applyNumberFormat="1" applyFont="1" applyFill="1" applyBorder="1" applyAlignment="1">
      <alignment horizontal="center"/>
    </xf>
    <xf numFmtId="0" fontId="53" fillId="3" borderId="92" xfId="0" applyNumberFormat="1" applyFont="1" applyFill="1" applyBorder="1" applyAlignment="1">
      <alignment horizontal="center"/>
    </xf>
    <xf numFmtId="37" fontId="51" fillId="7" borderId="93" xfId="0" applyFont="1" applyFill="1" applyBorder="1" applyAlignment="1">
      <alignment horizontal="left"/>
    </xf>
    <xf numFmtId="0" fontId="51" fillId="7" borderId="93" xfId="0" applyNumberFormat="1" applyFont="1" applyFill="1" applyBorder="1" applyAlignment="1">
      <alignment horizontal="center"/>
    </xf>
    <xf numFmtId="0" fontId="51" fillId="3" borderId="94" xfId="0" applyNumberFormat="1" applyFont="1" applyFill="1" applyBorder="1" applyAlignment="1">
      <alignment horizontal="center"/>
    </xf>
    <xf numFmtId="171" fontId="90" fillId="0" borderId="73" xfId="28" applyNumberFormat="1" applyFont="1" applyFill="1" applyBorder="1" applyAlignment="1">
      <alignment horizontal="center"/>
    </xf>
    <xf numFmtId="14" fontId="51" fillId="0" borderId="74" xfId="0" applyNumberFormat="1" applyFont="1" applyFill="1" applyBorder="1" applyAlignment="1">
      <alignment horizontal="center"/>
    </xf>
    <xf numFmtId="37" fontId="53" fillId="3" borderId="80" xfId="0" applyFont="1" applyFill="1" applyBorder="1" applyAlignment="1">
      <alignment horizontal="center"/>
    </xf>
    <xf numFmtId="37" fontId="51" fillId="3" borderId="80" xfId="0" applyFont="1" applyFill="1" applyBorder="1" applyAlignment="1">
      <alignment horizontal="center"/>
    </xf>
    <xf numFmtId="37" fontId="51" fillId="3" borderId="80" xfId="0" applyFont="1" applyFill="1" applyBorder="1" applyAlignment="1">
      <alignment horizontal="center" wrapText="1"/>
    </xf>
    <xf numFmtId="171" fontId="90" fillId="0" borderId="95" xfId="28" applyNumberFormat="1" applyFont="1" applyFill="1" applyBorder="1" applyAlignment="1">
      <alignment horizontal="center"/>
    </xf>
    <xf numFmtId="7" fontId="50" fillId="0" borderId="74" xfId="0" applyNumberFormat="1" applyFont="1" applyFill="1" applyBorder="1" applyAlignment="1">
      <alignment horizontal="center"/>
    </xf>
    <xf numFmtId="171" fontId="90" fillId="7" borderId="80" xfId="28" applyNumberFormat="1" applyFont="1" applyFill="1" applyBorder="1" applyAlignment="1">
      <alignment horizontal="center"/>
    </xf>
    <xf numFmtId="37" fontId="51" fillId="3" borderId="73" xfId="0" applyFont="1" applyFill="1" applyBorder="1"/>
    <xf numFmtId="10" fontId="90" fillId="0" borderId="74" xfId="28" applyNumberFormat="1" applyFont="1" applyFill="1" applyBorder="1" applyAlignment="1">
      <alignment horizontal="center"/>
    </xf>
    <xf numFmtId="3" fontId="90" fillId="0" borderId="74" xfId="28" applyNumberFormat="1" applyFont="1" applyFill="1" applyBorder="1" applyAlignment="1">
      <alignment horizontal="center"/>
    </xf>
    <xf numFmtId="171" fontId="90" fillId="7" borderId="74" xfId="28" applyNumberFormat="1" applyFont="1" applyFill="1" applyBorder="1" applyAlignment="1">
      <alignment horizontal="center"/>
    </xf>
    <xf numFmtId="171" fontId="90" fillId="7" borderId="75" xfId="28" applyNumberFormat="1" applyFont="1" applyFill="1" applyBorder="1" applyAlignment="1">
      <alignment horizontal="center"/>
    </xf>
    <xf numFmtId="171" fontId="90" fillId="7" borderId="75" xfId="28" quotePrefix="1" applyNumberFormat="1" applyFont="1" applyFill="1" applyBorder="1" applyAlignment="1">
      <alignment horizontal="center"/>
    </xf>
    <xf numFmtId="170" fontId="90" fillId="7" borderId="74" xfId="28" applyNumberFormat="1" applyFont="1" applyFill="1" applyBorder="1" applyAlignment="1">
      <alignment horizontal="center"/>
    </xf>
    <xf numFmtId="10" fontId="86" fillId="7" borderId="74" xfId="28" applyFont="1" applyFill="1" applyBorder="1" applyAlignment="1">
      <alignment horizontal="center"/>
    </xf>
    <xf numFmtId="37" fontId="50" fillId="7" borderId="73" xfId="0" applyFont="1" applyFill="1" applyBorder="1"/>
    <xf numFmtId="177" fontId="90" fillId="0" borderId="74" xfId="28" applyNumberFormat="1" applyFont="1" applyFill="1" applyBorder="1" applyAlignment="1">
      <alignment horizontal="center"/>
    </xf>
    <xf numFmtId="0" fontId="51" fillId="3" borderId="12" xfId="0" applyNumberFormat="1" applyFont="1" applyFill="1" applyBorder="1" applyAlignment="1">
      <alignment horizontal="centerContinuous"/>
    </xf>
    <xf numFmtId="0" fontId="51" fillId="3" borderId="14" xfId="0" applyNumberFormat="1" applyFont="1" applyFill="1" applyBorder="1" applyAlignment="1">
      <alignment horizontal="centerContinuous"/>
    </xf>
    <xf numFmtId="10" fontId="90" fillId="0" borderId="17" xfId="28" applyNumberFormat="1" applyFont="1" applyFill="1" applyBorder="1" applyAlignment="1">
      <alignment horizontal="center"/>
    </xf>
    <xf numFmtId="167" fontId="29" fillId="7" borderId="9" xfId="8" applyNumberFormat="1" applyFont="1" applyFill="1" applyBorder="1"/>
    <xf numFmtId="171" fontId="90" fillId="0" borderId="11" xfId="28" applyNumberFormat="1" applyFont="1" applyFill="1" applyBorder="1" applyAlignment="1">
      <alignment horizontal="center"/>
    </xf>
    <xf numFmtId="171" fontId="90" fillId="7" borderId="78" xfId="28" quotePrefix="1" applyNumberFormat="1" applyFont="1" applyFill="1" applyBorder="1" applyAlignment="1">
      <alignment horizontal="center"/>
    </xf>
    <xf numFmtId="171" fontId="90" fillId="7" borderId="95" xfId="28" quotePrefix="1" applyNumberFormat="1" applyFont="1" applyFill="1" applyBorder="1" applyAlignment="1">
      <alignment horizontal="center"/>
    </xf>
    <xf numFmtId="171" fontId="97" fillId="7" borderId="0" xfId="28" applyNumberFormat="1" applyFont="1" applyFill="1" applyBorder="1" applyAlignment="1">
      <alignment horizontal="center"/>
    </xf>
    <xf numFmtId="171" fontId="90" fillId="0" borderId="78" xfId="28" applyNumberFormat="1" applyFont="1" applyFill="1" applyBorder="1" applyAlignment="1">
      <alignment horizontal="center"/>
    </xf>
    <xf numFmtId="7" fontId="50" fillId="0" borderId="73" xfId="0" applyNumberFormat="1" applyFont="1" applyFill="1" applyBorder="1" applyAlignment="1">
      <alignment horizontal="center"/>
    </xf>
    <xf numFmtId="171" fontId="90" fillId="0" borderId="73" xfId="28" quotePrefix="1" applyNumberFormat="1" applyFont="1" applyFill="1" applyBorder="1" applyAlignment="1">
      <alignment horizontal="center"/>
    </xf>
    <xf numFmtId="171" fontId="90" fillId="0" borderId="0" xfId="28" quotePrefix="1" applyNumberFormat="1" applyFont="1" applyFill="1" applyBorder="1" applyAlignment="1">
      <alignment horizontal="center"/>
    </xf>
    <xf numFmtId="171" fontId="97" fillId="0" borderId="73" xfId="28" applyNumberFormat="1" applyFont="1" applyFill="1" applyBorder="1" applyAlignment="1">
      <alignment horizontal="center"/>
    </xf>
    <xf numFmtId="171" fontId="97" fillId="0" borderId="0" xfId="28" applyNumberFormat="1" applyFont="1" applyFill="1" applyBorder="1" applyAlignment="1">
      <alignment horizontal="center"/>
    </xf>
    <xf numFmtId="171" fontId="97" fillId="0" borderId="8" xfId="28" applyNumberFormat="1" applyFont="1" applyFill="1" applyBorder="1" applyAlignment="1">
      <alignment horizontal="center"/>
    </xf>
    <xf numFmtId="171" fontId="97" fillId="0" borderId="9" xfId="28" applyNumberFormat="1" applyFont="1" applyFill="1" applyBorder="1" applyAlignment="1">
      <alignment horizontal="center"/>
    </xf>
    <xf numFmtId="171" fontId="90" fillId="7" borderId="73" xfId="28" quotePrefix="1" applyNumberFormat="1" applyFont="1" applyFill="1" applyBorder="1" applyAlignment="1">
      <alignment horizontal="center"/>
    </xf>
    <xf numFmtId="171" fontId="50" fillId="7" borderId="30" xfId="28" quotePrefix="1" applyNumberFormat="1" applyFont="1" applyFill="1" applyBorder="1" applyAlignment="1">
      <alignment horizontal="center"/>
    </xf>
    <xf numFmtId="171" fontId="90" fillId="7" borderId="74" xfId="28" quotePrefix="1" applyNumberFormat="1" applyFont="1" applyFill="1" applyBorder="1" applyAlignment="1">
      <alignment horizontal="center"/>
    </xf>
    <xf numFmtId="37" fontId="51" fillId="3" borderId="13" xfId="0" applyFont="1" applyFill="1" applyBorder="1" applyAlignment="1">
      <alignment horizontal="centerContinuous"/>
    </xf>
    <xf numFmtId="37" fontId="51" fillId="3" borderId="14" xfId="0" applyFont="1" applyFill="1" applyBorder="1" applyAlignment="1">
      <alignment horizontal="centerContinuous"/>
    </xf>
    <xf numFmtId="37" fontId="51" fillId="3" borderId="12" xfId="0" applyFont="1" applyFill="1" applyBorder="1" applyAlignment="1">
      <alignment horizontal="centerContinuous"/>
    </xf>
    <xf numFmtId="37" fontId="50" fillId="7" borderId="48" xfId="0" applyFont="1" applyFill="1" applyBorder="1"/>
    <xf numFmtId="171" fontId="50" fillId="7" borderId="23" xfId="28" applyNumberFormat="1" applyFont="1" applyFill="1" applyBorder="1" applyAlignment="1">
      <alignment horizontal="center"/>
    </xf>
    <xf numFmtId="171" fontId="50" fillId="7" borderId="30" xfId="28" quotePrefix="1" applyNumberFormat="1" applyFont="1" applyFill="1" applyBorder="1" applyAlignment="1">
      <alignment horizontal="centerContinuous"/>
    </xf>
    <xf numFmtId="171" fontId="50" fillId="7" borderId="31" xfId="28" quotePrefix="1" applyNumberFormat="1" applyFont="1" applyFill="1" applyBorder="1" applyAlignment="1">
      <alignment horizontal="centerContinuous"/>
    </xf>
    <xf numFmtId="171" fontId="50" fillId="7" borderId="47" xfId="28" quotePrefix="1" applyNumberFormat="1" applyFont="1" applyFill="1" applyBorder="1" applyAlignment="1">
      <alignment horizontal="centerContinuous"/>
    </xf>
    <xf numFmtId="171" fontId="90" fillId="0" borderId="97" xfId="28" applyNumberFormat="1" applyFont="1" applyFill="1" applyBorder="1" applyAlignment="1">
      <alignment horizontal="center"/>
    </xf>
    <xf numFmtId="171" fontId="50" fillId="5" borderId="8" xfId="28" quotePrefix="1" applyNumberFormat="1" applyFont="1" applyFill="1" applyBorder="1" applyAlignment="1">
      <alignment horizontal="center"/>
    </xf>
    <xf numFmtId="171" fontId="50" fillId="5" borderId="9" xfId="28" quotePrefix="1" applyNumberFormat="1" applyFont="1" applyFill="1" applyBorder="1" applyAlignment="1">
      <alignment horizontal="center"/>
    </xf>
    <xf numFmtId="171" fontId="50" fillId="0" borderId="73" xfId="28" applyNumberFormat="1" applyFont="1" applyFill="1" applyBorder="1" applyAlignment="1">
      <alignment horizontal="center"/>
    </xf>
    <xf numFmtId="171" fontId="50" fillId="0" borderId="74" xfId="28" applyNumberFormat="1" applyFont="1" applyFill="1" applyBorder="1" applyAlignment="1">
      <alignment horizontal="center"/>
    </xf>
    <xf numFmtId="171" fontId="90" fillId="7" borderId="18" xfId="28" quotePrefix="1" applyNumberFormat="1" applyFont="1" applyFill="1" applyBorder="1" applyAlignment="1">
      <alignment horizontal="center"/>
    </xf>
    <xf numFmtId="171" fontId="90" fillId="7" borderId="19" xfId="28" quotePrefix="1" applyNumberFormat="1" applyFont="1" applyFill="1" applyBorder="1" applyAlignment="1">
      <alignment horizontal="center"/>
    </xf>
    <xf numFmtId="3" fontId="90" fillId="7" borderId="73" xfId="28" quotePrefix="1" applyNumberFormat="1" applyFont="1" applyFill="1" applyBorder="1" applyAlignment="1">
      <alignment horizontal="center"/>
    </xf>
    <xf numFmtId="3" fontId="90" fillId="7" borderId="0" xfId="28" quotePrefix="1" applyNumberFormat="1" applyFont="1" applyFill="1" applyBorder="1" applyAlignment="1">
      <alignment horizontal="center"/>
    </xf>
    <xf numFmtId="171" fontId="50" fillId="0" borderId="29" xfId="0" applyNumberFormat="1" applyFont="1" applyFill="1" applyBorder="1" applyAlignment="1">
      <alignment horizontal="centerContinuous"/>
    </xf>
    <xf numFmtId="37" fontId="2" fillId="7" borderId="0" xfId="0" applyFont="1" applyFill="1"/>
    <xf numFmtId="37" fontId="2" fillId="0" borderId="0" xfId="0" applyFont="1" applyFill="1"/>
    <xf numFmtId="37" fontId="2" fillId="2" borderId="0" xfId="0" applyFont="1" applyFill="1"/>
    <xf numFmtId="37" fontId="2" fillId="2" borderId="0" xfId="0" applyFont="1" applyFill="1" applyAlignment="1">
      <alignment horizontal="center"/>
    </xf>
    <xf numFmtId="37" fontId="2" fillId="2" borderId="95" xfId="0" applyFont="1" applyFill="1" applyBorder="1"/>
    <xf numFmtId="37" fontId="50" fillId="2" borderId="0" xfId="0" applyFont="1" applyFill="1" applyBorder="1" applyAlignment="1">
      <alignment horizontal="centerContinuous"/>
    </xf>
    <xf numFmtId="37" fontId="2" fillId="2" borderId="0" xfId="0" applyFont="1" applyFill="1" applyBorder="1"/>
    <xf numFmtId="37" fontId="50" fillId="2" borderId="0" xfId="0" applyFont="1" applyFill="1" applyBorder="1" applyAlignment="1">
      <alignment horizontal="center"/>
    </xf>
    <xf numFmtId="14" fontId="51" fillId="3" borderId="13" xfId="0" quotePrefix="1" applyNumberFormat="1" applyFont="1" applyFill="1" applyBorder="1" applyAlignment="1">
      <alignment horizontal="center"/>
    </xf>
    <xf numFmtId="14" fontId="51" fillId="3" borderId="14" xfId="0" quotePrefix="1" applyNumberFormat="1" applyFont="1" applyFill="1" applyBorder="1" applyAlignment="1">
      <alignment horizontal="center"/>
    </xf>
    <xf numFmtId="14" fontId="51" fillId="3" borderId="12" xfId="0" quotePrefix="1" applyNumberFormat="1" applyFont="1" applyFill="1" applyBorder="1" applyAlignment="1">
      <alignment horizontal="center"/>
    </xf>
    <xf numFmtId="5" fontId="2" fillId="2" borderId="0" xfId="0" applyNumberFormat="1" applyFont="1" applyFill="1" applyBorder="1" applyAlignment="1">
      <alignment horizontal="right" indent="1"/>
    </xf>
    <xf numFmtId="37" fontId="2" fillId="0" borderId="74" xfId="0" quotePrefix="1" applyFont="1" applyFill="1" applyBorder="1" applyAlignment="1">
      <alignment horizontal="center"/>
    </xf>
    <xf numFmtId="171" fontId="86" fillId="0" borderId="80" xfId="28" applyNumberFormat="1" applyFont="1" applyFill="1" applyBorder="1" applyAlignment="1">
      <alignment horizontal="center"/>
    </xf>
    <xf numFmtId="37" fontId="2" fillId="0" borderId="0" xfId="0" applyFont="1" applyFill="1" applyBorder="1"/>
    <xf numFmtId="171" fontId="86" fillId="0" borderId="75" xfId="28" applyNumberFormat="1" applyFont="1" applyFill="1" applyBorder="1" applyAlignment="1">
      <alignment horizontal="center"/>
    </xf>
    <xf numFmtId="37" fontId="2" fillId="0" borderId="74" xfId="0" applyFont="1" applyFill="1" applyBorder="1" applyAlignment="1">
      <alignment horizontal="center"/>
    </xf>
    <xf numFmtId="171" fontId="2" fillId="0" borderId="80" xfId="28" applyNumberFormat="1" applyFont="1" applyFill="1" applyBorder="1" applyAlignment="1">
      <alignment horizontal="center"/>
    </xf>
    <xf numFmtId="171" fontId="86" fillId="0" borderId="0" xfId="28" applyNumberFormat="1" applyFont="1" applyFill="1" applyBorder="1"/>
    <xf numFmtId="171" fontId="2" fillId="2" borderId="0" xfId="28" applyNumberFormat="1" applyFont="1" applyFill="1" applyAlignment="1">
      <alignment horizontal="right" indent="1"/>
    </xf>
    <xf numFmtId="10" fontId="82" fillId="2" borderId="0" xfId="28" applyFont="1" applyFill="1" applyAlignment="1">
      <alignment horizontal="right" indent="1"/>
    </xf>
    <xf numFmtId="171" fontId="82" fillId="2" borderId="0" xfId="28" applyNumberFormat="1" applyFont="1" applyFill="1" applyAlignment="1">
      <alignment horizontal="right" indent="1"/>
    </xf>
    <xf numFmtId="186" fontId="2" fillId="2" borderId="0" xfId="28" applyNumberFormat="1" applyFont="1" applyFill="1" applyAlignment="1">
      <alignment horizontal="right" indent="1"/>
    </xf>
    <xf numFmtId="171" fontId="86" fillId="0" borderId="74" xfId="28" applyNumberFormat="1" applyFont="1" applyFill="1" applyBorder="1" applyAlignment="1">
      <alignment horizontal="center"/>
    </xf>
    <xf numFmtId="171" fontId="86" fillId="0" borderId="17" xfId="28" applyNumberFormat="1" applyFont="1" applyFill="1" applyBorder="1" applyAlignment="1">
      <alignment horizontal="center"/>
    </xf>
    <xf numFmtId="171" fontId="2" fillId="0" borderId="74" xfId="28" applyNumberFormat="1" applyFont="1" applyFill="1" applyBorder="1" applyAlignment="1">
      <alignment horizontal="center"/>
    </xf>
    <xf numFmtId="171" fontId="97" fillId="0" borderId="74" xfId="28" applyNumberFormat="1" applyFont="1" applyFill="1" applyBorder="1" applyAlignment="1">
      <alignment horizontal="center"/>
    </xf>
    <xf numFmtId="7" fontId="2" fillId="2" borderId="0" xfId="0" applyNumberFormat="1" applyFont="1" applyFill="1" applyAlignment="1">
      <alignment horizontal="right" indent="1"/>
    </xf>
    <xf numFmtId="7" fontId="82" fillId="2" borderId="0" xfId="0" applyNumberFormat="1" applyFont="1" applyFill="1" applyAlignment="1">
      <alignment horizontal="right" indent="1"/>
    </xf>
    <xf numFmtId="7" fontId="2" fillId="0" borderId="74" xfId="0" applyNumberFormat="1" applyFont="1" applyFill="1" applyBorder="1" applyAlignment="1">
      <alignment horizontal="center"/>
    </xf>
    <xf numFmtId="7" fontId="2" fillId="0" borderId="17" xfId="0" applyNumberFormat="1" applyFont="1" applyFill="1" applyBorder="1" applyAlignment="1">
      <alignment horizontal="center"/>
    </xf>
    <xf numFmtId="170" fontId="2" fillId="2" borderId="0" xfId="28" applyNumberFormat="1" applyFont="1" applyFill="1" applyAlignment="1">
      <alignment horizontal="right" indent="1"/>
    </xf>
    <xf numFmtId="169" fontId="50" fillId="2" borderId="0" xfId="0" applyNumberFormat="1" applyFont="1" applyFill="1" applyAlignment="1">
      <alignment horizontal="right" indent="1"/>
    </xf>
    <xf numFmtId="37" fontId="2" fillId="0" borderId="0" xfId="0" quotePrefix="1" applyFont="1" applyFill="1" applyBorder="1" applyAlignment="1">
      <alignment horizontal="center"/>
    </xf>
    <xf numFmtId="37" fontId="2" fillId="0" borderId="0" xfId="0" applyFont="1" applyFill="1" applyBorder="1" applyAlignment="1">
      <alignment horizontal="center"/>
    </xf>
    <xf numFmtId="171" fontId="86" fillId="0" borderId="0" xfId="28" applyNumberFormat="1" applyFont="1" applyFill="1" applyBorder="1" applyAlignment="1">
      <alignment horizontal="center"/>
    </xf>
    <xf numFmtId="171" fontId="2" fillId="0" borderId="0" xfId="28" applyNumberFormat="1" applyFont="1" applyFill="1" applyBorder="1" applyAlignment="1">
      <alignment horizontal="center"/>
    </xf>
    <xf numFmtId="37" fontId="2" fillId="0" borderId="8" xfId="0" applyFont="1" applyFill="1" applyBorder="1"/>
    <xf numFmtId="37" fontId="2" fillId="0" borderId="10" xfId="0" quotePrefix="1" applyFont="1" applyFill="1" applyBorder="1" applyAlignment="1">
      <alignment horizontal="center"/>
    </xf>
    <xf numFmtId="37" fontId="2" fillId="0" borderId="9" xfId="0" quotePrefix="1" applyFont="1" applyFill="1" applyBorder="1" applyAlignment="1">
      <alignment horizontal="center"/>
    </xf>
    <xf numFmtId="37" fontId="2" fillId="0" borderId="10" xfId="0" applyFont="1" applyFill="1" applyBorder="1" applyAlignment="1">
      <alignment horizontal="center"/>
    </xf>
    <xf numFmtId="171" fontId="86" fillId="0" borderId="10" xfId="28" applyNumberFormat="1" applyFont="1" applyFill="1" applyBorder="1" applyAlignment="1">
      <alignment horizontal="center"/>
    </xf>
    <xf numFmtId="171" fontId="86" fillId="0" borderId="15" xfId="28" applyNumberFormat="1" applyFont="1" applyFill="1" applyBorder="1" applyAlignment="1">
      <alignment horizontal="center"/>
    </xf>
    <xf numFmtId="37" fontId="2" fillId="7" borderId="75" xfId="0" applyFont="1" applyFill="1" applyBorder="1"/>
    <xf numFmtId="37" fontId="2" fillId="7" borderId="74" xfId="0" quotePrefix="1" applyFont="1" applyFill="1" applyBorder="1" applyAlignment="1">
      <alignment horizontal="center"/>
    </xf>
    <xf numFmtId="171" fontId="86" fillId="7" borderId="74" xfId="28" applyNumberFormat="1" applyFont="1" applyFill="1" applyBorder="1" applyAlignment="1">
      <alignment horizontal="center"/>
    </xf>
    <xf numFmtId="171" fontId="86" fillId="7" borderId="17" xfId="28" applyNumberFormat="1" applyFont="1" applyFill="1" applyBorder="1" applyAlignment="1">
      <alignment horizontal="center"/>
    </xf>
    <xf numFmtId="37" fontId="2" fillId="7" borderId="74" xfId="0" applyFont="1" applyFill="1" applyBorder="1" applyAlignment="1">
      <alignment horizontal="center"/>
    </xf>
    <xf numFmtId="10" fontId="86" fillId="2" borderId="0" xfId="28" applyFont="1" applyFill="1"/>
    <xf numFmtId="37" fontId="2" fillId="7" borderId="17" xfId="0" applyFont="1" applyFill="1" applyBorder="1"/>
    <xf numFmtId="37" fontId="2" fillId="2" borderId="74" xfId="0" applyFont="1" applyFill="1" applyBorder="1" applyAlignment="1">
      <alignment horizontal="center"/>
    </xf>
    <xf numFmtId="10" fontId="86" fillId="0" borderId="74" xfId="28" applyFont="1" applyFill="1" applyBorder="1" applyAlignment="1">
      <alignment horizontal="center"/>
    </xf>
    <xf numFmtId="10" fontId="86" fillId="7" borderId="17" xfId="28" applyFont="1" applyFill="1" applyBorder="1" applyAlignment="1">
      <alignment horizontal="center"/>
    </xf>
    <xf numFmtId="171" fontId="2" fillId="7" borderId="44" xfId="28" applyNumberFormat="1" applyFont="1" applyFill="1" applyBorder="1" applyAlignment="1">
      <alignment horizontal="center"/>
    </xf>
    <xf numFmtId="37" fontId="2" fillId="2" borderId="6" xfId="0" applyFont="1" applyFill="1" applyBorder="1"/>
    <xf numFmtId="37" fontId="2" fillId="2" borderId="6" xfId="0" applyFont="1" applyFill="1" applyBorder="1" applyAlignment="1">
      <alignment horizontal="center"/>
    </xf>
    <xf numFmtId="37" fontId="2" fillId="2" borderId="47" xfId="0" applyFont="1" applyFill="1" applyBorder="1" applyAlignment="1">
      <alignment horizontal="centerContinuous"/>
    </xf>
    <xf numFmtId="5" fontId="2" fillId="2" borderId="0" xfId="0" applyNumberFormat="1" applyFont="1" applyFill="1" applyAlignment="1">
      <alignment horizontal="right" indent="1"/>
    </xf>
    <xf numFmtId="37" fontId="2" fillId="2" borderId="9" xfId="0" applyFont="1" applyFill="1" applyBorder="1"/>
    <xf numFmtId="3" fontId="2" fillId="2" borderId="0" xfId="28" applyNumberFormat="1" applyFont="1" applyFill="1" applyAlignment="1">
      <alignment horizontal="right" indent="1"/>
    </xf>
    <xf numFmtId="10" fontId="82" fillId="2" borderId="0" xfId="28" applyNumberFormat="1" applyFont="1" applyFill="1" applyAlignment="1">
      <alignment horizontal="right" indent="1"/>
    </xf>
    <xf numFmtId="10" fontId="2" fillId="2" borderId="0" xfId="28" applyNumberFormat="1" applyFont="1" applyFill="1" applyAlignment="1">
      <alignment horizontal="right" indent="1"/>
    </xf>
    <xf numFmtId="37" fontId="2" fillId="7" borderId="73" xfId="0" applyFont="1" applyFill="1" applyBorder="1"/>
    <xf numFmtId="37" fontId="2" fillId="7" borderId="17" xfId="0" quotePrefix="1" applyFont="1" applyFill="1" applyBorder="1" applyAlignment="1">
      <alignment horizontal="center"/>
    </xf>
    <xf numFmtId="171" fontId="97" fillId="7" borderId="73" xfId="28" applyNumberFormat="1" applyFont="1" applyFill="1" applyBorder="1" applyAlignment="1">
      <alignment horizontal="center"/>
    </xf>
    <xf numFmtId="171" fontId="90" fillId="7" borderId="73" xfId="28" applyNumberFormat="1" applyFont="1" applyFill="1" applyBorder="1" applyAlignment="1">
      <alignment horizontal="center"/>
    </xf>
    <xf numFmtId="171" fontId="2" fillId="7" borderId="47" xfId="28" applyNumberFormat="1" applyFont="1" applyFill="1" applyBorder="1" applyAlignment="1">
      <alignment horizontal="center"/>
    </xf>
    <xf numFmtId="171" fontId="2" fillId="7" borderId="0" xfId="28" applyNumberFormat="1" applyFont="1" applyFill="1" applyAlignment="1">
      <alignment horizontal="center"/>
    </xf>
    <xf numFmtId="37" fontId="2" fillId="2" borderId="93" xfId="0" applyFont="1" applyFill="1" applyBorder="1"/>
    <xf numFmtId="0" fontId="51" fillId="3" borderId="92" xfId="0" applyNumberFormat="1" applyFont="1" applyFill="1" applyBorder="1" applyAlignment="1">
      <alignment horizontal="centerContinuous"/>
    </xf>
    <xf numFmtId="0" fontId="51" fillId="3" borderId="24" xfId="0" applyNumberFormat="1" applyFont="1" applyFill="1" applyBorder="1" applyAlignment="1">
      <alignment horizontal="centerContinuous"/>
    </xf>
    <xf numFmtId="37" fontId="2" fillId="2" borderId="87" xfId="0" applyFont="1" applyFill="1" applyBorder="1"/>
    <xf numFmtId="0" fontId="51" fillId="3" borderId="89" xfId="0" quotePrefix="1" applyNumberFormat="1" applyFont="1" applyFill="1" applyBorder="1" applyAlignment="1">
      <alignment horizontal="centerContinuous"/>
    </xf>
    <xf numFmtId="14" fontId="51" fillId="3" borderId="24" xfId="0" quotePrefix="1" applyNumberFormat="1" applyFont="1" applyFill="1" applyBorder="1" applyAlignment="1">
      <alignment horizontal="centerContinuous"/>
    </xf>
    <xf numFmtId="171" fontId="86" fillId="0" borderId="72" xfId="28" applyNumberFormat="1" applyFont="1" applyFill="1" applyBorder="1" applyAlignment="1">
      <alignment horizontal="center"/>
    </xf>
    <xf numFmtId="171" fontId="86" fillId="0" borderId="74" xfId="28" quotePrefix="1" applyNumberFormat="1" applyFont="1" applyFill="1" applyBorder="1" applyAlignment="1">
      <alignment horizontal="center"/>
    </xf>
    <xf numFmtId="171" fontId="2" fillId="2" borderId="0" xfId="0" applyNumberFormat="1" applyFont="1" applyFill="1"/>
    <xf numFmtId="37" fontId="2" fillId="0" borderId="5" xfId="0" applyFont="1" applyFill="1" applyBorder="1"/>
    <xf numFmtId="37" fontId="2" fillId="0" borderId="16" xfId="0" applyFont="1" applyFill="1" applyBorder="1" applyAlignment="1">
      <alignment horizontal="center"/>
    </xf>
    <xf numFmtId="5" fontId="2" fillId="0" borderId="16" xfId="0" applyNumberFormat="1" applyFont="1" applyFill="1" applyBorder="1" applyAlignment="1">
      <alignment horizontal="center"/>
    </xf>
    <xf numFmtId="5" fontId="2" fillId="0" borderId="0" xfId="0" applyNumberFormat="1" applyFont="1" applyFill="1" applyAlignment="1">
      <alignment horizontal="center"/>
    </xf>
    <xf numFmtId="5" fontId="2" fillId="0" borderId="17" xfId="0" applyNumberFormat="1" applyFont="1" applyFill="1" applyBorder="1" applyAlignment="1">
      <alignment horizontal="center"/>
    </xf>
    <xf numFmtId="5" fontId="50" fillId="0" borderId="16" xfId="0" applyNumberFormat="1" applyFont="1" applyFill="1" applyBorder="1" applyAlignment="1">
      <alignment horizontal="center"/>
    </xf>
    <xf numFmtId="5" fontId="50" fillId="0" borderId="17" xfId="0" applyNumberFormat="1" applyFont="1" applyFill="1" applyBorder="1" applyAlignment="1">
      <alignment horizontal="center"/>
    </xf>
    <xf numFmtId="5" fontId="101" fillId="0" borderId="17" xfId="0" applyNumberFormat="1" applyFont="1" applyFill="1" applyBorder="1" applyAlignment="1">
      <alignment horizontal="center"/>
    </xf>
    <xf numFmtId="5" fontId="50" fillId="0" borderId="17" xfId="0" quotePrefix="1" applyNumberFormat="1" applyFont="1" applyFill="1" applyBorder="1" applyAlignment="1">
      <alignment horizontal="center"/>
    </xf>
    <xf numFmtId="5" fontId="50" fillId="0" borderId="72" xfId="0" quotePrefix="1" applyNumberFormat="1" applyFont="1" applyFill="1" applyBorder="1" applyAlignment="1">
      <alignment horizontal="center"/>
    </xf>
    <xf numFmtId="5" fontId="50" fillId="0" borderId="74" xfId="0" quotePrefix="1" applyNumberFormat="1" applyFont="1" applyFill="1" applyBorder="1" applyAlignment="1">
      <alignment horizontal="center"/>
    </xf>
    <xf numFmtId="5" fontId="101" fillId="0" borderId="74" xfId="0" quotePrefix="1" applyNumberFormat="1" applyFont="1" applyFill="1" applyBorder="1" applyAlignment="1">
      <alignment horizontal="center"/>
    </xf>
    <xf numFmtId="5" fontId="2" fillId="0" borderId="73" xfId="0" applyNumberFormat="1" applyFont="1" applyFill="1" applyBorder="1" applyAlignment="1">
      <alignment horizontal="center"/>
    </xf>
    <xf numFmtId="5" fontId="2" fillId="0" borderId="0" xfId="0" applyNumberFormat="1" applyFont="1" applyFill="1" applyBorder="1" applyAlignment="1">
      <alignment horizontal="center"/>
    </xf>
    <xf numFmtId="37" fontId="2" fillId="0" borderId="18" xfId="0" applyFont="1" applyFill="1" applyBorder="1"/>
    <xf numFmtId="37" fontId="2" fillId="0" borderId="21" xfId="0" applyFont="1" applyFill="1" applyBorder="1" applyAlignment="1">
      <alignment horizontal="center"/>
    </xf>
    <xf numFmtId="9" fontId="86" fillId="0" borderId="21" xfId="28" applyNumberFormat="1" applyFont="1" applyFill="1" applyBorder="1" applyAlignment="1">
      <alignment horizontal="center"/>
    </xf>
    <xf numFmtId="9" fontId="86" fillId="0" borderId="0" xfId="28" applyNumberFormat="1" applyFont="1" applyFill="1" applyBorder="1" applyAlignment="1">
      <alignment horizontal="center"/>
    </xf>
    <xf numFmtId="9" fontId="86" fillId="0" borderId="20" xfId="28" applyNumberFormat="1" applyFont="1" applyFill="1" applyBorder="1" applyAlignment="1">
      <alignment horizontal="center"/>
    </xf>
    <xf numFmtId="171" fontId="90" fillId="0" borderId="21" xfId="28" applyNumberFormat="1" applyFont="1" applyFill="1" applyBorder="1" applyAlignment="1">
      <alignment horizontal="center"/>
    </xf>
    <xf numFmtId="171" fontId="86" fillId="0" borderId="21" xfId="28" applyNumberFormat="1" applyFont="1" applyFill="1" applyBorder="1" applyAlignment="1">
      <alignment horizontal="center"/>
    </xf>
    <xf numFmtId="171" fontId="86" fillId="0" borderId="73" xfId="28" applyNumberFormat="1" applyFont="1" applyFill="1" applyBorder="1" applyAlignment="1">
      <alignment horizontal="center"/>
    </xf>
    <xf numFmtId="37" fontId="2" fillId="0" borderId="0" xfId="0" applyFont="1" applyFill="1" applyAlignment="1">
      <alignment horizontal="center"/>
    </xf>
    <xf numFmtId="37" fontId="2" fillId="0" borderId="17" xfId="0" applyFont="1" applyFill="1" applyBorder="1" applyAlignment="1">
      <alignment horizontal="center"/>
    </xf>
    <xf numFmtId="171" fontId="2" fillId="0" borderId="16" xfId="0" applyNumberFormat="1" applyFont="1" applyFill="1" applyBorder="1" applyAlignment="1">
      <alignment horizontal="center"/>
    </xf>
    <xf numFmtId="37" fontId="50" fillId="0" borderId="23" xfId="0" applyFont="1" applyFill="1" applyBorder="1" applyAlignment="1">
      <alignment horizontal="center"/>
    </xf>
    <xf numFmtId="37" fontId="101" fillId="0" borderId="23" xfId="0" applyFont="1" applyFill="1" applyBorder="1" applyAlignment="1">
      <alignment horizontal="center"/>
    </xf>
    <xf numFmtId="37" fontId="50" fillId="0" borderId="74" xfId="0" applyFont="1" applyFill="1" applyBorder="1" applyAlignment="1">
      <alignment horizontal="center"/>
    </xf>
    <xf numFmtId="37" fontId="101" fillId="0" borderId="74" xfId="0" applyFont="1" applyFill="1" applyBorder="1" applyAlignment="1">
      <alignment horizontal="center"/>
    </xf>
    <xf numFmtId="171" fontId="2" fillId="0" borderId="29" xfId="0" applyNumberFormat="1" applyFont="1" applyFill="1" applyBorder="1" applyAlignment="1">
      <alignment horizontal="center"/>
    </xf>
    <xf numFmtId="171" fontId="2" fillId="0" borderId="6" xfId="0" applyNumberFormat="1" applyFont="1" applyFill="1" applyBorder="1" applyAlignment="1">
      <alignment horizontal="center"/>
    </xf>
    <xf numFmtId="37" fontId="101" fillId="0" borderId="96" xfId="0" applyFont="1" applyFill="1" applyBorder="1" applyAlignment="1">
      <alignment horizontal="center"/>
    </xf>
    <xf numFmtId="171" fontId="86" fillId="0" borderId="16" xfId="28" applyNumberFormat="1" applyFont="1" applyFill="1" applyBorder="1" applyAlignment="1">
      <alignment horizontal="center"/>
    </xf>
    <xf numFmtId="171" fontId="90" fillId="0" borderId="16" xfId="28" applyNumberFormat="1" applyFont="1" applyFill="1" applyBorder="1" applyAlignment="1">
      <alignment horizontal="center"/>
    </xf>
    <xf numFmtId="170" fontId="86" fillId="0" borderId="16" xfId="28" applyNumberFormat="1" applyFont="1" applyFill="1" applyBorder="1" applyAlignment="1">
      <alignment horizontal="center"/>
    </xf>
    <xf numFmtId="5" fontId="50" fillId="0" borderId="72" xfId="0" applyNumberFormat="1" applyFont="1" applyFill="1" applyBorder="1" applyAlignment="1">
      <alignment horizontal="center"/>
    </xf>
    <xf numFmtId="5" fontId="50" fillId="0" borderId="74" xfId="0" applyNumberFormat="1" applyFont="1" applyFill="1" applyBorder="1" applyAlignment="1">
      <alignment horizontal="center"/>
    </xf>
    <xf numFmtId="37" fontId="2" fillId="0" borderId="18" xfId="0" applyFont="1" applyFill="1" applyBorder="1" applyAlignment="1">
      <alignment wrapText="1"/>
    </xf>
    <xf numFmtId="37" fontId="2" fillId="0" borderId="21" xfId="0" applyFont="1" applyFill="1" applyBorder="1" applyAlignment="1">
      <alignment horizontal="center" vertical="center"/>
    </xf>
    <xf numFmtId="171" fontId="86" fillId="0" borderId="21" xfId="28" applyNumberFormat="1" applyFont="1" applyFill="1" applyBorder="1" applyAlignment="1">
      <alignment horizontal="center" vertical="center"/>
    </xf>
    <xf numFmtId="171" fontId="86" fillId="0" borderId="0" xfId="28" applyNumberFormat="1" applyFont="1" applyFill="1" applyBorder="1" applyAlignment="1">
      <alignment horizontal="center" vertical="center"/>
    </xf>
    <xf numFmtId="171" fontId="86" fillId="0" borderId="20" xfId="28" applyNumberFormat="1" applyFont="1" applyFill="1" applyBorder="1" applyAlignment="1">
      <alignment horizontal="center" vertical="center"/>
    </xf>
    <xf numFmtId="171" fontId="90" fillId="0" borderId="21" xfId="28" applyNumberFormat="1" applyFont="1" applyFill="1" applyBorder="1" applyAlignment="1">
      <alignment horizontal="center" vertical="center"/>
    </xf>
    <xf numFmtId="171" fontId="90" fillId="0" borderId="17" xfId="28" applyNumberFormat="1" applyFont="1" applyFill="1" applyBorder="1" applyAlignment="1">
      <alignment horizontal="center" vertical="center"/>
    </xf>
    <xf numFmtId="171" fontId="97" fillId="0" borderId="17" xfId="28" applyNumberFormat="1" applyFont="1" applyFill="1" applyBorder="1" applyAlignment="1">
      <alignment horizontal="center" vertical="center"/>
    </xf>
    <xf numFmtId="171" fontId="97" fillId="0" borderId="72" xfId="28" applyNumberFormat="1" applyFont="1" applyFill="1" applyBorder="1" applyAlignment="1">
      <alignment horizontal="center" vertical="center"/>
    </xf>
    <xf numFmtId="171" fontId="97" fillId="0" borderId="74" xfId="28" applyNumberFormat="1" applyFont="1" applyFill="1" applyBorder="1" applyAlignment="1">
      <alignment horizontal="center" vertical="center"/>
    </xf>
    <xf numFmtId="171" fontId="86" fillId="0" borderId="18" xfId="28" applyNumberFormat="1" applyFont="1" applyFill="1" applyBorder="1" applyAlignment="1">
      <alignment horizontal="center" vertical="center"/>
    </xf>
    <xf numFmtId="171" fontId="86" fillId="0" borderId="19" xfId="28" applyNumberFormat="1" applyFont="1" applyFill="1" applyBorder="1" applyAlignment="1">
      <alignment horizontal="center" vertical="center"/>
    </xf>
    <xf numFmtId="37" fontId="50" fillId="0" borderId="16" xfId="0" applyNumberFormat="1" applyFont="1" applyFill="1" applyBorder="1" applyAlignment="1">
      <alignment horizontal="center"/>
    </xf>
    <xf numFmtId="186" fontId="86" fillId="0" borderId="16" xfId="28" applyNumberFormat="1" applyFont="1" applyFill="1" applyBorder="1" applyAlignment="1">
      <alignment horizontal="center"/>
    </xf>
    <xf numFmtId="37" fontId="50" fillId="0" borderId="17" xfId="0" applyNumberFormat="1" applyFont="1" applyFill="1" applyBorder="1" applyAlignment="1">
      <alignment horizontal="center"/>
    </xf>
    <xf numFmtId="37" fontId="101" fillId="0" borderId="17" xfId="0" applyNumberFormat="1" applyFont="1" applyFill="1" applyBorder="1" applyAlignment="1">
      <alignment horizontal="center"/>
    </xf>
    <xf numFmtId="37" fontId="101" fillId="0" borderId="72" xfId="0" applyNumberFormat="1" applyFont="1" applyFill="1" applyBorder="1" applyAlignment="1">
      <alignment horizontal="center"/>
    </xf>
    <xf numFmtId="37" fontId="101" fillId="0" borderId="74" xfId="0" applyNumberFormat="1" applyFont="1" applyFill="1" applyBorder="1" applyAlignment="1">
      <alignment horizontal="center"/>
    </xf>
    <xf numFmtId="186" fontId="86" fillId="0" borderId="73" xfId="28" applyNumberFormat="1" applyFont="1" applyFill="1" applyBorder="1" applyAlignment="1">
      <alignment horizontal="center"/>
    </xf>
    <xf numFmtId="186" fontId="86" fillId="0" borderId="0" xfId="28" applyNumberFormat="1" applyFont="1" applyFill="1" applyBorder="1" applyAlignment="1">
      <alignment horizontal="center"/>
    </xf>
    <xf numFmtId="37" fontId="50" fillId="0" borderId="17" xfId="0" applyFont="1" applyFill="1" applyBorder="1" applyAlignment="1">
      <alignment horizontal="center"/>
    </xf>
    <xf numFmtId="37" fontId="101" fillId="0" borderId="17" xfId="0" applyFont="1" applyFill="1" applyBorder="1" applyAlignment="1">
      <alignment horizontal="center"/>
    </xf>
    <xf numFmtId="37" fontId="101" fillId="0" borderId="72" xfId="0" applyFont="1" applyFill="1" applyBorder="1" applyAlignment="1">
      <alignment horizontal="center"/>
    </xf>
    <xf numFmtId="37" fontId="2" fillId="0" borderId="73" xfId="0" applyFont="1" applyFill="1" applyBorder="1" applyAlignment="1">
      <alignment horizontal="center"/>
    </xf>
    <xf numFmtId="5" fontId="101" fillId="0" borderId="72" xfId="0" applyNumberFormat="1" applyFont="1" applyFill="1" applyBorder="1" applyAlignment="1">
      <alignment horizontal="center"/>
    </xf>
    <xf numFmtId="5" fontId="101" fillId="0" borderId="74" xfId="0" applyNumberFormat="1" applyFont="1" applyFill="1" applyBorder="1" applyAlignment="1">
      <alignment horizontal="center"/>
    </xf>
    <xf numFmtId="9" fontId="86" fillId="0" borderId="16" xfId="28" applyNumberFormat="1" applyFont="1" applyFill="1" applyBorder="1" applyAlignment="1">
      <alignment horizontal="center"/>
    </xf>
    <xf numFmtId="9" fontId="86" fillId="0" borderId="17" xfId="28" applyNumberFormat="1" applyFont="1" applyFill="1" applyBorder="1" applyAlignment="1">
      <alignment horizontal="center"/>
    </xf>
    <xf numFmtId="9" fontId="90" fillId="0" borderId="16" xfId="28" applyNumberFormat="1" applyFont="1" applyFill="1" applyBorder="1" applyAlignment="1">
      <alignment horizontal="center"/>
    </xf>
    <xf numFmtId="9" fontId="90" fillId="0" borderId="23" xfId="28" applyNumberFormat="1" applyFont="1" applyFill="1" applyBorder="1" applyAlignment="1">
      <alignment horizontal="center"/>
    </xf>
    <xf numFmtId="9" fontId="97" fillId="0" borderId="23" xfId="28" applyNumberFormat="1" applyFont="1" applyFill="1" applyBorder="1" applyAlignment="1">
      <alignment horizontal="center"/>
    </xf>
    <xf numFmtId="9" fontId="90" fillId="0" borderId="72" xfId="28" applyNumberFormat="1" applyFont="1" applyFill="1" applyBorder="1" applyAlignment="1">
      <alignment horizontal="center"/>
    </xf>
    <xf numFmtId="9" fontId="90" fillId="0" borderId="74" xfId="28" applyNumberFormat="1" applyFont="1" applyFill="1" applyBorder="1" applyAlignment="1">
      <alignment horizontal="center"/>
    </xf>
    <xf numFmtId="9" fontId="86" fillId="0" borderId="73" xfId="28" applyNumberFormat="1" applyFont="1" applyFill="1" applyBorder="1" applyAlignment="1">
      <alignment horizontal="center"/>
    </xf>
    <xf numFmtId="4" fontId="2" fillId="0" borderId="16" xfId="0" applyNumberFormat="1" applyFont="1" applyFill="1" applyBorder="1" applyAlignment="1">
      <alignment horizontal="center"/>
    </xf>
    <xf numFmtId="3" fontId="2" fillId="0" borderId="16" xfId="0" applyNumberFormat="1" applyFont="1" applyFill="1" applyBorder="1" applyAlignment="1">
      <alignment horizontal="center"/>
    </xf>
    <xf numFmtId="3" fontId="2" fillId="0" borderId="0" xfId="0" applyNumberFormat="1" applyFont="1" applyFill="1"/>
    <xf numFmtId="3" fontId="2" fillId="0" borderId="0" xfId="0" applyNumberFormat="1" applyFont="1" applyFill="1" applyAlignment="1">
      <alignment horizontal="center"/>
    </xf>
    <xf numFmtId="3" fontId="2" fillId="0" borderId="17" xfId="0" applyNumberFormat="1" applyFont="1" applyFill="1" applyBorder="1" applyAlignment="1">
      <alignment horizontal="center"/>
    </xf>
    <xf numFmtId="4" fontId="50" fillId="0" borderId="16" xfId="0" applyNumberFormat="1" applyFont="1" applyFill="1" applyBorder="1" applyAlignment="1">
      <alignment horizontal="center"/>
    </xf>
    <xf numFmtId="37" fontId="2" fillId="0" borderId="16" xfId="0" applyNumberFormat="1" applyFont="1" applyFill="1" applyBorder="1" applyAlignment="1">
      <alignment horizontal="center"/>
    </xf>
    <xf numFmtId="4" fontId="50" fillId="0" borderId="17" xfId="0" applyNumberFormat="1" applyFont="1" applyFill="1" applyBorder="1" applyAlignment="1">
      <alignment horizontal="center"/>
    </xf>
    <xf numFmtId="4" fontId="101" fillId="0" borderId="17" xfId="0" applyNumberFormat="1" applyFont="1" applyFill="1" applyBorder="1" applyAlignment="1">
      <alignment horizontal="center"/>
    </xf>
    <xf numFmtId="4" fontId="50" fillId="0" borderId="72" xfId="0" applyNumberFormat="1" applyFont="1" applyFill="1" applyBorder="1" applyAlignment="1">
      <alignment horizontal="center"/>
    </xf>
    <xf numFmtId="4" fontId="50" fillId="0" borderId="74" xfId="0" applyNumberFormat="1" applyFont="1" applyFill="1" applyBorder="1" applyAlignment="1">
      <alignment horizontal="center"/>
    </xf>
    <xf numFmtId="4" fontId="101" fillId="0" borderId="74" xfId="0" applyNumberFormat="1" applyFont="1" applyFill="1" applyBorder="1" applyAlignment="1">
      <alignment horizontal="center"/>
    </xf>
    <xf numFmtId="37" fontId="2" fillId="0" borderId="73" xfId="0" applyNumberFormat="1" applyFont="1" applyFill="1" applyBorder="1" applyAlignment="1">
      <alignment horizontal="center"/>
    </xf>
    <xf numFmtId="37" fontId="2" fillId="0" borderId="0" xfId="0" applyNumberFormat="1" applyFont="1" applyFill="1" applyBorder="1" applyAlignment="1">
      <alignment horizontal="center"/>
    </xf>
    <xf numFmtId="37" fontId="2" fillId="0" borderId="74" xfId="0" applyNumberFormat="1" applyFont="1" applyFill="1" applyBorder="1" applyAlignment="1">
      <alignment horizontal="center"/>
    </xf>
    <xf numFmtId="169" fontId="50" fillId="0" borderId="16" xfId="0" applyNumberFormat="1" applyFont="1" applyFill="1" applyBorder="1" applyAlignment="1">
      <alignment horizontal="center"/>
    </xf>
    <xf numFmtId="169" fontId="50" fillId="0" borderId="17" xfId="0" applyNumberFormat="1" applyFont="1" applyFill="1" applyBorder="1" applyAlignment="1">
      <alignment horizontal="center"/>
    </xf>
    <xf numFmtId="169" fontId="101" fillId="0" borderId="17" xfId="0" applyNumberFormat="1" applyFont="1" applyFill="1" applyBorder="1" applyAlignment="1">
      <alignment horizontal="center"/>
    </xf>
    <xf numFmtId="169" fontId="101" fillId="0" borderId="72" xfId="0" applyNumberFormat="1" applyFont="1" applyFill="1" applyBorder="1" applyAlignment="1">
      <alignment horizontal="center"/>
    </xf>
    <xf numFmtId="169" fontId="101" fillId="0" borderId="74" xfId="0" applyNumberFormat="1" applyFont="1" applyFill="1" applyBorder="1" applyAlignment="1">
      <alignment horizontal="center"/>
    </xf>
    <xf numFmtId="5" fontId="2" fillId="0" borderId="74" xfId="0" applyNumberFormat="1" applyFont="1" applyFill="1" applyBorder="1" applyAlignment="1">
      <alignment horizontal="center"/>
    </xf>
    <xf numFmtId="37" fontId="2" fillId="7" borderId="5" xfId="0" applyFont="1" applyFill="1" applyBorder="1"/>
    <xf numFmtId="37" fontId="2" fillId="7" borderId="0" xfId="0" applyFont="1" applyFill="1" applyAlignment="1">
      <alignment horizontal="center"/>
    </xf>
    <xf numFmtId="37" fontId="2" fillId="7" borderId="17" xfId="0" applyFont="1" applyFill="1" applyBorder="1" applyAlignment="1">
      <alignment horizontal="center"/>
    </xf>
    <xf numFmtId="37" fontId="50" fillId="5" borderId="16" xfId="0" applyFont="1" applyFill="1" applyBorder="1" applyAlignment="1">
      <alignment horizontal="center"/>
    </xf>
    <xf numFmtId="37" fontId="50" fillId="5" borderId="17" xfId="0" applyFont="1" applyFill="1" applyBorder="1" applyAlignment="1">
      <alignment horizontal="center"/>
    </xf>
    <xf numFmtId="37" fontId="101" fillId="5" borderId="17" xfId="0" applyFont="1" applyFill="1" applyBorder="1" applyAlignment="1">
      <alignment horizontal="center"/>
    </xf>
    <xf numFmtId="37" fontId="2" fillId="5" borderId="7" xfId="0" applyFont="1" applyFill="1" applyBorder="1" applyAlignment="1">
      <alignment horizontal="center"/>
    </xf>
    <xf numFmtId="37" fontId="2" fillId="0" borderId="7" xfId="0" applyFont="1" applyFill="1" applyBorder="1" applyAlignment="1">
      <alignment horizontal="center"/>
    </xf>
    <xf numFmtId="7" fontId="2" fillId="5" borderId="7" xfId="0" applyNumberFormat="1" applyFont="1" applyFill="1" applyBorder="1" applyAlignment="1">
      <alignment horizontal="center"/>
    </xf>
    <xf numFmtId="7" fontId="50" fillId="5" borderId="78" xfId="0" applyNumberFormat="1" applyFont="1" applyFill="1" applyBorder="1" applyAlignment="1">
      <alignment horizontal="center"/>
    </xf>
    <xf numFmtId="7" fontId="50" fillId="5" borderId="95" xfId="0" applyNumberFormat="1" applyFont="1" applyFill="1" applyBorder="1" applyAlignment="1">
      <alignment horizontal="center"/>
    </xf>
    <xf numFmtId="7" fontId="50" fillId="5" borderId="80" xfId="0" applyNumberFormat="1" applyFont="1" applyFill="1" applyBorder="1" applyAlignment="1">
      <alignment horizontal="center"/>
    </xf>
    <xf numFmtId="37" fontId="2" fillId="5" borderId="10" xfId="0" quotePrefix="1" applyFont="1" applyFill="1" applyBorder="1" applyAlignment="1">
      <alignment horizontal="center"/>
    </xf>
    <xf numFmtId="171" fontId="2" fillId="5" borderId="10" xfId="28" applyNumberFormat="1" applyFont="1" applyFill="1" applyBorder="1" applyAlignment="1">
      <alignment horizontal="center"/>
    </xf>
    <xf numFmtId="9" fontId="50" fillId="5" borderId="15" xfId="28" applyNumberFormat="1" applyFont="1" applyFill="1" applyBorder="1" applyAlignment="1">
      <alignment horizontal="center"/>
    </xf>
    <xf numFmtId="9" fontId="50" fillId="5" borderId="15" xfId="28" quotePrefix="1" applyNumberFormat="1" applyFont="1" applyFill="1" applyBorder="1" applyAlignment="1">
      <alignment horizontal="center"/>
    </xf>
    <xf numFmtId="9" fontId="50" fillId="5" borderId="10" xfId="28" quotePrefix="1" applyNumberFormat="1" applyFont="1" applyFill="1" applyBorder="1" applyAlignment="1">
      <alignment horizontal="center"/>
    </xf>
    <xf numFmtId="9" fontId="101" fillId="5" borderId="15" xfId="28" quotePrefix="1" applyNumberFormat="1" applyFont="1" applyFill="1" applyBorder="1" applyAlignment="1">
      <alignment horizontal="center"/>
    </xf>
    <xf numFmtId="9" fontId="101" fillId="5" borderId="10" xfId="28" quotePrefix="1" applyNumberFormat="1" applyFont="1" applyFill="1" applyBorder="1" applyAlignment="1">
      <alignment horizontal="center"/>
    </xf>
    <xf numFmtId="37" fontId="2" fillId="2" borderId="0" xfId="0" applyNumberFormat="1" applyFont="1" applyFill="1" applyAlignment="1">
      <alignment horizontal="right" indent="1"/>
    </xf>
    <xf numFmtId="37" fontId="2" fillId="2" borderId="0" xfId="0" applyNumberFormat="1" applyFont="1" applyFill="1"/>
    <xf numFmtId="37" fontId="2" fillId="0" borderId="78" xfId="0" applyFont="1" applyFill="1" applyBorder="1" applyAlignment="1">
      <alignment horizontal="center"/>
    </xf>
    <xf numFmtId="37" fontId="2" fillId="0" borderId="95" xfId="0" applyFont="1" applyFill="1" applyBorder="1" applyAlignment="1">
      <alignment horizontal="center"/>
    </xf>
    <xf numFmtId="37" fontId="2" fillId="0" borderId="80" xfId="0" applyFont="1" applyFill="1" applyBorder="1" applyAlignment="1">
      <alignment horizontal="center"/>
    </xf>
    <xf numFmtId="7" fontId="2" fillId="0" borderId="10" xfId="0" applyNumberFormat="1" applyFont="1" applyFill="1" applyBorder="1" applyAlignment="1">
      <alignment horizontal="center"/>
    </xf>
    <xf numFmtId="5" fontId="2" fillId="0" borderId="10" xfId="0" applyNumberFormat="1" applyFont="1" applyFill="1" applyBorder="1" applyAlignment="1">
      <alignment horizontal="center"/>
    </xf>
    <xf numFmtId="5" fontId="2" fillId="0" borderId="15" xfId="0" applyNumberFormat="1" applyFont="1" applyFill="1" applyBorder="1" applyAlignment="1">
      <alignment horizontal="center"/>
    </xf>
    <xf numFmtId="169" fontId="50" fillId="0" borderId="10" xfId="0" applyNumberFormat="1" applyFont="1" applyFill="1" applyBorder="1" applyAlignment="1">
      <alignment horizontal="center"/>
    </xf>
    <xf numFmtId="169" fontId="50" fillId="0" borderId="15" xfId="0" applyNumberFormat="1" applyFont="1" applyFill="1" applyBorder="1" applyAlignment="1">
      <alignment horizontal="center"/>
    </xf>
    <xf numFmtId="169" fontId="101" fillId="0" borderId="15" xfId="0" applyNumberFormat="1" applyFont="1" applyFill="1" applyBorder="1" applyAlignment="1">
      <alignment horizontal="center"/>
    </xf>
    <xf numFmtId="169" fontId="101" fillId="0" borderId="10" xfId="0" applyNumberFormat="1" applyFont="1" applyFill="1" applyBorder="1" applyAlignment="1">
      <alignment horizontal="center"/>
    </xf>
    <xf numFmtId="5" fontId="2" fillId="0" borderId="8" xfId="0" applyNumberFormat="1" applyFont="1" applyFill="1" applyBorder="1" applyAlignment="1">
      <alignment horizontal="center"/>
    </xf>
    <xf numFmtId="5" fontId="2" fillId="0" borderId="9" xfId="0" applyNumberFormat="1" applyFont="1" applyFill="1" applyBorder="1" applyAlignment="1">
      <alignment horizontal="center"/>
    </xf>
    <xf numFmtId="37" fontId="103" fillId="0" borderId="0" xfId="0" applyFont="1" applyFill="1"/>
    <xf numFmtId="37" fontId="2" fillId="0" borderId="3" xfId="0" applyFont="1" applyFill="1" applyBorder="1"/>
    <xf numFmtId="169" fontId="2" fillId="0" borderId="7" xfId="0" applyNumberFormat="1" applyFont="1" applyFill="1" applyBorder="1" applyAlignment="1">
      <alignment horizontal="center"/>
    </xf>
    <xf numFmtId="5" fontId="2" fillId="0" borderId="7" xfId="0" applyNumberFormat="1" applyFont="1" applyFill="1" applyBorder="1" applyAlignment="1">
      <alignment horizontal="center"/>
    </xf>
    <xf numFmtId="5" fontId="2" fillId="0" borderId="11" xfId="0" applyNumberFormat="1" applyFont="1" applyFill="1" applyBorder="1" applyAlignment="1">
      <alignment horizontal="center"/>
    </xf>
    <xf numFmtId="169" fontId="50" fillId="0" borderId="7" xfId="0" applyNumberFormat="1" applyFont="1" applyFill="1" applyBorder="1" applyAlignment="1">
      <alignment horizontal="center"/>
    </xf>
    <xf numFmtId="169" fontId="50" fillId="0" borderId="11" xfId="0" applyNumberFormat="1" applyFont="1" applyFill="1" applyBorder="1" applyAlignment="1">
      <alignment horizontal="center"/>
    </xf>
    <xf numFmtId="169" fontId="50" fillId="0" borderId="76" xfId="0" applyNumberFormat="1" applyFont="1" applyFill="1" applyBorder="1" applyAlignment="1">
      <alignment horizontal="center"/>
    </xf>
    <xf numFmtId="169" fontId="101" fillId="0" borderId="11" xfId="0" applyNumberFormat="1" applyFont="1" applyFill="1" applyBorder="1" applyAlignment="1">
      <alignment horizontal="center"/>
    </xf>
    <xf numFmtId="169" fontId="101" fillId="0" borderId="80" xfId="0" applyNumberFormat="1" applyFont="1" applyFill="1" applyBorder="1" applyAlignment="1">
      <alignment horizontal="center"/>
    </xf>
    <xf numFmtId="5" fontId="2" fillId="0" borderId="78" xfId="0" applyNumberFormat="1" applyFont="1" applyFill="1" applyBorder="1" applyAlignment="1">
      <alignment horizontal="center"/>
    </xf>
    <xf numFmtId="5" fontId="2" fillId="0" borderId="95" xfId="0" applyNumberFormat="1" applyFont="1" applyFill="1" applyBorder="1" applyAlignment="1">
      <alignment horizontal="center"/>
    </xf>
    <xf numFmtId="5" fontId="2" fillId="0" borderId="80" xfId="0" applyNumberFormat="1" applyFont="1" applyFill="1" applyBorder="1" applyAlignment="1">
      <alignment horizontal="center"/>
    </xf>
    <xf numFmtId="37" fontId="2" fillId="0" borderId="21" xfId="0" quotePrefix="1" applyFont="1" applyFill="1" applyBorder="1" applyAlignment="1">
      <alignment horizontal="center"/>
    </xf>
    <xf numFmtId="169" fontId="2" fillId="0" borderId="21" xfId="0" applyNumberFormat="1" applyFont="1" applyFill="1" applyBorder="1" applyAlignment="1">
      <alignment horizontal="center"/>
    </xf>
    <xf numFmtId="169" fontId="2" fillId="0" borderId="0" xfId="0" applyNumberFormat="1" applyFont="1" applyFill="1"/>
    <xf numFmtId="169" fontId="2" fillId="0" borderId="0" xfId="0" applyNumberFormat="1" applyFont="1" applyFill="1" applyAlignment="1">
      <alignment horizontal="center"/>
    </xf>
    <xf numFmtId="169" fontId="2" fillId="0" borderId="20" xfId="0" applyNumberFormat="1" applyFont="1" applyFill="1" applyBorder="1" applyAlignment="1">
      <alignment horizontal="center"/>
    </xf>
    <xf numFmtId="169" fontId="50" fillId="0" borderId="21" xfId="0" applyNumberFormat="1" applyFont="1" applyFill="1" applyBorder="1" applyAlignment="1">
      <alignment horizontal="center"/>
    </xf>
    <xf numFmtId="5" fontId="2" fillId="0" borderId="21" xfId="0" applyNumberFormat="1" applyFont="1" applyFill="1" applyBorder="1" applyAlignment="1">
      <alignment horizontal="center"/>
    </xf>
    <xf numFmtId="169" fontId="50" fillId="0" borderId="74" xfId="0" applyNumberFormat="1" applyFont="1" applyFill="1" applyBorder="1" applyAlignment="1">
      <alignment horizontal="center"/>
    </xf>
    <xf numFmtId="169" fontId="2" fillId="0" borderId="10" xfId="0" applyNumberFormat="1" applyFont="1" applyFill="1" applyBorder="1" applyAlignment="1">
      <alignment horizontal="center"/>
    </xf>
    <xf numFmtId="169" fontId="2" fillId="0" borderId="15" xfId="0" applyNumberFormat="1" applyFont="1" applyFill="1" applyBorder="1" applyAlignment="1">
      <alignment horizontal="center"/>
    </xf>
    <xf numFmtId="169" fontId="50" fillId="0" borderId="48" xfId="0" applyNumberFormat="1" applyFont="1" applyFill="1" applyBorder="1" applyAlignment="1">
      <alignment horizontal="center"/>
    </xf>
    <xf numFmtId="169" fontId="101" fillId="0" borderId="48" xfId="0" applyNumberFormat="1" applyFont="1" applyFill="1" applyBorder="1" applyAlignment="1">
      <alignment horizontal="center"/>
    </xf>
    <xf numFmtId="5" fontId="2" fillId="0" borderId="30" xfId="0" applyNumberFormat="1" applyFont="1" applyFill="1" applyBorder="1" applyAlignment="1">
      <alignment horizontal="center"/>
    </xf>
    <xf numFmtId="5" fontId="2" fillId="0" borderId="31" xfId="0" applyNumberFormat="1" applyFont="1" applyFill="1" applyBorder="1" applyAlignment="1">
      <alignment horizontal="center"/>
    </xf>
    <xf numFmtId="5" fontId="2" fillId="0" borderId="47" xfId="0" applyNumberFormat="1" applyFont="1" applyFill="1" applyBorder="1" applyAlignment="1">
      <alignment horizontal="center"/>
    </xf>
    <xf numFmtId="37" fontId="103" fillId="7" borderId="0" xfId="0" applyFont="1" applyFill="1"/>
    <xf numFmtId="37" fontId="2" fillId="2" borderId="85" xfId="0" applyFont="1" applyFill="1" applyBorder="1"/>
    <xf numFmtId="0" fontId="51" fillId="3" borderId="81" xfId="0" applyNumberFormat="1" applyFont="1" applyFill="1" applyBorder="1" applyAlignment="1">
      <alignment horizontal="centerContinuous"/>
    </xf>
    <xf numFmtId="0" fontId="51" fillId="3" borderId="82" xfId="0" applyNumberFormat="1" applyFont="1" applyFill="1" applyBorder="1" applyAlignment="1">
      <alignment horizontal="centerContinuous"/>
    </xf>
    <xf numFmtId="0" fontId="51" fillId="3" borderId="83" xfId="0" applyNumberFormat="1" applyFont="1" applyFill="1" applyBorder="1" applyAlignment="1">
      <alignment horizontal="centerContinuous"/>
    </xf>
    <xf numFmtId="0" fontId="51" fillId="3" borderId="10" xfId="0" applyNumberFormat="1" applyFont="1" applyFill="1" applyBorder="1" applyAlignment="1">
      <alignment horizontal="centerContinuous"/>
    </xf>
    <xf numFmtId="0" fontId="51" fillId="3" borderId="74" xfId="0" applyNumberFormat="1" applyFont="1" applyFill="1" applyBorder="1" applyAlignment="1">
      <alignment horizontal="centerContinuous"/>
    </xf>
    <xf numFmtId="14" fontId="51" fillId="3" borderId="10" xfId="0" applyNumberFormat="1" applyFont="1" applyFill="1" applyBorder="1" applyAlignment="1">
      <alignment horizontal="centerContinuous"/>
    </xf>
    <xf numFmtId="0" fontId="51" fillId="3" borderId="12" xfId="0" quotePrefix="1" applyNumberFormat="1" applyFont="1" applyFill="1" applyBorder="1" applyAlignment="1">
      <alignment horizontal="center"/>
    </xf>
    <xf numFmtId="0" fontId="51" fillId="3" borderId="80" xfId="0" quotePrefix="1" applyNumberFormat="1" applyFont="1" applyFill="1" applyBorder="1" applyAlignment="1">
      <alignment horizontal="center"/>
    </xf>
    <xf numFmtId="37" fontId="2" fillId="0" borderId="16" xfId="0" quotePrefix="1" applyFont="1" applyFill="1" applyBorder="1" applyAlignment="1">
      <alignment horizontal="center"/>
    </xf>
    <xf numFmtId="171" fontId="86" fillId="0" borderId="16" xfId="28" quotePrefix="1" applyNumberFormat="1" applyFont="1" applyFill="1" applyBorder="1" applyAlignment="1">
      <alignment horizontal="center"/>
    </xf>
    <xf numFmtId="171" fontId="2" fillId="0" borderId="11" xfId="0" applyNumberFormat="1" applyFont="1" applyFill="1" applyBorder="1" applyAlignment="1">
      <alignment horizontal="center"/>
    </xf>
    <xf numFmtId="39" fontId="2" fillId="0" borderId="16" xfId="0" applyNumberFormat="1" applyFont="1" applyFill="1" applyBorder="1" applyAlignment="1">
      <alignment horizontal="center"/>
    </xf>
    <xf numFmtId="172" fontId="50" fillId="0" borderId="16" xfId="0" applyNumberFormat="1" applyFont="1" applyFill="1" applyBorder="1" applyAlignment="1">
      <alignment horizontal="center"/>
    </xf>
    <xf numFmtId="172" fontId="50" fillId="0" borderId="17" xfId="0" applyNumberFormat="1" applyFont="1" applyFill="1" applyBorder="1" applyAlignment="1">
      <alignment horizontal="center"/>
    </xf>
    <xf numFmtId="37" fontId="2" fillId="0" borderId="17" xfId="0" applyNumberFormat="1" applyFont="1" applyFill="1" applyBorder="1" applyAlignment="1">
      <alignment horizontal="center"/>
    </xf>
    <xf numFmtId="172" fontId="50" fillId="0" borderId="72" xfId="0" applyNumberFormat="1" applyFont="1" applyFill="1" applyBorder="1" applyAlignment="1">
      <alignment horizontal="center"/>
    </xf>
    <xf numFmtId="171" fontId="104" fillId="0" borderId="17" xfId="28" applyNumberFormat="1" applyFont="1" applyFill="1" applyBorder="1" applyAlignment="1">
      <alignment horizontal="center"/>
    </xf>
    <xf numFmtId="37" fontId="50" fillId="0" borderId="72" xfId="0" applyFont="1" applyFill="1" applyBorder="1" applyAlignment="1">
      <alignment horizontal="center"/>
    </xf>
    <xf numFmtId="10" fontId="86" fillId="0" borderId="16" xfId="28" applyFont="1" applyFill="1" applyBorder="1" applyAlignment="1">
      <alignment horizontal="center"/>
    </xf>
    <xf numFmtId="10" fontId="86" fillId="0" borderId="0" xfId="28" applyFont="1" applyFill="1" applyBorder="1" applyAlignment="1">
      <alignment horizontal="center"/>
    </xf>
    <xf numFmtId="10" fontId="86" fillId="0" borderId="17" xfId="28" applyFont="1" applyFill="1" applyBorder="1" applyAlignment="1">
      <alignment horizontal="center"/>
    </xf>
    <xf numFmtId="37" fontId="2" fillId="0" borderId="44" xfId="0" applyFont="1" applyFill="1" applyBorder="1" applyAlignment="1">
      <alignment horizontal="center"/>
    </xf>
    <xf numFmtId="171" fontId="2" fillId="0" borderId="44" xfId="28" applyNumberFormat="1" applyFont="1" applyFill="1" applyBorder="1" applyAlignment="1">
      <alignment horizontal="center"/>
    </xf>
    <xf numFmtId="171" fontId="2" fillId="0" borderId="23" xfId="0" applyNumberFormat="1" applyFont="1" applyFill="1" applyBorder="1" applyAlignment="1">
      <alignment horizontal="center"/>
    </xf>
    <xf numFmtId="171" fontId="2" fillId="0" borderId="6" xfId="0" applyNumberFormat="1" applyFont="1" applyFill="1" applyBorder="1" applyAlignment="1">
      <alignment horizontal="centerContinuous"/>
    </xf>
    <xf numFmtId="171" fontId="2" fillId="0" borderId="96" xfId="0" applyNumberFormat="1" applyFont="1" applyFill="1" applyBorder="1" applyAlignment="1">
      <alignment horizontal="centerContinuous"/>
    </xf>
    <xf numFmtId="7" fontId="2" fillId="0" borderId="16" xfId="0" applyNumberFormat="1" applyFont="1" applyFill="1" applyBorder="1" applyAlignment="1">
      <alignment horizontal="center"/>
    </xf>
    <xf numFmtId="173" fontId="2" fillId="0" borderId="16" xfId="28" applyNumberFormat="1" applyFont="1" applyFill="1" applyBorder="1" applyAlignment="1">
      <alignment horizontal="center"/>
    </xf>
    <xf numFmtId="10" fontId="86" fillId="0" borderId="10" xfId="28" applyFont="1" applyFill="1" applyBorder="1" applyAlignment="1">
      <alignment horizontal="center"/>
    </xf>
    <xf numFmtId="10" fontId="86" fillId="0" borderId="15" xfId="28" applyFont="1" applyFill="1" applyBorder="1" applyAlignment="1">
      <alignment horizontal="center"/>
    </xf>
    <xf numFmtId="10" fontId="90" fillId="0" borderId="10" xfId="28" applyFont="1" applyFill="1" applyBorder="1" applyAlignment="1">
      <alignment horizontal="center"/>
    </xf>
    <xf numFmtId="10" fontId="86" fillId="0" borderId="48" xfId="28" applyFont="1" applyFill="1" applyBorder="1" applyAlignment="1">
      <alignment horizontal="center"/>
    </xf>
    <xf numFmtId="10" fontId="90" fillId="0" borderId="48" xfId="28" applyFont="1" applyFill="1" applyBorder="1" applyAlignment="1">
      <alignment horizontal="center"/>
    </xf>
    <xf numFmtId="10" fontId="97" fillId="0" borderId="48" xfId="28" applyFont="1" applyFill="1" applyBorder="1" applyAlignment="1">
      <alignment horizontal="center"/>
    </xf>
    <xf numFmtId="10" fontId="86" fillId="0" borderId="30" xfId="28" applyFont="1" applyFill="1" applyBorder="1" applyAlignment="1">
      <alignment horizontal="center"/>
    </xf>
    <xf numFmtId="10" fontId="86" fillId="0" borderId="31" xfId="28" applyFont="1" applyFill="1" applyBorder="1" applyAlignment="1">
      <alignment horizontal="center"/>
    </xf>
    <xf numFmtId="10" fontId="86" fillId="0" borderId="47" xfId="28" applyFont="1" applyFill="1" applyBorder="1" applyAlignment="1">
      <alignment horizontal="center"/>
    </xf>
    <xf numFmtId="37" fontId="2" fillId="7" borderId="0" xfId="0" applyFont="1" applyFill="1" applyBorder="1"/>
    <xf numFmtId="37" fontId="2" fillId="7" borderId="0" xfId="0" applyFont="1" applyFill="1" applyBorder="1" applyAlignment="1">
      <alignment horizontal="center"/>
    </xf>
    <xf numFmtId="10" fontId="86" fillId="7" borderId="0" xfId="28" applyFont="1" applyFill="1" applyBorder="1" applyAlignment="1">
      <alignment horizontal="center"/>
    </xf>
    <xf numFmtId="37" fontId="2" fillId="7" borderId="9" xfId="0" applyFont="1" applyFill="1" applyBorder="1" applyAlignment="1">
      <alignment horizontal="center"/>
    </xf>
    <xf numFmtId="10" fontId="90" fillId="7" borderId="9" xfId="28" applyFont="1" applyFill="1" applyBorder="1" applyAlignment="1">
      <alignment horizontal="center"/>
    </xf>
    <xf numFmtId="10" fontId="86" fillId="7" borderId="9" xfId="28" applyFont="1" applyFill="1" applyBorder="1" applyAlignment="1">
      <alignment horizontal="center"/>
    </xf>
    <xf numFmtId="10" fontId="104" fillId="7" borderId="9" xfId="28" applyFont="1" applyFill="1" applyBorder="1" applyAlignment="1">
      <alignment horizontal="center"/>
    </xf>
    <xf numFmtId="37" fontId="2" fillId="2" borderId="14" xfId="0" applyFont="1" applyFill="1" applyBorder="1"/>
    <xf numFmtId="14" fontId="51" fillId="3" borderId="12" xfId="0" applyNumberFormat="1" applyFont="1" applyFill="1" applyBorder="1" applyAlignment="1">
      <alignment horizontal="centerContinuous"/>
    </xf>
    <xf numFmtId="171" fontId="90" fillId="0" borderId="11" xfId="28" quotePrefix="1" applyNumberFormat="1" applyFont="1" applyFill="1" applyBorder="1" applyAlignment="1">
      <alignment horizontal="center"/>
    </xf>
    <xf numFmtId="171" fontId="90" fillId="0" borderId="75" xfId="28" quotePrefix="1" applyNumberFormat="1" applyFont="1" applyFill="1" applyBorder="1" applyAlignment="1">
      <alignment horizontal="center"/>
    </xf>
    <xf numFmtId="10" fontId="90" fillId="0" borderId="16" xfId="28" applyNumberFormat="1" applyFont="1" applyFill="1" applyBorder="1" applyAlignment="1">
      <alignment horizontal="center"/>
    </xf>
    <xf numFmtId="10" fontId="90" fillId="0" borderId="0" xfId="28" applyNumberFormat="1" applyFont="1" applyFill="1" applyBorder="1" applyAlignment="1">
      <alignment horizontal="center"/>
    </xf>
    <xf numFmtId="37" fontId="2" fillId="0" borderId="44" xfId="0" quotePrefix="1" applyFont="1" applyFill="1" applyBorder="1" applyAlignment="1">
      <alignment horizontal="center"/>
    </xf>
    <xf numFmtId="171" fontId="50" fillId="0" borderId="44" xfId="28" quotePrefix="1" applyNumberFormat="1" applyFont="1" applyFill="1" applyBorder="1" applyAlignment="1">
      <alignment horizontal="center"/>
    </xf>
    <xf numFmtId="173" fontId="2" fillId="0" borderId="16" xfId="0" applyNumberFormat="1" applyFont="1" applyFill="1" applyBorder="1" applyAlignment="1">
      <alignment horizontal="center"/>
    </xf>
    <xf numFmtId="171" fontId="2" fillId="0" borderId="17" xfId="0" applyNumberFormat="1" applyFont="1" applyFill="1" applyBorder="1" applyAlignment="1">
      <alignment horizontal="center"/>
    </xf>
    <xf numFmtId="171" fontId="2" fillId="0" borderId="73" xfId="0" applyNumberFormat="1" applyFont="1" applyFill="1" applyBorder="1" applyAlignment="1">
      <alignment horizontal="center"/>
    </xf>
    <xf numFmtId="171" fontId="2" fillId="0" borderId="0" xfId="0" applyNumberFormat="1" applyFont="1" applyFill="1" applyBorder="1" applyAlignment="1">
      <alignment horizontal="center"/>
    </xf>
    <xf numFmtId="171" fontId="2" fillId="0" borderId="74" xfId="0" applyNumberFormat="1" applyFont="1" applyFill="1" applyBorder="1" applyAlignment="1">
      <alignment horizontal="center"/>
    </xf>
    <xf numFmtId="10" fontId="90" fillId="0" borderId="9" xfId="28" applyFont="1" applyFill="1" applyBorder="1" applyAlignment="1">
      <alignment horizontal="center"/>
    </xf>
    <xf numFmtId="10" fontId="2" fillId="0" borderId="48" xfId="0" applyNumberFormat="1" applyFont="1" applyFill="1" applyBorder="1" applyAlignment="1">
      <alignment horizontal="center"/>
    </xf>
    <xf numFmtId="10" fontId="2" fillId="0" borderId="30" xfId="0" applyNumberFormat="1" applyFont="1" applyFill="1" applyBorder="1" applyAlignment="1">
      <alignment horizontal="center"/>
    </xf>
    <xf numFmtId="10" fontId="2" fillId="0" borderId="31" xfId="0" applyNumberFormat="1" applyFont="1" applyFill="1" applyBorder="1" applyAlignment="1">
      <alignment horizontal="center"/>
    </xf>
    <xf numFmtId="10" fontId="2" fillId="0" borderId="47" xfId="0" applyNumberFormat="1" applyFont="1" applyFill="1" applyBorder="1" applyAlignment="1">
      <alignment horizontal="center"/>
    </xf>
    <xf numFmtId="7" fontId="2" fillId="2" borderId="0" xfId="0" applyNumberFormat="1" applyFont="1" applyFill="1" applyAlignment="1">
      <alignment horizontal="center"/>
    </xf>
    <xf numFmtId="171" fontId="50" fillId="0" borderId="6" xfId="0" applyNumberFormat="1" applyFont="1" applyFill="1" applyBorder="1" applyAlignment="1">
      <alignment horizontal="centerContinuous"/>
    </xf>
    <xf numFmtId="171" fontId="50" fillId="0" borderId="96" xfId="0" applyNumberFormat="1" applyFont="1" applyFill="1" applyBorder="1" applyAlignment="1">
      <alignment horizontal="centerContinuous"/>
    </xf>
    <xf numFmtId="177" fontId="50" fillId="0" borderId="74" xfId="0" applyNumberFormat="1" applyFont="1" applyFill="1" applyBorder="1" applyAlignment="1">
      <alignment horizontal="center"/>
    </xf>
    <xf numFmtId="177" fontId="50" fillId="0" borderId="73" xfId="28" applyNumberFormat="1" applyFont="1" applyFill="1" applyBorder="1" applyAlignment="1">
      <alignment horizontal="center"/>
    </xf>
    <xf numFmtId="177" fontId="50" fillId="0" borderId="0" xfId="28" applyNumberFormat="1" applyFont="1" applyFill="1" applyBorder="1" applyAlignment="1">
      <alignment horizontal="center"/>
    </xf>
    <xf numFmtId="177" fontId="50" fillId="0" borderId="16" xfId="28" applyNumberFormat="1" applyFont="1" applyFill="1" applyBorder="1" applyAlignment="1">
      <alignment horizontal="center"/>
    </xf>
    <xf numFmtId="173" fontId="22" fillId="2" borderId="0" xfId="8" applyNumberFormat="1" applyFont="1" applyFill="1" applyBorder="1"/>
    <xf numFmtId="4" fontId="22" fillId="2" borderId="0" xfId="8" applyNumberFormat="1" applyFont="1" applyFill="1" applyBorder="1"/>
    <xf numFmtId="4" fontId="22" fillId="2" borderId="17" xfId="8" applyNumberFormat="1" applyFont="1" applyFill="1" applyBorder="1" applyAlignment="1">
      <alignment horizontal="right"/>
    </xf>
    <xf numFmtId="168" fontId="22" fillId="2" borderId="74" xfId="6" applyNumberFormat="1" applyFont="1" applyFill="1" applyBorder="1"/>
    <xf numFmtId="171" fontId="33" fillId="7" borderId="74" xfId="11" applyNumberFormat="1" applyFont="1" applyFill="1" applyBorder="1" applyAlignment="1">
      <alignment horizontal="right"/>
    </xf>
    <xf numFmtId="170" fontId="23" fillId="2" borderId="9" xfId="6" applyNumberFormat="1" applyFont="1" applyFill="1" applyBorder="1"/>
    <xf numFmtId="0" fontId="2" fillId="7" borderId="0" xfId="44" applyFont="1" applyFill="1" applyAlignment="1">
      <alignment vertical="top"/>
    </xf>
    <xf numFmtId="0" fontId="2" fillId="7" borderId="0" xfId="43" applyFill="1" applyAlignment="1">
      <alignment vertical="top"/>
    </xf>
    <xf numFmtId="0" fontId="2" fillId="7" borderId="0" xfId="43" applyFill="1"/>
    <xf numFmtId="0" fontId="83" fillId="7" borderId="0" xfId="44" applyFont="1" applyFill="1" applyAlignment="1">
      <alignment horizontal="left" vertical="top"/>
    </xf>
    <xf numFmtId="0" fontId="2" fillId="7" borderId="0" xfId="43" applyFont="1" applyFill="1" applyAlignment="1">
      <alignment vertical="top"/>
    </xf>
    <xf numFmtId="0" fontId="86" fillId="7" borderId="0" xfId="44" applyFont="1" applyFill="1" applyAlignment="1">
      <alignment vertical="top"/>
    </xf>
    <xf numFmtId="37" fontId="5" fillId="7" borderId="0" xfId="0" applyFont="1" applyFill="1" applyAlignment="1">
      <alignment vertical="top"/>
    </xf>
    <xf numFmtId="37" fontId="106" fillId="7" borderId="0" xfId="0" applyFont="1" applyFill="1" applyAlignment="1">
      <alignment vertical="top"/>
    </xf>
    <xf numFmtId="37" fontId="107" fillId="7" borderId="0" xfId="0" applyFont="1" applyFill="1" applyAlignment="1">
      <alignment vertical="top"/>
    </xf>
    <xf numFmtId="37" fontId="107" fillId="7" borderId="0" xfId="0" applyFont="1" applyFill="1" applyAlignment="1">
      <alignment vertical="top"/>
    </xf>
    <xf numFmtId="37" fontId="106" fillId="7" borderId="0" xfId="0" applyFont="1" applyFill="1" applyAlignment="1">
      <alignment vertical="top"/>
    </xf>
    <xf numFmtId="37" fontId="5" fillId="7" borderId="0" xfId="0" applyFont="1" applyFill="1" applyAlignment="1">
      <alignment vertical="top"/>
    </xf>
    <xf numFmtId="37" fontId="5" fillId="7" borderId="102" xfId="0" applyFont="1" applyFill="1" applyBorder="1" applyAlignment="1">
      <alignment vertical="top"/>
    </xf>
    <xf numFmtId="37" fontId="106" fillId="7" borderId="98" xfId="0" applyFont="1" applyFill="1" applyBorder="1" applyAlignment="1">
      <alignment vertical="top"/>
    </xf>
    <xf numFmtId="37" fontId="106" fillId="7" borderId="99" xfId="0" applyFont="1" applyFill="1" applyBorder="1" applyAlignment="1">
      <alignment vertical="top"/>
    </xf>
    <xf numFmtId="37" fontId="106" fillId="7" borderId="100" xfId="0" applyFont="1" applyFill="1" applyBorder="1" applyAlignment="1">
      <alignment vertical="top"/>
    </xf>
    <xf numFmtId="37" fontId="106" fillId="7" borderId="101" xfId="0" applyFont="1" applyFill="1" applyBorder="1" applyAlignment="1">
      <alignment vertical="top"/>
    </xf>
    <xf numFmtId="37" fontId="5" fillId="7" borderId="103" xfId="0" applyFont="1" applyFill="1" applyBorder="1" applyAlignment="1">
      <alignment vertical="top"/>
    </xf>
    <xf numFmtId="2" fontId="2" fillId="0" borderId="0" xfId="43" applyNumberFormat="1" applyAlignment="1">
      <alignment horizontal="left"/>
    </xf>
    <xf numFmtId="0" fontId="2" fillId="0" borderId="0" xfId="43" applyNumberFormat="1" applyAlignment="1">
      <alignment horizontal="left"/>
    </xf>
    <xf numFmtId="1" fontId="2" fillId="0" borderId="0" xfId="43" applyNumberFormat="1" applyAlignment="1">
      <alignment horizontal="left"/>
    </xf>
    <xf numFmtId="0" fontId="2" fillId="0" borderId="0" xfId="43" applyFont="1"/>
    <xf numFmtId="222" fontId="2" fillId="0" borderId="0" xfId="43" applyNumberFormat="1" applyAlignment="1">
      <alignment horizontal="left"/>
    </xf>
    <xf numFmtId="49" fontId="2" fillId="0" borderId="0" xfId="43" applyNumberFormat="1"/>
    <xf numFmtId="0" fontId="108" fillId="0" borderId="0" xfId="43" applyFont="1" applyAlignment="1">
      <alignment wrapText="1"/>
    </xf>
    <xf numFmtId="0" fontId="108" fillId="0" borderId="0" xfId="43" applyFont="1" applyAlignment="1">
      <alignment horizontal="left" wrapText="1" indent="3"/>
    </xf>
    <xf numFmtId="0" fontId="108" fillId="0" borderId="0" xfId="43" applyFont="1" applyAlignment="1">
      <alignment horizontal="left" wrapText="1" indent="1"/>
    </xf>
    <xf numFmtId="0" fontId="110" fillId="0" borderId="0" xfId="43" applyFont="1" applyAlignment="1">
      <alignment wrapText="1"/>
    </xf>
  </cellXfs>
  <cellStyles count="45">
    <cellStyle name=" 1" xfId="40"/>
    <cellStyle name="******************************************" xfId="1"/>
    <cellStyle name="******************************************_CHSI.O" xfId="2"/>
    <cellStyle name="_SUMMARY " xfId="3"/>
    <cellStyle name="0_Capex &amp; Depreciation " xfId="4"/>
    <cellStyle name="0_Quarterly " xfId="41"/>
    <cellStyle name="0_Valuing BP " xfId="5"/>
    <cellStyle name="Background" xfId="6"/>
    <cellStyle name="Background 2" xfId="7"/>
    <cellStyle name="Background 2 2" xfId="8"/>
    <cellStyle name="Background 3" xfId="9"/>
    <cellStyle name="Background 4" xfId="10"/>
    <cellStyle name="Blue" xfId="11"/>
    <cellStyle name="c_HardInc " xfId="12"/>
    <cellStyle name="Comma" xfId="13" builtinId="3"/>
    <cellStyle name="Comma 2" xfId="14"/>
    <cellStyle name="Comma 2 2" xfId="39"/>
    <cellStyle name="Currency" xfId="15" builtinId="4"/>
    <cellStyle name="Currency 2" xfId="42"/>
    <cellStyle name="Currency 3 2" xfId="38"/>
    <cellStyle name="Currency_CVS" xfId="16"/>
    <cellStyle name="Hyperlink" xfId="17" builtinId="8"/>
    <cellStyle name="Input" xfId="18" builtinId="20" customBuiltin="1"/>
    <cellStyle name="Multiple" xfId="20"/>
    <cellStyle name="Normal" xfId="0" builtinId="0" customBuiltin="1"/>
    <cellStyle name="Normal 3" xfId="21"/>
    <cellStyle name="Normal 4 2" xfId="37"/>
    <cellStyle name="Normal 4 3" xfId="43"/>
    <cellStyle name="Normal 6" xfId="35"/>
    <cellStyle name="Normal_AGNwk-old" xfId="22"/>
    <cellStyle name="Normal_DG" xfId="23"/>
    <cellStyle name="Normal_DisclaimerSheet Samples" xfId="44"/>
    <cellStyle name="Normal_DLTR" xfId="24"/>
    <cellStyle name="Normal_Drugstore Gross Margin Analysis" xfId="25"/>
    <cellStyle name="Normal_sheet" xfId="26"/>
    <cellStyle name="p " xfId="27"/>
    <cellStyle name="Percent" xfId="28" builtinId="5"/>
    <cellStyle name="Percent 2" xfId="29"/>
    <cellStyle name="Percent_CHSI.O" xfId="30"/>
    <cellStyle name="Percent_DG" xfId="31"/>
    <cellStyle name="RRSInstruction" xfId="19"/>
    <cellStyle name="RRSInstruction 3" xfId="36"/>
    <cellStyle name="s_HardInc " xfId="32"/>
    <cellStyle name="s_Valuation " xfId="33"/>
    <cellStyle name="ssp " xfId="34"/>
  </cellStyles>
  <dxfs count="0"/>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Lst>
</styleSheet>
</file>

<file path=xl/volatileDependencies.xml><?xml version="1.0" encoding="utf-8"?>
<volTypes xmlns="http://schemas.openxmlformats.org/spreadsheetml/2006/main">
  <volType type="realTimeData">
    <main first="thomsononeaddinshim.rtdformula">
      <tp t="s">
        <v xml:space="preserve">$79.12 </v>
        <stp/>
        <stp>0709b1a4-9887-4154-8706-c0d3859a96f2</stp>
        <tr r="DN333" s="3"/>
      </tp>
      <tp t="s">
        <v>Manual Calculation</v>
        <stp/>
        <stp>b81b05da-85cf-4469-bf62-475f4f9b7b4e</stp>
        <tr r="CT333" s="3"/>
      </tp>
      <tp t="s">
        <v xml:space="preserve">$79.87 </v>
        <stp/>
        <stp>358d03bc-3fd6-4198-a705-20451247c5ae</stp>
        <tr r="DF333" s="3"/>
      </tp>
      <tp t="s">
        <v xml:space="preserve">$102.21 </v>
        <stp/>
        <stp>8f38fae6-838e-4dd9-ab17-297aa120e40f</stp>
        <tr r="CW333" s="3"/>
      </tp>
      <tp t="s">
        <v>Manual Calculation</v>
        <stp/>
        <stp>1942978a-5440-4481-ab5b-21ba6a340d9d</stp>
        <tr r="CF333" s="3"/>
      </tp>
      <tp t="s">
        <v xml:space="preserve">$79.12 </v>
        <stp/>
        <stp>6242d744-1923-4c89-9ae4-0f94729e40ee</stp>
        <tr r="DI333" s="3"/>
      </tp>
      <tp t="s">
        <v>Manual Calculation</v>
        <stp/>
        <stp>95faaf84-d9b3-455e-aa49-a8431bae402f</stp>
        <tr r="CB333" s="3"/>
      </tp>
      <tp t="s">
        <v xml:space="preserve">$105.21 </v>
        <stp/>
        <stp>a162b012-8372-4b46-8730-4a3dbdb15411</stp>
        <tr r="CX333" s="3"/>
      </tp>
      <tp t="s">
        <v xml:space="preserve">$79.37 </v>
        <stp/>
        <stp>db5f1847-6dd6-4fc6-8f12-6b0d77e29340</stp>
        <tr r="DQ333" s="3"/>
      </tp>
      <tp t="s">
        <v xml:space="preserve">$101.62 </v>
        <stp/>
        <stp>6d535460-9410-42a4-895d-6a26fa6adfee</stp>
        <tr r="CZ333" s="3"/>
      </tp>
      <tp t="s">
        <v xml:space="preserve">$94.39 </v>
        <stp/>
        <stp>7f130056-da69-4dbe-a778-b820d312debc</stp>
        <tr r="DC333" s="3"/>
      </tp>
      <tp t="s">
        <v xml:space="preserve">$79.57 </v>
        <stp/>
        <stp>8d5983fd-d4d5-4ded-bff8-0ea1669a0bb9</stp>
        <tr r="DP333" s="3"/>
      </tp>
      <tp t="s">
        <v xml:space="preserve">$79.12 </v>
        <stp/>
        <stp>dddfff29-10f1-48db-8040-cb8c4a736f19</stp>
        <tr r="DX333" s="3"/>
      </tp>
      <tp t="s">
        <v xml:space="preserve">$79.12 </v>
        <stp/>
        <stp>362c007d-a608-46d4-bd6e-765245e29f6f</stp>
        <tr r="DT333" s="3"/>
      </tp>
      <tp t="s">
        <v xml:space="preserve">$79.37 </v>
        <stp/>
        <stp>433dcec4-3b01-4bf1-bed3-dabb46c06f21</stp>
        <tr r="DL333" s="3"/>
      </tp>
      <tp t="s">
        <v xml:space="preserve">$101.17 </v>
        <stp/>
        <stp>1bd8b05c-dbb9-4ccd-befe-2b1bbf491353</stp>
        <tr r="CV333" s="3"/>
      </tp>
      <tp t="s">
        <v>Manual Calculation</v>
        <stp/>
        <stp>a4f77073-caac-4a8a-ae13-7f5bd503ba29</stp>
        <tr r="CJ333" s="3"/>
      </tp>
      <tp t="s">
        <v>Manual Calculation</v>
        <stp/>
        <stp>ac0dd37b-3cc5-4da5-8845-84da6c87b3a6</stp>
        <tr r="CG333" s="3"/>
      </tp>
      <tp t="s">
        <v xml:space="preserve">$79.57 </v>
        <stp/>
        <stp>e57a7153-195a-4b2e-8129-a64a81bbdb70</stp>
        <tr r="DU333" s="3"/>
      </tp>
      <tp t="s">
        <v xml:space="preserve">$80.78 </v>
        <stp/>
        <stp>0b266f34-c269-42ac-8edb-b7bd541c9da7</stp>
        <tr r="DD333" s="3"/>
      </tp>
      <tp t="s">
        <v>Manual Calculation</v>
        <stp/>
        <stp>14a792b8-50e0-424f-8148-c39c7abdd453</stp>
        <tr r="CS333" s="3"/>
      </tp>
      <tp t="s">
        <v xml:space="preserve">$79.12 </v>
        <stp/>
        <stp>ad41a44f-22b9-4025-aa62-023d92262fef</stp>
        <tr r="DW333" s="3"/>
      </tp>
      <tp t="s">
        <v xml:space="preserve">$79.12 </v>
        <stp/>
        <stp>37a9689e-b958-4b0e-8742-93ee00f51897</stp>
        <tr r="DO333" s="3"/>
      </tp>
      <tp t="s">
        <v xml:space="preserve">$79.37 </v>
        <stp/>
        <stp>833ad03d-1747-4164-936d-5f1f339dbb56</stp>
        <tr r="DG333" s="3"/>
      </tp>
      <tp t="s">
        <v>Manual Calculation</v>
        <stp/>
        <stp>50bc81b2-37c9-4c9b-818f-b75096463192</stp>
        <tr r="CL333" s="3"/>
      </tp>
      <tp t="s">
        <v xml:space="preserve">$99.62 </v>
        <stp/>
        <stp>44dbc419-a5a9-4f2d-a489-d069bdba51ec</stp>
        <tr r="DB333" s="3"/>
      </tp>
      <tp t="s">
        <v xml:space="preserve">$79.57 </v>
        <stp/>
        <stp>9864ab01-5c4f-4a74-9824-4471dcfeff2c</stp>
        <tr r="DK333" s="3"/>
      </tp>
      <tp t="s">
        <v xml:space="preserve">$79.37 </v>
        <stp/>
        <stp>980d06a2-205e-4183-b304-b0c8758feb6b</stp>
        <tr r="DJ333" s="3"/>
      </tp>
      <tp t="s">
        <v xml:space="preserve">$97.89 </v>
        <stp/>
        <stp>c42a923a-a738-43ba-ba2a-2252ae62699e</stp>
        <tr r="CY333" s="3"/>
      </tp>
      <tp t="s">
        <v>Manual Calculation</v>
        <stp/>
        <stp>f71094ee-ccc0-48db-a727-cf8798dff5a7</stp>
        <tr r="CP333" s="3"/>
      </tp>
      <tp t="s">
        <v>Manual Calculation</v>
        <stp/>
        <stp>6296c1f0-2bea-4849-97b3-c42b558117b4</stp>
        <tr r="CH333" s="3"/>
      </tp>
      <tp t="s">
        <v>Manual Calculation</v>
        <stp/>
        <stp>d1c28522-6fc3-474c-8dc9-488a637fadeb</stp>
        <tr r="CD333" s="3"/>
      </tp>
      <tp t="s">
        <v>Manual Calculation</v>
        <stp/>
        <stp>f4a15d81-cba1-44e4-aefb-905e447c285d</stp>
        <tr r="CK333" s="3"/>
      </tp>
      <tp t="s">
        <v>Manual Calculation</v>
        <stp/>
        <stp>c25c470b-8ed9-44a4-b0c2-3ac4d4adeaba</stp>
        <tr r="CM333" s="3"/>
      </tp>
      <tp t="s">
        <v xml:space="preserve">$79.12 </v>
        <stp/>
        <stp>5e85a7c8-3107-4158-a17a-e47192fc86ce</stp>
        <tr r="DS333" s="3"/>
      </tp>
      <tp t="s">
        <v xml:space="preserve">$79.12 </v>
        <stp/>
        <stp>7bc03659-0f29-4453-89f0-b0e330c56aa8</stp>
        <tr r="DH333" s="3"/>
      </tp>
      <tp t="s">
        <v>Manual Calculation</v>
        <stp/>
        <stp>58ad5f3d-dc8a-4f72-9294-b7566b0f740c</stp>
        <tr r="CO333" s="3"/>
      </tp>
      <tp t="s">
        <v>Manual Calculation</v>
        <stp/>
        <stp>ea5d1484-c491-4536-93c2-4cb875ff9e80</stp>
        <tr r="CU333" s="3"/>
      </tp>
      <tp t="s">
        <v xml:space="preserve">$79.12 </v>
        <stp/>
        <stp>113fa785-844c-46f2-a870-a6db096dae4c</stp>
        <tr r="DY333" s="3"/>
      </tp>
      <tp t="s">
        <v>Manual Calculation</v>
        <stp/>
        <stp>a8234873-b011-4dd4-adc8-2772bde37776</stp>
        <tr r="CR333" s="3"/>
      </tp>
      <tp t="s">
        <v xml:space="preserve">$92.99 </v>
        <stp/>
        <stp>356f73d2-0be5-436e-a09e-c38a304c2813</stp>
        <tr r="DE333" s="3"/>
      </tp>
      <tp t="s">
        <v xml:space="preserve">$79.12 </v>
        <stp/>
        <stp>50c7f579-7cad-4d47-916f-a0cae1cb6cf7</stp>
        <tr r="DM333" s="3"/>
      </tp>
      <tp t="s">
        <v xml:space="preserve">$97.23 </v>
        <stp/>
        <stp>209b1381-45d8-4b41-a7c8-7f81aaea318d</stp>
        <tr r="DA333" s="3"/>
      </tp>
      <tp t="s">
        <v>Manual Calculation</v>
        <stp/>
        <stp>61b47cd1-0864-4d15-ab2e-467b7e258e1a</stp>
        <tr r="CI333" s="3"/>
      </tp>
      <tp t="s">
        <v>Manual Calculation</v>
        <stp/>
        <stp>41ca4e85-c157-40ef-bd08-3fefa05e9d23</stp>
        <tr r="CQ333" s="3"/>
      </tp>
      <tp t="s">
        <v>Manual Calculation</v>
        <stp/>
        <stp>a6becef1-21c5-4fe9-879f-9ac72c528023</stp>
        <tr r="CE333" s="3"/>
      </tp>
      <tp t="s">
        <v xml:space="preserve">$79.12 </v>
        <stp/>
        <stp>b82c13f2-9cef-46a3-b1ab-52956ea01d80</stp>
        <tr r="DR333" s="3"/>
      </tp>
      <tp t="s">
        <v>Manual Calculation</v>
        <stp/>
        <stp>36bd168f-e695-48fb-9f0a-455c12412c1f</stp>
        <tr r="CC333" s="3"/>
      </tp>
      <tp t="s">
        <v>Manual Calculation</v>
        <stp/>
        <stp>0c1af858-e7bc-4c8e-be93-b5897c56ebc2</stp>
        <tr r="CN333" s="3"/>
      </tp>
      <tp t="s">
        <v xml:space="preserve">$79.37 </v>
        <stp/>
        <stp>a849a8b1-ec18-46ff-99d0-21278a177a84</stp>
        <tr r="DV333" s="3"/>
      </tp>
    </main>
  </volType>
</volTypes>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worksheets/sheet14.xml" Type="http://schemas.openxmlformats.org/officeDocument/2006/relationships/worksheet"/>
<Relationship Id="rId15" Target="externalLinks/externalLink1.xml" Type="http://schemas.openxmlformats.org/officeDocument/2006/relationships/externalLink"/>
<Relationship Id="rId16" Target="externalLinks/externalLink2.xml" Type="http://schemas.openxmlformats.org/officeDocument/2006/relationships/externalLink"/>
<Relationship Id="rId17" Target="externalLinks/externalLink3.xml" Type="http://schemas.openxmlformats.org/officeDocument/2006/relationships/externalLink"/>
<Relationship Id="rId18" Target="externalLinks/externalLink4.xml" Type="http://schemas.openxmlformats.org/officeDocument/2006/relationships/externalLink"/>
<Relationship Id="rId19" Target="externalLinks/externalLink5.xml" Type="http://schemas.openxmlformats.org/officeDocument/2006/relationships/externalLink"/>
<Relationship Id="rId2" Target="worksheets/sheet2.xml" Type="http://schemas.openxmlformats.org/officeDocument/2006/relationships/worksheet"/>
<Relationship Id="rId20" Target="externalLinks/externalLink6.xml" Type="http://schemas.openxmlformats.org/officeDocument/2006/relationships/externalLink"/>
<Relationship Id="rId21" Target="externalLinks/externalLink7.xml" Type="http://schemas.openxmlformats.org/officeDocument/2006/relationships/externalLink"/>
<Relationship Id="rId22" Target="externalLinks/externalLink8.xml" Type="http://schemas.openxmlformats.org/officeDocument/2006/relationships/externalLink"/>
<Relationship Id="rId23" Target="externalLinks/externalLink9.xml" Type="http://schemas.openxmlformats.org/officeDocument/2006/relationships/externalLink"/>
<Relationship Id="rId24" Target="externalLinks/externalLink10.xml" Type="http://schemas.openxmlformats.org/officeDocument/2006/relationships/externalLink"/>
<Relationship Id="rId25" Target="theme/theme1.xml" Type="http://schemas.openxmlformats.org/officeDocument/2006/relationships/theme"/>
<Relationship Id="rId26" Target="connections.xml" Type="http://schemas.openxmlformats.org/officeDocument/2006/relationships/connections"/>
<Relationship Id="rId27" Target="styles.xml" Type="http://schemas.openxmlformats.org/officeDocument/2006/relationships/styles"/>
<Relationship Id="rId28" Target="sharedStrings.xml" Type="http://schemas.openxmlformats.org/officeDocument/2006/relationships/sharedStrings"/>
<Relationship Id="rId29" Target="calcChain.xml" Type="http://schemas.openxmlformats.org/officeDocument/2006/relationships/calcChain"/>
<Relationship Id="rId3" Target="worksheets/sheet3.xml" Type="http://schemas.openxmlformats.org/officeDocument/2006/relationships/worksheet"/>
<Relationship Id="rId30" Target="../customXml/item1.xml" Type="http://schemas.openxmlformats.org/officeDocument/2006/relationships/customXml"/>
<Relationship Id="rId31" Target="../customXml/item2.xml" Type="http://schemas.openxmlformats.org/officeDocument/2006/relationships/customXml"/>
<Relationship Id="rId32" Target="volatileDependencies.xml" Type="http://schemas.openxmlformats.org/officeDocument/2006/relationships/volatileDependencies"/>
<Relationship Id="rId33" Target="vbaProject.bin" Type="http://schemas.microsoft.com/office/2006/relationships/vbaProjec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_rels/drawing3.xml.rels><?xml version="1.0" encoding="UTF-8" standalone="yes"?>
<Relationships xmlns="http://schemas.openxmlformats.org/package/2006/relationships">
<Relationship Id="rId1" Target="../media/image4.jpeg" Type="http://schemas.openxmlformats.org/officeDocument/2006/relationships/image"/>
</Relationships>

</file>

<file path=xl/drawings/_rels/drawing4.xml.rels><?xml version="1.0" encoding="UTF-8" standalone="yes"?>
<Relationships xmlns="http://schemas.openxmlformats.org/package/2006/relationships">
<Relationship Id="rId1" Target="../media/image4.jpeg" Type="http://schemas.openxmlformats.org/officeDocument/2006/relationships/image"/>
</Relationships>

</file>

<file path=xl/drawings/_rels/drawing5.xml.rels><?xml version="1.0" encoding="UTF-8" standalone="yes"?>
<Relationships xmlns="http://schemas.openxmlformats.org/package/2006/relationships">
<Relationship Id="rId1" Target="../media/image4.jpeg" Type="http://schemas.openxmlformats.org/officeDocument/2006/relationships/image"/>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1</xdr:col>
      <xdr:colOff>523875</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168</xdr:row>
      <xdr:rowOff>0</xdr:rowOff>
    </xdr:from>
    <xdr:to>
      <xdr:col>7</xdr:col>
      <xdr:colOff>390525</xdr:colOff>
      <xdr:row>191</xdr:row>
      <xdr:rowOff>104775</xdr:rowOff>
    </xdr:to>
    <xdr:pic>
      <xdr:nvPicPr>
        <xdr:cNvPr id="2851841" name="Picture 1" descr="C:\Users\marrosen\AppData\Local\Temp\MercuryPriceRatingHistoryChart\CVS.N_2018_04_12_18_40_26.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5831800"/>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11</xdr:row>
          <xdr:rowOff>152400</xdr:rowOff>
        </xdr:from>
        <xdr:to>
          <xdr:col>1</xdr:col>
          <xdr:colOff>2819400</xdr:colOff>
          <xdr:row>14</xdr:row>
          <xdr:rowOff>152400</xdr:rowOff>
        </xdr:to>
        <xdr:sp macro="" textlink="">
          <xdr:nvSpPr>
            <xdr:cNvPr id="2852865" name="Button 1" hidden="1">
              <a:extLst>
                <a:ext uri="{63B3BB69-23CF-44E3-9099-C40C66FF867C}">
                  <a14:compatExt spid="_x0000_s2852865"/>
                </a:ext>
              </a:extLst>
            </xdr:cNvPr>
            <xdr:cNvSpPr/>
          </xdr:nvSpPr>
          <xdr:spPr>
            <a:xfrm>
              <a:off x="0" y="0"/>
              <a:ext cx="0" cy="0"/>
            </a:xfrm>
            <a:prstGeom prst="rect">
              <a:avLst/>
            </a:prstGeom>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Apply Circular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3067050</xdr:colOff>
          <xdr:row>11</xdr:row>
          <xdr:rowOff>152400</xdr:rowOff>
        </xdr:from>
        <xdr:to>
          <xdr:col>2</xdr:col>
          <xdr:colOff>0</xdr:colOff>
          <xdr:row>14</xdr:row>
          <xdr:rowOff>152400</xdr:rowOff>
        </xdr:to>
        <xdr:sp macro="" textlink="">
          <xdr:nvSpPr>
            <xdr:cNvPr id="2852866" name="Button 2" hidden="1">
              <a:extLst>
                <a:ext uri="{63B3BB69-23CF-44E3-9099-C40C66FF867C}">
                  <a14:compatExt spid="_x0000_s2852866"/>
                </a:ext>
              </a:extLst>
            </xdr:cNvPr>
            <xdr:cNvSpPr/>
          </xdr:nvSpPr>
          <xdr:spPr>
            <a:xfrm>
              <a:off x="0" y="0"/>
              <a:ext cx="0" cy="0"/>
            </a:xfrm>
            <a:prstGeom prst="rect">
              <a:avLst/>
            </a:prstGeom>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Just Display Sheets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5</xdr:col>
      <xdr:colOff>619125</xdr:colOff>
      <xdr:row>0</xdr:row>
      <xdr:rowOff>0</xdr:rowOff>
    </xdr:from>
    <xdr:to>
      <xdr:col>6</xdr:col>
      <xdr:colOff>381000</xdr:colOff>
      <xdr:row>0</xdr:row>
      <xdr:rowOff>600075</xdr:rowOff>
    </xdr:to>
    <xdr:pic>
      <xdr:nvPicPr>
        <xdr:cNvPr id="2501049"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362700" y="0"/>
          <a:ext cx="1905000" cy="600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93</xdr:col>
      <xdr:colOff>95250</xdr:colOff>
      <xdr:row>1</xdr:row>
      <xdr:rowOff>19050</xdr:rowOff>
    </xdr:from>
    <xdr:to>
      <xdr:col>106</xdr:col>
      <xdr:colOff>76200</xdr:colOff>
      <xdr:row>2</xdr:row>
      <xdr:rowOff>123825</xdr:rowOff>
    </xdr:to>
    <xdr:pic>
      <xdr:nvPicPr>
        <xdr:cNvPr id="2535221" name="Picture 285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715" t="21819" r="13715" b="21819"/>
        <a:stretch>
          <a:fillRect/>
        </a:stretch>
      </xdr:blipFill>
      <xdr:spPr bwMode="auto">
        <a:xfrm>
          <a:off x="3743325" y="171450"/>
          <a:ext cx="1390650" cy="257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93</xdr:col>
      <xdr:colOff>95250</xdr:colOff>
      <xdr:row>1</xdr:row>
      <xdr:rowOff>19050</xdr:rowOff>
    </xdr:from>
    <xdr:to>
      <xdr:col>106</xdr:col>
      <xdr:colOff>76200</xdr:colOff>
      <xdr:row>2</xdr:row>
      <xdr:rowOff>123825</xdr:rowOff>
    </xdr:to>
    <xdr:pic>
      <xdr:nvPicPr>
        <xdr:cNvPr id="2535222" name="Picture 285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715" t="21819" r="13715" b="21819"/>
        <a:stretch>
          <a:fillRect/>
        </a:stretch>
      </xdr:blipFill>
      <xdr:spPr bwMode="auto">
        <a:xfrm>
          <a:off x="3743325" y="171450"/>
          <a:ext cx="1390650" cy="257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88</xdr:col>
      <xdr:colOff>295275</xdr:colOff>
      <xdr:row>1</xdr:row>
      <xdr:rowOff>28575</xdr:rowOff>
    </xdr:from>
    <xdr:to>
      <xdr:col>106</xdr:col>
      <xdr:colOff>152400</xdr:colOff>
      <xdr:row>3</xdr:row>
      <xdr:rowOff>0</xdr:rowOff>
    </xdr:to>
    <xdr:pic>
      <xdr:nvPicPr>
        <xdr:cNvPr id="2643250" name="Picture 33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715" t="21819" r="13715" b="21819"/>
        <a:stretch>
          <a:fillRect/>
        </a:stretch>
      </xdr:blipFill>
      <xdr:spPr bwMode="auto">
        <a:xfrm>
          <a:off x="4629150" y="171450"/>
          <a:ext cx="13906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
<Relationship Id="rId1" Target="NA/NY/LIB/ER/HEALTH/Goldwasser/Companies/PBMs/Comps.xls" TargetMode="External" Type="http://schemas.microsoft.com/office/2006/relationships/xlExternalLinkPath/xlAlternateStartup"/>
</Relationships>

</file>

<file path=xl/externalLinks/_rels/externalLink2.xml.rels><?xml version="1.0" encoding="UTF-8" standalone="yes"?>
<Relationships xmlns="http://schemas.openxmlformats.org/package/2006/relationships">
<Relationship Id="rId1" Target="HEALTH/Goldwasser/Models/Clients/Rlink/MHS.xls" TargetMode="External" Type="http://schemas.microsoft.com/office/2006/relationships/xlExternalLinkPath/xlAlternateStartup"/>
</Relationships>

</file>

<file path=xl/externalLinks/_rels/externalLink3.xml.rels><?xml version="1.0" encoding="UTF-8" standalone="yes"?>
<Relationships xmlns="http://schemas.openxmlformats.org/package/2006/relationships">
<Relationship Id="rId1" Target="Documents%20and%20Settings/rickgold/Local%20Settings/Temporary%20Internet%20Files/OLKF6/PHCC%20Model%207.14.05.xls" TargetMode="External" Type="http://schemas.microsoft.com/office/2006/relationships/xlExternalLinkPath/xlAlternateStartup"/>
</Relationships>

</file>

<file path=xl/externalLinks/_rels/externalLink4.xml.rels><?xml version="1.0" encoding="UTF-8" standalone="yes"?>
<Relationships xmlns="http://schemas.openxmlformats.org/package/2006/relationships">
<Relationship Id="rId1" Target="HEALTH/Goldwasser/Models/Clients/CVS.N.xls" TargetMode="External" Type="http://schemas.microsoft.com/office/2006/relationships/xlExternalLinkPath/xlAlternateStartup"/>
</Relationships>

</file>

<file path=xl/externalLinks/_rels/externalLink5.xml.rels><?xml version="1.0" encoding="UTF-8" standalone="yes"?>
<Relationships xmlns="http://schemas.openxmlformats.org/package/2006/relationships">
<Relationship Id="rId1" Target="HEALTH/Pharma/Risinger/models/AGN/AGNwk.xls" TargetMode="External" Type="http://schemas.microsoft.com/office/2006/relationships/xlExternalLinkPath/xlStartup"/>
</Relationships>

</file>

<file path=xl/externalLinks/_rels/externalLink6.xml.rels><?xml version="1.0" encoding="UTF-8" standalone="yes"?>
<Relationships xmlns="http://schemas.openxmlformats.org/package/2006/relationships">
<Relationship Id="rId1" Target="TEMPLATE/Excel/LINKTAB.XLS" TargetMode="External" Type="http://schemas.microsoft.com/office/2006/relationships/xlExternalLinkPath/xlStartup"/>
</Relationships>

</file>

<file path=xl/externalLinks/_rels/externalLink7.xml.rels><?xml version="1.0" encoding="UTF-8" standalone="yes"?>
<Relationships xmlns="http://schemas.openxmlformats.org/package/2006/relationships">
<Relationship Id="rId1" Target="file:///A:/KIM/PELICAN/NON_CORE/DCF7.XLS" TargetMode="External" Type="http://schemas.openxmlformats.org/officeDocument/2006/relationships/externalLinkPath"/>
</Relationships>

</file>

<file path=xl/externalLinks/_rels/externalLink8.xml.rels><?xml version="1.0" encoding="UTF-8" standalone="yes"?>
<Relationships xmlns="http://schemas.openxmlformats.org/package/2006/relationships">
<Relationship Id="rId1" Target="file:///G:/M&amp;AHEALT/PROJECTS/CAREMATR/HIST20.XLS" TargetMode="External" Type="http://schemas.openxmlformats.org/officeDocument/2006/relationships/externalLinkPath"/>
</Relationships>

</file>

<file path=xl/externalLinks/_rels/externalLink9.xml.rels><?xml version="1.0" encoding="UTF-8" standalone="yes"?>
<Relationships xmlns="http://schemas.openxmlformats.org/package/2006/relationships">
<Relationship Id="rId1" Target="file://///nydfs1/root/KIM/NOAH/LBO_2.XLS" TargetMode="External" Type="http://schemas.openxmlformats.org/officeDocument/2006/relationships/externalLinkPath"/>
</Relationships>

</file>

<file path=xl/externalLinks/_rels/externalLink10.xml.rels><?xml version="1.0" encoding="UTF-8" standalone="yes"?>
<Relationships xmlns="http://schemas.openxmlformats.org/package/2006/relationships">
<Relationship Id="rId1" Target="HEALTH/Goldwasser/Models/Clients/Rlink/WAG%20Pharmacy%20Buildup%20v13.xls" TargetMode="External" Type="http://schemas.microsoft.com/office/2006/relationships/xlExternalLinkPath/xlAlternateStartup"/>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rket Share"/>
      <sheetName val="Sheet1"/>
      <sheetName val="Pricing Exhibits"/>
      <sheetName val="New Bear Case"/>
      <sheetName val="Generic EPS Table"/>
      <sheetName val="__FDSCACHE__"/>
      <sheetName val="Growth"/>
      <sheetName val="MW-Cache"/>
      <sheetName val="Scenario Analysis"/>
      <sheetName val="ESRX Charts"/>
      <sheetName val="MHS Charts"/>
      <sheetName val="ESRX Ownership"/>
      <sheetName val="MHS Ownership"/>
      <sheetName val="marketing deck (2)"/>
      <sheetName val="marketing deck"/>
      <sheetName val="Quarterly Updates"/>
      <sheetName val="Retentio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row r="3">
          <cell r="B3" t="str">
            <v xml:space="preserve">                                                                                    </v>
          </cell>
          <cell r="D3">
            <v>1999</v>
          </cell>
          <cell r="E3">
            <v>2000</v>
          </cell>
          <cell r="F3" t="str">
            <v>1Q01</v>
          </cell>
          <cell r="G3" t="str">
            <v>2Q01</v>
          </cell>
          <cell r="H3" t="str">
            <v>3Q01</v>
          </cell>
          <cell r="I3" t="str">
            <v>4Q01</v>
          </cell>
          <cell r="J3">
            <v>2001</v>
          </cell>
          <cell r="K3" t="str">
            <v>1Q02</v>
          </cell>
          <cell r="L3" t="str">
            <v>2Q02</v>
          </cell>
          <cell r="M3" t="str">
            <v>3Q02</v>
          </cell>
          <cell r="N3" t="str">
            <v>4Q02</v>
          </cell>
          <cell r="O3" t="str">
            <v>1Q03</v>
          </cell>
          <cell r="P3" t="str">
            <v>2Q03</v>
          </cell>
          <cell r="Q3" t="str">
            <v>3Q03</v>
          </cell>
          <cell r="R3" t="str">
            <v>4Q03</v>
          </cell>
          <cell r="S3" t="str">
            <v>1Q04</v>
          </cell>
          <cell r="T3" t="str">
            <v>2Q04</v>
          </cell>
          <cell r="U3" t="str">
            <v>3Q04</v>
          </cell>
          <cell r="V3" t="str">
            <v>4Q04</v>
          </cell>
          <cell r="W3" t="str">
            <v>1Q05</v>
          </cell>
          <cell r="X3" t="str">
            <v>2Q05</v>
          </cell>
          <cell r="Y3" t="str">
            <v>3Q05</v>
          </cell>
          <cell r="Z3" t="str">
            <v>4Q05</v>
          </cell>
          <cell r="AA3" t="str">
            <v>1Q06</v>
          </cell>
          <cell r="AB3" t="str">
            <v>2Q06</v>
          </cell>
          <cell r="AC3" t="str">
            <v>3Q06</v>
          </cell>
          <cell r="AD3" t="str">
            <v>4Q06</v>
          </cell>
          <cell r="AE3" t="str">
            <v>1Q07</v>
          </cell>
          <cell r="AF3" t="str">
            <v>2Q07</v>
          </cell>
          <cell r="AG3" t="str">
            <v>3Q07</v>
          </cell>
          <cell r="AH3" t="str">
            <v>4Q07</v>
          </cell>
          <cell r="AI3" t="str">
            <v>1Q08</v>
          </cell>
          <cell r="AJ3" t="str">
            <v>2Q08</v>
          </cell>
          <cell r="AK3" t="str">
            <v>3Q08</v>
          </cell>
          <cell r="AL3" t="str">
            <v>4Q08</v>
          </cell>
          <cell r="AM3" t="str">
            <v>1Q09</v>
          </cell>
          <cell r="AN3" t="str">
            <v>2Q09</v>
          </cell>
          <cell r="AO3" t="str">
            <v>3Q09</v>
          </cell>
          <cell r="AP3" t="str">
            <v>4Q09</v>
          </cell>
          <cell r="AQ3" t="str">
            <v>1Q10</v>
          </cell>
          <cell r="AR3" t="str">
            <v>2Q10</v>
          </cell>
          <cell r="AS3" t="str">
            <v>3Q10</v>
          </cell>
          <cell r="AT3" t="str">
            <v>4Q10</v>
          </cell>
          <cell r="AU3" t="str">
            <v>1Q11</v>
          </cell>
          <cell r="AV3" t="str">
            <v>2Q11</v>
          </cell>
          <cell r="AW3" t="str">
            <v>3Q11</v>
          </cell>
          <cell r="AX3" t="str">
            <v>4Q11</v>
          </cell>
          <cell r="AY3" t="str">
            <v>1Q12</v>
          </cell>
          <cell r="AZ3" t="str">
            <v>2Q12</v>
          </cell>
          <cell r="BA3" t="str">
            <v>3Q12</v>
          </cell>
          <cell r="BB3" t="str">
            <v>4Q12</v>
          </cell>
          <cell r="BC3" t="str">
            <v>1Q13</v>
          </cell>
          <cell r="BD3" t="str">
            <v>2Q13</v>
          </cell>
          <cell r="BE3" t="str">
            <v>3Q13</v>
          </cell>
          <cell r="BF3" t="str">
            <v>4Q13</v>
          </cell>
          <cell r="BG3" t="str">
            <v>1Q14</v>
          </cell>
          <cell r="BH3" t="str">
            <v>2Q14</v>
          </cell>
          <cell r="BI3" t="str">
            <v>3Q14</v>
          </cell>
          <cell r="BJ3" t="str">
            <v>4Q14</v>
          </cell>
        </row>
        <row r="4">
          <cell r="B4" t="str">
            <v>Generic Dispensing Rate</v>
          </cell>
        </row>
        <row r="5">
          <cell r="B5" t="str">
            <v>Generic dispensing rate</v>
          </cell>
          <cell r="K5">
            <v>0.43113041055820595</v>
          </cell>
          <cell r="L5">
            <v>0.43107377988780349</v>
          </cell>
          <cell r="M5">
            <v>0.45</v>
          </cell>
          <cell r="N5">
            <v>0.46</v>
          </cell>
          <cell r="O5">
            <v>0.47129045706930001</v>
          </cell>
          <cell r="P5">
            <v>0.46788578122149566</v>
          </cell>
          <cell r="Q5">
            <v>0.47089944513759974</v>
          </cell>
          <cell r="R5">
            <v>0.48091619426995558</v>
          </cell>
          <cell r="S5">
            <v>0.49404206813908402</v>
          </cell>
          <cell r="T5">
            <v>0.49534500289838546</v>
          </cell>
          <cell r="U5">
            <v>0.51571180026186936</v>
          </cell>
          <cell r="V5">
            <v>0.52</v>
          </cell>
          <cell r="W5">
            <v>0.53687623762376246</v>
          </cell>
          <cell r="X5">
            <v>0.53928846153846166</v>
          </cell>
          <cell r="Y5">
            <v>0.54544636678200686</v>
          </cell>
          <cell r="Z5">
            <v>0.55327635914332784</v>
          </cell>
          <cell r="AA5">
            <v>0.56465661047027504</v>
          </cell>
          <cell r="AB5">
            <v>0.56472134203168689</v>
          </cell>
          <cell r="AC5">
            <v>0.58455856727976763</v>
          </cell>
          <cell r="AD5">
            <v>0.5987562442183163</v>
          </cell>
          <cell r="AE5">
            <v>0.60386891385767805</v>
          </cell>
          <cell r="AF5">
            <v>0.611787356321839</v>
          </cell>
          <cell r="AG5">
            <v>0.62353665689149562</v>
          </cell>
          <cell r="AH5">
            <v>0.63818190298507471</v>
          </cell>
          <cell r="AI5">
            <v>0.65049728426479336</v>
          </cell>
          <cell r="AJ5">
            <v>0.65820654246888122</v>
          </cell>
          <cell r="AK5">
            <v>0.66070129026461411</v>
          </cell>
          <cell r="AL5">
            <v>0.67505595131304441</v>
          </cell>
          <cell r="AM5">
            <v>0.67672610868859173</v>
          </cell>
          <cell r="AN5">
            <v>0.67856295596545424</v>
          </cell>
          <cell r="AO5">
            <v>0.68309549986024853</v>
          </cell>
          <cell r="AP5">
            <v>0.69000274307829257</v>
          </cell>
          <cell r="AQ5">
            <v>0.69704092293290731</v>
          </cell>
          <cell r="AR5">
            <v>0.70298539103430902</v>
          </cell>
          <cell r="AS5">
            <v>0.70724234734148661</v>
          </cell>
          <cell r="AT5">
            <v>0.71000246584143079</v>
          </cell>
          <cell r="AU5">
            <v>0.7140981100553343</v>
          </cell>
          <cell r="AV5">
            <v>0.71701722168280368</v>
          </cell>
          <cell r="AW5">
            <v>0.72112484968756163</v>
          </cell>
          <cell r="AX5">
            <v>0.72898296786982353</v>
          </cell>
          <cell r="AY5">
            <v>0.73935482931833041</v>
          </cell>
          <cell r="AZ5">
            <v>0.75540247800480331</v>
          </cell>
          <cell r="BA5">
            <v>0.76967849196679772</v>
          </cell>
          <cell r="BB5">
            <v>0.78310939840191729</v>
          </cell>
          <cell r="BC5">
            <v>0.78546950291276096</v>
          </cell>
          <cell r="BD5">
            <v>0.78910644169047062</v>
          </cell>
          <cell r="BE5">
            <v>0.79293675145579434</v>
          </cell>
          <cell r="BF5">
            <v>0.79862816883548593</v>
          </cell>
          <cell r="BG5">
            <v>0.80322368003788502</v>
          </cell>
          <cell r="BH5">
            <v>0.81037645040186623</v>
          </cell>
          <cell r="BI5">
            <v>0.8179936159689557</v>
          </cell>
          <cell r="BJ5">
            <v>0.82019092901788082</v>
          </cell>
        </row>
        <row r="6">
          <cell r="B6" t="str">
            <v>y/y bp change</v>
          </cell>
          <cell r="O6">
            <v>401.6004651109406</v>
          </cell>
          <cell r="P6">
            <v>368.12001333692166</v>
          </cell>
          <cell r="Q6">
            <v>208.99445137599724</v>
          </cell>
          <cell r="R6">
            <v>209.1619426995556</v>
          </cell>
          <cell r="S6">
            <v>227.51611069784019</v>
          </cell>
          <cell r="T6">
            <v>274.59221676889803</v>
          </cell>
          <cell r="U6">
            <v>448.12355124269618</v>
          </cell>
          <cell r="V6">
            <v>390.8380573004444</v>
          </cell>
          <cell r="W6">
            <v>428.34169484678438</v>
          </cell>
          <cell r="X6">
            <v>439.43458640076204</v>
          </cell>
          <cell r="Y6">
            <v>297.34566520137508</v>
          </cell>
          <cell r="Z6">
            <v>332.76359143327829</v>
          </cell>
          <cell r="AA6">
            <v>277.8037284651258</v>
          </cell>
          <cell r="AB6">
            <v>254.3288049322523</v>
          </cell>
          <cell r="AC6">
            <v>391.12200497760762</v>
          </cell>
          <cell r="AD6">
            <v>454.79885074988459</v>
          </cell>
          <cell r="AE6">
            <v>392.12303387403</v>
          </cell>
          <cell r="AF6">
            <v>470.66014290152117</v>
          </cell>
          <cell r="AG6">
            <v>389.78089611727995</v>
          </cell>
          <cell r="AH6">
            <v>394.25658766758409</v>
          </cell>
          <cell r="AI6">
            <v>466.28370407115318</v>
          </cell>
          <cell r="AJ6">
            <v>464.19186147042211</v>
          </cell>
          <cell r="AK6">
            <v>371.64633373118482</v>
          </cell>
          <cell r="AL6">
            <v>368.740483279697</v>
          </cell>
          <cell r="AM6">
            <v>262.28824423798369</v>
          </cell>
          <cell r="AN6">
            <v>203.56413496573023</v>
          </cell>
          <cell r="AO6">
            <v>223.9420959563443</v>
          </cell>
          <cell r="AP6">
            <v>149.46791765248156</v>
          </cell>
          <cell r="AQ6">
            <v>203.14814244315582</v>
          </cell>
          <cell r="AR6">
            <v>244.22435068854776</v>
          </cell>
          <cell r="AS6">
            <v>241.46847481238075</v>
          </cell>
          <cell r="AT6">
            <v>199.99722763138217</v>
          </cell>
          <cell r="AU6">
            <v>170.57187122426987</v>
          </cell>
          <cell r="AV6">
            <v>140.3183064849467</v>
          </cell>
          <cell r="AW6">
            <v>138.8250234607502</v>
          </cell>
          <cell r="AX6">
            <v>189.80502028392743</v>
          </cell>
          <cell r="AY6">
            <v>252.56719262996108</v>
          </cell>
          <cell r="AZ6">
            <v>383.85256321999628</v>
          </cell>
          <cell r="BA6">
            <v>485.5364227923609</v>
          </cell>
          <cell r="BB6">
            <v>541.26430532093752</v>
          </cell>
          <cell r="BC6">
            <v>461.14673594430559</v>
          </cell>
          <cell r="BD6">
            <v>337.03963685667304</v>
          </cell>
          <cell r="BE6">
            <v>232.58259488996623</v>
          </cell>
          <cell r="BF6">
            <v>155.18770433568642</v>
          </cell>
          <cell r="BG6">
            <v>177.54177125124059</v>
          </cell>
          <cell r="BH6">
            <v>212.70008711395616</v>
          </cell>
          <cell r="BI6">
            <v>250.56864513161358</v>
          </cell>
          <cell r="BJ6">
            <v>215.62760182394891</v>
          </cell>
        </row>
        <row r="7">
          <cell r="B7" t="str">
            <v>Sequential bp change</v>
          </cell>
          <cell r="L7">
            <v>-0.56630670402457728</v>
          </cell>
          <cell r="M7">
            <v>189.26220112196523</v>
          </cell>
          <cell r="N7">
            <v>100.00000000000009</v>
          </cell>
          <cell r="O7">
            <v>112.90457069299987</v>
          </cell>
          <cell r="P7">
            <v>-34.0467584780435</v>
          </cell>
          <cell r="Q7">
            <v>30.136639161040812</v>
          </cell>
          <cell r="R7">
            <v>100.16749132355839</v>
          </cell>
          <cell r="S7">
            <v>131.25873869128446</v>
          </cell>
          <cell r="T7">
            <v>13.029347593014329</v>
          </cell>
          <cell r="U7">
            <v>203.66797363483903</v>
          </cell>
          <cell r="V7">
            <v>42.881997381306604</v>
          </cell>
          <cell r="W7">
            <v>168.76237623762447</v>
          </cell>
          <cell r="X7">
            <v>24.122239146991966</v>
          </cell>
          <cell r="Y7">
            <v>61.579052435452027</v>
          </cell>
          <cell r="Z7">
            <v>78.299923613209813</v>
          </cell>
          <cell r="AA7">
            <v>113.802513269472</v>
          </cell>
          <cell r="AB7">
            <v>0.64731561411845995</v>
          </cell>
          <cell r="AC7">
            <v>198.37225248080736</v>
          </cell>
          <cell r="AD7">
            <v>141.97676938548676</v>
          </cell>
          <cell r="AE7">
            <v>313.54357945557297</v>
          </cell>
          <cell r="AF7">
            <v>79.184424641609581</v>
          </cell>
          <cell r="AG7">
            <v>117.49300569656617</v>
          </cell>
          <cell r="AH7">
            <v>146.4524609357909</v>
          </cell>
          <cell r="AI7">
            <v>123.15381279718652</v>
          </cell>
          <cell r="AJ7">
            <v>77.09258204087854</v>
          </cell>
          <cell r="AK7">
            <v>24.947477957328879</v>
          </cell>
          <cell r="AL7">
            <v>143.54661048430307</v>
          </cell>
          <cell r="AM7">
            <v>16.701573755473209</v>
          </cell>
          <cell r="AN7">
            <v>18.368472768625075</v>
          </cell>
          <cell r="AO7">
            <v>45.325438947942942</v>
          </cell>
          <cell r="AP7">
            <v>69.072432180440344</v>
          </cell>
          <cell r="AQ7">
            <v>70.381798546147451</v>
          </cell>
          <cell r="AR7">
            <v>59.444681014017007</v>
          </cell>
          <cell r="AS7">
            <v>42.569563071775953</v>
          </cell>
          <cell r="AT7">
            <v>27.601184999441752</v>
          </cell>
          <cell r="AU7">
            <v>40.956442139035154</v>
          </cell>
          <cell r="AV7">
            <v>29.19111627469384</v>
          </cell>
          <cell r="AW7">
            <v>41.076280047579459</v>
          </cell>
          <cell r="AX7">
            <v>78.581181822618973</v>
          </cell>
          <cell r="AY7">
            <v>103.7186144850688</v>
          </cell>
          <cell r="AZ7">
            <v>160.47648686472905</v>
          </cell>
          <cell r="BA7">
            <v>142.76013961994406</v>
          </cell>
          <cell r="BB7">
            <v>134.30906435119573</v>
          </cell>
          <cell r="BC7">
            <v>23.601045108436747</v>
          </cell>
          <cell r="BD7">
            <v>36.369387777096527</v>
          </cell>
          <cell r="BE7">
            <v>38.303097653237252</v>
          </cell>
          <cell r="BF7">
            <v>56.914173796915875</v>
          </cell>
          <cell r="BG7">
            <v>45.955112023990942</v>
          </cell>
          <cell r="BH7">
            <v>71.527703639812088</v>
          </cell>
          <cell r="BI7">
            <v>76.17165567089468</v>
          </cell>
          <cell r="BJ7">
            <v>21.973130489251204</v>
          </cell>
        </row>
        <row r="8">
          <cell r="B8" t="str">
            <v>Generic dispensing rate - Retail / Network</v>
          </cell>
          <cell r="K8">
            <v>0.438</v>
          </cell>
          <cell r="L8">
            <v>0.438</v>
          </cell>
          <cell r="M8">
            <v>0.46100000000000002</v>
          </cell>
          <cell r="N8">
            <v>0.46800000000000003</v>
          </cell>
          <cell r="O8">
            <v>0.47899999999999998</v>
          </cell>
          <cell r="P8">
            <v>0.47599999999999998</v>
          </cell>
          <cell r="Q8">
            <v>0.48</v>
          </cell>
          <cell r="R8">
            <v>0.49</v>
          </cell>
          <cell r="S8">
            <v>0.504</v>
          </cell>
          <cell r="T8">
            <v>0.50600000000000001</v>
          </cell>
          <cell r="U8">
            <v>0.52600000000000002</v>
          </cell>
          <cell r="V8">
            <v>0.53</v>
          </cell>
          <cell r="W8">
            <v>0.54600000000000004</v>
          </cell>
          <cell r="X8">
            <v>0.54900000000000004</v>
          </cell>
          <cell r="Y8">
            <v>0.55600000000000005</v>
          </cell>
          <cell r="Z8">
            <v>0.5635</v>
          </cell>
          <cell r="AA8">
            <v>0.57799999999999996</v>
          </cell>
          <cell r="AB8">
            <v>0.57799999999999996</v>
          </cell>
          <cell r="AC8">
            <v>0.59699999999999998</v>
          </cell>
          <cell r="AD8">
            <v>0.61099999999999999</v>
          </cell>
          <cell r="AE8">
            <v>0.61650000000000005</v>
          </cell>
          <cell r="AF8">
            <v>0.624</v>
          </cell>
          <cell r="AG8">
            <v>0.63600000000000001</v>
          </cell>
          <cell r="AH8">
            <v>0.65</v>
          </cell>
          <cell r="AI8">
            <v>0.66400000000000003</v>
          </cell>
          <cell r="AJ8">
            <v>0.67</v>
          </cell>
          <cell r="AK8">
            <v>0.67300000000000004</v>
          </cell>
          <cell r="AL8">
            <v>0.68700000000000006</v>
          </cell>
          <cell r="AM8">
            <v>0.69</v>
          </cell>
          <cell r="AN8">
            <v>0.69199999999999995</v>
          </cell>
          <cell r="AO8">
            <v>0.69599999999999995</v>
          </cell>
          <cell r="AP8">
            <v>0.70134388989407426</v>
          </cell>
          <cell r="AQ8">
            <v>0.70705814076053786</v>
          </cell>
          <cell r="AR8">
            <v>0.71272462289339378</v>
          </cell>
          <cell r="AS8">
            <v>0.71689711864591976</v>
          </cell>
          <cell r="AT8">
            <v>0.71945389803482707</v>
          </cell>
          <cell r="AU8">
            <v>0.7232719849998831</v>
          </cell>
          <cell r="AV8">
            <v>0.72627519525779793</v>
          </cell>
          <cell r="AW8">
            <v>0.73064870623673939</v>
          </cell>
          <cell r="AX8">
            <v>0.7376791982179679</v>
          </cell>
          <cell r="AY8">
            <v>0.74717159768530017</v>
          </cell>
          <cell r="AZ8">
            <v>0.7628228890088653</v>
          </cell>
          <cell r="BA8">
            <v>0.77646057431859572</v>
          </cell>
          <cell r="BB8">
            <v>0.78909788099427203</v>
          </cell>
          <cell r="BC8">
            <v>0.79138199605138559</v>
          </cell>
          <cell r="BD8">
            <v>0.79496265661686849</v>
          </cell>
          <cell r="BE8">
            <v>0.79881033150511704</v>
          </cell>
          <cell r="BF8">
            <v>0.80425432924235807</v>
          </cell>
          <cell r="BG8">
            <v>0.80869447869690914</v>
          </cell>
          <cell r="BH8">
            <v>0.81528800733039508</v>
          </cell>
          <cell r="BI8">
            <v>0.82236639392646571</v>
          </cell>
          <cell r="BJ8">
            <v>0.82447722281286706</v>
          </cell>
        </row>
        <row r="9">
          <cell r="B9" t="str">
            <v>y/y bp change</v>
          </cell>
          <cell r="O9">
            <v>410</v>
          </cell>
          <cell r="P9">
            <v>380</v>
          </cell>
          <cell r="Q9">
            <v>190</v>
          </cell>
          <cell r="R9">
            <v>220</v>
          </cell>
          <cell r="S9">
            <v>250</v>
          </cell>
          <cell r="T9">
            <v>300</v>
          </cell>
          <cell r="U9">
            <v>460</v>
          </cell>
          <cell r="V9">
            <v>400</v>
          </cell>
          <cell r="W9">
            <v>420</v>
          </cell>
          <cell r="X9">
            <v>430</v>
          </cell>
          <cell r="Y9">
            <v>300</v>
          </cell>
          <cell r="Z9">
            <v>335</v>
          </cell>
          <cell r="AA9">
            <v>319.99999999999915</v>
          </cell>
          <cell r="AB9">
            <v>289.99999999999915</v>
          </cell>
          <cell r="AC9">
            <v>409.99999999999926</v>
          </cell>
          <cell r="AD9">
            <v>475</v>
          </cell>
          <cell r="AE9">
            <v>385.00000000000091</v>
          </cell>
          <cell r="AF9">
            <v>460</v>
          </cell>
          <cell r="AG9">
            <v>390</v>
          </cell>
          <cell r="AH9">
            <v>390</v>
          </cell>
          <cell r="AI9">
            <v>474.99999999999983</v>
          </cell>
          <cell r="AJ9">
            <v>460.0000000000004</v>
          </cell>
          <cell r="AK9">
            <v>370.00000000000034</v>
          </cell>
          <cell r="AL9">
            <v>370.00000000000034</v>
          </cell>
          <cell r="AM9">
            <v>259.99999999999915</v>
          </cell>
          <cell r="AN9">
            <v>219.99999999999909</v>
          </cell>
          <cell r="AO9">
            <v>229.99999999999909</v>
          </cell>
          <cell r="AP9">
            <v>143.43889894074204</v>
          </cell>
          <cell r="AQ9">
            <v>170.5814076053791</v>
          </cell>
          <cell r="AR9">
            <v>207.24622893393828</v>
          </cell>
          <cell r="AS9">
            <v>208.97118645919809</v>
          </cell>
          <cell r="AT9">
            <v>181.10008140752808</v>
          </cell>
          <cell r="AU9">
            <v>162.13844239345244</v>
          </cell>
          <cell r="AV9">
            <v>135.50572364404155</v>
          </cell>
          <cell r="AW9">
            <v>137.51587590819625</v>
          </cell>
          <cell r="AX9">
            <v>182.25300183140837</v>
          </cell>
          <cell r="AY9">
            <v>238.99612685417071</v>
          </cell>
          <cell r="AZ9">
            <v>365.47693751067368</v>
          </cell>
          <cell r="BA9">
            <v>458.11868081856329</v>
          </cell>
          <cell r="BB9">
            <v>514.18682776304126</v>
          </cell>
          <cell r="BC9">
            <v>442.10398366085428</v>
          </cell>
          <cell r="BD9">
            <v>321.39767608003189</v>
          </cell>
          <cell r="BE9">
            <v>223.49757186521325</v>
          </cell>
          <cell r="BF9">
            <v>151.56448248086042</v>
          </cell>
          <cell r="BG9">
            <v>173.12482645523542</v>
          </cell>
          <cell r="BH9">
            <v>203.25350713526592</v>
          </cell>
          <cell r="BI9">
            <v>235.56062421348668</v>
          </cell>
          <cell r="BJ9">
            <v>202.22893570508992</v>
          </cell>
        </row>
        <row r="10">
          <cell r="B10" t="str">
            <v>Sequential bp change</v>
          </cell>
          <cell r="L10">
            <v>0</v>
          </cell>
          <cell r="M10">
            <v>230.0000000000002</v>
          </cell>
          <cell r="N10">
            <v>70.000000000000057</v>
          </cell>
          <cell r="O10">
            <v>110</v>
          </cell>
          <cell r="P10">
            <v>-30</v>
          </cell>
          <cell r="Q10">
            <v>40</v>
          </cell>
          <cell r="R10">
            <v>100</v>
          </cell>
          <cell r="S10">
            <v>140</v>
          </cell>
          <cell r="T10">
            <v>20</v>
          </cell>
          <cell r="U10">
            <v>200</v>
          </cell>
          <cell r="V10">
            <v>40</v>
          </cell>
          <cell r="W10">
            <v>160</v>
          </cell>
          <cell r="X10">
            <v>30</v>
          </cell>
          <cell r="Y10">
            <v>70.000000000000057</v>
          </cell>
          <cell r="Z10">
            <v>74.999999999999517</v>
          </cell>
          <cell r="AA10">
            <v>145</v>
          </cell>
          <cell r="AB10">
            <v>0</v>
          </cell>
          <cell r="AC10">
            <v>190</v>
          </cell>
          <cell r="AD10">
            <v>140</v>
          </cell>
          <cell r="AE10">
            <v>55.000000000000604</v>
          </cell>
          <cell r="AF10">
            <v>332.11439339355996</v>
          </cell>
          <cell r="AG10">
            <v>195</v>
          </cell>
          <cell r="AH10">
            <v>260</v>
          </cell>
          <cell r="AI10">
            <v>140.00000000000011</v>
          </cell>
          <cell r="AJ10">
            <v>60.000000000000057</v>
          </cell>
          <cell r="AK10">
            <v>30.000000000000028</v>
          </cell>
          <cell r="AL10">
            <v>170.00000000000014</v>
          </cell>
          <cell r="AM10">
            <v>29.999999999998916</v>
          </cell>
          <cell r="AN10">
            <v>20.000000000000018</v>
          </cell>
          <cell r="AO10">
            <v>40.000000000000036</v>
          </cell>
          <cell r="AP10">
            <v>53.438898940743051</v>
          </cell>
          <cell r="AQ10">
            <v>57.142508664635713</v>
          </cell>
          <cell r="AR10">
            <v>56.664821328559341</v>
          </cell>
          <cell r="AS10">
            <v>41.724957525259704</v>
          </cell>
          <cell r="AT10">
            <v>25.567793889073599</v>
          </cell>
          <cell r="AU10">
            <v>38.180869650560474</v>
          </cell>
          <cell r="AV10">
            <v>30.032102579148624</v>
          </cell>
          <cell r="AW10">
            <v>43.735109789414665</v>
          </cell>
          <cell r="AX10">
            <v>70.304919812285149</v>
          </cell>
          <cell r="AY10">
            <v>94.923994673322966</v>
          </cell>
          <cell r="AZ10">
            <v>156.51291323565118</v>
          </cell>
          <cell r="BA10">
            <v>136.37685309730455</v>
          </cell>
          <cell r="BB10">
            <v>126.37306675676328</v>
          </cell>
          <cell r="BC10">
            <v>22.841150571135671</v>
          </cell>
          <cell r="BD10">
            <v>35.806605654829028</v>
          </cell>
          <cell r="BE10">
            <v>38.476748882486021</v>
          </cell>
          <cell r="BF10">
            <v>54.43997737241024</v>
          </cell>
          <cell r="BG10">
            <v>44.401494545510985</v>
          </cell>
          <cell r="BH10">
            <v>65.935286334859839</v>
          </cell>
          <cell r="BI10">
            <v>70.783865960705924</v>
          </cell>
          <cell r="BJ10">
            <v>21.108288864013936</v>
          </cell>
        </row>
        <row r="11">
          <cell r="B11" t="str">
            <v>Generic dispensing rate - Mail</v>
          </cell>
          <cell r="K11">
            <v>0.34</v>
          </cell>
          <cell r="L11">
            <v>0.34</v>
          </cell>
          <cell r="M11">
            <v>0.36299999999999999</v>
          </cell>
          <cell r="N11">
            <v>0.36499999999999999</v>
          </cell>
          <cell r="O11">
            <v>0.371</v>
          </cell>
          <cell r="P11">
            <v>0.372</v>
          </cell>
          <cell r="Q11">
            <v>0.37</v>
          </cell>
          <cell r="R11">
            <v>0.38</v>
          </cell>
          <cell r="S11">
            <v>0.39200000000000002</v>
          </cell>
          <cell r="T11">
            <v>0.38800000000000001</v>
          </cell>
          <cell r="U11">
            <v>0.40799999999999997</v>
          </cell>
          <cell r="V11">
            <v>0.42199999999999999</v>
          </cell>
          <cell r="W11">
            <v>0.432</v>
          </cell>
          <cell r="X11">
            <v>0.434</v>
          </cell>
          <cell r="Y11">
            <v>0.434</v>
          </cell>
          <cell r="Z11">
            <v>0.443</v>
          </cell>
          <cell r="AA11">
            <v>0.432</v>
          </cell>
          <cell r="AB11">
            <v>0.441</v>
          </cell>
          <cell r="AC11">
            <v>0.47099999999999997</v>
          </cell>
          <cell r="AD11">
            <v>0.48249999999999998</v>
          </cell>
          <cell r="AE11">
            <v>0.48159999999999997</v>
          </cell>
          <cell r="AF11">
            <v>0.499</v>
          </cell>
          <cell r="AG11">
            <v>0.51100000000000001</v>
          </cell>
          <cell r="AH11">
            <v>0.52700000000000002</v>
          </cell>
          <cell r="AI11">
            <v>0.53900000000000003</v>
          </cell>
          <cell r="AJ11">
            <v>0.56799999999999995</v>
          </cell>
          <cell r="AK11">
            <v>0.57199999999999995</v>
          </cell>
          <cell r="AL11">
            <v>0.58499999999999996</v>
          </cell>
          <cell r="AM11">
            <v>0.56899999999999995</v>
          </cell>
          <cell r="AN11">
            <v>0.57199999999999995</v>
          </cell>
          <cell r="AO11">
            <v>0.58299999999999996</v>
          </cell>
          <cell r="AP11">
            <v>0.5917232124853502</v>
          </cell>
          <cell r="AQ11">
            <v>0.59988175295014912</v>
          </cell>
          <cell r="AR11">
            <v>0.61301565715176065</v>
          </cell>
          <cell r="AS11">
            <v>0.6206667096219739</v>
          </cell>
          <cell r="AT11">
            <v>0.62449995032003347</v>
          </cell>
          <cell r="AU11">
            <v>0.63189205819736194</v>
          </cell>
          <cell r="AV11">
            <v>0.6368576768716957</v>
          </cell>
          <cell r="AW11">
            <v>0.64006088037719211</v>
          </cell>
          <cell r="AX11">
            <v>0.65715359718849498</v>
          </cell>
          <cell r="AY11">
            <v>0.67877221092616991</v>
          </cell>
          <cell r="AZ11">
            <v>0.70258248959488934</v>
          </cell>
          <cell r="BA11">
            <v>0.72712983925655317</v>
          </cell>
          <cell r="BB11">
            <v>0.75058249065103211</v>
          </cell>
          <cell r="BC11">
            <v>0.75426777531624978</v>
          </cell>
          <cell r="BD11">
            <v>0.75992166508104964</v>
          </cell>
          <cell r="BE11">
            <v>0.76553393027843686</v>
          </cell>
          <cell r="BF11">
            <v>0.77456251390828634</v>
          </cell>
          <cell r="BG11">
            <v>0.78167449822945068</v>
          </cell>
          <cell r="BH11">
            <v>0.7966068650733199</v>
          </cell>
          <cell r="BI11">
            <v>0.81262291593530811</v>
          </cell>
          <cell r="BJ11">
            <v>0.81663233791710821</v>
          </cell>
        </row>
        <row r="12">
          <cell r="B12" t="str">
            <v>y/y bp change</v>
          </cell>
          <cell r="O12">
            <v>310</v>
          </cell>
          <cell r="P12">
            <v>320</v>
          </cell>
          <cell r="Q12">
            <v>70.000000000000057</v>
          </cell>
          <cell r="R12">
            <v>150</v>
          </cell>
          <cell r="S12">
            <v>210</v>
          </cell>
          <cell r="T12">
            <v>160</v>
          </cell>
          <cell r="U12">
            <v>380</v>
          </cell>
          <cell r="V12">
            <v>420</v>
          </cell>
          <cell r="W12">
            <v>400</v>
          </cell>
          <cell r="X12">
            <v>460</v>
          </cell>
          <cell r="Y12">
            <v>260</v>
          </cell>
          <cell r="Z12">
            <v>210</v>
          </cell>
          <cell r="AA12">
            <v>0</v>
          </cell>
          <cell r="AB12">
            <v>70.000000000000057</v>
          </cell>
          <cell r="AC12">
            <v>370</v>
          </cell>
          <cell r="AD12">
            <v>395</v>
          </cell>
          <cell r="AE12">
            <v>496</v>
          </cell>
          <cell r="AF12">
            <v>580</v>
          </cell>
          <cell r="AG12">
            <v>400</v>
          </cell>
          <cell r="AH12">
            <v>445</v>
          </cell>
          <cell r="AI12">
            <v>574.00000000000068</v>
          </cell>
          <cell r="AJ12">
            <v>689.99999999999955</v>
          </cell>
          <cell r="AK12">
            <v>609.99999999999943</v>
          </cell>
          <cell r="AL12">
            <v>579.99999999999932</v>
          </cell>
          <cell r="AM12">
            <v>299.99999999999915</v>
          </cell>
          <cell r="AN12">
            <v>40.000000000000036</v>
          </cell>
          <cell r="AO12">
            <v>110.0000000000001</v>
          </cell>
          <cell r="AP12">
            <v>67.232124853502384</v>
          </cell>
          <cell r="AQ12">
            <v>308.81752950149166</v>
          </cell>
          <cell r="AR12">
            <v>410.15657151760701</v>
          </cell>
          <cell r="AS12">
            <v>376.66709621973939</v>
          </cell>
          <cell r="AT12">
            <v>327.76737834683269</v>
          </cell>
          <cell r="AU12">
            <v>320.10305247212824</v>
          </cell>
          <cell r="AV12">
            <v>238.42019719935047</v>
          </cell>
          <cell r="AW12">
            <v>193.94170755218209</v>
          </cell>
          <cell r="AX12">
            <v>326.53646868461504</v>
          </cell>
          <cell r="AY12">
            <v>468.80152728807968</v>
          </cell>
          <cell r="AZ12">
            <v>657.24812723193634</v>
          </cell>
          <cell r="BA12">
            <v>870.6895887936106</v>
          </cell>
          <cell r="BB12">
            <v>934.28893462537133</v>
          </cell>
          <cell r="BC12">
            <v>754.95564390079869</v>
          </cell>
          <cell r="BD12">
            <v>573.39175486160298</v>
          </cell>
          <cell r="BE12">
            <v>384.04091021883693</v>
          </cell>
          <cell r="BF12">
            <v>239.80023257254234</v>
          </cell>
          <cell r="BG12">
            <v>274.067229132009</v>
          </cell>
          <cell r="BH12">
            <v>366.8519999227027</v>
          </cell>
          <cell r="BI12">
            <v>470.8898565687125</v>
          </cell>
          <cell r="BJ12">
            <v>420.6982400882186</v>
          </cell>
        </row>
        <row r="13">
          <cell r="B13" t="str">
            <v>Sequential bp change</v>
          </cell>
          <cell r="L13">
            <v>0</v>
          </cell>
          <cell r="M13">
            <v>229.99999999999966</v>
          </cell>
          <cell r="N13">
            <v>20.000000000000018</v>
          </cell>
          <cell r="O13">
            <v>60.000000000000057</v>
          </cell>
          <cell r="P13">
            <v>10</v>
          </cell>
          <cell r="Q13">
            <v>-20</v>
          </cell>
          <cell r="R13">
            <v>100</v>
          </cell>
          <cell r="S13">
            <v>120</v>
          </cell>
          <cell r="T13">
            <v>-40</v>
          </cell>
          <cell r="U13">
            <v>200</v>
          </cell>
          <cell r="V13">
            <v>140</v>
          </cell>
          <cell r="W13">
            <v>100</v>
          </cell>
          <cell r="X13">
            <v>20</v>
          </cell>
          <cell r="Y13">
            <v>0</v>
          </cell>
          <cell r="Z13">
            <v>90.000000000000085</v>
          </cell>
          <cell r="AA13">
            <v>-110</v>
          </cell>
          <cell r="AB13">
            <v>90.000000000000085</v>
          </cell>
          <cell r="AC13">
            <v>300</v>
          </cell>
          <cell r="AD13">
            <v>115</v>
          </cell>
          <cell r="AE13">
            <v>-9.000000000000119</v>
          </cell>
          <cell r="AF13">
            <v>174</v>
          </cell>
          <cell r="AG13">
            <v>120</v>
          </cell>
          <cell r="AH13">
            <v>160</v>
          </cell>
          <cell r="AI13">
            <v>120.00000000000011</v>
          </cell>
          <cell r="AJ13">
            <v>289.99999999999915</v>
          </cell>
          <cell r="AK13">
            <v>40.000000000000036</v>
          </cell>
          <cell r="AL13">
            <v>130.00000000000011</v>
          </cell>
          <cell r="AM13">
            <v>-160.00000000000014</v>
          </cell>
          <cell r="AN13">
            <v>30.000000000000028</v>
          </cell>
          <cell r="AO13">
            <v>110.0000000000001</v>
          </cell>
          <cell r="AP13">
            <v>87.232124853502953</v>
          </cell>
          <cell r="AQ13">
            <v>81.585404647988852</v>
          </cell>
          <cell r="AR13">
            <v>131.33904201611591</v>
          </cell>
          <cell r="AS13">
            <v>76.510524702132216</v>
          </cell>
          <cell r="AT13">
            <v>38.332406980595977</v>
          </cell>
          <cell r="AU13">
            <v>73.921078773284407</v>
          </cell>
          <cell r="AV13">
            <v>49.656186743337884</v>
          </cell>
          <cell r="AW13">
            <v>32.032035054963551</v>
          </cell>
          <cell r="AX13">
            <v>170.92716811302921</v>
          </cell>
          <cell r="AY13">
            <v>216.18613737674957</v>
          </cell>
          <cell r="AZ13">
            <v>238.10278668719457</v>
          </cell>
          <cell r="BA13">
            <v>245.47349661663844</v>
          </cell>
          <cell r="BB13">
            <v>234.5265139447894</v>
          </cell>
          <cell r="BC13">
            <v>36.852846652176837</v>
          </cell>
          <cell r="BD13">
            <v>56.53889764799802</v>
          </cell>
          <cell r="BE13">
            <v>56.122651973872365</v>
          </cell>
          <cell r="BF13">
            <v>90.285836298495269</v>
          </cell>
          <cell r="BG13">
            <v>71.119843211643257</v>
          </cell>
          <cell r="BH13">
            <v>149.32366843869264</v>
          </cell>
          <cell r="BI13">
            <v>160.16050861988245</v>
          </cell>
          <cell r="BJ13">
            <v>40.094219818001129</v>
          </cell>
        </row>
        <row r="14">
          <cell r="B14" t="str">
            <v>Generic dispensing rate - as stated</v>
          </cell>
          <cell r="K14">
            <v>0.43</v>
          </cell>
          <cell r="L14">
            <v>0.43</v>
          </cell>
          <cell r="M14">
            <v>0.45</v>
          </cell>
          <cell r="N14">
            <v>0.46</v>
          </cell>
          <cell r="O14">
            <v>0.47</v>
          </cell>
          <cell r="P14">
            <v>0.47</v>
          </cell>
          <cell r="Q14">
            <v>0.47</v>
          </cell>
          <cell r="R14">
            <v>0.48</v>
          </cell>
          <cell r="S14">
            <v>0.49</v>
          </cell>
          <cell r="T14">
            <v>0.5</v>
          </cell>
          <cell r="U14">
            <v>0.51</v>
          </cell>
          <cell r="V14">
            <v>0.52</v>
          </cell>
          <cell r="W14">
            <v>0.53700000000000003</v>
          </cell>
          <cell r="X14">
            <v>0.53900000000000003</v>
          </cell>
          <cell r="Y14">
            <v>0.54900000000000004</v>
          </cell>
          <cell r="Z14">
            <v>0.55400000000000005</v>
          </cell>
          <cell r="AA14">
            <v>0.56299999999999994</v>
          </cell>
          <cell r="AB14">
            <v>0.56299999999999994</v>
          </cell>
          <cell r="AC14">
            <v>0.58299999999999996</v>
          </cell>
          <cell r="AD14">
            <v>0.59699999999999998</v>
          </cell>
          <cell r="AE14">
            <v>0.60299999999999998</v>
          </cell>
          <cell r="AF14">
            <v>0.61099999999999999</v>
          </cell>
          <cell r="AG14">
            <v>0.622</v>
          </cell>
          <cell r="AH14">
            <v>0.63700000000000001</v>
          </cell>
          <cell r="AI14">
            <v>0.65100000000000002</v>
          </cell>
          <cell r="AJ14">
            <v>0.65900000000000003</v>
          </cell>
          <cell r="AK14">
            <v>0.66200000000000003</v>
          </cell>
          <cell r="AL14">
            <v>0.67300000000000004</v>
          </cell>
          <cell r="AM14">
            <v>0.67700000000000005</v>
          </cell>
          <cell r="AN14">
            <v>0.67800000000000005</v>
          </cell>
          <cell r="AO14">
            <v>0.68300000000000005</v>
          </cell>
          <cell r="AP14">
            <v>0</v>
          </cell>
          <cell r="AQ14">
            <v>0</v>
          </cell>
          <cell r="AR14">
            <v>0</v>
          </cell>
          <cell r="AS14">
            <v>0</v>
          </cell>
          <cell r="AT14">
            <v>0</v>
          </cell>
          <cell r="AU14">
            <v>0</v>
          </cell>
          <cell r="AV14">
            <v>0</v>
          </cell>
          <cell r="AW14">
            <v>0</v>
          </cell>
          <cell r="AX14">
            <v>0</v>
          </cell>
          <cell r="AY14">
            <v>0</v>
          </cell>
          <cell r="AZ14">
            <v>0</v>
          </cell>
          <cell r="BA14">
            <v>0</v>
          </cell>
          <cell r="BB14">
            <v>0</v>
          </cell>
          <cell r="BC14">
            <v>0</v>
          </cell>
          <cell r="BD14">
            <v>0</v>
          </cell>
          <cell r="BE14">
            <v>0</v>
          </cell>
          <cell r="BF14">
            <v>0</v>
          </cell>
          <cell r="BG14">
            <v>0</v>
          </cell>
          <cell r="BH14">
            <v>0</v>
          </cell>
          <cell r="BI14">
            <v>0</v>
          </cell>
          <cell r="BJ14">
            <v>0</v>
          </cell>
        </row>
        <row r="15">
          <cell r="B15" t="str">
            <v>Branded utilization rate</v>
          </cell>
          <cell r="K15">
            <v>0.56886958944179411</v>
          </cell>
          <cell r="L15">
            <v>0.56892622011219651</v>
          </cell>
          <cell r="M15">
            <v>0.55000000000000004</v>
          </cell>
          <cell r="N15">
            <v>0.54</v>
          </cell>
          <cell r="O15">
            <v>0.52870954293070005</v>
          </cell>
          <cell r="P15">
            <v>0.5321142187785044</v>
          </cell>
          <cell r="Q15">
            <v>0.52910055486240026</v>
          </cell>
          <cell r="R15">
            <v>0.51908380573004442</v>
          </cell>
          <cell r="S15">
            <v>0.50595793186091598</v>
          </cell>
          <cell r="T15">
            <v>0.50465499710161454</v>
          </cell>
          <cell r="U15">
            <v>0.48428819973813064</v>
          </cell>
          <cell r="V15">
            <v>0.48</v>
          </cell>
          <cell r="W15">
            <v>0.46312376237623754</v>
          </cell>
          <cell r="X15">
            <v>0.46071153846153834</v>
          </cell>
          <cell r="Y15">
            <v>0.45455363321799314</v>
          </cell>
          <cell r="Z15">
            <v>0.44672364085667216</v>
          </cell>
          <cell r="AA15">
            <v>0.43534338952972496</v>
          </cell>
          <cell r="AB15">
            <v>0.43527865796831311</v>
          </cell>
          <cell r="AC15">
            <v>0.41544143272023237</v>
          </cell>
          <cell r="AD15">
            <v>0.4012437557816837</v>
          </cell>
          <cell r="AE15">
            <v>0.39613108614232195</v>
          </cell>
          <cell r="AF15">
            <v>0.388212643678161</v>
          </cell>
          <cell r="AG15">
            <v>0.37646334310850438</v>
          </cell>
          <cell r="AH15">
            <v>0.36181809701492529</v>
          </cell>
          <cell r="AI15">
            <v>0.34950271573520664</v>
          </cell>
          <cell r="AJ15">
            <v>0.34179345753111878</v>
          </cell>
          <cell r="AK15">
            <v>0.33929870973538589</v>
          </cell>
          <cell r="AL15">
            <v>0.32494404868695559</v>
          </cell>
          <cell r="AM15">
            <v>0.32327389131140827</v>
          </cell>
          <cell r="AN15">
            <v>0.32143704403454576</v>
          </cell>
          <cell r="AO15">
            <v>0.31690450013975147</v>
          </cell>
          <cell r="AP15">
            <v>0.30999725692170743</v>
          </cell>
          <cell r="AQ15">
            <v>0.30295907706709269</v>
          </cell>
          <cell r="AR15">
            <v>0.29701460896569098</v>
          </cell>
          <cell r="AS15">
            <v>0.29275765265851339</v>
          </cell>
          <cell r="AT15">
            <v>0.28999753415856921</v>
          </cell>
          <cell r="AU15">
            <v>0.2859018899446657</v>
          </cell>
          <cell r="AV15">
            <v>0.28298277831719632</v>
          </cell>
          <cell r="AW15">
            <v>0.27887515031243837</v>
          </cell>
          <cell r="AX15">
            <v>0.27101703213017647</v>
          </cell>
          <cell r="AY15">
            <v>0.26064517068166959</v>
          </cell>
          <cell r="AZ15">
            <v>0.24459752199519669</v>
          </cell>
          <cell r="BA15">
            <v>0.23032150803320228</v>
          </cell>
          <cell r="BB15">
            <v>0.21689060159808271</v>
          </cell>
          <cell r="BC15">
            <v>0.21453049708723904</v>
          </cell>
          <cell r="BD15">
            <v>0.21089355830952938</v>
          </cell>
          <cell r="BE15">
            <v>0.20706324854420566</v>
          </cell>
          <cell r="BF15">
            <v>0.20137183116451407</v>
          </cell>
          <cell r="BG15">
            <v>0.19677631996211498</v>
          </cell>
          <cell r="BH15">
            <v>0.18962354959813377</v>
          </cell>
          <cell r="BI15">
            <v>0.1820063840310443</v>
          </cell>
          <cell r="BJ15">
            <v>0.17980907098211918</v>
          </cell>
        </row>
        <row r="19">
          <cell r="B19" t="str">
            <v>Generic Dispensing Rate</v>
          </cell>
          <cell r="C19">
            <v>2002</v>
          </cell>
          <cell r="D19">
            <v>2003</v>
          </cell>
          <cell r="E19">
            <v>2004</v>
          </cell>
          <cell r="F19">
            <v>2005</v>
          </cell>
          <cell r="G19">
            <v>2006</v>
          </cell>
          <cell r="H19">
            <v>2007</v>
          </cell>
          <cell r="I19">
            <v>2008</v>
          </cell>
          <cell r="J19">
            <v>2009</v>
          </cell>
          <cell r="K19">
            <v>2010</v>
          </cell>
          <cell r="L19">
            <v>2011</v>
          </cell>
          <cell r="M19">
            <v>2012</v>
          </cell>
          <cell r="N19">
            <v>2013</v>
          </cell>
          <cell r="O19">
            <v>2014</v>
          </cell>
        </row>
        <row r="20">
          <cell r="B20" t="str">
            <v>Generic dispensing rate</v>
          </cell>
          <cell r="C20">
            <v>0.45100000000000001</v>
          </cell>
          <cell r="D20">
            <v>0.47242951242997205</v>
          </cell>
          <cell r="E20">
            <v>0.50900434404865336</v>
          </cell>
          <cell r="F20">
            <v>0.54057569146093121</v>
          </cell>
          <cell r="G20">
            <v>0.57251455591212075</v>
          </cell>
          <cell r="H20">
            <v>0.61294276105532475</v>
          </cell>
          <cell r="I20">
            <v>0.66098592982275484</v>
          </cell>
          <cell r="J20">
            <v>0.68250750997223075</v>
          </cell>
          <cell r="K20">
            <v>0.7043227702636472</v>
          </cell>
          <cell r="L20">
            <v>0.72031488831937995</v>
          </cell>
          <cell r="M20">
            <v>0.76190623860711848</v>
          </cell>
          <cell r="N20">
            <v>0.79154250665139236</v>
          </cell>
          <cell r="O20">
            <v>0.81295132782922075</v>
          </cell>
          <cell r="R20">
            <v>0</v>
          </cell>
        </row>
        <row r="21">
          <cell r="B21" t="str">
            <v>y/y bp change</v>
          </cell>
          <cell r="D21">
            <v>214.29512429972041</v>
          </cell>
          <cell r="E21">
            <v>365.74831618681304</v>
          </cell>
          <cell r="F21">
            <v>315.71347412277851</v>
          </cell>
          <cell r="G21">
            <v>319.38864451189539</v>
          </cell>
          <cell r="H21">
            <v>404.28205143204002</v>
          </cell>
          <cell r="I21">
            <v>480.43168767430086</v>
          </cell>
          <cell r="J21">
            <v>215.21580149475915</v>
          </cell>
          <cell r="K21">
            <v>218.1526029141645</v>
          </cell>
          <cell r="L21">
            <v>159.92118055732752</v>
          </cell>
          <cell r="M21">
            <v>415.91350287738527</v>
          </cell>
          <cell r="N21">
            <v>296.36268044273885</v>
          </cell>
          <cell r="O21">
            <v>214.08821177828386</v>
          </cell>
          <cell r="R21">
            <v>0</v>
          </cell>
        </row>
        <row r="22">
          <cell r="B22" t="str">
            <v>Sequential bp change</v>
          </cell>
          <cell r="D22" t="str">
            <v>NA</v>
          </cell>
          <cell r="E22" t="str">
            <v>NA</v>
          </cell>
          <cell r="F22" t="str">
            <v>NA</v>
          </cell>
          <cell r="G22" t="str">
            <v>NA</v>
          </cell>
          <cell r="H22" t="str">
            <v>NA</v>
          </cell>
          <cell r="I22" t="str">
            <v>NA</v>
          </cell>
          <cell r="J22" t="str">
            <v>NA</v>
          </cell>
          <cell r="K22" t="str">
            <v>NA</v>
          </cell>
          <cell r="L22" t="str">
            <v>NA</v>
          </cell>
          <cell r="M22" t="str">
            <v>NA</v>
          </cell>
          <cell r="N22" t="str">
            <v>NA</v>
          </cell>
          <cell r="O22" t="str">
            <v>NA</v>
          </cell>
          <cell r="R22">
            <v>0</v>
          </cell>
        </row>
        <row r="23">
          <cell r="B23" t="str">
            <v>Generic dispensing rate - Retail / Network</v>
          </cell>
          <cell r="C23">
            <v>0.45100000000000001</v>
          </cell>
          <cell r="D23">
            <v>0.48099999999999998</v>
          </cell>
          <cell r="E23">
            <v>0.51900000000000002</v>
          </cell>
          <cell r="F23">
            <v>0.55400000000000005</v>
          </cell>
          <cell r="G23">
            <v>0.590788560660644</v>
          </cell>
          <cell r="H23">
            <v>0.63162826681542761</v>
          </cell>
          <cell r="I23">
            <v>0.67337170706006322</v>
          </cell>
          <cell r="J23">
            <v>0.69519458014204594</v>
          </cell>
          <cell r="K23">
            <v>0.7140339334236312</v>
          </cell>
          <cell r="L23">
            <v>0.7294742787385402</v>
          </cell>
          <cell r="M23">
            <v>0.76889474491554621</v>
          </cell>
          <cell r="N23">
            <v>0.79735627705219525</v>
          </cell>
          <cell r="O23">
            <v>0.8177052673985149</v>
          </cell>
          <cell r="R23">
            <v>0</v>
          </cell>
        </row>
        <row r="24">
          <cell r="B24" t="str">
            <v>y/y bp change</v>
          </cell>
          <cell r="D24">
            <v>300</v>
          </cell>
          <cell r="E24">
            <v>380</v>
          </cell>
          <cell r="F24">
            <v>350</v>
          </cell>
          <cell r="G24">
            <v>367.88560660643952</v>
          </cell>
          <cell r="H24">
            <v>408.39706154783607</v>
          </cell>
          <cell r="I24">
            <v>417.43440244635616</v>
          </cell>
          <cell r="J24">
            <v>218.22873081982718</v>
          </cell>
          <cell r="K24">
            <v>188.39353281585258</v>
          </cell>
          <cell r="L24">
            <v>154.4034531490901</v>
          </cell>
          <cell r="M24">
            <v>394.20466177006006</v>
          </cell>
          <cell r="N24">
            <v>284.61532136649038</v>
          </cell>
          <cell r="O24">
            <v>203.4899034631965</v>
          </cell>
          <cell r="R24">
            <v>0</v>
          </cell>
        </row>
        <row r="25">
          <cell r="B25" t="str">
            <v>Sequential bp change</v>
          </cell>
          <cell r="D25" t="str">
            <v>NA</v>
          </cell>
          <cell r="E25" t="str">
            <v>NA</v>
          </cell>
          <cell r="F25" t="str">
            <v>NA</v>
          </cell>
          <cell r="G25" t="str">
            <v>NA</v>
          </cell>
          <cell r="H25" t="str">
            <v>NA</v>
          </cell>
          <cell r="I25" t="str">
            <v>NA</v>
          </cell>
          <cell r="J25" t="str">
            <v>NA</v>
          </cell>
          <cell r="K25" t="str">
            <v>NA</v>
          </cell>
          <cell r="L25" t="str">
            <v>NA</v>
          </cell>
          <cell r="M25" t="str">
            <v>NA</v>
          </cell>
          <cell r="N25" t="str">
            <v>NA</v>
          </cell>
          <cell r="O25" t="str">
            <v>NA</v>
          </cell>
          <cell r="R25">
            <v>0</v>
          </cell>
        </row>
        <row r="26">
          <cell r="B26" t="str">
            <v>Generic dispensing rate - Mail</v>
          </cell>
          <cell r="C26">
            <v>0.36</v>
          </cell>
          <cell r="D26">
            <v>0.372</v>
          </cell>
          <cell r="E26">
            <v>0.40500000000000003</v>
          </cell>
          <cell r="F26">
            <v>0.436</v>
          </cell>
          <cell r="G26">
            <v>0.45655218446601942</v>
          </cell>
          <cell r="H26">
            <v>0.50481818181818172</v>
          </cell>
          <cell r="I26">
            <v>0.56598052241432362</v>
          </cell>
          <cell r="J26">
            <v>0.57921701361491995</v>
          </cell>
          <cell r="K26">
            <v>0.614630661619326</v>
          </cell>
          <cell r="L26">
            <v>0.6415368019149964</v>
          </cell>
          <cell r="M26">
            <v>0.71501698930505242</v>
          </cell>
          <cell r="N26">
            <v>0.76363032304271039</v>
          </cell>
          <cell r="O26">
            <v>0.80204265124491003</v>
          </cell>
          <cell r="R26">
            <v>0</v>
          </cell>
        </row>
        <row r="27">
          <cell r="B27" t="str">
            <v>y/y bp change</v>
          </cell>
          <cell r="D27">
            <v>120</v>
          </cell>
          <cell r="E27">
            <v>330</v>
          </cell>
          <cell r="F27">
            <v>310</v>
          </cell>
          <cell r="G27">
            <v>205.5218446601942</v>
          </cell>
          <cell r="H27">
            <v>482.6599735216231</v>
          </cell>
          <cell r="I27">
            <v>611.62340596141894</v>
          </cell>
          <cell r="J27">
            <v>132.36491200596333</v>
          </cell>
          <cell r="K27">
            <v>354.13648004406053</v>
          </cell>
          <cell r="L27">
            <v>269.061402956704</v>
          </cell>
          <cell r="M27">
            <v>734.80187390056017</v>
          </cell>
          <cell r="N27">
            <v>486.13333737657973</v>
          </cell>
          <cell r="O27">
            <v>384.12328202199643</v>
          </cell>
          <cell r="R27">
            <v>0</v>
          </cell>
        </row>
        <row r="28">
          <cell r="B28" t="str">
            <v>Sequential bp change</v>
          </cell>
          <cell r="D28" t="str">
            <v>NA</v>
          </cell>
          <cell r="E28" t="str">
            <v>NA</v>
          </cell>
          <cell r="F28" t="str">
            <v>NA</v>
          </cell>
          <cell r="G28" t="str">
            <v>NA</v>
          </cell>
          <cell r="H28" t="str">
            <v>NA</v>
          </cell>
          <cell r="I28" t="str">
            <v>NA</v>
          </cell>
          <cell r="J28" t="str">
            <v>NA</v>
          </cell>
          <cell r="K28" t="str">
            <v>NA</v>
          </cell>
          <cell r="L28" t="str">
            <v>NA</v>
          </cell>
          <cell r="M28" t="str">
            <v>NA</v>
          </cell>
          <cell r="N28" t="str">
            <v>NA</v>
          </cell>
          <cell r="O28" t="str">
            <v>NA</v>
          </cell>
          <cell r="R28">
            <v>0</v>
          </cell>
        </row>
        <row r="29">
          <cell r="B29" t="str">
            <v>Generic dispensing rate - as stated</v>
          </cell>
          <cell r="C29">
            <v>0</v>
          </cell>
          <cell r="D29">
            <v>0</v>
          </cell>
          <cell r="E29">
            <v>0.504</v>
          </cell>
          <cell r="F29">
            <v>0.54400000000000004</v>
          </cell>
          <cell r="G29">
            <v>0.57599999999999996</v>
          </cell>
          <cell r="H29">
            <v>0.61799999999999999</v>
          </cell>
          <cell r="I29">
            <v>0.66100000000000003</v>
          </cell>
          <cell r="J29">
            <v>0</v>
          </cell>
          <cell r="K29">
            <v>0</v>
          </cell>
          <cell r="L29">
            <v>0</v>
          </cell>
          <cell r="M29">
            <v>0</v>
          </cell>
          <cell r="N29">
            <v>0</v>
          </cell>
          <cell r="O29">
            <v>0</v>
          </cell>
          <cell r="R29">
            <v>0</v>
          </cell>
        </row>
        <row r="30">
          <cell r="B30" t="str">
            <v>Branded utilization rate</v>
          </cell>
          <cell r="C30">
            <v>0.54899999999999993</v>
          </cell>
          <cell r="D30">
            <v>0.527570487570028</v>
          </cell>
          <cell r="E30">
            <v>0.49099565595134664</v>
          </cell>
          <cell r="F30">
            <v>0.45942430853906879</v>
          </cell>
          <cell r="G30">
            <v>0.42748544408787925</v>
          </cell>
          <cell r="H30">
            <v>0.38705723894467525</v>
          </cell>
          <cell r="I30">
            <v>0.33901407017724516</v>
          </cell>
          <cell r="J30">
            <v>0.31749249002776925</v>
          </cell>
          <cell r="K30">
            <v>0.2956772297363528</v>
          </cell>
          <cell r="L30">
            <v>0.27968511168062005</v>
          </cell>
          <cell r="M30">
            <v>0.23809376139288152</v>
          </cell>
          <cell r="N30">
            <v>0.20845749334860764</v>
          </cell>
          <cell r="O30">
            <v>0.18704867217077925</v>
          </cell>
          <cell r="R30">
            <v>0</v>
          </cell>
        </row>
        <row r="31">
          <cell r="R31">
            <v>0</v>
          </cell>
        </row>
        <row r="32">
          <cell r="R32">
            <v>0</v>
          </cell>
        </row>
        <row r="33">
          <cell r="R33">
            <v>0</v>
          </cell>
        </row>
        <row r="34">
          <cell r="R34">
            <v>0</v>
          </cell>
        </row>
        <row r="35">
          <cell r="R35">
            <v>0</v>
          </cell>
        </row>
        <row r="36">
          <cell r="R36">
            <v>0</v>
          </cell>
        </row>
        <row r="37">
          <cell r="R37">
            <v>0</v>
          </cell>
        </row>
        <row r="38">
          <cell r="R38">
            <v>0</v>
          </cell>
        </row>
        <row r="39">
          <cell r="R39">
            <v>0</v>
          </cell>
        </row>
        <row r="40">
          <cell r="R40">
            <v>0</v>
          </cell>
        </row>
        <row r="41">
          <cell r="R41">
            <v>0</v>
          </cell>
        </row>
        <row r="42">
          <cell r="R42">
            <v>0</v>
          </cell>
        </row>
        <row r="43">
          <cell r="R43">
            <v>0</v>
          </cell>
        </row>
        <row r="44">
          <cell r="R44">
            <v>0</v>
          </cell>
        </row>
        <row r="45">
          <cell r="R45">
            <v>0</v>
          </cell>
        </row>
        <row r="46">
          <cell r="R46">
            <v>0</v>
          </cell>
        </row>
        <row r="47">
          <cell r="R47">
            <v>0</v>
          </cell>
        </row>
        <row r="48">
          <cell r="R48">
            <v>0</v>
          </cell>
        </row>
        <row r="49">
          <cell r="R49">
            <v>0</v>
          </cell>
        </row>
        <row r="50">
          <cell r="R50">
            <v>0</v>
          </cell>
        </row>
        <row r="51">
          <cell r="R51">
            <v>0</v>
          </cell>
        </row>
        <row r="52">
          <cell r="R52">
            <v>0</v>
          </cell>
        </row>
        <row r="53">
          <cell r="R53">
            <v>0</v>
          </cell>
        </row>
        <row r="54">
          <cell r="R54">
            <v>0</v>
          </cell>
        </row>
        <row r="55">
          <cell r="R55">
            <v>0</v>
          </cell>
        </row>
        <row r="56">
          <cell r="R56">
            <v>0</v>
          </cell>
        </row>
        <row r="57">
          <cell r="R57">
            <v>0</v>
          </cell>
        </row>
        <row r="58">
          <cell r="R58">
            <v>0</v>
          </cell>
        </row>
        <row r="59">
          <cell r="C59">
            <v>0</v>
          </cell>
          <cell r="D59">
            <v>5</v>
          </cell>
          <cell r="E59">
            <v>10</v>
          </cell>
          <cell r="F59">
            <v>15</v>
          </cell>
          <cell r="G59">
            <v>20</v>
          </cell>
          <cell r="H59">
            <v>25</v>
          </cell>
          <cell r="I59">
            <v>30</v>
          </cell>
          <cell r="J59">
            <v>35</v>
          </cell>
          <cell r="K59">
            <v>40</v>
          </cell>
          <cell r="L59">
            <v>45</v>
          </cell>
          <cell r="M59">
            <v>50</v>
          </cell>
          <cell r="N59">
            <v>55</v>
          </cell>
          <cell r="O59">
            <v>60</v>
          </cell>
          <cell r="R59">
            <v>0</v>
          </cell>
        </row>
        <row r="60">
          <cell r="R60">
            <v>0</v>
          </cell>
        </row>
        <row r="61">
          <cell r="R61">
            <v>0</v>
          </cell>
        </row>
        <row r="62">
          <cell r="R62">
            <v>0</v>
          </cell>
        </row>
        <row r="63">
          <cell r="R63">
            <v>0</v>
          </cell>
        </row>
        <row r="64">
          <cell r="R64">
            <v>0</v>
          </cell>
        </row>
        <row r="65">
          <cell r="R65">
            <v>0</v>
          </cell>
        </row>
        <row r="66">
          <cell r="R66">
            <v>0</v>
          </cell>
        </row>
        <row r="67">
          <cell r="B67" t="str">
            <v>ESRX</v>
          </cell>
          <cell r="C67">
            <v>2002</v>
          </cell>
          <cell r="D67">
            <v>2003</v>
          </cell>
          <cell r="E67">
            <v>2004</v>
          </cell>
          <cell r="F67">
            <v>2005</v>
          </cell>
          <cell r="G67">
            <v>2006</v>
          </cell>
          <cell r="H67">
            <v>2007</v>
          </cell>
          <cell r="I67">
            <v>2008</v>
          </cell>
          <cell r="J67">
            <v>2009</v>
          </cell>
          <cell r="K67">
            <v>2010</v>
          </cell>
          <cell r="L67">
            <v>2011</v>
          </cell>
          <cell r="M67">
            <v>2012</v>
          </cell>
          <cell r="N67">
            <v>2013</v>
          </cell>
          <cell r="O67">
            <v>2014</v>
          </cell>
          <cell r="R67">
            <v>0</v>
          </cell>
        </row>
        <row r="68">
          <cell r="B68" t="str">
            <v>EPS, diluted  (continuing) Non GAAP</v>
          </cell>
          <cell r="C68">
            <v>0.63648060049958433</v>
          </cell>
          <cell r="D68">
            <v>0.79385009122237893</v>
          </cell>
          <cell r="E68">
            <v>0.967741935483871</v>
          </cell>
          <cell r="F68">
            <v>1.2996655518394675</v>
          </cell>
          <cell r="G68">
            <v>1.6482394366197208</v>
          </cell>
          <cell r="H68">
            <v>2.3852272727272785</v>
          </cell>
          <cell r="I68">
            <v>3.0957666017602135</v>
          </cell>
          <cell r="J68">
            <v>3.4833913065036373</v>
          </cell>
          <cell r="K68">
            <v>4.9357784346690101</v>
          </cell>
          <cell r="L68">
            <v>6.1823319253262889</v>
          </cell>
          <cell r="M68">
            <v>7.4870173324706633</v>
          </cell>
          <cell r="N68">
            <v>8.2781086015129919</v>
          </cell>
          <cell r="O68">
            <v>9.4747736108052791</v>
          </cell>
        </row>
        <row r="69">
          <cell r="B69" t="str">
            <v>EPS, diluted  (continuing) Non GAAP - Growth</v>
          </cell>
          <cell r="D69">
            <v>0.24724946934639114</v>
          </cell>
          <cell r="E69">
            <v>0.21904871736391884</v>
          </cell>
          <cell r="F69">
            <v>0.34298773690078299</v>
          </cell>
          <cell r="G69">
            <v>0.26820275746087363</v>
          </cell>
          <cell r="H69">
            <v>0.44713639276766948</v>
          </cell>
          <cell r="I69">
            <v>0.2978916672458225</v>
          </cell>
          <cell r="J69">
            <v>0.12521121731949214</v>
          </cell>
          <cell r="K69">
            <v>0.41694630329176774</v>
          </cell>
          <cell r="L69">
            <v>0.25255458833027467</v>
          </cell>
          <cell r="M69">
            <v>0.21103451301274423</v>
          </cell>
          <cell r="N69">
            <v>0.10566173870219608</v>
          </cell>
          <cell r="O69">
            <v>0.14455778087685056</v>
          </cell>
        </row>
        <row r="75">
          <cell r="J75">
            <v>2.8631165401861107</v>
          </cell>
          <cell r="K75">
            <v>3.3865256877003382</v>
          </cell>
          <cell r="L75">
            <v>4.0653657401724335</v>
          </cell>
          <cell r="M75">
            <v>5.0905340617048367</v>
          </cell>
        </row>
        <row r="76">
          <cell r="M76">
            <v>0.25217124043774719</v>
          </cell>
        </row>
        <row r="77">
          <cell r="J77">
            <v>6.3465078466897484</v>
          </cell>
          <cell r="K77">
            <v>8.3223041223693492</v>
          </cell>
          <cell r="L77">
            <v>10.247697665498723</v>
          </cell>
          <cell r="M77">
            <v>12.577551394175501</v>
          </cell>
        </row>
        <row r="78">
          <cell r="M78">
            <v>0.22935202010692235</v>
          </cell>
          <cell r="O78">
            <v>0.22735387056946221</v>
          </cell>
        </row>
        <row r="79">
          <cell r="J79">
            <v>6.3465078466897484</v>
          </cell>
          <cell r="K79">
            <v>7.8020922419524759</v>
          </cell>
          <cell r="L79">
            <v>9.5915178587048224</v>
          </cell>
          <cell r="M79">
            <v>11.791351855490396</v>
          </cell>
          <cell r="O79">
            <v>0.23160287672524571</v>
          </cell>
        </row>
        <row r="82">
          <cell r="B82" t="str">
            <v>ESRX</v>
          </cell>
          <cell r="C82">
            <v>2002</v>
          </cell>
          <cell r="D82">
            <v>2003</v>
          </cell>
          <cell r="E82">
            <v>2004</v>
          </cell>
          <cell r="F82">
            <v>2005</v>
          </cell>
          <cell r="G82">
            <v>2006</v>
          </cell>
          <cell r="H82">
            <v>2007</v>
          </cell>
          <cell r="I82">
            <v>2008</v>
          </cell>
          <cell r="J82">
            <v>2009</v>
          </cell>
          <cell r="K82">
            <v>2010</v>
          </cell>
          <cell r="L82">
            <v>2011</v>
          </cell>
          <cell r="M82">
            <v>2012</v>
          </cell>
          <cell r="N82">
            <v>2013</v>
          </cell>
          <cell r="O82">
            <v>2014</v>
          </cell>
        </row>
        <row r="83">
          <cell r="B83" t="str">
            <v>Revenue per adj claim</v>
          </cell>
          <cell r="C83">
            <v>27.328874194487931</v>
          </cell>
          <cell r="D83">
            <v>27.160993268661318</v>
          </cell>
          <cell r="E83">
            <v>27.351530337247965</v>
          </cell>
          <cell r="F83">
            <v>25.176574977817214</v>
          </cell>
          <cell r="G83">
            <v>27.062560153994227</v>
          </cell>
          <cell r="H83">
            <v>35.586506214243443</v>
          </cell>
          <cell r="I83">
            <v>40.05435202716054</v>
          </cell>
          <cell r="J83">
            <v>44.242004266524482</v>
          </cell>
          <cell r="K83">
            <v>60.887813069400238</v>
          </cell>
          <cell r="L83">
            <v>62.198559856496097</v>
          </cell>
          <cell r="M83">
            <v>59.956322630987707</v>
          </cell>
          <cell r="N83">
            <v>57.392744566488325</v>
          </cell>
          <cell r="O83">
            <v>56.686359775652818</v>
          </cell>
        </row>
        <row r="84">
          <cell r="B84" t="str">
            <v>EBITDA per adj claim</v>
          </cell>
          <cell r="C84">
            <v>1.873652928969312</v>
          </cell>
          <cell r="D84">
            <v>1.8065720219873709</v>
          </cell>
          <cell r="E84">
            <v>1.8055753394597136</v>
          </cell>
          <cell r="F84">
            <v>2.1285055023074206</v>
          </cell>
          <cell r="G84">
            <v>2.8415784408084712</v>
          </cell>
          <cell r="H84">
            <v>3.4580785164726802</v>
          </cell>
          <cell r="I84">
            <v>4.0310092830337769</v>
          </cell>
          <cell r="J84">
            <v>4.6600034183291905</v>
          </cell>
          <cell r="K84">
            <v>4.5804821009656589</v>
          </cell>
          <cell r="L84">
            <v>4.8855465581511694</v>
          </cell>
          <cell r="M84">
            <v>5.223469632509798</v>
          </cell>
          <cell r="N84">
            <v>5.268730332918218</v>
          </cell>
          <cell r="O84">
            <v>5.4727301591221362</v>
          </cell>
        </row>
        <row r="91">
          <cell r="B91" t="str">
            <v>Contibution to Gross Margin</v>
          </cell>
          <cell r="C91">
            <v>2002</v>
          </cell>
          <cell r="D91">
            <v>2003</v>
          </cell>
          <cell r="E91">
            <v>2004</v>
          </cell>
          <cell r="F91">
            <v>2005</v>
          </cell>
          <cell r="G91">
            <v>2006</v>
          </cell>
          <cell r="H91">
            <v>2007</v>
          </cell>
          <cell r="I91">
            <v>2008</v>
          </cell>
          <cell r="J91">
            <v>2009</v>
          </cell>
          <cell r="K91">
            <v>2010</v>
          </cell>
          <cell r="L91">
            <v>2011</v>
          </cell>
          <cell r="M91">
            <v>2012</v>
          </cell>
          <cell r="N91">
            <v>2013</v>
          </cell>
          <cell r="O91">
            <v>2014</v>
          </cell>
        </row>
        <row r="92">
          <cell r="B92" t="str">
            <v>Total Retail / Network</v>
          </cell>
          <cell r="C92">
            <v>0</v>
          </cell>
          <cell r="D92">
            <v>0</v>
          </cell>
          <cell r="E92">
            <v>0.20525233880139812</v>
          </cell>
          <cell r="F92">
            <v>0.25391122841934877</v>
          </cell>
          <cell r="G92">
            <v>0.25447132703493858</v>
          </cell>
          <cell r="H92">
            <v>0.27214088733863134</v>
          </cell>
          <cell r="I92">
            <v>0.31659516601089238</v>
          </cell>
          <cell r="J92">
            <v>0.35374017115571493</v>
          </cell>
          <cell r="K92">
            <v>0.42157995760694073</v>
          </cell>
          <cell r="L92">
            <v>0.41162217918311877</v>
          </cell>
          <cell r="M92">
            <v>0.39766505235529659</v>
          </cell>
          <cell r="N92">
            <v>0.38570269918602945</v>
          </cell>
          <cell r="O92">
            <v>0.37865395717569622</v>
          </cell>
        </row>
        <row r="93">
          <cell r="B93" t="str">
            <v>Mail / Home Delivery - core</v>
          </cell>
          <cell r="C93">
            <v>0</v>
          </cell>
          <cell r="D93">
            <v>0</v>
          </cell>
          <cell r="E93">
            <v>0.73826520635914317</v>
          </cell>
          <cell r="F93">
            <v>0.61522210737594862</v>
          </cell>
          <cell r="G93">
            <v>0.74272195751090853</v>
          </cell>
          <cell r="H93">
            <v>0.72571702403122029</v>
          </cell>
          <cell r="I93">
            <v>0.45449755569281552</v>
          </cell>
          <cell r="J93">
            <v>0.4241988728515913</v>
          </cell>
          <cell r="K93">
            <v>0.36161923704943794</v>
          </cell>
          <cell r="L93">
            <v>0.36292105376463729</v>
          </cell>
          <cell r="M93">
            <v>0.36739922855434654</v>
          </cell>
          <cell r="N93">
            <v>0.36085627456112845</v>
          </cell>
          <cell r="O93">
            <v>0.35548864678432063</v>
          </cell>
        </row>
        <row r="94">
          <cell r="B94" t="str">
            <v>Total Specialty</v>
          </cell>
          <cell r="C94">
            <v>0</v>
          </cell>
          <cell r="D94">
            <v>0</v>
          </cell>
          <cell r="E94">
            <v>0</v>
          </cell>
          <cell r="F94">
            <v>0</v>
          </cell>
          <cell r="G94">
            <v>0</v>
          </cell>
          <cell r="H94">
            <v>0</v>
          </cell>
          <cell r="I94">
            <v>0.11301751200831807</v>
          </cell>
          <cell r="J94">
            <v>0.11409903744364086</v>
          </cell>
          <cell r="K94">
            <v>0.13768296398744237</v>
          </cell>
          <cell r="L94">
            <v>0.15046151035712882</v>
          </cell>
          <cell r="M94">
            <v>0.1640226411671615</v>
          </cell>
          <cell r="N94">
            <v>0.1819570189524142</v>
          </cell>
          <cell r="O94">
            <v>0.19591680364537409</v>
          </cell>
        </row>
        <row r="95">
          <cell r="B95" t="str">
            <v>Services &amp; Other</v>
          </cell>
          <cell r="C95">
            <v>0</v>
          </cell>
          <cell r="D95">
            <v>0</v>
          </cell>
          <cell r="E95">
            <v>0</v>
          </cell>
          <cell r="F95">
            <v>0</v>
          </cell>
          <cell r="G95">
            <v>2.806715454154111E-3</v>
          </cell>
          <cell r="H95">
            <v>2.142088630148393E-3</v>
          </cell>
          <cell r="I95">
            <v>0.11588976628797415</v>
          </cell>
          <cell r="J95">
            <v>0.10796191854905282</v>
          </cell>
          <cell r="K95">
            <v>7.9117841356178942E-2</v>
          </cell>
          <cell r="L95">
            <v>7.4995256695115059E-2</v>
          </cell>
          <cell r="M95">
            <v>7.0913077923195414E-2</v>
          </cell>
          <cell r="N95">
            <v>7.1484007300427796E-2</v>
          </cell>
          <cell r="O95">
            <v>6.9940592394608994E-2</v>
          </cell>
        </row>
        <row r="100">
          <cell r="B100" t="str">
            <v>Contibution to Gross Margin</v>
          </cell>
          <cell r="C100">
            <v>2002</v>
          </cell>
          <cell r="D100">
            <v>2003</v>
          </cell>
          <cell r="E100">
            <v>2004</v>
          </cell>
          <cell r="F100">
            <v>2005</v>
          </cell>
          <cell r="G100">
            <v>2006</v>
          </cell>
          <cell r="H100">
            <v>2007</v>
          </cell>
          <cell r="I100">
            <v>2008</v>
          </cell>
          <cell r="J100">
            <v>2009</v>
          </cell>
          <cell r="K100">
            <v>2010</v>
          </cell>
          <cell r="L100">
            <v>2011</v>
          </cell>
          <cell r="M100">
            <v>2012</v>
          </cell>
          <cell r="N100">
            <v>2013</v>
          </cell>
          <cell r="O100">
            <v>2014</v>
          </cell>
        </row>
        <row r="101">
          <cell r="B101" t="str">
            <v>Generics</v>
          </cell>
          <cell r="C101">
            <v>0</v>
          </cell>
          <cell r="D101">
            <v>0</v>
          </cell>
          <cell r="E101">
            <v>0.87014837031857883</v>
          </cell>
          <cell r="F101">
            <v>0.59962389097577495</v>
          </cell>
          <cell r="G101">
            <v>0.70390222379582568</v>
          </cell>
          <cell r="H101">
            <v>0.60901042489603152</v>
          </cell>
          <cell r="I101">
            <v>0.60609922880788902</v>
          </cell>
          <cell r="J101">
            <v>0.60567651652901189</v>
          </cell>
          <cell r="K101">
            <v>0.60642188876446701</v>
          </cell>
          <cell r="L101">
            <v>0.59936913046480855</v>
          </cell>
          <cell r="M101">
            <v>0.62287522204068835</v>
          </cell>
          <cell r="N101">
            <v>0.62106759921796506</v>
          </cell>
          <cell r="O101">
            <v>0.62451356144640924</v>
          </cell>
        </row>
        <row r="102">
          <cell r="B102" t="str">
            <v>Brand</v>
          </cell>
          <cell r="C102">
            <v>0</v>
          </cell>
          <cell r="D102">
            <v>0</v>
          </cell>
          <cell r="E102">
            <v>7.3369174841962481E-2</v>
          </cell>
          <cell r="F102">
            <v>0.26950944481952244</v>
          </cell>
          <cell r="G102">
            <v>0.29329106075002148</v>
          </cell>
          <cell r="H102">
            <v>0.38884748647382017</v>
          </cell>
          <cell r="I102">
            <v>0.16499349289581894</v>
          </cell>
          <cell r="J102">
            <v>0.17226252747829435</v>
          </cell>
          <cell r="K102">
            <v>0.17677730589191165</v>
          </cell>
          <cell r="L102">
            <v>0.17517410248294757</v>
          </cell>
          <cell r="M102">
            <v>0.14218905886895483</v>
          </cell>
          <cell r="N102">
            <v>0.12549137452919282</v>
          </cell>
          <cell r="O102">
            <v>0.10962904251360769</v>
          </cell>
        </row>
        <row r="103">
          <cell r="B103" t="str">
            <v>Specialty</v>
          </cell>
          <cell r="C103">
            <v>0</v>
          </cell>
          <cell r="D103">
            <v>0</v>
          </cell>
          <cell r="E103">
            <v>0</v>
          </cell>
          <cell r="F103">
            <v>0</v>
          </cell>
          <cell r="G103">
            <v>0</v>
          </cell>
          <cell r="H103">
            <v>0</v>
          </cell>
          <cell r="I103">
            <v>0.11301751200831807</v>
          </cell>
          <cell r="J103">
            <v>0.11409903744364086</v>
          </cell>
          <cell r="K103">
            <v>0.13768296398744237</v>
          </cell>
          <cell r="L103">
            <v>0.15046151035712882</v>
          </cell>
          <cell r="M103">
            <v>0.1640226411671615</v>
          </cell>
          <cell r="N103">
            <v>0.1819570189524142</v>
          </cell>
          <cell r="O103">
            <v>0.19591680364537409</v>
          </cell>
        </row>
        <row r="104">
          <cell r="B104" t="str">
            <v>Services &amp; Other</v>
          </cell>
          <cell r="C104">
            <v>0</v>
          </cell>
          <cell r="D104">
            <v>0</v>
          </cell>
          <cell r="E104">
            <v>0</v>
          </cell>
          <cell r="F104">
            <v>0</v>
          </cell>
          <cell r="G104">
            <v>2.806715454154111E-3</v>
          </cell>
          <cell r="H104">
            <v>2.142088630148393E-3</v>
          </cell>
          <cell r="I104">
            <v>0.11588976628797415</v>
          </cell>
          <cell r="J104">
            <v>0.10796191854905282</v>
          </cell>
          <cell r="K104">
            <v>7.9117841356178942E-2</v>
          </cell>
          <cell r="L104">
            <v>7.4995256695115059E-2</v>
          </cell>
          <cell r="M104">
            <v>7.0913077923195414E-2</v>
          </cell>
          <cell r="N104">
            <v>7.1484007300427796E-2</v>
          </cell>
          <cell r="O104">
            <v>6.9940592394608994E-2</v>
          </cell>
        </row>
        <row r="107">
          <cell r="B107" t="str">
            <v>Retail / Network - generics</v>
          </cell>
          <cell r="C107">
            <v>0</v>
          </cell>
          <cell r="D107">
            <v>0</v>
          </cell>
          <cell r="E107">
            <v>0.18207820433577135</v>
          </cell>
          <cell r="F107">
            <v>0.12385860260024335</v>
          </cell>
          <cell r="G107">
            <v>0.1271937649064584</v>
          </cell>
          <cell r="H107">
            <v>0.12026126632227407</v>
          </cell>
          <cell r="I107">
            <v>0.21687442251770958</v>
          </cell>
          <cell r="J107">
            <v>0.25029683068883996</v>
          </cell>
          <cell r="K107">
            <v>0.30153274803256308</v>
          </cell>
          <cell r="L107">
            <v>0.29422386927896765</v>
          </cell>
          <cell r="M107">
            <v>0.30059963800396594</v>
          </cell>
          <cell r="N107">
            <v>0.29891881712974061</v>
          </cell>
          <cell r="O107">
            <v>0.3015172279806585</v>
          </cell>
        </row>
        <row r="108">
          <cell r="B108" t="str">
            <v>Retail / Network - brand</v>
          </cell>
          <cell r="C108">
            <v>0</v>
          </cell>
          <cell r="D108">
            <v>0</v>
          </cell>
          <cell r="E108">
            <v>2.3174134465626779E-2</v>
          </cell>
          <cell r="F108">
            <v>0.1300526258191054</v>
          </cell>
          <cell r="G108">
            <v>0.12727756212848018</v>
          </cell>
          <cell r="H108">
            <v>0.1518796210163573</v>
          </cell>
          <cell r="I108">
            <v>9.9720743493182815E-2</v>
          </cell>
          <cell r="J108">
            <v>0.10344334046687505</v>
          </cell>
          <cell r="K108">
            <v>0.12004720957437767</v>
          </cell>
          <cell r="L108">
            <v>0.11739830990415115</v>
          </cell>
          <cell r="M108">
            <v>9.7065414351330662E-2</v>
          </cell>
          <cell r="N108">
            <v>8.6783882056288855E-2</v>
          </cell>
          <cell r="O108">
            <v>7.7136729195037765E-2</v>
          </cell>
        </row>
        <row r="109">
          <cell r="B109" t="str">
            <v>Mail / Home Delivery - generics - core</v>
          </cell>
          <cell r="C109">
            <v>0</v>
          </cell>
          <cell r="D109">
            <v>0</v>
          </cell>
          <cell r="E109">
            <v>0.68807016598280746</v>
          </cell>
          <cell r="F109">
            <v>0.47576528837553156</v>
          </cell>
          <cell r="G109">
            <v>0.57670845888936728</v>
          </cell>
          <cell r="H109">
            <v>0.48874915857375739</v>
          </cell>
          <cell r="I109">
            <v>0.38922480629017941</v>
          </cell>
          <cell r="J109">
            <v>0.35537968584017199</v>
          </cell>
          <cell r="K109">
            <v>0.30488914073190398</v>
          </cell>
          <cell r="L109">
            <v>0.3051452611858409</v>
          </cell>
          <cell r="M109">
            <v>0.32227558403672235</v>
          </cell>
          <cell r="N109">
            <v>0.32214878208822451</v>
          </cell>
          <cell r="O109">
            <v>0.32299633346575068</v>
          </cell>
        </row>
        <row r="110">
          <cell r="B110" t="str">
            <v>Mail / Home Delivery - brand - core</v>
          </cell>
          <cell r="C110">
            <v>0</v>
          </cell>
          <cell r="D110">
            <v>0</v>
          </cell>
          <cell r="E110">
            <v>5.0195040376335695E-2</v>
          </cell>
          <cell r="F110">
            <v>0.13945681900041704</v>
          </cell>
          <cell r="G110">
            <v>0.1660134986215413</v>
          </cell>
          <cell r="H110">
            <v>0.23696786545746287</v>
          </cell>
          <cell r="I110">
            <v>6.527274940263611E-2</v>
          </cell>
          <cell r="J110">
            <v>6.88191870114193E-2</v>
          </cell>
          <cell r="K110">
            <v>5.6730096317533965E-2</v>
          </cell>
          <cell r="L110">
            <v>5.7775792578796413E-2</v>
          </cell>
          <cell r="M110">
            <v>4.5123644517624163E-2</v>
          </cell>
          <cell r="N110">
            <v>3.8707492472903962E-2</v>
          </cell>
          <cell r="O110">
            <v>3.2492313318569922E-2</v>
          </cell>
        </row>
        <row r="111">
          <cell r="B111" t="str">
            <v>Mail / Home Delivery - specialty</v>
          </cell>
          <cell r="C111">
            <v>0</v>
          </cell>
          <cell r="D111">
            <v>0</v>
          </cell>
          <cell r="E111">
            <v>0</v>
          </cell>
          <cell r="F111">
            <v>0</v>
          </cell>
          <cell r="G111">
            <v>0</v>
          </cell>
          <cell r="H111">
            <v>0</v>
          </cell>
          <cell r="I111">
            <v>0.11301751200831807</v>
          </cell>
          <cell r="J111">
            <v>0.11409903744364086</v>
          </cell>
          <cell r="K111">
            <v>0.13768296398744237</v>
          </cell>
          <cell r="L111">
            <v>0.15046151035712882</v>
          </cell>
          <cell r="M111">
            <v>0.1640226411671615</v>
          </cell>
          <cell r="N111">
            <v>0.1819570189524142</v>
          </cell>
          <cell r="O111">
            <v>0.19591680364537409</v>
          </cell>
        </row>
        <row r="118">
          <cell r="B118" t="str">
            <v>Sales by Product &amp; Channel</v>
          </cell>
          <cell r="C118">
            <v>2002</v>
          </cell>
          <cell r="D118">
            <v>2003</v>
          </cell>
          <cell r="E118">
            <v>2004</v>
          </cell>
          <cell r="F118">
            <v>2005</v>
          </cell>
          <cell r="G118">
            <v>2006</v>
          </cell>
          <cell r="H118">
            <v>2007</v>
          </cell>
          <cell r="I118">
            <v>2008</v>
          </cell>
          <cell r="J118">
            <v>2009</v>
          </cell>
          <cell r="K118">
            <v>2010</v>
          </cell>
          <cell r="L118">
            <v>2011</v>
          </cell>
          <cell r="M118">
            <v>2012</v>
          </cell>
          <cell r="N118">
            <v>2013</v>
          </cell>
          <cell r="O118">
            <v>2014</v>
          </cell>
        </row>
        <row r="119">
          <cell r="B119" t="str">
            <v>Retail Generic</v>
          </cell>
          <cell r="C119">
            <v>0</v>
          </cell>
          <cell r="D119">
            <v>1445.7586411742684</v>
          </cell>
          <cell r="E119">
            <v>1501.8864821146765</v>
          </cell>
          <cell r="F119">
            <v>1467.3496401638847</v>
          </cell>
          <cell r="G119">
            <v>1477.3555793885143</v>
          </cell>
          <cell r="H119">
            <v>2343.2008577315969</v>
          </cell>
          <cell r="I119">
            <v>3293.8930439420883</v>
          </cell>
          <cell r="J119">
            <v>4188.4156934860439</v>
          </cell>
          <cell r="K119">
            <v>9280.4859662180534</v>
          </cell>
          <cell r="L119">
            <v>9935.3810676736666</v>
          </cell>
          <cell r="M119">
            <v>11163.106217568449</v>
          </cell>
          <cell r="N119">
            <v>11453.990586830012</v>
          </cell>
          <cell r="O119">
            <v>12280.710469953687</v>
          </cell>
        </row>
        <row r="120">
          <cell r="B120" t="str">
            <v>Retail Brand</v>
          </cell>
          <cell r="C120">
            <v>0</v>
          </cell>
          <cell r="D120">
            <v>7591.2413588257323</v>
          </cell>
          <cell r="E120">
            <v>7885.1135178853237</v>
          </cell>
          <cell r="F120">
            <v>7703.650359836116</v>
          </cell>
          <cell r="G120">
            <v>7391.6444206114847</v>
          </cell>
          <cell r="H120">
            <v>10680.099142268404</v>
          </cell>
          <cell r="I120">
            <v>9746.0069560579122</v>
          </cell>
          <cell r="J120">
            <v>11035.789326885135</v>
          </cell>
          <cell r="K120">
            <v>23753.399679663322</v>
          </cell>
          <cell r="L120">
            <v>24183.485108803041</v>
          </cell>
          <cell r="M120">
            <v>22001.299924142775</v>
          </cell>
          <cell r="N120">
            <v>20286.273717595639</v>
          </cell>
          <cell r="O120">
            <v>19167.812111909461</v>
          </cell>
        </row>
        <row r="121">
          <cell r="B121" t="str">
            <v>Mail Generic</v>
          </cell>
          <cell r="C121">
            <v>0</v>
          </cell>
          <cell r="D121">
            <v>493.50832930692604</v>
          </cell>
          <cell r="E121">
            <v>630.62235922554817</v>
          </cell>
          <cell r="F121">
            <v>663.10340989819974</v>
          </cell>
          <cell r="G121">
            <v>738.7985000000001</v>
          </cell>
          <cell r="H121">
            <v>825.09925523423624</v>
          </cell>
          <cell r="I121">
            <v>837.3833734355419</v>
          </cell>
          <cell r="J121">
            <v>929.05220468016728</v>
          </cell>
          <cell r="K121">
            <v>1566.8514628539592</v>
          </cell>
          <cell r="L121">
            <v>1743.3803363665425</v>
          </cell>
          <cell r="M121">
            <v>2081.4180316936408</v>
          </cell>
          <cell r="N121">
            <v>2208.6942460100381</v>
          </cell>
          <cell r="O121">
            <v>2425.0025697780475</v>
          </cell>
        </row>
        <row r="122">
          <cell r="B122" t="str">
            <v>Mail Brand</v>
          </cell>
          <cell r="C122">
            <v>0</v>
          </cell>
          <cell r="D122">
            <v>3494.4916706930744</v>
          </cell>
          <cell r="E122">
            <v>4140.3776407744517</v>
          </cell>
          <cell r="F122">
            <v>4352.8965901018</v>
          </cell>
          <cell r="G122">
            <v>4451.2015000000001</v>
          </cell>
          <cell r="H122">
            <v>4190.4007447657641</v>
          </cell>
          <cell r="I122">
            <v>4155.3166265644586</v>
          </cell>
          <cell r="J122">
            <v>4340.891237351816</v>
          </cell>
          <cell r="K122">
            <v>6532.8793097001608</v>
          </cell>
          <cell r="L122">
            <v>6636.0658266771616</v>
          </cell>
          <cell r="M122">
            <v>5702.7484317220624</v>
          </cell>
          <cell r="N122">
            <v>5045.1044942204026</v>
          </cell>
          <cell r="O122">
            <v>4502.6506024930486</v>
          </cell>
        </row>
        <row r="123">
          <cell r="B123" t="str">
            <v>Specialty</v>
          </cell>
          <cell r="C123">
            <v>0</v>
          </cell>
          <cell r="D123">
            <v>0</v>
          </cell>
          <cell r="E123">
            <v>0</v>
          </cell>
          <cell r="F123">
            <v>0</v>
          </cell>
          <cell r="G123">
            <v>0</v>
          </cell>
          <cell r="H123">
            <v>0</v>
          </cell>
          <cell r="I123">
            <v>2233</v>
          </cell>
          <cell r="J123">
            <v>2726.4116950696502</v>
          </cell>
          <cell r="K123">
            <v>4668.9493813858862</v>
          </cell>
          <cell r="L123">
            <v>5598.0703082816781</v>
          </cell>
          <cell r="M123">
            <v>6712.0862996297337</v>
          </cell>
          <cell r="N123">
            <v>7681.9827699262323</v>
          </cell>
          <cell r="O123">
            <v>8792.0292801805736</v>
          </cell>
        </row>
        <row r="124">
          <cell r="B124" t="str">
            <v>Services &amp; Other</v>
          </cell>
          <cell r="C124">
            <v>0</v>
          </cell>
          <cell r="D124">
            <v>73</v>
          </cell>
          <cell r="E124">
            <v>101</v>
          </cell>
          <cell r="F124">
            <v>152</v>
          </cell>
          <cell r="G124">
            <v>163</v>
          </cell>
          <cell r="H124">
            <v>168.7</v>
          </cell>
          <cell r="I124">
            <v>305.3</v>
          </cell>
          <cell r="J124">
            <v>343.96858956814947</v>
          </cell>
          <cell r="K124">
            <v>357.72733315087544</v>
          </cell>
          <cell r="L124">
            <v>372.03642647691049</v>
          </cell>
          <cell r="M124">
            <v>386.9178835359869</v>
          </cell>
          <cell r="N124">
            <v>402.39459887742646</v>
          </cell>
          <cell r="O124">
            <v>418.49038283252349</v>
          </cell>
        </row>
        <row r="125">
          <cell r="B125" t="str">
            <v>EM</v>
          </cell>
          <cell r="C125">
            <v>0</v>
          </cell>
          <cell r="D125">
            <v>0</v>
          </cell>
          <cell r="E125">
            <v>0</v>
          </cell>
          <cell r="F125">
            <v>0</v>
          </cell>
          <cell r="G125">
            <v>0</v>
          </cell>
          <cell r="H125">
            <v>0</v>
          </cell>
          <cell r="I125">
            <v>1407.1</v>
          </cell>
          <cell r="J125">
            <v>1294.4989999999998</v>
          </cell>
          <cell r="K125">
            <v>1320.01298</v>
          </cell>
          <cell r="L125">
            <v>1385.254109</v>
          </cell>
          <cell r="M125">
            <v>1453.7345088500001</v>
          </cell>
          <cell r="N125">
            <v>1525.6154595245002</v>
          </cell>
          <cell r="O125">
            <v>1601.0662844896851</v>
          </cell>
        </row>
      </sheetData>
      <sheetData sheetId="10" refreshError="1">
        <row r="2">
          <cell r="B2" t="str">
            <v>GDR</v>
          </cell>
        </row>
        <row r="3">
          <cell r="D3">
            <v>1999</v>
          </cell>
          <cell r="E3">
            <v>2000</v>
          </cell>
          <cell r="F3" t="str">
            <v>1Q01</v>
          </cell>
          <cell r="G3" t="str">
            <v>2Q01</v>
          </cell>
          <cell r="H3" t="str">
            <v>3Q01</v>
          </cell>
          <cell r="I3" t="str">
            <v>4Q01</v>
          </cell>
          <cell r="J3" t="str">
            <v>1Q02</v>
          </cell>
          <cell r="K3" t="str">
            <v>2Q02</v>
          </cell>
          <cell r="L3" t="str">
            <v>3Q02</v>
          </cell>
          <cell r="M3" t="str">
            <v>4Q02</v>
          </cell>
          <cell r="N3" t="str">
            <v>1Q03</v>
          </cell>
          <cell r="O3" t="str">
            <v>2Q03</v>
          </cell>
          <cell r="P3" t="str">
            <v>3Q03</v>
          </cell>
          <cell r="Q3" t="str">
            <v>4Q03</v>
          </cell>
          <cell r="R3" t="str">
            <v>1Q04</v>
          </cell>
          <cell r="S3" t="str">
            <v>2Q04</v>
          </cell>
          <cell r="T3" t="str">
            <v>3Q04</v>
          </cell>
          <cell r="U3" t="str">
            <v>4Q04</v>
          </cell>
          <cell r="V3" t="str">
            <v>1Q05</v>
          </cell>
          <cell r="W3" t="str">
            <v>2Q05</v>
          </cell>
          <cell r="X3" t="str">
            <v>3Q05</v>
          </cell>
          <cell r="Y3" t="str">
            <v>4Q05</v>
          </cell>
          <cell r="Z3" t="str">
            <v>1Q06</v>
          </cell>
          <cell r="AA3" t="str">
            <v>2Q06</v>
          </cell>
          <cell r="AB3" t="str">
            <v>3Q06</v>
          </cell>
          <cell r="AC3" t="str">
            <v>4Q06</v>
          </cell>
          <cell r="AD3" t="str">
            <v>1Q07</v>
          </cell>
          <cell r="AE3" t="str">
            <v>2Q07</v>
          </cell>
          <cell r="AF3" t="str">
            <v>3Q07</v>
          </cell>
          <cell r="AG3" t="str">
            <v>4Q07</v>
          </cell>
          <cell r="AH3" t="str">
            <v>1Q08</v>
          </cell>
          <cell r="AI3" t="str">
            <v>2Q08</v>
          </cell>
          <cell r="AJ3" t="str">
            <v>3Q08</v>
          </cell>
          <cell r="AK3" t="str">
            <v>4Q08</v>
          </cell>
          <cell r="AL3" t="str">
            <v>1Q09</v>
          </cell>
          <cell r="AM3" t="str">
            <v>2Q09</v>
          </cell>
          <cell r="AN3" t="str">
            <v>3Q09</v>
          </cell>
          <cell r="AO3" t="str">
            <v>4Q09</v>
          </cell>
          <cell r="AP3" t="str">
            <v>1Q10</v>
          </cell>
          <cell r="AQ3" t="str">
            <v>2Q10</v>
          </cell>
          <cell r="AR3" t="str">
            <v>3Q10</v>
          </cell>
          <cell r="AS3" t="str">
            <v>4Q10</v>
          </cell>
          <cell r="AT3" t="str">
            <v>1Q11</v>
          </cell>
          <cell r="AU3" t="str">
            <v>2Q11</v>
          </cell>
          <cell r="AV3" t="str">
            <v>3Q11</v>
          </cell>
          <cell r="AW3" t="str">
            <v>4Q11</v>
          </cell>
          <cell r="AX3" t="str">
            <v>1Q12</v>
          </cell>
          <cell r="AY3" t="str">
            <v>2Q12</v>
          </cell>
          <cell r="AZ3" t="str">
            <v>3Q12</v>
          </cell>
          <cell r="BA3" t="str">
            <v>4Q12</v>
          </cell>
          <cell r="BB3" t="str">
            <v>1Q13</v>
          </cell>
          <cell r="BC3" t="str">
            <v>2Q13</v>
          </cell>
          <cell r="BD3" t="str">
            <v>3Q13</v>
          </cell>
          <cell r="BE3" t="str">
            <v>4Q13</v>
          </cell>
          <cell r="BF3" t="str">
            <v>1Q14</v>
          </cell>
          <cell r="BG3" t="str">
            <v>2Q14</v>
          </cell>
          <cell r="BH3" t="str">
            <v>3Q14</v>
          </cell>
          <cell r="BI3" t="str">
            <v>4Q14</v>
          </cell>
        </row>
        <row r="4">
          <cell r="B4" t="str">
            <v>Generic Dispensing Rate</v>
          </cell>
        </row>
        <row r="5">
          <cell r="B5" t="str">
            <v>Generic dispensing rate</v>
          </cell>
          <cell r="L5">
            <v>0.41</v>
          </cell>
          <cell r="M5">
            <v>0.42</v>
          </cell>
          <cell r="N5">
            <v>0.436</v>
          </cell>
          <cell r="O5">
            <v>0.434</v>
          </cell>
          <cell r="P5">
            <v>0.44</v>
          </cell>
          <cell r="Q5">
            <v>0.45</v>
          </cell>
          <cell r="R5">
            <v>0.45100000000000001</v>
          </cell>
          <cell r="S5">
            <v>0.45500000000000002</v>
          </cell>
          <cell r="T5">
            <v>0.46800000000000003</v>
          </cell>
          <cell r="U5">
            <v>0.48099999999999998</v>
          </cell>
          <cell r="V5">
            <v>0.50700000000000001</v>
          </cell>
          <cell r="W5">
            <v>0.51</v>
          </cell>
          <cell r="X5">
            <v>0.51500000000000001</v>
          </cell>
          <cell r="Y5">
            <v>0.52500000000000002</v>
          </cell>
          <cell r="Z5">
            <v>0.53678571428571431</v>
          </cell>
          <cell r="AA5">
            <v>0.53897084912952264</v>
          </cell>
          <cell r="AB5">
            <v>0.55983851851851851</v>
          </cell>
          <cell r="AC5">
            <v>0.57329873772791018</v>
          </cell>
          <cell r="AD5">
            <v>0.58267739678096564</v>
          </cell>
          <cell r="AE5">
            <v>0.58962482065997135</v>
          </cell>
          <cell r="AF5">
            <v>0.60250147167034573</v>
          </cell>
          <cell r="AG5">
            <v>0.6141003533568905</v>
          </cell>
          <cell r="AH5">
            <v>0.63276462938881661</v>
          </cell>
          <cell r="AI5">
            <v>0.63671213159698414</v>
          </cell>
          <cell r="AJ5">
            <v>0.64440651558073658</v>
          </cell>
          <cell r="AK5">
            <v>0.64956068965517255</v>
          </cell>
          <cell r="AL5">
            <v>0.66841462021701892</v>
          </cell>
          <cell r="AM5">
            <v>0.67313141210374638</v>
          </cell>
          <cell r="AN5">
            <v>0.67703003533568895</v>
          </cell>
          <cell r="AO5">
            <v>0.68272572402044296</v>
          </cell>
          <cell r="AP5">
            <v>0.69623853211009179</v>
          </cell>
          <cell r="AQ5">
            <v>0.70642833876221489</v>
          </cell>
          <cell r="AR5">
            <v>0.71341566016634239</v>
          </cell>
          <cell r="AS5">
            <v>0.71650038271330196</v>
          </cell>
          <cell r="AT5">
            <v>0.71903877158760188</v>
          </cell>
          <cell r="AU5">
            <v>0.72121302028310152</v>
          </cell>
          <cell r="AV5">
            <v>0.72345575351775571</v>
          </cell>
          <cell r="AW5">
            <v>0.73134984256126623</v>
          </cell>
          <cell r="AX5">
            <v>0.74272243847435104</v>
          </cell>
          <cell r="AY5">
            <v>0.75888887877713718</v>
          </cell>
          <cell r="AZ5">
            <v>0.77494503291440087</v>
          </cell>
          <cell r="BA5">
            <v>0.79026301344316829</v>
          </cell>
          <cell r="BB5">
            <v>0.79296428566508015</v>
          </cell>
          <cell r="BC5">
            <v>0.79692448934176663</v>
          </cell>
          <cell r="BD5">
            <v>0.80098040442880103</v>
          </cell>
          <cell r="BE5">
            <v>0.80660753551293651</v>
          </cell>
          <cell r="BF5">
            <v>0.81147252598053554</v>
          </cell>
          <cell r="BG5">
            <v>0.81908857458127748</v>
          </cell>
          <cell r="BH5">
            <v>0.82733987909522166</v>
          </cell>
          <cell r="BI5">
            <v>0.82971709107695635</v>
          </cell>
        </row>
        <row r="6">
          <cell r="B6" t="str">
            <v>y/y change</v>
          </cell>
          <cell r="N6">
            <v>4360</v>
          </cell>
          <cell r="O6">
            <v>4340</v>
          </cell>
          <cell r="P6">
            <v>300.00000000000028</v>
          </cell>
          <cell r="Q6">
            <v>300.00000000000028</v>
          </cell>
          <cell r="R6">
            <v>150.00000000000014</v>
          </cell>
          <cell r="S6">
            <v>210.0000000000002</v>
          </cell>
          <cell r="T6">
            <v>280.00000000000023</v>
          </cell>
          <cell r="U6">
            <v>309.99999999999972</v>
          </cell>
          <cell r="V6">
            <v>560</v>
          </cell>
          <cell r="W6">
            <v>549.99999999999989</v>
          </cell>
          <cell r="X6">
            <v>469.99999999999983</v>
          </cell>
          <cell r="Y6">
            <v>440.0000000000004</v>
          </cell>
          <cell r="Z6">
            <v>297.85714285714306</v>
          </cell>
          <cell r="AA6">
            <v>289.70849129522634</v>
          </cell>
          <cell r="AB6">
            <v>448.38518518518498</v>
          </cell>
          <cell r="AC6">
            <v>482.98737727910162</v>
          </cell>
          <cell r="AD6">
            <v>458.91682495251331</v>
          </cell>
          <cell r="AE6">
            <v>506.539715304487</v>
          </cell>
          <cell r="AF6">
            <v>426.62953151827219</v>
          </cell>
          <cell r="AG6">
            <v>408.01615628980323</v>
          </cell>
          <cell r="AH6">
            <v>500.87232607850973</v>
          </cell>
          <cell r="AI6">
            <v>470.87310937012796</v>
          </cell>
          <cell r="AJ6">
            <v>419.05043910390845</v>
          </cell>
          <cell r="AK6">
            <v>354.60336298282044</v>
          </cell>
          <cell r="AL6">
            <v>356.49990828202306</v>
          </cell>
          <cell r="AM6">
            <v>364.19280506762243</v>
          </cell>
          <cell r="AN6">
            <v>326.23519754952366</v>
          </cell>
          <cell r="AO6">
            <v>331.65034365270407</v>
          </cell>
          <cell r="AP6">
            <v>278.23911893072875</v>
          </cell>
          <cell r="AQ6">
            <v>332.96926658468504</v>
          </cell>
          <cell r="AR6">
            <v>363.85624830653438</v>
          </cell>
          <cell r="AS6">
            <v>337.74658692859003</v>
          </cell>
          <cell r="AT6">
            <v>228.00239477510087</v>
          </cell>
          <cell r="AU6">
            <v>147.84681520886633</v>
          </cell>
          <cell r="AV6">
            <v>100.40093351413316</v>
          </cell>
          <cell r="AW6">
            <v>148.49459847964263</v>
          </cell>
          <cell r="AX6">
            <v>236.83666886749165</v>
          </cell>
          <cell r="AY6">
            <v>376.75858494035651</v>
          </cell>
          <cell r="AZ6">
            <v>514.89279396645156</v>
          </cell>
          <cell r="BA6">
            <v>589.13170881902056</v>
          </cell>
          <cell r="BB6">
            <v>502.41847190729106</v>
          </cell>
          <cell r="BC6">
            <v>380.35610564629451</v>
          </cell>
          <cell r="BD6">
            <v>260.35371514400163</v>
          </cell>
          <cell r="BE6">
            <v>163.4452206976822</v>
          </cell>
          <cell r="BF6">
            <v>185.08240315455393</v>
          </cell>
          <cell r="BG6">
            <v>221.64085239510857</v>
          </cell>
          <cell r="BH6">
            <v>263.59474666420635</v>
          </cell>
          <cell r="BI6">
            <v>231.09555564019834</v>
          </cell>
        </row>
        <row r="7">
          <cell r="B7" t="str">
            <v>sequential change</v>
          </cell>
          <cell r="N7">
            <v>160.00000000000014</v>
          </cell>
          <cell r="O7">
            <v>-20.000000000000018</v>
          </cell>
          <cell r="P7">
            <v>60.000000000000057</v>
          </cell>
          <cell r="Q7">
            <v>100.00000000000009</v>
          </cell>
          <cell r="R7">
            <v>10.000000000000009</v>
          </cell>
          <cell r="S7">
            <v>40.000000000000036</v>
          </cell>
          <cell r="T7">
            <v>130.00000000000011</v>
          </cell>
          <cell r="U7">
            <v>129.99999999999957</v>
          </cell>
          <cell r="V7">
            <v>260.00000000000023</v>
          </cell>
          <cell r="W7">
            <v>30.000000000000028</v>
          </cell>
          <cell r="X7">
            <v>50.000000000000043</v>
          </cell>
          <cell r="Y7">
            <v>100.00000000000009</v>
          </cell>
          <cell r="Z7">
            <v>117.85714285714289</v>
          </cell>
          <cell r="AA7">
            <v>21.851348438083342</v>
          </cell>
          <cell r="AB7">
            <v>208.6766938899587</v>
          </cell>
          <cell r="AC7">
            <v>134.60219209391667</v>
          </cell>
          <cell r="AD7">
            <v>93.786590530554605</v>
          </cell>
          <cell r="AE7">
            <v>69.4742387900571</v>
          </cell>
          <cell r="AF7">
            <v>128.76651010374385</v>
          </cell>
          <cell r="AG7">
            <v>115.9888168654477</v>
          </cell>
          <cell r="AH7">
            <v>186.64276031926107</v>
          </cell>
          <cell r="AI7">
            <v>39.475022081675306</v>
          </cell>
          <cell r="AJ7">
            <v>76.943839837524393</v>
          </cell>
          <cell r="AK7">
            <v>51.541740744359686</v>
          </cell>
          <cell r="AL7">
            <v>188.53930561846366</v>
          </cell>
          <cell r="AM7">
            <v>47.167918867274672</v>
          </cell>
          <cell r="AN7">
            <v>38.98623231942566</v>
          </cell>
          <cell r="AO7">
            <v>56.956886847540076</v>
          </cell>
          <cell r="AP7">
            <v>135.12808089648831</v>
          </cell>
          <cell r="AQ7">
            <v>101.89806652123102</v>
          </cell>
          <cell r="AR7">
            <v>69.873214041275006</v>
          </cell>
          <cell r="AS7">
            <v>30.847225469595728</v>
          </cell>
          <cell r="AT7">
            <v>25.383888742999126</v>
          </cell>
          <cell r="AU7">
            <v>21.742486954996476</v>
          </cell>
          <cell r="AV7">
            <v>22.427332346541817</v>
          </cell>
          <cell r="AW7">
            <v>78.940890435105217</v>
          </cell>
          <cell r="AX7">
            <v>113.72595913084815</v>
          </cell>
          <cell r="AY7">
            <v>161.66440302786134</v>
          </cell>
          <cell r="AZ7">
            <v>160.5615413726369</v>
          </cell>
          <cell r="BA7">
            <v>153.17980528767427</v>
          </cell>
          <cell r="BB7">
            <v>27.012722219118544</v>
          </cell>
          <cell r="BC7">
            <v>39.602036766864799</v>
          </cell>
          <cell r="BD7">
            <v>40.559150870344006</v>
          </cell>
          <cell r="BE7">
            <v>56.27131084135484</v>
          </cell>
          <cell r="BF7">
            <v>48.649904675990285</v>
          </cell>
          <cell r="BG7">
            <v>76.160486007419422</v>
          </cell>
          <cell r="BH7">
            <v>82.5130451394418</v>
          </cell>
          <cell r="BI7">
            <v>23.772119817346837</v>
          </cell>
        </row>
        <row r="8">
          <cell r="B8" t="str">
            <v>Generic dispensing rate - retail</v>
          </cell>
          <cell r="L8">
            <v>0.43</v>
          </cell>
          <cell r="M8">
            <v>0.438</v>
          </cell>
          <cell r="N8">
            <v>0.45</v>
          </cell>
          <cell r="O8">
            <v>0.44700000000000001</v>
          </cell>
          <cell r="P8">
            <v>0.45</v>
          </cell>
          <cell r="Q8">
            <v>0.45900000000000002</v>
          </cell>
          <cell r="R8">
            <v>0.46700000000000003</v>
          </cell>
          <cell r="S8">
            <v>0.47199999999999998</v>
          </cell>
          <cell r="T8">
            <v>0.48599999999999999</v>
          </cell>
          <cell r="U8">
            <v>0.5</v>
          </cell>
          <cell r="V8">
            <v>0.52500000000000002</v>
          </cell>
          <cell r="W8">
            <v>0.52700000000000002</v>
          </cell>
          <cell r="X8">
            <v>0.53500000000000003</v>
          </cell>
          <cell r="Y8">
            <v>0.54600000000000004</v>
          </cell>
          <cell r="Z8">
            <v>0.55800000000000005</v>
          </cell>
          <cell r="AA8">
            <v>0.56000000000000005</v>
          </cell>
          <cell r="AB8">
            <v>0.57899999999999996</v>
          </cell>
          <cell r="AC8">
            <v>0.59199999999999997</v>
          </cell>
          <cell r="AD8">
            <v>0.60199999999999998</v>
          </cell>
          <cell r="AE8">
            <v>0.60799999999999998</v>
          </cell>
          <cell r="AF8">
            <v>0.622</v>
          </cell>
          <cell r="AG8">
            <v>0.63600000000000001</v>
          </cell>
          <cell r="AH8">
            <v>0.65300000000000002</v>
          </cell>
          <cell r="AI8">
            <v>0.65600000000000003</v>
          </cell>
          <cell r="AJ8">
            <v>0.66400000000000003</v>
          </cell>
          <cell r="AK8">
            <v>0.67</v>
          </cell>
          <cell r="AL8">
            <v>0.68500000000000005</v>
          </cell>
          <cell r="AM8">
            <v>0.69</v>
          </cell>
          <cell r="AN8">
            <v>0.69399999999999995</v>
          </cell>
          <cell r="AO8">
            <v>0.7</v>
          </cell>
          <cell r="AP8">
            <v>0.71399999999999997</v>
          </cell>
          <cell r="AQ8">
            <v>0.72299999999999998</v>
          </cell>
          <cell r="AR8">
            <v>0.7293929471294599</v>
          </cell>
          <cell r="AS8">
            <v>0.73217184490984066</v>
          </cell>
          <cell r="AT8">
            <v>0.73422336409007283</v>
          </cell>
          <cell r="AU8">
            <v>0.73650460703036258</v>
          </cell>
          <cell r="AV8">
            <v>0.73887584388376448</v>
          </cell>
          <cell r="AW8">
            <v>0.74510507274432425</v>
          </cell>
          <cell r="AX8">
            <v>0.75436661236108682</v>
          </cell>
          <cell r="AY8">
            <v>0.76918852223016665</v>
          </cell>
          <cell r="AZ8">
            <v>0.78290339687194044</v>
          </cell>
          <cell r="BA8">
            <v>0.79584879013744581</v>
          </cell>
          <cell r="BB8">
            <v>0.79820351126679456</v>
          </cell>
          <cell r="BC8">
            <v>0.80186665145787872</v>
          </cell>
          <cell r="BD8">
            <v>0.8055618177345637</v>
          </cell>
          <cell r="BE8">
            <v>0.81043296429008593</v>
          </cell>
          <cell r="BF8">
            <v>0.81484325219926168</v>
          </cell>
          <cell r="BG8">
            <v>0.82114509430339622</v>
          </cell>
          <cell r="BH8">
            <v>0.82792892563831744</v>
          </cell>
          <cell r="BI8">
            <v>0.83000880576492009</v>
          </cell>
        </row>
        <row r="9">
          <cell r="B9" t="str">
            <v>y/y change</v>
          </cell>
          <cell r="N9">
            <v>4500</v>
          </cell>
          <cell r="O9">
            <v>4470</v>
          </cell>
          <cell r="P9">
            <v>200.00000000000017</v>
          </cell>
          <cell r="Q9">
            <v>210.0000000000002</v>
          </cell>
          <cell r="R9">
            <v>170.00000000000014</v>
          </cell>
          <cell r="S9">
            <v>249.99999999999966</v>
          </cell>
          <cell r="T9">
            <v>359.99999999999977</v>
          </cell>
          <cell r="U9">
            <v>409.99999999999977</v>
          </cell>
          <cell r="V9">
            <v>580</v>
          </cell>
          <cell r="W9">
            <v>550.00000000000057</v>
          </cell>
          <cell r="X9">
            <v>490.0000000000004</v>
          </cell>
          <cell r="Y9">
            <v>460.0000000000004</v>
          </cell>
          <cell r="Z9">
            <v>330.00000000000028</v>
          </cell>
          <cell r="AA9">
            <v>330.00000000000028</v>
          </cell>
          <cell r="AB9">
            <v>439.99999999999932</v>
          </cell>
          <cell r="AC9">
            <v>459.99999999999926</v>
          </cell>
          <cell r="AD9">
            <v>439.99999999999932</v>
          </cell>
          <cell r="AE9">
            <v>479.99999999999937</v>
          </cell>
          <cell r="AF9">
            <v>430.00000000000045</v>
          </cell>
          <cell r="AG9">
            <v>440.0000000000004</v>
          </cell>
          <cell r="AH9">
            <v>510.00000000000051</v>
          </cell>
          <cell r="AI9">
            <v>480.00000000000045</v>
          </cell>
          <cell r="AJ9">
            <v>420.0000000000004</v>
          </cell>
          <cell r="AK9">
            <v>340.00000000000028</v>
          </cell>
          <cell r="AL9">
            <v>320.00000000000028</v>
          </cell>
          <cell r="AM9">
            <v>339.9999999999992</v>
          </cell>
          <cell r="AN9">
            <v>299.99999999999915</v>
          </cell>
          <cell r="AO9">
            <v>299.99999999999915</v>
          </cell>
          <cell r="AP9">
            <v>289.99999999999915</v>
          </cell>
          <cell r="AQ9">
            <v>330.00000000000028</v>
          </cell>
          <cell r="AR9">
            <v>353.92947129459952</v>
          </cell>
          <cell r="AS9">
            <v>321.71844909840706</v>
          </cell>
          <cell r="AT9">
            <v>202.2336409007286</v>
          </cell>
          <cell r="AU9">
            <v>135.04607030362604</v>
          </cell>
          <cell r="AV9">
            <v>94.82896754304582</v>
          </cell>
          <cell r="AW9">
            <v>129.33227834483586</v>
          </cell>
          <cell r="AX9">
            <v>201.43248271013991</v>
          </cell>
          <cell r="AY9">
            <v>326.83915199804068</v>
          </cell>
          <cell r="AZ9">
            <v>440.27552988175955</v>
          </cell>
          <cell r="BA9">
            <v>507.43717393121557</v>
          </cell>
          <cell r="BB9">
            <v>438.3689890570775</v>
          </cell>
          <cell r="BC9">
            <v>326.78129227712071</v>
          </cell>
          <cell r="BD9">
            <v>226.58420862623262</v>
          </cell>
          <cell r="BE9">
            <v>145.84174152640128</v>
          </cell>
          <cell r="BF9">
            <v>166.39740932467117</v>
          </cell>
          <cell r="BG9">
            <v>192.78442845517498</v>
          </cell>
          <cell r="BH9">
            <v>223.67107903753737</v>
          </cell>
          <cell r="BI9">
            <v>195.75841474834155</v>
          </cell>
        </row>
        <row r="10">
          <cell r="B10" t="str">
            <v>sequential change</v>
          </cell>
          <cell r="N10">
            <v>120.00000000000011</v>
          </cell>
          <cell r="O10">
            <v>-30.000000000000028</v>
          </cell>
          <cell r="P10">
            <v>30.000000000000028</v>
          </cell>
          <cell r="Q10">
            <v>90.000000000000085</v>
          </cell>
          <cell r="R10">
            <v>80.000000000000071</v>
          </cell>
          <cell r="S10">
            <v>49.999999999999488</v>
          </cell>
          <cell r="T10">
            <v>140.00000000000011</v>
          </cell>
          <cell r="U10">
            <v>140.00000000000011</v>
          </cell>
          <cell r="V10">
            <v>250.00000000000023</v>
          </cell>
          <cell r="W10">
            <v>20.000000000000018</v>
          </cell>
          <cell r="X10">
            <v>80.000000000000071</v>
          </cell>
          <cell r="Y10">
            <v>110.0000000000001</v>
          </cell>
          <cell r="Z10">
            <v>120.00000000000011</v>
          </cell>
          <cell r="AA10">
            <v>20.000000000000018</v>
          </cell>
          <cell r="AB10">
            <v>189.99999999999906</v>
          </cell>
          <cell r="AC10">
            <v>130.00000000000011</v>
          </cell>
          <cell r="AD10">
            <v>100.00000000000009</v>
          </cell>
          <cell r="AE10">
            <v>60.000000000000057</v>
          </cell>
          <cell r="AF10">
            <v>140.00000000000011</v>
          </cell>
          <cell r="AG10">
            <v>140.00000000000011</v>
          </cell>
          <cell r="AH10">
            <v>170.00000000000014</v>
          </cell>
          <cell r="AI10">
            <v>30.000000000000028</v>
          </cell>
          <cell r="AJ10">
            <v>80.000000000000071</v>
          </cell>
          <cell r="AK10">
            <v>60.000000000000057</v>
          </cell>
          <cell r="AL10">
            <v>150.00000000000014</v>
          </cell>
          <cell r="AM10">
            <v>49.999999999998934</v>
          </cell>
          <cell r="AN10">
            <v>40.000000000000036</v>
          </cell>
          <cell r="AO10">
            <v>60.000000000000057</v>
          </cell>
          <cell r="AP10">
            <v>140.00000000000011</v>
          </cell>
          <cell r="AQ10">
            <v>279.49975170511567</v>
          </cell>
          <cell r="AR10">
            <v>63.929471294599118</v>
          </cell>
          <cell r="AS10">
            <v>27.788977803807207</v>
          </cell>
          <cell r="AT10">
            <v>20.515191802321088</v>
          </cell>
          <cell r="AU10">
            <v>22.812429402897376</v>
          </cell>
          <cell r="AV10">
            <v>23.712368534018758</v>
          </cell>
          <cell r="AW10">
            <v>62.292288605597378</v>
          </cell>
          <cell r="AX10">
            <v>92.615396167625576</v>
          </cell>
          <cell r="AY10">
            <v>148.21909869079843</v>
          </cell>
          <cell r="AZ10">
            <v>137.14874641773815</v>
          </cell>
          <cell r="BA10">
            <v>129.45393265505348</v>
          </cell>
          <cell r="BB10">
            <v>23.547211293487301</v>
          </cell>
          <cell r="BC10">
            <v>36.631401910841788</v>
          </cell>
          <cell r="BD10">
            <v>36.951662766849459</v>
          </cell>
          <cell r="BE10">
            <v>48.711465555222496</v>
          </cell>
          <cell r="BF10">
            <v>44.102879091756918</v>
          </cell>
          <cell r="BG10">
            <v>63.018421041344872</v>
          </cell>
          <cell r="BH10">
            <v>67.838313349212456</v>
          </cell>
          <cell r="BI10">
            <v>20.798801266026441</v>
          </cell>
        </row>
        <row r="11">
          <cell r="B11" t="str">
            <v>Generic dispensing rate - mail</v>
          </cell>
          <cell r="L11">
            <v>0.3</v>
          </cell>
          <cell r="M11">
            <v>0.32</v>
          </cell>
          <cell r="N11">
            <v>0.35899999999999999</v>
          </cell>
          <cell r="O11">
            <v>0.36</v>
          </cell>
          <cell r="P11">
            <v>0.36099999999999999</v>
          </cell>
          <cell r="Q11">
            <v>0.36</v>
          </cell>
          <cell r="R11">
            <v>0.36899999999999999</v>
          </cell>
          <cell r="S11">
            <v>0.372</v>
          </cell>
          <cell r="T11">
            <v>0.38600000000000001</v>
          </cell>
          <cell r="U11">
            <v>0.39100000000000001</v>
          </cell>
          <cell r="V11">
            <v>0.41099999999999998</v>
          </cell>
          <cell r="W11">
            <v>0.41799999999999998</v>
          </cell>
          <cell r="X11">
            <v>0.41599999999999998</v>
          </cell>
          <cell r="Y11">
            <v>0.42099999999999999</v>
          </cell>
          <cell r="Z11">
            <v>0.42299999999999999</v>
          </cell>
          <cell r="AA11">
            <v>0.43099999999999999</v>
          </cell>
          <cell r="AB11">
            <v>0.46300000000000002</v>
          </cell>
          <cell r="AC11">
            <v>0.47399999999999998</v>
          </cell>
          <cell r="AD11">
            <v>0.48399999999999999</v>
          </cell>
          <cell r="AE11">
            <v>0.499</v>
          </cell>
          <cell r="AF11">
            <v>0.50900000000000001</v>
          </cell>
          <cell r="AG11">
            <v>0.50900000000000001</v>
          </cell>
          <cell r="AH11">
            <v>0.53600000000000003</v>
          </cell>
          <cell r="AI11">
            <v>0.54900000000000004</v>
          </cell>
          <cell r="AJ11">
            <v>0.55800000000000005</v>
          </cell>
          <cell r="AK11">
            <v>0.55900000000000005</v>
          </cell>
          <cell r="AL11">
            <v>0.57199999999999995</v>
          </cell>
          <cell r="AM11">
            <v>0.57699999999999996</v>
          </cell>
          <cell r="AN11">
            <v>0.58099999999999996</v>
          </cell>
          <cell r="AO11">
            <v>0.58299999999999996</v>
          </cell>
          <cell r="AP11">
            <v>0.59299999999999997</v>
          </cell>
          <cell r="AQ11">
            <v>0.61199999999999999</v>
          </cell>
          <cell r="AR11">
            <v>0.62222320893773853</v>
          </cell>
          <cell r="AS11">
            <v>0.62651598454164081</v>
          </cell>
          <cell r="AT11">
            <v>0.62994068805645054</v>
          </cell>
          <cell r="AU11">
            <v>0.63325279764013631</v>
          </cell>
          <cell r="AV11">
            <v>0.63460986387153373</v>
          </cell>
          <cell r="AW11">
            <v>0.65162039570604369</v>
          </cell>
          <cell r="AX11">
            <v>0.67414380677661623</v>
          </cell>
          <cell r="AY11">
            <v>0.69942540236998674</v>
          </cell>
          <cell r="AZ11">
            <v>0.7289238481733552</v>
          </cell>
          <cell r="BA11">
            <v>0.75776823288240269</v>
          </cell>
          <cell r="BB11">
            <v>0.76214438753629121</v>
          </cell>
          <cell r="BC11">
            <v>0.76842689778586815</v>
          </cell>
          <cell r="BD11">
            <v>0.77452066037724787</v>
          </cell>
          <cell r="BE11">
            <v>0.78438171199706641</v>
          </cell>
          <cell r="BF11">
            <v>0.79166684818953326</v>
          </cell>
          <cell r="BG11">
            <v>0.80724437714482833</v>
          </cell>
          <cell r="BH11">
            <v>0.82394200806517948</v>
          </cell>
          <cell r="BI11">
            <v>0.82802430153360818</v>
          </cell>
        </row>
        <row r="12">
          <cell r="B12" t="str">
            <v>y/y change</v>
          </cell>
          <cell r="N12">
            <v>3590</v>
          </cell>
          <cell r="O12">
            <v>3600</v>
          </cell>
          <cell r="P12">
            <v>610</v>
          </cell>
          <cell r="Q12">
            <v>399.99999999999983</v>
          </cell>
          <cell r="R12">
            <v>100.00000000000009</v>
          </cell>
          <cell r="S12">
            <v>120.00000000000011</v>
          </cell>
          <cell r="T12">
            <v>250.00000000000023</v>
          </cell>
          <cell r="U12">
            <v>310.00000000000028</v>
          </cell>
          <cell r="V12">
            <v>419.99999999999983</v>
          </cell>
          <cell r="W12">
            <v>459.99999999999989</v>
          </cell>
          <cell r="X12">
            <v>299.99999999999972</v>
          </cell>
          <cell r="Y12">
            <v>299.99999999999972</v>
          </cell>
          <cell r="Z12">
            <v>120.00000000000011</v>
          </cell>
          <cell r="AA12">
            <v>130.00000000000011</v>
          </cell>
          <cell r="AB12">
            <v>470.00000000000045</v>
          </cell>
          <cell r="AC12">
            <v>529.99999999999989</v>
          </cell>
          <cell r="AD12">
            <v>610</v>
          </cell>
          <cell r="AE12">
            <v>680.00000000000011</v>
          </cell>
          <cell r="AF12">
            <v>459.99999999999989</v>
          </cell>
          <cell r="AG12">
            <v>350.00000000000028</v>
          </cell>
          <cell r="AH12">
            <v>520.00000000000045</v>
          </cell>
          <cell r="AI12">
            <v>500.00000000000045</v>
          </cell>
          <cell r="AJ12">
            <v>490.0000000000004</v>
          </cell>
          <cell r="AK12">
            <v>500.00000000000045</v>
          </cell>
          <cell r="AL12">
            <v>359.9999999999992</v>
          </cell>
          <cell r="AM12">
            <v>279.99999999999915</v>
          </cell>
          <cell r="AN12">
            <v>229.99999999999909</v>
          </cell>
          <cell r="AO12">
            <v>239.99999999999909</v>
          </cell>
          <cell r="AP12">
            <v>210.0000000000002</v>
          </cell>
          <cell r="AQ12">
            <v>350.00000000000028</v>
          </cell>
          <cell r="AR12">
            <v>412.23208937738571</v>
          </cell>
          <cell r="AS12">
            <v>435.15984541640853</v>
          </cell>
          <cell r="AT12">
            <v>369.40688056450568</v>
          </cell>
          <cell r="AU12">
            <v>212.52797640136322</v>
          </cell>
          <cell r="AV12">
            <v>123.86654933795205</v>
          </cell>
          <cell r="AW12">
            <v>251.04411164402873</v>
          </cell>
          <cell r="AX12">
            <v>442.03118720165691</v>
          </cell>
          <cell r="AY12">
            <v>661.72604729850434</v>
          </cell>
          <cell r="AZ12">
            <v>943.13984301821472</v>
          </cell>
          <cell r="BA12">
            <v>1061.4783717635901</v>
          </cell>
          <cell r="BB12">
            <v>880.00580759674995</v>
          </cell>
          <cell r="BC12">
            <v>690.01495415881402</v>
          </cell>
          <cell r="BD12">
            <v>455.96812203892671</v>
          </cell>
          <cell r="BE12">
            <v>266.13479114663721</v>
          </cell>
          <cell r="BF12">
            <v>295.22460653242047</v>
          </cell>
          <cell r="BG12">
            <v>388.17479358960185</v>
          </cell>
          <cell r="BH12">
            <v>494.21347687931598</v>
          </cell>
          <cell r="BI12">
            <v>436.42589536541766</v>
          </cell>
        </row>
        <row r="13">
          <cell r="B13" t="str">
            <v>sequential change</v>
          </cell>
          <cell r="N13">
            <v>389.99999999999977</v>
          </cell>
          <cell r="O13">
            <v>10.000000000000009</v>
          </cell>
          <cell r="P13">
            <v>10.000000000000009</v>
          </cell>
          <cell r="Q13">
            <v>-10.000000000000009</v>
          </cell>
          <cell r="R13">
            <v>90.000000000000085</v>
          </cell>
          <cell r="S13">
            <v>30.000000000000028</v>
          </cell>
          <cell r="T13">
            <v>140.00000000000011</v>
          </cell>
          <cell r="U13">
            <v>50.000000000000043</v>
          </cell>
          <cell r="V13">
            <v>199.99999999999963</v>
          </cell>
          <cell r="W13">
            <v>70.000000000000057</v>
          </cell>
          <cell r="X13">
            <v>-20.000000000000018</v>
          </cell>
          <cell r="Y13">
            <v>50.000000000000043</v>
          </cell>
          <cell r="Z13">
            <v>20.000000000000018</v>
          </cell>
          <cell r="AA13">
            <v>80.000000000000071</v>
          </cell>
          <cell r="AB13">
            <v>320.00000000000028</v>
          </cell>
          <cell r="AC13">
            <v>109.99999999999955</v>
          </cell>
          <cell r="AD13">
            <v>100.00000000000009</v>
          </cell>
          <cell r="AE13">
            <v>150.00000000000014</v>
          </cell>
          <cell r="AF13">
            <v>100.00000000000009</v>
          </cell>
          <cell r="AG13">
            <v>0</v>
          </cell>
          <cell r="AH13">
            <v>270.00000000000023</v>
          </cell>
          <cell r="AI13">
            <v>130.00000000000011</v>
          </cell>
          <cell r="AJ13">
            <v>90.000000000000085</v>
          </cell>
          <cell r="AK13">
            <v>10.000000000000009</v>
          </cell>
          <cell r="AL13">
            <v>129.99999999999901</v>
          </cell>
          <cell r="AM13">
            <v>50.000000000000043</v>
          </cell>
          <cell r="AN13">
            <v>40.000000000000036</v>
          </cell>
          <cell r="AO13">
            <v>20.000000000000018</v>
          </cell>
          <cell r="AP13">
            <v>100.00000000000009</v>
          </cell>
          <cell r="AQ13">
            <v>261.12854704974819</v>
          </cell>
          <cell r="AR13">
            <v>102.23208937738563</v>
          </cell>
          <cell r="AS13">
            <v>42.927756039023159</v>
          </cell>
          <cell r="AT13">
            <v>34.247035148096685</v>
          </cell>
          <cell r="AU13">
            <v>33.121095836858295</v>
          </cell>
          <cell r="AV13">
            <v>13.570662313974468</v>
          </cell>
          <cell r="AW13">
            <v>170.10531834509982</v>
          </cell>
          <cell r="AX13">
            <v>225.23411070572487</v>
          </cell>
          <cell r="AY13">
            <v>252.81595593370483</v>
          </cell>
          <cell r="AZ13">
            <v>294.98445803368509</v>
          </cell>
          <cell r="BA13">
            <v>288.44384709047529</v>
          </cell>
          <cell r="BB13">
            <v>43.761546538885057</v>
          </cell>
          <cell r="BC13">
            <v>62.825102495769755</v>
          </cell>
          <cell r="BD13">
            <v>60.93762591379739</v>
          </cell>
          <cell r="BE13">
            <v>98.610516198185323</v>
          </cell>
          <cell r="BF13">
            <v>72.851361924668666</v>
          </cell>
          <cell r="BG13">
            <v>155.77528955295045</v>
          </cell>
          <cell r="BH13">
            <v>166.9763092035119</v>
          </cell>
          <cell r="BI13">
            <v>40.822934684286437</v>
          </cell>
        </row>
        <row r="14">
          <cell r="B14" t="str">
            <v>generic util rate - calc</v>
          </cell>
          <cell r="L14">
            <v>0.40984650805832701</v>
          </cell>
          <cell r="M14">
            <v>0.42017574437182276</v>
          </cell>
          <cell r="N14">
            <v>0.43642503748125938</v>
          </cell>
          <cell r="O14">
            <v>0.43435388127853874</v>
          </cell>
          <cell r="P14">
            <v>0.43666718146718148</v>
          </cell>
          <cell r="Q14">
            <v>0.44483660130718955</v>
          </cell>
          <cell r="R14">
            <v>0.45095541890853197</v>
          </cell>
          <cell r="S14">
            <v>0.45445614035087717</v>
          </cell>
          <cell r="T14">
            <v>0.46772839506172842</v>
          </cell>
          <cell r="U14">
            <v>0.48069340746624312</v>
          </cell>
          <cell r="V14">
            <v>0.50679831932773112</v>
          </cell>
          <cell r="W14">
            <v>0.50970235383447238</v>
          </cell>
          <cell r="X14">
            <v>0.51550076569678405</v>
          </cell>
          <cell r="Y14">
            <v>0.52549285228046294</v>
          </cell>
          <cell r="Z14">
            <v>0.53678571428571431</v>
          </cell>
          <cell r="AA14">
            <v>0.53897084912952264</v>
          </cell>
          <cell r="AB14">
            <v>0.55983851851851851</v>
          </cell>
          <cell r="AC14">
            <v>0.57329873772791018</v>
          </cell>
          <cell r="AD14">
            <v>0.58267739678096564</v>
          </cell>
          <cell r="AE14">
            <v>0.58962482065997135</v>
          </cell>
          <cell r="AF14">
            <v>0.60250147167034573</v>
          </cell>
          <cell r="AG14">
            <v>0.6141003533568905</v>
          </cell>
          <cell r="AH14">
            <v>0.63276462938881661</v>
          </cell>
          <cell r="AI14">
            <v>0.63671213159698414</v>
          </cell>
          <cell r="AJ14">
            <v>0.64440651558073658</v>
          </cell>
          <cell r="AK14">
            <v>0.64956068965517255</v>
          </cell>
          <cell r="AL14">
            <v>0.66841462021701892</v>
          </cell>
          <cell r="AM14">
            <v>0.67313141210374638</v>
          </cell>
          <cell r="AN14">
            <v>0.67703003533568895</v>
          </cell>
          <cell r="AO14">
            <v>0.68272572402044296</v>
          </cell>
          <cell r="AP14">
            <v>0.69623853211009179</v>
          </cell>
          <cell r="AQ14">
            <v>0.70642833876221489</v>
          </cell>
          <cell r="AR14">
            <v>0.71341566016634239</v>
          </cell>
          <cell r="AS14">
            <v>0.71650038271330196</v>
          </cell>
          <cell r="AT14">
            <v>0.71903877158760188</v>
          </cell>
          <cell r="AU14">
            <v>0.72121302028310152</v>
          </cell>
          <cell r="AV14">
            <v>0.72345575351775571</v>
          </cell>
          <cell r="AW14">
            <v>0.73134984256126623</v>
          </cell>
          <cell r="AX14">
            <v>0.74272243847435104</v>
          </cell>
          <cell r="AY14">
            <v>0.75888887877713718</v>
          </cell>
          <cell r="AZ14">
            <v>0.77494503291440087</v>
          </cell>
          <cell r="BA14">
            <v>0.79026301344316829</v>
          </cell>
          <cell r="BB14">
            <v>0.79296428566508015</v>
          </cell>
          <cell r="BC14">
            <v>0.79692448934176663</v>
          </cell>
          <cell r="BD14">
            <v>0.80098040442880103</v>
          </cell>
          <cell r="BE14">
            <v>0.80660753551293651</v>
          </cell>
          <cell r="BF14">
            <v>0.81147252598053554</v>
          </cell>
          <cell r="BG14">
            <v>0.81908857458127748</v>
          </cell>
          <cell r="BH14">
            <v>0.82733987909522166</v>
          </cell>
          <cell r="BI14">
            <v>0.82971709107695635</v>
          </cell>
        </row>
        <row r="15">
          <cell r="B15" t="str">
            <v>Branded utilization rate</v>
          </cell>
          <cell r="L15">
            <v>0.59000000000000008</v>
          </cell>
          <cell r="M15">
            <v>0.58000000000000007</v>
          </cell>
          <cell r="N15">
            <v>0.56400000000000006</v>
          </cell>
          <cell r="O15">
            <v>0.56600000000000006</v>
          </cell>
          <cell r="P15">
            <v>0.56000000000000005</v>
          </cell>
          <cell r="Q15">
            <v>0.55000000000000004</v>
          </cell>
          <cell r="R15">
            <v>0.54899999999999993</v>
          </cell>
          <cell r="S15">
            <v>0.54499999999999993</v>
          </cell>
          <cell r="T15">
            <v>0.53200000000000003</v>
          </cell>
          <cell r="U15">
            <v>0.51900000000000002</v>
          </cell>
          <cell r="V15">
            <v>0.49299999999999999</v>
          </cell>
          <cell r="W15">
            <v>0.49</v>
          </cell>
          <cell r="X15">
            <v>0.48499999999999999</v>
          </cell>
          <cell r="Y15">
            <v>0.47499999999999998</v>
          </cell>
          <cell r="Z15">
            <v>0.46321428571428569</v>
          </cell>
          <cell r="AA15">
            <v>0.46102915087047736</v>
          </cell>
          <cell r="AB15">
            <v>0.44016148148148149</v>
          </cell>
          <cell r="AC15">
            <v>0.42670126227208982</v>
          </cell>
          <cell r="AD15">
            <v>0.41732260321903436</v>
          </cell>
          <cell r="AE15">
            <v>0.41037517934002865</v>
          </cell>
          <cell r="AF15">
            <v>0.39749852832965427</v>
          </cell>
          <cell r="AG15">
            <v>0.3858996466431095</v>
          </cell>
          <cell r="AH15">
            <v>0.36723537061118339</v>
          </cell>
          <cell r="AI15">
            <v>0.36328786840301586</v>
          </cell>
          <cell r="AJ15">
            <v>0.35559348441926342</v>
          </cell>
          <cell r="AK15">
            <v>0.35043931034482745</v>
          </cell>
          <cell r="AL15">
            <v>0.33158537978298108</v>
          </cell>
          <cell r="AM15">
            <v>0.32686858789625362</v>
          </cell>
          <cell r="AN15">
            <v>0.32296996466431105</v>
          </cell>
          <cell r="AO15">
            <v>0.31727427597955704</v>
          </cell>
          <cell r="AP15">
            <v>0.30376146788990821</v>
          </cell>
          <cell r="AQ15">
            <v>0.29357166123778511</v>
          </cell>
          <cell r="AR15">
            <v>0.28658433983365761</v>
          </cell>
          <cell r="AS15">
            <v>0.28349961728669804</v>
          </cell>
          <cell r="AT15">
            <v>0.28096122841239812</v>
          </cell>
          <cell r="AU15">
            <v>0.27878697971689848</v>
          </cell>
          <cell r="AV15">
            <v>0.27654424648224429</v>
          </cell>
          <cell r="AW15">
            <v>0.26865015743873377</v>
          </cell>
          <cell r="AX15">
            <v>0.25727756152564896</v>
          </cell>
          <cell r="AY15">
            <v>0.24111112122286282</v>
          </cell>
          <cell r="AZ15">
            <v>0.22505496708559913</v>
          </cell>
          <cell r="BA15">
            <v>0.20973698655683171</v>
          </cell>
          <cell r="BB15">
            <v>0.20703571433491985</v>
          </cell>
          <cell r="BC15">
            <v>0.20307551065823337</v>
          </cell>
          <cell r="BD15">
            <v>0.19901959557119897</v>
          </cell>
          <cell r="BE15">
            <v>0.19339246448706349</v>
          </cell>
          <cell r="BF15">
            <v>0.18852747401946446</v>
          </cell>
          <cell r="BG15">
            <v>0.18091142541872252</v>
          </cell>
          <cell r="BH15">
            <v>0.17266012090477834</v>
          </cell>
          <cell r="BI15">
            <v>0.17028290892304365</v>
          </cell>
        </row>
        <row r="19">
          <cell r="B19" t="str">
            <v>Generic Dispensing Rate</v>
          </cell>
          <cell r="C19">
            <v>2001</v>
          </cell>
          <cell r="D19">
            <v>2002</v>
          </cell>
          <cell r="E19">
            <v>2003</v>
          </cell>
          <cell r="F19">
            <v>2004</v>
          </cell>
          <cell r="G19">
            <v>2005</v>
          </cell>
          <cell r="H19">
            <v>2006</v>
          </cell>
          <cell r="I19">
            <v>2007</v>
          </cell>
          <cell r="J19">
            <v>2008</v>
          </cell>
          <cell r="K19">
            <v>2009</v>
          </cell>
          <cell r="L19">
            <v>2010</v>
          </cell>
          <cell r="M19">
            <v>2011</v>
          </cell>
          <cell r="N19">
            <v>2012</v>
          </cell>
          <cell r="O19">
            <v>2013</v>
          </cell>
          <cell r="P19">
            <v>2014</v>
          </cell>
        </row>
        <row r="20">
          <cell r="B20" t="str">
            <v>Generic dispensing rate</v>
          </cell>
          <cell r="C20">
            <v>0.38500000000000001</v>
          </cell>
          <cell r="D20">
            <v>0.40500000000000003</v>
          </cell>
          <cell r="E20">
            <v>0.438</v>
          </cell>
          <cell r="F20">
            <v>0.46300000000000002</v>
          </cell>
          <cell r="G20">
            <v>0.51469542677281988</v>
          </cell>
          <cell r="H20">
            <v>0.55235316065733731</v>
          </cell>
          <cell r="I20">
            <v>0.59716535644095048</v>
          </cell>
          <cell r="J20">
            <v>0.64071001877453504</v>
          </cell>
          <cell r="K20">
            <v>0.67532814974802013</v>
          </cell>
          <cell r="L20">
            <v>0.70814950450158365</v>
          </cell>
          <cell r="M20">
            <v>0.72378434355121124</v>
          </cell>
          <cell r="N20">
            <v>0.76673954151746859</v>
          </cell>
          <cell r="O20">
            <v>0.79938265800110553</v>
          </cell>
          <cell r="P20">
            <v>0.8219084038243345</v>
          </cell>
        </row>
        <row r="21">
          <cell r="B21" t="str">
            <v>y/y change</v>
          </cell>
          <cell r="E21">
            <v>329.99999999999972</v>
          </cell>
          <cell r="F21">
            <v>250.00000000000023</v>
          </cell>
          <cell r="G21">
            <v>516.95426772819849</v>
          </cell>
          <cell r="H21">
            <v>376.57733884517432</v>
          </cell>
          <cell r="I21">
            <v>448.12195783613174</v>
          </cell>
          <cell r="J21">
            <v>435.44662333584563</v>
          </cell>
          <cell r="K21">
            <v>346.18130973485097</v>
          </cell>
          <cell r="L21">
            <v>328.21354753563514</v>
          </cell>
          <cell r="M21">
            <v>156.34839049627593</v>
          </cell>
          <cell r="N21">
            <v>429.5519796625735</v>
          </cell>
          <cell r="O21">
            <v>326.43116483636936</v>
          </cell>
          <cell r="P21">
            <v>225.25745823228971</v>
          </cell>
        </row>
        <row r="22">
          <cell r="B22" t="str">
            <v>sequential change</v>
          </cell>
          <cell r="E22" t="str">
            <v>NA</v>
          </cell>
          <cell r="F22" t="str">
            <v>NA</v>
          </cell>
          <cell r="G22" t="str">
            <v>NA</v>
          </cell>
          <cell r="H22" t="str">
            <v>NA</v>
          </cell>
          <cell r="I22" t="str">
            <v>NA</v>
          </cell>
          <cell r="J22" t="str">
            <v>NA</v>
          </cell>
          <cell r="K22" t="str">
            <v>NA</v>
          </cell>
          <cell r="L22" t="str">
            <v>NA</v>
          </cell>
          <cell r="M22" t="str">
            <v>NA</v>
          </cell>
          <cell r="N22" t="str">
            <v>NA</v>
          </cell>
          <cell r="O22" t="str">
            <v>NA</v>
          </cell>
          <cell r="P22" t="str">
            <v>NA</v>
          </cell>
        </row>
        <row r="23">
          <cell r="B23" t="str">
            <v>Generic dispensing rate - retail</v>
          </cell>
          <cell r="D23">
            <v>0.42199999999999999</v>
          </cell>
          <cell r="E23">
            <v>0.45261500781844982</v>
          </cell>
          <cell r="F23">
            <v>0.48369014084507039</v>
          </cell>
          <cell r="G23">
            <v>0.53644708063460023</v>
          </cell>
          <cell r="H23">
            <v>0.5751528779024534</v>
          </cell>
          <cell r="I23">
            <v>0.61970561354315712</v>
          </cell>
          <cell r="J23">
            <v>0.66362963485343496</v>
          </cell>
          <cell r="K23">
            <v>0.69505002482948841</v>
          </cell>
          <cell r="L23">
            <v>0.72744411654186658</v>
          </cell>
          <cell r="M23">
            <v>0.74160606655342121</v>
          </cell>
          <cell r="N23">
            <v>0.7786487791566068</v>
          </cell>
          <cell r="O23">
            <v>0.80717658136327686</v>
          </cell>
          <cell r="P23">
            <v>0.82665657067350706</v>
          </cell>
        </row>
        <row r="24">
          <cell r="B24" t="str">
            <v>y/y change</v>
          </cell>
          <cell r="E24">
            <v>306.15007818449834</v>
          </cell>
          <cell r="F24">
            <v>310.75133026620574</v>
          </cell>
          <cell r="G24">
            <v>527.56939789529827</v>
          </cell>
          <cell r="H24">
            <v>387.05797267853171</v>
          </cell>
          <cell r="I24">
            <v>445.52735640703725</v>
          </cell>
          <cell r="J24">
            <v>439.2402131027784</v>
          </cell>
          <cell r="K24">
            <v>314.20389976053451</v>
          </cell>
          <cell r="L24">
            <v>323.94091712378167</v>
          </cell>
          <cell r="M24">
            <v>141.61950011554626</v>
          </cell>
          <cell r="N24">
            <v>370.42712603185589</v>
          </cell>
          <cell r="O24">
            <v>285.2780220667006</v>
          </cell>
          <cell r="P24">
            <v>194.79989310230206</v>
          </cell>
        </row>
        <row r="25">
          <cell r="B25" t="str">
            <v>sequential change</v>
          </cell>
          <cell r="E25" t="str">
            <v>NA</v>
          </cell>
          <cell r="F25" t="str">
            <v>NA</v>
          </cell>
          <cell r="G25" t="str">
            <v>NA</v>
          </cell>
          <cell r="H25" t="str">
            <v>NA</v>
          </cell>
          <cell r="I25" t="str">
            <v>NA</v>
          </cell>
          <cell r="J25" t="str">
            <v>NA</v>
          </cell>
          <cell r="K25" t="str">
            <v>NA</v>
          </cell>
          <cell r="L25" t="str">
            <v>NA</v>
          </cell>
          <cell r="M25" t="str">
            <v>NA</v>
          </cell>
          <cell r="N25" t="str">
            <v>NA</v>
          </cell>
          <cell r="O25" t="str">
            <v>NA</v>
          </cell>
          <cell r="P25" t="str">
            <v>NA</v>
          </cell>
        </row>
        <row r="26">
          <cell r="B26" t="str">
            <v>Generic dispensing rate - mail</v>
          </cell>
          <cell r="D26">
            <v>0.31</v>
          </cell>
          <cell r="E26">
            <v>0.35999359795134445</v>
          </cell>
          <cell r="F26">
            <v>0.37963781321184503</v>
          </cell>
          <cell r="G26">
            <v>0.41783838438612392</v>
          </cell>
          <cell r="H26">
            <v>0.45207930191314877</v>
          </cell>
          <cell r="I26">
            <v>0.50533090504140765</v>
          </cell>
          <cell r="J26">
            <v>0.55705146699904928</v>
          </cell>
          <cell r="K26">
            <v>0.58588714529502517</v>
          </cell>
          <cell r="L26">
            <v>0.62191017320934638</v>
          </cell>
          <cell r="M26">
            <v>0.64640397831609608</v>
          </cell>
          <cell r="N26">
            <v>0.72620726196316565</v>
          </cell>
          <cell r="O26">
            <v>0.78522675094025507</v>
          </cell>
          <cell r="P26">
            <v>0.82720494923424559</v>
          </cell>
        </row>
        <row r="27">
          <cell r="B27" t="str">
            <v>y/y change</v>
          </cell>
          <cell r="E27">
            <v>499.93597951344447</v>
          </cell>
          <cell r="F27">
            <v>196.44215260500587</v>
          </cell>
          <cell r="G27">
            <v>382.00571174278883</v>
          </cell>
          <cell r="H27">
            <v>342.40917527024851</v>
          </cell>
          <cell r="I27">
            <v>532.51603128258887</v>
          </cell>
          <cell r="J27">
            <v>517.20561957641632</v>
          </cell>
          <cell r="K27">
            <v>288.35678295975885</v>
          </cell>
          <cell r="L27">
            <v>360.23027914321216</v>
          </cell>
          <cell r="M27">
            <v>244.93805106749699</v>
          </cell>
          <cell r="N27">
            <v>798.03283647069566</v>
          </cell>
          <cell r="O27">
            <v>590.19488977089418</v>
          </cell>
          <cell r="P27">
            <v>419.78198293990516</v>
          </cell>
        </row>
        <row r="28">
          <cell r="B28" t="str">
            <v>sequential change</v>
          </cell>
          <cell r="E28" t="str">
            <v>NA</v>
          </cell>
          <cell r="F28" t="str">
            <v>NA</v>
          </cell>
          <cell r="G28" t="str">
            <v>NA</v>
          </cell>
          <cell r="H28" t="str">
            <v>NA</v>
          </cell>
          <cell r="I28" t="str">
            <v>NA</v>
          </cell>
          <cell r="J28" t="str">
            <v>NA</v>
          </cell>
          <cell r="K28" t="str">
            <v>NA</v>
          </cell>
          <cell r="L28" t="str">
            <v>NA</v>
          </cell>
          <cell r="M28" t="str">
            <v>NA</v>
          </cell>
          <cell r="N28" t="str">
            <v>NA</v>
          </cell>
          <cell r="O28" t="str">
            <v>NA</v>
          </cell>
          <cell r="P28" t="str">
            <v>NA</v>
          </cell>
        </row>
        <row r="29">
          <cell r="B29" t="str">
            <v>generic util rate - calc</v>
          </cell>
          <cell r="D29">
            <v>0.40530828164903315</v>
          </cell>
          <cell r="E29">
            <v>0.43901776700901196</v>
          </cell>
          <cell r="F29">
            <v>0.46552391621552736</v>
          </cell>
          <cell r="G29">
            <v>0.51727555835633332</v>
          </cell>
          <cell r="H29">
            <v>0.55535129585912901</v>
          </cell>
          <cell r="I29">
            <v>0.6003434487574848</v>
          </cell>
          <cell r="J29">
            <v>0.64440227123812766</v>
          </cell>
          <cell r="K29">
            <v>0.67884456351918865</v>
          </cell>
          <cell r="L29">
            <v>0.71178608689871392</v>
          </cell>
          <cell r="M29">
            <v>0.72759407118871344</v>
          </cell>
          <cell r="N29">
            <v>0.77095446498712383</v>
          </cell>
          <cell r="O29">
            <v>0.80395265471755517</v>
          </cell>
          <cell r="P29">
            <v>0.82673719715585825</v>
          </cell>
        </row>
        <row r="30">
          <cell r="B30" t="str">
            <v>Branded utilization rate</v>
          </cell>
          <cell r="D30">
            <v>0.59499999999999997</v>
          </cell>
          <cell r="E30">
            <v>0.56200000000000006</v>
          </cell>
          <cell r="F30">
            <v>0.53699999999999992</v>
          </cell>
          <cell r="G30">
            <v>0.48530457322718012</v>
          </cell>
          <cell r="H30">
            <v>0.44764683934266269</v>
          </cell>
          <cell r="I30">
            <v>0.40283464355904952</v>
          </cell>
          <cell r="J30">
            <v>0.35928998122546496</v>
          </cell>
          <cell r="K30">
            <v>0.32467185025197987</v>
          </cell>
          <cell r="L30">
            <v>0.29185049549841635</v>
          </cell>
          <cell r="M30">
            <v>0.27621565644878876</v>
          </cell>
          <cell r="N30">
            <v>0.23326045848253141</v>
          </cell>
          <cell r="O30">
            <v>0.20061734199889447</v>
          </cell>
          <cell r="P30">
            <v>0.1780915961756655</v>
          </cell>
        </row>
        <row r="64">
          <cell r="D64">
            <v>5</v>
          </cell>
          <cell r="E64">
            <v>10</v>
          </cell>
          <cell r="F64">
            <v>15</v>
          </cell>
          <cell r="G64">
            <v>20</v>
          </cell>
          <cell r="H64">
            <v>25</v>
          </cell>
          <cell r="I64">
            <v>30</v>
          </cell>
          <cell r="J64">
            <v>35</v>
          </cell>
          <cell r="K64">
            <v>40</v>
          </cell>
          <cell r="L64">
            <v>45</v>
          </cell>
          <cell r="M64">
            <v>50</v>
          </cell>
          <cell r="N64">
            <v>55</v>
          </cell>
          <cell r="O64">
            <v>60</v>
          </cell>
        </row>
        <row r="67">
          <cell r="B67" t="str">
            <v>MHS</v>
          </cell>
          <cell r="C67">
            <v>2002</v>
          </cell>
          <cell r="D67">
            <v>2003</v>
          </cell>
          <cell r="E67">
            <v>2004</v>
          </cell>
          <cell r="F67">
            <v>2005</v>
          </cell>
          <cell r="G67">
            <v>2006</v>
          </cell>
          <cell r="H67">
            <v>2007</v>
          </cell>
          <cell r="I67">
            <v>2008</v>
          </cell>
          <cell r="J67">
            <v>2009</v>
          </cell>
          <cell r="K67">
            <v>2010</v>
          </cell>
          <cell r="L67">
            <v>2011</v>
          </cell>
          <cell r="M67">
            <v>2012</v>
          </cell>
          <cell r="N67">
            <v>2013</v>
          </cell>
          <cell r="O67">
            <v>2014</v>
          </cell>
        </row>
        <row r="68">
          <cell r="B68" t="str">
            <v>EPS (Non-GAAP continuing)  - (Pro forma)</v>
          </cell>
          <cell r="C68">
            <v>0.76113466747972991</v>
          </cell>
          <cell r="D68">
            <v>0.88804850310430283</v>
          </cell>
          <cell r="E68">
            <v>1.0717811656617033</v>
          </cell>
          <cell r="F68">
            <v>1.2557759367648349</v>
          </cell>
          <cell r="G68">
            <v>1.3746436636418089</v>
          </cell>
          <cell r="H68">
            <v>1.8199056931207969</v>
          </cell>
          <cell r="I68">
            <v>2.3383324526604454</v>
          </cell>
          <cell r="J68">
            <v>2.8326000000000002</v>
          </cell>
          <cell r="K68">
            <v>3.3560623284705104</v>
          </cell>
          <cell r="L68">
            <v>3.923899275475315</v>
          </cell>
          <cell r="M68">
            <v>4.8665468575439892</v>
          </cell>
          <cell r="N68">
            <v>5.4141916864538082</v>
          </cell>
          <cell r="O68">
            <v>6.2896401303674656</v>
          </cell>
        </row>
        <row r="69">
          <cell r="B69" t="str">
            <v>EPS (Non-GAAP continuing)  - Growth</v>
          </cell>
          <cell r="D69">
            <v>0.16674294451047689</v>
          </cell>
          <cell r="E69">
            <v>0.20689485080503633</v>
          </cell>
          <cell r="F69">
            <v>0.17167195785674738</v>
          </cell>
          <cell r="G69">
            <v>9.4656796166364243E-2</v>
          </cell>
          <cell r="H69">
            <v>0.32391087323631673</v>
          </cell>
          <cell r="I69">
            <v>0.28486462869987728</v>
          </cell>
          <cell r="J69">
            <v>0.21137607989710805</v>
          </cell>
          <cell r="K69">
            <v>0.18479924044005869</v>
          </cell>
          <cell r="L69">
            <v>0.16919737818563996</v>
          </cell>
          <cell r="M69">
            <v>0.24023235967352607</v>
          </cell>
          <cell r="N69">
            <v>0.1125325297260571</v>
          </cell>
          <cell r="O69">
            <v>0.16169513283100234</v>
          </cell>
        </row>
        <row r="82">
          <cell r="B82" t="str">
            <v>ESRX</v>
          </cell>
          <cell r="C82">
            <v>2002</v>
          </cell>
          <cell r="D82">
            <v>2003</v>
          </cell>
          <cell r="E82">
            <v>2004</v>
          </cell>
          <cell r="F82">
            <v>2005</v>
          </cell>
          <cell r="G82">
            <v>2006</v>
          </cell>
          <cell r="H82">
            <v>2007</v>
          </cell>
          <cell r="I82">
            <v>2008</v>
          </cell>
          <cell r="J82">
            <v>2009</v>
          </cell>
          <cell r="K82">
            <v>2010</v>
          </cell>
          <cell r="L82">
            <v>2011</v>
          </cell>
          <cell r="M82">
            <v>2012</v>
          </cell>
          <cell r="N82">
            <v>2013</v>
          </cell>
          <cell r="O82">
            <v>2014</v>
          </cell>
        </row>
        <row r="83">
          <cell r="B83" t="str">
            <v>Revenue per adj claim</v>
          </cell>
          <cell r="C83">
            <v>45.774311410905</v>
          </cell>
          <cell r="D83">
            <v>49.277971519907005</v>
          </cell>
          <cell r="E83">
            <v>51.620338983050836</v>
          </cell>
          <cell r="F83">
            <v>52.424491701303396</v>
          </cell>
          <cell r="G83">
            <v>57.50820201317088</v>
          </cell>
          <cell r="H83">
            <v>58.751758738864091</v>
          </cell>
          <cell r="I83">
            <v>63.533751974462334</v>
          </cell>
          <cell r="J83">
            <v>65.559717499976898</v>
          </cell>
          <cell r="K83">
            <v>67.169891559234415</v>
          </cell>
          <cell r="L83">
            <v>69.002371770158916</v>
          </cell>
          <cell r="M83">
            <v>66.986040722608848</v>
          </cell>
          <cell r="N83">
            <v>64.082562626473944</v>
          </cell>
          <cell r="O83">
            <v>63.228906731521668</v>
          </cell>
        </row>
        <row r="84">
          <cell r="B84" t="str">
            <v>EBITDA per adj claim</v>
          </cell>
          <cell r="C84">
            <v>1.2445193929173681</v>
          </cell>
          <cell r="D84">
            <v>1.4889566986341161</v>
          </cell>
          <cell r="E84">
            <v>1.8332596196373177</v>
          </cell>
          <cell r="F84">
            <v>1.8899741060387329</v>
          </cell>
          <cell r="G84">
            <v>2.2346396113345639</v>
          </cell>
          <cell r="H84">
            <v>2.6729825747659235</v>
          </cell>
          <cell r="I84">
            <v>3.0918816307817498</v>
          </cell>
          <cell r="J84">
            <v>3.0607611840640998</v>
          </cell>
          <cell r="K84">
            <v>3.1040611395270155</v>
          </cell>
          <cell r="L84">
            <v>3.2033141627175978</v>
          </cell>
          <cell r="M84">
            <v>3.5154314083669793</v>
          </cell>
          <cell r="N84">
            <v>3.5643998386981433</v>
          </cell>
          <cell r="O84">
            <v>3.7212566716605595</v>
          </cell>
        </row>
        <row r="91">
          <cell r="B91" t="str">
            <v>Contibution to Gross Margin</v>
          </cell>
          <cell r="C91">
            <v>2002</v>
          </cell>
          <cell r="D91">
            <v>2003</v>
          </cell>
          <cell r="E91">
            <v>2004</v>
          </cell>
          <cell r="F91">
            <v>2005</v>
          </cell>
          <cell r="G91">
            <v>2006</v>
          </cell>
          <cell r="H91">
            <v>2007</v>
          </cell>
          <cell r="I91">
            <v>2008</v>
          </cell>
          <cell r="J91">
            <v>2009</v>
          </cell>
          <cell r="K91">
            <v>2010</v>
          </cell>
          <cell r="L91">
            <v>2011</v>
          </cell>
          <cell r="M91">
            <v>2012</v>
          </cell>
          <cell r="N91">
            <v>2013</v>
          </cell>
          <cell r="O91">
            <v>2014</v>
          </cell>
        </row>
        <row r="92">
          <cell r="B92" t="str">
            <v>Total Retail - core</v>
          </cell>
          <cell r="C92">
            <v>0</v>
          </cell>
          <cell r="D92">
            <v>0.32114662121967463</v>
          </cell>
          <cell r="E92">
            <v>0.21234195688403612</v>
          </cell>
          <cell r="F92">
            <v>0.14717137146124704</v>
          </cell>
          <cell r="G92">
            <v>0.1346477212434693</v>
          </cell>
          <cell r="H92">
            <v>0.2026876853108627</v>
          </cell>
          <cell r="I92">
            <v>0.23074648279118182</v>
          </cell>
          <cell r="J92">
            <v>0.21919140873167661</v>
          </cell>
          <cell r="K92">
            <v>0.20006633237091967</v>
          </cell>
          <cell r="L92">
            <v>0.18861688496722637</v>
          </cell>
          <cell r="M92">
            <v>0.1621475271359579</v>
          </cell>
          <cell r="N92">
            <v>0.14649890935077745</v>
          </cell>
          <cell r="O92">
            <v>0.13449318959630915</v>
          </cell>
        </row>
        <row r="93">
          <cell r="B93" t="str">
            <v>Total Mail - core</v>
          </cell>
          <cell r="C93">
            <v>0</v>
          </cell>
          <cell r="D93">
            <v>0.56440623338908891</v>
          </cell>
          <cell r="E93">
            <v>0.65024149739753556</v>
          </cell>
          <cell r="F93">
            <v>0.59817949987876085</v>
          </cell>
          <cell r="G93">
            <v>0.52474364734387313</v>
          </cell>
          <cell r="H93">
            <v>0.49673172799168919</v>
          </cell>
          <cell r="I93">
            <v>0.47656993624009175</v>
          </cell>
          <cell r="J93">
            <v>0.46034670947045803</v>
          </cell>
          <cell r="K93">
            <v>0.45451499055537015</v>
          </cell>
          <cell r="L93">
            <v>0.45094513681961723</v>
          </cell>
          <cell r="M93">
            <v>0.46735116027152357</v>
          </cell>
          <cell r="N93">
            <v>0.45863367823749912</v>
          </cell>
          <cell r="O93">
            <v>0.4559068265354157</v>
          </cell>
        </row>
        <row r="94">
          <cell r="B94" t="str">
            <v xml:space="preserve">Specialty </v>
          </cell>
          <cell r="C94">
            <v>0</v>
          </cell>
          <cell r="D94">
            <v>8.2123382169371345E-3</v>
          </cell>
          <cell r="E94">
            <v>2.4383164005805619E-2</v>
          </cell>
          <cell r="F94">
            <v>9.2151702265096253E-2</v>
          </cell>
          <cell r="G94">
            <v>0.17622848673817235</v>
          </cell>
          <cell r="H94">
            <v>0.16273384782534905</v>
          </cell>
          <cell r="I94">
            <v>0.16920559995708886</v>
          </cell>
          <cell r="J94">
            <v>0.17429848522473276</v>
          </cell>
          <cell r="K94">
            <v>0.18442343754092594</v>
          </cell>
          <cell r="L94">
            <v>0.2001082002724475</v>
          </cell>
          <cell r="M94">
            <v>0.21773985011504451</v>
          </cell>
          <cell r="N94">
            <v>0.23739108445358356</v>
          </cell>
          <cell r="O94">
            <v>0.25009300555380221</v>
          </cell>
        </row>
        <row r="95">
          <cell r="B95" t="str">
            <v>Service</v>
          </cell>
          <cell r="C95">
            <v>0</v>
          </cell>
          <cell r="D95">
            <v>0.10623480717429876</v>
          </cell>
          <cell r="E95">
            <v>0.11303338171262747</v>
          </cell>
          <cell r="F95">
            <v>0.1625488984970144</v>
          </cell>
          <cell r="G95">
            <v>0.16433857154735171</v>
          </cell>
          <cell r="H95">
            <v>0.1310223067259704</v>
          </cell>
          <cell r="I95">
            <v>0.12347798101164005</v>
          </cell>
          <cell r="J95">
            <v>0.14616339706977874</v>
          </cell>
          <cell r="K95">
            <v>0.16099523976511446</v>
          </cell>
          <cell r="L95">
            <v>0.16032977794070713</v>
          </cell>
          <cell r="M95">
            <v>0.15276146247747693</v>
          </cell>
          <cell r="N95">
            <v>0.15747632795814256</v>
          </cell>
          <cell r="O95">
            <v>0.15950697831447366</v>
          </cell>
        </row>
        <row r="100">
          <cell r="B100" t="str">
            <v>Contibution to Gross Margin</v>
          </cell>
          <cell r="C100">
            <v>2002</v>
          </cell>
          <cell r="D100">
            <v>2003</v>
          </cell>
          <cell r="E100">
            <v>2004</v>
          </cell>
          <cell r="F100">
            <v>2005</v>
          </cell>
          <cell r="G100">
            <v>2006</v>
          </cell>
          <cell r="H100">
            <v>2007</v>
          </cell>
          <cell r="I100">
            <v>2008</v>
          </cell>
          <cell r="J100">
            <v>2009</v>
          </cell>
          <cell r="K100">
            <v>2010</v>
          </cell>
          <cell r="L100">
            <v>2011</v>
          </cell>
          <cell r="M100">
            <v>2012</v>
          </cell>
          <cell r="N100">
            <v>2013</v>
          </cell>
          <cell r="O100">
            <v>2014</v>
          </cell>
        </row>
        <row r="101">
          <cell r="B101" t="str">
            <v>Generics</v>
          </cell>
          <cell r="C101">
            <v>0</v>
          </cell>
          <cell r="D101">
            <v>0.53201903702465148</v>
          </cell>
          <cell r="E101">
            <v>0.61650501890241893</v>
          </cell>
          <cell r="F101">
            <v>0.56823358936807755</v>
          </cell>
          <cell r="G101">
            <v>0.5026371104381544</v>
          </cell>
          <cell r="H101">
            <v>0.50340058248170938</v>
          </cell>
          <cell r="I101">
            <v>0.48364143707643359</v>
          </cell>
          <cell r="J101">
            <v>0.47491391435128616</v>
          </cell>
          <cell r="K101">
            <v>0.4715494801420288</v>
          </cell>
          <cell r="L101">
            <v>0.47031540521276094</v>
          </cell>
          <cell r="M101">
            <v>0.48856295970169056</v>
          </cell>
          <cell r="N101">
            <v>0.48045527769479379</v>
          </cell>
          <cell r="O101">
            <v>0.47875903222860366</v>
          </cell>
        </row>
        <row r="102">
          <cell r="B102" t="str">
            <v>Brand</v>
          </cell>
          <cell r="C102">
            <v>0</v>
          </cell>
          <cell r="D102">
            <v>0.35353381758411201</v>
          </cell>
          <cell r="E102">
            <v>0.2460784353791528</v>
          </cell>
          <cell r="F102">
            <v>0.17711728197193033</v>
          </cell>
          <cell r="G102">
            <v>0.15675425814918803</v>
          </cell>
          <cell r="H102">
            <v>0.19601883082084245</v>
          </cell>
          <cell r="I102">
            <v>0.22367498195484001</v>
          </cell>
          <cell r="J102">
            <v>0.20462420385084854</v>
          </cell>
          <cell r="K102">
            <v>0.18303184278426102</v>
          </cell>
          <cell r="L102">
            <v>0.1692466165740826</v>
          </cell>
          <cell r="M102">
            <v>0.14093572770579094</v>
          </cell>
          <cell r="N102">
            <v>0.1246773098934828</v>
          </cell>
          <cell r="O102">
            <v>0.11164098390312112</v>
          </cell>
        </row>
        <row r="103">
          <cell r="B103" t="str">
            <v>Specialty</v>
          </cell>
          <cell r="C103">
            <v>0</v>
          </cell>
          <cell r="D103">
            <v>8.2123382169371345E-3</v>
          </cell>
          <cell r="E103">
            <v>2.4383164005805619E-2</v>
          </cell>
          <cell r="F103">
            <v>9.2151702265096253E-2</v>
          </cell>
          <cell r="G103">
            <v>0.17622848673817235</v>
          </cell>
          <cell r="H103">
            <v>0.16273384782534905</v>
          </cell>
          <cell r="I103">
            <v>0.16920559995708886</v>
          </cell>
          <cell r="J103">
            <v>0.17429848522473276</v>
          </cell>
          <cell r="K103">
            <v>0.18442343754092594</v>
          </cell>
          <cell r="L103">
            <v>0.2001082002724475</v>
          </cell>
          <cell r="M103">
            <v>0.21773985011504451</v>
          </cell>
          <cell r="N103">
            <v>0.23739108445358356</v>
          </cell>
          <cell r="O103">
            <v>0.25009300555380221</v>
          </cell>
        </row>
        <row r="104">
          <cell r="B104" t="str">
            <v>Service</v>
          </cell>
          <cell r="C104">
            <v>0</v>
          </cell>
          <cell r="D104">
            <v>0.10623480717429876</v>
          </cell>
          <cell r="E104">
            <v>0.11303338171262747</v>
          </cell>
          <cell r="F104">
            <v>0.1625488984970144</v>
          </cell>
          <cell r="G104">
            <v>0.16433857154735171</v>
          </cell>
          <cell r="H104">
            <v>0.1310223067259704</v>
          </cell>
          <cell r="I104">
            <v>0.12347798101164005</v>
          </cell>
          <cell r="J104">
            <v>0.14616339706977874</v>
          </cell>
          <cell r="K104">
            <v>0.16099523976511446</v>
          </cell>
          <cell r="L104">
            <v>0.16032977794070713</v>
          </cell>
          <cell r="M104">
            <v>0.15276146247747693</v>
          </cell>
          <cell r="N104">
            <v>0.15747632795814256</v>
          </cell>
          <cell r="O104">
            <v>0.15950697831447366</v>
          </cell>
        </row>
        <row r="107">
          <cell r="B107" t="str">
            <v>Retail - generics - core</v>
          </cell>
          <cell r="C107">
            <v>0</v>
          </cell>
          <cell r="D107">
            <v>0</v>
          </cell>
          <cell r="E107">
            <v>0</v>
          </cell>
          <cell r="F107">
            <v>0</v>
          </cell>
          <cell r="G107">
            <v>0</v>
          </cell>
          <cell r="H107">
            <v>1.7312198398628933E-2</v>
          </cell>
          <cell r="I107">
            <v>1.7101318786121287E-2</v>
          </cell>
          <cell r="J107">
            <v>2.5376429789033733E-2</v>
          </cell>
          <cell r="K107">
            <v>2.6982588115536121E-2</v>
          </cell>
          <cell r="L107">
            <v>2.8930012346254204E-2</v>
          </cell>
          <cell r="M107">
            <v>2.940220708839264E-2</v>
          </cell>
          <cell r="N107">
            <v>2.9405123591413465E-2</v>
          </cell>
          <cell r="O107">
            <v>3.0010961290526789E-2</v>
          </cell>
        </row>
        <row r="108">
          <cell r="B108" t="str">
            <v>Retail - brand - core</v>
          </cell>
          <cell r="C108">
            <v>0</v>
          </cell>
          <cell r="D108">
            <v>0.359318782827453</v>
          </cell>
          <cell r="E108">
            <v>0.23940242226256822</v>
          </cell>
          <cell r="F108">
            <v>0.17572647069934941</v>
          </cell>
          <cell r="G108">
            <v>0.16113513864628917</v>
          </cell>
          <cell r="H108">
            <v>0.21778252831585235</v>
          </cell>
          <cell r="I108">
            <v>0.24615103288611337</v>
          </cell>
          <cell r="J108">
            <v>0.23133710062117535</v>
          </cell>
          <cell r="K108">
            <v>0.21147414282709845</v>
          </cell>
          <cell r="L108">
            <v>0.19570208727095417</v>
          </cell>
          <cell r="M108">
            <v>0.16198135250523221</v>
          </cell>
          <cell r="N108">
            <v>0.14447593662347241</v>
          </cell>
          <cell r="O108">
            <v>0.13000605982238675</v>
          </cell>
        </row>
        <row r="109">
          <cell r="B109" t="str">
            <v>Mail - generics - core</v>
          </cell>
          <cell r="C109">
            <v>0</v>
          </cell>
          <cell r="D109">
            <v>0.59525593667687626</v>
          </cell>
          <cell r="E109">
            <v>0.69507127572942473</v>
          </cell>
          <cell r="F109">
            <v>0.67848578294161621</v>
          </cell>
          <cell r="G109">
            <v>0.60151408231240655</v>
          </cell>
          <cell r="H109">
            <v>0.56657538305428135</v>
          </cell>
          <cell r="I109">
            <v>0.53467196996095157</v>
          </cell>
          <cell r="J109">
            <v>0.53083527713646417</v>
          </cell>
          <cell r="K109">
            <v>0.53505174409732903</v>
          </cell>
          <cell r="L109">
            <v>0.53118917832757007</v>
          </cell>
          <cell r="M109">
            <v>0.54725116508980687</v>
          </cell>
          <cell r="N109">
            <v>0.54085218031366045</v>
          </cell>
          <cell r="O109">
            <v>0.53960594197477363</v>
          </cell>
        </row>
        <row r="110">
          <cell r="B110" t="str">
            <v>Mail - brand - core</v>
          </cell>
          <cell r="C110">
            <v>0</v>
          </cell>
          <cell r="D110">
            <v>3.6236806517428839E-2</v>
          </cell>
          <cell r="E110">
            <v>3.8035792779053799E-2</v>
          </cell>
          <cell r="F110">
            <v>3.5756201180109179E-2</v>
          </cell>
          <cell r="G110">
            <v>2.645525565821685E-2</v>
          </cell>
          <cell r="H110">
            <v>9.5770835522316581E-3</v>
          </cell>
          <cell r="I110">
            <v>9.033636876083986E-3</v>
          </cell>
          <cell r="J110">
            <v>8.3155485491853177E-3</v>
          </cell>
          <cell r="K110">
            <v>6.6793784151647721E-3</v>
          </cell>
          <cell r="L110">
            <v>5.8611123373457762E-3</v>
          </cell>
          <cell r="M110">
            <v>4.3658112084389231E-3</v>
          </cell>
          <cell r="N110">
            <v>3.5048430634967835E-3</v>
          </cell>
          <cell r="O110">
            <v>2.8219125969871236E-3</v>
          </cell>
        </row>
        <row r="111">
          <cell r="B111" t="str">
            <v xml:space="preserve">Specialty </v>
          </cell>
          <cell r="C111">
            <v>0</v>
          </cell>
          <cell r="D111">
            <v>9.1884739782417089E-3</v>
          </cell>
          <cell r="E111">
            <v>2.7490509228956749E-2</v>
          </cell>
          <cell r="F111">
            <v>0.11003154517892536</v>
          </cell>
          <cell r="G111">
            <v>0.21089552338308459</v>
          </cell>
          <cell r="H111">
            <v>0.18875280667900576</v>
          </cell>
          <cell r="I111">
            <v>0.19304204149072862</v>
          </cell>
          <cell r="J111">
            <v>0.20413564448580729</v>
          </cell>
          <cell r="K111">
            <v>0.21981214682178357</v>
          </cell>
          <cell r="L111">
            <v>0.23831760971787466</v>
          </cell>
          <cell r="M111">
            <v>0.25699946410812952</v>
          </cell>
          <cell r="N111">
            <v>0.281761916407957</v>
          </cell>
          <cell r="O111">
            <v>0.29755512431532821</v>
          </cell>
        </row>
        <row r="112">
          <cell r="B112" t="str">
            <v>Service</v>
          </cell>
        </row>
        <row r="118">
          <cell r="B118" t="str">
            <v>Sales by Product &amp; Channel</v>
          </cell>
          <cell r="C118">
            <v>2002</v>
          </cell>
          <cell r="D118">
            <v>2003</v>
          </cell>
          <cell r="E118">
            <v>2004</v>
          </cell>
          <cell r="F118">
            <v>2005</v>
          </cell>
          <cell r="G118">
            <v>2006</v>
          </cell>
          <cell r="H118">
            <v>2007</v>
          </cell>
          <cell r="I118">
            <v>2008</v>
          </cell>
          <cell r="J118">
            <v>2009</v>
          </cell>
          <cell r="K118">
            <v>2010</v>
          </cell>
          <cell r="L118">
            <v>2011</v>
          </cell>
          <cell r="M118">
            <v>2012</v>
          </cell>
          <cell r="N118">
            <v>2013</v>
          </cell>
          <cell r="O118">
            <v>2014</v>
          </cell>
        </row>
        <row r="119">
          <cell r="B119" t="str">
            <v>Retail Generic</v>
          </cell>
          <cell r="C119">
            <v>0</v>
          </cell>
          <cell r="D119">
            <v>3425.6817002315083</v>
          </cell>
          <cell r="E119">
            <v>3158.0467977181447</v>
          </cell>
          <cell r="F119">
            <v>3596.9073386433361</v>
          </cell>
          <cell r="G119">
            <v>4535.2075423550141</v>
          </cell>
          <cell r="H119">
            <v>5422.5817542473969</v>
          </cell>
          <cell r="I119">
            <v>6276.3147041647553</v>
          </cell>
          <cell r="J119">
            <v>8635.1504132566588</v>
          </cell>
          <cell r="K119">
            <v>10263.431679471112</v>
          </cell>
          <cell r="L119">
            <v>10992.371121614722</v>
          </cell>
          <cell r="M119">
            <v>12304.199628669247</v>
          </cell>
          <cell r="N119">
            <v>12582.7987091835</v>
          </cell>
          <cell r="O119">
            <v>13406.87633583163</v>
          </cell>
        </row>
        <row r="120">
          <cell r="B120" t="str">
            <v>Retail Brand</v>
          </cell>
          <cell r="C120">
            <v>0</v>
          </cell>
          <cell r="D120">
            <v>17985.418299768491</v>
          </cell>
          <cell r="E120">
            <v>15674.253202281854</v>
          </cell>
          <cell r="F120">
            <v>16891.808269954094</v>
          </cell>
          <cell r="G120">
            <v>18191.522457644987</v>
          </cell>
          <cell r="H120">
            <v>17798.940245752601</v>
          </cell>
          <cell r="I120">
            <v>18589.358295835245</v>
          </cell>
          <cell r="J120">
            <v>23483.377586743343</v>
          </cell>
          <cell r="K120">
            <v>24584.684031301877</v>
          </cell>
          <cell r="L120">
            <v>25209.638088511816</v>
          </cell>
          <cell r="M120">
            <v>23011.559414990657</v>
          </cell>
          <cell r="N120">
            <v>20964.037647985868</v>
          </cell>
          <cell r="O120">
            <v>19700.695908961134</v>
          </cell>
        </row>
        <row r="121">
          <cell r="B121" t="str">
            <v>Mail Generic</v>
          </cell>
          <cell r="C121">
            <v>0</v>
          </cell>
          <cell r="D121">
            <v>1392.6896827379774</v>
          </cell>
          <cell r="E121">
            <v>1769.8831584323536</v>
          </cell>
          <cell r="F121">
            <v>1780.5874474585526</v>
          </cell>
          <cell r="G121">
            <v>2042.5891393298079</v>
          </cell>
          <cell r="H121">
            <v>2538.2338679090603</v>
          </cell>
          <cell r="I121">
            <v>2974.5609807911383</v>
          </cell>
          <cell r="J121">
            <v>3019.3809342405934</v>
          </cell>
          <cell r="K121">
            <v>3376.2362197281109</v>
          </cell>
          <cell r="L121">
            <v>3650.5270798353949</v>
          </cell>
          <cell r="M121">
            <v>4310.5789252474988</v>
          </cell>
          <cell r="N121">
            <v>4563.2034238154702</v>
          </cell>
          <cell r="O121">
            <v>4929.4713885673373</v>
          </cell>
        </row>
        <row r="122">
          <cell r="B122" t="str">
            <v>Mail Brand</v>
          </cell>
          <cell r="C122">
            <v>0</v>
          </cell>
          <cell r="D122">
            <v>9859.3103172620231</v>
          </cell>
          <cell r="E122">
            <v>11622.216841567646</v>
          </cell>
          <cell r="F122">
            <v>11635.782988031118</v>
          </cell>
          <cell r="G122">
            <v>11816.680860670192</v>
          </cell>
          <cell r="H122">
            <v>12159.544132090941</v>
          </cell>
          <cell r="I122">
            <v>14761.866019208861</v>
          </cell>
          <cell r="J122">
            <v>14296.091065759405</v>
          </cell>
          <cell r="K122">
            <v>14819.037513222853</v>
          </cell>
          <cell r="L122">
            <v>14846.755271876315</v>
          </cell>
          <cell r="M122">
            <v>12179.995533038487</v>
          </cell>
          <cell r="N122">
            <v>9998.4241721593135</v>
          </cell>
          <cell r="O122">
            <v>8404.269993682643</v>
          </cell>
        </row>
        <row r="123">
          <cell r="B123" t="str">
            <v>Specialty</v>
          </cell>
          <cell r="C123">
            <v>0</v>
          </cell>
          <cell r="D123">
            <v>1250</v>
          </cell>
          <cell r="E123">
            <v>2800</v>
          </cell>
          <cell r="F123">
            <v>3549.8139559128977</v>
          </cell>
          <cell r="G123">
            <v>5436.5</v>
          </cell>
          <cell r="H123">
            <v>6042.6</v>
          </cell>
          <cell r="I123">
            <v>7974.1</v>
          </cell>
          <cell r="J123">
            <v>9527.6</v>
          </cell>
          <cell r="K123">
            <v>11259.977670000004</v>
          </cell>
          <cell r="L123">
            <v>13123.503974385003</v>
          </cell>
          <cell r="M123">
            <v>15586.785670377074</v>
          </cell>
          <cell r="N123">
            <v>17348.092451129683</v>
          </cell>
          <cell r="O123">
            <v>19126.271927370479</v>
          </cell>
        </row>
        <row r="129">
          <cell r="B129" t="str">
            <v>Retail - generics - core</v>
          </cell>
          <cell r="C129">
            <v>0</v>
          </cell>
          <cell r="D129">
            <v>0</v>
          </cell>
          <cell r="E129">
            <v>0</v>
          </cell>
          <cell r="F129">
            <v>0</v>
          </cell>
          <cell r="G129">
            <v>0</v>
          </cell>
          <cell r="H129">
            <v>43.9608653936385</v>
          </cell>
          <cell r="I129">
            <v>55.890530056801666</v>
          </cell>
          <cell r="J129">
            <v>87.254316186613622</v>
          </cell>
          <cell r="K129">
            <v>97.441142680660704</v>
          </cell>
          <cell r="L129">
            <v>109.92371121614721</v>
          </cell>
          <cell r="M129">
            <v>123.04199628669247</v>
          </cell>
          <cell r="N129">
            <v>125.82798709183501</v>
          </cell>
          <cell r="O129">
            <v>134.06876335831632</v>
          </cell>
        </row>
        <row r="130">
          <cell r="B130" t="str">
            <v>Retail - brand - core</v>
          </cell>
          <cell r="C130">
            <v>0</v>
          </cell>
          <cell r="D130">
            <v>488.81727215846627</v>
          </cell>
          <cell r="E130">
            <v>365.75902073275068</v>
          </cell>
          <cell r="F130">
            <v>285.92454047491117</v>
          </cell>
          <cell r="G130">
            <v>323.88162867904123</v>
          </cell>
          <cell r="H130">
            <v>553.0151741524445</v>
          </cell>
          <cell r="I130">
            <v>804.4708056783968</v>
          </cell>
          <cell r="J130">
            <v>795.42948677584968</v>
          </cell>
          <cell r="K130">
            <v>763.68812495866428</v>
          </cell>
          <cell r="L130">
            <v>743.59801399652599</v>
          </cell>
          <cell r="M130">
            <v>677.85758101575789</v>
          </cell>
          <cell r="N130">
            <v>618.22954873916979</v>
          </cell>
          <cell r="O130">
            <v>580.77951921441888</v>
          </cell>
        </row>
        <row r="131">
          <cell r="B131" t="str">
            <v>Total Retail - core</v>
          </cell>
          <cell r="C131">
            <v>0</v>
          </cell>
          <cell r="D131">
            <v>488.81727215846627</v>
          </cell>
          <cell r="E131">
            <v>365.75902073275068</v>
          </cell>
          <cell r="F131">
            <v>285.92454047491117</v>
          </cell>
          <cell r="G131">
            <v>323.88162867904123</v>
          </cell>
          <cell r="H131">
            <v>596.97603954608303</v>
          </cell>
          <cell r="I131">
            <v>860.36133573519851</v>
          </cell>
          <cell r="J131">
            <v>882.68380296246335</v>
          </cell>
          <cell r="K131">
            <v>861.12926763932501</v>
          </cell>
          <cell r="L131">
            <v>853.52172521267323</v>
          </cell>
          <cell r="M131">
            <v>800.89957730245033</v>
          </cell>
          <cell r="N131">
            <v>744.05753583100477</v>
          </cell>
          <cell r="O131">
            <v>714.84828257273523</v>
          </cell>
        </row>
        <row r="132">
          <cell r="B132" t="str">
            <v>Mail - generics - core</v>
          </cell>
          <cell r="C132">
            <v>0</v>
          </cell>
          <cell r="D132">
            <v>809.78617625522122</v>
          </cell>
          <cell r="E132">
            <v>1061.929895059412</v>
          </cell>
          <cell r="F132">
            <v>1103.9642174243027</v>
          </cell>
          <cell r="G132">
            <v>1209.0433054479372</v>
          </cell>
          <cell r="H132">
            <v>1438.7048701897381</v>
          </cell>
          <cell r="I132">
            <v>1747.4149322263843</v>
          </cell>
          <cell r="J132">
            <v>1825.2240169060192</v>
          </cell>
          <cell r="K132">
            <v>1932.2109915803492</v>
          </cell>
          <cell r="L132">
            <v>2018.3291019985543</v>
          </cell>
          <cell r="M132">
            <v>2290.1299763122374</v>
          </cell>
          <cell r="N132">
            <v>2314.3701794530293</v>
          </cell>
          <cell r="O132">
            <v>2410.5959366317725</v>
          </cell>
        </row>
        <row r="133">
          <cell r="B133" t="str">
            <v>Mail - brand - core</v>
          </cell>
          <cell r="C133">
            <v>0</v>
          </cell>
          <cell r="D133">
            <v>49.296551586310116</v>
          </cell>
          <cell r="E133">
            <v>58.111084207838232</v>
          </cell>
          <cell r="F133">
            <v>58.178914940155593</v>
          </cell>
          <cell r="G133">
            <v>53.175063873015866</v>
          </cell>
          <cell r="H133">
            <v>24.319088264181879</v>
          </cell>
          <cell r="I133">
            <v>29.523732038417723</v>
          </cell>
          <cell r="J133">
            <v>28.592182131518811</v>
          </cell>
          <cell r="K133">
            <v>24.12097247244602</v>
          </cell>
          <cell r="L133">
            <v>22.270132907814471</v>
          </cell>
          <cell r="M133">
            <v>18.269993299557729</v>
          </cell>
          <cell r="N133">
            <v>14.997636258238972</v>
          </cell>
          <cell r="O133">
            <v>12.606404990523966</v>
          </cell>
        </row>
        <row r="134">
          <cell r="B134" t="str">
            <v>Total Mail - core</v>
          </cell>
          <cell r="C134">
            <v>0</v>
          </cell>
          <cell r="D134">
            <v>859.08272784153132</v>
          </cell>
          <cell r="E134">
            <v>1120.0409792672503</v>
          </cell>
          <cell r="F134">
            <v>1162.1431323644583</v>
          </cell>
          <cell r="G134">
            <v>1262.2183693209531</v>
          </cell>
          <cell r="H134">
            <v>1463.0239584539199</v>
          </cell>
          <cell r="I134">
            <v>1776.9386642648019</v>
          </cell>
          <cell r="J134">
            <v>1853.8161990375379</v>
          </cell>
          <cell r="K134">
            <v>1956.3319640527952</v>
          </cell>
          <cell r="L134">
            <v>2040.5992349063688</v>
          </cell>
          <cell r="M134">
            <v>2308.3999696117953</v>
          </cell>
          <cell r="N134">
            <v>2329.3678157112681</v>
          </cell>
          <cell r="O134">
            <v>2423.2023416222964</v>
          </cell>
        </row>
        <row r="135">
          <cell r="B135" t="str">
            <v xml:space="preserve">Specialty </v>
          </cell>
          <cell r="C135">
            <v>0</v>
          </cell>
          <cell r="D135">
            <v>12.5</v>
          </cell>
          <cell r="E135">
            <v>42</v>
          </cell>
          <cell r="F135">
            <v>179.03232716062928</v>
          </cell>
          <cell r="G135">
            <v>423.90000200000003</v>
          </cell>
          <cell r="H135">
            <v>479.30000199999989</v>
          </cell>
          <cell r="I135">
            <v>630.90000000000009</v>
          </cell>
          <cell r="J135">
            <v>701.90000000000009</v>
          </cell>
          <cell r="K135">
            <v>793.79882573500049</v>
          </cell>
          <cell r="L135">
            <v>905.52177423256546</v>
          </cell>
          <cell r="M135">
            <v>1075.4882112560183</v>
          </cell>
          <cell r="N135">
            <v>1205.6924253535133</v>
          </cell>
          <cell r="O135">
            <v>1329.2758989522486</v>
          </cell>
        </row>
        <row r="136">
          <cell r="B136" t="str">
            <v>Service - gross profit</v>
          </cell>
          <cell r="C136">
            <v>0</v>
          </cell>
          <cell r="D136">
            <v>161.69999999999999</v>
          </cell>
          <cell r="E136">
            <v>194.7</v>
          </cell>
          <cell r="F136">
            <v>315.80000000000007</v>
          </cell>
          <cell r="G136">
            <v>395.3</v>
          </cell>
          <cell r="H136">
            <v>385.90000000000003</v>
          </cell>
          <cell r="I136">
            <v>460.40000000000003</v>
          </cell>
          <cell r="J136">
            <v>588.6</v>
          </cell>
          <cell r="K136">
            <v>692.95873658201788</v>
          </cell>
          <cell r="L136">
            <v>725.51801867947836</v>
          </cell>
          <cell r="M136">
            <v>754.53873942665746</v>
          </cell>
          <cell r="N136">
            <v>799.81106379225696</v>
          </cell>
          <cell r="O136">
            <v>847.79972761979252</v>
          </cell>
        </row>
        <row r="137">
          <cell r="B137" t="str">
            <v>Total</v>
          </cell>
          <cell r="C137">
            <v>1300.7999999999993</v>
          </cell>
          <cell r="D137">
            <v>1522.0999999999985</v>
          </cell>
          <cell r="E137">
            <v>1722.4999999999927</v>
          </cell>
          <cell r="F137">
            <v>1942.8000000000029</v>
          </cell>
          <cell r="G137">
            <v>2405.4000000000015</v>
          </cell>
          <cell r="H137">
            <v>2945.2999999999956</v>
          </cell>
          <cell r="I137">
            <v>3728.5999999999913</v>
          </cell>
          <cell r="J137">
            <v>4027.0000000000073</v>
          </cell>
          <cell r="K137">
            <v>4304.2187930091386</v>
          </cell>
          <cell r="L137">
            <v>4525.1607530310939</v>
          </cell>
          <cell r="M137">
            <v>4939.3264975969068</v>
          </cell>
          <cell r="N137">
            <v>5078.9288406880296</v>
          </cell>
          <cell r="O137">
            <v>5315.126250767069</v>
          </cell>
        </row>
        <row r="139">
          <cell r="B139" t="str">
            <v>revenue</v>
          </cell>
          <cell r="C139">
            <v>32958.5</v>
          </cell>
          <cell r="D139">
            <v>34264.5</v>
          </cell>
          <cell r="E139">
            <v>35351.899999999994</v>
          </cell>
          <cell r="F139">
            <v>37870.799999999996</v>
          </cell>
          <cell r="G139">
            <v>42543.6</v>
          </cell>
          <cell r="H139">
            <v>44506.099999999991</v>
          </cell>
          <cell r="I139">
            <v>51257.9</v>
          </cell>
          <cell r="J139">
            <v>59804.3</v>
          </cell>
          <cell r="K139">
            <v>65270.709113723948</v>
          </cell>
          <cell r="L139">
            <v>68835.407796223255</v>
          </cell>
          <cell r="M139">
            <v>68446.235922722975</v>
          </cell>
          <cell r="N139">
            <v>66572.860159697841</v>
          </cell>
          <cell r="O139">
            <v>66750.867535162659</v>
          </cell>
        </row>
      </sheetData>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__FDSCACHE__"/>
      <sheetName val="Model"/>
      <sheetName val="Revenue"/>
      <sheetName val="gross margins"/>
      <sheetName val="Per claim analysis"/>
      <sheetName val="Guidance"/>
      <sheetName val="Debt"/>
      <sheetName val="Rebates &amp; Copays"/>
      <sheetName val="Scenarios"/>
      <sheetName val="Specialty"/>
      <sheetName val="Valuation"/>
      <sheetName val="MW-Cache"/>
      <sheetName val="mwareSettings"/>
      <sheetName val="Variance"/>
      <sheetName val="mwareDates"/>
      <sheetName val="MWA RR"/>
    </sheetNames>
    <sheetDataSet>
      <sheetData sheetId="0" refreshError="1"/>
      <sheetData sheetId="1" refreshError="1"/>
      <sheetData sheetId="2" refreshError="1">
        <row r="1">
          <cell r="B1" t="str">
            <v>Cover Page</v>
          </cell>
          <cell r="I1" t="str">
            <v xml:space="preserve"> </v>
          </cell>
          <cell r="N1" t="str">
            <v xml:space="preserve"> </v>
          </cell>
          <cell r="T1" t="str">
            <v xml:space="preserve"> </v>
          </cell>
          <cell r="CI1" t="str">
            <v>ElementName</v>
          </cell>
          <cell r="CJ1" t="str">
            <v>ScaleOverride</v>
          </cell>
          <cell r="CK1" t="str">
            <v>UnitOverride</v>
          </cell>
          <cell r="CL1" t="str">
            <v>ReverseSign</v>
          </cell>
          <cell r="CM1" t="str">
            <v>IsDrivingAssumption</v>
          </cell>
          <cell r="CN1" t="str">
            <v>SegmentID</v>
          </cell>
        </row>
        <row r="3">
          <cell r="B3" t="str">
            <v>MHS</v>
          </cell>
        </row>
        <row r="4">
          <cell r="B4" t="str">
            <v>Quarterly Income Statement</v>
          </cell>
        </row>
        <row r="5">
          <cell r="B5" t="str">
            <v>(In millions, except per share)</v>
          </cell>
          <cell r="D5">
            <v>36525</v>
          </cell>
          <cell r="E5">
            <v>36891</v>
          </cell>
          <cell r="F5">
            <v>36981</v>
          </cell>
          <cell r="G5">
            <v>37072</v>
          </cell>
          <cell r="H5">
            <v>37164</v>
          </cell>
          <cell r="I5">
            <v>37256</v>
          </cell>
          <cell r="J5">
            <v>37256</v>
          </cell>
          <cell r="K5">
            <v>37346</v>
          </cell>
          <cell r="L5">
            <v>37437</v>
          </cell>
          <cell r="M5">
            <v>37529</v>
          </cell>
          <cell r="N5">
            <v>37621</v>
          </cell>
          <cell r="O5">
            <v>37621</v>
          </cell>
          <cell r="P5">
            <v>37711</v>
          </cell>
          <cell r="Q5">
            <v>37802</v>
          </cell>
          <cell r="R5">
            <v>37894</v>
          </cell>
          <cell r="S5">
            <v>37986</v>
          </cell>
          <cell r="T5">
            <v>37986</v>
          </cell>
          <cell r="U5">
            <v>38077</v>
          </cell>
          <cell r="V5">
            <v>38168</v>
          </cell>
          <cell r="W5">
            <v>38260</v>
          </cell>
          <cell r="X5">
            <v>38352</v>
          </cell>
          <cell r="Y5">
            <v>38352</v>
          </cell>
          <cell r="Z5">
            <v>38442</v>
          </cell>
          <cell r="AA5">
            <v>38533</v>
          </cell>
          <cell r="AB5">
            <v>38625</v>
          </cell>
          <cell r="AC5">
            <v>38717</v>
          </cell>
          <cell r="AD5">
            <v>38717</v>
          </cell>
          <cell r="AE5">
            <v>38807</v>
          </cell>
          <cell r="AF5">
            <v>38898</v>
          </cell>
          <cell r="AG5">
            <v>38990</v>
          </cell>
          <cell r="AH5">
            <v>39082</v>
          </cell>
          <cell r="AI5">
            <v>39082</v>
          </cell>
          <cell r="AJ5">
            <v>39172</v>
          </cell>
          <cell r="AK5">
            <v>39263</v>
          </cell>
          <cell r="AL5">
            <v>39355</v>
          </cell>
          <cell r="AM5">
            <v>39447</v>
          </cell>
          <cell r="AN5">
            <v>39447</v>
          </cell>
          <cell r="AO5">
            <v>39538</v>
          </cell>
          <cell r="AP5">
            <v>39629</v>
          </cell>
          <cell r="AQ5">
            <v>39721</v>
          </cell>
          <cell r="AR5">
            <v>39813</v>
          </cell>
          <cell r="AS5">
            <v>39813</v>
          </cell>
          <cell r="AT5">
            <v>39903</v>
          </cell>
          <cell r="AU5">
            <v>39994</v>
          </cell>
          <cell r="AV5">
            <v>40086</v>
          </cell>
          <cell r="AW5">
            <v>40178</v>
          </cell>
          <cell r="AX5">
            <v>40178</v>
          </cell>
          <cell r="AY5">
            <v>40268</v>
          </cell>
          <cell r="AZ5">
            <v>40359</v>
          </cell>
          <cell r="BA5">
            <v>40451</v>
          </cell>
          <cell r="BB5">
            <v>40543</v>
          </cell>
          <cell r="BC5">
            <v>40543</v>
          </cell>
          <cell r="BD5">
            <v>40633</v>
          </cell>
          <cell r="BE5">
            <v>40724</v>
          </cell>
          <cell r="BF5">
            <v>40816</v>
          </cell>
          <cell r="BG5">
            <v>40908</v>
          </cell>
          <cell r="BH5">
            <v>40908</v>
          </cell>
          <cell r="BI5">
            <v>40999</v>
          </cell>
          <cell r="BJ5">
            <v>41090</v>
          </cell>
          <cell r="BK5">
            <v>41182</v>
          </cell>
          <cell r="BL5">
            <v>41274</v>
          </cell>
          <cell r="BM5">
            <v>41274</v>
          </cell>
          <cell r="BN5">
            <v>41364</v>
          </cell>
          <cell r="BO5">
            <v>41455</v>
          </cell>
          <cell r="BP5">
            <v>41547</v>
          </cell>
          <cell r="BQ5">
            <v>41639</v>
          </cell>
          <cell r="BR5">
            <v>41639</v>
          </cell>
          <cell r="BS5">
            <v>41729</v>
          </cell>
          <cell r="BT5">
            <v>41820</v>
          </cell>
          <cell r="BU5">
            <v>41912</v>
          </cell>
          <cell r="BV5">
            <v>42004</v>
          </cell>
          <cell r="BW5">
            <v>42004</v>
          </cell>
          <cell r="BX5">
            <v>42094</v>
          </cell>
          <cell r="BY5">
            <v>42185</v>
          </cell>
          <cell r="BZ5">
            <v>42277</v>
          </cell>
          <cell r="CA5">
            <v>42369</v>
          </cell>
          <cell r="CB5">
            <v>42369</v>
          </cell>
        </row>
        <row r="6">
          <cell r="B6" t="str">
            <v>INCOME STATEMENT</v>
          </cell>
          <cell r="F6" t="str">
            <v xml:space="preserve">Fiscal Year End, December 31 2001 </v>
          </cell>
          <cell r="K6" t="str">
            <v>Fiscal Year End, December 31 2002</v>
          </cell>
          <cell r="P6" t="str">
            <v>Fiscal Year End, Dec 31 2003</v>
          </cell>
          <cell r="U6" t="str">
            <v>Fiscal Year End, Dec 31 2004</v>
          </cell>
          <cell r="Z6" t="str">
            <v xml:space="preserve">Fiscal Year End, Dec 31 2005 </v>
          </cell>
          <cell r="AE6" t="str">
            <v xml:space="preserve">Fiscal Year End, Dec 31 2006 </v>
          </cell>
          <cell r="AJ6" t="str">
            <v xml:space="preserve">Fiscal Year End, Dec 31 2007 </v>
          </cell>
          <cell r="AO6" t="str">
            <v>Fiscal Year End, Dec 31 2008</v>
          </cell>
          <cell r="AT6" t="str">
            <v>Fiscal Year End, Dec 31 2009</v>
          </cell>
          <cell r="AY6" t="str">
            <v>Fiscal Year End, Dec 31 2010</v>
          </cell>
          <cell r="BD6" t="str">
            <v>Fiscal Year End, Dec 31 2011</v>
          </cell>
          <cell r="BI6" t="str">
            <v>Fiscal Year End, Dec 31 2012</v>
          </cell>
          <cell r="BN6" t="str">
            <v>Fiscal Year End, Dec 31 2013</v>
          </cell>
          <cell r="BS6" t="str">
            <v>Fiscal Year End, Dec 31 2014</v>
          </cell>
          <cell r="BX6" t="str">
            <v>Fiscal Year End, Dec 31 2015</v>
          </cell>
        </row>
        <row r="7">
          <cell r="B7" t="str">
            <v>(In millions, except per share)</v>
          </cell>
          <cell r="D7" t="str">
            <v>1999A</v>
          </cell>
          <cell r="E7" t="str">
            <v>2000A</v>
          </cell>
          <cell r="F7" t="str">
            <v>1QA</v>
          </cell>
          <cell r="G7" t="str">
            <v>2QA</v>
          </cell>
          <cell r="H7" t="str">
            <v>3QA</v>
          </cell>
          <cell r="I7" t="str">
            <v>4QA</v>
          </cell>
          <cell r="J7" t="str">
            <v>2001A</v>
          </cell>
          <cell r="K7" t="str">
            <v>1QA</v>
          </cell>
          <cell r="L7" t="str">
            <v>2QA</v>
          </cell>
          <cell r="M7" t="str">
            <v>3QA</v>
          </cell>
          <cell r="N7" t="str">
            <v>4QA</v>
          </cell>
          <cell r="O7" t="str">
            <v>2002A</v>
          </cell>
          <cell r="P7" t="str">
            <v>1QA</v>
          </cell>
          <cell r="Q7" t="str">
            <v>2QA</v>
          </cell>
          <cell r="R7" t="str">
            <v>3QA</v>
          </cell>
          <cell r="S7" t="str">
            <v>4QA</v>
          </cell>
          <cell r="T7" t="str">
            <v>2003A</v>
          </cell>
          <cell r="U7" t="str">
            <v>1QA</v>
          </cell>
          <cell r="V7" t="str">
            <v>2QA</v>
          </cell>
          <cell r="W7" t="str">
            <v>3QA</v>
          </cell>
          <cell r="X7" t="str">
            <v>4QA</v>
          </cell>
          <cell r="Y7" t="str">
            <v>2004A</v>
          </cell>
          <cell r="Z7" t="str">
            <v>1QA</v>
          </cell>
          <cell r="AA7" t="str">
            <v>2QA</v>
          </cell>
          <cell r="AB7" t="str">
            <v>3QA</v>
          </cell>
          <cell r="AC7" t="str">
            <v>4QA</v>
          </cell>
          <cell r="AD7" t="str">
            <v>2005A</v>
          </cell>
          <cell r="AE7" t="str">
            <v>1QA</v>
          </cell>
          <cell r="AF7" t="str">
            <v>2QA</v>
          </cell>
          <cell r="AG7" t="str">
            <v>3QA</v>
          </cell>
          <cell r="AH7" t="str">
            <v>4QA</v>
          </cell>
          <cell r="AI7" t="str">
            <v>2006A</v>
          </cell>
          <cell r="AJ7" t="str">
            <v>1QA</v>
          </cell>
          <cell r="AK7" t="str">
            <v>2QA</v>
          </cell>
          <cell r="AL7" t="str">
            <v>3QA</v>
          </cell>
          <cell r="AM7" t="str">
            <v>4QA</v>
          </cell>
          <cell r="AN7" t="str">
            <v>2007A</v>
          </cell>
          <cell r="AO7" t="str">
            <v>1QA</v>
          </cell>
          <cell r="AP7" t="str">
            <v>2QA</v>
          </cell>
          <cell r="AQ7" t="str">
            <v>3QA</v>
          </cell>
          <cell r="AR7" t="str">
            <v>4QA</v>
          </cell>
          <cell r="AS7" t="str">
            <v>2008A</v>
          </cell>
          <cell r="AT7" t="str">
            <v>1QA</v>
          </cell>
          <cell r="AU7" t="str">
            <v>2QA</v>
          </cell>
          <cell r="AV7" t="str">
            <v>3QA</v>
          </cell>
          <cell r="AW7" t="str">
            <v>4QA</v>
          </cell>
          <cell r="AX7" t="str">
            <v>2009A</v>
          </cell>
          <cell r="AY7" t="str">
            <v>1QA</v>
          </cell>
          <cell r="AZ7" t="str">
            <v>2QA</v>
          </cell>
          <cell r="BA7" t="str">
            <v>3QA</v>
          </cell>
          <cell r="BB7" t="str">
            <v>4QA</v>
          </cell>
          <cell r="BC7" t="str">
            <v>2010A</v>
          </cell>
          <cell r="BD7" t="str">
            <v>1QA</v>
          </cell>
          <cell r="BE7" t="str">
            <v>2QA</v>
          </cell>
          <cell r="BF7" t="str">
            <v>3QA</v>
          </cell>
          <cell r="BG7" t="str">
            <v>4QA</v>
          </cell>
          <cell r="BH7" t="str">
            <v>2011A</v>
          </cell>
          <cell r="BI7" t="str">
            <v>1QE</v>
          </cell>
          <cell r="BJ7" t="str">
            <v>2QE</v>
          </cell>
          <cell r="BK7" t="str">
            <v>3QE</v>
          </cell>
          <cell r="BL7" t="str">
            <v>4QE</v>
          </cell>
          <cell r="BM7" t="str">
            <v>2012E</v>
          </cell>
          <cell r="BN7" t="str">
            <v>1QE</v>
          </cell>
          <cell r="BO7" t="str">
            <v>2QE</v>
          </cell>
          <cell r="BP7" t="str">
            <v>3QE</v>
          </cell>
          <cell r="BQ7" t="str">
            <v>4QE</v>
          </cell>
          <cell r="BR7" t="str">
            <v>2013E</v>
          </cell>
          <cell r="BS7" t="str">
            <v>1QE</v>
          </cell>
          <cell r="BT7" t="str">
            <v>2QE</v>
          </cell>
          <cell r="BU7" t="str">
            <v>3QE</v>
          </cell>
          <cell r="BV7" t="str">
            <v>4QE</v>
          </cell>
          <cell r="BW7" t="str">
            <v>2014E</v>
          </cell>
          <cell r="BX7" t="str">
            <v>1QE</v>
          </cell>
          <cell r="BY7" t="str">
            <v>2QE</v>
          </cell>
          <cell r="BZ7" t="str">
            <v>3QE</v>
          </cell>
          <cell r="CA7" t="str">
            <v>4QE</v>
          </cell>
          <cell r="CB7" t="str">
            <v>2015E</v>
          </cell>
        </row>
        <row r="8">
          <cell r="B8" t="str">
            <v>Net Revenues</v>
          </cell>
          <cell r="D8">
            <v>16896.600000000002</v>
          </cell>
          <cell r="E8">
            <v>22266.3</v>
          </cell>
          <cell r="J8">
            <v>29070.600000000002</v>
          </cell>
          <cell r="K8">
            <v>8016.1</v>
          </cell>
          <cell r="L8">
            <v>8363.4</v>
          </cell>
          <cell r="M8">
            <v>8039.3</v>
          </cell>
          <cell r="N8">
            <v>8539.6</v>
          </cell>
          <cell r="O8">
            <v>32958.5</v>
          </cell>
          <cell r="P8">
            <v>8334.1</v>
          </cell>
          <cell r="Q8">
            <v>8404.5</v>
          </cell>
          <cell r="R8">
            <v>8524</v>
          </cell>
          <cell r="S8">
            <v>9001.9</v>
          </cell>
          <cell r="T8">
            <v>34264.5</v>
          </cell>
          <cell r="U8">
            <v>8905.9</v>
          </cell>
          <cell r="V8">
            <v>8836.2000000000007</v>
          </cell>
          <cell r="W8">
            <v>8696.5999999999985</v>
          </cell>
          <cell r="X8">
            <v>8913.1999999999989</v>
          </cell>
          <cell r="Y8">
            <v>35351.899999999994</v>
          </cell>
          <cell r="Z8">
            <v>8743.2999999999993</v>
          </cell>
          <cell r="AA8">
            <v>8998.7000000000007</v>
          </cell>
          <cell r="AB8">
            <v>9325.4000000000015</v>
          </cell>
          <cell r="AC8">
            <v>10803.4</v>
          </cell>
          <cell r="AD8">
            <v>37870.800000000003</v>
          </cell>
          <cell r="AE8">
            <v>10563.5</v>
          </cell>
          <cell r="AF8">
            <v>10588.8</v>
          </cell>
          <cell r="AG8">
            <v>10461.099999999999</v>
          </cell>
          <cell r="AH8">
            <v>10930.2</v>
          </cell>
          <cell r="AI8">
            <v>42543.6</v>
          </cell>
          <cell r="AJ8">
            <v>11159.599999999999</v>
          </cell>
          <cell r="AK8">
            <v>11049.6</v>
          </cell>
          <cell r="AL8">
            <v>10918.6</v>
          </cell>
          <cell r="AM8">
            <v>11378.4</v>
          </cell>
          <cell r="AN8">
            <v>44506.2</v>
          </cell>
          <cell r="AO8">
            <v>12962.9</v>
          </cell>
          <cell r="AP8">
            <v>12774.6</v>
          </cell>
          <cell r="AQ8">
            <v>12559.099999999999</v>
          </cell>
          <cell r="AR8">
            <v>12961.3</v>
          </cell>
          <cell r="AS8">
            <v>51257.899999999994</v>
          </cell>
          <cell r="AT8">
            <v>14833.9</v>
          </cell>
          <cell r="AU8">
            <v>14930.4</v>
          </cell>
          <cell r="AV8">
            <v>14794.8</v>
          </cell>
          <cell r="AW8">
            <v>15245.2</v>
          </cell>
          <cell r="AX8">
            <v>59804.3</v>
          </cell>
          <cell r="AY8">
            <v>16310.9</v>
          </cell>
          <cell r="AZ8">
            <v>16407.5</v>
          </cell>
          <cell r="BA8">
            <v>16319.8</v>
          </cell>
          <cell r="BB8">
            <v>16930.2</v>
          </cell>
          <cell r="BC8">
            <v>65968.399999999994</v>
          </cell>
          <cell r="BD8">
            <v>17019.599999999999</v>
          </cell>
          <cell r="BE8">
            <v>17074</v>
          </cell>
          <cell r="BF8">
            <v>16981.5</v>
          </cell>
          <cell r="BG8">
            <v>18988.2</v>
          </cell>
          <cell r="BH8">
            <v>70063.3</v>
          </cell>
          <cell r="BI8">
            <v>14501.110011712597</v>
          </cell>
          <cell r="BJ8">
            <v>14535.275340309972</v>
          </cell>
          <cell r="BK8">
            <v>14283.467360912427</v>
          </cell>
          <cell r="BL8">
            <v>15208.271528683999</v>
          </cell>
          <cell r="BM8">
            <v>58528.124241618993</v>
          </cell>
          <cell r="BN8">
            <v>11694.91346168115</v>
          </cell>
          <cell r="BO8">
            <v>11953.126239847765</v>
          </cell>
          <cell r="BP8">
            <v>12104.953161358084</v>
          </cell>
          <cell r="BQ8">
            <v>12030.242730219956</v>
          </cell>
          <cell r="BR8">
            <v>47783.235593106954</v>
          </cell>
          <cell r="BS8">
            <v>12067.691288666923</v>
          </cell>
          <cell r="BT8">
            <v>12143.681058124144</v>
          </cell>
          <cell r="BU8">
            <v>12053.392311080906</v>
          </cell>
          <cell r="BV8">
            <v>11968.328899274531</v>
          </cell>
          <cell r="BW8">
            <v>48233.093557146502</v>
          </cell>
          <cell r="BX8">
            <v>11976.880391444924</v>
          </cell>
          <cell r="BY8">
            <v>12211.237207114973</v>
          </cell>
          <cell r="BZ8">
            <v>12359.61903443317</v>
          </cell>
          <cell r="CA8">
            <v>12248.30121981171</v>
          </cell>
          <cell r="CB8">
            <v>48796.037852804773</v>
          </cell>
          <cell r="CI8" t="str">
            <v>mstag:revenueNet</v>
          </cell>
          <cell r="CJ8">
            <v>6</v>
          </cell>
          <cell r="CK8" t="str">
            <v>ISO4217:USD</v>
          </cell>
          <cell r="CL8" t="b">
            <v>0</v>
          </cell>
        </row>
        <row r="9">
          <cell r="B9" t="str">
            <v>Cost of Revenues</v>
          </cell>
          <cell r="D9">
            <v>15971.5</v>
          </cell>
          <cell r="E9">
            <v>21154.2</v>
          </cell>
          <cell r="J9">
            <v>27786.699999999997</v>
          </cell>
          <cell r="K9">
            <v>7757.8</v>
          </cell>
          <cell r="L9">
            <v>8024.7000000000007</v>
          </cell>
          <cell r="M9">
            <v>7696.2</v>
          </cell>
          <cell r="N9">
            <v>8179</v>
          </cell>
          <cell r="O9">
            <v>31657.7</v>
          </cell>
          <cell r="P9">
            <v>7984.6</v>
          </cell>
          <cell r="Q9">
            <v>8033.6</v>
          </cell>
          <cell r="R9">
            <v>8135.2</v>
          </cell>
          <cell r="S9">
            <v>8588.9999999999982</v>
          </cell>
          <cell r="T9">
            <v>32742.400000000001</v>
          </cell>
          <cell r="U9">
            <v>8485.2000000000007</v>
          </cell>
          <cell r="V9">
            <v>8408.5</v>
          </cell>
          <cell r="W9">
            <v>8270.9000000000015</v>
          </cell>
          <cell r="X9">
            <v>8464.7999999999993</v>
          </cell>
          <cell r="Y9">
            <v>33629.4</v>
          </cell>
          <cell r="Z9">
            <v>8295.7999999999993</v>
          </cell>
          <cell r="AA9">
            <v>8543.4</v>
          </cell>
          <cell r="AB9">
            <v>8862.2999999999993</v>
          </cell>
          <cell r="AC9">
            <v>10226.5</v>
          </cell>
          <cell r="AD9">
            <v>35928</v>
          </cell>
          <cell r="AE9">
            <v>10025.299999999999</v>
          </cell>
          <cell r="AF9">
            <v>10005.299999999999</v>
          </cell>
          <cell r="AG9">
            <v>9867.6</v>
          </cell>
          <cell r="AH9">
            <v>10240</v>
          </cell>
          <cell r="AI9">
            <v>40138.199999999997</v>
          </cell>
          <cell r="AJ9">
            <v>10385.9</v>
          </cell>
          <cell r="AK9">
            <v>10345</v>
          </cell>
          <cell r="AL9">
            <v>10217.799999999999</v>
          </cell>
          <cell r="AM9">
            <v>10612.2</v>
          </cell>
          <cell r="AN9">
            <v>41560.9</v>
          </cell>
          <cell r="AO9">
            <v>12062.699999999999</v>
          </cell>
          <cell r="AP9">
            <v>11841.1</v>
          </cell>
          <cell r="AQ9">
            <v>11634.300000000001</v>
          </cell>
          <cell r="AR9">
            <v>11991.2</v>
          </cell>
          <cell r="AS9">
            <v>47529.3</v>
          </cell>
          <cell r="AT9">
            <v>13889.8</v>
          </cell>
          <cell r="AU9">
            <v>13914.6</v>
          </cell>
          <cell r="AV9">
            <v>13754.8</v>
          </cell>
          <cell r="AW9">
            <v>14218.1</v>
          </cell>
          <cell r="AX9">
            <v>55777.299999999996</v>
          </cell>
          <cell r="AY9">
            <v>15318.2</v>
          </cell>
          <cell r="AZ9">
            <v>15345.8</v>
          </cell>
          <cell r="BA9">
            <v>15200.3</v>
          </cell>
          <cell r="BB9">
            <v>15769</v>
          </cell>
          <cell r="BC9">
            <v>61633.3</v>
          </cell>
          <cell r="BD9">
            <v>15949.3</v>
          </cell>
          <cell r="BE9">
            <v>15968.6</v>
          </cell>
          <cell r="BF9">
            <v>15813.4</v>
          </cell>
          <cell r="BG9">
            <v>17707.5</v>
          </cell>
          <cell r="BH9">
            <v>65438.8</v>
          </cell>
          <cell r="BI9">
            <v>13445.617306582999</v>
          </cell>
          <cell r="BJ9">
            <v>13436.864300696878</v>
          </cell>
          <cell r="BK9">
            <v>13121.638917168</v>
          </cell>
          <cell r="BL9">
            <v>13944.94764325908</v>
          </cell>
          <cell r="BM9">
            <v>53949.068167706959</v>
          </cell>
          <cell r="BN9">
            <v>10644.29195932129</v>
          </cell>
          <cell r="BO9">
            <v>10859.709820182436</v>
          </cell>
          <cell r="BP9">
            <v>10960.012596585702</v>
          </cell>
          <cell r="BQ9">
            <v>10879.578824448701</v>
          </cell>
          <cell r="BR9">
            <v>43343.593200538133</v>
          </cell>
          <cell r="BS9">
            <v>10965.371870368439</v>
          </cell>
          <cell r="BT9">
            <v>10992.566120775688</v>
          </cell>
          <cell r="BU9">
            <v>10841.371045817854</v>
          </cell>
          <cell r="BV9">
            <v>10750.406725064699</v>
          </cell>
          <cell r="BW9">
            <v>43549.715762026681</v>
          </cell>
          <cell r="BX9">
            <v>10823.200102180997</v>
          </cell>
          <cell r="BY9">
            <v>11012.120840934293</v>
          </cell>
          <cell r="BZ9">
            <v>11101.861724047385</v>
          </cell>
          <cell r="CA9">
            <v>10987.183941554076</v>
          </cell>
          <cell r="CB9">
            <v>43924.366608716751</v>
          </cell>
          <cell r="CI9" t="str">
            <v>mstag:costOfSalesWithDepreciation</v>
          </cell>
          <cell r="CJ9">
            <v>6</v>
          </cell>
          <cell r="CK9" t="str">
            <v>ISO4217:USD</v>
          </cell>
          <cell r="CL9" t="b">
            <v>0</v>
          </cell>
        </row>
        <row r="10">
          <cell r="B10" t="str">
            <v>Gross Profit</v>
          </cell>
          <cell r="D10">
            <v>925.10000000000218</v>
          </cell>
          <cell r="E10">
            <v>1112.0999999999985</v>
          </cell>
          <cell r="F10">
            <v>0</v>
          </cell>
          <cell r="G10">
            <v>0</v>
          </cell>
          <cell r="H10">
            <v>0</v>
          </cell>
          <cell r="I10">
            <v>0</v>
          </cell>
          <cell r="J10">
            <v>1283.9000000000051</v>
          </cell>
          <cell r="K10">
            <v>258.30000000000018</v>
          </cell>
          <cell r="L10">
            <v>338.69999999999891</v>
          </cell>
          <cell r="M10">
            <v>343.10000000000036</v>
          </cell>
          <cell r="N10">
            <v>360.60000000000036</v>
          </cell>
          <cell r="O10">
            <v>1300.7999999999993</v>
          </cell>
          <cell r="P10">
            <v>349.5</v>
          </cell>
          <cell r="Q10">
            <v>370.89999999999964</v>
          </cell>
          <cell r="R10">
            <v>388.80000000000018</v>
          </cell>
          <cell r="S10">
            <v>412.90000000000146</v>
          </cell>
          <cell r="T10">
            <v>1522.0999999999985</v>
          </cell>
          <cell r="U10">
            <v>420.69999999999891</v>
          </cell>
          <cell r="V10">
            <v>427.70000000000073</v>
          </cell>
          <cell r="W10">
            <v>425.69999999999709</v>
          </cell>
          <cell r="X10">
            <v>448.39999999999964</v>
          </cell>
          <cell r="Y10">
            <v>1722.4999999999927</v>
          </cell>
          <cell r="Z10">
            <v>447.5</v>
          </cell>
          <cell r="AA10">
            <v>455.30000000000109</v>
          </cell>
          <cell r="AB10">
            <v>463.10000000000218</v>
          </cell>
          <cell r="AC10">
            <v>576.89999999999964</v>
          </cell>
          <cell r="AD10">
            <v>1942.8000000000029</v>
          </cell>
          <cell r="AE10">
            <v>538.20000000000073</v>
          </cell>
          <cell r="AF10">
            <v>583.5</v>
          </cell>
          <cell r="AG10">
            <v>593.49999999999818</v>
          </cell>
          <cell r="AH10">
            <v>690.20000000000073</v>
          </cell>
          <cell r="AI10">
            <v>2405.4000000000015</v>
          </cell>
          <cell r="AJ10">
            <v>773.69999999999891</v>
          </cell>
          <cell r="AK10">
            <v>704.60000000000036</v>
          </cell>
          <cell r="AL10">
            <v>700.80000000000109</v>
          </cell>
          <cell r="AM10">
            <v>766.19999999999891</v>
          </cell>
          <cell r="AN10">
            <v>2945.2999999999956</v>
          </cell>
          <cell r="AO10">
            <v>900.20000000000073</v>
          </cell>
          <cell r="AP10">
            <v>933.5</v>
          </cell>
          <cell r="AQ10">
            <v>924.79999999999745</v>
          </cell>
          <cell r="AR10">
            <v>970.09999999999854</v>
          </cell>
          <cell r="AS10">
            <v>3728.5999999999913</v>
          </cell>
          <cell r="AT10">
            <v>944.10000000000036</v>
          </cell>
          <cell r="AU10">
            <v>1015.7999999999993</v>
          </cell>
          <cell r="AV10">
            <v>1040</v>
          </cell>
          <cell r="AW10">
            <v>1027.1000000000004</v>
          </cell>
          <cell r="AX10">
            <v>4027.0000000000073</v>
          </cell>
          <cell r="AY10">
            <v>992.69999999999891</v>
          </cell>
          <cell r="AZ10">
            <v>1061.7000000000007</v>
          </cell>
          <cell r="BA10">
            <v>1119.5</v>
          </cell>
          <cell r="BB10">
            <v>1161.2000000000007</v>
          </cell>
          <cell r="BC10">
            <v>4335.0999999999913</v>
          </cell>
          <cell r="BD10">
            <v>1070.2999999999993</v>
          </cell>
          <cell r="BE10">
            <v>1105.3999999999996</v>
          </cell>
          <cell r="BF10">
            <v>1168.1000000000004</v>
          </cell>
          <cell r="BG10">
            <v>1280.7000000000007</v>
          </cell>
          <cell r="BH10">
            <v>4624.5</v>
          </cell>
          <cell r="BI10">
            <v>1055.4927051295981</v>
          </cell>
          <cell r="BJ10">
            <v>1098.4110396130945</v>
          </cell>
          <cell r="BK10">
            <v>1161.8284437444272</v>
          </cell>
          <cell r="BL10">
            <v>1263.3238854249194</v>
          </cell>
          <cell r="BM10">
            <v>4579.0560739120338</v>
          </cell>
          <cell r="BN10">
            <v>1050.6215023598597</v>
          </cell>
          <cell r="BO10">
            <v>1093.4164196653292</v>
          </cell>
          <cell r="BP10">
            <v>1144.9405647723815</v>
          </cell>
          <cell r="BQ10">
            <v>1150.6639057712546</v>
          </cell>
          <cell r="BR10">
            <v>4439.6423925688214</v>
          </cell>
          <cell r="BS10">
            <v>1102.3194182984844</v>
          </cell>
          <cell r="BT10">
            <v>1151.1149373484568</v>
          </cell>
          <cell r="BU10">
            <v>1212.0212652630526</v>
          </cell>
          <cell r="BV10">
            <v>1217.9221742098325</v>
          </cell>
          <cell r="BW10">
            <v>4683.3777951198208</v>
          </cell>
          <cell r="BX10">
            <v>1153.6802892639262</v>
          </cell>
          <cell r="BY10">
            <v>1199.1163661806804</v>
          </cell>
          <cell r="BZ10">
            <v>1257.7573103857849</v>
          </cell>
          <cell r="CA10">
            <v>1261.1172782576341</v>
          </cell>
          <cell r="CB10">
            <v>4871.6712440880219</v>
          </cell>
        </row>
        <row r="11">
          <cell r="B11" t="str">
            <v>Operating Expenses</v>
          </cell>
        </row>
        <row r="12">
          <cell r="B12" t="str">
            <v>Total SG&amp;A</v>
          </cell>
          <cell r="D12">
            <v>415.1</v>
          </cell>
          <cell r="E12">
            <v>483.1</v>
          </cell>
          <cell r="J12">
            <v>578.4</v>
          </cell>
          <cell r="K12">
            <v>135.19999999999999</v>
          </cell>
          <cell r="L12">
            <v>128.6</v>
          </cell>
          <cell r="M12">
            <v>166.9</v>
          </cell>
          <cell r="N12">
            <v>156.9</v>
          </cell>
          <cell r="O12">
            <v>587.70000000000005</v>
          </cell>
          <cell r="P12">
            <v>163</v>
          </cell>
          <cell r="Q12">
            <v>167.7</v>
          </cell>
          <cell r="R12">
            <v>184.8</v>
          </cell>
          <cell r="S12">
            <v>170.89999999999998</v>
          </cell>
          <cell r="T12">
            <v>686.4</v>
          </cell>
          <cell r="U12">
            <v>178.9</v>
          </cell>
          <cell r="V12">
            <v>156.80000000000001</v>
          </cell>
          <cell r="W12">
            <v>170.8</v>
          </cell>
          <cell r="X12">
            <v>169.8</v>
          </cell>
          <cell r="Y12">
            <v>676.30000000000007</v>
          </cell>
          <cell r="Z12">
            <v>174.9</v>
          </cell>
          <cell r="AA12">
            <v>175.4</v>
          </cell>
          <cell r="AB12">
            <v>186.4</v>
          </cell>
          <cell r="AC12">
            <v>220.8</v>
          </cell>
          <cell r="AD12">
            <v>757.5</v>
          </cell>
          <cell r="AE12">
            <v>395.9</v>
          </cell>
          <cell r="AF12">
            <v>239.1</v>
          </cell>
          <cell r="AG12">
            <v>222.9</v>
          </cell>
          <cell r="AH12">
            <v>251.3</v>
          </cell>
          <cell r="AI12">
            <v>1109.2</v>
          </cell>
          <cell r="AJ12">
            <v>248.4</v>
          </cell>
          <cell r="AK12">
            <v>274</v>
          </cell>
          <cell r="AL12">
            <v>263.2</v>
          </cell>
          <cell r="AM12">
            <v>328.6</v>
          </cell>
          <cell r="AN12">
            <v>1114.1999999999998</v>
          </cell>
          <cell r="AO12">
            <v>328.4</v>
          </cell>
          <cell r="AP12">
            <v>368.4</v>
          </cell>
          <cell r="AQ12">
            <v>347.2</v>
          </cell>
          <cell r="AR12">
            <v>381</v>
          </cell>
          <cell r="AS12">
            <v>1425</v>
          </cell>
          <cell r="AT12">
            <v>340.3</v>
          </cell>
          <cell r="AU12">
            <v>370.7</v>
          </cell>
          <cell r="AV12">
            <v>369</v>
          </cell>
          <cell r="AW12">
            <v>375.5</v>
          </cell>
          <cell r="AX12">
            <v>1455.5</v>
          </cell>
          <cell r="AY12">
            <v>350.6</v>
          </cell>
          <cell r="AZ12">
            <v>376.4</v>
          </cell>
          <cell r="BA12">
            <v>395</v>
          </cell>
          <cell r="BB12">
            <v>428.5</v>
          </cell>
          <cell r="BC12">
            <v>1550.5</v>
          </cell>
          <cell r="BD12">
            <v>387.1</v>
          </cell>
          <cell r="BE12">
            <v>420.3</v>
          </cell>
          <cell r="BF12">
            <v>420</v>
          </cell>
          <cell r="BG12">
            <v>439.4</v>
          </cell>
          <cell r="BH12">
            <v>1666.8000000000002</v>
          </cell>
          <cell r="BI12">
            <v>403.13085832561018</v>
          </cell>
          <cell r="BJ12">
            <v>397.71255445906081</v>
          </cell>
          <cell r="BK12">
            <v>397.35967921628929</v>
          </cell>
          <cell r="BL12">
            <v>452.9964524124108</v>
          </cell>
          <cell r="BM12">
            <v>1651.1995444133713</v>
          </cell>
          <cell r="BN12">
            <v>344.7007537865008</v>
          </cell>
          <cell r="BO12">
            <v>377.92196472223861</v>
          </cell>
          <cell r="BP12">
            <v>377.57685112892204</v>
          </cell>
          <cell r="BQ12">
            <v>391.74911525482452</v>
          </cell>
          <cell r="BR12">
            <v>1491.948684892486</v>
          </cell>
          <cell r="BS12">
            <v>350.95895476055665</v>
          </cell>
          <cell r="BT12">
            <v>384.1831804133767</v>
          </cell>
          <cell r="BU12">
            <v>383.83783494871477</v>
          </cell>
          <cell r="BV12">
            <v>397.53291784344606</v>
          </cell>
          <cell r="BW12">
            <v>1516.5128879660942</v>
          </cell>
          <cell r="BX12">
            <v>357.21851765932365</v>
          </cell>
          <cell r="BY12">
            <v>390.44235066652203</v>
          </cell>
          <cell r="BZ12">
            <v>390.09339671540482</v>
          </cell>
          <cell r="CA12">
            <v>403.04543433821266</v>
          </cell>
          <cell r="CB12">
            <v>1540.7996993794632</v>
          </cell>
          <cell r="CI12" t="str">
            <v>mstag:sellingGeneralAndAdministrativeExpenses</v>
          </cell>
          <cell r="CJ12">
            <v>6</v>
          </cell>
          <cell r="CK12" t="str">
            <v>ISO4217:USD</v>
          </cell>
          <cell r="CL12" t="b">
            <v>0</v>
          </cell>
        </row>
        <row r="13">
          <cell r="B13" t="str">
            <v>Amortization of intangibles</v>
          </cell>
          <cell r="D13">
            <v>182</v>
          </cell>
          <cell r="E13">
            <v>187.3</v>
          </cell>
          <cell r="J13">
            <v>191.8</v>
          </cell>
          <cell r="K13">
            <v>21.2</v>
          </cell>
          <cell r="L13">
            <v>21.2</v>
          </cell>
          <cell r="M13">
            <v>21.2</v>
          </cell>
          <cell r="N13">
            <v>21.2</v>
          </cell>
          <cell r="O13">
            <v>84.9</v>
          </cell>
          <cell r="P13">
            <v>23.6</v>
          </cell>
          <cell r="Q13">
            <v>23.6</v>
          </cell>
          <cell r="R13">
            <v>23.6</v>
          </cell>
          <cell r="S13">
            <v>23.499999999999986</v>
          </cell>
          <cell r="T13">
            <v>94.3</v>
          </cell>
          <cell r="U13">
            <v>45</v>
          </cell>
          <cell r="V13">
            <v>45</v>
          </cell>
          <cell r="W13">
            <v>45</v>
          </cell>
          <cell r="X13">
            <v>45</v>
          </cell>
          <cell r="Y13">
            <v>180</v>
          </cell>
          <cell r="Z13">
            <v>45</v>
          </cell>
          <cell r="AA13">
            <v>45</v>
          </cell>
          <cell r="AB13">
            <v>48.1</v>
          </cell>
          <cell r="AC13">
            <v>54.5</v>
          </cell>
          <cell r="AD13">
            <v>192.6</v>
          </cell>
          <cell r="AE13">
            <v>54.6</v>
          </cell>
          <cell r="AF13">
            <v>54.6</v>
          </cell>
          <cell r="AG13">
            <v>54.6</v>
          </cell>
          <cell r="AH13">
            <v>54.6</v>
          </cell>
          <cell r="AI13">
            <v>218.4</v>
          </cell>
          <cell r="AJ13">
            <v>54.6</v>
          </cell>
          <cell r="AK13">
            <v>54.6</v>
          </cell>
          <cell r="AL13">
            <v>54.6</v>
          </cell>
          <cell r="AM13">
            <v>64.2</v>
          </cell>
          <cell r="AN13">
            <v>228</v>
          </cell>
          <cell r="AO13">
            <v>69.5</v>
          </cell>
          <cell r="AP13">
            <v>70.599999999999994</v>
          </cell>
          <cell r="AQ13">
            <v>71.099999999999994</v>
          </cell>
          <cell r="AR13">
            <v>73.900000000000006</v>
          </cell>
          <cell r="AS13">
            <v>285.10000000000002</v>
          </cell>
          <cell r="AT13">
            <v>75.900000000000006</v>
          </cell>
          <cell r="AU13">
            <v>75.900000000000006</v>
          </cell>
          <cell r="AV13">
            <v>78.400000000000006</v>
          </cell>
          <cell r="AW13">
            <v>75.5</v>
          </cell>
          <cell r="AX13">
            <v>305.70000000000005</v>
          </cell>
          <cell r="AY13">
            <v>70.5</v>
          </cell>
          <cell r="AZ13">
            <v>70.7</v>
          </cell>
          <cell r="BA13">
            <v>71.2</v>
          </cell>
          <cell r="BB13">
            <v>75</v>
          </cell>
          <cell r="BC13">
            <v>287.39999999999998</v>
          </cell>
          <cell r="BD13">
            <v>73.2</v>
          </cell>
          <cell r="BE13">
            <v>73.3</v>
          </cell>
          <cell r="BF13">
            <v>73.2</v>
          </cell>
          <cell r="BG13">
            <v>72.3</v>
          </cell>
          <cell r="BH13">
            <v>292</v>
          </cell>
          <cell r="BI13">
            <v>72.3</v>
          </cell>
          <cell r="BJ13">
            <v>72.3</v>
          </cell>
          <cell r="BK13">
            <v>72.3</v>
          </cell>
          <cell r="BL13">
            <v>72.3</v>
          </cell>
          <cell r="BM13">
            <v>289.2</v>
          </cell>
          <cell r="BN13">
            <v>72.3</v>
          </cell>
          <cell r="BO13">
            <v>72.3</v>
          </cell>
          <cell r="BP13">
            <v>72.3</v>
          </cell>
          <cell r="BQ13">
            <v>72.3</v>
          </cell>
          <cell r="BR13">
            <v>289.2</v>
          </cell>
          <cell r="BS13">
            <v>72.3</v>
          </cell>
          <cell r="BT13">
            <v>72.3</v>
          </cell>
          <cell r="BU13">
            <v>72.3</v>
          </cell>
          <cell r="BV13">
            <v>72.3</v>
          </cell>
          <cell r="BW13">
            <v>289.2</v>
          </cell>
          <cell r="BX13">
            <v>72.3</v>
          </cell>
          <cell r="BY13">
            <v>72.3</v>
          </cell>
          <cell r="BZ13">
            <v>72.3</v>
          </cell>
          <cell r="CA13">
            <v>72.3</v>
          </cell>
          <cell r="CB13">
            <v>289.2</v>
          </cell>
          <cell r="CI13" t="str">
            <v>mstag:amortizationOfOtherIntangiblesInIncomeStatement</v>
          </cell>
          <cell r="CJ13">
            <v>6</v>
          </cell>
          <cell r="CK13" t="str">
            <v>ISO4217:USD</v>
          </cell>
          <cell r="CL13" t="b">
            <v>0</v>
          </cell>
        </row>
        <row r="14">
          <cell r="B14" t="str">
            <v xml:space="preserve">EBIT </v>
          </cell>
          <cell r="D14">
            <v>328.00000000000216</v>
          </cell>
          <cell r="E14">
            <v>441.69999999999851</v>
          </cell>
          <cell r="F14">
            <v>0</v>
          </cell>
          <cell r="G14">
            <v>0</v>
          </cell>
          <cell r="H14">
            <v>0</v>
          </cell>
          <cell r="I14">
            <v>0</v>
          </cell>
          <cell r="J14">
            <v>513.70000000000505</v>
          </cell>
          <cell r="K14">
            <v>101.90000000000019</v>
          </cell>
          <cell r="L14">
            <v>188.89999999999893</v>
          </cell>
          <cell r="M14">
            <v>155.00000000000037</v>
          </cell>
          <cell r="N14">
            <v>182.50000000000037</v>
          </cell>
          <cell r="O14">
            <v>628.19999999999925</v>
          </cell>
          <cell r="P14">
            <v>162.9</v>
          </cell>
          <cell r="Q14">
            <v>179.59999999999965</v>
          </cell>
          <cell r="R14">
            <v>180.40000000000018</v>
          </cell>
          <cell r="S14">
            <v>218.50000000000148</v>
          </cell>
          <cell r="T14">
            <v>741.39999999999861</v>
          </cell>
          <cell r="U14">
            <v>196.7999999999989</v>
          </cell>
          <cell r="V14">
            <v>225.90000000000072</v>
          </cell>
          <cell r="W14">
            <v>209.89999999999708</v>
          </cell>
          <cell r="X14">
            <v>233.59999999999962</v>
          </cell>
          <cell r="Y14">
            <v>866.19999999999254</v>
          </cell>
          <cell r="Z14">
            <v>227.60000000000002</v>
          </cell>
          <cell r="AA14">
            <v>234.90000000000111</v>
          </cell>
          <cell r="AB14">
            <v>228.60000000000221</v>
          </cell>
          <cell r="AC14">
            <v>301.59999999999962</v>
          </cell>
          <cell r="AD14">
            <v>992.70000000000289</v>
          </cell>
          <cell r="AE14">
            <v>87.700000000000756</v>
          </cell>
          <cell r="AF14">
            <v>289.79999999999995</v>
          </cell>
          <cell r="AG14">
            <v>315.99999999999818</v>
          </cell>
          <cell r="AH14">
            <v>384.30000000000069</v>
          </cell>
          <cell r="AI14">
            <v>1077.8000000000013</v>
          </cell>
          <cell r="AJ14">
            <v>470.69999999999891</v>
          </cell>
          <cell r="AK14">
            <v>376.00000000000034</v>
          </cell>
          <cell r="AL14">
            <v>383.00000000000108</v>
          </cell>
          <cell r="AM14">
            <v>373.3999999999989</v>
          </cell>
          <cell r="AN14">
            <v>1603.0999999999992</v>
          </cell>
          <cell r="AO14">
            <v>502.30000000000075</v>
          </cell>
          <cell r="AP14">
            <v>494.5</v>
          </cell>
          <cell r="AQ14">
            <v>506.49999999999739</v>
          </cell>
          <cell r="AR14">
            <v>515.19999999999857</v>
          </cell>
          <cell r="AS14">
            <v>2018.4999999999968</v>
          </cell>
          <cell r="AT14">
            <v>527.90000000000043</v>
          </cell>
          <cell r="AU14">
            <v>569.19999999999925</v>
          </cell>
          <cell r="AV14">
            <v>592.6</v>
          </cell>
          <cell r="AW14">
            <v>576.10000000000036</v>
          </cell>
          <cell r="AX14">
            <v>2265.8000000000002</v>
          </cell>
          <cell r="AY14">
            <v>571.59999999999889</v>
          </cell>
          <cell r="AZ14">
            <v>614.6000000000007</v>
          </cell>
          <cell r="BA14">
            <v>653.29999999999995</v>
          </cell>
          <cell r="BB14">
            <v>657.70000000000073</v>
          </cell>
          <cell r="BC14">
            <v>2497.2000000000003</v>
          </cell>
          <cell r="BD14">
            <v>609.9999999999992</v>
          </cell>
          <cell r="BE14">
            <v>611.79999999999973</v>
          </cell>
          <cell r="BF14">
            <v>674.90000000000032</v>
          </cell>
          <cell r="BG14">
            <v>769.0000000000008</v>
          </cell>
          <cell r="BH14">
            <v>2665.7</v>
          </cell>
          <cell r="BI14">
            <v>580.06184680398792</v>
          </cell>
          <cell r="BJ14">
            <v>628.39848515403378</v>
          </cell>
          <cell r="BK14">
            <v>692.1687645281379</v>
          </cell>
          <cell r="BL14">
            <v>738.0274330125086</v>
          </cell>
          <cell r="BM14">
            <v>2638.6565294986681</v>
          </cell>
          <cell r="BN14">
            <v>633.62074857335892</v>
          </cell>
          <cell r="BO14">
            <v>643.19445494309059</v>
          </cell>
          <cell r="BP14">
            <v>695.06371364345955</v>
          </cell>
          <cell r="BQ14">
            <v>686.61479051643005</v>
          </cell>
          <cell r="BR14">
            <v>2658.493707676339</v>
          </cell>
          <cell r="BS14">
            <v>679.06046353792772</v>
          </cell>
          <cell r="BT14">
            <v>694.63175693508015</v>
          </cell>
          <cell r="BU14">
            <v>755.88343031433783</v>
          </cell>
          <cell r="BV14">
            <v>748.08925636638651</v>
          </cell>
          <cell r="BW14">
            <v>2877.6649071537322</v>
          </cell>
          <cell r="BX14">
            <v>724.16177160460256</v>
          </cell>
          <cell r="BY14">
            <v>736.37401551415837</v>
          </cell>
          <cell r="BZ14">
            <v>795.36391367038004</v>
          </cell>
          <cell r="CA14">
            <v>785.77184391942149</v>
          </cell>
          <cell r="CB14">
            <v>3041.6715447085626</v>
          </cell>
        </row>
        <row r="15">
          <cell r="B15" t="str">
            <v>Interest and other (income) expense, net</v>
          </cell>
          <cell r="D15">
            <v>-3.7</v>
          </cell>
          <cell r="E15">
            <v>-5.8</v>
          </cell>
          <cell r="J15">
            <v>-4.5999999999999996</v>
          </cell>
          <cell r="K15">
            <v>-0.8</v>
          </cell>
          <cell r="L15">
            <v>9.4</v>
          </cell>
          <cell r="M15">
            <v>0</v>
          </cell>
          <cell r="N15">
            <v>-0.5</v>
          </cell>
          <cell r="O15">
            <v>7.9</v>
          </cell>
          <cell r="P15">
            <v>-11.7</v>
          </cell>
          <cell r="Q15">
            <v>-0.4</v>
          </cell>
          <cell r="R15">
            <v>8.6999999999999993</v>
          </cell>
          <cell r="S15">
            <v>16.100000000000001</v>
          </cell>
          <cell r="T15">
            <v>12.7</v>
          </cell>
          <cell r="U15">
            <v>22</v>
          </cell>
          <cell r="V15">
            <v>13.3</v>
          </cell>
          <cell r="W15">
            <v>12.6</v>
          </cell>
          <cell r="X15">
            <v>12</v>
          </cell>
          <cell r="Y15">
            <v>59.9</v>
          </cell>
          <cell r="Z15">
            <v>10.1</v>
          </cell>
          <cell r="AA15">
            <v>6.4</v>
          </cell>
          <cell r="AB15">
            <v>10.6</v>
          </cell>
          <cell r="AC15">
            <v>12.7</v>
          </cell>
          <cell r="AD15">
            <v>39.799999999999997</v>
          </cell>
          <cell r="AE15">
            <v>13.5</v>
          </cell>
          <cell r="AF15">
            <v>15.3</v>
          </cell>
          <cell r="AG15">
            <v>20.9</v>
          </cell>
          <cell r="AH15">
            <v>16.2</v>
          </cell>
          <cell r="AI15">
            <v>65.900000000000006</v>
          </cell>
          <cell r="AJ15">
            <v>14.9</v>
          </cell>
          <cell r="AK15">
            <v>21.9</v>
          </cell>
          <cell r="AL15">
            <v>25.5</v>
          </cell>
          <cell r="AM15">
            <v>37.4</v>
          </cell>
          <cell r="AN15">
            <v>99.699999999999989</v>
          </cell>
          <cell r="AO15">
            <v>54.3</v>
          </cell>
          <cell r="AP15">
            <v>57.5</v>
          </cell>
          <cell r="AQ15">
            <v>58.2</v>
          </cell>
          <cell r="AR15">
            <v>57.6</v>
          </cell>
          <cell r="AS15">
            <v>227.6</v>
          </cell>
          <cell r="AT15">
            <v>41.6</v>
          </cell>
          <cell r="AU15">
            <v>41.2</v>
          </cell>
          <cell r="AV15">
            <v>39.9</v>
          </cell>
          <cell r="AW15">
            <v>39.900000000000006</v>
          </cell>
          <cell r="AX15">
            <v>162.60000000000002</v>
          </cell>
          <cell r="AY15">
            <v>39.300000000000004</v>
          </cell>
          <cell r="AZ15">
            <v>32.5</v>
          </cell>
          <cell r="BA15">
            <v>40.799999999999997</v>
          </cell>
          <cell r="BB15">
            <v>50.4</v>
          </cell>
          <cell r="BC15">
            <v>163</v>
          </cell>
          <cell r="BD15">
            <v>54.199999999999996</v>
          </cell>
          <cell r="BE15">
            <v>54.199999999999996</v>
          </cell>
          <cell r="BF15">
            <v>49.6</v>
          </cell>
          <cell r="BG15">
            <v>51.7</v>
          </cell>
          <cell r="BH15">
            <v>209.7</v>
          </cell>
          <cell r="BI15">
            <v>51.610905945010003</v>
          </cell>
          <cell r="BJ15">
            <v>49.800580900062954</v>
          </cell>
          <cell r="BK15">
            <v>51.084812610613255</v>
          </cell>
          <cell r="BL15">
            <v>52.888867821091878</v>
          </cell>
          <cell r="BM15">
            <v>205.38516727677808</v>
          </cell>
          <cell r="BN15">
            <v>53.929622685217772</v>
          </cell>
          <cell r="BO15">
            <v>53.965162648294807</v>
          </cell>
          <cell r="BP15">
            <v>54.784453538704938</v>
          </cell>
          <cell r="BQ15">
            <v>54.350044370954123</v>
          </cell>
          <cell r="BR15">
            <v>217.02928324317165</v>
          </cell>
          <cell r="BS15">
            <v>55.904950109329988</v>
          </cell>
          <cell r="BT15">
            <v>58.424882916234992</v>
          </cell>
          <cell r="BU15">
            <v>58.879051637042593</v>
          </cell>
          <cell r="BV15">
            <v>58.262255798564709</v>
          </cell>
          <cell r="BW15">
            <v>231.4711404611723</v>
          </cell>
          <cell r="BX15">
            <v>59.546451005945173</v>
          </cell>
          <cell r="BY15">
            <v>61.917945570229882</v>
          </cell>
          <cell r="BZ15">
            <v>61.450762672742485</v>
          </cell>
          <cell r="CA15">
            <v>60.884741335091029</v>
          </cell>
          <cell r="CB15">
            <v>243.79990058400858</v>
          </cell>
          <cell r="CI15" t="str">
            <v>mstag:interestExpense</v>
          </cell>
          <cell r="CJ15">
            <v>6</v>
          </cell>
          <cell r="CK15" t="str">
            <v>ISO4217:USD</v>
          </cell>
          <cell r="CL15" t="b">
            <v>0</v>
          </cell>
        </row>
        <row r="16">
          <cell r="B16" t="str">
            <v>Pre-tax income</v>
          </cell>
          <cell r="D16">
            <v>331.70000000000215</v>
          </cell>
          <cell r="E16">
            <v>447.49999999999852</v>
          </cell>
          <cell r="F16">
            <v>0</v>
          </cell>
          <cell r="G16">
            <v>0</v>
          </cell>
          <cell r="H16">
            <v>0</v>
          </cell>
          <cell r="I16">
            <v>0</v>
          </cell>
          <cell r="J16">
            <v>518.30000000000507</v>
          </cell>
          <cell r="K16">
            <v>102.70000000000019</v>
          </cell>
          <cell r="L16">
            <v>179.49999999999892</v>
          </cell>
          <cell r="M16">
            <v>155.00000000000037</v>
          </cell>
          <cell r="N16">
            <v>183.00000000000037</v>
          </cell>
          <cell r="O16">
            <v>620.29999999999927</v>
          </cell>
          <cell r="P16">
            <v>174.6</v>
          </cell>
          <cell r="Q16">
            <v>179.99999999999966</v>
          </cell>
          <cell r="R16">
            <v>171.70000000000019</v>
          </cell>
          <cell r="S16">
            <v>202.40000000000148</v>
          </cell>
          <cell r="T16">
            <v>728.69999999999857</v>
          </cell>
          <cell r="U16">
            <v>174.7999999999989</v>
          </cell>
          <cell r="V16">
            <v>212.6000000000007</v>
          </cell>
          <cell r="W16">
            <v>197.29999999999708</v>
          </cell>
          <cell r="X16">
            <v>221.59999999999962</v>
          </cell>
          <cell r="Y16">
            <v>806.29999999999256</v>
          </cell>
          <cell r="Z16">
            <v>217.50000000000003</v>
          </cell>
          <cell r="AA16">
            <v>228.50000000000111</v>
          </cell>
          <cell r="AB16">
            <v>218.00000000000222</v>
          </cell>
          <cell r="AC16">
            <v>288.89999999999964</v>
          </cell>
          <cell r="AD16">
            <v>952.90000000000293</v>
          </cell>
          <cell r="AE16">
            <v>74.200000000000756</v>
          </cell>
          <cell r="AF16">
            <v>274.49999999999994</v>
          </cell>
          <cell r="AG16">
            <v>295.0999999999982</v>
          </cell>
          <cell r="AH16">
            <v>368.1000000000007</v>
          </cell>
          <cell r="AI16">
            <v>1011.9000000000013</v>
          </cell>
          <cell r="AJ16">
            <v>455.79999999999893</v>
          </cell>
          <cell r="AK16">
            <v>354.10000000000036</v>
          </cell>
          <cell r="AL16">
            <v>357.50000000000108</v>
          </cell>
          <cell r="AM16">
            <v>335.99999999999892</v>
          </cell>
          <cell r="AN16">
            <v>1503.3999999999992</v>
          </cell>
          <cell r="AO16">
            <v>448.00000000000074</v>
          </cell>
          <cell r="AP16">
            <v>437</v>
          </cell>
          <cell r="AQ16">
            <v>448.2999999999974</v>
          </cell>
          <cell r="AR16">
            <v>457.59999999999854</v>
          </cell>
          <cell r="AS16">
            <v>1790.8999999999969</v>
          </cell>
          <cell r="AT16">
            <v>486.30000000000041</v>
          </cell>
          <cell r="AU16">
            <v>527.9999999999992</v>
          </cell>
          <cell r="AV16">
            <v>552.70000000000005</v>
          </cell>
          <cell r="AW16">
            <v>536.20000000000039</v>
          </cell>
          <cell r="AX16">
            <v>2103.2000000000003</v>
          </cell>
          <cell r="AY16">
            <v>532.29999999999893</v>
          </cell>
          <cell r="AZ16">
            <v>582.1000000000007</v>
          </cell>
          <cell r="BA16">
            <v>612.5</v>
          </cell>
          <cell r="BB16">
            <v>607.30000000000075</v>
          </cell>
          <cell r="BC16">
            <v>2334.2000000000003</v>
          </cell>
          <cell r="BD16">
            <v>555.79999999999916</v>
          </cell>
          <cell r="BE16">
            <v>557.59999999999968</v>
          </cell>
          <cell r="BF16">
            <v>625.3000000000003</v>
          </cell>
          <cell r="BG16">
            <v>717.30000000000075</v>
          </cell>
          <cell r="BH16">
            <v>2456</v>
          </cell>
          <cell r="BI16">
            <v>528.4509408589779</v>
          </cell>
          <cell r="BJ16">
            <v>578.5979042539708</v>
          </cell>
          <cell r="BK16">
            <v>641.0839519175247</v>
          </cell>
          <cell r="BL16">
            <v>685.13856519141677</v>
          </cell>
          <cell r="BM16">
            <v>2433.2713622218898</v>
          </cell>
          <cell r="BN16">
            <v>579.69112588814119</v>
          </cell>
          <cell r="BO16">
            <v>589.22929229479575</v>
          </cell>
          <cell r="BP16">
            <v>640.2792601047546</v>
          </cell>
          <cell r="BQ16">
            <v>632.2647461454759</v>
          </cell>
          <cell r="BR16">
            <v>2441.4644244331676</v>
          </cell>
          <cell r="BS16">
            <v>623.15551342859771</v>
          </cell>
          <cell r="BT16">
            <v>636.20687401884516</v>
          </cell>
          <cell r="BU16">
            <v>697.00437867729522</v>
          </cell>
          <cell r="BV16">
            <v>689.82700056782176</v>
          </cell>
          <cell r="BW16">
            <v>2646.1937666925601</v>
          </cell>
          <cell r="BX16">
            <v>664.61532059865738</v>
          </cell>
          <cell r="BY16">
            <v>674.45606994392847</v>
          </cell>
          <cell r="BZ16">
            <v>733.91315099763756</v>
          </cell>
          <cell r="CA16">
            <v>724.88710258433048</v>
          </cell>
          <cell r="CB16">
            <v>2797.8716441245542</v>
          </cell>
        </row>
        <row r="17">
          <cell r="B17" t="str">
            <v>Income tax provision (benefit)</v>
          </cell>
          <cell r="D17">
            <v>179.7</v>
          </cell>
          <cell r="E17">
            <v>230.7</v>
          </cell>
          <cell r="J17">
            <v>261.7</v>
          </cell>
          <cell r="K17">
            <v>43.1</v>
          </cell>
          <cell r="L17">
            <v>74.900000000000006</v>
          </cell>
          <cell r="M17">
            <v>64.8</v>
          </cell>
          <cell r="N17">
            <v>75.8</v>
          </cell>
          <cell r="O17">
            <v>258.7</v>
          </cell>
          <cell r="P17">
            <v>72.599999999999994</v>
          </cell>
          <cell r="Q17">
            <v>74.8</v>
          </cell>
          <cell r="R17">
            <v>71.400000000000006</v>
          </cell>
          <cell r="S17">
            <v>84.1</v>
          </cell>
          <cell r="T17">
            <v>302.89999999999998</v>
          </cell>
          <cell r="U17">
            <v>71.2</v>
          </cell>
          <cell r="V17">
            <v>85.3</v>
          </cell>
          <cell r="W17">
            <v>79.2</v>
          </cell>
          <cell r="X17">
            <v>89</v>
          </cell>
          <cell r="Y17">
            <v>324.7</v>
          </cell>
          <cell r="Z17">
            <v>86.3</v>
          </cell>
          <cell r="AA17">
            <v>91.1</v>
          </cell>
          <cell r="AB17">
            <v>61.3</v>
          </cell>
          <cell r="AC17">
            <v>112.1</v>
          </cell>
          <cell r="AD17">
            <v>350.79999999999995</v>
          </cell>
          <cell r="AE17">
            <v>29.4</v>
          </cell>
          <cell r="AF17">
            <v>103.6</v>
          </cell>
          <cell r="AG17">
            <v>109.3</v>
          </cell>
          <cell r="AH17">
            <v>139.30000000000001</v>
          </cell>
          <cell r="AI17">
            <v>381.6</v>
          </cell>
          <cell r="AJ17">
            <v>181</v>
          </cell>
          <cell r="AK17">
            <v>139.19999999999999</v>
          </cell>
          <cell r="AL17">
            <v>142.80000000000001</v>
          </cell>
          <cell r="AM17">
            <v>128.4</v>
          </cell>
          <cell r="AN17">
            <v>591.4</v>
          </cell>
          <cell r="AO17">
            <v>177.8</v>
          </cell>
          <cell r="AP17">
            <v>174.3</v>
          </cell>
          <cell r="AQ17">
            <v>152.6</v>
          </cell>
          <cell r="AR17">
            <v>183.2</v>
          </cell>
          <cell r="AS17">
            <v>687.90000000000009</v>
          </cell>
          <cell r="AT17">
            <v>195.3</v>
          </cell>
          <cell r="AU17">
            <v>215.9</v>
          </cell>
          <cell r="AV17">
            <v>217.1</v>
          </cell>
          <cell r="AW17">
            <v>194.7</v>
          </cell>
          <cell r="AX17">
            <v>823</v>
          </cell>
          <cell r="AY17">
            <v>211.8</v>
          </cell>
          <cell r="AZ17">
            <v>225.2</v>
          </cell>
          <cell r="BA17">
            <v>241</v>
          </cell>
          <cell r="BB17">
            <v>228.8</v>
          </cell>
          <cell r="BC17">
            <v>906.8</v>
          </cell>
          <cell r="BD17">
            <v>222.7</v>
          </cell>
          <cell r="BE17">
            <v>214.8</v>
          </cell>
          <cell r="BF17">
            <v>247.9</v>
          </cell>
          <cell r="BG17">
            <v>265.40000000000003</v>
          </cell>
          <cell r="BH17">
            <v>950.8</v>
          </cell>
          <cell r="BI17">
            <v>206.0958669350014</v>
          </cell>
          <cell r="BJ17">
            <v>225.65318265904861</v>
          </cell>
          <cell r="BK17">
            <v>250.02274124783463</v>
          </cell>
          <cell r="BL17">
            <v>267.20404042465253</v>
          </cell>
          <cell r="BM17">
            <v>948.97583126653717</v>
          </cell>
          <cell r="BN17">
            <v>226.07953909637507</v>
          </cell>
          <cell r="BO17">
            <v>229.79942399497034</v>
          </cell>
          <cell r="BP17">
            <v>249.70891144085431</v>
          </cell>
          <cell r="BQ17">
            <v>246.58325099673561</v>
          </cell>
          <cell r="BR17">
            <v>952.17112552893536</v>
          </cell>
          <cell r="BS17">
            <v>243.03065023715311</v>
          </cell>
          <cell r="BT17">
            <v>248.12068086734962</v>
          </cell>
          <cell r="BU17">
            <v>271.83170768414516</v>
          </cell>
          <cell r="BV17">
            <v>269.03253022145049</v>
          </cell>
          <cell r="BW17">
            <v>1032.0155690100985</v>
          </cell>
          <cell r="BX17">
            <v>259.19997503347639</v>
          </cell>
          <cell r="BY17">
            <v>263.03786727813213</v>
          </cell>
          <cell r="BZ17">
            <v>286.22612888907867</v>
          </cell>
          <cell r="CA17">
            <v>282.70597000788888</v>
          </cell>
          <cell r="CB17">
            <v>1091.1699412085761</v>
          </cell>
          <cell r="CI17" t="str">
            <v>mstag:taxExpenseIncome</v>
          </cell>
          <cell r="CJ17">
            <v>6</v>
          </cell>
          <cell r="CK17" t="str">
            <v>ISO4217:USD</v>
          </cell>
          <cell r="CL17" t="b">
            <v>0</v>
          </cell>
        </row>
        <row r="18">
          <cell r="B18" t="str">
            <v>NI avail to common stockholders - cont. ops</v>
          </cell>
          <cell r="D18">
            <v>152.00000000000216</v>
          </cell>
          <cell r="E18">
            <v>216.79999999999853</v>
          </cell>
          <cell r="F18">
            <v>0</v>
          </cell>
          <cell r="G18">
            <v>0</v>
          </cell>
          <cell r="H18">
            <v>0</v>
          </cell>
          <cell r="I18">
            <v>0</v>
          </cell>
          <cell r="J18">
            <v>256.60000000000508</v>
          </cell>
          <cell r="K18">
            <v>59.600000000000186</v>
          </cell>
          <cell r="L18">
            <v>104.59999999999891</v>
          </cell>
          <cell r="M18">
            <v>90.200000000000372</v>
          </cell>
          <cell r="N18">
            <v>107.20000000000037</v>
          </cell>
          <cell r="O18">
            <v>361.59999999999928</v>
          </cell>
          <cell r="P18">
            <v>102</v>
          </cell>
          <cell r="Q18">
            <v>105.19999999999966</v>
          </cell>
          <cell r="R18">
            <v>100.30000000000018</v>
          </cell>
          <cell r="S18">
            <v>118.30000000000149</v>
          </cell>
          <cell r="T18">
            <v>425.79999999999859</v>
          </cell>
          <cell r="U18">
            <v>103.5999999999989</v>
          </cell>
          <cell r="V18">
            <v>127.30000000000071</v>
          </cell>
          <cell r="W18">
            <v>118.09999999999708</v>
          </cell>
          <cell r="X18">
            <v>132.59999999999962</v>
          </cell>
          <cell r="Y18">
            <v>481.59999999999258</v>
          </cell>
          <cell r="Z18">
            <v>131.20000000000005</v>
          </cell>
          <cell r="AA18">
            <v>137.40000000000111</v>
          </cell>
          <cell r="AB18">
            <v>156.70000000000221</v>
          </cell>
          <cell r="AC18">
            <v>176.79999999999964</v>
          </cell>
          <cell r="AD18">
            <v>602.10000000000298</v>
          </cell>
          <cell r="AE18">
            <v>44.800000000000757</v>
          </cell>
          <cell r="AF18">
            <v>170.89999999999995</v>
          </cell>
          <cell r="AG18">
            <v>185.79999999999819</v>
          </cell>
          <cell r="AH18">
            <v>228.80000000000069</v>
          </cell>
          <cell r="AI18">
            <v>630.30000000000132</v>
          </cell>
          <cell r="AJ18">
            <v>274.79999999999893</v>
          </cell>
          <cell r="AK18">
            <v>214.90000000000038</v>
          </cell>
          <cell r="AL18">
            <v>214.70000000000107</v>
          </cell>
          <cell r="AM18">
            <v>207.59999999999891</v>
          </cell>
          <cell r="AN18">
            <v>911.9999999999992</v>
          </cell>
          <cell r="AO18">
            <v>270.20000000000073</v>
          </cell>
          <cell r="AP18">
            <v>262.7</v>
          </cell>
          <cell r="AQ18">
            <v>295.69999999999743</v>
          </cell>
          <cell r="AR18">
            <v>274.39999999999856</v>
          </cell>
          <cell r="AS18">
            <v>1102.9999999999968</v>
          </cell>
          <cell r="AT18">
            <v>291.0000000000004</v>
          </cell>
          <cell r="AU18">
            <v>312.09999999999923</v>
          </cell>
          <cell r="AV18">
            <v>335.6</v>
          </cell>
          <cell r="AW18">
            <v>341.5000000000004</v>
          </cell>
          <cell r="AX18">
            <v>1280.2000000000003</v>
          </cell>
          <cell r="AY18">
            <v>320.49999999999892</v>
          </cell>
          <cell r="AZ18">
            <v>356.90000000000072</v>
          </cell>
          <cell r="BA18">
            <v>371.5</v>
          </cell>
          <cell r="BB18">
            <v>378.50000000000074</v>
          </cell>
          <cell r="BC18">
            <v>1427.4000000000003</v>
          </cell>
          <cell r="BD18">
            <v>333.09999999999917</v>
          </cell>
          <cell r="BE18">
            <v>342.79999999999967</v>
          </cell>
          <cell r="BF18">
            <v>377.40000000000032</v>
          </cell>
          <cell r="BG18">
            <v>451.90000000000072</v>
          </cell>
          <cell r="BH18">
            <v>1505.2</v>
          </cell>
          <cell r="BI18">
            <v>322.35507392397653</v>
          </cell>
          <cell r="BJ18">
            <v>352.94472159492216</v>
          </cell>
          <cell r="BK18">
            <v>391.06121066969007</v>
          </cell>
          <cell r="BL18">
            <v>417.93452476676424</v>
          </cell>
          <cell r="BM18">
            <v>1484.2955309553527</v>
          </cell>
          <cell r="BN18">
            <v>353.61158679176611</v>
          </cell>
          <cell r="BO18">
            <v>359.42986829982544</v>
          </cell>
          <cell r="BP18">
            <v>390.57034866390029</v>
          </cell>
          <cell r="BQ18">
            <v>385.68149514874028</v>
          </cell>
          <cell r="BR18">
            <v>1489.2932989042322</v>
          </cell>
          <cell r="BS18">
            <v>380.1248631914446</v>
          </cell>
          <cell r="BT18">
            <v>388.08619315149554</v>
          </cell>
          <cell r="BU18">
            <v>425.17267099315006</v>
          </cell>
          <cell r="BV18">
            <v>420.79447034637127</v>
          </cell>
          <cell r="BW18">
            <v>1614.1781976824616</v>
          </cell>
          <cell r="BX18">
            <v>405.41534556518098</v>
          </cell>
          <cell r="BY18">
            <v>411.41820266579634</v>
          </cell>
          <cell r="BZ18">
            <v>447.68702210855889</v>
          </cell>
          <cell r="CA18">
            <v>442.1811325764416</v>
          </cell>
          <cell r="CB18">
            <v>1706.7017029159781</v>
          </cell>
        </row>
        <row r="19">
          <cell r="B19" t="str">
            <v>Extraordinary / One Time Items</v>
          </cell>
          <cell r="D19">
            <v>0</v>
          </cell>
          <cell r="E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99.9</v>
          </cell>
          <cell r="AF19">
            <v>0</v>
          </cell>
          <cell r="AG19">
            <v>-6.6</v>
          </cell>
          <cell r="AH19">
            <v>-7.5</v>
          </cell>
          <cell r="AI19">
            <v>85.800000000000011</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0</v>
          </cell>
          <cell r="BL19">
            <v>0</v>
          </cell>
          <cell r="BM19">
            <v>0</v>
          </cell>
          <cell r="BN19">
            <v>0</v>
          </cell>
          <cell r="BO19">
            <v>0</v>
          </cell>
          <cell r="BP19">
            <v>0</v>
          </cell>
          <cell r="BQ19">
            <v>0</v>
          </cell>
          <cell r="BR19">
            <v>0</v>
          </cell>
          <cell r="BS19">
            <v>0</v>
          </cell>
          <cell r="BT19">
            <v>0</v>
          </cell>
          <cell r="BU19">
            <v>0</v>
          </cell>
          <cell r="BV19">
            <v>0</v>
          </cell>
          <cell r="BW19">
            <v>0</v>
          </cell>
          <cell r="BX19">
            <v>0</v>
          </cell>
          <cell r="BY19">
            <v>0</v>
          </cell>
          <cell r="BZ19">
            <v>0</v>
          </cell>
          <cell r="CA19">
            <v>0</v>
          </cell>
          <cell r="CB19">
            <v>0</v>
          </cell>
          <cell r="CI19" t="str">
            <v>mstag:incomeLossFromExtraordinaryItemsNetOfTax</v>
          </cell>
          <cell r="CJ19">
            <v>6</v>
          </cell>
          <cell r="CK19" t="str">
            <v>ISO4217:USD</v>
          </cell>
          <cell r="CL19" t="b">
            <v>0</v>
          </cell>
        </row>
        <row r="20">
          <cell r="B20" t="str">
            <v>Net income - as reported</v>
          </cell>
          <cell r="D20">
            <v>152.00000000000216</v>
          </cell>
          <cell r="E20">
            <v>216.79999999999853</v>
          </cell>
          <cell r="F20">
            <v>0</v>
          </cell>
          <cell r="G20">
            <v>0</v>
          </cell>
          <cell r="H20">
            <v>0</v>
          </cell>
          <cell r="I20">
            <v>0</v>
          </cell>
          <cell r="J20">
            <v>256.60000000000508</v>
          </cell>
          <cell r="K20">
            <v>59.600000000000186</v>
          </cell>
          <cell r="L20">
            <v>104.59999999999891</v>
          </cell>
          <cell r="M20">
            <v>90.200000000000372</v>
          </cell>
          <cell r="N20">
            <v>107.20000000000037</v>
          </cell>
          <cell r="O20">
            <v>361.59999999999928</v>
          </cell>
          <cell r="P20">
            <v>102</v>
          </cell>
          <cell r="Q20">
            <v>105.19999999999966</v>
          </cell>
          <cell r="R20">
            <v>100.30000000000018</v>
          </cell>
          <cell r="S20">
            <v>118.30000000000149</v>
          </cell>
          <cell r="T20">
            <v>425.79999999999859</v>
          </cell>
          <cell r="U20">
            <v>103.5999999999989</v>
          </cell>
          <cell r="V20">
            <v>127.30000000000071</v>
          </cell>
          <cell r="W20">
            <v>118.09999999999708</v>
          </cell>
          <cell r="X20">
            <v>132.59999999999962</v>
          </cell>
          <cell r="Y20">
            <v>481.59999999999258</v>
          </cell>
          <cell r="Z20">
            <v>131.20000000000005</v>
          </cell>
          <cell r="AA20">
            <v>137.40000000000111</v>
          </cell>
          <cell r="AB20">
            <v>156.70000000000221</v>
          </cell>
          <cell r="AC20">
            <v>176.79999999999964</v>
          </cell>
          <cell r="AD20">
            <v>602.10000000000298</v>
          </cell>
          <cell r="AE20">
            <v>144.70000000000076</v>
          </cell>
          <cell r="AF20">
            <v>170.89999999999995</v>
          </cell>
          <cell r="AG20">
            <v>179.1999999999982</v>
          </cell>
          <cell r="AH20">
            <v>221.30000000000069</v>
          </cell>
          <cell r="AI20">
            <v>716.09999999999968</v>
          </cell>
          <cell r="AJ20">
            <v>274.79999999999893</v>
          </cell>
          <cell r="AK20">
            <v>214.90000000000038</v>
          </cell>
          <cell r="AL20">
            <v>214.70000000000107</v>
          </cell>
          <cell r="AM20">
            <v>207.59999999999891</v>
          </cell>
          <cell r="AN20">
            <v>911.9999999999992</v>
          </cell>
          <cell r="AO20">
            <v>270.20000000000073</v>
          </cell>
          <cell r="AP20">
            <v>262.7</v>
          </cell>
          <cell r="AQ20">
            <v>295.69999999999743</v>
          </cell>
          <cell r="AR20">
            <v>274.39999999999856</v>
          </cell>
          <cell r="AS20">
            <v>1102.9999999999968</v>
          </cell>
          <cell r="AT20">
            <v>291.0000000000004</v>
          </cell>
          <cell r="AU20">
            <v>312.09999999999923</v>
          </cell>
          <cell r="AV20">
            <v>335.6</v>
          </cell>
          <cell r="AW20">
            <v>341.5000000000004</v>
          </cell>
          <cell r="AX20">
            <v>1280.2000000000003</v>
          </cell>
          <cell r="AY20">
            <v>320.49999999999892</v>
          </cell>
          <cell r="AZ20">
            <v>356.90000000000072</v>
          </cell>
          <cell r="BA20">
            <v>371.5</v>
          </cell>
          <cell r="BB20">
            <v>378.50000000000074</v>
          </cell>
          <cell r="BC20">
            <v>1427.4000000000003</v>
          </cell>
          <cell r="BD20">
            <v>333.09999999999917</v>
          </cell>
          <cell r="BE20">
            <v>342.79999999999967</v>
          </cell>
          <cell r="BF20">
            <v>377.40000000000032</v>
          </cell>
          <cell r="BG20">
            <v>451.90000000000072</v>
          </cell>
          <cell r="BH20">
            <v>1505.2</v>
          </cell>
          <cell r="BI20">
            <v>322.35507392397653</v>
          </cell>
          <cell r="BJ20">
            <v>352.94472159492216</v>
          </cell>
          <cell r="BK20">
            <v>391.06121066969007</v>
          </cell>
          <cell r="BL20">
            <v>417.93452476676424</v>
          </cell>
          <cell r="BM20">
            <v>1484.2955309553527</v>
          </cell>
          <cell r="BN20">
            <v>353.61158679176611</v>
          </cell>
          <cell r="BO20">
            <v>359.42986829982544</v>
          </cell>
          <cell r="BP20">
            <v>390.57034866390029</v>
          </cell>
          <cell r="BQ20">
            <v>385.68149514874028</v>
          </cell>
          <cell r="BR20">
            <v>1489.2932989042322</v>
          </cell>
          <cell r="BS20">
            <v>380.1248631914446</v>
          </cell>
          <cell r="BT20">
            <v>388.08619315149554</v>
          </cell>
          <cell r="BU20">
            <v>425.17267099315006</v>
          </cell>
          <cell r="BV20">
            <v>420.79447034637127</v>
          </cell>
          <cell r="BW20">
            <v>1614.1781976824616</v>
          </cell>
          <cell r="BX20">
            <v>405.41534556518098</v>
          </cell>
          <cell r="BY20">
            <v>411.41820266579634</v>
          </cell>
          <cell r="BZ20">
            <v>447.68702210855889</v>
          </cell>
          <cell r="CA20">
            <v>442.1811325764416</v>
          </cell>
          <cell r="CB20">
            <v>1706.7017029159781</v>
          </cell>
          <cell r="CI20" t="str">
            <v>mstag:netIncomeAsReported</v>
          </cell>
          <cell r="CJ20">
            <v>6</v>
          </cell>
          <cell r="CK20" t="str">
            <v>ISO4217:USD</v>
          </cell>
          <cell r="CL20" t="b">
            <v>0</v>
          </cell>
        </row>
        <row r="21">
          <cell r="B21" t="str">
            <v>Adjustments (Amortization)</v>
          </cell>
          <cell r="K21">
            <v>12.30301850048687</v>
          </cell>
          <cell r="L21">
            <v>12.35387186629521</v>
          </cell>
          <cell r="M21">
            <v>12.337032258064536</v>
          </cell>
          <cell r="N21">
            <v>12.418797814207666</v>
          </cell>
          <cell r="O21">
            <v>49.491923262937249</v>
          </cell>
          <cell r="P21">
            <v>13.786941580756015</v>
          </cell>
          <cell r="Q21">
            <v>13.792888888888871</v>
          </cell>
          <cell r="R21">
            <v>13.786138613861397</v>
          </cell>
          <cell r="S21">
            <v>13.735424901185834</v>
          </cell>
          <cell r="T21">
            <v>55.10215452175099</v>
          </cell>
          <cell r="U21">
            <v>26.67048054919897</v>
          </cell>
          <cell r="V21">
            <v>26.944967074318029</v>
          </cell>
          <cell r="W21">
            <v>26.936137861124919</v>
          </cell>
          <cell r="X21">
            <v>26.92689530685918</v>
          </cell>
          <cell r="Y21">
            <v>107.4784807915011</v>
          </cell>
          <cell r="Z21">
            <v>28.6127025862069</v>
          </cell>
          <cell r="AA21">
            <v>28.526955962800965</v>
          </cell>
          <cell r="AB21">
            <v>28.567875000000001</v>
          </cell>
          <cell r="AC21">
            <v>57.609874999999995</v>
          </cell>
          <cell r="AD21">
            <v>143.31740854900787</v>
          </cell>
          <cell r="AE21">
            <v>33.201811320754899</v>
          </cell>
          <cell r="AF21">
            <v>33.231999999999999</v>
          </cell>
          <cell r="AG21">
            <v>34.364768553032775</v>
          </cell>
          <cell r="AH21">
            <v>34.002660146699299</v>
          </cell>
          <cell r="AI21">
            <v>134.80124002048697</v>
          </cell>
          <cell r="AJ21">
            <v>33.210250000000002</v>
          </cell>
          <cell r="AK21">
            <v>35.221250000000005</v>
          </cell>
          <cell r="AL21">
            <v>34.036424825174876</v>
          </cell>
          <cell r="AM21">
            <v>34.814821428571371</v>
          </cell>
          <cell r="AN21">
            <v>137.28274625374624</v>
          </cell>
          <cell r="AO21">
            <v>43.99512500000003</v>
          </cell>
          <cell r="AP21">
            <v>43.905987414187642</v>
          </cell>
          <cell r="AQ21">
            <v>46.536632500557573</v>
          </cell>
          <cell r="AR21">
            <v>42.639465034964985</v>
          </cell>
          <cell r="AS21">
            <v>177.07720994971024</v>
          </cell>
          <cell r="AT21">
            <v>43.435000000000002</v>
          </cell>
          <cell r="AU21">
            <v>42.775000000000006</v>
          </cell>
          <cell r="AV21">
            <v>47.456999999999994</v>
          </cell>
          <cell r="AW21">
            <v>47.606999999999999</v>
          </cell>
          <cell r="AX21">
            <v>181.274</v>
          </cell>
          <cell r="AY21">
            <v>44.057812500000004</v>
          </cell>
          <cell r="AZ21">
            <v>44.057812500000004</v>
          </cell>
          <cell r="BA21">
            <v>44.057812500000004</v>
          </cell>
          <cell r="BB21">
            <v>46.461599999999997</v>
          </cell>
          <cell r="BC21">
            <v>178.63503750000001</v>
          </cell>
          <cell r="BD21">
            <v>43.8699532205829</v>
          </cell>
          <cell r="BE21">
            <v>45.063199426111886</v>
          </cell>
          <cell r="BF21">
            <v>44.179881656804753</v>
          </cell>
          <cell r="BG21">
            <v>42.549100794646613</v>
          </cell>
          <cell r="BH21">
            <v>175.66213509814617</v>
          </cell>
          <cell r="BI21">
            <v>44.102999999999994</v>
          </cell>
          <cell r="BJ21">
            <v>44.102999999999994</v>
          </cell>
          <cell r="BK21">
            <v>44.102999999999994</v>
          </cell>
          <cell r="BL21">
            <v>44.102999999999994</v>
          </cell>
          <cell r="BM21">
            <v>176.41199999999998</v>
          </cell>
          <cell r="BN21">
            <v>44.102999999999994</v>
          </cell>
          <cell r="BO21">
            <v>44.102999999999994</v>
          </cell>
          <cell r="BP21">
            <v>44.102999999999994</v>
          </cell>
          <cell r="BQ21">
            <v>44.102999999999994</v>
          </cell>
          <cell r="BR21">
            <v>176.41199999999998</v>
          </cell>
          <cell r="BS21">
            <v>44.102999999999994</v>
          </cell>
          <cell r="BT21">
            <v>44.102999999999994</v>
          </cell>
          <cell r="BU21">
            <v>44.102999999999994</v>
          </cell>
          <cell r="BV21">
            <v>44.102999999999994</v>
          </cell>
          <cell r="BW21">
            <v>176.41199999999998</v>
          </cell>
          <cell r="BX21">
            <v>44.102999999999994</v>
          </cell>
          <cell r="BY21">
            <v>44.102999999999994</v>
          </cell>
          <cell r="BZ21">
            <v>44.102999999999994</v>
          </cell>
          <cell r="CA21">
            <v>44.102999999999994</v>
          </cell>
          <cell r="CB21">
            <v>176.41199999999998</v>
          </cell>
        </row>
        <row r="22">
          <cell r="B22" t="str">
            <v xml:space="preserve">Net Income (pro forma) </v>
          </cell>
          <cell r="K22">
            <v>71.90301850048705</v>
          </cell>
          <cell r="L22">
            <v>116.95387186629412</v>
          </cell>
          <cell r="M22">
            <v>102.53703225806491</v>
          </cell>
          <cell r="N22">
            <v>119.61879781420804</v>
          </cell>
          <cell r="O22">
            <v>411.09192326293652</v>
          </cell>
          <cell r="P22">
            <v>115.78694158075601</v>
          </cell>
          <cell r="Q22">
            <v>118.99288888888853</v>
          </cell>
          <cell r="R22">
            <v>114.08613861386158</v>
          </cell>
          <cell r="S22">
            <v>132.03542490118733</v>
          </cell>
          <cell r="T22">
            <v>480.90215452174959</v>
          </cell>
          <cell r="U22">
            <v>130.27048054919788</v>
          </cell>
          <cell r="V22">
            <v>154.24496707431874</v>
          </cell>
          <cell r="W22">
            <v>145.036137861122</v>
          </cell>
          <cell r="X22">
            <v>159.52689530685882</v>
          </cell>
          <cell r="Y22">
            <v>589.07848079149369</v>
          </cell>
          <cell r="Z22">
            <v>159.81270258620694</v>
          </cell>
          <cell r="AA22">
            <v>165.92695596280208</v>
          </cell>
          <cell r="AB22">
            <v>185.26787500000222</v>
          </cell>
          <cell r="AC22">
            <v>234.40987499999963</v>
          </cell>
          <cell r="AD22">
            <v>745.41740854901082</v>
          </cell>
          <cell r="AE22">
            <v>177.90181132075566</v>
          </cell>
          <cell r="AF22">
            <v>204.13199999999995</v>
          </cell>
          <cell r="AG22">
            <v>213.56476855303097</v>
          </cell>
          <cell r="AH22">
            <v>255.30266014669999</v>
          </cell>
          <cell r="AI22">
            <v>850.90124002048663</v>
          </cell>
          <cell r="AJ22">
            <v>308.0102499999989</v>
          </cell>
          <cell r="AK22">
            <v>250.12125000000037</v>
          </cell>
          <cell r="AL22">
            <v>248.73642482517596</v>
          </cell>
          <cell r="AM22">
            <v>242.41482142857029</v>
          </cell>
          <cell r="AN22">
            <v>1049.2827462537455</v>
          </cell>
          <cell r="AO22">
            <v>314.19512500000076</v>
          </cell>
          <cell r="AP22">
            <v>306.60598741418761</v>
          </cell>
          <cell r="AQ22">
            <v>342.236632500555</v>
          </cell>
          <cell r="AR22">
            <v>317.03946503496354</v>
          </cell>
          <cell r="AS22">
            <v>1280.0772099497071</v>
          </cell>
          <cell r="AT22">
            <v>334.4350000000004</v>
          </cell>
          <cell r="AU22">
            <v>354.8749999999992</v>
          </cell>
          <cell r="AV22">
            <v>383.05700000000002</v>
          </cell>
          <cell r="AW22">
            <v>389.10700000000043</v>
          </cell>
          <cell r="AX22">
            <v>1461.4740000000002</v>
          </cell>
          <cell r="AY22">
            <v>364.55781249999893</v>
          </cell>
          <cell r="AZ22">
            <v>400.95781250000073</v>
          </cell>
          <cell r="BA22">
            <v>415.55781250000001</v>
          </cell>
          <cell r="BB22">
            <v>424.96160000000071</v>
          </cell>
          <cell r="BC22">
            <v>1606.0350375000003</v>
          </cell>
          <cell r="BD22">
            <v>376.96995322058206</v>
          </cell>
          <cell r="BE22">
            <v>387.86319942611158</v>
          </cell>
          <cell r="BF22">
            <v>421.57988165680507</v>
          </cell>
          <cell r="BG22">
            <v>494.44910079464734</v>
          </cell>
          <cell r="BH22">
            <v>1680.8621350981462</v>
          </cell>
          <cell r="BI22">
            <v>366.45807392397654</v>
          </cell>
          <cell r="BJ22">
            <v>397.04772159492217</v>
          </cell>
          <cell r="BK22">
            <v>435.16421066969008</v>
          </cell>
          <cell r="BL22">
            <v>462.03752476676425</v>
          </cell>
          <cell r="BM22">
            <v>1660.7075309553527</v>
          </cell>
          <cell r="BN22">
            <v>397.71458679176612</v>
          </cell>
          <cell r="BO22">
            <v>403.53286829982545</v>
          </cell>
          <cell r="BP22">
            <v>434.6733486639003</v>
          </cell>
          <cell r="BQ22">
            <v>429.78449514874029</v>
          </cell>
          <cell r="BR22">
            <v>1665.7052989042322</v>
          </cell>
          <cell r="BS22">
            <v>424.22786319144461</v>
          </cell>
          <cell r="BT22">
            <v>432.18919315149554</v>
          </cell>
          <cell r="BU22">
            <v>469.27567099315007</v>
          </cell>
          <cell r="BV22">
            <v>464.89747034637128</v>
          </cell>
          <cell r="BW22">
            <v>1790.5901976824616</v>
          </cell>
          <cell r="BX22">
            <v>449.51834556518099</v>
          </cell>
          <cell r="BY22">
            <v>455.52120266579635</v>
          </cell>
          <cell r="BZ22">
            <v>491.7900221085589</v>
          </cell>
          <cell r="CA22">
            <v>486.28413257644161</v>
          </cell>
          <cell r="CB22">
            <v>1883.1137029159781</v>
          </cell>
          <cell r="CI22" t="str">
            <v>mstag:netIncomeAdjustedForConsensus</v>
          </cell>
          <cell r="CJ22">
            <v>6</v>
          </cell>
          <cell r="CK22" t="str">
            <v>ISO4217:USD</v>
          </cell>
          <cell r="CL22" t="b">
            <v>0</v>
          </cell>
        </row>
        <row r="24">
          <cell r="B24" t="str">
            <v>EPS (GAAP)</v>
          </cell>
          <cell r="K24">
            <v>0.11037037037037072</v>
          </cell>
          <cell r="L24">
            <v>0.19370370370370169</v>
          </cell>
          <cell r="M24">
            <v>0.16703703703703773</v>
          </cell>
          <cell r="N24">
            <v>0.1985185185185192</v>
          </cell>
          <cell r="O24">
            <v>0.66962962962962935</v>
          </cell>
          <cell r="P24">
            <v>0.18888888888888888</v>
          </cell>
          <cell r="Q24">
            <v>0.19481481481481419</v>
          </cell>
          <cell r="R24">
            <v>0.18574074074074107</v>
          </cell>
          <cell r="S24">
            <v>0.21682551319648366</v>
          </cell>
          <cell r="T24">
            <v>0.78626995764092789</v>
          </cell>
          <cell r="U24">
            <v>0.18925831202045837</v>
          </cell>
          <cell r="V24">
            <v>0.23179169701383959</v>
          </cell>
          <cell r="W24">
            <v>0.21535375638219745</v>
          </cell>
          <cell r="X24">
            <v>0.23978300180831758</v>
          </cell>
          <cell r="Y24">
            <v>0.87618676722481292</v>
          </cell>
          <cell r="Z24">
            <v>0.2342020706890397</v>
          </cell>
          <cell r="AA24">
            <v>0.24207188160676729</v>
          </cell>
          <cell r="AB24">
            <v>0.26424957841484353</v>
          </cell>
          <cell r="AC24">
            <v>0.283424174414876</v>
          </cell>
          <cell r="AD24">
            <v>1.0239477051255266</v>
          </cell>
          <cell r="AE24">
            <v>7.2585871678549505E-2</v>
          </cell>
          <cell r="AF24">
            <v>0.28210630571145584</v>
          </cell>
          <cell r="AG24">
            <v>0.31101439571476097</v>
          </cell>
          <cell r="AH24">
            <v>0.38714043993231928</v>
          </cell>
          <cell r="AI24">
            <v>1.0528470130370855</v>
          </cell>
          <cell r="AJ24">
            <v>0.47200274819649418</v>
          </cell>
          <cell r="AK24">
            <v>0.38089330024813961</v>
          </cell>
          <cell r="AL24">
            <v>0.39178832116788515</v>
          </cell>
          <cell r="AM24">
            <v>0.38001098297638464</v>
          </cell>
          <cell r="AN24">
            <v>1.6246953525889036</v>
          </cell>
          <cell r="AO24">
            <v>0.50241725548531191</v>
          </cell>
          <cell r="AP24">
            <v>0.50753477588871709</v>
          </cell>
          <cell r="AQ24">
            <v>0.57596416049863153</v>
          </cell>
          <cell r="AR24">
            <v>0.54304373639421843</v>
          </cell>
          <cell r="AS24">
            <v>2.1268800617045831</v>
          </cell>
          <cell r="AT24">
            <v>0.58060654429369596</v>
          </cell>
          <cell r="AU24">
            <v>0.63954918032786723</v>
          </cell>
          <cell r="AV24">
            <v>0.6923870435320818</v>
          </cell>
          <cell r="AW24">
            <v>0.70094417077175786</v>
          </cell>
          <cell r="AX24">
            <v>2.6126530612244903</v>
          </cell>
          <cell r="AY24">
            <v>0.67022166457548915</v>
          </cell>
          <cell r="AZ24">
            <v>0.77251082251082404</v>
          </cell>
          <cell r="BA24">
            <v>0.84991992679020811</v>
          </cell>
          <cell r="BB24">
            <v>0.87982333798233558</v>
          </cell>
          <cell r="BC24">
            <v>3.1588381742738592</v>
          </cell>
          <cell r="BD24">
            <v>0.80420086914533839</v>
          </cell>
          <cell r="BE24">
            <v>0.84621081214514848</v>
          </cell>
          <cell r="BF24">
            <v>0.95568498354013764</v>
          </cell>
          <cell r="BG24">
            <v>1.1449201925513066</v>
          </cell>
          <cell r="BH24">
            <v>3.7421841009385299</v>
          </cell>
          <cell r="BI24">
            <v>0.81670908012155197</v>
          </cell>
          <cell r="BJ24">
            <v>0.89421008764865006</v>
          </cell>
          <cell r="BK24">
            <v>1.0555903183665627</v>
          </cell>
          <cell r="BL24">
            <v>1.2235970150812645</v>
          </cell>
          <cell r="BM24">
            <v>3.9543540480346944</v>
          </cell>
          <cell r="BN24">
            <v>1.0821755315608694</v>
          </cell>
          <cell r="BO24">
            <v>1.1549645918908966</v>
          </cell>
          <cell r="BP24">
            <v>1.2816777514074307</v>
          </cell>
          <cell r="BQ24">
            <v>1.2742221167620269</v>
          </cell>
          <cell r="BR24">
            <v>4.7834266637713272</v>
          </cell>
          <cell r="BS24">
            <v>1.3082094382127447</v>
          </cell>
          <cell r="BT24">
            <v>1.4077651859951927</v>
          </cell>
          <cell r="BU24">
            <v>1.5787695004178479</v>
          </cell>
          <cell r="BV24">
            <v>1.5862414600586443</v>
          </cell>
          <cell r="BW24">
            <v>5.8653226420202031</v>
          </cell>
          <cell r="BX24">
            <v>1.5846313382576922</v>
          </cell>
          <cell r="BY24">
            <v>1.6834311588109165</v>
          </cell>
          <cell r="BZ24">
            <v>1.8813429237670201</v>
          </cell>
          <cell r="CA24">
            <v>1.8960952303480125</v>
          </cell>
          <cell r="CB24">
            <v>7.0277852516386963</v>
          </cell>
        </row>
        <row r="25">
          <cell r="B25" t="str">
            <v xml:space="preserve">EPS (Non-GAAP continuing) </v>
          </cell>
          <cell r="K25">
            <v>0.1331537379638649</v>
          </cell>
          <cell r="L25">
            <v>0.21658124419684097</v>
          </cell>
          <cell r="M25">
            <v>0.18988339307049057</v>
          </cell>
          <cell r="N25">
            <v>0.22151629224853339</v>
          </cell>
          <cell r="O25">
            <v>0.76113466747972991</v>
          </cell>
          <cell r="P25">
            <v>0.21442026218658519</v>
          </cell>
          <cell r="Q25">
            <v>0.22035720164608988</v>
          </cell>
          <cell r="R25">
            <v>0.21127062706270663</v>
          </cell>
          <cell r="S25">
            <v>0.24200041220892105</v>
          </cell>
          <cell r="T25">
            <v>0.88804850310430283</v>
          </cell>
          <cell r="U25">
            <v>0.23798041751771629</v>
          </cell>
          <cell r="V25">
            <v>0.28085390945797289</v>
          </cell>
          <cell r="W25">
            <v>0.26447144030109776</v>
          </cell>
          <cell r="X25">
            <v>0.28847539838491648</v>
          </cell>
          <cell r="Y25">
            <v>1.0717811656617033</v>
          </cell>
          <cell r="Z25">
            <v>0.28527794106784526</v>
          </cell>
          <cell r="AA25">
            <v>0.29233078922269568</v>
          </cell>
          <cell r="AB25">
            <v>0.3124247470489076</v>
          </cell>
          <cell r="AC25">
            <v>0.37577729240141017</v>
          </cell>
          <cell r="AD25">
            <v>1.2658107697408587</v>
          </cell>
          <cell r="AE25">
            <v>0.28824013499798384</v>
          </cell>
          <cell r="AF25">
            <v>0.33696269395840206</v>
          </cell>
          <cell r="AG25">
            <v>0.35749040601444759</v>
          </cell>
          <cell r="AH25">
            <v>0.43198419652571912</v>
          </cell>
          <cell r="AI25">
            <v>1.4146774314965527</v>
          </cell>
          <cell r="AJ25">
            <v>0.52904543112332336</v>
          </cell>
          <cell r="AK25">
            <v>0.44332018787664013</v>
          </cell>
          <cell r="AL25">
            <v>0.45389858544740136</v>
          </cell>
          <cell r="AM25">
            <v>0.4437393765853383</v>
          </cell>
          <cell r="AN25">
            <v>1.8700035810327031</v>
          </cell>
          <cell r="AO25">
            <v>0.58422299181852133</v>
          </cell>
          <cell r="AP25">
            <v>0.59236087212941957</v>
          </cell>
          <cell r="AQ25">
            <v>0.66660816614833462</v>
          </cell>
          <cell r="AR25">
            <v>0.62742819124275384</v>
          </cell>
          <cell r="AS25">
            <v>2.4683324526604458</v>
          </cell>
          <cell r="AT25">
            <v>0.66726855546688035</v>
          </cell>
          <cell r="AU25">
            <v>0.72720286885245744</v>
          </cell>
          <cell r="AV25">
            <v>0.79029709098411394</v>
          </cell>
          <cell r="AW25">
            <v>0.79865968801313714</v>
          </cell>
          <cell r="AX25">
            <v>2.9826000000000001</v>
          </cell>
          <cell r="AY25">
            <v>0.76235427122542643</v>
          </cell>
          <cell r="AZ25">
            <v>0.86787405303030463</v>
          </cell>
          <cell r="BA25">
            <v>0.95071565431251426</v>
          </cell>
          <cell r="BB25">
            <v>0.98782333798233546</v>
          </cell>
          <cell r="BC25">
            <v>3.5541577593360998</v>
          </cell>
          <cell r="BD25">
            <v>0.91011577310618563</v>
          </cell>
          <cell r="BE25">
            <v>0.95745050463123071</v>
          </cell>
          <cell r="BF25">
            <v>1.067561108272487</v>
          </cell>
          <cell r="BG25">
            <v>1.2527213093353113</v>
          </cell>
          <cell r="BH25">
            <v>4.1789101500357919</v>
          </cell>
          <cell r="BI25">
            <v>0.92844710900424765</v>
          </cell>
          <cell r="BJ25">
            <v>1.0059481165313457</v>
          </cell>
          <cell r="BK25">
            <v>1.1746374100768244</v>
          </cell>
          <cell r="BL25">
            <v>1.3527184347252739</v>
          </cell>
          <cell r="BM25">
            <v>4.4243382875431809</v>
          </cell>
          <cell r="BN25">
            <v>1.2171461865143636</v>
          </cell>
          <cell r="BO25">
            <v>1.2966818165531326</v>
          </cell>
          <cell r="BP25">
            <v>1.4264041344103668</v>
          </cell>
          <cell r="BQ25">
            <v>1.4199304764381451</v>
          </cell>
          <cell r="BR25">
            <v>5.3500402819418413</v>
          </cell>
          <cell r="BS25">
            <v>1.4599910406291037</v>
          </cell>
          <cell r="BT25">
            <v>1.5677468320665577</v>
          </cell>
          <cell r="BU25">
            <v>1.7425346622620581</v>
          </cell>
          <cell r="BV25">
            <v>1.7524936616509834</v>
          </cell>
          <cell r="BW25">
            <v>6.5063381751315079</v>
          </cell>
          <cell r="BX25">
            <v>1.7570150348189337</v>
          </cell>
          <cell r="BY25">
            <v>1.8638907590813212</v>
          </cell>
          <cell r="BZ25">
            <v>2.0666796944781822</v>
          </cell>
          <cell r="CA25">
            <v>2.0852111418677834</v>
          </cell>
          <cell r="CB25">
            <v>7.7542072442422398</v>
          </cell>
          <cell r="CI25" t="str">
            <v>mstag:adjEpsForConsensus</v>
          </cell>
          <cell r="CJ25">
            <v>0</v>
          </cell>
          <cell r="CK25" t="str">
            <v>ISO4217:USD</v>
          </cell>
          <cell r="CL25" t="b">
            <v>0</v>
          </cell>
        </row>
        <row r="26">
          <cell r="B26" t="str">
            <v>EPS (including legacy amortization)</v>
          </cell>
          <cell r="K26">
            <v>0.1331537379638649</v>
          </cell>
          <cell r="L26">
            <v>0.21658124419684097</v>
          </cell>
          <cell r="M26">
            <v>0.18988339307049057</v>
          </cell>
          <cell r="N26">
            <v>0.22151629224853339</v>
          </cell>
          <cell r="O26">
            <v>0.76128133937580833</v>
          </cell>
          <cell r="P26">
            <v>0.21442026218658519</v>
          </cell>
          <cell r="Q26">
            <v>0.22035720164608988</v>
          </cell>
          <cell r="R26">
            <v>0.21127062706270663</v>
          </cell>
          <cell r="S26">
            <v>0.24200041220892105</v>
          </cell>
          <cell r="T26">
            <v>0.88792864571962626</v>
          </cell>
          <cell r="U26">
            <v>0.23798041751771629</v>
          </cell>
          <cell r="V26">
            <v>0.28085390945797289</v>
          </cell>
          <cell r="W26">
            <v>0.26447144030109776</v>
          </cell>
          <cell r="X26">
            <v>0.28847539838491648</v>
          </cell>
          <cell r="Y26">
            <v>1.0720263526687783</v>
          </cell>
          <cell r="Z26">
            <v>0.28265767152125482</v>
          </cell>
          <cell r="AA26">
            <v>0.28974468104792472</v>
          </cell>
          <cell r="AB26">
            <v>0.30994940978077945</v>
          </cell>
          <cell r="AC26">
            <v>0.37342417441487602</v>
          </cell>
          <cell r="AD26">
            <v>1.2595519178216992</v>
          </cell>
          <cell r="AE26">
            <v>0.27846696584697933</v>
          </cell>
          <cell r="AF26">
            <v>0.32700561241333764</v>
          </cell>
          <cell r="AG26">
            <v>0.3473933186358068</v>
          </cell>
          <cell r="AH26">
            <v>0.42177776674568523</v>
          </cell>
          <cell r="AI26">
            <v>1.3706452918111514</v>
          </cell>
          <cell r="AJ26">
            <v>0.51700274819649406</v>
          </cell>
          <cell r="AK26">
            <v>0.4308933002481396</v>
          </cell>
          <cell r="AL26">
            <v>0.44110433362258389</v>
          </cell>
          <cell r="AM26">
            <v>0.43090531105357921</v>
          </cell>
          <cell r="AN26">
            <v>1.8207126872058219</v>
          </cell>
          <cell r="AO26">
            <v>0.55288327445147034</v>
          </cell>
          <cell r="AP26">
            <v>0.559798082330347</v>
          </cell>
          <cell r="AQ26">
            <v>0.63377898811950728</v>
          </cell>
          <cell r="AR26">
            <v>0.59407275882636756</v>
          </cell>
          <cell r="AS26">
            <v>2.3383324526604454</v>
          </cell>
          <cell r="AT26">
            <v>0.63060654429369589</v>
          </cell>
          <cell r="AU26">
            <v>0.68954918032786727</v>
          </cell>
          <cell r="AV26">
            <v>0.75238704353208175</v>
          </cell>
          <cell r="AW26">
            <v>0.76094417077175791</v>
          </cell>
          <cell r="AX26">
            <v>2.8326000000000002</v>
          </cell>
          <cell r="AY26">
            <v>0.72691865328314287</v>
          </cell>
          <cell r="AZ26">
            <v>0.83119588744588901</v>
          </cell>
          <cell r="BA26">
            <v>0.91194806680393503</v>
          </cell>
          <cell r="BB26">
            <v>0.93782333798233553</v>
          </cell>
          <cell r="BC26">
            <v>3.4041577593360999</v>
          </cell>
          <cell r="BD26">
            <v>0.86388206958131841</v>
          </cell>
          <cell r="BE26">
            <v>0.91017822618146527</v>
          </cell>
          <cell r="BF26">
            <v>1.0190678188321223</v>
          </cell>
          <cell r="BG26">
            <v>1.2042034476682224</v>
          </cell>
          <cell r="BH26">
            <v>3.9884694762835387</v>
          </cell>
          <cell r="BI26">
            <v>0.87992924733715883</v>
          </cell>
          <cell r="BJ26">
            <v>0.95743025486425692</v>
          </cell>
          <cell r="BK26">
            <v>1.122945874211883</v>
          </cell>
          <cell r="BL26">
            <v>1.29665251662032</v>
          </cell>
          <cell r="BM26">
            <v>4.2202660433287846</v>
          </cell>
          <cell r="BN26">
            <v>1.1585404671220454</v>
          </cell>
          <cell r="BO26">
            <v>1.2351466635639525</v>
          </cell>
          <cell r="BP26">
            <v>1.3635623722965373</v>
          </cell>
          <cell r="BQ26">
            <v>1.3566623294232558</v>
          </cell>
          <cell r="BR26">
            <v>5.1040105155321793</v>
          </cell>
          <cell r="BS26">
            <v>1.3940858258756113</v>
          </cell>
          <cell r="BT26">
            <v>1.4982810695953737</v>
          </cell>
          <cell r="BU26">
            <v>1.6714260562870311</v>
          </cell>
          <cell r="BV26">
            <v>1.6803051560959579</v>
          </cell>
          <cell r="BW26">
            <v>6.228002291879088</v>
          </cell>
          <cell r="BX26">
            <v>1.6821641677770596</v>
          </cell>
          <cell r="BY26">
            <v>1.7855332472300129</v>
          </cell>
          <cell r="BZ26">
            <v>1.986204462427783</v>
          </cell>
          <cell r="CA26">
            <v>2.0030949659703703</v>
          </cell>
          <cell r="CB26">
            <v>7.4387869517823653</v>
          </cell>
        </row>
        <row r="28">
          <cell r="B28" t="str">
            <v xml:space="preserve">Average basic shares </v>
          </cell>
          <cell r="Y28">
            <v>543.79999999999995</v>
          </cell>
          <cell r="Z28">
            <v>550.4</v>
          </cell>
          <cell r="AA28">
            <v>556</v>
          </cell>
          <cell r="AB28">
            <v>582</v>
          </cell>
          <cell r="AC28">
            <v>612.79999999999995</v>
          </cell>
          <cell r="AD28">
            <v>576.20000000000005</v>
          </cell>
          <cell r="AE28">
            <v>608.4</v>
          </cell>
          <cell r="AF28">
            <v>598</v>
          </cell>
          <cell r="AG28">
            <v>588.20000000000005</v>
          </cell>
          <cell r="AH28">
            <v>583.4</v>
          </cell>
          <cell r="AI28">
            <v>594.4</v>
          </cell>
          <cell r="AJ28">
            <v>573.4</v>
          </cell>
          <cell r="AK28">
            <v>554.4</v>
          </cell>
          <cell r="AL28">
            <v>537.9</v>
          </cell>
          <cell r="AM28">
            <v>535.20000000000005</v>
          </cell>
          <cell r="AN28">
            <v>550.20000000000005</v>
          </cell>
          <cell r="AO28">
            <v>526.9</v>
          </cell>
          <cell r="AP28">
            <v>507.7</v>
          </cell>
          <cell r="AQ28">
            <v>503.3</v>
          </cell>
          <cell r="AR28">
            <v>496.3</v>
          </cell>
          <cell r="AS28">
            <v>508.6</v>
          </cell>
          <cell r="AT28">
            <v>492.2</v>
          </cell>
          <cell r="AU28">
            <v>479.6</v>
          </cell>
          <cell r="AV28">
            <v>475.4</v>
          </cell>
          <cell r="AW28">
            <v>477</v>
          </cell>
          <cell r="AX28">
            <v>481.1</v>
          </cell>
          <cell r="AY28">
            <v>467.7</v>
          </cell>
          <cell r="AZ28">
            <v>453</v>
          </cell>
          <cell r="BA28">
            <v>429.9</v>
          </cell>
          <cell r="BB28">
            <v>421.4</v>
          </cell>
          <cell r="BC28">
            <v>443</v>
          </cell>
          <cell r="BD28">
            <v>405.5</v>
          </cell>
          <cell r="BE28">
            <v>397.6</v>
          </cell>
          <cell r="BF28">
            <v>388</v>
          </cell>
          <cell r="BG28">
            <v>387.8</v>
          </cell>
          <cell r="BH28">
            <v>394.72499999999997</v>
          </cell>
          <cell r="BI28">
            <v>387.8</v>
          </cell>
          <cell r="BJ28">
            <v>387.8</v>
          </cell>
          <cell r="BK28">
            <v>363.99047619047622</v>
          </cell>
          <cell r="BL28">
            <v>335.59116465863451</v>
          </cell>
          <cell r="BM28">
            <v>368.79541021227772</v>
          </cell>
          <cell r="BN28">
            <v>321.0476204300852</v>
          </cell>
          <cell r="BO28">
            <v>305.76387382680878</v>
          </cell>
          <cell r="BP28">
            <v>299.40641575924911</v>
          </cell>
          <cell r="BQ28">
            <v>297.38861721474439</v>
          </cell>
          <cell r="BR28">
            <v>305.90163180772186</v>
          </cell>
          <cell r="BS28">
            <v>285.48919573166336</v>
          </cell>
          <cell r="BT28">
            <v>270.85611796605554</v>
          </cell>
          <cell r="BU28">
            <v>264.59844763522506</v>
          </cell>
          <cell r="BV28">
            <v>260.6402031713377</v>
          </cell>
          <cell r="BW28">
            <v>270.39599112607038</v>
          </cell>
          <cell r="BX28">
            <v>251.36952313419715</v>
          </cell>
          <cell r="BY28">
            <v>240.12026811419184</v>
          </cell>
          <cell r="BZ28">
            <v>233.80146009040027</v>
          </cell>
          <cell r="CA28">
            <v>229.12935909244908</v>
          </cell>
          <cell r="CB28">
            <v>238.6051526078096</v>
          </cell>
          <cell r="CI28" t="str">
            <v>mstag:averageBasicSharesOutstanding</v>
          </cell>
          <cell r="CJ28">
            <v>6</v>
          </cell>
          <cell r="CK28" t="str">
            <v>ms_eqr_gcim_Decimal:ms_eqr_gcim_decimal</v>
          </cell>
          <cell r="CL28" t="b">
            <v>0</v>
          </cell>
        </row>
        <row r="29">
          <cell r="B29" t="str">
            <v xml:space="preserve">Average diluted shares </v>
          </cell>
          <cell r="D29">
            <v>540</v>
          </cell>
          <cell r="E29">
            <v>540</v>
          </cell>
          <cell r="F29">
            <v>270</v>
          </cell>
          <cell r="G29">
            <v>270</v>
          </cell>
          <cell r="H29">
            <v>270</v>
          </cell>
          <cell r="I29">
            <v>270</v>
          </cell>
          <cell r="J29">
            <v>540</v>
          </cell>
          <cell r="K29">
            <v>540</v>
          </cell>
          <cell r="L29">
            <v>540</v>
          </cell>
          <cell r="M29">
            <v>540</v>
          </cell>
          <cell r="N29">
            <v>540</v>
          </cell>
          <cell r="O29">
            <v>540</v>
          </cell>
          <cell r="P29">
            <v>540</v>
          </cell>
          <cell r="Q29">
            <v>540</v>
          </cell>
          <cell r="R29">
            <v>540</v>
          </cell>
          <cell r="S29">
            <v>545.6</v>
          </cell>
          <cell r="T29">
            <v>541.6</v>
          </cell>
          <cell r="U29">
            <v>547.4</v>
          </cell>
          <cell r="V29">
            <v>549.20000000000005</v>
          </cell>
          <cell r="W29">
            <v>548.4</v>
          </cell>
          <cell r="X29">
            <v>553</v>
          </cell>
          <cell r="Y29">
            <v>549.5</v>
          </cell>
          <cell r="Z29">
            <v>560.20000000000005</v>
          </cell>
          <cell r="AA29">
            <v>567.6</v>
          </cell>
          <cell r="AB29">
            <v>593</v>
          </cell>
          <cell r="AC29">
            <v>623.79999999999995</v>
          </cell>
          <cell r="AD29">
            <v>587.15000000000009</v>
          </cell>
          <cell r="AE29">
            <v>617.20000000000005</v>
          </cell>
          <cell r="AF29">
            <v>605.79999999999995</v>
          </cell>
          <cell r="AG29">
            <v>597.4</v>
          </cell>
          <cell r="AH29">
            <v>591</v>
          </cell>
          <cell r="AI29">
            <v>603.20000000000005</v>
          </cell>
          <cell r="AJ29">
            <v>582.20000000000005</v>
          </cell>
          <cell r="AK29">
            <v>564.20000000000005</v>
          </cell>
          <cell r="AL29">
            <v>548</v>
          </cell>
          <cell r="AM29">
            <v>546.29999999999995</v>
          </cell>
          <cell r="AN29">
            <v>560.9</v>
          </cell>
          <cell r="AO29">
            <v>537.79999999999995</v>
          </cell>
          <cell r="AP29">
            <v>517.6</v>
          </cell>
          <cell r="AQ29">
            <v>513.4</v>
          </cell>
          <cell r="AR29">
            <v>505.3</v>
          </cell>
          <cell r="AS29">
            <v>518.6</v>
          </cell>
          <cell r="AT29">
            <v>501.2</v>
          </cell>
          <cell r="AU29">
            <v>488</v>
          </cell>
          <cell r="AV29">
            <v>484.7</v>
          </cell>
          <cell r="AW29">
            <v>487.2</v>
          </cell>
          <cell r="AX29">
            <v>490</v>
          </cell>
          <cell r="AY29">
            <v>478.2</v>
          </cell>
          <cell r="AZ29">
            <v>462</v>
          </cell>
          <cell r="BA29">
            <v>437.1</v>
          </cell>
          <cell r="BB29">
            <v>430.2</v>
          </cell>
          <cell r="BC29">
            <v>451.87500000000006</v>
          </cell>
          <cell r="BD29">
            <v>414.2</v>
          </cell>
          <cell r="BE29">
            <v>405.1</v>
          </cell>
          <cell r="BF29">
            <v>394.9</v>
          </cell>
          <cell r="BG29">
            <v>394.7</v>
          </cell>
          <cell r="BH29">
            <v>402.22499999999997</v>
          </cell>
          <cell r="BI29">
            <v>394.7</v>
          </cell>
          <cell r="BJ29">
            <v>394.7</v>
          </cell>
          <cell r="BK29">
            <v>370.46684103244183</v>
          </cell>
          <cell r="BL29">
            <v>341.56222973378812</v>
          </cell>
          <cell r="BM29">
            <v>375.35726769155747</v>
          </cell>
          <cell r="BN29">
            <v>326.75991692561792</v>
          </cell>
          <cell r="BO29">
            <v>311.20423156122075</v>
          </cell>
          <cell r="BP29">
            <v>304.7336572980289</v>
          </cell>
          <cell r="BQ29">
            <v>302.67995671650232</v>
          </cell>
          <cell r="BR29">
            <v>311.34444062534249</v>
          </cell>
          <cell r="BS29">
            <v>290.5688126748002</v>
          </cell>
          <cell r="BT29">
            <v>275.67537328829837</v>
          </cell>
          <cell r="BU29">
            <v>269.30636225276771</v>
          </cell>
          <cell r="BV29">
            <v>265.27769002508245</v>
          </cell>
          <cell r="BW29">
            <v>275.20705956023716</v>
          </cell>
          <cell r="BX29">
            <v>255.8420597758319</v>
          </cell>
          <cell r="BY29">
            <v>244.3926503988435</v>
          </cell>
          <cell r="BZ29">
            <v>237.96141386715053</v>
          </cell>
          <cell r="CA29">
            <v>233.20618368692533</v>
          </cell>
          <cell r="CB29">
            <v>242.85057693218781</v>
          </cell>
          <cell r="CI29" t="str">
            <v>mstag:averageDilutedSharesOutstanding</v>
          </cell>
          <cell r="CJ29">
            <v>6</v>
          </cell>
          <cell r="CK29" t="str">
            <v>ms_eqr_gcim_Decimal:ms_eqr_gcim_decimal</v>
          </cell>
          <cell r="CL29" t="b">
            <v>0</v>
          </cell>
        </row>
        <row r="30">
          <cell r="B30" t="str">
            <v>Outstanding Shares</v>
          </cell>
          <cell r="AE30" t="str">
            <v>ND</v>
          </cell>
          <cell r="AF30" t="str">
            <v>ND</v>
          </cell>
          <cell r="AG30" t="str">
            <v>ND</v>
          </cell>
          <cell r="AH30">
            <v>576.89690799999994</v>
          </cell>
          <cell r="AI30">
            <v>576.89690799999994</v>
          </cell>
          <cell r="AJ30">
            <v>559.735094</v>
          </cell>
          <cell r="AK30">
            <v>544.50830799999994</v>
          </cell>
          <cell r="AL30">
            <v>534.47945200000004</v>
          </cell>
          <cell r="AM30">
            <v>535.93928600000004</v>
          </cell>
          <cell r="AN30">
            <v>535.93928600000004</v>
          </cell>
          <cell r="AO30">
            <v>516.96357999999998</v>
          </cell>
          <cell r="AP30">
            <v>505.67632600000002</v>
          </cell>
          <cell r="AQ30">
            <v>498.45347699999996</v>
          </cell>
          <cell r="AR30">
            <v>493.32536899999997</v>
          </cell>
          <cell r="AS30">
            <v>493.32536899999997</v>
          </cell>
          <cell r="AT30">
            <v>489.74058700000006</v>
          </cell>
          <cell r="AU30">
            <v>472.72141199999999</v>
          </cell>
          <cell r="AV30">
            <v>477.1</v>
          </cell>
          <cell r="AW30">
            <v>475.2</v>
          </cell>
          <cell r="AX30">
            <v>475.2</v>
          </cell>
          <cell r="AY30">
            <v>457.29555300000004</v>
          </cell>
          <cell r="AZ30">
            <v>441.3</v>
          </cell>
          <cell r="BA30">
            <v>424.15939900000006</v>
          </cell>
          <cell r="BB30">
            <v>411.2</v>
          </cell>
          <cell r="BC30">
            <v>411.2</v>
          </cell>
          <cell r="BD30">
            <v>400.2</v>
          </cell>
          <cell r="BE30">
            <v>391.54067099999997</v>
          </cell>
          <cell r="BF30">
            <v>386.87176499999998</v>
          </cell>
          <cell r="BG30">
            <v>387.8</v>
          </cell>
          <cell r="BH30">
            <v>387.8</v>
          </cell>
          <cell r="BI30">
            <v>387.8</v>
          </cell>
          <cell r="BJ30">
            <v>387.8</v>
          </cell>
          <cell r="BK30">
            <v>340.18095238095236</v>
          </cell>
          <cell r="BL30">
            <v>331.00137693631666</v>
          </cell>
          <cell r="BM30">
            <v>331.00137693631666</v>
          </cell>
          <cell r="BN30">
            <v>311.09386392385375</v>
          </cell>
          <cell r="BO30">
            <v>300.43388372976381</v>
          </cell>
          <cell r="BP30">
            <v>298.37894778873442</v>
          </cell>
          <cell r="BQ30">
            <v>296.39828664075429</v>
          </cell>
          <cell r="BR30">
            <v>296.39828664075429</v>
          </cell>
          <cell r="BS30">
            <v>274.58010482257248</v>
          </cell>
          <cell r="BT30">
            <v>267.13213110953853</v>
          </cell>
          <cell r="BU30">
            <v>262.06476416091158</v>
          </cell>
          <cell r="BV30">
            <v>259.21564218176388</v>
          </cell>
          <cell r="BW30">
            <v>259.21564218176388</v>
          </cell>
          <cell r="BX30">
            <v>243.52340408663042</v>
          </cell>
          <cell r="BY30">
            <v>236.71713214175327</v>
          </cell>
          <cell r="BZ30">
            <v>230.88578803904727</v>
          </cell>
          <cell r="CA30">
            <v>227.37293014585089</v>
          </cell>
          <cell r="CB30">
            <v>227.37293014585089</v>
          </cell>
          <cell r="CI30" t="str">
            <v>mstag:periodEndBasicSharesOutstanding</v>
          </cell>
          <cell r="CJ30">
            <v>6</v>
          </cell>
          <cell r="CK30" t="str">
            <v>ms_eqr_gcim_Decimal:ms_eqr_gcim_decimal</v>
          </cell>
          <cell r="CL30" t="b">
            <v>0</v>
          </cell>
        </row>
        <row r="32">
          <cell r="B32" t="str">
            <v>Share repurchase</v>
          </cell>
        </row>
        <row r="33">
          <cell r="B33" t="str">
            <v>Amount to repurchase</v>
          </cell>
          <cell r="AE33">
            <v>1000</v>
          </cell>
          <cell r="AF33">
            <v>796</v>
          </cell>
          <cell r="AG33">
            <v>247.01439999999991</v>
          </cell>
          <cell r="AH33">
            <v>1267.5350000000001</v>
          </cell>
          <cell r="AJ33">
            <v>3944.5349999999999</v>
          </cell>
          <cell r="AK33">
            <v>3162.5349999999999</v>
          </cell>
          <cell r="AL33">
            <v>2497.5349999999999</v>
          </cell>
          <cell r="AM33">
            <v>1984.5349999999999</v>
          </cell>
          <cell r="AO33">
            <v>1984.5349999999999</v>
          </cell>
          <cell r="AP33">
            <v>984.53499999999985</v>
          </cell>
          <cell r="AQ33">
            <v>421.44799999999998</v>
          </cell>
          <cell r="AR33">
            <v>29.74799999999999</v>
          </cell>
          <cell r="AT33">
            <v>2800.0039999999999</v>
          </cell>
          <cell r="AU33">
            <v>2584.402</v>
          </cell>
          <cell r="AV33">
            <v>1792.902</v>
          </cell>
          <cell r="AW33">
            <v>1792.902</v>
          </cell>
          <cell r="AY33">
            <v>1561.502</v>
          </cell>
          <cell r="AZ33">
            <v>3331.6019999999999</v>
          </cell>
          <cell r="BA33">
            <v>2303.6019999999999</v>
          </cell>
          <cell r="BB33">
            <v>1400.1019999999999</v>
          </cell>
          <cell r="BD33">
            <v>3436.8019999999997</v>
          </cell>
          <cell r="BE33">
            <v>2600.2019999999998</v>
          </cell>
          <cell r="BF33">
            <v>2000.2019999999998</v>
          </cell>
          <cell r="BG33">
            <v>1650.2019999999998</v>
          </cell>
          <cell r="BI33">
            <v>2650.2019999999998</v>
          </cell>
          <cell r="BJ33">
            <v>2650.2019999999998</v>
          </cell>
          <cell r="BK33">
            <v>2650.2019999999998</v>
          </cell>
          <cell r="BL33">
            <v>650.20199999999977</v>
          </cell>
          <cell r="BN33">
            <v>3250.2019999999998</v>
          </cell>
          <cell r="BO33">
            <v>2350.2019999999998</v>
          </cell>
          <cell r="BP33">
            <v>1850.2019999999998</v>
          </cell>
          <cell r="BQ33">
            <v>1750.2019999999998</v>
          </cell>
          <cell r="BS33">
            <v>1650.2019999999998</v>
          </cell>
          <cell r="BT33">
            <v>4450.2019999999993</v>
          </cell>
          <cell r="BU33">
            <v>4025.2019999999993</v>
          </cell>
          <cell r="BV33">
            <v>3725.2019999999993</v>
          </cell>
          <cell r="BX33">
            <v>3550.2019999999993</v>
          </cell>
          <cell r="BY33">
            <v>2550.2019999999993</v>
          </cell>
          <cell r="BZ33">
            <v>2100.2019999999993</v>
          </cell>
          <cell r="CA33">
            <v>1700.2019999999993</v>
          </cell>
        </row>
        <row r="34">
          <cell r="B34" t="str">
            <v>Amount repurchased ($)</v>
          </cell>
          <cell r="AE34">
            <v>204</v>
          </cell>
          <cell r="AF34">
            <v>548.98560000000009</v>
          </cell>
          <cell r="AG34">
            <v>71.8</v>
          </cell>
          <cell r="AH34">
            <v>323</v>
          </cell>
          <cell r="AI34">
            <v>1147.7856000000002</v>
          </cell>
          <cell r="AJ34">
            <v>782</v>
          </cell>
          <cell r="AK34">
            <v>665</v>
          </cell>
          <cell r="AL34">
            <v>513</v>
          </cell>
          <cell r="AM34">
            <v>0</v>
          </cell>
          <cell r="AN34">
            <v>1960</v>
          </cell>
          <cell r="AO34">
            <v>1000</v>
          </cell>
          <cell r="AP34">
            <v>562.4</v>
          </cell>
          <cell r="AQ34">
            <v>391.7</v>
          </cell>
          <cell r="AR34">
            <v>25.899999999999864</v>
          </cell>
          <cell r="AS34">
            <v>1979.9999999999998</v>
          </cell>
          <cell r="AT34">
            <v>215.6</v>
          </cell>
          <cell r="AU34">
            <v>791.5</v>
          </cell>
          <cell r="AV34">
            <v>0</v>
          </cell>
          <cell r="AW34">
            <v>231.4</v>
          </cell>
          <cell r="AX34">
            <v>1238.5</v>
          </cell>
          <cell r="AY34">
            <v>1229.9000000000001</v>
          </cell>
          <cell r="AZ34">
            <v>1028</v>
          </cell>
          <cell r="BA34">
            <v>903.5</v>
          </cell>
          <cell r="BB34">
            <v>963.3</v>
          </cell>
          <cell r="BC34">
            <v>4124.7</v>
          </cell>
          <cell r="BD34">
            <v>836.6</v>
          </cell>
          <cell r="BE34">
            <v>600</v>
          </cell>
          <cell r="BF34">
            <v>350</v>
          </cell>
          <cell r="BG34">
            <v>350</v>
          </cell>
          <cell r="BH34">
            <v>1786.6</v>
          </cell>
          <cell r="BI34">
            <v>1000</v>
          </cell>
          <cell r="BJ34">
            <v>500</v>
          </cell>
          <cell r="BK34">
            <v>2000</v>
          </cell>
          <cell r="BL34">
            <v>400</v>
          </cell>
          <cell r="BM34">
            <v>2400</v>
          </cell>
          <cell r="BN34">
            <v>900</v>
          </cell>
          <cell r="BO34">
            <v>500</v>
          </cell>
          <cell r="BP34">
            <v>100</v>
          </cell>
          <cell r="BQ34">
            <v>100</v>
          </cell>
          <cell r="BR34">
            <v>1600</v>
          </cell>
          <cell r="BS34">
            <v>1200</v>
          </cell>
          <cell r="BT34">
            <v>425</v>
          </cell>
          <cell r="BU34">
            <v>300</v>
          </cell>
          <cell r="BV34">
            <v>175</v>
          </cell>
          <cell r="BW34">
            <v>2100</v>
          </cell>
          <cell r="BX34">
            <v>1000</v>
          </cell>
          <cell r="BY34">
            <v>450</v>
          </cell>
          <cell r="BZ34">
            <v>400</v>
          </cell>
          <cell r="CA34">
            <v>250</v>
          </cell>
          <cell r="CB34">
            <v>2100</v>
          </cell>
        </row>
        <row r="35">
          <cell r="B35" t="str">
            <v>Average repurchase price</v>
          </cell>
          <cell r="AE35">
            <v>29.142857142857142</v>
          </cell>
          <cell r="AF35">
            <v>26.475000000000001</v>
          </cell>
          <cell r="AG35">
            <v>29.317035565892279</v>
          </cell>
          <cell r="AH35">
            <v>26.048387096774192</v>
          </cell>
          <cell r="AJ35">
            <v>33.774999999999999</v>
          </cell>
          <cell r="AK35">
            <v>38.200000000000003</v>
          </cell>
          <cell r="AL35">
            <v>40.24</v>
          </cell>
          <cell r="AM35">
            <v>48</v>
          </cell>
          <cell r="AO35">
            <v>47.55</v>
          </cell>
          <cell r="AP35">
            <v>45.22</v>
          </cell>
          <cell r="AQ35">
            <v>47.23</v>
          </cell>
          <cell r="AR35">
            <v>39.6</v>
          </cell>
          <cell r="AT35">
            <v>40.590000000000003</v>
          </cell>
          <cell r="AU35">
            <v>43.32</v>
          </cell>
          <cell r="AV35">
            <v>60</v>
          </cell>
          <cell r="AW35">
            <v>62.36</v>
          </cell>
          <cell r="AY35">
            <v>63.17</v>
          </cell>
          <cell r="AZ35">
            <v>58.45</v>
          </cell>
          <cell r="BA35">
            <v>52.81</v>
          </cell>
          <cell r="BB35">
            <v>61.05</v>
          </cell>
          <cell r="BD35">
            <v>62.2</v>
          </cell>
          <cell r="BE35">
            <v>59</v>
          </cell>
          <cell r="BF35">
            <v>55.89</v>
          </cell>
          <cell r="BG35">
            <v>1E-4</v>
          </cell>
          <cell r="BI35">
            <v>1E-4</v>
          </cell>
          <cell r="BJ35">
            <v>1E-4</v>
          </cell>
          <cell r="BK35">
            <v>42</v>
          </cell>
          <cell r="BL35">
            <v>43.575000000000003</v>
          </cell>
          <cell r="BN35">
            <v>45.209062500000009</v>
          </cell>
          <cell r="BO35">
            <v>46.904402343750014</v>
          </cell>
          <cell r="BP35">
            <v>48.663317431640642</v>
          </cell>
          <cell r="BQ35">
            <v>50.488191835327171</v>
          </cell>
          <cell r="BS35">
            <v>55</v>
          </cell>
          <cell r="BT35">
            <v>57.062500000000007</v>
          </cell>
          <cell r="BU35">
            <v>59.202343750000011</v>
          </cell>
          <cell r="BV35">
            <v>61.422431640625014</v>
          </cell>
          <cell r="BX35">
            <v>63.725772827148461</v>
          </cell>
          <cell r="BY35">
            <v>66.115489308166531</v>
          </cell>
          <cell r="BZ35">
            <v>68.594820157222784</v>
          </cell>
          <cell r="CA35">
            <v>71.167125913118639</v>
          </cell>
        </row>
        <row r="36">
          <cell r="B36" t="str">
            <v>Number of shares repurchased</v>
          </cell>
          <cell r="AE36">
            <v>7</v>
          </cell>
          <cell r="AF36">
            <v>20.736000000000001</v>
          </cell>
          <cell r="AG36">
            <v>2.4490880000000002</v>
          </cell>
          <cell r="AH36">
            <v>12.4</v>
          </cell>
          <cell r="AJ36">
            <v>23.153219837157661</v>
          </cell>
          <cell r="AK36">
            <v>17.408376963350783</v>
          </cell>
          <cell r="AL36">
            <v>12.748508946322067</v>
          </cell>
          <cell r="AM36">
            <v>0</v>
          </cell>
          <cell r="AO36">
            <v>21.030494216614091</v>
          </cell>
          <cell r="AP36">
            <v>12.436974789915967</v>
          </cell>
          <cell r="AQ36">
            <v>8.2934575481685364</v>
          </cell>
          <cell r="AR36">
            <v>0.65404040404040054</v>
          </cell>
          <cell r="AT36">
            <v>5.3116531165311649</v>
          </cell>
          <cell r="AU36">
            <v>18.27100646352724</v>
          </cell>
          <cell r="AV36">
            <v>0</v>
          </cell>
          <cell r="AW36">
            <v>3.7107119948685057</v>
          </cell>
          <cell r="AY36">
            <v>19.469684977046068</v>
          </cell>
          <cell r="AZ36">
            <v>17.587681779298546</v>
          </cell>
          <cell r="BA36">
            <v>17.108502177617876</v>
          </cell>
          <cell r="BB36">
            <v>15.77886977886978</v>
          </cell>
          <cell r="BD36">
            <v>13.45016077170418</v>
          </cell>
          <cell r="BE36">
            <v>10.169491525423728</v>
          </cell>
          <cell r="BF36">
            <v>6.2623009482912861</v>
          </cell>
          <cell r="BG36">
            <v>0</v>
          </cell>
          <cell r="BH36">
            <v>29.881953245419194</v>
          </cell>
          <cell r="BI36">
            <v>0</v>
          </cell>
          <cell r="BJ36">
            <v>0</v>
          </cell>
          <cell r="BK36">
            <v>47.61904761904762</v>
          </cell>
          <cell r="BL36">
            <v>9.1795754446356845</v>
          </cell>
          <cell r="BN36">
            <v>19.907513012462928</v>
          </cell>
          <cell r="BO36">
            <v>10.65998019408992</v>
          </cell>
          <cell r="BP36">
            <v>2.0549359410293824</v>
          </cell>
          <cell r="BQ36">
            <v>1.9806611479801273</v>
          </cell>
          <cell r="BS36">
            <v>21.818181818181817</v>
          </cell>
          <cell r="BT36">
            <v>7.4479737130339529</v>
          </cell>
          <cell r="BU36">
            <v>5.067366948626927</v>
          </cell>
          <cell r="BV36">
            <v>2.8491219791476698</v>
          </cell>
          <cell r="BX36">
            <v>15.692238095133463</v>
          </cell>
          <cell r="BY36">
            <v>6.8062719448771647</v>
          </cell>
          <cell r="BZ36">
            <v>5.8313441027060042</v>
          </cell>
          <cell r="CA36">
            <v>3.5128578931963879</v>
          </cell>
        </row>
        <row r="37">
          <cell r="B37" t="str">
            <v>Remaining to repurchase ($)</v>
          </cell>
          <cell r="AE37">
            <v>796</v>
          </cell>
          <cell r="AF37">
            <v>247.01439999999991</v>
          </cell>
          <cell r="AG37">
            <v>175.2143999999999</v>
          </cell>
          <cell r="AH37">
            <v>944.53500000000008</v>
          </cell>
          <cell r="AJ37">
            <v>3162.5349999999999</v>
          </cell>
          <cell r="AK37">
            <v>2497.5349999999999</v>
          </cell>
          <cell r="AL37">
            <v>1984.5349999999999</v>
          </cell>
          <cell r="AM37">
            <v>1984.5349999999999</v>
          </cell>
          <cell r="AO37">
            <v>984.53499999999985</v>
          </cell>
          <cell r="AP37">
            <v>422.13499999999988</v>
          </cell>
          <cell r="AQ37">
            <v>29.74799999999999</v>
          </cell>
          <cell r="AR37">
            <v>3.8480000000001269</v>
          </cell>
          <cell r="AT37">
            <v>2584.404</v>
          </cell>
          <cell r="AU37">
            <v>1792.902</v>
          </cell>
          <cell r="AV37">
            <v>1792.902</v>
          </cell>
          <cell r="AW37">
            <v>1561.502</v>
          </cell>
          <cell r="AY37">
            <v>331.60199999999986</v>
          </cell>
          <cell r="AZ37">
            <v>2303.6019999999999</v>
          </cell>
          <cell r="BA37">
            <v>1400.1019999999999</v>
          </cell>
          <cell r="BB37">
            <v>436.80199999999991</v>
          </cell>
          <cell r="BD37">
            <v>2600.2019999999998</v>
          </cell>
          <cell r="BE37">
            <v>2000.2019999999998</v>
          </cell>
          <cell r="BF37">
            <v>1650.2019999999998</v>
          </cell>
          <cell r="BG37">
            <v>1650.2019999999998</v>
          </cell>
          <cell r="BI37">
            <v>2650.2019999999998</v>
          </cell>
          <cell r="BJ37">
            <v>2650.2019999999998</v>
          </cell>
          <cell r="BK37">
            <v>650.20199999999977</v>
          </cell>
          <cell r="BL37">
            <v>250.20199999999977</v>
          </cell>
          <cell r="BN37">
            <v>2350.2019999999998</v>
          </cell>
          <cell r="BO37">
            <v>1850.2019999999998</v>
          </cell>
          <cell r="BP37">
            <v>1750.2019999999998</v>
          </cell>
          <cell r="BQ37">
            <v>1650.2019999999998</v>
          </cell>
          <cell r="BS37">
            <v>450.20199999999977</v>
          </cell>
          <cell r="BT37">
            <v>4025.2019999999993</v>
          </cell>
          <cell r="BU37">
            <v>3725.2019999999993</v>
          </cell>
          <cell r="BV37">
            <v>3550.2019999999993</v>
          </cell>
          <cell r="BX37">
            <v>2550.2019999999993</v>
          </cell>
          <cell r="BY37">
            <v>2100.2019999999993</v>
          </cell>
          <cell r="BZ37">
            <v>1700.2019999999993</v>
          </cell>
          <cell r="CA37">
            <v>1450.2019999999993</v>
          </cell>
        </row>
        <row r="39">
          <cell r="B39" t="str">
            <v>Share Price Growth Rate</v>
          </cell>
          <cell r="BE39">
            <v>0</v>
          </cell>
          <cell r="BF39">
            <v>0.15</v>
          </cell>
          <cell r="BG39">
            <v>0.15</v>
          </cell>
          <cell r="BI39">
            <v>0.1</v>
          </cell>
          <cell r="BJ39">
            <v>0.1</v>
          </cell>
          <cell r="BK39">
            <v>0.15</v>
          </cell>
          <cell r="BL39">
            <v>0.15</v>
          </cell>
          <cell r="BN39">
            <v>0.15</v>
          </cell>
          <cell r="BO39">
            <v>0.15</v>
          </cell>
          <cell r="BP39">
            <v>0.15</v>
          </cell>
          <cell r="BQ39">
            <v>0.15</v>
          </cell>
          <cell r="BS39">
            <v>0.15</v>
          </cell>
          <cell r="BT39">
            <v>0.15</v>
          </cell>
          <cell r="BU39">
            <v>0.15</v>
          </cell>
          <cell r="BV39">
            <v>0.15</v>
          </cell>
          <cell r="BX39">
            <v>0.15</v>
          </cell>
          <cell r="BY39">
            <v>0.15</v>
          </cell>
          <cell r="BZ39">
            <v>0.15</v>
          </cell>
          <cell r="CA39">
            <v>0.15</v>
          </cell>
        </row>
        <row r="41">
          <cell r="B41" t="str">
            <v>company guidance - continuing</v>
          </cell>
          <cell r="AS41" t="str">
            <v>2.30-2.33</v>
          </cell>
          <cell r="AX41" t="str">
            <v>2.80-2.82</v>
          </cell>
          <cell r="BC41" t="str">
            <v>$3.38-$3.40</v>
          </cell>
        </row>
        <row r="42">
          <cell r="B42" t="str">
            <v>company guidance - no Amortization</v>
          </cell>
          <cell r="BC42" t="str">
            <v>$3.53-$3.55</v>
          </cell>
          <cell r="BH42" t="str">
            <v>$4.08-$4.12</v>
          </cell>
        </row>
        <row r="43">
          <cell r="B43" t="str">
            <v>company guidance - GAAP</v>
          </cell>
          <cell r="AX43" t="str">
            <v>2.58-2.60</v>
          </cell>
          <cell r="BC43" t="str">
            <v>$3.14-$3.16</v>
          </cell>
          <cell r="BH43" t="str">
            <v>$3.65-$3.69</v>
          </cell>
        </row>
        <row r="45">
          <cell r="B45" t="str">
            <v>EBIT and EBITDA</v>
          </cell>
        </row>
        <row r="46">
          <cell r="B46" t="str">
            <v xml:space="preserve">EBIT </v>
          </cell>
          <cell r="D46">
            <v>328.00000000000216</v>
          </cell>
          <cell r="E46">
            <v>441.69999999999851</v>
          </cell>
          <cell r="F46">
            <v>0</v>
          </cell>
          <cell r="G46">
            <v>0</v>
          </cell>
          <cell r="H46">
            <v>0</v>
          </cell>
          <cell r="I46">
            <v>0</v>
          </cell>
          <cell r="J46">
            <v>513.70000000000505</v>
          </cell>
          <cell r="K46">
            <v>101.90000000000019</v>
          </cell>
          <cell r="L46">
            <v>188.89999999999893</v>
          </cell>
          <cell r="M46">
            <v>155.00000000000037</v>
          </cell>
          <cell r="N46">
            <v>182.50000000000037</v>
          </cell>
          <cell r="O46">
            <v>628.19999999999925</v>
          </cell>
          <cell r="P46">
            <v>162.9</v>
          </cell>
          <cell r="Q46">
            <v>179.59999999999965</v>
          </cell>
          <cell r="R46">
            <v>180.40000000000018</v>
          </cell>
          <cell r="S46">
            <v>218.50000000000148</v>
          </cell>
          <cell r="T46">
            <v>741.39999999999861</v>
          </cell>
          <cell r="U46">
            <v>196.7999999999989</v>
          </cell>
          <cell r="V46">
            <v>225.90000000000072</v>
          </cell>
          <cell r="W46">
            <v>209.89999999999708</v>
          </cell>
          <cell r="X46">
            <v>233.59999999999962</v>
          </cell>
          <cell r="Y46">
            <v>866.19999999999254</v>
          </cell>
          <cell r="Z46">
            <v>227.60000000000002</v>
          </cell>
          <cell r="AA46">
            <v>234.90000000000111</v>
          </cell>
          <cell r="AB46">
            <v>228.60000000000221</v>
          </cell>
          <cell r="AC46">
            <v>301.59999999999962</v>
          </cell>
          <cell r="AD46">
            <v>992.70000000000289</v>
          </cell>
          <cell r="AE46">
            <v>250.70000000000076</v>
          </cell>
          <cell r="AF46">
            <v>289.79999999999995</v>
          </cell>
          <cell r="AG46">
            <v>315.99999999999818</v>
          </cell>
          <cell r="AH46">
            <v>384.30000000000069</v>
          </cell>
          <cell r="AI46">
            <v>1240.7999999999995</v>
          </cell>
          <cell r="AJ46">
            <v>470.69999999999891</v>
          </cell>
          <cell r="AK46">
            <v>376.00000000000034</v>
          </cell>
          <cell r="AL46">
            <v>383.00000000000108</v>
          </cell>
          <cell r="AM46">
            <v>373.3999999999989</v>
          </cell>
          <cell r="AN46">
            <v>1603.0999999999992</v>
          </cell>
          <cell r="AO46">
            <v>502.30000000000075</v>
          </cell>
          <cell r="AP46">
            <v>494.5</v>
          </cell>
          <cell r="AQ46">
            <v>506.49999999999739</v>
          </cell>
          <cell r="AR46">
            <v>515.19999999999857</v>
          </cell>
          <cell r="AS46">
            <v>2018.4999999999968</v>
          </cell>
          <cell r="AT46">
            <v>527.90000000000043</v>
          </cell>
          <cell r="AU46">
            <v>569.19999999999925</v>
          </cell>
          <cell r="AV46">
            <v>592.6</v>
          </cell>
          <cell r="AW46">
            <v>576.10000000000036</v>
          </cell>
          <cell r="AX46">
            <v>2265.8000000000002</v>
          </cell>
          <cell r="AY46">
            <v>571.59999999999889</v>
          </cell>
          <cell r="AZ46">
            <v>614.6000000000007</v>
          </cell>
          <cell r="BA46">
            <v>653.29999999999995</v>
          </cell>
          <cell r="BB46">
            <v>657.70000000000073</v>
          </cell>
          <cell r="BC46">
            <v>2497.2000000000003</v>
          </cell>
          <cell r="BD46">
            <v>609.9999999999992</v>
          </cell>
          <cell r="BE46">
            <v>611.79999999999973</v>
          </cell>
          <cell r="BF46">
            <v>674.90000000000032</v>
          </cell>
          <cell r="BG46">
            <v>769.0000000000008</v>
          </cell>
          <cell r="BH46">
            <v>2665.7</v>
          </cell>
          <cell r="BI46">
            <v>580.06184680398792</v>
          </cell>
          <cell r="BJ46">
            <v>628.39848515403378</v>
          </cell>
          <cell r="BK46">
            <v>692.1687645281379</v>
          </cell>
          <cell r="BL46">
            <v>738.0274330125086</v>
          </cell>
          <cell r="BM46">
            <v>2638.6565294986681</v>
          </cell>
          <cell r="BN46">
            <v>633.62074857335892</v>
          </cell>
          <cell r="BO46">
            <v>643.19445494309059</v>
          </cell>
          <cell r="BP46">
            <v>695.06371364345955</v>
          </cell>
          <cell r="BQ46">
            <v>686.61479051643005</v>
          </cell>
          <cell r="BR46">
            <v>2658.493707676339</v>
          </cell>
          <cell r="BS46">
            <v>679.06046353792772</v>
          </cell>
          <cell r="BT46">
            <v>694.63175693508015</v>
          </cell>
          <cell r="BU46">
            <v>755.88343031433783</v>
          </cell>
          <cell r="BV46">
            <v>748.08925636638651</v>
          </cell>
          <cell r="BW46">
            <v>2877.6649071537322</v>
          </cell>
          <cell r="BX46">
            <v>724.16177160460256</v>
          </cell>
          <cell r="BY46">
            <v>736.37401551415837</v>
          </cell>
          <cell r="BZ46">
            <v>795.36391367038004</v>
          </cell>
          <cell r="CA46">
            <v>785.77184391942149</v>
          </cell>
          <cell r="CB46">
            <v>3041.6715447085626</v>
          </cell>
        </row>
        <row r="47">
          <cell r="B47" t="str">
            <v>Depreciation and amortization</v>
          </cell>
          <cell r="D47">
            <v>263.5</v>
          </cell>
          <cell r="E47">
            <v>289.20000000000005</v>
          </cell>
          <cell r="F47">
            <v>0</v>
          </cell>
          <cell r="G47">
            <v>0</v>
          </cell>
          <cell r="H47">
            <v>0</v>
          </cell>
          <cell r="I47">
            <v>0</v>
          </cell>
          <cell r="J47">
            <v>322.89999999999998</v>
          </cell>
          <cell r="K47">
            <v>0</v>
          </cell>
          <cell r="L47">
            <v>0</v>
          </cell>
          <cell r="M47">
            <v>63.2</v>
          </cell>
          <cell r="N47">
            <v>0</v>
          </cell>
          <cell r="O47">
            <v>257.39999999999998</v>
          </cell>
          <cell r="P47">
            <v>69.7</v>
          </cell>
          <cell r="Q47">
            <v>69.40000000000002</v>
          </cell>
          <cell r="R47">
            <v>70.699999999999974</v>
          </cell>
          <cell r="S47">
            <v>73.499999999999986</v>
          </cell>
          <cell r="T47">
            <v>283.3</v>
          </cell>
          <cell r="U47">
            <v>107.2</v>
          </cell>
          <cell r="V47">
            <v>94.600000000000009</v>
          </cell>
          <cell r="W47">
            <v>90.599999999999952</v>
          </cell>
          <cell r="X47">
            <v>84.90000000000002</v>
          </cell>
          <cell r="Y47">
            <v>377.3</v>
          </cell>
          <cell r="Z47">
            <v>86.4</v>
          </cell>
          <cell r="AA47">
            <v>84.4</v>
          </cell>
          <cell r="AB47">
            <v>88.699999999999989</v>
          </cell>
          <cell r="AC47">
            <v>98.1</v>
          </cell>
          <cell r="AD47">
            <v>357.6</v>
          </cell>
          <cell r="AE47">
            <v>104.2</v>
          </cell>
          <cell r="AF47">
            <v>95.999999999999986</v>
          </cell>
          <cell r="AG47">
            <v>96.90000000000002</v>
          </cell>
          <cell r="AH47">
            <v>94.999999999999986</v>
          </cell>
          <cell r="AI47">
            <v>392.1</v>
          </cell>
          <cell r="AJ47">
            <v>96.1</v>
          </cell>
          <cell r="AK47">
            <v>98.6</v>
          </cell>
          <cell r="AL47">
            <v>93.700000000000017</v>
          </cell>
          <cell r="AM47">
            <v>108.60000000000002</v>
          </cell>
          <cell r="AN47">
            <v>397</v>
          </cell>
          <cell r="AO47">
            <v>109.6</v>
          </cell>
          <cell r="AP47">
            <v>109.5</v>
          </cell>
          <cell r="AQ47">
            <v>109.79999999999998</v>
          </cell>
          <cell r="AR47">
            <v>113.90000000000003</v>
          </cell>
          <cell r="AS47">
            <v>442.80000000000007</v>
          </cell>
          <cell r="AT47">
            <v>119.10000000000001</v>
          </cell>
          <cell r="AU47">
            <v>120.10000000000001</v>
          </cell>
          <cell r="AV47">
            <v>126.69999999999996</v>
          </cell>
          <cell r="AW47">
            <v>118.70000000000005</v>
          </cell>
          <cell r="AX47">
            <v>484.6</v>
          </cell>
          <cell r="AY47">
            <v>114.9</v>
          </cell>
          <cell r="AZ47">
            <v>115.49999999999997</v>
          </cell>
          <cell r="BA47">
            <v>117.70000000000005</v>
          </cell>
          <cell r="BB47">
            <v>128.79999999999995</v>
          </cell>
          <cell r="BC47">
            <v>476.9</v>
          </cell>
          <cell r="BD47">
            <v>124.2</v>
          </cell>
          <cell r="BE47">
            <v>124.2</v>
          </cell>
          <cell r="BF47">
            <v>126</v>
          </cell>
          <cell r="BG47">
            <v>130.5</v>
          </cell>
          <cell r="BH47">
            <v>505</v>
          </cell>
          <cell r="BI47">
            <v>130.5</v>
          </cell>
          <cell r="BJ47">
            <v>130.5</v>
          </cell>
          <cell r="BK47">
            <v>130.5</v>
          </cell>
          <cell r="BL47">
            <v>130.5</v>
          </cell>
          <cell r="BM47">
            <v>522</v>
          </cell>
          <cell r="BN47">
            <v>130.5</v>
          </cell>
          <cell r="BO47">
            <v>130.5</v>
          </cell>
          <cell r="BP47">
            <v>130.5</v>
          </cell>
          <cell r="BQ47">
            <v>130.5</v>
          </cell>
          <cell r="BR47">
            <v>522</v>
          </cell>
          <cell r="BS47">
            <v>130.5</v>
          </cell>
          <cell r="BT47">
            <v>130.5</v>
          </cell>
          <cell r="BU47">
            <v>130.5</v>
          </cell>
          <cell r="BV47">
            <v>130.5</v>
          </cell>
          <cell r="BW47">
            <v>522</v>
          </cell>
          <cell r="BX47">
            <v>130.5</v>
          </cell>
          <cell r="BY47">
            <v>130.5</v>
          </cell>
          <cell r="BZ47">
            <v>130.5</v>
          </cell>
          <cell r="CA47">
            <v>130.5</v>
          </cell>
          <cell r="CB47">
            <v>522</v>
          </cell>
        </row>
        <row r="48">
          <cell r="B48" t="str">
            <v>EBITDA</v>
          </cell>
          <cell r="D48">
            <v>591.50000000000216</v>
          </cell>
          <cell r="E48">
            <v>730.8999999999985</v>
          </cell>
          <cell r="F48">
            <v>0</v>
          </cell>
          <cell r="G48">
            <v>0</v>
          </cell>
          <cell r="H48">
            <v>0</v>
          </cell>
          <cell r="I48">
            <v>0</v>
          </cell>
          <cell r="J48">
            <v>836.60000000000502</v>
          </cell>
          <cell r="K48">
            <v>101.90000000000019</v>
          </cell>
          <cell r="L48">
            <v>188.89999999999893</v>
          </cell>
          <cell r="M48">
            <v>218.20000000000039</v>
          </cell>
          <cell r="N48">
            <v>182.50000000000037</v>
          </cell>
          <cell r="O48">
            <v>885.59999999999923</v>
          </cell>
          <cell r="P48">
            <v>232.60000000000002</v>
          </cell>
          <cell r="Q48">
            <v>248.99999999999966</v>
          </cell>
          <cell r="R48">
            <v>251.10000000000014</v>
          </cell>
          <cell r="S48">
            <v>292.00000000000148</v>
          </cell>
          <cell r="T48">
            <v>1024.6999999999987</v>
          </cell>
          <cell r="U48">
            <v>303.99999999999892</v>
          </cell>
          <cell r="V48">
            <v>320.50000000000074</v>
          </cell>
          <cell r="W48">
            <v>300.49999999999704</v>
          </cell>
          <cell r="X48">
            <v>318.49999999999966</v>
          </cell>
          <cell r="Y48">
            <v>1243.4999999999925</v>
          </cell>
          <cell r="Z48">
            <v>314</v>
          </cell>
          <cell r="AA48">
            <v>319.30000000000109</v>
          </cell>
          <cell r="AB48">
            <v>317.30000000000223</v>
          </cell>
          <cell r="AC48">
            <v>399.69999999999959</v>
          </cell>
          <cell r="AD48">
            <v>1350.3000000000029</v>
          </cell>
          <cell r="AE48">
            <v>354.90000000000077</v>
          </cell>
          <cell r="AF48">
            <v>385.79999999999995</v>
          </cell>
          <cell r="AG48">
            <v>412.89999999999822</v>
          </cell>
          <cell r="AH48">
            <v>479.30000000000069</v>
          </cell>
          <cell r="AI48">
            <v>1632.8999999999996</v>
          </cell>
          <cell r="AJ48">
            <v>566.79999999999893</v>
          </cell>
          <cell r="AK48">
            <v>474.60000000000036</v>
          </cell>
          <cell r="AL48">
            <v>476.70000000000107</v>
          </cell>
          <cell r="AM48">
            <v>481.99999999999892</v>
          </cell>
          <cell r="AN48">
            <v>2000.0999999999992</v>
          </cell>
          <cell r="AO48">
            <v>611.90000000000077</v>
          </cell>
          <cell r="AP48">
            <v>604</v>
          </cell>
          <cell r="AQ48">
            <v>616.29999999999734</v>
          </cell>
          <cell r="AR48">
            <v>629.09999999999854</v>
          </cell>
          <cell r="AS48">
            <v>2461.299999999997</v>
          </cell>
          <cell r="AT48">
            <v>647.00000000000045</v>
          </cell>
          <cell r="AU48">
            <v>689.3999999999993</v>
          </cell>
          <cell r="AV48">
            <v>719.3</v>
          </cell>
          <cell r="AW48">
            <v>694.80000000000041</v>
          </cell>
          <cell r="AX48">
            <v>2750.4</v>
          </cell>
          <cell r="AY48">
            <v>686.49999999999886</v>
          </cell>
          <cell r="AZ48">
            <v>730.1000000000007</v>
          </cell>
          <cell r="BA48">
            <v>771</v>
          </cell>
          <cell r="BB48">
            <v>786.50000000000068</v>
          </cell>
          <cell r="BC48">
            <v>2974.1000000000004</v>
          </cell>
          <cell r="BD48">
            <v>734.19999999999925</v>
          </cell>
          <cell r="BE48">
            <v>735.99999999999977</v>
          </cell>
          <cell r="BF48">
            <v>800.90000000000032</v>
          </cell>
          <cell r="BG48">
            <v>899.5000000000008</v>
          </cell>
          <cell r="BH48">
            <v>3170.7</v>
          </cell>
          <cell r="BI48">
            <v>710.56184680398792</v>
          </cell>
          <cell r="BJ48">
            <v>758.89848515403378</v>
          </cell>
          <cell r="BK48">
            <v>822.6687645281379</v>
          </cell>
          <cell r="BL48">
            <v>868.5274330125086</v>
          </cell>
          <cell r="BM48">
            <v>3160.6565294986681</v>
          </cell>
          <cell r="BN48">
            <v>764.12074857335892</v>
          </cell>
          <cell r="BO48">
            <v>773.69445494309059</v>
          </cell>
          <cell r="BP48">
            <v>825.56371364345955</v>
          </cell>
          <cell r="BQ48">
            <v>817.11479051643005</v>
          </cell>
          <cell r="BR48">
            <v>3180.493707676339</v>
          </cell>
          <cell r="BS48">
            <v>809.56046353792772</v>
          </cell>
          <cell r="BT48">
            <v>825.13175693508015</v>
          </cell>
          <cell r="BU48">
            <v>886.38343031433783</v>
          </cell>
          <cell r="BV48">
            <v>878.58925636638651</v>
          </cell>
          <cell r="BW48">
            <v>3399.6649071537322</v>
          </cell>
          <cell r="BX48">
            <v>854.66177160460256</v>
          </cell>
          <cell r="BY48">
            <v>866.87401551415837</v>
          </cell>
          <cell r="BZ48">
            <v>925.86391367038004</v>
          </cell>
          <cell r="CA48">
            <v>916.27184391942149</v>
          </cell>
          <cell r="CB48">
            <v>3563.6715447085626</v>
          </cell>
        </row>
        <row r="50">
          <cell r="B50" t="str">
            <v>Margins</v>
          </cell>
          <cell r="D50" t="str">
            <v>1999A</v>
          </cell>
          <cell r="E50" t="str">
            <v>2000A</v>
          </cell>
          <cell r="F50" t="str">
            <v>1QA</v>
          </cell>
          <cell r="G50" t="str">
            <v>2QA</v>
          </cell>
          <cell r="H50" t="str">
            <v>3QA</v>
          </cell>
          <cell r="I50" t="str">
            <v>4QA</v>
          </cell>
          <cell r="J50" t="str">
            <v>2001A</v>
          </cell>
          <cell r="K50" t="str">
            <v>1QA</v>
          </cell>
          <cell r="L50" t="str">
            <v>2QA</v>
          </cell>
          <cell r="M50" t="str">
            <v>3QA</v>
          </cell>
          <cell r="N50" t="str">
            <v>4QA</v>
          </cell>
          <cell r="O50" t="str">
            <v>2002A</v>
          </cell>
          <cell r="P50" t="str">
            <v>1QA</v>
          </cell>
          <cell r="Q50" t="str">
            <v>2QA</v>
          </cell>
          <cell r="R50" t="str">
            <v>3QA</v>
          </cell>
          <cell r="S50" t="str">
            <v>4QA</v>
          </cell>
          <cell r="T50" t="str">
            <v>2003A</v>
          </cell>
          <cell r="U50" t="str">
            <v>1QA</v>
          </cell>
          <cell r="V50" t="str">
            <v>2QA</v>
          </cell>
          <cell r="W50" t="str">
            <v>3QA</v>
          </cell>
          <cell r="X50" t="str">
            <v>4QA</v>
          </cell>
          <cell r="Y50" t="str">
            <v>2004A</v>
          </cell>
          <cell r="Z50" t="str">
            <v>1QA</v>
          </cell>
          <cell r="AA50" t="str">
            <v>2QA</v>
          </cell>
          <cell r="AB50" t="str">
            <v>3QA</v>
          </cell>
          <cell r="AC50" t="str">
            <v>4QA</v>
          </cell>
          <cell r="AD50" t="str">
            <v>2005A</v>
          </cell>
          <cell r="AE50" t="str">
            <v>1QA</v>
          </cell>
          <cell r="AF50" t="str">
            <v>2QA</v>
          </cell>
          <cell r="AG50" t="str">
            <v>3QA</v>
          </cell>
          <cell r="AH50" t="str">
            <v>4QA</v>
          </cell>
          <cell r="AI50" t="str">
            <v>2006A</v>
          </cell>
          <cell r="AJ50" t="str">
            <v>1QA</v>
          </cell>
          <cell r="AK50" t="str">
            <v>2QA</v>
          </cell>
          <cell r="AL50" t="str">
            <v>3QA</v>
          </cell>
          <cell r="AM50" t="str">
            <v>4QA</v>
          </cell>
          <cell r="AN50" t="str">
            <v>2007A</v>
          </cell>
          <cell r="AO50" t="str">
            <v>1QA</v>
          </cell>
          <cell r="AP50" t="str">
            <v>2QA</v>
          </cell>
          <cell r="AQ50" t="str">
            <v>3QA</v>
          </cell>
          <cell r="AR50" t="str">
            <v>4QA</v>
          </cell>
          <cell r="AS50" t="str">
            <v>2008A</v>
          </cell>
          <cell r="AT50" t="str">
            <v>1QA</v>
          </cell>
          <cell r="AU50" t="str">
            <v>2QA</v>
          </cell>
          <cell r="AV50" t="str">
            <v>3QA</v>
          </cell>
          <cell r="AW50" t="str">
            <v>4QA</v>
          </cell>
          <cell r="AX50" t="str">
            <v>2009A</v>
          </cell>
          <cell r="AY50" t="str">
            <v>1QA</v>
          </cell>
          <cell r="AZ50" t="str">
            <v>2QA</v>
          </cell>
          <cell r="BA50" t="str">
            <v>3QA</v>
          </cell>
          <cell r="BB50" t="str">
            <v>4QA</v>
          </cell>
          <cell r="BC50" t="str">
            <v>2010A</v>
          </cell>
          <cell r="BD50" t="str">
            <v>1QA</v>
          </cell>
          <cell r="BE50" t="str">
            <v>2QA</v>
          </cell>
          <cell r="BF50" t="str">
            <v>3QA</v>
          </cell>
          <cell r="BG50" t="str">
            <v>4QA</v>
          </cell>
          <cell r="BH50" t="str">
            <v>2011A</v>
          </cell>
          <cell r="BI50" t="str">
            <v>1QE</v>
          </cell>
          <cell r="BJ50" t="str">
            <v>2QE</v>
          </cell>
          <cell r="BK50" t="str">
            <v>3QE</v>
          </cell>
          <cell r="BL50" t="str">
            <v>4QE</v>
          </cell>
          <cell r="BM50" t="str">
            <v>2012E</v>
          </cell>
          <cell r="BN50" t="str">
            <v>1QE</v>
          </cell>
          <cell r="BO50" t="str">
            <v>2QE</v>
          </cell>
          <cell r="BP50" t="str">
            <v>3QE</v>
          </cell>
          <cell r="BQ50" t="str">
            <v>4QE</v>
          </cell>
          <cell r="BR50" t="str">
            <v>2013E</v>
          </cell>
          <cell r="BS50" t="str">
            <v>1QE</v>
          </cell>
          <cell r="BT50" t="str">
            <v>2QE</v>
          </cell>
          <cell r="BU50" t="str">
            <v>3QE</v>
          </cell>
          <cell r="BV50" t="str">
            <v>4QE</v>
          </cell>
          <cell r="BW50" t="str">
            <v>2014E</v>
          </cell>
          <cell r="BX50" t="str">
            <v>1QE</v>
          </cell>
          <cell r="BY50" t="str">
            <v>2QE</v>
          </cell>
          <cell r="BZ50" t="str">
            <v>3QE</v>
          </cell>
          <cell r="CA50" t="str">
            <v>4QE</v>
          </cell>
          <cell r="CB50" t="str">
            <v>2015E</v>
          </cell>
        </row>
        <row r="51">
          <cell r="B51" t="str">
            <v>Gross profit</v>
          </cell>
          <cell r="D51">
            <v>5.4750659896073889E-2</v>
          </cell>
          <cell r="E51">
            <v>4.9945433233181923E-2</v>
          </cell>
          <cell r="F51" t="str">
            <v>NA</v>
          </cell>
          <cell r="G51" t="str">
            <v>NA</v>
          </cell>
          <cell r="H51" t="str">
            <v>NA</v>
          </cell>
          <cell r="I51" t="str">
            <v>NA</v>
          </cell>
          <cell r="J51">
            <v>4.4164895117404013E-2</v>
          </cell>
          <cell r="K51">
            <v>3.2222651913025056E-2</v>
          </cell>
          <cell r="L51">
            <v>4.0497883635841753E-2</v>
          </cell>
          <cell r="M51">
            <v>4.2677845086014993E-2</v>
          </cell>
          <cell r="N51">
            <v>4.2226802192140186E-2</v>
          </cell>
          <cell r="O51">
            <v>3.9467815586267559E-2</v>
          </cell>
          <cell r="P51">
            <v>4.19361418749475E-2</v>
          </cell>
          <cell r="Q51">
            <v>4.4131120233208358E-2</v>
          </cell>
          <cell r="R51">
            <v>4.5612388549976561E-2</v>
          </cell>
          <cell r="S51">
            <v>4.5868094513380669E-2</v>
          </cell>
          <cell r="T51">
            <v>4.4422069488829506E-2</v>
          </cell>
          <cell r="U51">
            <v>4.7238347612256926E-2</v>
          </cell>
          <cell r="V51">
            <v>4.8403159729295479E-2</v>
          </cell>
          <cell r="W51">
            <v>4.895016443207658E-2</v>
          </cell>
          <cell r="X51">
            <v>5.0307409235740216E-2</v>
          </cell>
          <cell r="Y51">
            <v>4.8724396708521835E-2</v>
          </cell>
          <cell r="Z51">
            <v>5.1182047968158478E-2</v>
          </cell>
          <cell r="AA51">
            <v>5.0596197228488675E-2</v>
          </cell>
          <cell r="AB51">
            <v>4.9660068200828071E-2</v>
          </cell>
          <cell r="AC51">
            <v>5.3399855601014463E-2</v>
          </cell>
          <cell r="AD51">
            <v>5.1300738299692714E-2</v>
          </cell>
          <cell r="AE51">
            <v>5.0949022577744189E-2</v>
          </cell>
          <cell r="AF51">
            <v>5.5105394378966457E-2</v>
          </cell>
          <cell r="AG51">
            <v>5.6733995468927573E-2</v>
          </cell>
          <cell r="AH51">
            <v>6.3146145541710191E-2</v>
          </cell>
          <cell r="AI51">
            <v>5.6539644035765696E-2</v>
          </cell>
          <cell r="AJ51">
            <v>6.9330441951324331E-2</v>
          </cell>
          <cell r="AK51">
            <v>6.3767014190558968E-2</v>
          </cell>
          <cell r="AL51">
            <v>6.4184052900555108E-2</v>
          </cell>
          <cell r="AM51">
            <v>6.7338114321872936E-2</v>
          </cell>
          <cell r="AN51">
            <v>6.6177296646309863E-2</v>
          </cell>
          <cell r="AO51">
            <v>6.9444337301066944E-2</v>
          </cell>
          <cell r="AP51">
            <v>7.3074695098085257E-2</v>
          </cell>
          <cell r="AQ51">
            <v>7.3635849702605879E-2</v>
          </cell>
          <cell r="AR51">
            <v>7.4845887372408521E-2</v>
          </cell>
          <cell r="AS51">
            <v>7.2741957825037534E-2</v>
          </cell>
          <cell r="AT51">
            <v>6.3644759638395859E-2</v>
          </cell>
          <cell r="AU51">
            <v>6.8035685581096239E-2</v>
          </cell>
          <cell r="AV51">
            <v>7.0294968502446806E-2</v>
          </cell>
          <cell r="AW51">
            <v>6.7372025293207058E-2</v>
          </cell>
          <cell r="AX51">
            <v>6.7336295216230385E-2</v>
          </cell>
          <cell r="AY51">
            <v>6.0861141935760685E-2</v>
          </cell>
          <cell r="AZ51">
            <v>6.3330458110875495E-2</v>
          </cell>
          <cell r="BA51">
            <v>6.8597654383019402E-2</v>
          </cell>
          <cell r="BB51">
            <v>6.8587494536390625E-2</v>
          </cell>
          <cell r="BC51">
            <v>6.5714796781489199E-2</v>
          </cell>
          <cell r="BD51">
            <v>6.2886319302451255E-2</v>
          </cell>
          <cell r="BE51">
            <v>6.4741712545390628E-2</v>
          </cell>
          <cell r="BF51">
            <v>6.8786620734328549E-2</v>
          </cell>
          <cell r="BG51">
            <v>6.7447151388757259E-2</v>
          </cell>
          <cell r="BH51">
            <v>6.6004598698605407E-2</v>
          </cell>
          <cell r="BI51">
            <v>7.2787028322457592E-2</v>
          </cell>
          <cell r="BJ51">
            <v>7.5568643448185993E-2</v>
          </cell>
          <cell r="BK51">
            <v>8.1340784725972143E-2</v>
          </cell>
          <cell r="BL51">
            <v>8.3068209496535539E-2</v>
          </cell>
          <cell r="BM51">
            <v>7.8236849945993905E-2</v>
          </cell>
          <cell r="BN51">
            <v>8.9835765420775704E-2</v>
          </cell>
          <cell r="BO51">
            <v>9.1475351111096018E-2</v>
          </cell>
          <cell r="BP51">
            <v>9.4584468812924177E-2</v>
          </cell>
          <cell r="BQ51">
            <v>9.5647605087866447E-2</v>
          </cell>
          <cell r="BR51">
            <v>9.2912134087656237E-2</v>
          </cell>
          <cell r="BS51">
            <v>9.1344681590728186E-2</v>
          </cell>
          <cell r="BT51">
            <v>9.4791268960276162E-2</v>
          </cell>
          <cell r="BU51">
            <v>0.10055436959011274</v>
          </cell>
          <cell r="BV51">
            <v>0.1017620909702488</v>
          </cell>
          <cell r="BW51">
            <v>9.7098847486756401E-2</v>
          </cell>
          <cell r="BX51">
            <v>9.6325608301807794E-2</v>
          </cell>
          <cell r="BY51">
            <v>9.8197778475878419E-2</v>
          </cell>
          <cell r="BZ51">
            <v>0.10176343679216546</v>
          </cell>
          <cell r="CA51">
            <v>0.10296262768405536</v>
          </cell>
          <cell r="CB51">
            <v>9.9837434727459137E-2</v>
          </cell>
        </row>
        <row r="52">
          <cell r="B52" t="str">
            <v>EBITDA</v>
          </cell>
          <cell r="D52">
            <v>3.5007042837020587E-2</v>
          </cell>
          <cell r="E52">
            <v>3.2825390837274197E-2</v>
          </cell>
          <cell r="F52" t="str">
            <v>NA</v>
          </cell>
          <cell r="G52" t="str">
            <v>NA</v>
          </cell>
          <cell r="H52" t="str">
            <v>NA</v>
          </cell>
          <cell r="I52" t="str">
            <v>NA</v>
          </cell>
          <cell r="J52">
            <v>2.8778215791899892E-2</v>
          </cell>
          <cell r="K52">
            <v>1.2711917266501189E-2</v>
          </cell>
          <cell r="L52">
            <v>2.2586507879570381E-2</v>
          </cell>
          <cell r="M52">
            <v>2.7141666563009266E-2</v>
          </cell>
          <cell r="N52">
            <v>2.137102440395339E-2</v>
          </cell>
          <cell r="O52">
            <v>2.6870154891757793E-2</v>
          </cell>
          <cell r="P52">
            <v>2.7909432332225436E-2</v>
          </cell>
          <cell r="Q52">
            <v>2.9626985543458821E-2</v>
          </cell>
          <cell r="R52">
            <v>2.9458000938526529E-2</v>
          </cell>
          <cell r="S52">
            <v>3.2437596507404159E-2</v>
          </cell>
          <cell r="T52">
            <v>2.9905587415546664E-2</v>
          </cell>
          <cell r="U52">
            <v>3.4134674766166127E-2</v>
          </cell>
          <cell r="V52">
            <v>3.6271247821461794E-2</v>
          </cell>
          <cell r="W52">
            <v>3.4553733643032575E-2</v>
          </cell>
          <cell r="X52">
            <v>3.5733518826010828E-2</v>
          </cell>
          <cell r="Y52">
            <v>3.5174912805252125E-2</v>
          </cell>
          <cell r="Z52">
            <v>3.5913213546372655E-2</v>
          </cell>
          <cell r="AA52">
            <v>3.5482903086001431E-2</v>
          </cell>
          <cell r="AB52">
            <v>3.4025350119029983E-2</v>
          </cell>
          <cell r="AC52">
            <v>3.6997611862932003E-2</v>
          </cell>
          <cell r="AD52">
            <v>3.5655439018980398E-2</v>
          </cell>
          <cell r="AE52">
            <v>3.3596819236048729E-2</v>
          </cell>
          <cell r="AF52">
            <v>3.643472348141432E-2</v>
          </cell>
          <cell r="AG52">
            <v>3.9470036611828421E-2</v>
          </cell>
          <cell r="AH52">
            <v>4.3850981683775291E-2</v>
          </cell>
          <cell r="AI52">
            <v>3.8381801258003549E-2</v>
          </cell>
          <cell r="AJ52">
            <v>5.0790350908634631E-2</v>
          </cell>
          <cell r="AK52">
            <v>4.2951781059947902E-2</v>
          </cell>
          <cell r="AL52">
            <v>4.3659443518399892E-2</v>
          </cell>
          <cell r="AM52">
            <v>4.2360964634746444E-2</v>
          </cell>
          <cell r="AN52">
            <v>4.4939806139369334E-2</v>
          </cell>
          <cell r="AO52">
            <v>4.7203943562011651E-2</v>
          </cell>
          <cell r="AP52">
            <v>4.7281323877068557E-2</v>
          </cell>
          <cell r="AQ52">
            <v>4.9071987642426401E-2</v>
          </cell>
          <cell r="AR52">
            <v>4.8536798006372707E-2</v>
          </cell>
          <cell r="AS52">
            <v>4.8017964060174084E-2</v>
          </cell>
          <cell r="AT52">
            <v>4.3616311286984573E-2</v>
          </cell>
          <cell r="AU52">
            <v>4.6174248513100744E-2</v>
          </cell>
          <cell r="AV52">
            <v>4.8618433503663447E-2</v>
          </cell>
          <cell r="AW52">
            <v>4.5575000655944192E-2</v>
          </cell>
          <cell r="AX52">
            <v>4.5990004063252973E-2</v>
          </cell>
          <cell r="AY52">
            <v>4.2088419400523505E-2</v>
          </cell>
          <cell r="AZ52">
            <v>4.312018841713787E-2</v>
          </cell>
          <cell r="BA52">
            <v>4.7243226019926719E-2</v>
          </cell>
          <cell r="BB52">
            <v>4.6455446480254257E-2</v>
          </cell>
          <cell r="BC52">
            <v>4.5083706744441288E-2</v>
          </cell>
          <cell r="BD52">
            <v>4.3138499142165464E-2</v>
          </cell>
          <cell r="BE52">
            <v>4.3106477685369557E-2</v>
          </cell>
          <cell r="BF52">
            <v>4.7163089244177503E-2</v>
          </cell>
          <cell r="BG52">
            <v>4.7371525473715294E-2</v>
          </cell>
          <cell r="BH52">
            <v>4.5254791024687671E-2</v>
          </cell>
          <cell r="BI52">
            <v>4.9000514183401456E-2</v>
          </cell>
          <cell r="BJ52">
            <v>5.2210809041189438E-2</v>
          </cell>
          <cell r="BK52">
            <v>5.7595872468573055E-2</v>
          </cell>
          <cell r="BL52">
            <v>5.7108885212523816E-2</v>
          </cell>
          <cell r="BM52">
            <v>5.4002354773077528E-2</v>
          </cell>
          <cell r="BN52">
            <v>6.5337871124658678E-2</v>
          </cell>
          <cell r="BO52">
            <v>6.4727372523168833E-2</v>
          </cell>
          <cell r="BP52">
            <v>6.8200488067880927E-2</v>
          </cell>
          <cell r="BQ52">
            <v>6.792172101929736E-2</v>
          </cell>
          <cell r="BR52">
            <v>6.6560869480658313E-2</v>
          </cell>
          <cell r="BS52">
            <v>6.7084949736674698E-2</v>
          </cell>
          <cell r="BT52">
            <v>6.7947416684092307E-2</v>
          </cell>
          <cell r="BU52">
            <v>7.3538088484805156E-2</v>
          </cell>
          <cell r="BV52">
            <v>7.3409518050564504E-2</v>
          </cell>
          <cell r="BW52">
            <v>7.048407341166732E-2</v>
          </cell>
          <cell r="BX52">
            <v>7.135929755256526E-2</v>
          </cell>
          <cell r="BY52">
            <v>7.0989859652310042E-2</v>
          </cell>
          <cell r="BZ52">
            <v>7.491039255263271E-2</v>
          </cell>
          <cell r="CA52">
            <v>7.4808075624180889E-2</v>
          </cell>
          <cell r="CB52">
            <v>7.303198582349088E-2</v>
          </cell>
        </row>
        <row r="53">
          <cell r="B53" t="str">
            <v xml:space="preserve">EBIT </v>
          </cell>
          <cell r="D53">
            <v>1.9412189434560925E-2</v>
          </cell>
          <cell r="E53">
            <v>1.9837153007010527E-2</v>
          </cell>
          <cell r="F53" t="str">
            <v>NA</v>
          </cell>
          <cell r="G53" t="str">
            <v>NA</v>
          </cell>
          <cell r="H53" t="str">
            <v>NA</v>
          </cell>
          <cell r="I53" t="str">
            <v>NA</v>
          </cell>
          <cell r="J53">
            <v>1.7670773909035417E-2</v>
          </cell>
          <cell r="K53">
            <v>1.2711917266501189E-2</v>
          </cell>
          <cell r="L53">
            <v>2.2586507879570381E-2</v>
          </cell>
          <cell r="M53">
            <v>1.9280285597004759E-2</v>
          </cell>
          <cell r="N53">
            <v>2.137102440395339E-2</v>
          </cell>
          <cell r="O53">
            <v>1.9060333449641191E-2</v>
          </cell>
          <cell r="P53">
            <v>1.9546201749439052E-2</v>
          </cell>
          <cell r="Q53">
            <v>2.1369504432149404E-2</v>
          </cell>
          <cell r="R53">
            <v>2.1163772876583786E-2</v>
          </cell>
          <cell r="S53">
            <v>2.4272653550917195E-2</v>
          </cell>
          <cell r="T53">
            <v>2.1637554903763331E-2</v>
          </cell>
          <cell r="U53">
            <v>2.2097710506518028E-2</v>
          </cell>
          <cell r="V53">
            <v>2.5565288246078711E-2</v>
          </cell>
          <cell r="W53">
            <v>2.4135869190257928E-2</v>
          </cell>
          <cell r="X53">
            <v>2.620832024413226E-2</v>
          </cell>
          <cell r="Y53">
            <v>2.4502219116935516E-2</v>
          </cell>
          <cell r="Z53">
            <v>2.603136115654273E-2</v>
          </cell>
          <cell r="AA53">
            <v>2.6103770544634346E-2</v>
          </cell>
          <cell r="AB53">
            <v>2.4513693782572562E-2</v>
          </cell>
          <cell r="AC53">
            <v>2.7917137197548885E-2</v>
          </cell>
          <cell r="AD53">
            <v>2.621280775689985E-2</v>
          </cell>
          <cell r="AE53">
            <v>2.3732664363137288E-2</v>
          </cell>
          <cell r="AF53">
            <v>2.7368540344514958E-2</v>
          </cell>
          <cell r="AG53">
            <v>3.0207148387836672E-2</v>
          </cell>
          <cell r="AH53">
            <v>3.5159466432453261E-2</v>
          </cell>
          <cell r="AI53">
            <v>2.5334010285918477E-2</v>
          </cell>
          <cell r="AJ53">
            <v>4.2178931144485371E-2</v>
          </cell>
          <cell r="AK53">
            <v>3.4028381117868552E-2</v>
          </cell>
          <cell r="AL53">
            <v>3.5077757221621916E-2</v>
          </cell>
          <cell r="AM53">
            <v>3.2816564719116828E-2</v>
          </cell>
          <cell r="AN53">
            <v>3.6019700625980186E-2</v>
          </cell>
          <cell r="AO53">
            <v>3.8749045352506055E-2</v>
          </cell>
          <cell r="AP53">
            <v>3.870962691591126E-2</v>
          </cell>
          <cell r="AQ53">
            <v>4.0329322961039998E-2</v>
          </cell>
          <cell r="AR53">
            <v>3.9749099241588315E-2</v>
          </cell>
          <cell r="AS53">
            <v>3.9379295679300111E-2</v>
          </cell>
          <cell r="AT53">
            <v>3.5587404526119255E-2</v>
          </cell>
          <cell r="AU53">
            <v>3.8123559984997002E-2</v>
          </cell>
          <cell r="AV53">
            <v>4.0054613783221137E-2</v>
          </cell>
          <cell r="AW53">
            <v>3.7788943405137373E-2</v>
          </cell>
          <cell r="AX53">
            <v>3.7886907797599838E-2</v>
          </cell>
          <cell r="AY53">
            <v>3.5044050297653652E-2</v>
          </cell>
          <cell r="AZ53">
            <v>3.6080724757226249E-2</v>
          </cell>
          <cell r="BA53">
            <v>4.0031127832448929E-2</v>
          </cell>
          <cell r="BB53">
            <v>3.8847739542356305E-2</v>
          </cell>
          <cell r="BC53">
            <v>3.7854487906330919E-2</v>
          </cell>
          <cell r="BD53">
            <v>3.584103034148859E-2</v>
          </cell>
          <cell r="BE53">
            <v>3.5832259575963435E-2</v>
          </cell>
          <cell r="BF53">
            <v>3.9743250007360974E-2</v>
          </cell>
          <cell r="BG53">
            <v>4.0498836119274115E-2</v>
          </cell>
          <cell r="BH53">
            <v>3.8047023191885049E-2</v>
          </cell>
          <cell r="BI53">
            <v>4.0001203103450005E-2</v>
          </cell>
          <cell r="BJ53">
            <v>4.3232650943413969E-2</v>
          </cell>
          <cell r="BK53">
            <v>4.8459435446486863E-2</v>
          </cell>
          <cell r="BL53">
            <v>4.8528028423251823E-2</v>
          </cell>
          <cell r="BM53">
            <v>4.5083565613782912E-2</v>
          </cell>
          <cell r="BN53">
            <v>5.4179173762118255E-2</v>
          </cell>
          <cell r="BO53">
            <v>5.3809726596787143E-2</v>
          </cell>
          <cell r="BP53">
            <v>5.7419777208413313E-2</v>
          </cell>
          <cell r="BQ53">
            <v>5.7074059594130588E-2</v>
          </cell>
          <cell r="BR53">
            <v>5.5636536008454064E-2</v>
          </cell>
          <cell r="BS53">
            <v>5.6270950863289877E-2</v>
          </cell>
          <cell r="BT53">
            <v>5.7201087018863221E-2</v>
          </cell>
          <cell r="BU53">
            <v>6.2711260930206361E-2</v>
          </cell>
          <cell r="BV53">
            <v>6.2505740163251403E-2</v>
          </cell>
          <cell r="BW53">
            <v>5.9661628457322126E-2</v>
          </cell>
          <cell r="BX53">
            <v>6.0463304962273041E-2</v>
          </cell>
          <cell r="BY53">
            <v>6.0302981837508186E-2</v>
          </cell>
          <cell r="BZ53">
            <v>6.4351814684137351E-2</v>
          </cell>
          <cell r="CA53">
            <v>6.4153536871581027E-2</v>
          </cell>
          <cell r="CB53">
            <v>6.2334395958210546E-2</v>
          </cell>
        </row>
        <row r="54">
          <cell r="B54" t="str">
            <v>Pre-tax income</v>
          </cell>
          <cell r="D54">
            <v>1.9631168400743471E-2</v>
          </cell>
          <cell r="E54">
            <v>2.0097636338322872E-2</v>
          </cell>
          <cell r="F54" t="str">
            <v>NA</v>
          </cell>
          <cell r="G54" t="str">
            <v>NA</v>
          </cell>
          <cell r="H54" t="str">
            <v>NA</v>
          </cell>
          <cell r="I54" t="str">
            <v>NA</v>
          </cell>
          <cell r="J54">
            <v>1.782900937717161E-2</v>
          </cell>
          <cell r="K54">
            <v>1.2811716420703357E-2</v>
          </cell>
          <cell r="L54">
            <v>2.1462563072434528E-2</v>
          </cell>
          <cell r="M54">
            <v>1.9280285597004759E-2</v>
          </cell>
          <cell r="N54">
            <v>2.1429575155745041E-2</v>
          </cell>
          <cell r="O54">
            <v>1.8820638075155098E-2</v>
          </cell>
          <cell r="P54">
            <v>2.0950072593321413E-2</v>
          </cell>
          <cell r="Q54">
            <v>2.1417097983223232E-2</v>
          </cell>
          <cell r="R54">
            <v>2.0143125293289557E-2</v>
          </cell>
          <cell r="S54">
            <v>2.2484142236639096E-2</v>
          </cell>
          <cell r="T54">
            <v>2.126690889988176E-2</v>
          </cell>
          <cell r="U54">
            <v>1.962743799054547E-2</v>
          </cell>
          <cell r="V54">
            <v>2.4060116339603074E-2</v>
          </cell>
          <cell r="W54">
            <v>2.2687027114044238E-2</v>
          </cell>
          <cell r="X54">
            <v>2.486200242337204E-2</v>
          </cell>
          <cell r="Y54">
            <v>2.280782645345774E-2</v>
          </cell>
          <cell r="Z54">
            <v>2.4876190911898258E-2</v>
          </cell>
          <cell r="AA54">
            <v>2.5392556702634947E-2</v>
          </cell>
          <cell r="AB54">
            <v>2.3377013318463785E-2</v>
          </cell>
          <cell r="AC54">
            <v>2.6741581354018145E-2</v>
          </cell>
          <cell r="AD54">
            <v>2.5161866134330482E-2</v>
          </cell>
          <cell r="AE54">
            <v>7.0241870592134001E-3</v>
          </cell>
          <cell r="AF54">
            <v>2.5923617407071619E-2</v>
          </cell>
          <cell r="AG54">
            <v>2.8209270535603164E-2</v>
          </cell>
          <cell r="AH54">
            <v>3.36773343580173E-2</v>
          </cell>
          <cell r="AI54">
            <v>2.3785011141511329E-2</v>
          </cell>
          <cell r="AJ54">
            <v>4.0843757840782736E-2</v>
          </cell>
          <cell r="AK54">
            <v>3.2046408919779931E-2</v>
          </cell>
          <cell r="AL54">
            <v>3.2742292967963021E-2</v>
          </cell>
          <cell r="AM54">
            <v>2.952963509808048E-2</v>
          </cell>
          <cell r="AN54">
            <v>3.3779563296799084E-2</v>
          </cell>
          <cell r="AO54">
            <v>3.4560167863672539E-2</v>
          </cell>
          <cell r="AP54">
            <v>3.4208507507084367E-2</v>
          </cell>
          <cell r="AQ54">
            <v>3.5695232938665784E-2</v>
          </cell>
          <cell r="AR54">
            <v>3.5305100568615695E-2</v>
          </cell>
          <cell r="AS54">
            <v>3.4939004524180604E-2</v>
          </cell>
          <cell r="AT54">
            <v>3.2783017277991655E-2</v>
          </cell>
          <cell r="AU54">
            <v>3.5364089374698551E-2</v>
          </cell>
          <cell r="AV54">
            <v>3.7357720280098421E-2</v>
          </cell>
          <cell r="AW54">
            <v>3.5171726182667354E-2</v>
          </cell>
          <cell r="AX54">
            <v>3.5168039756338594E-2</v>
          </cell>
          <cell r="AY54">
            <v>3.2634618567951426E-2</v>
          </cell>
          <cell r="AZ54">
            <v>3.4099923294480548E-2</v>
          </cell>
          <cell r="BA54">
            <v>3.7531097194818563E-2</v>
          </cell>
          <cell r="BB54">
            <v>3.587081074057015E-2</v>
          </cell>
          <cell r="BC54">
            <v>3.5383607909241402E-2</v>
          </cell>
          <cell r="BD54">
            <v>3.2656466661966158E-2</v>
          </cell>
          <cell r="BE54">
            <v>3.2657842333372364E-2</v>
          </cell>
          <cell r="BF54">
            <v>3.6822424403026841E-2</v>
          </cell>
          <cell r="BG54">
            <v>3.7776092520618108E-2</v>
          </cell>
          <cell r="BH54">
            <v>3.5054015440323251E-2</v>
          </cell>
          <cell r="BI54">
            <v>3.6442102737800505E-2</v>
          </cell>
          <cell r="BJ54">
            <v>3.9806463290679703E-2</v>
          </cell>
          <cell r="BK54">
            <v>4.4882936034977734E-2</v>
          </cell>
          <cell r="BL54">
            <v>4.5050390105094547E-2</v>
          </cell>
          <cell r="BM54">
            <v>4.1574395109208122E-2</v>
          </cell>
          <cell r="BN54">
            <v>4.9567799521349369E-2</v>
          </cell>
          <cell r="BO54">
            <v>4.9294994503655487E-2</v>
          </cell>
          <cell r="BP54">
            <v>5.2893989061327362E-2</v>
          </cell>
          <cell r="BQ54">
            <v>5.255627507475203E-2</v>
          </cell>
          <cell r="BR54">
            <v>5.1094581480902582E-2</v>
          </cell>
          <cell r="BS54">
            <v>5.1638337319236775E-2</v>
          </cell>
          <cell r="BT54">
            <v>5.2389952517175313E-2</v>
          </cell>
          <cell r="BU54">
            <v>5.7826407760454807E-2</v>
          </cell>
          <cell r="BV54">
            <v>5.7637704175194926E-2</v>
          </cell>
          <cell r="BW54">
            <v>5.4862617583451359E-2</v>
          </cell>
          <cell r="BX54">
            <v>5.5491521905269389E-2</v>
          </cell>
          <cell r="BY54">
            <v>5.5232410811817768E-2</v>
          </cell>
          <cell r="BZ54">
            <v>5.937991688522104E-2</v>
          </cell>
          <cell r="CA54">
            <v>5.9182664565092559E-2</v>
          </cell>
          <cell r="CB54">
            <v>5.7338090698356443E-2</v>
          </cell>
        </row>
        <row r="55">
          <cell r="B55" t="str">
            <v>Net income - continuing operations</v>
          </cell>
          <cell r="D55">
            <v>8.9958926647965946E-3</v>
          </cell>
          <cell r="E55">
            <v>9.7366872807785106E-3</v>
          </cell>
          <cell r="F55" t="str">
            <v>NA</v>
          </cell>
          <cell r="G55" t="str">
            <v>NA</v>
          </cell>
          <cell r="H55" t="str">
            <v>NA</v>
          </cell>
          <cell r="I55" t="str">
            <v>NA</v>
          </cell>
          <cell r="J55">
            <v>8.8267872008147424E-3</v>
          </cell>
          <cell r="K55">
            <v>7.4350369880615491E-3</v>
          </cell>
          <cell r="L55">
            <v>1.250687519429884E-2</v>
          </cell>
          <cell r="M55">
            <v>1.1219882328063435E-2</v>
          </cell>
          <cell r="N55">
            <v>1.2553281184130446E-2</v>
          </cell>
          <cell r="O55">
            <v>1.0971373090401543E-2</v>
          </cell>
          <cell r="P55">
            <v>1.223887402358983E-2</v>
          </cell>
          <cell r="Q55">
            <v>1.2517103932417117E-2</v>
          </cell>
          <cell r="R55">
            <v>1.1766776161426582E-2</v>
          </cell>
          <cell r="S55">
            <v>1.3141670091869661E-2</v>
          </cell>
          <cell r="T55">
            <v>1.2426855783682779E-2</v>
          </cell>
          <cell r="U55">
            <v>1.1632737847943376E-2</v>
          </cell>
          <cell r="V55">
            <v>1.4406645390552579E-2</v>
          </cell>
          <cell r="W55">
            <v>1.3580019777843882E-2</v>
          </cell>
          <cell r="X55">
            <v>1.48768119194004E-2</v>
          </cell>
          <cell r="Y55">
            <v>1.3623030162452164E-2</v>
          </cell>
          <cell r="Z55">
            <v>1.5005775851223228E-2</v>
          </cell>
          <cell r="AA55">
            <v>1.526887217042474E-2</v>
          </cell>
          <cell r="AB55">
            <v>1.6803568747721511E-2</v>
          </cell>
          <cell r="AC55">
            <v>1.6365218357183818E-2</v>
          </cell>
          <cell r="AD55">
            <v>1.5898792737412543E-2</v>
          </cell>
          <cell r="AE55">
            <v>4.2410186017892513E-3</v>
          </cell>
          <cell r="AF55">
            <v>1.6139694771834388E-2</v>
          </cell>
          <cell r="AG55">
            <v>1.7761038514114025E-2</v>
          </cell>
          <cell r="AH55">
            <v>2.0932828310552477E-2</v>
          </cell>
          <cell r="AI55">
            <v>1.4815389388768261E-2</v>
          </cell>
          <cell r="AJ55">
            <v>2.4624538513925136E-2</v>
          </cell>
          <cell r="AK55">
            <v>1.9448667825079674E-2</v>
          </cell>
          <cell r="AL55">
            <v>1.9663693147473217E-2</v>
          </cell>
          <cell r="AM55">
            <v>1.8245095971313973E-2</v>
          </cell>
          <cell r="AN55">
            <v>2.0491527023201245E-2</v>
          </cell>
          <cell r="AO55">
            <v>2.0844101242777521E-2</v>
          </cell>
          <cell r="AP55">
            <v>2.0564244673023029E-2</v>
          </cell>
          <cell r="AQ55">
            <v>2.3544680749416555E-2</v>
          </cell>
          <cell r="AR55">
            <v>2.1170715900411113E-2</v>
          </cell>
          <cell r="AS55">
            <v>2.1518634200776796E-2</v>
          </cell>
          <cell r="AT55">
            <v>1.9617228105892611E-2</v>
          </cell>
          <cell r="AU55">
            <v>2.0903659647430694E-2</v>
          </cell>
          <cell r="AV55">
            <v>2.2683645605212646E-2</v>
          </cell>
          <cell r="AW55">
            <v>2.2400493270012881E-2</v>
          </cell>
          <cell r="AX55">
            <v>2.1406487493374225E-2</v>
          </cell>
          <cell r="AY55">
            <v>1.9649436879632571E-2</v>
          </cell>
          <cell r="AZ55">
            <v>2.0374492851085762E-2</v>
          </cell>
          <cell r="BA55">
            <v>2.2763759359796076E-2</v>
          </cell>
          <cell r="BB55">
            <v>2.2356499037223466E-2</v>
          </cell>
          <cell r="BC55">
            <v>2.1637632563469789E-2</v>
          </cell>
          <cell r="BD55">
            <v>1.9571552797950552E-2</v>
          </cell>
          <cell r="BE55">
            <v>2.0077310530631349E-2</v>
          </cell>
          <cell r="BF55">
            <v>2.222418514265526E-2</v>
          </cell>
          <cell r="BG55">
            <v>2.379899095227566E-2</v>
          </cell>
          <cell r="BH55">
            <v>2.1483429984028728E-2</v>
          </cell>
          <cell r="BI55">
            <v>2.2229682670058308E-2</v>
          </cell>
          <cell r="BJ55">
            <v>2.4281942607314616E-2</v>
          </cell>
          <cell r="BK55">
            <v>2.7378590981336416E-2</v>
          </cell>
          <cell r="BL55">
            <v>2.7480737964107674E-2</v>
          </cell>
          <cell r="BM55">
            <v>2.5360381016616952E-2</v>
          </cell>
          <cell r="BN55">
            <v>3.0236357708023114E-2</v>
          </cell>
          <cell r="BO55">
            <v>3.006994664722985E-2</v>
          </cell>
          <cell r="BP55">
            <v>3.226533332740969E-2</v>
          </cell>
          <cell r="BQ55">
            <v>3.2059327795598738E-2</v>
          </cell>
          <cell r="BR55">
            <v>3.1167694703350571E-2</v>
          </cell>
          <cell r="BS55">
            <v>3.1499385764734433E-2</v>
          </cell>
          <cell r="BT55">
            <v>3.195787103547694E-2</v>
          </cell>
          <cell r="BU55">
            <v>3.527410873387743E-2</v>
          </cell>
          <cell r="BV55">
            <v>3.5158999546868908E-2</v>
          </cell>
          <cell r="BW55">
            <v>3.3466196725905326E-2</v>
          </cell>
          <cell r="BX55">
            <v>3.3849828362214326E-2</v>
          </cell>
          <cell r="BY55">
            <v>3.3691770595208836E-2</v>
          </cell>
          <cell r="BZ55">
            <v>3.6221749299984833E-2</v>
          </cell>
          <cell r="CA55">
            <v>3.6101425384706461E-2</v>
          </cell>
          <cell r="CB55">
            <v>3.4976235325997432E-2</v>
          </cell>
        </row>
        <row r="57">
          <cell r="B57" t="str">
            <v>EXPENSES</v>
          </cell>
        </row>
        <row r="58">
          <cell r="B58" t="str">
            <v>Cost of sales</v>
          </cell>
          <cell r="D58">
            <v>0.94524934010392614</v>
          </cell>
          <cell r="E58">
            <v>0.9500545667668181</v>
          </cell>
          <cell r="F58" t="str">
            <v>NA</v>
          </cell>
          <cell r="G58" t="str">
            <v>NA</v>
          </cell>
          <cell r="H58" t="str">
            <v>NA</v>
          </cell>
          <cell r="I58" t="str">
            <v>NA</v>
          </cell>
          <cell r="J58">
            <v>0.95583510488259604</v>
          </cell>
          <cell r="K58">
            <v>0.96777734808697491</v>
          </cell>
          <cell r="L58">
            <v>0.95950211636415828</v>
          </cell>
          <cell r="M58">
            <v>0.95732215491398498</v>
          </cell>
          <cell r="N58">
            <v>0.95777319780785986</v>
          </cell>
          <cell r="O58">
            <v>0.96053218441373245</v>
          </cell>
          <cell r="P58">
            <v>0.95806385812505246</v>
          </cell>
          <cell r="Q58">
            <v>0.95586887976679169</v>
          </cell>
          <cell r="R58">
            <v>0.95438761145002349</v>
          </cell>
          <cell r="S58">
            <v>0.9541319054866193</v>
          </cell>
          <cell r="T58">
            <v>0.95557793051117046</v>
          </cell>
          <cell r="U58">
            <v>0.95276165238774313</v>
          </cell>
          <cell r="V58">
            <v>0.95159684027070457</v>
          </cell>
          <cell r="W58">
            <v>0.95104983556792344</v>
          </cell>
          <cell r="X58">
            <v>0.94969259076425983</v>
          </cell>
          <cell r="Y58">
            <v>0.9512756032914782</v>
          </cell>
          <cell r="Z58">
            <v>0.94881795203184149</v>
          </cell>
          <cell r="AA58">
            <v>0.94940380277151137</v>
          </cell>
          <cell r="AB58">
            <v>0.95033993179917198</v>
          </cell>
          <cell r="AC58">
            <v>0.94660014439898554</v>
          </cell>
          <cell r="AD58">
            <v>0.94869926170030727</v>
          </cell>
          <cell r="AE58">
            <v>0.94905097742225586</v>
          </cell>
          <cell r="AF58">
            <v>0.94489460562103356</v>
          </cell>
          <cell r="AG58">
            <v>0.94326600453107246</v>
          </cell>
          <cell r="AH58">
            <v>0.93685385445828984</v>
          </cell>
          <cell r="AI58">
            <v>0.94346035596423428</v>
          </cell>
          <cell r="AJ58">
            <v>0.93066955804867568</v>
          </cell>
          <cell r="AK58">
            <v>0.93623298580944103</v>
          </cell>
          <cell r="AL58">
            <v>0.93581594709944493</v>
          </cell>
          <cell r="AM58">
            <v>0.93266188567812702</v>
          </cell>
          <cell r="AN58">
            <v>0.93382270335369011</v>
          </cell>
          <cell r="AO58">
            <v>0.93055566269893308</v>
          </cell>
          <cell r="AP58">
            <v>0.92692530490191472</v>
          </cell>
          <cell r="AQ58">
            <v>0.92636415029739416</v>
          </cell>
          <cell r="AR58">
            <v>0.92515411262759151</v>
          </cell>
          <cell r="AS58">
            <v>0.92725804217496244</v>
          </cell>
          <cell r="AT58">
            <v>0.93635524036160411</v>
          </cell>
          <cell r="AU58">
            <v>0.93196431441890371</v>
          </cell>
          <cell r="AV58">
            <v>0.92970503149755324</v>
          </cell>
          <cell r="AW58">
            <v>0.93262797470679293</v>
          </cell>
          <cell r="AX58">
            <v>0.93266370478376959</v>
          </cell>
          <cell r="AY58">
            <v>0.93913885806423936</v>
          </cell>
          <cell r="AZ58">
            <v>0.93666954188912455</v>
          </cell>
          <cell r="BA58">
            <v>0.93140234561698054</v>
          </cell>
          <cell r="BB58">
            <v>0.93141250546360932</v>
          </cell>
          <cell r="BC58">
            <v>0.93428520321851083</v>
          </cell>
          <cell r="BD58">
            <v>0.93711368069754875</v>
          </cell>
          <cell r="BE58">
            <v>0.93525828745460937</v>
          </cell>
          <cell r="BF58">
            <v>0.93121337926567149</v>
          </cell>
          <cell r="BG58">
            <v>0.93255284861124277</v>
          </cell>
          <cell r="BH58">
            <v>0.93399540130139458</v>
          </cell>
          <cell r="BI58">
            <v>0.92721297167754246</v>
          </cell>
          <cell r="BJ58">
            <v>0.92443135655181397</v>
          </cell>
          <cell r="BK58">
            <v>0.91865921527402783</v>
          </cell>
          <cell r="BL58">
            <v>0.91693179050346441</v>
          </cell>
          <cell r="BM58">
            <v>0.92176315005400611</v>
          </cell>
          <cell r="BN58">
            <v>0.91016423457922424</v>
          </cell>
          <cell r="BO58">
            <v>0.90852464888890394</v>
          </cell>
          <cell r="BP58">
            <v>0.90541553118707585</v>
          </cell>
          <cell r="BQ58">
            <v>0.90435239491213359</v>
          </cell>
          <cell r="BR58">
            <v>0.9070878659123438</v>
          </cell>
          <cell r="BS58">
            <v>0.90865531840927183</v>
          </cell>
          <cell r="BT58">
            <v>0.90520873103972388</v>
          </cell>
          <cell r="BU58">
            <v>0.89944563040988723</v>
          </cell>
          <cell r="BV58">
            <v>0.8982379090297512</v>
          </cell>
          <cell r="BW58">
            <v>0.90290115251324365</v>
          </cell>
          <cell r="BX58">
            <v>0.90367439169819219</v>
          </cell>
          <cell r="BY58">
            <v>0.90180222152412159</v>
          </cell>
          <cell r="BZ58">
            <v>0.89823656320783452</v>
          </cell>
          <cell r="CA58">
            <v>0.8970373723159446</v>
          </cell>
          <cell r="CB58">
            <v>0.9001625652725409</v>
          </cell>
        </row>
        <row r="59">
          <cell r="B59" t="str">
            <v>Total SG&amp;A</v>
          </cell>
          <cell r="D59">
            <v>2.4567072665506669E-2</v>
          </cell>
          <cell r="E59">
            <v>2.1696465061550416E-2</v>
          </cell>
          <cell r="F59" t="str">
            <v>NA</v>
          </cell>
          <cell r="G59" t="str">
            <v>NA</v>
          </cell>
          <cell r="H59" t="str">
            <v>NA</v>
          </cell>
          <cell r="I59" t="str">
            <v>NA</v>
          </cell>
          <cell r="J59">
            <v>1.9896390167385605E-2</v>
          </cell>
          <cell r="K59">
            <v>1.6866057060166414E-2</v>
          </cell>
          <cell r="L59">
            <v>1.5376521510390512E-2</v>
          </cell>
          <cell r="M59">
            <v>2.0760513975097334E-2</v>
          </cell>
          <cell r="N59">
            <v>1.8373225912220712E-2</v>
          </cell>
          <cell r="O59">
            <v>1.7831515390566925E-2</v>
          </cell>
          <cell r="P59">
            <v>1.9558200645540608E-2</v>
          </cell>
          <cell r="Q59">
            <v>1.9953596287703015E-2</v>
          </cell>
          <cell r="R59">
            <v>2.1679962458939467E-2</v>
          </cell>
          <cell r="S59">
            <v>1.8984880969573088E-2</v>
          </cell>
          <cell r="T59">
            <v>2.0032395044433743E-2</v>
          </cell>
          <cell r="U59">
            <v>2.0087806959431388E-2</v>
          </cell>
          <cell r="V59">
            <v>1.7745184581607478E-2</v>
          </cell>
          <cell r="W59">
            <v>1.9639859255341171E-2</v>
          </cell>
          <cell r="X59">
            <v>1.905039716375713E-2</v>
          </cell>
          <cell r="Y59">
            <v>1.9130513494324215E-2</v>
          </cell>
          <cell r="Z59">
            <v>2.0003888691912667E-2</v>
          </cell>
          <cell r="AA59">
            <v>1.9491704357296052E-2</v>
          </cell>
          <cell r="AB59">
            <v>1.9988418727346812E-2</v>
          </cell>
          <cell r="AC59">
            <v>2.0438010256030512E-2</v>
          </cell>
          <cell r="AD59">
            <v>2.0002218067746123E-2</v>
          </cell>
          <cell r="AE59">
            <v>3.7478108581436076E-2</v>
          </cell>
          <cell r="AF59">
            <v>2.2580462375339984E-2</v>
          </cell>
          <cell r="AG59">
            <v>2.1307510682433018E-2</v>
          </cell>
          <cell r="AH59">
            <v>2.2991345080602368E-2</v>
          </cell>
          <cell r="AI59">
            <v>2.6072076646076029E-2</v>
          </cell>
          <cell r="AJ59">
            <v>2.2258862324814513E-2</v>
          </cell>
          <cell r="AK59">
            <v>2.479727772951057E-2</v>
          </cell>
          <cell r="AL59">
            <v>2.4105654571098856E-2</v>
          </cell>
          <cell r="AM59">
            <v>2.8879280039372849E-2</v>
          </cell>
          <cell r="AN59">
            <v>2.5034714264529433E-2</v>
          </cell>
          <cell r="AO59">
            <v>2.5333837335781345E-2</v>
          </cell>
          <cell r="AP59">
            <v>2.8838476351510024E-2</v>
          </cell>
          <cell r="AQ59">
            <v>2.7645293054438618E-2</v>
          </cell>
          <cell r="AR59">
            <v>2.9395199555600136E-2</v>
          </cell>
          <cell r="AS59">
            <v>2.7800592689126949E-2</v>
          </cell>
          <cell r="AT59">
            <v>2.2940696647543803E-2</v>
          </cell>
          <cell r="AU59">
            <v>2.4828537748486309E-2</v>
          </cell>
          <cell r="AV59">
            <v>2.494119555519507E-2</v>
          </cell>
          <cell r="AW59">
            <v>2.4630703434523653E-2</v>
          </cell>
          <cell r="AX59">
            <v>2.4337714846591297E-2</v>
          </cell>
          <cell r="AY59">
            <v>2.1494828611541977E-2</v>
          </cell>
          <cell r="AZ59">
            <v>2.2940728325460916E-2</v>
          </cell>
          <cell r="BA59">
            <v>2.4203727986862586E-2</v>
          </cell>
          <cell r="BB59">
            <v>2.5309801419947785E-2</v>
          </cell>
          <cell r="BC59">
            <v>2.3503677518326958E-2</v>
          </cell>
          <cell r="BD59">
            <v>2.2744365319984021E-2</v>
          </cell>
          <cell r="BE59">
            <v>2.4616375776033737E-2</v>
          </cell>
          <cell r="BF59">
            <v>2.4732797456055118E-2</v>
          </cell>
          <cell r="BG59">
            <v>2.3140687374264016E-2</v>
          </cell>
          <cell r="BH59">
            <v>2.3789915690525569E-2</v>
          </cell>
          <cell r="BI59">
            <v>2.7799999999999998E-2</v>
          </cell>
          <cell r="BJ59">
            <v>2.736188652416538E-2</v>
          </cell>
          <cell r="BK59">
            <v>2.7819553136214537E-2</v>
          </cell>
          <cell r="BL59">
            <v>2.9786189150951426E-2</v>
          </cell>
          <cell r="BM59">
            <v>2.8212070108326031E-2</v>
          </cell>
          <cell r="BN59">
            <v>2.9474416798031602E-2</v>
          </cell>
          <cell r="BO59">
            <v>3.1616997690727296E-2</v>
          </cell>
          <cell r="BP59">
            <v>3.1191929955932254E-2</v>
          </cell>
          <cell r="BQ59">
            <v>3.2563691692666451E-2</v>
          </cell>
          <cell r="BR59">
            <v>3.1223266201498279E-2</v>
          </cell>
          <cell r="BS59">
            <v>2.9082526753907864E-2</v>
          </cell>
          <cell r="BT59">
            <v>3.1636468264814768E-2</v>
          </cell>
          <cell r="BU59">
            <v>3.1844797302071182E-2</v>
          </cell>
          <cell r="BV59">
            <v>3.3215407195865312E-2</v>
          </cell>
          <cell r="BW59">
            <v>3.1441335732889118E-2</v>
          </cell>
          <cell r="BX59">
            <v>2.982567296192459E-2</v>
          </cell>
          <cell r="BY59">
            <v>3.1974020653617943E-2</v>
          </cell>
          <cell r="BZ59">
            <v>3.1561927242953654E-2</v>
          </cell>
          <cell r="CA59">
            <v>3.2906231411608651E-2</v>
          </cell>
          <cell r="CB59">
            <v>3.1576328062277267E-2</v>
          </cell>
        </row>
        <row r="60">
          <cell r="B60" t="str">
            <v>Interest expense</v>
          </cell>
          <cell r="D60">
            <v>-2.1897896618254558E-4</v>
          </cell>
          <cell r="E60">
            <v>-2.6048333131234197E-4</v>
          </cell>
          <cell r="F60" t="str">
            <v>NA</v>
          </cell>
          <cell r="G60" t="str">
            <v>NA</v>
          </cell>
          <cell r="H60" t="str">
            <v>NA</v>
          </cell>
          <cell r="I60" t="str">
            <v>NA</v>
          </cell>
          <cell r="J60">
            <v>-1.5823546813619255E-4</v>
          </cell>
          <cell r="K60">
            <v>-9.9799154202168136E-5</v>
          </cell>
          <cell r="L60">
            <v>1.123944807135854E-3</v>
          </cell>
          <cell r="M60">
            <v>0</v>
          </cell>
          <cell r="N60">
            <v>-5.8550751791652999E-5</v>
          </cell>
          <cell r="O60">
            <v>2.3969537448609616E-4</v>
          </cell>
          <cell r="P60">
            <v>-1.4038708438823626E-3</v>
          </cell>
          <cell r="Q60">
            <v>-4.7593551073829496E-5</v>
          </cell>
          <cell r="R60">
            <v>1.020647583294228E-3</v>
          </cell>
          <cell r="S60">
            <v>1.788511314278097E-3</v>
          </cell>
          <cell r="T60">
            <v>3.7064600388156838E-4</v>
          </cell>
          <cell r="U60">
            <v>2.4702725159725576E-3</v>
          </cell>
          <cell r="V60">
            <v>1.5051719064756344E-3</v>
          </cell>
          <cell r="W60">
            <v>1.448842076213693E-3</v>
          </cell>
          <cell r="X60">
            <v>1.3463178207602209E-3</v>
          </cell>
          <cell r="Y60">
            <v>1.6943926634777765E-3</v>
          </cell>
          <cell r="Z60">
            <v>1.1551702446444708E-3</v>
          </cell>
          <cell r="AA60">
            <v>7.1121384199939993E-4</v>
          </cell>
          <cell r="AB60">
            <v>1.136680464108778E-3</v>
          </cell>
          <cell r="AC60">
            <v>1.1755558435307403E-3</v>
          </cell>
          <cell r="AD60">
            <v>1.0509416225693673E-3</v>
          </cell>
          <cell r="AE60">
            <v>1.2779855161641502E-3</v>
          </cell>
          <cell r="AF60">
            <v>1.4449229374433365E-3</v>
          </cell>
          <cell r="AG60">
            <v>1.9978778522335128E-3</v>
          </cell>
          <cell r="AH60">
            <v>1.4821320744359662E-3</v>
          </cell>
          <cell r="AI60">
            <v>1.5489991444071496E-3</v>
          </cell>
          <cell r="AJ60">
            <v>1.3351733037026419E-3</v>
          </cell>
          <cell r="AK60">
            <v>1.9819721980886182E-3</v>
          </cell>
          <cell r="AL60">
            <v>2.335464253658894E-3</v>
          </cell>
          <cell r="AM60">
            <v>3.2869296210363496E-3</v>
          </cell>
          <cell r="AN60">
            <v>2.2401373291811026E-3</v>
          </cell>
          <cell r="AO60">
            <v>4.1888774888335168E-3</v>
          </cell>
          <cell r="AP60">
            <v>4.5011194088268904E-3</v>
          </cell>
          <cell r="AQ60">
            <v>4.6340900223742158E-3</v>
          </cell>
          <cell r="AR60">
            <v>4.4439986729726188E-3</v>
          </cell>
          <cell r="AS60">
            <v>4.4402911551195039E-3</v>
          </cell>
          <cell r="AT60">
            <v>2.8043872481275998E-3</v>
          </cell>
          <cell r="AU60">
            <v>2.7594706102984519E-3</v>
          </cell>
          <cell r="AV60">
            <v>2.696893503122719E-3</v>
          </cell>
          <cell r="AW60">
            <v>2.6172172224700235E-3</v>
          </cell>
          <cell r="AX60">
            <v>2.7188680412612472E-3</v>
          </cell>
          <cell r="AY60">
            <v>2.4094317297022241E-3</v>
          </cell>
          <cell r="AZ60">
            <v>1.9808014627456954E-3</v>
          </cell>
          <cell r="BA60">
            <v>2.5000306376303629E-3</v>
          </cell>
          <cell r="BB60">
            <v>2.9769288017861572E-3</v>
          </cell>
          <cell r="BC60">
            <v>2.4708799970895156E-3</v>
          </cell>
          <cell r="BD60">
            <v>3.1845636795224332E-3</v>
          </cell>
          <cell r="BE60">
            <v>3.1744172425910741E-3</v>
          </cell>
          <cell r="BF60">
            <v>2.9208256043341285E-3</v>
          </cell>
          <cell r="BG60">
            <v>2.7227435986560073E-3</v>
          </cell>
          <cell r="BH60">
            <v>2.9930077515618017E-3</v>
          </cell>
          <cell r="BI60">
            <v>3.559100365649505E-3</v>
          </cell>
          <cell r="BJ60">
            <v>3.426187652734271E-3</v>
          </cell>
          <cell r="BK60">
            <v>3.5764994115091366E-3</v>
          </cell>
          <cell r="BL60">
            <v>3.4776383181572808E-3</v>
          </cell>
          <cell r="BM60">
            <v>3.5091705045747893E-3</v>
          </cell>
          <cell r="BN60">
            <v>4.6113742407688889E-3</v>
          </cell>
          <cell r="BO60">
            <v>4.5147320931316548E-3</v>
          </cell>
          <cell r="BP60">
            <v>4.5257881470859435E-3</v>
          </cell>
          <cell r="BQ60">
            <v>4.5177845193785553E-3</v>
          </cell>
          <cell r="BR60">
            <v>4.5419545275514903E-3</v>
          </cell>
          <cell r="BS60">
            <v>4.6326135440530993E-3</v>
          </cell>
          <cell r="BT60">
            <v>4.8111345016879081E-3</v>
          </cell>
          <cell r="BU60">
            <v>4.8848531697515555E-3</v>
          </cell>
          <cell r="BV60">
            <v>4.8680359880564714E-3</v>
          </cell>
          <cell r="BW60">
            <v>4.7990108738707711E-3</v>
          </cell>
          <cell r="BX60">
            <v>4.9717830570036549E-3</v>
          </cell>
          <cell r="BY60">
            <v>5.070571025690411E-3</v>
          </cell>
          <cell r="BZ60">
            <v>4.9718977989163162E-3</v>
          </cell>
          <cell r="CA60">
            <v>4.9708723064884738E-3</v>
          </cell>
          <cell r="CB60">
            <v>4.9963052598541065E-3</v>
          </cell>
        </row>
        <row r="61">
          <cell r="B61" t="str">
            <v>Tax rate</v>
          </cell>
          <cell r="D61">
            <v>0.54175459752788313</v>
          </cell>
          <cell r="E61">
            <v>0.51553072625698493</v>
          </cell>
          <cell r="F61" t="str">
            <v>NA</v>
          </cell>
          <cell r="G61" t="str">
            <v>NA</v>
          </cell>
          <cell r="H61" t="str">
            <v>NA</v>
          </cell>
          <cell r="I61" t="str">
            <v>NA</v>
          </cell>
          <cell r="J61">
            <v>0.50491993054215212</v>
          </cell>
          <cell r="K61">
            <v>0.41966893865627969</v>
          </cell>
          <cell r="L61">
            <v>0.41727019498607498</v>
          </cell>
          <cell r="M61">
            <v>0.41806451612903123</v>
          </cell>
          <cell r="N61">
            <v>0.4142076502732232</v>
          </cell>
          <cell r="O61">
            <v>0.41705626309850119</v>
          </cell>
          <cell r="P61">
            <v>0.41580756013745701</v>
          </cell>
          <cell r="Q61">
            <v>0.41555555555555634</v>
          </cell>
          <cell r="R61">
            <v>0.41584158415841543</v>
          </cell>
          <cell r="S61">
            <v>0.4155138339920918</v>
          </cell>
          <cell r="T61">
            <v>0.41567174420200437</v>
          </cell>
          <cell r="U61">
            <v>0.40732265446224514</v>
          </cell>
          <cell r="V61">
            <v>0.40122295390404383</v>
          </cell>
          <cell r="W61">
            <v>0.40141915864166838</v>
          </cell>
          <cell r="X61">
            <v>0.40162454873646275</v>
          </cell>
          <cell r="Y61">
            <v>0.40270370829716357</v>
          </cell>
          <cell r="Z61">
            <v>0.39678160919540223</v>
          </cell>
          <cell r="AA61">
            <v>0.39868708971553413</v>
          </cell>
          <cell r="AB61">
            <v>0.28119266055045583</v>
          </cell>
          <cell r="AC61">
            <v>0.3880235375562483</v>
          </cell>
          <cell r="AD61">
            <v>0.36813936404659342</v>
          </cell>
          <cell r="AE61">
            <v>0.39622641509433559</v>
          </cell>
          <cell r="AF61">
            <v>0.37741347905282335</v>
          </cell>
          <cell r="AG61">
            <v>0.37038292104371623</v>
          </cell>
          <cell r="AH61">
            <v>0.37842977451779336</v>
          </cell>
          <cell r="AI61">
            <v>0.37711236288170719</v>
          </cell>
          <cell r="AJ61">
            <v>0.39710399297937787</v>
          </cell>
          <cell r="AK61">
            <v>0.39310929116068866</v>
          </cell>
          <cell r="AL61">
            <v>0.39944055944055828</v>
          </cell>
          <cell r="AM61">
            <v>0.38214285714285839</v>
          </cell>
          <cell r="AN61">
            <v>0.39337501662897451</v>
          </cell>
          <cell r="AO61">
            <v>0.39687499999999937</v>
          </cell>
          <cell r="AP61">
            <v>0.39885583524027463</v>
          </cell>
          <cell r="AQ61">
            <v>0.34039705554316502</v>
          </cell>
          <cell r="AR61">
            <v>0.40034965034965159</v>
          </cell>
          <cell r="AS61">
            <v>0.38410854877435996</v>
          </cell>
          <cell r="AT61">
            <v>0.40160394818013539</v>
          </cell>
          <cell r="AU61">
            <v>0.40890151515151579</v>
          </cell>
          <cell r="AV61">
            <v>0.39279898679211139</v>
          </cell>
          <cell r="AW61">
            <v>0.36311077955986543</v>
          </cell>
          <cell r="AX61">
            <v>0.39130848231266635</v>
          </cell>
          <cell r="AY61">
            <v>0.39789592335149432</v>
          </cell>
          <cell r="AZ61">
            <v>0.38687510736986724</v>
          </cell>
          <cell r="BA61">
            <v>0.39346938775510204</v>
          </cell>
          <cell r="BB61">
            <v>0.3767495471760246</v>
          </cell>
          <cell r="BC61">
            <v>0.38848427726844309</v>
          </cell>
          <cell r="BD61">
            <v>0.40068369917236474</v>
          </cell>
          <cell r="BE61">
            <v>0.38522238163558131</v>
          </cell>
          <cell r="BF61">
            <v>0.39644970414201164</v>
          </cell>
          <cell r="BG61">
            <v>0.36999860588317268</v>
          </cell>
          <cell r="BH61">
            <v>0.38713355048859932</v>
          </cell>
          <cell r="BI61">
            <v>0.39</v>
          </cell>
          <cell r="BJ61">
            <v>0.39</v>
          </cell>
          <cell r="BK61">
            <v>0.39</v>
          </cell>
          <cell r="BL61">
            <v>0.39</v>
          </cell>
          <cell r="BM61">
            <v>0.39000000000000007</v>
          </cell>
          <cell r="BN61">
            <v>0.39</v>
          </cell>
          <cell r="BO61">
            <v>0.39</v>
          </cell>
          <cell r="BP61">
            <v>0.39</v>
          </cell>
          <cell r="BQ61">
            <v>0.39</v>
          </cell>
          <cell r="BR61">
            <v>0.39</v>
          </cell>
          <cell r="BS61">
            <v>0.39</v>
          </cell>
          <cell r="BT61">
            <v>0.39</v>
          </cell>
          <cell r="BU61">
            <v>0.39</v>
          </cell>
          <cell r="BV61">
            <v>0.39</v>
          </cell>
          <cell r="BW61">
            <v>0.39</v>
          </cell>
          <cell r="BX61">
            <v>0.39</v>
          </cell>
          <cell r="BY61">
            <v>0.39</v>
          </cell>
          <cell r="BZ61">
            <v>0.39</v>
          </cell>
          <cell r="CA61">
            <v>0.39</v>
          </cell>
          <cell r="CB61">
            <v>0.39</v>
          </cell>
        </row>
        <row r="63">
          <cell r="B63" t="str">
            <v>Y/Y Growth</v>
          </cell>
        </row>
        <row r="64">
          <cell r="B64" t="str">
            <v>Revenues</v>
          </cell>
          <cell r="D64" t="str">
            <v>NA</v>
          </cell>
          <cell r="E64">
            <v>0.31779766343524707</v>
          </cell>
          <cell r="F64" t="str">
            <v>NA</v>
          </cell>
          <cell r="G64" t="str">
            <v>NA</v>
          </cell>
          <cell r="H64" t="str">
            <v>NA</v>
          </cell>
          <cell r="I64" t="str">
            <v>NA</v>
          </cell>
          <cell r="J64">
            <v>0.30558736745664983</v>
          </cell>
          <cell r="K64" t="str">
            <v>NA</v>
          </cell>
          <cell r="L64" t="str">
            <v>NA</v>
          </cell>
          <cell r="M64" t="str">
            <v>NA</v>
          </cell>
          <cell r="N64" t="str">
            <v>NA</v>
          </cell>
          <cell r="O64">
            <v>0.13373992968841364</v>
          </cell>
          <cell r="P64">
            <v>3.9670163795361812E-2</v>
          </cell>
          <cell r="Q64">
            <v>4.9142693163068962E-3</v>
          </cell>
          <cell r="R64">
            <v>6.0291318895923762E-2</v>
          </cell>
          <cell r="S64">
            <v>5.4136025106562347E-2</v>
          </cell>
          <cell r="T64">
            <v>3.9625589756815405E-2</v>
          </cell>
          <cell r="U64">
            <v>6.8609687908712358E-2</v>
          </cell>
          <cell r="V64">
            <v>5.136533999643067E-2</v>
          </cell>
          <cell r="W64">
            <v>2.0248709526043962E-2</v>
          </cell>
          <cell r="X64">
            <v>-9.8534753774204287E-3</v>
          </cell>
          <cell r="Y64">
            <v>3.1735469655182369E-2</v>
          </cell>
          <cell r="Z64">
            <v>-1.8257559595324491E-2</v>
          </cell>
          <cell r="AA64">
            <v>1.8390258255811309E-2</v>
          </cell>
          <cell r="AB64">
            <v>7.2304118851045596E-2</v>
          </cell>
          <cell r="AC64">
            <v>0.21206749540008096</v>
          </cell>
          <cell r="AD64">
            <v>7.1252181636630718E-2</v>
          </cell>
          <cell r="AE64">
            <v>0.20818226527741257</v>
          </cell>
          <cell r="AF64">
            <v>0.17670330158800707</v>
          </cell>
          <cell r="AG64">
            <v>0.12178566066871088</v>
          </cell>
          <cell r="AH64">
            <v>1.1737045744858232E-2</v>
          </cell>
          <cell r="AI64">
            <v>0.12338794004879738</v>
          </cell>
          <cell r="AJ64">
            <v>5.6430160458181389E-2</v>
          </cell>
          <cell r="AK64">
            <v>4.3517679057117009E-2</v>
          </cell>
          <cell r="AL64">
            <v>4.3733450593150147E-2</v>
          </cell>
          <cell r="AM64">
            <v>4.1005654059395047E-2</v>
          </cell>
          <cell r="AN64">
            <v>4.6131498039658103E-2</v>
          </cell>
          <cell r="AO64">
            <v>0.16159181332664274</v>
          </cell>
          <cell r="AP64">
            <v>0.156114248479583</v>
          </cell>
          <cell r="AQ64">
            <v>0.15024820031872199</v>
          </cell>
          <cell r="AR64">
            <v>0.13911446249033244</v>
          </cell>
          <cell r="AS64">
            <v>0.1517024594326184</v>
          </cell>
          <cell r="AT64">
            <v>0.14433498676993572</v>
          </cell>
          <cell r="AU64">
            <v>0.16875675167911308</v>
          </cell>
          <cell r="AV64">
            <v>0.17801434816189077</v>
          </cell>
          <cell r="AW64">
            <v>0.17620917654864887</v>
          </cell>
          <cell r="AX64">
            <v>0.16673332305849464</v>
          </cell>
          <cell r="AY64">
            <v>9.9569229939530324E-2</v>
          </cell>
          <cell r="AZ64">
            <v>9.8932379574559359E-2</v>
          </cell>
          <cell r="BA64">
            <v>0.1030767566982993</v>
          </cell>
          <cell r="BB64">
            <v>0.11052659197649106</v>
          </cell>
          <cell r="BC64">
            <v>0.10307118384463987</v>
          </cell>
          <cell r="BD64">
            <v>4.3449472438675807E-2</v>
          </cell>
          <cell r="BE64">
            <v>4.062166692061564E-2</v>
          </cell>
          <cell r="BF64">
            <v>4.0545840022549351E-2</v>
          </cell>
          <cell r="BG64">
            <v>0.1215579260729347</v>
          </cell>
          <cell r="BH64">
            <v>6.2073659509704893E-2</v>
          </cell>
          <cell r="BI64">
            <v>-0.14797586243433458</v>
          </cell>
          <cell r="BJ64">
            <v>-0.14868950800574132</v>
          </cell>
          <cell r="BK64">
            <v>-0.15888070188661618</v>
          </cell>
          <cell r="BL64">
            <v>-0.19906723498362144</v>
          </cell>
          <cell r="BM64">
            <v>-0.16463934411283809</v>
          </cell>
          <cell r="BN64">
            <v>-0.1935159824154753</v>
          </cell>
          <cell r="BO64">
            <v>-0.17764707169332106</v>
          </cell>
          <cell r="BP64">
            <v>-0.15251998303409009</v>
          </cell>
          <cell r="BQ64">
            <v>-0.20896712637396242</v>
          </cell>
          <cell r="BR64">
            <v>-0.18358505056738883</v>
          </cell>
          <cell r="BS64">
            <v>3.18752103816069E-2</v>
          </cell>
          <cell r="BT64">
            <v>1.5941839352548115E-2</v>
          </cell>
          <cell r="BU64">
            <v>-4.2594836667169123E-3</v>
          </cell>
          <cell r="BV64">
            <v>-5.1465155220764558E-3</v>
          </cell>
          <cell r="BW64">
            <v>9.4145563492238349E-3</v>
          </cell>
          <cell r="BX64">
            <v>-7.5251259789254066E-3</v>
          </cell>
          <cell r="BY64">
            <v>5.5630700993776205E-3</v>
          </cell>
          <cell r="BZ64">
            <v>2.5405853841722559E-2</v>
          </cell>
          <cell r="CA64">
            <v>2.3392766266153497E-2</v>
          </cell>
          <cell r="CB64">
            <v>1.1671328835487049E-2</v>
          </cell>
        </row>
        <row r="65">
          <cell r="B65" t="str">
            <v>Gross profit</v>
          </cell>
          <cell r="D65" t="str">
            <v>NA</v>
          </cell>
          <cell r="E65">
            <v>0.20214030915576253</v>
          </cell>
          <cell r="F65" t="str">
            <v>NA</v>
          </cell>
          <cell r="G65" t="str">
            <v>NA</v>
          </cell>
          <cell r="H65" t="str">
            <v>NA</v>
          </cell>
          <cell r="I65" t="str">
            <v>NA</v>
          </cell>
          <cell r="J65">
            <v>0.15448251056560269</v>
          </cell>
          <cell r="K65" t="str">
            <v>NA</v>
          </cell>
          <cell r="L65" t="str">
            <v>NA</v>
          </cell>
          <cell r="M65" t="str">
            <v>NA</v>
          </cell>
          <cell r="N65" t="str">
            <v>NA</v>
          </cell>
          <cell r="O65">
            <v>1.3163018926703129E-2</v>
          </cell>
          <cell r="P65">
            <v>0.35307781649244974</v>
          </cell>
          <cell r="Q65">
            <v>9.5069382934752866E-2</v>
          </cell>
          <cell r="R65">
            <v>0.13319731856601513</v>
          </cell>
          <cell r="S65">
            <v>0.14503605102607064</v>
          </cell>
          <cell r="T65">
            <v>0.17012607626076215</v>
          </cell>
          <cell r="U65">
            <v>0.20371959942775075</v>
          </cell>
          <cell r="V65">
            <v>0.15314100835805111</v>
          </cell>
          <cell r="W65">
            <v>9.4907407407399447E-2</v>
          </cell>
          <cell r="X65">
            <v>8.5977234197137431E-2</v>
          </cell>
          <cell r="Y65">
            <v>0.13166020629393227</v>
          </cell>
          <cell r="Z65">
            <v>6.3703351556931631E-2</v>
          </cell>
          <cell r="AA65">
            <v>6.453121346738433E-2</v>
          </cell>
          <cell r="AB65">
            <v>8.7855297157635404E-2</v>
          </cell>
          <cell r="AC65">
            <v>0.28657448706512056</v>
          </cell>
          <cell r="AD65">
            <v>0.12789550072569589</v>
          </cell>
          <cell r="AE65">
            <v>0.20268156424581174</v>
          </cell>
          <cell r="AF65">
            <v>0.2815725895014245</v>
          </cell>
          <cell r="AG65">
            <v>0.28158065212696037</v>
          </cell>
          <cell r="AH65">
            <v>0.1963945224475665</v>
          </cell>
          <cell r="AI65">
            <v>0.23810994441012867</v>
          </cell>
          <cell r="AJ65">
            <v>0.4375696767001076</v>
          </cell>
          <cell r="AK65">
            <v>0.20754070265638447</v>
          </cell>
          <cell r="AL65">
            <v>0.18079191238416725</v>
          </cell>
          <cell r="AM65">
            <v>0.11011301072152735</v>
          </cell>
          <cell r="AN65">
            <v>0.22445331337822982</v>
          </cell>
          <cell r="AO65">
            <v>0.16350006462453415</v>
          </cell>
          <cell r="AP65">
            <v>0.32486517172863971</v>
          </cell>
          <cell r="AQ65">
            <v>0.31963470319634135</v>
          </cell>
          <cell r="AR65">
            <v>0.26611850691725381</v>
          </cell>
          <cell r="AS65">
            <v>0.26594913930669084</v>
          </cell>
          <cell r="AT65">
            <v>4.8766940679848547E-2</v>
          </cell>
          <cell r="AU65">
            <v>8.8162828066415955E-2</v>
          </cell>
          <cell r="AV65">
            <v>0.12456747404844593</v>
          </cell>
          <cell r="AW65">
            <v>5.875682919286862E-2</v>
          </cell>
          <cell r="AX65">
            <v>8.0030038084003774E-2</v>
          </cell>
          <cell r="AY65">
            <v>5.1477597712105139E-2</v>
          </cell>
          <cell r="AZ65">
            <v>2.2932163274453243E-2</v>
          </cell>
          <cell r="BA65">
            <v>7.6442307692307754E-2</v>
          </cell>
          <cell r="BB65">
            <v>0.13056177587381979</v>
          </cell>
          <cell r="BC65">
            <v>7.6508567171587716E-2</v>
          </cell>
          <cell r="BD65">
            <v>7.8170645713710574E-2</v>
          </cell>
          <cell r="BE65">
            <v>4.1160403127059375E-2</v>
          </cell>
          <cell r="BF65">
            <v>4.3412237606074378E-2</v>
          </cell>
          <cell r="BG65">
            <v>0.10291078194970704</v>
          </cell>
          <cell r="BH65">
            <v>6.6757398906601706E-2</v>
          </cell>
          <cell r="BI65">
            <v>-1.3834714444923124E-2</v>
          </cell>
          <cell r="BJ65">
            <v>-6.3225623185317881E-3</v>
          </cell>
          <cell r="BK65">
            <v>-5.369023418862362E-3</v>
          </cell>
          <cell r="BL65">
            <v>-1.3567669692419293E-2</v>
          </cell>
          <cell r="BM65">
            <v>-9.8267761029227074E-3</v>
          </cell>
          <cell r="BN65">
            <v>-4.6150984711356147E-3</v>
          </cell>
          <cell r="BO65">
            <v>-4.5471319639364127E-3</v>
          </cell>
          <cell r="BP65">
            <v>-1.4535604686711001E-2</v>
          </cell>
          <cell r="BQ65">
            <v>-8.917743181573079E-2</v>
          </cell>
          <cell r="BR65">
            <v>-3.0445943245265172E-2</v>
          </cell>
          <cell r="BS65">
            <v>4.9206984458725733E-2</v>
          </cell>
          <cell r="BT65">
            <v>5.2769024358338967E-2</v>
          </cell>
          <cell r="BU65">
            <v>5.858880587745352E-2</v>
          </cell>
          <cell r="BV65">
            <v>5.845170609874728E-2</v>
          </cell>
          <cell r="BW65">
            <v>5.4899782684967979E-2</v>
          </cell>
          <cell r="BX65">
            <v>4.6593455683400009E-2</v>
          </cell>
          <cell r="BY65">
            <v>4.1699944353769558E-2</v>
          </cell>
          <cell r="BZ65">
            <v>3.7735348738131114E-2</v>
          </cell>
          <cell r="CA65">
            <v>3.5466226793863687E-2</v>
          </cell>
          <cell r="CB65">
            <v>4.0204625209695255E-2</v>
          </cell>
        </row>
        <row r="66">
          <cell r="B66" t="str">
            <v>EBITDA</v>
          </cell>
          <cell r="D66" t="str">
            <v>NA</v>
          </cell>
          <cell r="E66">
            <v>0.23567202028739787</v>
          </cell>
          <cell r="F66" t="str">
            <v>NA</v>
          </cell>
          <cell r="G66" t="str">
            <v>NA</v>
          </cell>
          <cell r="H66" t="str">
            <v>NA</v>
          </cell>
          <cell r="I66" t="str">
            <v>NA</v>
          </cell>
          <cell r="J66">
            <v>0.14461622656999151</v>
          </cell>
          <cell r="K66" t="str">
            <v>NA</v>
          </cell>
          <cell r="L66" t="str">
            <v>NA</v>
          </cell>
          <cell r="M66" t="str">
            <v>NA</v>
          </cell>
          <cell r="N66" t="str">
            <v>NA</v>
          </cell>
          <cell r="O66">
            <v>5.8570404016248911E-2</v>
          </cell>
          <cell r="P66">
            <v>1.2826300294406239</v>
          </cell>
          <cell r="Q66">
            <v>0.31815775542615699</v>
          </cell>
          <cell r="R66">
            <v>0.15077910174152009</v>
          </cell>
          <cell r="S66">
            <v>0.60000000000000475</v>
          </cell>
          <cell r="T66">
            <v>0.15706865401987313</v>
          </cell>
          <cell r="U66">
            <v>0.30696474634565307</v>
          </cell>
          <cell r="V66">
            <v>0.28714859437751472</v>
          </cell>
          <cell r="W66">
            <v>0.19673436877736705</v>
          </cell>
          <cell r="X66">
            <v>9.0753424657527448E-2</v>
          </cell>
          <cell r="Y66">
            <v>0.21352591002243981</v>
          </cell>
          <cell r="Z66">
            <v>3.2894736842108863E-2</v>
          </cell>
          <cell r="AA66">
            <v>-3.7441497659895795E-3</v>
          </cell>
          <cell r="AB66">
            <v>5.5906821963412234E-2</v>
          </cell>
          <cell r="AC66">
            <v>0.25494505494505493</v>
          </cell>
          <cell r="AD66">
            <v>8.5886610373953509E-2</v>
          </cell>
          <cell r="AE66">
            <v>0.13025477707006616</v>
          </cell>
          <cell r="AF66">
            <v>0.20826808643908112</v>
          </cell>
          <cell r="AG66">
            <v>0.30129215253701647</v>
          </cell>
          <cell r="AH66">
            <v>0.19914936202151901</v>
          </cell>
          <cell r="AI66">
            <v>0.20928682514996377</v>
          </cell>
          <cell r="AJ66">
            <v>0.59706959706959051</v>
          </cell>
          <cell r="AK66">
            <v>0.23017107309486895</v>
          </cell>
          <cell r="AL66">
            <v>0.1545168321627588</v>
          </cell>
          <cell r="AM66">
            <v>5.6332151053581914E-3</v>
          </cell>
          <cell r="AN66">
            <v>0.22487598750688931</v>
          </cell>
          <cell r="AO66">
            <v>7.9569513055754992E-2</v>
          </cell>
          <cell r="AP66">
            <v>0.27265065318162574</v>
          </cell>
          <cell r="AQ66">
            <v>0.29284665408012578</v>
          </cell>
          <cell r="AR66">
            <v>0.30518672199170105</v>
          </cell>
          <cell r="AS66">
            <v>0.23058847057647025</v>
          </cell>
          <cell r="AT66">
            <v>5.7362314103611034E-2</v>
          </cell>
          <cell r="AU66">
            <v>0.1413907284768201</v>
          </cell>
          <cell r="AV66">
            <v>0.16712639948077723</v>
          </cell>
          <cell r="AW66">
            <v>0.10443490701001745</v>
          </cell>
          <cell r="AX66">
            <v>0.1174582537683353</v>
          </cell>
          <cell r="AY66">
            <v>6.1051004636782702E-2</v>
          </cell>
          <cell r="AZ66">
            <v>2.6246723896416357E-2</v>
          </cell>
          <cell r="BA66">
            <v>7.1875434450159981E-2</v>
          </cell>
          <cell r="BB66">
            <v>0.1319804260218771</v>
          </cell>
          <cell r="BC66">
            <v>8.1333624200116361E-2</v>
          </cell>
          <cell r="BD66">
            <v>6.9482884195193773E-2</v>
          </cell>
          <cell r="BE66">
            <v>8.0810847829051458E-3</v>
          </cell>
          <cell r="BF66">
            <v>3.8780804150454262E-2</v>
          </cell>
          <cell r="BG66">
            <v>0.14367450731087095</v>
          </cell>
          <cell r="BH66">
            <v>6.6104031471705627E-2</v>
          </cell>
          <cell r="BI66">
            <v>-3.2195795690562967E-2</v>
          </cell>
          <cell r="BJ66">
            <v>3.1112072220154996E-2</v>
          </cell>
          <cell r="BK66">
            <v>2.7180377735219752E-2</v>
          </cell>
          <cell r="BL66">
            <v>-3.4433092815444377E-2</v>
          </cell>
          <cell r="BM66">
            <v>-3.1675877570668254E-3</v>
          </cell>
          <cell r="BN66">
            <v>7.5375425813068553E-2</v>
          </cell>
          <cell r="BO66">
            <v>1.9496638982028802E-2</v>
          </cell>
          <cell r="BP66">
            <v>3.5189729331490671E-3</v>
          </cell>
          <cell r="BQ66">
            <v>-5.9195185485106161E-2</v>
          </cell>
          <cell r="BR66">
            <v>6.276284054445247E-3</v>
          </cell>
          <cell r="BS66">
            <v>5.9466668127264422E-2</v>
          </cell>
          <cell r="BT66">
            <v>6.6482707305654642E-2</v>
          </cell>
          <cell r="BU66">
            <v>7.3670530409412738E-2</v>
          </cell>
          <cell r="BV66">
            <v>7.5233573744398319E-2</v>
          </cell>
          <cell r="BW66">
            <v>6.8911062124854539E-2</v>
          </cell>
          <cell r="BX66">
            <v>5.5710858049532019E-2</v>
          </cell>
          <cell r="BY66">
            <v>5.0588597794524626E-2</v>
          </cell>
          <cell r="BZ66">
            <v>4.4541089110884391E-2</v>
          </cell>
          <cell r="CA66">
            <v>4.2889879747540105E-2</v>
          </cell>
          <cell r="CB66">
            <v>4.8242000913007566E-2</v>
          </cell>
        </row>
        <row r="67">
          <cell r="B67" t="str">
            <v>EBIT</v>
          </cell>
          <cell r="D67" t="str">
            <v>NA</v>
          </cell>
          <cell r="E67">
            <v>0.34664634146340112</v>
          </cell>
          <cell r="F67" t="str">
            <v>NA</v>
          </cell>
          <cell r="G67" t="str">
            <v>NA</v>
          </cell>
          <cell r="H67" t="str">
            <v>NA</v>
          </cell>
          <cell r="I67" t="str">
            <v>NA</v>
          </cell>
          <cell r="J67">
            <v>0.16300656554223858</v>
          </cell>
          <cell r="K67" t="str">
            <v>NA</v>
          </cell>
          <cell r="L67" t="str">
            <v>NA</v>
          </cell>
          <cell r="M67" t="str">
            <v>NA</v>
          </cell>
          <cell r="N67" t="str">
            <v>NA</v>
          </cell>
          <cell r="O67">
            <v>0.22289273895268269</v>
          </cell>
          <cell r="P67">
            <v>0.59862610402354965</v>
          </cell>
          <cell r="Q67">
            <v>-4.9232398094226193E-2</v>
          </cell>
          <cell r="R67">
            <v>0.16387096774193388</v>
          </cell>
          <cell r="S67">
            <v>0.19726027397260837</v>
          </cell>
          <cell r="T67">
            <v>0.18019738936644303</v>
          </cell>
          <cell r="U67">
            <v>0.2081031307550576</v>
          </cell>
          <cell r="V67">
            <v>0.25779510022272367</v>
          </cell>
          <cell r="W67">
            <v>0.16352549889133527</v>
          </cell>
          <cell r="X67">
            <v>6.9107551487405328E-2</v>
          </cell>
          <cell r="Y67">
            <v>0.16833018613433248</v>
          </cell>
          <cell r="Z67">
            <v>0.15650406504065706</v>
          </cell>
          <cell r="AA67">
            <v>3.9840637450200944E-2</v>
          </cell>
          <cell r="AB67">
            <v>8.9090042877586484E-2</v>
          </cell>
          <cell r="AC67">
            <v>0.29109589041095929</v>
          </cell>
          <cell r="AD67">
            <v>0.14604017547911741</v>
          </cell>
          <cell r="AE67">
            <v>-0.61467486818980333</v>
          </cell>
          <cell r="AF67">
            <v>0.23371647509577942</v>
          </cell>
          <cell r="AG67">
            <v>0.38232720909884121</v>
          </cell>
          <cell r="AH67">
            <v>0.27420424403183419</v>
          </cell>
          <cell r="AI67">
            <v>8.5725798327791036E-2</v>
          </cell>
          <cell r="AJ67">
            <v>4.3671607753705226</v>
          </cell>
          <cell r="AK67">
            <v>0.29744651483782047</v>
          </cell>
          <cell r="AL67">
            <v>0.21202531645570666</v>
          </cell>
          <cell r="AM67">
            <v>-2.8363257871459213E-2</v>
          </cell>
          <cell r="AN67">
            <v>0.48738170347002896</v>
          </cell>
          <cell r="AO67">
            <v>6.713405566178432E-2</v>
          </cell>
          <cell r="AP67">
            <v>0.31515957446808396</v>
          </cell>
          <cell r="AQ67">
            <v>0.32245430809398412</v>
          </cell>
          <cell r="AR67">
            <v>0.37975361542581698</v>
          </cell>
          <cell r="AS67">
            <v>0.25912294928575741</v>
          </cell>
          <cell r="AT67">
            <v>5.0965558431215641E-2</v>
          </cell>
          <cell r="AU67">
            <v>0.15106167846309249</v>
          </cell>
          <cell r="AV67">
            <v>0.16999012833169425</v>
          </cell>
          <cell r="AW67">
            <v>0.11820652173913415</v>
          </cell>
          <cell r="AX67">
            <v>0.12251672033688576</v>
          </cell>
          <cell r="AY67">
            <v>8.2780829702592262E-2</v>
          </cell>
          <cell r="AZ67">
            <v>4.004654155690357E-2</v>
          </cell>
          <cell r="BA67">
            <v>0.10242996962537965</v>
          </cell>
          <cell r="BB67">
            <v>0.14164207602846779</v>
          </cell>
          <cell r="BC67">
            <v>0.10212728396151483</v>
          </cell>
          <cell r="BD67">
            <v>6.7179846046186764E-2</v>
          </cell>
          <cell r="BE67">
            <v>-4.5558086560379962E-3</v>
          </cell>
          <cell r="BF67">
            <v>3.3062911373029857E-2</v>
          </cell>
          <cell r="BG67">
            <v>0.16922609092291307</v>
          </cell>
          <cell r="BH67">
            <v>6.7475572641358061E-2</v>
          </cell>
          <cell r="BI67">
            <v>-4.9078939665592292E-2</v>
          </cell>
          <cell r="BJ67">
            <v>2.7130573968672911E-2</v>
          </cell>
          <cell r="BK67">
            <v>2.5587145544728962E-2</v>
          </cell>
          <cell r="BL67">
            <v>-4.0276420009742742E-2</v>
          </cell>
          <cell r="BM67">
            <v>-1.0144978992884357E-2</v>
          </cell>
          <cell r="BN67">
            <v>9.2333088384400241E-2</v>
          </cell>
          <cell r="BO67">
            <v>2.3545521096267397E-2</v>
          </cell>
          <cell r="BP67">
            <v>4.1824324697679049E-3</v>
          </cell>
          <cell r="BQ67">
            <v>-6.9662237738535637E-2</v>
          </cell>
          <cell r="BR67">
            <v>7.5179084340468716E-3</v>
          </cell>
          <cell r="BS67">
            <v>7.1714373411665422E-2</v>
          </cell>
          <cell r="BT67">
            <v>7.9971619152936713E-2</v>
          </cell>
          <cell r="BU67">
            <v>8.7502361980698051E-2</v>
          </cell>
          <cell r="BV67">
            <v>8.953268513735213E-2</v>
          </cell>
          <cell r="BW67">
            <v>8.244187257037372E-2</v>
          </cell>
          <cell r="BX67">
            <v>6.6417219803514227E-2</v>
          </cell>
          <cell r="BY67">
            <v>6.0092643565933912E-2</v>
          </cell>
          <cell r="BZ67">
            <v>5.2230915208214101E-2</v>
          </cell>
          <cell r="CA67">
            <v>5.0371780148356304E-2</v>
          </cell>
          <cell r="CB67">
            <v>5.6992958821271422E-2</v>
          </cell>
        </row>
        <row r="68">
          <cell r="B68" t="str">
            <v>Pre-tax income</v>
          </cell>
          <cell r="D68" t="str">
            <v>NA</v>
          </cell>
          <cell r="E68">
            <v>0.34911064214650467</v>
          </cell>
          <cell r="F68" t="str">
            <v>NA</v>
          </cell>
          <cell r="G68" t="str">
            <v>NA</v>
          </cell>
          <cell r="H68" t="str">
            <v>NA</v>
          </cell>
          <cell r="I68" t="str">
            <v>NA</v>
          </cell>
          <cell r="J68">
            <v>0.15821229050280849</v>
          </cell>
          <cell r="K68" t="str">
            <v>NA</v>
          </cell>
          <cell r="L68" t="str">
            <v>NA</v>
          </cell>
          <cell r="M68" t="str">
            <v>NA</v>
          </cell>
          <cell r="N68" t="str">
            <v>NA</v>
          </cell>
          <cell r="O68">
            <v>0.19679722168626901</v>
          </cell>
          <cell r="P68">
            <v>0.70009737098344371</v>
          </cell>
          <cell r="Q68">
            <v>2.7855153203384386E-3</v>
          </cell>
          <cell r="R68">
            <v>0.10774193548386957</v>
          </cell>
          <cell r="S68">
            <v>0.10601092896175457</v>
          </cell>
          <cell r="T68">
            <v>0.17475415121715199</v>
          </cell>
          <cell r="U68">
            <v>1.1454753722732747E-3</v>
          </cell>
          <cell r="V68">
            <v>0.18111111111111722</v>
          </cell>
          <cell r="W68">
            <v>0.14909726266742496</v>
          </cell>
          <cell r="X68">
            <v>9.486166007904151E-2</v>
          </cell>
          <cell r="Y68">
            <v>0.10649101139013872</v>
          </cell>
          <cell r="Z68">
            <v>0.24427917620138095</v>
          </cell>
          <cell r="AA68">
            <v>7.4788334901224607E-2</v>
          </cell>
          <cell r="AB68">
            <v>0.10491637100864382</v>
          </cell>
          <cell r="AC68">
            <v>0.30370036101083087</v>
          </cell>
          <cell r="AD68">
            <v>0.18181818181819631</v>
          </cell>
          <cell r="AE68">
            <v>-0.6588505747126403</v>
          </cell>
          <cell r="AF68">
            <v>0.20131291028445775</v>
          </cell>
          <cell r="AG68">
            <v>0.3536697247706202</v>
          </cell>
          <cell r="AH68">
            <v>0.27414330218068939</v>
          </cell>
          <cell r="AI68">
            <v>6.1916255640674045E-2</v>
          </cell>
          <cell r="AJ68">
            <v>5.142857142857066</v>
          </cell>
          <cell r="AK68">
            <v>0.28998178506375383</v>
          </cell>
          <cell r="AL68">
            <v>0.21145374449340304</v>
          </cell>
          <cell r="AM68">
            <v>-8.720456397718479E-2</v>
          </cell>
          <cell r="AN68">
            <v>0.48571993279968106</v>
          </cell>
          <cell r="AO68">
            <v>-1.7112768758223318E-2</v>
          </cell>
          <cell r="AP68">
            <v>0.23411465687658728</v>
          </cell>
          <cell r="AQ68">
            <v>0.25398601398600285</v>
          </cell>
          <cell r="AR68">
            <v>0.36190476190476195</v>
          </cell>
          <cell r="AS68">
            <v>0.19123320473593042</v>
          </cell>
          <cell r="AT68">
            <v>8.5491071428570597E-2</v>
          </cell>
          <cell r="AU68">
            <v>0.20823798627002099</v>
          </cell>
          <cell r="AV68">
            <v>0.23287976801249899</v>
          </cell>
          <cell r="AW68">
            <v>0.17176573426573882</v>
          </cell>
          <cell r="AX68">
            <v>0.17438159584566648</v>
          </cell>
          <cell r="AY68">
            <v>9.4591815751590591E-2</v>
          </cell>
          <cell r="AZ68">
            <v>5.9648658057177117E-2</v>
          </cell>
          <cell r="BA68">
            <v>0.10819612809842583</v>
          </cell>
          <cell r="BB68">
            <v>0.13259977620290986</v>
          </cell>
          <cell r="BC68">
            <v>0.10983263598326354</v>
          </cell>
          <cell r="BD68">
            <v>4.4148036821341829E-2</v>
          </cell>
          <cell r="BE68">
            <v>-4.20889881463683E-2</v>
          </cell>
          <cell r="BF68">
            <v>2.0897959183673986E-2</v>
          </cell>
          <cell r="BG68">
            <v>0.18112958998847328</v>
          </cell>
          <cell r="BH68">
            <v>5.2180618627366782E-2</v>
          </cell>
          <cell r="BI68">
            <v>-4.920665552540715E-2</v>
          </cell>
          <cell r="BJ68">
            <v>3.7657647514295345E-2</v>
          </cell>
          <cell r="BK68">
            <v>2.5242206808770762E-2</v>
          </cell>
          <cell r="BL68">
            <v>-4.4836797446792032E-2</v>
          </cell>
          <cell r="BM68">
            <v>-9.2543313428787854E-3</v>
          </cell>
          <cell r="BN68">
            <v>9.6962993283490562E-2</v>
          </cell>
          <cell r="BO68">
            <v>1.8374397768572637E-2</v>
          </cell>
          <cell r="BP68">
            <v>-1.255205048204977E-3</v>
          </cell>
          <cell r="BQ68">
            <v>-7.7172446176882126E-2</v>
          </cell>
          <cell r="BR68">
            <v>3.3670976194766222E-3</v>
          </cell>
          <cell r="BS68">
            <v>7.4978528391071997E-2</v>
          </cell>
          <cell r="BT68">
            <v>7.9727166212480549E-2</v>
          </cell>
          <cell r="BU68">
            <v>8.8594340168475894E-2</v>
          </cell>
          <cell r="BV68">
            <v>9.1041379063544259E-2</v>
          </cell>
          <cell r="BW68">
            <v>8.3855140468378719E-2</v>
          </cell>
          <cell r="BX68">
            <v>6.6532039397273479E-2</v>
          </cell>
          <cell r="BY68">
            <v>6.0120689491246049E-2</v>
          </cell>
          <cell r="BZ68">
            <v>5.2953429633231464E-2</v>
          </cell>
          <cell r="CA68">
            <v>5.0824484961663474E-2</v>
          </cell>
          <cell r="CB68">
            <v>5.7319263366557793E-2</v>
          </cell>
        </row>
        <row r="69">
          <cell r="B69" t="str">
            <v>Net income - continuing operations</v>
          </cell>
          <cell r="D69" t="str">
            <v>NA</v>
          </cell>
          <cell r="E69">
            <v>0.42631578947365423</v>
          </cell>
          <cell r="F69" t="str">
            <v>NA</v>
          </cell>
          <cell r="G69" t="str">
            <v>NA</v>
          </cell>
          <cell r="H69" t="str">
            <v>NA</v>
          </cell>
          <cell r="I69" t="str">
            <v>NA</v>
          </cell>
          <cell r="J69">
            <v>0.18357933579338948</v>
          </cell>
          <cell r="K69" t="str">
            <v>NA</v>
          </cell>
          <cell r="L69" t="str">
            <v>NA</v>
          </cell>
          <cell r="M69" t="str">
            <v>NA</v>
          </cell>
          <cell r="N69" t="str">
            <v>NA</v>
          </cell>
          <cell r="O69">
            <v>0.4091971940763528</v>
          </cell>
          <cell r="P69">
            <v>0.71140939597314912</v>
          </cell>
          <cell r="Q69">
            <v>5.7361376673112918E-3</v>
          </cell>
          <cell r="R69">
            <v>0.11197339246119475</v>
          </cell>
          <cell r="S69">
            <v>0.10354477611941304</v>
          </cell>
          <cell r="T69">
            <v>0.17754424778760902</v>
          </cell>
          <cell r="U69">
            <v>1.5686274509793208E-2</v>
          </cell>
          <cell r="V69">
            <v>0.21007604562738713</v>
          </cell>
          <cell r="W69">
            <v>0.17746759720834371</v>
          </cell>
          <cell r="X69">
            <v>0.12087912087910357</v>
          </cell>
          <cell r="Y69">
            <v>0.1310474401127153</v>
          </cell>
          <cell r="Z69">
            <v>0.26640926640928031</v>
          </cell>
          <cell r="AA69">
            <v>7.9340141398274611E-2</v>
          </cell>
          <cell r="AB69">
            <v>0.32684165961055101</v>
          </cell>
          <cell r="AC69">
            <v>0.33333333333333437</v>
          </cell>
          <cell r="AD69">
            <v>0.25020764119603878</v>
          </cell>
          <cell r="AE69">
            <v>-0.65853658536584803</v>
          </cell>
          <cell r="AF69">
            <v>0.24381368267830106</v>
          </cell>
          <cell r="AG69">
            <v>0.18570516911292656</v>
          </cell>
          <cell r="AH69">
            <v>0.29411764705883003</v>
          </cell>
          <cell r="AI69">
            <v>4.6836073741900242E-2</v>
          </cell>
          <cell r="AJ69">
            <v>5.1339285714284442</v>
          </cell>
          <cell r="AK69">
            <v>0.25746050321825886</v>
          </cell>
          <cell r="AL69">
            <v>0.1555435952637414</v>
          </cell>
          <cell r="AM69">
            <v>-9.265734265735015E-2</v>
          </cell>
          <cell r="AN69">
            <v>0.4469300333174635</v>
          </cell>
          <cell r="AO69">
            <v>-1.6739446870444818E-2</v>
          </cell>
          <cell r="AP69">
            <v>0.22242903676128223</v>
          </cell>
          <cell r="AQ69">
            <v>0.37727061015368402</v>
          </cell>
          <cell r="AR69">
            <v>0.32177263969171488</v>
          </cell>
          <cell r="AS69">
            <v>0.20942982456140102</v>
          </cell>
          <cell r="AT69">
            <v>7.698001480384753E-2</v>
          </cell>
          <cell r="AU69">
            <v>0.18804720213170634</v>
          </cell>
          <cell r="AV69">
            <v>0.13493405478526532</v>
          </cell>
          <cell r="AW69">
            <v>0.24453352769680103</v>
          </cell>
          <cell r="AX69">
            <v>0.16065276518586025</v>
          </cell>
          <cell r="AY69">
            <v>0.10137457044673015</v>
          </cell>
          <cell r="AZ69">
            <v>7.1113397802593958E-2</v>
          </cell>
          <cell r="BA69">
            <v>0.1069725864123956</v>
          </cell>
          <cell r="BB69">
            <v>0.10834553440702877</v>
          </cell>
          <cell r="BC69">
            <v>0.11498203405717855</v>
          </cell>
          <cell r="BD69">
            <v>3.9313572542902575E-2</v>
          </cell>
          <cell r="BE69">
            <v>-3.9506864667977037E-2</v>
          </cell>
          <cell r="BF69">
            <v>1.5881561238224373E-2</v>
          </cell>
          <cell r="BG69">
            <v>0.1939233817701449</v>
          </cell>
          <cell r="BH69">
            <v>5.4504693848955954E-2</v>
          </cell>
          <cell r="BI69">
            <v>-3.2257358378933287E-2</v>
          </cell>
          <cell r="BJ69">
            <v>2.9593703602457611E-2</v>
          </cell>
          <cell r="BK69">
            <v>3.6198226469766226E-2</v>
          </cell>
          <cell r="BL69">
            <v>-7.5161485357903124E-2</v>
          </cell>
          <cell r="BM69">
            <v>-1.3888167050655986E-2</v>
          </cell>
          <cell r="BN69">
            <v>9.696299328349034E-2</v>
          </cell>
          <cell r="BO69">
            <v>1.8374397768572859E-2</v>
          </cell>
          <cell r="BP69">
            <v>-1.255205048205088E-3</v>
          </cell>
          <cell r="BQ69">
            <v>-7.7172446176882237E-2</v>
          </cell>
          <cell r="BR69">
            <v>3.3670976194766222E-3</v>
          </cell>
          <cell r="BS69">
            <v>7.4978528391071997E-2</v>
          </cell>
          <cell r="BT69">
            <v>7.9727166212480327E-2</v>
          </cell>
          <cell r="BU69">
            <v>8.8594340168475894E-2</v>
          </cell>
          <cell r="BV69">
            <v>9.1041379063544259E-2</v>
          </cell>
          <cell r="BW69">
            <v>8.3855140468378719E-2</v>
          </cell>
          <cell r="BX69">
            <v>6.6532039397273479E-2</v>
          </cell>
          <cell r="BY69">
            <v>6.0120689491246049E-2</v>
          </cell>
          <cell r="BZ69">
            <v>5.2953429633231464E-2</v>
          </cell>
          <cell r="CA69">
            <v>5.0824484961663474E-2</v>
          </cell>
          <cell r="CB69">
            <v>5.7319263366557793E-2</v>
          </cell>
        </row>
        <row r="70">
          <cell r="B70" t="str">
            <v>EPS - continuing</v>
          </cell>
          <cell r="P70">
            <v>0.61032101287891982</v>
          </cell>
          <cell r="Q70">
            <v>1.7434369551488471E-2</v>
          </cell>
          <cell r="R70">
            <v>0.11263351495028573</v>
          </cell>
          <cell r="S70">
            <v>9.2472295163757989E-2</v>
          </cell>
          <cell r="T70">
            <v>0.16674294451047689</v>
          </cell>
          <cell r="U70">
            <v>0.10987839997429627</v>
          </cell>
          <cell r="V70">
            <v>0.2745392814937142</v>
          </cell>
          <cell r="W70">
            <v>0.25181358136737453</v>
          </cell>
          <cell r="X70">
            <v>0.19204507030290996</v>
          </cell>
          <cell r="Y70">
            <v>0.20689485080503633</v>
          </cell>
          <cell r="Z70">
            <v>0.19874544319012277</v>
          </cell>
          <cell r="AA70">
            <v>4.0864233604126499E-2</v>
          </cell>
          <cell r="AB70">
            <v>0.18131752408961632</v>
          </cell>
          <cell r="AC70">
            <v>0.30263202514068688</v>
          </cell>
          <cell r="AD70">
            <v>0.18103472079523253</v>
          </cell>
          <cell r="AE70">
            <v>1.0383536557543094E-2</v>
          </cell>
          <cell r="AF70">
            <v>0.15267603133553642</v>
          </cell>
          <cell r="AG70">
            <v>0.14424484421038941</v>
          </cell>
          <cell r="AH70">
            <v>0.14957504154952517</v>
          </cell>
          <cell r="AI70">
            <v>0.11760577908984815</v>
          </cell>
          <cell r="AJ70">
            <v>0.83543291473626291</v>
          </cell>
          <cell r="AK70">
            <v>0.31563581317808387</v>
          </cell>
          <cell r="AL70">
            <v>0.26968046641525123</v>
          </cell>
          <cell r="AM70">
            <v>2.7212060427584062E-2</v>
          </cell>
          <cell r="AN70">
            <v>0.32185863674553139</v>
          </cell>
          <cell r="AO70">
            <v>0.10429645064326398</v>
          </cell>
          <cell r="AP70">
            <v>0.33619196311955912</v>
          </cell>
          <cell r="AQ70">
            <v>0.4686279876621966</v>
          </cell>
          <cell r="AR70">
            <v>0.41395653473653171</v>
          </cell>
          <cell r="AS70">
            <v>0.31996135071426846</v>
          </cell>
          <cell r="AT70">
            <v>0.14214703086207137</v>
          </cell>
          <cell r="AU70">
            <v>0.2276348811465343</v>
          </cell>
          <cell r="AV70">
            <v>0.18554966938142159</v>
          </cell>
          <cell r="AW70">
            <v>0.27291011012945265</v>
          </cell>
          <cell r="AX70">
            <v>0.20834614348049452</v>
          </cell>
          <cell r="AY70">
            <v>0.14249991997901912</v>
          </cell>
          <cell r="AZ70">
            <v>0.13636731459990159</v>
          </cell>
          <cell r="BA70">
            <v>0.20298513705604027</v>
          </cell>
          <cell r="BB70">
            <v>0.23685138089264224</v>
          </cell>
          <cell r="BC70">
            <v>0.19163071123720909</v>
          </cell>
          <cell r="BD70">
            <v>0.19382261955880931</v>
          </cell>
          <cell r="BE70">
            <v>0.10321365328086185</v>
          </cell>
          <cell r="BF70">
            <v>0.12290262964531329</v>
          </cell>
          <cell r="BG70">
            <v>0.26816330528699539</v>
          </cell>
          <cell r="BH70">
            <v>0.175780714589437</v>
          </cell>
          <cell r="BI70">
            <v>2.014176266333445E-2</v>
          </cell>
          <cell r="BJ70">
            <v>5.0652865777948808E-2</v>
          </cell>
          <cell r="BK70">
            <v>0.10029992754007955</v>
          </cell>
          <cell r="BL70">
            <v>7.9823919849356217E-2</v>
          </cell>
          <cell r="BM70">
            <v>5.8730178131560784E-2</v>
          </cell>
          <cell r="BN70">
            <v>0.31094832943121919</v>
          </cell>
          <cell r="BO70">
            <v>0.2890146074573694</v>
          </cell>
          <cell r="BP70">
            <v>0.21433569386920537</v>
          </cell>
          <cell r="BQ70">
            <v>4.9686645784879468E-2</v>
          </cell>
          <cell r="BR70">
            <v>0.20922947890422261</v>
          </cell>
          <cell r="BS70">
            <v>0.19951987428083218</v>
          </cell>
          <cell r="BT70">
            <v>0.20904512738057512</v>
          </cell>
          <cell r="BU70">
            <v>0.22162760204166831</v>
          </cell>
          <cell r="BV70">
            <v>0.23421089323124011</v>
          </cell>
          <cell r="BW70">
            <v>0.21612882001889866</v>
          </cell>
          <cell r="BX70">
            <v>0.20344234034603637</v>
          </cell>
          <cell r="BY70">
            <v>0.18889779966858256</v>
          </cell>
          <cell r="BZ70">
            <v>0.18601927366847204</v>
          </cell>
          <cell r="CA70">
            <v>0.1898537424114588</v>
          </cell>
          <cell r="CB70">
            <v>0.19179283884756115</v>
          </cell>
        </row>
        <row r="74">
          <cell r="B74" t="str">
            <v>MHS</v>
          </cell>
        </row>
        <row r="75">
          <cell r="B75" t="str">
            <v>Quarterly Balance Sheet &amp; Cash Flow Statement</v>
          </cell>
        </row>
        <row r="76">
          <cell r="B76" t="str">
            <v>BALANCE SHEET</v>
          </cell>
          <cell r="F76" t="str">
            <v xml:space="preserve">Fiscal Year End, December 31 2001 </v>
          </cell>
          <cell r="K76" t="str">
            <v>Fiscal Year End, December 31 2002</v>
          </cell>
          <cell r="P76" t="str">
            <v>Fiscal Year End, Dec 31 2003</v>
          </cell>
          <cell r="U76" t="str">
            <v>Fiscal Year End, Dec 31 2004</v>
          </cell>
          <cell r="Z76" t="str">
            <v xml:space="preserve">Fiscal Year End, Dec 31 2005 </v>
          </cell>
          <cell r="AE76" t="str">
            <v xml:space="preserve">Fiscal Year End, Dec 31 2006 </v>
          </cell>
          <cell r="AJ76" t="str">
            <v xml:space="preserve">Fiscal Year End, Dec 31 2007 </v>
          </cell>
          <cell r="AO76" t="str">
            <v>Fiscal Year End, Dec 31 2008</v>
          </cell>
          <cell r="AT76" t="str">
            <v>Fiscal Year End, Dec 31 2009</v>
          </cell>
          <cell r="AY76" t="str">
            <v>Fiscal Year End, Dec 31 2010</v>
          </cell>
          <cell r="BD76" t="str">
            <v>Fiscal Year End, Dec 31 2011</v>
          </cell>
          <cell r="BI76" t="str">
            <v>Fiscal Year End, Dec 31 2012</v>
          </cell>
          <cell r="BN76" t="str">
            <v>Fiscal Year End, Dec 31 2013</v>
          </cell>
          <cell r="BS76" t="str">
            <v>Fiscal Year End, Dec 31 2014</v>
          </cell>
          <cell r="BX76" t="str">
            <v>Fiscal Year End, Dec 31 2015</v>
          </cell>
        </row>
        <row r="77">
          <cell r="B77" t="str">
            <v>(In millions, except per share data)</v>
          </cell>
          <cell r="D77" t="str">
            <v>1999A</v>
          </cell>
          <cell r="E77" t="str">
            <v>2000A</v>
          </cell>
          <cell r="F77" t="str">
            <v>1QA</v>
          </cell>
          <cell r="G77" t="str">
            <v>2QA</v>
          </cell>
          <cell r="H77" t="str">
            <v>3QA</v>
          </cell>
          <cell r="I77" t="str">
            <v>4QA</v>
          </cell>
          <cell r="J77" t="str">
            <v>2001A</v>
          </cell>
          <cell r="K77" t="str">
            <v>1QA</v>
          </cell>
          <cell r="L77" t="str">
            <v>2QA</v>
          </cell>
          <cell r="M77" t="str">
            <v>3QA</v>
          </cell>
          <cell r="N77" t="str">
            <v>4QA</v>
          </cell>
          <cell r="O77" t="str">
            <v>2002A</v>
          </cell>
          <cell r="P77" t="str">
            <v>1QA</v>
          </cell>
          <cell r="Q77" t="str">
            <v>2QA</v>
          </cell>
          <cell r="R77" t="str">
            <v>3QA</v>
          </cell>
          <cell r="S77" t="str">
            <v>4QA</v>
          </cell>
          <cell r="T77" t="str">
            <v>2003A</v>
          </cell>
          <cell r="U77" t="str">
            <v>1QA</v>
          </cell>
          <cell r="V77" t="str">
            <v>2QA</v>
          </cell>
          <cell r="W77" t="str">
            <v>3QA</v>
          </cell>
          <cell r="X77" t="str">
            <v>4QA</v>
          </cell>
          <cell r="Y77" t="str">
            <v>2004A</v>
          </cell>
          <cell r="Z77" t="str">
            <v>1QA</v>
          </cell>
          <cell r="AA77" t="str">
            <v>2QA</v>
          </cell>
          <cell r="AB77" t="str">
            <v>3QA</v>
          </cell>
          <cell r="AC77" t="str">
            <v>4QA</v>
          </cell>
          <cell r="AD77" t="str">
            <v>2005A</v>
          </cell>
          <cell r="AE77" t="str">
            <v>1QA</v>
          </cell>
          <cell r="AF77" t="str">
            <v>2QA</v>
          </cell>
          <cell r="AG77" t="str">
            <v>3QA</v>
          </cell>
          <cell r="AH77" t="str">
            <v>4QA</v>
          </cell>
          <cell r="AI77" t="str">
            <v>2006A</v>
          </cell>
          <cell r="AJ77" t="str">
            <v>1QA</v>
          </cell>
          <cell r="AK77" t="str">
            <v>2QA</v>
          </cell>
          <cell r="AL77" t="str">
            <v>3QA</v>
          </cell>
          <cell r="AM77" t="str">
            <v>4QA</v>
          </cell>
          <cell r="AN77" t="str">
            <v>2007A</v>
          </cell>
          <cell r="AO77" t="str">
            <v>1QA</v>
          </cell>
          <cell r="AP77" t="str">
            <v>2QA</v>
          </cell>
          <cell r="AQ77" t="str">
            <v>3QA</v>
          </cell>
          <cell r="AR77" t="str">
            <v>4QA</v>
          </cell>
          <cell r="AS77" t="str">
            <v>2008A</v>
          </cell>
          <cell r="AT77" t="str">
            <v>1QA</v>
          </cell>
          <cell r="AU77" t="str">
            <v>2QA</v>
          </cell>
          <cell r="AV77" t="str">
            <v>3QA</v>
          </cell>
          <cell r="AW77" t="str">
            <v>4QA</v>
          </cell>
          <cell r="AX77" t="str">
            <v>2009A</v>
          </cell>
          <cell r="AY77" t="str">
            <v>1QA</v>
          </cell>
          <cell r="AZ77" t="str">
            <v>2QA</v>
          </cell>
          <cell r="BA77" t="str">
            <v>3QA</v>
          </cell>
          <cell r="BB77" t="str">
            <v>4QA</v>
          </cell>
          <cell r="BC77" t="str">
            <v>2010A</v>
          </cell>
          <cell r="BD77" t="str">
            <v>1QA</v>
          </cell>
          <cell r="BE77" t="str">
            <v>2QA</v>
          </cell>
          <cell r="BF77" t="str">
            <v>3QA</v>
          </cell>
          <cell r="BG77" t="str">
            <v>4QA</v>
          </cell>
          <cell r="BH77" t="str">
            <v>2011A</v>
          </cell>
          <cell r="BI77" t="str">
            <v>1QE</v>
          </cell>
          <cell r="BJ77" t="str">
            <v>2QE</v>
          </cell>
          <cell r="BK77" t="str">
            <v>3QE</v>
          </cell>
          <cell r="BL77" t="str">
            <v>4QE</v>
          </cell>
          <cell r="BM77" t="str">
            <v>2012E</v>
          </cell>
          <cell r="BN77" t="str">
            <v>1QE</v>
          </cell>
          <cell r="BO77" t="str">
            <v>2QE</v>
          </cell>
          <cell r="BP77" t="str">
            <v>3QE</v>
          </cell>
          <cell r="BQ77" t="str">
            <v>4QE</v>
          </cell>
          <cell r="BR77" t="str">
            <v>2013E</v>
          </cell>
          <cell r="BS77" t="str">
            <v>1QE</v>
          </cell>
          <cell r="BT77" t="str">
            <v>2QE</v>
          </cell>
          <cell r="BU77" t="str">
            <v>3QE</v>
          </cell>
          <cell r="BV77" t="str">
            <v>4QE</v>
          </cell>
          <cell r="BW77" t="str">
            <v>2014E</v>
          </cell>
          <cell r="BX77" t="str">
            <v>1QE</v>
          </cell>
          <cell r="BY77" t="str">
            <v>2QE</v>
          </cell>
          <cell r="BZ77" t="str">
            <v>3QE</v>
          </cell>
          <cell r="CA77" t="str">
            <v>4QE</v>
          </cell>
          <cell r="CB77" t="str">
            <v>2015E</v>
          </cell>
        </row>
        <row r="78">
          <cell r="B78" t="str">
            <v>Assets</v>
          </cell>
        </row>
        <row r="79">
          <cell r="B79" t="str">
            <v>Cash and equiv/securities</v>
          </cell>
          <cell r="K79">
            <v>0</v>
          </cell>
          <cell r="L79">
            <v>0</v>
          </cell>
          <cell r="M79">
            <v>0</v>
          </cell>
          <cell r="N79">
            <v>86.9</v>
          </cell>
          <cell r="O79">
            <v>86.9</v>
          </cell>
          <cell r="P79">
            <v>0</v>
          </cell>
          <cell r="Q79">
            <v>77.199999999999989</v>
          </cell>
          <cell r="R79">
            <v>870.9</v>
          </cell>
          <cell r="S79">
            <v>638.5</v>
          </cell>
          <cell r="T79">
            <v>638.5</v>
          </cell>
          <cell r="U79">
            <v>643.20000000000005</v>
          </cell>
          <cell r="V79">
            <v>594.4</v>
          </cell>
          <cell r="W79">
            <v>1000.5</v>
          </cell>
          <cell r="X79">
            <v>1145.5</v>
          </cell>
          <cell r="Y79">
            <v>1145.5</v>
          </cell>
          <cell r="Z79">
            <v>1498.6</v>
          </cell>
          <cell r="AA79">
            <v>1295.5</v>
          </cell>
          <cell r="AB79">
            <v>1326.3</v>
          </cell>
          <cell r="AC79">
            <v>888.2</v>
          </cell>
          <cell r="AD79">
            <v>888.2</v>
          </cell>
          <cell r="AE79">
            <v>710.9</v>
          </cell>
          <cell r="AF79">
            <v>408.7</v>
          </cell>
          <cell r="AG79">
            <v>458.8</v>
          </cell>
          <cell r="AH79">
            <v>818.5</v>
          </cell>
          <cell r="AI79">
            <v>818.5</v>
          </cell>
          <cell r="AJ79">
            <v>483.1</v>
          </cell>
          <cell r="AK79">
            <v>983.7</v>
          </cell>
          <cell r="AL79">
            <v>629.5</v>
          </cell>
          <cell r="AM79">
            <v>774.1</v>
          </cell>
          <cell r="AN79">
            <v>774.1</v>
          </cell>
          <cell r="AO79">
            <v>540.6</v>
          </cell>
          <cell r="AP79">
            <v>371.7</v>
          </cell>
          <cell r="AQ79">
            <v>440.8</v>
          </cell>
          <cell r="AR79">
            <v>938.4</v>
          </cell>
          <cell r="AS79">
            <v>938.4</v>
          </cell>
          <cell r="AT79">
            <v>1799.5</v>
          </cell>
          <cell r="AU79">
            <v>2085.5</v>
          </cell>
          <cell r="AV79">
            <v>2020.3</v>
          </cell>
          <cell r="AW79">
            <v>2528.1999999999998</v>
          </cell>
          <cell r="AX79">
            <v>2528.1999999999998</v>
          </cell>
          <cell r="AY79">
            <v>1562.1</v>
          </cell>
          <cell r="AZ79">
            <v>1183.7</v>
          </cell>
          <cell r="BA79">
            <v>892.4</v>
          </cell>
          <cell r="BB79">
            <v>853.4</v>
          </cell>
          <cell r="BC79">
            <v>853.4</v>
          </cell>
          <cell r="BD79">
            <v>127.1</v>
          </cell>
          <cell r="BE79">
            <v>92.4</v>
          </cell>
          <cell r="BF79">
            <v>161.5</v>
          </cell>
          <cell r="BG79">
            <v>229.1</v>
          </cell>
          <cell r="BH79">
            <v>229.1</v>
          </cell>
          <cell r="BI79">
            <v>1330.3170989389471</v>
          </cell>
          <cell r="BJ79">
            <v>1760.4263536396229</v>
          </cell>
          <cell r="BK79">
            <v>255.70092163342588</v>
          </cell>
          <cell r="BL79">
            <v>248.06407113131081</v>
          </cell>
          <cell r="BM79">
            <v>248.06407113131081</v>
          </cell>
          <cell r="BN79">
            <v>318.61449567371892</v>
          </cell>
          <cell r="BO79">
            <v>227.96235768641463</v>
          </cell>
          <cell r="BP79">
            <v>576.90228036857206</v>
          </cell>
          <cell r="BQ79">
            <v>949.48554221905852</v>
          </cell>
          <cell r="BR79">
            <v>949.48554221905852</v>
          </cell>
          <cell r="BS79">
            <v>214.84286689259739</v>
          </cell>
          <cell r="BT79">
            <v>243.6879696773384</v>
          </cell>
          <cell r="BU79">
            <v>448.07996006733856</v>
          </cell>
          <cell r="BV79">
            <v>781.6086071966547</v>
          </cell>
          <cell r="BW79">
            <v>781.6086071966547</v>
          </cell>
          <cell r="BX79">
            <v>277.54120935336425</v>
          </cell>
          <cell r="BY79">
            <v>290.56071631781538</v>
          </cell>
          <cell r="BZ79">
            <v>395.67278399629777</v>
          </cell>
          <cell r="CA79">
            <v>678.44205153593407</v>
          </cell>
          <cell r="CB79">
            <v>678.44205153593407</v>
          </cell>
          <cell r="CI79" t="str">
            <v>mstag:cashAndCashEquivalents</v>
          </cell>
          <cell r="CJ79">
            <v>6</v>
          </cell>
          <cell r="CK79" t="str">
            <v>ISO4217:USD</v>
          </cell>
          <cell r="CL79" t="b">
            <v>0</v>
          </cell>
        </row>
        <row r="80">
          <cell r="B80" t="str">
            <v>Short-term investments</v>
          </cell>
          <cell r="S80">
            <v>59.5</v>
          </cell>
          <cell r="T80">
            <v>59.5</v>
          </cell>
          <cell r="U80">
            <v>57.5</v>
          </cell>
          <cell r="V80">
            <v>57.5</v>
          </cell>
          <cell r="W80">
            <v>57.5</v>
          </cell>
          <cell r="X80">
            <v>65.400000000000006</v>
          </cell>
          <cell r="Y80">
            <v>65.400000000000006</v>
          </cell>
          <cell r="Z80">
            <v>65.3</v>
          </cell>
          <cell r="AA80">
            <v>64.099999999999994</v>
          </cell>
          <cell r="AB80">
            <v>64.8</v>
          </cell>
          <cell r="AC80">
            <v>56.6</v>
          </cell>
          <cell r="AD80">
            <v>56.6</v>
          </cell>
          <cell r="AE80">
            <v>56.6</v>
          </cell>
          <cell r="AF80">
            <v>58.2</v>
          </cell>
          <cell r="AG80">
            <v>60.4</v>
          </cell>
          <cell r="AH80">
            <v>68.400000000000006</v>
          </cell>
          <cell r="AI80">
            <v>68.400000000000006</v>
          </cell>
          <cell r="AJ80">
            <v>71.3</v>
          </cell>
          <cell r="AK80">
            <v>62.3</v>
          </cell>
          <cell r="AL80">
            <v>70.099999999999994</v>
          </cell>
          <cell r="AM80">
            <v>70.3</v>
          </cell>
          <cell r="AN80">
            <v>70.3</v>
          </cell>
          <cell r="AO80">
            <v>70.400000000000006</v>
          </cell>
          <cell r="AP80">
            <v>70.900000000000006</v>
          </cell>
          <cell r="AQ80">
            <v>66.900000000000006</v>
          </cell>
          <cell r="AR80">
            <v>64</v>
          </cell>
          <cell r="AS80">
            <v>64</v>
          </cell>
          <cell r="AT80">
            <v>62.4</v>
          </cell>
          <cell r="AU80">
            <v>62.1</v>
          </cell>
          <cell r="AV80">
            <v>47.6</v>
          </cell>
          <cell r="AW80">
            <v>20.100000000000001</v>
          </cell>
          <cell r="AX80">
            <v>20.100000000000001</v>
          </cell>
          <cell r="AY80">
            <v>18.2</v>
          </cell>
          <cell r="AZ80">
            <v>54</v>
          </cell>
          <cell r="BA80">
            <v>55</v>
          </cell>
          <cell r="BB80">
            <v>56.7</v>
          </cell>
          <cell r="BC80">
            <v>56.7</v>
          </cell>
          <cell r="BD80">
            <v>44</v>
          </cell>
          <cell r="BE80">
            <v>8.1999999999999993</v>
          </cell>
          <cell r="BF80">
            <v>5.3</v>
          </cell>
          <cell r="BG80">
            <v>2.6</v>
          </cell>
          <cell r="BH80">
            <v>2.6</v>
          </cell>
          <cell r="BI80">
            <v>2.6</v>
          </cell>
          <cell r="BJ80">
            <v>2.6</v>
          </cell>
          <cell r="BK80">
            <v>2.6</v>
          </cell>
          <cell r="BL80">
            <v>2.6</v>
          </cell>
          <cell r="BM80">
            <v>2.6</v>
          </cell>
          <cell r="BN80">
            <v>2.6</v>
          </cell>
          <cell r="BO80">
            <v>2.6</v>
          </cell>
          <cell r="BP80">
            <v>2.6</v>
          </cell>
          <cell r="BQ80">
            <v>2.6</v>
          </cell>
          <cell r="BR80">
            <v>2.6</v>
          </cell>
          <cell r="BS80">
            <v>2.6</v>
          </cell>
          <cell r="BT80">
            <v>2.6</v>
          </cell>
          <cell r="BU80">
            <v>2.6</v>
          </cell>
          <cell r="BV80">
            <v>2.6</v>
          </cell>
          <cell r="BW80">
            <v>2.6</v>
          </cell>
          <cell r="BX80">
            <v>2.6</v>
          </cell>
          <cell r="BY80">
            <v>2.6</v>
          </cell>
          <cell r="BZ80">
            <v>2.6</v>
          </cell>
          <cell r="CA80">
            <v>2.6</v>
          </cell>
          <cell r="CB80">
            <v>2.6</v>
          </cell>
          <cell r="CI80" t="str">
            <v>mstag:shortTermInvestments</v>
          </cell>
          <cell r="CJ80">
            <v>6</v>
          </cell>
          <cell r="CK80" t="str">
            <v>ISO4217:USD</v>
          </cell>
          <cell r="CL80" t="b">
            <v>0</v>
          </cell>
        </row>
        <row r="81">
          <cell r="B81" t="str">
            <v>Accounts receivable</v>
          </cell>
          <cell r="K81">
            <v>0</v>
          </cell>
          <cell r="L81">
            <v>0</v>
          </cell>
          <cell r="M81">
            <v>0</v>
          </cell>
          <cell r="N81">
            <v>1562.2</v>
          </cell>
          <cell r="O81">
            <v>1562.2</v>
          </cell>
          <cell r="P81">
            <v>0</v>
          </cell>
          <cell r="Q81">
            <v>1533.6</v>
          </cell>
          <cell r="R81">
            <v>1385.9</v>
          </cell>
          <cell r="S81">
            <v>1394</v>
          </cell>
          <cell r="T81">
            <v>1394</v>
          </cell>
          <cell r="U81">
            <v>1662.7</v>
          </cell>
          <cell r="V81">
            <v>1743.6</v>
          </cell>
          <cell r="W81">
            <v>1589.2</v>
          </cell>
          <cell r="X81">
            <v>1555.4</v>
          </cell>
          <cell r="Y81">
            <v>1555.4</v>
          </cell>
          <cell r="Z81">
            <v>1453.2</v>
          </cell>
          <cell r="AA81">
            <v>1662</v>
          </cell>
          <cell r="AB81">
            <v>1948.1</v>
          </cell>
          <cell r="AC81">
            <v>2008.1</v>
          </cell>
          <cell r="AD81">
            <v>2008.1</v>
          </cell>
          <cell r="AE81">
            <v>2420.6999999999998</v>
          </cell>
          <cell r="AF81">
            <v>2209.9</v>
          </cell>
          <cell r="AG81">
            <v>2460.1999999999998</v>
          </cell>
          <cell r="AH81">
            <v>2826.5</v>
          </cell>
          <cell r="AI81">
            <v>2826.5</v>
          </cell>
          <cell r="AJ81">
            <v>2895.6</v>
          </cell>
          <cell r="AK81">
            <v>2841.2</v>
          </cell>
          <cell r="AL81">
            <v>2723.1</v>
          </cell>
          <cell r="AM81">
            <v>2856.5</v>
          </cell>
          <cell r="AN81">
            <v>2856.5</v>
          </cell>
          <cell r="AO81">
            <v>3135.6000000000004</v>
          </cell>
          <cell r="AP81">
            <v>3366.5</v>
          </cell>
          <cell r="AQ81">
            <v>3530.2</v>
          </cell>
          <cell r="AR81">
            <v>3539.4</v>
          </cell>
          <cell r="AS81">
            <v>3539.4</v>
          </cell>
          <cell r="AT81">
            <v>3614</v>
          </cell>
          <cell r="AU81">
            <v>3818.1</v>
          </cell>
          <cell r="AV81">
            <v>3456.9</v>
          </cell>
          <cell r="AW81">
            <v>3828.8</v>
          </cell>
          <cell r="AX81">
            <v>3828.8</v>
          </cell>
          <cell r="AY81">
            <v>3724.1</v>
          </cell>
          <cell r="AZ81">
            <v>3880</v>
          </cell>
          <cell r="BA81">
            <v>3939</v>
          </cell>
          <cell r="BB81">
            <v>4448.2</v>
          </cell>
          <cell r="BC81">
            <v>4448.2</v>
          </cell>
          <cell r="BD81">
            <v>4238.3999999999996</v>
          </cell>
          <cell r="BE81">
            <v>4395.3999999999996</v>
          </cell>
          <cell r="BF81">
            <v>4270.5</v>
          </cell>
          <cell r="BG81">
            <v>4870.2999999999993</v>
          </cell>
          <cell r="BH81">
            <v>4870.2999999999993</v>
          </cell>
          <cell r="BI81">
            <v>3719.402370421833</v>
          </cell>
          <cell r="BJ81">
            <v>3728.1654653896444</v>
          </cell>
          <cell r="BK81">
            <v>3663.5790168552985</v>
          </cell>
          <cell r="BL81">
            <v>3900.7828454592677</v>
          </cell>
          <cell r="BM81">
            <v>3900.7828454592677</v>
          </cell>
          <cell r="BN81">
            <v>2999.6385667112045</v>
          </cell>
          <cell r="BO81">
            <v>3065.8677876750066</v>
          </cell>
          <cell r="BP81">
            <v>3104.8100073604801</v>
          </cell>
          <cell r="BQ81">
            <v>3085.6474636347962</v>
          </cell>
          <cell r="BR81">
            <v>3085.6474636347962</v>
          </cell>
          <cell r="BS81">
            <v>3095.2526770939062</v>
          </cell>
          <cell r="BT81">
            <v>3114.7433594222734</v>
          </cell>
          <cell r="BU81">
            <v>3091.585119845869</v>
          </cell>
          <cell r="BV81">
            <v>3069.7671310675441</v>
          </cell>
          <cell r="BW81">
            <v>3069.7671310675441</v>
          </cell>
          <cell r="BX81">
            <v>3071.9605107621683</v>
          </cell>
          <cell r="BY81">
            <v>3132.0708950723101</v>
          </cell>
          <cell r="BZ81">
            <v>3170.1294795399172</v>
          </cell>
          <cell r="CA81">
            <v>3141.5774760561276</v>
          </cell>
          <cell r="CB81">
            <v>3141.5774760561276</v>
          </cell>
          <cell r="CI81" t="str">
            <v>mstag:tradeReceivablesCurrent</v>
          </cell>
          <cell r="CJ81">
            <v>6</v>
          </cell>
          <cell r="CK81" t="str">
            <v>ISO4217:USD</v>
          </cell>
          <cell r="CL81" t="b">
            <v>0</v>
          </cell>
        </row>
        <row r="82">
          <cell r="B82" t="str">
            <v>Inventory, net</v>
          </cell>
          <cell r="K82">
            <v>0</v>
          </cell>
          <cell r="L82">
            <v>0</v>
          </cell>
          <cell r="M82">
            <v>0</v>
          </cell>
          <cell r="N82">
            <v>1062.7</v>
          </cell>
          <cell r="O82">
            <v>1062.7</v>
          </cell>
          <cell r="P82">
            <v>0</v>
          </cell>
          <cell r="Q82">
            <v>925.9</v>
          </cell>
          <cell r="R82">
            <v>1113.7</v>
          </cell>
          <cell r="S82">
            <v>1213.4000000000001</v>
          </cell>
          <cell r="T82">
            <v>1213.4000000000001</v>
          </cell>
          <cell r="U82">
            <v>1247.5999999999999</v>
          </cell>
          <cell r="V82">
            <v>1072.4000000000001</v>
          </cell>
          <cell r="W82">
            <v>1204.0999999999999</v>
          </cell>
          <cell r="X82">
            <v>1315.6</v>
          </cell>
          <cell r="Y82">
            <v>1315.6</v>
          </cell>
          <cell r="Z82">
            <v>1130</v>
          </cell>
          <cell r="AA82">
            <v>1319</v>
          </cell>
          <cell r="AB82">
            <v>1351.8</v>
          </cell>
          <cell r="AC82">
            <v>1527.1</v>
          </cell>
          <cell r="AD82">
            <v>1527.1</v>
          </cell>
          <cell r="AE82">
            <v>1387.6</v>
          </cell>
          <cell r="AF82">
            <v>1531.9</v>
          </cell>
          <cell r="AG82">
            <v>1616.8</v>
          </cell>
          <cell r="AH82">
            <v>1676.8</v>
          </cell>
          <cell r="AI82">
            <v>1676.8</v>
          </cell>
          <cell r="AJ82">
            <v>1705.6</v>
          </cell>
          <cell r="AK82">
            <v>1574.3</v>
          </cell>
          <cell r="AL82">
            <v>1645.7</v>
          </cell>
          <cell r="AM82">
            <v>1946</v>
          </cell>
          <cell r="AN82">
            <v>1946</v>
          </cell>
          <cell r="AO82">
            <v>1967</v>
          </cell>
          <cell r="AP82">
            <v>2090</v>
          </cell>
          <cell r="AQ82">
            <v>1947.2</v>
          </cell>
          <cell r="AR82">
            <v>1856.5</v>
          </cell>
          <cell r="AS82">
            <v>1856.5</v>
          </cell>
          <cell r="AT82">
            <v>1675.6</v>
          </cell>
          <cell r="AU82">
            <v>1497.2</v>
          </cell>
          <cell r="AV82">
            <v>1341.4</v>
          </cell>
          <cell r="AW82">
            <v>1285.3</v>
          </cell>
          <cell r="AX82">
            <v>1285.3</v>
          </cell>
          <cell r="AY82">
            <v>1250.4000000000001</v>
          </cell>
          <cell r="AZ82">
            <v>1162.0999999999999</v>
          </cell>
          <cell r="BA82">
            <v>998.4</v>
          </cell>
          <cell r="BB82">
            <v>1013.2</v>
          </cell>
          <cell r="BC82">
            <v>1013.2</v>
          </cell>
          <cell r="BD82">
            <v>1108.8</v>
          </cell>
          <cell r="BE82">
            <v>833</v>
          </cell>
          <cell r="BF82">
            <v>788.1</v>
          </cell>
          <cell r="BG82">
            <v>897.8</v>
          </cell>
          <cell r="BH82">
            <v>897.8</v>
          </cell>
          <cell r="BI82">
            <v>768.32098894759997</v>
          </cell>
          <cell r="BJ82">
            <v>767.82081718267875</v>
          </cell>
          <cell r="BK82">
            <v>749.80793812388572</v>
          </cell>
          <cell r="BL82">
            <v>796.85415104337596</v>
          </cell>
          <cell r="BM82">
            <v>796.85415104337596</v>
          </cell>
          <cell r="BN82">
            <v>591.34955329562717</v>
          </cell>
          <cell r="BO82">
            <v>603.31721223235752</v>
          </cell>
          <cell r="BP82">
            <v>608.88958869920566</v>
          </cell>
          <cell r="BQ82">
            <v>604.42104580270563</v>
          </cell>
          <cell r="BR82">
            <v>604.42104580270563</v>
          </cell>
          <cell r="BS82">
            <v>609.18732613157999</v>
          </cell>
          <cell r="BT82">
            <v>610.69811782087152</v>
          </cell>
          <cell r="BU82">
            <v>602.29839143432525</v>
          </cell>
          <cell r="BV82">
            <v>597.24481805914991</v>
          </cell>
          <cell r="BW82">
            <v>597.24481805914991</v>
          </cell>
          <cell r="BX82">
            <v>601.28889456561092</v>
          </cell>
          <cell r="BY82">
            <v>611.78449116301624</v>
          </cell>
          <cell r="BZ82">
            <v>616.77009578041032</v>
          </cell>
          <cell r="CA82">
            <v>610.39910786411531</v>
          </cell>
          <cell r="CB82">
            <v>610.39910786411531</v>
          </cell>
          <cell r="CI82" t="str">
            <v>mstag:inventories</v>
          </cell>
          <cell r="CJ82">
            <v>6</v>
          </cell>
          <cell r="CK82" t="str">
            <v>ISO4217:USD</v>
          </cell>
          <cell r="CL82" t="b">
            <v>0</v>
          </cell>
        </row>
        <row r="83">
          <cell r="B83" t="str">
            <v>Due from Merck, net</v>
          </cell>
          <cell r="K83">
            <v>0</v>
          </cell>
          <cell r="L83">
            <v>0</v>
          </cell>
          <cell r="M83">
            <v>0</v>
          </cell>
          <cell r="N83">
            <v>231.8</v>
          </cell>
          <cell r="O83">
            <v>231.8</v>
          </cell>
          <cell r="P83">
            <v>0</v>
          </cell>
          <cell r="Q83">
            <v>688.4</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cell r="BM83">
            <v>0</v>
          </cell>
          <cell r="BN83">
            <v>0</v>
          </cell>
          <cell r="BO83">
            <v>0</v>
          </cell>
          <cell r="BP83">
            <v>0</v>
          </cell>
          <cell r="BQ83">
            <v>0</v>
          </cell>
          <cell r="BR83">
            <v>0</v>
          </cell>
          <cell r="BS83">
            <v>0</v>
          </cell>
          <cell r="BT83">
            <v>0</v>
          </cell>
          <cell r="BU83">
            <v>0</v>
          </cell>
          <cell r="BV83">
            <v>0</v>
          </cell>
          <cell r="BW83">
            <v>0</v>
          </cell>
          <cell r="BX83">
            <v>0</v>
          </cell>
          <cell r="BY83">
            <v>0</v>
          </cell>
          <cell r="BZ83">
            <v>0</v>
          </cell>
          <cell r="CA83">
            <v>0</v>
          </cell>
          <cell r="CB83">
            <v>0</v>
          </cell>
          <cell r="CI83" t="str">
            <v>mstag:otherAssetsOperatingCurrent</v>
          </cell>
          <cell r="CJ83">
            <v>6</v>
          </cell>
          <cell r="CK83" t="str">
            <v>ISO4217:USD</v>
          </cell>
          <cell r="CL83" t="b">
            <v>0</v>
          </cell>
        </row>
        <row r="84">
          <cell r="B84" t="str">
            <v>Prepaid expenses and other current assets</v>
          </cell>
          <cell r="K84">
            <v>0</v>
          </cell>
          <cell r="L84">
            <v>0</v>
          </cell>
          <cell r="M84">
            <v>0</v>
          </cell>
          <cell r="N84">
            <v>69.7</v>
          </cell>
          <cell r="O84">
            <v>69.7</v>
          </cell>
          <cell r="P84">
            <v>0</v>
          </cell>
          <cell r="Q84">
            <v>69.8</v>
          </cell>
          <cell r="R84">
            <v>76.7</v>
          </cell>
          <cell r="S84">
            <v>95.5</v>
          </cell>
          <cell r="T84">
            <v>95.5</v>
          </cell>
          <cell r="U84">
            <v>76.7</v>
          </cell>
          <cell r="V84">
            <v>68.5</v>
          </cell>
          <cell r="W84">
            <v>80.2</v>
          </cell>
          <cell r="X84">
            <v>66.7</v>
          </cell>
          <cell r="Y84">
            <v>66.7</v>
          </cell>
          <cell r="Z84">
            <v>95.7</v>
          </cell>
          <cell r="AA84">
            <v>82.6</v>
          </cell>
          <cell r="AB84">
            <v>93.6</v>
          </cell>
          <cell r="AC84">
            <v>259.89999999999998</v>
          </cell>
          <cell r="AD84">
            <v>259.89999999999998</v>
          </cell>
          <cell r="AE84">
            <v>338.6</v>
          </cell>
          <cell r="AF84">
            <v>356.7</v>
          </cell>
          <cell r="AG84">
            <v>303.3</v>
          </cell>
          <cell r="AH84">
            <v>273.39999999999998</v>
          </cell>
          <cell r="AI84">
            <v>273.39999999999998</v>
          </cell>
          <cell r="AJ84">
            <v>278</v>
          </cell>
          <cell r="AK84">
            <v>275</v>
          </cell>
          <cell r="AL84">
            <v>284.39999999999998</v>
          </cell>
          <cell r="AM84">
            <v>285.39999999999998</v>
          </cell>
          <cell r="AN84">
            <v>285.39999999999998</v>
          </cell>
          <cell r="AO84">
            <v>500.4</v>
          </cell>
          <cell r="AP84">
            <v>540.70000000000005</v>
          </cell>
          <cell r="AQ84">
            <v>73.400000000000006</v>
          </cell>
          <cell r="AR84">
            <v>326.60000000000002</v>
          </cell>
          <cell r="AS84">
            <v>326.60000000000002</v>
          </cell>
          <cell r="AT84">
            <v>287</v>
          </cell>
          <cell r="AU84">
            <v>265.3</v>
          </cell>
          <cell r="AV84">
            <v>257.10000000000002</v>
          </cell>
          <cell r="AW84">
            <v>265.39999999999998</v>
          </cell>
          <cell r="AX84">
            <v>265.39999999999998</v>
          </cell>
          <cell r="AY84">
            <v>97.8</v>
          </cell>
          <cell r="AZ84">
            <v>100.7</v>
          </cell>
          <cell r="BA84">
            <v>81.7</v>
          </cell>
          <cell r="BB84">
            <v>75.8</v>
          </cell>
          <cell r="BC84">
            <v>75.8</v>
          </cell>
          <cell r="BD84">
            <v>75.7</v>
          </cell>
          <cell r="BE84">
            <v>83.6</v>
          </cell>
          <cell r="BF84">
            <v>69.7</v>
          </cell>
          <cell r="BG84">
            <v>400.7</v>
          </cell>
          <cell r="BH84">
            <v>400.7</v>
          </cell>
          <cell r="BI84">
            <v>400.7</v>
          </cell>
          <cell r="BJ84">
            <v>400.7</v>
          </cell>
          <cell r="BK84">
            <v>400.7</v>
          </cell>
          <cell r="BL84">
            <v>400.7</v>
          </cell>
          <cell r="BM84">
            <v>400.7</v>
          </cell>
          <cell r="BN84">
            <v>400.7</v>
          </cell>
          <cell r="BO84">
            <v>400.7</v>
          </cell>
          <cell r="BP84">
            <v>400.7</v>
          </cell>
          <cell r="BQ84">
            <v>400.7</v>
          </cell>
          <cell r="BR84">
            <v>400.7</v>
          </cell>
          <cell r="BS84">
            <v>400.7</v>
          </cell>
          <cell r="BT84">
            <v>400.7</v>
          </cell>
          <cell r="BU84">
            <v>400.7</v>
          </cell>
          <cell r="BV84">
            <v>400.7</v>
          </cell>
          <cell r="BW84">
            <v>400.7</v>
          </cell>
          <cell r="BX84">
            <v>400.7</v>
          </cell>
          <cell r="BY84">
            <v>400.7</v>
          </cell>
          <cell r="BZ84">
            <v>400.7</v>
          </cell>
          <cell r="CA84">
            <v>400.7</v>
          </cell>
          <cell r="CB84">
            <v>400.7</v>
          </cell>
          <cell r="CI84" t="str">
            <v>mstag:prepaidExpensesCurrent</v>
          </cell>
          <cell r="CJ84">
            <v>6</v>
          </cell>
          <cell r="CK84" t="str">
            <v>ISO4217:USD</v>
          </cell>
          <cell r="CL84" t="b">
            <v>0</v>
          </cell>
        </row>
        <row r="85">
          <cell r="B85" t="str">
            <v>Deferred tax asset</v>
          </cell>
          <cell r="K85">
            <v>0</v>
          </cell>
          <cell r="L85">
            <v>0</v>
          </cell>
          <cell r="M85">
            <v>0</v>
          </cell>
          <cell r="N85">
            <v>213.1</v>
          </cell>
          <cell r="O85">
            <v>213.1</v>
          </cell>
          <cell r="P85">
            <v>0</v>
          </cell>
          <cell r="Q85">
            <v>222.2</v>
          </cell>
          <cell r="R85">
            <v>220.1</v>
          </cell>
          <cell r="S85">
            <v>359.4</v>
          </cell>
          <cell r="T85">
            <v>359.4</v>
          </cell>
          <cell r="U85">
            <v>341</v>
          </cell>
          <cell r="V85">
            <v>332.3</v>
          </cell>
          <cell r="W85">
            <v>191.9</v>
          </cell>
          <cell r="X85">
            <v>171.8</v>
          </cell>
          <cell r="Y85">
            <v>171.8</v>
          </cell>
          <cell r="Z85">
            <v>180.5</v>
          </cell>
          <cell r="AA85">
            <v>171.5</v>
          </cell>
          <cell r="AB85">
            <v>177.5</v>
          </cell>
          <cell r="AC85">
            <v>321</v>
          </cell>
          <cell r="AD85">
            <v>321</v>
          </cell>
          <cell r="AE85">
            <v>398.3</v>
          </cell>
          <cell r="AF85">
            <v>334.8</v>
          </cell>
          <cell r="AG85">
            <v>195.7</v>
          </cell>
          <cell r="AH85">
            <v>191.4</v>
          </cell>
          <cell r="AI85">
            <v>191.4</v>
          </cell>
          <cell r="AJ85">
            <v>193</v>
          </cell>
          <cell r="AK85">
            <v>206.9</v>
          </cell>
          <cell r="AL85">
            <v>219.1</v>
          </cell>
          <cell r="AM85">
            <v>154.4</v>
          </cell>
          <cell r="AN85">
            <v>154.4</v>
          </cell>
          <cell r="AO85">
            <v>151.69999999999999</v>
          </cell>
          <cell r="AP85">
            <v>154.4</v>
          </cell>
          <cell r="AQ85">
            <v>163.4</v>
          </cell>
          <cell r="AR85">
            <v>159.19999999999999</v>
          </cell>
          <cell r="AS85">
            <v>159.19999999999999</v>
          </cell>
          <cell r="AT85">
            <v>166.7</v>
          </cell>
          <cell r="AU85">
            <v>223.3</v>
          </cell>
          <cell r="AV85">
            <v>222.8</v>
          </cell>
          <cell r="AW85">
            <v>230.8</v>
          </cell>
          <cell r="AX85">
            <v>230.8</v>
          </cell>
          <cell r="AY85">
            <v>240.1</v>
          </cell>
          <cell r="AZ85">
            <v>232.6</v>
          </cell>
          <cell r="BA85">
            <v>226.1</v>
          </cell>
          <cell r="BB85">
            <v>238.4</v>
          </cell>
          <cell r="BC85">
            <v>238.4</v>
          </cell>
          <cell r="BD85">
            <v>239.8</v>
          </cell>
          <cell r="BE85">
            <v>248.3</v>
          </cell>
          <cell r="BF85">
            <v>266.89999999999998</v>
          </cell>
          <cell r="BG85">
            <v>280</v>
          </cell>
          <cell r="BH85">
            <v>280</v>
          </cell>
          <cell r="BI85">
            <v>280</v>
          </cell>
          <cell r="BJ85">
            <v>280</v>
          </cell>
          <cell r="BK85">
            <v>280</v>
          </cell>
          <cell r="BL85">
            <v>280</v>
          </cell>
          <cell r="BM85">
            <v>280</v>
          </cell>
          <cell r="BN85">
            <v>280</v>
          </cell>
          <cell r="BO85">
            <v>280</v>
          </cell>
          <cell r="BP85">
            <v>280</v>
          </cell>
          <cell r="BQ85">
            <v>280</v>
          </cell>
          <cell r="BR85">
            <v>280</v>
          </cell>
          <cell r="BS85">
            <v>280</v>
          </cell>
          <cell r="BT85">
            <v>280</v>
          </cell>
          <cell r="BU85">
            <v>280</v>
          </cell>
          <cell r="BV85">
            <v>280</v>
          </cell>
          <cell r="BW85">
            <v>280</v>
          </cell>
          <cell r="BX85">
            <v>280</v>
          </cell>
          <cell r="BY85">
            <v>280</v>
          </cell>
          <cell r="BZ85">
            <v>280</v>
          </cell>
          <cell r="CA85">
            <v>280</v>
          </cell>
          <cell r="CB85">
            <v>280</v>
          </cell>
          <cell r="CI85" t="str">
            <v>mstag:deferredTaxAssetsCurrent</v>
          </cell>
          <cell r="CJ85">
            <v>6</v>
          </cell>
          <cell r="CK85" t="str">
            <v>ISO4217:USD</v>
          </cell>
          <cell r="CL85" t="b">
            <v>0</v>
          </cell>
        </row>
        <row r="87">
          <cell r="B87" t="str">
            <v>PPE</v>
          </cell>
          <cell r="K87">
            <v>0</v>
          </cell>
          <cell r="L87">
            <v>0</v>
          </cell>
          <cell r="M87">
            <v>0</v>
          </cell>
          <cell r="N87">
            <v>842.9</v>
          </cell>
          <cell r="O87">
            <v>842.9</v>
          </cell>
          <cell r="P87">
            <v>0</v>
          </cell>
          <cell r="Q87">
            <v>797.6</v>
          </cell>
          <cell r="R87">
            <v>783.5</v>
          </cell>
          <cell r="S87">
            <v>757.3</v>
          </cell>
          <cell r="T87">
            <v>757.3</v>
          </cell>
          <cell r="U87">
            <v>717.7</v>
          </cell>
          <cell r="V87">
            <v>688.6</v>
          </cell>
          <cell r="W87">
            <v>664.8</v>
          </cell>
          <cell r="X87">
            <v>657.8</v>
          </cell>
          <cell r="Y87">
            <v>657.8</v>
          </cell>
          <cell r="Z87">
            <v>640.1</v>
          </cell>
          <cell r="AA87">
            <v>628.6</v>
          </cell>
          <cell r="AB87">
            <v>661</v>
          </cell>
          <cell r="AC87">
            <v>672.3</v>
          </cell>
          <cell r="AD87">
            <v>672.3</v>
          </cell>
          <cell r="AE87">
            <v>650.5</v>
          </cell>
          <cell r="AF87">
            <v>637.6</v>
          </cell>
          <cell r="AG87">
            <v>626.9</v>
          </cell>
          <cell r="AH87">
            <v>649.70000000000005</v>
          </cell>
          <cell r="AI87">
            <v>649.70000000000005</v>
          </cell>
          <cell r="AJ87">
            <v>633.1</v>
          </cell>
          <cell r="AK87">
            <v>623.70000000000005</v>
          </cell>
          <cell r="AL87">
            <v>618.79999999999995</v>
          </cell>
          <cell r="AM87">
            <v>725.5</v>
          </cell>
          <cell r="AN87">
            <v>725.5</v>
          </cell>
          <cell r="AO87">
            <v>724</v>
          </cell>
          <cell r="AP87">
            <v>734.6</v>
          </cell>
          <cell r="AQ87">
            <v>763.8</v>
          </cell>
          <cell r="AR87">
            <v>854.1</v>
          </cell>
          <cell r="AS87">
            <v>854.1</v>
          </cell>
          <cell r="AT87">
            <v>846.1</v>
          </cell>
          <cell r="AU87">
            <v>862.5</v>
          </cell>
          <cell r="AV87">
            <v>869.1</v>
          </cell>
          <cell r="AW87">
            <v>912.5</v>
          </cell>
          <cell r="AX87">
            <v>912.5</v>
          </cell>
          <cell r="AY87">
            <v>910.6</v>
          </cell>
          <cell r="AZ87">
            <v>923.3</v>
          </cell>
          <cell r="BA87">
            <v>962.2</v>
          </cell>
          <cell r="BB87">
            <v>993.6</v>
          </cell>
          <cell r="BC87">
            <v>993.6</v>
          </cell>
          <cell r="BD87">
            <v>986.3</v>
          </cell>
          <cell r="BE87">
            <v>1001.9</v>
          </cell>
          <cell r="BF87">
            <v>1027.0999999999999</v>
          </cell>
          <cell r="BG87">
            <v>1108.4000000000001</v>
          </cell>
          <cell r="BH87">
            <v>1108.4000000000001</v>
          </cell>
          <cell r="BI87">
            <v>1093.95</v>
          </cell>
          <cell r="BJ87">
            <v>1079.5</v>
          </cell>
          <cell r="BK87">
            <v>1065.05</v>
          </cell>
          <cell r="BL87">
            <v>1050.5999999999999</v>
          </cell>
          <cell r="BM87">
            <v>1050.5999999999999</v>
          </cell>
          <cell r="BN87">
            <v>1042.3999999999999</v>
          </cell>
          <cell r="BO87">
            <v>1034.1999999999998</v>
          </cell>
          <cell r="BP87">
            <v>1025.9999999999998</v>
          </cell>
          <cell r="BQ87">
            <v>1017.7999999999997</v>
          </cell>
          <cell r="BR87">
            <v>1017.7999999999997</v>
          </cell>
          <cell r="BS87">
            <v>1009.5999999999997</v>
          </cell>
          <cell r="BT87">
            <v>1001.3999999999996</v>
          </cell>
          <cell r="BU87">
            <v>993.19999999999959</v>
          </cell>
          <cell r="BV87">
            <v>984.99999999999955</v>
          </cell>
          <cell r="BW87">
            <v>984.99999999999955</v>
          </cell>
          <cell r="BX87">
            <v>976.7999999999995</v>
          </cell>
          <cell r="BY87">
            <v>968.59999999999945</v>
          </cell>
          <cell r="BZ87">
            <v>960.39999999999941</v>
          </cell>
          <cell r="CA87">
            <v>952.19999999999936</v>
          </cell>
          <cell r="CB87">
            <v>952.19999999999936</v>
          </cell>
          <cell r="CI87" t="str">
            <v>mstag:propertyPlantAndEquipmentNet</v>
          </cell>
          <cell r="CJ87">
            <v>6</v>
          </cell>
          <cell r="CK87" t="str">
            <v>ISO4217:USD</v>
          </cell>
          <cell r="CL87" t="b">
            <v>0</v>
          </cell>
        </row>
        <row r="88">
          <cell r="B88" t="str">
            <v>Goodwill and Other Intangibles</v>
          </cell>
          <cell r="K88">
            <v>0</v>
          </cell>
          <cell r="L88">
            <v>0</v>
          </cell>
          <cell r="M88">
            <v>0</v>
          </cell>
          <cell r="N88">
            <v>5725</v>
          </cell>
          <cell r="O88">
            <v>5725</v>
          </cell>
          <cell r="P88">
            <v>0</v>
          </cell>
          <cell r="Q88">
            <v>5677.9</v>
          </cell>
          <cell r="R88">
            <v>5654.2999999999993</v>
          </cell>
          <cell r="S88">
            <v>5630.7</v>
          </cell>
          <cell r="T88">
            <v>5630.7</v>
          </cell>
          <cell r="U88">
            <v>5585.7</v>
          </cell>
          <cell r="V88">
            <v>5540.7</v>
          </cell>
          <cell r="W88">
            <v>5495.7999999999993</v>
          </cell>
          <cell r="X88">
            <v>5450.7999999999993</v>
          </cell>
          <cell r="Y88">
            <v>5450.7999999999993</v>
          </cell>
          <cell r="Z88">
            <v>5405.7999999999993</v>
          </cell>
          <cell r="AA88">
            <v>5360.7999999999993</v>
          </cell>
          <cell r="AB88">
            <v>7920.7</v>
          </cell>
          <cell r="AC88">
            <v>7893.9</v>
          </cell>
          <cell r="AD88">
            <v>7893.9</v>
          </cell>
          <cell r="AE88">
            <v>7811.6</v>
          </cell>
          <cell r="AF88">
            <v>7755.7</v>
          </cell>
          <cell r="AG88">
            <v>7694.5</v>
          </cell>
          <cell r="AH88">
            <v>7631.7999999999993</v>
          </cell>
          <cell r="AI88">
            <v>7631.7999999999993</v>
          </cell>
          <cell r="AJ88">
            <v>7575.5</v>
          </cell>
          <cell r="AK88">
            <v>7520.5</v>
          </cell>
          <cell r="AL88">
            <v>7465.5999999999995</v>
          </cell>
          <cell r="AM88">
            <v>9135.2000000000007</v>
          </cell>
          <cell r="AN88">
            <v>9135.2000000000007</v>
          </cell>
          <cell r="AO88">
            <v>9069.7999999999993</v>
          </cell>
          <cell r="AP88">
            <v>9155.2000000000007</v>
          </cell>
          <cell r="AQ88">
            <v>9073.6</v>
          </cell>
          <cell r="AR88">
            <v>8997.7999999999993</v>
          </cell>
          <cell r="AS88">
            <v>8997.7999999999993</v>
          </cell>
          <cell r="AT88">
            <v>8978.7999999999993</v>
          </cell>
          <cell r="AU88">
            <v>8908.5</v>
          </cell>
          <cell r="AV88">
            <v>8835.7999999999993</v>
          </cell>
          <cell r="AW88">
            <v>8761.7999999999993</v>
          </cell>
          <cell r="AX88">
            <v>8761.7999999999993</v>
          </cell>
          <cell r="AY88">
            <v>8721</v>
          </cell>
          <cell r="AZ88">
            <v>8641.7000000000007</v>
          </cell>
          <cell r="BA88">
            <v>9345</v>
          </cell>
          <cell r="BB88">
            <v>9349.2999999999993</v>
          </cell>
          <cell r="BC88">
            <v>9349.2999999999993</v>
          </cell>
          <cell r="BD88">
            <v>9318.4</v>
          </cell>
          <cell r="BE88">
            <v>9242.2000000000007</v>
          </cell>
          <cell r="BF88">
            <v>9172.1</v>
          </cell>
          <cell r="BG88">
            <v>9101.7999999999993</v>
          </cell>
          <cell r="BH88">
            <v>9101.7999999999993</v>
          </cell>
          <cell r="BI88">
            <v>9029.5</v>
          </cell>
          <cell r="BJ88">
            <v>8957.2000000000007</v>
          </cell>
          <cell r="BK88">
            <v>8884.9000000000015</v>
          </cell>
          <cell r="BL88">
            <v>8812.6000000000022</v>
          </cell>
          <cell r="BM88">
            <v>8812.6000000000022</v>
          </cell>
          <cell r="BN88">
            <v>8740.3000000000029</v>
          </cell>
          <cell r="BO88">
            <v>8668.0000000000036</v>
          </cell>
          <cell r="BP88">
            <v>8595.7000000000044</v>
          </cell>
          <cell r="BQ88">
            <v>8523.4000000000051</v>
          </cell>
          <cell r="BR88">
            <v>8523.4000000000051</v>
          </cell>
          <cell r="BS88">
            <v>8451.1000000000058</v>
          </cell>
          <cell r="BT88">
            <v>8378.8000000000065</v>
          </cell>
          <cell r="BU88">
            <v>8306.5000000000073</v>
          </cell>
          <cell r="BV88">
            <v>8234.200000000008</v>
          </cell>
          <cell r="BW88">
            <v>8234.200000000008</v>
          </cell>
          <cell r="BX88">
            <v>8161.9000000000078</v>
          </cell>
          <cell r="BY88">
            <v>8089.6000000000076</v>
          </cell>
          <cell r="BZ88">
            <v>8017.3000000000075</v>
          </cell>
          <cell r="CA88">
            <v>7945.0000000000073</v>
          </cell>
          <cell r="CB88">
            <v>7945.0000000000073</v>
          </cell>
          <cell r="CI88" t="str">
            <v>mstag:otherIntangibleAssets</v>
          </cell>
          <cell r="CJ88">
            <v>6</v>
          </cell>
          <cell r="CK88" t="str">
            <v>ISO4217:USD</v>
          </cell>
          <cell r="CL88" t="b">
            <v>0</v>
          </cell>
        </row>
        <row r="89">
          <cell r="B89" t="str">
            <v xml:space="preserve">Other </v>
          </cell>
          <cell r="K89">
            <v>0</v>
          </cell>
          <cell r="L89">
            <v>0</v>
          </cell>
          <cell r="M89">
            <v>0</v>
          </cell>
          <cell r="N89">
            <v>128.19999999999999</v>
          </cell>
          <cell r="O89">
            <v>128.19999999999999</v>
          </cell>
          <cell r="P89">
            <v>0</v>
          </cell>
          <cell r="Q89">
            <v>121.5</v>
          </cell>
          <cell r="R89">
            <v>127.3</v>
          </cell>
          <cell r="S89">
            <v>114.7</v>
          </cell>
          <cell r="T89">
            <v>114.7</v>
          </cell>
          <cell r="U89">
            <v>122.4</v>
          </cell>
          <cell r="V89">
            <v>104.7</v>
          </cell>
          <cell r="W89">
            <v>127.3</v>
          </cell>
          <cell r="X89">
            <v>112.5</v>
          </cell>
          <cell r="Y89">
            <v>112.5</v>
          </cell>
          <cell r="Z89">
            <v>87.2</v>
          </cell>
          <cell r="AA89">
            <v>86.9</v>
          </cell>
          <cell r="AB89">
            <v>75.400000000000006</v>
          </cell>
          <cell r="AC89">
            <v>75.900000000000006</v>
          </cell>
          <cell r="AD89">
            <v>75.900000000000006</v>
          </cell>
          <cell r="AE89">
            <v>67.3</v>
          </cell>
          <cell r="AF89">
            <v>59.5</v>
          </cell>
          <cell r="AG89">
            <v>253.7</v>
          </cell>
          <cell r="AH89">
            <v>251.60000000000002</v>
          </cell>
          <cell r="AI89">
            <v>251.60000000000002</v>
          </cell>
          <cell r="AJ89">
            <v>248.70000000000002</v>
          </cell>
          <cell r="AK89">
            <v>247.60000000000002</v>
          </cell>
          <cell r="AL89">
            <v>268.8</v>
          </cell>
          <cell r="AM89">
            <v>270.5</v>
          </cell>
          <cell r="AN89">
            <v>270.5</v>
          </cell>
          <cell r="AO89">
            <v>75</v>
          </cell>
          <cell r="AP89">
            <v>61.6</v>
          </cell>
          <cell r="AQ89">
            <v>53.8</v>
          </cell>
          <cell r="AR89">
            <v>274.89999999999998</v>
          </cell>
          <cell r="AS89">
            <v>274.89999999999998</v>
          </cell>
          <cell r="AT89">
            <v>56.1</v>
          </cell>
          <cell r="AU89">
            <v>47.8</v>
          </cell>
          <cell r="AV89">
            <v>60.8</v>
          </cell>
          <cell r="AW89">
            <v>82.6</v>
          </cell>
          <cell r="AX89">
            <v>82.6</v>
          </cell>
          <cell r="AY89">
            <v>91</v>
          </cell>
          <cell r="AZ89">
            <v>61.9</v>
          </cell>
          <cell r="BA89">
            <v>70.400000000000006</v>
          </cell>
          <cell r="BB89">
            <v>68.7</v>
          </cell>
          <cell r="BC89">
            <v>68.7</v>
          </cell>
          <cell r="BD89">
            <v>72.7</v>
          </cell>
          <cell r="BE89">
            <v>85.8</v>
          </cell>
          <cell r="BF89">
            <v>102.4</v>
          </cell>
          <cell r="BG89">
            <v>72.099999999999994</v>
          </cell>
          <cell r="BH89">
            <v>72.099999999999994</v>
          </cell>
          <cell r="BI89">
            <v>72.099999999999994</v>
          </cell>
          <cell r="BJ89">
            <v>72.099999999999994</v>
          </cell>
          <cell r="BK89">
            <v>72.099999999999994</v>
          </cell>
          <cell r="BL89">
            <v>72.099999999999994</v>
          </cell>
          <cell r="BM89">
            <v>72.099999999999994</v>
          </cell>
          <cell r="BN89">
            <v>72.099999999999994</v>
          </cell>
          <cell r="BO89">
            <v>72.099999999999994</v>
          </cell>
          <cell r="BP89">
            <v>72.099999999999994</v>
          </cell>
          <cell r="BQ89">
            <v>72.099999999999994</v>
          </cell>
          <cell r="BR89">
            <v>72.099999999999994</v>
          </cell>
          <cell r="BS89">
            <v>72.099999999999994</v>
          </cell>
          <cell r="BT89">
            <v>72.099999999999994</v>
          </cell>
          <cell r="BU89">
            <v>72.099999999999994</v>
          </cell>
          <cell r="BV89">
            <v>72.099999999999994</v>
          </cell>
          <cell r="BW89">
            <v>72.099999999999994</v>
          </cell>
          <cell r="BX89">
            <v>72.099999999999994</v>
          </cell>
          <cell r="BY89">
            <v>72.099999999999994</v>
          </cell>
          <cell r="BZ89">
            <v>72.099999999999994</v>
          </cell>
          <cell r="CA89">
            <v>72.099999999999994</v>
          </cell>
          <cell r="CB89">
            <v>72.099999999999994</v>
          </cell>
          <cell r="CI89" t="str">
            <v>mstag:otherAssetsOperatingNonCurrent</v>
          </cell>
          <cell r="CJ89">
            <v>6</v>
          </cell>
          <cell r="CK89" t="str">
            <v>ISO4217:USD</v>
          </cell>
          <cell r="CL89" t="b">
            <v>0</v>
          </cell>
        </row>
        <row r="90">
          <cell r="B90" t="str">
            <v>Total Assets</v>
          </cell>
          <cell r="K90">
            <v>0</v>
          </cell>
          <cell r="L90">
            <v>0</v>
          </cell>
          <cell r="M90">
            <v>0</v>
          </cell>
          <cell r="N90">
            <v>9922.5</v>
          </cell>
          <cell r="O90">
            <v>9922.5</v>
          </cell>
          <cell r="P90">
            <v>0</v>
          </cell>
          <cell r="Q90">
            <v>10114.099999999999</v>
          </cell>
          <cell r="R90">
            <v>10232.399999999998</v>
          </cell>
          <cell r="S90">
            <v>10263</v>
          </cell>
          <cell r="T90">
            <v>10263</v>
          </cell>
          <cell r="U90">
            <v>10454.499999999998</v>
          </cell>
          <cell r="V90">
            <v>10202.700000000001</v>
          </cell>
          <cell r="W90">
            <v>10411.299999999999</v>
          </cell>
          <cell r="X90">
            <v>10541.5</v>
          </cell>
          <cell r="Y90">
            <v>10541.5</v>
          </cell>
          <cell r="Z90">
            <v>10556.400000000001</v>
          </cell>
          <cell r="AA90">
            <v>10671</v>
          </cell>
          <cell r="AB90">
            <v>13619.199999999999</v>
          </cell>
          <cell r="AC90">
            <v>13702.999999999998</v>
          </cell>
          <cell r="AD90">
            <v>13702.999999999998</v>
          </cell>
          <cell r="AE90">
            <v>13842.099999999999</v>
          </cell>
          <cell r="AF90">
            <v>13353</v>
          </cell>
          <cell r="AG90">
            <v>13670.3</v>
          </cell>
          <cell r="AH90">
            <v>14388.099999999999</v>
          </cell>
          <cell r="AI90">
            <v>14388.099999999999</v>
          </cell>
          <cell r="AJ90">
            <v>14083.900000000001</v>
          </cell>
          <cell r="AK90">
            <v>14335.199999999999</v>
          </cell>
          <cell r="AL90">
            <v>13925.099999999999</v>
          </cell>
          <cell r="AM90">
            <v>16217.9</v>
          </cell>
          <cell r="AN90">
            <v>16217.9</v>
          </cell>
          <cell r="AO90">
            <v>16234.5</v>
          </cell>
          <cell r="AP90">
            <v>16545.599999999999</v>
          </cell>
          <cell r="AQ90">
            <v>16113.099999999999</v>
          </cell>
          <cell r="AR90">
            <v>17010.900000000001</v>
          </cell>
          <cell r="AS90">
            <v>17010.900000000001</v>
          </cell>
          <cell r="AT90">
            <v>17486.199999999997</v>
          </cell>
          <cell r="AU90">
            <v>17770.3</v>
          </cell>
          <cell r="AV90">
            <v>17111.8</v>
          </cell>
          <cell r="AW90">
            <v>17915.5</v>
          </cell>
          <cell r="AX90">
            <v>17915.5</v>
          </cell>
          <cell r="AY90">
            <v>16615.3</v>
          </cell>
          <cell r="AZ90">
            <v>16240</v>
          </cell>
          <cell r="BA90">
            <v>16570.2</v>
          </cell>
          <cell r="BB90">
            <v>17097.3</v>
          </cell>
          <cell r="BC90">
            <v>17097.3</v>
          </cell>
          <cell r="BD90">
            <v>16211.2</v>
          </cell>
          <cell r="BE90">
            <v>15990.8</v>
          </cell>
          <cell r="BF90">
            <v>15863.6</v>
          </cell>
          <cell r="BG90">
            <v>16962.799999999996</v>
          </cell>
          <cell r="BH90">
            <v>16962.799999999996</v>
          </cell>
          <cell r="BI90">
            <v>16696.890458308379</v>
          </cell>
          <cell r="BJ90">
            <v>17048.512636211944</v>
          </cell>
          <cell r="BK90">
            <v>15374.437876612612</v>
          </cell>
          <cell r="BL90">
            <v>15564.301067633956</v>
          </cell>
          <cell r="BM90">
            <v>15564.301067633956</v>
          </cell>
          <cell r="BN90">
            <v>14447.702615680553</v>
          </cell>
          <cell r="BO90">
            <v>14354.747357593782</v>
          </cell>
          <cell r="BP90">
            <v>14667.701876428262</v>
          </cell>
          <cell r="BQ90">
            <v>14936.154051656566</v>
          </cell>
          <cell r="BR90">
            <v>14936.154051656566</v>
          </cell>
          <cell r="BS90">
            <v>14135.382870118088</v>
          </cell>
          <cell r="BT90">
            <v>14104.72944692049</v>
          </cell>
          <cell r="BU90">
            <v>14197.063471347539</v>
          </cell>
          <cell r="BV90">
            <v>14423.220556323357</v>
          </cell>
          <cell r="BW90">
            <v>14423.220556323357</v>
          </cell>
          <cell r="BX90">
            <v>13844.890614681151</v>
          </cell>
          <cell r="BY90">
            <v>13848.016102553151</v>
          </cell>
          <cell r="BZ90">
            <v>13915.672359316633</v>
          </cell>
          <cell r="CA90">
            <v>14083.018635456185</v>
          </cell>
          <cell r="CB90">
            <v>14083.018635456185</v>
          </cell>
        </row>
        <row r="92">
          <cell r="B92" t="str">
            <v>Liabilities</v>
          </cell>
        </row>
        <row r="93">
          <cell r="B93" t="str">
            <v>Claims and other accounts payable</v>
          </cell>
          <cell r="K93">
            <v>0</v>
          </cell>
          <cell r="L93">
            <v>0</v>
          </cell>
          <cell r="M93">
            <v>0</v>
          </cell>
          <cell r="N93">
            <v>1718.3</v>
          </cell>
          <cell r="O93">
            <v>1718.3</v>
          </cell>
          <cell r="P93">
            <v>0</v>
          </cell>
          <cell r="Q93">
            <v>1654.3</v>
          </cell>
          <cell r="R93">
            <v>2101.6</v>
          </cell>
          <cell r="S93">
            <v>1988.2</v>
          </cell>
          <cell r="T93">
            <v>1988.2</v>
          </cell>
          <cell r="U93">
            <v>2174.6</v>
          </cell>
          <cell r="V93">
            <v>1878.4</v>
          </cell>
          <cell r="W93">
            <v>2168.6</v>
          </cell>
          <cell r="X93">
            <v>2162.1</v>
          </cell>
          <cell r="Y93">
            <v>2162.1</v>
          </cell>
          <cell r="Z93">
            <v>2170.4</v>
          </cell>
          <cell r="AA93">
            <v>2174.1999999999998</v>
          </cell>
          <cell r="AB93">
            <v>2490.4</v>
          </cell>
          <cell r="AC93">
            <v>2678.6</v>
          </cell>
          <cell r="AD93">
            <v>2678.6</v>
          </cell>
          <cell r="AE93">
            <v>2574.6</v>
          </cell>
          <cell r="AF93">
            <v>2624</v>
          </cell>
          <cell r="AG93">
            <v>2708.5</v>
          </cell>
          <cell r="AH93">
            <v>2884.2</v>
          </cell>
          <cell r="AI93">
            <v>2884.2</v>
          </cell>
          <cell r="AJ93">
            <v>2324.6999999999998</v>
          </cell>
          <cell r="AK93">
            <v>2578.6999999999998</v>
          </cell>
          <cell r="AL93">
            <v>2177.8000000000002</v>
          </cell>
          <cell r="AM93">
            <v>2812.9</v>
          </cell>
          <cell r="AN93">
            <v>2812.9</v>
          </cell>
          <cell r="AO93">
            <v>2447.5</v>
          </cell>
          <cell r="AP93">
            <v>2812</v>
          </cell>
          <cell r="AQ93">
            <v>2173.6</v>
          </cell>
          <cell r="AR93">
            <v>2878.9</v>
          </cell>
          <cell r="AS93">
            <v>2878.9</v>
          </cell>
          <cell r="AT93">
            <v>2789.7</v>
          </cell>
          <cell r="AU93">
            <v>3523</v>
          </cell>
          <cell r="AV93">
            <v>2768.8</v>
          </cell>
          <cell r="AW93">
            <v>3506.4</v>
          </cell>
          <cell r="AX93">
            <v>3506.4</v>
          </cell>
          <cell r="AY93">
            <v>2839.4</v>
          </cell>
          <cell r="AZ93">
            <v>3158.3</v>
          </cell>
          <cell r="BA93">
            <v>2836.4</v>
          </cell>
          <cell r="BB93">
            <v>3495.4</v>
          </cell>
          <cell r="BC93">
            <v>3495.4</v>
          </cell>
          <cell r="BD93">
            <v>2969.7</v>
          </cell>
          <cell r="BE93">
            <v>3384.8</v>
          </cell>
          <cell r="BF93">
            <v>2960.5</v>
          </cell>
          <cell r="BG93">
            <v>3375.5</v>
          </cell>
          <cell r="BH93">
            <v>3375.5</v>
          </cell>
          <cell r="BI93">
            <v>2799.6353843844054</v>
          </cell>
          <cell r="BJ93">
            <v>2797.8128406930487</v>
          </cell>
          <cell r="BK93">
            <v>2732.1768704240221</v>
          </cell>
          <cell r="BL93">
            <v>2903.6055366786031</v>
          </cell>
          <cell r="BM93">
            <v>2903.6055366786031</v>
          </cell>
          <cell r="BN93">
            <v>2332.9954979334334</v>
          </cell>
          <cell r="BO93">
            <v>2380.2103715468352</v>
          </cell>
          <cell r="BP93">
            <v>2402.1945417174143</v>
          </cell>
          <cell r="BQ93">
            <v>2384.5652217969759</v>
          </cell>
          <cell r="BR93">
            <v>2384.5652217969759</v>
          </cell>
          <cell r="BS93">
            <v>2403.3691770670553</v>
          </cell>
          <cell r="BT93">
            <v>2409.3295607179589</v>
          </cell>
          <cell r="BU93">
            <v>2376.1909141518586</v>
          </cell>
          <cell r="BV93">
            <v>2356.2535287813039</v>
          </cell>
          <cell r="BW93">
            <v>2356.2535287813039</v>
          </cell>
          <cell r="BX93">
            <v>2372.2082415739173</v>
          </cell>
          <cell r="BY93">
            <v>2413.6155267801191</v>
          </cell>
          <cell r="BZ93">
            <v>2433.284761435043</v>
          </cell>
          <cell r="CA93">
            <v>2408.1499049981535</v>
          </cell>
          <cell r="CB93">
            <v>2408.1499049981535</v>
          </cell>
          <cell r="CI93" t="str">
            <v>mstag:tradeAndOtherPayablesCurrent</v>
          </cell>
          <cell r="CJ93">
            <v>6</v>
          </cell>
          <cell r="CK93" t="str">
            <v>ISO4217:USD</v>
          </cell>
          <cell r="CL93" t="b">
            <v>0</v>
          </cell>
        </row>
        <row r="94">
          <cell r="B94" t="str">
            <v>Accrued expenses and other current liabilities</v>
          </cell>
          <cell r="K94">
            <v>0</v>
          </cell>
          <cell r="L94">
            <v>0</v>
          </cell>
          <cell r="M94">
            <v>0</v>
          </cell>
          <cell r="N94">
            <v>336.6</v>
          </cell>
          <cell r="O94">
            <v>336.6</v>
          </cell>
          <cell r="P94">
            <v>0</v>
          </cell>
          <cell r="Q94">
            <v>382.3</v>
          </cell>
          <cell r="R94">
            <v>441.6</v>
          </cell>
          <cell r="S94">
            <v>567.1</v>
          </cell>
          <cell r="T94">
            <v>567.1</v>
          </cell>
          <cell r="U94">
            <v>570.4</v>
          </cell>
          <cell r="V94">
            <v>511.2</v>
          </cell>
          <cell r="W94">
            <v>342</v>
          </cell>
          <cell r="X94">
            <v>382.4</v>
          </cell>
          <cell r="Y94">
            <v>382.4</v>
          </cell>
          <cell r="Z94">
            <v>405.6</v>
          </cell>
          <cell r="AA94">
            <v>303.89999999999998</v>
          </cell>
          <cell r="AB94">
            <v>369.9</v>
          </cell>
          <cell r="AC94">
            <v>556.70000000000005</v>
          </cell>
          <cell r="AD94">
            <v>556.70000000000005</v>
          </cell>
          <cell r="AE94">
            <v>887.1</v>
          </cell>
          <cell r="AF94">
            <v>713.5</v>
          </cell>
          <cell r="AG94">
            <v>775.7</v>
          </cell>
          <cell r="AH94">
            <v>1542.3000000000002</v>
          </cell>
          <cell r="AI94">
            <v>1542.3000000000002</v>
          </cell>
          <cell r="AJ94">
            <v>1782.3</v>
          </cell>
          <cell r="AK94">
            <v>1600.8</v>
          </cell>
          <cell r="AL94">
            <v>1811</v>
          </cell>
          <cell r="AM94">
            <v>1716.3000000000002</v>
          </cell>
          <cell r="AN94">
            <v>1716.3000000000002</v>
          </cell>
          <cell r="AO94">
            <v>2156.4</v>
          </cell>
          <cell r="AP94">
            <v>1828.6999999999998</v>
          </cell>
          <cell r="AQ94">
            <v>2217.8000000000002</v>
          </cell>
          <cell r="AR94">
            <v>2319.1</v>
          </cell>
          <cell r="AS94">
            <v>2319.1</v>
          </cell>
          <cell r="AT94">
            <v>2789</v>
          </cell>
          <cell r="AU94">
            <v>2754.7</v>
          </cell>
          <cell r="AV94">
            <v>2767.5</v>
          </cell>
          <cell r="AW94">
            <v>2825.5</v>
          </cell>
          <cell r="AX94">
            <v>2825.5</v>
          </cell>
          <cell r="AY94">
            <v>3062.5</v>
          </cell>
          <cell r="AZ94">
            <v>3007.9</v>
          </cell>
          <cell r="BA94">
            <v>3052.8</v>
          </cell>
          <cell r="BB94">
            <v>3363.3999999999996</v>
          </cell>
          <cell r="BC94">
            <v>3363.3999999999996</v>
          </cell>
          <cell r="BD94">
            <v>3409.3</v>
          </cell>
          <cell r="BE94">
            <v>2943.9</v>
          </cell>
          <cell r="BF94">
            <v>3141.8</v>
          </cell>
          <cell r="BG94">
            <v>3331.1</v>
          </cell>
          <cell r="BH94">
            <v>3331.1</v>
          </cell>
          <cell r="BI94">
            <v>3331.1</v>
          </cell>
          <cell r="BJ94">
            <v>3331.1</v>
          </cell>
          <cell r="BK94">
            <v>3331.1</v>
          </cell>
          <cell r="BL94">
            <v>3331.1</v>
          </cell>
          <cell r="BM94">
            <v>3331.1</v>
          </cell>
          <cell r="BN94">
            <v>3331.1</v>
          </cell>
          <cell r="BO94">
            <v>3331.1</v>
          </cell>
          <cell r="BP94">
            <v>3331.1</v>
          </cell>
          <cell r="BQ94">
            <v>3331.1</v>
          </cell>
          <cell r="BR94">
            <v>3331.1</v>
          </cell>
          <cell r="BS94">
            <v>3331.1</v>
          </cell>
          <cell r="BT94">
            <v>3331.1</v>
          </cell>
          <cell r="BU94">
            <v>3331.1</v>
          </cell>
          <cell r="BV94">
            <v>3331.1</v>
          </cell>
          <cell r="BW94">
            <v>3331.1</v>
          </cell>
          <cell r="BX94">
            <v>3331.1</v>
          </cell>
          <cell r="BY94">
            <v>3331.1</v>
          </cell>
          <cell r="BZ94">
            <v>3331.1</v>
          </cell>
          <cell r="CA94">
            <v>3331.1</v>
          </cell>
          <cell r="CB94">
            <v>3331.1</v>
          </cell>
          <cell r="CI94" t="str">
            <v>mstag:accruedExpenses</v>
          </cell>
          <cell r="CJ94">
            <v>6</v>
          </cell>
          <cell r="CK94" t="str">
            <v>ISO4217:USD</v>
          </cell>
          <cell r="CL94" t="b">
            <v>0</v>
          </cell>
        </row>
        <row r="95">
          <cell r="B95" t="str">
            <v>Short-term Debt &amp; Current portion of LTD</v>
          </cell>
          <cell r="K95">
            <v>0</v>
          </cell>
          <cell r="L95">
            <v>0</v>
          </cell>
          <cell r="M95">
            <v>0</v>
          </cell>
          <cell r="N95">
            <v>0</v>
          </cell>
          <cell r="O95">
            <v>0</v>
          </cell>
          <cell r="P95">
            <v>0</v>
          </cell>
          <cell r="Q95">
            <v>0</v>
          </cell>
          <cell r="R95">
            <v>33.700000000000003</v>
          </cell>
          <cell r="S95">
            <v>50</v>
          </cell>
          <cell r="T95">
            <v>50</v>
          </cell>
          <cell r="U95">
            <v>60</v>
          </cell>
          <cell r="V95">
            <v>80</v>
          </cell>
          <cell r="W95">
            <v>80</v>
          </cell>
          <cell r="X95">
            <v>100</v>
          </cell>
          <cell r="Y95">
            <v>100</v>
          </cell>
          <cell r="Z95">
            <v>100</v>
          </cell>
          <cell r="AA95">
            <v>100</v>
          </cell>
          <cell r="AB95">
            <v>75.5</v>
          </cell>
          <cell r="AC95">
            <v>525.5</v>
          </cell>
          <cell r="AD95">
            <v>525.5</v>
          </cell>
          <cell r="AE95">
            <v>525.5</v>
          </cell>
          <cell r="AF95">
            <v>525.5</v>
          </cell>
          <cell r="AG95">
            <v>525.4</v>
          </cell>
          <cell r="AH95">
            <v>400.3</v>
          </cell>
          <cell r="AI95">
            <v>400.3</v>
          </cell>
          <cell r="AJ95">
            <v>675.1</v>
          </cell>
          <cell r="AK95">
            <v>600</v>
          </cell>
          <cell r="AL95">
            <v>600</v>
          </cell>
          <cell r="AM95">
            <v>600</v>
          </cell>
          <cell r="AN95">
            <v>600</v>
          </cell>
          <cell r="AO95">
            <v>600</v>
          </cell>
          <cell r="AP95">
            <v>600</v>
          </cell>
          <cell r="AQ95">
            <v>600</v>
          </cell>
          <cell r="AR95">
            <v>600</v>
          </cell>
          <cell r="AS95">
            <v>600</v>
          </cell>
          <cell r="AT95">
            <v>600</v>
          </cell>
          <cell r="AU95">
            <v>609.1</v>
          </cell>
          <cell r="AV95">
            <v>211.7</v>
          </cell>
          <cell r="AW95">
            <v>15.8</v>
          </cell>
          <cell r="AX95">
            <v>15.8</v>
          </cell>
          <cell r="AY95">
            <v>21.1</v>
          </cell>
          <cell r="AZ95">
            <v>19.100000000000001</v>
          </cell>
          <cell r="BA95">
            <v>18.8</v>
          </cell>
          <cell r="BB95">
            <v>23.6</v>
          </cell>
          <cell r="BC95">
            <v>23.6</v>
          </cell>
          <cell r="BD95">
            <v>26.9</v>
          </cell>
          <cell r="BE95">
            <v>2031.9</v>
          </cell>
          <cell r="BF95">
            <v>2036.4</v>
          </cell>
          <cell r="BG95">
            <v>2042.7</v>
          </cell>
          <cell r="BH95">
            <v>2042.7</v>
          </cell>
          <cell r="BI95">
            <v>42.7</v>
          </cell>
          <cell r="BJ95">
            <v>42.7</v>
          </cell>
          <cell r="BK95">
            <v>42.7</v>
          </cell>
          <cell r="BL95">
            <v>42.7</v>
          </cell>
          <cell r="BM95">
            <v>42.7</v>
          </cell>
          <cell r="BN95">
            <v>42.7</v>
          </cell>
          <cell r="BO95">
            <v>42.7</v>
          </cell>
          <cell r="BP95">
            <v>42.7</v>
          </cell>
          <cell r="BQ95">
            <v>42.7</v>
          </cell>
          <cell r="BR95">
            <v>42.7</v>
          </cell>
          <cell r="BS95">
            <v>42.7</v>
          </cell>
          <cell r="BT95">
            <v>42.7</v>
          </cell>
          <cell r="BU95">
            <v>42.7</v>
          </cell>
          <cell r="BV95">
            <v>42.7</v>
          </cell>
          <cell r="BW95">
            <v>42.7</v>
          </cell>
          <cell r="BX95">
            <v>42.7</v>
          </cell>
          <cell r="BY95">
            <v>42.7</v>
          </cell>
          <cell r="BZ95">
            <v>42.7</v>
          </cell>
          <cell r="CA95">
            <v>42.7</v>
          </cell>
          <cell r="CB95">
            <v>42.7</v>
          </cell>
          <cell r="CI95" t="str">
            <v>mstag:shortTermBorrowings</v>
          </cell>
          <cell r="CJ95">
            <v>6</v>
          </cell>
          <cell r="CK95" t="str">
            <v>ISO4217:USD</v>
          </cell>
          <cell r="CL95" t="b">
            <v>0</v>
          </cell>
        </row>
        <row r="96">
          <cell r="B96" t="str">
            <v>Other</v>
          </cell>
          <cell r="K96">
            <v>0</v>
          </cell>
          <cell r="L96">
            <v>0</v>
          </cell>
          <cell r="M96">
            <v>0</v>
          </cell>
          <cell r="N96">
            <v>0</v>
          </cell>
          <cell r="O96">
            <v>0</v>
          </cell>
          <cell r="P96">
            <v>0</v>
          </cell>
          <cell r="Q96">
            <v>0</v>
          </cell>
          <cell r="R96">
            <v>100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cell r="BM96">
            <v>0</v>
          </cell>
          <cell r="BN96">
            <v>0</v>
          </cell>
          <cell r="BO96">
            <v>0</v>
          </cell>
          <cell r="BP96">
            <v>0</v>
          </cell>
          <cell r="BQ96">
            <v>0</v>
          </cell>
          <cell r="BR96">
            <v>0</v>
          </cell>
          <cell r="BS96">
            <v>0</v>
          </cell>
          <cell r="BT96">
            <v>0</v>
          </cell>
          <cell r="BU96">
            <v>0</v>
          </cell>
          <cell r="BV96">
            <v>0</v>
          </cell>
          <cell r="BW96">
            <v>0</v>
          </cell>
          <cell r="BX96">
            <v>0</v>
          </cell>
          <cell r="BY96">
            <v>0</v>
          </cell>
          <cell r="BZ96">
            <v>0</v>
          </cell>
          <cell r="CA96">
            <v>0</v>
          </cell>
          <cell r="CB96">
            <v>0</v>
          </cell>
          <cell r="CI96" t="str">
            <v>mstag:otherLiabilitiesOperatingCurrent</v>
          </cell>
          <cell r="CJ96">
            <v>6</v>
          </cell>
          <cell r="CK96" t="str">
            <v>ISO4217:USD</v>
          </cell>
          <cell r="CL96" t="b">
            <v>0</v>
          </cell>
        </row>
        <row r="98">
          <cell r="B98" t="str">
            <v>Long term debt</v>
          </cell>
          <cell r="K98">
            <v>0</v>
          </cell>
          <cell r="L98">
            <v>0</v>
          </cell>
          <cell r="M98">
            <v>0</v>
          </cell>
          <cell r="N98">
            <v>0</v>
          </cell>
          <cell r="O98">
            <v>0</v>
          </cell>
          <cell r="P98">
            <v>0</v>
          </cell>
          <cell r="Q98">
            <v>0</v>
          </cell>
          <cell r="R98">
            <v>1362.3</v>
          </cell>
          <cell r="S98">
            <v>1346.1</v>
          </cell>
          <cell r="T98">
            <v>1346.1</v>
          </cell>
          <cell r="U98">
            <v>1236.5999999999999</v>
          </cell>
          <cell r="V98">
            <v>1205</v>
          </cell>
          <cell r="W98">
            <v>1194.3</v>
          </cell>
          <cell r="X98">
            <v>1092.9000000000001</v>
          </cell>
          <cell r="Y98">
            <v>1092.9000000000001</v>
          </cell>
          <cell r="Z98">
            <v>885.9</v>
          </cell>
          <cell r="AA98">
            <v>876.2</v>
          </cell>
          <cell r="AB98">
            <v>1615.9</v>
          </cell>
          <cell r="AC98">
            <v>943.9</v>
          </cell>
          <cell r="AD98">
            <v>943.9</v>
          </cell>
          <cell r="AE98">
            <v>920</v>
          </cell>
          <cell r="AF98">
            <v>897.4</v>
          </cell>
          <cell r="AG98">
            <v>885.5</v>
          </cell>
          <cell r="AH98">
            <v>866.4</v>
          </cell>
          <cell r="AI98">
            <v>866.4</v>
          </cell>
          <cell r="AJ98">
            <v>849.7</v>
          </cell>
          <cell r="AK98">
            <v>1482</v>
          </cell>
          <cell r="AL98">
            <v>1488.7</v>
          </cell>
          <cell r="AM98">
            <v>2894.4</v>
          </cell>
          <cell r="AN98">
            <v>2894.4</v>
          </cell>
          <cell r="AO98">
            <v>3589.9</v>
          </cell>
          <cell r="AP98">
            <v>4083</v>
          </cell>
          <cell r="AQ98">
            <v>3985</v>
          </cell>
          <cell r="AR98">
            <v>4002.9</v>
          </cell>
          <cell r="AS98">
            <v>4002.9</v>
          </cell>
          <cell r="AT98">
            <v>4001.2</v>
          </cell>
          <cell r="AU98">
            <v>3998.4</v>
          </cell>
          <cell r="AV98">
            <v>3999.2</v>
          </cell>
          <cell r="AW98">
            <v>4000.1</v>
          </cell>
          <cell r="AX98">
            <v>4000.1</v>
          </cell>
          <cell r="AY98">
            <v>4000.7</v>
          </cell>
          <cell r="AZ98">
            <v>4004.8</v>
          </cell>
          <cell r="BA98">
            <v>5004.8</v>
          </cell>
          <cell r="BB98">
            <v>5003.6000000000004</v>
          </cell>
          <cell r="BC98">
            <v>5003.6000000000004</v>
          </cell>
          <cell r="BD98">
            <v>5001.6000000000004</v>
          </cell>
          <cell r="BE98">
            <v>3004.2</v>
          </cell>
          <cell r="BF98">
            <v>3002.2</v>
          </cell>
          <cell r="BG98">
            <v>3001.6</v>
          </cell>
          <cell r="BH98">
            <v>3001.6</v>
          </cell>
          <cell r="BI98">
            <v>4989.2</v>
          </cell>
          <cell r="BJ98">
            <v>4989.7</v>
          </cell>
          <cell r="BK98">
            <v>4990.2</v>
          </cell>
          <cell r="BL98">
            <v>4990.7</v>
          </cell>
          <cell r="BM98">
            <v>4990.7</v>
          </cell>
          <cell r="BN98">
            <v>4991.0999999999995</v>
          </cell>
          <cell r="BO98">
            <v>4991.5</v>
          </cell>
          <cell r="BP98">
            <v>4991.8999999999996</v>
          </cell>
          <cell r="BQ98">
            <v>4992.3</v>
          </cell>
          <cell r="BR98">
            <v>4992.3</v>
          </cell>
          <cell r="BS98">
            <v>4992.5999999999995</v>
          </cell>
          <cell r="BT98">
            <v>4992.8999999999996</v>
          </cell>
          <cell r="BU98">
            <v>4993.2</v>
          </cell>
          <cell r="BV98">
            <v>4993.4999999999991</v>
          </cell>
          <cell r="BW98">
            <v>4993.4999999999991</v>
          </cell>
          <cell r="BX98">
            <v>4993.7999999999993</v>
          </cell>
          <cell r="BY98">
            <v>4994.0999999999995</v>
          </cell>
          <cell r="BZ98">
            <v>4994.3999999999996</v>
          </cell>
          <cell r="CA98">
            <v>4994.7</v>
          </cell>
          <cell r="CB98">
            <v>4994.7</v>
          </cell>
          <cell r="CI98" t="str">
            <v>mstag:longTermDebt</v>
          </cell>
          <cell r="CJ98">
            <v>6</v>
          </cell>
          <cell r="CK98" t="str">
            <v>ISO4217:USD</v>
          </cell>
          <cell r="CL98" t="b">
            <v>0</v>
          </cell>
        </row>
        <row r="99">
          <cell r="B99" t="str">
            <v>Deferred tax liabilities</v>
          </cell>
          <cell r="K99">
            <v>0</v>
          </cell>
          <cell r="L99">
            <v>0</v>
          </cell>
          <cell r="M99">
            <v>0</v>
          </cell>
          <cell r="N99">
            <v>1197.7</v>
          </cell>
          <cell r="O99">
            <v>1197.7</v>
          </cell>
          <cell r="Q99">
            <v>1187.2</v>
          </cell>
          <cell r="R99">
            <v>1192.9000000000001</v>
          </cell>
          <cell r="S99">
            <v>1177.5</v>
          </cell>
          <cell r="T99">
            <v>1177.5</v>
          </cell>
          <cell r="U99">
            <v>1159.9000000000001</v>
          </cell>
          <cell r="V99">
            <v>1068.4000000000001</v>
          </cell>
          <cell r="W99">
            <v>1047</v>
          </cell>
          <cell r="X99">
            <v>1030.2</v>
          </cell>
          <cell r="Y99">
            <v>1030.2</v>
          </cell>
          <cell r="Z99">
            <v>1002.2</v>
          </cell>
          <cell r="AA99">
            <v>980.6</v>
          </cell>
          <cell r="AB99">
            <v>1265.2</v>
          </cell>
          <cell r="AC99">
            <v>1213.8</v>
          </cell>
          <cell r="AD99">
            <v>1213.8</v>
          </cell>
          <cell r="AE99">
            <v>1187.0999999999999</v>
          </cell>
          <cell r="AF99">
            <v>1173.5999999999999</v>
          </cell>
          <cell r="AG99">
            <v>1166.2</v>
          </cell>
          <cell r="AH99">
            <v>1161.3</v>
          </cell>
          <cell r="AI99">
            <v>1161.3</v>
          </cell>
          <cell r="AJ99">
            <v>1143.4000000000001</v>
          </cell>
          <cell r="AK99">
            <v>1124.5999999999999</v>
          </cell>
          <cell r="AL99">
            <v>1109</v>
          </cell>
          <cell r="AM99">
            <v>1167</v>
          </cell>
          <cell r="AN99">
            <v>1167</v>
          </cell>
          <cell r="AO99">
            <v>1125.7</v>
          </cell>
          <cell r="AP99">
            <v>1103.2</v>
          </cell>
          <cell r="AQ99">
            <v>1103.0999999999999</v>
          </cell>
          <cell r="AR99">
            <v>1065.3</v>
          </cell>
          <cell r="AS99">
            <v>1065.3</v>
          </cell>
          <cell r="AT99">
            <v>1050.4000000000001</v>
          </cell>
          <cell r="AU99">
            <v>1018</v>
          </cell>
          <cell r="AV99">
            <v>995.8</v>
          </cell>
          <cell r="AW99">
            <v>958.8</v>
          </cell>
          <cell r="AX99">
            <v>958.8</v>
          </cell>
          <cell r="AY99">
            <v>918.4</v>
          </cell>
          <cell r="AZ99">
            <v>897.1</v>
          </cell>
          <cell r="BA99">
            <v>985.7</v>
          </cell>
          <cell r="BB99">
            <v>985.1</v>
          </cell>
          <cell r="BC99">
            <v>985.1</v>
          </cell>
          <cell r="BD99">
            <v>1004</v>
          </cell>
          <cell r="BE99">
            <v>980.6</v>
          </cell>
          <cell r="BF99">
            <v>972.2</v>
          </cell>
          <cell r="BG99">
            <v>988.4</v>
          </cell>
          <cell r="BH99">
            <v>988.4</v>
          </cell>
          <cell r="BI99">
            <v>988.4</v>
          </cell>
          <cell r="BJ99">
            <v>988.4</v>
          </cell>
          <cell r="BK99">
            <v>988.4</v>
          </cell>
          <cell r="BL99">
            <v>988.4</v>
          </cell>
          <cell r="BM99">
            <v>988.4</v>
          </cell>
          <cell r="BN99">
            <v>988.4</v>
          </cell>
          <cell r="BO99">
            <v>988.4</v>
          </cell>
          <cell r="BP99">
            <v>988.4</v>
          </cell>
          <cell r="BQ99">
            <v>988.4</v>
          </cell>
          <cell r="BR99">
            <v>988.4</v>
          </cell>
          <cell r="BS99">
            <v>988.4</v>
          </cell>
          <cell r="BT99">
            <v>988.4</v>
          </cell>
          <cell r="BU99">
            <v>988.4</v>
          </cell>
          <cell r="BV99">
            <v>988.4</v>
          </cell>
          <cell r="BW99">
            <v>988.4</v>
          </cell>
          <cell r="BX99">
            <v>988.4</v>
          </cell>
          <cell r="BY99">
            <v>988.4</v>
          </cell>
          <cell r="BZ99">
            <v>988.4</v>
          </cell>
          <cell r="CA99">
            <v>988.4</v>
          </cell>
          <cell r="CB99">
            <v>988.4</v>
          </cell>
          <cell r="CI99" t="str">
            <v>mstag:deferredTaxLiabilitiesNonCurrent</v>
          </cell>
          <cell r="CJ99">
            <v>6</v>
          </cell>
          <cell r="CK99" t="str">
            <v>ISO4217:USD</v>
          </cell>
          <cell r="CL99" t="b">
            <v>0</v>
          </cell>
        </row>
        <row r="100">
          <cell r="B100" t="str">
            <v>Other noncurrent liabilities</v>
          </cell>
          <cell r="K100">
            <v>0</v>
          </cell>
          <cell r="L100">
            <v>0</v>
          </cell>
          <cell r="M100">
            <v>0</v>
          </cell>
          <cell r="N100">
            <v>34.299999999999997</v>
          </cell>
          <cell r="O100">
            <v>34.299999999999997</v>
          </cell>
          <cell r="P100">
            <v>0</v>
          </cell>
          <cell r="Q100">
            <v>47.6</v>
          </cell>
          <cell r="R100">
            <v>52.8</v>
          </cell>
          <cell r="S100">
            <v>54.1</v>
          </cell>
          <cell r="T100">
            <v>54.1</v>
          </cell>
          <cell r="U100">
            <v>55.2</v>
          </cell>
          <cell r="V100">
            <v>67.099999999999994</v>
          </cell>
          <cell r="W100">
            <v>58.3</v>
          </cell>
          <cell r="X100">
            <v>54.5</v>
          </cell>
          <cell r="Y100">
            <v>54.5</v>
          </cell>
          <cell r="Z100">
            <v>62.1</v>
          </cell>
          <cell r="AA100">
            <v>51.4</v>
          </cell>
          <cell r="AB100">
            <v>57.2</v>
          </cell>
          <cell r="AC100">
            <v>60.3</v>
          </cell>
          <cell r="AD100">
            <v>60.3</v>
          </cell>
          <cell r="AE100">
            <v>65.2</v>
          </cell>
          <cell r="AF100">
            <v>68.8</v>
          </cell>
          <cell r="AG100">
            <v>60.3</v>
          </cell>
          <cell r="AH100">
            <v>30.1</v>
          </cell>
          <cell r="AI100">
            <v>30.1</v>
          </cell>
          <cell r="AJ100">
            <v>135.1</v>
          </cell>
          <cell r="AK100">
            <v>142</v>
          </cell>
          <cell r="AL100">
            <v>135.30000000000001</v>
          </cell>
          <cell r="AM100">
            <v>152</v>
          </cell>
          <cell r="AN100">
            <v>152</v>
          </cell>
          <cell r="AO100">
            <v>140.4</v>
          </cell>
          <cell r="AP100">
            <v>173.8</v>
          </cell>
          <cell r="AQ100">
            <v>129.9</v>
          </cell>
          <cell r="AR100">
            <v>186.8</v>
          </cell>
          <cell r="AS100">
            <v>186.8</v>
          </cell>
          <cell r="AT100">
            <v>188.9</v>
          </cell>
          <cell r="AU100">
            <v>200.9</v>
          </cell>
          <cell r="AV100">
            <v>206.4</v>
          </cell>
          <cell r="AW100">
            <v>221.7</v>
          </cell>
          <cell r="AX100">
            <v>221.7</v>
          </cell>
          <cell r="AY100">
            <v>243.9</v>
          </cell>
          <cell r="AZ100">
            <v>227.5</v>
          </cell>
          <cell r="BA100">
            <v>217.7</v>
          </cell>
          <cell r="BB100">
            <v>239.4</v>
          </cell>
          <cell r="BC100">
            <v>239.4</v>
          </cell>
          <cell r="BD100">
            <v>202.3</v>
          </cell>
          <cell r="BE100">
            <v>201.2</v>
          </cell>
          <cell r="BF100">
            <v>200.1</v>
          </cell>
          <cell r="BG100">
            <v>214.1</v>
          </cell>
          <cell r="BH100">
            <v>214.1</v>
          </cell>
          <cell r="BI100">
            <v>214.1</v>
          </cell>
          <cell r="BJ100">
            <v>214.1</v>
          </cell>
          <cell r="BK100">
            <v>214.1</v>
          </cell>
          <cell r="BL100">
            <v>214.1</v>
          </cell>
          <cell r="BM100">
            <v>214.1</v>
          </cell>
          <cell r="BN100">
            <v>214.1</v>
          </cell>
          <cell r="BO100">
            <v>214.1</v>
          </cell>
          <cell r="BP100">
            <v>214.1</v>
          </cell>
          <cell r="BQ100">
            <v>214.1</v>
          </cell>
          <cell r="BR100">
            <v>214.1</v>
          </cell>
          <cell r="BS100">
            <v>214.1</v>
          </cell>
          <cell r="BT100">
            <v>214.1</v>
          </cell>
          <cell r="BU100">
            <v>214.1</v>
          </cell>
          <cell r="BV100">
            <v>214.1</v>
          </cell>
          <cell r="BW100">
            <v>214.1</v>
          </cell>
          <cell r="BX100">
            <v>214.1</v>
          </cell>
          <cell r="BY100">
            <v>214.1</v>
          </cell>
          <cell r="BZ100">
            <v>214.1</v>
          </cell>
          <cell r="CA100">
            <v>214.1</v>
          </cell>
          <cell r="CB100">
            <v>214.1</v>
          </cell>
          <cell r="CI100" t="str">
            <v>mstag:otherLiabilitiesOperatingNonCurrent</v>
          </cell>
          <cell r="CJ100">
            <v>6</v>
          </cell>
          <cell r="CK100" t="str">
            <v>ISO4217:USD</v>
          </cell>
          <cell r="CL100" t="b">
            <v>0</v>
          </cell>
        </row>
        <row r="101">
          <cell r="B101" t="str">
            <v>Total Liabilities</v>
          </cell>
          <cell r="K101">
            <v>0</v>
          </cell>
          <cell r="L101">
            <v>0</v>
          </cell>
          <cell r="M101">
            <v>0</v>
          </cell>
          <cell r="N101">
            <v>3286.9000000000005</v>
          </cell>
          <cell r="O101">
            <v>3286.9000000000005</v>
          </cell>
          <cell r="Q101">
            <v>3271.4</v>
          </cell>
          <cell r="R101">
            <v>5284.9000000000005</v>
          </cell>
          <cell r="S101">
            <v>5183</v>
          </cell>
          <cell r="T101">
            <v>5183</v>
          </cell>
          <cell r="U101">
            <v>5256.7</v>
          </cell>
          <cell r="V101">
            <v>4810.1000000000004</v>
          </cell>
          <cell r="W101">
            <v>4890.2</v>
          </cell>
          <cell r="X101">
            <v>4822.1000000000004</v>
          </cell>
          <cell r="Y101">
            <v>4822.1000000000004</v>
          </cell>
          <cell r="Z101">
            <v>4626.2000000000007</v>
          </cell>
          <cell r="AA101">
            <v>4486.3</v>
          </cell>
          <cell r="AB101">
            <v>5874.1</v>
          </cell>
          <cell r="AC101">
            <v>5978.8</v>
          </cell>
          <cell r="AD101">
            <v>5978.8</v>
          </cell>
          <cell r="AE101">
            <v>6159.4999999999991</v>
          </cell>
          <cell r="AF101">
            <v>6002.8</v>
          </cell>
          <cell r="AG101">
            <v>6121.6</v>
          </cell>
          <cell r="AH101">
            <v>6884.6</v>
          </cell>
          <cell r="AI101">
            <v>6884.6</v>
          </cell>
          <cell r="AJ101">
            <v>6910.3000000000011</v>
          </cell>
          <cell r="AK101">
            <v>7528.1</v>
          </cell>
          <cell r="AL101">
            <v>7321.8</v>
          </cell>
          <cell r="AM101">
            <v>9342.6</v>
          </cell>
          <cell r="AN101">
            <v>9342.6</v>
          </cell>
          <cell r="AO101">
            <v>10059.9</v>
          </cell>
          <cell r="AP101">
            <v>10600.7</v>
          </cell>
          <cell r="AQ101">
            <v>10209.4</v>
          </cell>
          <cell r="AR101">
            <v>11052.999999999998</v>
          </cell>
          <cell r="AS101">
            <v>11052.999999999998</v>
          </cell>
          <cell r="AT101">
            <v>11419.199999999999</v>
          </cell>
          <cell r="AU101">
            <v>12104.1</v>
          </cell>
          <cell r="AV101">
            <v>10949.4</v>
          </cell>
          <cell r="AW101">
            <v>11528.3</v>
          </cell>
          <cell r="AX101">
            <v>11528.3</v>
          </cell>
          <cell r="AY101">
            <v>11086</v>
          </cell>
          <cell r="AZ101">
            <v>11314.700000000003</v>
          </cell>
          <cell r="BA101">
            <v>12116.200000000003</v>
          </cell>
          <cell r="BB101">
            <v>13110.5</v>
          </cell>
          <cell r="BC101">
            <v>13110.5</v>
          </cell>
          <cell r="BD101">
            <v>12613.8</v>
          </cell>
          <cell r="BE101">
            <v>12546.6</v>
          </cell>
          <cell r="BF101">
            <v>12313.200000000003</v>
          </cell>
          <cell r="BG101">
            <v>12953.400000000001</v>
          </cell>
          <cell r="BH101">
            <v>12953.400000000001</v>
          </cell>
          <cell r="BI101">
            <v>12365.135384384404</v>
          </cell>
          <cell r="BJ101">
            <v>12363.812840693048</v>
          </cell>
          <cell r="BK101">
            <v>12298.676870424022</v>
          </cell>
          <cell r="BL101">
            <v>12470.605536678602</v>
          </cell>
          <cell r="BM101">
            <v>12470.605536678602</v>
          </cell>
          <cell r="BN101">
            <v>11900.395497933432</v>
          </cell>
          <cell r="BO101">
            <v>11948.010371546836</v>
          </cell>
          <cell r="BP101">
            <v>11970.394541717415</v>
          </cell>
          <cell r="BQ101">
            <v>11953.165221796975</v>
          </cell>
          <cell r="BR101">
            <v>11953.165221796975</v>
          </cell>
          <cell r="BS101">
            <v>11972.269177067054</v>
          </cell>
          <cell r="BT101">
            <v>11978.529560717958</v>
          </cell>
          <cell r="BU101">
            <v>11945.690914151859</v>
          </cell>
          <cell r="BV101">
            <v>11926.053528781304</v>
          </cell>
          <cell r="BW101">
            <v>11926.053528781304</v>
          </cell>
          <cell r="BX101">
            <v>11942.308241573915</v>
          </cell>
          <cell r="BY101">
            <v>11984.015526780118</v>
          </cell>
          <cell r="BZ101">
            <v>12003.984761435044</v>
          </cell>
          <cell r="CA101">
            <v>11979.149904998154</v>
          </cell>
          <cell r="CB101">
            <v>11979.149904998154</v>
          </cell>
        </row>
        <row r="103">
          <cell r="B103" t="str">
            <v>Equity</v>
          </cell>
        </row>
        <row r="104">
          <cell r="B104" t="str">
            <v>Additional paid in capital</v>
          </cell>
          <cell r="K104">
            <v>0</v>
          </cell>
          <cell r="L104">
            <v>0</v>
          </cell>
          <cell r="M104">
            <v>0</v>
          </cell>
          <cell r="N104">
            <v>6386.9</v>
          </cell>
          <cell r="O104">
            <v>6386.9</v>
          </cell>
          <cell r="P104">
            <v>0</v>
          </cell>
          <cell r="Q104">
            <v>6386.9</v>
          </cell>
          <cell r="R104">
            <v>4900.1000000000004</v>
          </cell>
          <cell r="S104">
            <v>4913.3999999999996</v>
          </cell>
          <cell r="T104">
            <v>4913.3999999999996</v>
          </cell>
          <cell r="U104">
            <v>4926.3999999999996</v>
          </cell>
          <cell r="V104">
            <v>4993.2</v>
          </cell>
          <cell r="W104">
            <v>5002.2</v>
          </cell>
          <cell r="X104">
            <v>5067</v>
          </cell>
          <cell r="Y104">
            <v>5067</v>
          </cell>
          <cell r="Z104">
            <v>5193.5</v>
          </cell>
          <cell r="AA104">
            <v>5306</v>
          </cell>
          <cell r="AB104">
            <v>5306</v>
          </cell>
          <cell r="AC104">
            <v>6913.3</v>
          </cell>
          <cell r="AD104">
            <v>6913.3</v>
          </cell>
          <cell r="AE104">
            <v>6991.5</v>
          </cell>
          <cell r="AF104">
            <v>7037.2</v>
          </cell>
          <cell r="AG104">
            <v>7122.4</v>
          </cell>
          <cell r="AH104">
            <v>7171.5</v>
          </cell>
          <cell r="AI104">
            <v>7171.5</v>
          </cell>
          <cell r="AJ104">
            <v>7304.8</v>
          </cell>
          <cell r="AK104">
            <v>7389.2</v>
          </cell>
          <cell r="AL104">
            <v>7484.6</v>
          </cell>
          <cell r="AM104">
            <v>7553</v>
          </cell>
          <cell r="AN104">
            <v>7553</v>
          </cell>
          <cell r="AO104">
            <v>7600.3</v>
          </cell>
          <cell r="AP104">
            <v>7670.2</v>
          </cell>
          <cell r="AQ104">
            <v>7736.4</v>
          </cell>
          <cell r="AR104">
            <v>7788.9</v>
          </cell>
          <cell r="AS104">
            <v>7788.9</v>
          </cell>
          <cell r="AT104">
            <v>7827.5</v>
          </cell>
          <cell r="AU104">
            <v>7899.7</v>
          </cell>
          <cell r="AV104">
            <v>8053.6</v>
          </cell>
          <cell r="AW104">
            <v>8156.7</v>
          </cell>
          <cell r="AX104">
            <v>8156.7</v>
          </cell>
          <cell r="AY104">
            <v>8216.7000000000007</v>
          </cell>
          <cell r="AZ104">
            <v>8292.2000000000007</v>
          </cell>
          <cell r="BA104">
            <v>8341.1</v>
          </cell>
          <cell r="BB104">
            <v>8463</v>
          </cell>
          <cell r="BC104">
            <v>8463</v>
          </cell>
          <cell r="BD104">
            <v>8550.2999999999993</v>
          </cell>
          <cell r="BE104">
            <v>8653.5</v>
          </cell>
          <cell r="BF104">
            <v>8760</v>
          </cell>
          <cell r="BG104">
            <v>8760</v>
          </cell>
          <cell r="BH104">
            <v>8760</v>
          </cell>
          <cell r="BI104">
            <v>8760</v>
          </cell>
          <cell r="BJ104">
            <v>8760</v>
          </cell>
          <cell r="BK104">
            <v>8760</v>
          </cell>
          <cell r="BL104">
            <v>8760</v>
          </cell>
          <cell r="BM104">
            <v>8760</v>
          </cell>
          <cell r="BN104">
            <v>8760</v>
          </cell>
          <cell r="BO104">
            <v>8760</v>
          </cell>
          <cell r="BP104">
            <v>8760</v>
          </cell>
          <cell r="BQ104">
            <v>8760</v>
          </cell>
          <cell r="BR104">
            <v>8760</v>
          </cell>
          <cell r="BS104">
            <v>8760</v>
          </cell>
          <cell r="BT104">
            <v>8760</v>
          </cell>
          <cell r="BU104">
            <v>8760</v>
          </cell>
          <cell r="BV104">
            <v>8760</v>
          </cell>
          <cell r="BW104">
            <v>8760</v>
          </cell>
          <cell r="BX104">
            <v>8760</v>
          </cell>
          <cell r="BY104">
            <v>8760</v>
          </cell>
          <cell r="BZ104">
            <v>8760</v>
          </cell>
          <cell r="CA104">
            <v>8760</v>
          </cell>
          <cell r="CB104">
            <v>8760</v>
          </cell>
          <cell r="CI104" t="str">
            <v>mstag:additionalPaidInCapital</v>
          </cell>
          <cell r="CJ104">
            <v>6</v>
          </cell>
          <cell r="CK104" t="str">
            <v>ISO4217:USD</v>
          </cell>
          <cell r="CL104" t="b">
            <v>0</v>
          </cell>
        </row>
        <row r="105">
          <cell r="B105" t="str">
            <v>Retained earnings</v>
          </cell>
          <cell r="K105">
            <v>0</v>
          </cell>
          <cell r="L105">
            <v>0</v>
          </cell>
          <cell r="M105">
            <v>0</v>
          </cell>
          <cell r="N105">
            <v>245.9</v>
          </cell>
          <cell r="O105">
            <v>245.9</v>
          </cell>
          <cell r="P105">
            <v>0</v>
          </cell>
          <cell r="Q105">
            <v>453.1</v>
          </cell>
          <cell r="R105">
            <v>53</v>
          </cell>
          <cell r="S105">
            <v>171.3</v>
          </cell>
          <cell r="T105">
            <v>171.3</v>
          </cell>
          <cell r="U105">
            <v>274.89999999999998</v>
          </cell>
          <cell r="V105">
            <v>402.1</v>
          </cell>
          <cell r="W105">
            <v>520.20000000000005</v>
          </cell>
          <cell r="X105">
            <v>652.9</v>
          </cell>
          <cell r="Y105">
            <v>652.9</v>
          </cell>
          <cell r="Z105">
            <v>784.1</v>
          </cell>
          <cell r="AA105">
            <v>921.5</v>
          </cell>
          <cell r="AB105">
            <v>2484.7000000000003</v>
          </cell>
          <cell r="AC105">
            <v>1254.9000000000001</v>
          </cell>
          <cell r="AD105">
            <v>1254.9000000000001</v>
          </cell>
          <cell r="AE105">
            <v>1299.7</v>
          </cell>
          <cell r="AF105">
            <v>1470.6</v>
          </cell>
          <cell r="AG105">
            <v>1656.3</v>
          </cell>
          <cell r="AH105">
            <v>1885.1</v>
          </cell>
          <cell r="AI105">
            <v>1885.1</v>
          </cell>
          <cell r="AJ105">
            <v>2189.1</v>
          </cell>
          <cell r="AK105">
            <v>2404</v>
          </cell>
          <cell r="AL105">
            <v>2618.8000000000002</v>
          </cell>
          <cell r="AM105">
            <v>2826.3999999999992</v>
          </cell>
          <cell r="AN105">
            <v>2826.3999999999992</v>
          </cell>
          <cell r="AO105">
            <v>3096.6</v>
          </cell>
          <cell r="AP105">
            <v>3359.3</v>
          </cell>
          <cell r="AQ105">
            <v>3655</v>
          </cell>
          <cell r="AR105">
            <v>3929.3</v>
          </cell>
          <cell r="AS105">
            <v>3929.3</v>
          </cell>
          <cell r="AT105">
            <v>4220.3</v>
          </cell>
          <cell r="AU105">
            <v>4532.5</v>
          </cell>
          <cell r="AV105">
            <v>4868</v>
          </cell>
          <cell r="AW105">
            <v>5209.6000000000004</v>
          </cell>
          <cell r="AX105">
            <v>5209.6000000000004</v>
          </cell>
          <cell r="AY105">
            <v>5530.1</v>
          </cell>
          <cell r="AZ105">
            <v>5887</v>
          </cell>
          <cell r="BA105">
            <v>6258.5</v>
          </cell>
          <cell r="BB105">
            <v>6636.9</v>
          </cell>
          <cell r="BC105">
            <v>6636.9</v>
          </cell>
          <cell r="BD105">
            <v>6970</v>
          </cell>
          <cell r="BE105">
            <v>7312.8</v>
          </cell>
          <cell r="BF105">
            <v>7668.2</v>
          </cell>
          <cell r="BG105">
            <v>8120.1</v>
          </cell>
          <cell r="BH105">
            <v>8120.1</v>
          </cell>
          <cell r="BI105">
            <v>8442.4550739239767</v>
          </cell>
          <cell r="BJ105">
            <v>8795.3997955188988</v>
          </cell>
          <cell r="BK105">
            <v>7186.4610061885887</v>
          </cell>
          <cell r="BL105">
            <v>7204.395530955353</v>
          </cell>
          <cell r="BM105">
            <v>7204.395530955353</v>
          </cell>
          <cell r="BN105">
            <v>6658.0071177471191</v>
          </cell>
          <cell r="BO105">
            <v>6517.4369860469442</v>
          </cell>
          <cell r="BP105">
            <v>6808.0073347108446</v>
          </cell>
          <cell r="BQ105">
            <v>7093.688829859585</v>
          </cell>
          <cell r="BR105">
            <v>7093.688829859585</v>
          </cell>
          <cell r="BS105">
            <v>6273.81369305103</v>
          </cell>
          <cell r="BT105">
            <v>6236.8998862025255</v>
          </cell>
          <cell r="BU105">
            <v>6362.0725571956755</v>
          </cell>
          <cell r="BV105">
            <v>6607.8670275420463</v>
          </cell>
          <cell r="BW105">
            <v>6607.8670275420463</v>
          </cell>
          <cell r="BX105">
            <v>6013.2823731072276</v>
          </cell>
          <cell r="BY105">
            <v>5974.700575773024</v>
          </cell>
          <cell r="BZ105">
            <v>6022.3875978815831</v>
          </cell>
          <cell r="CA105">
            <v>6214.5687304580251</v>
          </cell>
          <cell r="CB105">
            <v>6214.5687304580251</v>
          </cell>
          <cell r="CI105" t="str">
            <v>mstag:retainedEarnings</v>
          </cell>
          <cell r="CJ105">
            <v>6</v>
          </cell>
          <cell r="CK105" t="str">
            <v>ISO4217:USD</v>
          </cell>
          <cell r="CL105" t="b">
            <v>0</v>
          </cell>
        </row>
        <row r="106">
          <cell r="B106" t="str">
            <v>Common Stock</v>
          </cell>
          <cell r="K106">
            <v>0</v>
          </cell>
          <cell r="L106">
            <v>0</v>
          </cell>
          <cell r="M106">
            <v>0</v>
          </cell>
          <cell r="N106">
            <v>2.7</v>
          </cell>
          <cell r="O106">
            <v>2.7</v>
          </cell>
          <cell r="P106">
            <v>0</v>
          </cell>
          <cell r="Q106">
            <v>2.7</v>
          </cell>
          <cell r="R106">
            <v>2.7</v>
          </cell>
          <cell r="S106">
            <v>2.7</v>
          </cell>
          <cell r="T106">
            <v>2.7</v>
          </cell>
          <cell r="U106">
            <v>2.7</v>
          </cell>
          <cell r="V106">
            <v>2.4</v>
          </cell>
          <cell r="W106">
            <v>2.7</v>
          </cell>
          <cell r="X106">
            <v>2.7</v>
          </cell>
          <cell r="Y106">
            <v>2.7</v>
          </cell>
          <cell r="Z106">
            <v>2.8</v>
          </cell>
          <cell r="AA106">
            <v>2.8</v>
          </cell>
          <cell r="AB106">
            <v>0</v>
          </cell>
          <cell r="AC106">
            <v>3.1</v>
          </cell>
          <cell r="AD106">
            <v>3.1</v>
          </cell>
          <cell r="AE106">
            <v>3.1</v>
          </cell>
          <cell r="AF106">
            <v>3.1</v>
          </cell>
          <cell r="AG106">
            <v>3.2</v>
          </cell>
          <cell r="AH106">
            <v>3.2</v>
          </cell>
          <cell r="AI106">
            <v>3.2</v>
          </cell>
          <cell r="AJ106">
            <v>3.2</v>
          </cell>
          <cell r="AK106">
            <v>3.2</v>
          </cell>
          <cell r="AL106">
            <v>3.2</v>
          </cell>
          <cell r="AM106">
            <v>6.4</v>
          </cell>
          <cell r="AN106">
            <v>6.4</v>
          </cell>
          <cell r="AO106">
            <v>6.5</v>
          </cell>
          <cell r="AP106">
            <v>6.5</v>
          </cell>
          <cell r="AQ106">
            <v>6.5</v>
          </cell>
          <cell r="AR106">
            <v>6.5</v>
          </cell>
          <cell r="AS106">
            <v>6.5</v>
          </cell>
          <cell r="AT106">
            <v>6.5</v>
          </cell>
          <cell r="AU106">
            <v>6.6</v>
          </cell>
          <cell r="AV106">
            <v>6.6</v>
          </cell>
          <cell r="AW106">
            <v>6.6</v>
          </cell>
          <cell r="AX106">
            <v>6.6</v>
          </cell>
          <cell r="AY106">
            <v>6.6</v>
          </cell>
          <cell r="AZ106">
            <v>6.6</v>
          </cell>
          <cell r="BA106">
            <v>6.6</v>
          </cell>
          <cell r="BB106">
            <v>6.7</v>
          </cell>
          <cell r="BC106">
            <v>6.7</v>
          </cell>
          <cell r="BD106">
            <v>6.7</v>
          </cell>
          <cell r="BE106">
            <v>6.7</v>
          </cell>
          <cell r="BF106">
            <v>6.7</v>
          </cell>
          <cell r="BG106">
            <v>6.7</v>
          </cell>
          <cell r="BH106">
            <v>6.7</v>
          </cell>
          <cell r="BI106">
            <v>6.7</v>
          </cell>
          <cell r="BJ106">
            <v>6.7</v>
          </cell>
          <cell r="BK106">
            <v>6.7</v>
          </cell>
          <cell r="BL106">
            <v>6.7</v>
          </cell>
          <cell r="BM106">
            <v>6.7</v>
          </cell>
          <cell r="BN106">
            <v>6.7</v>
          </cell>
          <cell r="BO106">
            <v>6.7</v>
          </cell>
          <cell r="BP106">
            <v>6.7</v>
          </cell>
          <cell r="BQ106">
            <v>6.7</v>
          </cell>
          <cell r="BR106">
            <v>6.7</v>
          </cell>
          <cell r="BS106">
            <v>6.7</v>
          </cell>
          <cell r="BT106">
            <v>6.7</v>
          </cell>
          <cell r="BU106">
            <v>6.7</v>
          </cell>
          <cell r="BV106">
            <v>6.7</v>
          </cell>
          <cell r="BW106">
            <v>6.7</v>
          </cell>
          <cell r="BX106">
            <v>6.7</v>
          </cell>
          <cell r="BY106">
            <v>6.7</v>
          </cell>
          <cell r="BZ106">
            <v>6.7</v>
          </cell>
          <cell r="CA106">
            <v>6.7</v>
          </cell>
          <cell r="CB106">
            <v>6.7</v>
          </cell>
          <cell r="CI106" t="str">
            <v>mstag:commonStock</v>
          </cell>
          <cell r="CJ106">
            <v>6</v>
          </cell>
          <cell r="CK106" t="str">
            <v>ISO4217:USD</v>
          </cell>
          <cell r="CL106" t="b">
            <v>0</v>
          </cell>
        </row>
        <row r="107">
          <cell r="B107" t="str">
            <v>Other</v>
          </cell>
          <cell r="K107">
            <v>0</v>
          </cell>
          <cell r="L107">
            <v>0</v>
          </cell>
          <cell r="M107">
            <v>0</v>
          </cell>
          <cell r="N107">
            <v>0.1</v>
          </cell>
          <cell r="O107">
            <v>0.1</v>
          </cell>
          <cell r="P107">
            <v>0</v>
          </cell>
          <cell r="Q107">
            <v>0</v>
          </cell>
          <cell r="R107">
            <v>-8.3000000000000007</v>
          </cell>
          <cell r="S107">
            <v>-7.4</v>
          </cell>
          <cell r="T107">
            <v>-7.4</v>
          </cell>
          <cell r="U107">
            <v>-6.2</v>
          </cell>
          <cell r="V107">
            <v>-5.4</v>
          </cell>
          <cell r="W107">
            <v>-4</v>
          </cell>
          <cell r="X107">
            <v>-3.2</v>
          </cell>
          <cell r="Y107">
            <v>-3.2</v>
          </cell>
          <cell r="Z107">
            <v>-50.2</v>
          </cell>
          <cell r="AA107">
            <v>-45.6</v>
          </cell>
          <cell r="AB107">
            <v>-45.6</v>
          </cell>
          <cell r="AC107">
            <v>-447.1</v>
          </cell>
          <cell r="AD107">
            <v>-447.1</v>
          </cell>
          <cell r="AE107">
            <v>-611.70000000000005</v>
          </cell>
          <cell r="AF107">
            <v>-1160.7</v>
          </cell>
          <cell r="AG107">
            <v>-1233.2</v>
          </cell>
          <cell r="AH107">
            <v>-1556.3</v>
          </cell>
          <cell r="AI107">
            <v>-1556.3</v>
          </cell>
          <cell r="AJ107">
            <v>-2323.5</v>
          </cell>
          <cell r="AK107">
            <v>-2989.3</v>
          </cell>
          <cell r="AL107">
            <v>-3503.3</v>
          </cell>
          <cell r="AM107">
            <v>-3510.5</v>
          </cell>
          <cell r="AN107">
            <v>-3510.5</v>
          </cell>
          <cell r="AO107">
            <v>-4528.8</v>
          </cell>
          <cell r="AP107">
            <v>-5091.0999999999995</v>
          </cell>
          <cell r="AQ107">
            <v>-5494.2</v>
          </cell>
          <cell r="AR107">
            <v>-5766.8</v>
          </cell>
          <cell r="AS107">
            <v>-5766.8</v>
          </cell>
          <cell r="AT107">
            <v>-5987.3</v>
          </cell>
          <cell r="AU107">
            <v>-6772.6</v>
          </cell>
          <cell r="AV107">
            <v>-6765.8</v>
          </cell>
          <cell r="AW107">
            <v>-6985.7</v>
          </cell>
          <cell r="AX107">
            <v>-6985.7</v>
          </cell>
          <cell r="AY107">
            <v>-8224.1</v>
          </cell>
          <cell r="AZ107">
            <v>-9260.5</v>
          </cell>
          <cell r="BA107">
            <v>-10152.199999999999</v>
          </cell>
          <cell r="BB107">
            <v>-11119.8</v>
          </cell>
          <cell r="BC107">
            <v>-11119.8</v>
          </cell>
          <cell r="BD107">
            <v>-11929.6</v>
          </cell>
          <cell r="BE107">
            <v>-12528.8</v>
          </cell>
          <cell r="BF107">
            <v>-12884.5</v>
          </cell>
          <cell r="BG107">
            <v>-12877.4</v>
          </cell>
          <cell r="BH107">
            <v>-12877.4</v>
          </cell>
          <cell r="BI107">
            <v>-12877.4</v>
          </cell>
          <cell r="BJ107">
            <v>-12877.4</v>
          </cell>
          <cell r="BK107">
            <v>-12877.4</v>
          </cell>
          <cell r="BL107">
            <v>-12877.4</v>
          </cell>
          <cell r="BM107">
            <v>-12877.4</v>
          </cell>
          <cell r="BN107">
            <v>-12877.4</v>
          </cell>
          <cell r="BO107">
            <v>-12877.4</v>
          </cell>
          <cell r="BP107">
            <v>-12877.4</v>
          </cell>
          <cell r="BQ107">
            <v>-12877.4</v>
          </cell>
          <cell r="BR107">
            <v>-12877.4</v>
          </cell>
          <cell r="BS107">
            <v>-12877.4</v>
          </cell>
          <cell r="BT107">
            <v>-12877.4</v>
          </cell>
          <cell r="BU107">
            <v>-12877.4</v>
          </cell>
          <cell r="BV107">
            <v>-12877.4</v>
          </cell>
          <cell r="BW107">
            <v>-12877.4</v>
          </cell>
          <cell r="BX107">
            <v>-12877.4</v>
          </cell>
          <cell r="BY107">
            <v>-12877.4</v>
          </cell>
          <cell r="BZ107">
            <v>-12877.4</v>
          </cell>
          <cell r="CA107">
            <v>-12877.4</v>
          </cell>
          <cell r="CB107">
            <v>-12877.4</v>
          </cell>
          <cell r="CI107" t="str">
            <v>mstag:accumulatedOtherComprehensiveIncomeLossAndReserves</v>
          </cell>
          <cell r="CJ107">
            <v>6</v>
          </cell>
          <cell r="CK107" t="str">
            <v>ISO4217:USD</v>
          </cell>
          <cell r="CL107" t="b">
            <v>0</v>
          </cell>
        </row>
        <row r="108">
          <cell r="B108" t="str">
            <v>Total Equity</v>
          </cell>
          <cell r="K108">
            <v>0</v>
          </cell>
          <cell r="L108">
            <v>0</v>
          </cell>
          <cell r="M108">
            <v>0</v>
          </cell>
          <cell r="N108">
            <v>6635.5999999999995</v>
          </cell>
          <cell r="O108">
            <v>6635.5999999999995</v>
          </cell>
          <cell r="P108">
            <v>0</v>
          </cell>
          <cell r="Q108">
            <v>6842.7</v>
          </cell>
          <cell r="R108">
            <v>4947.5</v>
          </cell>
          <cell r="S108">
            <v>5080</v>
          </cell>
          <cell r="T108">
            <v>5080</v>
          </cell>
          <cell r="U108">
            <v>5197.7999999999993</v>
          </cell>
          <cell r="V108">
            <v>5392.3</v>
          </cell>
          <cell r="W108">
            <v>5521.0999999999995</v>
          </cell>
          <cell r="X108">
            <v>5719.4</v>
          </cell>
          <cell r="Y108">
            <v>5719.4</v>
          </cell>
          <cell r="Z108">
            <v>5930.2000000000007</v>
          </cell>
          <cell r="AA108">
            <v>6184.7</v>
          </cell>
          <cell r="AB108">
            <v>7745.1</v>
          </cell>
          <cell r="AC108">
            <v>7724.2000000000007</v>
          </cell>
          <cell r="AD108">
            <v>7724.2000000000007</v>
          </cell>
          <cell r="AE108">
            <v>7682.6000000000013</v>
          </cell>
          <cell r="AF108">
            <v>7350.2</v>
          </cell>
          <cell r="AG108">
            <v>7548.7</v>
          </cell>
          <cell r="AH108">
            <v>7503.5000000000009</v>
          </cell>
          <cell r="AI108">
            <v>7503.5000000000009</v>
          </cell>
          <cell r="AJ108">
            <v>7173.6</v>
          </cell>
          <cell r="AK108">
            <v>6807.1000000000013</v>
          </cell>
          <cell r="AL108">
            <v>6603.300000000002</v>
          </cell>
          <cell r="AM108">
            <v>6875.2999999999993</v>
          </cell>
          <cell r="AN108">
            <v>6875.2999999999993</v>
          </cell>
          <cell r="AO108">
            <v>6174.5999999999995</v>
          </cell>
          <cell r="AP108">
            <v>5944.9000000000005</v>
          </cell>
          <cell r="AQ108">
            <v>5903.7</v>
          </cell>
          <cell r="AR108">
            <v>5957.9000000000005</v>
          </cell>
          <cell r="AS108">
            <v>5957.9000000000005</v>
          </cell>
          <cell r="AT108">
            <v>6066.9999999999991</v>
          </cell>
          <cell r="AU108">
            <v>5666.2000000000007</v>
          </cell>
          <cell r="AV108">
            <v>6162.4000000000005</v>
          </cell>
          <cell r="AW108">
            <v>6387.2</v>
          </cell>
          <cell r="AX108">
            <v>6387.2</v>
          </cell>
          <cell r="AY108">
            <v>5529.3000000000011</v>
          </cell>
          <cell r="AZ108">
            <v>4925.3000000000011</v>
          </cell>
          <cell r="BA108">
            <v>4454.0000000000018</v>
          </cell>
          <cell r="BB108">
            <v>3986.8000000000011</v>
          </cell>
          <cell r="BC108">
            <v>3986.8000000000011</v>
          </cell>
          <cell r="BD108">
            <v>3597.3999999999996</v>
          </cell>
          <cell r="BE108">
            <v>3444.2000000000007</v>
          </cell>
          <cell r="BF108">
            <v>3550.4000000000015</v>
          </cell>
          <cell r="BG108">
            <v>4009.4</v>
          </cell>
          <cell r="BH108">
            <v>4009.3999999999996</v>
          </cell>
          <cell r="BI108">
            <v>4331.7550739239796</v>
          </cell>
          <cell r="BJ108">
            <v>4684.6997955188981</v>
          </cell>
          <cell r="BK108">
            <v>3075.7610061885898</v>
          </cell>
          <cell r="BL108">
            <v>3093.6955309553541</v>
          </cell>
          <cell r="BM108">
            <v>3093.6955309553541</v>
          </cell>
          <cell r="BN108">
            <v>2547.3071177471193</v>
          </cell>
          <cell r="BO108">
            <v>2406.7369860469462</v>
          </cell>
          <cell r="BP108">
            <v>2697.3073347108457</v>
          </cell>
          <cell r="BQ108">
            <v>2982.9888298595852</v>
          </cell>
          <cell r="BR108">
            <v>2982.9888298595852</v>
          </cell>
          <cell r="BS108">
            <v>2163.1136930510311</v>
          </cell>
          <cell r="BT108">
            <v>2126.1998862025266</v>
          </cell>
          <cell r="BU108">
            <v>2251.3725571956766</v>
          </cell>
          <cell r="BV108">
            <v>2497.1670275420474</v>
          </cell>
          <cell r="BW108">
            <v>2497.1670275420474</v>
          </cell>
          <cell r="BX108">
            <v>1902.5823731072287</v>
          </cell>
          <cell r="BY108">
            <v>1864.000575773025</v>
          </cell>
          <cell r="BZ108">
            <v>1911.6875978815842</v>
          </cell>
          <cell r="CA108">
            <v>2103.8687304580253</v>
          </cell>
          <cell r="CB108">
            <v>2103.8687304580253</v>
          </cell>
        </row>
        <row r="109">
          <cell r="B109" t="str">
            <v>Total liabilities and equity</v>
          </cell>
          <cell r="K109">
            <v>0</v>
          </cell>
          <cell r="L109">
            <v>0</v>
          </cell>
          <cell r="M109">
            <v>0</v>
          </cell>
          <cell r="N109">
            <v>9922.5</v>
          </cell>
          <cell r="O109">
            <v>9922.5</v>
          </cell>
          <cell r="P109">
            <v>0</v>
          </cell>
          <cell r="Q109">
            <v>10114.1</v>
          </cell>
          <cell r="R109">
            <v>10232.400000000001</v>
          </cell>
          <cell r="S109">
            <v>10263</v>
          </cell>
          <cell r="T109">
            <v>10263</v>
          </cell>
          <cell r="U109">
            <v>10454.5</v>
          </cell>
          <cell r="V109">
            <v>10202.400000000001</v>
          </cell>
          <cell r="W109">
            <v>10411.299999999999</v>
          </cell>
          <cell r="X109">
            <v>10541.5</v>
          </cell>
          <cell r="Y109">
            <v>10541.5</v>
          </cell>
          <cell r="Z109">
            <v>10556.400000000001</v>
          </cell>
          <cell r="AA109">
            <v>10671</v>
          </cell>
          <cell r="AB109">
            <v>13619.2</v>
          </cell>
          <cell r="AC109">
            <v>13703</v>
          </cell>
          <cell r="AD109">
            <v>13703</v>
          </cell>
          <cell r="AE109">
            <v>13842.1</v>
          </cell>
          <cell r="AF109">
            <v>13353</v>
          </cell>
          <cell r="AG109">
            <v>13670.3</v>
          </cell>
          <cell r="AH109">
            <v>14388.100000000002</v>
          </cell>
          <cell r="AI109">
            <v>14388.100000000002</v>
          </cell>
          <cell r="AJ109">
            <v>14083.900000000001</v>
          </cell>
          <cell r="AK109">
            <v>14335.2</v>
          </cell>
          <cell r="AL109">
            <v>13925.100000000002</v>
          </cell>
          <cell r="AM109">
            <v>16217.9</v>
          </cell>
          <cell r="AN109">
            <v>16217.9</v>
          </cell>
          <cell r="AO109">
            <v>16234.5</v>
          </cell>
          <cell r="AP109">
            <v>16545.600000000002</v>
          </cell>
          <cell r="AQ109">
            <v>16113.099999999999</v>
          </cell>
          <cell r="AR109">
            <v>17010.899999999998</v>
          </cell>
          <cell r="AS109">
            <v>17010.899999999998</v>
          </cell>
          <cell r="AT109">
            <v>17486.199999999997</v>
          </cell>
          <cell r="AU109">
            <v>17770.300000000003</v>
          </cell>
          <cell r="AV109">
            <v>17111.8</v>
          </cell>
          <cell r="AW109">
            <v>17915.5</v>
          </cell>
          <cell r="AX109">
            <v>17915.5</v>
          </cell>
          <cell r="AY109">
            <v>16615.300000000003</v>
          </cell>
          <cell r="AZ109">
            <v>16240.000000000004</v>
          </cell>
          <cell r="BA109">
            <v>16570.200000000004</v>
          </cell>
          <cell r="BB109">
            <v>17097.300000000003</v>
          </cell>
          <cell r="BC109">
            <v>17097.300000000003</v>
          </cell>
          <cell r="BD109">
            <v>16211.199999999999</v>
          </cell>
          <cell r="BE109">
            <v>15990.800000000001</v>
          </cell>
          <cell r="BF109">
            <v>15863.600000000004</v>
          </cell>
          <cell r="BG109">
            <v>16962.800000000003</v>
          </cell>
          <cell r="BH109">
            <v>16962.800000000003</v>
          </cell>
          <cell r="BI109">
            <v>16696.890458308386</v>
          </cell>
          <cell r="BJ109">
            <v>17048.512636211948</v>
          </cell>
          <cell r="BK109">
            <v>15374.437876612612</v>
          </cell>
          <cell r="BL109">
            <v>15564.301067633956</v>
          </cell>
          <cell r="BM109">
            <v>15564.301067633956</v>
          </cell>
          <cell r="BN109">
            <v>14447.702615680551</v>
          </cell>
          <cell r="BO109">
            <v>14354.747357593782</v>
          </cell>
          <cell r="BP109">
            <v>14667.70187642826</v>
          </cell>
          <cell r="BQ109">
            <v>14936.15405165656</v>
          </cell>
          <cell r="BR109">
            <v>14936.15405165656</v>
          </cell>
          <cell r="BS109">
            <v>14135.382870118085</v>
          </cell>
          <cell r="BT109">
            <v>14104.729446920484</v>
          </cell>
          <cell r="BU109">
            <v>14197.063471347536</v>
          </cell>
          <cell r="BV109">
            <v>14423.220556323351</v>
          </cell>
          <cell r="BW109">
            <v>14423.220556323351</v>
          </cell>
          <cell r="BX109">
            <v>13844.890614681144</v>
          </cell>
          <cell r="BY109">
            <v>13848.016102553143</v>
          </cell>
          <cell r="BZ109">
            <v>13915.672359316628</v>
          </cell>
          <cell r="CA109">
            <v>14083.018635456179</v>
          </cell>
          <cell r="CB109">
            <v>14083.018635456179</v>
          </cell>
        </row>
        <row r="111">
          <cell r="B111" t="str">
            <v>Balance sheet check: Assets = Liab + Equity</v>
          </cell>
          <cell r="N111">
            <v>0</v>
          </cell>
          <cell r="O111">
            <v>0</v>
          </cell>
          <cell r="P111">
            <v>0</v>
          </cell>
          <cell r="Q111">
            <v>0</v>
          </cell>
          <cell r="R111">
            <v>0</v>
          </cell>
          <cell r="S111">
            <v>0</v>
          </cell>
          <cell r="T111">
            <v>0</v>
          </cell>
          <cell r="U111">
            <v>0</v>
          </cell>
          <cell r="V111">
            <v>0.2999999999992724</v>
          </cell>
          <cell r="W111">
            <v>0</v>
          </cell>
          <cell r="X111">
            <v>0</v>
          </cell>
          <cell r="Y111">
            <v>0</v>
          </cell>
          <cell r="Z111">
            <v>0</v>
          </cell>
          <cell r="AA111">
            <v>0</v>
          </cell>
          <cell r="AB111">
            <v>0</v>
          </cell>
          <cell r="AC111">
            <v>0</v>
          </cell>
          <cell r="AD111">
            <v>0</v>
          </cell>
          <cell r="AE111">
            <v>0</v>
          </cell>
          <cell r="AF111">
            <v>0</v>
          </cell>
          <cell r="AG111">
            <v>0</v>
          </cell>
          <cell r="AH111">
            <v>0</v>
          </cell>
          <cell r="AI111">
            <v>0</v>
          </cell>
          <cell r="AJ111">
            <v>0</v>
          </cell>
          <cell r="AK111">
            <v>0</v>
          </cell>
          <cell r="AL111">
            <v>0</v>
          </cell>
          <cell r="AM111">
            <v>0</v>
          </cell>
          <cell r="AN111">
            <v>0</v>
          </cell>
          <cell r="AO111">
            <v>0</v>
          </cell>
          <cell r="AP111">
            <v>0</v>
          </cell>
          <cell r="AQ111">
            <v>0</v>
          </cell>
          <cell r="AR111">
            <v>0</v>
          </cell>
          <cell r="AS111">
            <v>0</v>
          </cell>
          <cell r="AT111">
            <v>0</v>
          </cell>
          <cell r="AU111">
            <v>0</v>
          </cell>
          <cell r="AV111">
            <v>0</v>
          </cell>
          <cell r="AW111">
            <v>0</v>
          </cell>
          <cell r="AX111">
            <v>0</v>
          </cell>
          <cell r="AY111">
            <v>0</v>
          </cell>
          <cell r="AZ111">
            <v>0</v>
          </cell>
          <cell r="BA111">
            <v>0</v>
          </cell>
          <cell r="BB111">
            <v>0</v>
          </cell>
          <cell r="BC111">
            <v>0</v>
          </cell>
          <cell r="BD111">
            <v>0</v>
          </cell>
          <cell r="BE111">
            <v>0</v>
          </cell>
          <cell r="BF111">
            <v>0</v>
          </cell>
          <cell r="BG111">
            <v>0</v>
          </cell>
          <cell r="BH111">
            <v>0</v>
          </cell>
          <cell r="BI111">
            <v>0</v>
          </cell>
          <cell r="BJ111">
            <v>0</v>
          </cell>
          <cell r="BK111">
            <v>0</v>
          </cell>
          <cell r="BL111">
            <v>0</v>
          </cell>
          <cell r="BM111">
            <v>0</v>
          </cell>
          <cell r="BN111">
            <v>0</v>
          </cell>
          <cell r="BO111">
            <v>0</v>
          </cell>
          <cell r="BP111">
            <v>0</v>
          </cell>
          <cell r="BQ111">
            <v>0</v>
          </cell>
          <cell r="BR111">
            <v>0</v>
          </cell>
          <cell r="BS111">
            <v>0</v>
          </cell>
          <cell r="BT111">
            <v>0</v>
          </cell>
          <cell r="BU111">
            <v>0</v>
          </cell>
          <cell r="BV111">
            <v>0</v>
          </cell>
          <cell r="BW111">
            <v>0</v>
          </cell>
          <cell r="BX111">
            <v>0</v>
          </cell>
          <cell r="BY111">
            <v>0</v>
          </cell>
          <cell r="BZ111">
            <v>0</v>
          </cell>
          <cell r="CA111">
            <v>0</v>
          </cell>
          <cell r="CB111">
            <v>0</v>
          </cell>
        </row>
        <row r="113">
          <cell r="B113" t="str">
            <v>Days receivable</v>
          </cell>
          <cell r="K113">
            <v>0</v>
          </cell>
          <cell r="L113">
            <v>0</v>
          </cell>
          <cell r="M113">
            <v>0</v>
          </cell>
          <cell r="N113">
            <v>16.692907161927959</v>
          </cell>
          <cell r="O113">
            <v>17.300635647860187</v>
          </cell>
          <cell r="Q113">
            <v>16.650722827056931</v>
          </cell>
          <cell r="R113">
            <v>14.836153801032381</v>
          </cell>
          <cell r="S113">
            <v>14.130627978537866</v>
          </cell>
          <cell r="T113">
            <v>14.849479782281952</v>
          </cell>
          <cell r="U113">
            <v>17.036051943093906</v>
          </cell>
          <cell r="V113">
            <v>18.005873565559853</v>
          </cell>
          <cell r="W113">
            <v>16.674849941356396</v>
          </cell>
          <cell r="X113">
            <v>15.923602073329446</v>
          </cell>
          <cell r="Y113">
            <v>15.923602073329446</v>
          </cell>
          <cell r="Z113">
            <v>15.166413139203737</v>
          </cell>
          <cell r="AA113">
            <v>16.853267694222499</v>
          </cell>
          <cell r="AB113">
            <v>19.06235925536706</v>
          </cell>
          <cell r="AC113">
            <v>16.961245996630691</v>
          </cell>
          <cell r="AD113">
            <v>16.961245996630691</v>
          </cell>
          <cell r="AE113">
            <v>20.910576513466179</v>
          </cell>
          <cell r="AF113">
            <v>19.044025290873378</v>
          </cell>
          <cell r="AG113">
            <v>21.459813021575169</v>
          </cell>
          <cell r="AH113">
            <v>23.596834916104005</v>
          </cell>
          <cell r="AI113">
            <v>23.596834916104005</v>
          </cell>
          <cell r="AJ113">
            <v>23.676789490662749</v>
          </cell>
          <cell r="AK113">
            <v>23.463247538372428</v>
          </cell>
          <cell r="AL113">
            <v>22.757759694466323</v>
          </cell>
          <cell r="AM113">
            <v>22.907933013428952</v>
          </cell>
          <cell r="AN113">
            <v>22.907933013428952</v>
          </cell>
          <cell r="AO113">
            <v>22.072491494958694</v>
          </cell>
          <cell r="AP113">
            <v>24.047181516446699</v>
          </cell>
          <cell r="AQ113">
            <v>25.649190626716884</v>
          </cell>
          <cell r="AR113">
            <v>24.918044486278387</v>
          </cell>
          <cell r="AS113">
            <v>24.918044486278387</v>
          </cell>
          <cell r="AT113">
            <v>22.231341724024027</v>
          </cell>
          <cell r="AU113">
            <v>23.335049630284519</v>
          </cell>
          <cell r="AV113">
            <v>21.321148308865279</v>
          </cell>
          <cell r="AW113">
            <v>22.917246084013325</v>
          </cell>
          <cell r="AX113">
            <v>22.917246084013325</v>
          </cell>
          <cell r="AY113">
            <v>20.834173773366278</v>
          </cell>
          <cell r="AZ113">
            <v>21.578546396465033</v>
          </cell>
          <cell r="BA113">
            <v>22.024396745058151</v>
          </cell>
          <cell r="BB113">
            <v>23.974805377372977</v>
          </cell>
          <cell r="BC113">
            <v>23.974805377372977</v>
          </cell>
          <cell r="BD113">
            <v>22.724035817528026</v>
          </cell>
          <cell r="BE113">
            <v>23.490702237319898</v>
          </cell>
          <cell r="BF113">
            <v>22.947509053970496</v>
          </cell>
          <cell r="BG113">
            <v>23.404792186726489</v>
          </cell>
          <cell r="BH113">
            <v>23.404792186726489</v>
          </cell>
          <cell r="BI113">
            <v>23.404792186726489</v>
          </cell>
          <cell r="BJ113">
            <v>23.404792186726489</v>
          </cell>
          <cell r="BK113">
            <v>23.404792186726489</v>
          </cell>
          <cell r="BL113">
            <v>23.404792186726489</v>
          </cell>
          <cell r="BM113">
            <v>23.404792186726489</v>
          </cell>
          <cell r="BN113">
            <v>23.404792186726489</v>
          </cell>
          <cell r="BO113">
            <v>23.404792186726489</v>
          </cell>
          <cell r="BP113">
            <v>23.404792186726489</v>
          </cell>
          <cell r="BQ113">
            <v>23.404792186726489</v>
          </cell>
          <cell r="BR113">
            <v>23.404792186726489</v>
          </cell>
          <cell r="BS113">
            <v>23.404792186726489</v>
          </cell>
          <cell r="BT113">
            <v>23.404792186726489</v>
          </cell>
          <cell r="BU113">
            <v>23.404792186726489</v>
          </cell>
          <cell r="BV113">
            <v>23.404792186726489</v>
          </cell>
          <cell r="BW113">
            <v>23.404792186726489</v>
          </cell>
          <cell r="BX113">
            <v>23.404792186726489</v>
          </cell>
          <cell r="BY113">
            <v>23.404792186726489</v>
          </cell>
          <cell r="BZ113">
            <v>23.404792186726489</v>
          </cell>
          <cell r="CA113">
            <v>23.404792186726489</v>
          </cell>
          <cell r="CB113">
            <v>23.404792186726489</v>
          </cell>
        </row>
        <row r="114">
          <cell r="B114" t="str">
            <v>Inventory turnaround</v>
          </cell>
          <cell r="N114">
            <v>30.785734449985885</v>
          </cell>
          <cell r="O114">
            <v>29.789874847087606</v>
          </cell>
          <cell r="Q114">
            <v>34.706123771465606</v>
          </cell>
          <cell r="R114">
            <v>29.218640567477774</v>
          </cell>
          <cell r="S114">
            <v>28.313828910499414</v>
          </cell>
          <cell r="T114">
            <v>26.984011867479808</v>
          </cell>
          <cell r="U114">
            <v>27.204873356845148</v>
          </cell>
          <cell r="V114">
            <v>31.363297277135395</v>
          </cell>
          <cell r="W114">
            <v>27.475791047255218</v>
          </cell>
          <cell r="X114">
            <v>25.736698084524171</v>
          </cell>
          <cell r="Y114">
            <v>25.736698084524171</v>
          </cell>
          <cell r="Z114">
            <v>29.365663716814158</v>
          </cell>
          <cell r="AA114">
            <v>25.908718726307807</v>
          </cell>
          <cell r="AB114">
            <v>26.223701731025297</v>
          </cell>
          <cell r="AC114">
            <v>26.786719926658375</v>
          </cell>
          <cell r="AD114">
            <v>26.786719926658375</v>
          </cell>
          <cell r="AE114">
            <v>28.899682905736523</v>
          </cell>
          <cell r="AF114">
            <v>26.125203995038838</v>
          </cell>
          <cell r="AG114">
            <v>24.41266699653637</v>
          </cell>
          <cell r="AH114">
            <v>24.427480916030536</v>
          </cell>
          <cell r="AI114">
            <v>24.427480916030536</v>
          </cell>
          <cell r="AJ114">
            <v>24.357176360225139</v>
          </cell>
          <cell r="AK114">
            <v>26.284697960998539</v>
          </cell>
          <cell r="AL114">
            <v>24.835146138421337</v>
          </cell>
          <cell r="AM114">
            <v>21.813360739979448</v>
          </cell>
          <cell r="AN114">
            <v>21.813360739979448</v>
          </cell>
          <cell r="AO114">
            <v>24.530147432638532</v>
          </cell>
          <cell r="AP114">
            <v>22.662392344497608</v>
          </cell>
          <cell r="AQ114">
            <v>23.899548069022188</v>
          </cell>
          <cell r="AR114">
            <v>25.836143280366283</v>
          </cell>
          <cell r="AS114">
            <v>25.836143280366283</v>
          </cell>
          <cell r="AT114">
            <v>33.15779422296491</v>
          </cell>
          <cell r="AU114">
            <v>37.174993320865617</v>
          </cell>
          <cell r="AV114">
            <v>41.016251677352017</v>
          </cell>
          <cell r="AW114">
            <v>44.248346689488841</v>
          </cell>
          <cell r="AX114">
            <v>44.248346689488841</v>
          </cell>
          <cell r="AY114">
            <v>49.002559181062061</v>
          </cell>
          <cell r="AZ114">
            <v>52.820927631012822</v>
          </cell>
          <cell r="BA114">
            <v>60.898637820512818</v>
          </cell>
          <cell r="BB114">
            <v>62.254243979470978</v>
          </cell>
          <cell r="BC114">
            <v>62.254243979470978</v>
          </cell>
          <cell r="BD114">
            <v>57.537157287157285</v>
          </cell>
          <cell r="BE114">
            <v>76.679951980792325</v>
          </cell>
          <cell r="BF114">
            <v>80.26088059890877</v>
          </cell>
          <cell r="BG114">
            <v>78.892849186901316</v>
          </cell>
          <cell r="BH114">
            <v>78.892849186901316</v>
          </cell>
          <cell r="BI114">
            <v>70</v>
          </cell>
          <cell r="BJ114">
            <v>70</v>
          </cell>
          <cell r="BK114">
            <v>70</v>
          </cell>
          <cell r="BL114">
            <v>70</v>
          </cell>
          <cell r="BM114">
            <v>70</v>
          </cell>
          <cell r="BN114">
            <v>72</v>
          </cell>
          <cell r="BO114">
            <v>72</v>
          </cell>
          <cell r="BP114">
            <v>72</v>
          </cell>
          <cell r="BQ114">
            <v>72</v>
          </cell>
          <cell r="BR114">
            <v>72</v>
          </cell>
          <cell r="BS114">
            <v>72</v>
          </cell>
          <cell r="BT114">
            <v>72</v>
          </cell>
          <cell r="BU114">
            <v>72</v>
          </cell>
          <cell r="BV114">
            <v>72</v>
          </cell>
          <cell r="BW114">
            <v>72</v>
          </cell>
          <cell r="BX114">
            <v>72</v>
          </cell>
          <cell r="BY114">
            <v>72</v>
          </cell>
          <cell r="BZ114">
            <v>72</v>
          </cell>
          <cell r="CA114">
            <v>72</v>
          </cell>
          <cell r="CB114">
            <v>72</v>
          </cell>
        </row>
        <row r="115">
          <cell r="B115" t="str">
            <v>Mail/Specialty Inventory days</v>
          </cell>
          <cell r="T115">
            <v>42.614695027589448</v>
          </cell>
          <cell r="U115">
            <v>38.69725361030914</v>
          </cell>
          <cell r="V115">
            <v>31.91627336450599</v>
          </cell>
          <cell r="W115">
            <v>35.182168718710372</v>
          </cell>
          <cell r="X115">
            <v>38.218448211936767</v>
          </cell>
          <cell r="Y115">
            <v>39.129049101601218</v>
          </cell>
          <cell r="Z115">
            <v>29.139244294719813</v>
          </cell>
          <cell r="AA115">
            <v>33.57600599993502</v>
          </cell>
          <cell r="AB115">
            <v>32.082485404639634</v>
          </cell>
          <cell r="AC115">
            <v>29.922888038782812</v>
          </cell>
          <cell r="AD115">
            <v>8.918258901965066</v>
          </cell>
          <cell r="AE115">
            <v>28.769208154870782</v>
          </cell>
          <cell r="AF115">
            <v>31.90826205654075</v>
          </cell>
          <cell r="AG115">
            <v>33.452972202796794</v>
          </cell>
          <cell r="AH115">
            <v>34.637244595665429</v>
          </cell>
          <cell r="AI115">
            <v>34.755485963347837</v>
          </cell>
          <cell r="AJ115">
            <v>33.952681413762619</v>
          </cell>
          <cell r="AK115">
            <v>30.798958269670305</v>
          </cell>
          <cell r="AL115">
            <v>32.269458315872662</v>
          </cell>
          <cell r="AM115">
            <v>36.267131130152649</v>
          </cell>
          <cell r="AN115">
            <v>37.785294079149871</v>
          </cell>
          <cell r="AO115">
            <v>31.43365702079382</v>
          </cell>
          <cell r="AP115">
            <v>32.978227087491575</v>
          </cell>
          <cell r="AQ115">
            <v>30.672293380547348</v>
          </cell>
          <cell r="AR115">
            <v>28.15586118987061</v>
          </cell>
          <cell r="AS115">
            <v>29.079155599435733</v>
          </cell>
          <cell r="AT115">
            <v>25.575219876205569</v>
          </cell>
          <cell r="AU115">
            <v>22.519520539394623</v>
          </cell>
          <cell r="AV115">
            <v>20.277516829983089</v>
          </cell>
          <cell r="AW115">
            <v>18.898793003172056</v>
          </cell>
          <cell r="AX115">
            <v>19.315997338063831</v>
          </cell>
          <cell r="AY115">
            <v>17.199607808551729</v>
          </cell>
          <cell r="AZ115">
            <v>15.693028687845819</v>
          </cell>
          <cell r="BA115">
            <v>13.521321759356759</v>
          </cell>
          <cell r="BB115">
            <v>13.316619272333122</v>
          </cell>
          <cell r="BC115">
            <v>13.660710666341844</v>
          </cell>
          <cell r="BD115">
            <v>14.238389424994631</v>
          </cell>
          <cell r="BE115">
            <v>10.53237890351906</v>
          </cell>
          <cell r="BF115">
            <v>9.8523857728635029</v>
          </cell>
          <cell r="BG115">
            <v>9.971707685531511</v>
          </cell>
          <cell r="BH115">
            <v>10.9826348671362</v>
          </cell>
          <cell r="BI115">
            <v>11.162467988720653</v>
          </cell>
          <cell r="BJ115">
            <v>11.260621029752635</v>
          </cell>
          <cell r="BK115">
            <v>11.217229479889976</v>
          </cell>
          <cell r="BL115">
            <v>11.690505073792002</v>
          </cell>
          <cell r="BM115">
            <v>11.717412681430154</v>
          </cell>
          <cell r="BN115">
            <v>9.722587653143389</v>
          </cell>
          <cell r="BO115">
            <v>9.7805361641614201</v>
          </cell>
          <cell r="BP115">
            <v>9.6527036780002646</v>
          </cell>
          <cell r="BQ115">
            <v>9.9021384347948906</v>
          </cell>
          <cell r="BR115">
            <v>9.8030038137963427</v>
          </cell>
          <cell r="BS115">
            <v>9.5785298822046236</v>
          </cell>
          <cell r="BT115">
            <v>9.6647967943880335</v>
          </cell>
          <cell r="BU115">
            <v>9.5614599650134977</v>
          </cell>
          <cell r="BV115">
            <v>9.8517709658392256</v>
          </cell>
          <cell r="BW115">
            <v>9.5405553824153557</v>
          </cell>
          <cell r="BX115">
            <v>9.4536323920557326</v>
          </cell>
          <cell r="BY115">
            <v>9.502326013386174</v>
          </cell>
          <cell r="BZ115">
            <v>9.3459879807385402</v>
          </cell>
          <cell r="CA115">
            <v>9.6340225022688486</v>
          </cell>
          <cell r="CB115">
            <v>9.4878844403298945</v>
          </cell>
        </row>
        <row r="116">
          <cell r="B116" t="str">
            <v>Days Payable</v>
          </cell>
          <cell r="N116">
            <v>19.170421200635772</v>
          </cell>
          <cell r="O116">
            <v>19.811278140863042</v>
          </cell>
          <cell r="Q116">
            <v>18.79043952897829</v>
          </cell>
          <cell r="R116">
            <v>23.572991444586485</v>
          </cell>
          <cell r="S116">
            <v>21.122744207707537</v>
          </cell>
          <cell r="T116">
            <v>22.16370821931196</v>
          </cell>
          <cell r="U116">
            <v>23.385689200018852</v>
          </cell>
          <cell r="V116">
            <v>20.384610810489384</v>
          </cell>
          <cell r="W116">
            <v>23.925419240953214</v>
          </cell>
          <cell r="X116">
            <v>23.307299050184294</v>
          </cell>
          <cell r="Y116">
            <v>23.307299050184294</v>
          </cell>
          <cell r="Z116">
            <v>23.87340581981244</v>
          </cell>
          <cell r="AA116">
            <v>23.222107123627595</v>
          </cell>
          <cell r="AB116">
            <v>25.642214774945558</v>
          </cell>
          <cell r="AC116">
            <v>23.900870287977313</v>
          </cell>
          <cell r="AD116">
            <v>23.900870287977313</v>
          </cell>
          <cell r="AE116">
            <v>23.433937139038235</v>
          </cell>
          <cell r="AF116">
            <v>23.931316402306777</v>
          </cell>
          <cell r="AG116">
            <v>25.046680550488468</v>
          </cell>
          <cell r="AH116">
            <v>25.701489257812497</v>
          </cell>
          <cell r="AI116">
            <v>25.701489257812497</v>
          </cell>
          <cell r="AJ116">
            <v>20.424698389162231</v>
          </cell>
          <cell r="AK116">
            <v>22.745903818269696</v>
          </cell>
          <cell r="AL116">
            <v>19.448829493628768</v>
          </cell>
          <cell r="AM116">
            <v>24.186985262245337</v>
          </cell>
          <cell r="AN116">
            <v>24.186985262245337</v>
          </cell>
          <cell r="AO116">
            <v>18.514459863877907</v>
          </cell>
          <cell r="AP116">
            <v>21.669861752708783</v>
          </cell>
          <cell r="AQ116">
            <v>17.047953035421124</v>
          </cell>
          <cell r="AR116">
            <v>21.907701064113684</v>
          </cell>
          <cell r="AS116">
            <v>21.907701064113684</v>
          </cell>
          <cell r="AT116">
            <v>18.327126740485824</v>
          </cell>
          <cell r="AU116">
            <v>23.103341094965</v>
          </cell>
          <cell r="AV116">
            <v>18.368351411870766</v>
          </cell>
          <cell r="AW116">
            <v>22.503639726827071</v>
          </cell>
          <cell r="AX116">
            <v>22.503639726827071</v>
          </cell>
          <cell r="AY116">
            <v>16.914209894112886</v>
          </cell>
          <cell r="AZ116">
            <v>18.780048938471765</v>
          </cell>
          <cell r="BA116">
            <v>17.027394196167183</v>
          </cell>
          <cell r="BB116">
            <v>20.226726488680324</v>
          </cell>
          <cell r="BC116">
            <v>20.226726488680324</v>
          </cell>
          <cell r="BD116">
            <v>16.990408669972975</v>
          </cell>
          <cell r="BE116">
            <v>19.341895970842781</v>
          </cell>
          <cell r="BF116">
            <v>17.083335968229477</v>
          </cell>
          <cell r="BG116">
            <v>17.394571509247495</v>
          </cell>
          <cell r="BH116">
            <v>17.394571509247495</v>
          </cell>
          <cell r="BI116">
            <v>19</v>
          </cell>
          <cell r="BJ116">
            <v>19</v>
          </cell>
          <cell r="BK116">
            <v>19</v>
          </cell>
          <cell r="BL116">
            <v>19</v>
          </cell>
          <cell r="BM116">
            <v>19</v>
          </cell>
          <cell r="BN116">
            <v>20</v>
          </cell>
          <cell r="BO116">
            <v>20</v>
          </cell>
          <cell r="BP116">
            <v>20</v>
          </cell>
          <cell r="BQ116">
            <v>20</v>
          </cell>
          <cell r="BR116">
            <v>20</v>
          </cell>
          <cell r="BS116">
            <v>20</v>
          </cell>
          <cell r="BT116">
            <v>20</v>
          </cell>
          <cell r="BU116">
            <v>20</v>
          </cell>
          <cell r="BV116">
            <v>20</v>
          </cell>
          <cell r="BW116">
            <v>20</v>
          </cell>
          <cell r="BX116">
            <v>20</v>
          </cell>
          <cell r="BY116">
            <v>20</v>
          </cell>
          <cell r="BZ116">
            <v>20</v>
          </cell>
          <cell r="CA116">
            <v>20</v>
          </cell>
          <cell r="CB116">
            <v>20</v>
          </cell>
        </row>
        <row r="117">
          <cell r="B117" t="str">
            <v>Debt to equity</v>
          </cell>
          <cell r="N117">
            <v>0</v>
          </cell>
          <cell r="O117">
            <v>0</v>
          </cell>
          <cell r="Q117">
            <v>0</v>
          </cell>
          <cell r="R117">
            <v>0.28216270843860536</v>
          </cell>
          <cell r="S117">
            <v>0.27482283464566926</v>
          </cell>
          <cell r="T117">
            <v>0.27482283464566926</v>
          </cell>
          <cell r="U117">
            <v>0.24945169110008081</v>
          </cell>
          <cell r="V117">
            <v>0.2383027650538731</v>
          </cell>
          <cell r="W117">
            <v>0.23080545543460543</v>
          </cell>
          <cell r="X117">
            <v>0.20857082910794841</v>
          </cell>
          <cell r="Y117">
            <v>0.20857082910794841</v>
          </cell>
          <cell r="Z117">
            <v>0.16625071667060132</v>
          </cell>
          <cell r="AA117">
            <v>0.15784112406422302</v>
          </cell>
          <cell r="AB117">
            <v>0.21838323585234534</v>
          </cell>
          <cell r="AC117">
            <v>0.1902332927681831</v>
          </cell>
          <cell r="AD117">
            <v>0.1902332927681831</v>
          </cell>
          <cell r="AE117">
            <v>0.18815244838986797</v>
          </cell>
          <cell r="AF117">
            <v>0.19358656907295041</v>
          </cell>
          <cell r="AG117">
            <v>0.18690635473657718</v>
          </cell>
          <cell r="AH117">
            <v>0.16881455320850269</v>
          </cell>
          <cell r="AI117">
            <v>0.16881455320850269</v>
          </cell>
          <cell r="AJ117">
            <v>0.21255715400914466</v>
          </cell>
          <cell r="AK117">
            <v>0.30585711977200269</v>
          </cell>
          <cell r="AL117">
            <v>0.31631154119909732</v>
          </cell>
          <cell r="AM117">
            <v>0.50825418527191546</v>
          </cell>
          <cell r="AN117">
            <v>0.50825418527191546</v>
          </cell>
          <cell r="AO117">
            <v>0.67857027175849449</v>
          </cell>
          <cell r="AP117">
            <v>0.78773402412151583</v>
          </cell>
          <cell r="AQ117">
            <v>0.77663160390941277</v>
          </cell>
          <cell r="AR117">
            <v>0.77257087228721522</v>
          </cell>
          <cell r="AS117">
            <v>0.77257087228721522</v>
          </cell>
          <cell r="AT117">
            <v>0.75839789022581183</v>
          </cell>
          <cell r="AU117">
            <v>0.81315520101655425</v>
          </cell>
          <cell r="AV117">
            <v>0.683321433207841</v>
          </cell>
          <cell r="AW117">
            <v>0.62874185871743493</v>
          </cell>
          <cell r="AX117">
            <v>0.62874185871743493</v>
          </cell>
          <cell r="AY117">
            <v>0.7273615104986163</v>
          </cell>
          <cell r="AZ117">
            <v>0.8169857673644243</v>
          </cell>
          <cell r="BA117">
            <v>1.1278850471486301</v>
          </cell>
          <cell r="BB117">
            <v>1.2609611718671614</v>
          </cell>
          <cell r="BC117">
            <v>1.2609611718671614</v>
          </cell>
          <cell r="BD117">
            <v>1.3978150886751544</v>
          </cell>
          <cell r="BE117">
            <v>1.4621973172289644</v>
          </cell>
          <cell r="BF117">
            <v>1.4191640378548891</v>
          </cell>
          <cell r="BG117">
            <v>1.2581184217089838</v>
          </cell>
          <cell r="BH117">
            <v>1.258118421708984</v>
          </cell>
          <cell r="BI117">
            <v>1.1616307741614265</v>
          </cell>
          <cell r="BJ117">
            <v>1.074220381168008</v>
          </cell>
          <cell r="BK117">
            <v>1.6363104902733161</v>
          </cell>
          <cell r="BL117">
            <v>1.6269862207305357</v>
          </cell>
          <cell r="BM117">
            <v>1.6269862207305357</v>
          </cell>
          <cell r="BN117">
            <v>1.9761260685566551</v>
          </cell>
          <cell r="BO117">
            <v>2.0917117363408493</v>
          </cell>
          <cell r="BP117">
            <v>1.8665281242560794</v>
          </cell>
          <cell r="BQ117">
            <v>1.6879044096980433</v>
          </cell>
          <cell r="BR117">
            <v>1.6879044096980433</v>
          </cell>
          <cell r="BS117">
            <v>2.3278018239058915</v>
          </cell>
          <cell r="BT117">
            <v>2.3683568194492621</v>
          </cell>
          <cell r="BU117">
            <v>2.2368132648257681</v>
          </cell>
          <cell r="BV117">
            <v>2.0167653763060907</v>
          </cell>
          <cell r="BW117">
            <v>2.0167653763060907</v>
          </cell>
          <cell r="BX117">
            <v>2.6471915598453535</v>
          </cell>
          <cell r="BY117">
            <v>2.7021450880781908</v>
          </cell>
          <cell r="BZ117">
            <v>2.6348970436287846</v>
          </cell>
          <cell r="CA117">
            <v>2.3943509055830332</v>
          </cell>
          <cell r="CB117">
            <v>2.3943509055830332</v>
          </cell>
        </row>
        <row r="118">
          <cell r="B118" t="str">
            <v>Debt to total capitalization</v>
          </cell>
          <cell r="N118">
            <v>0</v>
          </cell>
          <cell r="O118">
            <v>0</v>
          </cell>
          <cell r="Q118">
            <v>0</v>
          </cell>
          <cell r="R118">
            <v>0.22006778592259793</v>
          </cell>
          <cell r="S118">
            <v>0.21557727644724445</v>
          </cell>
          <cell r="T118">
            <v>0.21557727644724445</v>
          </cell>
          <cell r="U118">
            <v>0.19964892830746489</v>
          </cell>
          <cell r="V118">
            <v>0.19244305332993875</v>
          </cell>
          <cell r="W118">
            <v>0.18752391323542397</v>
          </cell>
          <cell r="X118">
            <v>0.17257642174095456</v>
          </cell>
          <cell r="Y118">
            <v>0.17257642174095456</v>
          </cell>
          <cell r="Z118">
            <v>0.14255143794913316</v>
          </cell>
          <cell r="AA118">
            <v>0.13632364646901926</v>
          </cell>
          <cell r="AB118">
            <v>0.17924018439039899</v>
          </cell>
          <cell r="AC118">
            <v>0.15982857640097459</v>
          </cell>
          <cell r="AD118">
            <v>0.15982857640097459</v>
          </cell>
          <cell r="AE118">
            <v>0.15835716085494239</v>
          </cell>
          <cell r="AF118">
            <v>0.16218896399220345</v>
          </cell>
          <cell r="AG118">
            <v>0.15747354792624671</v>
          </cell>
          <cell r="AH118">
            <v>0.14443228204601946</v>
          </cell>
          <cell r="AI118">
            <v>0.14443228204601946</v>
          </cell>
          <cell r="AJ118">
            <v>0.17529660627241792</v>
          </cell>
          <cell r="AK118">
            <v>0.23421943728836433</v>
          </cell>
          <cell r="AL118">
            <v>0.24030142659917159</v>
          </cell>
          <cell r="AM118">
            <v>0.33698178346528834</v>
          </cell>
          <cell r="AN118">
            <v>0.33698178346528834</v>
          </cell>
          <cell r="AO118">
            <v>0.4042549085821795</v>
          </cell>
          <cell r="AP118">
            <v>0.44063267437593495</v>
          </cell>
          <cell r="AQ118">
            <v>0.43713710946065765</v>
          </cell>
          <cell r="AR118">
            <v>0.43584766305582912</v>
          </cell>
          <cell r="AS118">
            <v>0.43584766305582912</v>
          </cell>
          <cell r="AT118">
            <v>0.43130050055304553</v>
          </cell>
          <cell r="AU118">
            <v>0.44847523287617896</v>
          </cell>
          <cell r="AV118">
            <v>0.40593639439715423</v>
          </cell>
          <cell r="AW118">
            <v>0.38602916438369334</v>
          </cell>
          <cell r="AX118">
            <v>0.38602916438369334</v>
          </cell>
          <cell r="AY118">
            <v>0.42108238841599394</v>
          </cell>
          <cell r="AZ118">
            <v>0.44963795646538235</v>
          </cell>
          <cell r="BA118">
            <v>0.53004980163754534</v>
          </cell>
          <cell r="BB118">
            <v>0.55771022853339247</v>
          </cell>
          <cell r="BC118">
            <v>0.55771022853339247</v>
          </cell>
          <cell r="BD118">
            <v>0.58295366280619998</v>
          </cell>
          <cell r="BE118">
            <v>0.5938587078287324</v>
          </cell>
          <cell r="BF118">
            <v>0.58663406682966579</v>
          </cell>
          <cell r="BG118">
            <v>0.55715342898483489</v>
          </cell>
          <cell r="BH118">
            <v>0.55715342898483489</v>
          </cell>
          <cell r="BI118">
            <v>0.53738630484295558</v>
          </cell>
          <cell r="BJ118">
            <v>0.51789115125901275</v>
          </cell>
          <cell r="BK118">
            <v>0.6206820085534287</v>
          </cell>
          <cell r="BL118">
            <v>0.61933565082731534</v>
          </cell>
          <cell r="BM118">
            <v>0.61933565082731534</v>
          </cell>
          <cell r="BN118">
            <v>0.6639927284784094</v>
          </cell>
          <cell r="BO118">
            <v>0.67655458034922245</v>
          </cell>
          <cell r="BP118">
            <v>0.65114593101732787</v>
          </cell>
          <cell r="BQ118">
            <v>0.62796296014398101</v>
          </cell>
          <cell r="BR118">
            <v>0.62796296014398101</v>
          </cell>
          <cell r="BS118">
            <v>0.69950133664321246</v>
          </cell>
          <cell r="BT118">
            <v>0.70311933871557486</v>
          </cell>
          <cell r="BU118">
            <v>0.69105415784502222</v>
          </cell>
          <cell r="BV118">
            <v>0.66851913381992589</v>
          </cell>
          <cell r="BW118">
            <v>0.66851913381992589</v>
          </cell>
          <cell r="BX118">
            <v>0.72581643064495316</v>
          </cell>
          <cell r="BY118">
            <v>0.72988632908519879</v>
          </cell>
          <cell r="BZ118">
            <v>0.72488904417449973</v>
          </cell>
          <cell r="CA118">
            <v>0.70539286366792586</v>
          </cell>
          <cell r="CB118">
            <v>0.70539286366792586</v>
          </cell>
        </row>
        <row r="120">
          <cell r="B120" t="str">
            <v>CASH FLOW STATEMENT</v>
          </cell>
          <cell r="F120" t="str">
            <v xml:space="preserve">Fiscal Year End, December 31 2001 </v>
          </cell>
          <cell r="K120" t="str">
            <v>Fiscal Year End, December 31 2002</v>
          </cell>
          <cell r="P120" t="str">
            <v>Fiscal Year End, Dec 31 2003</v>
          </cell>
          <cell r="U120" t="str">
            <v>Fiscal Year End, Dec 31 2004</v>
          </cell>
          <cell r="Z120" t="str">
            <v xml:space="preserve">Fiscal Year End, Dec 31 2005 </v>
          </cell>
          <cell r="AE120" t="str">
            <v xml:space="preserve">Fiscal Year End, Dec 31 2006 </v>
          </cell>
          <cell r="AJ120" t="str">
            <v xml:space="preserve">Fiscal Year End, Dec 31 2007 </v>
          </cell>
          <cell r="AO120" t="str">
            <v>Fiscal Year End, Dec 31 2008</v>
          </cell>
          <cell r="AT120" t="str">
            <v>Fiscal Year End, Dec 31 2009</v>
          </cell>
          <cell r="AY120" t="str">
            <v>Fiscal Year End, Dec 31 2010</v>
          </cell>
          <cell r="BD120" t="str">
            <v>Fiscal Year End, Dec 31 2011</v>
          </cell>
          <cell r="BI120" t="str">
            <v>Fiscal Year End, Dec 31 2012</v>
          </cell>
          <cell r="BN120" t="str">
            <v>Fiscal Year End, Dec 31 2013</v>
          </cell>
          <cell r="BS120" t="str">
            <v>Fiscal Year End, Dec 31 2014</v>
          </cell>
          <cell r="BX120" t="str">
            <v>Fiscal Year End, Dec 31 2015</v>
          </cell>
        </row>
        <row r="121">
          <cell r="B121" t="str">
            <v>(In millions, except per share data)</v>
          </cell>
          <cell r="D121" t="str">
            <v>1999A</v>
          </cell>
          <cell r="E121" t="str">
            <v>2000A</v>
          </cell>
          <cell r="F121" t="str">
            <v>1QA</v>
          </cell>
          <cell r="G121" t="str">
            <v>2QA</v>
          </cell>
          <cell r="H121" t="str">
            <v>3QA</v>
          </cell>
          <cell r="I121" t="str">
            <v>4QA</v>
          </cell>
          <cell r="J121">
            <v>2001</v>
          </cell>
          <cell r="K121" t="str">
            <v>1QA</v>
          </cell>
          <cell r="L121" t="str">
            <v>2QA</v>
          </cell>
          <cell r="M121" t="str">
            <v>3QA</v>
          </cell>
          <cell r="N121" t="str">
            <v>4QA</v>
          </cell>
          <cell r="O121" t="str">
            <v>2002A</v>
          </cell>
          <cell r="P121" t="str">
            <v>1QA</v>
          </cell>
          <cell r="Q121" t="str">
            <v>2QA</v>
          </cell>
          <cell r="R121" t="str">
            <v>3QA</v>
          </cell>
          <cell r="S121" t="str">
            <v>4QA</v>
          </cell>
          <cell r="T121" t="str">
            <v>2003A</v>
          </cell>
          <cell r="U121" t="str">
            <v>1QA</v>
          </cell>
          <cell r="V121" t="str">
            <v>2QA</v>
          </cell>
          <cell r="W121" t="str">
            <v>3QA</v>
          </cell>
          <cell r="X121" t="str">
            <v>4QA</v>
          </cell>
          <cell r="Y121" t="str">
            <v>2004A</v>
          </cell>
          <cell r="Z121" t="str">
            <v>1QA</v>
          </cell>
          <cell r="AA121" t="str">
            <v>2QA</v>
          </cell>
          <cell r="AB121" t="str">
            <v>3QA</v>
          </cell>
          <cell r="AC121" t="str">
            <v>4QA</v>
          </cell>
          <cell r="AD121" t="str">
            <v>2005A</v>
          </cell>
          <cell r="AE121" t="str">
            <v>1QA</v>
          </cell>
          <cell r="AF121" t="str">
            <v>2QA</v>
          </cell>
          <cell r="AG121" t="str">
            <v>3QA</v>
          </cell>
          <cell r="AH121" t="str">
            <v>4QA</v>
          </cell>
          <cell r="AI121" t="str">
            <v>2006A</v>
          </cell>
          <cell r="AJ121" t="str">
            <v>1QA</v>
          </cell>
          <cell r="AK121" t="str">
            <v>2QA</v>
          </cell>
          <cell r="AL121" t="str">
            <v>3QA</v>
          </cell>
          <cell r="AM121" t="str">
            <v>4QA</v>
          </cell>
          <cell r="AN121" t="str">
            <v>2007A</v>
          </cell>
          <cell r="AO121" t="str">
            <v>1QA</v>
          </cell>
          <cell r="AP121" t="str">
            <v>2QA</v>
          </cell>
          <cell r="AQ121" t="str">
            <v>3QA</v>
          </cell>
          <cell r="AR121" t="str">
            <v>4QA</v>
          </cell>
          <cell r="AS121" t="str">
            <v>2008A</v>
          </cell>
          <cell r="AT121" t="str">
            <v>1QA</v>
          </cell>
          <cell r="AU121" t="str">
            <v>2QA</v>
          </cell>
          <cell r="AV121" t="str">
            <v>3QA</v>
          </cell>
          <cell r="AW121" t="str">
            <v>4QA</v>
          </cell>
          <cell r="AX121" t="str">
            <v>2009A</v>
          </cell>
          <cell r="AY121" t="str">
            <v>1QA</v>
          </cell>
          <cell r="AZ121" t="str">
            <v>2QA</v>
          </cell>
          <cell r="BA121" t="str">
            <v>3QA</v>
          </cell>
          <cell r="BB121" t="str">
            <v>4QA</v>
          </cell>
          <cell r="BC121" t="str">
            <v>2010A</v>
          </cell>
          <cell r="BD121" t="str">
            <v>1QA</v>
          </cell>
          <cell r="BE121" t="str">
            <v>2QA</v>
          </cell>
          <cell r="BF121" t="str">
            <v>3QA</v>
          </cell>
          <cell r="BG121" t="str">
            <v>4QA</v>
          </cell>
          <cell r="BH121" t="str">
            <v>2011A</v>
          </cell>
          <cell r="BI121" t="str">
            <v>1QE</v>
          </cell>
          <cell r="BJ121" t="str">
            <v>2QE</v>
          </cell>
          <cell r="BK121" t="str">
            <v>3QE</v>
          </cell>
          <cell r="BL121" t="str">
            <v>4QE</v>
          </cell>
          <cell r="BM121" t="str">
            <v>2012E</v>
          </cell>
          <cell r="BN121" t="str">
            <v>1QE</v>
          </cell>
          <cell r="BO121" t="str">
            <v>2QE</v>
          </cell>
          <cell r="BP121" t="str">
            <v>3QE</v>
          </cell>
          <cell r="BQ121" t="str">
            <v>4QE</v>
          </cell>
          <cell r="BR121" t="str">
            <v>2013E</v>
          </cell>
          <cell r="BS121" t="str">
            <v>1QE</v>
          </cell>
          <cell r="BT121" t="str">
            <v>2QE</v>
          </cell>
          <cell r="BU121" t="str">
            <v>3QE</v>
          </cell>
          <cell r="BV121" t="str">
            <v>4QE</v>
          </cell>
          <cell r="BW121" t="str">
            <v>2014E</v>
          </cell>
          <cell r="BX121" t="str">
            <v>1QE</v>
          </cell>
          <cell r="BY121" t="str">
            <v>2QE</v>
          </cell>
          <cell r="BZ121" t="str">
            <v>3QE</v>
          </cell>
          <cell r="CA121" t="str">
            <v>4QE</v>
          </cell>
          <cell r="CB121" t="str">
            <v>2015E</v>
          </cell>
        </row>
        <row r="122">
          <cell r="B122" t="str">
            <v>Net income</v>
          </cell>
          <cell r="D122">
            <v>152.00000000000216</v>
          </cell>
          <cell r="E122">
            <v>216.79999999999853</v>
          </cell>
          <cell r="F122">
            <v>0</v>
          </cell>
          <cell r="G122">
            <v>0</v>
          </cell>
          <cell r="H122">
            <v>0</v>
          </cell>
          <cell r="I122">
            <v>0</v>
          </cell>
          <cell r="J122">
            <v>256.60000000000508</v>
          </cell>
          <cell r="K122">
            <v>59.600000000000186</v>
          </cell>
          <cell r="L122">
            <v>104.59999999999891</v>
          </cell>
          <cell r="M122">
            <v>90.200000000000372</v>
          </cell>
          <cell r="N122">
            <v>107.20000000000037</v>
          </cell>
          <cell r="O122">
            <v>361.59999999999928</v>
          </cell>
          <cell r="P122">
            <v>102</v>
          </cell>
          <cell r="Q122">
            <v>105.19999999999966</v>
          </cell>
          <cell r="R122">
            <v>100.30000000000018</v>
          </cell>
          <cell r="S122">
            <v>118.30000000000149</v>
          </cell>
          <cell r="T122">
            <v>425.80000000000132</v>
          </cell>
          <cell r="U122">
            <v>103.5999999999989</v>
          </cell>
          <cell r="V122">
            <v>127.30000000000071</v>
          </cell>
          <cell r="W122">
            <v>118.09999999999708</v>
          </cell>
          <cell r="X122">
            <v>132.59999999999962</v>
          </cell>
          <cell r="Y122">
            <v>481.59999999999627</v>
          </cell>
          <cell r="Z122">
            <v>131.20000000000005</v>
          </cell>
          <cell r="AA122">
            <v>137.40000000000111</v>
          </cell>
          <cell r="AB122">
            <v>156.70000000000221</v>
          </cell>
          <cell r="AC122">
            <v>176.79999999999964</v>
          </cell>
          <cell r="AD122">
            <v>602.10000000000298</v>
          </cell>
          <cell r="AE122">
            <v>44.800000000000757</v>
          </cell>
          <cell r="AF122">
            <v>170.89999999999995</v>
          </cell>
          <cell r="AG122">
            <v>185.79999999999819</v>
          </cell>
          <cell r="AH122">
            <v>228.80000000000069</v>
          </cell>
          <cell r="AI122">
            <v>630.29999999999961</v>
          </cell>
          <cell r="AJ122">
            <v>274.79999999999893</v>
          </cell>
          <cell r="AK122">
            <v>214.90000000000038</v>
          </cell>
          <cell r="AL122">
            <v>214.70000000000107</v>
          </cell>
          <cell r="AM122">
            <v>207.59999999999891</v>
          </cell>
          <cell r="AN122">
            <v>911.9999999999992</v>
          </cell>
          <cell r="AO122">
            <v>270.20000000000073</v>
          </cell>
          <cell r="AP122">
            <v>262.7</v>
          </cell>
          <cell r="AQ122">
            <v>295.69999999999743</v>
          </cell>
          <cell r="AR122">
            <v>274.39999999999856</v>
          </cell>
          <cell r="AS122">
            <v>1102.9999999999968</v>
          </cell>
          <cell r="AT122">
            <v>291.0000000000004</v>
          </cell>
          <cell r="AU122">
            <v>312.19999999999925</v>
          </cell>
          <cell r="AV122">
            <v>335.6</v>
          </cell>
          <cell r="AW122">
            <v>341.5000000000004</v>
          </cell>
          <cell r="AX122">
            <v>1280.3</v>
          </cell>
          <cell r="AY122">
            <v>320.49999999999892</v>
          </cell>
          <cell r="AZ122">
            <v>356.90000000000072</v>
          </cell>
          <cell r="BA122">
            <v>371.5</v>
          </cell>
          <cell r="BB122">
            <v>378.50000000000074</v>
          </cell>
          <cell r="BC122">
            <v>1427.4000000000003</v>
          </cell>
          <cell r="BD122">
            <v>333.09999999999917</v>
          </cell>
          <cell r="BE122">
            <v>342.79999999999967</v>
          </cell>
          <cell r="BF122">
            <v>355.40000000000032</v>
          </cell>
          <cell r="BG122">
            <v>424.40000000000072</v>
          </cell>
          <cell r="BH122">
            <v>1455.7</v>
          </cell>
          <cell r="BI122">
            <v>322.35507392397653</v>
          </cell>
          <cell r="BJ122">
            <v>352.94472159492216</v>
          </cell>
          <cell r="BK122">
            <v>391.06121066969007</v>
          </cell>
          <cell r="BL122">
            <v>417.93452476676424</v>
          </cell>
          <cell r="BM122">
            <v>1484.2955309553529</v>
          </cell>
          <cell r="BN122">
            <v>353.61158679176611</v>
          </cell>
          <cell r="BO122">
            <v>359.42986829982544</v>
          </cell>
          <cell r="BP122">
            <v>390.57034866390029</v>
          </cell>
          <cell r="BQ122">
            <v>385.68149514874028</v>
          </cell>
          <cell r="BR122">
            <v>1489.293298904232</v>
          </cell>
          <cell r="BS122">
            <v>380.1248631914446</v>
          </cell>
          <cell r="BT122">
            <v>388.08619315149554</v>
          </cell>
          <cell r="BU122">
            <v>425.17267099315006</v>
          </cell>
          <cell r="BV122">
            <v>420.79447034637127</v>
          </cell>
          <cell r="BW122">
            <v>1614.1781976824614</v>
          </cell>
          <cell r="BX122">
            <v>405.41534556518098</v>
          </cell>
          <cell r="BY122">
            <v>411.41820266579634</v>
          </cell>
          <cell r="BZ122">
            <v>447.68702210855889</v>
          </cell>
          <cell r="CA122">
            <v>442.1811325764416</v>
          </cell>
          <cell r="CB122">
            <v>1706.7017029159779</v>
          </cell>
          <cell r="CI122" t="str">
            <v>mstag:netIncomeReported</v>
          </cell>
          <cell r="CJ122">
            <v>6</v>
          </cell>
          <cell r="CK122" t="str">
            <v>ISO4217:USD</v>
          </cell>
          <cell r="CL122" t="b">
            <v>0</v>
          </cell>
        </row>
        <row r="123">
          <cell r="B123" t="str">
            <v>Depreciation and amortization</v>
          </cell>
          <cell r="D123">
            <v>263.5</v>
          </cell>
          <cell r="E123">
            <v>289.20000000000005</v>
          </cell>
          <cell r="J123">
            <v>322.89999999999998</v>
          </cell>
          <cell r="K123">
            <v>0</v>
          </cell>
          <cell r="L123">
            <v>0</v>
          </cell>
          <cell r="M123">
            <v>63.2</v>
          </cell>
          <cell r="N123">
            <v>0</v>
          </cell>
          <cell r="O123">
            <v>257.39999999999998</v>
          </cell>
          <cell r="P123">
            <v>69.7</v>
          </cell>
          <cell r="Q123">
            <v>69.40000000000002</v>
          </cell>
          <cell r="R123">
            <v>70.699999999999974</v>
          </cell>
          <cell r="S123">
            <v>73.499999999999986</v>
          </cell>
          <cell r="T123">
            <v>283.3</v>
          </cell>
          <cell r="U123">
            <v>107.2</v>
          </cell>
          <cell r="V123">
            <v>94.600000000000009</v>
          </cell>
          <cell r="W123">
            <v>90.599999999999952</v>
          </cell>
          <cell r="X123">
            <v>84.90000000000002</v>
          </cell>
          <cell r="Y123">
            <v>377.29999999999995</v>
          </cell>
          <cell r="Z123">
            <v>86.4</v>
          </cell>
          <cell r="AA123">
            <v>84.4</v>
          </cell>
          <cell r="AB123">
            <v>88.699999999999989</v>
          </cell>
          <cell r="AC123">
            <v>98.1</v>
          </cell>
          <cell r="AD123">
            <v>357.6</v>
          </cell>
          <cell r="AE123">
            <v>104.2</v>
          </cell>
          <cell r="AF123">
            <v>95.999999999999986</v>
          </cell>
          <cell r="AG123">
            <v>96.90000000000002</v>
          </cell>
          <cell r="AH123">
            <v>94.999999999999986</v>
          </cell>
          <cell r="AI123">
            <v>392.09999999999997</v>
          </cell>
          <cell r="AJ123">
            <v>96.1</v>
          </cell>
          <cell r="AK123">
            <v>98.6</v>
          </cell>
          <cell r="AL123">
            <v>93.700000000000017</v>
          </cell>
          <cell r="AM123">
            <v>108.60000000000002</v>
          </cell>
          <cell r="AN123">
            <v>397</v>
          </cell>
          <cell r="AO123">
            <v>109.6</v>
          </cell>
          <cell r="AP123">
            <v>109.5</v>
          </cell>
          <cell r="AQ123">
            <v>109.79999999999998</v>
          </cell>
          <cell r="AR123">
            <v>113.90000000000003</v>
          </cell>
          <cell r="AS123">
            <v>442.80000000000007</v>
          </cell>
          <cell r="AT123">
            <v>119.10000000000001</v>
          </cell>
          <cell r="AU123">
            <v>120.10000000000001</v>
          </cell>
          <cell r="AV123">
            <v>126.69999999999996</v>
          </cell>
          <cell r="AW123">
            <v>118.70000000000005</v>
          </cell>
          <cell r="AX123">
            <v>484.6</v>
          </cell>
          <cell r="AY123">
            <v>114.9</v>
          </cell>
          <cell r="AZ123">
            <v>115.49999999999997</v>
          </cell>
          <cell r="BA123">
            <v>117.70000000000005</v>
          </cell>
          <cell r="BB123">
            <v>128.79999999999995</v>
          </cell>
          <cell r="BC123">
            <v>476.9</v>
          </cell>
          <cell r="BD123">
            <v>124.2</v>
          </cell>
          <cell r="BE123">
            <v>124.2</v>
          </cell>
          <cell r="BF123">
            <v>126.1</v>
          </cell>
          <cell r="BG123">
            <v>130.5</v>
          </cell>
          <cell r="BH123">
            <v>505</v>
          </cell>
          <cell r="BI123">
            <v>130.5</v>
          </cell>
          <cell r="BJ123">
            <v>130.5</v>
          </cell>
          <cell r="BK123">
            <v>130.5</v>
          </cell>
          <cell r="BL123">
            <v>130.5</v>
          </cell>
          <cell r="BM123">
            <v>522</v>
          </cell>
          <cell r="BN123">
            <v>130.5</v>
          </cell>
          <cell r="BO123">
            <v>130.5</v>
          </cell>
          <cell r="BP123">
            <v>130.5</v>
          </cell>
          <cell r="BQ123">
            <v>130.5</v>
          </cell>
          <cell r="BR123">
            <v>522</v>
          </cell>
          <cell r="BS123">
            <v>130.5</v>
          </cell>
          <cell r="BT123">
            <v>130.5</v>
          </cell>
          <cell r="BU123">
            <v>130.5</v>
          </cell>
          <cell r="BV123">
            <v>130.5</v>
          </cell>
          <cell r="BW123">
            <v>522</v>
          </cell>
          <cell r="BX123">
            <v>130.5</v>
          </cell>
          <cell r="BY123">
            <v>130.5</v>
          </cell>
          <cell r="BZ123">
            <v>130.5</v>
          </cell>
          <cell r="CA123">
            <v>130.5</v>
          </cell>
          <cell r="CB123">
            <v>522</v>
          </cell>
          <cell r="CI123" t="str">
            <v>mstag:depreciation</v>
          </cell>
          <cell r="CJ123">
            <v>6</v>
          </cell>
          <cell r="CK123" t="str">
            <v>ISO4217:USD</v>
          </cell>
          <cell r="CL123" t="b">
            <v>0</v>
          </cell>
        </row>
        <row r="124">
          <cell r="B124" t="str">
            <v>Deferred income taxes</v>
          </cell>
          <cell r="J124">
            <v>10.5</v>
          </cell>
          <cell r="K124">
            <v>0</v>
          </cell>
          <cell r="L124">
            <v>0</v>
          </cell>
          <cell r="M124">
            <v>0</v>
          </cell>
          <cell r="N124">
            <v>0</v>
          </cell>
          <cell r="O124">
            <v>57.7</v>
          </cell>
          <cell r="P124">
            <v>-40.9</v>
          </cell>
          <cell r="Q124">
            <v>21.4</v>
          </cell>
          <cell r="R124">
            <v>7.6999999999999957</v>
          </cell>
          <cell r="S124">
            <v>-130.19999999999999</v>
          </cell>
          <cell r="T124">
            <v>-142</v>
          </cell>
          <cell r="U124">
            <v>0.7</v>
          </cell>
          <cell r="V124">
            <v>-44.400000000000006</v>
          </cell>
          <cell r="W124">
            <v>119</v>
          </cell>
          <cell r="X124">
            <v>3.3</v>
          </cell>
          <cell r="Y124">
            <v>78.599999999999994</v>
          </cell>
          <cell r="Z124">
            <v>-36.700000000000003</v>
          </cell>
          <cell r="AA124">
            <v>33.000000000000007</v>
          </cell>
          <cell r="AB124">
            <v>-81.3</v>
          </cell>
          <cell r="AC124">
            <v>-148</v>
          </cell>
          <cell r="AD124">
            <v>-233</v>
          </cell>
          <cell r="AE124">
            <v>-104.1</v>
          </cell>
          <cell r="AF124">
            <v>49.999999999999993</v>
          </cell>
          <cell r="AG124">
            <v>-18.599999999999994</v>
          </cell>
          <cell r="AH124">
            <v>-27.099999999999994</v>
          </cell>
          <cell r="AI124">
            <v>-99.799999999999983</v>
          </cell>
          <cell r="AJ124">
            <v>-35.700000000000003</v>
          </cell>
          <cell r="AK124">
            <v>-34.099999999999994</v>
          </cell>
          <cell r="AL124">
            <v>-29.900000000000006</v>
          </cell>
          <cell r="AM124">
            <v>-34.399999999999991</v>
          </cell>
          <cell r="AN124">
            <v>-134.1</v>
          </cell>
          <cell r="AO124">
            <v>-42.4</v>
          </cell>
          <cell r="AP124">
            <v>-38.199999999999996</v>
          </cell>
          <cell r="AQ124">
            <v>-8.8000000000000114</v>
          </cell>
          <cell r="AR124">
            <v>-10.199999999999989</v>
          </cell>
          <cell r="AS124">
            <v>-99.6</v>
          </cell>
          <cell r="AT124">
            <v>-40.5</v>
          </cell>
          <cell r="AU124">
            <v>-92.4</v>
          </cell>
          <cell r="AV124">
            <v>-30</v>
          </cell>
          <cell r="AW124">
            <v>-59.199999999999989</v>
          </cell>
          <cell r="AX124">
            <v>-222.1</v>
          </cell>
          <cell r="AY124">
            <v>-74.3</v>
          </cell>
          <cell r="AZ124">
            <v>-16.700000000000003</v>
          </cell>
          <cell r="BA124">
            <v>3.5</v>
          </cell>
          <cell r="BB124">
            <v>-26.700000000000003</v>
          </cell>
          <cell r="BC124">
            <v>-114.2</v>
          </cell>
          <cell r="BD124">
            <v>-26.3</v>
          </cell>
          <cell r="BE124">
            <v>-40.5</v>
          </cell>
          <cell r="BF124">
            <v>-30.760000000000005</v>
          </cell>
          <cell r="BG124">
            <v>17.560000000000002</v>
          </cell>
          <cell r="BH124">
            <v>-80</v>
          </cell>
          <cell r="BI124">
            <v>0</v>
          </cell>
          <cell r="BJ124">
            <v>0</v>
          </cell>
          <cell r="BK124">
            <v>0</v>
          </cell>
          <cell r="BL124">
            <v>0</v>
          </cell>
          <cell r="BM124">
            <v>0</v>
          </cell>
          <cell r="BN124">
            <v>0</v>
          </cell>
          <cell r="BO124">
            <v>0</v>
          </cell>
          <cell r="BP124">
            <v>0</v>
          </cell>
          <cell r="BQ124">
            <v>0</v>
          </cell>
          <cell r="BR124">
            <v>0</v>
          </cell>
          <cell r="BS124">
            <v>0</v>
          </cell>
          <cell r="BT124">
            <v>0</v>
          </cell>
          <cell r="BU124">
            <v>0</v>
          </cell>
          <cell r="BV124">
            <v>0</v>
          </cell>
          <cell r="BW124">
            <v>0</v>
          </cell>
          <cell r="BX124">
            <v>0</v>
          </cell>
          <cell r="BY124">
            <v>0</v>
          </cell>
          <cell r="BZ124">
            <v>0</v>
          </cell>
          <cell r="CA124">
            <v>0</v>
          </cell>
          <cell r="CB124">
            <v>0</v>
          </cell>
          <cell r="CI124" t="str">
            <v>mstag:deferredTax</v>
          </cell>
          <cell r="CJ124">
            <v>6</v>
          </cell>
          <cell r="CK124" t="str">
            <v>ISO4217:USD</v>
          </cell>
          <cell r="CL124" t="b">
            <v>0</v>
          </cell>
        </row>
        <row r="125">
          <cell r="B125" t="str">
            <v>Other</v>
          </cell>
          <cell r="J125">
            <v>1</v>
          </cell>
          <cell r="K125">
            <v>0</v>
          </cell>
          <cell r="L125">
            <v>0</v>
          </cell>
          <cell r="M125">
            <v>0</v>
          </cell>
          <cell r="N125">
            <v>0</v>
          </cell>
          <cell r="O125">
            <v>4.8</v>
          </cell>
          <cell r="P125">
            <v>11.2</v>
          </cell>
          <cell r="Q125">
            <v>6.9000000000000021</v>
          </cell>
          <cell r="R125">
            <v>6.2999999999999972</v>
          </cell>
          <cell r="S125">
            <v>12.899999999999999</v>
          </cell>
          <cell r="T125">
            <v>37.299999999999997</v>
          </cell>
          <cell r="U125">
            <v>11.1</v>
          </cell>
          <cell r="V125">
            <v>8.2000000000000011</v>
          </cell>
          <cell r="W125">
            <v>5.1999999999999975</v>
          </cell>
          <cell r="X125">
            <v>11.299999999999999</v>
          </cell>
          <cell r="Y125">
            <v>35.799999999999997</v>
          </cell>
          <cell r="Z125">
            <v>21.6</v>
          </cell>
          <cell r="AA125">
            <v>-9.7000000000000011</v>
          </cell>
          <cell r="AB125">
            <v>90.699999999999989</v>
          </cell>
          <cell r="AC125">
            <v>51.6</v>
          </cell>
          <cell r="AD125">
            <v>154.19999999999999</v>
          </cell>
          <cell r="AE125">
            <v>52.6</v>
          </cell>
          <cell r="AF125">
            <v>37.800000000000004</v>
          </cell>
          <cell r="AG125">
            <v>41.9</v>
          </cell>
          <cell r="AH125">
            <v>41.799999999999976</v>
          </cell>
          <cell r="AI125">
            <v>174.09999999999997</v>
          </cell>
          <cell r="AJ125">
            <v>46.8</v>
          </cell>
          <cell r="AK125">
            <v>45.399999999999991</v>
          </cell>
          <cell r="AL125">
            <v>55.900000000000034</v>
          </cell>
          <cell r="AM125">
            <v>51.69999999999996</v>
          </cell>
          <cell r="AN125">
            <v>199.8</v>
          </cell>
          <cell r="AO125">
            <v>79.899999999999991</v>
          </cell>
          <cell r="AP125">
            <v>61.2</v>
          </cell>
          <cell r="AQ125">
            <v>61.900000000000006</v>
          </cell>
          <cell r="AR125">
            <v>65.5</v>
          </cell>
          <cell r="AS125">
            <v>268.5</v>
          </cell>
          <cell r="AT125">
            <v>87.9</v>
          </cell>
          <cell r="AU125">
            <v>89.799999999999983</v>
          </cell>
          <cell r="AV125">
            <v>73.300000000000011</v>
          </cell>
          <cell r="AW125">
            <v>75.199999999999989</v>
          </cell>
          <cell r="AX125">
            <v>326.2</v>
          </cell>
          <cell r="AY125">
            <v>94.6</v>
          </cell>
          <cell r="AZ125">
            <v>61.599999999999994</v>
          </cell>
          <cell r="BA125">
            <v>76.000000000000057</v>
          </cell>
          <cell r="BB125">
            <v>96.899999999999949</v>
          </cell>
          <cell r="BC125">
            <v>329.1</v>
          </cell>
          <cell r="BD125">
            <v>68.799999999999983</v>
          </cell>
          <cell r="BE125">
            <v>89.9</v>
          </cell>
          <cell r="BF125">
            <v>94.699999999999989</v>
          </cell>
          <cell r="BG125">
            <v>95.700000000000045</v>
          </cell>
          <cell r="BH125">
            <v>349.1</v>
          </cell>
          <cell r="BI125">
            <v>0</v>
          </cell>
          <cell r="BJ125">
            <v>0</v>
          </cell>
          <cell r="BK125">
            <v>0</v>
          </cell>
          <cell r="BL125">
            <v>0</v>
          </cell>
          <cell r="BM125">
            <v>0</v>
          </cell>
          <cell r="BN125">
            <v>0</v>
          </cell>
          <cell r="BO125">
            <v>0</v>
          </cell>
          <cell r="BP125">
            <v>0</v>
          </cell>
          <cell r="BQ125">
            <v>0</v>
          </cell>
          <cell r="BR125">
            <v>0</v>
          </cell>
          <cell r="BS125">
            <v>0</v>
          </cell>
          <cell r="BT125">
            <v>0</v>
          </cell>
          <cell r="BU125">
            <v>0</v>
          </cell>
          <cell r="BV125">
            <v>0</v>
          </cell>
          <cell r="BW125">
            <v>0</v>
          </cell>
          <cell r="BX125">
            <v>0</v>
          </cell>
          <cell r="BY125">
            <v>0</v>
          </cell>
          <cell r="BZ125">
            <v>0</v>
          </cell>
          <cell r="CA125">
            <v>0</v>
          </cell>
          <cell r="CB125">
            <v>0</v>
          </cell>
          <cell r="CI125" t="str">
            <v>mstag:otherCashFlow</v>
          </cell>
          <cell r="CJ125">
            <v>6</v>
          </cell>
          <cell r="CK125" t="str">
            <v>ISO4217:USD</v>
          </cell>
          <cell r="CL125" t="b">
            <v>0</v>
          </cell>
        </row>
        <row r="126">
          <cell r="B126" t="str">
            <v>Other</v>
          </cell>
          <cell r="D126">
            <v>0</v>
          </cell>
          <cell r="E126">
            <v>0</v>
          </cell>
          <cell r="F126">
            <v>0</v>
          </cell>
          <cell r="G126">
            <v>0</v>
          </cell>
          <cell r="H126">
            <v>0</v>
          </cell>
          <cell r="I126">
            <v>0</v>
          </cell>
          <cell r="J126">
            <v>11.5</v>
          </cell>
          <cell r="K126">
            <v>0</v>
          </cell>
          <cell r="L126">
            <v>0</v>
          </cell>
          <cell r="M126">
            <v>0</v>
          </cell>
          <cell r="N126">
            <v>0</v>
          </cell>
          <cell r="O126">
            <v>62.5</v>
          </cell>
          <cell r="P126">
            <v>-29.7</v>
          </cell>
          <cell r="Q126">
            <v>28.3</v>
          </cell>
          <cell r="R126">
            <v>13.999999999999993</v>
          </cell>
          <cell r="S126">
            <v>-117.29999999999998</v>
          </cell>
          <cell r="T126">
            <v>-104.7</v>
          </cell>
          <cell r="U126">
            <v>11.799999999999999</v>
          </cell>
          <cell r="V126">
            <v>-36.200000000000003</v>
          </cell>
          <cell r="W126">
            <v>124.2</v>
          </cell>
          <cell r="X126">
            <v>14.599999999999998</v>
          </cell>
          <cell r="Y126">
            <v>114.39999999999999</v>
          </cell>
          <cell r="Z126">
            <v>-15.100000000000001</v>
          </cell>
          <cell r="AA126">
            <v>23.300000000000004</v>
          </cell>
          <cell r="AB126">
            <v>9.3999999999999915</v>
          </cell>
          <cell r="AC126">
            <v>-96.4</v>
          </cell>
          <cell r="AD126">
            <v>-78.800000000000011</v>
          </cell>
          <cell r="AE126">
            <v>-51.499999999999993</v>
          </cell>
          <cell r="AF126">
            <v>87.8</v>
          </cell>
          <cell r="AG126">
            <v>23.300000000000004</v>
          </cell>
          <cell r="AH126">
            <v>14.699999999999982</v>
          </cell>
          <cell r="AI126">
            <v>74.299999999999983</v>
          </cell>
          <cell r="AJ126">
            <v>11.099999999999994</v>
          </cell>
          <cell r="AK126">
            <v>11.299999999999997</v>
          </cell>
          <cell r="AL126">
            <v>26.000000000000028</v>
          </cell>
          <cell r="AM126">
            <v>17.299999999999969</v>
          </cell>
          <cell r="AN126">
            <v>65.700000000000017</v>
          </cell>
          <cell r="AO126">
            <v>37.499999999999993</v>
          </cell>
          <cell r="AP126">
            <v>23.000000000000007</v>
          </cell>
          <cell r="AQ126">
            <v>53.099999999999994</v>
          </cell>
          <cell r="AR126">
            <v>55.300000000000011</v>
          </cell>
          <cell r="AS126">
            <v>168.9</v>
          </cell>
          <cell r="AT126">
            <v>47.400000000000006</v>
          </cell>
          <cell r="AU126">
            <v>-2.6000000000000227</v>
          </cell>
          <cell r="AV126">
            <v>43.300000000000011</v>
          </cell>
          <cell r="AW126">
            <v>16</v>
          </cell>
          <cell r="AX126">
            <v>104.1</v>
          </cell>
          <cell r="AY126">
            <v>20.299999999999997</v>
          </cell>
          <cell r="AZ126">
            <v>44.899999999999991</v>
          </cell>
          <cell r="BA126">
            <v>79.500000000000057</v>
          </cell>
          <cell r="BB126">
            <v>70.199999999999946</v>
          </cell>
          <cell r="BC126">
            <v>214.90000000000003</v>
          </cell>
          <cell r="BD126">
            <v>42.499999999999986</v>
          </cell>
          <cell r="BE126">
            <v>49.400000000000006</v>
          </cell>
          <cell r="BF126">
            <v>63.939999999999984</v>
          </cell>
          <cell r="BG126">
            <v>113.26000000000005</v>
          </cell>
          <cell r="BH126">
            <v>269.10000000000002</v>
          </cell>
          <cell r="BI126">
            <v>0</v>
          </cell>
          <cell r="BJ126">
            <v>0</v>
          </cell>
          <cell r="BK126">
            <v>0</v>
          </cell>
          <cell r="BL126">
            <v>0</v>
          </cell>
          <cell r="BM126">
            <v>0</v>
          </cell>
          <cell r="BN126">
            <v>0</v>
          </cell>
          <cell r="BO126">
            <v>0</v>
          </cell>
          <cell r="BP126">
            <v>0</v>
          </cell>
          <cell r="BQ126">
            <v>0</v>
          </cell>
          <cell r="BR126">
            <v>0</v>
          </cell>
          <cell r="BS126">
            <v>0</v>
          </cell>
          <cell r="BT126">
            <v>0</v>
          </cell>
          <cell r="BU126">
            <v>0</v>
          </cell>
          <cell r="BV126">
            <v>0</v>
          </cell>
          <cell r="BW126">
            <v>0</v>
          </cell>
          <cell r="BX126">
            <v>0</v>
          </cell>
          <cell r="BY126">
            <v>0</v>
          </cell>
          <cell r="BZ126">
            <v>0</v>
          </cell>
          <cell r="CA126">
            <v>0</v>
          </cell>
          <cell r="CB126">
            <v>0</v>
          </cell>
        </row>
        <row r="127">
          <cell r="B127" t="str">
            <v>Changes in working capital</v>
          </cell>
        </row>
        <row r="128">
          <cell r="B128" t="str">
            <v>Accounts receivable</v>
          </cell>
          <cell r="J128">
            <v>-41.3</v>
          </cell>
          <cell r="K128">
            <v>0</v>
          </cell>
          <cell r="L128">
            <v>0</v>
          </cell>
          <cell r="M128">
            <v>0</v>
          </cell>
          <cell r="N128">
            <v>0</v>
          </cell>
          <cell r="O128">
            <v>-593.79999999999995</v>
          </cell>
          <cell r="P128">
            <v>30.6</v>
          </cell>
          <cell r="Q128">
            <v>-2.7000000000000028</v>
          </cell>
          <cell r="R128">
            <v>147.50000000000003</v>
          </cell>
          <cell r="S128">
            <v>-8.7000000000000384</v>
          </cell>
          <cell r="T128">
            <v>166.7</v>
          </cell>
          <cell r="U128">
            <v>-269.10000000000002</v>
          </cell>
          <cell r="V128">
            <v>-82</v>
          </cell>
          <cell r="W128">
            <v>153.90000000000003</v>
          </cell>
          <cell r="X128">
            <v>33.100000000000023</v>
          </cell>
          <cell r="Y128">
            <v>-164.09999999999997</v>
          </cell>
          <cell r="Z128">
            <v>101.7</v>
          </cell>
          <cell r="AA128">
            <v>-209.3</v>
          </cell>
          <cell r="AB128">
            <v>112.2</v>
          </cell>
          <cell r="AC128">
            <v>-55.3</v>
          </cell>
          <cell r="AD128">
            <v>-50.7</v>
          </cell>
          <cell r="AE128">
            <v>-423</v>
          </cell>
          <cell r="AF128">
            <v>204.9</v>
          </cell>
          <cell r="AG128">
            <v>-264</v>
          </cell>
          <cell r="AH128">
            <v>360.7</v>
          </cell>
          <cell r="AI128">
            <v>-121.39999999999998</v>
          </cell>
          <cell r="AJ128">
            <v>-79.400000000000006</v>
          </cell>
          <cell r="AK128">
            <v>41.900000000000013</v>
          </cell>
          <cell r="AL128">
            <v>98.5</v>
          </cell>
          <cell r="AM128">
            <v>29.9</v>
          </cell>
          <cell r="AN128">
            <v>90.9</v>
          </cell>
          <cell r="AO128">
            <v>-302</v>
          </cell>
          <cell r="AP128">
            <v>-232.70000000000005</v>
          </cell>
          <cell r="AQ128">
            <v>24</v>
          </cell>
          <cell r="AR128">
            <v>-249</v>
          </cell>
          <cell r="AS128">
            <v>-759.7</v>
          </cell>
          <cell r="AT128">
            <v>-106.5</v>
          </cell>
          <cell r="AU128">
            <v>-248.7</v>
          </cell>
          <cell r="AV128">
            <v>334.2</v>
          </cell>
          <cell r="AW128">
            <v>-401</v>
          </cell>
          <cell r="AX128">
            <v>-422</v>
          </cell>
          <cell r="AY128">
            <v>74.199999999999989</v>
          </cell>
          <cell r="AZ128">
            <v>-10.799999999999983</v>
          </cell>
          <cell r="BA128">
            <v>0.5</v>
          </cell>
          <cell r="BB128">
            <v>-549.50000000000011</v>
          </cell>
          <cell r="BC128">
            <v>-485.60000000000008</v>
          </cell>
          <cell r="BD128">
            <v>177.9</v>
          </cell>
          <cell r="BE128">
            <v>-186.4</v>
          </cell>
          <cell r="BF128">
            <v>90.4</v>
          </cell>
          <cell r="BG128">
            <v>-606.69999999999993</v>
          </cell>
          <cell r="BH128">
            <v>-524.79999999999995</v>
          </cell>
          <cell r="BI128">
            <v>1150.8976295781663</v>
          </cell>
          <cell r="BJ128">
            <v>-8.7630949678114121</v>
          </cell>
          <cell r="BK128">
            <v>64.586448534345891</v>
          </cell>
          <cell r="BL128">
            <v>-237.20382860396921</v>
          </cell>
          <cell r="BM128">
            <v>969.51715454073155</v>
          </cell>
          <cell r="BN128">
            <v>901.14427874806324</v>
          </cell>
          <cell r="BO128">
            <v>-66.229220963802163</v>
          </cell>
          <cell r="BP128">
            <v>-38.942219685473447</v>
          </cell>
          <cell r="BQ128">
            <v>19.162543725683918</v>
          </cell>
          <cell r="BR128">
            <v>815.13538182447155</v>
          </cell>
          <cell r="BS128">
            <v>-9.6052134591100184</v>
          </cell>
          <cell r="BT128">
            <v>-19.490682328367257</v>
          </cell>
          <cell r="BU128">
            <v>23.158239576404412</v>
          </cell>
          <cell r="BV128">
            <v>21.817988778324889</v>
          </cell>
          <cell r="BW128">
            <v>15.880332567252026</v>
          </cell>
          <cell r="BX128">
            <v>-2.1933796946241273</v>
          </cell>
          <cell r="BY128">
            <v>-60.110384310141853</v>
          </cell>
          <cell r="BZ128">
            <v>-38.058584467607034</v>
          </cell>
          <cell r="CA128">
            <v>28.552003483789576</v>
          </cell>
          <cell r="CB128">
            <v>-71.810344988583438</v>
          </cell>
          <cell r="CI128" t="str">
            <v>mstag:netDecreaseInTradeReceivables</v>
          </cell>
          <cell r="CJ128">
            <v>6</v>
          </cell>
          <cell r="CK128" t="str">
            <v>ISO4217:USD</v>
          </cell>
          <cell r="CL128" t="b">
            <v>0</v>
          </cell>
        </row>
        <row r="129">
          <cell r="B129" t="str">
            <v>Inventories</v>
          </cell>
          <cell r="J129">
            <v>-208.1</v>
          </cell>
          <cell r="K129">
            <v>0</v>
          </cell>
          <cell r="L129">
            <v>0</v>
          </cell>
          <cell r="M129">
            <v>0</v>
          </cell>
          <cell r="N129">
            <v>0</v>
          </cell>
          <cell r="O129">
            <v>142.9</v>
          </cell>
          <cell r="P129">
            <v>130.1</v>
          </cell>
          <cell r="Q129">
            <v>6.5999999999999943</v>
          </cell>
          <cell r="R129">
            <v>-187.79999999999998</v>
          </cell>
          <cell r="S129">
            <v>-99.6</v>
          </cell>
          <cell r="T129">
            <v>-150.69999999999999</v>
          </cell>
          <cell r="U129">
            <v>-34.200000000000003</v>
          </cell>
          <cell r="V129">
            <v>175.2</v>
          </cell>
          <cell r="W129">
            <v>-131.69999999999999</v>
          </cell>
          <cell r="X129">
            <v>-111.49999999999999</v>
          </cell>
          <cell r="Y129">
            <v>-102.2</v>
          </cell>
          <cell r="Z129">
            <v>185.6</v>
          </cell>
          <cell r="AA129">
            <v>-189</v>
          </cell>
          <cell r="AB129">
            <v>135.50000000000003</v>
          </cell>
          <cell r="AC129">
            <v>-172.9</v>
          </cell>
          <cell r="AD129">
            <v>-40.799999999999983</v>
          </cell>
          <cell r="AE129">
            <v>139.5</v>
          </cell>
          <cell r="AF129">
            <v>-144.30000000000001</v>
          </cell>
          <cell r="AG129">
            <v>-84.899999999999991</v>
          </cell>
          <cell r="AH129">
            <v>-59.999999999999986</v>
          </cell>
          <cell r="AI129">
            <v>-149.69999999999999</v>
          </cell>
          <cell r="AJ129">
            <v>-28.8</v>
          </cell>
          <cell r="AK129">
            <v>131.30000000000001</v>
          </cell>
          <cell r="AL129">
            <v>-71.40000000000002</v>
          </cell>
          <cell r="AM129">
            <v>-249.2</v>
          </cell>
          <cell r="AN129">
            <v>-218.10000000000002</v>
          </cell>
          <cell r="AO129">
            <v>-21</v>
          </cell>
          <cell r="AP129">
            <v>-119.1</v>
          </cell>
          <cell r="AQ129">
            <v>142.6</v>
          </cell>
          <cell r="AR129">
            <v>90.5</v>
          </cell>
          <cell r="AS129">
            <v>93</v>
          </cell>
          <cell r="AT129">
            <v>180.6</v>
          </cell>
          <cell r="AU129">
            <v>178.70000000000002</v>
          </cell>
          <cell r="AV129">
            <v>155.59999999999994</v>
          </cell>
          <cell r="AW129">
            <v>56.5</v>
          </cell>
          <cell r="AX129">
            <v>571.4</v>
          </cell>
          <cell r="AY129">
            <v>34.299999999999997</v>
          </cell>
          <cell r="AZ129">
            <v>87.5</v>
          </cell>
          <cell r="BA129">
            <v>164.5</v>
          </cell>
          <cell r="BB129">
            <v>-15.300000000000011</v>
          </cell>
          <cell r="BC129">
            <v>271</v>
          </cell>
          <cell r="BD129">
            <v>-94.8</v>
          </cell>
          <cell r="BE129">
            <v>275.89999999999998</v>
          </cell>
          <cell r="BF129">
            <v>44.30000000000004</v>
          </cell>
          <cell r="BG129">
            <v>-78.800000000000011</v>
          </cell>
          <cell r="BH129">
            <v>146.60000000000002</v>
          </cell>
          <cell r="BI129">
            <v>129.47901105239998</v>
          </cell>
          <cell r="BJ129">
            <v>0.50017176492121962</v>
          </cell>
          <cell r="BK129">
            <v>18.012879058793033</v>
          </cell>
          <cell r="BL129">
            <v>-47.046212919490245</v>
          </cell>
          <cell r="BM129">
            <v>100.94584895662399</v>
          </cell>
          <cell r="BN129">
            <v>205.50459774774879</v>
          </cell>
          <cell r="BO129">
            <v>-11.967658936730345</v>
          </cell>
          <cell r="BP129">
            <v>-5.5723764668481408</v>
          </cell>
          <cell r="BQ129">
            <v>4.4685428965000256</v>
          </cell>
          <cell r="BR129">
            <v>192.43310524067033</v>
          </cell>
          <cell r="BS129">
            <v>-4.7662803288743589</v>
          </cell>
          <cell r="BT129">
            <v>-1.5107916892915227</v>
          </cell>
          <cell r="BU129">
            <v>8.3997263865462628</v>
          </cell>
          <cell r="BV129">
            <v>5.0535733751753469</v>
          </cell>
          <cell r="BW129">
            <v>7.176227743555728</v>
          </cell>
          <cell r="BX129">
            <v>-4.0440765064610105</v>
          </cell>
          <cell r="BY129">
            <v>-10.495596597405324</v>
          </cell>
          <cell r="BZ129">
            <v>-4.985604617394074</v>
          </cell>
          <cell r="CA129">
            <v>6.3709879162950074</v>
          </cell>
          <cell r="CB129">
            <v>-13.154289804965401</v>
          </cell>
          <cell r="CI129" t="str">
            <v>mstag:netDecreaseInInventories</v>
          </cell>
          <cell r="CJ129">
            <v>6</v>
          </cell>
          <cell r="CK129" t="str">
            <v>ISO4217:USD</v>
          </cell>
          <cell r="CL129" t="b">
            <v>0</v>
          </cell>
        </row>
        <row r="130">
          <cell r="B130" t="str">
            <v>Other current/noncurrent assets</v>
          </cell>
          <cell r="J130">
            <v>-84.1</v>
          </cell>
          <cell r="K130">
            <v>0</v>
          </cell>
          <cell r="L130">
            <v>0</v>
          </cell>
          <cell r="M130">
            <v>0</v>
          </cell>
          <cell r="N130">
            <v>0</v>
          </cell>
          <cell r="O130">
            <v>0.8</v>
          </cell>
          <cell r="P130">
            <v>0.8</v>
          </cell>
          <cell r="Q130">
            <v>10.399999999999999</v>
          </cell>
          <cell r="R130">
            <v>7.2</v>
          </cell>
          <cell r="S130">
            <v>15.200000000000003</v>
          </cell>
          <cell r="T130">
            <v>33.6</v>
          </cell>
          <cell r="U130">
            <v>-8.5</v>
          </cell>
          <cell r="V130">
            <v>16.5</v>
          </cell>
          <cell r="W130">
            <v>-24.1</v>
          </cell>
          <cell r="X130">
            <v>5.4000000000000021</v>
          </cell>
          <cell r="Y130">
            <v>-10.7</v>
          </cell>
          <cell r="Z130">
            <v>-5</v>
          </cell>
          <cell r="AA130">
            <v>-10.9</v>
          </cell>
          <cell r="AB130">
            <v>35.299999999999997</v>
          </cell>
          <cell r="AC130">
            <v>18.399999999999999</v>
          </cell>
          <cell r="AD130">
            <v>37.799999999999997</v>
          </cell>
          <cell r="AE130">
            <v>-78.7</v>
          </cell>
          <cell r="AF130">
            <v>-18.099999999999994</v>
          </cell>
          <cell r="AG130">
            <v>24.499999999999986</v>
          </cell>
          <cell r="AH130">
            <v>29.700000000000003</v>
          </cell>
          <cell r="AI130">
            <v>-42.600000000000009</v>
          </cell>
          <cell r="AJ130">
            <v>-2.5999999999999996</v>
          </cell>
          <cell r="AK130">
            <v>5.3999999999999995</v>
          </cell>
          <cell r="AL130">
            <v>-29.5</v>
          </cell>
          <cell r="AM130">
            <v>20.799999999999997</v>
          </cell>
          <cell r="AN130">
            <v>-5.900000000000003</v>
          </cell>
          <cell r="AO130">
            <v>-1.8999999999999995</v>
          </cell>
          <cell r="AP130">
            <v>-32.6</v>
          </cell>
          <cell r="AQ130">
            <v>263.09999999999997</v>
          </cell>
          <cell r="AR130">
            <v>-248.49999999999997</v>
          </cell>
          <cell r="AS130">
            <v>-19.900000000000006</v>
          </cell>
          <cell r="AT130">
            <v>255.6</v>
          </cell>
          <cell r="AU130">
            <v>26.000000000000028</v>
          </cell>
          <cell r="AV130">
            <v>11.399999999999892</v>
          </cell>
          <cell r="AW130">
            <v>-5.4999999999998295</v>
          </cell>
          <cell r="AX130">
            <v>287.50000000000011</v>
          </cell>
          <cell r="AY130">
            <v>159.79999999999998</v>
          </cell>
          <cell r="AZ130">
            <v>-180.89999999999998</v>
          </cell>
          <cell r="BA130">
            <v>13.299999999999983</v>
          </cell>
          <cell r="BB130">
            <v>3.900000000000011</v>
          </cell>
          <cell r="BC130">
            <v>-3.9000000000000057</v>
          </cell>
          <cell r="BD130">
            <v>-8.1</v>
          </cell>
          <cell r="BE130">
            <v>-16</v>
          </cell>
          <cell r="BF130">
            <v>-3.6999999999999957</v>
          </cell>
          <cell r="BG130">
            <v>-298.09999999999997</v>
          </cell>
          <cell r="BH130">
            <v>-325.89999999999998</v>
          </cell>
          <cell r="BI130">
            <v>0</v>
          </cell>
          <cell r="BJ130">
            <v>0</v>
          </cell>
          <cell r="BK130">
            <v>0</v>
          </cell>
          <cell r="BL130">
            <v>0</v>
          </cell>
          <cell r="BM130">
            <v>0</v>
          </cell>
          <cell r="BN130">
            <v>0</v>
          </cell>
          <cell r="BO130">
            <v>0</v>
          </cell>
          <cell r="BP130">
            <v>0</v>
          </cell>
          <cell r="BQ130">
            <v>0</v>
          </cell>
          <cell r="BR130">
            <v>0</v>
          </cell>
          <cell r="BS130">
            <v>0</v>
          </cell>
          <cell r="BT130">
            <v>0</v>
          </cell>
          <cell r="BU130">
            <v>0</v>
          </cell>
          <cell r="BV130">
            <v>0</v>
          </cell>
          <cell r="BW130">
            <v>0</v>
          </cell>
          <cell r="BX130">
            <v>0</v>
          </cell>
          <cell r="BY130">
            <v>0</v>
          </cell>
          <cell r="BZ130">
            <v>0</v>
          </cell>
          <cell r="CA130">
            <v>0</v>
          </cell>
          <cell r="CB130">
            <v>0</v>
          </cell>
          <cell r="CI130" t="str">
            <v>mstag:netDecreaseInOtherAssets</v>
          </cell>
          <cell r="CJ130">
            <v>6</v>
          </cell>
          <cell r="CK130" t="str">
            <v>ISO4217:USD</v>
          </cell>
          <cell r="CL130" t="b">
            <v>0</v>
          </cell>
        </row>
        <row r="131">
          <cell r="B131" t="str">
            <v>Current liabilities</v>
          </cell>
          <cell r="J131">
            <v>404.2</v>
          </cell>
          <cell r="K131">
            <v>0</v>
          </cell>
          <cell r="L131">
            <v>0</v>
          </cell>
          <cell r="M131">
            <v>0</v>
          </cell>
          <cell r="N131">
            <v>0</v>
          </cell>
          <cell r="O131">
            <v>208</v>
          </cell>
          <cell r="P131">
            <v>209.8</v>
          </cell>
          <cell r="Q131">
            <v>-222.4</v>
          </cell>
          <cell r="R131">
            <v>506.49999999999994</v>
          </cell>
          <cell r="S131">
            <v>-18.099999999999937</v>
          </cell>
          <cell r="T131">
            <v>475.8</v>
          </cell>
          <cell r="U131">
            <v>189.8</v>
          </cell>
          <cell r="V131">
            <v>-355.4</v>
          </cell>
          <cell r="W131">
            <v>120.89999999999998</v>
          </cell>
          <cell r="X131">
            <v>33.799999999999983</v>
          </cell>
          <cell r="Y131">
            <v>-10.900000000000006</v>
          </cell>
          <cell r="Z131">
            <v>31.5</v>
          </cell>
          <cell r="AA131">
            <v>-97.9</v>
          </cell>
          <cell r="AB131">
            <v>109.4</v>
          </cell>
          <cell r="AC131">
            <v>-230.4</v>
          </cell>
          <cell r="AD131">
            <v>-187.4</v>
          </cell>
          <cell r="AE131">
            <v>225.7</v>
          </cell>
          <cell r="AF131">
            <v>-113.80000000000001</v>
          </cell>
          <cell r="AG131">
            <v>135.90000000000003</v>
          </cell>
          <cell r="AH131">
            <v>0.5</v>
          </cell>
          <cell r="AI131">
            <v>248.3</v>
          </cell>
          <cell r="AJ131">
            <v>-285</v>
          </cell>
          <cell r="AK131">
            <v>308.89999999999998</v>
          </cell>
          <cell r="AL131">
            <v>-15.799999999999955</v>
          </cell>
          <cell r="AM131">
            <v>30.399999999999977</v>
          </cell>
          <cell r="AN131">
            <v>38.5</v>
          </cell>
          <cell r="AO131">
            <v>48.8</v>
          </cell>
          <cell r="AP131">
            <v>-111.4</v>
          </cell>
          <cell r="AQ131">
            <v>-33.299999999999969</v>
          </cell>
          <cell r="AR131">
            <v>82.199999999999974</v>
          </cell>
          <cell r="AS131">
            <v>-13.700000000000003</v>
          </cell>
          <cell r="AT131">
            <v>58.3</v>
          </cell>
          <cell r="AU131">
            <v>-120.19999999999999</v>
          </cell>
          <cell r="AV131">
            <v>-48.600000000000009</v>
          </cell>
          <cell r="AW131">
            <v>737.7</v>
          </cell>
          <cell r="AX131">
            <v>627.20000000000005</v>
          </cell>
          <cell r="AY131">
            <v>-666.2</v>
          </cell>
          <cell r="AZ131">
            <v>668.90000000000009</v>
          </cell>
          <cell r="BA131">
            <v>-466.29999999999995</v>
          </cell>
          <cell r="BB131">
            <v>791</v>
          </cell>
          <cell r="BC131">
            <v>327.40000000000009</v>
          </cell>
          <cell r="BD131">
            <v>-458.40000000000003</v>
          </cell>
          <cell r="BE131">
            <v>-65.89999999999992</v>
          </cell>
          <cell r="BF131">
            <v>-260.80000000000007</v>
          </cell>
          <cell r="BG131">
            <v>533.90000000000009</v>
          </cell>
          <cell r="BH131">
            <v>-251.19999999999993</v>
          </cell>
          <cell r="BI131">
            <v>-575.86461561559554</v>
          </cell>
          <cell r="BJ131">
            <v>-1.8225436913562589</v>
          </cell>
          <cell r="BK131">
            <v>-65.635970269026075</v>
          </cell>
          <cell r="BL131">
            <v>171.42866625458009</v>
          </cell>
          <cell r="BM131">
            <v>-471.89446332139778</v>
          </cell>
          <cell r="BN131">
            <v>-570.61003874516973</v>
          </cell>
          <cell r="BO131">
            <v>47.214873613402233</v>
          </cell>
          <cell r="BP131">
            <v>21.984170170579091</v>
          </cell>
          <cell r="BQ131">
            <v>-17.62931992043832</v>
          </cell>
          <cell r="BR131">
            <v>-519.04031488162673</v>
          </cell>
          <cell r="BS131">
            <v>18.803955270079314</v>
          </cell>
          <cell r="BT131">
            <v>5.9603836509040775</v>
          </cell>
          <cell r="BU131">
            <v>-33.138646566100761</v>
          </cell>
          <cell r="BV131">
            <v>-19.937385370554694</v>
          </cell>
          <cell r="BW131">
            <v>-28.311693015672063</v>
          </cell>
          <cell r="BX131">
            <v>15.954712792613464</v>
          </cell>
          <cell r="BY131">
            <v>41.407285206201777</v>
          </cell>
          <cell r="BZ131">
            <v>19.669234654924367</v>
          </cell>
          <cell r="CA131">
            <v>-25.134856436890004</v>
          </cell>
          <cell r="CB131">
            <v>51.896376216849603</v>
          </cell>
          <cell r="CI131" t="str">
            <v>mstag:netIncreaseInOtherLiabilitiesOperating</v>
          </cell>
          <cell r="CJ131">
            <v>6</v>
          </cell>
          <cell r="CK131" t="str">
            <v>ISO4217:USD</v>
          </cell>
          <cell r="CL131" t="b">
            <v>0</v>
          </cell>
        </row>
        <row r="132">
          <cell r="B132" t="str">
            <v>Other noncurrent liabilities</v>
          </cell>
          <cell r="J132">
            <v>13.4</v>
          </cell>
          <cell r="K132">
            <v>0</v>
          </cell>
          <cell r="L132">
            <v>0</v>
          </cell>
          <cell r="M132">
            <v>0</v>
          </cell>
          <cell r="N132">
            <v>0</v>
          </cell>
          <cell r="O132">
            <v>20.100000000000001</v>
          </cell>
          <cell r="P132">
            <v>4.7</v>
          </cell>
          <cell r="Q132">
            <v>8.6000000000000014</v>
          </cell>
          <cell r="R132">
            <v>5.1999999999999984</v>
          </cell>
          <cell r="S132">
            <v>1.3999999999999977</v>
          </cell>
          <cell r="T132">
            <v>19.899999999999999</v>
          </cell>
          <cell r="U132">
            <v>1.1000000000000001</v>
          </cell>
          <cell r="V132">
            <v>0.7</v>
          </cell>
          <cell r="W132">
            <v>0.30000000000000004</v>
          </cell>
          <cell r="X132">
            <v>-5.2000000000000011</v>
          </cell>
          <cell r="Y132">
            <v>-3.100000000000001</v>
          </cell>
          <cell r="Z132">
            <v>0.5</v>
          </cell>
          <cell r="AA132">
            <v>-0.5</v>
          </cell>
          <cell r="AB132">
            <v>0</v>
          </cell>
          <cell r="AC132">
            <v>0</v>
          </cell>
          <cell r="AD132">
            <v>0</v>
          </cell>
          <cell r="AE132">
            <v>7.9</v>
          </cell>
          <cell r="AF132">
            <v>-7.9</v>
          </cell>
          <cell r="AG132">
            <v>0</v>
          </cell>
          <cell r="AH132">
            <v>209.8</v>
          </cell>
          <cell r="AI132">
            <v>209.8</v>
          </cell>
          <cell r="AJ132">
            <v>114.3</v>
          </cell>
          <cell r="AK132">
            <v>-236.10000000000002</v>
          </cell>
          <cell r="AL132">
            <v>-176.49999999999994</v>
          </cell>
          <cell r="AM132">
            <v>385.19999999999993</v>
          </cell>
          <cell r="AN132">
            <v>86.899999999999963</v>
          </cell>
          <cell r="AO132">
            <v>24.300000000000011</v>
          </cell>
          <cell r="AP132">
            <v>135.29999999999998</v>
          </cell>
          <cell r="AQ132">
            <v>-258</v>
          </cell>
          <cell r="AR132">
            <v>719.19999999999993</v>
          </cell>
          <cell r="AS132">
            <v>620.79999999999995</v>
          </cell>
          <cell r="AT132">
            <v>324.8</v>
          </cell>
          <cell r="AU132">
            <v>829.7</v>
          </cell>
          <cell r="AV132">
            <v>-680</v>
          </cell>
          <cell r="AW132">
            <v>93.799999999999955</v>
          </cell>
          <cell r="AX132">
            <v>568.29999999999995</v>
          </cell>
          <cell r="AY132">
            <v>242.5</v>
          </cell>
          <cell r="AZ132">
            <v>-391.5</v>
          </cell>
          <cell r="BA132">
            <v>93.800000000000011</v>
          </cell>
          <cell r="BB132">
            <v>171.79999999999998</v>
          </cell>
          <cell r="BC132">
            <v>116.60000000000002</v>
          </cell>
          <cell r="BD132">
            <v>-22.4</v>
          </cell>
          <cell r="BE132">
            <v>22.4</v>
          </cell>
          <cell r="BF132">
            <v>30.1</v>
          </cell>
          <cell r="BG132">
            <v>-22.200000000000003</v>
          </cell>
          <cell r="BH132">
            <v>7.8999999999999986</v>
          </cell>
          <cell r="BI132">
            <v>0</v>
          </cell>
          <cell r="BJ132">
            <v>0</v>
          </cell>
          <cell r="BK132">
            <v>0</v>
          </cell>
          <cell r="BL132">
            <v>0</v>
          </cell>
          <cell r="BM132">
            <v>0</v>
          </cell>
          <cell r="BN132">
            <v>0</v>
          </cell>
          <cell r="BO132">
            <v>0</v>
          </cell>
          <cell r="BP132">
            <v>0</v>
          </cell>
          <cell r="BQ132">
            <v>0</v>
          </cell>
          <cell r="BR132">
            <v>0</v>
          </cell>
          <cell r="BS132">
            <v>0</v>
          </cell>
          <cell r="BT132">
            <v>0</v>
          </cell>
          <cell r="BU132">
            <v>0</v>
          </cell>
          <cell r="BV132">
            <v>0</v>
          </cell>
          <cell r="BW132">
            <v>0</v>
          </cell>
          <cell r="BX132">
            <v>0</v>
          </cell>
          <cell r="BY132">
            <v>0</v>
          </cell>
          <cell r="BZ132">
            <v>0</v>
          </cell>
          <cell r="CA132">
            <v>0</v>
          </cell>
          <cell r="CB132">
            <v>0</v>
          </cell>
          <cell r="CI132" t="str">
            <v>mstag:netIncreaseInOtherLiabilitiesOperating</v>
          </cell>
          <cell r="CJ132">
            <v>6</v>
          </cell>
          <cell r="CK132" t="str">
            <v>ISO4217:USD</v>
          </cell>
          <cell r="CL132" t="b">
            <v>0</v>
          </cell>
        </row>
        <row r="133">
          <cell r="B133" t="str">
            <v>Other</v>
          </cell>
          <cell r="J133">
            <v>-16.3</v>
          </cell>
          <cell r="K133">
            <v>0</v>
          </cell>
          <cell r="L133">
            <v>0</v>
          </cell>
          <cell r="M133">
            <v>0</v>
          </cell>
          <cell r="N133">
            <v>0</v>
          </cell>
          <cell r="O133">
            <v>10.8</v>
          </cell>
          <cell r="P133">
            <v>-1.3</v>
          </cell>
          <cell r="Q133">
            <v>1.1000000000000001</v>
          </cell>
          <cell r="R133">
            <v>-2.0999999999999996</v>
          </cell>
          <cell r="S133">
            <v>-23.500000000000004</v>
          </cell>
          <cell r="T133">
            <v>-25.8</v>
          </cell>
          <cell r="U133">
            <v>18.8</v>
          </cell>
          <cell r="V133">
            <v>8.0999999999999979</v>
          </cell>
          <cell r="W133">
            <v>-11.599999999999998</v>
          </cell>
          <cell r="X133">
            <v>13.7</v>
          </cell>
          <cell r="Y133">
            <v>29</v>
          </cell>
          <cell r="Z133">
            <v>0</v>
          </cell>
          <cell r="AA133">
            <v>23</v>
          </cell>
          <cell r="AB133">
            <v>-23</v>
          </cell>
          <cell r="AC133">
            <v>404.2</v>
          </cell>
          <cell r="AD133">
            <v>404.2</v>
          </cell>
          <cell r="AE133">
            <v>0</v>
          </cell>
          <cell r="AF133">
            <v>0</v>
          </cell>
          <cell r="AG133">
            <v>0</v>
          </cell>
          <cell r="AH133">
            <v>0</v>
          </cell>
          <cell r="AI133">
            <v>0</v>
          </cell>
          <cell r="AJ133">
            <v>0</v>
          </cell>
          <cell r="AK133">
            <v>0</v>
          </cell>
          <cell r="AL133">
            <v>0</v>
          </cell>
          <cell r="AM133">
            <v>0</v>
          </cell>
          <cell r="AN133">
            <v>0</v>
          </cell>
          <cell r="AO133">
            <v>0</v>
          </cell>
          <cell r="AP133">
            <v>0</v>
          </cell>
          <cell r="AQ133">
            <v>0</v>
          </cell>
          <cell r="AR133">
            <v>0</v>
          </cell>
          <cell r="AS133">
            <v>0</v>
          </cell>
          <cell r="AT133">
            <v>0</v>
          </cell>
          <cell r="AU133">
            <v>0</v>
          </cell>
          <cell r="AV133">
            <v>0</v>
          </cell>
          <cell r="AW133">
            <v>0</v>
          </cell>
          <cell r="AX133">
            <v>0</v>
          </cell>
          <cell r="AY133">
            <v>0</v>
          </cell>
          <cell r="AZ133">
            <v>0</v>
          </cell>
          <cell r="BA133">
            <v>0</v>
          </cell>
          <cell r="BB133">
            <v>0</v>
          </cell>
          <cell r="BC133">
            <v>0</v>
          </cell>
          <cell r="BD133">
            <v>0</v>
          </cell>
          <cell r="BE133">
            <v>0</v>
          </cell>
          <cell r="BF133">
            <v>0</v>
          </cell>
          <cell r="BG133">
            <v>0</v>
          </cell>
          <cell r="BH133">
            <v>0</v>
          </cell>
          <cell r="BI133">
            <v>0</v>
          </cell>
          <cell r="BJ133">
            <v>0</v>
          </cell>
          <cell r="BK133">
            <v>0</v>
          </cell>
          <cell r="BL133">
            <v>0</v>
          </cell>
          <cell r="BM133">
            <v>0</v>
          </cell>
          <cell r="BN133">
            <v>0</v>
          </cell>
          <cell r="BO133">
            <v>0</v>
          </cell>
          <cell r="BP133">
            <v>0</v>
          </cell>
          <cell r="BQ133">
            <v>0</v>
          </cell>
          <cell r="BR133">
            <v>0</v>
          </cell>
          <cell r="BS133">
            <v>0</v>
          </cell>
          <cell r="BT133">
            <v>0</v>
          </cell>
          <cell r="BU133">
            <v>0</v>
          </cell>
          <cell r="BV133">
            <v>0</v>
          </cell>
          <cell r="BW133">
            <v>0</v>
          </cell>
          <cell r="BX133">
            <v>0</v>
          </cell>
          <cell r="BY133">
            <v>0</v>
          </cell>
          <cell r="BZ133">
            <v>0</v>
          </cell>
          <cell r="CA133">
            <v>0</v>
          </cell>
          <cell r="CB133">
            <v>0</v>
          </cell>
          <cell r="CI133" t="str">
            <v>mstag:netIncreaseInOtherLiabilitiesOperating</v>
          </cell>
          <cell r="CJ133">
            <v>6</v>
          </cell>
          <cell r="CK133" t="str">
            <v>ISO4217:USD</v>
          </cell>
          <cell r="CL133" t="b">
            <v>0</v>
          </cell>
        </row>
        <row r="134">
          <cell r="B134" t="str">
            <v>Total changes in working capital</v>
          </cell>
          <cell r="J134">
            <v>67.8</v>
          </cell>
          <cell r="K134">
            <v>0</v>
          </cell>
          <cell r="L134">
            <v>0</v>
          </cell>
          <cell r="M134">
            <v>0</v>
          </cell>
          <cell r="N134">
            <v>0</v>
          </cell>
          <cell r="O134">
            <v>-211.19999999999996</v>
          </cell>
          <cell r="P134">
            <v>374.7</v>
          </cell>
          <cell r="Q134">
            <v>-198.40000000000003</v>
          </cell>
          <cell r="R134">
            <v>476.49999999999994</v>
          </cell>
          <cell r="S134">
            <v>-133.29999999999998</v>
          </cell>
          <cell r="T134">
            <v>519.5</v>
          </cell>
          <cell r="U134">
            <v>-102.10000000000001</v>
          </cell>
          <cell r="V134">
            <v>-236.9</v>
          </cell>
          <cell r="W134">
            <v>107.70000000000003</v>
          </cell>
          <cell r="X134">
            <v>-30.699999999999978</v>
          </cell>
          <cell r="Y134">
            <v>-261.99999999999994</v>
          </cell>
          <cell r="Z134">
            <v>314.3</v>
          </cell>
          <cell r="AA134">
            <v>-484.6</v>
          </cell>
          <cell r="AB134">
            <v>369.40000000000009</v>
          </cell>
          <cell r="AC134">
            <v>-36</v>
          </cell>
          <cell r="AD134">
            <v>163.10000000000008</v>
          </cell>
          <cell r="AE134">
            <v>-128.6</v>
          </cell>
          <cell r="AF134">
            <v>-79.200000000000017</v>
          </cell>
          <cell r="AG134">
            <v>-188.49999999999994</v>
          </cell>
          <cell r="AH134">
            <v>540.70000000000005</v>
          </cell>
          <cell r="AI134">
            <v>144.40000000000012</v>
          </cell>
          <cell r="AJ134">
            <v>-281.5</v>
          </cell>
          <cell r="AK134">
            <v>251.39999999999998</v>
          </cell>
          <cell r="AL134">
            <v>-194.69999999999993</v>
          </cell>
          <cell r="AM134">
            <v>217.09999999999991</v>
          </cell>
          <cell r="AN134">
            <v>-7.7000000000000455</v>
          </cell>
          <cell r="AO134">
            <v>-251.79999999999995</v>
          </cell>
          <cell r="AP134">
            <v>-360.50000000000011</v>
          </cell>
          <cell r="AQ134">
            <v>138.39999999999998</v>
          </cell>
          <cell r="AR134">
            <v>394.39999999999992</v>
          </cell>
          <cell r="AS134">
            <v>-79.500000000000114</v>
          </cell>
          <cell r="AT134">
            <v>712.8</v>
          </cell>
          <cell r="AU134">
            <v>665.50000000000011</v>
          </cell>
          <cell r="AV134">
            <v>-227.4000000000002</v>
          </cell>
          <cell r="AW134">
            <v>481.50000000000017</v>
          </cell>
          <cell r="AX134">
            <v>1632.4</v>
          </cell>
          <cell r="AY134">
            <v>-155.40000000000009</v>
          </cell>
          <cell r="AZ134">
            <v>173.20000000000016</v>
          </cell>
          <cell r="BA134">
            <v>-194.2</v>
          </cell>
          <cell r="BB134">
            <v>401.89999999999975</v>
          </cell>
          <cell r="BC134">
            <v>225.49999999999983</v>
          </cell>
          <cell r="BD134">
            <v>-405.8</v>
          </cell>
          <cell r="BE134">
            <v>30.00000000000005</v>
          </cell>
          <cell r="BF134">
            <v>-99.700000000000017</v>
          </cell>
          <cell r="BG134">
            <v>-471.89999999999981</v>
          </cell>
          <cell r="BH134">
            <v>-947.39999999999986</v>
          </cell>
          <cell r="BI134">
            <v>704.51202501497073</v>
          </cell>
          <cell r="BJ134">
            <v>-10.085466894246451</v>
          </cell>
          <cell r="BK134">
            <v>16.963357324112849</v>
          </cell>
          <cell r="BL134">
            <v>-112.82137526887936</v>
          </cell>
          <cell r="BM134">
            <v>598.56854017595776</v>
          </cell>
          <cell r="BN134">
            <v>536.03883775064241</v>
          </cell>
          <cell r="BO134">
            <v>-30.982006287130275</v>
          </cell>
          <cell r="BP134">
            <v>-22.530425981742496</v>
          </cell>
          <cell r="BQ134">
            <v>6.0017667017456233</v>
          </cell>
          <cell r="BR134">
            <v>488.52817218351527</v>
          </cell>
          <cell r="BS134">
            <v>4.4324614820949364</v>
          </cell>
          <cell r="BT134">
            <v>-15.041090366754702</v>
          </cell>
          <cell r="BU134">
            <v>-1.5806806031500855</v>
          </cell>
          <cell r="BV134">
            <v>6.9341767829455421</v>
          </cell>
          <cell r="BW134">
            <v>-5.2551327048643088</v>
          </cell>
          <cell r="BX134">
            <v>9.7172565915283258</v>
          </cell>
          <cell r="BY134">
            <v>-29.1986957013454</v>
          </cell>
          <cell r="BZ134">
            <v>-23.374954430076741</v>
          </cell>
          <cell r="CA134">
            <v>9.7881349631945795</v>
          </cell>
          <cell r="CB134">
            <v>-33.068258576699236</v>
          </cell>
        </row>
        <row r="135">
          <cell r="B135" t="str">
            <v>Cash from operations</v>
          </cell>
          <cell r="F135">
            <v>0</v>
          </cell>
          <cell r="G135">
            <v>0</v>
          </cell>
          <cell r="H135">
            <v>0</v>
          </cell>
          <cell r="I135">
            <v>0</v>
          </cell>
          <cell r="J135">
            <v>658.80000000000496</v>
          </cell>
          <cell r="K135">
            <v>59.600000000000186</v>
          </cell>
          <cell r="L135">
            <v>104.59999999999891</v>
          </cell>
          <cell r="M135">
            <v>153.40000000000038</v>
          </cell>
          <cell r="N135">
            <v>107.20000000000037</v>
          </cell>
          <cell r="O135">
            <v>470.29999999999939</v>
          </cell>
          <cell r="P135">
            <v>516.69999999999993</v>
          </cell>
          <cell r="Q135">
            <v>4.4999999999996589</v>
          </cell>
          <cell r="R135">
            <v>661.50000000000011</v>
          </cell>
          <cell r="S135">
            <v>-58.799999999998477</v>
          </cell>
          <cell r="T135">
            <v>1123.9000000000012</v>
          </cell>
          <cell r="U135">
            <v>120.49999999999888</v>
          </cell>
          <cell r="V135">
            <v>-51.199999999999307</v>
          </cell>
          <cell r="W135">
            <v>440.59999999999707</v>
          </cell>
          <cell r="X135">
            <v>201.39999999999969</v>
          </cell>
          <cell r="Y135">
            <v>711.29999999999632</v>
          </cell>
          <cell r="Z135">
            <v>516.80000000000007</v>
          </cell>
          <cell r="AA135">
            <v>-239.49999999999889</v>
          </cell>
          <cell r="AB135">
            <v>624.20000000000232</v>
          </cell>
          <cell r="AC135">
            <v>142.49999999999963</v>
          </cell>
          <cell r="AD135">
            <v>1044.0000000000032</v>
          </cell>
          <cell r="AE135">
            <v>-31.099999999999227</v>
          </cell>
          <cell r="AF135">
            <v>275.49999999999989</v>
          </cell>
          <cell r="AG135">
            <v>117.49999999999824</v>
          </cell>
          <cell r="AH135">
            <v>879.20000000000073</v>
          </cell>
          <cell r="AI135">
            <v>1241.0999999999997</v>
          </cell>
          <cell r="AJ135">
            <v>100.49999999999898</v>
          </cell>
          <cell r="AK135">
            <v>576.20000000000027</v>
          </cell>
          <cell r="AL135">
            <v>139.70000000000124</v>
          </cell>
          <cell r="AM135">
            <v>550.59999999999877</v>
          </cell>
          <cell r="AN135">
            <v>1366.9999999999991</v>
          </cell>
          <cell r="AO135">
            <v>165.5000000000008</v>
          </cell>
          <cell r="AP135">
            <v>34.699999999999875</v>
          </cell>
          <cell r="AQ135">
            <v>596.99999999999739</v>
          </cell>
          <cell r="AR135">
            <v>837.99999999999852</v>
          </cell>
          <cell r="AS135">
            <v>1635.1999999999971</v>
          </cell>
          <cell r="AT135">
            <v>1170.3000000000004</v>
          </cell>
          <cell r="AU135">
            <v>1095.1999999999994</v>
          </cell>
          <cell r="AV135">
            <v>278.19999999999976</v>
          </cell>
          <cell r="AW135">
            <v>957.70000000000061</v>
          </cell>
          <cell r="AX135">
            <v>3501.4000000000005</v>
          </cell>
          <cell r="AY135">
            <v>300.29999999999882</v>
          </cell>
          <cell r="AZ135">
            <v>690.5000000000008</v>
          </cell>
          <cell r="BA135">
            <v>374.50000000000006</v>
          </cell>
          <cell r="BB135">
            <v>979.40000000000043</v>
          </cell>
          <cell r="BC135">
            <v>2344.7000000000003</v>
          </cell>
          <cell r="BD135">
            <v>93.999999999999147</v>
          </cell>
          <cell r="BE135">
            <v>546.39999999999964</v>
          </cell>
          <cell r="BF135">
            <v>445.74000000000024</v>
          </cell>
          <cell r="BG135">
            <v>196.26000000000096</v>
          </cell>
          <cell r="BH135">
            <v>1282.4000000000003</v>
          </cell>
          <cell r="BI135">
            <v>1157.3670989389473</v>
          </cell>
          <cell r="BJ135">
            <v>473.35925470067571</v>
          </cell>
          <cell r="BK135">
            <v>538.52456799380298</v>
          </cell>
          <cell r="BL135">
            <v>435.61314949788493</v>
          </cell>
          <cell r="BM135">
            <v>2604.8640711313105</v>
          </cell>
          <cell r="BN135">
            <v>1020.1504245424085</v>
          </cell>
          <cell r="BO135">
            <v>458.94786201269517</v>
          </cell>
          <cell r="BP135">
            <v>498.53992268215779</v>
          </cell>
          <cell r="BQ135">
            <v>522.18326185048591</v>
          </cell>
          <cell r="BR135">
            <v>2499.8214710877473</v>
          </cell>
          <cell r="BS135">
            <v>515.0573246735396</v>
          </cell>
          <cell r="BT135">
            <v>503.54510278474083</v>
          </cell>
          <cell r="BU135">
            <v>554.09199038999998</v>
          </cell>
          <cell r="BV135">
            <v>558.22864712931687</v>
          </cell>
          <cell r="BW135">
            <v>2130.9230649775973</v>
          </cell>
          <cell r="BX135">
            <v>545.63260215670937</v>
          </cell>
          <cell r="BY135">
            <v>512.71950696445094</v>
          </cell>
          <cell r="BZ135">
            <v>554.81206767848221</v>
          </cell>
          <cell r="CA135">
            <v>582.46926753963612</v>
          </cell>
          <cell r="CB135">
            <v>2195.6334443392789</v>
          </cell>
        </row>
        <row r="137">
          <cell r="B137" t="str">
            <v>Capital expenditures</v>
          </cell>
          <cell r="J137">
            <v>-322</v>
          </cell>
          <cell r="O137">
            <v>-235.2</v>
          </cell>
          <cell r="P137">
            <v>-34.299999999999997</v>
          </cell>
          <cell r="Q137">
            <v>-32.400000000000006</v>
          </cell>
          <cell r="R137">
            <v>-33</v>
          </cell>
          <cell r="S137">
            <v>-25.200000000000003</v>
          </cell>
          <cell r="T137">
            <v>-124.9</v>
          </cell>
          <cell r="U137">
            <v>-22.7</v>
          </cell>
          <cell r="V137">
            <v>-20.400000000000002</v>
          </cell>
          <cell r="W137">
            <v>-21.899999999999995</v>
          </cell>
          <cell r="X137">
            <v>-33.099999999999994</v>
          </cell>
          <cell r="Y137">
            <v>-98.1</v>
          </cell>
          <cell r="Z137">
            <v>-23.7</v>
          </cell>
          <cell r="AA137">
            <v>-28.000000000000004</v>
          </cell>
          <cell r="AB137">
            <v>-25.700000000000006</v>
          </cell>
          <cell r="AC137">
            <v>-54.699999999999989</v>
          </cell>
          <cell r="AD137">
            <v>-132.1</v>
          </cell>
          <cell r="AE137">
            <v>-27.7</v>
          </cell>
          <cell r="AF137">
            <v>-28.599999999999998</v>
          </cell>
          <cell r="AG137">
            <v>-31.500000000000004</v>
          </cell>
          <cell r="AH137">
            <v>-63.2</v>
          </cell>
          <cell r="AI137">
            <v>-151</v>
          </cell>
          <cell r="AJ137">
            <v>-25</v>
          </cell>
          <cell r="AK137">
            <v>-34.4</v>
          </cell>
          <cell r="AL137">
            <v>-34.1</v>
          </cell>
          <cell r="AM137">
            <v>-84.199999999999989</v>
          </cell>
          <cell r="AN137">
            <v>-177.7</v>
          </cell>
          <cell r="AO137">
            <v>-39.1</v>
          </cell>
          <cell r="AP137">
            <v>-48.499999999999993</v>
          </cell>
          <cell r="AQ137">
            <v>-68.900000000000006</v>
          </cell>
          <cell r="AR137">
            <v>-130.39999999999998</v>
          </cell>
          <cell r="AS137">
            <v>-286.89999999999998</v>
          </cell>
          <cell r="AT137">
            <v>-35.4</v>
          </cell>
          <cell r="AU137">
            <v>-62.699999999999996</v>
          </cell>
          <cell r="AV137">
            <v>-56.200000000000024</v>
          </cell>
          <cell r="AW137">
            <v>-84.5</v>
          </cell>
          <cell r="AX137">
            <v>-238.8</v>
          </cell>
          <cell r="AY137">
            <v>-42.6</v>
          </cell>
          <cell r="AZ137">
            <v>-57.800000000000004</v>
          </cell>
          <cell r="BA137">
            <v>-63.699999999999982</v>
          </cell>
          <cell r="BB137">
            <v>-86</v>
          </cell>
          <cell r="BC137">
            <v>-250.1</v>
          </cell>
          <cell r="BD137">
            <v>-44.5</v>
          </cell>
          <cell r="BE137">
            <v>-66.599999999999994</v>
          </cell>
          <cell r="BF137">
            <v>-79.200000000000017</v>
          </cell>
          <cell r="BG137">
            <v>-134.30000000000001</v>
          </cell>
          <cell r="BH137">
            <v>-324.60000000000002</v>
          </cell>
          <cell r="BI137">
            <v>-43.75</v>
          </cell>
          <cell r="BJ137">
            <v>-43.75</v>
          </cell>
          <cell r="BK137">
            <v>-43.75</v>
          </cell>
          <cell r="BL137">
            <v>-43.75</v>
          </cell>
          <cell r="BM137">
            <v>-175</v>
          </cell>
          <cell r="BN137">
            <v>-50</v>
          </cell>
          <cell r="BO137">
            <v>-50</v>
          </cell>
          <cell r="BP137">
            <v>-50</v>
          </cell>
          <cell r="BQ137">
            <v>-50</v>
          </cell>
          <cell r="BR137">
            <v>-200</v>
          </cell>
          <cell r="BS137">
            <v>-50</v>
          </cell>
          <cell r="BT137">
            <v>-50</v>
          </cell>
          <cell r="BU137">
            <v>-50</v>
          </cell>
          <cell r="BV137">
            <v>-50</v>
          </cell>
          <cell r="BW137">
            <v>-200</v>
          </cell>
          <cell r="BX137">
            <v>-50</v>
          </cell>
          <cell r="BY137">
            <v>-50</v>
          </cell>
          <cell r="BZ137">
            <v>-50</v>
          </cell>
          <cell r="CA137">
            <v>-50</v>
          </cell>
          <cell r="CB137">
            <v>-200</v>
          </cell>
          <cell r="CI137" t="str">
            <v>mstag:capitalExpenditures</v>
          </cell>
          <cell r="CJ137">
            <v>6</v>
          </cell>
          <cell r="CK137" t="str">
            <v>ISO4217:USD</v>
          </cell>
          <cell r="CL137" t="b">
            <v>1</v>
          </cell>
        </row>
        <row r="138">
          <cell r="B138" t="str">
            <v>Purchase/Sale of securities and other investments</v>
          </cell>
          <cell r="J138">
            <v>-7.9000000000000057</v>
          </cell>
          <cell r="K138">
            <v>0</v>
          </cell>
          <cell r="L138">
            <v>0</v>
          </cell>
          <cell r="M138">
            <v>0</v>
          </cell>
          <cell r="N138">
            <v>0</v>
          </cell>
          <cell r="O138">
            <v>-5.2000000000000028</v>
          </cell>
          <cell r="P138">
            <v>-2.2999999999999989</v>
          </cell>
          <cell r="Q138">
            <v>-3.4000000000000039</v>
          </cell>
          <cell r="R138">
            <v>-1.5000000000000142</v>
          </cell>
          <cell r="S138">
            <v>13</v>
          </cell>
          <cell r="T138">
            <v>5.7999999999999829</v>
          </cell>
          <cell r="U138">
            <v>-0.89999999999999991</v>
          </cell>
          <cell r="V138">
            <v>-1.4000000000000008</v>
          </cell>
          <cell r="W138">
            <v>-1.3000000000000007</v>
          </cell>
          <cell r="X138">
            <v>-0.19999999999999574</v>
          </cell>
          <cell r="Y138">
            <v>-3.7999999999999972</v>
          </cell>
          <cell r="Z138">
            <v>-0.6</v>
          </cell>
          <cell r="AA138">
            <v>1.4000000000000044</v>
          </cell>
          <cell r="AB138">
            <v>-0.80000000000000437</v>
          </cell>
          <cell r="AC138">
            <v>7.7000000000000028</v>
          </cell>
          <cell r="AD138">
            <v>7.7000000000000028</v>
          </cell>
          <cell r="AE138">
            <v>-9.9999999999999645E-2</v>
          </cell>
          <cell r="AF138">
            <v>-1.9000000000000004</v>
          </cell>
          <cell r="AG138">
            <v>-0.80000000000001137</v>
          </cell>
          <cell r="AH138">
            <v>-1.6999999999999886</v>
          </cell>
          <cell r="AI138">
            <v>-4.5</v>
          </cell>
          <cell r="AJ138">
            <v>-3.3000000000000003</v>
          </cell>
          <cell r="AK138">
            <v>8.5000000000000036</v>
          </cell>
          <cell r="AL138">
            <v>-9.7999999999999972</v>
          </cell>
          <cell r="AM138">
            <v>-0.90000000000000568</v>
          </cell>
          <cell r="AN138">
            <v>-5.5</v>
          </cell>
          <cell r="AO138">
            <v>-6.5</v>
          </cell>
          <cell r="AP138">
            <v>-0.5</v>
          </cell>
          <cell r="AQ138">
            <v>3</v>
          </cell>
          <cell r="AR138">
            <v>1.2000000000000028</v>
          </cell>
          <cell r="AS138">
            <v>-2.7999999999999972</v>
          </cell>
          <cell r="AT138">
            <v>-61.499999999999993</v>
          </cell>
          <cell r="AU138">
            <v>0.39999999999999147</v>
          </cell>
          <cell r="AV138">
            <v>-1.7000000000000028</v>
          </cell>
          <cell r="AW138">
            <v>-3.3999999999999986</v>
          </cell>
          <cell r="AX138">
            <v>-66.2</v>
          </cell>
          <cell r="AY138">
            <v>-2.8000000000000007</v>
          </cell>
          <cell r="AZ138">
            <v>-1.8999999999999986</v>
          </cell>
          <cell r="BA138">
            <v>-9.0999999999999979</v>
          </cell>
          <cell r="BB138">
            <v>-3.1000000000000014</v>
          </cell>
          <cell r="BC138">
            <v>-16.899999999999999</v>
          </cell>
          <cell r="BD138">
            <v>10.199999999999999</v>
          </cell>
          <cell r="BE138">
            <v>24.2</v>
          </cell>
          <cell r="BF138">
            <v>-3.3000000000000007</v>
          </cell>
          <cell r="BG138">
            <v>-19.099999999999998</v>
          </cell>
          <cell r="BH138">
            <v>12</v>
          </cell>
          <cell r="BI138">
            <v>0</v>
          </cell>
          <cell r="BJ138">
            <v>0</v>
          </cell>
          <cell r="BK138">
            <v>0</v>
          </cell>
          <cell r="BL138">
            <v>0</v>
          </cell>
          <cell r="BM138">
            <v>0</v>
          </cell>
          <cell r="BN138">
            <v>0</v>
          </cell>
          <cell r="BO138">
            <v>0</v>
          </cell>
          <cell r="BP138">
            <v>0</v>
          </cell>
          <cell r="BQ138">
            <v>0</v>
          </cell>
          <cell r="BR138">
            <v>0</v>
          </cell>
          <cell r="BS138">
            <v>0</v>
          </cell>
          <cell r="BT138">
            <v>0</v>
          </cell>
          <cell r="BU138">
            <v>0</v>
          </cell>
          <cell r="BV138">
            <v>0</v>
          </cell>
          <cell r="BW138">
            <v>0</v>
          </cell>
          <cell r="BX138">
            <v>0</v>
          </cell>
          <cell r="BY138">
            <v>0</v>
          </cell>
          <cell r="BZ138">
            <v>0</v>
          </cell>
          <cell r="CA138">
            <v>0</v>
          </cell>
          <cell r="CB138">
            <v>0</v>
          </cell>
          <cell r="CI138" t="str">
            <v>mstag:proceedsFromSaleOfFundsUsedTopurchaseSecuritiesAndOtherInvestments</v>
          </cell>
          <cell r="CJ138">
            <v>6</v>
          </cell>
          <cell r="CK138" t="str">
            <v>ISO4217:USD</v>
          </cell>
          <cell r="CL138" t="b">
            <v>0</v>
          </cell>
        </row>
        <row r="139">
          <cell r="B139" t="str">
            <v>Acquisitions</v>
          </cell>
          <cell r="J139">
            <v>0</v>
          </cell>
          <cell r="K139">
            <v>0</v>
          </cell>
          <cell r="L139">
            <v>0</v>
          </cell>
          <cell r="M139">
            <v>0</v>
          </cell>
          <cell r="N139">
            <v>0</v>
          </cell>
          <cell r="O139">
            <v>0</v>
          </cell>
          <cell r="P139">
            <v>0</v>
          </cell>
          <cell r="Q139">
            <v>0</v>
          </cell>
          <cell r="R139">
            <v>0</v>
          </cell>
          <cell r="S139">
            <v>0</v>
          </cell>
          <cell r="T139">
            <v>0</v>
          </cell>
          <cell r="U139">
            <v>0</v>
          </cell>
          <cell r="V139">
            <v>0</v>
          </cell>
          <cell r="W139">
            <v>0</v>
          </cell>
          <cell r="X139">
            <v>0</v>
          </cell>
          <cell r="Y139">
            <v>0</v>
          </cell>
          <cell r="Z139">
            <v>0</v>
          </cell>
          <cell r="AA139">
            <v>0</v>
          </cell>
          <cell r="AB139">
            <v>-989.1</v>
          </cell>
          <cell r="AC139">
            <v>-72.800000000000068</v>
          </cell>
          <cell r="AD139">
            <v>-1061.9000000000001</v>
          </cell>
          <cell r="AE139">
            <v>0</v>
          </cell>
          <cell r="AF139">
            <v>0</v>
          </cell>
          <cell r="AG139">
            <v>0</v>
          </cell>
          <cell r="AH139">
            <v>0</v>
          </cell>
          <cell r="AI139">
            <v>0</v>
          </cell>
          <cell r="AJ139">
            <v>0</v>
          </cell>
          <cell r="AK139">
            <v>0</v>
          </cell>
          <cell r="AL139">
            <v>0</v>
          </cell>
          <cell r="AM139">
            <v>-1530.6</v>
          </cell>
          <cell r="AN139">
            <v>-1530.6</v>
          </cell>
          <cell r="AO139">
            <v>0</v>
          </cell>
          <cell r="AP139">
            <v>-126.2</v>
          </cell>
          <cell r="AQ139">
            <v>-0.29999999999999716</v>
          </cell>
          <cell r="AR139">
            <v>0</v>
          </cell>
          <cell r="AS139">
            <v>-126.5</v>
          </cell>
          <cell r="AT139">
            <v>0</v>
          </cell>
          <cell r="AU139">
            <v>0</v>
          </cell>
          <cell r="AV139">
            <v>0</v>
          </cell>
          <cell r="AW139">
            <v>0</v>
          </cell>
          <cell r="AX139">
            <v>0</v>
          </cell>
          <cell r="AY139">
            <v>-19.399999999999999</v>
          </cell>
          <cell r="AZ139">
            <v>-14.399999999999999</v>
          </cell>
          <cell r="BA139">
            <v>-667.30000000000007</v>
          </cell>
          <cell r="BB139">
            <v>-51.399999999999977</v>
          </cell>
          <cell r="BC139">
            <v>-752.5</v>
          </cell>
          <cell r="BD139">
            <v>0</v>
          </cell>
          <cell r="BE139">
            <v>-3.4</v>
          </cell>
          <cell r="BF139">
            <v>-11.7</v>
          </cell>
          <cell r="BG139">
            <v>9.9999999999999645E-2</v>
          </cell>
          <cell r="BH139">
            <v>-15</v>
          </cell>
          <cell r="BI139">
            <v>0</v>
          </cell>
          <cell r="BJ139">
            <v>0</v>
          </cell>
          <cell r="BK139">
            <v>0</v>
          </cell>
          <cell r="BL139">
            <v>0</v>
          </cell>
          <cell r="BM139">
            <v>0</v>
          </cell>
          <cell r="BN139">
            <v>0</v>
          </cell>
          <cell r="BO139">
            <v>0</v>
          </cell>
          <cell r="BP139">
            <v>0</v>
          </cell>
          <cell r="BQ139">
            <v>0</v>
          </cell>
          <cell r="BR139">
            <v>0</v>
          </cell>
          <cell r="BS139">
            <v>0</v>
          </cell>
          <cell r="BT139">
            <v>0</v>
          </cell>
          <cell r="BU139">
            <v>0</v>
          </cell>
          <cell r="BV139">
            <v>0</v>
          </cell>
          <cell r="BW139">
            <v>0</v>
          </cell>
          <cell r="BX139">
            <v>0</v>
          </cell>
          <cell r="BY139">
            <v>0</v>
          </cell>
          <cell r="BZ139">
            <v>0</v>
          </cell>
          <cell r="CA139">
            <v>0</v>
          </cell>
          <cell r="CB139">
            <v>0</v>
          </cell>
          <cell r="CI139" t="str">
            <v>mstag:netDisposalsAcquisitions</v>
          </cell>
          <cell r="CJ139">
            <v>6</v>
          </cell>
          <cell r="CK139" t="str">
            <v>ISO4217:USD</v>
          </cell>
          <cell r="CL139" t="b">
            <v>0</v>
          </cell>
        </row>
        <row r="140">
          <cell r="B140" t="str">
            <v>Other</v>
          </cell>
          <cell r="J140">
            <v>-0.3</v>
          </cell>
          <cell r="K140">
            <v>5.0000000000000001E-3</v>
          </cell>
          <cell r="L140">
            <v>5.0000000000000001E-3</v>
          </cell>
          <cell r="M140">
            <v>5.0000000000000001E-3</v>
          </cell>
          <cell r="N140">
            <v>5.0000000000000001E-3</v>
          </cell>
          <cell r="O140">
            <v>0</v>
          </cell>
          <cell r="P140">
            <v>0</v>
          </cell>
          <cell r="Q140">
            <v>0</v>
          </cell>
          <cell r="R140">
            <v>0</v>
          </cell>
          <cell r="S140">
            <v>0</v>
          </cell>
          <cell r="T140">
            <v>0</v>
          </cell>
          <cell r="U140">
            <v>0</v>
          </cell>
          <cell r="V140">
            <v>0</v>
          </cell>
          <cell r="W140">
            <v>0</v>
          </cell>
          <cell r="X140">
            <v>0</v>
          </cell>
          <cell r="Y140">
            <v>0</v>
          </cell>
          <cell r="Z140">
            <v>0</v>
          </cell>
          <cell r="AA140">
            <v>0</v>
          </cell>
          <cell r="AB140">
            <v>0</v>
          </cell>
          <cell r="AC140">
            <v>0</v>
          </cell>
          <cell r="AD140">
            <v>0</v>
          </cell>
          <cell r="AE140">
            <v>0</v>
          </cell>
          <cell r="AF140">
            <v>0</v>
          </cell>
          <cell r="AG140">
            <v>0</v>
          </cell>
          <cell r="AH140">
            <v>0</v>
          </cell>
          <cell r="AI140">
            <v>0</v>
          </cell>
          <cell r="AJ140">
            <v>0</v>
          </cell>
          <cell r="AK140">
            <v>0</v>
          </cell>
          <cell r="AL140">
            <v>0</v>
          </cell>
          <cell r="AM140">
            <v>0</v>
          </cell>
          <cell r="AN140">
            <v>0</v>
          </cell>
          <cell r="AO140">
            <v>0</v>
          </cell>
          <cell r="AP140">
            <v>0</v>
          </cell>
          <cell r="AQ140">
            <v>0</v>
          </cell>
          <cell r="AR140">
            <v>0</v>
          </cell>
          <cell r="AS140">
            <v>0</v>
          </cell>
          <cell r="AT140">
            <v>0</v>
          </cell>
          <cell r="AU140">
            <v>0</v>
          </cell>
          <cell r="AV140">
            <v>0</v>
          </cell>
          <cell r="AW140">
            <v>0</v>
          </cell>
          <cell r="AX140">
            <v>0</v>
          </cell>
          <cell r="AY140">
            <v>0</v>
          </cell>
          <cell r="AZ140">
            <v>0</v>
          </cell>
          <cell r="BA140">
            <v>0</v>
          </cell>
          <cell r="BB140">
            <v>0</v>
          </cell>
          <cell r="BC140">
            <v>0</v>
          </cell>
          <cell r="BD140">
            <v>0</v>
          </cell>
          <cell r="BF140">
            <v>0</v>
          </cell>
          <cell r="BG140">
            <v>0</v>
          </cell>
          <cell r="BH140">
            <v>0</v>
          </cell>
          <cell r="BI140">
            <v>0</v>
          </cell>
          <cell r="BJ140">
            <v>0</v>
          </cell>
          <cell r="BK140">
            <v>0</v>
          </cell>
          <cell r="BL140">
            <v>0</v>
          </cell>
          <cell r="BM140">
            <v>0</v>
          </cell>
          <cell r="BN140">
            <v>0</v>
          </cell>
          <cell r="BO140">
            <v>0</v>
          </cell>
          <cell r="BP140">
            <v>0</v>
          </cell>
          <cell r="BQ140">
            <v>0</v>
          </cell>
          <cell r="BR140">
            <v>0</v>
          </cell>
          <cell r="BS140">
            <v>0</v>
          </cell>
          <cell r="BT140">
            <v>0</v>
          </cell>
          <cell r="BU140">
            <v>0</v>
          </cell>
          <cell r="BV140">
            <v>0</v>
          </cell>
          <cell r="BW140">
            <v>0</v>
          </cell>
          <cell r="BX140">
            <v>0</v>
          </cell>
          <cell r="BY140">
            <v>0</v>
          </cell>
          <cell r="BZ140">
            <v>0</v>
          </cell>
          <cell r="CA140">
            <v>0</v>
          </cell>
          <cell r="CB140">
            <v>0</v>
          </cell>
          <cell r="CI140" t="str">
            <v>mstag:netDecreaseInInvestmentsNonOperating</v>
          </cell>
          <cell r="CJ140">
            <v>6</v>
          </cell>
          <cell r="CK140" t="str">
            <v>ISO4217:USD</v>
          </cell>
          <cell r="CL140" t="b">
            <v>0</v>
          </cell>
        </row>
        <row r="141">
          <cell r="B141" t="str">
            <v>Cash from investing</v>
          </cell>
          <cell r="F141">
            <v>0</v>
          </cell>
          <cell r="G141">
            <v>0</v>
          </cell>
          <cell r="H141">
            <v>0</v>
          </cell>
          <cell r="I141">
            <v>0</v>
          </cell>
          <cell r="J141">
            <v>-330.2</v>
          </cell>
          <cell r="K141">
            <v>5.0000000000000001E-3</v>
          </cell>
          <cell r="L141">
            <v>5.0000000000000001E-3</v>
          </cell>
          <cell r="M141">
            <v>5.0000000000000001E-3</v>
          </cell>
          <cell r="N141">
            <v>5.0000000000000001E-3</v>
          </cell>
          <cell r="O141">
            <v>-240.39999999999998</v>
          </cell>
          <cell r="P141">
            <v>-36.599999999999994</v>
          </cell>
          <cell r="Q141">
            <v>-35.800000000000011</v>
          </cell>
          <cell r="R141">
            <v>-34.500000000000014</v>
          </cell>
          <cell r="S141">
            <v>-12.200000000000003</v>
          </cell>
          <cell r="T141">
            <v>-119.10000000000002</v>
          </cell>
          <cell r="U141">
            <v>-23.599999999999998</v>
          </cell>
          <cell r="V141">
            <v>-21.800000000000004</v>
          </cell>
          <cell r="W141">
            <v>-23.199999999999996</v>
          </cell>
          <cell r="X141">
            <v>-33.29999999999999</v>
          </cell>
          <cell r="Y141">
            <v>-101.89999999999999</v>
          </cell>
          <cell r="Z141">
            <v>-24.3</v>
          </cell>
          <cell r="AA141">
            <v>-26.599999999999998</v>
          </cell>
          <cell r="AB141">
            <v>-1015.6</v>
          </cell>
          <cell r="AC141">
            <v>-119.80000000000005</v>
          </cell>
          <cell r="AD141">
            <v>-1186.3000000000002</v>
          </cell>
          <cell r="AE141">
            <v>-27.799999999999997</v>
          </cell>
          <cell r="AF141">
            <v>-30.5</v>
          </cell>
          <cell r="AG141">
            <v>-32.300000000000011</v>
          </cell>
          <cell r="AH141">
            <v>-64.899999999999991</v>
          </cell>
          <cell r="AI141">
            <v>-155.5</v>
          </cell>
          <cell r="AJ141">
            <v>-28.3</v>
          </cell>
          <cell r="AK141">
            <v>-25.899999999999995</v>
          </cell>
          <cell r="AL141">
            <v>-43.9</v>
          </cell>
          <cell r="AM141">
            <v>-1615.6999999999998</v>
          </cell>
          <cell r="AN141">
            <v>-1713.8</v>
          </cell>
          <cell r="AO141">
            <v>-45.6</v>
          </cell>
          <cell r="AP141">
            <v>-175.2</v>
          </cell>
          <cell r="AQ141">
            <v>-66.2</v>
          </cell>
          <cell r="AR141">
            <v>-129.19999999999999</v>
          </cell>
          <cell r="AS141">
            <v>-416.2</v>
          </cell>
          <cell r="AT141">
            <v>-96.899999999999991</v>
          </cell>
          <cell r="AU141">
            <v>-62.300000000000004</v>
          </cell>
          <cell r="AV141">
            <v>-57.900000000000027</v>
          </cell>
          <cell r="AW141">
            <v>-87.9</v>
          </cell>
          <cell r="AX141">
            <v>-305</v>
          </cell>
          <cell r="AY141">
            <v>-64.800000000000011</v>
          </cell>
          <cell r="AZ141">
            <v>-74.099999999999994</v>
          </cell>
          <cell r="BA141">
            <v>-740.1</v>
          </cell>
          <cell r="BC141">
            <v>-1019.5</v>
          </cell>
          <cell r="BD141">
            <v>-34.299999999999997</v>
          </cell>
          <cell r="BE141">
            <v>-45.79999999999999</v>
          </cell>
          <cell r="BF141">
            <v>-94.200000000000017</v>
          </cell>
          <cell r="BG141">
            <v>-153.30000000000001</v>
          </cell>
          <cell r="BH141">
            <v>-327.60000000000002</v>
          </cell>
          <cell r="BI141">
            <v>-43.75</v>
          </cell>
          <cell r="BJ141">
            <v>-43.75</v>
          </cell>
          <cell r="BK141">
            <v>-43.75</v>
          </cell>
          <cell r="BL141">
            <v>-43.75</v>
          </cell>
          <cell r="BM141">
            <v>-175</v>
          </cell>
          <cell r="BN141">
            <v>-50</v>
          </cell>
          <cell r="BO141">
            <v>-50</v>
          </cell>
          <cell r="BP141">
            <v>-50</v>
          </cell>
          <cell r="BQ141">
            <v>-50</v>
          </cell>
          <cell r="BR141">
            <v>-200</v>
          </cell>
          <cell r="BS141">
            <v>-50</v>
          </cell>
          <cell r="BT141">
            <v>-50</v>
          </cell>
          <cell r="BU141">
            <v>-50</v>
          </cell>
          <cell r="BV141">
            <v>-50</v>
          </cell>
          <cell r="BW141">
            <v>-200</v>
          </cell>
          <cell r="BX141">
            <v>-50</v>
          </cell>
          <cell r="BY141">
            <v>-50</v>
          </cell>
          <cell r="BZ141">
            <v>-50</v>
          </cell>
          <cell r="CA141">
            <v>-50</v>
          </cell>
          <cell r="CB141">
            <v>-200</v>
          </cell>
        </row>
        <row r="143">
          <cell r="B143" t="str">
            <v>Common stock</v>
          </cell>
          <cell r="J143">
            <v>0</v>
          </cell>
          <cell r="K143">
            <v>0</v>
          </cell>
          <cell r="L143">
            <v>0</v>
          </cell>
          <cell r="M143">
            <v>0</v>
          </cell>
          <cell r="N143">
            <v>0</v>
          </cell>
          <cell r="O143">
            <v>0</v>
          </cell>
          <cell r="P143">
            <v>0</v>
          </cell>
          <cell r="Q143">
            <v>0</v>
          </cell>
          <cell r="R143">
            <v>0</v>
          </cell>
          <cell r="S143">
            <v>0</v>
          </cell>
          <cell r="T143">
            <v>0</v>
          </cell>
          <cell r="U143">
            <v>0</v>
          </cell>
          <cell r="V143">
            <v>0</v>
          </cell>
          <cell r="W143">
            <v>0</v>
          </cell>
          <cell r="X143">
            <v>0</v>
          </cell>
          <cell r="Y143">
            <v>0</v>
          </cell>
          <cell r="Z143">
            <v>0</v>
          </cell>
          <cell r="AA143">
            <v>143.9</v>
          </cell>
          <cell r="AB143">
            <v>-213</v>
          </cell>
          <cell r="AC143">
            <v>-338.20000000000005</v>
          </cell>
          <cell r="AD143">
            <v>-407.30000000000007</v>
          </cell>
          <cell r="AE143">
            <v>-204.4</v>
          </cell>
          <cell r="AF143">
            <v>-549</v>
          </cell>
          <cell r="AG143">
            <v>-72.499999999999972</v>
          </cell>
          <cell r="AH143">
            <v>-323.10000000000002</v>
          </cell>
          <cell r="AI143">
            <v>-1149</v>
          </cell>
          <cell r="AJ143">
            <v>-781.9</v>
          </cell>
          <cell r="AK143">
            <v>-665.30000000000007</v>
          </cell>
          <cell r="AL143">
            <v>-513.39999999999986</v>
          </cell>
          <cell r="AM143">
            <v>0</v>
          </cell>
          <cell r="AN143">
            <v>-1960.6</v>
          </cell>
          <cell r="AO143">
            <v>-1000.8</v>
          </cell>
          <cell r="AP143">
            <v>-562.5</v>
          </cell>
          <cell r="AQ143">
            <v>-393</v>
          </cell>
          <cell r="AR143">
            <v>-229.79999999999995</v>
          </cell>
          <cell r="AS143">
            <v>-2186.1</v>
          </cell>
          <cell r="AT143">
            <v>-215.6</v>
          </cell>
          <cell r="AU143">
            <v>-791.5</v>
          </cell>
          <cell r="AV143">
            <v>0</v>
          </cell>
          <cell r="AW143">
            <v>-231.39999999999998</v>
          </cell>
          <cell r="AX143">
            <v>-1238.5</v>
          </cell>
          <cell r="AY143">
            <v>-1229.9000000000001</v>
          </cell>
          <cell r="AZ143">
            <v>-1028</v>
          </cell>
          <cell r="BA143">
            <v>-903.5</v>
          </cell>
          <cell r="BB143">
            <v>-963.40000000000009</v>
          </cell>
          <cell r="BC143">
            <v>-4124.8</v>
          </cell>
          <cell r="BD143">
            <v>-836.6</v>
          </cell>
          <cell r="BE143">
            <v>-599.99999999999989</v>
          </cell>
          <cell r="BF143">
            <v>-350</v>
          </cell>
          <cell r="BG143">
            <v>0</v>
          </cell>
          <cell r="BH143">
            <v>-1786.6</v>
          </cell>
          <cell r="BI143">
            <v>0</v>
          </cell>
          <cell r="BJ143">
            <v>0</v>
          </cell>
          <cell r="BK143">
            <v>-2000</v>
          </cell>
          <cell r="BL143">
            <v>-400</v>
          </cell>
          <cell r="BM143">
            <v>-2400</v>
          </cell>
          <cell r="BN143">
            <v>-900</v>
          </cell>
          <cell r="BO143">
            <v>-500</v>
          </cell>
          <cell r="BP143">
            <v>-100</v>
          </cell>
          <cell r="BQ143">
            <v>-100</v>
          </cell>
          <cell r="BR143">
            <v>-1600</v>
          </cell>
          <cell r="BS143">
            <v>-1200</v>
          </cell>
          <cell r="BT143">
            <v>-425</v>
          </cell>
          <cell r="BU143">
            <v>-300</v>
          </cell>
          <cell r="BV143">
            <v>-175</v>
          </cell>
          <cell r="BW143">
            <v>-2100</v>
          </cell>
          <cell r="BX143">
            <v>-1000</v>
          </cell>
          <cell r="BY143">
            <v>-450</v>
          </cell>
          <cell r="BZ143">
            <v>-400</v>
          </cell>
          <cell r="CA143">
            <v>-250</v>
          </cell>
          <cell r="CB143">
            <v>-2100</v>
          </cell>
          <cell r="CI143" t="str">
            <v>mstag:proceedsFromIssuanceFundsUsedToRepurchaseCommonStock</v>
          </cell>
          <cell r="CJ143">
            <v>6</v>
          </cell>
          <cell r="CK143" t="str">
            <v>ISO4217:USD</v>
          </cell>
          <cell r="CL143" t="b">
            <v>0</v>
          </cell>
        </row>
        <row r="144">
          <cell r="B144" t="str">
            <v>Options</v>
          </cell>
          <cell r="J144">
            <v>0</v>
          </cell>
          <cell r="K144">
            <v>0</v>
          </cell>
          <cell r="L144">
            <v>0</v>
          </cell>
          <cell r="M144">
            <v>0</v>
          </cell>
          <cell r="N144">
            <v>0</v>
          </cell>
          <cell r="O144">
            <v>0</v>
          </cell>
          <cell r="P144">
            <v>0</v>
          </cell>
          <cell r="Q144">
            <v>0</v>
          </cell>
          <cell r="R144">
            <v>0</v>
          </cell>
          <cell r="S144">
            <v>12.1</v>
          </cell>
          <cell r="T144">
            <v>12.1</v>
          </cell>
          <cell r="U144">
            <v>11.6</v>
          </cell>
          <cell r="V144">
            <v>24.699999999999996</v>
          </cell>
          <cell r="W144">
            <v>8.7000000000000046</v>
          </cell>
          <cell r="X144">
            <v>56.599999999999987</v>
          </cell>
          <cell r="Y144">
            <v>101.6</v>
          </cell>
          <cell r="Z144">
            <v>60.6</v>
          </cell>
          <cell r="AA144">
            <v>-60.6</v>
          </cell>
          <cell r="AB144">
            <v>263.7</v>
          </cell>
          <cell r="AC144">
            <v>99.5</v>
          </cell>
          <cell r="AD144">
            <v>363.2</v>
          </cell>
          <cell r="AE144">
            <v>104.80000000000001</v>
          </cell>
          <cell r="AF144">
            <v>-0.50000000000001421</v>
          </cell>
          <cell r="AG144">
            <v>78</v>
          </cell>
          <cell r="AH144">
            <v>12.499999999999986</v>
          </cell>
          <cell r="AI144">
            <v>194.79999999999998</v>
          </cell>
          <cell r="AJ144">
            <v>118.2</v>
          </cell>
          <cell r="AK144">
            <v>-118.2</v>
          </cell>
          <cell r="AL144">
            <v>0</v>
          </cell>
          <cell r="AM144">
            <v>0</v>
          </cell>
          <cell r="AN144">
            <v>0</v>
          </cell>
          <cell r="AO144">
            <v>0</v>
          </cell>
          <cell r="AP144">
            <v>0</v>
          </cell>
          <cell r="AQ144">
            <v>0</v>
          </cell>
          <cell r="AR144">
            <v>0</v>
          </cell>
          <cell r="AS144">
            <v>0</v>
          </cell>
          <cell r="AT144">
            <v>0</v>
          </cell>
          <cell r="AU144">
            <v>0</v>
          </cell>
          <cell r="AV144">
            <v>0</v>
          </cell>
          <cell r="AW144">
            <v>0</v>
          </cell>
          <cell r="AX144">
            <v>0</v>
          </cell>
          <cell r="AY144">
            <v>0</v>
          </cell>
          <cell r="AZ144">
            <v>0</v>
          </cell>
          <cell r="BA144">
            <v>0</v>
          </cell>
          <cell r="BB144">
            <v>0</v>
          </cell>
          <cell r="BC144">
            <v>0</v>
          </cell>
          <cell r="BD144">
            <v>0</v>
          </cell>
          <cell r="BE144">
            <v>107</v>
          </cell>
          <cell r="BF144">
            <v>63.400000000000006</v>
          </cell>
          <cell r="BG144">
            <v>18.300000000000011</v>
          </cell>
          <cell r="BH144">
            <v>188.70000000000002</v>
          </cell>
          <cell r="BI144">
            <v>0</v>
          </cell>
          <cell r="BJ144">
            <v>0</v>
          </cell>
          <cell r="BK144">
            <v>0</v>
          </cell>
          <cell r="BL144">
            <v>0</v>
          </cell>
          <cell r="BM144">
            <v>0</v>
          </cell>
          <cell r="BN144">
            <v>0</v>
          </cell>
          <cell r="BO144">
            <v>0</v>
          </cell>
          <cell r="BP144">
            <v>0</v>
          </cell>
          <cell r="BQ144">
            <v>0</v>
          </cell>
          <cell r="BR144">
            <v>0</v>
          </cell>
          <cell r="BS144">
            <v>0</v>
          </cell>
          <cell r="BT144">
            <v>0</v>
          </cell>
          <cell r="BU144">
            <v>0</v>
          </cell>
          <cell r="BV144">
            <v>0</v>
          </cell>
          <cell r="BW144">
            <v>0</v>
          </cell>
          <cell r="BX144">
            <v>0</v>
          </cell>
          <cell r="BY144">
            <v>0</v>
          </cell>
          <cell r="BZ144">
            <v>0</v>
          </cell>
          <cell r="CA144">
            <v>0</v>
          </cell>
          <cell r="CB144">
            <v>0</v>
          </cell>
          <cell r="CI144" t="str">
            <v>mstag:taxBenefitFromExerciseOfEsosCashFlowStatement</v>
          </cell>
          <cell r="CJ144">
            <v>6</v>
          </cell>
          <cell r="CK144" t="str">
            <v>ISO4217:USD</v>
          </cell>
          <cell r="CL144" t="b">
            <v>0</v>
          </cell>
        </row>
        <row r="145">
          <cell r="B145" t="str">
            <v>Long term debt</v>
          </cell>
          <cell r="J145">
            <v>0</v>
          </cell>
          <cell r="K145">
            <v>0</v>
          </cell>
          <cell r="L145">
            <v>0</v>
          </cell>
          <cell r="M145">
            <v>0</v>
          </cell>
          <cell r="N145">
            <v>0</v>
          </cell>
          <cell r="O145">
            <v>0</v>
          </cell>
          <cell r="P145">
            <v>0</v>
          </cell>
          <cell r="Q145">
            <v>0</v>
          </cell>
          <cell r="R145">
            <v>1376.9</v>
          </cell>
          <cell r="S145">
            <v>-1.5</v>
          </cell>
          <cell r="T145">
            <v>1375.4</v>
          </cell>
          <cell r="U145">
            <v>-103.8</v>
          </cell>
          <cell r="V145">
            <v>-0.40000000000000568</v>
          </cell>
          <cell r="W145">
            <v>-20</v>
          </cell>
          <cell r="X145">
            <v>-79.999999999999986</v>
          </cell>
          <cell r="Y145">
            <v>-204.2</v>
          </cell>
          <cell r="Z145">
            <v>-200</v>
          </cell>
          <cell r="AA145">
            <v>-20</v>
          </cell>
          <cell r="AB145">
            <v>373.59999999999991</v>
          </cell>
          <cell r="AC145">
            <v>-218.79999999999995</v>
          </cell>
          <cell r="AD145">
            <v>-65.200000000000045</v>
          </cell>
          <cell r="AE145">
            <v>-18.8</v>
          </cell>
          <cell r="AF145">
            <v>-18.900000000000002</v>
          </cell>
          <cell r="AG145">
            <v>-19.299999999999994</v>
          </cell>
          <cell r="AH145">
            <v>-144</v>
          </cell>
          <cell r="AI145">
            <v>-201</v>
          </cell>
          <cell r="AJ145">
            <v>256.10000000000002</v>
          </cell>
          <cell r="AK145">
            <v>560.79999999999995</v>
          </cell>
          <cell r="AL145">
            <v>-0.10000000000002274</v>
          </cell>
          <cell r="AM145">
            <v>1167.9999999999998</v>
          </cell>
          <cell r="AN145">
            <v>1984.7999999999997</v>
          </cell>
          <cell r="AO145">
            <v>675.6</v>
          </cell>
          <cell r="AP145">
            <v>510.0999999999998</v>
          </cell>
          <cell r="AQ145">
            <v>-100</v>
          </cell>
          <cell r="AR145">
            <v>0</v>
          </cell>
          <cell r="AS145">
            <v>1085.6999999999998</v>
          </cell>
          <cell r="AT145">
            <v>0</v>
          </cell>
          <cell r="AU145">
            <v>9.1</v>
          </cell>
          <cell r="AV145">
            <v>-397.70000000000005</v>
          </cell>
          <cell r="AW145">
            <v>-196</v>
          </cell>
          <cell r="AX145">
            <v>-584.6</v>
          </cell>
          <cell r="AY145">
            <v>5.3</v>
          </cell>
          <cell r="AZ145">
            <v>-2</v>
          </cell>
          <cell r="BA145">
            <v>965.59999999999991</v>
          </cell>
          <cell r="BB145">
            <v>3.7999999999999545</v>
          </cell>
          <cell r="BC145">
            <v>972.69999999999982</v>
          </cell>
          <cell r="BD145">
            <v>3.3000000000000114</v>
          </cell>
          <cell r="BE145">
            <v>4.9999999999999432</v>
          </cell>
          <cell r="BF145">
            <v>4.1999999999999993</v>
          </cell>
          <cell r="BG145">
            <v>6.2999999999999545</v>
          </cell>
          <cell r="BH145">
            <v>18.799999999999908</v>
          </cell>
          <cell r="BI145">
            <v>-12.400000000000091</v>
          </cell>
          <cell r="BJ145">
            <v>0.5</v>
          </cell>
          <cell r="BK145">
            <v>0.5</v>
          </cell>
          <cell r="BL145">
            <v>0.5</v>
          </cell>
          <cell r="BM145">
            <v>-10.900000000000091</v>
          </cell>
          <cell r="BN145">
            <v>0.3999999999996362</v>
          </cell>
          <cell r="BO145">
            <v>0.4000000000005457</v>
          </cell>
          <cell r="BP145">
            <v>0.3999999999996362</v>
          </cell>
          <cell r="BQ145">
            <v>0.4000000000005457</v>
          </cell>
          <cell r="BR145">
            <v>1.6000000000003638</v>
          </cell>
          <cell r="BS145">
            <v>0.2999999999992724</v>
          </cell>
          <cell r="BT145">
            <v>0.3000000000001819</v>
          </cell>
          <cell r="BU145">
            <v>0.3000000000001819</v>
          </cell>
          <cell r="BV145">
            <v>0.2999999999992724</v>
          </cell>
          <cell r="BW145">
            <v>1.1999999999989086</v>
          </cell>
          <cell r="BX145">
            <v>0.3000000000001819</v>
          </cell>
          <cell r="BY145">
            <v>0.3000000000001819</v>
          </cell>
          <cell r="BZ145">
            <v>0.3000000000001819</v>
          </cell>
          <cell r="CA145">
            <v>0.3000000000001819</v>
          </cell>
          <cell r="CB145">
            <v>1.2000000000007276</v>
          </cell>
          <cell r="CI145" t="str">
            <v>mstag:proceedsFromIssuanceAndCashUsedToRepayLongTermDebt</v>
          </cell>
          <cell r="CJ145">
            <v>6</v>
          </cell>
          <cell r="CK145" t="str">
            <v>ISO4217:USD</v>
          </cell>
          <cell r="CL145" t="b">
            <v>0</v>
          </cell>
        </row>
        <row r="146">
          <cell r="B146" t="str">
            <v>Other</v>
          </cell>
          <cell r="J146">
            <v>0</v>
          </cell>
          <cell r="K146">
            <v>0</v>
          </cell>
          <cell r="L146">
            <v>0</v>
          </cell>
          <cell r="M146">
            <v>0</v>
          </cell>
          <cell r="N146">
            <v>0</v>
          </cell>
          <cell r="O146">
            <v>0</v>
          </cell>
          <cell r="P146">
            <v>0</v>
          </cell>
          <cell r="Q146">
            <v>0</v>
          </cell>
          <cell r="R146">
            <v>-1900</v>
          </cell>
          <cell r="S146">
            <v>-100</v>
          </cell>
          <cell r="T146">
            <v>-2000</v>
          </cell>
          <cell r="U146">
            <v>0</v>
          </cell>
          <cell r="V146">
            <v>0</v>
          </cell>
          <cell r="W146">
            <v>0</v>
          </cell>
          <cell r="X146">
            <v>0</v>
          </cell>
          <cell r="Y146">
            <v>0</v>
          </cell>
          <cell r="Z146">
            <v>0</v>
          </cell>
          <cell r="AA146">
            <v>-0.3</v>
          </cell>
          <cell r="AB146">
            <v>-2.1</v>
          </cell>
          <cell r="AC146">
            <v>-9.9999999999999922E-2</v>
          </cell>
          <cell r="AD146">
            <v>-2.5</v>
          </cell>
          <cell r="AE146">
            <v>0</v>
          </cell>
          <cell r="AF146">
            <v>21.2</v>
          </cell>
          <cell r="AG146">
            <v>-21.2</v>
          </cell>
          <cell r="AH146">
            <v>0</v>
          </cell>
          <cell r="AI146">
            <v>0</v>
          </cell>
          <cell r="AJ146">
            <v>0</v>
          </cell>
          <cell r="AK146">
            <v>173</v>
          </cell>
          <cell r="AL146">
            <v>63.5</v>
          </cell>
          <cell r="AM146">
            <v>41.700000000000045</v>
          </cell>
          <cell r="AN146">
            <v>278.20000000000005</v>
          </cell>
          <cell r="AO146">
            <v>-28.2</v>
          </cell>
          <cell r="AP146">
            <v>23.999999999999996</v>
          </cell>
          <cell r="AQ146">
            <v>31.299999999999997</v>
          </cell>
          <cell r="AR146">
            <v>18.70000000000001</v>
          </cell>
          <cell r="AS146">
            <v>45.8</v>
          </cell>
          <cell r="AT146">
            <v>3.2999999999999989</v>
          </cell>
          <cell r="AU146">
            <v>35.5</v>
          </cell>
          <cell r="AV146">
            <v>112.3</v>
          </cell>
          <cell r="AW146">
            <v>65.400000000000006</v>
          </cell>
          <cell r="AX146">
            <v>216.5</v>
          </cell>
          <cell r="AY146">
            <v>23</v>
          </cell>
          <cell r="AZ146">
            <v>35.200000000000003</v>
          </cell>
          <cell r="BA146">
            <v>12.200000000000003</v>
          </cell>
          <cell r="BB146">
            <v>81.699999999999989</v>
          </cell>
          <cell r="BC146">
            <v>152.1</v>
          </cell>
          <cell r="BD146">
            <v>47.3</v>
          </cell>
          <cell r="BE146">
            <v>-47.3</v>
          </cell>
          <cell r="BF146">
            <v>0</v>
          </cell>
          <cell r="BG146">
            <v>0</v>
          </cell>
          <cell r="BH146">
            <v>0</v>
          </cell>
          <cell r="BI146">
            <v>0</v>
          </cell>
          <cell r="BJ146">
            <v>0</v>
          </cell>
          <cell r="BK146">
            <v>0</v>
          </cell>
          <cell r="BL146">
            <v>0</v>
          </cell>
          <cell r="BM146">
            <v>0</v>
          </cell>
          <cell r="BN146">
            <v>0</v>
          </cell>
          <cell r="BO146">
            <v>0</v>
          </cell>
          <cell r="BP146">
            <v>0</v>
          </cell>
          <cell r="BQ146">
            <v>0</v>
          </cell>
          <cell r="BR146">
            <v>0</v>
          </cell>
          <cell r="BS146">
            <v>0</v>
          </cell>
          <cell r="BT146">
            <v>0</v>
          </cell>
          <cell r="BU146">
            <v>0</v>
          </cell>
          <cell r="BV146">
            <v>0</v>
          </cell>
          <cell r="BW146">
            <v>0</v>
          </cell>
          <cell r="BX146">
            <v>0</v>
          </cell>
          <cell r="BY146">
            <v>0</v>
          </cell>
          <cell r="BZ146">
            <v>0</v>
          </cell>
          <cell r="CA146">
            <v>0</v>
          </cell>
          <cell r="CB146">
            <v>0</v>
          </cell>
          <cell r="CI146" t="str">
            <v>mstag:otherCashFlowsFromUsedInFinancingActivities</v>
          </cell>
          <cell r="CJ146">
            <v>6</v>
          </cell>
          <cell r="CK146" t="str">
            <v>ISO4217:USD</v>
          </cell>
          <cell r="CL146" t="b">
            <v>0</v>
          </cell>
        </row>
        <row r="147">
          <cell r="B147" t="str">
            <v>Intercompany transfer from (to) Merck, net</v>
          </cell>
          <cell r="J147">
            <v>-340.9</v>
          </cell>
          <cell r="K147">
            <v>0</v>
          </cell>
          <cell r="L147">
            <v>0</v>
          </cell>
          <cell r="M147">
            <v>0</v>
          </cell>
          <cell r="N147">
            <v>0</v>
          </cell>
          <cell r="O147">
            <v>-231.8</v>
          </cell>
          <cell r="P147">
            <v>-486.8</v>
          </cell>
          <cell r="Q147">
            <v>30.199999999999989</v>
          </cell>
          <cell r="R147">
            <v>688.40000000000009</v>
          </cell>
          <cell r="S147">
            <v>0</v>
          </cell>
          <cell r="T147">
            <v>231.8</v>
          </cell>
          <cell r="U147">
            <v>0</v>
          </cell>
          <cell r="V147">
            <v>0</v>
          </cell>
          <cell r="W147">
            <v>0</v>
          </cell>
          <cell r="X147">
            <v>0</v>
          </cell>
          <cell r="Y147">
            <v>0</v>
          </cell>
          <cell r="Z147">
            <v>0</v>
          </cell>
          <cell r="AA147">
            <v>0</v>
          </cell>
          <cell r="AB147">
            <v>0</v>
          </cell>
          <cell r="AC147">
            <v>0</v>
          </cell>
          <cell r="AD147">
            <v>0</v>
          </cell>
          <cell r="AE147">
            <v>0</v>
          </cell>
          <cell r="AF147">
            <v>0</v>
          </cell>
          <cell r="AG147">
            <v>0</v>
          </cell>
          <cell r="AH147">
            <v>0</v>
          </cell>
          <cell r="AI147">
            <v>0</v>
          </cell>
          <cell r="AJ147">
            <v>0</v>
          </cell>
          <cell r="AK147">
            <v>0</v>
          </cell>
          <cell r="AL147">
            <v>0</v>
          </cell>
          <cell r="AM147">
            <v>0</v>
          </cell>
          <cell r="AN147">
            <v>0</v>
          </cell>
          <cell r="AO147">
            <v>0</v>
          </cell>
          <cell r="AP147">
            <v>0</v>
          </cell>
          <cell r="AQ147">
            <v>0</v>
          </cell>
          <cell r="AR147">
            <v>0</v>
          </cell>
          <cell r="AS147">
            <v>0</v>
          </cell>
          <cell r="AT147">
            <v>0</v>
          </cell>
          <cell r="AU147">
            <v>0</v>
          </cell>
          <cell r="AV147">
            <v>0</v>
          </cell>
          <cell r="AW147">
            <v>0</v>
          </cell>
          <cell r="AX147">
            <v>0</v>
          </cell>
          <cell r="AY147">
            <v>0</v>
          </cell>
          <cell r="AZ147">
            <v>0</v>
          </cell>
          <cell r="BA147">
            <v>0</v>
          </cell>
          <cell r="BB147">
            <v>0</v>
          </cell>
          <cell r="BC147">
            <v>0</v>
          </cell>
          <cell r="BD147">
            <v>0</v>
          </cell>
          <cell r="BE147">
            <v>0</v>
          </cell>
          <cell r="BF147">
            <v>0</v>
          </cell>
          <cell r="BG147">
            <v>0</v>
          </cell>
          <cell r="BH147">
            <v>0</v>
          </cell>
          <cell r="BI147">
            <v>0</v>
          </cell>
          <cell r="BJ147">
            <v>0</v>
          </cell>
          <cell r="BK147">
            <v>0</v>
          </cell>
          <cell r="BL147">
            <v>0</v>
          </cell>
          <cell r="BM147">
            <v>0</v>
          </cell>
          <cell r="BN147">
            <v>0</v>
          </cell>
          <cell r="BO147">
            <v>0</v>
          </cell>
          <cell r="BP147">
            <v>0</v>
          </cell>
          <cell r="BQ147">
            <v>0</v>
          </cell>
          <cell r="BR147">
            <v>0</v>
          </cell>
          <cell r="BS147">
            <v>0</v>
          </cell>
          <cell r="BT147">
            <v>0</v>
          </cell>
          <cell r="BU147">
            <v>0</v>
          </cell>
          <cell r="BV147">
            <v>0</v>
          </cell>
          <cell r="BW147">
            <v>0</v>
          </cell>
          <cell r="BX147">
            <v>0</v>
          </cell>
          <cell r="BY147">
            <v>0</v>
          </cell>
          <cell r="BZ147">
            <v>0</v>
          </cell>
          <cell r="CA147">
            <v>0</v>
          </cell>
          <cell r="CB147">
            <v>0</v>
          </cell>
          <cell r="CI147" t="str">
            <v>mstag:otherCashFlowsFromUsedInFinancingActivities</v>
          </cell>
          <cell r="CJ147">
            <v>6</v>
          </cell>
          <cell r="CK147" t="str">
            <v>ISO4217:USD</v>
          </cell>
          <cell r="CL147" t="b">
            <v>0</v>
          </cell>
        </row>
        <row r="148">
          <cell r="B148" t="str">
            <v>Cash from financing</v>
          </cell>
          <cell r="F148">
            <v>0</v>
          </cell>
          <cell r="G148">
            <v>0</v>
          </cell>
          <cell r="H148">
            <v>0</v>
          </cell>
          <cell r="I148">
            <v>0</v>
          </cell>
          <cell r="J148">
            <v>-340.9</v>
          </cell>
          <cell r="K148">
            <v>0</v>
          </cell>
          <cell r="L148">
            <v>0</v>
          </cell>
          <cell r="M148">
            <v>0</v>
          </cell>
          <cell r="N148">
            <v>0</v>
          </cell>
          <cell r="O148">
            <v>-231.8</v>
          </cell>
          <cell r="P148">
            <v>-486.8</v>
          </cell>
          <cell r="Q148">
            <v>30.199999999999989</v>
          </cell>
          <cell r="R148">
            <v>165.30000000000018</v>
          </cell>
          <cell r="S148">
            <v>-89.4</v>
          </cell>
          <cell r="T148">
            <v>-380.7</v>
          </cell>
          <cell r="U148">
            <v>-92.2</v>
          </cell>
          <cell r="V148">
            <v>24.29999999999999</v>
          </cell>
          <cell r="W148">
            <v>-11.299999999999995</v>
          </cell>
          <cell r="X148">
            <v>-23.4</v>
          </cell>
          <cell r="Y148">
            <v>-102.6</v>
          </cell>
          <cell r="Z148">
            <v>-139.4</v>
          </cell>
          <cell r="AA148">
            <v>63.000000000000014</v>
          </cell>
          <cell r="AB148">
            <v>422.19999999999987</v>
          </cell>
          <cell r="AC148">
            <v>-457.6</v>
          </cell>
          <cell r="AD148">
            <v>-111.80000000000013</v>
          </cell>
          <cell r="AE148">
            <v>-118.39999999999999</v>
          </cell>
          <cell r="AF148">
            <v>-547.19999999999993</v>
          </cell>
          <cell r="AG148">
            <v>-34.999999999999964</v>
          </cell>
          <cell r="AH148">
            <v>-454.6</v>
          </cell>
          <cell r="AI148">
            <v>-1155.2</v>
          </cell>
          <cell r="AJ148">
            <v>-407.59999999999991</v>
          </cell>
          <cell r="AK148">
            <v>-49.700000000000159</v>
          </cell>
          <cell r="AL148">
            <v>-449.99999999999989</v>
          </cell>
          <cell r="AM148">
            <v>1209.6999999999998</v>
          </cell>
          <cell r="AN148">
            <v>302.39999999999986</v>
          </cell>
          <cell r="AO148">
            <v>-353.39999999999992</v>
          </cell>
          <cell r="AP148">
            <v>-28.400000000000208</v>
          </cell>
          <cell r="AQ148">
            <v>-461.7</v>
          </cell>
          <cell r="AR148">
            <v>-211.09999999999994</v>
          </cell>
          <cell r="AS148">
            <v>-1054.6000000000001</v>
          </cell>
          <cell r="AT148">
            <v>-212.29999999999998</v>
          </cell>
          <cell r="AU148">
            <v>-746.9</v>
          </cell>
          <cell r="AV148">
            <v>-285.40000000000003</v>
          </cell>
          <cell r="AW148">
            <v>-362</v>
          </cell>
          <cell r="AX148">
            <v>-1606.6</v>
          </cell>
          <cell r="AY148">
            <v>-1201.6000000000001</v>
          </cell>
          <cell r="AZ148">
            <v>-994.8</v>
          </cell>
          <cell r="BA148">
            <v>74.299999999999912</v>
          </cell>
          <cell r="BB148">
            <v>-877.90000000000009</v>
          </cell>
          <cell r="BC148">
            <v>-3000.0000000000005</v>
          </cell>
          <cell r="BD148">
            <v>-786</v>
          </cell>
          <cell r="BE148">
            <v>-535.29999999999995</v>
          </cell>
          <cell r="BF148">
            <v>-282.40000000000003</v>
          </cell>
          <cell r="BG148">
            <v>24.599999999999966</v>
          </cell>
          <cell r="BH148">
            <v>-1579.1</v>
          </cell>
          <cell r="BI148">
            <v>-12.400000000000091</v>
          </cell>
          <cell r="BJ148">
            <v>0.5</v>
          </cell>
          <cell r="BK148">
            <v>-1999.5</v>
          </cell>
          <cell r="BL148">
            <v>-399.5</v>
          </cell>
          <cell r="BM148">
            <v>-2410.9</v>
          </cell>
          <cell r="BN148">
            <v>-899.60000000000036</v>
          </cell>
          <cell r="BO148">
            <v>-499.59999999999945</v>
          </cell>
          <cell r="BP148">
            <v>-99.600000000000364</v>
          </cell>
          <cell r="BQ148">
            <v>-99.599999999999454</v>
          </cell>
          <cell r="BR148">
            <v>-1598.3999999999996</v>
          </cell>
          <cell r="BS148">
            <v>-1199.7000000000007</v>
          </cell>
          <cell r="BT148">
            <v>-424.69999999999982</v>
          </cell>
          <cell r="BU148">
            <v>-299.69999999999982</v>
          </cell>
          <cell r="BV148">
            <v>-174.70000000000073</v>
          </cell>
          <cell r="BW148">
            <v>-2098.8000000000011</v>
          </cell>
          <cell r="BX148">
            <v>-999.69999999999982</v>
          </cell>
          <cell r="BY148">
            <v>-449.69999999999982</v>
          </cell>
          <cell r="BZ148">
            <v>-399.69999999999982</v>
          </cell>
          <cell r="CA148">
            <v>-249.69999999999982</v>
          </cell>
          <cell r="CB148">
            <v>-2098.7999999999993</v>
          </cell>
        </row>
        <row r="149">
          <cell r="B149" t="str">
            <v>Net Increase (Decrease) in Cash and Cash Equivalents</v>
          </cell>
          <cell r="F149">
            <v>0</v>
          </cell>
          <cell r="G149">
            <v>0</v>
          </cell>
          <cell r="H149">
            <v>0</v>
          </cell>
          <cell r="I149">
            <v>0</v>
          </cell>
          <cell r="J149">
            <v>-12.299999999995009</v>
          </cell>
          <cell r="K149">
            <v>59.605000000000189</v>
          </cell>
          <cell r="L149">
            <v>104.60499999999891</v>
          </cell>
          <cell r="M149">
            <v>153.40500000000037</v>
          </cell>
          <cell r="N149">
            <v>107.20500000000037</v>
          </cell>
          <cell r="O149">
            <v>-1.9000000000006025</v>
          </cell>
          <cell r="P149">
            <v>-6.7000000000001023</v>
          </cell>
          <cell r="Q149">
            <v>-1.1000000000003638</v>
          </cell>
          <cell r="R149">
            <v>792.3000000000003</v>
          </cell>
          <cell r="S149">
            <v>-160.3999999999985</v>
          </cell>
          <cell r="T149">
            <v>624.10000000000127</v>
          </cell>
          <cell r="U149">
            <v>4.6999999999988802</v>
          </cell>
          <cell r="V149">
            <v>-48.699999999999328</v>
          </cell>
          <cell r="W149">
            <v>406.09999999999707</v>
          </cell>
          <cell r="X149">
            <v>144.6999999999997</v>
          </cell>
          <cell r="Y149">
            <v>506.79999999999632</v>
          </cell>
          <cell r="Z149">
            <v>353.1</v>
          </cell>
          <cell r="AA149">
            <v>-203.09999999999889</v>
          </cell>
          <cell r="AB149">
            <v>30.800000000002171</v>
          </cell>
          <cell r="AC149">
            <v>-434.90000000000043</v>
          </cell>
          <cell r="AD149">
            <v>-254.09999999999712</v>
          </cell>
          <cell r="AE149">
            <v>-177.29999999999922</v>
          </cell>
          <cell r="AF149">
            <v>-302.20000000000005</v>
          </cell>
          <cell r="AG149">
            <v>50.199999999998262</v>
          </cell>
          <cell r="AH149">
            <v>359.70000000000073</v>
          </cell>
          <cell r="AI149">
            <v>-69.600000000000364</v>
          </cell>
          <cell r="AJ149">
            <v>-335.40000000000094</v>
          </cell>
          <cell r="AK149">
            <v>500.60000000000014</v>
          </cell>
          <cell r="AL149">
            <v>-354.19999999999868</v>
          </cell>
          <cell r="AM149">
            <v>144.59999999999877</v>
          </cell>
          <cell r="AN149">
            <v>-44.400000000001</v>
          </cell>
          <cell r="AO149">
            <v>-233.49999999999912</v>
          </cell>
          <cell r="AP149">
            <v>-168.90000000000032</v>
          </cell>
          <cell r="AQ149">
            <v>69.099999999997351</v>
          </cell>
          <cell r="AR149">
            <v>497.69999999999868</v>
          </cell>
          <cell r="AS149">
            <v>164.39999999999691</v>
          </cell>
          <cell r="AT149">
            <v>861.10000000000036</v>
          </cell>
          <cell r="AU149">
            <v>285.99999999999943</v>
          </cell>
          <cell r="AV149">
            <v>-65.100000000000307</v>
          </cell>
          <cell r="AW149">
            <v>507.80000000000064</v>
          </cell>
          <cell r="AX149">
            <v>1589.8000000000006</v>
          </cell>
          <cell r="AY149">
            <v>-966.10000000000127</v>
          </cell>
          <cell r="AZ149">
            <v>-378.39999999999918</v>
          </cell>
          <cell r="BA149">
            <v>-291.30000000000007</v>
          </cell>
          <cell r="BB149">
            <v>101.50000000000034</v>
          </cell>
          <cell r="BC149">
            <v>-1674.8000000000002</v>
          </cell>
          <cell r="BD149">
            <v>-726.30000000000086</v>
          </cell>
          <cell r="BE149">
            <v>-34.70000000000033</v>
          </cell>
          <cell r="BF149">
            <v>69.140000000000157</v>
          </cell>
          <cell r="BG149">
            <v>67.560000000000912</v>
          </cell>
          <cell r="BH149">
            <v>-624.29999999999961</v>
          </cell>
          <cell r="BI149">
            <v>1101.2170989389472</v>
          </cell>
          <cell r="BJ149">
            <v>430.10925470067571</v>
          </cell>
          <cell r="BK149">
            <v>-1504.725432006197</v>
          </cell>
          <cell r="BL149">
            <v>-7.6368505021150668</v>
          </cell>
          <cell r="BM149">
            <v>18.964071131310448</v>
          </cell>
          <cell r="BN149">
            <v>70.550424542408109</v>
          </cell>
          <cell r="BO149">
            <v>-90.652137987304286</v>
          </cell>
          <cell r="BP149">
            <v>348.93992268215743</v>
          </cell>
          <cell r="BQ149">
            <v>372.58326185048645</v>
          </cell>
          <cell r="BR149">
            <v>701.4214710877477</v>
          </cell>
          <cell r="BS149">
            <v>-734.64267532646113</v>
          </cell>
          <cell r="BT149">
            <v>28.845102784741016</v>
          </cell>
          <cell r="BU149">
            <v>204.39199039000016</v>
          </cell>
          <cell r="BV149">
            <v>333.52864712931614</v>
          </cell>
          <cell r="BW149">
            <v>-167.87693502240381</v>
          </cell>
          <cell r="BX149">
            <v>-504.06739784329045</v>
          </cell>
          <cell r="BY149">
            <v>13.019506964451125</v>
          </cell>
          <cell r="BZ149">
            <v>105.11206767848239</v>
          </cell>
          <cell r="CA149">
            <v>282.7692675396363</v>
          </cell>
          <cell r="CB149">
            <v>-103.16655566072041</v>
          </cell>
        </row>
        <row r="153">
          <cell r="B153" t="str">
            <v>Free Cash Flow (MW Definition)</v>
          </cell>
        </row>
        <row r="154">
          <cell r="B154" t="str">
            <v>EBITDA</v>
          </cell>
          <cell r="T154">
            <v>1024.6999999999987</v>
          </cell>
          <cell r="U154">
            <v>303.99999999999892</v>
          </cell>
          <cell r="V154">
            <v>320.50000000000074</v>
          </cell>
          <cell r="W154">
            <v>300.49999999999704</v>
          </cell>
          <cell r="X154">
            <v>318.49999999999966</v>
          </cell>
          <cell r="Y154">
            <v>1243.4999999999925</v>
          </cell>
          <cell r="Z154">
            <v>314</v>
          </cell>
          <cell r="AA154">
            <v>319.30000000000109</v>
          </cell>
          <cell r="AB154">
            <v>317.30000000000223</v>
          </cell>
          <cell r="AC154">
            <v>399.69999999999959</v>
          </cell>
          <cell r="AD154">
            <v>1350.3000000000029</v>
          </cell>
          <cell r="AE154">
            <v>191.90000000000077</v>
          </cell>
          <cell r="AF154">
            <v>385.79999999999995</v>
          </cell>
          <cell r="AG154">
            <v>412.89999999999822</v>
          </cell>
          <cell r="AH154">
            <v>479.30000000000069</v>
          </cell>
          <cell r="AI154">
            <v>1469.9000000000012</v>
          </cell>
          <cell r="AJ154">
            <v>566.79999999999893</v>
          </cell>
          <cell r="AK154">
            <v>474.60000000000036</v>
          </cell>
          <cell r="AL154">
            <v>476.70000000000107</v>
          </cell>
          <cell r="AM154">
            <v>481.99999999999892</v>
          </cell>
          <cell r="AN154">
            <v>2000.0999999999992</v>
          </cell>
          <cell r="AO154">
            <v>611.90000000000077</v>
          </cell>
          <cell r="AP154">
            <v>604</v>
          </cell>
          <cell r="AQ154">
            <v>616.29999999999734</v>
          </cell>
          <cell r="AR154">
            <v>629.09999999999854</v>
          </cell>
          <cell r="AS154">
            <v>2461.299999999997</v>
          </cell>
          <cell r="AT154">
            <v>647.00000000000045</v>
          </cell>
          <cell r="AU154">
            <v>689.29999999999927</v>
          </cell>
          <cell r="AV154">
            <v>719.3</v>
          </cell>
          <cell r="AW154">
            <v>694.80000000000041</v>
          </cell>
          <cell r="AX154">
            <v>2750.4</v>
          </cell>
          <cell r="AY154">
            <v>686.49999999999886</v>
          </cell>
          <cell r="AZ154">
            <v>730.1000000000007</v>
          </cell>
          <cell r="BA154">
            <v>771</v>
          </cell>
          <cell r="BB154">
            <v>786.50000000000068</v>
          </cell>
          <cell r="BC154">
            <v>2974.1000000000004</v>
          </cell>
          <cell r="BD154">
            <v>734.19999999999925</v>
          </cell>
          <cell r="BE154">
            <v>735.99999999999977</v>
          </cell>
          <cell r="BF154">
            <v>801.00000000000034</v>
          </cell>
          <cell r="BG154">
            <v>899.5000000000008</v>
          </cell>
          <cell r="BH154">
            <v>3170.7</v>
          </cell>
          <cell r="BI154">
            <v>710.56184680398792</v>
          </cell>
          <cell r="BJ154">
            <v>758.89848515403378</v>
          </cell>
          <cell r="BK154">
            <v>822.6687645281379</v>
          </cell>
          <cell r="BL154">
            <v>868.5274330125086</v>
          </cell>
          <cell r="BM154">
            <v>3160.6565294986681</v>
          </cell>
          <cell r="BN154">
            <v>764.12074857335892</v>
          </cell>
          <cell r="BO154">
            <v>773.69445494309059</v>
          </cell>
          <cell r="BP154">
            <v>825.56371364345955</v>
          </cell>
          <cell r="BQ154">
            <v>817.11479051643005</v>
          </cell>
          <cell r="BR154">
            <v>3180.493707676339</v>
          </cell>
          <cell r="BS154">
            <v>809.56046353792772</v>
          </cell>
          <cell r="BT154">
            <v>825.13175693508015</v>
          </cell>
          <cell r="BU154">
            <v>886.38343031433783</v>
          </cell>
          <cell r="BV154">
            <v>878.58925636638651</v>
          </cell>
          <cell r="BW154">
            <v>3399.6649071537322</v>
          </cell>
          <cell r="BX154">
            <v>854.66177160460256</v>
          </cell>
          <cell r="BY154">
            <v>866.87401551415837</v>
          </cell>
          <cell r="BZ154">
            <v>925.86391367038004</v>
          </cell>
          <cell r="CA154">
            <v>916.27184391942149</v>
          </cell>
          <cell r="CB154">
            <v>3563.6715447085626</v>
          </cell>
        </row>
        <row r="155">
          <cell r="B155" t="str">
            <v>Less: Capex</v>
          </cell>
          <cell r="T155">
            <v>-124.9</v>
          </cell>
          <cell r="U155">
            <v>-22.7</v>
          </cell>
          <cell r="V155">
            <v>-20.400000000000002</v>
          </cell>
          <cell r="W155">
            <v>-21.899999999999995</v>
          </cell>
          <cell r="X155">
            <v>-33.099999999999994</v>
          </cell>
          <cell r="Y155">
            <v>-98.1</v>
          </cell>
          <cell r="Z155">
            <v>-23.7</v>
          </cell>
          <cell r="AA155">
            <v>-28.000000000000004</v>
          </cell>
          <cell r="AB155">
            <v>-25.700000000000006</v>
          </cell>
          <cell r="AC155">
            <v>-54.699999999999989</v>
          </cell>
          <cell r="AD155">
            <v>-132.1</v>
          </cell>
          <cell r="AE155">
            <v>-27.7</v>
          </cell>
          <cell r="AF155">
            <v>-28.599999999999998</v>
          </cell>
          <cell r="AG155">
            <v>-31.500000000000004</v>
          </cell>
          <cell r="AH155">
            <v>-63.2</v>
          </cell>
          <cell r="AI155">
            <v>-151</v>
          </cell>
          <cell r="AJ155">
            <v>-25</v>
          </cell>
          <cell r="AK155">
            <v>-34.4</v>
          </cell>
          <cell r="AL155">
            <v>-34.1</v>
          </cell>
          <cell r="AM155">
            <v>-84.199999999999989</v>
          </cell>
          <cell r="AN155">
            <v>-177.7</v>
          </cell>
          <cell r="AO155">
            <v>-39.1</v>
          </cell>
          <cell r="AP155">
            <v>-48.499999999999993</v>
          </cell>
          <cell r="AQ155">
            <v>-68.900000000000006</v>
          </cell>
          <cell r="AR155">
            <v>-130.39999999999998</v>
          </cell>
          <cell r="AS155">
            <v>-286.89999999999998</v>
          </cell>
          <cell r="AT155">
            <v>-35.4</v>
          </cell>
          <cell r="AU155">
            <v>-62.699999999999996</v>
          </cell>
          <cell r="AV155">
            <v>-56.200000000000024</v>
          </cell>
          <cell r="AW155">
            <v>-84.5</v>
          </cell>
          <cell r="AX155">
            <v>-238.8</v>
          </cell>
          <cell r="AY155">
            <v>-42.6</v>
          </cell>
          <cell r="AZ155">
            <v>-57.800000000000004</v>
          </cell>
          <cell r="BA155">
            <v>-63.699999999999982</v>
          </cell>
          <cell r="BB155">
            <v>-86</v>
          </cell>
          <cell r="BC155">
            <v>-250.1</v>
          </cell>
          <cell r="BD155">
            <v>-44.5</v>
          </cell>
          <cell r="BE155">
            <v>-66.599999999999994</v>
          </cell>
          <cell r="BF155">
            <v>-79.200000000000017</v>
          </cell>
          <cell r="BG155">
            <v>-134.30000000000001</v>
          </cell>
          <cell r="BH155">
            <v>-324.60000000000002</v>
          </cell>
          <cell r="BI155">
            <v>-43.75</v>
          </cell>
          <cell r="BJ155">
            <v>-43.75</v>
          </cell>
          <cell r="BK155">
            <v>-43.75</v>
          </cell>
          <cell r="BL155">
            <v>-43.75</v>
          </cell>
          <cell r="BM155">
            <v>-175</v>
          </cell>
          <cell r="BN155">
            <v>-50</v>
          </cell>
          <cell r="BO155">
            <v>-50</v>
          </cell>
          <cell r="BP155">
            <v>-50</v>
          </cell>
          <cell r="BQ155">
            <v>-50</v>
          </cell>
          <cell r="BR155">
            <v>-200</v>
          </cell>
          <cell r="BS155">
            <v>-50</v>
          </cell>
          <cell r="BT155">
            <v>-50</v>
          </cell>
          <cell r="BU155">
            <v>-50</v>
          </cell>
          <cell r="BV155">
            <v>-50</v>
          </cell>
          <cell r="BW155">
            <v>-200</v>
          </cell>
          <cell r="BX155">
            <v>-50</v>
          </cell>
          <cell r="BY155">
            <v>-50</v>
          </cell>
          <cell r="BZ155">
            <v>-50</v>
          </cell>
          <cell r="CA155">
            <v>-50</v>
          </cell>
          <cell r="CB155">
            <v>-200</v>
          </cell>
        </row>
        <row r="156">
          <cell r="B156" t="str">
            <v>Less: Increase in NWC</v>
          </cell>
          <cell r="T156">
            <v>414.79999999999995</v>
          </cell>
          <cell r="U156">
            <v>-90.300000000000011</v>
          </cell>
          <cell r="V156">
            <v>-273.09999999999997</v>
          </cell>
          <cell r="W156">
            <v>231.9</v>
          </cell>
          <cell r="X156">
            <v>-16.099999999999984</v>
          </cell>
          <cell r="Y156">
            <v>-147.60000000000002</v>
          </cell>
          <cell r="Z156">
            <v>299.20000000000005</v>
          </cell>
          <cell r="AA156">
            <v>-461.3</v>
          </cell>
          <cell r="AB156">
            <v>378.80000000000007</v>
          </cell>
          <cell r="AC156">
            <v>-132.40000000000003</v>
          </cell>
          <cell r="AD156">
            <v>84.299999999999955</v>
          </cell>
          <cell r="AE156">
            <v>-180.1</v>
          </cell>
          <cell r="AF156">
            <v>8.5999999999999801</v>
          </cell>
          <cell r="AG156">
            <v>-165.19999999999993</v>
          </cell>
          <cell r="AH156">
            <v>555.4</v>
          </cell>
          <cell r="AI156">
            <v>218.70000000000002</v>
          </cell>
          <cell r="AJ156">
            <v>-270.39999999999998</v>
          </cell>
          <cell r="AK156">
            <v>262.7</v>
          </cell>
          <cell r="AL156">
            <v>-168.6999999999999</v>
          </cell>
          <cell r="AM156">
            <v>234.39999999999989</v>
          </cell>
          <cell r="AN156">
            <v>57.999999999999943</v>
          </cell>
          <cell r="AO156">
            <v>-214.29999999999995</v>
          </cell>
          <cell r="AP156">
            <v>-337.50000000000011</v>
          </cell>
          <cell r="AQ156">
            <v>191.49999999999997</v>
          </cell>
          <cell r="AR156">
            <v>449.69999999999993</v>
          </cell>
          <cell r="AS156">
            <v>89.399999999999892</v>
          </cell>
          <cell r="AT156">
            <v>760.19999999999993</v>
          </cell>
          <cell r="AU156">
            <v>662.90000000000009</v>
          </cell>
          <cell r="AV156">
            <v>-184.10000000000019</v>
          </cell>
          <cell r="AW156">
            <v>497.50000000000017</v>
          </cell>
          <cell r="AX156">
            <v>1526</v>
          </cell>
          <cell r="AY156">
            <v>-135.10000000000011</v>
          </cell>
          <cell r="AZ156">
            <v>218.10000000000016</v>
          </cell>
          <cell r="BA156">
            <v>-114.69999999999993</v>
          </cell>
          <cell r="BB156">
            <v>472.09999999999968</v>
          </cell>
          <cell r="BC156">
            <v>419.5</v>
          </cell>
          <cell r="BD156">
            <v>-363.30000000000007</v>
          </cell>
          <cell r="BE156">
            <v>79.400000000000063</v>
          </cell>
          <cell r="BF156">
            <v>-35.760000000000048</v>
          </cell>
          <cell r="BG156">
            <v>-358.63999999999976</v>
          </cell>
          <cell r="BH156">
            <v>-850.79999999999927</v>
          </cell>
          <cell r="BI156">
            <v>704.51202501497073</v>
          </cell>
          <cell r="BJ156">
            <v>-10.085466894246451</v>
          </cell>
          <cell r="BK156">
            <v>16.963357324112849</v>
          </cell>
          <cell r="BL156">
            <v>-112.82137526887936</v>
          </cell>
          <cell r="BM156">
            <v>598.56854017595879</v>
          </cell>
          <cell r="BN156">
            <v>536.03883775064241</v>
          </cell>
          <cell r="BO156">
            <v>-30.982006287130275</v>
          </cell>
          <cell r="BP156">
            <v>-22.530425981742496</v>
          </cell>
          <cell r="BQ156">
            <v>6.0017667017456233</v>
          </cell>
          <cell r="BR156">
            <v>488.5281721835147</v>
          </cell>
          <cell r="BS156">
            <v>4.4324614820949364</v>
          </cell>
          <cell r="BT156">
            <v>-15.041090366754702</v>
          </cell>
          <cell r="BU156">
            <v>-1.5806806031500855</v>
          </cell>
          <cell r="BV156">
            <v>6.9341767829455421</v>
          </cell>
          <cell r="BW156">
            <v>-5.2551327048643088</v>
          </cell>
          <cell r="BX156">
            <v>9.7172565915283258</v>
          </cell>
          <cell r="BY156">
            <v>-29.1986957013454</v>
          </cell>
          <cell r="BZ156">
            <v>-23.374954430076741</v>
          </cell>
          <cell r="CA156">
            <v>9.7881349631945795</v>
          </cell>
          <cell r="CB156">
            <v>-33.068258576699236</v>
          </cell>
        </row>
        <row r="157">
          <cell r="B157" t="str">
            <v>Operating FCF - Pretax</v>
          </cell>
          <cell r="T157">
            <v>1314.5999999999985</v>
          </cell>
          <cell r="U157">
            <v>190.99999999999892</v>
          </cell>
          <cell r="V157">
            <v>27.000000000000796</v>
          </cell>
          <cell r="W157">
            <v>510.49999999999704</v>
          </cell>
          <cell r="X157">
            <v>269.29999999999967</v>
          </cell>
          <cell r="Y157">
            <v>997.79999999999256</v>
          </cell>
          <cell r="Z157">
            <v>589.5</v>
          </cell>
          <cell r="AA157">
            <v>-169.99999999999892</v>
          </cell>
          <cell r="AB157">
            <v>670.40000000000236</v>
          </cell>
          <cell r="AC157">
            <v>212.59999999999957</v>
          </cell>
          <cell r="AD157">
            <v>1302.500000000003</v>
          </cell>
          <cell r="AE157">
            <v>-15.89999999999921</v>
          </cell>
          <cell r="AF157">
            <v>365.7999999999999</v>
          </cell>
          <cell r="AG157">
            <v>216.19999999999828</v>
          </cell>
          <cell r="AH157">
            <v>971.50000000000068</v>
          </cell>
          <cell r="AI157">
            <v>1537.6000000000013</v>
          </cell>
          <cell r="AJ157">
            <v>271.39999999999895</v>
          </cell>
          <cell r="AK157">
            <v>702.90000000000032</v>
          </cell>
          <cell r="AL157">
            <v>273.90000000000111</v>
          </cell>
          <cell r="AM157">
            <v>632.19999999999879</v>
          </cell>
          <cell r="AN157">
            <v>1880.3999999999992</v>
          </cell>
          <cell r="AO157">
            <v>358.5000000000008</v>
          </cell>
          <cell r="AP157">
            <v>217.99999999999989</v>
          </cell>
          <cell r="AQ157">
            <v>738.89999999999736</v>
          </cell>
          <cell r="AR157">
            <v>948.3999999999985</v>
          </cell>
          <cell r="AS157">
            <v>2263.799999999997</v>
          </cell>
          <cell r="AT157">
            <v>1371.8000000000004</v>
          </cell>
          <cell r="AU157">
            <v>1289.4999999999993</v>
          </cell>
          <cell r="AV157">
            <v>478.99999999999972</v>
          </cell>
          <cell r="AW157">
            <v>1107.8000000000006</v>
          </cell>
          <cell r="AX157">
            <v>4037.6</v>
          </cell>
          <cell r="AY157">
            <v>508.7999999999987</v>
          </cell>
          <cell r="AZ157">
            <v>890.40000000000089</v>
          </cell>
          <cell r="BA157">
            <v>592.60000000000014</v>
          </cell>
          <cell r="BB157">
            <v>1172.6000000000004</v>
          </cell>
          <cell r="BC157">
            <v>3143.5000000000005</v>
          </cell>
          <cell r="BD157">
            <v>326.39999999999918</v>
          </cell>
          <cell r="BE157">
            <v>748.79999999999984</v>
          </cell>
          <cell r="BF157">
            <v>686.04000000000019</v>
          </cell>
          <cell r="BG157">
            <v>406.56000000000097</v>
          </cell>
          <cell r="BH157">
            <v>1995.3000000000006</v>
          </cell>
          <cell r="BI157">
            <v>1371.3238718189587</v>
          </cell>
          <cell r="BJ157">
            <v>705.06301825978733</v>
          </cell>
          <cell r="BK157">
            <v>795.88212185225075</v>
          </cell>
          <cell r="BL157">
            <v>711.95605774362923</v>
          </cell>
          <cell r="BM157">
            <v>3584.2250696746269</v>
          </cell>
          <cell r="BN157">
            <v>1250.1595863240013</v>
          </cell>
          <cell r="BO157">
            <v>692.71244865596032</v>
          </cell>
          <cell r="BP157">
            <v>753.03328766171705</v>
          </cell>
          <cell r="BQ157">
            <v>773.11655721817567</v>
          </cell>
          <cell r="BR157">
            <v>3469.0218798598535</v>
          </cell>
          <cell r="BS157">
            <v>763.99292502002265</v>
          </cell>
          <cell r="BT157">
            <v>760.09066656832545</v>
          </cell>
          <cell r="BU157">
            <v>834.80274971118774</v>
          </cell>
          <cell r="BV157">
            <v>835.52343314933205</v>
          </cell>
          <cell r="BW157">
            <v>3194.4097744488681</v>
          </cell>
          <cell r="BX157">
            <v>814.37902819613089</v>
          </cell>
          <cell r="BY157">
            <v>787.67531981281297</v>
          </cell>
          <cell r="BZ157">
            <v>852.4889592403033</v>
          </cell>
          <cell r="CA157">
            <v>876.05997888261606</v>
          </cell>
          <cell r="CB157">
            <v>3330.6032861318636</v>
          </cell>
        </row>
        <row r="158">
          <cell r="B158" t="str">
            <v>Taxes on EBIT</v>
          </cell>
          <cell r="T158">
            <v>0</v>
          </cell>
          <cell r="U158">
            <v>-78.326399999999552</v>
          </cell>
          <cell r="V158">
            <v>-89.908200000000278</v>
          </cell>
          <cell r="W158">
            <v>-83.540199999998833</v>
          </cell>
          <cell r="X158">
            <v>-92.972799999999836</v>
          </cell>
          <cell r="Y158">
            <v>-343.01519999999704</v>
          </cell>
          <cell r="Z158">
            <v>-90.584800000000001</v>
          </cell>
          <cell r="AA158">
            <v>-93.490200000000442</v>
          </cell>
          <cell r="AB158">
            <v>-90.982800000000879</v>
          </cell>
          <cell r="AC158">
            <v>-120.03679999999984</v>
          </cell>
          <cell r="AD158">
            <v>-372.26250000000107</v>
          </cell>
          <cell r="AE158">
            <v>-34.9046000000003</v>
          </cell>
          <cell r="AF158">
            <v>-115.34039999999997</v>
          </cell>
          <cell r="AG158">
            <v>-125.76799999999926</v>
          </cell>
          <cell r="AH158">
            <v>-152.95140000000026</v>
          </cell>
          <cell r="AI158">
            <v>-416.03080000000051</v>
          </cell>
          <cell r="AJ158">
            <v>-187.33859999999956</v>
          </cell>
          <cell r="AK158">
            <v>-149.64800000000011</v>
          </cell>
          <cell r="AL158">
            <v>-152.43400000000042</v>
          </cell>
          <cell r="AM158">
            <v>-148.61319999999955</v>
          </cell>
          <cell r="AN158">
            <v>-638.03379999999959</v>
          </cell>
          <cell r="AO158">
            <v>-191.87860000000029</v>
          </cell>
          <cell r="AP158">
            <v>-188.899</v>
          </cell>
          <cell r="AQ158">
            <v>-193.48299999999901</v>
          </cell>
          <cell r="AR158">
            <v>-196.80639999999946</v>
          </cell>
          <cell r="AS158">
            <v>-771.06699999999876</v>
          </cell>
          <cell r="AT158">
            <v>-205.35310000000018</v>
          </cell>
          <cell r="AU158">
            <v>-221.41879999999972</v>
          </cell>
          <cell r="AV158">
            <v>-230.52140000000003</v>
          </cell>
          <cell r="AW158">
            <v>-224.10290000000015</v>
          </cell>
          <cell r="AX158">
            <v>-881.39620000000014</v>
          </cell>
          <cell r="AY158">
            <v>-222.35239999999956</v>
          </cell>
          <cell r="AZ158">
            <v>-239.07940000000028</v>
          </cell>
          <cell r="BA158">
            <v>-254.1337</v>
          </cell>
          <cell r="BB158">
            <v>-255.84530000000029</v>
          </cell>
          <cell r="BC158">
            <v>-971.41080000000011</v>
          </cell>
          <cell r="BD158">
            <v>-237.28999999999971</v>
          </cell>
          <cell r="BE158">
            <v>-237.9901999999999</v>
          </cell>
          <cell r="BF158">
            <v>-262.53610000000015</v>
          </cell>
          <cell r="BG158">
            <v>-299.1410000000003</v>
          </cell>
          <cell r="BH158">
            <v>-1036.9573</v>
          </cell>
          <cell r="BI158">
            <v>-225.6440584067513</v>
          </cell>
          <cell r="BJ158">
            <v>-244.44701072491915</v>
          </cell>
          <cell r="BK158">
            <v>-269.25364940144567</v>
          </cell>
          <cell r="BL158">
            <v>-287.09267144186583</v>
          </cell>
          <cell r="BM158">
            <v>-1026.4373899749819</v>
          </cell>
          <cell r="BN158">
            <v>-246.47847119503663</v>
          </cell>
          <cell r="BO158">
            <v>-250.20264297286224</v>
          </cell>
          <cell r="BP158">
            <v>-270.37978460730579</v>
          </cell>
          <cell r="BQ158">
            <v>-267.09315351089128</v>
          </cell>
          <cell r="BR158">
            <v>-1034.154052286096</v>
          </cell>
          <cell r="BS158">
            <v>-264.15452031625387</v>
          </cell>
          <cell r="BT158">
            <v>-270.21175344774616</v>
          </cell>
          <cell r="BU158">
            <v>-294.03865439227741</v>
          </cell>
          <cell r="BV158">
            <v>-291.00672072652435</v>
          </cell>
          <cell r="BW158">
            <v>-1119.411648882802</v>
          </cell>
          <cell r="BX158">
            <v>-281.69892915419041</v>
          </cell>
          <cell r="BY158">
            <v>-286.44949203500761</v>
          </cell>
          <cell r="BZ158">
            <v>-309.39656241777783</v>
          </cell>
          <cell r="CA158">
            <v>-305.66524728465498</v>
          </cell>
          <cell r="CB158">
            <v>-1183.2102308916308</v>
          </cell>
        </row>
        <row r="159">
          <cell r="B159" t="str">
            <v>Operating FCF - After Tax</v>
          </cell>
          <cell r="T159">
            <v>1314.5999999999985</v>
          </cell>
          <cell r="U159">
            <v>112.67359999999937</v>
          </cell>
          <cell r="V159">
            <v>-62.908199999999482</v>
          </cell>
          <cell r="W159">
            <v>426.95979999999821</v>
          </cell>
          <cell r="X159">
            <v>176.32719999999983</v>
          </cell>
          <cell r="Y159">
            <v>654.78479999999558</v>
          </cell>
          <cell r="Z159">
            <v>498.91520000000003</v>
          </cell>
          <cell r="AA159">
            <v>-263.49019999999939</v>
          </cell>
          <cell r="AB159">
            <v>579.41720000000146</v>
          </cell>
          <cell r="AC159">
            <v>92.563199999999725</v>
          </cell>
          <cell r="AD159">
            <v>930.23750000000189</v>
          </cell>
          <cell r="AE159">
            <v>-50.80459999999951</v>
          </cell>
          <cell r="AF159">
            <v>250.45959999999991</v>
          </cell>
          <cell r="AG159">
            <v>90.431999999999022</v>
          </cell>
          <cell r="AH159">
            <v>818.54860000000042</v>
          </cell>
          <cell r="AI159">
            <v>1121.5692000000008</v>
          </cell>
          <cell r="AJ159">
            <v>84.061399999999395</v>
          </cell>
          <cell r="AK159">
            <v>553.25200000000018</v>
          </cell>
          <cell r="AL159">
            <v>121.46600000000069</v>
          </cell>
          <cell r="AM159">
            <v>483.58679999999924</v>
          </cell>
          <cell r="AN159">
            <v>1242.3661999999995</v>
          </cell>
          <cell r="AO159">
            <v>166.62140000000051</v>
          </cell>
          <cell r="AP159">
            <v>29.100999999999885</v>
          </cell>
          <cell r="AQ159">
            <v>545.41699999999832</v>
          </cell>
          <cell r="AR159">
            <v>751.59359999999901</v>
          </cell>
          <cell r="AS159">
            <v>1492.7329999999984</v>
          </cell>
          <cell r="AT159">
            <v>1166.4469000000001</v>
          </cell>
          <cell r="AU159">
            <v>1068.0811999999996</v>
          </cell>
          <cell r="AV159">
            <v>248.47859999999969</v>
          </cell>
          <cell r="AW159">
            <v>883.69710000000055</v>
          </cell>
          <cell r="AX159">
            <v>3156.2037999999998</v>
          </cell>
          <cell r="AY159">
            <v>286.44759999999917</v>
          </cell>
          <cell r="AZ159">
            <v>651.32060000000058</v>
          </cell>
          <cell r="BA159">
            <v>338.46630000000016</v>
          </cell>
          <cell r="BB159">
            <v>916.75470000000007</v>
          </cell>
          <cell r="BC159">
            <v>2172.0892000000003</v>
          </cell>
          <cell r="BD159">
            <v>89.109999999999474</v>
          </cell>
          <cell r="BE159">
            <v>510.80979999999994</v>
          </cell>
          <cell r="BF159">
            <v>423.50390000000004</v>
          </cell>
          <cell r="BG159">
            <v>107.41900000000066</v>
          </cell>
          <cell r="BH159">
            <v>958.3427000000006</v>
          </cell>
          <cell r="BI159">
            <v>1145.6798134122073</v>
          </cell>
          <cell r="BJ159">
            <v>460.61600753486817</v>
          </cell>
          <cell r="BK159">
            <v>526.62847245080502</v>
          </cell>
          <cell r="BL159">
            <v>424.8633863017634</v>
          </cell>
          <cell r="BM159">
            <v>2557.7876796996452</v>
          </cell>
          <cell r="BN159">
            <v>1003.6811151289647</v>
          </cell>
          <cell r="BO159">
            <v>442.50980568309808</v>
          </cell>
          <cell r="BP159">
            <v>482.65350305441126</v>
          </cell>
          <cell r="BQ159">
            <v>506.02340370728439</v>
          </cell>
          <cell r="BR159">
            <v>2434.8678275737575</v>
          </cell>
          <cell r="BS159">
            <v>499.83840470376879</v>
          </cell>
          <cell r="BT159">
            <v>489.87891312057928</v>
          </cell>
          <cell r="BU159">
            <v>540.76409531891034</v>
          </cell>
          <cell r="BV159">
            <v>544.5167124228077</v>
          </cell>
          <cell r="BW159">
            <v>2074.9981255660659</v>
          </cell>
          <cell r="BX159">
            <v>532.68009904194048</v>
          </cell>
          <cell r="BY159">
            <v>501.22582777780536</v>
          </cell>
          <cell r="BZ159">
            <v>543.09239682252542</v>
          </cell>
          <cell r="CA159">
            <v>570.39473159796103</v>
          </cell>
          <cell r="CB159">
            <v>2147.3930552402326</v>
          </cell>
        </row>
        <row r="161">
          <cell r="B161" t="str">
            <v>Free Cash Flow</v>
          </cell>
        </row>
        <row r="162">
          <cell r="B162" t="str">
            <v>Cash from Operations</v>
          </cell>
          <cell r="T162">
            <v>1123.9000000000012</v>
          </cell>
          <cell r="U162">
            <v>120.49999999999888</v>
          </cell>
          <cell r="V162">
            <v>-51.199999999999307</v>
          </cell>
          <cell r="W162">
            <v>440.59999999999707</v>
          </cell>
          <cell r="X162">
            <v>201.39999999999969</v>
          </cell>
          <cell r="Y162">
            <v>711.29999999999632</v>
          </cell>
          <cell r="Z162">
            <v>516.80000000000007</v>
          </cell>
          <cell r="AA162">
            <v>-239.49999999999889</v>
          </cell>
          <cell r="AB162">
            <v>624.20000000000232</v>
          </cell>
          <cell r="AC162">
            <v>142.49999999999963</v>
          </cell>
          <cell r="AD162">
            <v>1044.0000000000032</v>
          </cell>
          <cell r="AE162">
            <v>-31.099999999999227</v>
          </cell>
          <cell r="AF162">
            <v>275.49999999999989</v>
          </cell>
          <cell r="AG162">
            <v>117.49999999999824</v>
          </cell>
          <cell r="AH162">
            <v>879.20000000000073</v>
          </cell>
          <cell r="AI162">
            <v>1241.0999999999997</v>
          </cell>
          <cell r="AJ162">
            <v>100.49999999999898</v>
          </cell>
          <cell r="AK162">
            <v>576.20000000000027</v>
          </cell>
          <cell r="AL162">
            <v>139.70000000000124</v>
          </cell>
          <cell r="AM162">
            <v>550.59999999999877</v>
          </cell>
          <cell r="AN162">
            <v>1366.9999999999991</v>
          </cell>
          <cell r="AO162">
            <v>165.5000000000008</v>
          </cell>
          <cell r="AP162">
            <v>34.699999999999875</v>
          </cell>
          <cell r="AQ162">
            <v>596.99999999999739</v>
          </cell>
          <cell r="AR162">
            <v>837.99999999999852</v>
          </cell>
          <cell r="AS162">
            <v>1635.1999999999971</v>
          </cell>
          <cell r="AT162">
            <v>1170.3000000000004</v>
          </cell>
          <cell r="AU162">
            <v>1095.1999999999994</v>
          </cell>
          <cell r="AV162">
            <v>278.19999999999976</v>
          </cell>
          <cell r="AW162">
            <v>957.70000000000061</v>
          </cell>
          <cell r="AX162">
            <v>3501.4000000000005</v>
          </cell>
          <cell r="AY162">
            <v>300.29999999999882</v>
          </cell>
          <cell r="AZ162">
            <v>690.5000000000008</v>
          </cell>
          <cell r="BA162">
            <v>374.50000000000006</v>
          </cell>
          <cell r="BB162">
            <v>979.40000000000043</v>
          </cell>
          <cell r="BC162">
            <v>2344.7000000000003</v>
          </cell>
          <cell r="BD162">
            <v>93.999999999999147</v>
          </cell>
          <cell r="BE162">
            <v>546.39999999999964</v>
          </cell>
          <cell r="BF162">
            <v>445.74000000000024</v>
          </cell>
          <cell r="BG162">
            <v>196.26000000000096</v>
          </cell>
          <cell r="BH162">
            <v>1282.4000000000003</v>
          </cell>
          <cell r="BI162">
            <v>1157.3670989389473</v>
          </cell>
          <cell r="BJ162">
            <v>473.35925470067571</v>
          </cell>
          <cell r="BK162">
            <v>538.52456799380298</v>
          </cell>
          <cell r="BL162">
            <v>435.61314949788493</v>
          </cell>
          <cell r="BM162">
            <v>2604.8640711313105</v>
          </cell>
          <cell r="BN162">
            <v>1020.1504245424085</v>
          </cell>
          <cell r="BO162">
            <v>458.94786201269517</v>
          </cell>
          <cell r="BP162">
            <v>498.53992268215779</v>
          </cell>
          <cell r="BQ162">
            <v>522.18326185048591</v>
          </cell>
          <cell r="BR162">
            <v>2499.8214710877473</v>
          </cell>
          <cell r="BS162">
            <v>515.0573246735396</v>
          </cell>
          <cell r="BT162">
            <v>503.54510278474083</v>
          </cell>
          <cell r="BU162">
            <v>554.09199038999998</v>
          </cell>
          <cell r="BV162">
            <v>558.22864712931687</v>
          </cell>
          <cell r="BW162">
            <v>2130.9230649775973</v>
          </cell>
          <cell r="BX162">
            <v>545.63260215670937</v>
          </cell>
          <cell r="BY162">
            <v>512.71950696445094</v>
          </cell>
          <cell r="BZ162">
            <v>554.81206767848221</v>
          </cell>
          <cell r="CA162">
            <v>582.46926753963612</v>
          </cell>
          <cell r="CB162">
            <v>2195.6334443392789</v>
          </cell>
        </row>
        <row r="163">
          <cell r="B163" t="str">
            <v>Less: Capex</v>
          </cell>
          <cell r="T163">
            <v>-124.9</v>
          </cell>
          <cell r="U163">
            <v>-22.7</v>
          </cell>
          <cell r="V163">
            <v>-20.400000000000002</v>
          </cell>
          <cell r="W163">
            <v>-21.899999999999995</v>
          </cell>
          <cell r="X163">
            <v>-33.099999999999994</v>
          </cell>
          <cell r="Y163">
            <v>-98.1</v>
          </cell>
          <cell r="Z163">
            <v>-23.7</v>
          </cell>
          <cell r="AA163">
            <v>-28.000000000000004</v>
          </cell>
          <cell r="AB163">
            <v>-25.700000000000006</v>
          </cell>
          <cell r="AC163">
            <v>-54.699999999999989</v>
          </cell>
          <cell r="AD163">
            <v>-132.1</v>
          </cell>
          <cell r="AE163">
            <v>-27.7</v>
          </cell>
          <cell r="AF163">
            <v>-28.599999999999998</v>
          </cell>
          <cell r="AG163">
            <v>-31.500000000000004</v>
          </cell>
          <cell r="AH163">
            <v>-63.2</v>
          </cell>
          <cell r="AI163">
            <v>-151</v>
          </cell>
          <cell r="AJ163">
            <v>-25</v>
          </cell>
          <cell r="AK163">
            <v>-34.4</v>
          </cell>
          <cell r="AL163">
            <v>-34.1</v>
          </cell>
          <cell r="AM163">
            <v>-84.199999999999989</v>
          </cell>
          <cell r="AN163">
            <v>-177.7</v>
          </cell>
          <cell r="AO163">
            <v>-39.1</v>
          </cell>
          <cell r="AP163">
            <v>-48.499999999999993</v>
          </cell>
          <cell r="AQ163">
            <v>-68.900000000000006</v>
          </cell>
          <cell r="AR163">
            <v>-130.39999999999998</v>
          </cell>
          <cell r="AS163">
            <v>-286.89999999999998</v>
          </cell>
          <cell r="AT163">
            <v>-35.4</v>
          </cell>
          <cell r="AU163">
            <v>-62.699999999999996</v>
          </cell>
          <cell r="AV163">
            <v>-56.200000000000024</v>
          </cell>
          <cell r="AW163">
            <v>-84.5</v>
          </cell>
          <cell r="AX163">
            <v>-238.8</v>
          </cell>
          <cell r="AY163">
            <v>-42.6</v>
          </cell>
          <cell r="AZ163">
            <v>-57.800000000000004</v>
          </cell>
          <cell r="BA163">
            <v>-63.699999999999982</v>
          </cell>
          <cell r="BB163">
            <v>-86</v>
          </cell>
          <cell r="BC163">
            <v>-250.1</v>
          </cell>
          <cell r="BD163">
            <v>-44.5</v>
          </cell>
          <cell r="BE163">
            <v>-66.599999999999994</v>
          </cell>
          <cell r="BF163">
            <v>-79.200000000000017</v>
          </cell>
          <cell r="BG163">
            <v>-134.30000000000001</v>
          </cell>
          <cell r="BH163">
            <v>-324.60000000000002</v>
          </cell>
          <cell r="BI163">
            <v>-43.75</v>
          </cell>
          <cell r="BJ163">
            <v>-43.75</v>
          </cell>
          <cell r="BK163">
            <v>-43.75</v>
          </cell>
          <cell r="BL163">
            <v>-43.75</v>
          </cell>
          <cell r="BM163">
            <v>-175</v>
          </cell>
          <cell r="BN163">
            <v>-50</v>
          </cell>
          <cell r="BO163">
            <v>-50</v>
          </cell>
          <cell r="BP163">
            <v>-50</v>
          </cell>
          <cell r="BQ163">
            <v>-50</v>
          </cell>
          <cell r="BR163">
            <v>-200</v>
          </cell>
          <cell r="BS163">
            <v>-50</v>
          </cell>
          <cell r="BT163">
            <v>-50</v>
          </cell>
          <cell r="BU163">
            <v>-50</v>
          </cell>
          <cell r="BV163">
            <v>-50</v>
          </cell>
          <cell r="BW163">
            <v>-200</v>
          </cell>
          <cell r="BX163">
            <v>-50</v>
          </cell>
          <cell r="BY163">
            <v>-50</v>
          </cell>
          <cell r="BZ163">
            <v>-50</v>
          </cell>
          <cell r="CA163">
            <v>-50</v>
          </cell>
          <cell r="CB163">
            <v>-200</v>
          </cell>
        </row>
        <row r="164">
          <cell r="B164" t="str">
            <v>Free Cash Flow</v>
          </cell>
          <cell r="T164">
            <v>999.00000000000125</v>
          </cell>
          <cell r="U164">
            <v>97.799999999998875</v>
          </cell>
          <cell r="V164">
            <v>-71.599999999999312</v>
          </cell>
          <cell r="W164">
            <v>418.69999999999709</v>
          </cell>
          <cell r="X164">
            <v>168.2999999999997</v>
          </cell>
          <cell r="Y164">
            <v>613.19999999999629</v>
          </cell>
          <cell r="Z164">
            <v>493.10000000000008</v>
          </cell>
          <cell r="AA164">
            <v>-267.49999999999892</v>
          </cell>
          <cell r="AB164">
            <v>598.50000000000227</v>
          </cell>
          <cell r="AC164">
            <v>87.799999999999642</v>
          </cell>
          <cell r="AD164">
            <v>911.90000000000316</v>
          </cell>
          <cell r="AE164">
            <v>-58.79999999999923</v>
          </cell>
          <cell r="AF164">
            <v>246.89999999999989</v>
          </cell>
          <cell r="AG164">
            <v>85.999999999998238</v>
          </cell>
          <cell r="AH164">
            <v>816.00000000000068</v>
          </cell>
          <cell r="AI164">
            <v>1090.0999999999997</v>
          </cell>
          <cell r="AJ164">
            <v>75.499999999998977</v>
          </cell>
          <cell r="AK164">
            <v>541.8000000000003</v>
          </cell>
          <cell r="AL164">
            <v>105.60000000000124</v>
          </cell>
          <cell r="AM164">
            <v>466.39999999999878</v>
          </cell>
          <cell r="AN164">
            <v>1189.299999999999</v>
          </cell>
          <cell r="AO164">
            <v>126.4000000000008</v>
          </cell>
          <cell r="AP164">
            <v>-13.800000000000118</v>
          </cell>
          <cell r="AQ164">
            <v>528.09999999999741</v>
          </cell>
          <cell r="AR164">
            <v>707.59999999999854</v>
          </cell>
          <cell r="AS164">
            <v>1348.299999999997</v>
          </cell>
          <cell r="AT164">
            <v>1134.9000000000003</v>
          </cell>
          <cell r="AU164">
            <v>1032.4999999999993</v>
          </cell>
          <cell r="AV164">
            <v>221.99999999999974</v>
          </cell>
          <cell r="AW164">
            <v>873.20000000000061</v>
          </cell>
          <cell r="AX164">
            <v>3262.6000000000004</v>
          </cell>
          <cell r="AY164">
            <v>257.69999999999879</v>
          </cell>
          <cell r="AZ164">
            <v>632.70000000000084</v>
          </cell>
          <cell r="BA164">
            <v>310.80000000000007</v>
          </cell>
          <cell r="BB164">
            <v>893.40000000000043</v>
          </cell>
          <cell r="BC164">
            <v>2094.6000000000004</v>
          </cell>
          <cell r="BD164">
            <v>49.499999999999147</v>
          </cell>
          <cell r="BE164">
            <v>479.79999999999961</v>
          </cell>
          <cell r="BF164">
            <v>366.54000000000019</v>
          </cell>
          <cell r="BG164">
            <v>61.960000000000946</v>
          </cell>
          <cell r="BH164">
            <v>957.8000000000003</v>
          </cell>
          <cell r="BI164">
            <v>1113.6170989389473</v>
          </cell>
          <cell r="BJ164">
            <v>429.60925470067571</v>
          </cell>
          <cell r="BK164">
            <v>494.77456799380298</v>
          </cell>
          <cell r="BL164">
            <v>391.86314949788493</v>
          </cell>
          <cell r="BM164">
            <v>2429.8640711313105</v>
          </cell>
          <cell r="BN164">
            <v>970.15042454240847</v>
          </cell>
          <cell r="BO164">
            <v>408.94786201269517</v>
          </cell>
          <cell r="BP164">
            <v>448.53992268215779</v>
          </cell>
          <cell r="BQ164">
            <v>472.18326185048591</v>
          </cell>
          <cell r="BR164">
            <v>2299.8214710877473</v>
          </cell>
          <cell r="BS164">
            <v>465.0573246735396</v>
          </cell>
          <cell r="BT164">
            <v>453.54510278474083</v>
          </cell>
          <cell r="BU164">
            <v>504.09199038999998</v>
          </cell>
          <cell r="BV164">
            <v>508.22864712931687</v>
          </cell>
          <cell r="BW164">
            <v>1930.9230649775973</v>
          </cell>
          <cell r="BX164">
            <v>495.63260215670937</v>
          </cell>
          <cell r="BY164">
            <v>462.71950696445094</v>
          </cell>
          <cell r="BZ164">
            <v>504.81206767848221</v>
          </cell>
          <cell r="CA164">
            <v>532.46926753963612</v>
          </cell>
          <cell r="CB164">
            <v>1995.6334443392789</v>
          </cell>
        </row>
        <row r="166">
          <cell r="B166" t="str">
            <v>FCF Per Share</v>
          </cell>
          <cell r="T166">
            <v>1.8445347119645517</v>
          </cell>
          <cell r="U166">
            <v>0.17866276945560627</v>
          </cell>
          <cell r="V166">
            <v>-0.13037144938091644</v>
          </cell>
          <cell r="W166">
            <v>0.76349380014587365</v>
          </cell>
          <cell r="X166">
            <v>0.30433996383363415</v>
          </cell>
          <cell r="Y166">
            <v>1.1159235668789742</v>
          </cell>
          <cell r="Z166">
            <v>0.88022134951802933</v>
          </cell>
          <cell r="AA166">
            <v>-0.47128259337561473</v>
          </cell>
          <cell r="AB166">
            <v>1.0092748735244559</v>
          </cell>
          <cell r="AC166">
            <v>0.14075024046168588</v>
          </cell>
          <cell r="AD166">
            <v>1.5530954611257821</v>
          </cell>
          <cell r="AE166">
            <v>-9.5268956578093367E-2</v>
          </cell>
          <cell r="AF166">
            <v>0.40756025090789022</v>
          </cell>
          <cell r="AG166">
            <v>0.14395714763976941</v>
          </cell>
          <cell r="AH166">
            <v>1.3807106598984784</v>
          </cell>
          <cell r="AI166">
            <v>1.8071949602122008</v>
          </cell>
          <cell r="AJ166">
            <v>0.14438577808313188</v>
          </cell>
          <cell r="AK166">
            <v>0.9805955334987595</v>
          </cell>
          <cell r="AL166">
            <v>0.22165328467153411</v>
          </cell>
          <cell r="AM166">
            <v>0.88520373421197018</v>
          </cell>
          <cell r="AN166">
            <v>2.2149513282224986</v>
          </cell>
          <cell r="AO166">
            <v>0.30982037932316941</v>
          </cell>
          <cell r="AP166">
            <v>5.6222952086553098E-2</v>
          </cell>
          <cell r="AQ166">
            <v>1.062362680171403</v>
          </cell>
          <cell r="AR166">
            <v>1.4874205422521254</v>
          </cell>
          <cell r="AS166">
            <v>2.8783898958735024</v>
          </cell>
          <cell r="AT166">
            <v>2.3273082601755788</v>
          </cell>
          <cell r="AU166">
            <v>2.1886909836065565</v>
          </cell>
          <cell r="AV166">
            <v>0.51264410975861296</v>
          </cell>
          <cell r="AW166">
            <v>1.8138282019704446</v>
          </cell>
          <cell r="AX166">
            <v>6.4412322448979591</v>
          </cell>
          <cell r="AY166">
            <v>0.5990121288163931</v>
          </cell>
          <cell r="AZ166">
            <v>1.4097848484848496</v>
          </cell>
          <cell r="BA166">
            <v>0.77434522992450272</v>
          </cell>
          <cell r="BB166">
            <v>2.1309965132496513</v>
          </cell>
          <cell r="BC166">
            <v>4.8068364038727527</v>
          </cell>
          <cell r="BD166">
            <v>0.2151376146788978</v>
          </cell>
          <cell r="BE166">
            <v>1.2609474203900268</v>
          </cell>
          <cell r="BF166">
            <v>1.0724332742466449</v>
          </cell>
          <cell r="BG166">
            <v>0.27215353432987249</v>
          </cell>
          <cell r="BH166">
            <v>2.3826035179315075</v>
          </cell>
          <cell r="BI166">
            <v>2.9026597755566437</v>
          </cell>
          <cell r="BJ166">
            <v>1.1670028060168942</v>
          </cell>
          <cell r="BK166">
            <v>1.4215266094616228</v>
          </cell>
          <cell r="BL166">
            <v>1.2438828105581223</v>
          </cell>
          <cell r="BM166">
            <v>6.8142750916480388</v>
          </cell>
          <cell r="BN166">
            <v>3.0716163860374528</v>
          </cell>
          <cell r="BO166">
            <v>1.4219273416147191</v>
          </cell>
          <cell r="BP166">
            <v>1.5838536095222888</v>
          </cell>
          <cell r="BQ166">
            <v>1.6718100834844465</v>
          </cell>
          <cell r="BR166">
            <v>7.8204955986471747</v>
          </cell>
          <cell r="BS166">
            <v>1.7202066529527367</v>
          </cell>
          <cell r="BT166">
            <v>1.7770136928708142</v>
          </cell>
          <cell r="BU166">
            <v>2.0079885628968381</v>
          </cell>
          <cell r="BV166">
            <v>2.0526291237356702</v>
          </cell>
          <cell r="BW166">
            <v>7.5397707053074035</v>
          </cell>
          <cell r="BX166">
            <v>2.0820661759394579</v>
          </cell>
          <cell r="BY166">
            <v>2.0509038506674226</v>
          </cell>
          <cell r="BZ166">
            <v>2.2822708438172414</v>
          </cell>
          <cell r="CA166">
            <v>2.4458816768070979</v>
          </cell>
          <cell r="CB166">
            <v>8.8424457638404466</v>
          </cell>
        </row>
        <row r="167">
          <cell r="B167" t="str">
            <v>FCF Yield</v>
          </cell>
          <cell r="U167">
            <v>4.1874476048710259E-2</v>
          </cell>
          <cell r="V167">
            <v>-2.9546072536626118E-2</v>
          </cell>
          <cell r="W167">
            <v>0.19243131684963588</v>
          </cell>
          <cell r="X167">
            <v>6.6569572649171072E-2</v>
          </cell>
          <cell r="Y167">
            <v>6.4820215613905552E-2</v>
          </cell>
          <cell r="Z167">
            <v>0.15884252151516703</v>
          </cell>
          <cell r="AA167">
            <v>-7.2670094267119636E-2</v>
          </cell>
          <cell r="AB167">
            <v>0.15975364806332704</v>
          </cell>
          <cell r="AC167">
            <v>2.0711711856498748E-2</v>
          </cell>
          <cell r="AD167">
            <v>6.1741994238762657E-2</v>
          </cell>
          <cell r="AE167">
            <v>-1.3461424238234617E-2</v>
          </cell>
          <cell r="AF167">
            <v>6.1045212083444926E-2</v>
          </cell>
          <cell r="AG167">
            <v>1.9003704925747756E-2</v>
          </cell>
          <cell r="AH167">
            <v>0.2073771613750032</v>
          </cell>
          <cell r="AI167">
            <v>6.4606862823393799E-2</v>
          </cell>
          <cell r="AJ167">
            <v>1.8307236437202105E-2</v>
          </cell>
          <cell r="AK167">
            <v>0.10279410528509696</v>
          </cell>
          <cell r="AL167">
            <v>2.1215083337880716E-2</v>
          </cell>
          <cell r="AM167">
            <v>7.3875554716083161E-2</v>
          </cell>
          <cell r="AN167">
            <v>5.5456803360593332E-2</v>
          </cell>
          <cell r="AO167">
            <v>2.5938075787326934E-2</v>
          </cell>
          <cell r="AP167">
            <v>4.7358885656047225E-3</v>
          </cell>
          <cell r="AQ167">
            <v>8.9375391026431314E-2</v>
          </cell>
          <cell r="AR167">
            <v>0.14909090364428645</v>
          </cell>
          <cell r="AS167">
            <v>6.3035643661449953E-2</v>
          </cell>
          <cell r="AT167">
            <v>0.2183827285233656</v>
          </cell>
          <cell r="AU167">
            <v>0.19695123904416886</v>
          </cell>
          <cell r="AV167">
            <v>3.892364038325595E-2</v>
          </cell>
          <cell r="AW167">
            <v>0.12009652924418743</v>
          </cell>
          <cell r="AX167">
            <v>0.12850546373822366</v>
          </cell>
          <cell r="AY167">
            <v>3.7576138235679693E-2</v>
          </cell>
          <cell r="AZ167">
            <v>9.4552722762754948E-2</v>
          </cell>
          <cell r="BA167">
            <v>6.2942903048413254E-2</v>
          </cell>
          <cell r="BB167">
            <v>0.14640246342640514</v>
          </cell>
          <cell r="BC167">
            <v>8.3373983657411027E-2</v>
          </cell>
          <cell r="BD167">
            <v>1.4092441725772656E-2</v>
          </cell>
          <cell r="BE167">
            <v>8.5844331122428577E-2</v>
          </cell>
          <cell r="BF167">
            <v>7.8823564817724165E-2</v>
          </cell>
          <cell r="BG167">
            <v>2.0302625686145489E-2</v>
          </cell>
          <cell r="BH167">
            <v>4.1844311204733323E-2</v>
          </cell>
          <cell r="BI167">
            <v>0.18522107007508623</v>
          </cell>
          <cell r="BJ167">
            <v>7.2880750954513476E-2</v>
          </cell>
          <cell r="BK167">
            <v>8.8776073429498323E-2</v>
          </cell>
          <cell r="BL167">
            <v>7.7682001161849881E-2</v>
          </cell>
          <cell r="BM167">
            <v>0.10695087505819335</v>
          </cell>
          <cell r="BN167">
            <v>0.19182619587922145</v>
          </cell>
          <cell r="BO167">
            <v>8.8801099642030937E-2</v>
          </cell>
          <cell r="BP167">
            <v>9.8913592896991337E-2</v>
          </cell>
          <cell r="BQ167">
            <v>0.10440658215170666</v>
          </cell>
          <cell r="BR167">
            <v>0.12209987609439087</v>
          </cell>
          <cell r="BS167">
            <v>0.10742900704073508</v>
          </cell>
          <cell r="BT167">
            <v>0.11097667608436268</v>
          </cell>
          <cell r="BU167">
            <v>0.1254013388977907</v>
          </cell>
          <cell r="BV167">
            <v>0.12818919645922128</v>
          </cell>
          <cell r="BW167">
            <v>0.11771697295723897</v>
          </cell>
          <cell r="BX167">
            <v>0.13002757633237844</v>
          </cell>
          <cell r="BY167">
            <v>0.12808145104835592</v>
          </cell>
          <cell r="BZ167">
            <v>0.14253060242991886</v>
          </cell>
          <cell r="CA167">
            <v>0.1527482988322888</v>
          </cell>
          <cell r="CB167">
            <v>0.13805538517572485</v>
          </cell>
        </row>
        <row r="169">
          <cell r="B169" t="str">
            <v>Stock Price</v>
          </cell>
          <cell r="D169" t="str">
            <v/>
          </cell>
          <cell r="E169" t="e">
            <v>#N/A</v>
          </cell>
          <cell r="F169" t="e">
            <v>#N/A</v>
          </cell>
          <cell r="G169" t="e">
            <v>#N/A</v>
          </cell>
          <cell r="H169" t="e">
            <v>#N/A</v>
          </cell>
          <cell r="I169" t="e">
            <v>#N/A</v>
          </cell>
          <cell r="J169" t="e">
            <v>#N/A</v>
          </cell>
          <cell r="K169" t="e">
            <v>#N/A</v>
          </cell>
          <cell r="L169" t="e">
            <v>#N/A</v>
          </cell>
          <cell r="M169" t="e">
            <v>#N/A</v>
          </cell>
          <cell r="N169" t="e">
            <v>#N/A</v>
          </cell>
          <cell r="O169" t="e">
            <v>#N/A</v>
          </cell>
          <cell r="P169" t="e">
            <v>#N/A</v>
          </cell>
          <cell r="Q169" t="e">
            <v>#N/A</v>
          </cell>
          <cell r="R169">
            <v>12.620810810810809</v>
          </cell>
          <cell r="S169">
            <v>16.553593750000001</v>
          </cell>
          <cell r="T169">
            <v>15.112871287128714</v>
          </cell>
          <cell r="U169">
            <v>17.066507936507936</v>
          </cell>
          <cell r="V169">
            <v>17.649919354838708</v>
          </cell>
          <cell r="W169">
            <v>15.870468750000001</v>
          </cell>
          <cell r="X169">
            <v>18.287031249999998</v>
          </cell>
          <cell r="Y169">
            <v>17.215671936758888</v>
          </cell>
          <cell r="Z169">
            <v>22.165887096774188</v>
          </cell>
          <cell r="AA169">
            <v>25.9409375</v>
          </cell>
          <cell r="AB169">
            <v>25.270781249999999</v>
          </cell>
          <cell r="AC169">
            <v>27.182734374999999</v>
          </cell>
          <cell r="AD169">
            <v>25.154604743082995</v>
          </cell>
          <cell r="AE169">
            <v>28.30873015873016</v>
          </cell>
          <cell r="AF169">
            <v>26.705468750000001</v>
          </cell>
          <cell r="AG169">
            <v>30.300859375000002</v>
          </cell>
          <cell r="AH169">
            <v>26.631875000000001</v>
          </cell>
          <cell r="AI169">
            <v>27.972182539682535</v>
          </cell>
          <cell r="AJ169">
            <v>31.547258064516125</v>
          </cell>
          <cell r="AK169">
            <v>38.157656250000002</v>
          </cell>
          <cell r="AL169">
            <v>41.791640625000007</v>
          </cell>
          <cell r="AM169">
            <v>47.929453125000002</v>
          </cell>
          <cell r="AN169">
            <v>39.940119047619064</v>
          </cell>
          <cell r="AO169">
            <v>47.778467741935479</v>
          </cell>
          <cell r="AP169">
            <v>47.486718750000001</v>
          </cell>
          <cell r="AQ169">
            <v>47.546093749999997</v>
          </cell>
          <cell r="AR169">
            <v>39.906406250000003</v>
          </cell>
          <cell r="AS169">
            <v>45.6628937007874</v>
          </cell>
          <cell r="AT169">
            <v>42.628064516129008</v>
          </cell>
          <cell r="AU169">
            <v>44.451428571428572</v>
          </cell>
          <cell r="AV169">
            <v>52.682031250000001</v>
          </cell>
          <cell r="AW169">
            <v>60.412343749999998</v>
          </cell>
          <cell r="AX169">
            <v>50.124189723320136</v>
          </cell>
          <cell r="AY169">
            <v>63.765161290322567</v>
          </cell>
          <cell r="AZ169">
            <v>59.640158730158738</v>
          </cell>
          <cell r="BA169">
            <v>49.209375000000001</v>
          </cell>
          <cell r="BB169">
            <v>58.22296875</v>
          </cell>
          <cell r="BC169">
            <v>57.653913043478262</v>
          </cell>
          <cell r="BD169">
            <v>61.064681015625006</v>
          </cell>
          <cell r="BE169">
            <v>58.755069969230789</v>
          </cell>
          <cell r="BF169">
            <v>54.421962606060617</v>
          </cell>
          <cell r="BG169">
            <v>53.619376830769241</v>
          </cell>
          <cell r="BH169">
            <v>56.939723688461463</v>
          </cell>
          <cell r="BI169">
            <v>62.685304093750091</v>
          </cell>
          <cell r="BJ169">
            <v>64.049987999999999</v>
          </cell>
          <cell r="BK169">
            <v>64.049988000000056</v>
          </cell>
          <cell r="BL169">
            <v>64.049988000000241</v>
          </cell>
          <cell r="BM169">
            <v>63.714065807692585</v>
          </cell>
          <cell r="BN169">
            <v>64.049988000000141</v>
          </cell>
          <cell r="BO169">
            <v>64.0499879999999</v>
          </cell>
          <cell r="BP169">
            <v>64.049987999999743</v>
          </cell>
          <cell r="BQ169">
            <v>64.049987999999615</v>
          </cell>
          <cell r="BR169">
            <v>64.049987999999615</v>
          </cell>
          <cell r="BS169">
            <v>64.04998799999953</v>
          </cell>
          <cell r="BT169">
            <v>64.049987999999459</v>
          </cell>
          <cell r="BU169">
            <v>64.049987999999402</v>
          </cell>
          <cell r="BV169">
            <v>64.049987999999345</v>
          </cell>
          <cell r="BW169">
            <v>64.049987999999345</v>
          </cell>
          <cell r="BX169">
            <v>64.049987999999303</v>
          </cell>
          <cell r="BY169">
            <v>64.049987999999274</v>
          </cell>
          <cell r="BZ169">
            <v>64.049987999999246</v>
          </cell>
          <cell r="CA169">
            <v>64.049987999999217</v>
          </cell>
          <cell r="CB169">
            <v>64.049987999999217</v>
          </cell>
        </row>
        <row r="172">
          <cell r="B172" t="str">
            <v>Change in Shareholders' Equity</v>
          </cell>
        </row>
        <row r="173">
          <cell r="B173" t="str">
            <v>Other Changes</v>
          </cell>
          <cell r="U173">
            <v>14.200000000001054</v>
          </cell>
          <cell r="V173">
            <v>67.199999999999349</v>
          </cell>
          <cell r="W173">
            <v>10.700000000003101</v>
          </cell>
          <cell r="X173">
            <v>65.700000000000443</v>
          </cell>
          <cell r="Y173">
            <v>157.80000000000393</v>
          </cell>
          <cell r="Z173">
            <v>79.600000000000364</v>
          </cell>
          <cell r="AA173">
            <v>117.09999999999889</v>
          </cell>
          <cell r="AB173">
            <v>1403.699999999998</v>
          </cell>
          <cell r="AC173">
            <v>-197.69999999999928</v>
          </cell>
          <cell r="AD173">
            <v>1402.699999999998</v>
          </cell>
          <cell r="AE173">
            <v>-186.30000000000112</v>
          </cell>
          <cell r="AF173">
            <v>-503.3000000000003</v>
          </cell>
          <cell r="AG173">
            <v>19.30000000000112</v>
          </cell>
          <cell r="AH173">
            <v>-266.50000000000028</v>
          </cell>
          <cell r="AI173">
            <v>-936.80000000000064</v>
          </cell>
          <cell r="AJ173">
            <v>-604.69999999999879</v>
          </cell>
          <cell r="AK173">
            <v>-581.40000000000077</v>
          </cell>
          <cell r="AL173">
            <v>-418.50000000000034</v>
          </cell>
          <cell r="AM173">
            <v>64.399999999999721</v>
          </cell>
          <cell r="AN173">
            <v>-1540.2000000000003</v>
          </cell>
          <cell r="AO173">
            <v>-970.89999999999964</v>
          </cell>
          <cell r="AP173">
            <v>-492.39999999999935</v>
          </cell>
          <cell r="AQ173">
            <v>-336.89999999999816</v>
          </cell>
          <cell r="AR173">
            <v>-220.19999999999874</v>
          </cell>
          <cell r="AS173">
            <v>-2020.3999999999958</v>
          </cell>
          <cell r="AT173">
            <v>-181.90000000000003</v>
          </cell>
          <cell r="AU173">
            <v>-712.89999999999941</v>
          </cell>
          <cell r="AV173">
            <v>160.6000000000007</v>
          </cell>
          <cell r="AW173">
            <v>-116.70000000000022</v>
          </cell>
          <cell r="AX173">
            <v>-850.89999999999895</v>
          </cell>
          <cell r="AY173">
            <v>-1178.3999999999985</v>
          </cell>
          <cell r="AZ173">
            <v>-960.90000000000077</v>
          </cell>
          <cell r="BA173">
            <v>-842.79999999999927</v>
          </cell>
          <cell r="BB173">
            <v>-845.70000000000141</v>
          </cell>
          <cell r="BC173">
            <v>-3827.8</v>
          </cell>
          <cell r="BD173">
            <v>-722.50000000000068</v>
          </cell>
          <cell r="BE173">
            <v>-495.99999999999767</v>
          </cell>
          <cell r="BF173">
            <v>-271.20000000000141</v>
          </cell>
          <cell r="BG173">
            <v>7.1000000000001933</v>
          </cell>
          <cell r="BH173">
            <v>-1482.5999999999997</v>
          </cell>
          <cell r="BI173">
            <v>0</v>
          </cell>
          <cell r="BJ173">
            <v>0</v>
          </cell>
          <cell r="BK173">
            <v>-2000.0000000000002</v>
          </cell>
          <cell r="BL173">
            <v>-399.99999999999994</v>
          </cell>
          <cell r="BM173">
            <v>-2400</v>
          </cell>
          <cell r="BN173">
            <v>-900</v>
          </cell>
          <cell r="BO173">
            <v>-500.00000000000034</v>
          </cell>
          <cell r="BP173">
            <v>-99.999999999999886</v>
          </cell>
          <cell r="BQ173">
            <v>-99.999999999999886</v>
          </cell>
          <cell r="BR173">
            <v>-1600.0000000000005</v>
          </cell>
          <cell r="BS173">
            <v>-1199.9999999999995</v>
          </cell>
          <cell r="BT173">
            <v>-425</v>
          </cell>
          <cell r="BU173">
            <v>-300.00000000000011</v>
          </cell>
          <cell r="BV173">
            <v>-175.0000000000004</v>
          </cell>
          <cell r="BW173">
            <v>-2100</v>
          </cell>
          <cell r="BX173">
            <v>-999.99999999999977</v>
          </cell>
          <cell r="BY173">
            <v>-450</v>
          </cell>
          <cell r="BZ173">
            <v>-399.99999999999972</v>
          </cell>
          <cell r="CA173">
            <v>-249.9999999999996</v>
          </cell>
          <cell r="CB173">
            <v>-2099.9999999999991</v>
          </cell>
          <cell r="CI173" t="str">
            <v>mstag:otherChangeInAccumulatedOtherComprehensiveIncomeLoss</v>
          </cell>
          <cell r="CJ173">
            <v>6</v>
          </cell>
          <cell r="CK173" t="str">
            <v>ISO4217:USD</v>
          </cell>
          <cell r="CL173" t="b">
            <v>0</v>
          </cell>
        </row>
        <row r="177">
          <cell r="B177" t="str">
            <v>Statutory tax rate</v>
          </cell>
          <cell r="U177">
            <v>0.39799999999999996</v>
          </cell>
          <cell r="V177">
            <v>0.39799999999999996</v>
          </cell>
          <cell r="W177">
            <v>0.39799999999999996</v>
          </cell>
          <cell r="X177">
            <v>0.39799999999999996</v>
          </cell>
          <cell r="Y177">
            <v>0.39599999999999996</v>
          </cell>
          <cell r="Z177">
            <v>0.39799999999999996</v>
          </cell>
          <cell r="AA177">
            <v>0.39799999999999996</v>
          </cell>
          <cell r="AB177">
            <v>0.39799999999999996</v>
          </cell>
          <cell r="AC177">
            <v>0.39799999999999996</v>
          </cell>
          <cell r="AD177">
            <v>0.375</v>
          </cell>
          <cell r="AE177">
            <v>0.39799999999999996</v>
          </cell>
          <cell r="AF177">
            <v>0.39799999999999996</v>
          </cell>
          <cell r="AG177">
            <v>0.39799999999999996</v>
          </cell>
          <cell r="AH177">
            <v>0.39799999999999996</v>
          </cell>
          <cell r="AI177">
            <v>0.38600000000000001</v>
          </cell>
          <cell r="AJ177">
            <v>0.39799999999999996</v>
          </cell>
          <cell r="AK177">
            <v>0.39799999999999996</v>
          </cell>
          <cell r="AL177">
            <v>0.39799999999999996</v>
          </cell>
          <cell r="AM177">
            <v>0.39799999999999996</v>
          </cell>
          <cell r="AN177">
            <v>0.39799999999999996</v>
          </cell>
          <cell r="AO177">
            <v>0.38200000000000001</v>
          </cell>
          <cell r="AP177">
            <v>0.38200000000000001</v>
          </cell>
          <cell r="AQ177">
            <v>0.38200000000000001</v>
          </cell>
          <cell r="AR177">
            <v>0.38200000000000001</v>
          </cell>
          <cell r="AS177">
            <v>0.38200000000000001</v>
          </cell>
          <cell r="AT177">
            <v>0.38900000000000001</v>
          </cell>
          <cell r="AU177">
            <v>0.38900000000000001</v>
          </cell>
          <cell r="AV177">
            <v>0.38900000000000001</v>
          </cell>
          <cell r="AW177">
            <v>0.38900000000000001</v>
          </cell>
          <cell r="AX177">
            <v>0.38900000000000001</v>
          </cell>
          <cell r="AY177">
            <v>0.38900000000000001</v>
          </cell>
          <cell r="AZ177">
            <v>0.38900000000000001</v>
          </cell>
          <cell r="BA177">
            <v>0.38900000000000001</v>
          </cell>
          <cell r="BB177">
            <v>0.38900000000000001</v>
          </cell>
          <cell r="BC177">
            <v>0.38900000000000001</v>
          </cell>
          <cell r="BD177">
            <v>0.38900000000000001</v>
          </cell>
          <cell r="BE177">
            <v>0.38900000000000001</v>
          </cell>
          <cell r="BF177">
            <v>0.38900000000000001</v>
          </cell>
          <cell r="BG177">
            <v>0.38900000000000001</v>
          </cell>
          <cell r="BH177">
            <v>0.38900000000000001</v>
          </cell>
          <cell r="BI177">
            <v>0.38900000000000001</v>
          </cell>
          <cell r="BJ177">
            <v>0.38900000000000001</v>
          </cell>
          <cell r="BK177">
            <v>0.38900000000000001</v>
          </cell>
          <cell r="BL177">
            <v>0.38900000000000001</v>
          </cell>
          <cell r="BM177">
            <v>0.38900000000000001</v>
          </cell>
          <cell r="BN177">
            <v>0.38900000000000001</v>
          </cell>
          <cell r="BO177">
            <v>0.38900000000000001</v>
          </cell>
          <cell r="BP177">
            <v>0.38900000000000001</v>
          </cell>
          <cell r="BQ177">
            <v>0.38900000000000001</v>
          </cell>
          <cell r="BR177">
            <v>0.38900000000000001</v>
          </cell>
          <cell r="BS177">
            <v>0.38900000000000001</v>
          </cell>
          <cell r="BT177">
            <v>0.38900000000000001</v>
          </cell>
          <cell r="BU177">
            <v>0.38900000000000001</v>
          </cell>
          <cell r="BV177">
            <v>0.38900000000000001</v>
          </cell>
          <cell r="BW177">
            <v>0.38900000000000001</v>
          </cell>
          <cell r="BX177">
            <v>0.38900000000000001</v>
          </cell>
          <cell r="BY177">
            <v>0.38900000000000001</v>
          </cell>
          <cell r="BZ177">
            <v>0.38900000000000001</v>
          </cell>
          <cell r="CA177">
            <v>0.38900000000000001</v>
          </cell>
          <cell r="CB177">
            <v>0.38900000000000001</v>
          </cell>
          <cell r="CI177" t="str">
            <v>mstag:statutoryTaxRate</v>
          </cell>
          <cell r="CJ177">
            <v>0</v>
          </cell>
          <cell r="CK177" t="str">
            <v>ms_eqr_gcim_Decimal:ms_eqr_gcim_decimal</v>
          </cell>
          <cell r="CL177" t="b">
            <v>0</v>
          </cell>
        </row>
        <row r="178">
          <cell r="B178" t="str">
            <v>Unrecorded goodwill</v>
          </cell>
          <cell r="U178" t="str">
            <v>ND</v>
          </cell>
          <cell r="V178" t="str">
            <v>ND</v>
          </cell>
          <cell r="W178" t="str">
            <v>ND</v>
          </cell>
          <cell r="X178" t="str">
            <v>ND</v>
          </cell>
          <cell r="Z178" t="str">
            <v>ND</v>
          </cell>
          <cell r="AA178" t="str">
            <v>ND</v>
          </cell>
          <cell r="AB178" t="str">
            <v>ND</v>
          </cell>
          <cell r="AC178" t="str">
            <v>ND</v>
          </cell>
          <cell r="AE178" t="str">
            <v>ND</v>
          </cell>
          <cell r="AF178" t="str">
            <v>ND</v>
          </cell>
          <cell r="AG178" t="str">
            <v>ND</v>
          </cell>
          <cell r="AH178" t="str">
            <v>ND</v>
          </cell>
          <cell r="AJ178" t="str">
            <v>ND</v>
          </cell>
          <cell r="AK178" t="str">
            <v>ND</v>
          </cell>
          <cell r="AL178" t="str">
            <v>ND</v>
          </cell>
          <cell r="AM178" t="str">
            <v>ND</v>
          </cell>
          <cell r="AN178" t="str">
            <v>ND</v>
          </cell>
          <cell r="AO178" t="str">
            <v>ND</v>
          </cell>
          <cell r="AP178" t="str">
            <v>ND</v>
          </cell>
          <cell r="AQ178" t="str">
            <v>ND</v>
          </cell>
          <cell r="AR178" t="str">
            <v>ND</v>
          </cell>
          <cell r="AS178" t="str">
            <v>ND</v>
          </cell>
          <cell r="AT178" t="str">
            <v>ND</v>
          </cell>
          <cell r="AU178" t="str">
            <v>ND</v>
          </cell>
          <cell r="AV178" t="str">
            <v>ND</v>
          </cell>
          <cell r="AW178" t="str">
            <v>ND</v>
          </cell>
          <cell r="AX178" t="str">
            <v>ND</v>
          </cell>
          <cell r="AY178" t="str">
            <v>ND</v>
          </cell>
          <cell r="AZ178" t="str">
            <v>ND</v>
          </cell>
          <cell r="BA178" t="str">
            <v>ND</v>
          </cell>
          <cell r="BB178" t="str">
            <v>ND</v>
          </cell>
          <cell r="BC178" t="str">
            <v>ND</v>
          </cell>
          <cell r="BD178" t="str">
            <v>ND</v>
          </cell>
          <cell r="BE178" t="str">
            <v>ND</v>
          </cell>
          <cell r="BF178" t="str">
            <v>ND</v>
          </cell>
          <cell r="BG178" t="str">
            <v>ND</v>
          </cell>
          <cell r="BH178" t="str">
            <v>ND</v>
          </cell>
          <cell r="BI178" t="str">
            <v>ND</v>
          </cell>
          <cell r="BJ178" t="str">
            <v>ND</v>
          </cell>
          <cell r="BK178" t="str">
            <v>ND</v>
          </cell>
          <cell r="BL178" t="str">
            <v>ND</v>
          </cell>
          <cell r="BM178" t="str">
            <v>ND</v>
          </cell>
          <cell r="BN178" t="str">
            <v>ND</v>
          </cell>
          <cell r="BO178" t="str">
            <v>ND</v>
          </cell>
          <cell r="BP178" t="str">
            <v>ND</v>
          </cell>
          <cell r="BQ178" t="str">
            <v>ND</v>
          </cell>
          <cell r="BR178" t="str">
            <v>ND</v>
          </cell>
          <cell r="BS178" t="str">
            <v>ND</v>
          </cell>
          <cell r="BT178" t="str">
            <v>ND</v>
          </cell>
          <cell r="BU178" t="str">
            <v>ND</v>
          </cell>
          <cell r="BV178" t="str">
            <v>ND</v>
          </cell>
          <cell r="BW178" t="str">
            <v>ND</v>
          </cell>
          <cell r="BX178" t="str">
            <v>ND</v>
          </cell>
          <cell r="BY178" t="str">
            <v>ND</v>
          </cell>
          <cell r="BZ178" t="str">
            <v>ND</v>
          </cell>
          <cell r="CA178" t="str">
            <v>ND</v>
          </cell>
          <cell r="CB178" t="str">
            <v>ND</v>
          </cell>
          <cell r="CI178" t="str">
            <v>mstag:unrecordedGoodwillFromPoolingAndAmortizedOrWrittenOffGoodwill</v>
          </cell>
          <cell r="CJ178">
            <v>6</v>
          </cell>
          <cell r="CK178" t="str">
            <v>ISO4217:USD</v>
          </cell>
          <cell r="CL178" t="b">
            <v>0</v>
          </cell>
        </row>
        <row r="181">
          <cell r="U181" t="str">
            <v>2004-Q1</v>
          </cell>
          <cell r="V181" t="str">
            <v>2004-Q2</v>
          </cell>
          <cell r="W181" t="str">
            <v>2004-Q3</v>
          </cell>
          <cell r="X181" t="str">
            <v>2004-Q4</v>
          </cell>
          <cell r="Y181" t="str">
            <v>2004-FY</v>
          </cell>
          <cell r="Z181" t="str">
            <v>2005-Q1</v>
          </cell>
          <cell r="AA181" t="str">
            <v>2005-Q2</v>
          </cell>
          <cell r="AB181" t="str">
            <v>2005-Q3</v>
          </cell>
          <cell r="AC181" t="str">
            <v>2005-Q4</v>
          </cell>
          <cell r="AD181" t="str">
            <v>2005-FY</v>
          </cell>
          <cell r="AE181" t="str">
            <v>2006-Q1</v>
          </cell>
          <cell r="AF181" t="str">
            <v>2006-Q2</v>
          </cell>
          <cell r="AG181" t="str">
            <v>2006-Q3</v>
          </cell>
          <cell r="AH181" t="str">
            <v>2006-Q4</v>
          </cell>
          <cell r="AI181" t="str">
            <v>2006-FY</v>
          </cell>
          <cell r="AJ181" t="str">
            <v>2007-Q1</v>
          </cell>
          <cell r="AK181" t="str">
            <v>2007-Q2</v>
          </cell>
          <cell r="AL181" t="str">
            <v>2007-Q3</v>
          </cell>
          <cell r="AM181" t="str">
            <v>2007-Q4</v>
          </cell>
          <cell r="AN181" t="str">
            <v>2007-FY</v>
          </cell>
          <cell r="AO181" t="str">
            <v>2008-Q1</v>
          </cell>
          <cell r="AP181" t="str">
            <v>2008-Q2</v>
          </cell>
          <cell r="AQ181" t="str">
            <v>2008-Q3</v>
          </cell>
          <cell r="AR181" t="str">
            <v>2008-Q4</v>
          </cell>
          <cell r="AS181" t="str">
            <v>2008-FY</v>
          </cell>
          <cell r="AT181" t="str">
            <v>2009-Q1</v>
          </cell>
          <cell r="AU181" t="str">
            <v>2009-Q2</v>
          </cell>
          <cell r="AV181" t="str">
            <v>2009-Q3</v>
          </cell>
          <cell r="AW181" t="str">
            <v>2009-Q4</v>
          </cell>
          <cell r="AX181" t="str">
            <v>2009-FY</v>
          </cell>
          <cell r="AY181" t="str">
            <v>2010-Q1</v>
          </cell>
          <cell r="AZ181" t="str">
            <v>2010-Q2</v>
          </cell>
          <cell r="BA181" t="str">
            <v>2010-Q3</v>
          </cell>
          <cell r="BB181" t="str">
            <v>2010-Q4</v>
          </cell>
          <cell r="BC181" t="str">
            <v>2010-FY</v>
          </cell>
          <cell r="BD181" t="str">
            <v>2011-Q1</v>
          </cell>
          <cell r="BE181" t="str">
            <v>2011-Q2</v>
          </cell>
          <cell r="BF181" t="str">
            <v>2011-Q3</v>
          </cell>
          <cell r="BG181" t="str">
            <v>2011-Q4</v>
          </cell>
          <cell r="BH181" t="str">
            <v>2011-FY</v>
          </cell>
          <cell r="BI181" t="str">
            <v>2012-Q1</v>
          </cell>
          <cell r="BJ181" t="str">
            <v>2012-Q2</v>
          </cell>
          <cell r="BK181" t="str">
            <v>2012-Q3</v>
          </cell>
          <cell r="BL181" t="str">
            <v>2012-Q4</v>
          </cell>
          <cell r="BM181" t="str">
            <v>2012-FY</v>
          </cell>
          <cell r="BN181" t="str">
            <v>2013-Q1</v>
          </cell>
          <cell r="BO181" t="str">
            <v>2013-Q2</v>
          </cell>
          <cell r="BP181" t="str">
            <v>2013-Q3</v>
          </cell>
          <cell r="BQ181" t="str">
            <v>2013-Q4</v>
          </cell>
          <cell r="BR181" t="str">
            <v>2013-FY</v>
          </cell>
          <cell r="BS181" t="str">
            <v>2014-Q1</v>
          </cell>
          <cell r="BT181" t="str">
            <v>2014-Q2</v>
          </cell>
          <cell r="BU181" t="str">
            <v>2014-Q3</v>
          </cell>
          <cell r="BV181" t="str">
            <v>2014-Q4</v>
          </cell>
          <cell r="BW181" t="str">
            <v>2014-FY</v>
          </cell>
          <cell r="BX181" t="str">
            <v>2015-Q1</v>
          </cell>
          <cell r="BY181" t="str">
            <v>2015-Q2</v>
          </cell>
          <cell r="BZ181" t="str">
            <v>2015-Q3</v>
          </cell>
          <cell r="CA181" t="str">
            <v>2015-Q4</v>
          </cell>
          <cell r="CB181" t="str">
            <v>2015-FY</v>
          </cell>
        </row>
      </sheetData>
      <sheetData sheetId="3" refreshError="1"/>
      <sheetData sheetId="4" refreshError="1"/>
      <sheetData sheetId="5" refreshError="1">
        <row r="1">
          <cell r="B1" t="str">
            <v>EPS</v>
          </cell>
          <cell r="P1">
            <v>0.21442026218658519</v>
          </cell>
          <cell r="Q1">
            <v>0.22035720164608988</v>
          </cell>
          <cell r="R1">
            <v>0.21127062706270663</v>
          </cell>
          <cell r="S1">
            <v>0.24200041220892105</v>
          </cell>
          <cell r="T1">
            <v>0.88804850310430283</v>
          </cell>
          <cell r="U1">
            <v>0.23798041751771629</v>
          </cell>
          <cell r="V1">
            <v>0.28085390945797289</v>
          </cell>
          <cell r="W1">
            <v>0.26447144030109776</v>
          </cell>
          <cell r="X1">
            <v>0.28847539838491648</v>
          </cell>
          <cell r="Y1">
            <v>1.0717811656617033</v>
          </cell>
          <cell r="Z1">
            <v>0.28527794106784526</v>
          </cell>
          <cell r="AA1">
            <v>0.29233078922269568</v>
          </cell>
          <cell r="AB1">
            <v>0.3124247470489076</v>
          </cell>
          <cell r="AC1">
            <v>0.37577729240141017</v>
          </cell>
          <cell r="AD1">
            <v>1.2658107697408587</v>
          </cell>
          <cell r="AE1">
            <v>0.28824013499798384</v>
          </cell>
          <cell r="AF1">
            <v>0.33696269395840206</v>
          </cell>
          <cell r="AG1">
            <v>0.35749040601444759</v>
          </cell>
          <cell r="AH1">
            <v>0.43198419652571912</v>
          </cell>
          <cell r="AI1">
            <v>1.4146774314965527</v>
          </cell>
          <cell r="AJ1">
            <v>0.52904543112332336</v>
          </cell>
          <cell r="AK1">
            <v>0.44332018787664013</v>
          </cell>
          <cell r="AL1">
            <v>0.45389858544740136</v>
          </cell>
          <cell r="AM1">
            <v>0.4437393765853383</v>
          </cell>
          <cell r="AN1">
            <v>1.8700035810327031</v>
          </cell>
          <cell r="AO1">
            <v>0.58422299181852133</v>
          </cell>
          <cell r="AP1">
            <v>0.59236087212941957</v>
          </cell>
          <cell r="AQ1">
            <v>0.66660816614833462</v>
          </cell>
          <cell r="AR1">
            <v>0.62742819124275384</v>
          </cell>
          <cell r="AS1">
            <v>2.4683324526604458</v>
          </cell>
          <cell r="AT1">
            <v>0.66726855546688035</v>
          </cell>
          <cell r="AU1">
            <v>0.72720286885245744</v>
          </cell>
          <cell r="AV1">
            <v>0.79029709098411394</v>
          </cell>
          <cell r="AW1">
            <v>0.79865968801313714</v>
          </cell>
          <cell r="AX1">
            <v>2.9826000000000001</v>
          </cell>
          <cell r="AY1">
            <v>0.76235427122542643</v>
          </cell>
          <cell r="AZ1">
            <v>0.86787405303030463</v>
          </cell>
          <cell r="BA1">
            <v>0.95071565431251426</v>
          </cell>
          <cell r="BB1">
            <v>0.98782333798233546</v>
          </cell>
          <cell r="BC1">
            <v>3.5541577593360998</v>
          </cell>
          <cell r="BD1">
            <v>0.91011577310618563</v>
          </cell>
          <cell r="BE1">
            <v>0.95745050463123071</v>
          </cell>
          <cell r="BF1">
            <v>1.067561108272487</v>
          </cell>
          <cell r="BG1">
            <v>1.2527213093353113</v>
          </cell>
          <cell r="BH1">
            <v>4.1789101500357919</v>
          </cell>
          <cell r="BI1">
            <v>0.92844710900424765</v>
          </cell>
          <cell r="BJ1">
            <v>1.0059481165313457</v>
          </cell>
          <cell r="BK1">
            <v>1.1746374100768244</v>
          </cell>
          <cell r="BL1">
            <v>1.3527184347252739</v>
          </cell>
          <cell r="BM1">
            <v>4.4243382875431809</v>
          </cell>
          <cell r="BN1">
            <v>1.2171461865143636</v>
          </cell>
          <cell r="BO1">
            <v>1.2966818165531326</v>
          </cell>
          <cell r="BP1">
            <v>1.4264041344103668</v>
          </cell>
          <cell r="BQ1">
            <v>1.4199304764381451</v>
          </cell>
          <cell r="BR1">
            <v>5.3500402819418413</v>
          </cell>
          <cell r="BS1">
            <v>1.4599910406291037</v>
          </cell>
          <cell r="BT1">
            <v>1.5677468320665577</v>
          </cell>
          <cell r="BU1">
            <v>1.7425346622620581</v>
          </cell>
          <cell r="BV1">
            <v>1.7524936616509834</v>
          </cell>
          <cell r="BW1">
            <v>6.5063381751315079</v>
          </cell>
          <cell r="BX1">
            <v>1.7570150348189337</v>
          </cell>
          <cell r="BY1">
            <v>1.8638907590813212</v>
          </cell>
          <cell r="BZ1">
            <v>2.0666796944781822</v>
          </cell>
          <cell r="CA1">
            <v>2.0852111418677834</v>
          </cell>
          <cell r="CB1">
            <v>7.7542072442422398</v>
          </cell>
        </row>
        <row r="2">
          <cell r="B2" t="str">
            <v>Cover Page</v>
          </cell>
        </row>
        <row r="3">
          <cell r="B3" t="str">
            <v>MHS</v>
          </cell>
        </row>
        <row r="4">
          <cell r="B4" t="str">
            <v>Per Claim Analysis</v>
          </cell>
        </row>
        <row r="5">
          <cell r="F5" t="str">
            <v xml:space="preserve">Fiscal Year End, December 31 2001 </v>
          </cell>
          <cell r="K5" t="str">
            <v>Fiscal Year End, December 31 2002</v>
          </cell>
          <cell r="P5" t="str">
            <v>Fiscal Year End, Dec 31 2003</v>
          </cell>
          <cell r="U5" t="str">
            <v>Fiscal Year End, Dec 31 2004</v>
          </cell>
          <cell r="Z5" t="str">
            <v xml:space="preserve">Fiscal Year End, Dec 31 2005 </v>
          </cell>
          <cell r="AE5" t="str">
            <v xml:space="preserve">Fiscal Year End, Dec 31 2006 </v>
          </cell>
          <cell r="AJ5" t="str">
            <v xml:space="preserve">Fiscal Year End, Dec 31 2007 </v>
          </cell>
          <cell r="AO5" t="str">
            <v>Fiscal Year End, Dec 31 2008</v>
          </cell>
          <cell r="AT5" t="str">
            <v>Fiscal Year End, Dec 31 2009</v>
          </cell>
          <cell r="AY5" t="str">
            <v>Fiscal Year End, Dec 31 2010</v>
          </cell>
          <cell r="BD5" t="str">
            <v>Fiscal Year End, Dec 31 2011</v>
          </cell>
          <cell r="BI5" t="str">
            <v>Fiscal Year End, Dec 31 2012</v>
          </cell>
          <cell r="BN5" t="str">
            <v>Fiscal Year End, Dec 31 2013</v>
          </cell>
          <cell r="BS5" t="str">
            <v>Fiscal Year End, Dec 31 2014</v>
          </cell>
          <cell r="BX5" t="str">
            <v>Fiscal Year End, Dec 31 2015</v>
          </cell>
        </row>
        <row r="6">
          <cell r="D6" t="str">
            <v>1999A</v>
          </cell>
          <cell r="E6" t="str">
            <v>2000A</v>
          </cell>
          <cell r="F6" t="str">
            <v>1QA</v>
          </cell>
          <cell r="G6" t="str">
            <v>2QA</v>
          </cell>
          <cell r="H6" t="str">
            <v>3QA</v>
          </cell>
          <cell r="I6" t="str">
            <v>4QA</v>
          </cell>
          <cell r="J6" t="str">
            <v>2001A</v>
          </cell>
          <cell r="K6" t="str">
            <v>1QA</v>
          </cell>
          <cell r="L6" t="str">
            <v>2QA</v>
          </cell>
          <cell r="M6" t="str">
            <v>3QA</v>
          </cell>
          <cell r="N6" t="str">
            <v>4QA</v>
          </cell>
          <cell r="O6" t="str">
            <v>2002A</v>
          </cell>
          <cell r="P6" t="str">
            <v>1QA</v>
          </cell>
          <cell r="Q6" t="str">
            <v>2QA</v>
          </cell>
          <cell r="R6" t="str">
            <v>3QA</v>
          </cell>
          <cell r="S6" t="str">
            <v>4QA</v>
          </cell>
          <cell r="T6" t="str">
            <v>2003A</v>
          </cell>
          <cell r="U6" t="str">
            <v>1QA</v>
          </cell>
          <cell r="V6" t="str">
            <v>2QA</v>
          </cell>
          <cell r="W6" t="str">
            <v>3QA</v>
          </cell>
          <cell r="X6" t="str">
            <v>4QA</v>
          </cell>
          <cell r="Y6" t="str">
            <v>2004A</v>
          </cell>
          <cell r="Z6" t="str">
            <v>1QA</v>
          </cell>
          <cell r="AA6" t="str">
            <v>2QA</v>
          </cell>
          <cell r="AB6" t="str">
            <v>3QA</v>
          </cell>
          <cell r="AC6" t="str">
            <v>4QA</v>
          </cell>
          <cell r="AD6" t="str">
            <v>2005A</v>
          </cell>
          <cell r="AE6" t="str">
            <v>1QA</v>
          </cell>
          <cell r="AF6" t="str">
            <v>2QA</v>
          </cell>
          <cell r="AG6" t="str">
            <v>3QA</v>
          </cell>
          <cell r="AH6" t="str">
            <v>4QA</v>
          </cell>
          <cell r="AI6" t="str">
            <v>2006A</v>
          </cell>
          <cell r="AJ6" t="str">
            <v>1QA</v>
          </cell>
          <cell r="AK6" t="str">
            <v>2QA</v>
          </cell>
          <cell r="AL6" t="str">
            <v>3QA</v>
          </cell>
          <cell r="AM6" t="str">
            <v>4QA</v>
          </cell>
          <cell r="AN6" t="str">
            <v>2007A</v>
          </cell>
          <cell r="AO6" t="str">
            <v>1QA</v>
          </cell>
          <cell r="AP6" t="str">
            <v>2QA</v>
          </cell>
          <cell r="AQ6" t="str">
            <v>3QA</v>
          </cell>
          <cell r="AR6" t="str">
            <v>4QA</v>
          </cell>
          <cell r="AS6" t="str">
            <v>2008A</v>
          </cell>
          <cell r="AT6" t="str">
            <v>1QA</v>
          </cell>
          <cell r="AU6" t="str">
            <v>2QA</v>
          </cell>
          <cell r="AV6" t="str">
            <v>3QA</v>
          </cell>
          <cell r="AW6" t="str">
            <v>4QA</v>
          </cell>
          <cell r="AX6" t="str">
            <v>2009A</v>
          </cell>
          <cell r="AY6" t="str">
            <v>1QA</v>
          </cell>
          <cell r="AZ6" t="str">
            <v>2QA</v>
          </cell>
          <cell r="BA6" t="str">
            <v>3QA</v>
          </cell>
          <cell r="BB6" t="str">
            <v>4QA</v>
          </cell>
          <cell r="BC6" t="str">
            <v>2010A</v>
          </cell>
          <cell r="BD6" t="str">
            <v>1QA</v>
          </cell>
          <cell r="BE6" t="str">
            <v>2QA</v>
          </cell>
          <cell r="BF6" t="str">
            <v>3QA</v>
          </cell>
          <cell r="BG6" t="str">
            <v>4QA</v>
          </cell>
          <cell r="BH6" t="str">
            <v>2011A</v>
          </cell>
          <cell r="BI6" t="str">
            <v>1QE</v>
          </cell>
          <cell r="BJ6" t="str">
            <v>2QE</v>
          </cell>
          <cell r="BK6" t="str">
            <v>3QE</v>
          </cell>
          <cell r="BL6" t="str">
            <v>4QE</v>
          </cell>
          <cell r="BM6" t="str">
            <v>2012E</v>
          </cell>
          <cell r="BN6" t="str">
            <v>1QE</v>
          </cell>
          <cell r="BO6" t="str">
            <v>2QE</v>
          </cell>
          <cell r="BP6" t="str">
            <v>3QE</v>
          </cell>
          <cell r="BQ6" t="str">
            <v>4QE</v>
          </cell>
          <cell r="BR6" t="str">
            <v>2013E</v>
          </cell>
          <cell r="BS6" t="str">
            <v>1QE</v>
          </cell>
          <cell r="BT6" t="str">
            <v>2QE</v>
          </cell>
          <cell r="BU6" t="str">
            <v>3QE</v>
          </cell>
          <cell r="BV6" t="str">
            <v>4QE</v>
          </cell>
          <cell r="BW6" t="str">
            <v>2014E</v>
          </cell>
          <cell r="BX6" t="str">
            <v>1QE</v>
          </cell>
          <cell r="BY6" t="str">
            <v>2QE</v>
          </cell>
          <cell r="BZ6" t="str">
            <v>3QE</v>
          </cell>
          <cell r="CA6" t="str">
            <v>4QE</v>
          </cell>
          <cell r="CB6" t="str">
            <v>2015E</v>
          </cell>
        </row>
        <row r="8">
          <cell r="B8" t="str">
            <v>Analysis of Adjusted claims</v>
          </cell>
        </row>
        <row r="9">
          <cell r="B9" t="str">
            <v>Revenue/adj claim</v>
          </cell>
          <cell r="J9">
            <v>41.813719778619287</v>
          </cell>
          <cell r="K9">
            <v>43.830845771144276</v>
          </cell>
          <cell r="L9">
            <v>45.769656699889261</v>
          </cell>
          <cell r="M9">
            <v>46.498535442296429</v>
          </cell>
          <cell r="N9">
            <v>47.075292805354152</v>
          </cell>
          <cell r="O9">
            <v>45.774311410905</v>
          </cell>
          <cell r="P9">
            <v>47.562933025404156</v>
          </cell>
          <cell r="Q9">
            <v>49.043632075471699</v>
          </cell>
          <cell r="R9">
            <v>50.195484254307786</v>
          </cell>
          <cell r="S9">
            <v>50.307735742518354</v>
          </cell>
          <cell r="T9">
            <v>49.277971519907005</v>
          </cell>
          <cell r="U9">
            <v>51.105964099594679</v>
          </cell>
          <cell r="V9">
            <v>51.713105076741442</v>
          </cell>
          <cell r="W9">
            <v>51.930681133212779</v>
          </cell>
          <cell r="X9">
            <v>51.747214076246323</v>
          </cell>
          <cell r="Y9">
            <v>51.620338983050836</v>
          </cell>
          <cell r="Z9">
            <v>50.121019108280258</v>
          </cell>
          <cell r="AA9">
            <v>51.335446685878964</v>
          </cell>
          <cell r="AB9">
            <v>53.230737977226333</v>
          </cell>
          <cell r="AC9">
            <v>54.786413036770654</v>
          </cell>
          <cell r="AD9">
            <v>52.442531558769396</v>
          </cell>
          <cell r="AE9">
            <v>56.879991229249406</v>
          </cell>
          <cell r="AF9">
            <v>58.190296496063581</v>
          </cell>
          <cell r="AG9">
            <v>57.677926172731738</v>
          </cell>
          <cell r="AH9">
            <v>57.556738045164039</v>
          </cell>
          <cell r="AI9">
            <v>57.572268326097273</v>
          </cell>
          <cell r="AJ9">
            <v>58.262686296660625</v>
          </cell>
          <cell r="AK9">
            <v>58.687989429731758</v>
          </cell>
          <cell r="AL9">
            <v>59.138607487518364</v>
          </cell>
          <cell r="AM9">
            <v>59.219584976847898</v>
          </cell>
          <cell r="AN9">
            <v>58.825243824455825</v>
          </cell>
          <cell r="AO9">
            <v>62.046303373806353</v>
          </cell>
          <cell r="AP9">
            <v>63.710876401816144</v>
          </cell>
          <cell r="AQ9">
            <v>64.275173519608487</v>
          </cell>
          <cell r="AR9">
            <v>64.587170079110365</v>
          </cell>
          <cell r="AS9">
            <v>63.633475121411905</v>
          </cell>
          <cell r="AT9">
            <v>64.715266242855222</v>
          </cell>
          <cell r="AU9">
            <v>65.573326353992115</v>
          </cell>
          <cell r="AV9">
            <v>66.284669102843282</v>
          </cell>
          <cell r="AW9">
            <v>66.070368384760428</v>
          </cell>
          <cell r="AX9">
            <v>65.657753304395158</v>
          </cell>
          <cell r="AY9">
            <v>67.297309234684747</v>
          </cell>
          <cell r="AZ9">
            <v>67.782538023865214</v>
          </cell>
          <cell r="BA9">
            <v>68.307794183107589</v>
          </cell>
          <cell r="BB9">
            <v>67.862789387008206</v>
          </cell>
          <cell r="BC9">
            <v>67.81091010152457</v>
          </cell>
          <cell r="BD9">
            <v>68.386935938968051</v>
          </cell>
          <cell r="BE9">
            <v>69.770963704630788</v>
          </cell>
          <cell r="BF9">
            <v>71.07363013698631</v>
          </cell>
          <cell r="BG9">
            <v>70.599011782592157</v>
          </cell>
          <cell r="BH9">
            <v>69.959688291136075</v>
          </cell>
          <cell r="BI9">
            <v>68.976667046476962</v>
          </cell>
          <cell r="BJ9">
            <v>68.856830742084213</v>
          </cell>
          <cell r="BK9">
            <v>68.297412121667776</v>
          </cell>
          <cell r="BL9">
            <v>64.996475134217505</v>
          </cell>
          <cell r="BM9">
            <v>67.707183491943027</v>
          </cell>
          <cell r="BN9">
            <v>68.495765871159179</v>
          </cell>
          <cell r="BO9">
            <v>69.764909819281712</v>
          </cell>
          <cell r="BP9">
            <v>71.384521435051695</v>
          </cell>
          <cell r="BQ9">
            <v>69.881370922011527</v>
          </cell>
          <cell r="BR9">
            <v>69.878906168095085</v>
          </cell>
          <cell r="BS9">
            <v>69.548632457793673</v>
          </cell>
          <cell r="BT9">
            <v>69.706613855538507</v>
          </cell>
          <cell r="BU9">
            <v>69.849158850339933</v>
          </cell>
          <cell r="BV9">
            <v>68.300538705939132</v>
          </cell>
          <cell r="BW9">
            <v>69.349561109065263</v>
          </cell>
          <cell r="BX9">
            <v>67.818292557514482</v>
          </cell>
          <cell r="BY9">
            <v>68.905039327259715</v>
          </cell>
          <cell r="BZ9">
            <v>70.453494943170938</v>
          </cell>
          <cell r="CA9">
            <v>68.743056197360687</v>
          </cell>
          <cell r="CB9">
            <v>68.977078694710244</v>
          </cell>
        </row>
        <row r="10">
          <cell r="B10" t="str">
            <v>Y/Y growth</v>
          </cell>
          <cell r="O10">
            <v>9.4719906606130166E-2</v>
          </cell>
          <cell r="P10">
            <v>8.5147507163023439E-2</v>
          </cell>
          <cell r="Q10">
            <v>7.1531569420540508E-2</v>
          </cell>
          <cell r="R10">
            <v>7.9506779661892457E-2</v>
          </cell>
          <cell r="S10">
            <v>6.8665381446051388E-2</v>
          </cell>
          <cell r="T10">
            <v>7.6542060404808598E-2</v>
          </cell>
          <cell r="U10">
            <v>7.4491433745226265E-2</v>
          </cell>
          <cell r="V10">
            <v>5.4430573110119118E-2</v>
          </cell>
          <cell r="W10">
            <v>3.4568784516827877E-2</v>
          </cell>
          <cell r="X10">
            <v>2.8613458993571372E-2</v>
          </cell>
          <cell r="Y10">
            <v>4.7533763888750524E-2</v>
          </cell>
          <cell r="Z10">
            <v>-1.9272603670972166E-2</v>
          </cell>
          <cell r="AA10">
            <v>-7.3029532901194294E-3</v>
          </cell>
          <cell r="AB10">
            <v>2.5034465476750478E-2</v>
          </cell>
          <cell r="AC10">
            <v>5.8731644104478065E-2</v>
          </cell>
          <cell r="AD10">
            <v>1.5927686487849702E-2</v>
          </cell>
          <cell r="AE10">
            <v>0.13485304651063101</v>
          </cell>
          <cell r="AF10">
            <v>0.13353053791718938</v>
          </cell>
          <cell r="AG10">
            <v>8.3545492031465773E-2</v>
          </cell>
          <cell r="AH10">
            <v>5.05659132408256E-2</v>
          </cell>
          <cell r="AI10">
            <v>9.7816345146863659E-2</v>
          </cell>
          <cell r="AJ10">
            <v>2.4308988759129679E-2</v>
          </cell>
          <cell r="AK10">
            <v>8.5528509672028186E-3</v>
          </cell>
          <cell r="AL10">
            <v>2.532478907809943E-2</v>
          </cell>
          <cell r="AM10">
            <v>2.8890569343576145E-2</v>
          </cell>
          <cell r="AN10">
            <v>2.1763524953742008E-2</v>
          </cell>
          <cell r="AO10">
            <v>6.4940656149639064E-2</v>
          </cell>
          <cell r="AP10">
            <v>8.5586284704784132E-2</v>
          </cell>
          <cell r="AQ10">
            <v>8.6856391286761925E-2</v>
          </cell>
          <cell r="AR10">
            <v>9.0638681516612252E-2</v>
          </cell>
          <cell r="AS10">
            <v>8.1737549806077059E-2</v>
          </cell>
          <cell r="AT10">
            <v>4.3015662882756045E-2</v>
          </cell>
          <cell r="AU10">
            <v>2.9232841507778717E-2</v>
          </cell>
          <cell r="AV10">
            <v>3.1263946453940816E-2</v>
          </cell>
          <cell r="AW10">
            <v>2.2964286929328948E-2</v>
          </cell>
          <cell r="AX10">
            <v>3.1811529688123397E-2</v>
          </cell>
          <cell r="AY10">
            <v>3.9898514550491981E-2</v>
          </cell>
          <cell r="AZ10">
            <v>3.3690706156141115E-2</v>
          </cell>
          <cell r="BA10">
            <v>3.052176480092772E-2</v>
          </cell>
          <cell r="BB10">
            <v>2.7128969401375658E-2</v>
          </cell>
          <cell r="BC10">
            <v>3.2793641097452531E-2</v>
          </cell>
          <cell r="BD10">
            <v>1.6191237312081386E-2</v>
          </cell>
          <cell r="BE10">
            <v>2.9335367761907705E-2</v>
          </cell>
          <cell r="BF10">
            <v>4.0490781278408106E-2</v>
          </cell>
          <cell r="BG10">
            <v>4.0319922306461864E-2</v>
          </cell>
          <cell r="BH10">
            <v>3.1687794580465223E-2</v>
          </cell>
          <cell r="BI10">
            <v>8.6234468529957642E-3</v>
          </cell>
          <cell r="BJ10">
            <v>-1.3101911081757067E-2</v>
          </cell>
          <cell r="BK10">
            <v>-3.9061154045004987E-2</v>
          </cell>
          <cell r="BL10">
            <v>-7.9357153973026118E-2</v>
          </cell>
          <cell r="BM10">
            <v>-3.2197181751572268E-2</v>
          </cell>
          <cell r="BN10">
            <v>-6.9719398734321425E-3</v>
          </cell>
          <cell r="BO10">
            <v>1.3187930193866659E-2</v>
          </cell>
          <cell r="BP10">
            <v>4.5200970541671825E-2</v>
          </cell>
          <cell r="BQ10">
            <v>7.5156318518915466E-2</v>
          </cell>
          <cell r="BR10">
            <v>3.2075218080966028E-2</v>
          </cell>
          <cell r="BS10">
            <v>1.5371265263533829E-2</v>
          </cell>
          <cell r="BT10">
            <v>-8.3560580661845574E-4</v>
          </cell>
          <cell r="BU10">
            <v>-2.1508340377524138E-2</v>
          </cell>
          <cell r="BV10">
            <v>-2.2621654315234108E-2</v>
          </cell>
          <cell r="BW10">
            <v>-7.5751766599847503E-3</v>
          </cell>
          <cell r="BX10">
            <v>-2.4879567564887295E-2</v>
          </cell>
          <cell r="BY10">
            <v>-1.1499260743607409E-2</v>
          </cell>
          <cell r="BZ10">
            <v>8.6520167569357209E-3</v>
          </cell>
          <cell r="CA10">
            <v>6.4789751267815276E-3</v>
          </cell>
          <cell r="CB10">
            <v>-5.3710853882581455E-3</v>
          </cell>
        </row>
        <row r="12">
          <cell r="B12" t="str">
            <v>Gross profit/adj claim</v>
          </cell>
          <cell r="K12">
            <v>1.4278606965174139</v>
          </cell>
          <cell r="L12">
            <v>1.8754152823920205</v>
          </cell>
          <cell r="M12">
            <v>2.0099589923843024</v>
          </cell>
          <cell r="N12">
            <v>2.0111544896820988</v>
          </cell>
          <cell r="O12">
            <v>1.8279932546374358</v>
          </cell>
          <cell r="P12">
            <v>2.0178983833718247</v>
          </cell>
          <cell r="Q12">
            <v>2.1869103773584886</v>
          </cell>
          <cell r="R12">
            <v>2.3101604278074879</v>
          </cell>
          <cell r="S12">
            <v>2.3314511575381225</v>
          </cell>
          <cell r="T12">
            <v>2.2117117117117098</v>
          </cell>
          <cell r="U12">
            <v>2.4360162130862708</v>
          </cell>
          <cell r="V12">
            <v>2.5247933884297562</v>
          </cell>
          <cell r="W12">
            <v>2.566003616636511</v>
          </cell>
          <cell r="X12">
            <v>2.6299120234604083</v>
          </cell>
          <cell r="Y12">
            <v>2.5386882829771449</v>
          </cell>
          <cell r="Z12">
            <v>2.5911986103068907</v>
          </cell>
          <cell r="AA12">
            <v>2.6242074927953953</v>
          </cell>
          <cell r="AB12">
            <v>2.6725885227461466</v>
          </cell>
          <cell r="AC12">
            <v>2.962551945045552</v>
          </cell>
          <cell r="AD12">
            <v>2.7202141859243345</v>
          </cell>
          <cell r="AE12">
            <v>2.9313350453958109</v>
          </cell>
          <cell r="AF12">
            <v>3.2464253416184397</v>
          </cell>
          <cell r="AG12">
            <v>3.3122894669965732</v>
          </cell>
          <cell r="AH12">
            <v>3.6832470074426094</v>
          </cell>
          <cell r="AI12">
            <v>3.2954806170883328</v>
          </cell>
          <cell r="AJ12">
            <v>4.0882109490696124</v>
          </cell>
          <cell r="AK12">
            <v>3.789444695636027</v>
          </cell>
          <cell r="AL12">
            <v>3.8434528222174458</v>
          </cell>
          <cell r="AM12">
            <v>4.0367650050053197</v>
          </cell>
          <cell r="AN12">
            <v>3.9410942346934394</v>
          </cell>
          <cell r="AO12">
            <v>4.3612491935675708</v>
          </cell>
          <cell r="AP12">
            <v>4.7175086356969782</v>
          </cell>
          <cell r="AQ12">
            <v>4.7974367425271192</v>
          </cell>
          <cell r="AR12">
            <v>4.9057707697167103</v>
          </cell>
          <cell r="AS12">
            <v>4.6912139571121561</v>
          </cell>
          <cell r="AT12">
            <v>4.1801059679864023</v>
          </cell>
          <cell r="AU12">
            <v>4.5221448586781143</v>
          </cell>
          <cell r="AV12">
            <v>4.7246248229676917</v>
          </cell>
          <cell r="AW12">
            <v>4.5165608668268984</v>
          </cell>
          <cell r="AX12">
            <v>4.484338494152122</v>
          </cell>
          <cell r="AY12">
            <v>4.1536486553014216</v>
          </cell>
          <cell r="AZ12">
            <v>4.452353208808705</v>
          </cell>
          <cell r="BA12">
            <v>4.7609622455478116</v>
          </cell>
          <cell r="BB12">
            <v>4.7527077612975468</v>
          </cell>
          <cell r="BC12">
            <v>4.530271868039029</v>
          </cell>
          <cell r="BD12">
            <v>4.3929549949871838</v>
          </cell>
          <cell r="BE12">
            <v>4.6115978306216094</v>
          </cell>
          <cell r="BF12">
            <v>5.0004280821917826</v>
          </cell>
          <cell r="BG12">
            <v>4.8677309007981782</v>
          </cell>
          <cell r="BH12">
            <v>4.7186844638802219</v>
          </cell>
          <cell r="BI12">
            <v>5.1541383428840506</v>
          </cell>
          <cell r="BJ12">
            <v>5.3403282590886194</v>
          </cell>
          <cell r="BK12">
            <v>5.7113334178672845</v>
          </cell>
          <cell r="BL12">
            <v>5.554737902361957</v>
          </cell>
          <cell r="BM12">
            <v>5.4426743958644765</v>
          </cell>
          <cell r="BN12">
            <v>6.3702885548092576</v>
          </cell>
          <cell r="BO12">
            <v>6.5998683744780227</v>
          </cell>
          <cell r="BP12">
            <v>6.9906440294886645</v>
          </cell>
          <cell r="BQ12">
            <v>6.9446613202926955</v>
          </cell>
          <cell r="BR12">
            <v>6.7260176273045831</v>
          </cell>
          <cell r="BS12">
            <v>6.5831757806882925</v>
          </cell>
          <cell r="BT12">
            <v>6.8435368338397335</v>
          </cell>
          <cell r="BU12">
            <v>7.288660603846286</v>
          </cell>
          <cell r="BV12">
            <v>7.2399614011944813</v>
          </cell>
          <cell r="BW12">
            <v>6.9884428631915334</v>
          </cell>
          <cell r="BX12">
            <v>6.7861675492244453</v>
          </cell>
          <cell r="BY12">
            <v>7.0215230415496297</v>
          </cell>
          <cell r="BZ12">
            <v>7.4496027545703338</v>
          </cell>
          <cell r="CA12">
            <v>7.3838391056661381</v>
          </cell>
          <cell r="CB12">
            <v>7.1598878216097095</v>
          </cell>
        </row>
        <row r="13">
          <cell r="B13" t="str">
            <v>Y/Y growth</v>
          </cell>
          <cell r="T13">
            <v>0.20991240317808546</v>
          </cell>
          <cell r="U13">
            <v>0.20720460116321049</v>
          </cell>
          <cell r="V13">
            <v>0.15450244992636031</v>
          </cell>
          <cell r="W13">
            <v>0.11074693590515583</v>
          </cell>
          <cell r="X13">
            <v>0.1280150626176717</v>
          </cell>
          <cell r="Y13">
            <v>0.14783869413630679</v>
          </cell>
          <cell r="Z13">
            <v>6.3703351556931631E-2</v>
          </cell>
          <cell r="AA13">
            <v>3.9375144445965127E-2</v>
          </cell>
          <cell r="AB13">
            <v>4.1537317180147193E-2</v>
          </cell>
          <cell r="AC13">
            <v>0.12648328864912362</v>
          </cell>
          <cell r="AD13">
            <v>7.1503817213160348E-2</v>
          </cell>
          <cell r="AE13">
            <v>0.13126606109465144</v>
          </cell>
          <cell r="AF13">
            <v>0.23710695534987458</v>
          </cell>
          <cell r="AG13">
            <v>0.23935631647221145</v>
          </cell>
          <cell r="AH13">
            <v>0.2432683293882214</v>
          </cell>
          <cell r="AI13">
            <v>0.21147835863098474</v>
          </cell>
          <cell r="AJ13">
            <v>0.39465836752127093</v>
          </cell>
          <cell r="AK13">
            <v>0.16726685411680409</v>
          </cell>
          <cell r="AL13">
            <v>0.16036139368655666</v>
          </cell>
          <cell r="AM13">
            <v>9.5979986367563441E-2</v>
          </cell>
          <cell r="AN13">
            <v>0.19590878922405186</v>
          </cell>
          <cell r="AO13">
            <v>6.6786730895110891E-2</v>
          </cell>
          <cell r="AP13">
            <v>0.24490763544582705</v>
          </cell>
          <cell r="AQ13">
            <v>0.24821012887034244</v>
          </cell>
          <cell r="AR13">
            <v>0.21527281465081116</v>
          </cell>
          <cell r="AS13">
            <v>0.19033285624469864</v>
          </cell>
          <cell r="AT13">
            <v>-4.1534711166777094E-2</v>
          </cell>
          <cell r="AU13">
            <v>-4.141248953749932E-2</v>
          </cell>
          <cell r="AV13">
            <v>-1.5177254743972468E-2</v>
          </cell>
          <cell r="AW13">
            <v>-7.9337156414319598E-2</v>
          </cell>
          <cell r="AX13">
            <v>-4.4098492384129884E-2</v>
          </cell>
          <cell r="AY13">
            <v>-6.3293401860158305E-3</v>
          </cell>
          <cell r="AZ13">
            <v>-1.5433306992693407E-2</v>
          </cell>
          <cell r="BA13">
            <v>7.6910704958992326E-3</v>
          </cell>
          <cell r="BB13">
            <v>5.2284670003031053E-2</v>
          </cell>
          <cell r="BC13">
            <v>1.0243065715669575E-2</v>
          </cell>
          <cell r="BD13">
            <v>5.7613524769440705E-2</v>
          </cell>
          <cell r="BE13">
            <v>3.5766394610798002E-2</v>
          </cell>
          <cell r="BF13">
            <v>5.0297781056320323E-2</v>
          </cell>
          <cell r="BG13">
            <v>2.4201601545395413E-2</v>
          </cell>
          <cell r="BH13">
            <v>4.1589688506431521E-2</v>
          </cell>
          <cell r="BI13">
            <v>0.17327365037098175</v>
          </cell>
          <cell r="BJ13">
            <v>0.1580212445300726</v>
          </cell>
          <cell r="BK13">
            <v>0.14216889514065345</v>
          </cell>
          <cell r="BL13">
            <v>0.14113495909380025</v>
          </cell>
          <cell r="BM13">
            <v>0.15343046086809342</v>
          </cell>
          <cell r="BN13">
            <v>0.23595606695428706</v>
          </cell>
          <cell r="BO13">
            <v>0.2358544370836777</v>
          </cell>
          <cell r="BP13">
            <v>0.22399508451374883</v>
          </cell>
          <cell r="BQ13">
            <v>0.25022304244809157</v>
          </cell>
          <cell r="BR13">
            <v>0.23579276254615444</v>
          </cell>
          <cell r="BS13">
            <v>3.3418772799281626E-2</v>
          </cell>
          <cell r="BT13">
            <v>3.6920199848831547E-2</v>
          </cell>
          <cell r="BU13">
            <v>4.2630775233368556E-2</v>
          </cell>
          <cell r="BV13">
            <v>4.2521883686235773E-2</v>
          </cell>
          <cell r="BW13">
            <v>3.9016435939986716E-2</v>
          </cell>
          <cell r="BX13">
            <v>3.0834930632055668E-2</v>
          </cell>
          <cell r="BY13">
            <v>2.6007927191944891E-2</v>
          </cell>
          <cell r="BZ13">
            <v>2.20811695689489E-2</v>
          </cell>
          <cell r="CA13">
            <v>1.9872717062817458E-2</v>
          </cell>
          <cell r="CB13">
            <v>2.4532640786288029E-2</v>
          </cell>
        </row>
        <row r="15">
          <cell r="B15" t="str">
            <v>EBITDA per adj claim</v>
          </cell>
          <cell r="D15">
            <v>1.1993106244931107</v>
          </cell>
          <cell r="E15">
            <v>1.2556261810685423</v>
          </cell>
          <cell r="J15">
            <v>1.2184678124089789</v>
          </cell>
          <cell r="K15">
            <v>0.56329463792150458</v>
          </cell>
          <cell r="L15">
            <v>1.0459579180509353</v>
          </cell>
          <cell r="M15">
            <v>1.2782659636789713</v>
          </cell>
          <cell r="N15">
            <v>1.0178471834913572</v>
          </cell>
          <cell r="O15">
            <v>1.2445193929173681</v>
          </cell>
          <cell r="P15">
            <v>1.342956120092379</v>
          </cell>
          <cell r="Q15">
            <v>1.4681603773584886</v>
          </cell>
          <cell r="R15">
            <v>1.4919786096256691</v>
          </cell>
          <cell r="S15">
            <v>1.6487859966120919</v>
          </cell>
          <cell r="T15">
            <v>1.4889566986341161</v>
          </cell>
          <cell r="U15">
            <v>1.7602779386218814</v>
          </cell>
          <cell r="V15">
            <v>1.8919716646989417</v>
          </cell>
          <cell r="W15">
            <v>1.8113321277878061</v>
          </cell>
          <cell r="X15">
            <v>1.8680351906158337</v>
          </cell>
          <cell r="Y15">
            <v>1.8332596196373177</v>
          </cell>
          <cell r="Z15">
            <v>1.8181818181818183</v>
          </cell>
          <cell r="AA15">
            <v>1.8403458213256547</v>
          </cell>
          <cell r="AB15">
            <v>1.8298731257208893</v>
          </cell>
          <cell r="AC15">
            <v>2.053956834532372</v>
          </cell>
          <cell r="AD15">
            <v>1.8906244673942925</v>
          </cell>
          <cell r="AE15">
            <v>1.9340599455040914</v>
          </cell>
          <cell r="AF15">
            <v>2.1481069042316259</v>
          </cell>
          <cell r="AG15">
            <v>2.3041294642857046</v>
          </cell>
          <cell r="AH15">
            <v>2.5562666666666702</v>
          </cell>
          <cell r="AI15">
            <v>2.2371290844115466</v>
          </cell>
          <cell r="AJ15">
            <v>2.9910290237466963</v>
          </cell>
          <cell r="AK15">
            <v>2.5488721804511298</v>
          </cell>
          <cell r="AL15">
            <v>2.6091954022988566</v>
          </cell>
          <cell r="AM15">
            <v>2.536842105263152</v>
          </cell>
          <cell r="AN15">
            <v>2.6763258679286852</v>
          </cell>
          <cell r="AO15">
            <v>2.9603289791969076</v>
          </cell>
          <cell r="AP15">
            <v>3.0489651691065118</v>
          </cell>
          <cell r="AQ15">
            <v>3.1932642487046494</v>
          </cell>
          <cell r="AR15">
            <v>3.1756688541140767</v>
          </cell>
          <cell r="AS15">
            <v>3.0967346759213012</v>
          </cell>
          <cell r="AT15">
            <v>2.8615656789031423</v>
          </cell>
          <cell r="AU15">
            <v>3.0653623832814554</v>
          </cell>
          <cell r="AV15">
            <v>3.2665758401453222</v>
          </cell>
          <cell r="AW15">
            <v>3.0554089709762549</v>
          </cell>
          <cell r="AX15">
            <v>3.0607611840640998</v>
          </cell>
          <cell r="AY15">
            <v>2.8699832775919685</v>
          </cell>
          <cell r="AZ15">
            <v>3.0625000000000027</v>
          </cell>
          <cell r="BA15">
            <v>3.2780612244897962</v>
          </cell>
          <cell r="BB15">
            <v>3.2194023741301705</v>
          </cell>
          <cell r="BC15">
            <v>3.1079978691921535</v>
          </cell>
          <cell r="BD15">
            <v>3.0053213262382283</v>
          </cell>
          <cell r="BE15">
            <v>3.0705047976637454</v>
          </cell>
          <cell r="BF15">
            <v>3.4285102739726043</v>
          </cell>
          <cell r="BG15">
            <v>3.4188521474724465</v>
          </cell>
          <cell r="BH15">
            <v>3.2352757767596536</v>
          </cell>
          <cell r="BI15">
            <v>3.469786235190758</v>
          </cell>
          <cell r="BJ15">
            <v>3.6896634136845372</v>
          </cell>
          <cell r="BK15">
            <v>4.0440872591674166</v>
          </cell>
          <cell r="BL15">
            <v>3.8188482835286646</v>
          </cell>
          <cell r="BM15">
            <v>3.7567621120061316</v>
          </cell>
          <cell r="BN15">
            <v>4.6331334816540544</v>
          </cell>
          <cell r="BO15">
            <v>4.6700245879340612</v>
          </cell>
          <cell r="BP15">
            <v>5.0406302504370437</v>
          </cell>
          <cell r="BQ15">
            <v>4.931575111965488</v>
          </cell>
          <cell r="BR15">
            <v>4.818418883730117</v>
          </cell>
          <cell r="BS15">
            <v>4.8347863133828648</v>
          </cell>
          <cell r="BT15">
            <v>4.9055219319482717</v>
          </cell>
          <cell r="BU15">
            <v>5.330391614071285</v>
          </cell>
          <cell r="BV15">
            <v>5.2227904527016928</v>
          </cell>
          <cell r="BW15">
            <v>5.0729121153535655</v>
          </cell>
          <cell r="BX15">
            <v>5.0272835845416761</v>
          </cell>
          <cell r="BY15">
            <v>5.0760510370151772</v>
          </cell>
          <cell r="BZ15">
            <v>5.4838229161399639</v>
          </cell>
          <cell r="CA15">
            <v>5.3647697872321887</v>
          </cell>
          <cell r="CB15">
            <v>5.2375226518291891</v>
          </cell>
        </row>
        <row r="16">
          <cell r="B16" t="str">
            <v>EBITDA per adj rx - as reported</v>
          </cell>
          <cell r="N16">
            <v>1.45</v>
          </cell>
          <cell r="O16">
            <v>1.24</v>
          </cell>
          <cell r="P16">
            <v>1.41</v>
          </cell>
          <cell r="Q16">
            <v>1.47</v>
          </cell>
          <cell r="R16">
            <v>1.49</v>
          </cell>
          <cell r="S16">
            <v>1.65</v>
          </cell>
          <cell r="T16">
            <v>1.5</v>
          </cell>
          <cell r="U16">
            <v>1.76</v>
          </cell>
          <cell r="V16">
            <v>1.89</v>
          </cell>
          <cell r="W16">
            <v>1.81</v>
          </cell>
          <cell r="X16">
            <v>1.87</v>
          </cell>
          <cell r="Y16">
            <v>1.83</v>
          </cell>
          <cell r="Z16">
            <v>1.82</v>
          </cell>
          <cell r="AA16">
            <v>1.84</v>
          </cell>
          <cell r="AB16">
            <v>1.83</v>
          </cell>
          <cell r="AC16">
            <v>2.0499999999999998</v>
          </cell>
          <cell r="AE16">
            <v>1.93</v>
          </cell>
          <cell r="AF16">
            <v>2.15</v>
          </cell>
          <cell r="AG16">
            <v>2.2999999999999998</v>
          </cell>
          <cell r="AH16">
            <v>2.56</v>
          </cell>
          <cell r="AJ16">
            <v>2.99</v>
          </cell>
          <cell r="AK16">
            <v>2.5499999999999998</v>
          </cell>
          <cell r="AL16">
            <v>2.61</v>
          </cell>
          <cell r="AM16">
            <v>2.54</v>
          </cell>
          <cell r="AN16">
            <v>2.67</v>
          </cell>
          <cell r="AO16">
            <v>2.96</v>
          </cell>
          <cell r="AP16">
            <v>3.05</v>
          </cell>
          <cell r="AQ16">
            <v>3.19</v>
          </cell>
          <cell r="AR16">
            <v>3.18</v>
          </cell>
          <cell r="AS16">
            <v>3.09</v>
          </cell>
          <cell r="AT16">
            <v>2.86</v>
          </cell>
          <cell r="AU16">
            <v>3.07</v>
          </cell>
          <cell r="AV16">
            <v>3.27</v>
          </cell>
          <cell r="AW16">
            <v>3.06</v>
          </cell>
          <cell r="AX16">
            <v>3.06</v>
          </cell>
          <cell r="AY16">
            <v>2.87</v>
          </cell>
          <cell r="AZ16">
            <v>3.06</v>
          </cell>
          <cell r="BA16">
            <v>3.28</v>
          </cell>
          <cell r="BB16">
            <v>3.22</v>
          </cell>
          <cell r="BD16">
            <v>3.01</v>
          </cell>
          <cell r="BE16">
            <v>3.07</v>
          </cell>
          <cell r="BF16">
            <v>3.43</v>
          </cell>
          <cell r="BG16">
            <v>3.42</v>
          </cell>
        </row>
        <row r="17">
          <cell r="B17" t="str">
            <v>Y/Y growth</v>
          </cell>
          <cell r="T17">
            <v>0.19641100581305104</v>
          </cell>
          <cell r="U17">
            <v>0.24822695035460995</v>
          </cell>
          <cell r="V17">
            <v>0.28571428571428559</v>
          </cell>
          <cell r="W17">
            <v>0.21476510067114107</v>
          </cell>
          <cell r="X17">
            <v>0.13333333333333353</v>
          </cell>
          <cell r="Y17">
            <v>0.23123769906743785</v>
          </cell>
          <cell r="Z17">
            <v>3.4090909090909172E-2</v>
          </cell>
          <cell r="AA17">
            <v>-2.6455026455026398E-2</v>
          </cell>
          <cell r="AB17">
            <v>1.1049723756906049E-2</v>
          </cell>
          <cell r="AC17">
            <v>9.625668449197855E-2</v>
          </cell>
          <cell r="AD17">
            <v>3.1291175097351243E-2</v>
          </cell>
          <cell r="AE17">
            <v>6.0439560439560447E-2</v>
          </cell>
          <cell r="AF17">
            <v>0.16847826086956519</v>
          </cell>
          <cell r="AG17">
            <v>0.25683060109289602</v>
          </cell>
          <cell r="AH17">
            <v>0.24878048780487827</v>
          </cell>
          <cell r="AI17">
            <v>0.18327522096168347</v>
          </cell>
          <cell r="AJ17">
            <v>0.54922279792746131</v>
          </cell>
          <cell r="AK17">
            <v>0.18604651162790686</v>
          </cell>
          <cell r="AL17">
            <v>0.13478260869565228</v>
          </cell>
          <cell r="AM17">
            <v>-7.8125E-3</v>
          </cell>
          <cell r="AN17">
            <v>0.19632160994977399</v>
          </cell>
          <cell r="AO17">
            <v>-1.0033444816053616E-2</v>
          </cell>
          <cell r="AP17">
            <v>0.19607843137254899</v>
          </cell>
          <cell r="AQ17">
            <v>0.22222222222222232</v>
          </cell>
          <cell r="AR17">
            <v>0.25196850393700787</v>
          </cell>
          <cell r="AS17">
            <v>0.15708431212750162</v>
          </cell>
          <cell r="AT17">
            <v>-3.3783783783783772E-2</v>
          </cell>
          <cell r="AU17">
            <v>6.5573770491802463E-3</v>
          </cell>
          <cell r="AV17">
            <v>2.2958197546730341E-2</v>
          </cell>
          <cell r="AW17">
            <v>-3.7735849056603765E-2</v>
          </cell>
          <cell r="AX17">
            <v>-1.161658831701462E-2</v>
          </cell>
          <cell r="AY17">
            <v>2.9416059714739706E-3</v>
          </cell>
          <cell r="AZ17">
            <v>-9.3378299970803269E-4</v>
          </cell>
          <cell r="BA17">
            <v>3.0581039755350758E-3</v>
          </cell>
          <cell r="BB17">
            <v>5.3673143173863513E-2</v>
          </cell>
          <cell r="BC17">
            <v>1.5432986204213517E-2</v>
          </cell>
          <cell r="BD17">
            <v>4.7156389273394606E-2</v>
          </cell>
          <cell r="BE17">
            <v>2.6138114820384306E-3</v>
          </cell>
          <cell r="BF17">
            <v>4.5895741165183468E-2</v>
          </cell>
          <cell r="BG17">
            <v>6.1952421649736689E-2</v>
          </cell>
          <cell r="BH17">
            <v>4.095173578757394E-2</v>
          </cell>
          <cell r="BI17">
            <v>0.15454750375524795</v>
          </cell>
          <cell r="BJ17">
            <v>0.20164717426655421</v>
          </cell>
          <cell r="BK17">
            <v>0.17954648987577482</v>
          </cell>
          <cell r="BL17">
            <v>0.11699720221944521</v>
          </cell>
          <cell r="BM17">
            <v>0.1611875992125722</v>
          </cell>
          <cell r="BN17">
            <v>0.335279226905844</v>
          </cell>
          <cell r="BO17">
            <v>0.26570477150123706</v>
          </cell>
          <cell r="BP17">
            <v>0.24641975491765034</v>
          </cell>
          <cell r="BQ17">
            <v>0.2913775949770514</v>
          </cell>
          <cell r="BR17">
            <v>0.28259888171547143</v>
          </cell>
          <cell r="BS17">
            <v>4.3524071241914486E-2</v>
          </cell>
          <cell r="BT17">
            <v>5.042743128647853E-2</v>
          </cell>
          <cell r="BU17">
            <v>5.7485145554788009E-2</v>
          </cell>
          <cell r="BV17">
            <v>5.9051182254048706E-2</v>
          </cell>
          <cell r="BW17">
            <v>5.2816751254809002E-2</v>
          </cell>
          <cell r="BX17">
            <v>3.9815052554850627E-2</v>
          </cell>
          <cell r="BY17">
            <v>3.4762683244018877E-2</v>
          </cell>
          <cell r="BZ17">
            <v>2.8784245732273783E-2</v>
          </cell>
          <cell r="CA17">
            <v>2.7184574188124255E-2</v>
          </cell>
          <cell r="CB17">
            <v>3.2448923366406701E-2</v>
          </cell>
        </row>
        <row r="18">
          <cell r="B18" t="str">
            <v>Q/Q growth</v>
          </cell>
          <cell r="P18">
            <v>-2.7586206896551779E-2</v>
          </cell>
          <cell r="Q18">
            <v>4.2553191489361764E-2</v>
          </cell>
          <cell r="R18">
            <v>1.3605442176870763E-2</v>
          </cell>
          <cell r="S18">
            <v>0.10738255033557031</v>
          </cell>
          <cell r="U18">
            <v>6.6666666666666652E-2</v>
          </cell>
          <cell r="V18">
            <v>7.3863636363636243E-2</v>
          </cell>
          <cell r="W18">
            <v>-4.2328042328042215E-2</v>
          </cell>
          <cell r="X18">
            <v>3.3149171270718369E-2</v>
          </cell>
          <cell r="Z18">
            <v>-2.6737967914438499E-2</v>
          </cell>
          <cell r="AA18">
            <v>1.098901098901095E-2</v>
          </cell>
          <cell r="AB18">
            <v>-5.4347826086956763E-3</v>
          </cell>
          <cell r="AC18">
            <v>0.12021857923497259</v>
          </cell>
          <cell r="AE18">
            <v>-5.85365853658536E-2</v>
          </cell>
          <cell r="AF18">
            <v>0.11398963730569944</v>
          </cell>
          <cell r="AG18">
            <v>6.9767441860465018E-2</v>
          </cell>
          <cell r="AH18">
            <v>0.11304347826086958</v>
          </cell>
          <cell r="AJ18">
            <v>0.16796875</v>
          </cell>
          <cell r="AK18">
            <v>-0.14715719063545163</v>
          </cell>
          <cell r="AL18">
            <v>2.3529411764705799E-2</v>
          </cell>
          <cell r="AM18">
            <v>-2.6819923371647403E-2</v>
          </cell>
          <cell r="AO18">
            <v>0.16535433070866135</v>
          </cell>
          <cell r="AP18">
            <v>3.0405405405405261E-2</v>
          </cell>
          <cell r="AQ18">
            <v>4.590163934426239E-2</v>
          </cell>
          <cell r="AR18">
            <v>-3.1347962382444194E-3</v>
          </cell>
          <cell r="AT18">
            <v>-0.10062893081761015</v>
          </cell>
          <cell r="AU18">
            <v>7.3426573426573327E-2</v>
          </cell>
          <cell r="AV18">
            <v>6.5641001521154152E-2</v>
          </cell>
          <cell r="AW18">
            <v>-6.422018348623848E-2</v>
          </cell>
          <cell r="AY18">
            <v>-6.209696810719989E-2</v>
          </cell>
          <cell r="AZ18">
            <v>6.7079388201022327E-2</v>
          </cell>
          <cell r="BA18">
            <v>7.1895424836601274E-2</v>
          </cell>
          <cell r="BB18">
            <v>-1.7894373027994792E-2</v>
          </cell>
          <cell r="BD18">
            <v>-6.6497139224413804E-2</v>
          </cell>
          <cell r="BE18">
            <v>2.1689351769618392E-2</v>
          </cell>
          <cell r="BF18">
            <v>0.11659499004243679</v>
          </cell>
          <cell r="BG18">
            <v>-2.8170038087612648E-3</v>
          </cell>
          <cell r="BI18">
            <v>1.4898008314272015E-2</v>
          </cell>
          <cell r="BJ18">
            <v>6.336908489167814E-2</v>
          </cell>
          <cell r="BK18">
            <v>9.6058584685085879E-2</v>
          </cell>
          <cell r="BL18">
            <v>-5.5695874298499537E-2</v>
          </cell>
          <cell r="BN18">
            <v>0.21322795190307486</v>
          </cell>
          <cell r="BO18">
            <v>7.9624527171697768E-3</v>
          </cell>
          <cell r="BP18">
            <v>7.9358396411983723E-2</v>
          </cell>
          <cell r="BQ18">
            <v>-2.1635218822507407E-2</v>
          </cell>
          <cell r="BS18">
            <v>-1.962634581957079E-2</v>
          </cell>
          <cell r="BT18">
            <v>1.4630557377398157E-2</v>
          </cell>
          <cell r="BU18">
            <v>8.661049487027217E-2</v>
          </cell>
          <cell r="BV18">
            <v>-2.0186351990638784E-2</v>
          </cell>
          <cell r="BX18">
            <v>-3.7433412259318843E-2</v>
          </cell>
          <cell r="BY18">
            <v>9.7005572996629041E-3</v>
          </cell>
          <cell r="BZ18">
            <v>8.0332501811204216E-2</v>
          </cell>
          <cell r="CA18">
            <v>-2.1709878442168207E-2</v>
          </cell>
        </row>
        <row r="20">
          <cell r="B20" t="str">
            <v>FCF per adj claim</v>
          </cell>
          <cell r="T20">
            <v>1.9102005231037469</v>
          </cell>
          <cell r="U20">
            <v>0.65242385639837508</v>
          </cell>
          <cell r="V20">
            <v>-0.3713589138134562</v>
          </cell>
          <cell r="W20">
            <v>2.5735973477998688</v>
          </cell>
          <cell r="X20">
            <v>1.0341771260997057</v>
          </cell>
          <cell r="Y20">
            <v>0.96504760501104725</v>
          </cell>
          <cell r="Z20">
            <v>2.8889125651418648</v>
          </cell>
          <cell r="AA20">
            <v>-1.5186755043227631</v>
          </cell>
          <cell r="AB20">
            <v>3.343864734618236</v>
          </cell>
          <cell r="AC20">
            <v>0.47533937978790047</v>
          </cell>
          <cell r="AD20">
            <v>1.3024733599849647</v>
          </cell>
          <cell r="AE20">
            <v>-0.27670996738631437</v>
          </cell>
          <cell r="AF20">
            <v>1.3934848200370478</v>
          </cell>
          <cell r="AG20">
            <v>0.50469580636804012</v>
          </cell>
          <cell r="AH20">
            <v>4.3681783271462411</v>
          </cell>
          <cell r="AI20">
            <v>1.5365883259845632</v>
          </cell>
          <cell r="AJ20">
            <v>0.44417828082476191</v>
          </cell>
          <cell r="AK20">
            <v>2.9754724052654313</v>
          </cell>
          <cell r="AL20">
            <v>0.66616558291019723</v>
          </cell>
          <cell r="AM20">
            <v>2.5478024942867474</v>
          </cell>
          <cell r="AN20">
            <v>1.6624052789861818</v>
          </cell>
          <cell r="AO20">
            <v>0.80723999820162318</v>
          </cell>
          <cell r="AP20">
            <v>0.14706397301276616</v>
          </cell>
          <cell r="AQ20">
            <v>2.8293723570489977</v>
          </cell>
          <cell r="AR20">
            <v>3.8007895202413713</v>
          </cell>
          <cell r="AS20">
            <v>1.8781123971039826</v>
          </cell>
          <cell r="AT20">
            <v>5.1645711768130882</v>
          </cell>
          <cell r="AU20">
            <v>4.754890635194676</v>
          </cell>
          <cell r="AV20">
            <v>1.1288155399387101</v>
          </cell>
          <cell r="AW20">
            <v>3.8859621653085554</v>
          </cell>
          <cell r="AX20">
            <v>3.5146476771117903</v>
          </cell>
          <cell r="AY20">
            <v>1.1985521190231865</v>
          </cell>
          <cell r="AZ20">
            <v>2.7313830303976752</v>
          </cell>
          <cell r="BA20">
            <v>1.4394151636357839</v>
          </cell>
          <cell r="BB20">
            <v>3.7522107973613519</v>
          </cell>
          <cell r="BC20">
            <v>2.2698794947363199</v>
          </cell>
          <cell r="BD20">
            <v>0.36574438905288792</v>
          </cell>
          <cell r="BE20">
            <v>2.1310379641218189</v>
          </cell>
          <cell r="BF20">
            <v>1.8129447773972605</v>
          </cell>
          <cell r="BG20">
            <v>0.40828202204485237</v>
          </cell>
          <cell r="BH20">
            <v>0.97786070052179197</v>
          </cell>
          <cell r="BI20">
            <v>5.5945363016517113</v>
          </cell>
          <cell r="BJ20">
            <v>2.2394537135146511</v>
          </cell>
          <cell r="BK20">
            <v>2.5888080204122734</v>
          </cell>
          <cell r="BL20">
            <v>1.8680916132781473</v>
          </cell>
          <cell r="BM20">
            <v>3.0401910982639566</v>
          </cell>
          <cell r="BN20">
            <v>6.085672438668829</v>
          </cell>
          <cell r="BO20">
            <v>2.670991965547945</v>
          </cell>
          <cell r="BP20">
            <v>2.9469292409164352</v>
          </cell>
          <cell r="BQ20">
            <v>3.0540291924194833</v>
          </cell>
          <cell r="BR20">
            <v>3.6888024936040025</v>
          </cell>
          <cell r="BS20">
            <v>2.9850912770664086</v>
          </cell>
          <cell r="BT20">
            <v>2.9123976045210629</v>
          </cell>
          <cell r="BU20">
            <v>3.2519610591733992</v>
          </cell>
          <cell r="BV20">
            <v>3.2368898963549362</v>
          </cell>
          <cell r="BW20">
            <v>3.096270784914755</v>
          </cell>
          <cell r="BX20">
            <v>3.1333259620327216</v>
          </cell>
          <cell r="BY20">
            <v>2.9349684467832171</v>
          </cell>
          <cell r="BZ20">
            <v>3.2166957663035465</v>
          </cell>
          <cell r="CA20">
            <v>3.3396599962993729</v>
          </cell>
          <cell r="CB20">
            <v>3.1560203088585115</v>
          </cell>
        </row>
        <row r="21">
          <cell r="B21" t="str">
            <v>Y/Y growth</v>
          </cell>
          <cell r="Y21">
            <v>-0.49479251348805464</v>
          </cell>
          <cell r="Z21">
            <v>3.4279689297226925</v>
          </cell>
          <cell r="AA21">
            <v>3.0895086877748561</v>
          </cell>
          <cell r="AB21">
            <v>0.29929599806156837</v>
          </cell>
          <cell r="AC21">
            <v>-0.54036947076890507</v>
          </cell>
          <cell r="AD21">
            <v>0.34964674615202518</v>
          </cell>
          <cell r="AE21">
            <v>-1.0957834344746693</v>
          </cell>
          <cell r="AF21">
            <v>-1.9175658763643897</v>
          </cell>
          <cell r="AG21">
            <v>-0.84906811536272842</v>
          </cell>
          <cell r="AH21">
            <v>8.1895990799149665</v>
          </cell>
          <cell r="AI21">
            <v>0.17974645255109167</v>
          </cell>
          <cell r="AJ21">
            <v>-2.6052124360400986</v>
          </cell>
          <cell r="AK21">
            <v>1.1352743585583691</v>
          </cell>
          <cell r="AL21">
            <v>0.31993484888283041</v>
          </cell>
          <cell r="AM21">
            <v>-0.41673569541487943</v>
          </cell>
          <cell r="AN21">
            <v>8.1880716437827905E-2</v>
          </cell>
          <cell r="AO21">
            <v>0.81737836596314151</v>
          </cell>
          <cell r="AP21">
            <v>-0.95057458010616402</v>
          </cell>
          <cell r="AQ21">
            <v>3.2472508782105791</v>
          </cell>
          <cell r="AR21">
            <v>0.49179127062021166</v>
          </cell>
          <cell r="AS21">
            <v>0.12975603533294233</v>
          </cell>
          <cell r="AT21">
            <v>5.3978137707729648</v>
          </cell>
          <cell r="AU21">
            <v>31.332124161924547</v>
          </cell>
          <cell r="AV21">
            <v>-0.60103676805690875</v>
          </cell>
          <cell r="AW21">
            <v>2.2409198039931244E-2</v>
          </cell>
          <cell r="AX21">
            <v>0.8713723856630291</v>
          </cell>
          <cell r="AY21">
            <v>-0.76792804707499851</v>
          </cell>
          <cell r="AZ21">
            <v>-0.42556343774122452</v>
          </cell>
          <cell r="BA21">
            <v>0.27515534000704678</v>
          </cell>
          <cell r="BB21">
            <v>-3.4419112244903571E-2</v>
          </cell>
          <cell r="BC21">
            <v>-0.3541658501026127</v>
          </cell>
          <cell r="BD21">
            <v>-0.69484481880440241</v>
          </cell>
          <cell r="BE21">
            <v>-0.21979526840234087</v>
          </cell>
          <cell r="BF21">
            <v>0.2595009578876375</v>
          </cell>
          <cell r="BG21">
            <v>-0.89118894324061793</v>
          </cell>
          <cell r="BH21">
            <v>-0.56920149162571076</v>
          </cell>
          <cell r="BI21">
            <v>14.296301102906931</v>
          </cell>
          <cell r="BJ21">
            <v>5.0874621296345346E-2</v>
          </cell>
          <cell r="BK21">
            <v>0.42795746052942363</v>
          </cell>
          <cell r="BL21">
            <v>3.5754931944393222</v>
          </cell>
          <cell r="BM21">
            <v>2.1090226825167364</v>
          </cell>
          <cell r="BN21">
            <v>8.7788533407517022E-2</v>
          </cell>
          <cell r="BO21">
            <v>0.19269800015470184</v>
          </cell>
          <cell r="BP21">
            <v>0.13833440629063332</v>
          </cell>
          <cell r="BQ21">
            <v>0.63483908964199021</v>
          </cell>
          <cell r="BR21">
            <v>0.21334560044940032</v>
          </cell>
          <cell r="BS21">
            <v>-0.50948867078370674</v>
          </cell>
          <cell r="BT21">
            <v>9.0380518581453018E-2</v>
          </cell>
          <cell r="BU21">
            <v>0.10350836186419787</v>
          </cell>
          <cell r="BV21">
            <v>5.987523118290361E-2</v>
          </cell>
          <cell r="BW21">
            <v>-0.16062982762471978</v>
          </cell>
          <cell r="BX21">
            <v>4.9658342478555717E-2</v>
          </cell>
          <cell r="BY21">
            <v>7.7499178776676558E-3</v>
          </cell>
          <cell r="BZ21">
            <v>-1.0844315853774877E-2</v>
          </cell>
          <cell r="CA21">
            <v>3.1749643403121697E-2</v>
          </cell>
          <cell r="CB21">
            <v>1.9297254049891244E-2</v>
          </cell>
        </row>
        <row r="23">
          <cell r="B23" t="str">
            <v>Revenue per claim</v>
          </cell>
        </row>
        <row r="24">
          <cell r="B24" t="str">
            <v>Rev per claim - Retail - core</v>
          </cell>
          <cell r="P24">
            <v>47.048114481144808</v>
          </cell>
          <cell r="Q24">
            <v>47.583356090811435</v>
          </cell>
          <cell r="R24">
            <v>47.976453753089636</v>
          </cell>
          <cell r="S24">
            <v>46.55510239500174</v>
          </cell>
          <cell r="T24">
            <v>47.277687901906617</v>
          </cell>
          <cell r="U24">
            <v>45.448257655755015</v>
          </cell>
          <cell r="V24">
            <v>45.838427340928035</v>
          </cell>
          <cell r="W24">
            <v>45.743597163941544</v>
          </cell>
          <cell r="X24">
            <v>45.46117581808096</v>
          </cell>
          <cell r="Y24">
            <v>45.619303041838251</v>
          </cell>
          <cell r="Z24">
            <v>44.144778067885113</v>
          </cell>
          <cell r="AA24">
            <v>45.620658372213583</v>
          </cell>
          <cell r="AB24">
            <v>46.431614939505522</v>
          </cell>
          <cell r="AC24">
            <v>45.74241676025094</v>
          </cell>
          <cell r="AD24">
            <v>45.490677110051713</v>
          </cell>
          <cell r="AE24">
            <v>48.104423085452609</v>
          </cell>
          <cell r="AF24">
            <v>50.197310048569449</v>
          </cell>
          <cell r="AG24">
            <v>49.25453449740197</v>
          </cell>
          <cell r="AH24">
            <v>49.187122636223776</v>
          </cell>
          <cell r="AI24">
            <v>49.175646468396792</v>
          </cell>
          <cell r="AJ24">
            <v>49.951657459261895</v>
          </cell>
          <cell r="AK24">
            <v>50.365156776971403</v>
          </cell>
          <cell r="AL24">
            <v>50.542952709246251</v>
          </cell>
          <cell r="AM24">
            <v>49.847945176561076</v>
          </cell>
          <cell r="AN24">
            <v>50.171611324982109</v>
          </cell>
          <cell r="AO24">
            <v>51.529131227245585</v>
          </cell>
          <cell r="AP24">
            <v>52.291500363830515</v>
          </cell>
          <cell r="AQ24">
            <v>52.375065782064397</v>
          </cell>
          <cell r="AR24">
            <v>51.934697757410909</v>
          </cell>
          <cell r="AS24">
            <v>52.021608293695394</v>
          </cell>
          <cell r="AT24">
            <v>54.089372416833328</v>
          </cell>
          <cell r="AU24">
            <v>54.516378357798231</v>
          </cell>
          <cell r="AV24">
            <v>54.92987580807187</v>
          </cell>
          <cell r="AW24">
            <v>54.593397948967088</v>
          </cell>
          <cell r="AX24">
            <v>54.52891149203419</v>
          </cell>
          <cell r="AY24">
            <v>56.063995260373574</v>
          </cell>
          <cell r="AZ24">
            <v>56.046666299847679</v>
          </cell>
          <cell r="BA24">
            <v>56.105954246735294</v>
          </cell>
          <cell r="BB24">
            <v>55.465775576237142</v>
          </cell>
          <cell r="BC24">
            <v>55.916738337424924</v>
          </cell>
          <cell r="BD24">
            <v>55.230000519624376</v>
          </cell>
          <cell r="BE24">
            <v>56.238238332812841</v>
          </cell>
          <cell r="BF24">
            <v>56.637388887654382</v>
          </cell>
          <cell r="BG24">
            <v>55.463982281897451</v>
          </cell>
          <cell r="BH24">
            <v>55.871368243566437</v>
          </cell>
          <cell r="BI24">
            <v>54.408848407243674</v>
          </cell>
          <cell r="BJ24">
            <v>54.39130587205134</v>
          </cell>
          <cell r="BK24">
            <v>53.53891460185887</v>
          </cell>
          <cell r="BL24">
            <v>51.991144143396888</v>
          </cell>
          <cell r="BM24">
            <v>53.535969848766413</v>
          </cell>
          <cell r="BN24">
            <v>50.313888316909441</v>
          </cell>
          <cell r="BO24">
            <v>51.378647281936786</v>
          </cell>
          <cell r="BP24">
            <v>51.719062260864249</v>
          </cell>
          <cell r="BQ24">
            <v>51.615740104996341</v>
          </cell>
          <cell r="BR24">
            <v>51.257613619951279</v>
          </cell>
          <cell r="BS24">
            <v>50.158326708239272</v>
          </cell>
          <cell r="BT24">
            <v>50.479154052708211</v>
          </cell>
          <cell r="BU24">
            <v>49.740372530924148</v>
          </cell>
          <cell r="BV24">
            <v>49.826823676732459</v>
          </cell>
          <cell r="BW24">
            <v>50.051573226307362</v>
          </cell>
          <cell r="BX24">
            <v>47.917940315969084</v>
          </cell>
          <cell r="BY24">
            <v>48.76026877397355</v>
          </cell>
          <cell r="BZ24">
            <v>48.784267935324564</v>
          </cell>
          <cell r="CA24">
            <v>48.85355657686506</v>
          </cell>
          <cell r="CB24">
            <v>48.579897178338733</v>
          </cell>
        </row>
        <row r="25">
          <cell r="B25" t="str">
            <v>Rev/claim retail - y/y growth</v>
          </cell>
          <cell r="U25">
            <v>-3.4004695895538117E-2</v>
          </cell>
          <cell r="V25">
            <v>-3.6670989464325565E-2</v>
          </cell>
          <cell r="W25">
            <v>-4.6540675987422286E-2</v>
          </cell>
          <cell r="X25">
            <v>-2.349745829445804E-2</v>
          </cell>
          <cell r="Y25">
            <v>-3.507753728374452E-2</v>
          </cell>
          <cell r="Z25">
            <v>-2.8680518354367468E-2</v>
          </cell>
          <cell r="AA25">
            <v>-4.7507949409950623E-3</v>
          </cell>
          <cell r="AB25">
            <v>1.5040744895906899E-2</v>
          </cell>
          <cell r="AC25">
            <v>6.1863983302017367E-3</v>
          </cell>
          <cell r="AD25">
            <v>-2.8195505676308352E-3</v>
          </cell>
          <cell r="AE25">
            <v>8.9696792936152514E-2</v>
          </cell>
          <cell r="AF25">
            <v>0.10031972004909484</v>
          </cell>
          <cell r="AG25">
            <v>6.0797358902427767E-2</v>
          </cell>
          <cell r="AH25">
            <v>7.5306599868291135E-2</v>
          </cell>
          <cell r="AI25">
            <v>8.1004935350387219E-2</v>
          </cell>
          <cell r="AJ25">
            <v>3.8400509876770794E-2</v>
          </cell>
          <cell r="AK25">
            <v>3.3437394999762393E-3</v>
          </cell>
          <cell r="AL25">
            <v>2.6158367447615127E-2</v>
          </cell>
          <cell r="AM25">
            <v>1.3434868821756263E-2</v>
          </cell>
          <cell r="AN25">
            <v>2.0253213289740613E-2</v>
          </cell>
          <cell r="AO25">
            <v>3.1580008516638225E-2</v>
          </cell>
          <cell r="AP25">
            <v>3.8247544733939876E-2</v>
          </cell>
          <cell r="AQ25">
            <v>3.6248635558701281E-2</v>
          </cell>
          <cell r="AR25">
            <v>4.186235908939806E-2</v>
          </cell>
          <cell r="AS25">
            <v>3.6873381576886022E-2</v>
          </cell>
          <cell r="AT25">
            <v>4.9685316414456393E-2</v>
          </cell>
          <cell r="AU25">
            <v>4.2547602927580863E-2</v>
          </cell>
          <cell r="AV25">
            <v>4.8779127775002262E-2</v>
          </cell>
          <cell r="AW25">
            <v>5.1193138813959704E-2</v>
          </cell>
          <cell r="AX25">
            <v>4.8197341077643285E-2</v>
          </cell>
          <cell r="AY25">
            <v>3.6506669523229895E-2</v>
          </cell>
          <cell r="AZ25">
            <v>2.8070242157429481E-2</v>
          </cell>
          <cell r="BA25">
            <v>2.1410542466411275E-2</v>
          </cell>
          <cell r="BB25">
            <v>1.5979544414611135E-2</v>
          </cell>
          <cell r="BC25">
            <v>2.5451211245863137E-2</v>
          </cell>
          <cell r="BD25">
            <v>-1.4875763613990456E-2</v>
          </cell>
          <cell r="BE25">
            <v>3.4180807818302572E-3</v>
          </cell>
          <cell r="BF25">
            <v>9.4719829304037439E-3</v>
          </cell>
          <cell r="BG25">
            <v>-3.2331547175856734E-5</v>
          </cell>
          <cell r="BH25">
            <v>-8.1138662961177666E-4</v>
          </cell>
          <cell r="BI25">
            <v>-1.4867863564276607E-2</v>
          </cell>
          <cell r="BJ25">
            <v>-3.2841221836137913E-2</v>
          </cell>
          <cell r="BK25">
            <v>-5.4707223384567127E-2</v>
          </cell>
          <cell r="BL25">
            <v>-6.2614294820190763E-2</v>
          </cell>
          <cell r="BM25">
            <v>-4.1799556162989471E-2</v>
          </cell>
          <cell r="BN25">
            <v>-7.5262759830606041E-2</v>
          </cell>
          <cell r="BO25">
            <v>-5.5388605620196985E-2</v>
          </cell>
          <cell r="BP25">
            <v>-3.3991207228011966E-2</v>
          </cell>
          <cell r="BQ25">
            <v>-7.2205381240533217E-3</v>
          </cell>
          <cell r="BR25">
            <v>-4.2557484906900034E-2</v>
          </cell>
          <cell r="BS25">
            <v>-3.0918224345998224E-3</v>
          </cell>
          <cell r="BT25">
            <v>-1.7507141133799586E-2</v>
          </cell>
          <cell r="BU25">
            <v>-3.8258422396752811E-2</v>
          </cell>
          <cell r="BV25">
            <v>-3.4658350817500239E-2</v>
          </cell>
          <cell r="BW25">
            <v>-2.3529000054237525E-2</v>
          </cell>
          <cell r="BX25">
            <v>-4.4666290510488094E-2</v>
          </cell>
          <cell r="BY25">
            <v>-3.4051388360032186E-2</v>
          </cell>
          <cell r="BZ25">
            <v>-1.922190259039902E-2</v>
          </cell>
          <cell r="CA25">
            <v>-1.9532995042625734E-2</v>
          </cell>
          <cell r="CB25">
            <v>-2.9403192609240625E-2</v>
          </cell>
        </row>
        <row r="27">
          <cell r="B27" t="str">
            <v>Rev per claim - Retail - as reported</v>
          </cell>
          <cell r="P27">
            <v>48.318942731277531</v>
          </cell>
          <cell r="Q27">
            <v>49.723063223508454</v>
          </cell>
          <cell r="R27">
            <v>51.030881017257045</v>
          </cell>
          <cell r="S27">
            <v>50.631355932203391</v>
          </cell>
          <cell r="T27">
            <v>49.92531394580304</v>
          </cell>
          <cell r="U27">
            <v>51.643382352941181</v>
          </cell>
          <cell r="V27">
            <v>52.35493230174081</v>
          </cell>
          <cell r="W27">
            <v>52.52970795568983</v>
          </cell>
          <cell r="X27">
            <v>51.967181467181454</v>
          </cell>
          <cell r="Y27">
            <v>52.113466634545887</v>
          </cell>
          <cell r="Z27">
            <v>50.279090909090904</v>
          </cell>
          <cell r="AA27">
            <v>51.703068592057761</v>
          </cell>
          <cell r="AB27">
            <v>52.598901098901102</v>
          </cell>
          <cell r="AC27">
            <v>52.387622149837135</v>
          </cell>
          <cell r="AD27">
            <v>51.758833922261488</v>
          </cell>
          <cell r="AE27">
            <v>54.414406779661014</v>
          </cell>
          <cell r="AF27">
            <v>56.755496921723839</v>
          </cell>
          <cell r="AG27">
            <v>56.20674356699201</v>
          </cell>
          <cell r="AH27">
            <v>55.594999999999999</v>
          </cell>
          <cell r="AI27">
            <v>55.790051679586561</v>
          </cell>
          <cell r="AJ27">
            <v>56.169874476987452</v>
          </cell>
          <cell r="AK27">
            <v>56.974115616911128</v>
          </cell>
          <cell r="AL27">
            <v>57.375722543352595</v>
          </cell>
          <cell r="AM27">
            <v>56.845431255337324</v>
          </cell>
          <cell r="AN27">
            <v>56.832132487364234</v>
          </cell>
          <cell r="AO27">
            <v>58.29874213836478</v>
          </cell>
          <cell r="AP27">
            <v>59.839464882943147</v>
          </cell>
          <cell r="AQ27">
            <v>60.347523892267596</v>
          </cell>
          <cell r="AR27">
            <v>59.975486052409131</v>
          </cell>
          <cell r="AS27">
            <v>59.586630570595588</v>
          </cell>
          <cell r="AT27">
            <v>61.074966532797859</v>
          </cell>
          <cell r="AU27">
            <v>61.88821138211383</v>
          </cell>
          <cell r="AV27">
            <v>62.520443520443521</v>
          </cell>
          <cell r="AW27">
            <v>62.061958694203867</v>
          </cell>
          <cell r="AX27">
            <v>61.881129523165363</v>
          </cell>
          <cell r="AY27">
            <v>63.476913345983561</v>
          </cell>
          <cell r="AZ27">
            <v>63.913209955328661</v>
          </cell>
          <cell r="BA27">
            <v>64.289610389610388</v>
          </cell>
          <cell r="BB27">
            <v>63.556381660470876</v>
          </cell>
          <cell r="BC27">
            <v>63.804347826086961</v>
          </cell>
          <cell r="BD27">
            <v>63.566666666666663</v>
          </cell>
          <cell r="BE27">
            <v>65.125794155019051</v>
          </cell>
          <cell r="BF27">
            <v>66.328515111695154</v>
          </cell>
          <cell r="BG27">
            <v>65.220034742327741</v>
          </cell>
          <cell r="BH27">
            <v>65.043147602048748</v>
          </cell>
          <cell r="BI27">
            <v>64.663578141926266</v>
          </cell>
          <cell r="BJ27">
            <v>64.873663227165792</v>
          </cell>
          <cell r="BK27">
            <v>64.787839363832234</v>
          </cell>
          <cell r="BL27">
            <v>61.968636857333138</v>
          </cell>
          <cell r="BM27">
            <v>64.010816472777293</v>
          </cell>
          <cell r="BN27">
            <v>65.228052629485177</v>
          </cell>
          <cell r="BO27">
            <v>66.616836499725608</v>
          </cell>
          <cell r="BP27">
            <v>68.061698678848941</v>
          </cell>
          <cell r="BQ27">
            <v>66.554166976757571</v>
          </cell>
          <cell r="BR27">
            <v>66.613851690371249</v>
          </cell>
          <cell r="BS27">
            <v>66.017266785033101</v>
          </cell>
          <cell r="BT27">
            <v>66.687451057933416</v>
          </cell>
          <cell r="BU27">
            <v>67.130458308604432</v>
          </cell>
          <cell r="BV27">
            <v>65.721645413400523</v>
          </cell>
          <cell r="BW27">
            <v>66.387256910385588</v>
          </cell>
          <cell r="BX27">
            <v>64.572930680643495</v>
          </cell>
          <cell r="BY27">
            <v>65.779105038721084</v>
          </cell>
          <cell r="BZ27">
            <v>67.038813123404964</v>
          </cell>
          <cell r="CA27">
            <v>65.538622192199526</v>
          </cell>
          <cell r="CB27">
            <v>65.730852183607894</v>
          </cell>
        </row>
        <row r="28">
          <cell r="B28" t="str">
            <v>Rev/claim retail - y/y growth</v>
          </cell>
          <cell r="U28">
            <v>6.8801994285187407E-2</v>
          </cell>
          <cell r="V28">
            <v>5.2930549881891498E-2</v>
          </cell>
          <cell r="W28">
            <v>2.9370979072964154E-2</v>
          </cell>
          <cell r="X28">
            <v>2.638336482172754E-2</v>
          </cell>
          <cell r="Y28">
            <v>4.3828521361292117E-2</v>
          </cell>
          <cell r="Z28">
            <v>-2.641754628940518E-2</v>
          </cell>
          <cell r="AA28">
            <v>-1.2450855746047318E-2</v>
          </cell>
          <cell r="AB28">
            <v>1.3172192632335822E-3</v>
          </cell>
          <cell r="AC28">
            <v>8.0905038677381302E-3</v>
          </cell>
          <cell r="AD28">
            <v>-6.8050109729087538E-3</v>
          </cell>
          <cell r="AE28">
            <v>8.2247228336867373E-2</v>
          </cell>
          <cell r="AF28">
            <v>9.7720086394295747E-2</v>
          </cell>
          <cell r="AG28">
            <v>6.8591593982298749E-2</v>
          </cell>
          <cell r="AH28">
            <v>6.1223963190946806E-2</v>
          </cell>
          <cell r="AI28">
            <v>7.7884632474134019E-2</v>
          </cell>
          <cell r="AJ28">
            <v>3.2261083070055596E-2</v>
          </cell>
          <cell r="AK28">
            <v>3.8519387027622365E-3</v>
          </cell>
          <cell r="AL28">
            <v>2.0797842076855089E-2</v>
          </cell>
          <cell r="AM28">
            <v>2.2491793422741768E-2</v>
          </cell>
          <cell r="AN28">
            <v>1.8678613415928469E-2</v>
          </cell>
          <cell r="AO28">
            <v>3.790052374515307E-2</v>
          </cell>
          <cell r="AP28">
            <v>5.0292123625022445E-2</v>
          </cell>
          <cell r="AQ28">
            <v>5.1795449663741167E-2</v>
          </cell>
          <cell r="AR28">
            <v>5.5062556971593457E-2</v>
          </cell>
          <cell r="AS28">
            <v>4.846726601089224E-2</v>
          </cell>
          <cell r="AT28">
            <v>4.7620656854723498E-2</v>
          </cell>
          <cell r="AU28">
            <v>3.4237380016322039E-2</v>
          </cell>
          <cell r="AV28">
            <v>3.6006773567959893E-2</v>
          </cell>
          <cell r="AW28">
            <v>3.4788757526224678E-2</v>
          </cell>
          <cell r="AX28">
            <v>3.8506942423122137E-2</v>
          </cell>
          <cell r="AY28">
            <v>3.9327844934566425E-2</v>
          </cell>
          <cell r="AZ28">
            <v>3.2720263326273313E-2</v>
          </cell>
          <cell r="BA28">
            <v>2.8297413926508197E-2</v>
          </cell>
          <cell r="BB28">
            <v>2.4079532739700316E-2</v>
          </cell>
          <cell r="BC28">
            <v>3.1079237204318266E-2</v>
          </cell>
          <cell r="BD28">
            <v>1.4139521906790797E-3</v>
          </cell>
          <cell r="BE28">
            <v>1.8972356427378712E-2</v>
          </cell>
          <cell r="BF28">
            <v>3.1714373593626055E-2</v>
          </cell>
          <cell r="BG28">
            <v>2.617601943962744E-2</v>
          </cell>
          <cell r="BH28">
            <v>1.9415601258685689E-2</v>
          </cell>
          <cell r="BI28">
            <v>1.7256079841524885E-2</v>
          </cell>
          <cell r="BJ28">
            <v>-3.8714449646957139E-3</v>
          </cell>
          <cell r="BK28">
            <v>-2.3227954753222924E-2</v>
          </cell>
          <cell r="BL28">
            <v>-4.9852746902700584E-2</v>
          </cell>
          <cell r="BM28">
            <v>-1.5871481736823845E-2</v>
          </cell>
          <cell r="BN28">
            <v>8.7294038433811671E-3</v>
          </cell>
          <cell r="BO28">
            <v>2.6870276562860562E-2</v>
          </cell>
          <cell r="BP28">
            <v>5.0532003338335407E-2</v>
          </cell>
          <cell r="BQ28">
            <v>7.3997595428497709E-2</v>
          </cell>
          <cell r="BR28">
            <v>4.0665552496131463E-2</v>
          </cell>
          <cell r="BS28">
            <v>1.2099305800694404E-2</v>
          </cell>
          <cell r="BT28">
            <v>1.060010680754786E-3</v>
          </cell>
          <cell r="BU28">
            <v>-1.36822969206013E-2</v>
          </cell>
          <cell r="BV28">
            <v>-1.2508932215285373E-2</v>
          </cell>
          <cell r="BW28">
            <v>-3.4016165442422031E-3</v>
          </cell>
          <cell r="BX28">
            <v>-2.1878156650936287E-2</v>
          </cell>
          <cell r="BY28">
            <v>-1.3620943742822411E-2</v>
          </cell>
          <cell r="BZ28">
            <v>-1.3651803891784331E-3</v>
          </cell>
          <cell r="CA28">
            <v>-2.7848240872508923E-3</v>
          </cell>
          <cell r="CB28">
            <v>-9.887510906856134E-3</v>
          </cell>
        </row>
        <row r="30">
          <cell r="B30" t="str">
            <v>Rev/claim - Mail - core</v>
          </cell>
          <cell r="P30">
            <v>138.37688442211055</v>
          </cell>
          <cell r="Q30">
            <v>143.13612565445027</v>
          </cell>
          <cell r="R30">
            <v>145.84536082474227</v>
          </cell>
          <cell r="S30">
            <v>148.98477157360406</v>
          </cell>
          <cell r="T30">
            <v>144.07170294494239</v>
          </cell>
          <cell r="U30">
            <v>150.57276995305162</v>
          </cell>
          <cell r="V30">
            <v>152.12272727272727</v>
          </cell>
          <cell r="W30">
            <v>153.11261261261262</v>
          </cell>
          <cell r="X30">
            <v>154.21973094170406</v>
          </cell>
          <cell r="Y30">
            <v>152.52961275626424</v>
          </cell>
          <cell r="Z30">
            <v>149.53110047846891</v>
          </cell>
          <cell r="AA30">
            <v>152.05741626794259</v>
          </cell>
          <cell r="AB30">
            <v>156.50590013463969</v>
          </cell>
          <cell r="AC30">
            <v>159.4168897270126</v>
          </cell>
          <cell r="AD30">
            <v>154.55140617029363</v>
          </cell>
          <cell r="AE30">
            <v>160.35728347070156</v>
          </cell>
          <cell r="AF30">
            <v>158.45626088179438</v>
          </cell>
          <cell r="AG30">
            <v>155.94666051113583</v>
          </cell>
          <cell r="AH30">
            <v>159.40605039201265</v>
          </cell>
          <cell r="AI30">
            <v>158.53894768068204</v>
          </cell>
          <cell r="AJ30">
            <v>158.27475795350134</v>
          </cell>
          <cell r="AK30">
            <v>156.54644633301911</v>
          </cell>
          <cell r="AL30">
            <v>157.76474186856589</v>
          </cell>
          <cell r="AM30">
            <v>160.31093048883599</v>
          </cell>
          <cell r="AN30">
            <v>158.24392619544088</v>
          </cell>
          <cell r="AO30">
            <v>168.78211319197263</v>
          </cell>
          <cell r="AP30">
            <v>171.33625826698753</v>
          </cell>
          <cell r="AQ30">
            <v>171.83260179643639</v>
          </cell>
          <cell r="AR30">
            <v>175.46223930708874</v>
          </cell>
          <cell r="AS30">
            <v>171.85638609070421</v>
          </cell>
          <cell r="AT30">
            <v>170.8190964820362</v>
          </cell>
          <cell r="AU30">
            <v>171.68572577040302</v>
          </cell>
          <cell r="AV30">
            <v>173.09472419912839</v>
          </cell>
          <cell r="AW30">
            <v>174.15579883301302</v>
          </cell>
          <cell r="AX30">
            <v>172.44033575452886</v>
          </cell>
          <cell r="AY30">
            <v>172.71513146968502</v>
          </cell>
          <cell r="AZ30">
            <v>171.9065592645776</v>
          </cell>
          <cell r="BA30">
            <v>172.50317025582399</v>
          </cell>
          <cell r="BB30">
            <v>172.66869736610684</v>
          </cell>
          <cell r="BC30">
            <v>172.44837483061136</v>
          </cell>
          <cell r="BD30">
            <v>173.26719405714442</v>
          </cell>
          <cell r="BE30">
            <v>175.19548218636055</v>
          </cell>
          <cell r="BF30">
            <v>175.1599149182949</v>
          </cell>
          <cell r="BG30">
            <v>175.91780407515427</v>
          </cell>
          <cell r="BH30">
            <v>174.90880504561213</v>
          </cell>
          <cell r="BI30">
            <v>162.84727167849363</v>
          </cell>
          <cell r="BJ30">
            <v>158.7511823838253</v>
          </cell>
          <cell r="BK30">
            <v>149.12713927568299</v>
          </cell>
          <cell r="BL30">
            <v>143.72358176763515</v>
          </cell>
          <cell r="BM30">
            <v>153.41952280975877</v>
          </cell>
          <cell r="BN30">
            <v>134.78136287538811</v>
          </cell>
          <cell r="BO30">
            <v>135.61795752368798</v>
          </cell>
          <cell r="BP30">
            <v>134.60204600198389</v>
          </cell>
          <cell r="BQ30">
            <v>137.84311876011571</v>
          </cell>
          <cell r="BR30">
            <v>135.7116692975662</v>
          </cell>
          <cell r="BS30">
            <v>129.94195774074359</v>
          </cell>
          <cell r="BT30">
            <v>125.20678310228469</v>
          </cell>
          <cell r="BU30">
            <v>116.60883994646633</v>
          </cell>
          <cell r="BV30">
            <v>119.8010329499887</v>
          </cell>
          <cell r="BW30">
            <v>122.91686223798057</v>
          </cell>
          <cell r="BX30">
            <v>111.95859903127345</v>
          </cell>
          <cell r="BY30">
            <v>111.64145474289258</v>
          </cell>
          <cell r="BZ30">
            <v>109.34260285453745</v>
          </cell>
          <cell r="CA30">
            <v>112.712010694835</v>
          </cell>
          <cell r="CB30">
            <v>111.41895257605537</v>
          </cell>
        </row>
        <row r="31">
          <cell r="B31" t="str">
            <v>Rev/claim - mail - y/y growth</v>
          </cell>
          <cell r="U31">
            <v>8.8135280555517115E-2</v>
          </cell>
          <cell r="V31">
            <v>6.278360251256121E-2</v>
          </cell>
          <cell r="W31">
            <v>4.9828474123377653E-2</v>
          </cell>
          <cell r="X31">
            <v>3.5137546695594546E-2</v>
          </cell>
          <cell r="Y31">
            <v>5.870625277854935E-2</v>
          </cell>
          <cell r="Z31">
            <v>-6.9180468348127855E-3</v>
          </cell>
          <cell r="AA31">
            <v>-4.293310142119422E-4</v>
          </cell>
          <cell r="AB31">
            <v>2.216203788914739E-2</v>
          </cell>
          <cell r="AC31">
            <v>3.3699700768334839E-2</v>
          </cell>
          <cell r="AD31">
            <v>1.3255087831764989E-2</v>
          </cell>
          <cell r="AE31">
            <v>7.2400878195847396E-2</v>
          </cell>
          <cell r="AF31">
            <v>4.2081766025645839E-2</v>
          </cell>
          <cell r="AG31">
            <v>-3.5732814099835863E-3</v>
          </cell>
          <cell r="AH31">
            <v>-6.7993642446029234E-5</v>
          </cell>
          <cell r="AI31">
            <v>2.5800745584900753E-2</v>
          </cell>
          <cell r="AJ31">
            <v>-1.2986784710534938E-2</v>
          </cell>
          <cell r="AK31">
            <v>-1.2052629149188143E-2</v>
          </cell>
          <cell r="AL31">
            <v>1.1658353897871621E-2</v>
          </cell>
          <cell r="AM31">
            <v>5.6765730949237536E-3</v>
          </cell>
          <cell r="AN31">
            <v>-1.8608770245869266E-3</v>
          </cell>
          <cell r="AO31">
            <v>6.6386803393869043E-2</v>
          </cell>
          <cell r="AP31">
            <v>9.4475552019279041E-2</v>
          </cell>
          <cell r="AQ31">
            <v>8.9169859889166148E-2</v>
          </cell>
          <cell r="AR31">
            <v>9.4512013448190046E-2</v>
          </cell>
          <cell r="AS31">
            <v>8.6022005536257495E-2</v>
          </cell>
          <cell r="AT31">
            <v>1.206871540793375E-2</v>
          </cell>
          <cell r="AU31">
            <v>2.0396587794682119E-3</v>
          </cell>
          <cell r="AV31">
            <v>7.3450695007644118E-3</v>
          </cell>
          <cell r="AW31">
            <v>-7.4457072885592002E-3</v>
          </cell>
          <cell r="AX31">
            <v>3.3978933056142413E-3</v>
          </cell>
          <cell r="AY31">
            <v>1.1099666411408471E-2</v>
          </cell>
          <cell r="AZ31">
            <v>1.2862658976664498E-3</v>
          </cell>
          <cell r="BA31">
            <v>-3.4175157333153905E-3</v>
          </cell>
          <cell r="BB31">
            <v>-8.5389144482754809E-3</v>
          </cell>
          <cell r="BC31">
            <v>4.6619464334263228E-5</v>
          </cell>
          <cell r="BD31">
            <v>3.1963765002043232E-3</v>
          </cell>
          <cell r="BE31">
            <v>1.913203856707435E-2</v>
          </cell>
          <cell r="BF31">
            <v>1.5401135286562839E-2</v>
          </cell>
          <cell r="BG31">
            <v>1.8816999019563907E-2</v>
          </cell>
          <cell r="BH31">
            <v>1.4267633530426371E-2</v>
          </cell>
          <cell r="BI31">
            <v>-6.0137883777434786E-2</v>
          </cell>
          <cell r="BJ31">
            <v>-9.3862579087758524E-2</v>
          </cell>
          <cell r="BK31">
            <v>-0.14862290641529008</v>
          </cell>
          <cell r="BL31">
            <v>-0.18300718609337197</v>
          </cell>
          <cell r="BM31">
            <v>-0.12285992251933486</v>
          </cell>
          <cell r="BN31">
            <v>-0.17234497399818605</v>
          </cell>
          <cell r="BO31">
            <v>-0.14572001614580921</v>
          </cell>
          <cell r="BP31">
            <v>-9.7400737010366556E-2</v>
          </cell>
          <cell r="BQ31">
            <v>-4.0915088082251305E-2</v>
          </cell>
          <cell r="BR31">
            <v>-0.11542112234406066</v>
          </cell>
          <cell r="BS31">
            <v>-3.5905595784179622E-2</v>
          </cell>
          <cell r="BT31">
            <v>-7.6768405980342291E-2</v>
          </cell>
          <cell r="BU31">
            <v>-0.13367706205039676</v>
          </cell>
          <cell r="BV31">
            <v>-0.13088854904338842</v>
          </cell>
          <cell r="BW31">
            <v>-9.4279343300473939E-2</v>
          </cell>
          <cell r="BX31">
            <v>-0.13839531912663661</v>
          </cell>
          <cell r="BY31">
            <v>-0.10834339820319672</v>
          </cell>
          <cell r="BZ31">
            <v>-6.2312918088068825E-2</v>
          </cell>
          <cell r="CA31">
            <v>-5.9173298264573626E-2</v>
          </cell>
          <cell r="CB31">
            <v>-9.3542167059747827E-2</v>
          </cell>
        </row>
        <row r="33">
          <cell r="B33" t="str">
            <v>Rev/adj claim - Mail - core</v>
          </cell>
          <cell r="P33">
            <v>46.125628140703519</v>
          </cell>
          <cell r="Q33">
            <v>47.712041884816749</v>
          </cell>
          <cell r="R33">
            <v>48.615120274914098</v>
          </cell>
          <cell r="S33">
            <v>49.661590524534695</v>
          </cell>
          <cell r="T33">
            <v>48.023900981647465</v>
          </cell>
          <cell r="U33">
            <v>50.190923317683875</v>
          </cell>
          <cell r="V33">
            <v>50.707575757575754</v>
          </cell>
          <cell r="W33">
            <v>51.037537537537538</v>
          </cell>
          <cell r="X33">
            <v>51.406576980568012</v>
          </cell>
          <cell r="Y33">
            <v>50.843204252088086</v>
          </cell>
          <cell r="Z33">
            <v>49.843700159489636</v>
          </cell>
          <cell r="AA33">
            <v>50.685805422647533</v>
          </cell>
          <cell r="AB33">
            <v>52.168633378213237</v>
          </cell>
          <cell r="AC33">
            <v>53.138963242337539</v>
          </cell>
          <cell r="AD33">
            <v>51.517135390097863</v>
          </cell>
          <cell r="AE33">
            <v>53.452427823567184</v>
          </cell>
          <cell r="AF33">
            <v>53.217887785657219</v>
          </cell>
          <cell r="AG33">
            <v>52.375032917258046</v>
          </cell>
          <cell r="AH33">
            <v>53.536876705965618</v>
          </cell>
          <cell r="AI33">
            <v>53.146415003840957</v>
          </cell>
          <cell r="AJ33">
            <v>52.758252651167112</v>
          </cell>
          <cell r="AK33">
            <v>52.182148777673035</v>
          </cell>
          <cell r="AL33">
            <v>52.588247289521966</v>
          </cell>
          <cell r="AM33">
            <v>53.436976829611993</v>
          </cell>
          <cell r="AN33">
            <v>52.747975398480293</v>
          </cell>
          <cell r="AO33">
            <v>56.260704397324204</v>
          </cell>
          <cell r="AP33">
            <v>57.112086088995838</v>
          </cell>
          <cell r="AQ33">
            <v>57.277533932145467</v>
          </cell>
          <cell r="AR33">
            <v>58.487413102362908</v>
          </cell>
          <cell r="AS33">
            <v>57.285462030234733</v>
          </cell>
          <cell r="AT33">
            <v>56.939698827345403</v>
          </cell>
          <cell r="AU33">
            <v>57.228575256801008</v>
          </cell>
          <cell r="AV33">
            <v>57.698241399709467</v>
          </cell>
          <cell r="AW33">
            <v>58.051932944337679</v>
          </cell>
          <cell r="AX33">
            <v>57.480111918176284</v>
          </cell>
          <cell r="AY33">
            <v>57.571710489895011</v>
          </cell>
          <cell r="AZ33">
            <v>57.302186421525867</v>
          </cell>
          <cell r="BA33">
            <v>57.50105675194132</v>
          </cell>
          <cell r="BB33">
            <v>57.556232455368949</v>
          </cell>
          <cell r="BC33">
            <v>57.48279161020379</v>
          </cell>
          <cell r="BD33">
            <v>57.755731352381481</v>
          </cell>
          <cell r="BE33">
            <v>58.398494062120186</v>
          </cell>
          <cell r="BF33">
            <v>58.386638306098298</v>
          </cell>
          <cell r="BG33">
            <v>58.639268025051415</v>
          </cell>
          <cell r="BH33">
            <v>58.302935015204042</v>
          </cell>
          <cell r="BI33">
            <v>54.282423892831197</v>
          </cell>
          <cell r="BJ33">
            <v>52.917060794608432</v>
          </cell>
          <cell r="BK33">
            <v>49.709046425227669</v>
          </cell>
          <cell r="BL33">
            <v>47.907860589211722</v>
          </cell>
          <cell r="BM33">
            <v>51.139840936586246</v>
          </cell>
          <cell r="BN33">
            <v>44.927120958462702</v>
          </cell>
          <cell r="BO33">
            <v>45.205985841229335</v>
          </cell>
          <cell r="BP33">
            <v>44.86734866732796</v>
          </cell>
          <cell r="BQ33">
            <v>45.947706253371905</v>
          </cell>
          <cell r="BR33">
            <v>45.237223099188732</v>
          </cell>
          <cell r="BS33">
            <v>43.313985913581199</v>
          </cell>
          <cell r="BT33">
            <v>41.735594367428227</v>
          </cell>
          <cell r="BU33">
            <v>38.869613315488778</v>
          </cell>
          <cell r="BV33">
            <v>39.933677649996234</v>
          </cell>
          <cell r="BW33">
            <v>40.972287412660194</v>
          </cell>
          <cell r="BX33">
            <v>37.319533010424486</v>
          </cell>
          <cell r="BY33">
            <v>37.213818247630854</v>
          </cell>
          <cell r="BZ33">
            <v>36.447534284845815</v>
          </cell>
          <cell r="CA33">
            <v>37.570670231611665</v>
          </cell>
          <cell r="CB33">
            <v>37.13965085868513</v>
          </cell>
        </row>
        <row r="34">
          <cell r="B34" t="str">
            <v>Rev/adj claim - mail - y/y growth</v>
          </cell>
          <cell r="U34">
            <v>8.8135280555517115E-2</v>
          </cell>
          <cell r="V34">
            <v>6.278360251256121E-2</v>
          </cell>
          <cell r="W34">
            <v>4.9828474123377431E-2</v>
          </cell>
          <cell r="X34">
            <v>3.5137546695594102E-2</v>
          </cell>
          <cell r="Y34">
            <v>5.870625277854935E-2</v>
          </cell>
          <cell r="Z34">
            <v>-6.9180468348128965E-3</v>
          </cell>
          <cell r="AA34">
            <v>-4.2933101421172015E-4</v>
          </cell>
          <cell r="AB34">
            <v>2.2162037889147612E-2</v>
          </cell>
          <cell r="AC34">
            <v>3.3699700768335061E-2</v>
          </cell>
          <cell r="AD34">
            <v>1.3255087831764545E-2</v>
          </cell>
          <cell r="AE34">
            <v>7.2400878195847396E-2</v>
          </cell>
          <cell r="AF34">
            <v>4.9956439320549828E-2</v>
          </cell>
          <cell r="AG34">
            <v>3.9563915264648752E-3</v>
          </cell>
          <cell r="AH34">
            <v>7.4881676146636433E-3</v>
          </cell>
          <cell r="AI34">
            <v>3.1625974569545967E-2</v>
          </cell>
          <cell r="AJ34">
            <v>-1.2986784710534938E-2</v>
          </cell>
          <cell r="AK34">
            <v>-1.9462234430569159E-2</v>
          </cell>
          <cell r="AL34">
            <v>4.0709162436376456E-3</v>
          </cell>
          <cell r="AM34">
            <v>-1.8660012032881701E-3</v>
          </cell>
          <cell r="AN34">
            <v>-7.4970175379067694E-3</v>
          </cell>
          <cell r="AO34">
            <v>6.6386803393868821E-2</v>
          </cell>
          <cell r="AP34">
            <v>9.4475552019279041E-2</v>
          </cell>
          <cell r="AQ34">
            <v>8.9169859889166148E-2</v>
          </cell>
          <cell r="AR34">
            <v>9.4512013448190269E-2</v>
          </cell>
          <cell r="AS34">
            <v>8.6022005536257495E-2</v>
          </cell>
          <cell r="AT34">
            <v>1.206871540793375E-2</v>
          </cell>
          <cell r="AU34">
            <v>2.0396587794682119E-3</v>
          </cell>
          <cell r="AV34">
            <v>7.3450695007644118E-3</v>
          </cell>
          <cell r="AW34">
            <v>-7.4457072885590891E-3</v>
          </cell>
          <cell r="AX34">
            <v>3.3978933056142413E-3</v>
          </cell>
          <cell r="AY34">
            <v>1.1099666411408693E-2</v>
          </cell>
          <cell r="AZ34">
            <v>1.2862658976664498E-3</v>
          </cell>
          <cell r="BA34">
            <v>-3.4175157333156125E-3</v>
          </cell>
          <cell r="BB34">
            <v>-8.5389144482755919E-3</v>
          </cell>
          <cell r="BC34">
            <v>4.6619464334485272E-5</v>
          </cell>
          <cell r="BD34">
            <v>3.1963765002043232E-3</v>
          </cell>
          <cell r="BE34">
            <v>1.913203856707435E-2</v>
          </cell>
          <cell r="BF34">
            <v>1.5401135286562839E-2</v>
          </cell>
          <cell r="BG34">
            <v>1.8816999019563907E-2</v>
          </cell>
          <cell r="BH34">
            <v>1.4267633530426371E-2</v>
          </cell>
          <cell r="BI34">
            <v>-6.0137883777435119E-2</v>
          </cell>
          <cell r="BJ34">
            <v>-9.3862579087758524E-2</v>
          </cell>
          <cell r="BK34">
            <v>-0.14862290641528997</v>
          </cell>
          <cell r="BL34">
            <v>-0.18300718609337185</v>
          </cell>
          <cell r="BM34">
            <v>-0.12285992251933509</v>
          </cell>
          <cell r="BN34">
            <v>-0.17234497399818582</v>
          </cell>
          <cell r="BO34">
            <v>-0.14572001614580898</v>
          </cell>
          <cell r="BP34">
            <v>-9.7400737010366667E-2</v>
          </cell>
          <cell r="BQ34">
            <v>-4.0915088082251416E-2</v>
          </cell>
          <cell r="BR34">
            <v>-0.11542112234406054</v>
          </cell>
          <cell r="BS34">
            <v>-3.5905595784179511E-2</v>
          </cell>
          <cell r="BT34">
            <v>-7.6768405980342513E-2</v>
          </cell>
          <cell r="BU34">
            <v>-0.13367706205039664</v>
          </cell>
          <cell r="BV34">
            <v>-0.13088854904338831</v>
          </cell>
          <cell r="BW34">
            <v>-9.4279343300473828E-2</v>
          </cell>
          <cell r="BX34">
            <v>-0.13839531912663661</v>
          </cell>
          <cell r="BY34">
            <v>-0.10834339820319683</v>
          </cell>
          <cell r="BZ34">
            <v>-6.2312918088068825E-2</v>
          </cell>
          <cell r="CA34">
            <v>-5.9173298264573737E-2</v>
          </cell>
          <cell r="CB34">
            <v>-9.3542167059747827E-2</v>
          </cell>
        </row>
        <row r="36">
          <cell r="B36" t="str">
            <v>Rev/adj claim - Mail - as reported</v>
          </cell>
          <cell r="P36">
            <v>46.125628140703526</v>
          </cell>
          <cell r="Q36">
            <v>47.712041884816756</v>
          </cell>
          <cell r="R36">
            <v>48.615120274914077</v>
          </cell>
          <cell r="S36">
            <v>49.661590524534695</v>
          </cell>
          <cell r="T36">
            <v>48.023900981647444</v>
          </cell>
          <cell r="U36">
            <v>50.190923317683882</v>
          </cell>
          <cell r="V36">
            <v>50.707575757575754</v>
          </cell>
          <cell r="W36">
            <v>51.037537537537531</v>
          </cell>
          <cell r="X36">
            <v>51.406576980568012</v>
          </cell>
          <cell r="Y36">
            <v>50.881838905775091</v>
          </cell>
          <cell r="Z36">
            <v>49.843700159489636</v>
          </cell>
          <cell r="AA36">
            <v>50.685805422647526</v>
          </cell>
          <cell r="AB36">
            <v>54.204049844236756</v>
          </cell>
          <cell r="AC36">
            <v>58.98885793871866</v>
          </cell>
          <cell r="AD36">
            <v>53.628538638102519</v>
          </cell>
          <cell r="AE36">
            <v>61.410687022900767</v>
          </cell>
          <cell r="AF36">
            <v>60.786039453717763</v>
          </cell>
          <cell r="AG36">
            <v>60.154887218045126</v>
          </cell>
          <cell r="AH36">
            <v>60.949629629629634</v>
          </cell>
          <cell r="AI36">
            <v>60.823662396382836</v>
          </cell>
          <cell r="AJ36">
            <v>61.628571428571426</v>
          </cell>
          <cell r="AK36">
            <v>61.29445234708394</v>
          </cell>
          <cell r="AL36">
            <v>61.654092526690398</v>
          </cell>
          <cell r="AM36">
            <v>62.875171467764062</v>
          </cell>
          <cell r="AN36">
            <v>61.872640677368153</v>
          </cell>
          <cell r="AO36">
            <v>67.815094339622661</v>
          </cell>
          <cell r="AP36">
            <v>69.43057324840764</v>
          </cell>
          <cell r="AQ36">
            <v>69.888318356867771</v>
          </cell>
          <cell r="AR36">
            <v>71.13784461152882</v>
          </cell>
          <cell r="AS36">
            <v>69.5682610072854</v>
          </cell>
          <cell r="AT36">
            <v>71.599739243807051</v>
          </cell>
          <cell r="AU36">
            <v>72.379042690814998</v>
          </cell>
          <cell r="AV36">
            <v>73.374176548089622</v>
          </cell>
          <cell r="AW36">
            <v>73.860284605433364</v>
          </cell>
          <cell r="AX36">
            <v>72.942134550053666</v>
          </cell>
          <cell r="AY36">
            <v>74.76386286145798</v>
          </cell>
          <cell r="AZ36">
            <v>75.198600609638078</v>
          </cell>
          <cell r="BA36">
            <v>75.933977948761679</v>
          </cell>
          <cell r="BB36">
            <v>76.244623526695648</v>
          </cell>
          <cell r="BC36">
            <v>75.539083390119302</v>
          </cell>
          <cell r="BD36">
            <v>77.951887594413975</v>
          </cell>
          <cell r="BE36">
            <v>78.654921020656161</v>
          </cell>
          <cell r="BF36">
            <v>79.945945945945951</v>
          </cell>
          <cell r="BG36">
            <v>80.874999999999972</v>
          </cell>
          <cell r="BH36">
            <v>79.394745806402284</v>
          </cell>
          <cell r="BI36">
            <v>76.952727137189143</v>
          </cell>
          <cell r="BJ36">
            <v>76.278328095904072</v>
          </cell>
          <cell r="BK36">
            <v>74.84829377290238</v>
          </cell>
          <cell r="BL36">
            <v>70.797587356970908</v>
          </cell>
          <cell r="BM36">
            <v>74.636585885492025</v>
          </cell>
          <cell r="BN36">
            <v>73.771439655414227</v>
          </cell>
          <cell r="BO36">
            <v>74.881039941082022</v>
          </cell>
          <cell r="BP36">
            <v>76.801594464754061</v>
          </cell>
          <cell r="BQ36">
            <v>75.346932255258594</v>
          </cell>
          <cell r="BR36">
            <v>75.194807574074318</v>
          </cell>
          <cell r="BS36">
            <v>75.246920216778108</v>
          </cell>
          <cell r="BT36">
            <v>74.610541436819432</v>
          </cell>
          <cell r="BU36">
            <v>74.278726995629938</v>
          </cell>
          <cell r="BV36">
            <v>72.534543319422298</v>
          </cell>
          <cell r="BW36">
            <v>74.1698667624526</v>
          </cell>
          <cell r="BX36">
            <v>73.05108714457441</v>
          </cell>
          <cell r="BY36">
            <v>73.978411161987268</v>
          </cell>
          <cell r="BZ36">
            <v>76.012329425549595</v>
          </cell>
          <cell r="CA36">
            <v>73.999980530662313</v>
          </cell>
          <cell r="CB36">
            <v>74.255205734283393</v>
          </cell>
        </row>
        <row r="37">
          <cell r="B37" t="str">
            <v>Rev/adj claim - mail - y/y growth</v>
          </cell>
          <cell r="U37">
            <v>8.8135280555517115E-2</v>
          </cell>
          <cell r="V37">
            <v>6.2783602512560988E-2</v>
          </cell>
          <cell r="W37">
            <v>4.9828474123377875E-2</v>
          </cell>
          <cell r="X37">
            <v>3.5137546695594102E-2</v>
          </cell>
          <cell r="Y37">
            <v>5.9510740812576346E-2</v>
          </cell>
          <cell r="Z37">
            <v>-6.9180468348130075E-3</v>
          </cell>
          <cell r="AA37">
            <v>-4.293310142119422E-4</v>
          </cell>
          <cell r="AB37">
            <v>6.2042811222432048E-2</v>
          </cell>
          <cell r="AC37">
            <v>0.14749632057813922</v>
          </cell>
          <cell r="AD37">
            <v>5.3981927371254512E-2</v>
          </cell>
          <cell r="AE37">
            <v>0.2320651722564564</v>
          </cell>
          <cell r="AF37">
            <v>0.19927145177725114</v>
          </cell>
          <cell r="AG37">
            <v>0.10978584424796622</v>
          </cell>
          <cell r="AH37">
            <v>3.3239695756577481E-2</v>
          </cell>
          <cell r="AI37">
            <v>0.13416594859753017</v>
          </cell>
          <cell r="AJ37">
            <v>3.5479884077735946E-3</v>
          </cell>
          <cell r="AK37">
            <v>8.363974654957973E-3</v>
          </cell>
          <cell r="AL37">
            <v>2.4922419074796975E-2</v>
          </cell>
          <cell r="AM37">
            <v>3.1592346825326079E-2</v>
          </cell>
          <cell r="AN37">
            <v>1.7246220297443049E-2</v>
          </cell>
          <cell r="AO37">
            <v>0.1003840064380126</v>
          </cell>
          <cell r="AP37">
            <v>0.13273829179927032</v>
          </cell>
          <cell r="AQ37">
            <v>0.13355521900857958</v>
          </cell>
          <cell r="AR37">
            <v>0.13141392621093706</v>
          </cell>
          <cell r="AS37">
            <v>0.12437840450427329</v>
          </cell>
          <cell r="AT37">
            <v>5.5808296678474312E-2</v>
          </cell>
          <cell r="AU37">
            <v>4.246644243967812E-2</v>
          </cell>
          <cell r="AV37">
            <v>4.9877551401682929E-2</v>
          </cell>
          <cell r="AW37">
            <v>3.8269925224348578E-2</v>
          </cell>
          <cell r="AX37">
            <v>4.8497310323955656E-2</v>
          </cell>
          <cell r="AY37">
            <v>4.4191831577439888E-2</v>
          </cell>
          <cell r="AZ37">
            <v>3.8955446411021555E-2</v>
          </cell>
          <cell r="BA37">
            <v>3.4886952346161682E-2</v>
          </cell>
          <cell r="BB37">
            <v>3.2281745649906268E-2</v>
          </cell>
          <cell r="BC37">
            <v>3.5602863229668547E-2</v>
          </cell>
          <cell r="BD37">
            <v>4.264125221651005E-2</v>
          </cell>
          <cell r="BE37">
            <v>4.5962562906723736E-2</v>
          </cell>
          <cell r="BF37">
            <v>5.2834950908161815E-2</v>
          </cell>
          <cell r="BG37">
            <v>6.0730531008302391E-2</v>
          </cell>
          <cell r="BH37">
            <v>5.1041953956080244E-2</v>
          </cell>
          <cell r="BI37">
            <v>-1.2817655711218845E-2</v>
          </cell>
          <cell r="BJ37">
            <v>-3.0215438448256249E-2</v>
          </cell>
          <cell r="BK37">
            <v>-6.3763735768293528E-2</v>
          </cell>
          <cell r="BL37">
            <v>-0.12460479311318784</v>
          </cell>
          <cell r="BM37">
            <v>-5.9930413185182885E-2</v>
          </cell>
          <cell r="BN37">
            <v>-4.1340802335743221E-2</v>
          </cell>
          <cell r="BO37">
            <v>-1.8318285018849023E-2</v>
          </cell>
          <cell r="BP37">
            <v>2.6096796511864362E-2</v>
          </cell>
          <cell r="BQ37">
            <v>6.4258473602345711E-2</v>
          </cell>
          <cell r="BR37">
            <v>7.4791964551905732E-3</v>
          </cell>
          <cell r="BS37">
            <v>2.0000701738448257E-2</v>
          </cell>
          <cell r="BT37">
            <v>-3.6123764370182831E-3</v>
          </cell>
          <cell r="BU37">
            <v>-3.2849154847715112E-2</v>
          </cell>
          <cell r="BV37">
            <v>-3.7325858553982627E-2</v>
          </cell>
          <cell r="BW37">
            <v>-1.3630473229312434E-2</v>
          </cell>
          <cell r="BX37">
            <v>-2.9181700272619016E-2</v>
          </cell>
          <cell r="BY37">
            <v>-8.4723989755182139E-3</v>
          </cell>
          <cell r="BZ37">
            <v>2.3339151060325136E-2</v>
          </cell>
          <cell r="CA37">
            <v>2.0203300995315088E-2</v>
          </cell>
          <cell r="CB37">
            <v>1.150588177596612E-3</v>
          </cell>
        </row>
        <row r="39">
          <cell r="B39" t="str">
            <v>Rev/claim Specialty - MS Estimates</v>
          </cell>
          <cell r="P39">
            <v>1225</v>
          </cell>
          <cell r="Q39">
            <v>1225</v>
          </cell>
          <cell r="R39">
            <v>1225</v>
          </cell>
          <cell r="S39">
            <v>1225</v>
          </cell>
          <cell r="T39">
            <v>1225</v>
          </cell>
          <cell r="U39">
            <v>1225</v>
          </cell>
          <cell r="V39">
            <v>1225</v>
          </cell>
          <cell r="W39">
            <v>1225</v>
          </cell>
          <cell r="X39">
            <v>1225</v>
          </cell>
          <cell r="Y39">
            <v>1225</v>
          </cell>
          <cell r="Z39">
            <v>1225</v>
          </cell>
          <cell r="AA39">
            <v>1225</v>
          </cell>
          <cell r="AB39">
            <v>1225</v>
          </cell>
          <cell r="AC39">
            <v>1225</v>
          </cell>
          <cell r="AD39">
            <v>1225.0000000000002</v>
          </cell>
          <cell r="AE39">
            <v>1404.01</v>
          </cell>
          <cell r="AF39">
            <v>1404.01</v>
          </cell>
          <cell r="AG39">
            <v>1404.01</v>
          </cell>
          <cell r="AH39">
            <v>1404.01</v>
          </cell>
          <cell r="AI39">
            <v>1404.01</v>
          </cell>
          <cell r="AJ39">
            <v>1519.15</v>
          </cell>
          <cell r="AK39">
            <v>1519.15</v>
          </cell>
          <cell r="AL39">
            <v>1519.15</v>
          </cell>
          <cell r="AM39">
            <v>1519.15</v>
          </cell>
          <cell r="AN39">
            <v>1519.15</v>
          </cell>
          <cell r="AO39">
            <v>1693.8522500000001</v>
          </cell>
          <cell r="AP39">
            <v>1693.8522500000001</v>
          </cell>
          <cell r="AQ39">
            <v>1693.8522500000001</v>
          </cell>
          <cell r="AR39">
            <v>1693.8522500000001</v>
          </cell>
          <cell r="AS39">
            <v>1693.8522500000001</v>
          </cell>
          <cell r="AT39">
            <v>1880.1759975000002</v>
          </cell>
          <cell r="AU39">
            <v>1880.1759975000002</v>
          </cell>
          <cell r="AV39">
            <v>1880.1759975000002</v>
          </cell>
          <cell r="AW39">
            <v>1880.1759975000002</v>
          </cell>
          <cell r="AX39">
            <v>1880.1759975000004</v>
          </cell>
          <cell r="AY39">
            <v>2086.9953572250006</v>
          </cell>
          <cell r="AZ39">
            <v>2086.9953572250006</v>
          </cell>
          <cell r="BA39">
            <v>2086.9953572250006</v>
          </cell>
          <cell r="BB39">
            <v>2086.9953572250006</v>
          </cell>
          <cell r="BC39">
            <v>2093.4667519896911</v>
          </cell>
          <cell r="BD39">
            <v>2316.564846519751</v>
          </cell>
          <cell r="BE39">
            <v>2316.564846519751</v>
          </cell>
          <cell r="BF39">
            <v>2316.564846519751</v>
          </cell>
          <cell r="BG39">
            <v>2316.564846519751</v>
          </cell>
          <cell r="BH39">
            <v>2403.3348055833189</v>
          </cell>
          <cell r="BI39">
            <v>2478.7243857761337</v>
          </cell>
          <cell r="BJ39">
            <v>2478.7243857761337</v>
          </cell>
          <cell r="BK39">
            <v>2478.7243857761337</v>
          </cell>
          <cell r="BL39">
            <v>2478.7243857761337</v>
          </cell>
          <cell r="BM39">
            <v>2478.7243857761337</v>
          </cell>
          <cell r="BN39">
            <v>2599.0639218162837</v>
          </cell>
          <cell r="BO39">
            <v>2599.0639218162837</v>
          </cell>
          <cell r="BP39">
            <v>2599.0639218162837</v>
          </cell>
          <cell r="BQ39">
            <v>2599.0639218162837</v>
          </cell>
          <cell r="BR39">
            <v>2599.0639218162837</v>
          </cell>
          <cell r="BS39">
            <v>2729.0171179070981</v>
          </cell>
          <cell r="BT39">
            <v>2729.0171179070981</v>
          </cell>
          <cell r="BU39">
            <v>2729.0171179070981</v>
          </cell>
          <cell r="BV39">
            <v>2729.0171179070981</v>
          </cell>
          <cell r="BW39">
            <v>2729.0171179070985</v>
          </cell>
          <cell r="BX39">
            <v>2865.4679738024529</v>
          </cell>
          <cell r="BY39">
            <v>2865.4679738024529</v>
          </cell>
          <cell r="BZ39">
            <v>2865.4679738024529</v>
          </cell>
          <cell r="CA39">
            <v>2865.4679738024529</v>
          </cell>
          <cell r="CB39">
            <v>2865.4679738024529</v>
          </cell>
        </row>
        <row r="40">
          <cell r="B40" t="str">
            <v>Rev/claim - specialty - y/y growth</v>
          </cell>
          <cell r="U40">
            <v>0</v>
          </cell>
          <cell r="V40">
            <v>0</v>
          </cell>
          <cell r="W40">
            <v>0</v>
          </cell>
          <cell r="X40">
            <v>0</v>
          </cell>
          <cell r="Y40">
            <v>0</v>
          </cell>
          <cell r="Z40">
            <v>0</v>
          </cell>
          <cell r="AA40">
            <v>0</v>
          </cell>
          <cell r="AB40">
            <v>0</v>
          </cell>
          <cell r="AC40">
            <v>0</v>
          </cell>
          <cell r="AD40">
            <v>0</v>
          </cell>
          <cell r="AE40">
            <v>0.14613061224489798</v>
          </cell>
          <cell r="AF40">
            <v>0.14613061224489798</v>
          </cell>
          <cell r="AG40">
            <v>0.14613061224489798</v>
          </cell>
          <cell r="AH40">
            <v>0.14613061224489798</v>
          </cell>
          <cell r="AI40">
            <v>0.14613061224489776</v>
          </cell>
          <cell r="AJ40">
            <v>8.2007962906247123E-2</v>
          </cell>
          <cell r="AK40">
            <v>8.2007962906247123E-2</v>
          </cell>
          <cell r="AL40">
            <v>8.2007962906247123E-2</v>
          </cell>
          <cell r="AM40">
            <v>8.2007962906247123E-2</v>
          </cell>
          <cell r="AN40">
            <v>8.2007962906247123E-2</v>
          </cell>
          <cell r="AO40">
            <v>0.11499999999999999</v>
          </cell>
          <cell r="AP40">
            <v>0.11499999999999999</v>
          </cell>
          <cell r="AQ40">
            <v>0.11499999999999999</v>
          </cell>
          <cell r="AR40">
            <v>0.11499999999999999</v>
          </cell>
          <cell r="AS40">
            <v>0.11499999999999999</v>
          </cell>
          <cell r="AT40">
            <v>0.1100000000000001</v>
          </cell>
          <cell r="AU40">
            <v>0.1100000000000001</v>
          </cell>
          <cell r="AV40">
            <v>0.1100000000000001</v>
          </cell>
          <cell r="AW40">
            <v>0.1100000000000001</v>
          </cell>
          <cell r="AX40">
            <v>0.1100000000000001</v>
          </cell>
          <cell r="AY40">
            <v>0.1100000000000001</v>
          </cell>
          <cell r="AZ40">
            <v>0.1100000000000001</v>
          </cell>
          <cell r="BA40">
            <v>0.1100000000000001</v>
          </cell>
          <cell r="BB40">
            <v>0.1100000000000001</v>
          </cell>
          <cell r="BC40">
            <v>0.11344190904111917</v>
          </cell>
          <cell r="BD40">
            <v>0.1100000000000001</v>
          </cell>
          <cell r="BE40">
            <v>0.1100000000000001</v>
          </cell>
          <cell r="BF40">
            <v>0.1100000000000001</v>
          </cell>
          <cell r="BG40">
            <v>0.1100000000000001</v>
          </cell>
          <cell r="BH40">
            <v>0.14801670640296538</v>
          </cell>
          <cell r="BI40">
            <v>7.0000000000000062E-2</v>
          </cell>
          <cell r="BJ40">
            <v>7.0000000000000062E-2</v>
          </cell>
          <cell r="BK40">
            <v>7.0000000000000062E-2</v>
          </cell>
          <cell r="BL40">
            <v>7.0000000000000062E-2</v>
          </cell>
          <cell r="BM40">
            <v>3.1368738145710395E-2</v>
          </cell>
          <cell r="BN40">
            <v>4.8548978148076571E-2</v>
          </cell>
          <cell r="BO40">
            <v>4.8548978148076571E-2</v>
          </cell>
          <cell r="BP40">
            <v>4.8548978148076571E-2</v>
          </cell>
          <cell r="BQ40">
            <v>4.8548978148076571E-2</v>
          </cell>
          <cell r="BR40">
            <v>4.8548978148076571E-2</v>
          </cell>
          <cell r="BS40">
            <v>5.0000000000000044E-2</v>
          </cell>
          <cell r="BT40">
            <v>5.0000000000000044E-2</v>
          </cell>
          <cell r="BU40">
            <v>5.0000000000000044E-2</v>
          </cell>
          <cell r="BV40">
            <v>5.0000000000000044E-2</v>
          </cell>
          <cell r="BW40">
            <v>5.0000000000000266E-2</v>
          </cell>
          <cell r="BX40">
            <v>5.0000000000000044E-2</v>
          </cell>
          <cell r="BY40">
            <v>5.0000000000000044E-2</v>
          </cell>
          <cell r="BZ40">
            <v>5.0000000000000044E-2</v>
          </cell>
          <cell r="CA40">
            <v>5.0000000000000044E-2</v>
          </cell>
          <cell r="CB40">
            <v>4.9999999999999822E-2</v>
          </cell>
        </row>
        <row r="42">
          <cell r="B42" t="str">
            <v>Gross profit ($) per claim</v>
          </cell>
        </row>
        <row r="43">
          <cell r="B43" t="str">
            <v>Retail - generics - core</v>
          </cell>
          <cell r="P43">
            <v>4.0721361075181521</v>
          </cell>
          <cell r="Q43">
            <v>5.3690596939284143</v>
          </cell>
          <cell r="R43">
            <v>6.3835231985861167</v>
          </cell>
          <cell r="S43">
            <v>6.3050946446519109</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0.19254871465329254</v>
          </cell>
          <cell r="AK43">
            <v>4.8556643605514219E-2</v>
          </cell>
          <cell r="AL43">
            <v>0.1869194731290533</v>
          </cell>
          <cell r="AM43">
            <v>0.18279242808820073</v>
          </cell>
          <cell r="AN43">
            <v>0.15326682857790813</v>
          </cell>
          <cell r="AO43">
            <v>0.15403687027642646</v>
          </cell>
          <cell r="AP43">
            <v>0.19355495751761539</v>
          </cell>
          <cell r="AQ43">
            <v>0.15348810643452601</v>
          </cell>
          <cell r="AR43">
            <v>0.20413040839892901</v>
          </cell>
          <cell r="AS43">
            <v>0.17619598727391442</v>
          </cell>
          <cell r="AT43">
            <v>0.15692773825227918</v>
          </cell>
          <cell r="AU43">
            <v>0.2073877072483267</v>
          </cell>
          <cell r="AV43">
            <v>0.27070678700517631</v>
          </cell>
          <cell r="AW43">
            <v>0.21855505953565485</v>
          </cell>
          <cell r="AX43">
            <v>0.21312875658801189</v>
          </cell>
          <cell r="AY43">
            <v>0.2223588447617115</v>
          </cell>
          <cell r="AZ43">
            <v>0.22597781559174682</v>
          </cell>
          <cell r="BA43">
            <v>0.22960605315785651</v>
          </cell>
          <cell r="BB43">
            <v>0.22982383018842581</v>
          </cell>
          <cell r="BC43">
            <v>0.22697818663985159</v>
          </cell>
          <cell r="BD43">
            <v>0.20373714064741755</v>
          </cell>
          <cell r="BE43">
            <v>0.21105860718239133</v>
          </cell>
          <cell r="BF43">
            <v>0.20236795425789136</v>
          </cell>
          <cell r="BG43">
            <v>0.21521025428667526</v>
          </cell>
          <cell r="BH43">
            <v>0.20830432772007368</v>
          </cell>
          <cell r="BI43">
            <v>0.28862761591717495</v>
          </cell>
          <cell r="BJ43">
            <v>0.29899969350838773</v>
          </cell>
          <cell r="BK43">
            <v>0.28668793519867947</v>
          </cell>
          <cell r="BL43">
            <v>0.30488119357279003</v>
          </cell>
          <cell r="BM43">
            <v>0.29518541273651022</v>
          </cell>
          <cell r="BN43">
            <v>0.46180418546747992</v>
          </cell>
          <cell r="BO43">
            <v>0.47839950961342043</v>
          </cell>
          <cell r="BP43">
            <v>0.45870069631788718</v>
          </cell>
          <cell r="BQ43">
            <v>0.48780990971646399</v>
          </cell>
          <cell r="BR43">
            <v>0.47176453139317964</v>
          </cell>
          <cell r="BS43">
            <v>0.47334929010416682</v>
          </cell>
          <cell r="BT43">
            <v>0.49035949735375589</v>
          </cell>
          <cell r="BU43">
            <v>0.47016821372583428</v>
          </cell>
          <cell r="BV43">
            <v>0.50000515745937557</v>
          </cell>
          <cell r="BW43">
            <v>0.48357806765141331</v>
          </cell>
          <cell r="BX43">
            <v>0.46861579720312518</v>
          </cell>
          <cell r="BY43">
            <v>0.48545590238021835</v>
          </cell>
          <cell r="BZ43">
            <v>0.46546653158857587</v>
          </cell>
          <cell r="CA43">
            <v>0.4950051058847818</v>
          </cell>
          <cell r="CB43">
            <v>0.47872611890968064</v>
          </cell>
        </row>
        <row r="44">
          <cell r="B44" t="str">
            <v>Retail - brand - core</v>
          </cell>
          <cell r="P44">
            <v>0.21797075957003142</v>
          </cell>
          <cell r="Q44">
            <v>0.28247461273144142</v>
          </cell>
          <cell r="R44">
            <v>0.31821827615556375</v>
          </cell>
          <cell r="S44">
            <v>0.30908566882573796</v>
          </cell>
          <cell r="T44">
            <v>1.9718365234907331</v>
          </cell>
          <cell r="U44">
            <v>1.6998089553926454</v>
          </cell>
          <cell r="V44">
            <v>1.6925471824837088</v>
          </cell>
          <cell r="W44">
            <v>1.7834004242993</v>
          </cell>
          <cell r="X44">
            <v>1.692686834177791</v>
          </cell>
          <cell r="Y44">
            <v>1.716049890413625</v>
          </cell>
          <cell r="Z44">
            <v>1.9081932740520648</v>
          </cell>
          <cell r="AA44">
            <v>1.8223574293912883</v>
          </cell>
          <cell r="AB44">
            <v>0.97858673828399723</v>
          </cell>
          <cell r="AC44">
            <v>0.79396091790583789</v>
          </cell>
          <cell r="AD44">
            <v>1.3694928782464861</v>
          </cell>
          <cell r="AE44">
            <v>1.1662647895382465</v>
          </cell>
          <cell r="AF44">
            <v>1.6786256041814818</v>
          </cell>
          <cell r="AG44">
            <v>1.9599833614780426</v>
          </cell>
          <cell r="AH44">
            <v>1.8345727760919195</v>
          </cell>
          <cell r="AI44">
            <v>1.6495548434206124</v>
          </cell>
          <cell r="AJ44">
            <v>3.4877352000587174</v>
          </cell>
          <cell r="AK44">
            <v>3.1175102591521862</v>
          </cell>
          <cell r="AL44">
            <v>2.7241625407476149</v>
          </cell>
          <cell r="AM44">
            <v>3.1977601658115278</v>
          </cell>
          <cell r="AN44">
            <v>3.1418431591399307</v>
          </cell>
          <cell r="AO44">
            <v>4.7685319925846894</v>
          </cell>
          <cell r="AP44">
            <v>4.9049322620069464</v>
          </cell>
          <cell r="AQ44">
            <v>5.2362080523932102</v>
          </cell>
          <cell r="AR44">
            <v>5.1434792837237193</v>
          </cell>
          <cell r="AS44">
            <v>5.0035255066224984</v>
          </cell>
          <cell r="AT44">
            <v>3.8796681443818906</v>
          </cell>
          <cell r="AU44">
            <v>4.5088397421897772</v>
          </cell>
          <cell r="AV44">
            <v>4.7338450585413829</v>
          </cell>
          <cell r="AW44">
            <v>4.6213269234889767</v>
          </cell>
          <cell r="AX44">
            <v>4.428373866377675</v>
          </cell>
          <cell r="AY44">
            <v>4.1774278657665844</v>
          </cell>
          <cell r="AZ44">
            <v>4.5710729368436764</v>
          </cell>
          <cell r="BA44">
            <v>4.6624946080337191</v>
          </cell>
          <cell r="BB44">
            <v>4.6881683109039889</v>
          </cell>
          <cell r="BC44">
            <v>4.5183088149206618</v>
          </cell>
          <cell r="BD44">
            <v>4.1278873134607883</v>
          </cell>
          <cell r="BE44">
            <v>4.216352378652978</v>
          </cell>
          <cell r="BF44">
            <v>4.568814386318536</v>
          </cell>
          <cell r="BG44">
            <v>4.4271504367724459</v>
          </cell>
          <cell r="BH44">
            <v>4.3309600077371178</v>
          </cell>
          <cell r="BI44">
            <v>4.4145461546733431</v>
          </cell>
          <cell r="BJ44">
            <v>4.591139256755465</v>
          </cell>
          <cell r="BK44">
            <v>4.8829203753779362</v>
          </cell>
          <cell r="BL44">
            <v>4.7315170293005524</v>
          </cell>
          <cell r="BM44">
            <v>4.6490439035345776</v>
          </cell>
          <cell r="BN44">
            <v>4.9603445883420481</v>
          </cell>
          <cell r="BO44">
            <v>5.4888709507103286</v>
          </cell>
          <cell r="BP44">
            <v>5.7352898093254874</v>
          </cell>
          <cell r="BQ44">
            <v>5.5574572826609128</v>
          </cell>
          <cell r="BR44">
            <v>5.4330404420846516</v>
          </cell>
          <cell r="BS44">
            <v>5.1091549259923097</v>
          </cell>
          <cell r="BT44">
            <v>5.6535370792316391</v>
          </cell>
          <cell r="BU44">
            <v>5.9073485036052524</v>
          </cell>
          <cell r="BV44">
            <v>5.7241810011407397</v>
          </cell>
          <cell r="BW44">
            <v>5.5884574169551327</v>
          </cell>
          <cell r="BX44">
            <v>5.2368837991421167</v>
          </cell>
          <cell r="BY44">
            <v>5.7948755062124278</v>
          </cell>
          <cell r="BZ44">
            <v>6.0550322161953822</v>
          </cell>
          <cell r="CA44">
            <v>5.8672855261692574</v>
          </cell>
          <cell r="CB44">
            <v>5.7341525966021711</v>
          </cell>
        </row>
        <row r="45">
          <cell r="B45" t="str">
            <v>Mail - generics - core</v>
          </cell>
          <cell r="P45">
            <v>157.40599999999981</v>
          </cell>
          <cell r="Q45">
            <v>199.37999999999957</v>
          </cell>
          <cell r="R45">
            <v>216.23999999999981</v>
          </cell>
          <cell r="S45">
            <v>221.57999999999942</v>
          </cell>
          <cell r="T45">
            <v>9.6007086987038139</v>
          </cell>
          <cell r="U45">
            <v>10.660176293695196</v>
          </cell>
          <cell r="V45">
            <v>10.84011918650155</v>
          </cell>
          <cell r="W45">
            <v>10.163366852653059</v>
          </cell>
          <cell r="X45">
            <v>10.824651682455164</v>
          </cell>
          <cell r="Y45">
            <v>10.619660019034768</v>
          </cell>
          <cell r="Z45">
            <v>9.9155969430522948</v>
          </cell>
          <cell r="AA45">
            <v>9.9989270697404677</v>
          </cell>
          <cell r="AB45">
            <v>10.275552658679015</v>
          </cell>
          <cell r="AC45">
            <v>10.248704392658452</v>
          </cell>
          <cell r="AD45">
            <v>10.116621831573887</v>
          </cell>
          <cell r="AE45">
            <v>9.9761142488716956</v>
          </cell>
          <cell r="AF45">
            <v>9.5744182672839173</v>
          </cell>
          <cell r="AG45">
            <v>9.2537845402861034</v>
          </cell>
          <cell r="AH45">
            <v>11.505295607829474</v>
          </cell>
          <cell r="AI45">
            <v>10.103703028691166</v>
          </cell>
          <cell r="AJ45">
            <v>11.078047834890507</v>
          </cell>
          <cell r="AK45">
            <v>8.8717135404760015</v>
          </cell>
          <cell r="AL45">
            <v>9.7589767915239847</v>
          </cell>
          <cell r="AM45">
            <v>10.755979881763386</v>
          </cell>
          <cell r="AN45">
            <v>10.1158205159124</v>
          </cell>
          <cell r="AO45">
            <v>9.7454464752044192</v>
          </cell>
          <cell r="AP45">
            <v>10.00922027684109</v>
          </cell>
          <cell r="AQ45">
            <v>9.7931169924053076</v>
          </cell>
          <cell r="AR45">
            <v>10.477500642892871</v>
          </cell>
          <cell r="AS45">
            <v>10.010615104054651</v>
          </cell>
          <cell r="AT45">
            <v>9.1447346093329358</v>
          </cell>
          <cell r="AU45">
            <v>10.385701807574083</v>
          </cell>
          <cell r="AV45">
            <v>10.718507677858625</v>
          </cell>
          <cell r="AW45">
            <v>10.553480337779268</v>
          </cell>
          <cell r="AX45">
            <v>10.20507170017444</v>
          </cell>
          <cell r="AY45">
            <v>8.7179529437032173</v>
          </cell>
          <cell r="AZ45">
            <v>8.9904620477348232</v>
          </cell>
          <cell r="BA45">
            <v>9.9891799724072179</v>
          </cell>
          <cell r="BB45">
            <v>9.8355231793879874</v>
          </cell>
          <cell r="BC45">
            <v>9.3977903009687438</v>
          </cell>
          <cell r="BD45">
            <v>8.1922063927464386</v>
          </cell>
          <cell r="BE45">
            <v>8.8354503379848257</v>
          </cell>
          <cell r="BF45">
            <v>9.1241119750056363</v>
          </cell>
          <cell r="BG45">
            <v>9.4077250708635436</v>
          </cell>
          <cell r="BH45">
            <v>8.9071363188880444</v>
          </cell>
          <cell r="BI45">
            <v>8.6095471822867555</v>
          </cell>
          <cell r="BJ45">
            <v>9.2079132556543541</v>
          </cell>
          <cell r="BK45">
            <v>9.5542053082979894</v>
          </cell>
          <cell r="BL45">
            <v>9.9120787310955123</v>
          </cell>
          <cell r="BM45">
            <v>9.3504789680005267</v>
          </cell>
          <cell r="BN45">
            <v>8.6095471822867573</v>
          </cell>
          <cell r="BO45">
            <v>9.2079132556543524</v>
          </cell>
          <cell r="BP45">
            <v>9.5542053082979894</v>
          </cell>
          <cell r="BQ45">
            <v>9.9120787310955123</v>
          </cell>
          <cell r="BR45">
            <v>9.3220790375271765</v>
          </cell>
          <cell r="BS45">
            <v>8.6120037876678879</v>
          </cell>
          <cell r="BT45">
            <v>9.2163470283586193</v>
          </cell>
          <cell r="BU45">
            <v>9.5682792934596534</v>
          </cell>
          <cell r="BV45">
            <v>9.9259261006311501</v>
          </cell>
          <cell r="BW45">
            <v>9.3384889270441462</v>
          </cell>
          <cell r="BX45">
            <v>8.3061651126807394</v>
          </cell>
          <cell r="BY45">
            <v>8.90414016807126</v>
          </cell>
          <cell r="BZ45">
            <v>9.2579791888028815</v>
          </cell>
          <cell r="CA45">
            <v>9.6020703241404028</v>
          </cell>
          <cell r="CB45">
            <v>9.0185704954567285</v>
          </cell>
        </row>
        <row r="46">
          <cell r="B46" t="str">
            <v>Mail - brand - core</v>
          </cell>
          <cell r="P46">
            <v>1.7764450051446487E-2</v>
          </cell>
          <cell r="Q46">
            <v>1.4457008389111776E-2</v>
          </cell>
          <cell r="R46">
            <v>1.3789315175838472E-2</v>
          </cell>
          <cell r="S46">
            <v>1.3927079870995925E-2</v>
          </cell>
          <cell r="T46">
            <v>0.32874558837446355</v>
          </cell>
          <cell r="U46">
            <v>0.34576002295611197</v>
          </cell>
          <cell r="V46">
            <v>0.35021259444223563</v>
          </cell>
          <cell r="W46">
            <v>0.36237056076816565</v>
          </cell>
          <cell r="X46">
            <v>0.36414213711686971</v>
          </cell>
          <cell r="Y46">
            <v>0.35562959037473046</v>
          </cell>
          <cell r="Z46">
            <v>0.36732274159714495</v>
          </cell>
          <cell r="AA46">
            <v>0.3775308702872458</v>
          </cell>
          <cell r="AB46">
            <v>0.38887331173748152</v>
          </cell>
          <cell r="AC46">
            <v>0.4024065255602649</v>
          </cell>
          <cell r="AD46">
            <v>0.38452280808359474</v>
          </cell>
          <cell r="AE46">
            <v>0.36595074774471725</v>
          </cell>
          <cell r="AF46">
            <v>0.36599740450665363</v>
          </cell>
          <cell r="AG46">
            <v>0.38090627329118193</v>
          </cell>
          <cell r="AH46">
            <v>0.3796872337584441</v>
          </cell>
          <cell r="AI46">
            <v>0.37291564817345713</v>
          </cell>
          <cell r="AJ46">
            <v>0.17017886149047826</v>
          </cell>
          <cell r="AK46">
            <v>0.17577168404482585</v>
          </cell>
          <cell r="AL46">
            <v>0.18120420771917337</v>
          </cell>
          <cell r="AM46">
            <v>0.18609131220889713</v>
          </cell>
          <cell r="AN46">
            <v>0.17826850939188446</v>
          </cell>
          <cell r="AO46">
            <v>0.20963217088765126</v>
          </cell>
          <cell r="AP46">
            <v>0.21796129945258461</v>
          </cell>
          <cell r="AQ46">
            <v>0.22063565769039362</v>
          </cell>
          <cell r="AR46">
            <v>0.22672266393126811</v>
          </cell>
          <cell r="AS46">
            <v>0.21859941936350288</v>
          </cell>
          <cell r="AT46">
            <v>0.2279920978777249</v>
          </cell>
          <cell r="AU46">
            <v>0.2313857020447796</v>
          </cell>
          <cell r="AV46">
            <v>0.23662108587803896</v>
          </cell>
          <cell r="AW46">
            <v>0.23866134974055939</v>
          </cell>
          <cell r="AX46">
            <v>0.23361871020177646</v>
          </cell>
          <cell r="AY46">
            <v>0.24343445218539922</v>
          </cell>
          <cell r="AZ46">
            <v>0.18910848734912003</v>
          </cell>
          <cell r="BA46">
            <v>0.33065658290534738</v>
          </cell>
          <cell r="BB46">
            <v>0.3321431813673742</v>
          </cell>
          <cell r="BC46">
            <v>0.27220415517527852</v>
          </cell>
          <cell r="BD46">
            <v>0.20406692832586637</v>
          </cell>
          <cell r="BE46">
            <v>0.20997301656885556</v>
          </cell>
          <cell r="BF46">
            <v>0.28616704964281298</v>
          </cell>
          <cell r="BG46">
            <v>0.29355262120755526</v>
          </cell>
          <cell r="BH46">
            <v>0.24840334766040481</v>
          </cell>
          <cell r="BI46">
            <v>0.35711712457026612</v>
          </cell>
          <cell r="BJ46">
            <v>0.36745277899549722</v>
          </cell>
          <cell r="BK46">
            <v>0.37559425265619206</v>
          </cell>
          <cell r="BL46">
            <v>0.38528781533491624</v>
          </cell>
          <cell r="BM46">
            <v>0.37052343940075089</v>
          </cell>
          <cell r="BN46">
            <v>0.36783063830737411</v>
          </cell>
          <cell r="BO46">
            <v>0.37847636236536214</v>
          </cell>
          <cell r="BP46">
            <v>0.38686208023587793</v>
          </cell>
          <cell r="BQ46">
            <v>0.39684644979496375</v>
          </cell>
          <cell r="BR46">
            <v>0.38222072973607341</v>
          </cell>
          <cell r="BS46">
            <v>0.37886555745659539</v>
          </cell>
          <cell r="BT46">
            <v>0.38983065323632304</v>
          </cell>
          <cell r="BU46">
            <v>0.39846794264295421</v>
          </cell>
          <cell r="BV46">
            <v>0.40875184328881264</v>
          </cell>
          <cell r="BW46">
            <v>0.39289263601437135</v>
          </cell>
          <cell r="BX46">
            <v>0.38833719639301018</v>
          </cell>
          <cell r="BY46">
            <v>0.39957641956723106</v>
          </cell>
          <cell r="BZ46">
            <v>0.40842964120902803</v>
          </cell>
          <cell r="CA46">
            <v>0.41897063937103296</v>
          </cell>
          <cell r="CB46">
            <v>0.40339577485065825</v>
          </cell>
        </row>
        <row r="47">
          <cell r="B47" t="str">
            <v xml:space="preserve">Specialty </v>
          </cell>
          <cell r="P47">
            <v>0</v>
          </cell>
          <cell r="Q47">
            <v>0</v>
          </cell>
          <cell r="R47">
            <v>0</v>
          </cell>
          <cell r="S47">
            <v>0</v>
          </cell>
          <cell r="T47">
            <v>12.25</v>
          </cell>
          <cell r="U47">
            <v>18.375</v>
          </cell>
          <cell r="V47">
            <v>18.375</v>
          </cell>
          <cell r="W47">
            <v>18.375</v>
          </cell>
          <cell r="X47">
            <v>18.375</v>
          </cell>
          <cell r="Y47">
            <v>18.375</v>
          </cell>
          <cell r="Z47">
            <v>30.625</v>
          </cell>
          <cell r="AA47">
            <v>30.625</v>
          </cell>
          <cell r="AB47">
            <v>66.596929370504199</v>
          </cell>
          <cell r="AC47">
            <v>92.188154439823734</v>
          </cell>
          <cell r="AD47">
            <v>61.781998576702946</v>
          </cell>
          <cell r="AE47">
            <v>105.83149281878434</v>
          </cell>
          <cell r="AF47">
            <v>116.57084557414686</v>
          </cell>
          <cell r="AG47">
            <v>102.59301642857145</v>
          </cell>
          <cell r="AH47">
            <v>113.12606958293908</v>
          </cell>
          <cell r="AI47">
            <v>109.47481685055092</v>
          </cell>
          <cell r="AJ47">
            <v>121.66194040146246</v>
          </cell>
          <cell r="AK47">
            <v>120.83685777361505</v>
          </cell>
          <cell r="AL47">
            <v>118.42400408052134</v>
          </cell>
          <cell r="AM47">
            <v>121.0758282884893</v>
          </cell>
          <cell r="AN47">
            <v>120.49922186447884</v>
          </cell>
          <cell r="AO47">
            <v>130.06877813762284</v>
          </cell>
          <cell r="AP47">
            <v>134.9509411549524</v>
          </cell>
          <cell r="AQ47">
            <v>137.20985035297952</v>
          </cell>
          <cell r="AR47">
            <v>133.61629655395382</v>
          </cell>
          <cell r="AS47">
            <v>134.01529759157776</v>
          </cell>
          <cell r="AT47">
            <v>145.97001249015878</v>
          </cell>
          <cell r="AU47">
            <v>138.79329567989262</v>
          </cell>
          <cell r="AV47">
            <v>139.01992816639591</v>
          </cell>
          <cell r="AW47">
            <v>130.80483532373304</v>
          </cell>
          <cell r="AX47">
            <v>138.51290279243989</v>
          </cell>
          <cell r="AY47">
            <v>147.46135412743277</v>
          </cell>
          <cell r="AZ47">
            <v>146.79920449413837</v>
          </cell>
          <cell r="BA47">
            <v>141.84026819777966</v>
          </cell>
          <cell r="BB47">
            <v>137.05352069028319</v>
          </cell>
          <cell r="BC47">
            <v>143.15768780622594</v>
          </cell>
          <cell r="BD47">
            <v>151.82560304886317</v>
          </cell>
          <cell r="BE47">
            <v>155.17939442055965</v>
          </cell>
          <cell r="BF47">
            <v>156.37278109190149</v>
          </cell>
          <cell r="BG47">
            <v>166.16331676873116</v>
          </cell>
          <cell r="BH47">
            <v>157.54092485109743</v>
          </cell>
          <cell r="BI47">
            <v>166.07453384700094</v>
          </cell>
          <cell r="BJ47">
            <v>166.07453384700096</v>
          </cell>
          <cell r="BK47">
            <v>166.07453384700096</v>
          </cell>
          <cell r="BL47">
            <v>166.07453384700096</v>
          </cell>
          <cell r="BM47">
            <v>166.07453384700096</v>
          </cell>
          <cell r="BN47">
            <v>172.83775080078289</v>
          </cell>
          <cell r="BO47">
            <v>172.83775080078289</v>
          </cell>
          <cell r="BP47">
            <v>172.83775080078289</v>
          </cell>
          <cell r="BQ47">
            <v>172.83775080078289</v>
          </cell>
          <cell r="BR47">
            <v>172.83775080078291</v>
          </cell>
          <cell r="BS47">
            <v>177.65901437575209</v>
          </cell>
          <cell r="BT47">
            <v>177.65901437575209</v>
          </cell>
          <cell r="BU47">
            <v>177.65901437575209</v>
          </cell>
          <cell r="BV47">
            <v>177.65901437575209</v>
          </cell>
          <cell r="BW47">
            <v>177.65901437575209</v>
          </cell>
          <cell r="BX47">
            <v>186.25541829715942</v>
          </cell>
          <cell r="BY47">
            <v>186.25541829715948</v>
          </cell>
          <cell r="BZ47">
            <v>186.25541829715948</v>
          </cell>
          <cell r="CA47">
            <v>186.25541829715948</v>
          </cell>
          <cell r="CB47">
            <v>186.25541829715948</v>
          </cell>
        </row>
      </sheetData>
      <sheetData sheetId="6" refreshError="1">
        <row r="1">
          <cell r="B1" t="str">
            <v>Cover Page</v>
          </cell>
        </row>
        <row r="2">
          <cell r="B2" t="str">
            <v>MHS</v>
          </cell>
        </row>
        <row r="4">
          <cell r="D4" t="str">
            <v>CY08</v>
          </cell>
          <cell r="I4" t="str">
            <v>CY09</v>
          </cell>
          <cell r="P4" t="str">
            <v>CY10</v>
          </cell>
          <cell r="W4" t="str">
            <v>CY11</v>
          </cell>
        </row>
        <row r="5">
          <cell r="B5" t="str">
            <v>Guidance</v>
          </cell>
          <cell r="D5" t="str">
            <v>On 4Q07 CC</v>
          </cell>
          <cell r="E5" t="str">
            <v>On 1Q08 CC</v>
          </cell>
          <cell r="F5" t="str">
            <v>On 2Q08 CC</v>
          </cell>
          <cell r="G5" t="str">
            <v>On 3Q08 CC</v>
          </cell>
          <cell r="I5" t="str">
            <v>On 3Q08 CC</v>
          </cell>
          <cell r="J5" t="str">
            <v>On 4Q08 CC</v>
          </cell>
          <cell r="K5" t="str">
            <v>On 1Q09 CC</v>
          </cell>
          <cell r="L5" t="str">
            <v>On 2Q09 CC</v>
          </cell>
          <cell r="M5" t="str">
            <v>On 3Q09 CC</v>
          </cell>
          <cell r="O5" t="str">
            <v>On 2Q09 CC</v>
          </cell>
          <cell r="P5" t="str">
            <v>On 3Q09 CC</v>
          </cell>
          <cell r="Q5" t="str">
            <v>On 4Q09 CC</v>
          </cell>
          <cell r="R5" t="str">
            <v>On 1Q10 CC</v>
          </cell>
          <cell r="S5" t="str">
            <v>On 2Q10 CC</v>
          </cell>
          <cell r="T5" t="str">
            <v>On 3Q10 CC</v>
          </cell>
          <cell r="U5" t="str">
            <v>MS Estimate</v>
          </cell>
          <cell r="W5" t="str">
            <v>On 3Q10 CC</v>
          </cell>
          <cell r="X5" t="str">
            <v>On 4Q10 CC</v>
          </cell>
          <cell r="Y5" t="str">
            <v>On 1Q11 CC</v>
          </cell>
          <cell r="Z5" t="str">
            <v>On 3Q11 CC</v>
          </cell>
          <cell r="AA5" t="str">
            <v>MS Estimate</v>
          </cell>
        </row>
        <row r="6">
          <cell r="B6" t="str">
            <v xml:space="preserve">Revenue </v>
          </cell>
          <cell r="Q6" t="str">
            <v>Increase</v>
          </cell>
          <cell r="U6">
            <v>0.10307118384463987</v>
          </cell>
          <cell r="AA6">
            <v>6.2073659509704893E-2</v>
          </cell>
        </row>
        <row r="7">
          <cell r="B7" t="str">
            <v xml:space="preserve">EPS </v>
          </cell>
          <cell r="G7" t="str">
            <v>$2.10 - $2.13</v>
          </cell>
          <cell r="I7" t="str">
            <v>$2.45 - $2.55</v>
          </cell>
          <cell r="J7" t="str">
            <v>$2.45 - $2.55</v>
          </cell>
          <cell r="K7" t="str">
            <v>$2.45 - $2.55</v>
          </cell>
          <cell r="L7" t="str">
            <v>$2.54 - $2.59</v>
          </cell>
          <cell r="M7" t="str">
            <v>$2.58 - $2.60</v>
          </cell>
          <cell r="P7" t="str">
            <v>$3.05–$3.15</v>
          </cell>
          <cell r="Q7" t="str">
            <v>$3.05–$3.15</v>
          </cell>
          <cell r="S7" t="str">
            <v>$3.10–$3.15</v>
          </cell>
          <cell r="T7">
            <v>3.14</v>
          </cell>
          <cell r="U7">
            <v>3.1588381742738592</v>
          </cell>
          <cell r="W7" t="str">
            <v>$3.53–$3.66</v>
          </cell>
          <cell r="X7" t="str">
            <v>$3.53–$3.66</v>
          </cell>
          <cell r="Y7" t="str">
            <v>$3.59-$3.69</v>
          </cell>
          <cell r="Z7" t="str">
            <v>$3.59-$3.69</v>
          </cell>
          <cell r="AA7">
            <v>3.7421841009385299</v>
          </cell>
        </row>
        <row r="8">
          <cell r="B8" t="str">
            <v>Non-GAAP EPS</v>
          </cell>
          <cell r="G8" t="str">
            <v>$2.30 - $2.33</v>
          </cell>
          <cell r="I8" t="str">
            <v>$2.67 - $2.77</v>
          </cell>
          <cell r="J8" t="str">
            <v>$2.67 - $2.77</v>
          </cell>
          <cell r="K8" t="str">
            <v>$2.67 - $2.77</v>
          </cell>
          <cell r="L8" t="str">
            <v>$2.76 - $2.81</v>
          </cell>
          <cell r="M8" t="str">
            <v>$2.80 - $2.82</v>
          </cell>
          <cell r="P8" t="str">
            <v>$3.28–$3.38</v>
          </cell>
          <cell r="Q8" t="str">
            <v>$3.28–$3.38</v>
          </cell>
          <cell r="S8" t="str">
            <v>$3.34–$3.39</v>
          </cell>
          <cell r="U8">
            <v>3.5541577593360998</v>
          </cell>
          <cell r="W8" t="str">
            <v>$3.99-$4.12</v>
          </cell>
          <cell r="X8" t="str">
            <v>$3.99-$4.12</v>
          </cell>
          <cell r="Y8" t="str">
            <v>$4.02-$4.12</v>
          </cell>
          <cell r="Z8" t="str">
            <v>$4.08-$4.12</v>
          </cell>
          <cell r="AA8">
            <v>4.1789101500357919</v>
          </cell>
        </row>
        <row r="9">
          <cell r="B9" t="str">
            <v>Net interest expense</v>
          </cell>
          <cell r="I9" t="str">
            <v>$220-230M</v>
          </cell>
          <cell r="K9" t="str">
            <v>$170 - $190</v>
          </cell>
          <cell r="L9">
            <v>170</v>
          </cell>
          <cell r="M9" t="str">
            <v>$165 - $170M</v>
          </cell>
          <cell r="P9" t="str">
            <v>$170 - $180M</v>
          </cell>
          <cell r="Q9" t="str">
            <v>$170M</v>
          </cell>
          <cell r="S9" t="str">
            <v>$160M</v>
          </cell>
          <cell r="U9">
            <v>163</v>
          </cell>
          <cell r="W9" t="str">
            <v>$225 - $240M</v>
          </cell>
          <cell r="X9" t="str">
            <v>$225 - $240M</v>
          </cell>
          <cell r="Y9" t="str">
            <v>$225 - $240M</v>
          </cell>
          <cell r="AA9">
            <v>209.7</v>
          </cell>
        </row>
        <row r="10">
          <cell r="B10" t="str">
            <v>Intangible amortization</v>
          </cell>
          <cell r="M10" t="str">
            <v>$305 - $310M</v>
          </cell>
          <cell r="P10" t="str">
            <v>$280 - $290M</v>
          </cell>
          <cell r="Q10" t="str">
            <v>$280 - $290M</v>
          </cell>
          <cell r="S10" t="str">
            <v>$280 - $290M</v>
          </cell>
          <cell r="U10">
            <v>287.39999999999998</v>
          </cell>
          <cell r="W10" t="str">
            <v>$300 - $320M</v>
          </cell>
          <cell r="X10" t="str">
            <v>$300 - $320M</v>
          </cell>
          <cell r="Y10" t="str">
            <v>$280 - $300M</v>
          </cell>
          <cell r="AA10">
            <v>292</v>
          </cell>
        </row>
        <row r="11">
          <cell r="B11" t="str">
            <v>Share Outstanding</v>
          </cell>
          <cell r="I11" t="str">
            <v>485-500M</v>
          </cell>
          <cell r="L11" t="str">
            <v>490M</v>
          </cell>
          <cell r="M11" t="str">
            <v>~490M</v>
          </cell>
          <cell r="P11" t="str">
            <v>465M-480M</v>
          </cell>
          <cell r="Q11" t="str">
            <v>465M-480M</v>
          </cell>
          <cell r="U11">
            <v>451.87500000000006</v>
          </cell>
          <cell r="W11" t="str">
            <v>395M-410M</v>
          </cell>
          <cell r="X11" t="str">
            <v>395M-410M</v>
          </cell>
          <cell r="Y11" t="str">
            <v>395M-410M</v>
          </cell>
          <cell r="AA11">
            <v>402.22499999999997</v>
          </cell>
        </row>
        <row r="12">
          <cell r="B12" t="str">
            <v>Specialty revenue</v>
          </cell>
          <cell r="I12" t="str">
            <v>$9B</v>
          </cell>
          <cell r="K12" t="str">
            <v>$9.2 B</v>
          </cell>
          <cell r="L12" t="str">
            <v>$9.3B</v>
          </cell>
          <cell r="M12" t="str">
            <v>~$9.5B</v>
          </cell>
          <cell r="P12" t="str">
            <v>&gt;$11B</v>
          </cell>
          <cell r="Q12" t="str">
            <v>&gt;$11B (11%)</v>
          </cell>
          <cell r="U12">
            <v>11.349300000000001</v>
          </cell>
          <cell r="W12" t="str">
            <v>$13 B</v>
          </cell>
          <cell r="X12" t="str">
            <v>$13 B</v>
          </cell>
          <cell r="Y12" t="str">
            <v>$13 B</v>
          </cell>
          <cell r="AA12">
            <v>13.4445</v>
          </cell>
        </row>
        <row r="13">
          <cell r="B13" t="str">
            <v>Specialty Operating Income</v>
          </cell>
          <cell r="I13" t="str">
            <v>$300+M</v>
          </cell>
          <cell r="K13">
            <v>325</v>
          </cell>
          <cell r="L13" t="str">
            <v>$350M</v>
          </cell>
          <cell r="M13" t="str">
            <v>~$355M</v>
          </cell>
          <cell r="P13" t="str">
            <v>&gt;$450M</v>
          </cell>
          <cell r="Q13" t="str">
            <v>$450M (26%)</v>
          </cell>
          <cell r="U13">
            <v>438.00000000000034</v>
          </cell>
          <cell r="W13" t="str">
            <v>Approach $500 M</v>
          </cell>
          <cell r="X13" t="str">
            <v>Approach $500 M</v>
          </cell>
          <cell r="Y13" t="str">
            <v>Approach $500 M</v>
          </cell>
          <cell r="AA13">
            <v>560.60000000000025</v>
          </cell>
        </row>
        <row r="14">
          <cell r="B14" t="str">
            <v>CAPEX</v>
          </cell>
          <cell r="G14">
            <v>285</v>
          </cell>
          <cell r="I14" t="str">
            <v>$225M</v>
          </cell>
          <cell r="J14" t="str">
            <v>$225M</v>
          </cell>
          <cell r="K14" t="str">
            <v>$225M</v>
          </cell>
          <cell r="L14" t="str">
            <v>$235M</v>
          </cell>
          <cell r="M14" t="str">
            <v>~$235M</v>
          </cell>
          <cell r="P14" t="str">
            <v>$215M</v>
          </cell>
          <cell r="Q14" t="str">
            <v>$225M</v>
          </cell>
          <cell r="R14" t="str">
            <v>$245M</v>
          </cell>
          <cell r="S14" t="str">
            <v>~$245 million</v>
          </cell>
          <cell r="U14">
            <v>-250.1</v>
          </cell>
          <cell r="W14" t="str">
            <v>~$325 M</v>
          </cell>
          <cell r="X14" t="str">
            <v>~$325 M</v>
          </cell>
          <cell r="Y14" t="str">
            <v>~$325 M</v>
          </cell>
          <cell r="AA14">
            <v>-324.60000000000002</v>
          </cell>
        </row>
        <row r="15">
          <cell r="B15" t="str">
            <v>CFO</v>
          </cell>
          <cell r="I15" t="str">
            <v>$2B</v>
          </cell>
          <cell r="K15" t="str">
            <v>&gt;$2.5B</v>
          </cell>
          <cell r="L15" t="str">
            <v>&gt;$3B</v>
          </cell>
          <cell r="M15" t="str">
            <v>~$3.2B</v>
          </cell>
          <cell r="P15" t="str">
            <v>$2.3B</v>
          </cell>
          <cell r="Q15" t="str">
            <v>~$2.3 billion</v>
          </cell>
          <cell r="S15" t="str">
            <v>$2.4 billion</v>
          </cell>
          <cell r="U15">
            <v>2.3447000000000005</v>
          </cell>
          <cell r="W15" t="str">
            <v>$1.9-$2.1 B</v>
          </cell>
          <cell r="X15" t="str">
            <v>$1.9-$2.1 B</v>
          </cell>
          <cell r="Y15" t="str">
            <v>$1.9-$2.1 B</v>
          </cell>
          <cell r="AA15">
            <v>1.2824000000000004</v>
          </cell>
        </row>
        <row r="16">
          <cell r="B16" t="str">
            <v>Mail Order Volume</v>
          </cell>
          <cell r="I16" t="str">
            <v>105-107</v>
          </cell>
          <cell r="J16" t="str">
            <v>105-108</v>
          </cell>
          <cell r="K16" t="str">
            <v>105-107</v>
          </cell>
          <cell r="L16" t="str">
            <v>103M</v>
          </cell>
          <cell r="M16" t="str">
            <v>~103M</v>
          </cell>
          <cell r="P16" t="str">
            <v>107-109M</v>
          </cell>
          <cell r="Q16" t="str">
            <v>107-109M</v>
          </cell>
          <cell r="S16" t="str">
            <v>107-109M</v>
          </cell>
          <cell r="U16">
            <v>109.9</v>
          </cell>
          <cell r="W16" t="str">
            <v>107-109M</v>
          </cell>
          <cell r="X16" t="str">
            <v>107-109M</v>
          </cell>
          <cell r="Y16" t="str">
            <v>108-110M</v>
          </cell>
          <cell r="Z16" t="str">
            <v>112M</v>
          </cell>
          <cell r="AA16">
            <v>113.19999999999999</v>
          </cell>
        </row>
        <row r="17">
          <cell r="B17" t="str">
            <v>Mail Penetration</v>
          </cell>
          <cell r="K17">
            <v>0.34</v>
          </cell>
          <cell r="L17">
            <v>0.34399999999999997</v>
          </cell>
          <cell r="M17" t="str">
            <v>~34.5%</v>
          </cell>
          <cell r="Q17" t="str">
            <v>Up slightly from 34.2%</v>
          </cell>
          <cell r="U17">
            <v>0.34142757231939258</v>
          </cell>
          <cell r="AA17">
            <v>0.3425779219206343</v>
          </cell>
        </row>
        <row r="18">
          <cell r="B18" t="str">
            <v>Generic Introductions</v>
          </cell>
          <cell r="I18" t="str">
            <v>11¢ Eps</v>
          </cell>
          <cell r="J18" t="str">
            <v>11¢ Eps</v>
          </cell>
          <cell r="K18" t="str">
            <v>11¢ Eps</v>
          </cell>
          <cell r="L18" t="str">
            <v>13¢ EPS</v>
          </cell>
          <cell r="M18" t="str">
            <v>13¢</v>
          </cell>
          <cell r="P18" t="str">
            <v>25¢</v>
          </cell>
          <cell r="Q18" t="str">
            <v>25¢</v>
          </cell>
          <cell r="S18" t="str">
            <v>25¢</v>
          </cell>
          <cell r="U18" t="str">
            <v>25¢</v>
          </cell>
          <cell r="W18" t="str">
            <v>9¢</v>
          </cell>
          <cell r="X18" t="str">
            <v>9¢</v>
          </cell>
          <cell r="Y18" t="str">
            <v>9¢</v>
          </cell>
          <cell r="AA18" t="str">
            <v>9¢</v>
          </cell>
        </row>
        <row r="19">
          <cell r="B19" t="str">
            <v>SG&amp;A</v>
          </cell>
          <cell r="I19">
            <v>1400</v>
          </cell>
          <cell r="K19" t="str">
            <v>$1,400M</v>
          </cell>
          <cell r="L19" t="str">
            <v>$1,400M</v>
          </cell>
          <cell r="M19" t="str">
            <v>$1.45-$1.46B</v>
          </cell>
          <cell r="P19" t="str">
            <v>~$1.5B (3% growth)</v>
          </cell>
          <cell r="Q19" t="str">
            <v>~$1.5B (3-4% growth)</v>
          </cell>
          <cell r="S19" t="str">
            <v>~$1.5B (3-4% growth)</v>
          </cell>
          <cell r="U19">
            <v>1.5505</v>
          </cell>
          <cell r="W19" t="str">
            <v>$1.7 to $1.8 B</v>
          </cell>
          <cell r="X19" t="str">
            <v>$1.7 to $1.75 B</v>
          </cell>
          <cell r="Y19" t="str">
            <v>$1.7 B</v>
          </cell>
          <cell r="AA19">
            <v>1.6668000000000003</v>
          </cell>
        </row>
        <row r="20">
          <cell r="B20" t="str">
            <v>Operating Margins</v>
          </cell>
        </row>
        <row r="21">
          <cell r="B21" t="str">
            <v>Tax rate</v>
          </cell>
          <cell r="G21" t="str">
            <v>38% - 38.5%</v>
          </cell>
          <cell r="I21" t="str">
            <v>38.5% - 39.5%</v>
          </cell>
          <cell r="J21" t="str">
            <v>38.5% - 39.5%</v>
          </cell>
          <cell r="K21" t="str">
            <v>38.5% - 39.5%</v>
          </cell>
          <cell r="L21" t="str">
            <v>39%-39.5%</v>
          </cell>
          <cell r="M21" t="str">
            <v>39%-39.5%</v>
          </cell>
          <cell r="P21" t="str">
            <v>38.5% - 39.5%</v>
          </cell>
          <cell r="Q21" t="str">
            <v>38.5% - 39.5%</v>
          </cell>
          <cell r="S21" t="str">
            <v>~39.0%</v>
          </cell>
          <cell r="U21">
            <v>0.38848427726844309</v>
          </cell>
          <cell r="W21" t="str">
            <v>38.5% - 39.5%</v>
          </cell>
          <cell r="X21" t="str">
            <v>38.5% - 39.5%</v>
          </cell>
          <cell r="Y21">
            <v>0.39</v>
          </cell>
          <cell r="Z21">
            <v>0.38500000000000001</v>
          </cell>
          <cell r="AA21">
            <v>0.38713355048859932</v>
          </cell>
        </row>
        <row r="22">
          <cell r="B22" t="str">
            <v>Gross Margin</v>
          </cell>
          <cell r="K22">
            <v>6.4000000000000001E-2</v>
          </cell>
          <cell r="L22">
            <v>6.6000000000000003E-2</v>
          </cell>
          <cell r="Q22" t="str">
            <v>Increase slighlty over 6.7% in 2009</v>
          </cell>
          <cell r="R22" t="str">
            <v>equal to 6.7%</v>
          </cell>
          <cell r="S22">
            <v>6.7000000000000004E-2</v>
          </cell>
          <cell r="U22">
            <v>6.5714796781489199E-2</v>
          </cell>
          <cell r="W22" t="str">
            <v>At least in-line w/ 2010</v>
          </cell>
          <cell r="X22" t="str">
            <v>At least in-line w/ 2010</v>
          </cell>
          <cell r="Y22" t="str">
            <v>At least in-line w/ 2010</v>
          </cell>
          <cell r="AA22">
            <v>6.6004598698605407E-2</v>
          </cell>
        </row>
        <row r="23">
          <cell r="B23" t="str">
            <v>Annualized New Named Sales</v>
          </cell>
          <cell r="I23" t="str">
            <v>$6.4B</v>
          </cell>
          <cell r="J23" t="str">
            <v>$8B</v>
          </cell>
          <cell r="K23" t="str">
            <v>$8.6B</v>
          </cell>
          <cell r="L23" t="str">
            <v>$10.1B</v>
          </cell>
          <cell r="O23" t="str">
            <v>$2.8 B</v>
          </cell>
          <cell r="P23" t="str">
            <v>$4.1B</v>
          </cell>
          <cell r="Q23" t="str">
            <v>$4.3B</v>
          </cell>
          <cell r="R23" t="str">
            <v>$4.4B</v>
          </cell>
          <cell r="S23" t="str">
            <v>$5.1 B</v>
          </cell>
          <cell r="W23" t="str">
            <v>$1.7B</v>
          </cell>
          <cell r="X23" t="str">
            <v>$1.7B</v>
          </cell>
          <cell r="Y23" t="str">
            <v>$1.7B</v>
          </cell>
        </row>
        <row r="24">
          <cell r="B24" t="str">
            <v>Net New Name Sales</v>
          </cell>
          <cell r="I24" t="str">
            <v>$4.9B</v>
          </cell>
          <cell r="J24" t="str">
            <v>$6.1B</v>
          </cell>
          <cell r="K24" t="str">
            <v>$7B</v>
          </cell>
          <cell r="L24" t="str">
            <v>$8B</v>
          </cell>
          <cell r="P24" t="str">
            <v>$4.0B</v>
          </cell>
          <cell r="Q24" t="str">
            <v>$4.2B</v>
          </cell>
          <cell r="R24" t="str">
            <v>$4.3B</v>
          </cell>
          <cell r="S24" t="str">
            <v>&gt;$5.0 B</v>
          </cell>
        </row>
        <row r="25">
          <cell r="B25" t="str">
            <v>Annualized New Named Sales</v>
          </cell>
          <cell r="I25" t="str">
            <v>$6.4B</v>
          </cell>
          <cell r="J25" t="str">
            <v>$8B</v>
          </cell>
          <cell r="K25" t="str">
            <v>$8.6B</v>
          </cell>
          <cell r="L25" t="str">
            <v>$10.1B</v>
          </cell>
          <cell r="R25" t="str">
            <v>$500 M</v>
          </cell>
          <cell r="S25" t="str">
            <v>~$1.0 B</v>
          </cell>
        </row>
        <row r="26">
          <cell r="B26" t="str">
            <v>Net New Name Sales</v>
          </cell>
          <cell r="I26" t="str">
            <v>$4.9B</v>
          </cell>
          <cell r="J26" t="str">
            <v>$6.1B</v>
          </cell>
          <cell r="K26" t="str">
            <v>$7B</v>
          </cell>
          <cell r="L26" t="str">
            <v>$8B</v>
          </cell>
          <cell r="R26" t="str">
            <v>$500 M</v>
          </cell>
          <cell r="S26" t="str">
            <v>~$1.0 B</v>
          </cell>
          <cell r="W26" t="str">
            <v>$1.4B</v>
          </cell>
          <cell r="X26" t="str">
            <v>$1.5B</v>
          </cell>
          <cell r="Y26" t="str">
            <v>$1.5B</v>
          </cell>
        </row>
        <row r="27">
          <cell r="B27" t="str">
            <v>ROIC</v>
          </cell>
          <cell r="K27" t="str">
            <v>3% improvement</v>
          </cell>
          <cell r="L27" t="str">
            <v>4% improvement</v>
          </cell>
          <cell r="M27">
            <v>0.25</v>
          </cell>
          <cell r="P27" t="str">
            <v>well over 30%</v>
          </cell>
          <cell r="Q27" t="str">
            <v>well over 30%</v>
          </cell>
          <cell r="S27" t="str">
            <v>~35%</v>
          </cell>
          <cell r="W27" t="str">
            <v>&gt;30%</v>
          </cell>
          <cell r="X27" t="str">
            <v>&gt;30%</v>
          </cell>
          <cell r="Y27" t="str">
            <v>&gt;30%</v>
          </cell>
        </row>
        <row r="28">
          <cell r="B28" t="str">
            <v>EBITDA per adjusted Rx</v>
          </cell>
          <cell r="M28">
            <v>3.09</v>
          </cell>
          <cell r="P28" t="str">
            <v>5%-10% y-o-y growth</v>
          </cell>
          <cell r="Q28" t="str">
            <v>5%-10% y-o-y growth</v>
          </cell>
          <cell r="S28" t="str">
            <v>low single digit % over 2009</v>
          </cell>
          <cell r="U28">
            <v>1.5432986204213517E-2</v>
          </cell>
          <cell r="W28" t="str">
            <v>At least in-line w/ 2010</v>
          </cell>
          <cell r="X28" t="str">
            <v>At least in-line w/ 2010</v>
          </cell>
          <cell r="Y28" t="str">
            <v>At least in-line w/ 2010</v>
          </cell>
          <cell r="AA28">
            <v>3.2352757767596536</v>
          </cell>
        </row>
        <row r="37">
          <cell r="AC37" t="str">
            <v>MHS 2012 Guidance</v>
          </cell>
          <cell r="AD37" t="str">
            <v>Low</v>
          </cell>
          <cell r="AE37" t="str">
            <v>High</v>
          </cell>
        </row>
        <row r="38">
          <cell r="AC38" t="str">
            <v>Revenue  ($ Mils)</v>
          </cell>
          <cell r="AD38">
            <v>56573.759999999995</v>
          </cell>
          <cell r="AE38">
            <v>58931</v>
          </cell>
        </row>
        <row r="39">
          <cell r="AC39" t="str">
            <v>Adj EBITDA</v>
          </cell>
          <cell r="AD39">
            <v>3271.68</v>
          </cell>
          <cell r="AE39">
            <v>3408</v>
          </cell>
        </row>
        <row r="40">
          <cell r="AC40" t="str">
            <v>EBITDA Margin</v>
          </cell>
          <cell r="AD40">
            <v>5.7830343961582195E-2</v>
          </cell>
          <cell r="AE40">
            <v>5.7830343961582188E-2</v>
          </cell>
        </row>
        <row r="42">
          <cell r="AC42" t="str">
            <v>Net Income (GAAP)</v>
          </cell>
          <cell r="AD42">
            <v>1561.0559999999998</v>
          </cell>
          <cell r="AE42">
            <v>1626.1</v>
          </cell>
        </row>
        <row r="43">
          <cell r="AC43" t="str">
            <v>Low end of guidance:</v>
          </cell>
          <cell r="AD43">
            <v>-0.04</v>
          </cell>
        </row>
      </sheetData>
      <sheetData sheetId="7" refreshError="1"/>
      <sheetData sheetId="8" refreshError="1"/>
      <sheetData sheetId="9" refreshError="1"/>
      <sheetData sheetId="10" refreshError="1">
        <row r="28">
          <cell r="C28">
            <v>2</v>
          </cell>
        </row>
      </sheetData>
      <sheetData sheetId="11" refreshError="1">
        <row r="1">
          <cell r="B1" t="str">
            <v>Cover Page</v>
          </cell>
        </row>
        <row r="2">
          <cell r="A2" t="str">
            <v>((TF.PR.ConsolidatedMarketCap(sdate=0D,scale=6,Curn=#1)@TF.PR.MarketCap(sdate=0D,scale=6,Curn=#1))+TF.FN.NetDebt(period=FI0,sdate=0D,scale=6,Curn=#1)+ZAV(TF.FN.PreferredStock(period=FI0,sdate=0D,scale=6,Curn=#1))+ZAV(TF.FN.MinorityInterestBalSht(period=FI</v>
          </cell>
          <cell r="B2" t="str">
            <v>MHS</v>
          </cell>
        </row>
        <row r="3">
          <cell r="B3" t="str">
            <v>Valuation</v>
          </cell>
        </row>
        <row r="4">
          <cell r="B4" t="str">
            <v>Current Price</v>
          </cell>
          <cell r="C4">
            <v>64.049987999999999</v>
          </cell>
        </row>
        <row r="5">
          <cell r="B5" t="str">
            <v>Enterprise Value</v>
          </cell>
          <cell r="C5" t="str">
            <v>Manual Calculation</v>
          </cell>
        </row>
        <row r="6">
          <cell r="B6" t="str">
            <v>1-yr Price Target</v>
          </cell>
          <cell r="C6" t="str">
            <v>NA</v>
          </cell>
        </row>
        <row r="7">
          <cell r="B7" t="str">
            <v>% upside</v>
          </cell>
          <cell r="C7" t="str">
            <v>N/A</v>
          </cell>
        </row>
        <row r="9">
          <cell r="B9" t="str">
            <v>Multiples</v>
          </cell>
          <cell r="C9">
            <v>2009</v>
          </cell>
          <cell r="D9">
            <v>2010</v>
          </cell>
          <cell r="E9">
            <v>2011</v>
          </cell>
          <cell r="F9">
            <v>2012</v>
          </cell>
        </row>
        <row r="10">
          <cell r="B10" t="str">
            <v>EPS (MS estimate)</v>
          </cell>
          <cell r="C10">
            <v>2.9826000000000001</v>
          </cell>
          <cell r="D10">
            <v>3.5541577593360998</v>
          </cell>
          <cell r="E10">
            <v>4.1789101500357919</v>
          </cell>
          <cell r="F10">
            <v>4.4243382875431809</v>
          </cell>
        </row>
        <row r="11">
          <cell r="B11" t="str">
            <v>Y/Y growth rate</v>
          </cell>
          <cell r="D11">
            <v>0.19163071123720909</v>
          </cell>
          <cell r="E11">
            <v>0.175780714589437</v>
          </cell>
          <cell r="F11">
            <v>5.8730178131560784E-2</v>
          </cell>
        </row>
        <row r="12">
          <cell r="B12" t="str">
            <v>P/E</v>
          </cell>
          <cell r="C12">
            <v>21.474548380607523</v>
          </cell>
          <cell r="D12">
            <v>18.021143780619418</v>
          </cell>
          <cell r="E12">
            <v>15.326959829335268</v>
          </cell>
          <cell r="F12">
            <v>14.476738404098555</v>
          </cell>
        </row>
        <row r="13">
          <cell r="B13" t="str">
            <v>Target P/E</v>
          </cell>
          <cell r="C13" t="e">
            <v>#VALUE!</v>
          </cell>
          <cell r="D13" t="e">
            <v>#VALUE!</v>
          </cell>
          <cell r="E13" t="e">
            <v>#VALUE!</v>
          </cell>
          <cell r="F13" t="e">
            <v>#VALUE!</v>
          </cell>
        </row>
        <row r="14">
          <cell r="B14" t="str">
            <v>FCF yield</v>
          </cell>
          <cell r="C14">
            <v>0.10056570572500277</v>
          </cell>
          <cell r="D14">
            <v>7.5048201474647469E-2</v>
          </cell>
          <cell r="E14">
            <v>3.7199125126011069E-2</v>
          </cell>
          <cell r="F14">
            <v>0.10638995110581502</v>
          </cell>
        </row>
        <row r="15">
          <cell r="B15" t="str">
            <v>EV/EBITDA</v>
          </cell>
          <cell r="C15" t="e">
            <v>#VALUE!</v>
          </cell>
          <cell r="D15" t="e">
            <v>#VALUE!</v>
          </cell>
          <cell r="E15" t="e">
            <v>#VALUE!</v>
          </cell>
          <cell r="F15" t="e">
            <v>#VALUE!</v>
          </cell>
        </row>
        <row r="17">
          <cell r="B17" t="str">
            <v>DCF Valuation</v>
          </cell>
          <cell r="C17">
            <v>2009</v>
          </cell>
          <cell r="D17">
            <v>2010</v>
          </cell>
          <cell r="E17">
            <v>2011</v>
          </cell>
          <cell r="F17">
            <v>2012</v>
          </cell>
          <cell r="G17">
            <v>2013</v>
          </cell>
          <cell r="H17">
            <v>2014</v>
          </cell>
          <cell r="I17">
            <v>2015</v>
          </cell>
        </row>
        <row r="18">
          <cell r="B18" t="str">
            <v>EBITDA</v>
          </cell>
          <cell r="C18">
            <v>2750.4</v>
          </cell>
          <cell r="D18">
            <v>2974.1000000000004</v>
          </cell>
          <cell r="E18">
            <v>3170.7</v>
          </cell>
          <cell r="F18">
            <v>3160.6565294986681</v>
          </cell>
          <cell r="G18">
            <v>3180.493707676339</v>
          </cell>
          <cell r="H18">
            <v>3399.6649071537322</v>
          </cell>
          <cell r="I18">
            <v>3563.6715447085626</v>
          </cell>
        </row>
        <row r="19">
          <cell r="B19" t="str">
            <v>Less: Capex</v>
          </cell>
          <cell r="C19">
            <v>-238.8</v>
          </cell>
          <cell r="D19">
            <v>-250.1</v>
          </cell>
          <cell r="E19">
            <v>-324.60000000000002</v>
          </cell>
          <cell r="F19">
            <v>-175</v>
          </cell>
          <cell r="G19">
            <v>-200</v>
          </cell>
          <cell r="H19">
            <v>-200</v>
          </cell>
          <cell r="I19">
            <v>-200</v>
          </cell>
        </row>
        <row r="20">
          <cell r="B20" t="str">
            <v>Less: Increase in NWC</v>
          </cell>
          <cell r="C20">
            <v>1526</v>
          </cell>
          <cell r="D20">
            <v>419.5</v>
          </cell>
          <cell r="E20">
            <v>-850.79999999999927</v>
          </cell>
          <cell r="F20">
            <v>598.56854017595879</v>
          </cell>
          <cell r="G20">
            <v>488.5281721835147</v>
          </cell>
          <cell r="H20">
            <v>-5.2551327048643088</v>
          </cell>
          <cell r="I20">
            <v>-33.068258576699236</v>
          </cell>
        </row>
        <row r="21">
          <cell r="B21" t="str">
            <v>Operating FCF - Pretax</v>
          </cell>
          <cell r="C21">
            <v>4037.6</v>
          </cell>
          <cell r="D21">
            <v>3143.5000000000005</v>
          </cell>
          <cell r="E21">
            <v>1995.3000000000006</v>
          </cell>
          <cell r="F21">
            <v>3584.2250696746269</v>
          </cell>
          <cell r="G21">
            <v>3469.0218798598535</v>
          </cell>
          <cell r="H21">
            <v>3194.4097744488681</v>
          </cell>
          <cell r="I21">
            <v>3330.6032861318636</v>
          </cell>
        </row>
        <row r="22">
          <cell r="B22" t="str">
            <v>Taxes on EBIT</v>
          </cell>
          <cell r="C22">
            <v>-881.39620000000014</v>
          </cell>
          <cell r="D22">
            <v>-971.41080000000011</v>
          </cell>
          <cell r="E22">
            <v>-1036.9573</v>
          </cell>
          <cell r="F22">
            <v>-1026.4373899749819</v>
          </cell>
          <cell r="G22">
            <v>-1034.154052286096</v>
          </cell>
          <cell r="H22">
            <v>-1119.411648882802</v>
          </cell>
          <cell r="I22">
            <v>-1183.2102308916308</v>
          </cell>
        </row>
        <row r="23">
          <cell r="B23" t="str">
            <v>Free Cash Flow</v>
          </cell>
          <cell r="C23">
            <v>3156.2037999999998</v>
          </cell>
          <cell r="D23">
            <v>2172.0892000000003</v>
          </cell>
          <cell r="E23">
            <v>958.3427000000006</v>
          </cell>
          <cell r="F23">
            <v>2557.7876796996452</v>
          </cell>
          <cell r="G23">
            <v>2434.8678275737575</v>
          </cell>
          <cell r="H23">
            <v>2074.9981255660659</v>
          </cell>
          <cell r="I23">
            <v>2147.3930552402326</v>
          </cell>
        </row>
        <row r="24">
          <cell r="B24" t="str">
            <v>PV of FCF</v>
          </cell>
          <cell r="C24">
            <v>3522.1414773573565</v>
          </cell>
          <cell r="D24">
            <v>2252.984699417404</v>
          </cell>
          <cell r="E24">
            <v>923.93251898564654</v>
          </cell>
          <cell r="F24">
            <v>2292.042851248058</v>
          </cell>
          <cell r="G24">
            <v>2028.0210604874699</v>
          </cell>
          <cell r="H24">
            <v>1606.3996688287898</v>
          </cell>
          <cell r="I24">
            <v>1545.205585102831</v>
          </cell>
        </row>
        <row r="26">
          <cell r="B26" t="str">
            <v>Discounted Cash Flow (DCF)</v>
          </cell>
        </row>
        <row r="27">
          <cell r="B27" t="str">
            <v>WACC Applied (%)</v>
          </cell>
          <cell r="D27">
            <v>7.587340525517533E-2</v>
          </cell>
        </row>
        <row r="28">
          <cell r="B28" t="str">
            <v>Intermediate Growth rate (%)</v>
          </cell>
        </row>
        <row r="29">
          <cell r="B29" t="str">
            <v>Terminal Growth Rate (%)</v>
          </cell>
          <cell r="D29">
            <v>0.01</v>
          </cell>
        </row>
        <row r="30">
          <cell r="B30" t="str">
            <v>Discounted Net Cash Flow</v>
          </cell>
          <cell r="D30">
            <v>10648.586384070199</v>
          </cell>
        </row>
        <row r="31">
          <cell r="B31" t="str">
            <v>Terminal Value</v>
          </cell>
          <cell r="D31">
            <v>32924.774078264891</v>
          </cell>
        </row>
        <row r="32">
          <cell r="B32" t="str">
            <v>Discounted Value of Terminal Value</v>
          </cell>
          <cell r="D32">
            <v>25489.34648370287</v>
          </cell>
        </row>
        <row r="33">
          <cell r="B33" t="str">
            <v>Terminal Value as % of total</v>
          </cell>
          <cell r="D33">
            <v>0.70533493370988165</v>
          </cell>
        </row>
        <row r="34">
          <cell r="B34" t="str">
            <v>Firm Value</v>
          </cell>
          <cell r="D34">
            <v>36137.932867773066</v>
          </cell>
        </row>
        <row r="35">
          <cell r="B35" t="str">
            <v>Gross Debt</v>
          </cell>
          <cell r="D35">
            <v>5036.1000000000004</v>
          </cell>
        </row>
        <row r="36">
          <cell r="B36" t="str">
            <v>Cash/Marketable Securities</v>
          </cell>
          <cell r="D36">
            <v>92.4</v>
          </cell>
        </row>
        <row r="37">
          <cell r="B37" t="str">
            <v>Equity Value</v>
          </cell>
          <cell r="D37">
            <v>31194.232867773069</v>
          </cell>
        </row>
        <row r="38">
          <cell r="B38" t="str">
            <v>Shares Outstanding  (millions)</v>
          </cell>
          <cell r="D38">
            <v>391.54067099999997</v>
          </cell>
        </row>
        <row r="39">
          <cell r="B39" t="str">
            <v>Equity Value per Share ($)</v>
          </cell>
          <cell r="D39">
            <v>79.670479156360926</v>
          </cell>
        </row>
        <row r="41">
          <cell r="B41" t="str">
            <v>Time of Valuation</v>
          </cell>
          <cell r="D41">
            <v>2011.5</v>
          </cell>
        </row>
        <row r="42">
          <cell r="B42" t="str">
            <v>Year of Terminal Value</v>
          </cell>
          <cell r="D42">
            <v>2015</v>
          </cell>
        </row>
        <row r="44">
          <cell r="B44" t="str">
            <v>WACC Calculation</v>
          </cell>
        </row>
        <row r="45">
          <cell r="B45" t="str">
            <v>Beta</v>
          </cell>
          <cell r="C45">
            <v>0.78300000000000003</v>
          </cell>
        </row>
        <row r="46">
          <cell r="B46" t="str">
            <v>10-year Bond yield (risk-free rate)</v>
          </cell>
          <cell r="C46">
            <v>3.508E-2</v>
          </cell>
        </row>
        <row r="47">
          <cell r="B47" t="str">
            <v>Equity Risk Premium</v>
          </cell>
          <cell r="C47">
            <v>6.25E-2</v>
          </cell>
        </row>
        <row r="48">
          <cell r="B48" t="str">
            <v>Cost of Equity</v>
          </cell>
          <cell r="C48">
            <v>8.4017499999999995E-2</v>
          </cell>
        </row>
        <row r="50">
          <cell r="B50" t="str">
            <v>Cost of Debt (before tax)</v>
          </cell>
          <cell r="C50">
            <v>7.1249999999999994E-2</v>
          </cell>
        </row>
        <row r="51">
          <cell r="B51" t="str">
            <v>Cost of debt (after tax 39.0%)</v>
          </cell>
          <cell r="C51">
            <v>4.3462499999999994E-2</v>
          </cell>
        </row>
        <row r="53">
          <cell r="B53" t="str">
            <v>Total Equity Market Value</v>
          </cell>
          <cell r="C53">
            <v>0.79918395401739228</v>
          </cell>
        </row>
        <row r="54">
          <cell r="B54" t="str">
            <v>Total Debt</v>
          </cell>
          <cell r="C54">
            <v>0.20081604598260774</v>
          </cell>
        </row>
        <row r="56">
          <cell r="B56" t="str">
            <v>WACC</v>
          </cell>
          <cell r="C56">
            <v>7.587340525517533E-2</v>
          </cell>
        </row>
      </sheetData>
      <sheetData sheetId="12" refreshError="1"/>
      <sheetData sheetId="13" refreshError="1"/>
      <sheetData sheetId="14" refreshError="1">
        <row r="2">
          <cell r="B2" t="str">
            <v>Earnings Snapshot</v>
          </cell>
        </row>
        <row r="3">
          <cell r="C3" t="str">
            <v>4Q11</v>
          </cell>
          <cell r="D3" t="str">
            <v>4Q11</v>
          </cell>
          <cell r="E3" t="str">
            <v>Variance</v>
          </cell>
          <cell r="F3" t="str">
            <v>4Q10</v>
          </cell>
          <cell r="G3" t="str">
            <v>Y/Y</v>
          </cell>
          <cell r="H3" t="str">
            <v>3Q11</v>
          </cell>
          <cell r="I3" t="str">
            <v>Q/Q</v>
          </cell>
          <cell r="J3" t="str">
            <v>4Q09</v>
          </cell>
          <cell r="N3" t="str">
            <v>EPS</v>
          </cell>
        </row>
        <row r="4">
          <cell r="C4" t="str">
            <v>Actual</v>
          </cell>
          <cell r="D4" t="str">
            <v>MS Est</v>
          </cell>
          <cell r="E4" t="str">
            <v>% chg</v>
          </cell>
          <cell r="F4" t="str">
            <v>Actual</v>
          </cell>
          <cell r="G4" t="str">
            <v>% chg</v>
          </cell>
          <cell r="H4" t="str">
            <v>Actual</v>
          </cell>
          <cell r="I4" t="str">
            <v>% chg</v>
          </cell>
          <cell r="J4" t="str">
            <v>Consensus</v>
          </cell>
          <cell r="K4" t="str">
            <v>Comments</v>
          </cell>
          <cell r="N4" t="str">
            <v>Impact</v>
          </cell>
        </row>
        <row r="5">
          <cell r="B5" t="str">
            <v>Retail Revenue</v>
          </cell>
          <cell r="C5">
            <v>11263.5</v>
          </cell>
          <cell r="D5">
            <v>10222.711466218636</v>
          </cell>
          <cell r="E5">
            <v>0.10181139683152485</v>
          </cell>
          <cell r="F5">
            <v>10258</v>
          </cell>
          <cell r="G5">
            <v>9.8021056736205869E-2</v>
          </cell>
          <cell r="H5">
            <v>10095.200000000001</v>
          </cell>
          <cell r="I5">
            <v>0.11572826689912019</v>
          </cell>
          <cell r="N5">
            <v>6.7278984164240052E-2</v>
          </cell>
        </row>
        <row r="6">
          <cell r="B6" t="str">
            <v>Mail Revenue</v>
          </cell>
          <cell r="C6">
            <v>7311.1</v>
          </cell>
          <cell r="D6">
            <v>6584.4683459800963</v>
          </cell>
          <cell r="E6">
            <v>0.11035540241658581</v>
          </cell>
          <cell r="F6">
            <v>6322.5</v>
          </cell>
          <cell r="G6">
            <v>0.15636219849742994</v>
          </cell>
          <cell r="H6">
            <v>6507.6</v>
          </cell>
          <cell r="I6">
            <v>0.12347101850144448</v>
          </cell>
          <cell r="N6">
            <v>4.6971155001511826E-2</v>
          </cell>
        </row>
        <row r="7">
          <cell r="B7" t="str">
            <v>Service Revenue</v>
          </cell>
          <cell r="C7">
            <v>413.6</v>
          </cell>
          <cell r="D7">
            <v>374.17900000000003</v>
          </cell>
          <cell r="E7">
            <v>0.1053533202023631</v>
          </cell>
          <cell r="F7">
            <v>349.7</v>
          </cell>
          <cell r="G7">
            <v>0.18272805261652847</v>
          </cell>
          <cell r="H7">
            <v>378.7</v>
          </cell>
          <cell r="I7">
            <v>9.2157380512278841E-2</v>
          </cell>
          <cell r="N7">
            <v>2.5482648479058364E-3</v>
          </cell>
        </row>
        <row r="8">
          <cell r="B8" t="str">
            <v>Net Revenues</v>
          </cell>
          <cell r="C8">
            <v>18988.2</v>
          </cell>
          <cell r="D8">
            <v>17181.35881219873</v>
          </cell>
          <cell r="E8">
            <v>0.10516288074482305</v>
          </cell>
          <cell r="F8">
            <v>16930.2</v>
          </cell>
          <cell r="G8">
            <v>0.1215579260729347</v>
          </cell>
          <cell r="H8">
            <v>16981.5</v>
          </cell>
          <cell r="I8">
            <v>0.11816977298825204</v>
          </cell>
          <cell r="N8">
            <v>0.11679840401365785</v>
          </cell>
        </row>
        <row r="9">
          <cell r="B9" t="str">
            <v>Cost of Revenues</v>
          </cell>
          <cell r="C9">
            <v>17707.5</v>
          </cell>
          <cell r="D9">
            <v>15947.098657192844</v>
          </cell>
          <cell r="E9">
            <v>0.11039007036011128</v>
          </cell>
          <cell r="F9">
            <v>15769</v>
          </cell>
          <cell r="G9">
            <v>0.12293106728391145</v>
          </cell>
          <cell r="H9">
            <v>15813.4</v>
          </cell>
          <cell r="I9">
            <v>0.11977816282393405</v>
          </cell>
        </row>
        <row r="10">
          <cell r="B10" t="str">
            <v>Gross Profit</v>
          </cell>
          <cell r="C10">
            <v>1280.7000000000007</v>
          </cell>
          <cell r="D10">
            <v>1234.2601550058862</v>
          </cell>
          <cell r="E10">
            <v>3.7625653559150152E-2</v>
          </cell>
          <cell r="F10">
            <v>1161.2000000000007</v>
          </cell>
          <cell r="G10">
            <v>0.10291078194970704</v>
          </cell>
          <cell r="H10">
            <v>1168.1000000000004</v>
          </cell>
          <cell r="I10">
            <v>9.6395856519133849E-2</v>
          </cell>
          <cell r="N10">
            <v>7.4125074965445958E-2</v>
          </cell>
        </row>
        <row r="11">
          <cell r="B11" t="str">
            <v>Total SG&amp;A*</v>
          </cell>
          <cell r="C11">
            <v>439.4</v>
          </cell>
          <cell r="D11">
            <v>443.27905735472723</v>
          </cell>
          <cell r="E11">
            <v>-8.7508247691094887E-3</v>
          </cell>
          <cell r="F11">
            <v>428.5</v>
          </cell>
          <cell r="G11">
            <v>2.5437572928821428E-2</v>
          </cell>
          <cell r="H11">
            <v>420</v>
          </cell>
          <cell r="I11">
            <v>4.6190476190476115E-2</v>
          </cell>
          <cell r="N11">
            <v>6.1915671176521435E-3</v>
          </cell>
        </row>
        <row r="12">
          <cell r="B12" t="str">
            <v>Amortization of intangibles</v>
          </cell>
          <cell r="C12">
            <v>72.3</v>
          </cell>
          <cell r="D12">
            <v>73.2</v>
          </cell>
          <cell r="E12">
            <v>-1.2295081967213184E-2</v>
          </cell>
          <cell r="F12">
            <v>75</v>
          </cell>
          <cell r="G12">
            <v>-3.6000000000000032E-2</v>
          </cell>
          <cell r="H12">
            <v>73.2</v>
          </cell>
          <cell r="I12">
            <v>-1.2295081967213184E-2</v>
          </cell>
          <cell r="N12">
            <v>1.4365372553968791E-3</v>
          </cell>
        </row>
        <row r="13">
          <cell r="B13" t="str">
            <v xml:space="preserve">EBIT </v>
          </cell>
          <cell r="C13">
            <v>769.0000000000008</v>
          </cell>
          <cell r="D13">
            <v>717.78109765115892</v>
          </cell>
          <cell r="E13">
            <v>7.1357273849156577E-2</v>
          </cell>
          <cell r="F13">
            <v>657.70000000000073</v>
          </cell>
          <cell r="G13">
            <v>0.16922609092291307</v>
          </cell>
          <cell r="H13">
            <v>674.90000000000032</v>
          </cell>
          <cell r="I13">
            <v>0.13942806341680303</v>
          </cell>
          <cell r="N13">
            <v>8.1753179338495116E-2</v>
          </cell>
        </row>
        <row r="14">
          <cell r="B14" t="str">
            <v>Interest &amp; other (income) expense, net</v>
          </cell>
          <cell r="C14">
            <v>51.7</v>
          </cell>
          <cell r="D14">
            <v>51.781668094674167</v>
          </cell>
          <cell r="E14">
            <v>-1.5771622985348843E-3</v>
          </cell>
          <cell r="F14">
            <v>50.4</v>
          </cell>
          <cell r="G14">
            <v>2.5793650793650924E-2</v>
          </cell>
          <cell r="H14">
            <v>49.6</v>
          </cell>
          <cell r="I14">
            <v>4.2338709677419484E-2</v>
          </cell>
          <cell r="N14">
            <v>1.3035473397412831E-4</v>
          </cell>
          <cell r="P14">
            <v>9</v>
          </cell>
        </row>
        <row r="15">
          <cell r="B15" t="str">
            <v>Pre-tax income</v>
          </cell>
          <cell r="C15">
            <v>717.30000000000075</v>
          </cell>
          <cell r="D15">
            <v>665.99942955648476</v>
          </cell>
          <cell r="E15">
            <v>7.7027949524940409E-2</v>
          </cell>
          <cell r="F15">
            <v>607.30000000000075</v>
          </cell>
          <cell r="G15">
            <v>0.18112958998847328</v>
          </cell>
          <cell r="H15">
            <v>625.3000000000003</v>
          </cell>
          <cell r="I15">
            <v>0.14712937789860936</v>
          </cell>
          <cell r="N15">
            <v>8.1883534072469177E-2</v>
          </cell>
          <cell r="P15">
            <v>3.3299874529485542</v>
          </cell>
        </row>
        <row r="16">
          <cell r="B16" t="str">
            <v>Income tax provision (benefit)</v>
          </cell>
          <cell r="C16">
            <v>265.40000000000003</v>
          </cell>
          <cell r="D16">
            <v>244.75479036200815</v>
          </cell>
          <cell r="E16">
            <v>8.4350584548136043E-2</v>
          </cell>
          <cell r="F16">
            <v>228.8</v>
          </cell>
          <cell r="G16">
            <v>0.159965034965035</v>
          </cell>
          <cell r="H16">
            <v>247.9</v>
          </cell>
          <cell r="I16">
            <v>7.0592981040742409E-2</v>
          </cell>
          <cell r="N16">
            <v>5.2306079650346803E-2</v>
          </cell>
          <cell r="P16">
            <v>5.6700125470514458</v>
          </cell>
        </row>
        <row r="17">
          <cell r="B17" t="str">
            <v>NI avail to common stockholders - cont. ops</v>
          </cell>
          <cell r="C17">
            <v>451.90000000000072</v>
          </cell>
          <cell r="D17">
            <v>421.24463919447658</v>
          </cell>
          <cell r="E17">
            <v>7.2773295973913799E-2</v>
          </cell>
          <cell r="F17">
            <v>378.50000000000074</v>
          </cell>
          <cell r="G17">
            <v>0.1939233817701449</v>
          </cell>
          <cell r="H17">
            <v>377.40000000000032</v>
          </cell>
          <cell r="I17">
            <v>0.19740328563858056</v>
          </cell>
          <cell r="N17">
            <v>7.7667496340319581E-2</v>
          </cell>
        </row>
        <row r="18">
          <cell r="B18" t="str">
            <v>Extraordinary / One Time Items</v>
          </cell>
          <cell r="C18">
            <v>0</v>
          </cell>
          <cell r="D18">
            <v>0</v>
          </cell>
          <cell r="E18" t="str">
            <v>NA</v>
          </cell>
          <cell r="F18">
            <v>0</v>
          </cell>
          <cell r="G18" t="str">
            <v>NA</v>
          </cell>
          <cell r="H18">
            <v>0</v>
          </cell>
          <cell r="I18" t="str">
            <v>NA</v>
          </cell>
          <cell r="N18">
            <v>0</v>
          </cell>
        </row>
        <row r="19">
          <cell r="B19" t="str">
            <v>Net income*</v>
          </cell>
          <cell r="C19">
            <v>451.90000000000072</v>
          </cell>
          <cell r="D19">
            <v>421.24463919447658</v>
          </cell>
          <cell r="E19">
            <v>7.2773295973913799E-2</v>
          </cell>
          <cell r="F19">
            <v>378.50000000000074</v>
          </cell>
          <cell r="G19">
            <v>0.1939233817701449</v>
          </cell>
          <cell r="H19">
            <v>377.40000000000032</v>
          </cell>
          <cell r="I19">
            <v>0.19740328563858056</v>
          </cell>
          <cell r="N19">
            <v>7.7667496340319581E-2</v>
          </cell>
        </row>
        <row r="20">
          <cell r="B20" t="str">
            <v>Net Income (pro forma)*</v>
          </cell>
          <cell r="C20">
            <v>494.44910079464734</v>
          </cell>
          <cell r="D20">
            <v>467.54363919447655</v>
          </cell>
          <cell r="E20">
            <v>5.7546417798616023E-2</v>
          </cell>
          <cell r="F20">
            <v>424.96160000000071</v>
          </cell>
          <cell r="G20">
            <v>0.16351477591068586</v>
          </cell>
          <cell r="H20">
            <v>421.57988165680507</v>
          </cell>
          <cell r="I20">
            <v>0.17284795197405267</v>
          </cell>
          <cell r="N20">
            <v>6.8166864961162352E-2</v>
          </cell>
        </row>
        <row r="21">
          <cell r="B21" t="str">
            <v>EPS (GAAP)</v>
          </cell>
          <cell r="C21">
            <v>1.1449201925513066</v>
          </cell>
          <cell r="D21">
            <v>1.0698230333880518</v>
          </cell>
          <cell r="E21">
            <v>7.0195870550129769E-2</v>
          </cell>
          <cell r="F21">
            <v>0.87982333798233558</v>
          </cell>
          <cell r="G21">
            <v>0.30130691370031992</v>
          </cell>
          <cell r="H21">
            <v>0.95568498354013764</v>
          </cell>
          <cell r="I21">
            <v>0.19801002659912714</v>
          </cell>
          <cell r="N21">
            <v>7.5097159163254767E-2</v>
          </cell>
        </row>
        <row r="22">
          <cell r="B22" t="str">
            <v>EPS (Non-GAAP)  - (Pro forma)*</v>
          </cell>
          <cell r="C22">
            <v>1.2527213093353113</v>
          </cell>
          <cell r="D22">
            <v>1.1874072873207553</v>
          </cell>
          <cell r="E22">
            <v>5.5005576192756367E-2</v>
          </cell>
          <cell r="F22">
            <v>0.98782333798233546</v>
          </cell>
          <cell r="G22">
            <v>0.26816330528699539</v>
          </cell>
          <cell r="H22">
            <v>1.067561108272487</v>
          </cell>
          <cell r="I22">
            <v>0.17344225040423966</v>
          </cell>
          <cell r="N22">
            <v>6.531402201455605E-2</v>
          </cell>
        </row>
        <row r="23">
          <cell r="B23" t="str">
            <v>EPS Consensus</v>
          </cell>
          <cell r="C23">
            <v>1.17</v>
          </cell>
        </row>
        <row r="24">
          <cell r="B24" t="str">
            <v>Diluted Shares Outstanding</v>
          </cell>
          <cell r="C24">
            <v>394.7</v>
          </cell>
          <cell r="D24">
            <v>393.75170102706181</v>
          </cell>
          <cell r="E24">
            <v>2.4083679396549318E-3</v>
          </cell>
          <cell r="F24">
            <v>430.2</v>
          </cell>
          <cell r="G24">
            <v>-8.2519758251975772E-2</v>
          </cell>
          <cell r="H24">
            <v>394.9</v>
          </cell>
          <cell r="I24">
            <v>-5.0645733096987833E-4</v>
          </cell>
          <cell r="N24">
            <v>-3.0170138387255463E-3</v>
          </cell>
        </row>
        <row r="25">
          <cell r="B25" t="str">
            <v>Tax rate</v>
          </cell>
          <cell r="C25">
            <v>0.36999860588317268</v>
          </cell>
          <cell r="D25">
            <v>0.36749999999999999</v>
          </cell>
          <cell r="E25">
            <v>24.986058831726886</v>
          </cell>
          <cell r="F25">
            <v>0.3767495471760246</v>
          </cell>
          <cell r="G25">
            <v>-67.509412928519197</v>
          </cell>
          <cell r="H25">
            <v>0.39644970414201164</v>
          </cell>
          <cell r="I25">
            <v>-264.51098258838954</v>
          </cell>
          <cell r="N25">
            <v>-4.5407904737769737E-3</v>
          </cell>
        </row>
        <row r="27">
          <cell r="B27" t="str">
            <v>Margins*</v>
          </cell>
        </row>
        <row r="28">
          <cell r="B28" t="str">
            <v>Gross Profit</v>
          </cell>
          <cell r="C28">
            <v>6.7447151388757259E-2</v>
          </cell>
          <cell r="D28">
            <v>7.1837167740747249E-2</v>
          </cell>
          <cell r="E28">
            <v>-43.900163519899891</v>
          </cell>
          <cell r="F28">
            <v>6.8587494536390625E-2</v>
          </cell>
          <cell r="G28">
            <v>-11.403431476333658</v>
          </cell>
          <cell r="H28">
            <v>6.8786620734328549E-2</v>
          </cell>
          <cell r="I28">
            <v>-13.394693455712897</v>
          </cell>
          <cell r="N28">
            <v>-0.13305289223019731</v>
          </cell>
        </row>
        <row r="29">
          <cell r="B29" t="str">
            <v>SG&amp;A</v>
          </cell>
          <cell r="C29">
            <v>2.3140687374264016E-2</v>
          </cell>
          <cell r="D29">
            <v>2.58E-2</v>
          </cell>
          <cell r="E29">
            <v>-26.593126257359842</v>
          </cell>
          <cell r="F29">
            <v>2.5309801419947785E-2</v>
          </cell>
          <cell r="G29">
            <v>-21.69114045683769</v>
          </cell>
          <cell r="H29">
            <v>2.4732797456055118E-2</v>
          </cell>
          <cell r="I29">
            <v>-15.921100817911023</v>
          </cell>
          <cell r="N29">
            <v>8.0598614635697785E-2</v>
          </cell>
        </row>
        <row r="30">
          <cell r="B30" t="str">
            <v>EBIT</v>
          </cell>
          <cell r="C30">
            <v>4.0498836119274115E-2</v>
          </cell>
          <cell r="D30">
            <v>4.177673637439757E-2</v>
          </cell>
          <cell r="E30">
            <v>-12.779002551234555</v>
          </cell>
          <cell r="F30">
            <v>3.8847739542356305E-2</v>
          </cell>
          <cell r="G30">
            <v>16.5109657691781</v>
          </cell>
          <cell r="H30">
            <v>3.9743250007360974E-2</v>
          </cell>
          <cell r="I30">
            <v>7.5558611191314098</v>
          </cell>
          <cell r="N30">
            <v>-3.8730681458352456E-2</v>
          </cell>
        </row>
        <row r="31">
          <cell r="B31" t="str">
            <v>EBITDA</v>
          </cell>
          <cell r="C31">
            <v>4.7371525473715294E-2</v>
          </cell>
          <cell r="D31">
            <v>4.9116086036920727E-2</v>
          </cell>
          <cell r="E31">
            <v>-17.445605632054328</v>
          </cell>
          <cell r="F31">
            <v>4.6455446480254257E-2</v>
          </cell>
          <cell r="G31">
            <v>9.1607899346103636</v>
          </cell>
          <cell r="H31">
            <v>4.7163089244177503E-2</v>
          </cell>
          <cell r="I31">
            <v>2.0843622953779088</v>
          </cell>
          <cell r="N31">
            <v>-5.287425148200315E-2</v>
          </cell>
        </row>
        <row r="33">
          <cell r="B33" t="str">
            <v>Retail Scripts</v>
          </cell>
          <cell r="C33">
            <v>172.7</v>
          </cell>
          <cell r="D33">
            <v>154.99480059209668</v>
          </cell>
          <cell r="E33">
            <v>0.11423092478113817</v>
          </cell>
          <cell r="F33">
            <v>161.4</v>
          </cell>
          <cell r="G33">
            <v>7.0012391573729849E-2</v>
          </cell>
          <cell r="H33">
            <v>152.19999999999999</v>
          </cell>
          <cell r="I33">
            <v>0.13469119579500655</v>
          </cell>
        </row>
        <row r="34">
          <cell r="B34" t="str">
            <v>Mail Scripts</v>
          </cell>
          <cell r="C34">
            <v>30.4</v>
          </cell>
          <cell r="D34">
            <v>28.74476120157032</v>
          </cell>
          <cell r="E34">
            <v>5.7584016329878418E-2</v>
          </cell>
          <cell r="F34">
            <v>27.9</v>
          </cell>
          <cell r="G34">
            <v>8.9605734767025158E-2</v>
          </cell>
          <cell r="H34">
            <v>27.4</v>
          </cell>
          <cell r="I34">
            <v>0.10948905109489049</v>
          </cell>
        </row>
        <row r="35">
          <cell r="B35" t="str">
            <v>Adjusted Scripts</v>
          </cell>
          <cell r="C35">
            <v>263.10000000000002</v>
          </cell>
          <cell r="D35">
            <v>239.61475427018004</v>
          </cell>
          <cell r="E35">
            <v>9.8012519309804036E-2</v>
          </cell>
          <cell r="F35">
            <v>244.3</v>
          </cell>
          <cell r="G35">
            <v>7.6954564060581321E-2</v>
          </cell>
          <cell r="H35">
            <v>233.6</v>
          </cell>
          <cell r="I35">
            <v>0.12628424657534265</v>
          </cell>
        </row>
        <row r="36">
          <cell r="B36" t="str">
            <v>Adjusted Mail penetrations</v>
          </cell>
          <cell r="C36">
            <v>0.34359559103002668</v>
          </cell>
          <cell r="D36">
            <v>0.35315001338635965</v>
          </cell>
          <cell r="E36">
            <v>-2.7054854861013555E-2</v>
          </cell>
          <cell r="F36">
            <v>0.33933688088415881</v>
          </cell>
          <cell r="G36">
            <v>1.2550095158450292E-2</v>
          </cell>
          <cell r="H36">
            <v>0.34845890410958907</v>
          </cell>
          <cell r="I36">
            <v>-1.3956633112847339E-2</v>
          </cell>
        </row>
        <row r="38">
          <cell r="B38" t="str">
            <v>Retail GDR</v>
          </cell>
          <cell r="C38">
            <v>0.76200000000000001</v>
          </cell>
          <cell r="D38">
            <v>0.75895554613775351</v>
          </cell>
          <cell r="E38">
            <v>30.444538622464989</v>
          </cell>
          <cell r="F38">
            <v>0.73799999999999999</v>
          </cell>
          <cell r="G38">
            <v>240.00000000000023</v>
          </cell>
          <cell r="H38">
            <v>0.754</v>
          </cell>
          <cell r="I38">
            <v>80.000000000000071</v>
          </cell>
        </row>
        <row r="39">
          <cell r="B39" t="str">
            <v>Mail GDR</v>
          </cell>
          <cell r="C39">
            <v>0.66100000000000003</v>
          </cell>
          <cell r="D39">
            <v>0.66665728410438818</v>
          </cell>
          <cell r="E39">
            <v>-56.572841043881496</v>
          </cell>
          <cell r="F39">
            <v>0.629</v>
          </cell>
          <cell r="G39">
            <v>320.00000000000028</v>
          </cell>
          <cell r="H39">
            <v>0.64800000000000002</v>
          </cell>
          <cell r="I39">
            <v>130.00000000000011</v>
          </cell>
        </row>
        <row r="40">
          <cell r="B40" t="str">
            <v>Total GDR</v>
          </cell>
          <cell r="C40">
            <v>0.747</v>
          </cell>
          <cell r="D40">
            <v>0.74451613267899963</v>
          </cell>
          <cell r="E40">
            <v>24.838673210003659</v>
          </cell>
          <cell r="F40">
            <v>0.72193502377179097</v>
          </cell>
          <cell r="G40">
            <v>250.64976228209025</v>
          </cell>
          <cell r="H40">
            <v>0.73782850779510012</v>
          </cell>
          <cell r="I40">
            <v>91.714922048998787</v>
          </cell>
        </row>
        <row r="42">
          <cell r="B42" t="str">
            <v>EBITDA/ adjusted script</v>
          </cell>
          <cell r="C42">
            <v>3.4188521474724465</v>
          </cell>
          <cell r="D42">
            <v>3.5218244394902003</v>
          </cell>
          <cell r="E42">
            <v>-2.9238337624989508E-2</v>
          </cell>
          <cell r="F42">
            <v>3.22</v>
          </cell>
          <cell r="G42">
            <v>6.1755325302002007E-2</v>
          </cell>
          <cell r="H42">
            <v>3.43</v>
          </cell>
          <cell r="I42">
            <v>-3.2501027777124269E-3</v>
          </cell>
        </row>
        <row r="44">
          <cell r="B44" t="str">
            <v>Specialty Revenue</v>
          </cell>
          <cell r="C44">
            <v>3824.6</v>
          </cell>
          <cell r="D44">
            <v>3399.7272351912029</v>
          </cell>
          <cell r="E44">
            <v>0.12497260380505248</v>
          </cell>
          <cell r="F44">
            <v>2980.1</v>
          </cell>
          <cell r="G44">
            <v>0.28337975235730339</v>
          </cell>
          <cell r="H44">
            <v>3359.9</v>
          </cell>
          <cell r="I44">
            <v>0.13830768772880142</v>
          </cell>
        </row>
        <row r="45">
          <cell r="B45" t="str">
            <v>Specialty Gross Profits</v>
          </cell>
          <cell r="C45">
            <v>241</v>
          </cell>
          <cell r="D45">
            <v>220.98227028742821</v>
          </cell>
          <cell r="E45">
            <v>9.0585229695282932E-2</v>
          </cell>
          <cell r="F45">
            <v>193.40000000000009</v>
          </cell>
          <cell r="G45">
            <v>0.24612202688727969</v>
          </cell>
          <cell r="H45">
            <v>226.80000000000018</v>
          </cell>
          <cell r="I45">
            <v>6.261022927689508E-2</v>
          </cell>
        </row>
        <row r="46">
          <cell r="B46" t="str">
            <v>Gross Profit Margin</v>
          </cell>
          <cell r="C46">
            <v>6.3013125555613655E-2</v>
          </cell>
          <cell r="D46">
            <v>6.5000000000000002E-2</v>
          </cell>
          <cell r="E46">
            <v>-3.0567299144405369E-2</v>
          </cell>
          <cell r="F46">
            <v>6.4897151102312034E-2</v>
          </cell>
          <cell r="G46">
            <v>-2.9030943804114973E-2</v>
          </cell>
          <cell r="H46">
            <v>6.7502008988362797E-2</v>
          </cell>
          <cell r="I46">
            <v>-6.6499997555969248E-2</v>
          </cell>
        </row>
        <row r="48">
          <cell r="B48" t="str">
            <v>Source: Company data and Morgan Stanley Research</v>
          </cell>
          <cell r="P48">
            <v>3.34</v>
          </cell>
        </row>
        <row r="49">
          <cell r="O49">
            <v>2.5809439785682451</v>
          </cell>
          <cell r="P49">
            <v>3.4</v>
          </cell>
          <cell r="R49">
            <v>0.81905602143175482</v>
          </cell>
        </row>
        <row r="52">
          <cell r="B52" t="str">
            <v>EBITDA</v>
          </cell>
          <cell r="C52">
            <v>899.5000000000008</v>
          </cell>
          <cell r="D52">
            <v>843.88109765115894</v>
          </cell>
        </row>
        <row r="53">
          <cell r="B53" t="str">
            <v>Adj EBITDA / Adj Script</v>
          </cell>
          <cell r="C53">
            <v>3.4188521474724465</v>
          </cell>
          <cell r="D53">
            <v>3.2074538109128046</v>
          </cell>
        </row>
        <row r="54">
          <cell r="R54">
            <v>2010</v>
          </cell>
        </row>
        <row r="56">
          <cell r="S56" t="str">
            <v>Previous</v>
          </cell>
          <cell r="T56" t="str">
            <v>Current</v>
          </cell>
        </row>
        <row r="57">
          <cell r="F57" t="str">
            <v>Seq</v>
          </cell>
          <cell r="G57" t="str">
            <v>Y/Y</v>
          </cell>
          <cell r="R57" t="str">
            <v>Revenue growth</v>
          </cell>
          <cell r="S57">
            <v>9.4766204238465379E-2</v>
          </cell>
          <cell r="T57">
            <v>0.10307118384463987</v>
          </cell>
        </row>
        <row r="58">
          <cell r="C58">
            <v>244.30714285714288</v>
          </cell>
          <cell r="D58">
            <v>263.10000000000002</v>
          </cell>
          <cell r="E58">
            <v>18.792857142857144</v>
          </cell>
          <cell r="F58">
            <v>8.0448874755381608E-2</v>
          </cell>
          <cell r="G58">
            <v>7.6925326004327235E-2</v>
          </cell>
          <cell r="R58" t="str">
            <v>Total adjusted claims growth</v>
          </cell>
          <cell r="S58">
            <v>6.1157587932891166E-2</v>
          </cell>
          <cell r="T58">
            <v>6.5593621678536218E-2</v>
          </cell>
        </row>
        <row r="59">
          <cell r="F59">
            <v>4.5835371819960891E-2</v>
          </cell>
          <cell r="G59">
            <v>2.9238056254099476E-5</v>
          </cell>
          <cell r="R59" t="str">
            <v>Generic dispensing rate</v>
          </cell>
          <cell r="S59">
            <v>0.70925029658197536</v>
          </cell>
          <cell r="T59">
            <v>0.7100632346980138</v>
          </cell>
        </row>
        <row r="60">
          <cell r="D60">
            <v>45.25</v>
          </cell>
          <cell r="E60">
            <v>55</v>
          </cell>
          <cell r="F60">
            <v>73.350000000000009</v>
          </cell>
          <cell r="H60">
            <v>-0.26680299931833684</v>
          </cell>
          <cell r="R60" t="str">
            <v>Gross profit margin</v>
          </cell>
          <cell r="S60">
            <v>6.5783472623921813E-2</v>
          </cell>
          <cell r="T60">
            <v>6.5714796781489199E-2</v>
          </cell>
        </row>
        <row r="61">
          <cell r="E61">
            <v>0.48405126360426182</v>
          </cell>
          <cell r="F61">
            <v>42.075457114535652</v>
          </cell>
          <cell r="G61">
            <v>63.9676371343607</v>
          </cell>
          <cell r="H61">
            <v>53.78</v>
          </cell>
          <cell r="I61">
            <v>0.18943170573374291</v>
          </cell>
          <cell r="R61" t="str">
            <v>SG&amp;A</v>
          </cell>
          <cell r="S61">
            <v>2.3286714445507624E-2</v>
          </cell>
          <cell r="T61">
            <v>2.3503677518326958E-2</v>
          </cell>
        </row>
        <row r="62">
          <cell r="R62" t="str">
            <v>Tax Rate</v>
          </cell>
          <cell r="S62">
            <v>0.39193223841562624</v>
          </cell>
          <cell r="T62">
            <v>0.38848427726844309</v>
          </cell>
        </row>
        <row r="63">
          <cell r="R63" t="str">
            <v>EPS</v>
          </cell>
          <cell r="S63">
            <v>3.5290352623089536</v>
          </cell>
          <cell r="T63">
            <v>3.5541577593360998</v>
          </cell>
        </row>
        <row r="66">
          <cell r="X66" t="str">
            <v>Previous</v>
          </cell>
          <cell r="Y66" t="str">
            <v>Current</v>
          </cell>
        </row>
        <row r="67">
          <cell r="W67" t="str">
            <v>Revenue growth</v>
          </cell>
          <cell r="X67">
            <v>5.3565491349299554E-2</v>
          </cell>
          <cell r="Y67">
            <v>6.2073659509704893E-2</v>
          </cell>
        </row>
        <row r="68">
          <cell r="W68" t="str">
            <v>Total adjusted claims growth</v>
          </cell>
          <cell r="X68">
            <v>1.3606977608937809E-2</v>
          </cell>
          <cell r="Y68">
            <v>2.41627875908208E-2</v>
          </cell>
        </row>
        <row r="69">
          <cell r="W69" t="str">
            <v>Generic dispensing rate</v>
          </cell>
          <cell r="X69">
            <v>0.73490735859850975</v>
          </cell>
          <cell r="Y69">
            <v>0.73762838283828391</v>
          </cell>
        </row>
        <row r="70">
          <cell r="W70" t="str">
            <v>Gross profit margin</v>
          </cell>
          <cell r="X70">
            <v>6.5771496585824929E-2</v>
          </cell>
          <cell r="Y70">
            <v>6.6004598698605407E-2</v>
          </cell>
        </row>
        <row r="71">
          <cell r="W71" t="str">
            <v>SG&amp;A</v>
          </cell>
          <cell r="X71">
            <v>2.4404067768306895E-2</v>
          </cell>
          <cell r="Y71">
            <v>2.3789915690525569E-2</v>
          </cell>
        </row>
        <row r="72">
          <cell r="W72" t="str">
            <v>Tax Rate</v>
          </cell>
          <cell r="X72">
            <v>0.39250206656955078</v>
          </cell>
          <cell r="Y72">
            <v>0.38713355048859932</v>
          </cell>
        </row>
        <row r="73">
          <cell r="W73" t="str">
            <v>EPS</v>
          </cell>
          <cell r="X73">
            <v>4.0356673029245309</v>
          </cell>
          <cell r="Y73">
            <v>4.1789101500357919</v>
          </cell>
          <cell r="AB73">
            <v>2012</v>
          </cell>
        </row>
        <row r="75">
          <cell r="AC75" t="str">
            <v>Previous</v>
          </cell>
          <cell r="AD75" t="str">
            <v>Current</v>
          </cell>
        </row>
        <row r="76">
          <cell r="AB76" t="str">
            <v>Revenue growth</v>
          </cell>
          <cell r="AC76">
            <v>-0.15820145593204471</v>
          </cell>
          <cell r="AD76">
            <v>-0.16463934411283809</v>
          </cell>
        </row>
        <row r="77">
          <cell r="AB77" t="str">
            <v>Total adjusted claims growth</v>
          </cell>
          <cell r="AC77">
            <v>-0.14100683189242147</v>
          </cell>
          <cell r="AD77">
            <v>-0.14154059781648709</v>
          </cell>
        </row>
        <row r="78">
          <cell r="AB78" t="str">
            <v>Generic dispensing rate</v>
          </cell>
          <cell r="AC78">
            <v>0.7728403128836423</v>
          </cell>
          <cell r="AD78">
            <v>0.77513421584529862</v>
          </cell>
        </row>
        <row r="79">
          <cell r="AB79" t="str">
            <v>Gross profit margin</v>
          </cell>
          <cell r="AC79">
            <v>8.0802559968972079E-2</v>
          </cell>
          <cell r="AD79">
            <v>7.8236849945993905E-2</v>
          </cell>
          <cell r="AG79">
            <v>5.0024779837667871E-2</v>
          </cell>
        </row>
        <row r="80">
          <cell r="AB80" t="str">
            <v>SG&amp;A</v>
          </cell>
          <cell r="AC80">
            <v>2.7510075099240871E-2</v>
          </cell>
          <cell r="AD80">
            <v>2.8212070108326031E-2</v>
          </cell>
          <cell r="AG80">
            <v>5.0024779837667975E-2</v>
          </cell>
        </row>
        <row r="81">
          <cell r="AB81" t="str">
            <v>Tax Rate</v>
          </cell>
          <cell r="AC81">
            <v>0.39</v>
          </cell>
          <cell r="AD81">
            <v>0.39000000000000007</v>
          </cell>
        </row>
        <row r="82">
          <cell r="AB82" t="str">
            <v>Share Count</v>
          </cell>
          <cell r="AC82">
            <v>372.5785341326802</v>
          </cell>
          <cell r="AD82">
            <v>375.35726769155747</v>
          </cell>
        </row>
        <row r="83">
          <cell r="AB83" t="str">
            <v>EBITDA/Adj Script</v>
          </cell>
          <cell r="AC83">
            <v>3.9841704300964893</v>
          </cell>
          <cell r="AD83">
            <v>3.7567621120061316</v>
          </cell>
        </row>
        <row r="84">
          <cell r="AB84" t="str">
            <v>EPS</v>
          </cell>
          <cell r="AC84">
            <v>4.6796019716043409</v>
          </cell>
          <cell r="AD84">
            <v>4.4243382875431809</v>
          </cell>
        </row>
        <row r="86">
          <cell r="AH86" t="str">
            <v>Previous</v>
          </cell>
          <cell r="AI86" t="str">
            <v>Current</v>
          </cell>
        </row>
        <row r="87">
          <cell r="AG87" t="str">
            <v>Revenue growth</v>
          </cell>
          <cell r="AH87">
            <v>-0.1637258542097646</v>
          </cell>
          <cell r="AI87">
            <v>-0.18358505056738883</v>
          </cell>
        </row>
        <row r="88">
          <cell r="AG88" t="str">
            <v>Total adjusted claims growth</v>
          </cell>
          <cell r="AH88">
            <v>-0.19425679028009435</v>
          </cell>
          <cell r="AI88">
            <v>-0.21543960594402334</v>
          </cell>
        </row>
        <row r="89">
          <cell r="AG89" t="str">
            <v>Generic dispensing rate</v>
          </cell>
          <cell r="AH89">
            <v>0.79773742455841068</v>
          </cell>
          <cell r="AI89">
            <v>0.79931207224437573</v>
          </cell>
        </row>
        <row r="90">
          <cell r="AG90" t="str">
            <v>Gross profit margin</v>
          </cell>
          <cell r="AH90">
            <v>9.4471620245398444E-2</v>
          </cell>
          <cell r="AI90">
            <v>9.2912134087656237E-2</v>
          </cell>
          <cell r="AK90">
            <v>6.1688867886157961E-2</v>
          </cell>
        </row>
        <row r="91">
          <cell r="AG91" t="str">
            <v>SG&amp;A</v>
          </cell>
          <cell r="AH91">
            <v>3.1231096202242892E-2</v>
          </cell>
          <cell r="AI91">
            <v>3.1223266201498279E-2</v>
          </cell>
          <cell r="AK91">
            <v>6.168886788615803E-2</v>
          </cell>
        </row>
        <row r="92">
          <cell r="AG92" t="str">
            <v>Tax Rate</v>
          </cell>
          <cell r="AH92">
            <v>0.39</v>
          </cell>
          <cell r="AI92">
            <v>0.39</v>
          </cell>
        </row>
        <row r="93">
          <cell r="AG93" t="str">
            <v>Share Count</v>
          </cell>
          <cell r="AH93">
            <v>309.08690695139876</v>
          </cell>
          <cell r="AI93">
            <v>311.34444062534249</v>
          </cell>
        </row>
        <row r="94">
          <cell r="AG94" t="str">
            <v>EBITDA/Adj Script</v>
          </cell>
          <cell r="AH94">
            <v>4.9094732217530348</v>
          </cell>
          <cell r="AI94">
            <v>4.818418883730117</v>
          </cell>
        </row>
        <row r="95">
          <cell r="AG95" t="str">
            <v>EPS</v>
          </cell>
          <cell r="AH95">
            <v>5.5679605252484734</v>
          </cell>
          <cell r="AI95">
            <v>5.3500402819418413</v>
          </cell>
        </row>
        <row r="97">
          <cell r="AK97" t="str">
            <v>Crosswalk from 3Q10 to 4Q10</v>
          </cell>
        </row>
        <row r="98">
          <cell r="AK98" t="str">
            <v>3Q09 EBITDA/Adj Script</v>
          </cell>
          <cell r="AL98">
            <v>3.2665758401453222</v>
          </cell>
          <cell r="AO98" t="str">
            <v>Lipitor</v>
          </cell>
          <cell r="AP98">
            <v>7634.1886469999999</v>
          </cell>
        </row>
        <row r="99">
          <cell r="AK99" t="str">
            <v>1/1/10 Start up costs</v>
          </cell>
          <cell r="AL99">
            <v>-7.0000000000000007E-2</v>
          </cell>
          <cell r="AO99" t="str">
            <v>MHS Lipitor Mail Pen</v>
          </cell>
          <cell r="AP99">
            <v>0.6</v>
          </cell>
        </row>
        <row r="100">
          <cell r="AK100" t="str">
            <v>Lower Specialy Margins</v>
          </cell>
          <cell r="AL100">
            <v>-0.04</v>
          </cell>
          <cell r="AO100" t="str">
            <v>Going Generic</v>
          </cell>
          <cell r="AP100">
            <v>4580.5131881999996</v>
          </cell>
        </row>
        <row r="101">
          <cell r="AK101" t="str">
            <v>Lower Mail Pen</v>
          </cell>
          <cell r="AL101">
            <v>-0.05</v>
          </cell>
          <cell r="AO101" t="str">
            <v>Incremental in 2012</v>
          </cell>
          <cell r="AP101">
            <v>4198.8037558499991</v>
          </cell>
        </row>
        <row r="102">
          <cell r="AK102" t="str">
            <v>Other Gross Margin Pressures</v>
          </cell>
          <cell r="AL102">
            <v>-5.1166869169067236E-2</v>
          </cell>
          <cell r="AO102" t="str">
            <v>Reported Rolling Mail Generics</v>
          </cell>
          <cell r="AP102">
            <v>6016.2198565883864</v>
          </cell>
        </row>
        <row r="103">
          <cell r="AK103" t="str">
            <v>4Q09 EBITDA/Adj Script</v>
          </cell>
          <cell r="AL103">
            <v>3.0554089709762553</v>
          </cell>
          <cell r="AO103" t="str">
            <v>Reported Lipitor</v>
          </cell>
          <cell r="AP103">
            <v>2072.8233331666665</v>
          </cell>
        </row>
        <row r="105">
          <cell r="AO105" t="str">
            <v>Unaccounted Lipitor</v>
          </cell>
          <cell r="AP105">
            <v>2125.9804226833326</v>
          </cell>
        </row>
        <row r="106">
          <cell r="AO106" t="str">
            <v>Gross up on Total</v>
          </cell>
          <cell r="AP106">
            <v>8142.2002792717194</v>
          </cell>
        </row>
        <row r="108">
          <cell r="AO108" t="str">
            <v>Incremental Rolling New Generic Sales</v>
          </cell>
        </row>
        <row r="109">
          <cell r="AO109" t="str">
            <v>Lipitor Mail Sales</v>
          </cell>
          <cell r="AP109">
            <v>4198.8037558499991</v>
          </cell>
          <cell r="AT109">
            <v>3.4000000000000002E-2</v>
          </cell>
        </row>
        <row r="110">
          <cell r="AO110" t="str">
            <v>Total Generic Mail Sales</v>
          </cell>
          <cell r="AP110">
            <v>8142.21985658839</v>
          </cell>
          <cell r="AT110">
            <v>102.89439031638682</v>
          </cell>
        </row>
        <row r="111">
          <cell r="AO111" t="str">
            <v>% of Total</v>
          </cell>
          <cell r="AP111">
            <v>0.51568292551723216</v>
          </cell>
          <cell r="AT111">
            <v>0.16721556632965567</v>
          </cell>
        </row>
        <row r="113">
          <cell r="AO113" t="str">
            <v>Lipitor Contribution</v>
          </cell>
          <cell r="AP113">
            <v>0.36</v>
          </cell>
          <cell r="AT113">
            <v>0.15</v>
          </cell>
        </row>
        <row r="114">
          <cell r="AO114" t="str">
            <v>Implied Total Contribution</v>
          </cell>
          <cell r="AP114">
            <v>0.69810339296946566</v>
          </cell>
          <cell r="AT114">
            <v>0.42</v>
          </cell>
        </row>
        <row r="115">
          <cell r="AO115" t="str">
            <v>% of Total</v>
          </cell>
          <cell r="AP115">
            <v>0.51568292551723216</v>
          </cell>
          <cell r="AT115">
            <v>0.56999999999999995</v>
          </cell>
          <cell r="AU115">
            <v>0.16</v>
          </cell>
          <cell r="AV115">
            <v>0.40999999999999992</v>
          </cell>
        </row>
        <row r="116">
          <cell r="AT116">
            <v>0.36</v>
          </cell>
          <cell r="AV116">
            <v>0.85999999999999988</v>
          </cell>
        </row>
        <row r="117">
          <cell r="AT117">
            <v>0.20999999999999996</v>
          </cell>
        </row>
        <row r="119">
          <cell r="AO119" t="str">
            <v>MS Lipitor Assumption 2012</v>
          </cell>
          <cell r="AP119">
            <v>0.16</v>
          </cell>
        </row>
        <row r="120">
          <cell r="AO120" t="str">
            <v>MHS' Minimum 2012 Lipitor Guidance</v>
          </cell>
          <cell r="AP120">
            <v>0.312</v>
          </cell>
        </row>
        <row r="121">
          <cell r="AO121" t="str">
            <v>Difference</v>
          </cell>
          <cell r="AP121">
            <v>0.152</v>
          </cell>
        </row>
        <row r="123">
          <cell r="AO123" t="str">
            <v>MS' 2012 New Generic Contribution</v>
          </cell>
          <cell r="AP123">
            <v>0.45</v>
          </cell>
        </row>
        <row r="124">
          <cell r="AO124" t="str">
            <v>Upside From MHS Lipitor Guidance</v>
          </cell>
          <cell r="AP124">
            <v>0.152</v>
          </cell>
          <cell r="AS124" t="str">
            <v>Monthly EPS Contribution</v>
          </cell>
          <cell r="AT124">
            <v>0.03</v>
          </cell>
        </row>
        <row r="125">
          <cell r="AO125" t="str">
            <v>Updated 2012 New Generic Contribution</v>
          </cell>
          <cell r="AP125">
            <v>0.60199999999999998</v>
          </cell>
          <cell r="AS125" t="str">
            <v>2011 Share Guidance</v>
          </cell>
          <cell r="AT125">
            <v>402.5</v>
          </cell>
        </row>
        <row r="126">
          <cell r="AS126" t="str">
            <v>Implied Net Income</v>
          </cell>
          <cell r="AT126">
            <v>12.074999999999999</v>
          </cell>
          <cell r="AU126">
            <v>125.58</v>
          </cell>
          <cell r="AV126">
            <v>144.89999999999998</v>
          </cell>
        </row>
        <row r="127">
          <cell r="AS127" t="str">
            <v>2011 Tax Rate Guidance</v>
          </cell>
          <cell r="AT127">
            <v>0.39</v>
          </cell>
        </row>
        <row r="128">
          <cell r="AS128" t="str">
            <v>Implied Operating Profit</v>
          </cell>
          <cell r="AT128">
            <v>19.795081967213115</v>
          </cell>
          <cell r="AU128">
            <v>237.54098360655738</v>
          </cell>
        </row>
        <row r="129">
          <cell r="AS129" t="str">
            <v>Annual (52 weeks)</v>
          </cell>
          <cell r="AT129">
            <v>205.86885245901641</v>
          </cell>
        </row>
        <row r="131">
          <cell r="AS131" t="str">
            <v xml:space="preserve">Lipitor Annual </v>
          </cell>
          <cell r="AT131">
            <v>6107.2000000000007</v>
          </cell>
        </row>
        <row r="132">
          <cell r="AT132">
            <v>6107.2000000000007</v>
          </cell>
        </row>
        <row r="133">
          <cell r="AS133" t="str">
            <v>IMS Mail Pen (Sales)</v>
          </cell>
          <cell r="AT133">
            <v>0.3</v>
          </cell>
        </row>
        <row r="134">
          <cell r="AS134" t="str">
            <v>Lipitor Mail</v>
          </cell>
          <cell r="AT134">
            <v>1832.16</v>
          </cell>
        </row>
        <row r="135">
          <cell r="AS135" t="str">
            <v>MHS share</v>
          </cell>
          <cell r="AT135">
            <v>0.6</v>
          </cell>
          <cell r="BG135">
            <v>0.53125</v>
          </cell>
        </row>
        <row r="136">
          <cell r="AS136" t="str">
            <v>MHS Mail Revenue</v>
          </cell>
          <cell r="AT136">
            <v>1099.296</v>
          </cell>
          <cell r="BG136">
            <v>0.46875</v>
          </cell>
        </row>
        <row r="137">
          <cell r="AS137" t="str">
            <v>Pricing Decline</v>
          </cell>
          <cell r="AT137">
            <v>0.3</v>
          </cell>
        </row>
        <row r="138">
          <cell r="AS138" t="str">
            <v>MHS Generic Lipitor Rev</v>
          </cell>
          <cell r="AT138">
            <v>769.50720000000001</v>
          </cell>
        </row>
        <row r="139">
          <cell r="AS139" t="str">
            <v>Implied Operating Profit</v>
          </cell>
          <cell r="AT139">
            <v>205.86885245901641</v>
          </cell>
        </row>
        <row r="140">
          <cell r="AS140" t="str">
            <v>Implied Margin</v>
          </cell>
          <cell r="AT140">
            <v>0.26753336740581035</v>
          </cell>
        </row>
        <row r="143">
          <cell r="AS143" t="str">
            <v>MHS' share</v>
          </cell>
          <cell r="AU143">
            <v>0.3</v>
          </cell>
          <cell r="AV143">
            <v>0.35</v>
          </cell>
          <cell r="AW143">
            <v>0.4</v>
          </cell>
          <cell r="AX143">
            <v>0.45</v>
          </cell>
          <cell r="AY143">
            <v>0.5</v>
          </cell>
          <cell r="AZ143">
            <v>0.55000000000000004</v>
          </cell>
          <cell r="BA143">
            <v>0.6</v>
          </cell>
          <cell r="BB143">
            <v>0.65</v>
          </cell>
        </row>
        <row r="144">
          <cell r="AS144" t="str">
            <v>Implied Operating Profit</v>
          </cell>
          <cell r="AT144">
            <v>0.26753336740581035</v>
          </cell>
          <cell r="AU144">
            <v>0.5350667348116207</v>
          </cell>
          <cell r="AV144">
            <v>0.45862862983853209</v>
          </cell>
          <cell r="AW144">
            <v>0.40130005110871553</v>
          </cell>
          <cell r="AX144">
            <v>0.35671115654108049</v>
          </cell>
          <cell r="AY144">
            <v>0.32104004088697247</v>
          </cell>
          <cell r="AZ144">
            <v>0.29185458262452041</v>
          </cell>
          <cell r="BA144">
            <v>0.26753336740581035</v>
          </cell>
          <cell r="BB144">
            <v>0.24695387760536344</v>
          </cell>
        </row>
        <row r="151">
          <cell r="BM151" t="str">
            <v>Implied Growth</v>
          </cell>
        </row>
        <row r="152">
          <cell r="AU152">
            <v>2003</v>
          </cell>
          <cell r="AV152">
            <v>2004</v>
          </cell>
          <cell r="AW152">
            <v>2005</v>
          </cell>
          <cell r="AX152">
            <v>2006</v>
          </cell>
          <cell r="AY152">
            <v>2007</v>
          </cell>
          <cell r="AZ152">
            <v>2008</v>
          </cell>
          <cell r="BA152">
            <v>2009</v>
          </cell>
          <cell r="BB152">
            <v>2010</v>
          </cell>
          <cell r="BC152">
            <v>2011</v>
          </cell>
          <cell r="BD152">
            <v>2012</v>
          </cell>
          <cell r="BE152">
            <v>2013</v>
          </cell>
          <cell r="BF152">
            <v>2014</v>
          </cell>
          <cell r="BG152">
            <v>2015</v>
          </cell>
          <cell r="BH152">
            <v>2016</v>
          </cell>
          <cell r="BI152">
            <v>2017</v>
          </cell>
          <cell r="BJ152">
            <v>2018</v>
          </cell>
          <cell r="BK152">
            <v>2019</v>
          </cell>
          <cell r="BL152">
            <v>2020</v>
          </cell>
          <cell r="BM152" t="str">
            <v>Rates</v>
          </cell>
        </row>
        <row r="153">
          <cell r="AS153">
            <v>0.2</v>
          </cell>
          <cell r="AT153" t="str">
            <v>Gaap EPS</v>
          </cell>
          <cell r="AU153">
            <v>0.78626995764092789</v>
          </cell>
          <cell r="AV153">
            <v>0.94352394916911342</v>
          </cell>
          <cell r="AW153">
            <v>1.132228739002936</v>
          </cell>
          <cell r="AX153">
            <v>1.3586744868035232</v>
          </cell>
          <cell r="AY153">
            <v>1.6304093841642278</v>
          </cell>
          <cell r="AZ153">
            <v>1.9564912609970733</v>
          </cell>
          <cell r="BA153">
            <v>2.3477895131964877</v>
          </cell>
          <cell r="BB153">
            <v>2.8173474158357852</v>
          </cell>
          <cell r="BC153">
            <v>3.3808168990029421</v>
          </cell>
          <cell r="BD153">
            <v>4.0569802788035307</v>
          </cell>
          <cell r="BE153">
            <v>4.8683763345642364</v>
          </cell>
          <cell r="BF153">
            <v>5.8420516014770838</v>
          </cell>
          <cell r="BG153">
            <v>7.0104619217725004</v>
          </cell>
          <cell r="BH153">
            <v>8.4125543061269994</v>
          </cell>
          <cell r="BI153">
            <v>10.095065167352399</v>
          </cell>
          <cell r="BJ153">
            <v>12.114078200822878</v>
          </cell>
          <cell r="BK153">
            <v>14.536893840987453</v>
          </cell>
          <cell r="BL153">
            <v>17.444272609184942</v>
          </cell>
          <cell r="BM153">
            <v>0.2</v>
          </cell>
        </row>
        <row r="154">
          <cell r="AS154">
            <v>0.16</v>
          </cell>
          <cell r="AT154" t="str">
            <v>Gaap EPS</v>
          </cell>
          <cell r="AU154">
            <v>0.78626995764092789</v>
          </cell>
          <cell r="AV154">
            <v>0.91207315086347629</v>
          </cell>
          <cell r="AW154">
            <v>1.0580048550016323</v>
          </cell>
          <cell r="AX154">
            <v>1.2272856318018934</v>
          </cell>
          <cell r="AY154">
            <v>1.4236513328901963</v>
          </cell>
          <cell r="AZ154">
            <v>1.6514355461526276</v>
          </cell>
          <cell r="BA154">
            <v>1.9156652335370479</v>
          </cell>
          <cell r="BB154">
            <v>2.2221716709029753</v>
          </cell>
          <cell r="BC154">
            <v>2.5777191382474514</v>
          </cell>
          <cell r="BD154">
            <v>2.9901542003670434</v>
          </cell>
          <cell r="BE154">
            <v>3.4685788724257702</v>
          </cell>
          <cell r="BF154">
            <v>4.0235514920138931</v>
          </cell>
          <cell r="BG154">
            <v>4.6673197307361161</v>
          </cell>
          <cell r="BH154">
            <v>5.4140908876538942</v>
          </cell>
          <cell r="BI154">
            <v>6.2803454296785173</v>
          </cell>
          <cell r="BJ154">
            <v>7.2852006984270794</v>
          </cell>
          <cell r="BK154">
            <v>8.4508328101754113</v>
          </cell>
          <cell r="BL154">
            <v>9.8029660598034756</v>
          </cell>
          <cell r="BM154">
            <v>0.16</v>
          </cell>
        </row>
        <row r="155">
          <cell r="BB155">
            <v>3.14</v>
          </cell>
          <cell r="BC155">
            <v>3.7273654024978287</v>
          </cell>
          <cell r="BD155">
            <v>4.4246028164770062</v>
          </cell>
          <cell r="BE155">
            <v>5.252264795519376</v>
          </cell>
          <cell r="BF155">
            <v>6.2347484342599531</v>
          </cell>
          <cell r="BG155">
            <v>7.4010145245662597</v>
          </cell>
          <cell r="BH155">
            <v>8.7854412363860472</v>
          </cell>
          <cell r="BI155">
            <v>10.428837487319457</v>
          </cell>
          <cell r="BJ155">
            <v>12.379645872135965</v>
          </cell>
          <cell r="BK155">
            <v>14.695370611138424</v>
          </cell>
          <cell r="BL155">
            <v>17.444272609184946</v>
          </cell>
          <cell r="BM155">
            <v>0.187059045381474</v>
          </cell>
        </row>
        <row r="156">
          <cell r="BB156">
            <v>3.16</v>
          </cell>
          <cell r="BC156">
            <v>3.5387845642008831</v>
          </cell>
          <cell r="BD156">
            <v>3.9629734784260862</v>
          </cell>
          <cell r="BE156">
            <v>4.4380092955037069</v>
          </cell>
          <cell r="BF156">
            <v>4.9699869590849852</v>
          </cell>
          <cell r="BG156">
            <v>5.5657320047751995</v>
          </cell>
          <cell r="BH156">
            <v>6.2328881351194019</v>
          </cell>
          <cell r="BI156">
            <v>6.980015292073217</v>
          </cell>
          <cell r="BJ156">
            <v>7.8166994852768408</v>
          </cell>
          <cell r="BK156">
            <v>8.7536757852831233</v>
          </cell>
          <cell r="BL156">
            <v>9.8029660598034685</v>
          </cell>
          <cell r="BM156">
            <v>0.11986853297496292</v>
          </cell>
        </row>
        <row r="157">
          <cell r="BC157">
            <v>3.53</v>
          </cell>
          <cell r="BD157">
            <v>4.2157250526625614</v>
          </cell>
          <cell r="BE157">
            <v>5.0346565778036139</v>
          </cell>
          <cell r="BF157">
            <v>6.0126707837391091</v>
          </cell>
          <cell r="BG157">
            <v>7.1806704975697464</v>
          </cell>
          <cell r="BH157">
            <v>8.5755616179942553</v>
          </cell>
          <cell r="BI157">
            <v>10.241419250320078</v>
          </cell>
          <cell r="BJ157">
            <v>12.230880370650137</v>
          </cell>
          <cell r="BK157">
            <v>14.606807023985423</v>
          </cell>
          <cell r="BL157">
            <v>17.444272609184939</v>
          </cell>
          <cell r="BM157">
            <v>0.19425638885624985</v>
          </cell>
        </row>
        <row r="158">
          <cell r="BC158">
            <v>3.66</v>
          </cell>
          <cell r="BD158">
            <v>4.0834092583825523</v>
          </cell>
          <cell r="BE158">
            <v>4.5558008665148488</v>
          </cell>
          <cell r="BF158">
            <v>5.0828413764136577</v>
          </cell>
          <cell r="BG158">
            <v>5.6708528785074988</v>
          </cell>
          <cell r="BH158">
            <v>6.3268888379843897</v>
          </cell>
          <cell r="BI158">
            <v>7.058818704312209</v>
          </cell>
          <cell r="BJ158">
            <v>7.8754223088613129</v>
          </cell>
          <cell r="BK158">
            <v>8.7864951829717981</v>
          </cell>
          <cell r="BL158">
            <v>9.8029660598034809</v>
          </cell>
          <cell r="BM158">
            <v>0.11568558972200882</v>
          </cell>
        </row>
        <row r="159">
          <cell r="BD159">
            <v>3.9543540480346944</v>
          </cell>
          <cell r="BE159">
            <v>4.7604467879848489</v>
          </cell>
          <cell r="BF159">
            <v>5.7308610574458196</v>
          </cell>
          <cell r="BG159">
            <v>6.8990937032722792</v>
          </cell>
          <cell r="BH159">
            <v>8.3054698847898578</v>
          </cell>
          <cell r="BI159">
            <v>9.9985350212642068</v>
          </cell>
          <cell r="BJ159">
            <v>12.036730487040499</v>
          </cell>
          <cell r="BK159">
            <v>14.490410896148598</v>
          </cell>
          <cell r="BL159">
            <v>17.444272609184953</v>
          </cell>
          <cell r="BM159">
            <v>0.20384941008273683</v>
          </cell>
        </row>
        <row r="160">
          <cell r="BD160">
            <v>3.9543540480346944</v>
          </cell>
          <cell r="BE160">
            <v>4.4295620961770936</v>
          </cell>
          <cell r="BF160">
            <v>4.9618774964372285</v>
          </cell>
          <cell r="BG160">
            <v>5.5581630317133417</v>
          </cell>
          <cell r="BH160">
            <v>6.2261062086452235</v>
          </cell>
          <cell r="BI160">
            <v>6.974318367444722</v>
          </cell>
          <cell r="BJ160">
            <v>7.8124457020884854</v>
          </cell>
          <cell r="BK160">
            <v>8.7512936221812936</v>
          </cell>
          <cell r="BL160">
            <v>9.8029660598034791</v>
          </cell>
          <cell r="BM160">
            <v>0.12017336899273778</v>
          </cell>
        </row>
        <row r="161">
          <cell r="BD161">
            <v>3.7373175288044092</v>
          </cell>
          <cell r="BE161">
            <v>4.5310265419154172</v>
          </cell>
          <cell r="BF161">
            <v>5.4932987002872409</v>
          </cell>
          <cell r="BG161">
            <v>6.6599324306365553</v>
          </cell>
          <cell r="BH161">
            <v>8.0743288141832252</v>
          </cell>
          <cell r="BI161">
            <v>9.7891061926762202</v>
          </cell>
          <cell r="BJ161">
            <v>11.868057674733853</v>
          </cell>
          <cell r="BK161">
            <v>14.388524365604237</v>
          </cell>
          <cell r="BL161">
            <v>17.444272609184935</v>
          </cell>
          <cell r="BM161">
            <v>0.21237398401224961</v>
          </cell>
        </row>
        <row r="162">
          <cell r="BD162">
            <v>3.8749524519615126</v>
          </cell>
          <cell r="BE162">
            <v>4.3516380747133274</v>
          </cell>
          <cell r="BF162">
            <v>4.8869642061566134</v>
          </cell>
          <cell r="BG162">
            <v>5.4881446347831302</v>
          </cell>
          <cell r="BH162">
            <v>6.1632805688148729</v>
          </cell>
          <cell r="BI162">
            <v>6.921469804053741</v>
          </cell>
          <cell r="BJ162">
            <v>7.7729293212493884</v>
          </cell>
          <cell r="BK162">
            <v>8.7291329650463592</v>
          </cell>
          <cell r="BL162">
            <v>9.8029660598034791</v>
          </cell>
          <cell r="BM162">
            <v>0.12301715405837177</v>
          </cell>
        </row>
        <row r="164">
          <cell r="BC164">
            <v>13</v>
          </cell>
          <cell r="BD164">
            <v>14.3</v>
          </cell>
          <cell r="BE164">
            <v>15.730000000000002</v>
          </cell>
          <cell r="BF164">
            <v>17.303000000000004</v>
          </cell>
          <cell r="BG164">
            <v>19.033300000000008</v>
          </cell>
          <cell r="BH164">
            <v>20.936630000000012</v>
          </cell>
          <cell r="BI164">
            <v>23.030293000000015</v>
          </cell>
          <cell r="BJ164">
            <v>25.333322300000017</v>
          </cell>
          <cell r="BK164">
            <v>27.866654530000019</v>
          </cell>
          <cell r="BL164">
            <v>30.653319983000024</v>
          </cell>
          <cell r="BM164">
            <v>0.1</v>
          </cell>
        </row>
      </sheetData>
      <sheetData sheetId="15" refreshError="1"/>
      <sheetData sheetId="16" refreshError="1">
        <row r="1">
          <cell r="A1" t="str">
            <v>RRST-5.15</v>
          </cell>
          <cell r="D1" t="str">
            <v>RISK-REWARD SNAPSHOT
(You must upload your model to ModelWare to capture changes to your scenario values and NOT delete this worksheet.)</v>
          </cell>
          <cell r="I1" t="str">
            <v>Select Language</v>
          </cell>
          <cell r="N1" t="str">
            <v>http://ChartGallery</v>
          </cell>
          <cell r="O1" t="str">
            <v>http://ChartGallery</v>
          </cell>
          <cell r="AA1" t="str">
            <v>ElementName</v>
          </cell>
          <cell r="AB1" t="str">
            <v>ScaleOverride</v>
          </cell>
          <cell r="AC1" t="str">
            <v>UnitOverride</v>
          </cell>
          <cell r="AD1" t="str">
            <v>ReverseSign</v>
          </cell>
          <cell r="AE1" t="str">
            <v>IsDrivingAssumption</v>
          </cell>
          <cell r="AF1" t="str">
            <v>SegmentID</v>
          </cell>
        </row>
        <row r="2">
          <cell r="B2" t="str">
            <v>Instructions:</v>
          </cell>
          <cell r="G2" t="str">
            <v>Is refreshing chart data too slow? Read below to improve performance.</v>
          </cell>
          <cell r="AQ2" t="str">
            <v>Refer to cell G2 to learn about improving chart refresh performance</v>
          </cell>
        </row>
        <row r="4">
          <cell r="B4" t="str">
            <v>Ticker:</v>
          </cell>
          <cell r="C4" t="str">
            <v>MHS.N</v>
          </cell>
          <cell r="E4" t="str">
            <v>Company Name:</v>
          </cell>
          <cell r="F4" t="str">
            <v>Medco</v>
          </cell>
          <cell r="I4" t="str">
            <v>Sedol:</v>
          </cell>
          <cell r="J4">
            <v>2954019</v>
          </cell>
          <cell r="K4">
            <v>2954019</v>
          </cell>
        </row>
        <row r="5">
          <cell r="B5" t="str">
            <v xml:space="preserve">Chart Data Inputs (decimal formats will reflect on chart): </v>
          </cell>
          <cell r="H5" t="str">
            <v>Risk Reward Chart Gallery 
(Click on the below image for other Risk-Reward Charts)</v>
          </cell>
        </row>
        <row r="6">
          <cell r="B6" t="str">
            <v>Bull Case</v>
          </cell>
          <cell r="C6">
            <v>75</v>
          </cell>
          <cell r="AA6" t="str">
            <v>mstag:bullCaseValueEstimatePerShare</v>
          </cell>
          <cell r="AB6">
            <v>0</v>
          </cell>
          <cell r="AC6" t="str">
            <v>ISO4217:USD</v>
          </cell>
          <cell r="AD6" t="b">
            <v>0</v>
          </cell>
        </row>
        <row r="7">
          <cell r="B7" t="str">
            <v>Base Case</v>
          </cell>
          <cell r="C7">
            <v>68</v>
          </cell>
          <cell r="AA7" t="str">
            <v>mstag:met_12monthIntrinsicValueEstimate</v>
          </cell>
          <cell r="AB7">
            <v>0</v>
          </cell>
          <cell r="AC7" t="str">
            <v>ISO4217:USD</v>
          </cell>
          <cell r="AD7" t="b">
            <v>0</v>
          </cell>
        </row>
        <row r="8">
          <cell r="B8" t="str">
            <v>Bear Case</v>
          </cell>
          <cell r="C8">
            <v>40</v>
          </cell>
          <cell r="K8" t="str">
            <v>日本語</v>
          </cell>
          <cell r="M8" t="str">
            <v>-</v>
          </cell>
          <cell r="AA8" t="str">
            <v>mstag:bearCaseValueEstimatePerShare</v>
          </cell>
          <cell r="AB8">
            <v>0</v>
          </cell>
          <cell r="AC8" t="str">
            <v>ISO4217:USD</v>
          </cell>
          <cell r="AD8" t="b">
            <v>0</v>
          </cell>
        </row>
        <row r="9">
          <cell r="B9" t="str">
            <v>Extreme Upside</v>
          </cell>
          <cell r="K9" t="str">
            <v>English</v>
          </cell>
          <cell r="L9" t="str">
            <v>年</v>
          </cell>
          <cell r="M9" t="str">
            <v>月</v>
          </cell>
          <cell r="N9" t="str">
            <v>-</v>
          </cell>
          <cell r="AA9" t="str">
            <v>mstag:extremeBullCaseValueEstimatePerShare</v>
          </cell>
          <cell r="AB9">
            <v>0</v>
          </cell>
          <cell r="AC9" t="str">
            <v>ISO4217:USD</v>
          </cell>
          <cell r="AD9" t="b">
            <v>0</v>
          </cell>
          <cell r="AH9" t="str">
            <v>Other Refresh Chart Option</v>
          </cell>
        </row>
        <row r="10">
          <cell r="B10" t="str">
            <v>Extreme Downside</v>
          </cell>
          <cell r="O10" t="b">
            <v>0</v>
          </cell>
          <cell r="AA10" t="str">
            <v>mstag:extremeBearCaseValueEstimatePerShare</v>
          </cell>
          <cell r="AB10">
            <v>0</v>
          </cell>
          <cell r="AC10" t="str">
            <v>ISO4217:USD</v>
          </cell>
          <cell r="AD10" t="b">
            <v>0</v>
          </cell>
        </row>
        <row r="11">
          <cell r="B11" t="str">
            <v>Price Target</v>
          </cell>
          <cell r="C11" t="str">
            <v>NA</v>
          </cell>
          <cell r="O11" t="b">
            <v>1</v>
          </cell>
        </row>
        <row r="12">
          <cell r="B12" t="str">
            <v>Currency</v>
          </cell>
          <cell r="C12" t="str">
            <v>USD American Dollar</v>
          </cell>
          <cell r="F12">
            <v>0</v>
          </cell>
        </row>
        <row r="13">
          <cell r="B13" t="str">
            <v>Currency Symbol</v>
          </cell>
          <cell r="C13" t="str">
            <v>$</v>
          </cell>
          <cell r="F13">
            <v>0</v>
          </cell>
          <cell r="I13" t="str">
            <v xml:space="preserve">WARNINGDONOTEDIT_RRS4RL~MHS.N~ </v>
          </cell>
        </row>
        <row r="14">
          <cell r="B14" t="str">
            <v>"Refresh RR Chart" updates chart dates below, as of today. If your PT time horizon is &gt; 1yr. or price history is &lt; 2yrs., adjust Start/End dates and select "Apply Manually Adjusted Dates" option.</v>
          </cell>
        </row>
        <row r="15">
          <cell r="B15" t="str">
            <v>Start Date (-2 Yrs)</v>
          </cell>
          <cell r="C15">
            <v>40232</v>
          </cell>
          <cell r="E15" t="str">
            <v>NA</v>
          </cell>
          <cell r="F15" t="str">
            <v>USD</v>
          </cell>
        </row>
        <row r="16">
          <cell r="B16" t="str">
            <v>End Date (+1 Yr)</v>
          </cell>
          <cell r="C16">
            <v>41328</v>
          </cell>
          <cell r="E16" t="str">
            <v>USD</v>
          </cell>
          <cell r="F16" t="str">
            <v>USD</v>
          </cell>
        </row>
        <row r="17">
          <cell r="B17">
            <v>64.049987999999999</v>
          </cell>
          <cell r="C17" t="str">
            <v>Hand entert Share Price</v>
          </cell>
          <cell r="H17" t="str">
            <v>2007-FY</v>
          </cell>
        </row>
        <row r="18">
          <cell r="B18" t="b">
            <v>0</v>
          </cell>
          <cell r="C18">
            <v>40962</v>
          </cell>
        </row>
        <row r="19">
          <cell r="C19" t="str">
            <v>2011-FY</v>
          </cell>
        </row>
        <row r="34">
          <cell r="A34" t="str">
            <v>BullCase</v>
          </cell>
        </row>
        <row r="52">
          <cell r="A52">
            <v>41328</v>
          </cell>
          <cell r="B52">
            <v>758</v>
          </cell>
          <cell r="N52">
            <v>41328</v>
          </cell>
          <cell r="O52" t="str">
            <v>Feb-13</v>
          </cell>
          <cell r="P52" t="str">
            <v>Base Case  (Feb-13)</v>
          </cell>
          <cell r="R52" t="b">
            <v>1</v>
          </cell>
        </row>
        <row r="53">
          <cell r="A53" t="str">
            <v>Header</v>
          </cell>
          <cell r="B53" t="str">
            <v>Date</v>
          </cell>
          <cell r="C53" t="str">
            <v>Past/Future</v>
          </cell>
          <cell r="D53" t="str">
            <v>Historical Stock Performance</v>
          </cell>
          <cell r="E53" t="str">
            <v>Extreme Upside Cone</v>
          </cell>
          <cell r="F53" t="str">
            <v>Blue Cone</v>
          </cell>
          <cell r="G53" t="str">
            <v>Extreme Downside Cone</v>
          </cell>
          <cell r="H53" t="str">
            <v>White Mask</v>
          </cell>
          <cell r="I53" t="str">
            <v>Current Stock Price</v>
          </cell>
          <cell r="J53" t="str">
            <v>Extreme Upside Price(Feb-13)</v>
          </cell>
          <cell r="K53" t="str">
            <v>Bull Price(Feb-13)</v>
          </cell>
          <cell r="L53" t="str">
            <v>Bear Price(Feb-13)</v>
          </cell>
          <cell r="M53" t="str">
            <v>Extreme Downside Price(Feb-13)</v>
          </cell>
          <cell r="N53" t="str">
            <v>Base Case  (Feb-13)</v>
          </cell>
          <cell r="P53" t="str">
            <v>Prices</v>
          </cell>
          <cell r="Q53" t="str">
            <v>Volume</v>
          </cell>
          <cell r="R53" t="str">
            <v>Base Case(Feb-13)</v>
          </cell>
          <cell r="S53" t="str">
            <v>Header Row</v>
          </cell>
          <cell r="T53">
            <v>53</v>
          </cell>
          <cell r="U53">
            <v>0</v>
          </cell>
          <cell r="AI53" t="str">
            <v xml:space="preserve">Display </v>
          </cell>
          <cell r="AJ53" t="str">
            <v>Symbol</v>
          </cell>
          <cell r="AK53" t="str">
            <v>Unit</v>
          </cell>
          <cell r="AL53" t="str">
            <v>Thomson ReutersUnit</v>
          </cell>
          <cell r="AM53" t="str">
            <v>Right alligned</v>
          </cell>
          <cell r="AN53" t="str">
            <v>Display 2 Decimal Places for Currency Amount</v>
          </cell>
        </row>
        <row r="54">
          <cell r="A54">
            <v>40232</v>
          </cell>
          <cell r="B54">
            <v>40232</v>
          </cell>
          <cell r="C54" t="str">
            <v>Past</v>
          </cell>
          <cell r="D54">
            <v>62.399994</v>
          </cell>
          <cell r="E54" t="e">
            <v>#N/A</v>
          </cell>
          <cell r="F54" t="e">
            <v>#N/A</v>
          </cell>
          <cell r="G54" t="e">
            <v>#N/A</v>
          </cell>
          <cell r="H54" t="e">
            <v>#N/A</v>
          </cell>
          <cell r="I54" t="e">
            <v>#N/A</v>
          </cell>
          <cell r="J54" t="e">
            <v>#N/A</v>
          </cell>
          <cell r="K54" t="e">
            <v>#N/A</v>
          </cell>
          <cell r="L54" t="e">
            <v>#N/A</v>
          </cell>
          <cell r="M54" t="e">
            <v>#N/A</v>
          </cell>
          <cell r="N54" t="e">
            <v>#N/A</v>
          </cell>
          <cell r="O54" t="e">
            <v>#N/A</v>
          </cell>
          <cell r="P54">
            <v>62.399994</v>
          </cell>
          <cell r="Q54">
            <v>5.7660739999999997</v>
          </cell>
          <cell r="R54" t="e">
            <v>#N/A</v>
          </cell>
          <cell r="S54" t="str">
            <v>Count</v>
          </cell>
          <cell r="T54">
            <v>758</v>
          </cell>
          <cell r="U54">
            <v>75</v>
          </cell>
          <cell r="AI54" t="str">
            <v>AED UAE Dirham</v>
          </cell>
          <cell r="AJ54" t="str">
            <v>AED</v>
          </cell>
          <cell r="AK54" t="str">
            <v>AED</v>
          </cell>
          <cell r="AL54" t="str">
            <v>AED</v>
          </cell>
          <cell r="AM54">
            <v>0</v>
          </cell>
          <cell r="AN54">
            <v>2</v>
          </cell>
        </row>
        <row r="55">
          <cell r="A55">
            <v>40233</v>
          </cell>
          <cell r="B55">
            <v>40233</v>
          </cell>
          <cell r="C55" t="str">
            <v>Past</v>
          </cell>
          <cell r="D55">
            <v>62.059998</v>
          </cell>
          <cell r="E55" t="e">
            <v>#N/A</v>
          </cell>
          <cell r="F55" t="e">
            <v>#N/A</v>
          </cell>
          <cell r="G55" t="e">
            <v>#N/A</v>
          </cell>
          <cell r="H55" t="e">
            <v>#N/A</v>
          </cell>
          <cell r="I55" t="e">
            <v>#N/A</v>
          </cell>
          <cell r="J55" t="e">
            <v>#N/A</v>
          </cell>
          <cell r="K55" t="e">
            <v>#N/A</v>
          </cell>
          <cell r="L55" t="e">
            <v>#N/A</v>
          </cell>
          <cell r="M55" t="e">
            <v>#N/A</v>
          </cell>
          <cell r="N55" t="e">
            <v>#N/A</v>
          </cell>
          <cell r="O55" t="e">
            <v>#N/A</v>
          </cell>
          <cell r="P55">
            <v>62.059998</v>
          </cell>
          <cell r="Q55">
            <v>4.1841879999999998</v>
          </cell>
          <cell r="R55" t="e">
            <v>#N/A</v>
          </cell>
          <cell r="S55" t="str">
            <v>Curr Price</v>
          </cell>
          <cell r="T55">
            <v>64.049987999999999</v>
          </cell>
          <cell r="U55">
            <v>506</v>
          </cell>
          <cell r="V55">
            <v>354.90281500000003</v>
          </cell>
          <cell r="AI55" t="str">
            <v>ARS Argentinian Pesos</v>
          </cell>
          <cell r="AJ55" t="str">
            <v>Ar$</v>
          </cell>
          <cell r="AK55" t="str">
            <v>ARS</v>
          </cell>
          <cell r="AL55" t="str">
            <v>ARS</v>
          </cell>
          <cell r="AM55">
            <v>0</v>
          </cell>
          <cell r="AN55">
            <v>2</v>
          </cell>
        </row>
        <row r="56">
          <cell r="A56">
            <v>40234</v>
          </cell>
          <cell r="B56">
            <v>40234</v>
          </cell>
          <cell r="C56" t="str">
            <v>Past</v>
          </cell>
          <cell r="D56">
            <v>62.919998999999997</v>
          </cell>
          <cell r="E56" t="e">
            <v>#N/A</v>
          </cell>
          <cell r="F56" t="e">
            <v>#N/A</v>
          </cell>
          <cell r="G56" t="e">
            <v>#N/A</v>
          </cell>
          <cell r="H56" t="e">
            <v>#N/A</v>
          </cell>
          <cell r="I56" t="e">
            <v>#N/A</v>
          </cell>
          <cell r="J56" t="e">
            <v>#N/A</v>
          </cell>
          <cell r="K56" t="e">
            <v>#N/A</v>
          </cell>
          <cell r="L56" t="e">
            <v>#N/A</v>
          </cell>
          <cell r="M56" t="e">
            <v>#N/A</v>
          </cell>
          <cell r="N56" t="e">
            <v>#N/A</v>
          </cell>
          <cell r="O56" t="e">
            <v>#N/A</v>
          </cell>
          <cell r="P56">
            <v>62.919998999999997</v>
          </cell>
          <cell r="Q56">
            <v>4.9031060000000002</v>
          </cell>
          <cell r="R56" t="e">
            <v>#N/A</v>
          </cell>
          <cell r="S56" t="str">
            <v>Curr Price Date</v>
          </cell>
          <cell r="T56">
            <v>40962</v>
          </cell>
          <cell r="U56">
            <v>40955.673842592594</v>
          </cell>
          <cell r="AI56" t="str">
            <v>AUD Australian Dollar</v>
          </cell>
          <cell r="AJ56" t="str">
            <v>A$</v>
          </cell>
          <cell r="AK56" t="str">
            <v>AUD</v>
          </cell>
          <cell r="AL56" t="str">
            <v>AUD</v>
          </cell>
          <cell r="AM56">
            <v>0</v>
          </cell>
          <cell r="AN56">
            <v>2</v>
          </cell>
        </row>
        <row r="57">
          <cell r="A57">
            <v>40235</v>
          </cell>
          <cell r="B57">
            <v>40235</v>
          </cell>
          <cell r="C57" t="str">
            <v>Past</v>
          </cell>
          <cell r="D57">
            <v>63.239991000000003</v>
          </cell>
          <cell r="E57" t="e">
            <v>#N/A</v>
          </cell>
          <cell r="F57" t="e">
            <v>#N/A</v>
          </cell>
          <cell r="G57" t="e">
            <v>#N/A</v>
          </cell>
          <cell r="H57" t="e">
            <v>#N/A</v>
          </cell>
          <cell r="I57" t="e">
            <v>#N/A</v>
          </cell>
          <cell r="J57" t="e">
            <v>#N/A</v>
          </cell>
          <cell r="K57" t="e">
            <v>#N/A</v>
          </cell>
          <cell r="L57" t="e">
            <v>#N/A</v>
          </cell>
          <cell r="M57" t="e">
            <v>#N/A</v>
          </cell>
          <cell r="N57" t="e">
            <v>#N/A</v>
          </cell>
          <cell r="O57" t="e">
            <v>#N/A</v>
          </cell>
          <cell r="P57">
            <v>63.239991000000003</v>
          </cell>
          <cell r="Q57">
            <v>2.978904</v>
          </cell>
          <cell r="R57" t="e">
            <v>#N/A</v>
          </cell>
          <cell r="S57" t="str">
            <v>Bull-Curr</v>
          </cell>
          <cell r="T57">
            <v>10.950012000000001</v>
          </cell>
          <cell r="U57">
            <v>4.3280679841897235E-2</v>
          </cell>
          <cell r="AI57" t="str">
            <v>BGL Bulgarian levs</v>
          </cell>
          <cell r="AJ57" t="str">
            <v>BGL</v>
          </cell>
          <cell r="AK57" t="str">
            <v>BGL</v>
          </cell>
          <cell r="AL57" t="str">
            <v>BGN</v>
          </cell>
          <cell r="AM57">
            <v>0</v>
          </cell>
          <cell r="AN57">
            <v>2</v>
          </cell>
        </row>
        <row r="58">
          <cell r="A58">
            <v>40238</v>
          </cell>
          <cell r="B58">
            <v>40238</v>
          </cell>
          <cell r="C58" t="str">
            <v>Past</v>
          </cell>
          <cell r="D58">
            <v>63.949997000000003</v>
          </cell>
          <cell r="E58" t="e">
            <v>#N/A</v>
          </cell>
          <cell r="F58" t="e">
            <v>#N/A</v>
          </cell>
          <cell r="G58" t="e">
            <v>#N/A</v>
          </cell>
          <cell r="H58" t="e">
            <v>#N/A</v>
          </cell>
          <cell r="I58" t="e">
            <v>#N/A</v>
          </cell>
          <cell r="J58" t="e">
            <v>#N/A</v>
          </cell>
          <cell r="K58" t="e">
            <v>#N/A</v>
          </cell>
          <cell r="L58" t="e">
            <v>#N/A</v>
          </cell>
          <cell r="M58" t="e">
            <v>#N/A</v>
          </cell>
          <cell r="N58" t="e">
            <v>#N/A</v>
          </cell>
          <cell r="O58" t="e">
            <v>#N/A</v>
          </cell>
          <cell r="P58">
            <v>63.949997000000003</v>
          </cell>
          <cell r="Q58">
            <v>2.987161</v>
          </cell>
          <cell r="R58" t="e">
            <v>#N/A</v>
          </cell>
          <cell r="S58" t="str">
            <v>Upp-Cur</v>
          </cell>
          <cell r="T58">
            <v>-64.049987999999999</v>
          </cell>
          <cell r="U58">
            <v>-0.25316200790513832</v>
          </cell>
          <cell r="AI58" t="str">
            <v>BMD Bermudan Dollars</v>
          </cell>
          <cell r="AJ58" t="str">
            <v>BMD</v>
          </cell>
          <cell r="AK58" t="str">
            <v>BMD</v>
          </cell>
          <cell r="AL58" t="str">
            <v>BMD</v>
          </cell>
          <cell r="AM58">
            <v>0</v>
          </cell>
          <cell r="AN58">
            <v>2</v>
          </cell>
        </row>
        <row r="59">
          <cell r="A59">
            <v>40239</v>
          </cell>
          <cell r="B59">
            <v>40239</v>
          </cell>
          <cell r="C59" t="str">
            <v>Past</v>
          </cell>
          <cell r="D59">
            <v>63.759995000000004</v>
          </cell>
          <cell r="E59" t="e">
            <v>#N/A</v>
          </cell>
          <cell r="F59" t="e">
            <v>#N/A</v>
          </cell>
          <cell r="G59" t="e">
            <v>#N/A</v>
          </cell>
          <cell r="H59" t="e">
            <v>#N/A</v>
          </cell>
          <cell r="I59" t="e">
            <v>#N/A</v>
          </cell>
          <cell r="J59" t="e">
            <v>#N/A</v>
          </cell>
          <cell r="K59" t="e">
            <v>#N/A</v>
          </cell>
          <cell r="L59" t="e">
            <v>#N/A</v>
          </cell>
          <cell r="M59" t="e">
            <v>#N/A</v>
          </cell>
          <cell r="N59" t="e">
            <v>#N/A</v>
          </cell>
          <cell r="O59" t="e">
            <v>#N/A</v>
          </cell>
          <cell r="P59">
            <v>63.759995000000004</v>
          </cell>
          <cell r="Q59">
            <v>3.5305360000000001</v>
          </cell>
          <cell r="R59" t="e">
            <v>#N/A</v>
          </cell>
          <cell r="S59" t="str">
            <v>Curr-Bear</v>
          </cell>
          <cell r="T59">
            <v>24.049987999999999</v>
          </cell>
          <cell r="U59">
            <v>9.5059241106719358E-2</v>
          </cell>
          <cell r="AI59" t="str">
            <v>BRL Brazilian Real</v>
          </cell>
          <cell r="AJ59" t="str">
            <v>R$</v>
          </cell>
          <cell r="AK59" t="str">
            <v>BRL</v>
          </cell>
          <cell r="AL59" t="str">
            <v>BRL</v>
          </cell>
          <cell r="AM59">
            <v>0</v>
          </cell>
          <cell r="AN59">
            <v>2</v>
          </cell>
        </row>
        <row r="60">
          <cell r="A60">
            <v>40240</v>
          </cell>
          <cell r="B60">
            <v>40240</v>
          </cell>
          <cell r="C60" t="str">
            <v>Past</v>
          </cell>
          <cell r="D60">
            <v>62.869996</v>
          </cell>
          <cell r="E60" t="e">
            <v>#N/A</v>
          </cell>
          <cell r="F60" t="e">
            <v>#N/A</v>
          </cell>
          <cell r="G60" t="e">
            <v>#N/A</v>
          </cell>
          <cell r="H60" t="e">
            <v>#N/A</v>
          </cell>
          <cell r="I60" t="e">
            <v>#N/A</v>
          </cell>
          <cell r="J60" t="e">
            <v>#N/A</v>
          </cell>
          <cell r="K60" t="e">
            <v>#N/A</v>
          </cell>
          <cell r="L60" t="e">
            <v>#N/A</v>
          </cell>
          <cell r="M60" t="e">
            <v>#N/A</v>
          </cell>
          <cell r="N60" t="e">
            <v>#N/A</v>
          </cell>
          <cell r="O60" t="e">
            <v>#N/A</v>
          </cell>
          <cell r="P60">
            <v>62.869996</v>
          </cell>
          <cell r="Q60">
            <v>4.2234420000000004</v>
          </cell>
          <cell r="R60" t="e">
            <v>#N/A</v>
          </cell>
          <cell r="S60" t="str">
            <v>Curr-Lower</v>
          </cell>
          <cell r="T60">
            <v>64.049987999999999</v>
          </cell>
          <cell r="U60">
            <v>0.25316200790513832</v>
          </cell>
          <cell r="AI60" t="str">
            <v>CAD Canadian Dollars</v>
          </cell>
          <cell r="AJ60" t="str">
            <v>C$</v>
          </cell>
          <cell r="AK60" t="str">
            <v>CAD</v>
          </cell>
          <cell r="AL60" t="str">
            <v>CAD</v>
          </cell>
          <cell r="AM60">
            <v>0</v>
          </cell>
          <cell r="AN60">
            <v>2</v>
          </cell>
        </row>
        <row r="61">
          <cell r="A61">
            <v>40241</v>
          </cell>
          <cell r="B61">
            <v>40241</v>
          </cell>
          <cell r="C61" t="str">
            <v>Past</v>
          </cell>
          <cell r="D61">
            <v>62.869996</v>
          </cell>
          <cell r="E61" t="e">
            <v>#N/A</v>
          </cell>
          <cell r="F61" t="e">
            <v>#N/A</v>
          </cell>
          <cell r="G61" t="e">
            <v>#N/A</v>
          </cell>
          <cell r="H61" t="e">
            <v>#N/A</v>
          </cell>
          <cell r="I61" t="e">
            <v>#N/A</v>
          </cell>
          <cell r="J61" t="e">
            <v>#N/A</v>
          </cell>
          <cell r="K61" t="e">
            <v>#N/A</v>
          </cell>
          <cell r="L61" t="e">
            <v>#N/A</v>
          </cell>
          <cell r="M61" t="e">
            <v>#N/A</v>
          </cell>
          <cell r="N61" t="e">
            <v>#N/A</v>
          </cell>
          <cell r="O61" t="e">
            <v>#N/A</v>
          </cell>
          <cell r="P61">
            <v>62.869996</v>
          </cell>
          <cell r="Q61">
            <v>3.2490709999999998</v>
          </cell>
          <cell r="R61" t="e">
            <v>#N/A</v>
          </cell>
          <cell r="S61" t="str">
            <v>PriceFoundAt</v>
          </cell>
          <cell r="T61">
            <v>506</v>
          </cell>
          <cell r="AI61" t="str">
            <v>CHF Swiss Francs</v>
          </cell>
          <cell r="AJ61" t="str">
            <v>SFr</v>
          </cell>
          <cell r="AK61" t="str">
            <v>CHF</v>
          </cell>
          <cell r="AL61" t="str">
            <v>CHF</v>
          </cell>
          <cell r="AM61">
            <v>0</v>
          </cell>
          <cell r="AN61">
            <v>2</v>
          </cell>
        </row>
        <row r="62">
          <cell r="A62">
            <v>40242</v>
          </cell>
          <cell r="B62">
            <v>40242</v>
          </cell>
          <cell r="C62" t="str">
            <v>Past</v>
          </cell>
          <cell r="D62">
            <v>63.589996999999997</v>
          </cell>
          <cell r="E62" t="e">
            <v>#N/A</v>
          </cell>
          <cell r="F62" t="e">
            <v>#N/A</v>
          </cell>
          <cell r="G62" t="e">
            <v>#N/A</v>
          </cell>
          <cell r="H62" t="e">
            <v>#N/A</v>
          </cell>
          <cell r="I62" t="e">
            <v>#N/A</v>
          </cell>
          <cell r="J62" t="e">
            <v>#N/A</v>
          </cell>
          <cell r="K62" t="e">
            <v>#N/A</v>
          </cell>
          <cell r="L62" t="e">
            <v>#N/A</v>
          </cell>
          <cell r="M62" t="e">
            <v>#N/A</v>
          </cell>
          <cell r="N62" t="e">
            <v>#N/A</v>
          </cell>
          <cell r="O62" t="e">
            <v>#N/A</v>
          </cell>
          <cell r="P62">
            <v>63.589996999999997</v>
          </cell>
          <cell r="Q62">
            <v>3.215776</v>
          </cell>
          <cell r="R62" t="e">
            <v>#N/A</v>
          </cell>
          <cell r="S62" t="str">
            <v>Starting Point</v>
          </cell>
          <cell r="T62">
            <v>559</v>
          </cell>
          <cell r="AI62" t="str">
            <v>CLP Chilean Pesos</v>
          </cell>
          <cell r="AJ62" t="str">
            <v>CLP</v>
          </cell>
          <cell r="AK62" t="str">
            <v>CLP</v>
          </cell>
          <cell r="AL62" t="str">
            <v>CLP</v>
          </cell>
          <cell r="AM62">
            <v>0</v>
          </cell>
          <cell r="AN62">
            <v>2</v>
          </cell>
        </row>
        <row r="63">
          <cell r="A63">
            <v>40245</v>
          </cell>
          <cell r="B63">
            <v>40245</v>
          </cell>
          <cell r="C63" t="str">
            <v>Past</v>
          </cell>
          <cell r="D63">
            <v>63.089996999999997</v>
          </cell>
          <cell r="E63" t="e">
            <v>#N/A</v>
          </cell>
          <cell r="F63" t="e">
            <v>#N/A</v>
          </cell>
          <cell r="G63" t="e">
            <v>#N/A</v>
          </cell>
          <cell r="H63" t="e">
            <v>#N/A</v>
          </cell>
          <cell r="I63" t="e">
            <v>#N/A</v>
          </cell>
          <cell r="J63" t="e">
            <v>#N/A</v>
          </cell>
          <cell r="K63" t="e">
            <v>#N/A</v>
          </cell>
          <cell r="L63" t="e">
            <v>#N/A</v>
          </cell>
          <cell r="M63" t="e">
            <v>#N/A</v>
          </cell>
          <cell r="N63" t="e">
            <v>#N/A</v>
          </cell>
          <cell r="O63" t="e">
            <v>#N/A</v>
          </cell>
          <cell r="P63">
            <v>63.089996999999997</v>
          </cell>
          <cell r="Q63">
            <v>2.8749560000000001</v>
          </cell>
          <cell r="R63" t="e">
            <v>#N/A</v>
          </cell>
          <cell r="S63" t="str">
            <v>Saved</v>
          </cell>
          <cell r="T63">
            <v>253</v>
          </cell>
          <cell r="AI63" t="str">
            <v>CNY Chinese Renminbi Yuan</v>
          </cell>
          <cell r="AJ63" t="str">
            <v>Rmb</v>
          </cell>
          <cell r="AK63" t="str">
            <v>CNY</v>
          </cell>
          <cell r="AL63" t="str">
            <v>CNY</v>
          </cell>
          <cell r="AM63">
            <v>0</v>
          </cell>
          <cell r="AN63">
            <v>2</v>
          </cell>
        </row>
        <row r="64">
          <cell r="A64">
            <v>40246</v>
          </cell>
          <cell r="B64">
            <v>40246</v>
          </cell>
          <cell r="C64" t="str">
            <v>Past</v>
          </cell>
          <cell r="D64">
            <v>63.179993000000003</v>
          </cell>
          <cell r="E64" t="e">
            <v>#N/A</v>
          </cell>
          <cell r="F64" t="e">
            <v>#N/A</v>
          </cell>
          <cell r="G64" t="e">
            <v>#N/A</v>
          </cell>
          <cell r="H64" t="e">
            <v>#N/A</v>
          </cell>
          <cell r="I64" t="e">
            <v>#N/A</v>
          </cell>
          <cell r="J64" t="e">
            <v>#N/A</v>
          </cell>
          <cell r="K64" t="e">
            <v>#N/A</v>
          </cell>
          <cell r="L64" t="e">
            <v>#N/A</v>
          </cell>
          <cell r="M64" t="e">
            <v>#N/A</v>
          </cell>
          <cell r="N64" t="e">
            <v>#N/A</v>
          </cell>
          <cell r="O64" t="e">
            <v>#N/A</v>
          </cell>
          <cell r="P64">
            <v>63.179993000000003</v>
          </cell>
          <cell r="Q64">
            <v>2.8478759999999999</v>
          </cell>
          <cell r="R64" t="e">
            <v>#N/A</v>
          </cell>
          <cell r="S64" t="str">
            <v>Right alligned</v>
          </cell>
          <cell r="T64">
            <v>0</v>
          </cell>
          <cell r="AI64" t="str">
            <v>COP Colombian Peso</v>
          </cell>
          <cell r="AJ64" t="str">
            <v>COP</v>
          </cell>
          <cell r="AK64" t="str">
            <v>COP</v>
          </cell>
          <cell r="AL64" t="str">
            <v>COP</v>
          </cell>
          <cell r="AM64">
            <v>0</v>
          </cell>
          <cell r="AN64">
            <v>2</v>
          </cell>
        </row>
        <row r="65">
          <cell r="A65">
            <v>40247</v>
          </cell>
          <cell r="B65">
            <v>40247</v>
          </cell>
          <cell r="C65" t="str">
            <v>Past</v>
          </cell>
          <cell r="D65">
            <v>62.789994</v>
          </cell>
          <cell r="E65" t="e">
            <v>#N/A</v>
          </cell>
          <cell r="F65" t="e">
            <v>#N/A</v>
          </cell>
          <cell r="G65" t="e">
            <v>#N/A</v>
          </cell>
          <cell r="H65" t="e">
            <v>#N/A</v>
          </cell>
          <cell r="I65" t="e">
            <v>#N/A</v>
          </cell>
          <cell r="J65" t="e">
            <v>#N/A</v>
          </cell>
          <cell r="K65" t="e">
            <v>#N/A</v>
          </cell>
          <cell r="L65" t="e">
            <v>#N/A</v>
          </cell>
          <cell r="M65" t="e">
            <v>#N/A</v>
          </cell>
          <cell r="N65" t="e">
            <v>#N/A</v>
          </cell>
          <cell r="O65" t="e">
            <v>#N/A</v>
          </cell>
          <cell r="P65">
            <v>62.789994</v>
          </cell>
          <cell r="Q65">
            <v>3.3796430000000002</v>
          </cell>
          <cell r="R65" t="e">
            <v>#N/A</v>
          </cell>
          <cell r="S65" t="str">
            <v>Decimal</v>
          </cell>
          <cell r="T65">
            <v>2</v>
          </cell>
          <cell r="AI65" t="str">
            <v>CZK Czech Krona</v>
          </cell>
          <cell r="AJ65" t="str">
            <v>Kcs</v>
          </cell>
          <cell r="AK65" t="str">
            <v>CZK</v>
          </cell>
          <cell r="AL65" t="str">
            <v>CZK</v>
          </cell>
          <cell r="AM65">
            <v>0</v>
          </cell>
          <cell r="AN65">
            <v>2</v>
          </cell>
        </row>
        <row r="66">
          <cell r="A66">
            <v>40248</v>
          </cell>
          <cell r="B66">
            <v>40248</v>
          </cell>
          <cell r="C66" t="str">
            <v>Past</v>
          </cell>
          <cell r="D66">
            <v>64.64</v>
          </cell>
          <cell r="E66" t="e">
            <v>#N/A</v>
          </cell>
          <cell r="F66" t="e">
            <v>#N/A</v>
          </cell>
          <cell r="G66" t="e">
            <v>#N/A</v>
          </cell>
          <cell r="H66" t="e">
            <v>#N/A</v>
          </cell>
          <cell r="I66" t="e">
            <v>#N/A</v>
          </cell>
          <cell r="J66" t="e">
            <v>#N/A</v>
          </cell>
          <cell r="K66" t="e">
            <v>#N/A</v>
          </cell>
          <cell r="L66" t="e">
            <v>#N/A</v>
          </cell>
          <cell r="M66" t="e">
            <v>#N/A</v>
          </cell>
          <cell r="N66" t="e">
            <v>#N/A</v>
          </cell>
          <cell r="O66" t="e">
            <v>#N/A</v>
          </cell>
          <cell r="P66">
            <v>64.64</v>
          </cell>
          <cell r="Q66">
            <v>3.5900699999999999</v>
          </cell>
          <cell r="R66" t="e">
            <v>#N/A</v>
          </cell>
          <cell r="S66" t="str">
            <v>default StartDate</v>
          </cell>
          <cell r="T66">
            <v>40232</v>
          </cell>
          <cell r="AI66" t="str">
            <v>DKK Danish Krone</v>
          </cell>
          <cell r="AJ66" t="str">
            <v>DKr</v>
          </cell>
          <cell r="AK66" t="str">
            <v>DKK</v>
          </cell>
          <cell r="AL66" t="str">
            <v>DKK</v>
          </cell>
          <cell r="AM66">
            <v>0</v>
          </cell>
          <cell r="AN66">
            <v>2</v>
          </cell>
        </row>
        <row r="67">
          <cell r="A67">
            <v>40249</v>
          </cell>
          <cell r="B67">
            <v>40249</v>
          </cell>
          <cell r="C67" t="str">
            <v>Past</v>
          </cell>
          <cell r="D67">
            <v>64.699996999999996</v>
          </cell>
          <cell r="E67" t="e">
            <v>#N/A</v>
          </cell>
          <cell r="F67" t="e">
            <v>#N/A</v>
          </cell>
          <cell r="G67" t="e">
            <v>#N/A</v>
          </cell>
          <cell r="H67" t="e">
            <v>#N/A</v>
          </cell>
          <cell r="I67" t="e">
            <v>#N/A</v>
          </cell>
          <cell r="J67" t="e">
            <v>#N/A</v>
          </cell>
          <cell r="K67" t="e">
            <v>#N/A</v>
          </cell>
          <cell r="L67" t="e">
            <v>#N/A</v>
          </cell>
          <cell r="M67" t="e">
            <v>#N/A</v>
          </cell>
          <cell r="N67" t="e">
            <v>#N/A</v>
          </cell>
          <cell r="O67" t="e">
            <v>#N/A</v>
          </cell>
          <cell r="P67">
            <v>64.699996999999996</v>
          </cell>
          <cell r="Q67">
            <v>2.7048239999999999</v>
          </cell>
          <cell r="R67" t="e">
            <v>#N/A</v>
          </cell>
          <cell r="S67" t="str">
            <v>default EndDate</v>
          </cell>
          <cell r="T67">
            <v>41328</v>
          </cell>
          <cell r="AI67" t="str">
            <v>DZD Algerian Dinar</v>
          </cell>
          <cell r="AJ67" t="str">
            <v>DZD</v>
          </cell>
          <cell r="AK67" t="str">
            <v>DZD</v>
          </cell>
          <cell r="AL67" t="str">
            <v>DZD</v>
          </cell>
          <cell r="AM67">
            <v>0</v>
          </cell>
          <cell r="AN67">
            <v>2</v>
          </cell>
        </row>
        <row r="68">
          <cell r="A68">
            <v>40252</v>
          </cell>
          <cell r="B68">
            <v>40252</v>
          </cell>
          <cell r="C68" t="str">
            <v>Past</v>
          </cell>
          <cell r="D68">
            <v>64.149994000000007</v>
          </cell>
          <cell r="E68" t="e">
            <v>#N/A</v>
          </cell>
          <cell r="F68" t="e">
            <v>#N/A</v>
          </cell>
          <cell r="G68" t="e">
            <v>#N/A</v>
          </cell>
          <cell r="H68" t="e">
            <v>#N/A</v>
          </cell>
          <cell r="I68" t="e">
            <v>#N/A</v>
          </cell>
          <cell r="J68" t="e">
            <v>#N/A</v>
          </cell>
          <cell r="K68" t="e">
            <v>#N/A</v>
          </cell>
          <cell r="L68" t="e">
            <v>#N/A</v>
          </cell>
          <cell r="M68" t="e">
            <v>#N/A</v>
          </cell>
          <cell r="N68" t="e">
            <v>#N/A</v>
          </cell>
          <cell r="O68" t="e">
            <v>#N/A</v>
          </cell>
          <cell r="P68">
            <v>64.149994000000007</v>
          </cell>
          <cell r="Q68">
            <v>3.54264</v>
          </cell>
          <cell r="R68" t="e">
            <v>#N/A</v>
          </cell>
          <cell r="S68" t="str">
            <v>Max sharePrice</v>
          </cell>
          <cell r="T68">
            <v>66.169999000000004</v>
          </cell>
          <cell r="AI68" t="str">
            <v>EGP Egyptian Pound</v>
          </cell>
          <cell r="AJ68" t="str">
            <v>EGP</v>
          </cell>
          <cell r="AK68" t="str">
            <v>EGP</v>
          </cell>
          <cell r="AL68" t="str">
            <v>EGP</v>
          </cell>
          <cell r="AM68">
            <v>0</v>
          </cell>
          <cell r="AN68">
            <v>2</v>
          </cell>
        </row>
        <row r="69">
          <cell r="A69">
            <v>40253</v>
          </cell>
          <cell r="B69">
            <v>40253</v>
          </cell>
          <cell r="C69" t="str">
            <v>Past</v>
          </cell>
          <cell r="D69">
            <v>64.009995000000004</v>
          </cell>
          <cell r="E69" t="e">
            <v>#N/A</v>
          </cell>
          <cell r="F69" t="e">
            <v>#N/A</v>
          </cell>
          <cell r="G69" t="e">
            <v>#N/A</v>
          </cell>
          <cell r="H69" t="e">
            <v>#N/A</v>
          </cell>
          <cell r="I69" t="e">
            <v>#N/A</v>
          </cell>
          <cell r="J69" t="e">
            <v>#N/A</v>
          </cell>
          <cell r="K69" t="e">
            <v>#N/A</v>
          </cell>
          <cell r="L69" t="e">
            <v>#N/A</v>
          </cell>
          <cell r="M69" t="e">
            <v>#N/A</v>
          </cell>
          <cell r="N69" t="e">
            <v>#N/A</v>
          </cell>
          <cell r="O69" t="e">
            <v>#N/A</v>
          </cell>
          <cell r="P69">
            <v>64.009995000000004</v>
          </cell>
          <cell r="Q69">
            <v>2.9422820000000001</v>
          </cell>
          <cell r="R69" t="e">
            <v>#N/A</v>
          </cell>
          <cell r="AI69" t="str">
            <v>EUR Euro</v>
          </cell>
          <cell r="AJ69" t="str">
            <v>€</v>
          </cell>
          <cell r="AK69" t="str">
            <v>EUR</v>
          </cell>
          <cell r="AL69" t="str">
            <v>EUR</v>
          </cell>
          <cell r="AM69">
            <v>0</v>
          </cell>
          <cell r="AN69">
            <v>2</v>
          </cell>
        </row>
        <row r="70">
          <cell r="A70">
            <v>40254</v>
          </cell>
          <cell r="B70">
            <v>40254</v>
          </cell>
          <cell r="C70" t="str">
            <v>Past</v>
          </cell>
          <cell r="D70">
            <v>64.599991000000003</v>
          </cell>
          <cell r="E70" t="e">
            <v>#N/A</v>
          </cell>
          <cell r="F70" t="e">
            <v>#N/A</v>
          </cell>
          <cell r="G70" t="e">
            <v>#N/A</v>
          </cell>
          <cell r="H70" t="e">
            <v>#N/A</v>
          </cell>
          <cell r="I70" t="e">
            <v>#N/A</v>
          </cell>
          <cell r="J70" t="e">
            <v>#N/A</v>
          </cell>
          <cell r="K70" t="e">
            <v>#N/A</v>
          </cell>
          <cell r="L70" t="e">
            <v>#N/A</v>
          </cell>
          <cell r="M70" t="e">
            <v>#N/A</v>
          </cell>
          <cell r="N70" t="e">
            <v>#N/A</v>
          </cell>
          <cell r="O70" t="e">
            <v>#N/A</v>
          </cell>
          <cell r="P70">
            <v>64.599991000000003</v>
          </cell>
          <cell r="Q70">
            <v>2.4326310000000002</v>
          </cell>
          <cell r="R70" t="e">
            <v>#N/A</v>
          </cell>
          <cell r="AI70" t="str">
            <v>GBp British Pence</v>
          </cell>
          <cell r="AJ70" t="str">
            <v>p</v>
          </cell>
          <cell r="AK70" t="str">
            <v>GBp</v>
          </cell>
          <cell r="AL70" t="str">
            <v>BPN</v>
          </cell>
          <cell r="AM70">
            <v>1</v>
          </cell>
          <cell r="AN70">
            <v>0</v>
          </cell>
        </row>
        <row r="71">
          <cell r="A71">
            <v>40255</v>
          </cell>
          <cell r="B71">
            <v>40255</v>
          </cell>
          <cell r="C71" t="str">
            <v>Past</v>
          </cell>
          <cell r="D71">
            <v>65.799987999999999</v>
          </cell>
          <cell r="E71" t="e">
            <v>#N/A</v>
          </cell>
          <cell r="F71" t="e">
            <v>#N/A</v>
          </cell>
          <cell r="G71" t="e">
            <v>#N/A</v>
          </cell>
          <cell r="H71" t="e">
            <v>#N/A</v>
          </cell>
          <cell r="I71" t="e">
            <v>#N/A</v>
          </cell>
          <cell r="J71" t="e">
            <v>#N/A</v>
          </cell>
          <cell r="K71" t="e">
            <v>#N/A</v>
          </cell>
          <cell r="L71" t="e">
            <v>#N/A</v>
          </cell>
          <cell r="M71" t="e">
            <v>#N/A</v>
          </cell>
          <cell r="N71" t="e">
            <v>#N/A</v>
          </cell>
          <cell r="O71" t="e">
            <v>#N/A</v>
          </cell>
          <cell r="P71">
            <v>65.799987999999999</v>
          </cell>
          <cell r="Q71">
            <v>3.172231</v>
          </cell>
          <cell r="R71" t="e">
            <v>#N/A</v>
          </cell>
          <cell r="AI71" t="str">
            <v>GBP British Pound</v>
          </cell>
          <cell r="AJ71" t="str">
            <v>₤</v>
          </cell>
          <cell r="AK71" t="str">
            <v>GBP</v>
          </cell>
          <cell r="AL71" t="str">
            <v>GBP</v>
          </cell>
          <cell r="AM71">
            <v>0</v>
          </cell>
          <cell r="AN71">
            <v>2</v>
          </cell>
        </row>
        <row r="72">
          <cell r="A72">
            <v>40256</v>
          </cell>
          <cell r="B72">
            <v>40256</v>
          </cell>
          <cell r="C72" t="str">
            <v>Past</v>
          </cell>
          <cell r="D72">
            <v>66.049987999999999</v>
          </cell>
          <cell r="E72" t="e">
            <v>#N/A</v>
          </cell>
          <cell r="F72" t="e">
            <v>#N/A</v>
          </cell>
          <cell r="G72" t="e">
            <v>#N/A</v>
          </cell>
          <cell r="H72" t="e">
            <v>#N/A</v>
          </cell>
          <cell r="I72" t="e">
            <v>#N/A</v>
          </cell>
          <cell r="J72" t="e">
            <v>#N/A</v>
          </cell>
          <cell r="K72" t="e">
            <v>#N/A</v>
          </cell>
          <cell r="L72" t="e">
            <v>#N/A</v>
          </cell>
          <cell r="M72" t="e">
            <v>#N/A</v>
          </cell>
          <cell r="N72" t="e">
            <v>#N/A</v>
          </cell>
          <cell r="O72" t="e">
            <v>#N/A</v>
          </cell>
          <cell r="P72">
            <v>66.049987999999999</v>
          </cell>
          <cell r="Q72">
            <v>5.7852620000000003</v>
          </cell>
          <cell r="R72" t="e">
            <v>#N/A</v>
          </cell>
          <cell r="AI72" t="str">
            <v>HKD Hong Kong Dollar</v>
          </cell>
          <cell r="AJ72" t="str">
            <v>HK$</v>
          </cell>
          <cell r="AK72" t="str">
            <v>HKD</v>
          </cell>
          <cell r="AL72" t="str">
            <v>HKD</v>
          </cell>
          <cell r="AM72">
            <v>0</v>
          </cell>
          <cell r="AN72">
            <v>2</v>
          </cell>
        </row>
        <row r="73">
          <cell r="A73">
            <v>40259</v>
          </cell>
          <cell r="B73">
            <v>40259</v>
          </cell>
          <cell r="C73" t="str">
            <v>Past</v>
          </cell>
          <cell r="D73">
            <v>66.169999000000004</v>
          </cell>
          <cell r="E73" t="e">
            <v>#N/A</v>
          </cell>
          <cell r="F73" t="e">
            <v>#N/A</v>
          </cell>
          <cell r="G73" t="e">
            <v>#N/A</v>
          </cell>
          <cell r="H73" t="e">
            <v>#N/A</v>
          </cell>
          <cell r="I73" t="e">
            <v>#N/A</v>
          </cell>
          <cell r="J73" t="e">
            <v>#N/A</v>
          </cell>
          <cell r="K73" t="e">
            <v>#N/A</v>
          </cell>
          <cell r="L73" t="e">
            <v>#N/A</v>
          </cell>
          <cell r="M73" t="e">
            <v>#N/A</v>
          </cell>
          <cell r="N73" t="e">
            <v>#N/A</v>
          </cell>
          <cell r="O73" t="e">
            <v>#N/A</v>
          </cell>
          <cell r="P73">
            <v>66.169999000000004</v>
          </cell>
          <cell r="Q73">
            <v>2.860106</v>
          </cell>
          <cell r="R73" t="e">
            <v>#N/A</v>
          </cell>
          <cell r="AI73" t="str">
            <v>HUF Hungarian forint</v>
          </cell>
          <cell r="AJ73" t="str">
            <v>Ft</v>
          </cell>
          <cell r="AK73" t="str">
            <v>HUF</v>
          </cell>
          <cell r="AL73" t="str">
            <v>HUF</v>
          </cell>
          <cell r="AM73">
            <v>0</v>
          </cell>
          <cell r="AN73">
            <v>2</v>
          </cell>
        </row>
        <row r="74">
          <cell r="A74">
            <v>40260</v>
          </cell>
          <cell r="B74">
            <v>40260</v>
          </cell>
          <cell r="C74" t="str">
            <v>Past</v>
          </cell>
          <cell r="D74">
            <v>66.069992999999997</v>
          </cell>
          <cell r="E74" t="e">
            <v>#N/A</v>
          </cell>
          <cell r="F74" t="e">
            <v>#N/A</v>
          </cell>
          <cell r="G74" t="e">
            <v>#N/A</v>
          </cell>
          <cell r="H74" t="e">
            <v>#N/A</v>
          </cell>
          <cell r="I74" t="e">
            <v>#N/A</v>
          </cell>
          <cell r="J74" t="e">
            <v>#N/A</v>
          </cell>
          <cell r="K74" t="e">
            <v>#N/A</v>
          </cell>
          <cell r="L74" t="e">
            <v>#N/A</v>
          </cell>
          <cell r="M74" t="e">
            <v>#N/A</v>
          </cell>
          <cell r="N74" t="e">
            <v>#N/A</v>
          </cell>
          <cell r="O74" t="e">
            <v>#N/A</v>
          </cell>
          <cell r="P74">
            <v>66.069992999999997</v>
          </cell>
          <cell r="Q74">
            <v>2.2361550000000001</v>
          </cell>
          <cell r="R74" t="e">
            <v>#N/A</v>
          </cell>
          <cell r="AI74" t="str">
            <v>IDR Indonesian Rupiah</v>
          </cell>
          <cell r="AJ74" t="str">
            <v>Rp</v>
          </cell>
          <cell r="AK74" t="str">
            <v>IDR</v>
          </cell>
          <cell r="AL74" t="str">
            <v>IDR</v>
          </cell>
          <cell r="AM74">
            <v>0</v>
          </cell>
          <cell r="AN74">
            <v>0</v>
          </cell>
        </row>
        <row r="75">
          <cell r="A75">
            <v>40261</v>
          </cell>
          <cell r="B75">
            <v>40261</v>
          </cell>
          <cell r="C75" t="str">
            <v>Past</v>
          </cell>
          <cell r="D75">
            <v>65.469986000000006</v>
          </cell>
          <cell r="E75" t="e">
            <v>#N/A</v>
          </cell>
          <cell r="F75" t="e">
            <v>#N/A</v>
          </cell>
          <cell r="G75" t="e">
            <v>#N/A</v>
          </cell>
          <cell r="H75" t="e">
            <v>#N/A</v>
          </cell>
          <cell r="I75" t="e">
            <v>#N/A</v>
          </cell>
          <cell r="J75" t="e">
            <v>#N/A</v>
          </cell>
          <cell r="K75" t="e">
            <v>#N/A</v>
          </cell>
          <cell r="L75" t="e">
            <v>#N/A</v>
          </cell>
          <cell r="M75" t="e">
            <v>#N/A</v>
          </cell>
          <cell r="N75" t="e">
            <v>#N/A</v>
          </cell>
          <cell r="O75" t="e">
            <v>#N/A</v>
          </cell>
          <cell r="P75">
            <v>65.469986000000006</v>
          </cell>
          <cell r="Q75">
            <v>1.9378949999999999</v>
          </cell>
          <cell r="R75" t="e">
            <v>#N/A</v>
          </cell>
          <cell r="AI75" t="str">
            <v>ILS Israeli shekel</v>
          </cell>
          <cell r="AJ75" t="str">
            <v>ILS</v>
          </cell>
          <cell r="AK75" t="str">
            <v>ILS</v>
          </cell>
          <cell r="AL75" t="str">
            <v>ILS</v>
          </cell>
          <cell r="AM75">
            <v>0</v>
          </cell>
          <cell r="AN75">
            <v>2</v>
          </cell>
        </row>
        <row r="76">
          <cell r="A76">
            <v>40262</v>
          </cell>
          <cell r="B76">
            <v>40262</v>
          </cell>
          <cell r="C76" t="str">
            <v>Past</v>
          </cell>
          <cell r="D76">
            <v>65.39</v>
          </cell>
          <cell r="E76" t="e">
            <v>#N/A</v>
          </cell>
          <cell r="F76" t="e">
            <v>#N/A</v>
          </cell>
          <cell r="G76" t="e">
            <v>#N/A</v>
          </cell>
          <cell r="H76" t="e">
            <v>#N/A</v>
          </cell>
          <cell r="I76" t="e">
            <v>#N/A</v>
          </cell>
          <cell r="J76" t="e">
            <v>#N/A</v>
          </cell>
          <cell r="K76" t="e">
            <v>#N/A</v>
          </cell>
          <cell r="L76" t="e">
            <v>#N/A</v>
          </cell>
          <cell r="M76" t="e">
            <v>#N/A</v>
          </cell>
          <cell r="N76" t="e">
            <v>#N/A</v>
          </cell>
          <cell r="O76" t="e">
            <v>#N/A</v>
          </cell>
          <cell r="P76">
            <v>65.39</v>
          </cell>
          <cell r="Q76">
            <v>2.364824</v>
          </cell>
          <cell r="R76" t="e">
            <v>#N/A</v>
          </cell>
          <cell r="AI76" t="str">
            <v>INR Indian Rupee</v>
          </cell>
          <cell r="AJ76" t="str">
            <v>Rs.</v>
          </cell>
          <cell r="AK76" t="str">
            <v>INR</v>
          </cell>
          <cell r="AL76" t="str">
            <v>INR</v>
          </cell>
          <cell r="AM76">
            <v>0</v>
          </cell>
          <cell r="AN76">
            <v>2</v>
          </cell>
        </row>
        <row r="77">
          <cell r="A77">
            <v>40263</v>
          </cell>
          <cell r="B77">
            <v>40263</v>
          </cell>
          <cell r="C77" t="str">
            <v>Past</v>
          </cell>
          <cell r="D77">
            <v>65.019990000000007</v>
          </cell>
          <cell r="E77" t="e">
            <v>#N/A</v>
          </cell>
          <cell r="F77" t="e">
            <v>#N/A</v>
          </cell>
          <cell r="G77" t="e">
            <v>#N/A</v>
          </cell>
          <cell r="H77" t="e">
            <v>#N/A</v>
          </cell>
          <cell r="I77" t="e">
            <v>#N/A</v>
          </cell>
          <cell r="J77" t="e">
            <v>#N/A</v>
          </cell>
          <cell r="K77" t="e">
            <v>#N/A</v>
          </cell>
          <cell r="L77" t="e">
            <v>#N/A</v>
          </cell>
          <cell r="M77" t="e">
            <v>#N/A</v>
          </cell>
          <cell r="N77" t="e">
            <v>#N/A</v>
          </cell>
          <cell r="O77" t="e">
            <v>#N/A</v>
          </cell>
          <cell r="P77">
            <v>65.019990000000007</v>
          </cell>
          <cell r="Q77">
            <v>2.380592</v>
          </cell>
          <cell r="R77" t="e">
            <v>#N/A</v>
          </cell>
          <cell r="AI77" t="str">
            <v>IQD Iraqi Dinar</v>
          </cell>
          <cell r="AJ77" t="str">
            <v>IQD</v>
          </cell>
          <cell r="AK77" t="str">
            <v>IQD</v>
          </cell>
          <cell r="AL77" t="str">
            <v>IQD</v>
          </cell>
          <cell r="AM77">
            <v>0</v>
          </cell>
          <cell r="AN77">
            <v>2</v>
          </cell>
        </row>
        <row r="78">
          <cell r="A78">
            <v>40266</v>
          </cell>
          <cell r="B78">
            <v>40266</v>
          </cell>
          <cell r="C78" t="str">
            <v>Past</v>
          </cell>
          <cell r="D78">
            <v>64.679992999999996</v>
          </cell>
          <cell r="E78" t="e">
            <v>#N/A</v>
          </cell>
          <cell r="F78" t="e">
            <v>#N/A</v>
          </cell>
          <cell r="G78" t="e">
            <v>#N/A</v>
          </cell>
          <cell r="H78" t="e">
            <v>#N/A</v>
          </cell>
          <cell r="I78" t="e">
            <v>#N/A</v>
          </cell>
          <cell r="J78" t="e">
            <v>#N/A</v>
          </cell>
          <cell r="K78" t="e">
            <v>#N/A</v>
          </cell>
          <cell r="L78" t="e">
            <v>#N/A</v>
          </cell>
          <cell r="M78" t="e">
            <v>#N/A</v>
          </cell>
          <cell r="N78" t="e">
            <v>#N/A</v>
          </cell>
          <cell r="O78" t="e">
            <v>#N/A</v>
          </cell>
          <cell r="P78">
            <v>64.679992999999996</v>
          </cell>
          <cell r="Q78">
            <v>3.3155950000000001</v>
          </cell>
          <cell r="R78" t="e">
            <v>#N/A</v>
          </cell>
          <cell r="AI78" t="str">
            <v>IRR Iranian Rial</v>
          </cell>
          <cell r="AJ78" t="str">
            <v>IRR</v>
          </cell>
          <cell r="AK78" t="str">
            <v>IRR</v>
          </cell>
          <cell r="AL78" t="str">
            <v>IRR</v>
          </cell>
          <cell r="AM78">
            <v>0</v>
          </cell>
          <cell r="AN78">
            <v>2</v>
          </cell>
        </row>
        <row r="79">
          <cell r="A79">
            <v>40267</v>
          </cell>
          <cell r="B79">
            <v>40267</v>
          </cell>
          <cell r="C79" t="str">
            <v>Past</v>
          </cell>
          <cell r="D79">
            <v>65.199996999999996</v>
          </cell>
          <cell r="E79" t="e">
            <v>#N/A</v>
          </cell>
          <cell r="F79" t="e">
            <v>#N/A</v>
          </cell>
          <cell r="G79" t="e">
            <v>#N/A</v>
          </cell>
          <cell r="H79" t="e">
            <v>#N/A</v>
          </cell>
          <cell r="I79" t="e">
            <v>#N/A</v>
          </cell>
          <cell r="J79" t="e">
            <v>#N/A</v>
          </cell>
          <cell r="K79" t="e">
            <v>#N/A</v>
          </cell>
          <cell r="L79" t="e">
            <v>#N/A</v>
          </cell>
          <cell r="M79" t="e">
            <v>#N/A</v>
          </cell>
          <cell r="N79" t="e">
            <v>#N/A</v>
          </cell>
          <cell r="O79" t="e">
            <v>#N/A</v>
          </cell>
          <cell r="P79">
            <v>65.199996999999996</v>
          </cell>
          <cell r="Q79">
            <v>1.6378809999999999</v>
          </cell>
          <cell r="R79" t="e">
            <v>#N/A</v>
          </cell>
          <cell r="AI79" t="str">
            <v>ISK Iceland Krona</v>
          </cell>
          <cell r="AJ79" t="str">
            <v>kr</v>
          </cell>
          <cell r="AK79" t="str">
            <v>ISK</v>
          </cell>
          <cell r="AL79" t="str">
            <v>ISK</v>
          </cell>
          <cell r="AM79">
            <v>0</v>
          </cell>
          <cell r="AN79">
            <v>2</v>
          </cell>
        </row>
        <row r="80">
          <cell r="A80">
            <v>40268</v>
          </cell>
          <cell r="B80">
            <v>40268</v>
          </cell>
          <cell r="C80" t="str">
            <v>Past</v>
          </cell>
          <cell r="D80">
            <v>64.559997999999993</v>
          </cell>
          <cell r="E80" t="e">
            <v>#N/A</v>
          </cell>
          <cell r="F80" t="e">
            <v>#N/A</v>
          </cell>
          <cell r="G80" t="e">
            <v>#N/A</v>
          </cell>
          <cell r="H80" t="e">
            <v>#N/A</v>
          </cell>
          <cell r="I80" t="e">
            <v>#N/A</v>
          </cell>
          <cell r="J80" t="e">
            <v>#N/A</v>
          </cell>
          <cell r="K80" t="e">
            <v>#N/A</v>
          </cell>
          <cell r="L80" t="e">
            <v>#N/A</v>
          </cell>
          <cell r="M80" t="e">
            <v>#N/A</v>
          </cell>
          <cell r="N80" t="e">
            <v>#N/A</v>
          </cell>
          <cell r="O80" t="e">
            <v>#N/A</v>
          </cell>
          <cell r="P80">
            <v>64.559997999999993</v>
          </cell>
          <cell r="Q80">
            <v>1.9850490000000001</v>
          </cell>
          <cell r="R80" t="e">
            <v>#N/A</v>
          </cell>
          <cell r="AI80" t="str">
            <v>JMD Jamaican Dollars</v>
          </cell>
          <cell r="AJ80" t="str">
            <v>JMD</v>
          </cell>
          <cell r="AK80" t="str">
            <v>JMD</v>
          </cell>
          <cell r="AL80" t="str">
            <v>JMD</v>
          </cell>
          <cell r="AM80">
            <v>0</v>
          </cell>
          <cell r="AN80">
            <v>2</v>
          </cell>
        </row>
        <row r="81">
          <cell r="A81">
            <v>40269</v>
          </cell>
          <cell r="B81">
            <v>40269</v>
          </cell>
          <cell r="C81" t="str">
            <v>Past</v>
          </cell>
          <cell r="D81">
            <v>64.099991000000003</v>
          </cell>
          <cell r="E81" t="e">
            <v>#N/A</v>
          </cell>
          <cell r="F81" t="e">
            <v>#N/A</v>
          </cell>
          <cell r="G81" t="e">
            <v>#N/A</v>
          </cell>
          <cell r="H81" t="e">
            <v>#N/A</v>
          </cell>
          <cell r="I81" t="e">
            <v>#N/A</v>
          </cell>
          <cell r="J81" t="e">
            <v>#N/A</v>
          </cell>
          <cell r="K81" t="e">
            <v>#N/A</v>
          </cell>
          <cell r="L81" t="e">
            <v>#N/A</v>
          </cell>
          <cell r="M81" t="e">
            <v>#N/A</v>
          </cell>
          <cell r="N81" t="e">
            <v>#N/A</v>
          </cell>
          <cell r="O81" t="e">
            <v>#N/A</v>
          </cell>
          <cell r="P81">
            <v>64.099991000000003</v>
          </cell>
          <cell r="Q81">
            <v>3.7234310000000002</v>
          </cell>
          <cell r="R81" t="e">
            <v>#N/A</v>
          </cell>
          <cell r="AI81" t="str">
            <v>JPY Japanese Yen</v>
          </cell>
          <cell r="AJ81" t="str">
            <v>¥</v>
          </cell>
          <cell r="AK81" t="str">
            <v>JPY</v>
          </cell>
          <cell r="AL81" t="str">
            <v>JPY</v>
          </cell>
          <cell r="AM81">
            <v>0</v>
          </cell>
          <cell r="AN81">
            <v>0</v>
          </cell>
        </row>
        <row r="82">
          <cell r="A82">
            <v>40273</v>
          </cell>
          <cell r="B82">
            <v>40273</v>
          </cell>
          <cell r="C82" t="str">
            <v>Past</v>
          </cell>
          <cell r="D82">
            <v>63.509995000000004</v>
          </cell>
          <cell r="E82" t="e">
            <v>#N/A</v>
          </cell>
          <cell r="F82" t="e">
            <v>#N/A</v>
          </cell>
          <cell r="G82" t="e">
            <v>#N/A</v>
          </cell>
          <cell r="H82" t="e">
            <v>#N/A</v>
          </cell>
          <cell r="I82" t="e">
            <v>#N/A</v>
          </cell>
          <cell r="J82" t="e">
            <v>#N/A</v>
          </cell>
          <cell r="K82" t="e">
            <v>#N/A</v>
          </cell>
          <cell r="L82" t="e">
            <v>#N/A</v>
          </cell>
          <cell r="M82" t="e">
            <v>#N/A</v>
          </cell>
          <cell r="N82" t="e">
            <v>#N/A</v>
          </cell>
          <cell r="O82" t="e">
            <v>#N/A</v>
          </cell>
          <cell r="P82">
            <v>63.509995000000004</v>
          </cell>
          <cell r="Q82">
            <v>3.566147</v>
          </cell>
          <cell r="R82" t="e">
            <v>#N/A</v>
          </cell>
          <cell r="AI82" t="str">
            <v>KES Kenyan Shilling</v>
          </cell>
          <cell r="AJ82" t="str">
            <v>KES</v>
          </cell>
          <cell r="AK82" t="str">
            <v>KES</v>
          </cell>
          <cell r="AL82" t="str">
            <v>KES</v>
          </cell>
          <cell r="AM82">
            <v>0</v>
          </cell>
          <cell r="AN82">
            <v>0</v>
          </cell>
        </row>
        <row r="83">
          <cell r="A83">
            <v>40274</v>
          </cell>
          <cell r="B83">
            <v>40274</v>
          </cell>
          <cell r="C83" t="str">
            <v>Past</v>
          </cell>
          <cell r="D83">
            <v>64.039993999999993</v>
          </cell>
          <cell r="E83" t="e">
            <v>#N/A</v>
          </cell>
          <cell r="F83" t="e">
            <v>#N/A</v>
          </cell>
          <cell r="G83" t="e">
            <v>#N/A</v>
          </cell>
          <cell r="H83" t="e">
            <v>#N/A</v>
          </cell>
          <cell r="I83" t="e">
            <v>#N/A</v>
          </cell>
          <cell r="J83" t="e">
            <v>#N/A</v>
          </cell>
          <cell r="K83" t="e">
            <v>#N/A</v>
          </cell>
          <cell r="L83" t="e">
            <v>#N/A</v>
          </cell>
          <cell r="M83" t="e">
            <v>#N/A</v>
          </cell>
          <cell r="N83" t="e">
            <v>#N/A</v>
          </cell>
          <cell r="O83" t="e">
            <v>#N/A</v>
          </cell>
          <cell r="P83">
            <v>64.039993999999993</v>
          </cell>
          <cell r="Q83">
            <v>2.1507170000000002</v>
          </cell>
          <cell r="R83" t="e">
            <v>#N/A</v>
          </cell>
          <cell r="AI83" t="str">
            <v>KRW South Korean Won</v>
          </cell>
          <cell r="AJ83" t="str">
            <v>₩</v>
          </cell>
          <cell r="AK83" t="str">
            <v>KRW</v>
          </cell>
          <cell r="AL83" t="str">
            <v>KRW</v>
          </cell>
          <cell r="AM83">
            <v>0</v>
          </cell>
          <cell r="AN83">
            <v>0</v>
          </cell>
        </row>
        <row r="84">
          <cell r="A84">
            <v>40275</v>
          </cell>
          <cell r="B84">
            <v>40275</v>
          </cell>
          <cell r="C84" t="str">
            <v>Past</v>
          </cell>
          <cell r="D84">
            <v>64.239991000000003</v>
          </cell>
          <cell r="E84" t="e">
            <v>#N/A</v>
          </cell>
          <cell r="F84" t="e">
            <v>#N/A</v>
          </cell>
          <cell r="G84" t="e">
            <v>#N/A</v>
          </cell>
          <cell r="H84" t="e">
            <v>#N/A</v>
          </cell>
          <cell r="I84" t="e">
            <v>#N/A</v>
          </cell>
          <cell r="J84" t="e">
            <v>#N/A</v>
          </cell>
          <cell r="K84" t="e">
            <v>#N/A</v>
          </cell>
          <cell r="L84" t="e">
            <v>#N/A</v>
          </cell>
          <cell r="M84" t="e">
            <v>#N/A</v>
          </cell>
          <cell r="N84" t="e">
            <v>#N/A</v>
          </cell>
          <cell r="O84" t="e">
            <v>#N/A</v>
          </cell>
          <cell r="P84">
            <v>64.239991000000003</v>
          </cell>
          <cell r="Q84">
            <v>3.1078079999999999</v>
          </cell>
          <cell r="R84" t="e">
            <v>#N/A</v>
          </cell>
          <cell r="AI84" t="str">
            <v>KWD Kuwaiti Dinar</v>
          </cell>
          <cell r="AJ84" t="str">
            <v>KWD</v>
          </cell>
          <cell r="AK84" t="str">
            <v>KWD</v>
          </cell>
          <cell r="AL84" t="str">
            <v>KWD</v>
          </cell>
          <cell r="AM84">
            <v>0</v>
          </cell>
          <cell r="AN84">
            <v>2</v>
          </cell>
        </row>
        <row r="85">
          <cell r="A85">
            <v>40276</v>
          </cell>
          <cell r="B85">
            <v>40276</v>
          </cell>
          <cell r="C85" t="str">
            <v>Past</v>
          </cell>
          <cell r="D85">
            <v>64.419999000000004</v>
          </cell>
          <cell r="E85" t="e">
            <v>#N/A</v>
          </cell>
          <cell r="F85" t="e">
            <v>#N/A</v>
          </cell>
          <cell r="G85" t="e">
            <v>#N/A</v>
          </cell>
          <cell r="H85" t="e">
            <v>#N/A</v>
          </cell>
          <cell r="I85" t="e">
            <v>#N/A</v>
          </cell>
          <cell r="J85" t="e">
            <v>#N/A</v>
          </cell>
          <cell r="K85" t="e">
            <v>#N/A</v>
          </cell>
          <cell r="L85" t="e">
            <v>#N/A</v>
          </cell>
          <cell r="M85" t="e">
            <v>#N/A</v>
          </cell>
          <cell r="N85" t="e">
            <v>#N/A</v>
          </cell>
          <cell r="O85" t="e">
            <v>#N/A</v>
          </cell>
          <cell r="P85">
            <v>64.419999000000004</v>
          </cell>
          <cell r="Q85">
            <v>3.3755329999999999</v>
          </cell>
          <cell r="R85" t="e">
            <v>#N/A</v>
          </cell>
          <cell r="AI85" t="str">
            <v>KWf Kuwaiti Fills</v>
          </cell>
          <cell r="AJ85" t="str">
            <v>KWf</v>
          </cell>
          <cell r="AK85" t="str">
            <v>KWf</v>
          </cell>
          <cell r="AL85" t="str">
            <v>KWf</v>
          </cell>
          <cell r="AM85">
            <v>0</v>
          </cell>
          <cell r="AN85">
            <v>0</v>
          </cell>
        </row>
        <row r="86">
          <cell r="A86">
            <v>40277</v>
          </cell>
          <cell r="B86">
            <v>40277</v>
          </cell>
          <cell r="C86" t="str">
            <v>Past</v>
          </cell>
          <cell r="D86">
            <v>64.449996999999996</v>
          </cell>
          <cell r="E86" t="e">
            <v>#N/A</v>
          </cell>
          <cell r="F86" t="e">
            <v>#N/A</v>
          </cell>
          <cell r="G86" t="e">
            <v>#N/A</v>
          </cell>
          <cell r="H86" t="e">
            <v>#N/A</v>
          </cell>
          <cell r="I86" t="e">
            <v>#N/A</v>
          </cell>
          <cell r="J86" t="e">
            <v>#N/A</v>
          </cell>
          <cell r="K86" t="e">
            <v>#N/A</v>
          </cell>
          <cell r="L86" t="e">
            <v>#N/A</v>
          </cell>
          <cell r="M86" t="e">
            <v>#N/A</v>
          </cell>
          <cell r="N86" t="e">
            <v>#N/A</v>
          </cell>
          <cell r="O86" t="e">
            <v>#N/A</v>
          </cell>
          <cell r="P86">
            <v>64.449996999999996</v>
          </cell>
          <cell r="Q86">
            <v>2.7908569999999999</v>
          </cell>
          <cell r="R86" t="e">
            <v>#N/A</v>
          </cell>
          <cell r="AI86" t="str">
            <v>KYD Cayman Dollars</v>
          </cell>
          <cell r="AJ86" t="str">
            <v>KYD</v>
          </cell>
          <cell r="AK86" t="str">
            <v>KYD</v>
          </cell>
          <cell r="AL86" t="str">
            <v>KYD</v>
          </cell>
          <cell r="AM86">
            <v>0</v>
          </cell>
          <cell r="AN86">
            <v>2</v>
          </cell>
        </row>
        <row r="87">
          <cell r="A87">
            <v>40280</v>
          </cell>
          <cell r="B87">
            <v>40280</v>
          </cell>
          <cell r="C87" t="str">
            <v>Past</v>
          </cell>
          <cell r="D87">
            <v>64.029999000000004</v>
          </cell>
          <cell r="E87" t="e">
            <v>#N/A</v>
          </cell>
          <cell r="F87" t="e">
            <v>#N/A</v>
          </cell>
          <cell r="G87" t="e">
            <v>#N/A</v>
          </cell>
          <cell r="H87" t="e">
            <v>#N/A</v>
          </cell>
          <cell r="I87" t="e">
            <v>#N/A</v>
          </cell>
          <cell r="J87" t="e">
            <v>#N/A</v>
          </cell>
          <cell r="K87" t="e">
            <v>#N/A</v>
          </cell>
          <cell r="L87" t="e">
            <v>#N/A</v>
          </cell>
          <cell r="M87" t="e">
            <v>#N/A</v>
          </cell>
          <cell r="N87" t="e">
            <v>#N/A</v>
          </cell>
          <cell r="O87" t="e">
            <v>#N/A</v>
          </cell>
          <cell r="P87">
            <v>64.029999000000004</v>
          </cell>
          <cell r="Q87">
            <v>1.7657879999999999</v>
          </cell>
          <cell r="R87" t="e">
            <v>#N/A</v>
          </cell>
          <cell r="AI87" t="str">
            <v>LKR Sri Lankan Rupee</v>
          </cell>
          <cell r="AJ87" t="str">
            <v>LKR</v>
          </cell>
          <cell r="AK87" t="str">
            <v>LKR</v>
          </cell>
          <cell r="AL87" t="str">
            <v>LKR</v>
          </cell>
          <cell r="AM87">
            <v>0</v>
          </cell>
          <cell r="AN87">
            <v>2</v>
          </cell>
        </row>
        <row r="88">
          <cell r="A88">
            <v>40281</v>
          </cell>
          <cell r="B88">
            <v>40281</v>
          </cell>
          <cell r="C88" t="str">
            <v>Past</v>
          </cell>
          <cell r="D88">
            <v>63.329987000000003</v>
          </cell>
          <cell r="E88" t="e">
            <v>#N/A</v>
          </cell>
          <cell r="F88" t="e">
            <v>#N/A</v>
          </cell>
          <cell r="G88" t="e">
            <v>#N/A</v>
          </cell>
          <cell r="H88" t="e">
            <v>#N/A</v>
          </cell>
          <cell r="I88" t="e">
            <v>#N/A</v>
          </cell>
          <cell r="J88" t="e">
            <v>#N/A</v>
          </cell>
          <cell r="K88" t="e">
            <v>#N/A</v>
          </cell>
          <cell r="L88" t="e">
            <v>#N/A</v>
          </cell>
          <cell r="M88" t="e">
            <v>#N/A</v>
          </cell>
          <cell r="N88" t="e">
            <v>#N/A</v>
          </cell>
          <cell r="O88" t="e">
            <v>#N/A</v>
          </cell>
          <cell r="P88">
            <v>63.329987000000003</v>
          </cell>
          <cell r="Q88">
            <v>3.5448379999999999</v>
          </cell>
          <cell r="R88" t="e">
            <v>#N/A</v>
          </cell>
          <cell r="AI88" t="str">
            <v>MAD Moroccan Dirham</v>
          </cell>
          <cell r="AJ88" t="str">
            <v>MAD</v>
          </cell>
          <cell r="AK88" t="str">
            <v>MAD</v>
          </cell>
          <cell r="AL88" t="str">
            <v>MAD</v>
          </cell>
          <cell r="AM88">
            <v>0</v>
          </cell>
          <cell r="AN88">
            <v>2</v>
          </cell>
        </row>
        <row r="89">
          <cell r="A89">
            <v>40282</v>
          </cell>
          <cell r="B89">
            <v>40282</v>
          </cell>
          <cell r="C89" t="str">
            <v>Past</v>
          </cell>
          <cell r="D89">
            <v>61.959992</v>
          </cell>
          <cell r="E89" t="e">
            <v>#N/A</v>
          </cell>
          <cell r="F89" t="e">
            <v>#N/A</v>
          </cell>
          <cell r="G89" t="e">
            <v>#N/A</v>
          </cell>
          <cell r="H89" t="e">
            <v>#N/A</v>
          </cell>
          <cell r="I89" t="e">
            <v>#N/A</v>
          </cell>
          <cell r="J89" t="e">
            <v>#N/A</v>
          </cell>
          <cell r="K89" t="e">
            <v>#N/A</v>
          </cell>
          <cell r="L89" t="e">
            <v>#N/A</v>
          </cell>
          <cell r="M89" t="e">
            <v>#N/A</v>
          </cell>
          <cell r="N89" t="e">
            <v>#N/A</v>
          </cell>
          <cell r="O89" t="e">
            <v>#N/A</v>
          </cell>
          <cell r="P89">
            <v>61.959992</v>
          </cell>
          <cell r="Q89">
            <v>4.9193360000000004</v>
          </cell>
          <cell r="R89" t="e">
            <v>#N/A</v>
          </cell>
          <cell r="AI89" t="str">
            <v>MXN Mexican Pesos (new)</v>
          </cell>
          <cell r="AJ89" t="str">
            <v>M$</v>
          </cell>
          <cell r="AK89" t="str">
            <v>MXN</v>
          </cell>
          <cell r="AL89" t="str">
            <v>MXN</v>
          </cell>
          <cell r="AM89">
            <v>0</v>
          </cell>
          <cell r="AN89">
            <v>2</v>
          </cell>
        </row>
        <row r="90">
          <cell r="A90">
            <v>40283</v>
          </cell>
          <cell r="B90">
            <v>40283</v>
          </cell>
          <cell r="C90" t="str">
            <v>Past</v>
          </cell>
          <cell r="D90">
            <v>61.449997000000003</v>
          </cell>
          <cell r="E90" t="e">
            <v>#N/A</v>
          </cell>
          <cell r="F90" t="e">
            <v>#N/A</v>
          </cell>
          <cell r="G90" t="e">
            <v>#N/A</v>
          </cell>
          <cell r="H90" t="e">
            <v>#N/A</v>
          </cell>
          <cell r="I90" t="e">
            <v>#N/A</v>
          </cell>
          <cell r="J90" t="e">
            <v>#N/A</v>
          </cell>
          <cell r="K90" t="e">
            <v>#N/A</v>
          </cell>
          <cell r="L90" t="e">
            <v>#N/A</v>
          </cell>
          <cell r="M90" t="e">
            <v>#N/A</v>
          </cell>
          <cell r="N90" t="e">
            <v>#N/A</v>
          </cell>
          <cell r="O90" t="e">
            <v>#N/A</v>
          </cell>
          <cell r="P90">
            <v>61.449997000000003</v>
          </cell>
          <cell r="Q90">
            <v>4.2212810000000003</v>
          </cell>
          <cell r="R90" t="e">
            <v>#N/A</v>
          </cell>
          <cell r="AI90" t="str">
            <v>MYR Malaysian Ringgit</v>
          </cell>
          <cell r="AJ90" t="str">
            <v>RM</v>
          </cell>
          <cell r="AK90" t="str">
            <v>MYR</v>
          </cell>
          <cell r="AL90" t="str">
            <v>MYR</v>
          </cell>
          <cell r="AM90">
            <v>0</v>
          </cell>
          <cell r="AN90">
            <v>2</v>
          </cell>
        </row>
        <row r="91">
          <cell r="A91">
            <v>40284</v>
          </cell>
          <cell r="B91">
            <v>40284</v>
          </cell>
          <cell r="C91" t="str">
            <v>Past</v>
          </cell>
          <cell r="D91">
            <v>61.819992999999997</v>
          </cell>
          <cell r="E91" t="e">
            <v>#N/A</v>
          </cell>
          <cell r="F91" t="e">
            <v>#N/A</v>
          </cell>
          <cell r="G91" t="e">
            <v>#N/A</v>
          </cell>
          <cell r="H91" t="e">
            <v>#N/A</v>
          </cell>
          <cell r="I91" t="e">
            <v>#N/A</v>
          </cell>
          <cell r="J91" t="e">
            <v>#N/A</v>
          </cell>
          <cell r="K91" t="e">
            <v>#N/A</v>
          </cell>
          <cell r="L91" t="e">
            <v>#N/A</v>
          </cell>
          <cell r="M91" t="e">
            <v>#N/A</v>
          </cell>
          <cell r="N91" t="e">
            <v>#N/A</v>
          </cell>
          <cell r="O91" t="e">
            <v>#N/A</v>
          </cell>
          <cell r="P91">
            <v>61.819992999999997</v>
          </cell>
          <cell r="Q91">
            <v>3.191811</v>
          </cell>
          <cell r="R91" t="e">
            <v>#N/A</v>
          </cell>
          <cell r="AI91" t="str">
            <v>NGN Nigerian Naira</v>
          </cell>
          <cell r="AJ91" t="str">
            <v>NGN</v>
          </cell>
          <cell r="AK91" t="str">
            <v>NGN</v>
          </cell>
          <cell r="AL91" t="str">
            <v>NGN</v>
          </cell>
          <cell r="AM91">
            <v>0</v>
          </cell>
          <cell r="AN91">
            <v>2</v>
          </cell>
        </row>
        <row r="92">
          <cell r="A92">
            <v>40287</v>
          </cell>
          <cell r="B92">
            <v>40287</v>
          </cell>
          <cell r="C92" t="str">
            <v>Past</v>
          </cell>
          <cell r="D92">
            <v>63.059998</v>
          </cell>
          <cell r="E92" t="e">
            <v>#N/A</v>
          </cell>
          <cell r="F92" t="e">
            <v>#N/A</v>
          </cell>
          <cell r="G92" t="e">
            <v>#N/A</v>
          </cell>
          <cell r="H92" t="e">
            <v>#N/A</v>
          </cell>
          <cell r="I92" t="e">
            <v>#N/A</v>
          </cell>
          <cell r="J92" t="e">
            <v>#N/A</v>
          </cell>
          <cell r="K92" t="e">
            <v>#N/A</v>
          </cell>
          <cell r="L92" t="e">
            <v>#N/A</v>
          </cell>
          <cell r="M92" t="e">
            <v>#N/A</v>
          </cell>
          <cell r="N92" t="e">
            <v>#N/A</v>
          </cell>
          <cell r="O92" t="e">
            <v>#N/A</v>
          </cell>
          <cell r="P92">
            <v>63.059998</v>
          </cell>
          <cell r="Q92">
            <v>2.6509309999999999</v>
          </cell>
          <cell r="R92" t="e">
            <v>#N/A</v>
          </cell>
          <cell r="AI92" t="str">
            <v>NOK Norwegian Krone</v>
          </cell>
          <cell r="AJ92" t="str">
            <v>NKr</v>
          </cell>
          <cell r="AK92" t="str">
            <v>NOK</v>
          </cell>
          <cell r="AL92" t="str">
            <v>NOK</v>
          </cell>
          <cell r="AM92">
            <v>0</v>
          </cell>
          <cell r="AN92">
            <v>2</v>
          </cell>
        </row>
        <row r="93">
          <cell r="A93">
            <v>40288</v>
          </cell>
          <cell r="B93">
            <v>40288</v>
          </cell>
          <cell r="C93" t="str">
            <v>Past</v>
          </cell>
          <cell r="D93">
            <v>64.379990000000006</v>
          </cell>
          <cell r="E93" t="e">
            <v>#N/A</v>
          </cell>
          <cell r="F93" t="e">
            <v>#N/A</v>
          </cell>
          <cell r="G93" t="e">
            <v>#N/A</v>
          </cell>
          <cell r="H93" t="e">
            <v>#N/A</v>
          </cell>
          <cell r="I93" t="e">
            <v>#N/A</v>
          </cell>
          <cell r="J93" t="e">
            <v>#N/A</v>
          </cell>
          <cell r="K93" t="e">
            <v>#N/A</v>
          </cell>
          <cell r="L93" t="e">
            <v>#N/A</v>
          </cell>
          <cell r="M93" t="e">
            <v>#N/A</v>
          </cell>
          <cell r="N93" t="e">
            <v>#N/A</v>
          </cell>
          <cell r="O93" t="e">
            <v>#N/A</v>
          </cell>
          <cell r="P93">
            <v>64.379990000000006</v>
          </cell>
          <cell r="Q93">
            <v>3.9533670000000001</v>
          </cell>
          <cell r="R93" t="e">
            <v>#N/A</v>
          </cell>
          <cell r="AI93" t="str">
            <v>NZD New Zealand Dollars</v>
          </cell>
          <cell r="AJ93" t="str">
            <v>NZ$</v>
          </cell>
          <cell r="AK93" t="str">
            <v>NZD</v>
          </cell>
          <cell r="AL93" t="str">
            <v>NZD</v>
          </cell>
          <cell r="AM93">
            <v>0</v>
          </cell>
          <cell r="AN93">
            <v>2</v>
          </cell>
        </row>
        <row r="94">
          <cell r="A94">
            <v>40289</v>
          </cell>
          <cell r="B94">
            <v>40289</v>
          </cell>
          <cell r="C94" t="str">
            <v>Past</v>
          </cell>
          <cell r="D94">
            <v>64.789993999999993</v>
          </cell>
          <cell r="E94" t="e">
            <v>#N/A</v>
          </cell>
          <cell r="F94" t="e">
            <v>#N/A</v>
          </cell>
          <cell r="G94" t="e">
            <v>#N/A</v>
          </cell>
          <cell r="H94" t="e">
            <v>#N/A</v>
          </cell>
          <cell r="I94" t="e">
            <v>#N/A</v>
          </cell>
          <cell r="J94" t="e">
            <v>#N/A</v>
          </cell>
          <cell r="K94" t="e">
            <v>#N/A</v>
          </cell>
          <cell r="L94" t="e">
            <v>#N/A</v>
          </cell>
          <cell r="M94" t="e">
            <v>#N/A</v>
          </cell>
          <cell r="N94" t="e">
            <v>#N/A</v>
          </cell>
          <cell r="O94" t="e">
            <v>#N/A</v>
          </cell>
          <cell r="P94">
            <v>64.789993999999993</v>
          </cell>
          <cell r="Q94">
            <v>4.8466060000000004</v>
          </cell>
          <cell r="R94" t="e">
            <v>#N/A</v>
          </cell>
          <cell r="AI94" t="str">
            <v>OMR Rial Omani</v>
          </cell>
          <cell r="AJ94" t="str">
            <v>OMR</v>
          </cell>
          <cell r="AK94" t="str">
            <v>OMR</v>
          </cell>
          <cell r="AL94" t="str">
            <v>OMR</v>
          </cell>
          <cell r="AM94">
            <v>0</v>
          </cell>
          <cell r="AN94">
            <v>2</v>
          </cell>
        </row>
        <row r="95">
          <cell r="A95">
            <v>40290</v>
          </cell>
          <cell r="B95">
            <v>40290</v>
          </cell>
          <cell r="C95" t="str">
            <v>Past</v>
          </cell>
          <cell r="D95">
            <v>63.959992</v>
          </cell>
          <cell r="E95" t="e">
            <v>#N/A</v>
          </cell>
          <cell r="F95" t="e">
            <v>#N/A</v>
          </cell>
          <cell r="G95" t="e">
            <v>#N/A</v>
          </cell>
          <cell r="H95" t="e">
            <v>#N/A</v>
          </cell>
          <cell r="I95" t="e">
            <v>#N/A</v>
          </cell>
          <cell r="J95" t="e">
            <v>#N/A</v>
          </cell>
          <cell r="K95" t="e">
            <v>#N/A</v>
          </cell>
          <cell r="L95" t="e">
            <v>#N/A</v>
          </cell>
          <cell r="M95" t="e">
            <v>#N/A</v>
          </cell>
          <cell r="N95" t="e">
            <v>#N/A</v>
          </cell>
          <cell r="O95" t="e">
            <v>#N/A</v>
          </cell>
          <cell r="P95">
            <v>63.959992</v>
          </cell>
          <cell r="Q95">
            <v>2.3991189999999998</v>
          </cell>
          <cell r="R95" t="e">
            <v>#N/A</v>
          </cell>
          <cell r="AI95" t="str">
            <v>PAB Panamanian Balboa</v>
          </cell>
          <cell r="AJ95" t="str">
            <v>PAB</v>
          </cell>
          <cell r="AK95" t="str">
            <v>PAB</v>
          </cell>
          <cell r="AL95" t="str">
            <v>PAB</v>
          </cell>
          <cell r="AM95">
            <v>0</v>
          </cell>
          <cell r="AN95">
            <v>2</v>
          </cell>
        </row>
        <row r="96">
          <cell r="A96">
            <v>40291</v>
          </cell>
          <cell r="B96">
            <v>40291</v>
          </cell>
          <cell r="C96" t="str">
            <v>Past</v>
          </cell>
          <cell r="D96">
            <v>64.409988999999996</v>
          </cell>
          <cell r="E96" t="e">
            <v>#N/A</v>
          </cell>
          <cell r="F96" t="e">
            <v>#N/A</v>
          </cell>
          <cell r="G96" t="e">
            <v>#N/A</v>
          </cell>
          <cell r="H96" t="e">
            <v>#N/A</v>
          </cell>
          <cell r="I96" t="e">
            <v>#N/A</v>
          </cell>
          <cell r="J96" t="e">
            <v>#N/A</v>
          </cell>
          <cell r="K96" t="e">
            <v>#N/A</v>
          </cell>
          <cell r="L96" t="e">
            <v>#N/A</v>
          </cell>
          <cell r="M96" t="e">
            <v>#N/A</v>
          </cell>
          <cell r="N96" t="e">
            <v>#N/A</v>
          </cell>
          <cell r="O96" t="e">
            <v>#N/A</v>
          </cell>
          <cell r="P96">
            <v>64.409988999999996</v>
          </cell>
          <cell r="Q96">
            <v>1.8942600000000001</v>
          </cell>
          <cell r="R96" t="e">
            <v>#N/A</v>
          </cell>
          <cell r="AI96" t="str">
            <v>PEN Peruvian PEN</v>
          </cell>
          <cell r="AJ96" t="str">
            <v>PEN</v>
          </cell>
          <cell r="AK96" t="str">
            <v>PEN</v>
          </cell>
          <cell r="AL96" t="str">
            <v>PEN</v>
          </cell>
          <cell r="AM96">
            <v>0</v>
          </cell>
          <cell r="AN96">
            <v>2</v>
          </cell>
        </row>
        <row r="97">
          <cell r="A97">
            <v>40294</v>
          </cell>
          <cell r="B97">
            <v>40294</v>
          </cell>
          <cell r="C97" t="str">
            <v>Past</v>
          </cell>
          <cell r="D97">
            <v>63.75</v>
          </cell>
          <cell r="E97" t="e">
            <v>#N/A</v>
          </cell>
          <cell r="F97" t="e">
            <v>#N/A</v>
          </cell>
          <cell r="G97" t="e">
            <v>#N/A</v>
          </cell>
          <cell r="H97" t="e">
            <v>#N/A</v>
          </cell>
          <cell r="I97" t="e">
            <v>#N/A</v>
          </cell>
          <cell r="J97" t="e">
            <v>#N/A</v>
          </cell>
          <cell r="K97" t="e">
            <v>#N/A</v>
          </cell>
          <cell r="L97" t="e">
            <v>#N/A</v>
          </cell>
          <cell r="M97" t="e">
            <v>#N/A</v>
          </cell>
          <cell r="N97" t="e">
            <v>#N/A</v>
          </cell>
          <cell r="O97" t="e">
            <v>#N/A</v>
          </cell>
          <cell r="P97">
            <v>63.75</v>
          </cell>
          <cell r="Q97">
            <v>1.516068</v>
          </cell>
          <cell r="R97" t="e">
            <v>#N/A</v>
          </cell>
          <cell r="AI97" t="str">
            <v>PHP Philippino Peso</v>
          </cell>
          <cell r="AJ97" t="str">
            <v>PP</v>
          </cell>
          <cell r="AK97" t="str">
            <v>PHP</v>
          </cell>
          <cell r="AL97" t="str">
            <v>PHP</v>
          </cell>
          <cell r="AM97">
            <v>0</v>
          </cell>
          <cell r="AN97">
            <v>2</v>
          </cell>
        </row>
        <row r="98">
          <cell r="A98">
            <v>40295</v>
          </cell>
          <cell r="B98">
            <v>40295</v>
          </cell>
          <cell r="C98" t="str">
            <v>Past</v>
          </cell>
          <cell r="D98">
            <v>63.01999</v>
          </cell>
          <cell r="E98" t="e">
            <v>#N/A</v>
          </cell>
          <cell r="F98" t="e">
            <v>#N/A</v>
          </cell>
          <cell r="G98" t="e">
            <v>#N/A</v>
          </cell>
          <cell r="H98" t="e">
            <v>#N/A</v>
          </cell>
          <cell r="I98" t="e">
            <v>#N/A</v>
          </cell>
          <cell r="J98" t="e">
            <v>#N/A</v>
          </cell>
          <cell r="K98" t="e">
            <v>#N/A</v>
          </cell>
          <cell r="L98" t="e">
            <v>#N/A</v>
          </cell>
          <cell r="M98" t="e">
            <v>#N/A</v>
          </cell>
          <cell r="N98" t="e">
            <v>#N/A</v>
          </cell>
          <cell r="O98" t="e">
            <v>#N/A</v>
          </cell>
          <cell r="P98">
            <v>63.01999</v>
          </cell>
          <cell r="Q98">
            <v>2.39289</v>
          </cell>
          <cell r="R98" t="e">
            <v>#N/A</v>
          </cell>
          <cell r="AI98" t="str">
            <v>PKR Pakistani Rupee</v>
          </cell>
          <cell r="AJ98" t="str">
            <v>Rs.</v>
          </cell>
          <cell r="AK98" t="str">
            <v>PKR</v>
          </cell>
          <cell r="AL98" t="str">
            <v>PKR</v>
          </cell>
          <cell r="AM98">
            <v>0</v>
          </cell>
          <cell r="AN98">
            <v>2</v>
          </cell>
        </row>
        <row r="99">
          <cell r="A99">
            <v>40296</v>
          </cell>
          <cell r="B99">
            <v>40296</v>
          </cell>
          <cell r="C99" t="str">
            <v>Past</v>
          </cell>
          <cell r="D99">
            <v>60.539994</v>
          </cell>
          <cell r="E99" t="e">
            <v>#N/A</v>
          </cell>
          <cell r="F99" t="e">
            <v>#N/A</v>
          </cell>
          <cell r="G99" t="e">
            <v>#N/A</v>
          </cell>
          <cell r="H99" t="e">
            <v>#N/A</v>
          </cell>
          <cell r="I99" t="e">
            <v>#N/A</v>
          </cell>
          <cell r="J99" t="e">
            <v>#N/A</v>
          </cell>
          <cell r="K99" t="e">
            <v>#N/A</v>
          </cell>
          <cell r="L99" t="e">
            <v>#N/A</v>
          </cell>
          <cell r="M99" t="e">
            <v>#N/A</v>
          </cell>
          <cell r="N99" t="e">
            <v>#N/A</v>
          </cell>
          <cell r="O99" t="e">
            <v>#N/A</v>
          </cell>
          <cell r="P99">
            <v>60.539994</v>
          </cell>
          <cell r="Q99">
            <v>10.295305000000001</v>
          </cell>
          <cell r="R99" t="e">
            <v>#N/A</v>
          </cell>
          <cell r="AI99" t="str">
            <v>PLN Polish Zloty</v>
          </cell>
          <cell r="AJ99" t="str">
            <v>zł</v>
          </cell>
          <cell r="AK99" t="str">
            <v>PLN</v>
          </cell>
          <cell r="AL99" t="str">
            <v>PLN</v>
          </cell>
          <cell r="AM99">
            <v>0</v>
          </cell>
          <cell r="AN99">
            <v>2</v>
          </cell>
        </row>
        <row r="100">
          <cell r="A100">
            <v>40297</v>
          </cell>
          <cell r="B100">
            <v>40297</v>
          </cell>
          <cell r="C100" t="str">
            <v>Past</v>
          </cell>
          <cell r="D100">
            <v>60.699997000000003</v>
          </cell>
          <cell r="E100" t="e">
            <v>#N/A</v>
          </cell>
          <cell r="F100" t="e">
            <v>#N/A</v>
          </cell>
          <cell r="G100" t="e">
            <v>#N/A</v>
          </cell>
          <cell r="H100" t="e">
            <v>#N/A</v>
          </cell>
          <cell r="I100" t="e">
            <v>#N/A</v>
          </cell>
          <cell r="J100" t="e">
            <v>#N/A</v>
          </cell>
          <cell r="K100" t="e">
            <v>#N/A</v>
          </cell>
          <cell r="L100" t="e">
            <v>#N/A</v>
          </cell>
          <cell r="M100" t="e">
            <v>#N/A</v>
          </cell>
          <cell r="N100" t="e">
            <v>#N/A</v>
          </cell>
          <cell r="O100" t="e">
            <v>#N/A</v>
          </cell>
          <cell r="P100">
            <v>60.699997000000003</v>
          </cell>
          <cell r="Q100">
            <v>5.3233480000000002</v>
          </cell>
          <cell r="R100" t="e">
            <v>#N/A</v>
          </cell>
          <cell r="AI100" t="str">
            <v>QAR Qatari Riyal</v>
          </cell>
          <cell r="AJ100" t="str">
            <v>QAR</v>
          </cell>
          <cell r="AK100" t="str">
            <v>QAR</v>
          </cell>
          <cell r="AL100" t="str">
            <v>QAR</v>
          </cell>
          <cell r="AM100">
            <v>0</v>
          </cell>
          <cell r="AN100">
            <v>2</v>
          </cell>
        </row>
        <row r="101">
          <cell r="A101">
            <v>40298</v>
          </cell>
          <cell r="B101">
            <v>40298</v>
          </cell>
          <cell r="C101" t="str">
            <v>Past</v>
          </cell>
          <cell r="D101">
            <v>58.919998999999997</v>
          </cell>
          <cell r="E101" t="e">
            <v>#N/A</v>
          </cell>
          <cell r="F101" t="e">
            <v>#N/A</v>
          </cell>
          <cell r="G101" t="e">
            <v>#N/A</v>
          </cell>
          <cell r="H101" t="e">
            <v>#N/A</v>
          </cell>
          <cell r="I101" t="e">
            <v>#N/A</v>
          </cell>
          <cell r="J101" t="e">
            <v>#N/A</v>
          </cell>
          <cell r="K101" t="e">
            <v>#N/A</v>
          </cell>
          <cell r="L101" t="e">
            <v>#N/A</v>
          </cell>
          <cell r="M101" t="e">
            <v>#N/A</v>
          </cell>
          <cell r="N101" t="e">
            <v>#N/A</v>
          </cell>
          <cell r="O101" t="e">
            <v>#N/A</v>
          </cell>
          <cell r="P101">
            <v>58.919998999999997</v>
          </cell>
          <cell r="Q101">
            <v>5.9785469999999998</v>
          </cell>
          <cell r="R101" t="e">
            <v>#N/A</v>
          </cell>
          <cell r="AI101" t="str">
            <v>RUB Russian Rouble</v>
          </cell>
          <cell r="AJ101" t="str">
            <v>RUB</v>
          </cell>
          <cell r="AK101" t="str">
            <v>RUB</v>
          </cell>
          <cell r="AL101" t="str">
            <v>RUB</v>
          </cell>
          <cell r="AM101">
            <v>0</v>
          </cell>
          <cell r="AN101">
            <v>2</v>
          </cell>
        </row>
        <row r="102">
          <cell r="A102">
            <v>40301</v>
          </cell>
          <cell r="B102">
            <v>40301</v>
          </cell>
          <cell r="C102" t="str">
            <v>Past</v>
          </cell>
          <cell r="D102">
            <v>57.979996</v>
          </cell>
          <cell r="E102" t="e">
            <v>#N/A</v>
          </cell>
          <cell r="F102" t="e">
            <v>#N/A</v>
          </cell>
          <cell r="G102" t="e">
            <v>#N/A</v>
          </cell>
          <cell r="H102" t="e">
            <v>#N/A</v>
          </cell>
          <cell r="I102" t="e">
            <v>#N/A</v>
          </cell>
          <cell r="J102" t="e">
            <v>#N/A</v>
          </cell>
          <cell r="K102" t="e">
            <v>#N/A</v>
          </cell>
          <cell r="L102" t="e">
            <v>#N/A</v>
          </cell>
          <cell r="M102" t="e">
            <v>#N/A</v>
          </cell>
          <cell r="N102" t="e">
            <v>#N/A</v>
          </cell>
          <cell r="O102" t="e">
            <v>#N/A</v>
          </cell>
          <cell r="P102">
            <v>57.979996</v>
          </cell>
          <cell r="Q102">
            <v>7.7440629999999997</v>
          </cell>
          <cell r="R102" t="e">
            <v>#N/A</v>
          </cell>
          <cell r="AI102" t="str">
            <v>SAR Saudi Riyal</v>
          </cell>
          <cell r="AJ102" t="str">
            <v>SAR</v>
          </cell>
          <cell r="AK102" t="str">
            <v>SAR</v>
          </cell>
          <cell r="AL102" t="str">
            <v>SAR</v>
          </cell>
          <cell r="AM102">
            <v>0</v>
          </cell>
          <cell r="AN102">
            <v>2</v>
          </cell>
        </row>
        <row r="103">
          <cell r="A103">
            <v>40302</v>
          </cell>
          <cell r="B103">
            <v>40302</v>
          </cell>
          <cell r="C103" t="str">
            <v>Past</v>
          </cell>
          <cell r="D103">
            <v>58.899994</v>
          </cell>
          <cell r="E103" t="e">
            <v>#N/A</v>
          </cell>
          <cell r="F103" t="e">
            <v>#N/A</v>
          </cell>
          <cell r="G103" t="e">
            <v>#N/A</v>
          </cell>
          <cell r="H103" t="e">
            <v>#N/A</v>
          </cell>
          <cell r="I103" t="e">
            <v>#N/A</v>
          </cell>
          <cell r="J103" t="e">
            <v>#N/A</v>
          </cell>
          <cell r="K103" t="e">
            <v>#N/A</v>
          </cell>
          <cell r="L103" t="e">
            <v>#N/A</v>
          </cell>
          <cell r="M103" t="e">
            <v>#N/A</v>
          </cell>
          <cell r="N103" t="e">
            <v>#N/A</v>
          </cell>
          <cell r="O103" t="e">
            <v>#N/A</v>
          </cell>
          <cell r="P103">
            <v>58.899994</v>
          </cell>
          <cell r="Q103">
            <v>5.496715</v>
          </cell>
          <cell r="R103" t="e">
            <v>#N/A</v>
          </cell>
          <cell r="AI103" t="str">
            <v>SEK Swedish Krona</v>
          </cell>
          <cell r="AJ103" t="str">
            <v>SKr</v>
          </cell>
          <cell r="AK103" t="str">
            <v>SEK</v>
          </cell>
          <cell r="AL103" t="str">
            <v>SEK</v>
          </cell>
          <cell r="AM103">
            <v>0</v>
          </cell>
          <cell r="AN103">
            <v>2</v>
          </cell>
        </row>
        <row r="104">
          <cell r="A104">
            <v>40303</v>
          </cell>
          <cell r="B104">
            <v>40303</v>
          </cell>
          <cell r="C104" t="str">
            <v>Past</v>
          </cell>
          <cell r="D104">
            <v>58.819992999999997</v>
          </cell>
          <cell r="E104" t="e">
            <v>#N/A</v>
          </cell>
          <cell r="F104" t="e">
            <v>#N/A</v>
          </cell>
          <cell r="G104" t="e">
            <v>#N/A</v>
          </cell>
          <cell r="H104" t="e">
            <v>#N/A</v>
          </cell>
          <cell r="I104" t="e">
            <v>#N/A</v>
          </cell>
          <cell r="J104" t="e">
            <v>#N/A</v>
          </cell>
          <cell r="K104" t="e">
            <v>#N/A</v>
          </cell>
          <cell r="L104" t="e">
            <v>#N/A</v>
          </cell>
          <cell r="M104" t="e">
            <v>#N/A</v>
          </cell>
          <cell r="N104" t="e">
            <v>#N/A</v>
          </cell>
          <cell r="O104" t="e">
            <v>#N/A</v>
          </cell>
          <cell r="P104">
            <v>58.819992999999997</v>
          </cell>
          <cell r="Q104">
            <v>3.6026919999999998</v>
          </cell>
          <cell r="R104" t="e">
            <v>#N/A</v>
          </cell>
          <cell r="AI104" t="str">
            <v>SGD Singapore Dollar</v>
          </cell>
          <cell r="AJ104" t="str">
            <v>S$</v>
          </cell>
          <cell r="AK104" t="str">
            <v>SGD</v>
          </cell>
          <cell r="AL104" t="str">
            <v>SGD</v>
          </cell>
          <cell r="AM104">
            <v>0</v>
          </cell>
          <cell r="AN104">
            <v>2</v>
          </cell>
        </row>
        <row r="105">
          <cell r="A105">
            <v>40304</v>
          </cell>
          <cell r="B105">
            <v>40304</v>
          </cell>
          <cell r="C105" t="str">
            <v>Past</v>
          </cell>
          <cell r="D105">
            <v>57.129989999999999</v>
          </cell>
          <cell r="E105" t="e">
            <v>#N/A</v>
          </cell>
          <cell r="F105" t="e">
            <v>#N/A</v>
          </cell>
          <cell r="G105" t="e">
            <v>#N/A</v>
          </cell>
          <cell r="H105" t="e">
            <v>#N/A</v>
          </cell>
          <cell r="I105" t="e">
            <v>#N/A</v>
          </cell>
          <cell r="J105" t="e">
            <v>#N/A</v>
          </cell>
          <cell r="K105" t="e">
            <v>#N/A</v>
          </cell>
          <cell r="L105" t="e">
            <v>#N/A</v>
          </cell>
          <cell r="M105" t="e">
            <v>#N/A</v>
          </cell>
          <cell r="N105" t="e">
            <v>#N/A</v>
          </cell>
          <cell r="O105" t="e">
            <v>#N/A</v>
          </cell>
          <cell r="P105">
            <v>57.129989999999999</v>
          </cell>
          <cell r="Q105">
            <v>6.118055</v>
          </cell>
          <cell r="R105" t="e">
            <v>#N/A</v>
          </cell>
          <cell r="AI105" t="str">
            <v>THB Thailand Baht</v>
          </cell>
          <cell r="AJ105" t="str">
            <v>Bt</v>
          </cell>
          <cell r="AK105" t="str">
            <v>THB</v>
          </cell>
          <cell r="AL105" t="str">
            <v>THB</v>
          </cell>
          <cell r="AM105">
            <v>0</v>
          </cell>
          <cell r="AN105">
            <v>2</v>
          </cell>
        </row>
        <row r="106">
          <cell r="A106">
            <v>40305</v>
          </cell>
          <cell r="B106">
            <v>40305</v>
          </cell>
          <cell r="C106" t="str">
            <v>Past</v>
          </cell>
          <cell r="D106">
            <v>56.709992</v>
          </cell>
          <cell r="E106" t="e">
            <v>#N/A</v>
          </cell>
          <cell r="F106" t="e">
            <v>#N/A</v>
          </cell>
          <cell r="G106" t="e">
            <v>#N/A</v>
          </cell>
          <cell r="H106" t="e">
            <v>#N/A</v>
          </cell>
          <cell r="I106" t="e">
            <v>#N/A</v>
          </cell>
          <cell r="J106" t="e">
            <v>#N/A</v>
          </cell>
          <cell r="K106" t="e">
            <v>#N/A</v>
          </cell>
          <cell r="L106" t="e">
            <v>#N/A</v>
          </cell>
          <cell r="M106" t="e">
            <v>#N/A</v>
          </cell>
          <cell r="N106" t="e">
            <v>#N/A</v>
          </cell>
          <cell r="O106" t="e">
            <v>#N/A</v>
          </cell>
          <cell r="P106">
            <v>56.709992</v>
          </cell>
          <cell r="Q106">
            <v>5.5370590000000002</v>
          </cell>
          <cell r="R106" t="e">
            <v>#N/A</v>
          </cell>
          <cell r="AI106" t="str">
            <v>TND Tunisian Dinar</v>
          </cell>
          <cell r="AJ106" t="str">
            <v>TND</v>
          </cell>
          <cell r="AK106" t="str">
            <v>TND</v>
          </cell>
          <cell r="AL106" t="str">
            <v>TND</v>
          </cell>
          <cell r="AM106">
            <v>0</v>
          </cell>
          <cell r="AN106">
            <v>2</v>
          </cell>
        </row>
        <row r="107">
          <cell r="A107">
            <v>40308</v>
          </cell>
          <cell r="B107">
            <v>40308</v>
          </cell>
          <cell r="C107" t="str">
            <v>Past</v>
          </cell>
          <cell r="D107">
            <v>58.319992999999997</v>
          </cell>
          <cell r="E107" t="e">
            <v>#N/A</v>
          </cell>
          <cell r="F107" t="e">
            <v>#N/A</v>
          </cell>
          <cell r="G107" t="e">
            <v>#N/A</v>
          </cell>
          <cell r="H107" t="e">
            <v>#N/A</v>
          </cell>
          <cell r="I107" t="e">
            <v>#N/A</v>
          </cell>
          <cell r="J107" t="e">
            <v>#N/A</v>
          </cell>
          <cell r="K107" t="e">
            <v>#N/A</v>
          </cell>
          <cell r="L107" t="e">
            <v>#N/A</v>
          </cell>
          <cell r="M107" t="e">
            <v>#N/A</v>
          </cell>
          <cell r="N107" t="e">
            <v>#N/A</v>
          </cell>
          <cell r="O107" t="e">
            <v>#N/A</v>
          </cell>
          <cell r="P107">
            <v>58.319992999999997</v>
          </cell>
          <cell r="Q107">
            <v>3.902466</v>
          </cell>
          <cell r="R107" t="e">
            <v>#N/A</v>
          </cell>
          <cell r="AI107" t="str">
            <v>TRY Turkish Lira</v>
          </cell>
          <cell r="AJ107" t="str">
            <v>TL</v>
          </cell>
          <cell r="AK107" t="str">
            <v>TRY</v>
          </cell>
          <cell r="AL107" t="str">
            <v>TRY</v>
          </cell>
          <cell r="AM107">
            <v>0</v>
          </cell>
          <cell r="AN107">
            <v>2</v>
          </cell>
        </row>
        <row r="108">
          <cell r="A108">
            <v>40309</v>
          </cell>
          <cell r="B108">
            <v>40309</v>
          </cell>
          <cell r="C108" t="str">
            <v>Past</v>
          </cell>
          <cell r="D108">
            <v>58.109985999999999</v>
          </cell>
          <cell r="E108" t="e">
            <v>#N/A</v>
          </cell>
          <cell r="F108" t="e">
            <v>#N/A</v>
          </cell>
          <cell r="G108" t="e">
            <v>#N/A</v>
          </cell>
          <cell r="H108" t="e">
            <v>#N/A</v>
          </cell>
          <cell r="I108" t="e">
            <v>#N/A</v>
          </cell>
          <cell r="J108" t="e">
            <v>#N/A</v>
          </cell>
          <cell r="K108" t="e">
            <v>#N/A</v>
          </cell>
          <cell r="L108" t="e">
            <v>#N/A</v>
          </cell>
          <cell r="M108" t="e">
            <v>#N/A</v>
          </cell>
          <cell r="N108" t="e">
            <v>#N/A</v>
          </cell>
          <cell r="O108" t="e">
            <v>#N/A</v>
          </cell>
          <cell r="P108">
            <v>58.109985999999999</v>
          </cell>
          <cell r="Q108">
            <v>3.0887859999999998</v>
          </cell>
          <cell r="R108" t="e">
            <v>#N/A</v>
          </cell>
          <cell r="AI108" t="str">
            <v>TWD New Taiwan Dollar</v>
          </cell>
          <cell r="AJ108" t="str">
            <v>NT$</v>
          </cell>
          <cell r="AK108" t="str">
            <v>TWD</v>
          </cell>
          <cell r="AL108" t="str">
            <v>TWD</v>
          </cell>
          <cell r="AM108">
            <v>0</v>
          </cell>
          <cell r="AN108">
            <v>2</v>
          </cell>
        </row>
        <row r="109">
          <cell r="A109">
            <v>40310</v>
          </cell>
          <cell r="B109">
            <v>40310</v>
          </cell>
          <cell r="C109" t="str">
            <v>Past</v>
          </cell>
          <cell r="D109">
            <v>58.819992999999997</v>
          </cell>
          <cell r="E109" t="e">
            <v>#N/A</v>
          </cell>
          <cell r="F109" t="e">
            <v>#N/A</v>
          </cell>
          <cell r="G109" t="e">
            <v>#N/A</v>
          </cell>
          <cell r="H109" t="e">
            <v>#N/A</v>
          </cell>
          <cell r="I109" t="e">
            <v>#N/A</v>
          </cell>
          <cell r="J109" t="e">
            <v>#N/A</v>
          </cell>
          <cell r="K109" t="e">
            <v>#N/A</v>
          </cell>
          <cell r="L109" t="e">
            <v>#N/A</v>
          </cell>
          <cell r="M109" t="e">
            <v>#N/A</v>
          </cell>
          <cell r="N109" t="e">
            <v>#N/A</v>
          </cell>
          <cell r="O109" t="e">
            <v>#N/A</v>
          </cell>
          <cell r="P109">
            <v>58.819992999999997</v>
          </cell>
          <cell r="Q109">
            <v>3.063259</v>
          </cell>
          <cell r="R109" t="e">
            <v>#N/A</v>
          </cell>
          <cell r="AI109" t="str">
            <v>UAH Ukrainian Hryvnia</v>
          </cell>
          <cell r="AJ109" t="str">
            <v>UAH</v>
          </cell>
          <cell r="AK109" t="str">
            <v>UAH</v>
          </cell>
          <cell r="AL109" t="str">
            <v>UAH</v>
          </cell>
          <cell r="AM109">
            <v>0</v>
          </cell>
          <cell r="AN109">
            <v>2</v>
          </cell>
        </row>
        <row r="110">
          <cell r="A110">
            <v>40311</v>
          </cell>
          <cell r="B110">
            <v>40311</v>
          </cell>
          <cell r="C110" t="str">
            <v>Past</v>
          </cell>
          <cell r="D110">
            <v>59.25</v>
          </cell>
          <cell r="E110" t="e">
            <v>#N/A</v>
          </cell>
          <cell r="F110" t="e">
            <v>#N/A</v>
          </cell>
          <cell r="G110" t="e">
            <v>#N/A</v>
          </cell>
          <cell r="H110" t="e">
            <v>#N/A</v>
          </cell>
          <cell r="I110" t="e">
            <v>#N/A</v>
          </cell>
          <cell r="J110" t="e">
            <v>#N/A</v>
          </cell>
          <cell r="K110" t="e">
            <v>#N/A</v>
          </cell>
          <cell r="L110" t="e">
            <v>#N/A</v>
          </cell>
          <cell r="M110" t="e">
            <v>#N/A</v>
          </cell>
          <cell r="N110" t="e">
            <v>#N/A</v>
          </cell>
          <cell r="O110" t="e">
            <v>#N/A</v>
          </cell>
          <cell r="P110">
            <v>59.25</v>
          </cell>
          <cell r="Q110">
            <v>4.2016249999999999</v>
          </cell>
          <cell r="R110" t="e">
            <v>#N/A</v>
          </cell>
          <cell r="AI110" t="str">
            <v>USD American Dollar</v>
          </cell>
          <cell r="AJ110" t="str">
            <v>$</v>
          </cell>
          <cell r="AK110" t="str">
            <v>USD</v>
          </cell>
          <cell r="AL110" t="str">
            <v>USD</v>
          </cell>
          <cell r="AM110">
            <v>0</v>
          </cell>
          <cell r="AN110">
            <v>2</v>
          </cell>
        </row>
        <row r="111">
          <cell r="A111">
            <v>40312</v>
          </cell>
          <cell r="B111">
            <v>40312</v>
          </cell>
          <cell r="C111" t="str">
            <v>Past</v>
          </cell>
          <cell r="D111">
            <v>57.579987000000003</v>
          </cell>
          <cell r="E111" t="e">
            <v>#N/A</v>
          </cell>
          <cell r="F111" t="e">
            <v>#N/A</v>
          </cell>
          <cell r="G111" t="e">
            <v>#N/A</v>
          </cell>
          <cell r="H111" t="e">
            <v>#N/A</v>
          </cell>
          <cell r="I111" t="e">
            <v>#N/A</v>
          </cell>
          <cell r="J111" t="e">
            <v>#N/A</v>
          </cell>
          <cell r="K111" t="e">
            <v>#N/A</v>
          </cell>
          <cell r="L111" t="e">
            <v>#N/A</v>
          </cell>
          <cell r="M111" t="e">
            <v>#N/A</v>
          </cell>
          <cell r="N111" t="e">
            <v>#N/A</v>
          </cell>
          <cell r="O111" t="e">
            <v>#N/A</v>
          </cell>
          <cell r="P111">
            <v>57.579987000000003</v>
          </cell>
          <cell r="Q111">
            <v>6.1101289999999997</v>
          </cell>
          <cell r="R111" t="e">
            <v>#N/A</v>
          </cell>
          <cell r="AI111" t="str">
            <v>VEB Venezuelan Bolivar</v>
          </cell>
          <cell r="AJ111" t="str">
            <v>VEB</v>
          </cell>
          <cell r="AK111" t="str">
            <v>VEB</v>
          </cell>
          <cell r="AL111" t="str">
            <v>VEB</v>
          </cell>
          <cell r="AM111">
            <v>0</v>
          </cell>
          <cell r="AN111">
            <v>2</v>
          </cell>
        </row>
        <row r="112">
          <cell r="A112">
            <v>40315</v>
          </cell>
          <cell r="B112">
            <v>40315</v>
          </cell>
          <cell r="C112" t="str">
            <v>Past</v>
          </cell>
          <cell r="D112">
            <v>57.649994</v>
          </cell>
          <cell r="E112" t="e">
            <v>#N/A</v>
          </cell>
          <cell r="F112" t="e">
            <v>#N/A</v>
          </cell>
          <cell r="G112" t="e">
            <v>#N/A</v>
          </cell>
          <cell r="H112" t="e">
            <v>#N/A</v>
          </cell>
          <cell r="I112" t="e">
            <v>#N/A</v>
          </cell>
          <cell r="J112" t="e">
            <v>#N/A</v>
          </cell>
          <cell r="K112" t="e">
            <v>#N/A</v>
          </cell>
          <cell r="L112" t="e">
            <v>#N/A</v>
          </cell>
          <cell r="M112" t="e">
            <v>#N/A</v>
          </cell>
          <cell r="N112" t="e">
            <v>#N/A</v>
          </cell>
          <cell r="O112" t="e">
            <v>#N/A</v>
          </cell>
          <cell r="P112">
            <v>57.649994</v>
          </cell>
          <cell r="Q112">
            <v>4.7910469999999998</v>
          </cell>
          <cell r="R112" t="e">
            <v>#N/A</v>
          </cell>
          <cell r="AI112" t="str">
            <v>ZAc South African Cent</v>
          </cell>
          <cell r="AJ112" t="str">
            <v>ZAc</v>
          </cell>
          <cell r="AK112" t="str">
            <v>ZAc</v>
          </cell>
          <cell r="AL112" t="str">
            <v>ZAc</v>
          </cell>
          <cell r="AM112">
            <v>0</v>
          </cell>
          <cell r="AN112">
            <v>0</v>
          </cell>
        </row>
        <row r="113">
          <cell r="A113">
            <v>40316</v>
          </cell>
          <cell r="B113">
            <v>40316</v>
          </cell>
          <cell r="C113" t="str">
            <v>Past</v>
          </cell>
          <cell r="D113">
            <v>56.869996</v>
          </cell>
          <cell r="E113" t="e">
            <v>#N/A</v>
          </cell>
          <cell r="F113" t="e">
            <v>#N/A</v>
          </cell>
          <cell r="G113" t="e">
            <v>#N/A</v>
          </cell>
          <cell r="H113" t="e">
            <v>#N/A</v>
          </cell>
          <cell r="I113" t="e">
            <v>#N/A</v>
          </cell>
          <cell r="J113" t="e">
            <v>#N/A</v>
          </cell>
          <cell r="K113" t="e">
            <v>#N/A</v>
          </cell>
          <cell r="L113" t="e">
            <v>#N/A</v>
          </cell>
          <cell r="M113" t="e">
            <v>#N/A</v>
          </cell>
          <cell r="N113" t="e">
            <v>#N/A</v>
          </cell>
          <cell r="O113" t="e">
            <v>#N/A</v>
          </cell>
          <cell r="P113">
            <v>56.869996</v>
          </cell>
          <cell r="Q113">
            <v>6.5784140000000004</v>
          </cell>
          <cell r="R113" t="e">
            <v>#N/A</v>
          </cell>
          <cell r="AI113" t="str">
            <v>ZAR South African rand</v>
          </cell>
          <cell r="AJ113" t="str">
            <v>ZAR</v>
          </cell>
          <cell r="AK113" t="str">
            <v>ZAR</v>
          </cell>
          <cell r="AL113" t="str">
            <v>ZAR</v>
          </cell>
          <cell r="AM113">
            <v>0</v>
          </cell>
          <cell r="AN113">
            <v>2</v>
          </cell>
        </row>
        <row r="114">
          <cell r="A114">
            <v>40317</v>
          </cell>
          <cell r="B114">
            <v>40317</v>
          </cell>
          <cell r="C114" t="str">
            <v>Past</v>
          </cell>
          <cell r="D114">
            <v>57.309998</v>
          </cell>
          <cell r="E114" t="e">
            <v>#N/A</v>
          </cell>
          <cell r="F114" t="e">
            <v>#N/A</v>
          </cell>
          <cell r="G114" t="e">
            <v>#N/A</v>
          </cell>
          <cell r="H114" t="e">
            <v>#N/A</v>
          </cell>
          <cell r="I114" t="e">
            <v>#N/A</v>
          </cell>
          <cell r="J114" t="e">
            <v>#N/A</v>
          </cell>
          <cell r="K114" t="e">
            <v>#N/A</v>
          </cell>
          <cell r="L114" t="e">
            <v>#N/A</v>
          </cell>
          <cell r="M114" t="e">
            <v>#N/A</v>
          </cell>
          <cell r="N114" t="e">
            <v>#N/A</v>
          </cell>
          <cell r="O114" t="e">
            <v>#N/A</v>
          </cell>
          <cell r="P114">
            <v>57.309998</v>
          </cell>
          <cell r="Q114">
            <v>3.8077990000000002</v>
          </cell>
          <cell r="R114" t="e">
            <v>#N/A</v>
          </cell>
          <cell r="AI114" t="str">
            <v xml:space="preserve">ZMK Zambian Kwacha </v>
          </cell>
          <cell r="AJ114" t="str">
            <v>ZMK</v>
          </cell>
          <cell r="AK114" t="str">
            <v>ZMK</v>
          </cell>
          <cell r="AL114" t="str">
            <v>ZMK</v>
          </cell>
          <cell r="AM114">
            <v>0</v>
          </cell>
          <cell r="AN114">
            <v>2</v>
          </cell>
        </row>
        <row r="115">
          <cell r="A115">
            <v>40318</v>
          </cell>
          <cell r="B115">
            <v>40318</v>
          </cell>
          <cell r="C115" t="str">
            <v>Past</v>
          </cell>
          <cell r="D115">
            <v>55.069992999999997</v>
          </cell>
          <cell r="E115" t="e">
            <v>#N/A</v>
          </cell>
          <cell r="F115" t="e">
            <v>#N/A</v>
          </cell>
          <cell r="G115" t="e">
            <v>#N/A</v>
          </cell>
          <cell r="H115" t="e">
            <v>#N/A</v>
          </cell>
          <cell r="I115" t="e">
            <v>#N/A</v>
          </cell>
          <cell r="J115" t="e">
            <v>#N/A</v>
          </cell>
          <cell r="K115" t="e">
            <v>#N/A</v>
          </cell>
          <cell r="L115" t="e">
            <v>#N/A</v>
          </cell>
          <cell r="M115" t="e">
            <v>#N/A</v>
          </cell>
          <cell r="N115" t="e">
            <v>#N/A</v>
          </cell>
          <cell r="O115" t="e">
            <v>#N/A</v>
          </cell>
          <cell r="P115">
            <v>55.069992999999997</v>
          </cell>
          <cell r="Q115">
            <v>5.0303240000000002</v>
          </cell>
          <cell r="R115" t="e">
            <v>#N/A</v>
          </cell>
        </row>
        <row r="116">
          <cell r="A116">
            <v>40319</v>
          </cell>
          <cell r="B116">
            <v>40319</v>
          </cell>
          <cell r="C116" t="str">
            <v>Past</v>
          </cell>
          <cell r="D116">
            <v>56.079987000000003</v>
          </cell>
          <cell r="E116" t="e">
            <v>#N/A</v>
          </cell>
          <cell r="F116" t="e">
            <v>#N/A</v>
          </cell>
          <cell r="G116" t="e">
            <v>#N/A</v>
          </cell>
          <cell r="H116" t="e">
            <v>#N/A</v>
          </cell>
          <cell r="I116" t="e">
            <v>#N/A</v>
          </cell>
          <cell r="J116" t="e">
            <v>#N/A</v>
          </cell>
          <cell r="K116" t="e">
            <v>#N/A</v>
          </cell>
          <cell r="L116" t="e">
            <v>#N/A</v>
          </cell>
          <cell r="M116" t="e">
            <v>#N/A</v>
          </cell>
          <cell r="N116" t="e">
            <v>#N/A</v>
          </cell>
          <cell r="O116" t="e">
            <v>#N/A</v>
          </cell>
          <cell r="P116">
            <v>56.079987000000003</v>
          </cell>
          <cell r="Q116">
            <v>4.7158239999999996</v>
          </cell>
          <cell r="R116" t="e">
            <v>#N/A</v>
          </cell>
        </row>
        <row r="117">
          <cell r="A117">
            <v>40322</v>
          </cell>
          <cell r="B117">
            <v>40322</v>
          </cell>
          <cell r="C117" t="str">
            <v>Past</v>
          </cell>
          <cell r="D117">
            <v>55.789994</v>
          </cell>
          <cell r="E117" t="e">
            <v>#N/A</v>
          </cell>
          <cell r="F117" t="e">
            <v>#N/A</v>
          </cell>
          <cell r="G117" t="e">
            <v>#N/A</v>
          </cell>
          <cell r="H117" t="e">
            <v>#N/A</v>
          </cell>
          <cell r="I117" t="e">
            <v>#N/A</v>
          </cell>
          <cell r="J117" t="e">
            <v>#N/A</v>
          </cell>
          <cell r="K117" t="e">
            <v>#N/A</v>
          </cell>
          <cell r="L117" t="e">
            <v>#N/A</v>
          </cell>
          <cell r="M117" t="e">
            <v>#N/A</v>
          </cell>
          <cell r="N117" t="e">
            <v>#N/A</v>
          </cell>
          <cell r="O117" t="e">
            <v>#N/A</v>
          </cell>
          <cell r="P117">
            <v>55.789994</v>
          </cell>
          <cell r="Q117">
            <v>3.3203399999999998</v>
          </cell>
          <cell r="R117" t="e">
            <v>#N/A</v>
          </cell>
        </row>
        <row r="118">
          <cell r="A118">
            <v>40323</v>
          </cell>
          <cell r="B118">
            <v>40323</v>
          </cell>
          <cell r="C118" t="str">
            <v>Past</v>
          </cell>
          <cell r="D118">
            <v>55.099991000000003</v>
          </cell>
          <cell r="E118" t="e">
            <v>#N/A</v>
          </cell>
          <cell r="F118" t="e">
            <v>#N/A</v>
          </cell>
          <cell r="G118" t="e">
            <v>#N/A</v>
          </cell>
          <cell r="H118" t="e">
            <v>#N/A</v>
          </cell>
          <cell r="I118" t="e">
            <v>#N/A</v>
          </cell>
          <cell r="J118" t="e">
            <v>#N/A</v>
          </cell>
          <cell r="K118" t="e">
            <v>#N/A</v>
          </cell>
          <cell r="L118" t="e">
            <v>#N/A</v>
          </cell>
          <cell r="M118" t="e">
            <v>#N/A</v>
          </cell>
          <cell r="N118" t="e">
            <v>#N/A</v>
          </cell>
          <cell r="O118" t="e">
            <v>#N/A</v>
          </cell>
          <cell r="P118">
            <v>55.099991000000003</v>
          </cell>
          <cell r="Q118">
            <v>4.471012</v>
          </cell>
          <cell r="R118" t="e">
            <v>#N/A</v>
          </cell>
        </row>
        <row r="119">
          <cell r="A119">
            <v>40324</v>
          </cell>
          <cell r="B119">
            <v>40324</v>
          </cell>
          <cell r="C119" t="str">
            <v>Past</v>
          </cell>
          <cell r="D119">
            <v>56.14</v>
          </cell>
          <cell r="E119" t="e">
            <v>#N/A</v>
          </cell>
          <cell r="F119" t="e">
            <v>#N/A</v>
          </cell>
          <cell r="G119" t="e">
            <v>#N/A</v>
          </cell>
          <cell r="H119" t="e">
            <v>#N/A</v>
          </cell>
          <cell r="I119" t="e">
            <v>#N/A</v>
          </cell>
          <cell r="J119" t="e">
            <v>#N/A</v>
          </cell>
          <cell r="K119" t="e">
            <v>#N/A</v>
          </cell>
          <cell r="L119" t="e">
            <v>#N/A</v>
          </cell>
          <cell r="M119" t="e">
            <v>#N/A</v>
          </cell>
          <cell r="N119" t="e">
            <v>#N/A</v>
          </cell>
          <cell r="O119" t="e">
            <v>#N/A</v>
          </cell>
          <cell r="P119">
            <v>56.14</v>
          </cell>
          <cell r="Q119">
            <v>6.9199450000000002</v>
          </cell>
          <cell r="R119" t="e">
            <v>#N/A</v>
          </cell>
        </row>
        <row r="120">
          <cell r="A120">
            <v>40325</v>
          </cell>
          <cell r="B120">
            <v>40325</v>
          </cell>
          <cell r="C120" t="str">
            <v>Past</v>
          </cell>
          <cell r="D120">
            <v>58.159989000000003</v>
          </cell>
          <cell r="E120" t="e">
            <v>#N/A</v>
          </cell>
          <cell r="F120" t="e">
            <v>#N/A</v>
          </cell>
          <cell r="G120" t="e">
            <v>#N/A</v>
          </cell>
          <cell r="H120" t="e">
            <v>#N/A</v>
          </cell>
          <cell r="I120" t="e">
            <v>#N/A</v>
          </cell>
          <cell r="J120" t="e">
            <v>#N/A</v>
          </cell>
          <cell r="K120" t="e">
            <v>#N/A</v>
          </cell>
          <cell r="L120" t="e">
            <v>#N/A</v>
          </cell>
          <cell r="M120" t="e">
            <v>#N/A</v>
          </cell>
          <cell r="N120" t="e">
            <v>#N/A</v>
          </cell>
          <cell r="O120" t="e">
            <v>#N/A</v>
          </cell>
          <cell r="P120">
            <v>58.159989000000003</v>
          </cell>
          <cell r="Q120">
            <v>4.9413749999999999</v>
          </cell>
          <cell r="R120" t="e">
            <v>#N/A</v>
          </cell>
        </row>
        <row r="121">
          <cell r="A121">
            <v>40326</v>
          </cell>
          <cell r="B121">
            <v>40326</v>
          </cell>
          <cell r="C121" t="str">
            <v>Past</v>
          </cell>
          <cell r="D121">
            <v>57.649994</v>
          </cell>
          <cell r="E121" t="e">
            <v>#N/A</v>
          </cell>
          <cell r="F121" t="e">
            <v>#N/A</v>
          </cell>
          <cell r="G121" t="e">
            <v>#N/A</v>
          </cell>
          <cell r="H121" t="e">
            <v>#N/A</v>
          </cell>
          <cell r="I121" t="e">
            <v>#N/A</v>
          </cell>
          <cell r="J121" t="e">
            <v>#N/A</v>
          </cell>
          <cell r="K121" t="e">
            <v>#N/A</v>
          </cell>
          <cell r="L121" t="e">
            <v>#N/A</v>
          </cell>
          <cell r="M121" t="e">
            <v>#N/A</v>
          </cell>
          <cell r="N121" t="e">
            <v>#N/A</v>
          </cell>
          <cell r="O121" t="e">
            <v>#N/A</v>
          </cell>
          <cell r="P121">
            <v>57.649994</v>
          </cell>
          <cell r="Q121">
            <v>5.1585159999999997</v>
          </cell>
          <cell r="R121" t="e">
            <v>#N/A</v>
          </cell>
        </row>
        <row r="122">
          <cell r="A122">
            <v>40330</v>
          </cell>
          <cell r="B122">
            <v>40330</v>
          </cell>
          <cell r="C122" t="str">
            <v>Past</v>
          </cell>
          <cell r="D122">
            <v>57.119996</v>
          </cell>
          <cell r="E122" t="e">
            <v>#N/A</v>
          </cell>
          <cell r="F122" t="e">
            <v>#N/A</v>
          </cell>
          <cell r="G122" t="e">
            <v>#N/A</v>
          </cell>
          <cell r="H122" t="e">
            <v>#N/A</v>
          </cell>
          <cell r="I122" t="e">
            <v>#N/A</v>
          </cell>
          <cell r="J122" t="e">
            <v>#N/A</v>
          </cell>
          <cell r="K122" t="e">
            <v>#N/A</v>
          </cell>
          <cell r="L122" t="e">
            <v>#N/A</v>
          </cell>
          <cell r="M122" t="e">
            <v>#N/A</v>
          </cell>
          <cell r="N122" t="e">
            <v>#N/A</v>
          </cell>
          <cell r="O122" t="e">
            <v>#N/A</v>
          </cell>
          <cell r="P122">
            <v>57.119996</v>
          </cell>
          <cell r="Q122">
            <v>3.703395</v>
          </cell>
          <cell r="R122" t="e">
            <v>#N/A</v>
          </cell>
        </row>
        <row r="123">
          <cell r="A123">
            <v>40331</v>
          </cell>
          <cell r="B123">
            <v>40331</v>
          </cell>
          <cell r="C123" t="str">
            <v>Past</v>
          </cell>
          <cell r="D123">
            <v>57.76999</v>
          </cell>
          <cell r="E123" t="e">
            <v>#N/A</v>
          </cell>
          <cell r="F123" t="e">
            <v>#N/A</v>
          </cell>
          <cell r="G123" t="e">
            <v>#N/A</v>
          </cell>
          <cell r="H123" t="e">
            <v>#N/A</v>
          </cell>
          <cell r="I123" t="e">
            <v>#N/A</v>
          </cell>
          <cell r="J123" t="e">
            <v>#N/A</v>
          </cell>
          <cell r="K123" t="e">
            <v>#N/A</v>
          </cell>
          <cell r="L123" t="e">
            <v>#N/A</v>
          </cell>
          <cell r="M123" t="e">
            <v>#N/A</v>
          </cell>
          <cell r="N123" t="e">
            <v>#N/A</v>
          </cell>
          <cell r="O123" t="e">
            <v>#N/A</v>
          </cell>
          <cell r="P123">
            <v>57.76999</v>
          </cell>
          <cell r="Q123">
            <v>4.0362999999999998</v>
          </cell>
          <cell r="R123" t="e">
            <v>#N/A</v>
          </cell>
        </row>
        <row r="124">
          <cell r="A124">
            <v>40332</v>
          </cell>
          <cell r="B124">
            <v>40332</v>
          </cell>
          <cell r="C124" t="str">
            <v>Past</v>
          </cell>
          <cell r="D124">
            <v>58.909989000000003</v>
          </cell>
          <cell r="E124" t="e">
            <v>#N/A</v>
          </cell>
          <cell r="F124" t="e">
            <v>#N/A</v>
          </cell>
          <cell r="G124" t="e">
            <v>#N/A</v>
          </cell>
          <cell r="H124" t="e">
            <v>#N/A</v>
          </cell>
          <cell r="I124" t="e">
            <v>#N/A</v>
          </cell>
          <cell r="J124" t="e">
            <v>#N/A</v>
          </cell>
          <cell r="K124" t="e">
            <v>#N/A</v>
          </cell>
          <cell r="L124" t="e">
            <v>#N/A</v>
          </cell>
          <cell r="M124" t="e">
            <v>#N/A</v>
          </cell>
          <cell r="N124" t="e">
            <v>#N/A</v>
          </cell>
          <cell r="O124" t="e">
            <v>#N/A</v>
          </cell>
          <cell r="P124">
            <v>58.909989000000003</v>
          </cell>
          <cell r="Q124">
            <v>5.0693169999999999</v>
          </cell>
          <cell r="R124" t="e">
            <v>#N/A</v>
          </cell>
        </row>
        <row r="125">
          <cell r="A125">
            <v>40333</v>
          </cell>
          <cell r="B125">
            <v>40333</v>
          </cell>
          <cell r="C125" t="str">
            <v>Past</v>
          </cell>
          <cell r="D125">
            <v>56.809998</v>
          </cell>
          <cell r="E125" t="e">
            <v>#N/A</v>
          </cell>
          <cell r="F125" t="e">
            <v>#N/A</v>
          </cell>
          <cell r="G125" t="e">
            <v>#N/A</v>
          </cell>
          <cell r="H125" t="e">
            <v>#N/A</v>
          </cell>
          <cell r="I125" t="e">
            <v>#N/A</v>
          </cell>
          <cell r="J125" t="e">
            <v>#N/A</v>
          </cell>
          <cell r="K125" t="e">
            <v>#N/A</v>
          </cell>
          <cell r="L125" t="e">
            <v>#N/A</v>
          </cell>
          <cell r="M125" t="e">
            <v>#N/A</v>
          </cell>
          <cell r="N125" t="e">
            <v>#N/A</v>
          </cell>
          <cell r="O125" t="e">
            <v>#N/A</v>
          </cell>
          <cell r="P125">
            <v>56.809998</v>
          </cell>
          <cell r="Q125">
            <v>4.0467680000000001</v>
          </cell>
          <cell r="R125" t="e">
            <v>#N/A</v>
          </cell>
        </row>
        <row r="126">
          <cell r="A126">
            <v>40336</v>
          </cell>
          <cell r="B126">
            <v>40336</v>
          </cell>
          <cell r="C126" t="str">
            <v>Past</v>
          </cell>
          <cell r="D126">
            <v>58.5</v>
          </cell>
          <cell r="E126" t="e">
            <v>#N/A</v>
          </cell>
          <cell r="F126" t="e">
            <v>#N/A</v>
          </cell>
          <cell r="G126" t="e">
            <v>#N/A</v>
          </cell>
          <cell r="H126" t="e">
            <v>#N/A</v>
          </cell>
          <cell r="I126" t="e">
            <v>#N/A</v>
          </cell>
          <cell r="J126" t="e">
            <v>#N/A</v>
          </cell>
          <cell r="K126" t="e">
            <v>#N/A</v>
          </cell>
          <cell r="L126" t="e">
            <v>#N/A</v>
          </cell>
          <cell r="M126" t="e">
            <v>#N/A</v>
          </cell>
          <cell r="N126" t="e">
            <v>#N/A</v>
          </cell>
          <cell r="O126" t="e">
            <v>#N/A</v>
          </cell>
          <cell r="P126">
            <v>58.5</v>
          </cell>
          <cell r="Q126">
            <v>9.2686019999999996</v>
          </cell>
          <cell r="R126" t="e">
            <v>#N/A</v>
          </cell>
        </row>
        <row r="127">
          <cell r="A127">
            <v>40337</v>
          </cell>
          <cell r="B127">
            <v>40337</v>
          </cell>
          <cell r="C127" t="str">
            <v>Past</v>
          </cell>
          <cell r="D127">
            <v>58.039994</v>
          </cell>
          <cell r="E127" t="e">
            <v>#N/A</v>
          </cell>
          <cell r="F127" t="e">
            <v>#N/A</v>
          </cell>
          <cell r="G127" t="e">
            <v>#N/A</v>
          </cell>
          <cell r="H127" t="e">
            <v>#N/A</v>
          </cell>
          <cell r="I127" t="e">
            <v>#N/A</v>
          </cell>
          <cell r="J127" t="e">
            <v>#N/A</v>
          </cell>
          <cell r="K127" t="e">
            <v>#N/A</v>
          </cell>
          <cell r="L127" t="e">
            <v>#N/A</v>
          </cell>
          <cell r="M127" t="e">
            <v>#N/A</v>
          </cell>
          <cell r="N127" t="e">
            <v>#N/A</v>
          </cell>
          <cell r="O127" t="e">
            <v>#N/A</v>
          </cell>
          <cell r="P127">
            <v>58.039994</v>
          </cell>
          <cell r="Q127">
            <v>6.261145</v>
          </cell>
          <cell r="R127" t="e">
            <v>#N/A</v>
          </cell>
        </row>
        <row r="128">
          <cell r="A128">
            <v>40338</v>
          </cell>
          <cell r="B128">
            <v>40338</v>
          </cell>
          <cell r="C128" t="str">
            <v>Past</v>
          </cell>
          <cell r="D128">
            <v>58.279998999999997</v>
          </cell>
          <cell r="E128" t="e">
            <v>#N/A</v>
          </cell>
          <cell r="F128" t="e">
            <v>#N/A</v>
          </cell>
          <cell r="G128" t="e">
            <v>#N/A</v>
          </cell>
          <cell r="H128" t="e">
            <v>#N/A</v>
          </cell>
          <cell r="I128" t="e">
            <v>#N/A</v>
          </cell>
          <cell r="J128" t="e">
            <v>#N/A</v>
          </cell>
          <cell r="K128" t="e">
            <v>#N/A</v>
          </cell>
          <cell r="L128" t="e">
            <v>#N/A</v>
          </cell>
          <cell r="M128" t="e">
            <v>#N/A</v>
          </cell>
          <cell r="N128" t="e">
            <v>#N/A</v>
          </cell>
          <cell r="O128" t="e">
            <v>#N/A</v>
          </cell>
          <cell r="P128">
            <v>58.279998999999997</v>
          </cell>
          <cell r="Q128">
            <v>3.164771</v>
          </cell>
          <cell r="R128" t="e">
            <v>#N/A</v>
          </cell>
        </row>
        <row r="129">
          <cell r="A129">
            <v>40339</v>
          </cell>
          <cell r="B129">
            <v>40339</v>
          </cell>
          <cell r="C129" t="str">
            <v>Past</v>
          </cell>
          <cell r="D129">
            <v>60.539994</v>
          </cell>
          <cell r="E129" t="e">
            <v>#N/A</v>
          </cell>
          <cell r="F129" t="e">
            <v>#N/A</v>
          </cell>
          <cell r="G129" t="e">
            <v>#N/A</v>
          </cell>
          <cell r="H129" t="e">
            <v>#N/A</v>
          </cell>
          <cell r="I129" t="e">
            <v>#N/A</v>
          </cell>
          <cell r="J129" t="e">
            <v>#N/A</v>
          </cell>
          <cell r="K129" t="e">
            <v>#N/A</v>
          </cell>
          <cell r="L129" t="e">
            <v>#N/A</v>
          </cell>
          <cell r="M129" t="e">
            <v>#N/A</v>
          </cell>
          <cell r="N129" t="e">
            <v>#N/A</v>
          </cell>
          <cell r="O129" t="e">
            <v>#N/A</v>
          </cell>
          <cell r="P129">
            <v>60.539994</v>
          </cell>
          <cell r="Q129">
            <v>4.6094530000000002</v>
          </cell>
          <cell r="R129" t="e">
            <v>#N/A</v>
          </cell>
        </row>
        <row r="130">
          <cell r="A130">
            <v>40340</v>
          </cell>
          <cell r="B130">
            <v>40340</v>
          </cell>
          <cell r="C130" t="str">
            <v>Past</v>
          </cell>
          <cell r="D130">
            <v>61.309998</v>
          </cell>
          <cell r="E130" t="e">
            <v>#N/A</v>
          </cell>
          <cell r="F130" t="e">
            <v>#N/A</v>
          </cell>
          <cell r="G130" t="e">
            <v>#N/A</v>
          </cell>
          <cell r="H130" t="e">
            <v>#N/A</v>
          </cell>
          <cell r="I130" t="e">
            <v>#N/A</v>
          </cell>
          <cell r="J130" t="e">
            <v>#N/A</v>
          </cell>
          <cell r="K130" t="e">
            <v>#N/A</v>
          </cell>
          <cell r="L130" t="e">
            <v>#N/A</v>
          </cell>
          <cell r="M130" t="e">
            <v>#N/A</v>
          </cell>
          <cell r="N130" t="e">
            <v>#N/A</v>
          </cell>
          <cell r="O130" t="e">
            <v>#N/A</v>
          </cell>
          <cell r="P130">
            <v>61.309998</v>
          </cell>
          <cell r="Q130">
            <v>5.2303129999999998</v>
          </cell>
          <cell r="R130" t="e">
            <v>#N/A</v>
          </cell>
        </row>
        <row r="131">
          <cell r="A131">
            <v>40343</v>
          </cell>
          <cell r="B131">
            <v>40343</v>
          </cell>
          <cell r="C131" t="str">
            <v>Past</v>
          </cell>
          <cell r="D131">
            <v>61.229996</v>
          </cell>
          <cell r="E131" t="e">
            <v>#N/A</v>
          </cell>
          <cell r="F131" t="e">
            <v>#N/A</v>
          </cell>
          <cell r="G131" t="e">
            <v>#N/A</v>
          </cell>
          <cell r="H131" t="e">
            <v>#N/A</v>
          </cell>
          <cell r="I131" t="e">
            <v>#N/A</v>
          </cell>
          <cell r="J131" t="e">
            <v>#N/A</v>
          </cell>
          <cell r="K131" t="e">
            <v>#N/A</v>
          </cell>
          <cell r="L131" t="e">
            <v>#N/A</v>
          </cell>
          <cell r="M131" t="e">
            <v>#N/A</v>
          </cell>
          <cell r="N131" t="e">
            <v>#N/A</v>
          </cell>
          <cell r="O131" t="e">
            <v>#N/A</v>
          </cell>
          <cell r="P131">
            <v>61.229996</v>
          </cell>
          <cell r="Q131">
            <v>4.6971369999999997</v>
          </cell>
          <cell r="R131" t="e">
            <v>#N/A</v>
          </cell>
        </row>
        <row r="132">
          <cell r="A132">
            <v>40344</v>
          </cell>
          <cell r="B132">
            <v>40344</v>
          </cell>
          <cell r="C132" t="str">
            <v>Past</v>
          </cell>
          <cell r="D132">
            <v>61.069992999999997</v>
          </cell>
          <cell r="E132" t="e">
            <v>#N/A</v>
          </cell>
          <cell r="F132" t="e">
            <v>#N/A</v>
          </cell>
          <cell r="G132" t="e">
            <v>#N/A</v>
          </cell>
          <cell r="H132" t="e">
            <v>#N/A</v>
          </cell>
          <cell r="I132" t="e">
            <v>#N/A</v>
          </cell>
          <cell r="J132" t="e">
            <v>#N/A</v>
          </cell>
          <cell r="K132" t="e">
            <v>#N/A</v>
          </cell>
          <cell r="L132" t="e">
            <v>#N/A</v>
          </cell>
          <cell r="M132" t="e">
            <v>#N/A</v>
          </cell>
          <cell r="N132" t="e">
            <v>#N/A</v>
          </cell>
          <cell r="O132" t="e">
            <v>#N/A</v>
          </cell>
          <cell r="P132">
            <v>61.069992999999997</v>
          </cell>
          <cell r="Q132">
            <v>3.6425749999999999</v>
          </cell>
          <cell r="R132" t="e">
            <v>#N/A</v>
          </cell>
        </row>
        <row r="133">
          <cell r="A133">
            <v>40345</v>
          </cell>
          <cell r="B133">
            <v>40345</v>
          </cell>
          <cell r="C133" t="str">
            <v>Past</v>
          </cell>
          <cell r="D133">
            <v>61.399994</v>
          </cell>
          <cell r="E133" t="e">
            <v>#N/A</v>
          </cell>
          <cell r="F133" t="e">
            <v>#N/A</v>
          </cell>
          <cell r="G133" t="e">
            <v>#N/A</v>
          </cell>
          <cell r="H133" t="e">
            <v>#N/A</v>
          </cell>
          <cell r="I133" t="e">
            <v>#N/A</v>
          </cell>
          <cell r="J133" t="e">
            <v>#N/A</v>
          </cell>
          <cell r="K133" t="e">
            <v>#N/A</v>
          </cell>
          <cell r="L133" t="e">
            <v>#N/A</v>
          </cell>
          <cell r="M133" t="e">
            <v>#N/A</v>
          </cell>
          <cell r="N133" t="e">
            <v>#N/A</v>
          </cell>
          <cell r="O133" t="e">
            <v>#N/A</v>
          </cell>
          <cell r="P133">
            <v>61.399994</v>
          </cell>
          <cell r="Q133">
            <v>4.0932550000000001</v>
          </cell>
          <cell r="R133" t="e">
            <v>#N/A</v>
          </cell>
        </row>
        <row r="134">
          <cell r="A134">
            <v>40346</v>
          </cell>
          <cell r="B134">
            <v>40346</v>
          </cell>
          <cell r="C134" t="str">
            <v>Past</v>
          </cell>
          <cell r="D134">
            <v>61.509995000000004</v>
          </cell>
          <cell r="E134" t="e">
            <v>#N/A</v>
          </cell>
          <cell r="F134" t="e">
            <v>#N/A</v>
          </cell>
          <cell r="G134" t="e">
            <v>#N/A</v>
          </cell>
          <cell r="H134" t="e">
            <v>#N/A</v>
          </cell>
          <cell r="I134" t="e">
            <v>#N/A</v>
          </cell>
          <cell r="J134" t="e">
            <v>#N/A</v>
          </cell>
          <cell r="K134" t="e">
            <v>#N/A</v>
          </cell>
          <cell r="L134" t="e">
            <v>#N/A</v>
          </cell>
          <cell r="M134" t="e">
            <v>#N/A</v>
          </cell>
          <cell r="N134" t="e">
            <v>#N/A</v>
          </cell>
          <cell r="O134" t="e">
            <v>#N/A</v>
          </cell>
          <cell r="P134">
            <v>61.509995000000004</v>
          </cell>
          <cell r="Q134">
            <v>3.9817900000000002</v>
          </cell>
          <cell r="R134" t="e">
            <v>#N/A</v>
          </cell>
        </row>
        <row r="135">
          <cell r="A135">
            <v>40347</v>
          </cell>
          <cell r="B135">
            <v>40347</v>
          </cell>
          <cell r="C135" t="str">
            <v>Past</v>
          </cell>
          <cell r="D135">
            <v>60.049987999999999</v>
          </cell>
          <cell r="E135" t="e">
            <v>#N/A</v>
          </cell>
          <cell r="F135" t="e">
            <v>#N/A</v>
          </cell>
          <cell r="G135" t="e">
            <v>#N/A</v>
          </cell>
          <cell r="H135" t="e">
            <v>#N/A</v>
          </cell>
          <cell r="I135" t="e">
            <v>#N/A</v>
          </cell>
          <cell r="J135" t="e">
            <v>#N/A</v>
          </cell>
          <cell r="K135" t="e">
            <v>#N/A</v>
          </cell>
          <cell r="L135" t="e">
            <v>#N/A</v>
          </cell>
          <cell r="M135" t="e">
            <v>#N/A</v>
          </cell>
          <cell r="N135" t="e">
            <v>#N/A</v>
          </cell>
          <cell r="O135" t="e">
            <v>#N/A</v>
          </cell>
          <cell r="P135">
            <v>60.049987999999999</v>
          </cell>
          <cell r="Q135">
            <v>7.282527</v>
          </cell>
          <cell r="R135" t="e">
            <v>#N/A</v>
          </cell>
        </row>
        <row r="136">
          <cell r="A136">
            <v>40350</v>
          </cell>
          <cell r="B136">
            <v>40350</v>
          </cell>
          <cell r="C136" t="str">
            <v>Past</v>
          </cell>
          <cell r="D136">
            <v>58.689988</v>
          </cell>
          <cell r="E136" t="e">
            <v>#N/A</v>
          </cell>
          <cell r="F136" t="e">
            <v>#N/A</v>
          </cell>
          <cell r="G136" t="e">
            <v>#N/A</v>
          </cell>
          <cell r="H136" t="e">
            <v>#N/A</v>
          </cell>
          <cell r="I136" t="e">
            <v>#N/A</v>
          </cell>
          <cell r="J136" t="e">
            <v>#N/A</v>
          </cell>
          <cell r="K136" t="e">
            <v>#N/A</v>
          </cell>
          <cell r="L136" t="e">
            <v>#N/A</v>
          </cell>
          <cell r="M136" t="e">
            <v>#N/A</v>
          </cell>
          <cell r="N136" t="e">
            <v>#N/A</v>
          </cell>
          <cell r="O136" t="e">
            <v>#N/A</v>
          </cell>
          <cell r="P136">
            <v>58.689988</v>
          </cell>
          <cell r="Q136">
            <v>6.2385510000000002</v>
          </cell>
          <cell r="R136" t="e">
            <v>#N/A</v>
          </cell>
        </row>
        <row r="137">
          <cell r="A137">
            <v>40351</v>
          </cell>
          <cell r="B137">
            <v>40351</v>
          </cell>
          <cell r="C137" t="str">
            <v>Past</v>
          </cell>
          <cell r="D137">
            <v>57.689988</v>
          </cell>
          <cell r="E137" t="e">
            <v>#N/A</v>
          </cell>
          <cell r="F137" t="e">
            <v>#N/A</v>
          </cell>
          <cell r="G137" t="e">
            <v>#N/A</v>
          </cell>
          <cell r="H137" t="e">
            <v>#N/A</v>
          </cell>
          <cell r="I137" t="e">
            <v>#N/A</v>
          </cell>
          <cell r="J137" t="e">
            <v>#N/A</v>
          </cell>
          <cell r="K137" t="e">
            <v>#N/A</v>
          </cell>
          <cell r="L137" t="e">
            <v>#N/A</v>
          </cell>
          <cell r="M137" t="e">
            <v>#N/A</v>
          </cell>
          <cell r="N137" t="e">
            <v>#N/A</v>
          </cell>
          <cell r="O137" t="e">
            <v>#N/A</v>
          </cell>
          <cell r="P137">
            <v>57.689988</v>
          </cell>
          <cell r="Q137">
            <v>5.3123829999999996</v>
          </cell>
          <cell r="R137" t="e">
            <v>#N/A</v>
          </cell>
        </row>
        <row r="138">
          <cell r="A138">
            <v>40352</v>
          </cell>
          <cell r="B138">
            <v>40352</v>
          </cell>
          <cell r="C138" t="str">
            <v>Past</v>
          </cell>
          <cell r="D138">
            <v>57.429993000000003</v>
          </cell>
          <cell r="E138" t="e">
            <v>#N/A</v>
          </cell>
          <cell r="F138" t="e">
            <v>#N/A</v>
          </cell>
          <cell r="G138" t="e">
            <v>#N/A</v>
          </cell>
          <cell r="H138" t="e">
            <v>#N/A</v>
          </cell>
          <cell r="I138" t="e">
            <v>#N/A</v>
          </cell>
          <cell r="J138" t="e">
            <v>#N/A</v>
          </cell>
          <cell r="K138" t="e">
            <v>#N/A</v>
          </cell>
          <cell r="L138" t="e">
            <v>#N/A</v>
          </cell>
          <cell r="M138" t="e">
            <v>#N/A</v>
          </cell>
          <cell r="N138" t="e">
            <v>#N/A</v>
          </cell>
          <cell r="O138" t="e">
            <v>#N/A</v>
          </cell>
          <cell r="P138">
            <v>57.429993000000003</v>
          </cell>
          <cell r="Q138">
            <v>4.0666950000000002</v>
          </cell>
          <cell r="R138" t="e">
            <v>#N/A</v>
          </cell>
        </row>
        <row r="139">
          <cell r="A139">
            <v>40353</v>
          </cell>
          <cell r="B139">
            <v>40353</v>
          </cell>
          <cell r="C139" t="str">
            <v>Past</v>
          </cell>
          <cell r="D139">
            <v>56.169998999999997</v>
          </cell>
          <cell r="E139" t="e">
            <v>#N/A</v>
          </cell>
          <cell r="F139" t="e">
            <v>#N/A</v>
          </cell>
          <cell r="G139" t="e">
            <v>#N/A</v>
          </cell>
          <cell r="H139" t="e">
            <v>#N/A</v>
          </cell>
          <cell r="I139" t="e">
            <v>#N/A</v>
          </cell>
          <cell r="J139" t="e">
            <v>#N/A</v>
          </cell>
          <cell r="K139" t="e">
            <v>#N/A</v>
          </cell>
          <cell r="L139" t="e">
            <v>#N/A</v>
          </cell>
          <cell r="M139" t="e">
            <v>#N/A</v>
          </cell>
          <cell r="N139" t="e">
            <v>#N/A</v>
          </cell>
          <cell r="O139" t="e">
            <v>#N/A</v>
          </cell>
          <cell r="P139">
            <v>56.169998999999997</v>
          </cell>
          <cell r="Q139">
            <v>5.4722850000000003</v>
          </cell>
          <cell r="R139" t="e">
            <v>#N/A</v>
          </cell>
        </row>
        <row r="140">
          <cell r="A140">
            <v>40354</v>
          </cell>
          <cell r="B140">
            <v>40354</v>
          </cell>
          <cell r="C140" t="str">
            <v>Past</v>
          </cell>
          <cell r="D140">
            <v>56.689988</v>
          </cell>
          <cell r="E140" t="e">
            <v>#N/A</v>
          </cell>
          <cell r="F140" t="e">
            <v>#N/A</v>
          </cell>
          <cell r="G140" t="e">
            <v>#N/A</v>
          </cell>
          <cell r="H140" t="e">
            <v>#N/A</v>
          </cell>
          <cell r="I140" t="e">
            <v>#N/A</v>
          </cell>
          <cell r="J140" t="e">
            <v>#N/A</v>
          </cell>
          <cell r="K140" t="e">
            <v>#N/A</v>
          </cell>
          <cell r="L140" t="e">
            <v>#N/A</v>
          </cell>
          <cell r="M140" t="e">
            <v>#N/A</v>
          </cell>
          <cell r="N140" t="e">
            <v>#N/A</v>
          </cell>
          <cell r="O140" t="e">
            <v>#N/A</v>
          </cell>
          <cell r="P140">
            <v>56.689988</v>
          </cell>
          <cell r="Q140">
            <v>5.6225389999999997</v>
          </cell>
          <cell r="R140" t="e">
            <v>#N/A</v>
          </cell>
        </row>
        <row r="141">
          <cell r="A141">
            <v>40357</v>
          </cell>
          <cell r="B141">
            <v>40357</v>
          </cell>
          <cell r="C141" t="str">
            <v>Past</v>
          </cell>
          <cell r="D141">
            <v>56.259995000000004</v>
          </cell>
          <cell r="E141" t="e">
            <v>#N/A</v>
          </cell>
          <cell r="F141" t="e">
            <v>#N/A</v>
          </cell>
          <cell r="G141" t="e">
            <v>#N/A</v>
          </cell>
          <cell r="H141" t="e">
            <v>#N/A</v>
          </cell>
          <cell r="I141" t="e">
            <v>#N/A</v>
          </cell>
          <cell r="J141" t="e">
            <v>#N/A</v>
          </cell>
          <cell r="K141" t="e">
            <v>#N/A</v>
          </cell>
          <cell r="L141" t="e">
            <v>#N/A</v>
          </cell>
          <cell r="M141" t="e">
            <v>#N/A</v>
          </cell>
          <cell r="N141" t="e">
            <v>#N/A</v>
          </cell>
          <cell r="O141" t="e">
            <v>#N/A</v>
          </cell>
          <cell r="P141">
            <v>56.259995000000004</v>
          </cell>
          <cell r="Q141">
            <v>4.0529260000000003</v>
          </cell>
          <cell r="R141" t="e">
            <v>#N/A</v>
          </cell>
        </row>
        <row r="142">
          <cell r="A142">
            <v>40358</v>
          </cell>
          <cell r="B142">
            <v>40358</v>
          </cell>
          <cell r="C142" t="str">
            <v>Past</v>
          </cell>
          <cell r="D142">
            <v>54.459992</v>
          </cell>
          <cell r="E142" t="e">
            <v>#N/A</v>
          </cell>
          <cell r="F142" t="e">
            <v>#N/A</v>
          </cell>
          <cell r="G142" t="e">
            <v>#N/A</v>
          </cell>
          <cell r="H142" t="e">
            <v>#N/A</v>
          </cell>
          <cell r="I142" t="e">
            <v>#N/A</v>
          </cell>
          <cell r="J142" t="e">
            <v>#N/A</v>
          </cell>
          <cell r="K142" t="e">
            <v>#N/A</v>
          </cell>
          <cell r="L142" t="e">
            <v>#N/A</v>
          </cell>
          <cell r="M142" t="e">
            <v>#N/A</v>
          </cell>
          <cell r="N142" t="e">
            <v>#N/A</v>
          </cell>
          <cell r="O142" t="e">
            <v>#N/A</v>
          </cell>
          <cell r="P142">
            <v>54.459992</v>
          </cell>
          <cell r="Q142">
            <v>7.0485550000000003</v>
          </cell>
          <cell r="R142" t="e">
            <v>#N/A</v>
          </cell>
        </row>
        <row r="143">
          <cell r="A143">
            <v>40359</v>
          </cell>
          <cell r="B143">
            <v>40359</v>
          </cell>
          <cell r="C143" t="str">
            <v>Past</v>
          </cell>
          <cell r="D143">
            <v>55.079987000000003</v>
          </cell>
          <cell r="E143" t="e">
            <v>#N/A</v>
          </cell>
          <cell r="F143" t="e">
            <v>#N/A</v>
          </cell>
          <cell r="G143" t="e">
            <v>#N/A</v>
          </cell>
          <cell r="H143" t="e">
            <v>#N/A</v>
          </cell>
          <cell r="I143" t="e">
            <v>#N/A</v>
          </cell>
          <cell r="J143" t="e">
            <v>#N/A</v>
          </cell>
          <cell r="K143" t="e">
            <v>#N/A</v>
          </cell>
          <cell r="L143" t="e">
            <v>#N/A</v>
          </cell>
          <cell r="M143" t="e">
            <v>#N/A</v>
          </cell>
          <cell r="N143" t="e">
            <v>#N/A</v>
          </cell>
          <cell r="O143" t="e">
            <v>#N/A</v>
          </cell>
          <cell r="P143">
            <v>55.079987000000003</v>
          </cell>
          <cell r="Q143">
            <v>6.2142229999999996</v>
          </cell>
          <cell r="R143" t="e">
            <v>#N/A</v>
          </cell>
        </row>
        <row r="144">
          <cell r="A144">
            <v>40360</v>
          </cell>
          <cell r="B144">
            <v>40360</v>
          </cell>
          <cell r="C144" t="str">
            <v>Past</v>
          </cell>
          <cell r="D144">
            <v>55.01999</v>
          </cell>
          <cell r="E144" t="e">
            <v>#N/A</v>
          </cell>
          <cell r="F144" t="e">
            <v>#N/A</v>
          </cell>
          <cell r="G144" t="e">
            <v>#N/A</v>
          </cell>
          <cell r="H144" t="e">
            <v>#N/A</v>
          </cell>
          <cell r="I144" t="e">
            <v>#N/A</v>
          </cell>
          <cell r="J144" t="e">
            <v>#N/A</v>
          </cell>
          <cell r="K144" t="e">
            <v>#N/A</v>
          </cell>
          <cell r="L144" t="e">
            <v>#N/A</v>
          </cell>
          <cell r="M144" t="e">
            <v>#N/A</v>
          </cell>
          <cell r="N144" t="e">
            <v>#N/A</v>
          </cell>
          <cell r="O144" t="e">
            <v>#N/A</v>
          </cell>
          <cell r="P144">
            <v>55.01999</v>
          </cell>
          <cell r="Q144">
            <v>8.3758979999999994</v>
          </cell>
          <cell r="R144" t="e">
            <v>#N/A</v>
          </cell>
        </row>
        <row r="145">
          <cell r="A145">
            <v>40361</v>
          </cell>
          <cell r="B145">
            <v>40361</v>
          </cell>
          <cell r="C145" t="str">
            <v>Past</v>
          </cell>
          <cell r="D145">
            <v>54.429993000000003</v>
          </cell>
          <cell r="E145" t="e">
            <v>#N/A</v>
          </cell>
          <cell r="F145" t="e">
            <v>#N/A</v>
          </cell>
          <cell r="G145" t="e">
            <v>#N/A</v>
          </cell>
          <cell r="H145" t="e">
            <v>#N/A</v>
          </cell>
          <cell r="I145" t="e">
            <v>#N/A</v>
          </cell>
          <cell r="J145" t="e">
            <v>#N/A</v>
          </cell>
          <cell r="K145" t="e">
            <v>#N/A</v>
          </cell>
          <cell r="L145" t="e">
            <v>#N/A</v>
          </cell>
          <cell r="M145" t="e">
            <v>#N/A</v>
          </cell>
          <cell r="N145" t="e">
            <v>#N/A</v>
          </cell>
          <cell r="O145" t="e">
            <v>#N/A</v>
          </cell>
          <cell r="P145">
            <v>54.429993000000003</v>
          </cell>
          <cell r="Q145">
            <v>3.499069</v>
          </cell>
          <cell r="R145" t="e">
            <v>#N/A</v>
          </cell>
        </row>
        <row r="146">
          <cell r="A146">
            <v>40365</v>
          </cell>
          <cell r="B146">
            <v>40365</v>
          </cell>
          <cell r="C146" t="str">
            <v>Past</v>
          </cell>
          <cell r="D146">
            <v>54.119996</v>
          </cell>
          <cell r="E146" t="e">
            <v>#N/A</v>
          </cell>
          <cell r="F146" t="e">
            <v>#N/A</v>
          </cell>
          <cell r="G146" t="e">
            <v>#N/A</v>
          </cell>
          <cell r="H146" t="e">
            <v>#N/A</v>
          </cell>
          <cell r="I146" t="e">
            <v>#N/A</v>
          </cell>
          <cell r="J146" t="e">
            <v>#N/A</v>
          </cell>
          <cell r="K146" t="e">
            <v>#N/A</v>
          </cell>
          <cell r="L146" t="e">
            <v>#N/A</v>
          </cell>
          <cell r="M146" t="e">
            <v>#N/A</v>
          </cell>
          <cell r="N146" t="e">
            <v>#N/A</v>
          </cell>
          <cell r="O146" t="e">
            <v>#N/A</v>
          </cell>
          <cell r="P146">
            <v>54.119996</v>
          </cell>
          <cell r="Q146">
            <v>5.08134</v>
          </cell>
          <cell r="R146" t="e">
            <v>#N/A</v>
          </cell>
        </row>
        <row r="147">
          <cell r="A147">
            <v>40366</v>
          </cell>
          <cell r="B147">
            <v>40366</v>
          </cell>
          <cell r="C147" t="str">
            <v>Past</v>
          </cell>
          <cell r="D147">
            <v>55.779998999999997</v>
          </cell>
          <cell r="E147" t="e">
            <v>#N/A</v>
          </cell>
          <cell r="F147" t="e">
            <v>#N/A</v>
          </cell>
          <cell r="G147" t="e">
            <v>#N/A</v>
          </cell>
          <cell r="H147" t="e">
            <v>#N/A</v>
          </cell>
          <cell r="I147" t="e">
            <v>#N/A</v>
          </cell>
          <cell r="J147" t="e">
            <v>#N/A</v>
          </cell>
          <cell r="K147" t="e">
            <v>#N/A</v>
          </cell>
          <cell r="L147" t="e">
            <v>#N/A</v>
          </cell>
          <cell r="M147" t="e">
            <v>#N/A</v>
          </cell>
          <cell r="N147" t="e">
            <v>#N/A</v>
          </cell>
          <cell r="O147" t="e">
            <v>#N/A</v>
          </cell>
          <cell r="P147">
            <v>55.779998999999997</v>
          </cell>
          <cell r="Q147">
            <v>4.8768320000000003</v>
          </cell>
          <cell r="R147" t="e">
            <v>#N/A</v>
          </cell>
        </row>
        <row r="148">
          <cell r="A148">
            <v>40367</v>
          </cell>
          <cell r="B148">
            <v>40367</v>
          </cell>
          <cell r="C148" t="str">
            <v>Past</v>
          </cell>
          <cell r="D148">
            <v>56.14</v>
          </cell>
          <cell r="E148" t="e">
            <v>#N/A</v>
          </cell>
          <cell r="F148" t="e">
            <v>#N/A</v>
          </cell>
          <cell r="G148" t="e">
            <v>#N/A</v>
          </cell>
          <cell r="H148" t="e">
            <v>#N/A</v>
          </cell>
          <cell r="I148" t="e">
            <v>#N/A</v>
          </cell>
          <cell r="J148" t="e">
            <v>#N/A</v>
          </cell>
          <cell r="K148" t="e">
            <v>#N/A</v>
          </cell>
          <cell r="L148" t="e">
            <v>#N/A</v>
          </cell>
          <cell r="M148" t="e">
            <v>#N/A</v>
          </cell>
          <cell r="N148" t="e">
            <v>#N/A</v>
          </cell>
          <cell r="O148" t="e">
            <v>#N/A</v>
          </cell>
          <cell r="P148">
            <v>56.14</v>
          </cell>
          <cell r="Q148">
            <v>3.6391800000000001</v>
          </cell>
          <cell r="R148" t="e">
            <v>#N/A</v>
          </cell>
        </row>
        <row r="149">
          <cell r="A149">
            <v>40368</v>
          </cell>
          <cell r="B149">
            <v>40368</v>
          </cell>
          <cell r="C149" t="str">
            <v>Past</v>
          </cell>
          <cell r="D149">
            <v>56.529998999999997</v>
          </cell>
          <cell r="E149" t="e">
            <v>#N/A</v>
          </cell>
          <cell r="F149" t="e">
            <v>#N/A</v>
          </cell>
          <cell r="G149" t="e">
            <v>#N/A</v>
          </cell>
          <cell r="H149" t="e">
            <v>#N/A</v>
          </cell>
          <cell r="I149" t="e">
            <v>#N/A</v>
          </cell>
          <cell r="J149" t="e">
            <v>#N/A</v>
          </cell>
          <cell r="K149" t="e">
            <v>#N/A</v>
          </cell>
          <cell r="L149" t="e">
            <v>#N/A</v>
          </cell>
          <cell r="M149" t="e">
            <v>#N/A</v>
          </cell>
          <cell r="N149" t="e">
            <v>#N/A</v>
          </cell>
          <cell r="O149" t="e">
            <v>#N/A</v>
          </cell>
          <cell r="P149">
            <v>56.529998999999997</v>
          </cell>
          <cell r="Q149">
            <v>3.1940940000000002</v>
          </cell>
          <cell r="R149" t="e">
            <v>#N/A</v>
          </cell>
        </row>
        <row r="150">
          <cell r="A150">
            <v>40371</v>
          </cell>
          <cell r="B150">
            <v>40371</v>
          </cell>
          <cell r="C150" t="str">
            <v>Past</v>
          </cell>
          <cell r="D150">
            <v>56.689988</v>
          </cell>
          <cell r="E150" t="e">
            <v>#N/A</v>
          </cell>
          <cell r="F150" t="e">
            <v>#N/A</v>
          </cell>
          <cell r="G150" t="e">
            <v>#N/A</v>
          </cell>
          <cell r="H150" t="e">
            <v>#N/A</v>
          </cell>
          <cell r="I150" t="e">
            <v>#N/A</v>
          </cell>
          <cell r="J150" t="e">
            <v>#N/A</v>
          </cell>
          <cell r="K150" t="e">
            <v>#N/A</v>
          </cell>
          <cell r="L150" t="e">
            <v>#N/A</v>
          </cell>
          <cell r="M150" t="e">
            <v>#N/A</v>
          </cell>
          <cell r="N150" t="e">
            <v>#N/A</v>
          </cell>
          <cell r="O150" t="e">
            <v>#N/A</v>
          </cell>
          <cell r="P150">
            <v>56.689988</v>
          </cell>
          <cell r="Q150">
            <v>4.4529180000000004</v>
          </cell>
          <cell r="R150" t="e">
            <v>#N/A</v>
          </cell>
        </row>
        <row r="151">
          <cell r="A151">
            <v>40372</v>
          </cell>
          <cell r="B151">
            <v>40372</v>
          </cell>
          <cell r="C151" t="str">
            <v>Past</v>
          </cell>
          <cell r="D151">
            <v>56.849991000000003</v>
          </cell>
          <cell r="E151" t="e">
            <v>#N/A</v>
          </cell>
          <cell r="F151" t="e">
            <v>#N/A</v>
          </cell>
          <cell r="G151" t="e">
            <v>#N/A</v>
          </cell>
          <cell r="H151" t="e">
            <v>#N/A</v>
          </cell>
          <cell r="I151" t="e">
            <v>#N/A</v>
          </cell>
          <cell r="J151" t="e">
            <v>#N/A</v>
          </cell>
          <cell r="K151" t="e">
            <v>#N/A</v>
          </cell>
          <cell r="L151" t="e">
            <v>#N/A</v>
          </cell>
          <cell r="M151" t="e">
            <v>#N/A</v>
          </cell>
          <cell r="N151" t="e">
            <v>#N/A</v>
          </cell>
          <cell r="O151" t="e">
            <v>#N/A</v>
          </cell>
          <cell r="P151">
            <v>56.849991000000003</v>
          </cell>
          <cell r="Q151">
            <v>3.9545699999999999</v>
          </cell>
          <cell r="R151" t="e">
            <v>#N/A</v>
          </cell>
        </row>
        <row r="152">
          <cell r="A152">
            <v>40373</v>
          </cell>
          <cell r="B152">
            <v>40373</v>
          </cell>
          <cell r="C152" t="str">
            <v>Past</v>
          </cell>
          <cell r="D152">
            <v>57.089996999999997</v>
          </cell>
          <cell r="E152" t="e">
            <v>#N/A</v>
          </cell>
          <cell r="F152" t="e">
            <v>#N/A</v>
          </cell>
          <cell r="G152" t="e">
            <v>#N/A</v>
          </cell>
          <cell r="H152" t="e">
            <v>#N/A</v>
          </cell>
          <cell r="I152" t="e">
            <v>#N/A</v>
          </cell>
          <cell r="J152" t="e">
            <v>#N/A</v>
          </cell>
          <cell r="K152" t="e">
            <v>#N/A</v>
          </cell>
          <cell r="L152" t="e">
            <v>#N/A</v>
          </cell>
          <cell r="M152" t="e">
            <v>#N/A</v>
          </cell>
          <cell r="N152" t="e">
            <v>#N/A</v>
          </cell>
          <cell r="O152" t="e">
            <v>#N/A</v>
          </cell>
          <cell r="P152">
            <v>57.089996999999997</v>
          </cell>
          <cell r="Q152">
            <v>4.3273630000000001</v>
          </cell>
          <cell r="R152" t="e">
            <v>#N/A</v>
          </cell>
        </row>
        <row r="153">
          <cell r="A153">
            <v>40374</v>
          </cell>
          <cell r="B153">
            <v>40374</v>
          </cell>
          <cell r="C153" t="str">
            <v>Past</v>
          </cell>
          <cell r="D153">
            <v>57.759995000000004</v>
          </cell>
          <cell r="E153" t="e">
            <v>#N/A</v>
          </cell>
          <cell r="F153" t="e">
            <v>#N/A</v>
          </cell>
          <cell r="G153" t="e">
            <v>#N/A</v>
          </cell>
          <cell r="H153" t="e">
            <v>#N/A</v>
          </cell>
          <cell r="I153" t="e">
            <v>#N/A</v>
          </cell>
          <cell r="J153" t="e">
            <v>#N/A</v>
          </cell>
          <cell r="K153" t="e">
            <v>#N/A</v>
          </cell>
          <cell r="L153" t="e">
            <v>#N/A</v>
          </cell>
          <cell r="M153" t="e">
            <v>#N/A</v>
          </cell>
          <cell r="N153" t="e">
            <v>#N/A</v>
          </cell>
          <cell r="O153" t="e">
            <v>#N/A</v>
          </cell>
          <cell r="P153">
            <v>57.759995000000004</v>
          </cell>
          <cell r="Q153">
            <v>4.3615779999999997</v>
          </cell>
          <cell r="R153" t="e">
            <v>#N/A</v>
          </cell>
        </row>
        <row r="154">
          <cell r="A154">
            <v>40375</v>
          </cell>
          <cell r="B154">
            <v>40375</v>
          </cell>
          <cell r="C154" t="str">
            <v>Past</v>
          </cell>
          <cell r="D154">
            <v>56.569992999999997</v>
          </cell>
          <cell r="E154" t="e">
            <v>#N/A</v>
          </cell>
          <cell r="F154" t="e">
            <v>#N/A</v>
          </cell>
          <cell r="G154" t="e">
            <v>#N/A</v>
          </cell>
          <cell r="H154" t="e">
            <v>#N/A</v>
          </cell>
          <cell r="I154" t="e">
            <v>#N/A</v>
          </cell>
          <cell r="J154" t="e">
            <v>#N/A</v>
          </cell>
          <cell r="K154" t="e">
            <v>#N/A</v>
          </cell>
          <cell r="L154" t="e">
            <v>#N/A</v>
          </cell>
          <cell r="M154" t="e">
            <v>#N/A</v>
          </cell>
          <cell r="N154" t="e">
            <v>#N/A</v>
          </cell>
          <cell r="O154" t="e">
            <v>#N/A</v>
          </cell>
          <cell r="P154">
            <v>56.569992999999997</v>
          </cell>
          <cell r="Q154">
            <v>4.4880509999999996</v>
          </cell>
          <cell r="R154" t="e">
            <v>#N/A</v>
          </cell>
        </row>
        <row r="155">
          <cell r="A155">
            <v>40378</v>
          </cell>
          <cell r="B155">
            <v>40378</v>
          </cell>
          <cell r="C155" t="str">
            <v>Past</v>
          </cell>
          <cell r="D155">
            <v>54.5</v>
          </cell>
          <cell r="E155" t="e">
            <v>#N/A</v>
          </cell>
          <cell r="F155" t="e">
            <v>#N/A</v>
          </cell>
          <cell r="G155" t="e">
            <v>#N/A</v>
          </cell>
          <cell r="H155" t="e">
            <v>#N/A</v>
          </cell>
          <cell r="I155" t="e">
            <v>#N/A</v>
          </cell>
          <cell r="J155" t="e">
            <v>#N/A</v>
          </cell>
          <cell r="K155" t="e">
            <v>#N/A</v>
          </cell>
          <cell r="L155" t="e">
            <v>#N/A</v>
          </cell>
          <cell r="M155" t="e">
            <v>#N/A</v>
          </cell>
          <cell r="N155" t="e">
            <v>#N/A</v>
          </cell>
          <cell r="O155" t="e">
            <v>#N/A</v>
          </cell>
          <cell r="P155">
            <v>54.5</v>
          </cell>
          <cell r="Q155">
            <v>7.7194099999999999</v>
          </cell>
          <cell r="R155" t="e">
            <v>#N/A</v>
          </cell>
        </row>
        <row r="156">
          <cell r="A156">
            <v>40379</v>
          </cell>
          <cell r="B156">
            <v>40379</v>
          </cell>
          <cell r="C156" t="str">
            <v>Past</v>
          </cell>
          <cell r="D156">
            <v>55.049987999999999</v>
          </cell>
          <cell r="E156" t="e">
            <v>#N/A</v>
          </cell>
          <cell r="F156" t="e">
            <v>#N/A</v>
          </cell>
          <cell r="G156" t="e">
            <v>#N/A</v>
          </cell>
          <cell r="H156" t="e">
            <v>#N/A</v>
          </cell>
          <cell r="I156" t="e">
            <v>#N/A</v>
          </cell>
          <cell r="J156" t="e">
            <v>#N/A</v>
          </cell>
          <cell r="K156" t="e">
            <v>#N/A</v>
          </cell>
          <cell r="L156" t="e">
            <v>#N/A</v>
          </cell>
          <cell r="M156" t="e">
            <v>#N/A</v>
          </cell>
          <cell r="N156" t="e">
            <v>#N/A</v>
          </cell>
          <cell r="O156" t="e">
            <v>#N/A</v>
          </cell>
          <cell r="P156">
            <v>55.049987999999999</v>
          </cell>
          <cell r="Q156">
            <v>5.4263240000000001</v>
          </cell>
          <cell r="R156" t="e">
            <v>#N/A</v>
          </cell>
        </row>
        <row r="157">
          <cell r="A157">
            <v>40380</v>
          </cell>
          <cell r="B157">
            <v>40380</v>
          </cell>
          <cell r="C157" t="str">
            <v>Past</v>
          </cell>
          <cell r="D157">
            <v>53.329987000000003</v>
          </cell>
          <cell r="E157" t="e">
            <v>#N/A</v>
          </cell>
          <cell r="F157" t="e">
            <v>#N/A</v>
          </cell>
          <cell r="G157" t="e">
            <v>#N/A</v>
          </cell>
          <cell r="H157" t="e">
            <v>#N/A</v>
          </cell>
          <cell r="I157" t="e">
            <v>#N/A</v>
          </cell>
          <cell r="J157" t="e">
            <v>#N/A</v>
          </cell>
          <cell r="K157" t="e">
            <v>#N/A</v>
          </cell>
          <cell r="L157" t="e">
            <v>#N/A</v>
          </cell>
          <cell r="M157" t="e">
            <v>#N/A</v>
          </cell>
          <cell r="N157" t="e">
            <v>#N/A</v>
          </cell>
          <cell r="O157" t="e">
            <v>#N/A</v>
          </cell>
          <cell r="P157">
            <v>53.329987000000003</v>
          </cell>
          <cell r="Q157">
            <v>7.1489339999999997</v>
          </cell>
          <cell r="R157" t="e">
            <v>#N/A</v>
          </cell>
        </row>
        <row r="158">
          <cell r="A158">
            <v>40381</v>
          </cell>
          <cell r="B158">
            <v>40381</v>
          </cell>
          <cell r="C158" t="str">
            <v>Past</v>
          </cell>
          <cell r="D158">
            <v>49</v>
          </cell>
          <cell r="E158" t="e">
            <v>#N/A</v>
          </cell>
          <cell r="F158" t="e">
            <v>#N/A</v>
          </cell>
          <cell r="G158" t="e">
            <v>#N/A</v>
          </cell>
          <cell r="H158" t="e">
            <v>#N/A</v>
          </cell>
          <cell r="I158" t="e">
            <v>#N/A</v>
          </cell>
          <cell r="J158" t="e">
            <v>#N/A</v>
          </cell>
          <cell r="K158" t="e">
            <v>#N/A</v>
          </cell>
          <cell r="L158" t="e">
            <v>#N/A</v>
          </cell>
          <cell r="M158" t="e">
            <v>#N/A</v>
          </cell>
          <cell r="N158" t="e">
            <v>#N/A</v>
          </cell>
          <cell r="O158" t="e">
            <v>#N/A</v>
          </cell>
          <cell r="P158">
            <v>49</v>
          </cell>
          <cell r="Q158">
            <v>21.712692000000001</v>
          </cell>
          <cell r="R158" t="e">
            <v>#N/A</v>
          </cell>
        </row>
        <row r="159">
          <cell r="A159">
            <v>40382</v>
          </cell>
          <cell r="B159">
            <v>40382</v>
          </cell>
          <cell r="C159" t="str">
            <v>Past</v>
          </cell>
          <cell r="D159">
            <v>48.51999</v>
          </cell>
          <cell r="E159" t="e">
            <v>#N/A</v>
          </cell>
          <cell r="F159" t="e">
            <v>#N/A</v>
          </cell>
          <cell r="G159" t="e">
            <v>#N/A</v>
          </cell>
          <cell r="H159" t="e">
            <v>#N/A</v>
          </cell>
          <cell r="I159" t="e">
            <v>#N/A</v>
          </cell>
          <cell r="J159" t="e">
            <v>#N/A</v>
          </cell>
          <cell r="K159" t="e">
            <v>#N/A</v>
          </cell>
          <cell r="L159" t="e">
            <v>#N/A</v>
          </cell>
          <cell r="M159" t="e">
            <v>#N/A</v>
          </cell>
          <cell r="N159" t="e">
            <v>#N/A</v>
          </cell>
          <cell r="O159" t="e">
            <v>#N/A</v>
          </cell>
          <cell r="P159">
            <v>48.51999</v>
          </cell>
          <cell r="Q159">
            <v>12.992637</v>
          </cell>
          <cell r="R159" t="e">
            <v>#N/A</v>
          </cell>
        </row>
        <row r="160">
          <cell r="A160">
            <v>40385</v>
          </cell>
          <cell r="B160">
            <v>40385</v>
          </cell>
          <cell r="C160" t="str">
            <v>Past</v>
          </cell>
          <cell r="D160">
            <v>48.739991000000003</v>
          </cell>
          <cell r="E160" t="e">
            <v>#N/A</v>
          </cell>
          <cell r="F160" t="e">
            <v>#N/A</v>
          </cell>
          <cell r="G160" t="e">
            <v>#N/A</v>
          </cell>
          <cell r="H160" t="e">
            <v>#N/A</v>
          </cell>
          <cell r="I160" t="e">
            <v>#N/A</v>
          </cell>
          <cell r="J160" t="e">
            <v>#N/A</v>
          </cell>
          <cell r="K160" t="e">
            <v>#N/A</v>
          </cell>
          <cell r="L160" t="e">
            <v>#N/A</v>
          </cell>
          <cell r="M160" t="e">
            <v>#N/A</v>
          </cell>
          <cell r="N160" t="e">
            <v>#N/A</v>
          </cell>
          <cell r="O160" t="e">
            <v>#N/A</v>
          </cell>
          <cell r="P160">
            <v>48.739991000000003</v>
          </cell>
          <cell r="Q160">
            <v>6.940067</v>
          </cell>
          <cell r="R160" t="e">
            <v>#N/A</v>
          </cell>
        </row>
        <row r="161">
          <cell r="A161">
            <v>40386</v>
          </cell>
          <cell r="B161">
            <v>40386</v>
          </cell>
          <cell r="C161" t="str">
            <v>Past</v>
          </cell>
          <cell r="D161">
            <v>49.279998999999997</v>
          </cell>
          <cell r="E161" t="e">
            <v>#N/A</v>
          </cell>
          <cell r="F161" t="e">
            <v>#N/A</v>
          </cell>
          <cell r="G161" t="e">
            <v>#N/A</v>
          </cell>
          <cell r="H161" t="e">
            <v>#N/A</v>
          </cell>
          <cell r="I161" t="e">
            <v>#N/A</v>
          </cell>
          <cell r="J161" t="e">
            <v>#N/A</v>
          </cell>
          <cell r="K161" t="e">
            <v>#N/A</v>
          </cell>
          <cell r="L161" t="e">
            <v>#N/A</v>
          </cell>
          <cell r="M161" t="e">
            <v>#N/A</v>
          </cell>
          <cell r="N161" t="e">
            <v>#N/A</v>
          </cell>
          <cell r="O161" t="e">
            <v>#N/A</v>
          </cell>
          <cell r="P161">
            <v>49.279998999999997</v>
          </cell>
          <cell r="Q161">
            <v>6.2139920000000002</v>
          </cell>
          <cell r="R161" t="e">
            <v>#N/A</v>
          </cell>
        </row>
        <row r="162">
          <cell r="A162">
            <v>40387</v>
          </cell>
          <cell r="B162">
            <v>40387</v>
          </cell>
          <cell r="C162" t="str">
            <v>Past</v>
          </cell>
          <cell r="D162">
            <v>47.439988</v>
          </cell>
          <cell r="E162" t="e">
            <v>#N/A</v>
          </cell>
          <cell r="F162" t="e">
            <v>#N/A</v>
          </cell>
          <cell r="G162" t="e">
            <v>#N/A</v>
          </cell>
          <cell r="H162" t="e">
            <v>#N/A</v>
          </cell>
          <cell r="I162" t="e">
            <v>#N/A</v>
          </cell>
          <cell r="J162" t="e">
            <v>#N/A</v>
          </cell>
          <cell r="K162" t="e">
            <v>#N/A</v>
          </cell>
          <cell r="L162" t="e">
            <v>#N/A</v>
          </cell>
          <cell r="M162" t="e">
            <v>#N/A</v>
          </cell>
          <cell r="N162" t="e">
            <v>#N/A</v>
          </cell>
          <cell r="O162" t="e">
            <v>#N/A</v>
          </cell>
          <cell r="P162">
            <v>47.439988</v>
          </cell>
          <cell r="Q162">
            <v>11.000883</v>
          </cell>
          <cell r="R162" t="e">
            <v>#N/A</v>
          </cell>
        </row>
        <row r="163">
          <cell r="A163">
            <v>40388</v>
          </cell>
          <cell r="B163">
            <v>40388</v>
          </cell>
          <cell r="C163" t="str">
            <v>Past</v>
          </cell>
          <cell r="D163">
            <v>48.449997000000003</v>
          </cell>
          <cell r="E163" t="e">
            <v>#N/A</v>
          </cell>
          <cell r="F163" t="e">
            <v>#N/A</v>
          </cell>
          <cell r="G163" t="e">
            <v>#N/A</v>
          </cell>
          <cell r="H163" t="e">
            <v>#N/A</v>
          </cell>
          <cell r="I163" t="e">
            <v>#N/A</v>
          </cell>
          <cell r="J163" t="e">
            <v>#N/A</v>
          </cell>
          <cell r="K163" t="e">
            <v>#N/A</v>
          </cell>
          <cell r="L163" t="e">
            <v>#N/A</v>
          </cell>
          <cell r="M163" t="e">
            <v>#N/A</v>
          </cell>
          <cell r="N163" t="e">
            <v>#N/A</v>
          </cell>
          <cell r="O163" t="e">
            <v>#N/A</v>
          </cell>
          <cell r="P163">
            <v>48.449997000000003</v>
          </cell>
          <cell r="Q163">
            <v>9.5821640000000006</v>
          </cell>
          <cell r="R163" t="e">
            <v>#N/A</v>
          </cell>
        </row>
        <row r="164">
          <cell r="A164">
            <v>40389</v>
          </cell>
          <cell r="B164">
            <v>40389</v>
          </cell>
          <cell r="C164" t="str">
            <v>Past</v>
          </cell>
          <cell r="D164">
            <v>48</v>
          </cell>
          <cell r="E164" t="e">
            <v>#N/A</v>
          </cell>
          <cell r="F164" t="e">
            <v>#N/A</v>
          </cell>
          <cell r="G164" t="e">
            <v>#N/A</v>
          </cell>
          <cell r="H164" t="e">
            <v>#N/A</v>
          </cell>
          <cell r="I164" t="e">
            <v>#N/A</v>
          </cell>
          <cell r="J164" t="e">
            <v>#N/A</v>
          </cell>
          <cell r="K164" t="e">
            <v>#N/A</v>
          </cell>
          <cell r="L164" t="e">
            <v>#N/A</v>
          </cell>
          <cell r="M164" t="e">
            <v>#N/A</v>
          </cell>
          <cell r="N164" t="e">
            <v>#N/A</v>
          </cell>
          <cell r="O164" t="e">
            <v>#N/A</v>
          </cell>
          <cell r="P164">
            <v>48</v>
          </cell>
          <cell r="Q164">
            <v>6.4076129999999996</v>
          </cell>
          <cell r="R164" t="e">
            <v>#N/A</v>
          </cell>
        </row>
        <row r="165">
          <cell r="A165">
            <v>40392</v>
          </cell>
          <cell r="B165">
            <v>40392</v>
          </cell>
          <cell r="C165" t="str">
            <v>Past</v>
          </cell>
          <cell r="D165">
            <v>47.539994</v>
          </cell>
          <cell r="E165" t="e">
            <v>#N/A</v>
          </cell>
          <cell r="F165" t="e">
            <v>#N/A</v>
          </cell>
          <cell r="G165" t="e">
            <v>#N/A</v>
          </cell>
          <cell r="H165" t="e">
            <v>#N/A</v>
          </cell>
          <cell r="I165" t="e">
            <v>#N/A</v>
          </cell>
          <cell r="J165" t="e">
            <v>#N/A</v>
          </cell>
          <cell r="K165" t="e">
            <v>#N/A</v>
          </cell>
          <cell r="L165" t="e">
            <v>#N/A</v>
          </cell>
          <cell r="M165" t="e">
            <v>#N/A</v>
          </cell>
          <cell r="N165" t="e">
            <v>#N/A</v>
          </cell>
          <cell r="O165" t="e">
            <v>#N/A</v>
          </cell>
          <cell r="P165">
            <v>47.539994</v>
          </cell>
          <cell r="Q165">
            <v>7.4400550000000001</v>
          </cell>
          <cell r="R165" t="e">
            <v>#N/A</v>
          </cell>
        </row>
        <row r="166">
          <cell r="A166">
            <v>40393</v>
          </cell>
          <cell r="B166">
            <v>40393</v>
          </cell>
          <cell r="C166" t="str">
            <v>Past</v>
          </cell>
          <cell r="D166">
            <v>47.189988</v>
          </cell>
          <cell r="E166" t="e">
            <v>#N/A</v>
          </cell>
          <cell r="F166" t="e">
            <v>#N/A</v>
          </cell>
          <cell r="G166" t="e">
            <v>#N/A</v>
          </cell>
          <cell r="H166" t="e">
            <v>#N/A</v>
          </cell>
          <cell r="I166" t="e">
            <v>#N/A</v>
          </cell>
          <cell r="J166" t="e">
            <v>#N/A</v>
          </cell>
          <cell r="K166" t="e">
            <v>#N/A</v>
          </cell>
          <cell r="L166" t="e">
            <v>#N/A</v>
          </cell>
          <cell r="M166" t="e">
            <v>#N/A</v>
          </cell>
          <cell r="N166" t="e">
            <v>#N/A</v>
          </cell>
          <cell r="O166" t="e">
            <v>#N/A</v>
          </cell>
          <cell r="P166">
            <v>47.189988</v>
          </cell>
          <cell r="Q166">
            <v>5.5871449999999996</v>
          </cell>
          <cell r="R166" t="e">
            <v>#N/A</v>
          </cell>
        </row>
        <row r="167">
          <cell r="A167">
            <v>40394</v>
          </cell>
          <cell r="B167">
            <v>40394</v>
          </cell>
          <cell r="C167" t="str">
            <v>Past</v>
          </cell>
          <cell r="D167">
            <v>47.64</v>
          </cell>
          <cell r="E167" t="e">
            <v>#N/A</v>
          </cell>
          <cell r="F167" t="e">
            <v>#N/A</v>
          </cell>
          <cell r="G167" t="e">
            <v>#N/A</v>
          </cell>
          <cell r="H167" t="e">
            <v>#N/A</v>
          </cell>
          <cell r="I167" t="e">
            <v>#N/A</v>
          </cell>
          <cell r="J167" t="e">
            <v>#N/A</v>
          </cell>
          <cell r="K167" t="e">
            <v>#N/A</v>
          </cell>
          <cell r="L167" t="e">
            <v>#N/A</v>
          </cell>
          <cell r="M167" t="e">
            <v>#N/A</v>
          </cell>
          <cell r="N167" t="e">
            <v>#N/A</v>
          </cell>
          <cell r="O167" t="e">
            <v>#N/A</v>
          </cell>
          <cell r="P167">
            <v>47.64</v>
          </cell>
          <cell r="Q167">
            <v>9.8731019999999994</v>
          </cell>
          <cell r="R167" t="e">
            <v>#N/A</v>
          </cell>
        </row>
        <row r="168">
          <cell r="A168">
            <v>40395</v>
          </cell>
          <cell r="B168">
            <v>40395</v>
          </cell>
          <cell r="C168" t="str">
            <v>Past</v>
          </cell>
          <cell r="D168">
            <v>47.279998999999997</v>
          </cell>
          <cell r="E168" t="e">
            <v>#N/A</v>
          </cell>
          <cell r="F168" t="e">
            <v>#N/A</v>
          </cell>
          <cell r="G168" t="e">
            <v>#N/A</v>
          </cell>
          <cell r="H168" t="e">
            <v>#N/A</v>
          </cell>
          <cell r="I168" t="e">
            <v>#N/A</v>
          </cell>
          <cell r="J168" t="e">
            <v>#N/A</v>
          </cell>
          <cell r="K168" t="e">
            <v>#N/A</v>
          </cell>
          <cell r="L168" t="e">
            <v>#N/A</v>
          </cell>
          <cell r="M168" t="e">
            <v>#N/A</v>
          </cell>
          <cell r="N168" t="e">
            <v>#N/A</v>
          </cell>
          <cell r="O168" t="e">
            <v>#N/A</v>
          </cell>
          <cell r="P168">
            <v>47.279998999999997</v>
          </cell>
          <cell r="Q168">
            <v>6.1322029999999996</v>
          </cell>
          <cell r="R168" t="e">
            <v>#N/A</v>
          </cell>
        </row>
        <row r="169">
          <cell r="A169">
            <v>40396</v>
          </cell>
          <cell r="B169">
            <v>40396</v>
          </cell>
          <cell r="C169" t="str">
            <v>Past</v>
          </cell>
          <cell r="D169">
            <v>47.64</v>
          </cell>
          <cell r="E169" t="e">
            <v>#N/A</v>
          </cell>
          <cell r="F169" t="e">
            <v>#N/A</v>
          </cell>
          <cell r="G169" t="e">
            <v>#N/A</v>
          </cell>
          <cell r="H169" t="e">
            <v>#N/A</v>
          </cell>
          <cell r="I169" t="e">
            <v>#N/A</v>
          </cell>
          <cell r="J169" t="e">
            <v>#N/A</v>
          </cell>
          <cell r="K169" t="e">
            <v>#N/A</v>
          </cell>
          <cell r="L169" t="e">
            <v>#N/A</v>
          </cell>
          <cell r="M169" t="e">
            <v>#N/A</v>
          </cell>
          <cell r="N169" t="e">
            <v>#N/A</v>
          </cell>
          <cell r="O169" t="e">
            <v>#N/A</v>
          </cell>
          <cell r="P169">
            <v>47.64</v>
          </cell>
          <cell r="Q169">
            <v>6.8460349999999996</v>
          </cell>
          <cell r="R169" t="e">
            <v>#N/A</v>
          </cell>
        </row>
        <row r="170">
          <cell r="A170">
            <v>40399</v>
          </cell>
          <cell r="B170">
            <v>40399</v>
          </cell>
          <cell r="C170" t="str">
            <v>Past</v>
          </cell>
          <cell r="D170">
            <v>47</v>
          </cell>
          <cell r="E170" t="e">
            <v>#N/A</v>
          </cell>
          <cell r="F170" t="e">
            <v>#N/A</v>
          </cell>
          <cell r="G170" t="e">
            <v>#N/A</v>
          </cell>
          <cell r="H170" t="e">
            <v>#N/A</v>
          </cell>
          <cell r="I170" t="e">
            <v>#N/A</v>
          </cell>
          <cell r="J170" t="e">
            <v>#N/A</v>
          </cell>
          <cell r="K170" t="e">
            <v>#N/A</v>
          </cell>
          <cell r="L170" t="e">
            <v>#N/A</v>
          </cell>
          <cell r="M170" t="e">
            <v>#N/A</v>
          </cell>
          <cell r="N170" t="e">
            <v>#N/A</v>
          </cell>
          <cell r="O170" t="e">
            <v>#N/A</v>
          </cell>
          <cell r="P170">
            <v>47</v>
          </cell>
          <cell r="Q170">
            <v>4.5778670000000004</v>
          </cell>
          <cell r="R170" t="e">
            <v>#N/A</v>
          </cell>
        </row>
        <row r="171">
          <cell r="A171">
            <v>40400</v>
          </cell>
          <cell r="B171">
            <v>40400</v>
          </cell>
          <cell r="C171" t="str">
            <v>Past</v>
          </cell>
          <cell r="D171">
            <v>46.839996999999997</v>
          </cell>
          <cell r="E171" t="e">
            <v>#N/A</v>
          </cell>
          <cell r="F171" t="e">
            <v>#N/A</v>
          </cell>
          <cell r="G171" t="e">
            <v>#N/A</v>
          </cell>
          <cell r="H171" t="e">
            <v>#N/A</v>
          </cell>
          <cell r="I171" t="e">
            <v>#N/A</v>
          </cell>
          <cell r="J171" t="e">
            <v>#N/A</v>
          </cell>
          <cell r="K171" t="e">
            <v>#N/A</v>
          </cell>
          <cell r="L171" t="e">
            <v>#N/A</v>
          </cell>
          <cell r="M171" t="e">
            <v>#N/A</v>
          </cell>
          <cell r="N171" t="e">
            <v>#N/A</v>
          </cell>
          <cell r="O171" t="e">
            <v>#N/A</v>
          </cell>
          <cell r="P171">
            <v>46.839996999999997</v>
          </cell>
          <cell r="Q171">
            <v>5.89682</v>
          </cell>
          <cell r="R171" t="e">
            <v>#N/A</v>
          </cell>
        </row>
        <row r="172">
          <cell r="A172">
            <v>40401</v>
          </cell>
          <cell r="B172">
            <v>40401</v>
          </cell>
          <cell r="C172" t="str">
            <v>Past</v>
          </cell>
          <cell r="D172">
            <v>45.879989999999999</v>
          </cell>
          <cell r="E172" t="e">
            <v>#N/A</v>
          </cell>
          <cell r="F172" t="e">
            <v>#N/A</v>
          </cell>
          <cell r="G172" t="e">
            <v>#N/A</v>
          </cell>
          <cell r="H172" t="e">
            <v>#N/A</v>
          </cell>
          <cell r="I172" t="e">
            <v>#N/A</v>
          </cell>
          <cell r="J172" t="e">
            <v>#N/A</v>
          </cell>
          <cell r="K172" t="e">
            <v>#N/A</v>
          </cell>
          <cell r="L172" t="e">
            <v>#N/A</v>
          </cell>
          <cell r="M172" t="e">
            <v>#N/A</v>
          </cell>
          <cell r="N172" t="e">
            <v>#N/A</v>
          </cell>
          <cell r="O172" t="e">
            <v>#N/A</v>
          </cell>
          <cell r="P172">
            <v>45.879989999999999</v>
          </cell>
          <cell r="Q172">
            <v>5.5014339999999997</v>
          </cell>
          <cell r="R172" t="e">
            <v>#N/A</v>
          </cell>
        </row>
        <row r="173">
          <cell r="A173">
            <v>40402</v>
          </cell>
          <cell r="B173">
            <v>40402</v>
          </cell>
          <cell r="C173" t="str">
            <v>Past</v>
          </cell>
          <cell r="D173">
            <v>46.789994</v>
          </cell>
          <cell r="E173" t="e">
            <v>#N/A</v>
          </cell>
          <cell r="F173" t="e">
            <v>#N/A</v>
          </cell>
          <cell r="G173" t="e">
            <v>#N/A</v>
          </cell>
          <cell r="H173" t="e">
            <v>#N/A</v>
          </cell>
          <cell r="I173" t="e">
            <v>#N/A</v>
          </cell>
          <cell r="J173" t="e">
            <v>#N/A</v>
          </cell>
          <cell r="K173" t="e">
            <v>#N/A</v>
          </cell>
          <cell r="L173" t="e">
            <v>#N/A</v>
          </cell>
          <cell r="M173" t="e">
            <v>#N/A</v>
          </cell>
          <cell r="N173" t="e">
            <v>#N/A</v>
          </cell>
          <cell r="O173" t="e">
            <v>#N/A</v>
          </cell>
          <cell r="P173">
            <v>46.789994</v>
          </cell>
          <cell r="Q173">
            <v>5.8882659999999998</v>
          </cell>
          <cell r="R173" t="e">
            <v>#N/A</v>
          </cell>
        </row>
        <row r="174">
          <cell r="A174">
            <v>40403</v>
          </cell>
          <cell r="B174">
            <v>40403</v>
          </cell>
          <cell r="C174" t="str">
            <v>Past</v>
          </cell>
          <cell r="D174">
            <v>46.919998999999997</v>
          </cell>
          <cell r="E174" t="e">
            <v>#N/A</v>
          </cell>
          <cell r="F174" t="e">
            <v>#N/A</v>
          </cell>
          <cell r="G174" t="e">
            <v>#N/A</v>
          </cell>
          <cell r="H174" t="e">
            <v>#N/A</v>
          </cell>
          <cell r="I174" t="e">
            <v>#N/A</v>
          </cell>
          <cell r="J174" t="e">
            <v>#N/A</v>
          </cell>
          <cell r="K174" t="e">
            <v>#N/A</v>
          </cell>
          <cell r="L174" t="e">
            <v>#N/A</v>
          </cell>
          <cell r="M174" t="e">
            <v>#N/A</v>
          </cell>
          <cell r="N174" t="e">
            <v>#N/A</v>
          </cell>
          <cell r="O174" t="e">
            <v>#N/A</v>
          </cell>
          <cell r="P174">
            <v>46.919998999999997</v>
          </cell>
          <cell r="Q174">
            <v>4.1235980000000003</v>
          </cell>
          <cell r="R174" t="e">
            <v>#N/A</v>
          </cell>
        </row>
        <row r="175">
          <cell r="A175">
            <v>40406</v>
          </cell>
          <cell r="B175">
            <v>40406</v>
          </cell>
          <cell r="C175" t="str">
            <v>Past</v>
          </cell>
          <cell r="D175">
            <v>45.809998</v>
          </cell>
          <cell r="E175" t="e">
            <v>#N/A</v>
          </cell>
          <cell r="F175" t="e">
            <v>#N/A</v>
          </cell>
          <cell r="G175" t="e">
            <v>#N/A</v>
          </cell>
          <cell r="H175" t="e">
            <v>#N/A</v>
          </cell>
          <cell r="I175" t="e">
            <v>#N/A</v>
          </cell>
          <cell r="J175" t="e">
            <v>#N/A</v>
          </cell>
          <cell r="K175" t="e">
            <v>#N/A</v>
          </cell>
          <cell r="L175" t="e">
            <v>#N/A</v>
          </cell>
          <cell r="M175" t="e">
            <v>#N/A</v>
          </cell>
          <cell r="N175" t="e">
            <v>#N/A</v>
          </cell>
          <cell r="O175" t="e">
            <v>#N/A</v>
          </cell>
          <cell r="P175">
            <v>45.809998</v>
          </cell>
          <cell r="Q175">
            <v>5.24634</v>
          </cell>
          <cell r="R175" t="e">
            <v>#N/A</v>
          </cell>
        </row>
        <row r="176">
          <cell r="A176">
            <v>40407</v>
          </cell>
          <cell r="B176">
            <v>40407</v>
          </cell>
          <cell r="C176" t="str">
            <v>Past</v>
          </cell>
          <cell r="D176">
            <v>46.049987999999999</v>
          </cell>
          <cell r="E176" t="e">
            <v>#N/A</v>
          </cell>
          <cell r="F176" t="e">
            <v>#N/A</v>
          </cell>
          <cell r="G176" t="e">
            <v>#N/A</v>
          </cell>
          <cell r="H176" t="e">
            <v>#N/A</v>
          </cell>
          <cell r="I176" t="e">
            <v>#N/A</v>
          </cell>
          <cell r="J176" t="e">
            <v>#N/A</v>
          </cell>
          <cell r="K176" t="e">
            <v>#N/A</v>
          </cell>
          <cell r="L176" t="e">
            <v>#N/A</v>
          </cell>
          <cell r="M176" t="e">
            <v>#N/A</v>
          </cell>
          <cell r="N176" t="e">
            <v>#N/A</v>
          </cell>
          <cell r="O176" t="e">
            <v>#N/A</v>
          </cell>
          <cell r="P176">
            <v>46.049987999999999</v>
          </cell>
          <cell r="Q176">
            <v>5.0637660000000002</v>
          </cell>
          <cell r="R176" t="e">
            <v>#N/A</v>
          </cell>
        </row>
        <row r="177">
          <cell r="A177">
            <v>40408</v>
          </cell>
          <cell r="B177">
            <v>40408</v>
          </cell>
          <cell r="C177" t="str">
            <v>Past</v>
          </cell>
          <cell r="D177">
            <v>46.549987999999999</v>
          </cell>
          <cell r="E177" t="e">
            <v>#N/A</v>
          </cell>
          <cell r="F177" t="e">
            <v>#N/A</v>
          </cell>
          <cell r="G177" t="e">
            <v>#N/A</v>
          </cell>
          <cell r="H177" t="e">
            <v>#N/A</v>
          </cell>
          <cell r="I177" t="e">
            <v>#N/A</v>
          </cell>
          <cell r="J177" t="e">
            <v>#N/A</v>
          </cell>
          <cell r="K177" t="e">
            <v>#N/A</v>
          </cell>
          <cell r="L177" t="e">
            <v>#N/A</v>
          </cell>
          <cell r="M177" t="e">
            <v>#N/A</v>
          </cell>
          <cell r="N177" t="e">
            <v>#N/A</v>
          </cell>
          <cell r="O177" t="e">
            <v>#N/A</v>
          </cell>
          <cell r="P177">
            <v>46.549987999999999</v>
          </cell>
          <cell r="Q177">
            <v>5.2521950000000004</v>
          </cell>
          <cell r="R177" t="e">
            <v>#N/A</v>
          </cell>
        </row>
        <row r="178">
          <cell r="A178">
            <v>40409</v>
          </cell>
          <cell r="B178">
            <v>40409</v>
          </cell>
          <cell r="C178" t="str">
            <v>Past</v>
          </cell>
          <cell r="D178">
            <v>45.329987000000003</v>
          </cell>
          <cell r="E178" t="e">
            <v>#N/A</v>
          </cell>
          <cell r="F178" t="e">
            <v>#N/A</v>
          </cell>
          <cell r="G178" t="e">
            <v>#N/A</v>
          </cell>
          <cell r="H178" t="e">
            <v>#N/A</v>
          </cell>
          <cell r="I178" t="e">
            <v>#N/A</v>
          </cell>
          <cell r="J178" t="e">
            <v>#N/A</v>
          </cell>
          <cell r="K178" t="e">
            <v>#N/A</v>
          </cell>
          <cell r="L178" t="e">
            <v>#N/A</v>
          </cell>
          <cell r="M178" t="e">
            <v>#N/A</v>
          </cell>
          <cell r="N178" t="e">
            <v>#N/A</v>
          </cell>
          <cell r="O178" t="e">
            <v>#N/A</v>
          </cell>
          <cell r="P178">
            <v>45.329987000000003</v>
          </cell>
          <cell r="Q178">
            <v>4.7609649999999997</v>
          </cell>
          <cell r="R178" t="e">
            <v>#N/A</v>
          </cell>
        </row>
        <row r="179">
          <cell r="A179">
            <v>40410</v>
          </cell>
          <cell r="B179">
            <v>40410</v>
          </cell>
          <cell r="C179" t="str">
            <v>Past</v>
          </cell>
          <cell r="D179">
            <v>45.259995000000004</v>
          </cell>
          <cell r="E179" t="e">
            <v>#N/A</v>
          </cell>
          <cell r="F179" t="e">
            <v>#N/A</v>
          </cell>
          <cell r="G179" t="e">
            <v>#N/A</v>
          </cell>
          <cell r="H179" t="e">
            <v>#N/A</v>
          </cell>
          <cell r="I179" t="e">
            <v>#N/A</v>
          </cell>
          <cell r="J179" t="e">
            <v>#N/A</v>
          </cell>
          <cell r="K179" t="e">
            <v>#N/A</v>
          </cell>
          <cell r="L179" t="e">
            <v>#N/A</v>
          </cell>
          <cell r="M179" t="e">
            <v>#N/A</v>
          </cell>
          <cell r="N179" t="e">
            <v>#N/A</v>
          </cell>
          <cell r="O179" t="e">
            <v>#N/A</v>
          </cell>
          <cell r="P179">
            <v>45.259995000000004</v>
          </cell>
          <cell r="Q179">
            <v>3.7230050000000001</v>
          </cell>
          <cell r="R179" t="e">
            <v>#N/A</v>
          </cell>
        </row>
        <row r="180">
          <cell r="A180">
            <v>40413</v>
          </cell>
          <cell r="B180">
            <v>40413</v>
          </cell>
          <cell r="C180" t="str">
            <v>Past</v>
          </cell>
          <cell r="D180">
            <v>44.64</v>
          </cell>
          <cell r="E180" t="e">
            <v>#N/A</v>
          </cell>
          <cell r="F180" t="e">
            <v>#N/A</v>
          </cell>
          <cell r="G180" t="e">
            <v>#N/A</v>
          </cell>
          <cell r="H180" t="e">
            <v>#N/A</v>
          </cell>
          <cell r="I180" t="e">
            <v>#N/A</v>
          </cell>
          <cell r="J180" t="e">
            <v>#N/A</v>
          </cell>
          <cell r="K180" t="e">
            <v>#N/A</v>
          </cell>
          <cell r="L180" t="e">
            <v>#N/A</v>
          </cell>
          <cell r="M180" t="e">
            <v>#N/A</v>
          </cell>
          <cell r="N180" t="e">
            <v>#N/A</v>
          </cell>
          <cell r="O180" t="e">
            <v>#N/A</v>
          </cell>
          <cell r="P180">
            <v>44.64</v>
          </cell>
          <cell r="Q180">
            <v>4.6423909999999999</v>
          </cell>
          <cell r="R180" t="e">
            <v>#N/A</v>
          </cell>
        </row>
        <row r="181">
          <cell r="A181">
            <v>40414</v>
          </cell>
          <cell r="B181">
            <v>40414</v>
          </cell>
          <cell r="C181" t="str">
            <v>Past</v>
          </cell>
          <cell r="D181">
            <v>44.829987000000003</v>
          </cell>
          <cell r="E181" t="e">
            <v>#N/A</v>
          </cell>
          <cell r="F181" t="e">
            <v>#N/A</v>
          </cell>
          <cell r="G181" t="e">
            <v>#N/A</v>
          </cell>
          <cell r="H181" t="e">
            <v>#N/A</v>
          </cell>
          <cell r="I181" t="e">
            <v>#N/A</v>
          </cell>
          <cell r="J181" t="e">
            <v>#N/A</v>
          </cell>
          <cell r="K181" t="e">
            <v>#N/A</v>
          </cell>
          <cell r="L181" t="e">
            <v>#N/A</v>
          </cell>
          <cell r="M181" t="e">
            <v>#N/A</v>
          </cell>
          <cell r="N181" t="e">
            <v>#N/A</v>
          </cell>
          <cell r="O181" t="e">
            <v>#N/A</v>
          </cell>
          <cell r="P181">
            <v>44.829987000000003</v>
          </cell>
          <cell r="Q181">
            <v>5.4018009999999999</v>
          </cell>
          <cell r="R181" t="e">
            <v>#N/A</v>
          </cell>
        </row>
        <row r="182">
          <cell r="A182">
            <v>40415</v>
          </cell>
          <cell r="B182">
            <v>40415</v>
          </cell>
          <cell r="C182" t="str">
            <v>Past</v>
          </cell>
          <cell r="D182">
            <v>46.14</v>
          </cell>
          <cell r="E182" t="e">
            <v>#N/A</v>
          </cell>
          <cell r="F182" t="e">
            <v>#N/A</v>
          </cell>
          <cell r="G182" t="e">
            <v>#N/A</v>
          </cell>
          <cell r="H182" t="e">
            <v>#N/A</v>
          </cell>
          <cell r="I182" t="e">
            <v>#N/A</v>
          </cell>
          <cell r="J182" t="e">
            <v>#N/A</v>
          </cell>
          <cell r="K182" t="e">
            <v>#N/A</v>
          </cell>
          <cell r="L182" t="e">
            <v>#N/A</v>
          </cell>
          <cell r="M182" t="e">
            <v>#N/A</v>
          </cell>
          <cell r="N182" t="e">
            <v>#N/A</v>
          </cell>
          <cell r="O182" t="e">
            <v>#N/A</v>
          </cell>
          <cell r="P182">
            <v>46.14</v>
          </cell>
          <cell r="Q182">
            <v>7.2019060000000001</v>
          </cell>
          <cell r="R182" t="e">
            <v>#N/A</v>
          </cell>
        </row>
        <row r="183">
          <cell r="A183">
            <v>40416</v>
          </cell>
          <cell r="B183">
            <v>40416</v>
          </cell>
          <cell r="C183" t="str">
            <v>Past</v>
          </cell>
          <cell r="D183">
            <v>45.189988</v>
          </cell>
          <cell r="E183" t="e">
            <v>#N/A</v>
          </cell>
          <cell r="F183" t="e">
            <v>#N/A</v>
          </cell>
          <cell r="G183" t="e">
            <v>#N/A</v>
          </cell>
          <cell r="H183" t="e">
            <v>#N/A</v>
          </cell>
          <cell r="I183" t="e">
            <v>#N/A</v>
          </cell>
          <cell r="J183" t="e">
            <v>#N/A</v>
          </cell>
          <cell r="K183" t="e">
            <v>#N/A</v>
          </cell>
          <cell r="L183" t="e">
            <v>#N/A</v>
          </cell>
          <cell r="M183" t="e">
            <v>#N/A</v>
          </cell>
          <cell r="N183" t="e">
            <v>#N/A</v>
          </cell>
          <cell r="O183" t="e">
            <v>#N/A</v>
          </cell>
          <cell r="P183">
            <v>45.189988</v>
          </cell>
          <cell r="Q183">
            <v>5.6066019999999996</v>
          </cell>
          <cell r="R183" t="e">
            <v>#N/A</v>
          </cell>
        </row>
        <row r="184">
          <cell r="A184">
            <v>40417</v>
          </cell>
          <cell r="B184">
            <v>40417</v>
          </cell>
          <cell r="C184" t="str">
            <v>Past</v>
          </cell>
          <cell r="D184">
            <v>45.339996999999997</v>
          </cell>
          <cell r="E184" t="e">
            <v>#N/A</v>
          </cell>
          <cell r="F184" t="e">
            <v>#N/A</v>
          </cell>
          <cell r="G184" t="e">
            <v>#N/A</v>
          </cell>
          <cell r="H184" t="e">
            <v>#N/A</v>
          </cell>
          <cell r="I184" t="e">
            <v>#N/A</v>
          </cell>
          <cell r="J184" t="e">
            <v>#N/A</v>
          </cell>
          <cell r="K184" t="e">
            <v>#N/A</v>
          </cell>
          <cell r="L184" t="e">
            <v>#N/A</v>
          </cell>
          <cell r="M184" t="e">
            <v>#N/A</v>
          </cell>
          <cell r="N184" t="e">
            <v>#N/A</v>
          </cell>
          <cell r="O184" t="e">
            <v>#N/A</v>
          </cell>
          <cell r="P184">
            <v>45.339996999999997</v>
          </cell>
          <cell r="Q184">
            <v>3.423279</v>
          </cell>
          <cell r="R184" t="e">
            <v>#N/A</v>
          </cell>
        </row>
        <row r="185">
          <cell r="A185">
            <v>40420</v>
          </cell>
          <cell r="B185">
            <v>40420</v>
          </cell>
          <cell r="C185" t="str">
            <v>Past</v>
          </cell>
          <cell r="D185">
            <v>44.559998</v>
          </cell>
          <cell r="E185" t="e">
            <v>#N/A</v>
          </cell>
          <cell r="F185" t="e">
            <v>#N/A</v>
          </cell>
          <cell r="G185" t="e">
            <v>#N/A</v>
          </cell>
          <cell r="H185" t="e">
            <v>#N/A</v>
          </cell>
          <cell r="I185" t="e">
            <v>#N/A</v>
          </cell>
          <cell r="J185" t="e">
            <v>#N/A</v>
          </cell>
          <cell r="K185" t="e">
            <v>#N/A</v>
          </cell>
          <cell r="L185" t="e">
            <v>#N/A</v>
          </cell>
          <cell r="M185" t="e">
            <v>#N/A</v>
          </cell>
          <cell r="N185" t="e">
            <v>#N/A</v>
          </cell>
          <cell r="O185" t="e">
            <v>#N/A</v>
          </cell>
          <cell r="P185">
            <v>44.559998</v>
          </cell>
          <cell r="Q185">
            <v>1.749811</v>
          </cell>
          <cell r="R185" t="e">
            <v>#N/A</v>
          </cell>
        </row>
        <row r="186">
          <cell r="A186">
            <v>40421</v>
          </cell>
          <cell r="B186">
            <v>40421</v>
          </cell>
          <cell r="C186" t="str">
            <v>Past</v>
          </cell>
          <cell r="D186">
            <v>43.479996</v>
          </cell>
          <cell r="E186" t="e">
            <v>#N/A</v>
          </cell>
          <cell r="F186" t="e">
            <v>#N/A</v>
          </cell>
          <cell r="G186" t="e">
            <v>#N/A</v>
          </cell>
          <cell r="H186" t="e">
            <v>#N/A</v>
          </cell>
          <cell r="I186" t="e">
            <v>#N/A</v>
          </cell>
          <cell r="J186" t="e">
            <v>#N/A</v>
          </cell>
          <cell r="K186" t="e">
            <v>#N/A</v>
          </cell>
          <cell r="L186" t="e">
            <v>#N/A</v>
          </cell>
          <cell r="M186" t="e">
            <v>#N/A</v>
          </cell>
          <cell r="N186" t="e">
            <v>#N/A</v>
          </cell>
          <cell r="O186" t="e">
            <v>#N/A</v>
          </cell>
          <cell r="P186">
            <v>43.479996</v>
          </cell>
          <cell r="Q186">
            <v>5.0282739999999997</v>
          </cell>
          <cell r="R186" t="e">
            <v>#N/A</v>
          </cell>
        </row>
        <row r="187">
          <cell r="A187">
            <v>40422</v>
          </cell>
          <cell r="B187">
            <v>40422</v>
          </cell>
          <cell r="C187" t="str">
            <v>Past</v>
          </cell>
          <cell r="D187">
            <v>44.239991000000003</v>
          </cell>
          <cell r="E187" t="e">
            <v>#N/A</v>
          </cell>
          <cell r="F187" t="e">
            <v>#N/A</v>
          </cell>
          <cell r="G187" t="e">
            <v>#N/A</v>
          </cell>
          <cell r="H187" t="e">
            <v>#N/A</v>
          </cell>
          <cell r="I187" t="e">
            <v>#N/A</v>
          </cell>
          <cell r="J187" t="e">
            <v>#N/A</v>
          </cell>
          <cell r="K187" t="e">
            <v>#N/A</v>
          </cell>
          <cell r="L187" t="e">
            <v>#N/A</v>
          </cell>
          <cell r="M187" t="e">
            <v>#N/A</v>
          </cell>
          <cell r="N187" t="e">
            <v>#N/A</v>
          </cell>
          <cell r="O187" t="e">
            <v>#N/A</v>
          </cell>
          <cell r="P187">
            <v>44.239991000000003</v>
          </cell>
          <cell r="Q187">
            <v>5.0003359999999999</v>
          </cell>
          <cell r="R187" t="e">
            <v>#N/A</v>
          </cell>
        </row>
        <row r="188">
          <cell r="A188">
            <v>40423</v>
          </cell>
          <cell r="B188">
            <v>40423</v>
          </cell>
          <cell r="C188" t="str">
            <v>Past</v>
          </cell>
          <cell r="D188">
            <v>44.51999</v>
          </cell>
          <cell r="E188" t="e">
            <v>#N/A</v>
          </cell>
          <cell r="F188" t="e">
            <v>#N/A</v>
          </cell>
          <cell r="G188" t="e">
            <v>#N/A</v>
          </cell>
          <cell r="H188" t="e">
            <v>#N/A</v>
          </cell>
          <cell r="I188" t="e">
            <v>#N/A</v>
          </cell>
          <cell r="J188" t="e">
            <v>#N/A</v>
          </cell>
          <cell r="K188" t="e">
            <v>#N/A</v>
          </cell>
          <cell r="L188" t="e">
            <v>#N/A</v>
          </cell>
          <cell r="M188" t="e">
            <v>#N/A</v>
          </cell>
          <cell r="N188" t="e">
            <v>#N/A</v>
          </cell>
          <cell r="O188" t="e">
            <v>#N/A</v>
          </cell>
          <cell r="P188">
            <v>44.51999</v>
          </cell>
          <cell r="Q188">
            <v>3.2933240000000001</v>
          </cell>
          <cell r="R188" t="e">
            <v>#N/A</v>
          </cell>
        </row>
        <row r="189">
          <cell r="A189">
            <v>40424</v>
          </cell>
          <cell r="B189">
            <v>40424</v>
          </cell>
          <cell r="C189" t="str">
            <v>Past</v>
          </cell>
          <cell r="D189">
            <v>45.059998</v>
          </cell>
          <cell r="E189" t="e">
            <v>#N/A</v>
          </cell>
          <cell r="F189" t="e">
            <v>#N/A</v>
          </cell>
          <cell r="G189" t="e">
            <v>#N/A</v>
          </cell>
          <cell r="H189" t="e">
            <v>#N/A</v>
          </cell>
          <cell r="I189" t="e">
            <v>#N/A</v>
          </cell>
          <cell r="J189" t="e">
            <v>#N/A</v>
          </cell>
          <cell r="K189" t="e">
            <v>#N/A</v>
          </cell>
          <cell r="L189" t="e">
            <v>#N/A</v>
          </cell>
          <cell r="M189" t="e">
            <v>#N/A</v>
          </cell>
          <cell r="N189" t="e">
            <v>#N/A</v>
          </cell>
          <cell r="O189" t="e">
            <v>#N/A</v>
          </cell>
          <cell r="P189">
            <v>45.059998</v>
          </cell>
          <cell r="Q189">
            <v>4.2117069999999996</v>
          </cell>
          <cell r="R189" t="e">
            <v>#N/A</v>
          </cell>
        </row>
        <row r="190">
          <cell r="A190">
            <v>40428</v>
          </cell>
          <cell r="B190">
            <v>40428</v>
          </cell>
          <cell r="C190" t="str">
            <v>Past</v>
          </cell>
          <cell r="D190">
            <v>45.569992999999997</v>
          </cell>
          <cell r="E190" t="e">
            <v>#N/A</v>
          </cell>
          <cell r="F190" t="e">
            <v>#N/A</v>
          </cell>
          <cell r="G190" t="e">
            <v>#N/A</v>
          </cell>
          <cell r="H190" t="e">
            <v>#N/A</v>
          </cell>
          <cell r="I190" t="e">
            <v>#N/A</v>
          </cell>
          <cell r="J190" t="e">
            <v>#N/A</v>
          </cell>
          <cell r="K190" t="e">
            <v>#N/A</v>
          </cell>
          <cell r="L190" t="e">
            <v>#N/A</v>
          </cell>
          <cell r="M190" t="e">
            <v>#N/A</v>
          </cell>
          <cell r="N190" t="e">
            <v>#N/A</v>
          </cell>
          <cell r="O190" t="e">
            <v>#N/A</v>
          </cell>
          <cell r="P190">
            <v>45.569992999999997</v>
          </cell>
          <cell r="Q190">
            <v>4.2550739999999996</v>
          </cell>
          <cell r="R190" t="e">
            <v>#N/A</v>
          </cell>
        </row>
        <row r="191">
          <cell r="A191">
            <v>40429</v>
          </cell>
          <cell r="B191">
            <v>40429</v>
          </cell>
          <cell r="C191" t="str">
            <v>Past</v>
          </cell>
          <cell r="D191">
            <v>46.209992</v>
          </cell>
          <cell r="E191" t="e">
            <v>#N/A</v>
          </cell>
          <cell r="F191" t="e">
            <v>#N/A</v>
          </cell>
          <cell r="G191" t="e">
            <v>#N/A</v>
          </cell>
          <cell r="H191" t="e">
            <v>#N/A</v>
          </cell>
          <cell r="I191" t="e">
            <v>#N/A</v>
          </cell>
          <cell r="J191" t="e">
            <v>#N/A</v>
          </cell>
          <cell r="K191" t="e">
            <v>#N/A</v>
          </cell>
          <cell r="L191" t="e">
            <v>#N/A</v>
          </cell>
          <cell r="M191" t="e">
            <v>#N/A</v>
          </cell>
          <cell r="N191" t="e">
            <v>#N/A</v>
          </cell>
          <cell r="O191" t="e">
            <v>#N/A</v>
          </cell>
          <cell r="P191">
            <v>46.209992</v>
          </cell>
          <cell r="Q191">
            <v>4.198188</v>
          </cell>
          <cell r="R191" t="e">
            <v>#N/A</v>
          </cell>
        </row>
        <row r="192">
          <cell r="A192">
            <v>40430</v>
          </cell>
          <cell r="B192">
            <v>40430</v>
          </cell>
          <cell r="C192" t="str">
            <v>Past</v>
          </cell>
          <cell r="D192">
            <v>46.919998999999997</v>
          </cell>
          <cell r="E192" t="e">
            <v>#N/A</v>
          </cell>
          <cell r="F192" t="e">
            <v>#N/A</v>
          </cell>
          <cell r="G192" t="e">
            <v>#N/A</v>
          </cell>
          <cell r="H192" t="e">
            <v>#N/A</v>
          </cell>
          <cell r="I192" t="e">
            <v>#N/A</v>
          </cell>
          <cell r="J192" t="e">
            <v>#N/A</v>
          </cell>
          <cell r="K192" t="e">
            <v>#N/A</v>
          </cell>
          <cell r="L192" t="e">
            <v>#N/A</v>
          </cell>
          <cell r="M192" t="e">
            <v>#N/A</v>
          </cell>
          <cell r="N192" t="e">
            <v>#N/A</v>
          </cell>
          <cell r="O192" t="e">
            <v>#N/A</v>
          </cell>
          <cell r="P192">
            <v>46.919998999999997</v>
          </cell>
          <cell r="Q192">
            <v>5.4242850000000002</v>
          </cell>
          <cell r="R192" t="e">
            <v>#N/A</v>
          </cell>
        </row>
        <row r="193">
          <cell r="A193">
            <v>40431</v>
          </cell>
          <cell r="B193">
            <v>40431</v>
          </cell>
          <cell r="C193" t="str">
            <v>Past</v>
          </cell>
          <cell r="D193">
            <v>47.619996</v>
          </cell>
          <cell r="E193" t="e">
            <v>#N/A</v>
          </cell>
          <cell r="F193" t="e">
            <v>#N/A</v>
          </cell>
          <cell r="G193" t="e">
            <v>#N/A</v>
          </cell>
          <cell r="H193" t="e">
            <v>#N/A</v>
          </cell>
          <cell r="I193" t="e">
            <v>#N/A</v>
          </cell>
          <cell r="J193" t="e">
            <v>#N/A</v>
          </cell>
          <cell r="K193" t="e">
            <v>#N/A</v>
          </cell>
          <cell r="L193" t="e">
            <v>#N/A</v>
          </cell>
          <cell r="M193" t="e">
            <v>#N/A</v>
          </cell>
          <cell r="N193" t="e">
            <v>#N/A</v>
          </cell>
          <cell r="O193" t="e">
            <v>#N/A</v>
          </cell>
          <cell r="P193">
            <v>47.619996</v>
          </cell>
          <cell r="Q193">
            <v>3.8721719999999999</v>
          </cell>
          <cell r="R193" t="e">
            <v>#N/A</v>
          </cell>
        </row>
        <row r="194">
          <cell r="A194">
            <v>40434</v>
          </cell>
          <cell r="B194">
            <v>40434</v>
          </cell>
          <cell r="C194" t="str">
            <v>Past</v>
          </cell>
          <cell r="D194">
            <v>47.689988</v>
          </cell>
          <cell r="E194" t="e">
            <v>#N/A</v>
          </cell>
          <cell r="F194" t="e">
            <v>#N/A</v>
          </cell>
          <cell r="G194" t="e">
            <v>#N/A</v>
          </cell>
          <cell r="H194" t="e">
            <v>#N/A</v>
          </cell>
          <cell r="I194" t="e">
            <v>#N/A</v>
          </cell>
          <cell r="J194" t="e">
            <v>#N/A</v>
          </cell>
          <cell r="K194" t="e">
            <v>#N/A</v>
          </cell>
          <cell r="L194" t="e">
            <v>#N/A</v>
          </cell>
          <cell r="M194" t="e">
            <v>#N/A</v>
          </cell>
          <cell r="N194" t="e">
            <v>#N/A</v>
          </cell>
          <cell r="O194" t="e">
            <v>#N/A</v>
          </cell>
          <cell r="P194">
            <v>47.689988</v>
          </cell>
          <cell r="Q194">
            <v>4.9546799999999998</v>
          </cell>
          <cell r="R194" t="e">
            <v>#N/A</v>
          </cell>
        </row>
        <row r="195">
          <cell r="A195">
            <v>40435</v>
          </cell>
          <cell r="B195">
            <v>40435</v>
          </cell>
          <cell r="C195" t="str">
            <v>Past</v>
          </cell>
          <cell r="D195">
            <v>47.569992999999997</v>
          </cell>
          <cell r="E195" t="e">
            <v>#N/A</v>
          </cell>
          <cell r="F195" t="e">
            <v>#N/A</v>
          </cell>
          <cell r="G195" t="e">
            <v>#N/A</v>
          </cell>
          <cell r="H195" t="e">
            <v>#N/A</v>
          </cell>
          <cell r="I195" t="e">
            <v>#N/A</v>
          </cell>
          <cell r="J195" t="e">
            <v>#N/A</v>
          </cell>
          <cell r="K195" t="e">
            <v>#N/A</v>
          </cell>
          <cell r="L195" t="e">
            <v>#N/A</v>
          </cell>
          <cell r="M195" t="e">
            <v>#N/A</v>
          </cell>
          <cell r="N195" t="e">
            <v>#N/A</v>
          </cell>
          <cell r="O195" t="e">
            <v>#N/A</v>
          </cell>
          <cell r="P195">
            <v>47.569992999999997</v>
          </cell>
          <cell r="Q195">
            <v>2.3635969999999999</v>
          </cell>
          <cell r="R195" t="e">
            <v>#N/A</v>
          </cell>
        </row>
        <row r="196">
          <cell r="A196">
            <v>40436</v>
          </cell>
          <cell r="B196">
            <v>40436</v>
          </cell>
          <cell r="C196" t="str">
            <v>Past</v>
          </cell>
          <cell r="D196">
            <v>48.199997000000003</v>
          </cell>
          <cell r="E196" t="e">
            <v>#N/A</v>
          </cell>
          <cell r="F196" t="e">
            <v>#N/A</v>
          </cell>
          <cell r="G196" t="e">
            <v>#N/A</v>
          </cell>
          <cell r="H196" t="e">
            <v>#N/A</v>
          </cell>
          <cell r="I196" t="e">
            <v>#N/A</v>
          </cell>
          <cell r="J196" t="e">
            <v>#N/A</v>
          </cell>
          <cell r="K196" t="e">
            <v>#N/A</v>
          </cell>
          <cell r="L196" t="e">
            <v>#N/A</v>
          </cell>
          <cell r="M196" t="e">
            <v>#N/A</v>
          </cell>
          <cell r="N196" t="e">
            <v>#N/A</v>
          </cell>
          <cell r="O196" t="e">
            <v>#N/A</v>
          </cell>
          <cell r="P196">
            <v>48.199997000000003</v>
          </cell>
          <cell r="Q196">
            <v>3.3688859999999998</v>
          </cell>
          <cell r="R196" t="e">
            <v>#N/A</v>
          </cell>
        </row>
        <row r="197">
          <cell r="A197">
            <v>40437</v>
          </cell>
          <cell r="B197">
            <v>40437</v>
          </cell>
          <cell r="C197" t="str">
            <v>Past</v>
          </cell>
          <cell r="D197">
            <v>47.039994</v>
          </cell>
          <cell r="E197" t="e">
            <v>#N/A</v>
          </cell>
          <cell r="F197" t="e">
            <v>#N/A</v>
          </cell>
          <cell r="G197" t="e">
            <v>#N/A</v>
          </cell>
          <cell r="H197" t="e">
            <v>#N/A</v>
          </cell>
          <cell r="I197" t="e">
            <v>#N/A</v>
          </cell>
          <cell r="J197" t="e">
            <v>#N/A</v>
          </cell>
          <cell r="K197" t="e">
            <v>#N/A</v>
          </cell>
          <cell r="L197" t="e">
            <v>#N/A</v>
          </cell>
          <cell r="M197" t="e">
            <v>#N/A</v>
          </cell>
          <cell r="N197" t="e">
            <v>#N/A</v>
          </cell>
          <cell r="O197" t="e">
            <v>#N/A</v>
          </cell>
          <cell r="P197">
            <v>47.039994</v>
          </cell>
          <cell r="Q197">
            <v>4.2078519999999999</v>
          </cell>
          <cell r="R197" t="e">
            <v>#N/A</v>
          </cell>
        </row>
        <row r="198">
          <cell r="A198">
            <v>40438</v>
          </cell>
          <cell r="B198">
            <v>40438</v>
          </cell>
          <cell r="C198" t="str">
            <v>Past</v>
          </cell>
          <cell r="D198">
            <v>47.729996</v>
          </cell>
          <cell r="E198" t="e">
            <v>#N/A</v>
          </cell>
          <cell r="F198" t="e">
            <v>#N/A</v>
          </cell>
          <cell r="G198" t="e">
            <v>#N/A</v>
          </cell>
          <cell r="H198" t="e">
            <v>#N/A</v>
          </cell>
          <cell r="I198" t="e">
            <v>#N/A</v>
          </cell>
          <cell r="J198" t="e">
            <v>#N/A</v>
          </cell>
          <cell r="K198" t="e">
            <v>#N/A</v>
          </cell>
          <cell r="L198" t="e">
            <v>#N/A</v>
          </cell>
          <cell r="M198" t="e">
            <v>#N/A</v>
          </cell>
          <cell r="N198" t="e">
            <v>#N/A</v>
          </cell>
          <cell r="O198" t="e">
            <v>#N/A</v>
          </cell>
          <cell r="P198">
            <v>47.729996</v>
          </cell>
          <cell r="Q198">
            <v>4.4004339999999997</v>
          </cell>
          <cell r="R198" t="e">
            <v>#N/A</v>
          </cell>
        </row>
        <row r="199">
          <cell r="A199">
            <v>40441</v>
          </cell>
          <cell r="B199">
            <v>40441</v>
          </cell>
          <cell r="C199" t="str">
            <v>Past</v>
          </cell>
          <cell r="D199">
            <v>49.079987000000003</v>
          </cell>
          <cell r="E199" t="e">
            <v>#N/A</v>
          </cell>
          <cell r="F199" t="e">
            <v>#N/A</v>
          </cell>
          <cell r="G199" t="e">
            <v>#N/A</v>
          </cell>
          <cell r="H199" t="e">
            <v>#N/A</v>
          </cell>
          <cell r="I199" t="e">
            <v>#N/A</v>
          </cell>
          <cell r="J199" t="e">
            <v>#N/A</v>
          </cell>
          <cell r="K199" t="e">
            <v>#N/A</v>
          </cell>
          <cell r="L199" t="e">
            <v>#N/A</v>
          </cell>
          <cell r="M199" t="e">
            <v>#N/A</v>
          </cell>
          <cell r="N199" t="e">
            <v>#N/A</v>
          </cell>
          <cell r="O199" t="e">
            <v>#N/A</v>
          </cell>
          <cell r="P199">
            <v>49.079987000000003</v>
          </cell>
          <cell r="Q199">
            <v>4.1255389999999998</v>
          </cell>
          <cell r="R199" t="e">
            <v>#N/A</v>
          </cell>
        </row>
        <row r="200">
          <cell r="A200">
            <v>40442</v>
          </cell>
          <cell r="B200">
            <v>40442</v>
          </cell>
          <cell r="C200" t="str">
            <v>Past</v>
          </cell>
          <cell r="D200">
            <v>49.319992999999997</v>
          </cell>
          <cell r="E200" t="e">
            <v>#N/A</v>
          </cell>
          <cell r="F200" t="e">
            <v>#N/A</v>
          </cell>
          <cell r="G200" t="e">
            <v>#N/A</v>
          </cell>
          <cell r="H200" t="e">
            <v>#N/A</v>
          </cell>
          <cell r="I200" t="e">
            <v>#N/A</v>
          </cell>
          <cell r="J200" t="e">
            <v>#N/A</v>
          </cell>
          <cell r="K200" t="e">
            <v>#N/A</v>
          </cell>
          <cell r="L200" t="e">
            <v>#N/A</v>
          </cell>
          <cell r="M200" t="e">
            <v>#N/A</v>
          </cell>
          <cell r="N200" t="e">
            <v>#N/A</v>
          </cell>
          <cell r="O200" t="e">
            <v>#N/A</v>
          </cell>
          <cell r="P200">
            <v>49.319992999999997</v>
          </cell>
          <cell r="Q200">
            <v>4.9333520000000002</v>
          </cell>
          <cell r="R200" t="e">
            <v>#N/A</v>
          </cell>
        </row>
        <row r="201">
          <cell r="A201">
            <v>40443</v>
          </cell>
          <cell r="B201">
            <v>40443</v>
          </cell>
          <cell r="C201" t="str">
            <v>Past</v>
          </cell>
          <cell r="D201">
            <v>50.01999</v>
          </cell>
          <cell r="E201" t="e">
            <v>#N/A</v>
          </cell>
          <cell r="F201" t="e">
            <v>#N/A</v>
          </cell>
          <cell r="G201" t="e">
            <v>#N/A</v>
          </cell>
          <cell r="H201" t="e">
            <v>#N/A</v>
          </cell>
          <cell r="I201" t="e">
            <v>#N/A</v>
          </cell>
          <cell r="J201" t="e">
            <v>#N/A</v>
          </cell>
          <cell r="K201" t="e">
            <v>#N/A</v>
          </cell>
          <cell r="L201" t="e">
            <v>#N/A</v>
          </cell>
          <cell r="M201" t="e">
            <v>#N/A</v>
          </cell>
          <cell r="N201" t="e">
            <v>#N/A</v>
          </cell>
          <cell r="O201" t="e">
            <v>#N/A</v>
          </cell>
          <cell r="P201">
            <v>50.01999</v>
          </cell>
          <cell r="Q201">
            <v>5.7283910000000002</v>
          </cell>
          <cell r="R201" t="e">
            <v>#N/A</v>
          </cell>
        </row>
        <row r="202">
          <cell r="A202">
            <v>40444</v>
          </cell>
          <cell r="B202">
            <v>40444</v>
          </cell>
          <cell r="C202" t="str">
            <v>Past</v>
          </cell>
          <cell r="D202">
            <v>51.419998999999997</v>
          </cell>
          <cell r="E202" t="e">
            <v>#N/A</v>
          </cell>
          <cell r="F202" t="e">
            <v>#N/A</v>
          </cell>
          <cell r="G202" t="e">
            <v>#N/A</v>
          </cell>
          <cell r="H202" t="e">
            <v>#N/A</v>
          </cell>
          <cell r="I202" t="e">
            <v>#N/A</v>
          </cell>
          <cell r="J202" t="e">
            <v>#N/A</v>
          </cell>
          <cell r="K202" t="e">
            <v>#N/A</v>
          </cell>
          <cell r="L202" t="e">
            <v>#N/A</v>
          </cell>
          <cell r="M202" t="e">
            <v>#N/A</v>
          </cell>
          <cell r="N202" t="e">
            <v>#N/A</v>
          </cell>
          <cell r="O202" t="e">
            <v>#N/A</v>
          </cell>
          <cell r="P202">
            <v>51.419998999999997</v>
          </cell>
          <cell r="Q202">
            <v>8.0939689999999995</v>
          </cell>
          <cell r="R202" t="e">
            <v>#N/A</v>
          </cell>
        </row>
        <row r="203">
          <cell r="A203">
            <v>40445</v>
          </cell>
          <cell r="B203">
            <v>40445</v>
          </cell>
          <cell r="C203" t="str">
            <v>Past</v>
          </cell>
          <cell r="D203">
            <v>51.489991000000003</v>
          </cell>
          <cell r="E203" t="e">
            <v>#N/A</v>
          </cell>
          <cell r="F203" t="e">
            <v>#N/A</v>
          </cell>
          <cell r="G203" t="e">
            <v>#N/A</v>
          </cell>
          <cell r="H203" t="e">
            <v>#N/A</v>
          </cell>
          <cell r="I203" t="e">
            <v>#N/A</v>
          </cell>
          <cell r="J203" t="e">
            <v>#N/A</v>
          </cell>
          <cell r="K203" t="e">
            <v>#N/A</v>
          </cell>
          <cell r="L203" t="e">
            <v>#N/A</v>
          </cell>
          <cell r="M203" t="e">
            <v>#N/A</v>
          </cell>
          <cell r="N203" t="e">
            <v>#N/A</v>
          </cell>
          <cell r="O203" t="e">
            <v>#N/A</v>
          </cell>
          <cell r="P203">
            <v>51.489991000000003</v>
          </cell>
          <cell r="Q203">
            <v>6.7775309999999998</v>
          </cell>
          <cell r="R203" t="e">
            <v>#N/A</v>
          </cell>
        </row>
        <row r="204">
          <cell r="A204">
            <v>40448</v>
          </cell>
          <cell r="B204">
            <v>40448</v>
          </cell>
          <cell r="C204" t="str">
            <v>Past</v>
          </cell>
          <cell r="D204">
            <v>50.869996</v>
          </cell>
          <cell r="E204" t="e">
            <v>#N/A</v>
          </cell>
          <cell r="F204" t="e">
            <v>#N/A</v>
          </cell>
          <cell r="G204" t="e">
            <v>#N/A</v>
          </cell>
          <cell r="H204" t="e">
            <v>#N/A</v>
          </cell>
          <cell r="I204" t="e">
            <v>#N/A</v>
          </cell>
          <cell r="J204" t="e">
            <v>#N/A</v>
          </cell>
          <cell r="K204" t="e">
            <v>#N/A</v>
          </cell>
          <cell r="L204" t="e">
            <v>#N/A</v>
          </cell>
          <cell r="M204" t="e">
            <v>#N/A</v>
          </cell>
          <cell r="N204" t="e">
            <v>#N/A</v>
          </cell>
          <cell r="O204" t="e">
            <v>#N/A</v>
          </cell>
          <cell r="P204">
            <v>50.869996</v>
          </cell>
          <cell r="Q204">
            <v>4.30966</v>
          </cell>
          <cell r="R204" t="e">
            <v>#N/A</v>
          </cell>
        </row>
        <row r="205">
          <cell r="A205">
            <v>40449</v>
          </cell>
          <cell r="B205">
            <v>40449</v>
          </cell>
          <cell r="C205" t="str">
            <v>Past</v>
          </cell>
          <cell r="D205">
            <v>51.89</v>
          </cell>
          <cell r="E205" t="e">
            <v>#N/A</v>
          </cell>
          <cell r="F205" t="e">
            <v>#N/A</v>
          </cell>
          <cell r="G205" t="e">
            <v>#N/A</v>
          </cell>
          <cell r="H205" t="e">
            <v>#N/A</v>
          </cell>
          <cell r="I205" t="e">
            <v>#N/A</v>
          </cell>
          <cell r="J205" t="e">
            <v>#N/A</v>
          </cell>
          <cell r="K205" t="e">
            <v>#N/A</v>
          </cell>
          <cell r="L205" t="e">
            <v>#N/A</v>
          </cell>
          <cell r="M205" t="e">
            <v>#N/A</v>
          </cell>
          <cell r="N205" t="e">
            <v>#N/A</v>
          </cell>
          <cell r="O205" t="e">
            <v>#N/A</v>
          </cell>
          <cell r="P205">
            <v>51.89</v>
          </cell>
          <cell r="Q205">
            <v>3.3201260000000001</v>
          </cell>
          <cell r="R205" t="e">
            <v>#N/A</v>
          </cell>
        </row>
        <row r="206">
          <cell r="A206">
            <v>40450</v>
          </cell>
          <cell r="B206">
            <v>40450</v>
          </cell>
          <cell r="C206" t="str">
            <v>Past</v>
          </cell>
          <cell r="D206">
            <v>51.689988</v>
          </cell>
          <cell r="E206" t="e">
            <v>#N/A</v>
          </cell>
          <cell r="F206" t="e">
            <v>#N/A</v>
          </cell>
          <cell r="G206" t="e">
            <v>#N/A</v>
          </cell>
          <cell r="H206" t="e">
            <v>#N/A</v>
          </cell>
          <cell r="I206" t="e">
            <v>#N/A</v>
          </cell>
          <cell r="J206" t="e">
            <v>#N/A</v>
          </cell>
          <cell r="K206" t="e">
            <v>#N/A</v>
          </cell>
          <cell r="L206" t="e">
            <v>#N/A</v>
          </cell>
          <cell r="M206" t="e">
            <v>#N/A</v>
          </cell>
          <cell r="N206" t="e">
            <v>#N/A</v>
          </cell>
          <cell r="O206" t="e">
            <v>#N/A</v>
          </cell>
          <cell r="P206">
            <v>51.689988</v>
          </cell>
          <cell r="Q206">
            <v>3.424642</v>
          </cell>
          <cell r="R206" t="e">
            <v>#N/A</v>
          </cell>
        </row>
        <row r="207">
          <cell r="A207">
            <v>40451</v>
          </cell>
          <cell r="B207">
            <v>40451</v>
          </cell>
          <cell r="C207" t="str">
            <v>Past</v>
          </cell>
          <cell r="D207">
            <v>52.059998</v>
          </cell>
          <cell r="E207" t="e">
            <v>#N/A</v>
          </cell>
          <cell r="F207" t="e">
            <v>#N/A</v>
          </cell>
          <cell r="G207" t="e">
            <v>#N/A</v>
          </cell>
          <cell r="H207" t="e">
            <v>#N/A</v>
          </cell>
          <cell r="I207" t="e">
            <v>#N/A</v>
          </cell>
          <cell r="J207" t="e">
            <v>#N/A</v>
          </cell>
          <cell r="K207" t="e">
            <v>#N/A</v>
          </cell>
          <cell r="L207" t="e">
            <v>#N/A</v>
          </cell>
          <cell r="M207" t="e">
            <v>#N/A</v>
          </cell>
          <cell r="N207" t="e">
            <v>#N/A</v>
          </cell>
          <cell r="O207" t="e">
            <v>#N/A</v>
          </cell>
          <cell r="P207">
            <v>52.059998</v>
          </cell>
          <cell r="Q207">
            <v>3.5430999999999999</v>
          </cell>
          <cell r="R207" t="e">
            <v>#N/A</v>
          </cell>
        </row>
        <row r="208">
          <cell r="A208">
            <v>40452</v>
          </cell>
          <cell r="B208">
            <v>40452</v>
          </cell>
          <cell r="C208" t="str">
            <v>Past</v>
          </cell>
          <cell r="D208">
            <v>52.289994</v>
          </cell>
          <cell r="E208" t="e">
            <v>#N/A</v>
          </cell>
          <cell r="F208" t="e">
            <v>#N/A</v>
          </cell>
          <cell r="G208" t="e">
            <v>#N/A</v>
          </cell>
          <cell r="H208" t="e">
            <v>#N/A</v>
          </cell>
          <cell r="I208" t="e">
            <v>#N/A</v>
          </cell>
          <cell r="J208" t="e">
            <v>#N/A</v>
          </cell>
          <cell r="K208" t="e">
            <v>#N/A</v>
          </cell>
          <cell r="L208" t="e">
            <v>#N/A</v>
          </cell>
          <cell r="M208" t="e">
            <v>#N/A</v>
          </cell>
          <cell r="N208" t="e">
            <v>#N/A</v>
          </cell>
          <cell r="O208" t="e">
            <v>#N/A</v>
          </cell>
          <cell r="P208">
            <v>52.289994</v>
          </cell>
          <cell r="Q208">
            <v>3.2140070000000001</v>
          </cell>
          <cell r="R208" t="e">
            <v>#N/A</v>
          </cell>
        </row>
        <row r="209">
          <cell r="A209">
            <v>40455</v>
          </cell>
          <cell r="B209">
            <v>40455</v>
          </cell>
          <cell r="C209" t="str">
            <v>Past</v>
          </cell>
          <cell r="D209">
            <v>51.64</v>
          </cell>
          <cell r="E209" t="e">
            <v>#N/A</v>
          </cell>
          <cell r="F209" t="e">
            <v>#N/A</v>
          </cell>
          <cell r="G209" t="e">
            <v>#N/A</v>
          </cell>
          <cell r="H209" t="e">
            <v>#N/A</v>
          </cell>
          <cell r="I209" t="e">
            <v>#N/A</v>
          </cell>
          <cell r="J209" t="e">
            <v>#N/A</v>
          </cell>
          <cell r="K209" t="e">
            <v>#N/A</v>
          </cell>
          <cell r="L209" t="e">
            <v>#N/A</v>
          </cell>
          <cell r="M209" t="e">
            <v>#N/A</v>
          </cell>
          <cell r="N209" t="e">
            <v>#N/A</v>
          </cell>
          <cell r="O209" t="e">
            <v>#N/A</v>
          </cell>
          <cell r="P209">
            <v>51.64</v>
          </cell>
          <cell r="Q209">
            <v>2.9080460000000001</v>
          </cell>
          <cell r="R209" t="e">
            <v>#N/A</v>
          </cell>
        </row>
        <row r="210">
          <cell r="A210">
            <v>40456</v>
          </cell>
          <cell r="B210">
            <v>40456</v>
          </cell>
          <cell r="C210" t="str">
            <v>Past</v>
          </cell>
          <cell r="D210">
            <v>53.119996</v>
          </cell>
          <cell r="E210" t="e">
            <v>#N/A</v>
          </cell>
          <cell r="F210" t="e">
            <v>#N/A</v>
          </cell>
          <cell r="G210" t="e">
            <v>#N/A</v>
          </cell>
          <cell r="H210" t="e">
            <v>#N/A</v>
          </cell>
          <cell r="I210" t="e">
            <v>#N/A</v>
          </cell>
          <cell r="J210" t="e">
            <v>#N/A</v>
          </cell>
          <cell r="K210" t="e">
            <v>#N/A</v>
          </cell>
          <cell r="L210" t="e">
            <v>#N/A</v>
          </cell>
          <cell r="M210" t="e">
            <v>#N/A</v>
          </cell>
          <cell r="N210" t="e">
            <v>#N/A</v>
          </cell>
          <cell r="O210" t="e">
            <v>#N/A</v>
          </cell>
          <cell r="P210">
            <v>53.119996</v>
          </cell>
          <cell r="Q210">
            <v>4.7492970000000003</v>
          </cell>
          <cell r="R210" t="e">
            <v>#N/A</v>
          </cell>
        </row>
        <row r="211">
          <cell r="A211">
            <v>40457</v>
          </cell>
          <cell r="B211">
            <v>40457</v>
          </cell>
          <cell r="C211" t="str">
            <v>Past</v>
          </cell>
          <cell r="D211">
            <v>52.669998999999997</v>
          </cell>
          <cell r="E211" t="e">
            <v>#N/A</v>
          </cell>
          <cell r="F211" t="e">
            <v>#N/A</v>
          </cell>
          <cell r="G211" t="e">
            <v>#N/A</v>
          </cell>
          <cell r="H211" t="e">
            <v>#N/A</v>
          </cell>
          <cell r="I211" t="e">
            <v>#N/A</v>
          </cell>
          <cell r="J211" t="e">
            <v>#N/A</v>
          </cell>
          <cell r="K211" t="e">
            <v>#N/A</v>
          </cell>
          <cell r="L211" t="e">
            <v>#N/A</v>
          </cell>
          <cell r="M211" t="e">
            <v>#N/A</v>
          </cell>
          <cell r="N211" t="e">
            <v>#N/A</v>
          </cell>
          <cell r="O211" t="e">
            <v>#N/A</v>
          </cell>
          <cell r="P211">
            <v>52.669998999999997</v>
          </cell>
          <cell r="Q211">
            <v>3.0485380000000002</v>
          </cell>
          <cell r="R211" t="e">
            <v>#N/A</v>
          </cell>
        </row>
        <row r="212">
          <cell r="A212">
            <v>40458</v>
          </cell>
          <cell r="B212">
            <v>40458</v>
          </cell>
          <cell r="C212" t="str">
            <v>Past</v>
          </cell>
          <cell r="D212">
            <v>52.809998</v>
          </cell>
          <cell r="E212" t="e">
            <v>#N/A</v>
          </cell>
          <cell r="F212" t="e">
            <v>#N/A</v>
          </cell>
          <cell r="G212" t="e">
            <v>#N/A</v>
          </cell>
          <cell r="H212" t="e">
            <v>#N/A</v>
          </cell>
          <cell r="I212" t="e">
            <v>#N/A</v>
          </cell>
          <cell r="J212" t="e">
            <v>#N/A</v>
          </cell>
          <cell r="K212" t="e">
            <v>#N/A</v>
          </cell>
          <cell r="L212" t="e">
            <v>#N/A</v>
          </cell>
          <cell r="M212" t="e">
            <v>#N/A</v>
          </cell>
          <cell r="N212" t="e">
            <v>#N/A</v>
          </cell>
          <cell r="O212" t="e">
            <v>#N/A</v>
          </cell>
          <cell r="P212">
            <v>52.809998</v>
          </cell>
          <cell r="Q212">
            <v>2.9661740000000001</v>
          </cell>
          <cell r="R212" t="e">
            <v>#N/A</v>
          </cell>
        </row>
        <row r="213">
          <cell r="A213">
            <v>40459</v>
          </cell>
          <cell r="B213">
            <v>40459</v>
          </cell>
          <cell r="C213" t="str">
            <v>Past</v>
          </cell>
          <cell r="D213">
            <v>52.619996</v>
          </cell>
          <cell r="E213" t="e">
            <v>#N/A</v>
          </cell>
          <cell r="F213" t="e">
            <v>#N/A</v>
          </cell>
          <cell r="G213" t="e">
            <v>#N/A</v>
          </cell>
          <cell r="H213" t="e">
            <v>#N/A</v>
          </cell>
          <cell r="I213" t="e">
            <v>#N/A</v>
          </cell>
          <cell r="J213" t="e">
            <v>#N/A</v>
          </cell>
          <cell r="K213" t="e">
            <v>#N/A</v>
          </cell>
          <cell r="L213" t="e">
            <v>#N/A</v>
          </cell>
          <cell r="M213" t="e">
            <v>#N/A</v>
          </cell>
          <cell r="N213" t="e">
            <v>#N/A</v>
          </cell>
          <cell r="O213" t="e">
            <v>#N/A</v>
          </cell>
          <cell r="P213">
            <v>52.619996</v>
          </cell>
          <cell r="Q213">
            <v>3.618986</v>
          </cell>
          <cell r="R213" t="e">
            <v>#N/A</v>
          </cell>
        </row>
        <row r="214">
          <cell r="A214">
            <v>40462</v>
          </cell>
          <cell r="B214">
            <v>40462</v>
          </cell>
          <cell r="C214" t="str">
            <v>Past</v>
          </cell>
          <cell r="D214">
            <v>52.599991000000003</v>
          </cell>
          <cell r="E214" t="e">
            <v>#N/A</v>
          </cell>
          <cell r="F214" t="e">
            <v>#N/A</v>
          </cell>
          <cell r="G214" t="e">
            <v>#N/A</v>
          </cell>
          <cell r="H214" t="e">
            <v>#N/A</v>
          </cell>
          <cell r="I214" t="e">
            <v>#N/A</v>
          </cell>
          <cell r="J214" t="e">
            <v>#N/A</v>
          </cell>
          <cell r="K214" t="e">
            <v>#N/A</v>
          </cell>
          <cell r="L214" t="e">
            <v>#N/A</v>
          </cell>
          <cell r="M214" t="e">
            <v>#N/A</v>
          </cell>
          <cell r="N214" t="e">
            <v>#N/A</v>
          </cell>
          <cell r="O214" t="e">
            <v>#N/A</v>
          </cell>
          <cell r="P214">
            <v>52.599991000000003</v>
          </cell>
          <cell r="Q214">
            <v>1.8809309999999999</v>
          </cell>
          <cell r="R214" t="e">
            <v>#N/A</v>
          </cell>
        </row>
        <row r="215">
          <cell r="A215">
            <v>40463</v>
          </cell>
          <cell r="B215">
            <v>40463</v>
          </cell>
          <cell r="C215" t="str">
            <v>Past</v>
          </cell>
          <cell r="D215">
            <v>52.76999</v>
          </cell>
          <cell r="E215" t="e">
            <v>#N/A</v>
          </cell>
          <cell r="F215" t="e">
            <v>#N/A</v>
          </cell>
          <cell r="G215" t="e">
            <v>#N/A</v>
          </cell>
          <cell r="H215" t="e">
            <v>#N/A</v>
          </cell>
          <cell r="I215" t="e">
            <v>#N/A</v>
          </cell>
          <cell r="J215" t="e">
            <v>#N/A</v>
          </cell>
          <cell r="K215" t="e">
            <v>#N/A</v>
          </cell>
          <cell r="L215" t="e">
            <v>#N/A</v>
          </cell>
          <cell r="M215" t="e">
            <v>#N/A</v>
          </cell>
          <cell r="N215" t="e">
            <v>#N/A</v>
          </cell>
          <cell r="O215" t="e">
            <v>#N/A</v>
          </cell>
          <cell r="P215">
            <v>52.76999</v>
          </cell>
          <cell r="Q215">
            <v>3.1028009999999999</v>
          </cell>
          <cell r="R215" t="e">
            <v>#N/A</v>
          </cell>
        </row>
        <row r="216">
          <cell r="A216">
            <v>40464</v>
          </cell>
          <cell r="B216">
            <v>40464</v>
          </cell>
          <cell r="C216" t="str">
            <v>Past</v>
          </cell>
          <cell r="D216">
            <v>53.169998999999997</v>
          </cell>
          <cell r="E216" t="e">
            <v>#N/A</v>
          </cell>
          <cell r="F216" t="e">
            <v>#N/A</v>
          </cell>
          <cell r="G216" t="e">
            <v>#N/A</v>
          </cell>
          <cell r="H216" t="e">
            <v>#N/A</v>
          </cell>
          <cell r="I216" t="e">
            <v>#N/A</v>
          </cell>
          <cell r="J216" t="e">
            <v>#N/A</v>
          </cell>
          <cell r="K216" t="e">
            <v>#N/A</v>
          </cell>
          <cell r="L216" t="e">
            <v>#N/A</v>
          </cell>
          <cell r="M216" t="e">
            <v>#N/A</v>
          </cell>
          <cell r="N216" t="e">
            <v>#N/A</v>
          </cell>
          <cell r="O216" t="e">
            <v>#N/A</v>
          </cell>
          <cell r="P216">
            <v>53.169998999999997</v>
          </cell>
          <cell r="Q216">
            <v>4.5927499999999997</v>
          </cell>
          <cell r="R216" t="e">
            <v>#N/A</v>
          </cell>
        </row>
        <row r="217">
          <cell r="A217">
            <v>40465</v>
          </cell>
          <cell r="B217">
            <v>40465</v>
          </cell>
          <cell r="C217" t="str">
            <v>Past</v>
          </cell>
          <cell r="D217">
            <v>52.839996999999997</v>
          </cell>
          <cell r="E217" t="e">
            <v>#N/A</v>
          </cell>
          <cell r="F217" t="e">
            <v>#N/A</v>
          </cell>
          <cell r="G217" t="e">
            <v>#N/A</v>
          </cell>
          <cell r="H217" t="e">
            <v>#N/A</v>
          </cell>
          <cell r="I217" t="e">
            <v>#N/A</v>
          </cell>
          <cell r="J217" t="e">
            <v>#N/A</v>
          </cell>
          <cell r="K217" t="e">
            <v>#N/A</v>
          </cell>
          <cell r="L217" t="e">
            <v>#N/A</v>
          </cell>
          <cell r="M217" t="e">
            <v>#N/A</v>
          </cell>
          <cell r="N217" t="e">
            <v>#N/A</v>
          </cell>
          <cell r="O217" t="e">
            <v>#N/A</v>
          </cell>
          <cell r="P217">
            <v>52.839996999999997</v>
          </cell>
          <cell r="Q217">
            <v>4.2510079999999997</v>
          </cell>
          <cell r="R217" t="e">
            <v>#N/A</v>
          </cell>
        </row>
        <row r="218">
          <cell r="A218">
            <v>40466</v>
          </cell>
          <cell r="B218">
            <v>40466</v>
          </cell>
          <cell r="C218" t="str">
            <v>Past</v>
          </cell>
          <cell r="D218">
            <v>53.329987000000003</v>
          </cell>
          <cell r="E218" t="e">
            <v>#N/A</v>
          </cell>
          <cell r="F218" t="e">
            <v>#N/A</v>
          </cell>
          <cell r="G218" t="e">
            <v>#N/A</v>
          </cell>
          <cell r="H218" t="e">
            <v>#N/A</v>
          </cell>
          <cell r="I218" t="e">
            <v>#N/A</v>
          </cell>
          <cell r="J218" t="e">
            <v>#N/A</v>
          </cell>
          <cell r="K218" t="e">
            <v>#N/A</v>
          </cell>
          <cell r="L218" t="e">
            <v>#N/A</v>
          </cell>
          <cell r="M218" t="e">
            <v>#N/A</v>
          </cell>
          <cell r="N218" t="e">
            <v>#N/A</v>
          </cell>
          <cell r="O218" t="e">
            <v>#N/A</v>
          </cell>
          <cell r="P218">
            <v>53.329987000000003</v>
          </cell>
          <cell r="Q218">
            <v>3.058414</v>
          </cell>
          <cell r="R218" t="e">
            <v>#N/A</v>
          </cell>
        </row>
        <row r="219">
          <cell r="A219">
            <v>40469</v>
          </cell>
          <cell r="B219">
            <v>40469</v>
          </cell>
          <cell r="C219" t="str">
            <v>Past</v>
          </cell>
          <cell r="D219">
            <v>53.719985999999999</v>
          </cell>
          <cell r="E219" t="e">
            <v>#N/A</v>
          </cell>
          <cell r="F219" t="e">
            <v>#N/A</v>
          </cell>
          <cell r="G219" t="e">
            <v>#N/A</v>
          </cell>
          <cell r="H219" t="e">
            <v>#N/A</v>
          </cell>
          <cell r="I219" t="e">
            <v>#N/A</v>
          </cell>
          <cell r="J219" t="e">
            <v>#N/A</v>
          </cell>
          <cell r="K219" t="e">
            <v>#N/A</v>
          </cell>
          <cell r="L219" t="e">
            <v>#N/A</v>
          </cell>
          <cell r="M219" t="e">
            <v>#N/A</v>
          </cell>
          <cell r="N219" t="e">
            <v>#N/A</v>
          </cell>
          <cell r="O219" t="e">
            <v>#N/A</v>
          </cell>
          <cell r="P219">
            <v>53.719985999999999</v>
          </cell>
          <cell r="Q219">
            <v>3.0243859999999998</v>
          </cell>
          <cell r="R219" t="e">
            <v>#N/A</v>
          </cell>
        </row>
        <row r="220">
          <cell r="A220">
            <v>40470</v>
          </cell>
          <cell r="B220">
            <v>40470</v>
          </cell>
          <cell r="C220" t="str">
            <v>Past</v>
          </cell>
          <cell r="D220">
            <v>52.419998999999997</v>
          </cell>
          <cell r="E220" t="e">
            <v>#N/A</v>
          </cell>
          <cell r="F220" t="e">
            <v>#N/A</v>
          </cell>
          <cell r="G220" t="e">
            <v>#N/A</v>
          </cell>
          <cell r="H220" t="e">
            <v>#N/A</v>
          </cell>
          <cell r="I220" t="e">
            <v>#N/A</v>
          </cell>
          <cell r="J220" t="e">
            <v>#N/A</v>
          </cell>
          <cell r="K220" t="e">
            <v>#N/A</v>
          </cell>
          <cell r="L220" t="e">
            <v>#N/A</v>
          </cell>
          <cell r="M220" t="e">
            <v>#N/A</v>
          </cell>
          <cell r="N220" t="e">
            <v>#N/A</v>
          </cell>
          <cell r="O220" t="e">
            <v>#N/A</v>
          </cell>
          <cell r="P220">
            <v>52.419998999999997</v>
          </cell>
          <cell r="Q220">
            <v>4.4356059999999999</v>
          </cell>
          <cell r="R220" t="e">
            <v>#N/A</v>
          </cell>
        </row>
        <row r="221">
          <cell r="A221">
            <v>40471</v>
          </cell>
          <cell r="B221">
            <v>40471</v>
          </cell>
          <cell r="C221" t="str">
            <v>Past</v>
          </cell>
          <cell r="D221">
            <v>51.969985999999999</v>
          </cell>
          <cell r="E221" t="e">
            <v>#N/A</v>
          </cell>
          <cell r="F221" t="e">
            <v>#N/A</v>
          </cell>
          <cell r="G221" t="e">
            <v>#N/A</v>
          </cell>
          <cell r="H221" t="e">
            <v>#N/A</v>
          </cell>
          <cell r="I221" t="e">
            <v>#N/A</v>
          </cell>
          <cell r="J221" t="e">
            <v>#N/A</v>
          </cell>
          <cell r="K221" t="e">
            <v>#N/A</v>
          </cell>
          <cell r="L221" t="e">
            <v>#N/A</v>
          </cell>
          <cell r="M221" t="e">
            <v>#N/A</v>
          </cell>
          <cell r="N221" t="e">
            <v>#N/A</v>
          </cell>
          <cell r="O221" t="e">
            <v>#N/A</v>
          </cell>
          <cell r="P221">
            <v>51.969985999999999</v>
          </cell>
          <cell r="Q221">
            <v>4.4682740000000001</v>
          </cell>
          <cell r="R221" t="e">
            <v>#N/A</v>
          </cell>
        </row>
        <row r="222">
          <cell r="A222">
            <v>40472</v>
          </cell>
          <cell r="B222">
            <v>40472</v>
          </cell>
          <cell r="C222" t="str">
            <v>Past</v>
          </cell>
          <cell r="D222">
            <v>50.679993000000003</v>
          </cell>
          <cell r="E222" t="e">
            <v>#N/A</v>
          </cell>
          <cell r="F222" t="e">
            <v>#N/A</v>
          </cell>
          <cell r="G222" t="e">
            <v>#N/A</v>
          </cell>
          <cell r="H222" t="e">
            <v>#N/A</v>
          </cell>
          <cell r="I222" t="e">
            <v>#N/A</v>
          </cell>
          <cell r="J222" t="e">
            <v>#N/A</v>
          </cell>
          <cell r="K222" t="e">
            <v>#N/A</v>
          </cell>
          <cell r="L222" t="e">
            <v>#N/A</v>
          </cell>
          <cell r="M222" t="e">
            <v>#N/A</v>
          </cell>
          <cell r="N222" t="e">
            <v>#N/A</v>
          </cell>
          <cell r="O222" t="e">
            <v>#N/A</v>
          </cell>
          <cell r="P222">
            <v>50.679993000000003</v>
          </cell>
          <cell r="Q222">
            <v>7.1512190000000002</v>
          </cell>
          <cell r="R222" t="e">
            <v>#N/A</v>
          </cell>
        </row>
        <row r="223">
          <cell r="A223">
            <v>40473</v>
          </cell>
          <cell r="B223">
            <v>40473</v>
          </cell>
          <cell r="C223" t="str">
            <v>Past</v>
          </cell>
          <cell r="D223">
            <v>51.339996999999997</v>
          </cell>
          <cell r="E223" t="e">
            <v>#N/A</v>
          </cell>
          <cell r="F223" t="e">
            <v>#N/A</v>
          </cell>
          <cell r="G223" t="e">
            <v>#N/A</v>
          </cell>
          <cell r="H223" t="e">
            <v>#N/A</v>
          </cell>
          <cell r="I223" t="e">
            <v>#N/A</v>
          </cell>
          <cell r="J223" t="e">
            <v>#N/A</v>
          </cell>
          <cell r="K223" t="e">
            <v>#N/A</v>
          </cell>
          <cell r="L223" t="e">
            <v>#N/A</v>
          </cell>
          <cell r="M223" t="e">
            <v>#N/A</v>
          </cell>
          <cell r="N223" t="e">
            <v>#N/A</v>
          </cell>
          <cell r="O223" t="e">
            <v>#N/A</v>
          </cell>
          <cell r="P223">
            <v>51.339996999999997</v>
          </cell>
          <cell r="Q223">
            <v>3.7085710000000001</v>
          </cell>
          <cell r="R223" t="e">
            <v>#N/A</v>
          </cell>
        </row>
        <row r="224">
          <cell r="A224">
            <v>40476</v>
          </cell>
          <cell r="B224">
            <v>40476</v>
          </cell>
          <cell r="C224" t="str">
            <v>Past</v>
          </cell>
          <cell r="D224">
            <v>52.449997000000003</v>
          </cell>
          <cell r="E224" t="e">
            <v>#N/A</v>
          </cell>
          <cell r="F224" t="e">
            <v>#N/A</v>
          </cell>
          <cell r="G224" t="e">
            <v>#N/A</v>
          </cell>
          <cell r="H224" t="e">
            <v>#N/A</v>
          </cell>
          <cell r="I224" t="e">
            <v>#N/A</v>
          </cell>
          <cell r="J224" t="e">
            <v>#N/A</v>
          </cell>
          <cell r="K224" t="e">
            <v>#N/A</v>
          </cell>
          <cell r="L224" t="e">
            <v>#N/A</v>
          </cell>
          <cell r="M224" t="e">
            <v>#N/A</v>
          </cell>
          <cell r="N224" t="e">
            <v>#N/A</v>
          </cell>
          <cell r="O224" t="e">
            <v>#N/A</v>
          </cell>
          <cell r="P224">
            <v>52.449997000000003</v>
          </cell>
          <cell r="Q224">
            <v>3.858209</v>
          </cell>
          <cell r="R224" t="e">
            <v>#N/A</v>
          </cell>
        </row>
        <row r="225">
          <cell r="A225">
            <v>40477</v>
          </cell>
          <cell r="B225">
            <v>40477</v>
          </cell>
          <cell r="C225" t="str">
            <v>Past</v>
          </cell>
          <cell r="D225">
            <v>52.629989999999999</v>
          </cell>
          <cell r="E225" t="e">
            <v>#N/A</v>
          </cell>
          <cell r="F225" t="e">
            <v>#N/A</v>
          </cell>
          <cell r="G225" t="e">
            <v>#N/A</v>
          </cell>
          <cell r="H225" t="e">
            <v>#N/A</v>
          </cell>
          <cell r="I225" t="e">
            <v>#N/A</v>
          </cell>
          <cell r="J225" t="e">
            <v>#N/A</v>
          </cell>
          <cell r="K225" t="e">
            <v>#N/A</v>
          </cell>
          <cell r="L225" t="e">
            <v>#N/A</v>
          </cell>
          <cell r="M225" t="e">
            <v>#N/A</v>
          </cell>
          <cell r="N225" t="e">
            <v>#N/A</v>
          </cell>
          <cell r="O225" t="e">
            <v>#N/A</v>
          </cell>
          <cell r="P225">
            <v>52.629989999999999</v>
          </cell>
          <cell r="Q225">
            <v>3.0318770000000002</v>
          </cell>
          <cell r="R225" t="e">
            <v>#N/A</v>
          </cell>
        </row>
        <row r="226">
          <cell r="A226">
            <v>40478</v>
          </cell>
          <cell r="B226">
            <v>40478</v>
          </cell>
          <cell r="C226" t="str">
            <v>Past</v>
          </cell>
          <cell r="D226">
            <v>52.509995000000004</v>
          </cell>
          <cell r="E226" t="e">
            <v>#N/A</v>
          </cell>
          <cell r="F226" t="e">
            <v>#N/A</v>
          </cell>
          <cell r="G226" t="e">
            <v>#N/A</v>
          </cell>
          <cell r="H226" t="e">
            <v>#N/A</v>
          </cell>
          <cell r="I226" t="e">
            <v>#N/A</v>
          </cell>
          <cell r="J226" t="e">
            <v>#N/A</v>
          </cell>
          <cell r="K226" t="e">
            <v>#N/A</v>
          </cell>
          <cell r="L226" t="e">
            <v>#N/A</v>
          </cell>
          <cell r="M226" t="e">
            <v>#N/A</v>
          </cell>
          <cell r="N226" t="e">
            <v>#N/A</v>
          </cell>
          <cell r="O226" t="e">
            <v>#N/A</v>
          </cell>
          <cell r="P226">
            <v>52.509995000000004</v>
          </cell>
          <cell r="Q226">
            <v>3.103424</v>
          </cell>
          <cell r="R226" t="e">
            <v>#N/A</v>
          </cell>
        </row>
        <row r="227">
          <cell r="A227">
            <v>40479</v>
          </cell>
          <cell r="B227">
            <v>40479</v>
          </cell>
          <cell r="C227" t="str">
            <v>Past</v>
          </cell>
          <cell r="D227">
            <v>52.179993000000003</v>
          </cell>
          <cell r="E227" t="e">
            <v>#N/A</v>
          </cell>
          <cell r="F227" t="e">
            <v>#N/A</v>
          </cell>
          <cell r="G227" t="e">
            <v>#N/A</v>
          </cell>
          <cell r="H227" t="e">
            <v>#N/A</v>
          </cell>
          <cell r="I227" t="e">
            <v>#N/A</v>
          </cell>
          <cell r="J227" t="e">
            <v>#N/A</v>
          </cell>
          <cell r="K227" t="e">
            <v>#N/A</v>
          </cell>
          <cell r="L227" t="e">
            <v>#N/A</v>
          </cell>
          <cell r="M227" t="e">
            <v>#N/A</v>
          </cell>
          <cell r="N227" t="e">
            <v>#N/A</v>
          </cell>
          <cell r="O227" t="e">
            <v>#N/A</v>
          </cell>
          <cell r="P227">
            <v>52.179993000000003</v>
          </cell>
          <cell r="Q227">
            <v>3.4698690000000001</v>
          </cell>
          <cell r="R227" t="e">
            <v>#N/A</v>
          </cell>
        </row>
        <row r="228">
          <cell r="A228">
            <v>40480</v>
          </cell>
          <cell r="B228">
            <v>40480</v>
          </cell>
          <cell r="C228" t="str">
            <v>Past</v>
          </cell>
          <cell r="D228">
            <v>52.529998999999997</v>
          </cell>
          <cell r="E228" t="e">
            <v>#N/A</v>
          </cell>
          <cell r="F228" t="e">
            <v>#N/A</v>
          </cell>
          <cell r="G228" t="e">
            <v>#N/A</v>
          </cell>
          <cell r="H228" t="e">
            <v>#N/A</v>
          </cell>
          <cell r="I228" t="e">
            <v>#N/A</v>
          </cell>
          <cell r="J228" t="e">
            <v>#N/A</v>
          </cell>
          <cell r="K228" t="e">
            <v>#N/A</v>
          </cell>
          <cell r="L228" t="e">
            <v>#N/A</v>
          </cell>
          <cell r="M228" t="e">
            <v>#N/A</v>
          </cell>
          <cell r="N228" t="e">
            <v>#N/A</v>
          </cell>
          <cell r="O228" t="e">
            <v>#N/A</v>
          </cell>
          <cell r="P228">
            <v>52.529998999999997</v>
          </cell>
          <cell r="Q228">
            <v>2.7063640000000002</v>
          </cell>
          <cell r="R228" t="e">
            <v>#N/A</v>
          </cell>
        </row>
        <row r="229">
          <cell r="A229">
            <v>40483</v>
          </cell>
          <cell r="B229">
            <v>40483</v>
          </cell>
          <cell r="C229" t="str">
            <v>Past</v>
          </cell>
          <cell r="D229">
            <v>52.369996</v>
          </cell>
          <cell r="E229" t="e">
            <v>#N/A</v>
          </cell>
          <cell r="F229" t="e">
            <v>#N/A</v>
          </cell>
          <cell r="G229" t="e">
            <v>#N/A</v>
          </cell>
          <cell r="H229" t="e">
            <v>#N/A</v>
          </cell>
          <cell r="I229" t="e">
            <v>#N/A</v>
          </cell>
          <cell r="J229" t="e">
            <v>#N/A</v>
          </cell>
          <cell r="K229" t="e">
            <v>#N/A</v>
          </cell>
          <cell r="L229" t="e">
            <v>#N/A</v>
          </cell>
          <cell r="M229" t="e">
            <v>#N/A</v>
          </cell>
          <cell r="N229" t="e">
            <v>#N/A</v>
          </cell>
          <cell r="O229" t="e">
            <v>#N/A</v>
          </cell>
          <cell r="P229">
            <v>52.369996</v>
          </cell>
          <cell r="Q229">
            <v>5.4172070000000003</v>
          </cell>
          <cell r="R229" t="e">
            <v>#N/A</v>
          </cell>
        </row>
        <row r="230">
          <cell r="A230">
            <v>40484</v>
          </cell>
          <cell r="B230">
            <v>40484</v>
          </cell>
          <cell r="C230" t="str">
            <v>Past</v>
          </cell>
          <cell r="D230">
            <v>58</v>
          </cell>
          <cell r="E230" t="e">
            <v>#N/A</v>
          </cell>
          <cell r="F230" t="e">
            <v>#N/A</v>
          </cell>
          <cell r="G230" t="e">
            <v>#N/A</v>
          </cell>
          <cell r="H230" t="e">
            <v>#N/A</v>
          </cell>
          <cell r="I230" t="e">
            <v>#N/A</v>
          </cell>
          <cell r="J230" t="e">
            <v>#N/A</v>
          </cell>
          <cell r="K230" t="e">
            <v>#N/A</v>
          </cell>
          <cell r="L230" t="e">
            <v>#N/A</v>
          </cell>
          <cell r="M230" t="e">
            <v>#N/A</v>
          </cell>
          <cell r="N230" t="e">
            <v>#N/A</v>
          </cell>
          <cell r="O230" t="e">
            <v>#N/A</v>
          </cell>
          <cell r="P230">
            <v>58</v>
          </cell>
          <cell r="Q230">
            <v>12.561278</v>
          </cell>
          <cell r="R230" t="e">
            <v>#N/A</v>
          </cell>
        </row>
        <row r="231">
          <cell r="A231">
            <v>40485</v>
          </cell>
          <cell r="B231">
            <v>40485</v>
          </cell>
          <cell r="C231" t="str">
            <v>Past</v>
          </cell>
          <cell r="D231">
            <v>57.799987999999999</v>
          </cell>
          <cell r="E231" t="e">
            <v>#N/A</v>
          </cell>
          <cell r="F231" t="e">
            <v>#N/A</v>
          </cell>
          <cell r="G231" t="e">
            <v>#N/A</v>
          </cell>
          <cell r="H231" t="e">
            <v>#N/A</v>
          </cell>
          <cell r="I231" t="e">
            <v>#N/A</v>
          </cell>
          <cell r="J231" t="e">
            <v>#N/A</v>
          </cell>
          <cell r="K231" t="e">
            <v>#N/A</v>
          </cell>
          <cell r="L231" t="e">
            <v>#N/A</v>
          </cell>
          <cell r="M231" t="e">
            <v>#N/A</v>
          </cell>
          <cell r="N231" t="e">
            <v>#N/A</v>
          </cell>
          <cell r="O231" t="e">
            <v>#N/A</v>
          </cell>
          <cell r="P231">
            <v>57.799987999999999</v>
          </cell>
          <cell r="Q231">
            <v>6.7589180000000004</v>
          </cell>
          <cell r="R231" t="e">
            <v>#N/A</v>
          </cell>
        </row>
        <row r="232">
          <cell r="A232">
            <v>40486</v>
          </cell>
          <cell r="B232">
            <v>40486</v>
          </cell>
          <cell r="C232" t="str">
            <v>Past</v>
          </cell>
          <cell r="D232">
            <v>59.799987999999999</v>
          </cell>
          <cell r="E232" t="e">
            <v>#N/A</v>
          </cell>
          <cell r="F232" t="e">
            <v>#N/A</v>
          </cell>
          <cell r="G232" t="e">
            <v>#N/A</v>
          </cell>
          <cell r="H232" t="e">
            <v>#N/A</v>
          </cell>
          <cell r="I232" t="e">
            <v>#N/A</v>
          </cell>
          <cell r="J232" t="e">
            <v>#N/A</v>
          </cell>
          <cell r="K232" t="e">
            <v>#N/A</v>
          </cell>
          <cell r="L232" t="e">
            <v>#N/A</v>
          </cell>
          <cell r="M232" t="e">
            <v>#N/A</v>
          </cell>
          <cell r="N232" t="e">
            <v>#N/A</v>
          </cell>
          <cell r="O232" t="e">
            <v>#N/A</v>
          </cell>
          <cell r="P232">
            <v>59.799987999999999</v>
          </cell>
          <cell r="Q232">
            <v>6.3070199999999996</v>
          </cell>
          <cell r="R232" t="e">
            <v>#N/A</v>
          </cell>
        </row>
        <row r="233">
          <cell r="A233">
            <v>40487</v>
          </cell>
          <cell r="B233">
            <v>40487</v>
          </cell>
          <cell r="C233" t="str">
            <v>Past</v>
          </cell>
          <cell r="D233">
            <v>59.119996</v>
          </cell>
          <cell r="E233" t="e">
            <v>#N/A</v>
          </cell>
          <cell r="F233" t="e">
            <v>#N/A</v>
          </cell>
          <cell r="G233" t="e">
            <v>#N/A</v>
          </cell>
          <cell r="H233" t="e">
            <v>#N/A</v>
          </cell>
          <cell r="I233" t="e">
            <v>#N/A</v>
          </cell>
          <cell r="J233" t="e">
            <v>#N/A</v>
          </cell>
          <cell r="K233" t="e">
            <v>#N/A</v>
          </cell>
          <cell r="L233" t="e">
            <v>#N/A</v>
          </cell>
          <cell r="M233" t="e">
            <v>#N/A</v>
          </cell>
          <cell r="N233" t="e">
            <v>#N/A</v>
          </cell>
          <cell r="O233" t="e">
            <v>#N/A</v>
          </cell>
          <cell r="P233">
            <v>59.119996</v>
          </cell>
          <cell r="Q233">
            <v>3.6671849999999999</v>
          </cell>
          <cell r="R233" t="e">
            <v>#N/A</v>
          </cell>
        </row>
        <row r="234">
          <cell r="A234">
            <v>40490</v>
          </cell>
          <cell r="B234">
            <v>40490</v>
          </cell>
          <cell r="C234" t="str">
            <v>Past</v>
          </cell>
          <cell r="D234">
            <v>60</v>
          </cell>
          <cell r="E234" t="e">
            <v>#N/A</v>
          </cell>
          <cell r="F234" t="e">
            <v>#N/A</v>
          </cell>
          <cell r="G234" t="e">
            <v>#N/A</v>
          </cell>
          <cell r="H234" t="e">
            <v>#N/A</v>
          </cell>
          <cell r="I234" t="e">
            <v>#N/A</v>
          </cell>
          <cell r="J234" t="e">
            <v>#N/A</v>
          </cell>
          <cell r="K234" t="e">
            <v>#N/A</v>
          </cell>
          <cell r="L234" t="e">
            <v>#N/A</v>
          </cell>
          <cell r="M234" t="e">
            <v>#N/A</v>
          </cell>
          <cell r="N234" t="e">
            <v>#N/A</v>
          </cell>
          <cell r="O234" t="e">
            <v>#N/A</v>
          </cell>
          <cell r="P234">
            <v>60</v>
          </cell>
          <cell r="Q234">
            <v>3.6743999999999999</v>
          </cell>
          <cell r="R234" t="e">
            <v>#N/A</v>
          </cell>
        </row>
        <row r="235">
          <cell r="A235">
            <v>40491</v>
          </cell>
          <cell r="B235">
            <v>40491</v>
          </cell>
          <cell r="C235" t="str">
            <v>Past</v>
          </cell>
          <cell r="D235">
            <v>59.239991000000003</v>
          </cell>
          <cell r="E235" t="e">
            <v>#N/A</v>
          </cell>
          <cell r="F235" t="e">
            <v>#N/A</v>
          </cell>
          <cell r="G235" t="e">
            <v>#N/A</v>
          </cell>
          <cell r="H235" t="e">
            <v>#N/A</v>
          </cell>
          <cell r="I235" t="e">
            <v>#N/A</v>
          </cell>
          <cell r="J235" t="e">
            <v>#N/A</v>
          </cell>
          <cell r="K235" t="e">
            <v>#N/A</v>
          </cell>
          <cell r="L235" t="e">
            <v>#N/A</v>
          </cell>
          <cell r="M235" t="e">
            <v>#N/A</v>
          </cell>
          <cell r="N235" t="e">
            <v>#N/A</v>
          </cell>
          <cell r="O235" t="e">
            <v>#N/A</v>
          </cell>
          <cell r="P235">
            <v>59.239991000000003</v>
          </cell>
          <cell r="Q235">
            <v>4.4571449999999997</v>
          </cell>
          <cell r="R235" t="e">
            <v>#N/A</v>
          </cell>
        </row>
        <row r="236">
          <cell r="A236">
            <v>40492</v>
          </cell>
          <cell r="B236">
            <v>40492</v>
          </cell>
          <cell r="C236" t="str">
            <v>Past</v>
          </cell>
          <cell r="D236">
            <v>59.489991000000003</v>
          </cell>
          <cell r="E236" t="e">
            <v>#N/A</v>
          </cell>
          <cell r="F236" t="e">
            <v>#N/A</v>
          </cell>
          <cell r="G236" t="e">
            <v>#N/A</v>
          </cell>
          <cell r="H236" t="e">
            <v>#N/A</v>
          </cell>
          <cell r="I236" t="e">
            <v>#N/A</v>
          </cell>
          <cell r="J236" t="e">
            <v>#N/A</v>
          </cell>
          <cell r="K236" t="e">
            <v>#N/A</v>
          </cell>
          <cell r="L236" t="e">
            <v>#N/A</v>
          </cell>
          <cell r="M236" t="e">
            <v>#N/A</v>
          </cell>
          <cell r="N236" t="e">
            <v>#N/A</v>
          </cell>
          <cell r="O236" t="e">
            <v>#N/A</v>
          </cell>
          <cell r="P236">
            <v>59.489991000000003</v>
          </cell>
          <cell r="Q236">
            <v>3.0691579999999998</v>
          </cell>
          <cell r="R236" t="e">
            <v>#N/A</v>
          </cell>
        </row>
        <row r="237">
          <cell r="A237">
            <v>40493</v>
          </cell>
          <cell r="B237">
            <v>40493</v>
          </cell>
          <cell r="C237" t="str">
            <v>Past</v>
          </cell>
          <cell r="D237">
            <v>60.119996</v>
          </cell>
          <cell r="E237" t="e">
            <v>#N/A</v>
          </cell>
          <cell r="F237" t="e">
            <v>#N/A</v>
          </cell>
          <cell r="G237" t="e">
            <v>#N/A</v>
          </cell>
          <cell r="H237" t="e">
            <v>#N/A</v>
          </cell>
          <cell r="I237" t="e">
            <v>#N/A</v>
          </cell>
          <cell r="J237" t="e">
            <v>#N/A</v>
          </cell>
          <cell r="K237" t="e">
            <v>#N/A</v>
          </cell>
          <cell r="L237" t="e">
            <v>#N/A</v>
          </cell>
          <cell r="M237" t="e">
            <v>#N/A</v>
          </cell>
          <cell r="N237" t="e">
            <v>#N/A</v>
          </cell>
          <cell r="O237" t="e">
            <v>#N/A</v>
          </cell>
          <cell r="P237">
            <v>60.119996</v>
          </cell>
          <cell r="Q237">
            <v>2.6775289999999998</v>
          </cell>
          <cell r="R237" t="e">
            <v>#N/A</v>
          </cell>
        </row>
        <row r="238">
          <cell r="A238">
            <v>40494</v>
          </cell>
          <cell r="B238">
            <v>40494</v>
          </cell>
          <cell r="C238" t="str">
            <v>Past</v>
          </cell>
          <cell r="D238">
            <v>58.969985999999999</v>
          </cell>
          <cell r="E238" t="e">
            <v>#N/A</v>
          </cell>
          <cell r="F238" t="e">
            <v>#N/A</v>
          </cell>
          <cell r="G238" t="e">
            <v>#N/A</v>
          </cell>
          <cell r="H238" t="e">
            <v>#N/A</v>
          </cell>
          <cell r="I238" t="e">
            <v>#N/A</v>
          </cell>
          <cell r="J238" t="e">
            <v>#N/A</v>
          </cell>
          <cell r="K238" t="e">
            <v>#N/A</v>
          </cell>
          <cell r="L238" t="e">
            <v>#N/A</v>
          </cell>
          <cell r="M238" t="e">
            <v>#N/A</v>
          </cell>
          <cell r="N238" t="e">
            <v>#N/A</v>
          </cell>
          <cell r="O238" t="e">
            <v>#N/A</v>
          </cell>
          <cell r="P238">
            <v>58.969985999999999</v>
          </cell>
          <cell r="Q238">
            <v>3.809323</v>
          </cell>
          <cell r="R238" t="e">
            <v>#N/A</v>
          </cell>
        </row>
        <row r="239">
          <cell r="A239">
            <v>40497</v>
          </cell>
          <cell r="B239">
            <v>40497</v>
          </cell>
          <cell r="C239" t="str">
            <v>Past</v>
          </cell>
          <cell r="D239">
            <v>59.5</v>
          </cell>
          <cell r="E239" t="e">
            <v>#N/A</v>
          </cell>
          <cell r="F239" t="e">
            <v>#N/A</v>
          </cell>
          <cell r="G239" t="e">
            <v>#N/A</v>
          </cell>
          <cell r="H239" t="e">
            <v>#N/A</v>
          </cell>
          <cell r="I239" t="e">
            <v>#N/A</v>
          </cell>
          <cell r="J239" t="e">
            <v>#N/A</v>
          </cell>
          <cell r="K239" t="e">
            <v>#N/A</v>
          </cell>
          <cell r="L239" t="e">
            <v>#N/A</v>
          </cell>
          <cell r="M239" t="e">
            <v>#N/A</v>
          </cell>
          <cell r="N239" t="e">
            <v>#N/A</v>
          </cell>
          <cell r="O239" t="e">
            <v>#N/A</v>
          </cell>
          <cell r="P239">
            <v>59.5</v>
          </cell>
          <cell r="Q239">
            <v>2.1591770000000001</v>
          </cell>
          <cell r="R239" t="e">
            <v>#N/A</v>
          </cell>
        </row>
        <row r="240">
          <cell r="A240">
            <v>40498</v>
          </cell>
          <cell r="B240">
            <v>40498</v>
          </cell>
          <cell r="C240" t="str">
            <v>Past</v>
          </cell>
          <cell r="D240">
            <v>58.919998999999997</v>
          </cell>
          <cell r="E240" t="e">
            <v>#N/A</v>
          </cell>
          <cell r="F240" t="e">
            <v>#N/A</v>
          </cell>
          <cell r="G240" t="e">
            <v>#N/A</v>
          </cell>
          <cell r="H240" t="e">
            <v>#N/A</v>
          </cell>
          <cell r="I240" t="e">
            <v>#N/A</v>
          </cell>
          <cell r="J240" t="e">
            <v>#N/A</v>
          </cell>
          <cell r="K240" t="e">
            <v>#N/A</v>
          </cell>
          <cell r="L240" t="e">
            <v>#N/A</v>
          </cell>
          <cell r="M240" t="e">
            <v>#N/A</v>
          </cell>
          <cell r="N240" t="e">
            <v>#N/A</v>
          </cell>
          <cell r="O240" t="e">
            <v>#N/A</v>
          </cell>
          <cell r="P240">
            <v>58.919998999999997</v>
          </cell>
          <cell r="Q240">
            <v>3.9984609999999998</v>
          </cell>
          <cell r="R240" t="e">
            <v>#N/A</v>
          </cell>
        </row>
        <row r="241">
          <cell r="A241">
            <v>40499</v>
          </cell>
          <cell r="B241">
            <v>40499</v>
          </cell>
          <cell r="C241" t="str">
            <v>Past</v>
          </cell>
          <cell r="D241">
            <v>58.819992999999997</v>
          </cell>
          <cell r="E241" t="e">
            <v>#N/A</v>
          </cell>
          <cell r="F241" t="e">
            <v>#N/A</v>
          </cell>
          <cell r="G241" t="e">
            <v>#N/A</v>
          </cell>
          <cell r="H241" t="e">
            <v>#N/A</v>
          </cell>
          <cell r="I241" t="e">
            <v>#N/A</v>
          </cell>
          <cell r="J241" t="e">
            <v>#N/A</v>
          </cell>
          <cell r="K241" t="e">
            <v>#N/A</v>
          </cell>
          <cell r="L241" t="e">
            <v>#N/A</v>
          </cell>
          <cell r="M241" t="e">
            <v>#N/A</v>
          </cell>
          <cell r="N241" t="e">
            <v>#N/A</v>
          </cell>
          <cell r="O241" t="e">
            <v>#N/A</v>
          </cell>
          <cell r="P241">
            <v>58.819992999999997</v>
          </cell>
          <cell r="Q241">
            <v>5.2016989999999996</v>
          </cell>
          <cell r="R241" t="e">
            <v>#N/A</v>
          </cell>
        </row>
        <row r="242">
          <cell r="A242">
            <v>40500</v>
          </cell>
          <cell r="B242">
            <v>40500</v>
          </cell>
          <cell r="C242" t="str">
            <v>Past</v>
          </cell>
          <cell r="D242">
            <v>60</v>
          </cell>
          <cell r="E242" t="e">
            <v>#N/A</v>
          </cell>
          <cell r="F242" t="e">
            <v>#N/A</v>
          </cell>
          <cell r="G242" t="e">
            <v>#N/A</v>
          </cell>
          <cell r="H242" t="e">
            <v>#N/A</v>
          </cell>
          <cell r="I242" t="e">
            <v>#N/A</v>
          </cell>
          <cell r="J242" t="e">
            <v>#N/A</v>
          </cell>
          <cell r="K242" t="e">
            <v>#N/A</v>
          </cell>
          <cell r="L242" t="e">
            <v>#N/A</v>
          </cell>
          <cell r="M242" t="e">
            <v>#N/A</v>
          </cell>
          <cell r="N242" t="e">
            <v>#N/A</v>
          </cell>
          <cell r="O242" t="e">
            <v>#N/A</v>
          </cell>
          <cell r="P242">
            <v>60</v>
          </cell>
          <cell r="Q242">
            <v>5.9196840000000002</v>
          </cell>
          <cell r="R242" t="e">
            <v>#N/A</v>
          </cell>
        </row>
        <row r="243">
          <cell r="A243">
            <v>40501</v>
          </cell>
          <cell r="B243">
            <v>40501</v>
          </cell>
          <cell r="C243" t="str">
            <v>Past</v>
          </cell>
          <cell r="D243">
            <v>60.619996</v>
          </cell>
          <cell r="E243" t="e">
            <v>#N/A</v>
          </cell>
          <cell r="F243" t="e">
            <v>#N/A</v>
          </cell>
          <cell r="G243" t="e">
            <v>#N/A</v>
          </cell>
          <cell r="H243" t="e">
            <v>#N/A</v>
          </cell>
          <cell r="I243" t="e">
            <v>#N/A</v>
          </cell>
          <cell r="J243" t="e">
            <v>#N/A</v>
          </cell>
          <cell r="K243" t="e">
            <v>#N/A</v>
          </cell>
          <cell r="L243" t="e">
            <v>#N/A</v>
          </cell>
          <cell r="M243" t="e">
            <v>#N/A</v>
          </cell>
          <cell r="N243" t="e">
            <v>#N/A</v>
          </cell>
          <cell r="O243" t="e">
            <v>#N/A</v>
          </cell>
          <cell r="P243">
            <v>60.619996</v>
          </cell>
          <cell r="Q243">
            <v>5.3477030000000001</v>
          </cell>
          <cell r="R243" t="e">
            <v>#N/A</v>
          </cell>
        </row>
        <row r="244">
          <cell r="A244">
            <v>40504</v>
          </cell>
          <cell r="B244">
            <v>40504</v>
          </cell>
          <cell r="C244" t="str">
            <v>Past</v>
          </cell>
          <cell r="D244">
            <v>61</v>
          </cell>
          <cell r="E244" t="e">
            <v>#N/A</v>
          </cell>
          <cell r="F244" t="e">
            <v>#N/A</v>
          </cell>
          <cell r="G244" t="e">
            <v>#N/A</v>
          </cell>
          <cell r="H244" t="e">
            <v>#N/A</v>
          </cell>
          <cell r="I244" t="e">
            <v>#N/A</v>
          </cell>
          <cell r="J244" t="e">
            <v>#N/A</v>
          </cell>
          <cell r="K244" t="e">
            <v>#N/A</v>
          </cell>
          <cell r="L244" t="e">
            <v>#N/A</v>
          </cell>
          <cell r="M244" t="e">
            <v>#N/A</v>
          </cell>
          <cell r="N244" t="e">
            <v>#N/A</v>
          </cell>
          <cell r="O244" t="e">
            <v>#N/A</v>
          </cell>
          <cell r="P244">
            <v>61</v>
          </cell>
          <cell r="Q244">
            <v>3.4346130000000001</v>
          </cell>
          <cell r="R244" t="e">
            <v>#N/A</v>
          </cell>
        </row>
        <row r="245">
          <cell r="A245">
            <v>40505</v>
          </cell>
          <cell r="B245">
            <v>40505</v>
          </cell>
          <cell r="C245" t="str">
            <v>Past</v>
          </cell>
          <cell r="D245">
            <v>60.609985999999999</v>
          </cell>
          <cell r="E245" t="e">
            <v>#N/A</v>
          </cell>
          <cell r="F245" t="e">
            <v>#N/A</v>
          </cell>
          <cell r="G245" t="e">
            <v>#N/A</v>
          </cell>
          <cell r="H245" t="e">
            <v>#N/A</v>
          </cell>
          <cell r="I245" t="e">
            <v>#N/A</v>
          </cell>
          <cell r="J245" t="e">
            <v>#N/A</v>
          </cell>
          <cell r="K245" t="e">
            <v>#N/A</v>
          </cell>
          <cell r="L245" t="e">
            <v>#N/A</v>
          </cell>
          <cell r="M245" t="e">
            <v>#N/A</v>
          </cell>
          <cell r="N245" t="e">
            <v>#N/A</v>
          </cell>
          <cell r="O245" t="e">
            <v>#N/A</v>
          </cell>
          <cell r="P245">
            <v>60.609985999999999</v>
          </cell>
          <cell r="Q245">
            <v>5.9858630000000002</v>
          </cell>
          <cell r="R245" t="e">
            <v>#N/A</v>
          </cell>
        </row>
        <row r="246">
          <cell r="A246">
            <v>40506</v>
          </cell>
          <cell r="B246">
            <v>40506</v>
          </cell>
          <cell r="C246" t="str">
            <v>Past</v>
          </cell>
          <cell r="D246">
            <v>61.009995000000004</v>
          </cell>
          <cell r="E246" t="e">
            <v>#N/A</v>
          </cell>
          <cell r="F246" t="e">
            <v>#N/A</v>
          </cell>
          <cell r="G246" t="e">
            <v>#N/A</v>
          </cell>
          <cell r="H246" t="e">
            <v>#N/A</v>
          </cell>
          <cell r="I246" t="e">
            <v>#N/A</v>
          </cell>
          <cell r="J246" t="e">
            <v>#N/A</v>
          </cell>
          <cell r="K246" t="e">
            <v>#N/A</v>
          </cell>
          <cell r="L246" t="e">
            <v>#N/A</v>
          </cell>
          <cell r="M246" t="e">
            <v>#N/A</v>
          </cell>
          <cell r="N246" t="e">
            <v>#N/A</v>
          </cell>
          <cell r="O246" t="e">
            <v>#N/A</v>
          </cell>
          <cell r="P246">
            <v>61.009995000000004</v>
          </cell>
          <cell r="Q246">
            <v>3.9272320000000001</v>
          </cell>
          <cell r="R246" t="e">
            <v>#N/A</v>
          </cell>
        </row>
        <row r="247">
          <cell r="A247">
            <v>40508</v>
          </cell>
          <cell r="B247">
            <v>40508</v>
          </cell>
          <cell r="C247" t="str">
            <v>Past</v>
          </cell>
          <cell r="D247">
            <v>60.669998999999997</v>
          </cell>
          <cell r="E247" t="e">
            <v>#N/A</v>
          </cell>
          <cell r="F247" t="e">
            <v>#N/A</v>
          </cell>
          <cell r="G247" t="e">
            <v>#N/A</v>
          </cell>
          <cell r="H247" t="e">
            <v>#N/A</v>
          </cell>
          <cell r="I247" t="e">
            <v>#N/A</v>
          </cell>
          <cell r="J247" t="e">
            <v>#N/A</v>
          </cell>
          <cell r="K247" t="e">
            <v>#N/A</v>
          </cell>
          <cell r="L247" t="e">
            <v>#N/A</v>
          </cell>
          <cell r="M247" t="e">
            <v>#N/A</v>
          </cell>
          <cell r="N247" t="e">
            <v>#N/A</v>
          </cell>
          <cell r="O247" t="e">
            <v>#N/A</v>
          </cell>
          <cell r="P247">
            <v>60.669998999999997</v>
          </cell>
          <cell r="Q247">
            <v>1.2244729999999999</v>
          </cell>
          <cell r="R247" t="e">
            <v>#N/A</v>
          </cell>
        </row>
        <row r="248">
          <cell r="A248">
            <v>40511</v>
          </cell>
          <cell r="B248">
            <v>40511</v>
          </cell>
          <cell r="C248" t="str">
            <v>Past</v>
          </cell>
          <cell r="D248">
            <v>60.989991000000003</v>
          </cell>
          <cell r="E248" t="e">
            <v>#N/A</v>
          </cell>
          <cell r="F248" t="e">
            <v>#N/A</v>
          </cell>
          <cell r="G248" t="e">
            <v>#N/A</v>
          </cell>
          <cell r="H248" t="e">
            <v>#N/A</v>
          </cell>
          <cell r="I248" t="e">
            <v>#N/A</v>
          </cell>
          <cell r="J248" t="e">
            <v>#N/A</v>
          </cell>
          <cell r="K248" t="e">
            <v>#N/A</v>
          </cell>
          <cell r="L248" t="e">
            <v>#N/A</v>
          </cell>
          <cell r="M248" t="e">
            <v>#N/A</v>
          </cell>
          <cell r="N248" t="e">
            <v>#N/A</v>
          </cell>
          <cell r="O248" t="e">
            <v>#N/A</v>
          </cell>
          <cell r="P248">
            <v>60.989991000000003</v>
          </cell>
          <cell r="Q248">
            <v>4.440817</v>
          </cell>
          <cell r="R248" t="e">
            <v>#N/A</v>
          </cell>
        </row>
        <row r="249">
          <cell r="A249">
            <v>40512</v>
          </cell>
          <cell r="B249">
            <v>40512</v>
          </cell>
          <cell r="C249" t="str">
            <v>Past</v>
          </cell>
          <cell r="D249">
            <v>61.319992999999997</v>
          </cell>
          <cell r="E249" t="e">
            <v>#N/A</v>
          </cell>
          <cell r="F249" t="e">
            <v>#N/A</v>
          </cell>
          <cell r="G249" t="e">
            <v>#N/A</v>
          </cell>
          <cell r="H249" t="e">
            <v>#N/A</v>
          </cell>
          <cell r="I249" t="e">
            <v>#N/A</v>
          </cell>
          <cell r="J249" t="e">
            <v>#N/A</v>
          </cell>
          <cell r="K249" t="e">
            <v>#N/A</v>
          </cell>
          <cell r="L249" t="e">
            <v>#N/A</v>
          </cell>
          <cell r="M249" t="e">
            <v>#N/A</v>
          </cell>
          <cell r="N249" t="e">
            <v>#N/A</v>
          </cell>
          <cell r="O249" t="e">
            <v>#N/A</v>
          </cell>
          <cell r="P249">
            <v>61.319992999999997</v>
          </cell>
          <cell r="Q249">
            <v>6.0347850000000003</v>
          </cell>
          <cell r="R249" t="e">
            <v>#N/A</v>
          </cell>
        </row>
        <row r="250">
          <cell r="A250">
            <v>40513</v>
          </cell>
          <cell r="B250">
            <v>40513</v>
          </cell>
          <cell r="C250" t="str">
            <v>Past</v>
          </cell>
          <cell r="D250">
            <v>62.549987999999999</v>
          </cell>
          <cell r="E250" t="e">
            <v>#N/A</v>
          </cell>
          <cell r="F250" t="e">
            <v>#N/A</v>
          </cell>
          <cell r="G250" t="e">
            <v>#N/A</v>
          </cell>
          <cell r="H250" t="e">
            <v>#N/A</v>
          </cell>
          <cell r="I250" t="e">
            <v>#N/A</v>
          </cell>
          <cell r="J250" t="e">
            <v>#N/A</v>
          </cell>
          <cell r="K250" t="e">
            <v>#N/A</v>
          </cell>
          <cell r="L250" t="e">
            <v>#N/A</v>
          </cell>
          <cell r="M250" t="e">
            <v>#N/A</v>
          </cell>
          <cell r="N250" t="e">
            <v>#N/A</v>
          </cell>
          <cell r="O250" t="e">
            <v>#N/A</v>
          </cell>
          <cell r="P250">
            <v>62.549987999999999</v>
          </cell>
          <cell r="Q250">
            <v>4.7050939999999999</v>
          </cell>
          <cell r="R250" t="e">
            <v>#N/A</v>
          </cell>
        </row>
        <row r="251">
          <cell r="A251">
            <v>40514</v>
          </cell>
          <cell r="B251">
            <v>40514</v>
          </cell>
          <cell r="C251" t="str">
            <v>Past</v>
          </cell>
          <cell r="D251">
            <v>63.689988</v>
          </cell>
          <cell r="E251" t="e">
            <v>#N/A</v>
          </cell>
          <cell r="F251" t="e">
            <v>#N/A</v>
          </cell>
          <cell r="G251" t="e">
            <v>#N/A</v>
          </cell>
          <cell r="H251" t="e">
            <v>#N/A</v>
          </cell>
          <cell r="I251" t="e">
            <v>#N/A</v>
          </cell>
          <cell r="J251" t="e">
            <v>#N/A</v>
          </cell>
          <cell r="K251" t="e">
            <v>#N/A</v>
          </cell>
          <cell r="L251" t="e">
            <v>#N/A</v>
          </cell>
          <cell r="M251" t="e">
            <v>#N/A</v>
          </cell>
          <cell r="N251" t="e">
            <v>#N/A</v>
          </cell>
          <cell r="O251" t="e">
            <v>#N/A</v>
          </cell>
          <cell r="P251">
            <v>63.689988</v>
          </cell>
          <cell r="Q251">
            <v>4.1453670000000002</v>
          </cell>
          <cell r="R251" t="e">
            <v>#N/A</v>
          </cell>
        </row>
        <row r="252">
          <cell r="A252">
            <v>40515</v>
          </cell>
          <cell r="B252">
            <v>40515</v>
          </cell>
          <cell r="C252" t="str">
            <v>Past</v>
          </cell>
          <cell r="D252">
            <v>63.419998999999997</v>
          </cell>
          <cell r="E252" t="e">
            <v>#N/A</v>
          </cell>
          <cell r="F252" t="e">
            <v>#N/A</v>
          </cell>
          <cell r="G252" t="e">
            <v>#N/A</v>
          </cell>
          <cell r="H252" t="e">
            <v>#N/A</v>
          </cell>
          <cell r="I252" t="e">
            <v>#N/A</v>
          </cell>
          <cell r="J252" t="e">
            <v>#N/A</v>
          </cell>
          <cell r="K252" t="e">
            <v>#N/A</v>
          </cell>
          <cell r="L252" t="e">
            <v>#N/A</v>
          </cell>
          <cell r="M252" t="e">
            <v>#N/A</v>
          </cell>
          <cell r="N252" t="e">
            <v>#N/A</v>
          </cell>
          <cell r="O252" t="e">
            <v>#N/A</v>
          </cell>
          <cell r="P252">
            <v>63.419998999999997</v>
          </cell>
          <cell r="Q252">
            <v>2.7327889999999999</v>
          </cell>
          <cell r="R252" t="e">
            <v>#N/A</v>
          </cell>
        </row>
        <row r="253">
          <cell r="A253">
            <v>40518</v>
          </cell>
          <cell r="B253">
            <v>40518</v>
          </cell>
          <cell r="C253" t="str">
            <v>Past</v>
          </cell>
          <cell r="D253">
            <v>63.109985999999999</v>
          </cell>
          <cell r="E253" t="e">
            <v>#N/A</v>
          </cell>
          <cell r="F253" t="e">
            <v>#N/A</v>
          </cell>
          <cell r="G253" t="e">
            <v>#N/A</v>
          </cell>
          <cell r="H253" t="e">
            <v>#N/A</v>
          </cell>
          <cell r="I253" t="e">
            <v>#N/A</v>
          </cell>
          <cell r="J253" t="e">
            <v>#N/A</v>
          </cell>
          <cell r="K253" t="e">
            <v>#N/A</v>
          </cell>
          <cell r="L253" t="e">
            <v>#N/A</v>
          </cell>
          <cell r="M253" t="e">
            <v>#N/A</v>
          </cell>
          <cell r="N253" t="e">
            <v>#N/A</v>
          </cell>
          <cell r="O253" t="e">
            <v>#N/A</v>
          </cell>
          <cell r="P253">
            <v>63.109985999999999</v>
          </cell>
          <cell r="Q253">
            <v>2.6321940000000001</v>
          </cell>
          <cell r="R253" t="e">
            <v>#N/A</v>
          </cell>
        </row>
        <row r="254">
          <cell r="A254">
            <v>40519</v>
          </cell>
          <cell r="B254">
            <v>40519</v>
          </cell>
          <cell r="C254" t="str">
            <v>Past</v>
          </cell>
          <cell r="D254">
            <v>63.64</v>
          </cell>
          <cell r="E254" t="e">
            <v>#N/A</v>
          </cell>
          <cell r="F254" t="e">
            <v>#N/A</v>
          </cell>
          <cell r="G254" t="e">
            <v>#N/A</v>
          </cell>
          <cell r="H254" t="e">
            <v>#N/A</v>
          </cell>
          <cell r="I254" t="e">
            <v>#N/A</v>
          </cell>
          <cell r="J254" t="e">
            <v>#N/A</v>
          </cell>
          <cell r="K254" t="e">
            <v>#N/A</v>
          </cell>
          <cell r="L254" t="e">
            <v>#N/A</v>
          </cell>
          <cell r="M254" t="e">
            <v>#N/A</v>
          </cell>
          <cell r="N254" t="e">
            <v>#N/A</v>
          </cell>
          <cell r="O254" t="e">
            <v>#N/A</v>
          </cell>
          <cell r="P254">
            <v>63.64</v>
          </cell>
          <cell r="Q254">
            <v>2.6764169999999998</v>
          </cell>
          <cell r="R254" t="e">
            <v>#N/A</v>
          </cell>
        </row>
        <row r="255">
          <cell r="A255">
            <v>40520</v>
          </cell>
          <cell r="B255">
            <v>40520</v>
          </cell>
          <cell r="C255" t="str">
            <v>Past</v>
          </cell>
          <cell r="D255">
            <v>63.849991000000003</v>
          </cell>
          <cell r="E255" t="e">
            <v>#N/A</v>
          </cell>
          <cell r="F255" t="e">
            <v>#N/A</v>
          </cell>
          <cell r="G255" t="e">
            <v>#N/A</v>
          </cell>
          <cell r="H255" t="e">
            <v>#N/A</v>
          </cell>
          <cell r="I255" t="e">
            <v>#N/A</v>
          </cell>
          <cell r="J255" t="e">
            <v>#N/A</v>
          </cell>
          <cell r="K255" t="e">
            <v>#N/A</v>
          </cell>
          <cell r="L255" t="e">
            <v>#N/A</v>
          </cell>
          <cell r="M255" t="e">
            <v>#N/A</v>
          </cell>
          <cell r="N255" t="e">
            <v>#N/A</v>
          </cell>
          <cell r="O255" t="e">
            <v>#N/A</v>
          </cell>
          <cell r="P255">
            <v>63.849991000000003</v>
          </cell>
          <cell r="Q255">
            <v>1.8783570000000001</v>
          </cell>
          <cell r="R255" t="e">
            <v>#N/A</v>
          </cell>
        </row>
        <row r="256">
          <cell r="A256">
            <v>40521</v>
          </cell>
          <cell r="B256">
            <v>40521</v>
          </cell>
          <cell r="C256" t="str">
            <v>Past</v>
          </cell>
          <cell r="D256">
            <v>63.709992</v>
          </cell>
          <cell r="E256" t="e">
            <v>#N/A</v>
          </cell>
          <cell r="F256" t="e">
            <v>#N/A</v>
          </cell>
          <cell r="G256" t="e">
            <v>#N/A</v>
          </cell>
          <cell r="H256" t="e">
            <v>#N/A</v>
          </cell>
          <cell r="I256" t="e">
            <v>#N/A</v>
          </cell>
          <cell r="J256" t="e">
            <v>#N/A</v>
          </cell>
          <cell r="K256" t="e">
            <v>#N/A</v>
          </cell>
          <cell r="L256" t="e">
            <v>#N/A</v>
          </cell>
          <cell r="M256" t="e">
            <v>#N/A</v>
          </cell>
          <cell r="N256" t="e">
            <v>#N/A</v>
          </cell>
          <cell r="O256" t="e">
            <v>#N/A</v>
          </cell>
          <cell r="P256">
            <v>63.709992</v>
          </cell>
          <cell r="Q256">
            <v>1.972126</v>
          </cell>
          <cell r="R256" t="e">
            <v>#N/A</v>
          </cell>
        </row>
        <row r="257">
          <cell r="A257">
            <v>40522</v>
          </cell>
          <cell r="B257">
            <v>40522</v>
          </cell>
          <cell r="C257" t="str">
            <v>Past</v>
          </cell>
          <cell r="D257">
            <v>63.729996</v>
          </cell>
          <cell r="E257" t="e">
            <v>#N/A</v>
          </cell>
          <cell r="F257" t="e">
            <v>#N/A</v>
          </cell>
          <cell r="G257" t="e">
            <v>#N/A</v>
          </cell>
          <cell r="H257" t="e">
            <v>#N/A</v>
          </cell>
          <cell r="I257" t="e">
            <v>#N/A</v>
          </cell>
          <cell r="J257" t="e">
            <v>#N/A</v>
          </cell>
          <cell r="K257" t="e">
            <v>#N/A</v>
          </cell>
          <cell r="L257" t="e">
            <v>#N/A</v>
          </cell>
          <cell r="M257" t="e">
            <v>#N/A</v>
          </cell>
          <cell r="N257" t="e">
            <v>#N/A</v>
          </cell>
          <cell r="O257" t="e">
            <v>#N/A</v>
          </cell>
          <cell r="P257">
            <v>63.729996</v>
          </cell>
          <cell r="Q257">
            <v>2.775874</v>
          </cell>
          <cell r="R257" t="e">
            <v>#N/A</v>
          </cell>
        </row>
        <row r="258">
          <cell r="A258">
            <v>40525</v>
          </cell>
          <cell r="B258">
            <v>40525</v>
          </cell>
          <cell r="C258" t="str">
            <v>Past</v>
          </cell>
          <cell r="D258">
            <v>63.109985999999999</v>
          </cell>
          <cell r="E258" t="e">
            <v>#N/A</v>
          </cell>
          <cell r="F258" t="e">
            <v>#N/A</v>
          </cell>
          <cell r="G258" t="e">
            <v>#N/A</v>
          </cell>
          <cell r="H258" t="e">
            <v>#N/A</v>
          </cell>
          <cell r="I258" t="e">
            <v>#N/A</v>
          </cell>
          <cell r="J258" t="e">
            <v>#N/A</v>
          </cell>
          <cell r="K258" t="e">
            <v>#N/A</v>
          </cell>
          <cell r="L258" t="e">
            <v>#N/A</v>
          </cell>
          <cell r="M258" t="e">
            <v>#N/A</v>
          </cell>
          <cell r="N258" t="e">
            <v>#N/A</v>
          </cell>
          <cell r="O258" t="e">
            <v>#N/A</v>
          </cell>
          <cell r="P258">
            <v>63.109985999999999</v>
          </cell>
          <cell r="Q258">
            <v>3.2066859999999999</v>
          </cell>
          <cell r="R258" t="e">
            <v>#N/A</v>
          </cell>
        </row>
        <row r="259">
          <cell r="A259">
            <v>40526</v>
          </cell>
          <cell r="B259">
            <v>40526</v>
          </cell>
          <cell r="C259" t="str">
            <v>Past</v>
          </cell>
          <cell r="D259">
            <v>63.659989000000003</v>
          </cell>
          <cell r="E259" t="e">
            <v>#N/A</v>
          </cell>
          <cell r="F259" t="e">
            <v>#N/A</v>
          </cell>
          <cell r="G259" t="e">
            <v>#N/A</v>
          </cell>
          <cell r="H259" t="e">
            <v>#N/A</v>
          </cell>
          <cell r="I259" t="e">
            <v>#N/A</v>
          </cell>
          <cell r="J259" t="e">
            <v>#N/A</v>
          </cell>
          <cell r="K259" t="e">
            <v>#N/A</v>
          </cell>
          <cell r="L259" t="e">
            <v>#N/A</v>
          </cell>
          <cell r="M259" t="e">
            <v>#N/A</v>
          </cell>
          <cell r="N259" t="e">
            <v>#N/A</v>
          </cell>
          <cell r="O259" t="e">
            <v>#N/A</v>
          </cell>
          <cell r="P259">
            <v>63.659989000000003</v>
          </cell>
          <cell r="Q259">
            <v>2.5440330000000002</v>
          </cell>
          <cell r="R259" t="e">
            <v>#N/A</v>
          </cell>
        </row>
        <row r="260">
          <cell r="A260">
            <v>40527</v>
          </cell>
          <cell r="B260">
            <v>40527</v>
          </cell>
          <cell r="C260" t="str">
            <v>Past</v>
          </cell>
          <cell r="D260">
            <v>62.51999</v>
          </cell>
          <cell r="E260" t="e">
            <v>#N/A</v>
          </cell>
          <cell r="F260" t="e">
            <v>#N/A</v>
          </cell>
          <cell r="G260" t="e">
            <v>#N/A</v>
          </cell>
          <cell r="H260" t="e">
            <v>#N/A</v>
          </cell>
          <cell r="I260" t="e">
            <v>#N/A</v>
          </cell>
          <cell r="J260" t="e">
            <v>#N/A</v>
          </cell>
          <cell r="K260" t="e">
            <v>#N/A</v>
          </cell>
          <cell r="L260" t="e">
            <v>#N/A</v>
          </cell>
          <cell r="M260" t="e">
            <v>#N/A</v>
          </cell>
          <cell r="N260" t="e">
            <v>#N/A</v>
          </cell>
          <cell r="O260" t="e">
            <v>#N/A</v>
          </cell>
          <cell r="P260">
            <v>62.51999</v>
          </cell>
          <cell r="Q260">
            <v>4.8265039999999999</v>
          </cell>
          <cell r="R260" t="e">
            <v>#N/A</v>
          </cell>
        </row>
        <row r="261">
          <cell r="A261">
            <v>40528</v>
          </cell>
          <cell r="B261">
            <v>40528</v>
          </cell>
          <cell r="C261" t="str">
            <v>Past</v>
          </cell>
          <cell r="D261">
            <v>62.209992</v>
          </cell>
          <cell r="E261" t="e">
            <v>#N/A</v>
          </cell>
          <cell r="F261" t="e">
            <v>#N/A</v>
          </cell>
          <cell r="G261" t="e">
            <v>#N/A</v>
          </cell>
          <cell r="H261" t="e">
            <v>#N/A</v>
          </cell>
          <cell r="I261" t="e">
            <v>#N/A</v>
          </cell>
          <cell r="J261" t="e">
            <v>#N/A</v>
          </cell>
          <cell r="K261" t="e">
            <v>#N/A</v>
          </cell>
          <cell r="L261" t="e">
            <v>#N/A</v>
          </cell>
          <cell r="M261" t="e">
            <v>#N/A</v>
          </cell>
          <cell r="N261" t="e">
            <v>#N/A</v>
          </cell>
          <cell r="O261" t="e">
            <v>#N/A</v>
          </cell>
          <cell r="P261">
            <v>62.209992</v>
          </cell>
          <cell r="Q261">
            <v>4.6285699999999999</v>
          </cell>
          <cell r="R261" t="e">
            <v>#N/A</v>
          </cell>
        </row>
        <row r="262">
          <cell r="A262">
            <v>40529</v>
          </cell>
          <cell r="B262">
            <v>40529</v>
          </cell>
          <cell r="C262" t="str">
            <v>Past</v>
          </cell>
          <cell r="D262">
            <v>62.149994</v>
          </cell>
          <cell r="E262" t="e">
            <v>#N/A</v>
          </cell>
          <cell r="F262" t="e">
            <v>#N/A</v>
          </cell>
          <cell r="G262" t="e">
            <v>#N/A</v>
          </cell>
          <cell r="H262" t="e">
            <v>#N/A</v>
          </cell>
          <cell r="I262" t="e">
            <v>#N/A</v>
          </cell>
          <cell r="J262" t="e">
            <v>#N/A</v>
          </cell>
          <cell r="K262" t="e">
            <v>#N/A</v>
          </cell>
          <cell r="L262" t="e">
            <v>#N/A</v>
          </cell>
          <cell r="M262" t="e">
            <v>#N/A</v>
          </cell>
          <cell r="N262" t="e">
            <v>#N/A</v>
          </cell>
          <cell r="O262" t="e">
            <v>#N/A</v>
          </cell>
          <cell r="P262">
            <v>62.149994</v>
          </cell>
          <cell r="Q262">
            <v>5.9287419999999997</v>
          </cell>
          <cell r="R262" t="e">
            <v>#N/A</v>
          </cell>
        </row>
        <row r="263">
          <cell r="A263">
            <v>40532</v>
          </cell>
          <cell r="B263">
            <v>40532</v>
          </cell>
          <cell r="C263" t="str">
            <v>Past</v>
          </cell>
          <cell r="D263">
            <v>61.899994</v>
          </cell>
          <cell r="E263" t="e">
            <v>#N/A</v>
          </cell>
          <cell r="F263" t="e">
            <v>#N/A</v>
          </cell>
          <cell r="G263" t="e">
            <v>#N/A</v>
          </cell>
          <cell r="H263" t="e">
            <v>#N/A</v>
          </cell>
          <cell r="I263" t="e">
            <v>#N/A</v>
          </cell>
          <cell r="J263" t="e">
            <v>#N/A</v>
          </cell>
          <cell r="K263" t="e">
            <v>#N/A</v>
          </cell>
          <cell r="L263" t="e">
            <v>#N/A</v>
          </cell>
          <cell r="M263" t="e">
            <v>#N/A</v>
          </cell>
          <cell r="N263" t="e">
            <v>#N/A</v>
          </cell>
          <cell r="O263" t="e">
            <v>#N/A</v>
          </cell>
          <cell r="P263">
            <v>61.899994</v>
          </cell>
          <cell r="Q263">
            <v>3.8873060000000002</v>
          </cell>
          <cell r="R263" t="e">
            <v>#N/A</v>
          </cell>
        </row>
        <row r="264">
          <cell r="A264">
            <v>40533</v>
          </cell>
          <cell r="B264">
            <v>40533</v>
          </cell>
          <cell r="C264" t="str">
            <v>Past</v>
          </cell>
          <cell r="D264">
            <v>61.839996999999997</v>
          </cell>
          <cell r="E264" t="e">
            <v>#N/A</v>
          </cell>
          <cell r="F264" t="e">
            <v>#N/A</v>
          </cell>
          <cell r="G264" t="e">
            <v>#N/A</v>
          </cell>
          <cell r="H264" t="e">
            <v>#N/A</v>
          </cell>
          <cell r="I264" t="e">
            <v>#N/A</v>
          </cell>
          <cell r="J264" t="e">
            <v>#N/A</v>
          </cell>
          <cell r="K264" t="e">
            <v>#N/A</v>
          </cell>
          <cell r="L264" t="e">
            <v>#N/A</v>
          </cell>
          <cell r="M264" t="e">
            <v>#N/A</v>
          </cell>
          <cell r="N264" t="e">
            <v>#N/A</v>
          </cell>
          <cell r="O264" t="e">
            <v>#N/A</v>
          </cell>
          <cell r="P264">
            <v>61.839996999999997</v>
          </cell>
          <cell r="Q264">
            <v>3.1588660000000002</v>
          </cell>
          <cell r="R264" t="e">
            <v>#N/A</v>
          </cell>
        </row>
        <row r="265">
          <cell r="A265">
            <v>40534</v>
          </cell>
          <cell r="B265">
            <v>40534</v>
          </cell>
          <cell r="C265" t="str">
            <v>Past</v>
          </cell>
          <cell r="D265">
            <v>61.669998999999997</v>
          </cell>
          <cell r="E265" t="e">
            <v>#N/A</v>
          </cell>
          <cell r="F265" t="e">
            <v>#N/A</v>
          </cell>
          <cell r="G265" t="e">
            <v>#N/A</v>
          </cell>
          <cell r="H265" t="e">
            <v>#N/A</v>
          </cell>
          <cell r="I265" t="e">
            <v>#N/A</v>
          </cell>
          <cell r="J265" t="e">
            <v>#N/A</v>
          </cell>
          <cell r="K265" t="e">
            <v>#N/A</v>
          </cell>
          <cell r="L265" t="e">
            <v>#N/A</v>
          </cell>
          <cell r="M265" t="e">
            <v>#N/A</v>
          </cell>
          <cell r="N265" t="e">
            <v>#N/A</v>
          </cell>
          <cell r="O265" t="e">
            <v>#N/A</v>
          </cell>
          <cell r="P265">
            <v>61.669998999999997</v>
          </cell>
          <cell r="Q265">
            <v>2.0869080000000002</v>
          </cell>
          <cell r="R265" t="e">
            <v>#N/A</v>
          </cell>
        </row>
        <row r="266">
          <cell r="A266">
            <v>40535</v>
          </cell>
          <cell r="B266">
            <v>40535</v>
          </cell>
          <cell r="C266" t="str">
            <v>Past</v>
          </cell>
          <cell r="D266">
            <v>61.369996</v>
          </cell>
          <cell r="E266" t="e">
            <v>#N/A</v>
          </cell>
          <cell r="F266" t="e">
            <v>#N/A</v>
          </cell>
          <cell r="G266" t="e">
            <v>#N/A</v>
          </cell>
          <cell r="H266" t="e">
            <v>#N/A</v>
          </cell>
          <cell r="I266" t="e">
            <v>#N/A</v>
          </cell>
          <cell r="J266" t="e">
            <v>#N/A</v>
          </cell>
          <cell r="K266" t="e">
            <v>#N/A</v>
          </cell>
          <cell r="L266" t="e">
            <v>#N/A</v>
          </cell>
          <cell r="M266" t="e">
            <v>#N/A</v>
          </cell>
          <cell r="N266" t="e">
            <v>#N/A</v>
          </cell>
          <cell r="O266" t="e">
            <v>#N/A</v>
          </cell>
          <cell r="P266">
            <v>61.369996</v>
          </cell>
          <cell r="Q266">
            <v>1.386898</v>
          </cell>
          <cell r="R266" t="e">
            <v>#N/A</v>
          </cell>
        </row>
        <row r="267">
          <cell r="A267">
            <v>40539</v>
          </cell>
          <cell r="B267">
            <v>40539</v>
          </cell>
          <cell r="C267" t="str">
            <v>Past</v>
          </cell>
          <cell r="D267">
            <v>61.279998999999997</v>
          </cell>
          <cell r="E267" t="e">
            <v>#N/A</v>
          </cell>
          <cell r="F267" t="e">
            <v>#N/A</v>
          </cell>
          <cell r="G267" t="e">
            <v>#N/A</v>
          </cell>
          <cell r="H267" t="e">
            <v>#N/A</v>
          </cell>
          <cell r="I267" t="e">
            <v>#N/A</v>
          </cell>
          <cell r="J267" t="e">
            <v>#N/A</v>
          </cell>
          <cell r="K267" t="e">
            <v>#N/A</v>
          </cell>
          <cell r="L267" t="e">
            <v>#N/A</v>
          </cell>
          <cell r="M267" t="e">
            <v>#N/A</v>
          </cell>
          <cell r="N267" t="e">
            <v>#N/A</v>
          </cell>
          <cell r="O267" t="e">
            <v>#N/A</v>
          </cell>
          <cell r="P267">
            <v>61.279998999999997</v>
          </cell>
          <cell r="Q267">
            <v>2.2579280000000002</v>
          </cell>
          <cell r="R267" t="e">
            <v>#N/A</v>
          </cell>
        </row>
        <row r="268">
          <cell r="A268">
            <v>40540</v>
          </cell>
          <cell r="B268">
            <v>40540</v>
          </cell>
          <cell r="C268" t="str">
            <v>Past</v>
          </cell>
          <cell r="D268">
            <v>61.509995000000004</v>
          </cell>
          <cell r="E268" t="e">
            <v>#N/A</v>
          </cell>
          <cell r="F268" t="e">
            <v>#N/A</v>
          </cell>
          <cell r="G268" t="e">
            <v>#N/A</v>
          </cell>
          <cell r="H268" t="e">
            <v>#N/A</v>
          </cell>
          <cell r="I268" t="e">
            <v>#N/A</v>
          </cell>
          <cell r="J268" t="e">
            <v>#N/A</v>
          </cell>
          <cell r="K268" t="e">
            <v>#N/A</v>
          </cell>
          <cell r="L268" t="e">
            <v>#N/A</v>
          </cell>
          <cell r="M268" t="e">
            <v>#N/A</v>
          </cell>
          <cell r="N268" t="e">
            <v>#N/A</v>
          </cell>
          <cell r="O268" t="e">
            <v>#N/A</v>
          </cell>
          <cell r="P268">
            <v>61.509995000000004</v>
          </cell>
          <cell r="Q268">
            <v>2.1468600000000002</v>
          </cell>
          <cell r="R268" t="e">
            <v>#N/A</v>
          </cell>
        </row>
        <row r="269">
          <cell r="A269">
            <v>40541</v>
          </cell>
          <cell r="B269">
            <v>40541</v>
          </cell>
          <cell r="C269" t="str">
            <v>Past</v>
          </cell>
          <cell r="D269">
            <v>61.669998999999997</v>
          </cell>
          <cell r="E269" t="e">
            <v>#N/A</v>
          </cell>
          <cell r="F269" t="e">
            <v>#N/A</v>
          </cell>
          <cell r="G269" t="e">
            <v>#N/A</v>
          </cell>
          <cell r="H269" t="e">
            <v>#N/A</v>
          </cell>
          <cell r="I269" t="e">
            <v>#N/A</v>
          </cell>
          <cell r="J269" t="e">
            <v>#N/A</v>
          </cell>
          <cell r="K269" t="e">
            <v>#N/A</v>
          </cell>
          <cell r="L269" t="e">
            <v>#N/A</v>
          </cell>
          <cell r="M269" t="e">
            <v>#N/A</v>
          </cell>
          <cell r="N269" t="e">
            <v>#N/A</v>
          </cell>
          <cell r="O269" t="e">
            <v>#N/A</v>
          </cell>
          <cell r="P269">
            <v>61.669998999999997</v>
          </cell>
          <cell r="Q269">
            <v>1.96312</v>
          </cell>
          <cell r="R269" t="e">
            <v>#N/A</v>
          </cell>
        </row>
        <row r="270">
          <cell r="A270">
            <v>40542</v>
          </cell>
          <cell r="B270">
            <v>40542</v>
          </cell>
          <cell r="C270" t="str">
            <v>Past</v>
          </cell>
          <cell r="D270">
            <v>61.75</v>
          </cell>
          <cell r="E270" t="e">
            <v>#N/A</v>
          </cell>
          <cell r="F270" t="e">
            <v>#N/A</v>
          </cell>
          <cell r="G270" t="e">
            <v>#N/A</v>
          </cell>
          <cell r="H270" t="e">
            <v>#N/A</v>
          </cell>
          <cell r="I270" t="e">
            <v>#N/A</v>
          </cell>
          <cell r="J270" t="e">
            <v>#N/A</v>
          </cell>
          <cell r="K270" t="e">
            <v>#N/A</v>
          </cell>
          <cell r="L270" t="e">
            <v>#N/A</v>
          </cell>
          <cell r="M270" t="e">
            <v>#N/A</v>
          </cell>
          <cell r="N270" t="e">
            <v>#N/A</v>
          </cell>
          <cell r="O270" t="e">
            <v>#N/A</v>
          </cell>
          <cell r="P270">
            <v>61.75</v>
          </cell>
          <cell r="Q270">
            <v>1.624474</v>
          </cell>
          <cell r="R270" t="e">
            <v>#N/A</v>
          </cell>
        </row>
        <row r="271">
          <cell r="A271">
            <v>40543</v>
          </cell>
          <cell r="B271">
            <v>40543</v>
          </cell>
          <cell r="C271" t="str">
            <v>Past</v>
          </cell>
          <cell r="D271">
            <v>61.26999</v>
          </cell>
          <cell r="E271" t="e">
            <v>#N/A</v>
          </cell>
          <cell r="F271" t="e">
            <v>#N/A</v>
          </cell>
          <cell r="G271" t="e">
            <v>#N/A</v>
          </cell>
          <cell r="H271" t="e">
            <v>#N/A</v>
          </cell>
          <cell r="I271" t="e">
            <v>#N/A</v>
          </cell>
          <cell r="J271" t="e">
            <v>#N/A</v>
          </cell>
          <cell r="K271" t="e">
            <v>#N/A</v>
          </cell>
          <cell r="L271" t="e">
            <v>#N/A</v>
          </cell>
          <cell r="M271" t="e">
            <v>#N/A</v>
          </cell>
          <cell r="N271" t="e">
            <v>#N/A</v>
          </cell>
          <cell r="O271" t="e">
            <v>#N/A</v>
          </cell>
          <cell r="P271">
            <v>61.26999</v>
          </cell>
          <cell r="Q271">
            <v>2.5291790000000001</v>
          </cell>
          <cell r="R271" t="e">
            <v>#N/A</v>
          </cell>
        </row>
        <row r="272">
          <cell r="A272">
            <v>40546</v>
          </cell>
          <cell r="B272">
            <v>40546</v>
          </cell>
          <cell r="C272" t="str">
            <v>Past</v>
          </cell>
          <cell r="D272">
            <v>61.629989999999999</v>
          </cell>
          <cell r="E272" t="e">
            <v>#N/A</v>
          </cell>
          <cell r="F272" t="e">
            <v>#N/A</v>
          </cell>
          <cell r="G272" t="e">
            <v>#N/A</v>
          </cell>
          <cell r="H272" t="e">
            <v>#N/A</v>
          </cell>
          <cell r="I272" t="e">
            <v>#N/A</v>
          </cell>
          <cell r="J272" t="e">
            <v>#N/A</v>
          </cell>
          <cell r="K272" t="e">
            <v>#N/A</v>
          </cell>
          <cell r="L272" t="e">
            <v>#N/A</v>
          </cell>
          <cell r="M272" t="e">
            <v>#N/A</v>
          </cell>
          <cell r="N272" t="e">
            <v>#N/A</v>
          </cell>
          <cell r="O272" t="e">
            <v>#N/A</v>
          </cell>
          <cell r="P272">
            <v>61.629989999999999</v>
          </cell>
          <cell r="Q272">
            <v>2.8079589999999999</v>
          </cell>
          <cell r="R272" t="e">
            <v>#N/A</v>
          </cell>
        </row>
        <row r="273">
          <cell r="A273">
            <v>40547</v>
          </cell>
          <cell r="B273">
            <v>40547</v>
          </cell>
          <cell r="C273" t="str">
            <v>Past</v>
          </cell>
          <cell r="D273">
            <v>61.759995000000004</v>
          </cell>
          <cell r="E273" t="e">
            <v>#N/A</v>
          </cell>
          <cell r="F273" t="e">
            <v>#N/A</v>
          </cell>
          <cell r="G273" t="e">
            <v>#N/A</v>
          </cell>
          <cell r="H273" t="e">
            <v>#N/A</v>
          </cell>
          <cell r="I273" t="e">
            <v>#N/A</v>
          </cell>
          <cell r="J273" t="e">
            <v>#N/A</v>
          </cell>
          <cell r="K273" t="e">
            <v>#N/A</v>
          </cell>
          <cell r="L273" t="e">
            <v>#N/A</v>
          </cell>
          <cell r="M273" t="e">
            <v>#N/A</v>
          </cell>
          <cell r="N273" t="e">
            <v>#N/A</v>
          </cell>
          <cell r="O273" t="e">
            <v>#N/A</v>
          </cell>
          <cell r="P273">
            <v>61.759995000000004</v>
          </cell>
          <cell r="Q273">
            <v>3.0168569999999999</v>
          </cell>
          <cell r="R273" t="e">
            <v>#N/A</v>
          </cell>
        </row>
        <row r="274">
          <cell r="A274">
            <v>40548</v>
          </cell>
          <cell r="B274">
            <v>40548</v>
          </cell>
          <cell r="C274" t="str">
            <v>Past</v>
          </cell>
          <cell r="D274">
            <v>61.26999</v>
          </cell>
          <cell r="E274" t="e">
            <v>#N/A</v>
          </cell>
          <cell r="F274" t="e">
            <v>#N/A</v>
          </cell>
          <cell r="G274" t="e">
            <v>#N/A</v>
          </cell>
          <cell r="H274" t="e">
            <v>#N/A</v>
          </cell>
          <cell r="I274" t="e">
            <v>#N/A</v>
          </cell>
          <cell r="J274" t="e">
            <v>#N/A</v>
          </cell>
          <cell r="K274" t="e">
            <v>#N/A</v>
          </cell>
          <cell r="L274" t="e">
            <v>#N/A</v>
          </cell>
          <cell r="M274" t="e">
            <v>#N/A</v>
          </cell>
          <cell r="N274" t="e">
            <v>#N/A</v>
          </cell>
          <cell r="O274" t="e">
            <v>#N/A</v>
          </cell>
          <cell r="P274">
            <v>61.26999</v>
          </cell>
          <cell r="Q274">
            <v>2.749171</v>
          </cell>
          <cell r="R274" t="e">
            <v>#N/A</v>
          </cell>
        </row>
        <row r="275">
          <cell r="A275">
            <v>40549</v>
          </cell>
          <cell r="B275">
            <v>40549</v>
          </cell>
          <cell r="C275" t="str">
            <v>Past</v>
          </cell>
          <cell r="D275">
            <v>61.909989000000003</v>
          </cell>
          <cell r="E275" t="e">
            <v>#N/A</v>
          </cell>
          <cell r="F275" t="e">
            <v>#N/A</v>
          </cell>
          <cell r="G275" t="e">
            <v>#N/A</v>
          </cell>
          <cell r="H275" t="e">
            <v>#N/A</v>
          </cell>
          <cell r="I275" t="e">
            <v>#N/A</v>
          </cell>
          <cell r="J275" t="e">
            <v>#N/A</v>
          </cell>
          <cell r="K275" t="e">
            <v>#N/A</v>
          </cell>
          <cell r="L275" t="e">
            <v>#N/A</v>
          </cell>
          <cell r="M275" t="e">
            <v>#N/A</v>
          </cell>
          <cell r="N275" t="e">
            <v>#N/A</v>
          </cell>
          <cell r="O275" t="e">
            <v>#N/A</v>
          </cell>
          <cell r="P275">
            <v>61.909989000000003</v>
          </cell>
          <cell r="Q275">
            <v>3.0836389999999998</v>
          </cell>
          <cell r="R275" t="e">
            <v>#N/A</v>
          </cell>
        </row>
        <row r="276">
          <cell r="A276">
            <v>40550</v>
          </cell>
          <cell r="B276">
            <v>40550</v>
          </cell>
          <cell r="C276" t="str">
            <v>Past</v>
          </cell>
          <cell r="D276">
            <v>61.959992</v>
          </cell>
          <cell r="E276" t="e">
            <v>#N/A</v>
          </cell>
          <cell r="F276" t="e">
            <v>#N/A</v>
          </cell>
          <cell r="G276" t="e">
            <v>#N/A</v>
          </cell>
          <cell r="H276" t="e">
            <v>#N/A</v>
          </cell>
          <cell r="I276" t="e">
            <v>#N/A</v>
          </cell>
          <cell r="J276" t="e">
            <v>#N/A</v>
          </cell>
          <cell r="K276" t="e">
            <v>#N/A</v>
          </cell>
          <cell r="L276" t="e">
            <v>#N/A</v>
          </cell>
          <cell r="M276" t="e">
            <v>#N/A</v>
          </cell>
          <cell r="N276" t="e">
            <v>#N/A</v>
          </cell>
          <cell r="O276" t="e">
            <v>#N/A</v>
          </cell>
          <cell r="P276">
            <v>61.959992</v>
          </cell>
          <cell r="Q276">
            <v>2.9706999999999999</v>
          </cell>
          <cell r="R276" t="e">
            <v>#N/A</v>
          </cell>
        </row>
        <row r="277">
          <cell r="A277">
            <v>40553</v>
          </cell>
          <cell r="B277">
            <v>40553</v>
          </cell>
          <cell r="C277" t="str">
            <v>Past</v>
          </cell>
          <cell r="D277">
            <v>63.01999</v>
          </cell>
          <cell r="E277" t="e">
            <v>#N/A</v>
          </cell>
          <cell r="F277" t="e">
            <v>#N/A</v>
          </cell>
          <cell r="G277" t="e">
            <v>#N/A</v>
          </cell>
          <cell r="H277" t="e">
            <v>#N/A</v>
          </cell>
          <cell r="I277" t="e">
            <v>#N/A</v>
          </cell>
          <cell r="J277" t="e">
            <v>#N/A</v>
          </cell>
          <cell r="K277" t="e">
            <v>#N/A</v>
          </cell>
          <cell r="L277" t="e">
            <v>#N/A</v>
          </cell>
          <cell r="M277" t="e">
            <v>#N/A</v>
          </cell>
          <cell r="N277" t="e">
            <v>#N/A</v>
          </cell>
          <cell r="O277" t="e">
            <v>#N/A</v>
          </cell>
          <cell r="P277">
            <v>63.01999</v>
          </cell>
          <cell r="Q277">
            <v>2.9352619999999998</v>
          </cell>
          <cell r="R277" t="e">
            <v>#N/A</v>
          </cell>
        </row>
        <row r="278">
          <cell r="A278">
            <v>40554</v>
          </cell>
          <cell r="B278">
            <v>40554</v>
          </cell>
          <cell r="C278" t="str">
            <v>Past</v>
          </cell>
          <cell r="D278">
            <v>64</v>
          </cell>
          <cell r="E278" t="e">
            <v>#N/A</v>
          </cell>
          <cell r="F278" t="e">
            <v>#N/A</v>
          </cell>
          <cell r="G278" t="e">
            <v>#N/A</v>
          </cell>
          <cell r="H278" t="e">
            <v>#N/A</v>
          </cell>
          <cell r="I278" t="e">
            <v>#N/A</v>
          </cell>
          <cell r="J278" t="e">
            <v>#N/A</v>
          </cell>
          <cell r="K278" t="e">
            <v>#N/A</v>
          </cell>
          <cell r="L278" t="e">
            <v>#N/A</v>
          </cell>
          <cell r="M278" t="e">
            <v>#N/A</v>
          </cell>
          <cell r="N278" t="e">
            <v>#N/A</v>
          </cell>
          <cell r="O278" t="e">
            <v>#N/A</v>
          </cell>
          <cell r="P278">
            <v>64</v>
          </cell>
          <cell r="Q278">
            <v>3.4072399999999998</v>
          </cell>
          <cell r="R278" t="e">
            <v>#N/A</v>
          </cell>
        </row>
        <row r="279">
          <cell r="A279">
            <v>40555</v>
          </cell>
          <cell r="B279">
            <v>40555</v>
          </cell>
          <cell r="C279" t="str">
            <v>Past</v>
          </cell>
          <cell r="D279">
            <v>64.469986000000006</v>
          </cell>
          <cell r="E279" t="e">
            <v>#N/A</v>
          </cell>
          <cell r="F279" t="e">
            <v>#N/A</v>
          </cell>
          <cell r="G279" t="e">
            <v>#N/A</v>
          </cell>
          <cell r="H279" t="e">
            <v>#N/A</v>
          </cell>
          <cell r="I279" t="e">
            <v>#N/A</v>
          </cell>
          <cell r="J279" t="e">
            <v>#N/A</v>
          </cell>
          <cell r="K279" t="e">
            <v>#N/A</v>
          </cell>
          <cell r="L279" t="e">
            <v>#N/A</v>
          </cell>
          <cell r="M279" t="e">
            <v>#N/A</v>
          </cell>
          <cell r="N279" t="e">
            <v>#N/A</v>
          </cell>
          <cell r="O279" t="e">
            <v>#N/A</v>
          </cell>
          <cell r="P279">
            <v>64.469986000000006</v>
          </cell>
          <cell r="Q279">
            <v>2.0237400000000001</v>
          </cell>
          <cell r="R279" t="e">
            <v>#N/A</v>
          </cell>
        </row>
        <row r="280">
          <cell r="A280">
            <v>40556</v>
          </cell>
          <cell r="B280">
            <v>40556</v>
          </cell>
          <cell r="C280" t="str">
            <v>Past</v>
          </cell>
          <cell r="D280">
            <v>64.939988</v>
          </cell>
          <cell r="E280" t="e">
            <v>#N/A</v>
          </cell>
          <cell r="F280" t="e">
            <v>#N/A</v>
          </cell>
          <cell r="G280" t="e">
            <v>#N/A</v>
          </cell>
          <cell r="H280" t="e">
            <v>#N/A</v>
          </cell>
          <cell r="I280" t="e">
            <v>#N/A</v>
          </cell>
          <cell r="J280" t="e">
            <v>#N/A</v>
          </cell>
          <cell r="K280" t="e">
            <v>#N/A</v>
          </cell>
          <cell r="L280" t="e">
            <v>#N/A</v>
          </cell>
          <cell r="M280" t="e">
            <v>#N/A</v>
          </cell>
          <cell r="N280" t="e">
            <v>#N/A</v>
          </cell>
          <cell r="O280" t="e">
            <v>#N/A</v>
          </cell>
          <cell r="P280">
            <v>64.939988</v>
          </cell>
          <cell r="Q280">
            <v>3.9886949999999999</v>
          </cell>
          <cell r="R280" t="e">
            <v>#N/A</v>
          </cell>
        </row>
        <row r="281">
          <cell r="A281">
            <v>40557</v>
          </cell>
          <cell r="B281">
            <v>40557</v>
          </cell>
          <cell r="C281" t="str">
            <v>Past</v>
          </cell>
          <cell r="D281">
            <v>64.89</v>
          </cell>
          <cell r="E281" t="e">
            <v>#N/A</v>
          </cell>
          <cell r="F281" t="e">
            <v>#N/A</v>
          </cell>
          <cell r="G281" t="e">
            <v>#N/A</v>
          </cell>
          <cell r="H281" t="e">
            <v>#N/A</v>
          </cell>
          <cell r="I281" t="e">
            <v>#N/A</v>
          </cell>
          <cell r="J281" t="e">
            <v>#N/A</v>
          </cell>
          <cell r="K281" t="e">
            <v>#N/A</v>
          </cell>
          <cell r="L281" t="e">
            <v>#N/A</v>
          </cell>
          <cell r="M281" t="e">
            <v>#N/A</v>
          </cell>
          <cell r="N281" t="e">
            <v>#N/A</v>
          </cell>
          <cell r="O281" t="e">
            <v>#N/A</v>
          </cell>
          <cell r="P281">
            <v>64.89</v>
          </cell>
          <cell r="Q281">
            <v>1.8496520000000001</v>
          </cell>
          <cell r="R281" t="e">
            <v>#N/A</v>
          </cell>
        </row>
        <row r="282">
          <cell r="A282">
            <v>40561</v>
          </cell>
          <cell r="B282">
            <v>40561</v>
          </cell>
          <cell r="C282" t="str">
            <v>Past</v>
          </cell>
          <cell r="D282">
            <v>65.299987999999999</v>
          </cell>
          <cell r="E282" t="e">
            <v>#N/A</v>
          </cell>
          <cell r="F282" t="e">
            <v>#N/A</v>
          </cell>
          <cell r="G282" t="e">
            <v>#N/A</v>
          </cell>
          <cell r="H282" t="e">
            <v>#N/A</v>
          </cell>
          <cell r="I282" t="e">
            <v>#N/A</v>
          </cell>
          <cell r="J282" t="e">
            <v>#N/A</v>
          </cell>
          <cell r="K282" t="e">
            <v>#N/A</v>
          </cell>
          <cell r="L282" t="e">
            <v>#N/A</v>
          </cell>
          <cell r="M282" t="e">
            <v>#N/A</v>
          </cell>
          <cell r="N282" t="e">
            <v>#N/A</v>
          </cell>
          <cell r="O282" t="e">
            <v>#N/A</v>
          </cell>
          <cell r="P282">
            <v>65.299987999999999</v>
          </cell>
          <cell r="Q282">
            <v>3.9815179999999999</v>
          </cell>
          <cell r="R282" t="e">
            <v>#N/A</v>
          </cell>
        </row>
        <row r="283">
          <cell r="A283">
            <v>40562</v>
          </cell>
          <cell r="B283">
            <v>40562</v>
          </cell>
          <cell r="C283" t="str">
            <v>Past</v>
          </cell>
          <cell r="D283">
            <v>64.39</v>
          </cell>
          <cell r="E283" t="e">
            <v>#N/A</v>
          </cell>
          <cell r="F283" t="e">
            <v>#N/A</v>
          </cell>
          <cell r="G283" t="e">
            <v>#N/A</v>
          </cell>
          <cell r="H283" t="e">
            <v>#N/A</v>
          </cell>
          <cell r="I283" t="e">
            <v>#N/A</v>
          </cell>
          <cell r="J283" t="e">
            <v>#N/A</v>
          </cell>
          <cell r="K283" t="e">
            <v>#N/A</v>
          </cell>
          <cell r="L283" t="e">
            <v>#N/A</v>
          </cell>
          <cell r="M283" t="e">
            <v>#N/A</v>
          </cell>
          <cell r="N283" t="e">
            <v>#N/A</v>
          </cell>
          <cell r="O283" t="e">
            <v>#N/A</v>
          </cell>
          <cell r="P283">
            <v>64.39</v>
          </cell>
          <cell r="Q283">
            <v>2.2566700000000002</v>
          </cell>
          <cell r="R283" t="e">
            <v>#N/A</v>
          </cell>
        </row>
        <row r="284">
          <cell r="A284">
            <v>40563</v>
          </cell>
          <cell r="B284">
            <v>40563</v>
          </cell>
          <cell r="C284" t="str">
            <v>Past</v>
          </cell>
          <cell r="D284">
            <v>64.14</v>
          </cell>
          <cell r="E284" t="e">
            <v>#N/A</v>
          </cell>
          <cell r="F284" t="e">
            <v>#N/A</v>
          </cell>
          <cell r="G284" t="e">
            <v>#N/A</v>
          </cell>
          <cell r="H284" t="e">
            <v>#N/A</v>
          </cell>
          <cell r="I284" t="e">
            <v>#N/A</v>
          </cell>
          <cell r="J284" t="e">
            <v>#N/A</v>
          </cell>
          <cell r="K284" t="e">
            <v>#N/A</v>
          </cell>
          <cell r="L284" t="e">
            <v>#N/A</v>
          </cell>
          <cell r="M284" t="e">
            <v>#N/A</v>
          </cell>
          <cell r="N284" t="e">
            <v>#N/A</v>
          </cell>
          <cell r="O284" t="e">
            <v>#N/A</v>
          </cell>
          <cell r="P284">
            <v>64.14</v>
          </cell>
          <cell r="Q284">
            <v>4.0669170000000001</v>
          </cell>
          <cell r="R284" t="e">
            <v>#N/A</v>
          </cell>
        </row>
        <row r="285">
          <cell r="A285">
            <v>40564</v>
          </cell>
          <cell r="B285">
            <v>40564</v>
          </cell>
          <cell r="C285" t="str">
            <v>Past</v>
          </cell>
          <cell r="D285">
            <v>63.929993000000003</v>
          </cell>
          <cell r="E285" t="e">
            <v>#N/A</v>
          </cell>
          <cell r="F285" t="e">
            <v>#N/A</v>
          </cell>
          <cell r="G285" t="e">
            <v>#N/A</v>
          </cell>
          <cell r="H285" t="e">
            <v>#N/A</v>
          </cell>
          <cell r="I285" t="e">
            <v>#N/A</v>
          </cell>
          <cell r="J285" t="e">
            <v>#N/A</v>
          </cell>
          <cell r="K285" t="e">
            <v>#N/A</v>
          </cell>
          <cell r="L285" t="e">
            <v>#N/A</v>
          </cell>
          <cell r="M285" t="e">
            <v>#N/A</v>
          </cell>
          <cell r="N285" t="e">
            <v>#N/A</v>
          </cell>
          <cell r="O285" t="e">
            <v>#N/A</v>
          </cell>
          <cell r="P285">
            <v>63.929993000000003</v>
          </cell>
          <cell r="Q285">
            <v>2.113038</v>
          </cell>
          <cell r="R285" t="e">
            <v>#N/A</v>
          </cell>
        </row>
        <row r="286">
          <cell r="A286">
            <v>40567</v>
          </cell>
          <cell r="B286">
            <v>40567</v>
          </cell>
          <cell r="C286" t="str">
            <v>Past</v>
          </cell>
          <cell r="D286">
            <v>63.469985999999999</v>
          </cell>
          <cell r="E286" t="e">
            <v>#N/A</v>
          </cell>
          <cell r="F286" t="e">
            <v>#N/A</v>
          </cell>
          <cell r="G286" t="e">
            <v>#N/A</v>
          </cell>
          <cell r="H286" t="e">
            <v>#N/A</v>
          </cell>
          <cell r="I286" t="e">
            <v>#N/A</v>
          </cell>
          <cell r="J286" t="e">
            <v>#N/A</v>
          </cell>
          <cell r="K286" t="e">
            <v>#N/A</v>
          </cell>
          <cell r="L286" t="e">
            <v>#N/A</v>
          </cell>
          <cell r="M286" t="e">
            <v>#N/A</v>
          </cell>
          <cell r="N286" t="e">
            <v>#N/A</v>
          </cell>
          <cell r="O286" t="e">
            <v>#N/A</v>
          </cell>
          <cell r="P286">
            <v>63.469985999999999</v>
          </cell>
          <cell r="Q286">
            <v>1.8362540000000001</v>
          </cell>
          <cell r="R286" t="e">
            <v>#N/A</v>
          </cell>
        </row>
        <row r="287">
          <cell r="A287">
            <v>40568</v>
          </cell>
          <cell r="B287">
            <v>40568</v>
          </cell>
          <cell r="C287" t="str">
            <v>Past</v>
          </cell>
          <cell r="D287">
            <v>63.529998999999997</v>
          </cell>
          <cell r="E287" t="e">
            <v>#N/A</v>
          </cell>
          <cell r="F287" t="e">
            <v>#N/A</v>
          </cell>
          <cell r="G287" t="e">
            <v>#N/A</v>
          </cell>
          <cell r="H287" t="e">
            <v>#N/A</v>
          </cell>
          <cell r="I287" t="e">
            <v>#N/A</v>
          </cell>
          <cell r="J287" t="e">
            <v>#N/A</v>
          </cell>
          <cell r="K287" t="e">
            <v>#N/A</v>
          </cell>
          <cell r="L287" t="e">
            <v>#N/A</v>
          </cell>
          <cell r="M287" t="e">
            <v>#N/A</v>
          </cell>
          <cell r="N287" t="e">
            <v>#N/A</v>
          </cell>
          <cell r="O287" t="e">
            <v>#N/A</v>
          </cell>
          <cell r="P287">
            <v>63.529998999999997</v>
          </cell>
          <cell r="Q287">
            <v>2.2191649999999998</v>
          </cell>
          <cell r="R287" t="e">
            <v>#N/A</v>
          </cell>
        </row>
        <row r="288">
          <cell r="A288">
            <v>40569</v>
          </cell>
          <cell r="B288">
            <v>40569</v>
          </cell>
          <cell r="C288" t="str">
            <v>Past</v>
          </cell>
          <cell r="D288">
            <v>62.629989999999999</v>
          </cell>
          <cell r="E288" t="e">
            <v>#N/A</v>
          </cell>
          <cell r="F288" t="e">
            <v>#N/A</v>
          </cell>
          <cell r="G288" t="e">
            <v>#N/A</v>
          </cell>
          <cell r="H288" t="e">
            <v>#N/A</v>
          </cell>
          <cell r="I288" t="e">
            <v>#N/A</v>
          </cell>
          <cell r="J288" t="e">
            <v>#N/A</v>
          </cell>
          <cell r="K288" t="e">
            <v>#N/A</v>
          </cell>
          <cell r="L288" t="e">
            <v>#N/A</v>
          </cell>
          <cell r="M288" t="e">
            <v>#N/A</v>
          </cell>
          <cell r="N288" t="e">
            <v>#N/A</v>
          </cell>
          <cell r="O288" t="e">
            <v>#N/A</v>
          </cell>
          <cell r="P288">
            <v>62.629989999999999</v>
          </cell>
          <cell r="Q288">
            <v>4.1073089999999999</v>
          </cell>
          <cell r="R288" t="e">
            <v>#N/A</v>
          </cell>
        </row>
        <row r="289">
          <cell r="A289">
            <v>40570</v>
          </cell>
          <cell r="B289">
            <v>40570</v>
          </cell>
          <cell r="C289" t="str">
            <v>Past</v>
          </cell>
          <cell r="D289">
            <v>62.909989000000003</v>
          </cell>
          <cell r="E289" t="e">
            <v>#N/A</v>
          </cell>
          <cell r="F289" t="e">
            <v>#N/A</v>
          </cell>
          <cell r="G289" t="e">
            <v>#N/A</v>
          </cell>
          <cell r="H289" t="e">
            <v>#N/A</v>
          </cell>
          <cell r="I289" t="e">
            <v>#N/A</v>
          </cell>
          <cell r="J289" t="e">
            <v>#N/A</v>
          </cell>
          <cell r="K289" t="e">
            <v>#N/A</v>
          </cell>
          <cell r="L289" t="e">
            <v>#N/A</v>
          </cell>
          <cell r="M289" t="e">
            <v>#N/A</v>
          </cell>
          <cell r="N289" t="e">
            <v>#N/A</v>
          </cell>
          <cell r="O289" t="e">
            <v>#N/A</v>
          </cell>
          <cell r="P289">
            <v>62.909989000000003</v>
          </cell>
          <cell r="Q289">
            <v>1.750397</v>
          </cell>
          <cell r="R289" t="e">
            <v>#N/A</v>
          </cell>
        </row>
        <row r="290">
          <cell r="A290">
            <v>40571</v>
          </cell>
          <cell r="B290">
            <v>40571</v>
          </cell>
          <cell r="C290" t="str">
            <v>Past</v>
          </cell>
          <cell r="D290">
            <v>61.449997000000003</v>
          </cell>
          <cell r="E290" t="e">
            <v>#N/A</v>
          </cell>
          <cell r="F290" t="e">
            <v>#N/A</v>
          </cell>
          <cell r="G290" t="e">
            <v>#N/A</v>
          </cell>
          <cell r="H290" t="e">
            <v>#N/A</v>
          </cell>
          <cell r="I290" t="e">
            <v>#N/A</v>
          </cell>
          <cell r="J290" t="e">
            <v>#N/A</v>
          </cell>
          <cell r="K290" t="e">
            <v>#N/A</v>
          </cell>
          <cell r="L290" t="e">
            <v>#N/A</v>
          </cell>
          <cell r="M290" t="e">
            <v>#N/A</v>
          </cell>
          <cell r="N290" t="e">
            <v>#N/A</v>
          </cell>
          <cell r="O290" t="e">
            <v>#N/A</v>
          </cell>
          <cell r="P290">
            <v>61.449997000000003</v>
          </cell>
          <cell r="Q290">
            <v>2.2171880000000002</v>
          </cell>
          <cell r="R290" t="e">
            <v>#N/A</v>
          </cell>
        </row>
        <row r="291">
          <cell r="A291">
            <v>40574</v>
          </cell>
          <cell r="B291">
            <v>40574</v>
          </cell>
          <cell r="C291" t="str">
            <v>Past</v>
          </cell>
          <cell r="D291">
            <v>61.01999</v>
          </cell>
          <cell r="E291" t="e">
            <v>#N/A</v>
          </cell>
          <cell r="F291" t="e">
            <v>#N/A</v>
          </cell>
          <cell r="G291" t="e">
            <v>#N/A</v>
          </cell>
          <cell r="H291" t="e">
            <v>#N/A</v>
          </cell>
          <cell r="I291" t="e">
            <v>#N/A</v>
          </cell>
          <cell r="J291" t="e">
            <v>#N/A</v>
          </cell>
          <cell r="K291" t="e">
            <v>#N/A</v>
          </cell>
          <cell r="L291" t="e">
            <v>#N/A</v>
          </cell>
          <cell r="M291" t="e">
            <v>#N/A</v>
          </cell>
          <cell r="N291" t="e">
            <v>#N/A</v>
          </cell>
          <cell r="O291" t="e">
            <v>#N/A</v>
          </cell>
          <cell r="P291">
            <v>61.01999</v>
          </cell>
          <cell r="Q291">
            <v>2.6140620000000001</v>
          </cell>
          <cell r="R291" t="e">
            <v>#N/A</v>
          </cell>
        </row>
        <row r="292">
          <cell r="A292">
            <v>40575</v>
          </cell>
          <cell r="B292">
            <v>40575</v>
          </cell>
          <cell r="C292" t="str">
            <v>Past</v>
          </cell>
          <cell r="D292">
            <v>62.189988</v>
          </cell>
          <cell r="E292" t="e">
            <v>#N/A</v>
          </cell>
          <cell r="F292" t="e">
            <v>#N/A</v>
          </cell>
          <cell r="G292" t="e">
            <v>#N/A</v>
          </cell>
          <cell r="H292" t="e">
            <v>#N/A</v>
          </cell>
          <cell r="I292" t="e">
            <v>#N/A</v>
          </cell>
          <cell r="J292" t="e">
            <v>#N/A</v>
          </cell>
          <cell r="K292" t="e">
            <v>#N/A</v>
          </cell>
          <cell r="L292" t="e">
            <v>#N/A</v>
          </cell>
          <cell r="M292" t="e">
            <v>#N/A</v>
          </cell>
          <cell r="N292" t="e">
            <v>#N/A</v>
          </cell>
          <cell r="O292" t="e">
            <v>#N/A</v>
          </cell>
          <cell r="P292">
            <v>62.189988</v>
          </cell>
          <cell r="Q292">
            <v>2.027628</v>
          </cell>
          <cell r="R292" t="e">
            <v>#N/A</v>
          </cell>
        </row>
        <row r="293">
          <cell r="A293">
            <v>40576</v>
          </cell>
          <cell r="B293">
            <v>40576</v>
          </cell>
          <cell r="C293" t="str">
            <v>Past</v>
          </cell>
          <cell r="D293">
            <v>61.76999</v>
          </cell>
          <cell r="E293" t="e">
            <v>#N/A</v>
          </cell>
          <cell r="F293" t="e">
            <v>#N/A</v>
          </cell>
          <cell r="G293" t="e">
            <v>#N/A</v>
          </cell>
          <cell r="H293" t="e">
            <v>#N/A</v>
          </cell>
          <cell r="I293" t="e">
            <v>#N/A</v>
          </cell>
          <cell r="J293" t="e">
            <v>#N/A</v>
          </cell>
          <cell r="K293" t="e">
            <v>#N/A</v>
          </cell>
          <cell r="L293" t="e">
            <v>#N/A</v>
          </cell>
          <cell r="M293" t="e">
            <v>#N/A</v>
          </cell>
          <cell r="N293" t="e">
            <v>#N/A</v>
          </cell>
          <cell r="O293" t="e">
            <v>#N/A</v>
          </cell>
          <cell r="P293">
            <v>61.76999</v>
          </cell>
          <cell r="Q293">
            <v>1.3628629999999999</v>
          </cell>
          <cell r="R293" t="e">
            <v>#N/A</v>
          </cell>
        </row>
        <row r="294">
          <cell r="A294">
            <v>40577</v>
          </cell>
          <cell r="B294">
            <v>40577</v>
          </cell>
          <cell r="C294" t="str">
            <v>Past</v>
          </cell>
          <cell r="D294">
            <v>62.129989999999999</v>
          </cell>
          <cell r="E294" t="e">
            <v>#N/A</v>
          </cell>
          <cell r="F294" t="e">
            <v>#N/A</v>
          </cell>
          <cell r="G294" t="e">
            <v>#N/A</v>
          </cell>
          <cell r="H294" t="e">
            <v>#N/A</v>
          </cell>
          <cell r="I294" t="e">
            <v>#N/A</v>
          </cell>
          <cell r="J294" t="e">
            <v>#N/A</v>
          </cell>
          <cell r="K294" t="e">
            <v>#N/A</v>
          </cell>
          <cell r="L294" t="e">
            <v>#N/A</v>
          </cell>
          <cell r="M294" t="e">
            <v>#N/A</v>
          </cell>
          <cell r="N294" t="e">
            <v>#N/A</v>
          </cell>
          <cell r="O294" t="e">
            <v>#N/A</v>
          </cell>
          <cell r="P294">
            <v>62.129989999999999</v>
          </cell>
          <cell r="Q294">
            <v>2.2078259999999998</v>
          </cell>
          <cell r="R294" t="e">
            <v>#N/A</v>
          </cell>
        </row>
        <row r="295">
          <cell r="A295">
            <v>40578</v>
          </cell>
          <cell r="B295">
            <v>40578</v>
          </cell>
          <cell r="C295" t="str">
            <v>Past</v>
          </cell>
          <cell r="D295">
            <v>62.669998999999997</v>
          </cell>
          <cell r="E295" t="e">
            <v>#N/A</v>
          </cell>
          <cell r="F295" t="e">
            <v>#N/A</v>
          </cell>
          <cell r="G295" t="e">
            <v>#N/A</v>
          </cell>
          <cell r="H295" t="e">
            <v>#N/A</v>
          </cell>
          <cell r="I295" t="e">
            <v>#N/A</v>
          </cell>
          <cell r="J295" t="e">
            <v>#N/A</v>
          </cell>
          <cell r="K295" t="e">
            <v>#N/A</v>
          </cell>
          <cell r="L295" t="e">
            <v>#N/A</v>
          </cell>
          <cell r="M295" t="e">
            <v>#N/A</v>
          </cell>
          <cell r="N295" t="e">
            <v>#N/A</v>
          </cell>
          <cell r="O295" t="e">
            <v>#N/A</v>
          </cell>
          <cell r="P295">
            <v>62.669998999999997</v>
          </cell>
          <cell r="Q295">
            <v>1.8396619999999999</v>
          </cell>
          <cell r="R295" t="e">
            <v>#N/A</v>
          </cell>
        </row>
        <row r="296">
          <cell r="A296">
            <v>40581</v>
          </cell>
          <cell r="B296">
            <v>40581</v>
          </cell>
          <cell r="C296" t="str">
            <v>Past</v>
          </cell>
          <cell r="D296">
            <v>62.559998</v>
          </cell>
          <cell r="E296" t="e">
            <v>#N/A</v>
          </cell>
          <cell r="F296" t="e">
            <v>#N/A</v>
          </cell>
          <cell r="G296" t="e">
            <v>#N/A</v>
          </cell>
          <cell r="H296" t="e">
            <v>#N/A</v>
          </cell>
          <cell r="I296" t="e">
            <v>#N/A</v>
          </cell>
          <cell r="J296" t="e">
            <v>#N/A</v>
          </cell>
          <cell r="K296" t="e">
            <v>#N/A</v>
          </cell>
          <cell r="L296" t="e">
            <v>#N/A</v>
          </cell>
          <cell r="M296" t="e">
            <v>#N/A</v>
          </cell>
          <cell r="N296" t="e">
            <v>#N/A</v>
          </cell>
          <cell r="O296" t="e">
            <v>#N/A</v>
          </cell>
          <cell r="P296">
            <v>62.559998</v>
          </cell>
          <cell r="Q296">
            <v>1.690258</v>
          </cell>
          <cell r="R296" t="e">
            <v>#N/A</v>
          </cell>
        </row>
        <row r="297">
          <cell r="A297">
            <v>40582</v>
          </cell>
          <cell r="B297">
            <v>40582</v>
          </cell>
          <cell r="C297" t="str">
            <v>Past</v>
          </cell>
          <cell r="D297">
            <v>63.369996</v>
          </cell>
          <cell r="E297" t="e">
            <v>#N/A</v>
          </cell>
          <cell r="F297" t="e">
            <v>#N/A</v>
          </cell>
          <cell r="G297" t="e">
            <v>#N/A</v>
          </cell>
          <cell r="H297" t="e">
            <v>#N/A</v>
          </cell>
          <cell r="I297" t="e">
            <v>#N/A</v>
          </cell>
          <cell r="J297" t="e">
            <v>#N/A</v>
          </cell>
          <cell r="K297" t="e">
            <v>#N/A</v>
          </cell>
          <cell r="L297" t="e">
            <v>#N/A</v>
          </cell>
          <cell r="M297" t="e">
            <v>#N/A</v>
          </cell>
          <cell r="N297" t="e">
            <v>#N/A</v>
          </cell>
          <cell r="O297" t="e">
            <v>#N/A</v>
          </cell>
          <cell r="P297">
            <v>63.369996</v>
          </cell>
          <cell r="Q297">
            <v>1.439546</v>
          </cell>
          <cell r="R297" t="e">
            <v>#N/A</v>
          </cell>
        </row>
        <row r="298">
          <cell r="A298">
            <v>40583</v>
          </cell>
          <cell r="B298">
            <v>40583</v>
          </cell>
          <cell r="C298" t="str">
            <v>Past</v>
          </cell>
          <cell r="D298">
            <v>62</v>
          </cell>
          <cell r="E298" t="e">
            <v>#N/A</v>
          </cell>
          <cell r="F298" t="e">
            <v>#N/A</v>
          </cell>
          <cell r="G298" t="e">
            <v>#N/A</v>
          </cell>
          <cell r="H298" t="e">
            <v>#N/A</v>
          </cell>
          <cell r="I298" t="e">
            <v>#N/A</v>
          </cell>
          <cell r="J298" t="e">
            <v>#N/A</v>
          </cell>
          <cell r="K298" t="e">
            <v>#N/A</v>
          </cell>
          <cell r="L298" t="e">
            <v>#N/A</v>
          </cell>
          <cell r="M298" t="e">
            <v>#N/A</v>
          </cell>
          <cell r="N298" t="e">
            <v>#N/A</v>
          </cell>
          <cell r="O298" t="e">
            <v>#N/A</v>
          </cell>
          <cell r="P298">
            <v>62</v>
          </cell>
          <cell r="Q298">
            <v>2.211678</v>
          </cell>
          <cell r="R298" t="e">
            <v>#N/A</v>
          </cell>
        </row>
        <row r="299">
          <cell r="A299">
            <v>40584</v>
          </cell>
          <cell r="B299">
            <v>40584</v>
          </cell>
          <cell r="C299" t="str">
            <v>Past</v>
          </cell>
          <cell r="D299">
            <v>61.75</v>
          </cell>
          <cell r="E299" t="e">
            <v>#N/A</v>
          </cell>
          <cell r="F299" t="e">
            <v>#N/A</v>
          </cell>
          <cell r="G299" t="e">
            <v>#N/A</v>
          </cell>
          <cell r="H299" t="e">
            <v>#N/A</v>
          </cell>
          <cell r="I299" t="e">
            <v>#N/A</v>
          </cell>
          <cell r="J299" t="e">
            <v>#N/A</v>
          </cell>
          <cell r="K299" t="e">
            <v>#N/A</v>
          </cell>
          <cell r="L299" t="e">
            <v>#N/A</v>
          </cell>
          <cell r="M299" t="e">
            <v>#N/A</v>
          </cell>
          <cell r="N299" t="e">
            <v>#N/A</v>
          </cell>
          <cell r="O299" t="e">
            <v>#N/A</v>
          </cell>
          <cell r="P299">
            <v>61.75</v>
          </cell>
          <cell r="Q299">
            <v>3.2721230000000001</v>
          </cell>
          <cell r="R299" t="e">
            <v>#N/A</v>
          </cell>
        </row>
        <row r="300">
          <cell r="A300">
            <v>40585</v>
          </cell>
          <cell r="B300">
            <v>40585</v>
          </cell>
          <cell r="C300" t="str">
            <v>Past</v>
          </cell>
          <cell r="D300">
            <v>62.099991000000003</v>
          </cell>
          <cell r="E300" t="e">
            <v>#N/A</v>
          </cell>
          <cell r="F300" t="e">
            <v>#N/A</v>
          </cell>
          <cell r="G300" t="e">
            <v>#N/A</v>
          </cell>
          <cell r="H300" t="e">
            <v>#N/A</v>
          </cell>
          <cell r="I300" t="e">
            <v>#N/A</v>
          </cell>
          <cell r="J300" t="e">
            <v>#N/A</v>
          </cell>
          <cell r="K300" t="e">
            <v>#N/A</v>
          </cell>
          <cell r="L300" t="e">
            <v>#N/A</v>
          </cell>
          <cell r="M300" t="e">
            <v>#N/A</v>
          </cell>
          <cell r="N300" t="e">
            <v>#N/A</v>
          </cell>
          <cell r="O300" t="e">
            <v>#N/A</v>
          </cell>
          <cell r="P300">
            <v>62.099991000000003</v>
          </cell>
          <cell r="Q300">
            <v>1.6178920000000001</v>
          </cell>
          <cell r="R300" t="e">
            <v>#N/A</v>
          </cell>
        </row>
        <row r="301">
          <cell r="A301">
            <v>40588</v>
          </cell>
          <cell r="B301">
            <v>40588</v>
          </cell>
          <cell r="C301" t="str">
            <v>Past</v>
          </cell>
          <cell r="D301">
            <v>62.049987999999999</v>
          </cell>
          <cell r="E301" t="e">
            <v>#N/A</v>
          </cell>
          <cell r="F301" t="e">
            <v>#N/A</v>
          </cell>
          <cell r="G301" t="e">
            <v>#N/A</v>
          </cell>
          <cell r="H301" t="e">
            <v>#N/A</v>
          </cell>
          <cell r="I301" t="e">
            <v>#N/A</v>
          </cell>
          <cell r="J301" t="e">
            <v>#N/A</v>
          </cell>
          <cell r="K301" t="e">
            <v>#N/A</v>
          </cell>
          <cell r="L301" t="e">
            <v>#N/A</v>
          </cell>
          <cell r="M301" t="e">
            <v>#N/A</v>
          </cell>
          <cell r="N301" t="e">
            <v>#N/A</v>
          </cell>
          <cell r="O301" t="e">
            <v>#N/A</v>
          </cell>
          <cell r="P301">
            <v>62.049987999999999</v>
          </cell>
          <cell r="Q301">
            <v>2.1344919999999998</v>
          </cell>
          <cell r="R301" t="e">
            <v>#N/A</v>
          </cell>
        </row>
        <row r="302">
          <cell r="A302">
            <v>40589</v>
          </cell>
          <cell r="B302">
            <v>40589</v>
          </cell>
          <cell r="C302" t="str">
            <v>Past</v>
          </cell>
          <cell r="D302">
            <v>62.279998999999997</v>
          </cell>
          <cell r="E302" t="e">
            <v>#N/A</v>
          </cell>
          <cell r="F302" t="e">
            <v>#N/A</v>
          </cell>
          <cell r="G302" t="e">
            <v>#N/A</v>
          </cell>
          <cell r="H302" t="e">
            <v>#N/A</v>
          </cell>
          <cell r="I302" t="e">
            <v>#N/A</v>
          </cell>
          <cell r="J302" t="e">
            <v>#N/A</v>
          </cell>
          <cell r="K302" t="e">
            <v>#N/A</v>
          </cell>
          <cell r="L302" t="e">
            <v>#N/A</v>
          </cell>
          <cell r="M302" t="e">
            <v>#N/A</v>
          </cell>
          <cell r="N302" t="e">
            <v>#N/A</v>
          </cell>
          <cell r="O302" t="e">
            <v>#N/A</v>
          </cell>
          <cell r="P302">
            <v>62.279998999999997</v>
          </cell>
          <cell r="Q302">
            <v>3.4506399999999999</v>
          </cell>
          <cell r="R302" t="e">
            <v>#N/A</v>
          </cell>
        </row>
        <row r="303">
          <cell r="A303">
            <v>40590</v>
          </cell>
          <cell r="B303">
            <v>40590</v>
          </cell>
          <cell r="C303" t="str">
            <v>Past</v>
          </cell>
          <cell r="D303">
            <v>63.839996999999997</v>
          </cell>
          <cell r="E303" t="e">
            <v>#N/A</v>
          </cell>
          <cell r="F303" t="e">
            <v>#N/A</v>
          </cell>
          <cell r="G303" t="e">
            <v>#N/A</v>
          </cell>
          <cell r="H303" t="e">
            <v>#N/A</v>
          </cell>
          <cell r="I303" t="e">
            <v>#N/A</v>
          </cell>
          <cell r="J303" t="e">
            <v>#N/A</v>
          </cell>
          <cell r="K303" t="e">
            <v>#N/A</v>
          </cell>
          <cell r="L303" t="e">
            <v>#N/A</v>
          </cell>
          <cell r="M303" t="e">
            <v>#N/A</v>
          </cell>
          <cell r="N303" t="e">
            <v>#N/A</v>
          </cell>
          <cell r="O303" t="e">
            <v>#N/A</v>
          </cell>
          <cell r="P303">
            <v>63.839996999999997</v>
          </cell>
          <cell r="Q303">
            <v>3.3090769999999998</v>
          </cell>
          <cell r="R303" t="e">
            <v>#N/A</v>
          </cell>
        </row>
        <row r="304">
          <cell r="A304">
            <v>40591</v>
          </cell>
          <cell r="B304">
            <v>40591</v>
          </cell>
          <cell r="C304" t="str">
            <v>Past</v>
          </cell>
          <cell r="D304">
            <v>63.329987000000003</v>
          </cell>
          <cell r="E304" t="e">
            <v>#N/A</v>
          </cell>
          <cell r="F304" t="e">
            <v>#N/A</v>
          </cell>
          <cell r="G304" t="e">
            <v>#N/A</v>
          </cell>
          <cell r="H304" t="e">
            <v>#N/A</v>
          </cell>
          <cell r="I304" t="e">
            <v>#N/A</v>
          </cell>
          <cell r="J304" t="e">
            <v>#N/A</v>
          </cell>
          <cell r="K304" t="e">
            <v>#N/A</v>
          </cell>
          <cell r="L304" t="e">
            <v>#N/A</v>
          </cell>
          <cell r="M304" t="e">
            <v>#N/A</v>
          </cell>
          <cell r="N304" t="e">
            <v>#N/A</v>
          </cell>
          <cell r="O304" t="e">
            <v>#N/A</v>
          </cell>
          <cell r="P304">
            <v>63.329987000000003</v>
          </cell>
          <cell r="Q304">
            <v>2.7852389999999998</v>
          </cell>
          <cell r="R304" t="e">
            <v>#N/A</v>
          </cell>
        </row>
        <row r="305">
          <cell r="A305">
            <v>40592</v>
          </cell>
          <cell r="B305">
            <v>40592</v>
          </cell>
          <cell r="C305" t="str">
            <v>Past</v>
          </cell>
          <cell r="D305">
            <v>64.779999000000004</v>
          </cell>
          <cell r="E305" t="e">
            <v>#N/A</v>
          </cell>
          <cell r="F305" t="e">
            <v>#N/A</v>
          </cell>
          <cell r="G305" t="e">
            <v>#N/A</v>
          </cell>
          <cell r="H305" t="e">
            <v>#N/A</v>
          </cell>
          <cell r="I305" t="e">
            <v>#N/A</v>
          </cell>
          <cell r="J305" t="e">
            <v>#N/A</v>
          </cell>
          <cell r="K305" t="e">
            <v>#N/A</v>
          </cell>
          <cell r="L305" t="e">
            <v>#N/A</v>
          </cell>
          <cell r="M305" t="e">
            <v>#N/A</v>
          </cell>
          <cell r="N305" t="e">
            <v>#N/A</v>
          </cell>
          <cell r="O305" t="e">
            <v>#N/A</v>
          </cell>
          <cell r="P305">
            <v>64.779999000000004</v>
          </cell>
          <cell r="Q305">
            <v>3.5586540000000002</v>
          </cell>
          <cell r="R305" t="e">
            <v>#N/A</v>
          </cell>
        </row>
        <row r="306">
          <cell r="A306">
            <v>40596</v>
          </cell>
          <cell r="B306">
            <v>40596</v>
          </cell>
          <cell r="C306" t="str">
            <v>Past</v>
          </cell>
          <cell r="D306">
            <v>61.449997000000003</v>
          </cell>
          <cell r="E306" t="e">
            <v>#N/A</v>
          </cell>
          <cell r="F306" t="e">
            <v>#N/A</v>
          </cell>
          <cell r="G306" t="e">
            <v>#N/A</v>
          </cell>
          <cell r="H306" t="e">
            <v>#N/A</v>
          </cell>
          <cell r="I306" t="e">
            <v>#N/A</v>
          </cell>
          <cell r="J306" t="e">
            <v>#N/A</v>
          </cell>
          <cell r="K306" t="e">
            <v>#N/A</v>
          </cell>
          <cell r="L306" t="e">
            <v>#N/A</v>
          </cell>
          <cell r="M306" t="e">
            <v>#N/A</v>
          </cell>
          <cell r="N306" t="e">
            <v>#N/A</v>
          </cell>
          <cell r="O306" t="e">
            <v>#N/A</v>
          </cell>
          <cell r="P306">
            <v>61.449997000000003</v>
          </cell>
          <cell r="Q306">
            <v>4.8874139999999997</v>
          </cell>
          <cell r="R306" t="e">
            <v>#N/A</v>
          </cell>
        </row>
        <row r="307">
          <cell r="A307">
            <v>40597</v>
          </cell>
          <cell r="B307">
            <v>40597</v>
          </cell>
          <cell r="C307" t="str">
            <v>Past</v>
          </cell>
          <cell r="D307">
            <v>60.289994</v>
          </cell>
          <cell r="E307" t="e">
            <v>#N/A</v>
          </cell>
          <cell r="F307" t="e">
            <v>#N/A</v>
          </cell>
          <cell r="G307" t="e">
            <v>#N/A</v>
          </cell>
          <cell r="H307" t="e">
            <v>#N/A</v>
          </cell>
          <cell r="I307" t="e">
            <v>#N/A</v>
          </cell>
          <cell r="J307" t="e">
            <v>#N/A</v>
          </cell>
          <cell r="K307" t="e">
            <v>#N/A</v>
          </cell>
          <cell r="L307" t="e">
            <v>#N/A</v>
          </cell>
          <cell r="M307" t="e">
            <v>#N/A</v>
          </cell>
          <cell r="N307" t="e">
            <v>#N/A</v>
          </cell>
          <cell r="O307" t="e">
            <v>#N/A</v>
          </cell>
          <cell r="P307">
            <v>60.289994</v>
          </cell>
          <cell r="Q307">
            <v>4.6585780000000003</v>
          </cell>
          <cell r="R307" t="e">
            <v>#N/A</v>
          </cell>
        </row>
        <row r="308">
          <cell r="A308">
            <v>40598</v>
          </cell>
          <cell r="B308">
            <v>40598</v>
          </cell>
          <cell r="C308" t="str">
            <v>Past</v>
          </cell>
          <cell r="D308">
            <v>61.339996999999997</v>
          </cell>
          <cell r="E308" t="e">
            <v>#N/A</v>
          </cell>
          <cell r="F308" t="e">
            <v>#N/A</v>
          </cell>
          <cell r="G308" t="e">
            <v>#N/A</v>
          </cell>
          <cell r="H308" t="e">
            <v>#N/A</v>
          </cell>
          <cell r="I308" t="e">
            <v>#N/A</v>
          </cell>
          <cell r="J308" t="e">
            <v>#N/A</v>
          </cell>
          <cell r="K308" t="e">
            <v>#N/A</v>
          </cell>
          <cell r="L308" t="e">
            <v>#N/A</v>
          </cell>
          <cell r="M308" t="e">
            <v>#N/A</v>
          </cell>
          <cell r="N308" t="e">
            <v>#N/A</v>
          </cell>
          <cell r="O308" t="e">
            <v>#N/A</v>
          </cell>
          <cell r="P308">
            <v>61.339996999999997</v>
          </cell>
          <cell r="Q308">
            <v>3.9261949999999999</v>
          </cell>
          <cell r="R308" t="e">
            <v>#N/A</v>
          </cell>
        </row>
        <row r="309">
          <cell r="A309">
            <v>40599</v>
          </cell>
          <cell r="B309">
            <v>40599</v>
          </cell>
          <cell r="C309" t="str">
            <v>Past</v>
          </cell>
          <cell r="D309">
            <v>62.629989999999999</v>
          </cell>
          <cell r="E309" t="e">
            <v>#N/A</v>
          </cell>
          <cell r="F309" t="e">
            <v>#N/A</v>
          </cell>
          <cell r="G309" t="e">
            <v>#N/A</v>
          </cell>
          <cell r="H309" t="e">
            <v>#N/A</v>
          </cell>
          <cell r="I309" t="e">
            <v>#N/A</v>
          </cell>
          <cell r="J309" t="e">
            <v>#N/A</v>
          </cell>
          <cell r="K309" t="e">
            <v>#N/A</v>
          </cell>
          <cell r="L309" t="e">
            <v>#N/A</v>
          </cell>
          <cell r="M309" t="e">
            <v>#N/A</v>
          </cell>
          <cell r="N309" t="e">
            <v>#N/A</v>
          </cell>
          <cell r="O309" t="e">
            <v>#N/A</v>
          </cell>
          <cell r="P309">
            <v>62.629989999999999</v>
          </cell>
          <cell r="Q309">
            <v>2.9477120000000001</v>
          </cell>
          <cell r="R309" t="e">
            <v>#N/A</v>
          </cell>
        </row>
        <row r="310">
          <cell r="A310">
            <v>40602</v>
          </cell>
          <cell r="B310">
            <v>40602</v>
          </cell>
          <cell r="C310" t="str">
            <v>Past</v>
          </cell>
          <cell r="D310">
            <v>61.64</v>
          </cell>
          <cell r="E310" t="e">
            <v>#N/A</v>
          </cell>
          <cell r="F310" t="e">
            <v>#N/A</v>
          </cell>
          <cell r="G310" t="e">
            <v>#N/A</v>
          </cell>
          <cell r="H310" t="e">
            <v>#N/A</v>
          </cell>
          <cell r="I310" t="e">
            <v>#N/A</v>
          </cell>
          <cell r="J310" t="e">
            <v>#N/A</v>
          </cell>
          <cell r="K310" t="e">
            <v>#N/A</v>
          </cell>
          <cell r="L310" t="e">
            <v>#N/A</v>
          </cell>
          <cell r="M310" t="e">
            <v>#N/A</v>
          </cell>
          <cell r="N310" t="e">
            <v>#N/A</v>
          </cell>
          <cell r="O310" t="e">
            <v>#N/A</v>
          </cell>
          <cell r="P310">
            <v>61.64</v>
          </cell>
          <cell r="Q310">
            <v>5.1125980000000002</v>
          </cell>
          <cell r="R310" t="e">
            <v>#N/A</v>
          </cell>
        </row>
        <row r="311">
          <cell r="A311">
            <v>40603</v>
          </cell>
          <cell r="B311">
            <v>40603</v>
          </cell>
          <cell r="C311" t="str">
            <v>Past</v>
          </cell>
          <cell r="D311">
            <v>62.029998999999997</v>
          </cell>
          <cell r="E311" t="e">
            <v>#N/A</v>
          </cell>
          <cell r="F311" t="e">
            <v>#N/A</v>
          </cell>
          <cell r="G311" t="e">
            <v>#N/A</v>
          </cell>
          <cell r="H311" t="e">
            <v>#N/A</v>
          </cell>
          <cell r="I311" t="e">
            <v>#N/A</v>
          </cell>
          <cell r="J311" t="e">
            <v>#N/A</v>
          </cell>
          <cell r="K311" t="e">
            <v>#N/A</v>
          </cell>
          <cell r="L311" t="e">
            <v>#N/A</v>
          </cell>
          <cell r="M311" t="e">
            <v>#N/A</v>
          </cell>
          <cell r="N311" t="e">
            <v>#N/A</v>
          </cell>
          <cell r="O311" t="e">
            <v>#N/A</v>
          </cell>
          <cell r="P311">
            <v>62.029998999999997</v>
          </cell>
          <cell r="Q311">
            <v>3.496105</v>
          </cell>
          <cell r="R311" t="e">
            <v>#N/A</v>
          </cell>
        </row>
        <row r="312">
          <cell r="A312">
            <v>40604</v>
          </cell>
          <cell r="B312">
            <v>40604</v>
          </cell>
          <cell r="C312" t="str">
            <v>Past</v>
          </cell>
          <cell r="D312">
            <v>63.219985999999999</v>
          </cell>
          <cell r="E312" t="e">
            <v>#N/A</v>
          </cell>
          <cell r="F312" t="e">
            <v>#N/A</v>
          </cell>
          <cell r="G312" t="e">
            <v>#N/A</v>
          </cell>
          <cell r="H312" t="e">
            <v>#N/A</v>
          </cell>
          <cell r="I312" t="e">
            <v>#N/A</v>
          </cell>
          <cell r="J312" t="e">
            <v>#N/A</v>
          </cell>
          <cell r="K312" t="e">
            <v>#N/A</v>
          </cell>
          <cell r="L312" t="e">
            <v>#N/A</v>
          </cell>
          <cell r="M312" t="e">
            <v>#N/A</v>
          </cell>
          <cell r="N312" t="e">
            <v>#N/A</v>
          </cell>
          <cell r="O312" t="e">
            <v>#N/A</v>
          </cell>
          <cell r="P312">
            <v>63.219985999999999</v>
          </cell>
          <cell r="Q312">
            <v>3.2437339999999999</v>
          </cell>
          <cell r="R312" t="e">
            <v>#N/A</v>
          </cell>
        </row>
        <row r="313">
          <cell r="A313">
            <v>40605</v>
          </cell>
          <cell r="B313">
            <v>40605</v>
          </cell>
          <cell r="C313" t="str">
            <v>Past</v>
          </cell>
          <cell r="D313">
            <v>64.349991000000003</v>
          </cell>
          <cell r="E313" t="e">
            <v>#N/A</v>
          </cell>
          <cell r="F313" t="e">
            <v>#N/A</v>
          </cell>
          <cell r="G313" t="e">
            <v>#N/A</v>
          </cell>
          <cell r="H313" t="e">
            <v>#N/A</v>
          </cell>
          <cell r="I313" t="e">
            <v>#N/A</v>
          </cell>
          <cell r="J313" t="e">
            <v>#N/A</v>
          </cell>
          <cell r="K313" t="e">
            <v>#N/A</v>
          </cell>
          <cell r="L313" t="e">
            <v>#N/A</v>
          </cell>
          <cell r="M313" t="e">
            <v>#N/A</v>
          </cell>
          <cell r="N313" t="e">
            <v>#N/A</v>
          </cell>
          <cell r="O313" t="e">
            <v>#N/A</v>
          </cell>
          <cell r="P313">
            <v>64.349991000000003</v>
          </cell>
          <cell r="Q313">
            <v>2.76458</v>
          </cell>
          <cell r="R313" t="e">
            <v>#N/A</v>
          </cell>
        </row>
        <row r="314">
          <cell r="A314">
            <v>40606</v>
          </cell>
          <cell r="B314">
            <v>40606</v>
          </cell>
          <cell r="C314" t="str">
            <v>Past</v>
          </cell>
          <cell r="D314">
            <v>63.589996999999997</v>
          </cell>
          <cell r="E314" t="e">
            <v>#N/A</v>
          </cell>
          <cell r="F314" t="e">
            <v>#N/A</v>
          </cell>
          <cell r="G314" t="e">
            <v>#N/A</v>
          </cell>
          <cell r="H314" t="e">
            <v>#N/A</v>
          </cell>
          <cell r="I314" t="e">
            <v>#N/A</v>
          </cell>
          <cell r="J314" t="e">
            <v>#N/A</v>
          </cell>
          <cell r="K314" t="e">
            <v>#N/A</v>
          </cell>
          <cell r="L314" t="e">
            <v>#N/A</v>
          </cell>
          <cell r="M314" t="e">
            <v>#N/A</v>
          </cell>
          <cell r="N314" t="e">
            <v>#N/A</v>
          </cell>
          <cell r="O314" t="e">
            <v>#N/A</v>
          </cell>
          <cell r="P314">
            <v>63.589996999999997</v>
          </cell>
          <cell r="Q314">
            <v>2.5828030000000002</v>
          </cell>
          <cell r="R314" t="e">
            <v>#N/A</v>
          </cell>
        </row>
        <row r="315">
          <cell r="A315">
            <v>40609</v>
          </cell>
          <cell r="B315">
            <v>40609</v>
          </cell>
          <cell r="C315" t="str">
            <v>Past</v>
          </cell>
          <cell r="D315">
            <v>62.029998999999997</v>
          </cell>
          <cell r="E315" t="e">
            <v>#N/A</v>
          </cell>
          <cell r="F315" t="e">
            <v>#N/A</v>
          </cell>
          <cell r="G315" t="e">
            <v>#N/A</v>
          </cell>
          <cell r="H315" t="e">
            <v>#N/A</v>
          </cell>
          <cell r="I315" t="e">
            <v>#N/A</v>
          </cell>
          <cell r="J315" t="e">
            <v>#N/A</v>
          </cell>
          <cell r="K315" t="e">
            <v>#N/A</v>
          </cell>
          <cell r="L315" t="e">
            <v>#N/A</v>
          </cell>
          <cell r="M315" t="e">
            <v>#N/A</v>
          </cell>
          <cell r="N315" t="e">
            <v>#N/A</v>
          </cell>
          <cell r="O315" t="e">
            <v>#N/A</v>
          </cell>
          <cell r="P315">
            <v>62.029998999999997</v>
          </cell>
          <cell r="Q315">
            <v>3.7369370000000002</v>
          </cell>
          <cell r="R315" t="e">
            <v>#N/A</v>
          </cell>
        </row>
        <row r="316">
          <cell r="A316">
            <v>40610</v>
          </cell>
          <cell r="B316">
            <v>40610</v>
          </cell>
          <cell r="C316" t="str">
            <v>Past</v>
          </cell>
          <cell r="D316">
            <v>62.289994</v>
          </cell>
          <cell r="E316" t="e">
            <v>#N/A</v>
          </cell>
          <cell r="F316" t="e">
            <v>#N/A</v>
          </cell>
          <cell r="G316" t="e">
            <v>#N/A</v>
          </cell>
          <cell r="H316" t="e">
            <v>#N/A</v>
          </cell>
          <cell r="I316" t="e">
            <v>#N/A</v>
          </cell>
          <cell r="J316" t="e">
            <v>#N/A</v>
          </cell>
          <cell r="K316" t="e">
            <v>#N/A</v>
          </cell>
          <cell r="L316" t="e">
            <v>#N/A</v>
          </cell>
          <cell r="M316" t="e">
            <v>#N/A</v>
          </cell>
          <cell r="N316" t="e">
            <v>#N/A</v>
          </cell>
          <cell r="O316" t="e">
            <v>#N/A</v>
          </cell>
          <cell r="P316">
            <v>62.289994</v>
          </cell>
          <cell r="Q316">
            <v>2.7803</v>
          </cell>
          <cell r="R316" t="e">
            <v>#N/A</v>
          </cell>
        </row>
        <row r="317">
          <cell r="A317">
            <v>40611</v>
          </cell>
          <cell r="B317">
            <v>40611</v>
          </cell>
          <cell r="C317" t="str">
            <v>Past</v>
          </cell>
          <cell r="D317">
            <v>61.869996</v>
          </cell>
          <cell r="E317" t="e">
            <v>#N/A</v>
          </cell>
          <cell r="F317" t="e">
            <v>#N/A</v>
          </cell>
          <cell r="G317" t="e">
            <v>#N/A</v>
          </cell>
          <cell r="H317" t="e">
            <v>#N/A</v>
          </cell>
          <cell r="I317" t="e">
            <v>#N/A</v>
          </cell>
          <cell r="J317" t="e">
            <v>#N/A</v>
          </cell>
          <cell r="K317" t="e">
            <v>#N/A</v>
          </cell>
          <cell r="L317" t="e">
            <v>#N/A</v>
          </cell>
          <cell r="M317" t="e">
            <v>#N/A</v>
          </cell>
          <cell r="N317" t="e">
            <v>#N/A</v>
          </cell>
          <cell r="O317" t="e">
            <v>#N/A</v>
          </cell>
          <cell r="P317">
            <v>61.869996</v>
          </cell>
          <cell r="Q317">
            <v>2.7124320000000002</v>
          </cell>
          <cell r="R317" t="e">
            <v>#N/A</v>
          </cell>
        </row>
        <row r="318">
          <cell r="A318">
            <v>40612</v>
          </cell>
          <cell r="B318">
            <v>40612</v>
          </cell>
          <cell r="C318" t="str">
            <v>Past</v>
          </cell>
          <cell r="D318">
            <v>61.449997000000003</v>
          </cell>
          <cell r="E318" t="e">
            <v>#N/A</v>
          </cell>
          <cell r="F318" t="e">
            <v>#N/A</v>
          </cell>
          <cell r="G318" t="e">
            <v>#N/A</v>
          </cell>
          <cell r="H318" t="e">
            <v>#N/A</v>
          </cell>
          <cell r="I318" t="e">
            <v>#N/A</v>
          </cell>
          <cell r="J318" t="e">
            <v>#N/A</v>
          </cell>
          <cell r="K318" t="e">
            <v>#N/A</v>
          </cell>
          <cell r="L318" t="e">
            <v>#N/A</v>
          </cell>
          <cell r="M318" t="e">
            <v>#N/A</v>
          </cell>
          <cell r="N318" t="e">
            <v>#N/A</v>
          </cell>
          <cell r="O318" t="e">
            <v>#N/A</v>
          </cell>
          <cell r="P318">
            <v>61.449997000000003</v>
          </cell>
          <cell r="Q318">
            <v>4.0853060000000001</v>
          </cell>
          <cell r="R318" t="e">
            <v>#N/A</v>
          </cell>
        </row>
        <row r="319">
          <cell r="A319">
            <v>40613</v>
          </cell>
          <cell r="B319">
            <v>40613</v>
          </cell>
          <cell r="C319" t="str">
            <v>Past</v>
          </cell>
          <cell r="D319">
            <v>61.629989999999999</v>
          </cell>
          <cell r="E319" t="e">
            <v>#N/A</v>
          </cell>
          <cell r="F319" t="e">
            <v>#N/A</v>
          </cell>
          <cell r="G319" t="e">
            <v>#N/A</v>
          </cell>
          <cell r="H319" t="e">
            <v>#N/A</v>
          </cell>
          <cell r="I319" t="e">
            <v>#N/A</v>
          </cell>
          <cell r="J319" t="e">
            <v>#N/A</v>
          </cell>
          <cell r="K319" t="e">
            <v>#N/A</v>
          </cell>
          <cell r="L319" t="e">
            <v>#N/A</v>
          </cell>
          <cell r="M319" t="e">
            <v>#N/A</v>
          </cell>
          <cell r="N319" t="e">
            <v>#N/A</v>
          </cell>
          <cell r="O319" t="e">
            <v>#N/A</v>
          </cell>
          <cell r="P319">
            <v>61.629989999999999</v>
          </cell>
          <cell r="Q319">
            <v>2.2030449999999999</v>
          </cell>
          <cell r="R319" t="e">
            <v>#N/A</v>
          </cell>
        </row>
        <row r="320">
          <cell r="A320">
            <v>40616</v>
          </cell>
          <cell r="B320">
            <v>40616</v>
          </cell>
          <cell r="C320" t="str">
            <v>Past</v>
          </cell>
          <cell r="D320">
            <v>60.289994</v>
          </cell>
          <cell r="E320" t="e">
            <v>#N/A</v>
          </cell>
          <cell r="F320" t="e">
            <v>#N/A</v>
          </cell>
          <cell r="G320" t="e">
            <v>#N/A</v>
          </cell>
          <cell r="H320" t="e">
            <v>#N/A</v>
          </cell>
          <cell r="I320" t="e">
            <v>#N/A</v>
          </cell>
          <cell r="J320" t="e">
            <v>#N/A</v>
          </cell>
          <cell r="K320" t="e">
            <v>#N/A</v>
          </cell>
          <cell r="L320" t="e">
            <v>#N/A</v>
          </cell>
          <cell r="M320" t="e">
            <v>#N/A</v>
          </cell>
          <cell r="N320" t="e">
            <v>#N/A</v>
          </cell>
          <cell r="O320" t="e">
            <v>#N/A</v>
          </cell>
          <cell r="P320">
            <v>60.289994</v>
          </cell>
          <cell r="Q320">
            <v>2.6508829999999999</v>
          </cell>
          <cell r="R320" t="e">
            <v>#N/A</v>
          </cell>
        </row>
        <row r="321">
          <cell r="A321">
            <v>40617</v>
          </cell>
          <cell r="B321">
            <v>40617</v>
          </cell>
          <cell r="C321" t="str">
            <v>Past</v>
          </cell>
          <cell r="D321">
            <v>59.129989999999999</v>
          </cell>
          <cell r="E321" t="e">
            <v>#N/A</v>
          </cell>
          <cell r="F321" t="e">
            <v>#N/A</v>
          </cell>
          <cell r="G321" t="e">
            <v>#N/A</v>
          </cell>
          <cell r="H321" t="e">
            <v>#N/A</v>
          </cell>
          <cell r="I321" t="e">
            <v>#N/A</v>
          </cell>
          <cell r="J321" t="e">
            <v>#N/A</v>
          </cell>
          <cell r="K321" t="e">
            <v>#N/A</v>
          </cell>
          <cell r="L321" t="e">
            <v>#N/A</v>
          </cell>
          <cell r="M321" t="e">
            <v>#N/A</v>
          </cell>
          <cell r="N321" t="e">
            <v>#N/A</v>
          </cell>
          <cell r="O321" t="e">
            <v>#N/A</v>
          </cell>
          <cell r="P321">
            <v>59.129989999999999</v>
          </cell>
          <cell r="Q321">
            <v>4.9666519999999998</v>
          </cell>
          <cell r="R321" t="e">
            <v>#N/A</v>
          </cell>
        </row>
        <row r="322">
          <cell r="A322">
            <v>40618</v>
          </cell>
          <cell r="B322">
            <v>40618</v>
          </cell>
          <cell r="C322" t="str">
            <v>Past</v>
          </cell>
          <cell r="D322">
            <v>56.229996</v>
          </cell>
          <cell r="E322" t="e">
            <v>#N/A</v>
          </cell>
          <cell r="F322" t="e">
            <v>#N/A</v>
          </cell>
          <cell r="G322" t="e">
            <v>#N/A</v>
          </cell>
          <cell r="H322" t="e">
            <v>#N/A</v>
          </cell>
          <cell r="I322" t="e">
            <v>#N/A</v>
          </cell>
          <cell r="J322" t="e">
            <v>#N/A</v>
          </cell>
          <cell r="K322" t="e">
            <v>#N/A</v>
          </cell>
          <cell r="L322" t="e">
            <v>#N/A</v>
          </cell>
          <cell r="M322" t="e">
            <v>#N/A</v>
          </cell>
          <cell r="N322" t="e">
            <v>#N/A</v>
          </cell>
          <cell r="O322" t="e">
            <v>#N/A</v>
          </cell>
          <cell r="P322">
            <v>56.229996</v>
          </cell>
          <cell r="Q322">
            <v>10.198028000000001</v>
          </cell>
          <cell r="R322" t="e">
            <v>#N/A</v>
          </cell>
        </row>
        <row r="323">
          <cell r="A323">
            <v>40619</v>
          </cell>
          <cell r="B323">
            <v>40619</v>
          </cell>
          <cell r="C323" t="str">
            <v>Past</v>
          </cell>
          <cell r="D323">
            <v>54.679993000000003</v>
          </cell>
          <cell r="E323" t="e">
            <v>#N/A</v>
          </cell>
          <cell r="F323" t="e">
            <v>#N/A</v>
          </cell>
          <cell r="G323" t="e">
            <v>#N/A</v>
          </cell>
          <cell r="H323" t="e">
            <v>#N/A</v>
          </cell>
          <cell r="I323" t="e">
            <v>#N/A</v>
          </cell>
          <cell r="J323" t="e">
            <v>#N/A</v>
          </cell>
          <cell r="K323" t="e">
            <v>#N/A</v>
          </cell>
          <cell r="L323" t="e">
            <v>#N/A</v>
          </cell>
          <cell r="M323" t="e">
            <v>#N/A</v>
          </cell>
          <cell r="N323" t="e">
            <v>#N/A</v>
          </cell>
          <cell r="O323" t="e">
            <v>#N/A</v>
          </cell>
          <cell r="P323">
            <v>54.679993000000003</v>
          </cell>
          <cell r="Q323">
            <v>20.886536</v>
          </cell>
          <cell r="R323" t="e">
            <v>#N/A</v>
          </cell>
        </row>
        <row r="324">
          <cell r="A324">
            <v>40620</v>
          </cell>
          <cell r="B324">
            <v>40620</v>
          </cell>
          <cell r="C324" t="str">
            <v>Past</v>
          </cell>
          <cell r="D324">
            <v>53.189988</v>
          </cell>
          <cell r="E324" t="e">
            <v>#N/A</v>
          </cell>
          <cell r="F324" t="e">
            <v>#N/A</v>
          </cell>
          <cell r="G324" t="e">
            <v>#N/A</v>
          </cell>
          <cell r="H324" t="e">
            <v>#N/A</v>
          </cell>
          <cell r="I324" t="e">
            <v>#N/A</v>
          </cell>
          <cell r="J324" t="e">
            <v>#N/A</v>
          </cell>
          <cell r="K324" t="e">
            <v>#N/A</v>
          </cell>
          <cell r="L324" t="e">
            <v>#N/A</v>
          </cell>
          <cell r="M324" t="e">
            <v>#N/A</v>
          </cell>
          <cell r="N324" t="e">
            <v>#N/A</v>
          </cell>
          <cell r="O324" t="e">
            <v>#N/A</v>
          </cell>
          <cell r="P324">
            <v>53.189988</v>
          </cell>
          <cell r="Q324">
            <v>14.106973</v>
          </cell>
          <cell r="R324" t="e">
            <v>#N/A</v>
          </cell>
        </row>
        <row r="325">
          <cell r="A325">
            <v>40623</v>
          </cell>
          <cell r="B325">
            <v>40623</v>
          </cell>
          <cell r="C325" t="str">
            <v>Past</v>
          </cell>
          <cell r="D325">
            <v>52.449997000000003</v>
          </cell>
          <cell r="E325" t="e">
            <v>#N/A</v>
          </cell>
          <cell r="F325" t="e">
            <v>#N/A</v>
          </cell>
          <cell r="G325" t="e">
            <v>#N/A</v>
          </cell>
          <cell r="H325" t="e">
            <v>#N/A</v>
          </cell>
          <cell r="I325" t="e">
            <v>#N/A</v>
          </cell>
          <cell r="J325" t="e">
            <v>#N/A</v>
          </cell>
          <cell r="K325" t="e">
            <v>#N/A</v>
          </cell>
          <cell r="L325" t="e">
            <v>#N/A</v>
          </cell>
          <cell r="M325" t="e">
            <v>#N/A</v>
          </cell>
          <cell r="N325" t="e">
            <v>#N/A</v>
          </cell>
          <cell r="O325" t="e">
            <v>#N/A</v>
          </cell>
          <cell r="P325">
            <v>52.449997000000003</v>
          </cell>
          <cell r="Q325">
            <v>9.1845470000000002</v>
          </cell>
          <cell r="R325" t="e">
            <v>#N/A</v>
          </cell>
        </row>
        <row r="326">
          <cell r="A326">
            <v>40624</v>
          </cell>
          <cell r="B326">
            <v>40624</v>
          </cell>
          <cell r="C326" t="str">
            <v>Past</v>
          </cell>
          <cell r="D326">
            <v>53.379989999999999</v>
          </cell>
          <cell r="E326" t="e">
            <v>#N/A</v>
          </cell>
          <cell r="F326" t="e">
            <v>#N/A</v>
          </cell>
          <cell r="G326" t="e">
            <v>#N/A</v>
          </cell>
          <cell r="H326" t="e">
            <v>#N/A</v>
          </cell>
          <cell r="I326" t="e">
            <v>#N/A</v>
          </cell>
          <cell r="J326" t="e">
            <v>#N/A</v>
          </cell>
          <cell r="K326" t="e">
            <v>#N/A</v>
          </cell>
          <cell r="L326" t="e">
            <v>#N/A</v>
          </cell>
          <cell r="M326" t="e">
            <v>#N/A</v>
          </cell>
          <cell r="N326" t="e">
            <v>#N/A</v>
          </cell>
          <cell r="O326" t="e">
            <v>#N/A</v>
          </cell>
          <cell r="P326">
            <v>53.379989999999999</v>
          </cell>
          <cell r="Q326">
            <v>9.2024179999999998</v>
          </cell>
          <cell r="R326" t="e">
            <v>#N/A</v>
          </cell>
        </row>
        <row r="327">
          <cell r="A327">
            <v>40625</v>
          </cell>
          <cell r="B327">
            <v>40625</v>
          </cell>
          <cell r="C327" t="str">
            <v>Past</v>
          </cell>
          <cell r="D327">
            <v>52.199997000000003</v>
          </cell>
          <cell r="E327" t="e">
            <v>#N/A</v>
          </cell>
          <cell r="F327" t="e">
            <v>#N/A</v>
          </cell>
          <cell r="G327" t="e">
            <v>#N/A</v>
          </cell>
          <cell r="H327" t="e">
            <v>#N/A</v>
          </cell>
          <cell r="I327" t="e">
            <v>#N/A</v>
          </cell>
          <cell r="J327" t="e">
            <v>#N/A</v>
          </cell>
          <cell r="K327" t="e">
            <v>#N/A</v>
          </cell>
          <cell r="L327" t="e">
            <v>#N/A</v>
          </cell>
          <cell r="M327" t="e">
            <v>#N/A</v>
          </cell>
          <cell r="N327" t="e">
            <v>#N/A</v>
          </cell>
          <cell r="O327" t="e">
            <v>#N/A</v>
          </cell>
          <cell r="P327">
            <v>52.199997000000003</v>
          </cell>
          <cell r="Q327">
            <v>5.9833559999999997</v>
          </cell>
          <cell r="R327" t="e">
            <v>#N/A</v>
          </cell>
        </row>
        <row r="328">
          <cell r="A328">
            <v>40626</v>
          </cell>
          <cell r="B328">
            <v>40626</v>
          </cell>
          <cell r="C328" t="str">
            <v>Past</v>
          </cell>
          <cell r="D328">
            <v>52.239991000000003</v>
          </cell>
          <cell r="E328" t="e">
            <v>#N/A</v>
          </cell>
          <cell r="F328" t="e">
            <v>#N/A</v>
          </cell>
          <cell r="G328" t="e">
            <v>#N/A</v>
          </cell>
          <cell r="H328" t="e">
            <v>#N/A</v>
          </cell>
          <cell r="I328" t="e">
            <v>#N/A</v>
          </cell>
          <cell r="J328" t="e">
            <v>#N/A</v>
          </cell>
          <cell r="K328" t="e">
            <v>#N/A</v>
          </cell>
          <cell r="L328" t="e">
            <v>#N/A</v>
          </cell>
          <cell r="M328" t="e">
            <v>#N/A</v>
          </cell>
          <cell r="N328" t="e">
            <v>#N/A</v>
          </cell>
          <cell r="O328" t="e">
            <v>#N/A</v>
          </cell>
          <cell r="P328">
            <v>52.239991000000003</v>
          </cell>
          <cell r="Q328">
            <v>6.270848</v>
          </cell>
          <cell r="R328" t="e">
            <v>#N/A</v>
          </cell>
        </row>
        <row r="329">
          <cell r="A329">
            <v>40627</v>
          </cell>
          <cell r="B329">
            <v>40627</v>
          </cell>
          <cell r="C329" t="str">
            <v>Past</v>
          </cell>
          <cell r="D329">
            <v>53.719985999999999</v>
          </cell>
          <cell r="E329" t="e">
            <v>#N/A</v>
          </cell>
          <cell r="F329" t="e">
            <v>#N/A</v>
          </cell>
          <cell r="G329" t="e">
            <v>#N/A</v>
          </cell>
          <cell r="H329" t="e">
            <v>#N/A</v>
          </cell>
          <cell r="I329" t="e">
            <v>#N/A</v>
          </cell>
          <cell r="J329" t="e">
            <v>#N/A</v>
          </cell>
          <cell r="K329" t="e">
            <v>#N/A</v>
          </cell>
          <cell r="L329" t="e">
            <v>#N/A</v>
          </cell>
          <cell r="M329" t="e">
            <v>#N/A</v>
          </cell>
          <cell r="N329" t="e">
            <v>#N/A</v>
          </cell>
          <cell r="O329" t="e">
            <v>#N/A</v>
          </cell>
          <cell r="P329">
            <v>53.719985999999999</v>
          </cell>
          <cell r="Q329">
            <v>5.5803240000000001</v>
          </cell>
          <cell r="R329" t="e">
            <v>#N/A</v>
          </cell>
        </row>
        <row r="330">
          <cell r="A330">
            <v>40630</v>
          </cell>
          <cell r="B330">
            <v>40630</v>
          </cell>
          <cell r="C330" t="str">
            <v>Past</v>
          </cell>
          <cell r="D330">
            <v>55.009995000000004</v>
          </cell>
          <cell r="E330" t="e">
            <v>#N/A</v>
          </cell>
          <cell r="F330" t="e">
            <v>#N/A</v>
          </cell>
          <cell r="G330" t="e">
            <v>#N/A</v>
          </cell>
          <cell r="H330" t="e">
            <v>#N/A</v>
          </cell>
          <cell r="I330" t="e">
            <v>#N/A</v>
          </cell>
          <cell r="J330" t="e">
            <v>#N/A</v>
          </cell>
          <cell r="K330" t="e">
            <v>#N/A</v>
          </cell>
          <cell r="L330" t="e">
            <v>#N/A</v>
          </cell>
          <cell r="M330" t="e">
            <v>#N/A</v>
          </cell>
          <cell r="N330" t="e">
            <v>#N/A</v>
          </cell>
          <cell r="O330" t="e">
            <v>#N/A</v>
          </cell>
          <cell r="P330">
            <v>55.009995000000004</v>
          </cell>
          <cell r="Q330">
            <v>7.3031519999999999</v>
          </cell>
          <cell r="R330" t="e">
            <v>#N/A</v>
          </cell>
        </row>
        <row r="331">
          <cell r="A331">
            <v>40631</v>
          </cell>
          <cell r="B331">
            <v>40631</v>
          </cell>
          <cell r="C331" t="str">
            <v>Past</v>
          </cell>
          <cell r="D331">
            <v>55.219985999999999</v>
          </cell>
          <cell r="E331" t="e">
            <v>#N/A</v>
          </cell>
          <cell r="F331" t="e">
            <v>#N/A</v>
          </cell>
          <cell r="G331" t="e">
            <v>#N/A</v>
          </cell>
          <cell r="H331" t="e">
            <v>#N/A</v>
          </cell>
          <cell r="I331" t="e">
            <v>#N/A</v>
          </cell>
          <cell r="J331" t="e">
            <v>#N/A</v>
          </cell>
          <cell r="K331" t="e">
            <v>#N/A</v>
          </cell>
          <cell r="L331" t="e">
            <v>#N/A</v>
          </cell>
          <cell r="M331" t="e">
            <v>#N/A</v>
          </cell>
          <cell r="N331" t="e">
            <v>#N/A</v>
          </cell>
          <cell r="O331" t="e">
            <v>#N/A</v>
          </cell>
          <cell r="P331">
            <v>55.219985999999999</v>
          </cell>
          <cell r="Q331">
            <v>4.3827379999999998</v>
          </cell>
          <cell r="R331" t="e">
            <v>#N/A</v>
          </cell>
        </row>
        <row r="332">
          <cell r="A332">
            <v>40632</v>
          </cell>
          <cell r="B332">
            <v>40632</v>
          </cell>
          <cell r="C332" t="str">
            <v>Past</v>
          </cell>
          <cell r="D332">
            <v>55.319992999999997</v>
          </cell>
          <cell r="E332" t="e">
            <v>#N/A</v>
          </cell>
          <cell r="F332" t="e">
            <v>#N/A</v>
          </cell>
          <cell r="G332" t="e">
            <v>#N/A</v>
          </cell>
          <cell r="H332" t="e">
            <v>#N/A</v>
          </cell>
          <cell r="I332" t="e">
            <v>#N/A</v>
          </cell>
          <cell r="J332" t="e">
            <v>#N/A</v>
          </cell>
          <cell r="K332" t="e">
            <v>#N/A</v>
          </cell>
          <cell r="L332" t="e">
            <v>#N/A</v>
          </cell>
          <cell r="M332" t="e">
            <v>#N/A</v>
          </cell>
          <cell r="N332" t="e">
            <v>#N/A</v>
          </cell>
          <cell r="O332" t="e">
            <v>#N/A</v>
          </cell>
          <cell r="P332">
            <v>55.319992999999997</v>
          </cell>
          <cell r="Q332">
            <v>3.0209999999999999</v>
          </cell>
          <cell r="R332" t="e">
            <v>#N/A</v>
          </cell>
        </row>
        <row r="333">
          <cell r="A333">
            <v>40633</v>
          </cell>
          <cell r="B333">
            <v>40633</v>
          </cell>
          <cell r="C333" t="str">
            <v>Past</v>
          </cell>
          <cell r="D333">
            <v>56.159989000000003</v>
          </cell>
          <cell r="E333" t="e">
            <v>#N/A</v>
          </cell>
          <cell r="F333" t="e">
            <v>#N/A</v>
          </cell>
          <cell r="G333" t="e">
            <v>#N/A</v>
          </cell>
          <cell r="H333" t="e">
            <v>#N/A</v>
          </cell>
          <cell r="I333" t="e">
            <v>#N/A</v>
          </cell>
          <cell r="J333" t="e">
            <v>#N/A</v>
          </cell>
          <cell r="K333" t="e">
            <v>#N/A</v>
          </cell>
          <cell r="L333" t="e">
            <v>#N/A</v>
          </cell>
          <cell r="M333" t="e">
            <v>#N/A</v>
          </cell>
          <cell r="N333" t="e">
            <v>#N/A</v>
          </cell>
          <cell r="O333" t="e">
            <v>#N/A</v>
          </cell>
          <cell r="P333">
            <v>56.159989000000003</v>
          </cell>
          <cell r="Q333">
            <v>4.1229449999999996</v>
          </cell>
          <cell r="R333" t="e">
            <v>#N/A</v>
          </cell>
        </row>
        <row r="334">
          <cell r="A334">
            <v>40634</v>
          </cell>
          <cell r="B334">
            <v>40634</v>
          </cell>
          <cell r="C334" t="str">
            <v>Past</v>
          </cell>
          <cell r="D334">
            <v>56.739991000000003</v>
          </cell>
          <cell r="E334" t="e">
            <v>#N/A</v>
          </cell>
          <cell r="F334" t="e">
            <v>#N/A</v>
          </cell>
          <cell r="G334" t="e">
            <v>#N/A</v>
          </cell>
          <cell r="H334" t="e">
            <v>#N/A</v>
          </cell>
          <cell r="I334" t="e">
            <v>#N/A</v>
          </cell>
          <cell r="J334" t="e">
            <v>#N/A</v>
          </cell>
          <cell r="K334" t="e">
            <v>#N/A</v>
          </cell>
          <cell r="L334" t="e">
            <v>#N/A</v>
          </cell>
          <cell r="M334" t="e">
            <v>#N/A</v>
          </cell>
          <cell r="N334" t="e">
            <v>#N/A</v>
          </cell>
          <cell r="O334" t="e">
            <v>#N/A</v>
          </cell>
          <cell r="P334">
            <v>56.739991000000003</v>
          </cell>
          <cell r="Q334">
            <v>4.28409</v>
          </cell>
          <cell r="R334" t="e">
            <v>#N/A</v>
          </cell>
        </row>
        <row r="335">
          <cell r="A335">
            <v>40637</v>
          </cell>
          <cell r="B335">
            <v>40637</v>
          </cell>
          <cell r="C335" t="str">
            <v>Past</v>
          </cell>
          <cell r="D335">
            <v>56.919998999999997</v>
          </cell>
          <cell r="E335" t="e">
            <v>#N/A</v>
          </cell>
          <cell r="F335" t="e">
            <v>#N/A</v>
          </cell>
          <cell r="G335" t="e">
            <v>#N/A</v>
          </cell>
          <cell r="H335" t="e">
            <v>#N/A</v>
          </cell>
          <cell r="I335" t="e">
            <v>#N/A</v>
          </cell>
          <cell r="J335" t="e">
            <v>#N/A</v>
          </cell>
          <cell r="K335" t="e">
            <v>#N/A</v>
          </cell>
          <cell r="L335" t="e">
            <v>#N/A</v>
          </cell>
          <cell r="M335" t="e">
            <v>#N/A</v>
          </cell>
          <cell r="N335" t="e">
            <v>#N/A</v>
          </cell>
          <cell r="O335" t="e">
            <v>#N/A</v>
          </cell>
          <cell r="P335">
            <v>56.919998999999997</v>
          </cell>
          <cell r="Q335">
            <v>4.1607969999999996</v>
          </cell>
          <cell r="R335" t="e">
            <v>#N/A</v>
          </cell>
        </row>
        <row r="336">
          <cell r="A336">
            <v>40638</v>
          </cell>
          <cell r="B336">
            <v>40638</v>
          </cell>
          <cell r="C336" t="str">
            <v>Past</v>
          </cell>
          <cell r="D336">
            <v>56.169998999999997</v>
          </cell>
          <cell r="E336" t="e">
            <v>#N/A</v>
          </cell>
          <cell r="F336" t="e">
            <v>#N/A</v>
          </cell>
          <cell r="G336" t="e">
            <v>#N/A</v>
          </cell>
          <cell r="H336" t="e">
            <v>#N/A</v>
          </cell>
          <cell r="I336" t="e">
            <v>#N/A</v>
          </cell>
          <cell r="J336" t="e">
            <v>#N/A</v>
          </cell>
          <cell r="K336" t="e">
            <v>#N/A</v>
          </cell>
          <cell r="L336" t="e">
            <v>#N/A</v>
          </cell>
          <cell r="M336" t="e">
            <v>#N/A</v>
          </cell>
          <cell r="N336" t="e">
            <v>#N/A</v>
          </cell>
          <cell r="O336" t="e">
            <v>#N/A</v>
          </cell>
          <cell r="P336">
            <v>56.169998999999997</v>
          </cell>
          <cell r="Q336">
            <v>2.884792</v>
          </cell>
          <cell r="R336" t="e">
            <v>#N/A</v>
          </cell>
        </row>
        <row r="337">
          <cell r="A337">
            <v>40639</v>
          </cell>
          <cell r="B337">
            <v>40639</v>
          </cell>
          <cell r="C337" t="str">
            <v>Past</v>
          </cell>
          <cell r="D337">
            <v>56.25</v>
          </cell>
          <cell r="E337" t="e">
            <v>#N/A</v>
          </cell>
          <cell r="F337" t="e">
            <v>#N/A</v>
          </cell>
          <cell r="G337" t="e">
            <v>#N/A</v>
          </cell>
          <cell r="H337" t="e">
            <v>#N/A</v>
          </cell>
          <cell r="I337" t="e">
            <v>#N/A</v>
          </cell>
          <cell r="J337" t="e">
            <v>#N/A</v>
          </cell>
          <cell r="K337" t="e">
            <v>#N/A</v>
          </cell>
          <cell r="L337" t="e">
            <v>#N/A</v>
          </cell>
          <cell r="M337" t="e">
            <v>#N/A</v>
          </cell>
          <cell r="N337" t="e">
            <v>#N/A</v>
          </cell>
          <cell r="O337" t="e">
            <v>#N/A</v>
          </cell>
          <cell r="P337">
            <v>56.25</v>
          </cell>
          <cell r="Q337">
            <v>2.945424</v>
          </cell>
          <cell r="R337" t="e">
            <v>#N/A</v>
          </cell>
        </row>
        <row r="338">
          <cell r="A338">
            <v>40640</v>
          </cell>
          <cell r="B338">
            <v>40640</v>
          </cell>
          <cell r="C338" t="str">
            <v>Past</v>
          </cell>
          <cell r="D338">
            <v>55.729996</v>
          </cell>
          <cell r="E338" t="e">
            <v>#N/A</v>
          </cell>
          <cell r="F338" t="e">
            <v>#N/A</v>
          </cell>
          <cell r="G338" t="e">
            <v>#N/A</v>
          </cell>
          <cell r="H338" t="e">
            <v>#N/A</v>
          </cell>
          <cell r="I338" t="e">
            <v>#N/A</v>
          </cell>
          <cell r="J338" t="e">
            <v>#N/A</v>
          </cell>
          <cell r="K338" t="e">
            <v>#N/A</v>
          </cell>
          <cell r="L338" t="e">
            <v>#N/A</v>
          </cell>
          <cell r="M338" t="e">
            <v>#N/A</v>
          </cell>
          <cell r="N338" t="e">
            <v>#N/A</v>
          </cell>
          <cell r="O338" t="e">
            <v>#N/A</v>
          </cell>
          <cell r="P338">
            <v>55.729996</v>
          </cell>
          <cell r="Q338">
            <v>2.7035710000000002</v>
          </cell>
          <cell r="R338" t="e">
            <v>#N/A</v>
          </cell>
        </row>
        <row r="339">
          <cell r="A339">
            <v>40641</v>
          </cell>
          <cell r="B339">
            <v>40641</v>
          </cell>
          <cell r="C339" t="str">
            <v>Past</v>
          </cell>
          <cell r="D339">
            <v>55.819992999999997</v>
          </cell>
          <cell r="E339" t="e">
            <v>#N/A</v>
          </cell>
          <cell r="F339" t="e">
            <v>#N/A</v>
          </cell>
          <cell r="G339" t="e">
            <v>#N/A</v>
          </cell>
          <cell r="H339" t="e">
            <v>#N/A</v>
          </cell>
          <cell r="I339" t="e">
            <v>#N/A</v>
          </cell>
          <cell r="J339" t="e">
            <v>#N/A</v>
          </cell>
          <cell r="K339" t="e">
            <v>#N/A</v>
          </cell>
          <cell r="L339" t="e">
            <v>#N/A</v>
          </cell>
          <cell r="M339" t="e">
            <v>#N/A</v>
          </cell>
          <cell r="N339" t="e">
            <v>#N/A</v>
          </cell>
          <cell r="O339" t="e">
            <v>#N/A</v>
          </cell>
          <cell r="P339">
            <v>55.819992999999997</v>
          </cell>
          <cell r="Q339">
            <v>2.5636239999999999</v>
          </cell>
          <cell r="R339" t="e">
            <v>#N/A</v>
          </cell>
        </row>
        <row r="340">
          <cell r="A340">
            <v>40644</v>
          </cell>
          <cell r="B340">
            <v>40644</v>
          </cell>
          <cell r="C340" t="str">
            <v>Past</v>
          </cell>
          <cell r="D340">
            <v>55.289994</v>
          </cell>
          <cell r="E340" t="e">
            <v>#N/A</v>
          </cell>
          <cell r="F340" t="e">
            <v>#N/A</v>
          </cell>
          <cell r="G340" t="e">
            <v>#N/A</v>
          </cell>
          <cell r="H340" t="e">
            <v>#N/A</v>
          </cell>
          <cell r="I340" t="e">
            <v>#N/A</v>
          </cell>
          <cell r="J340" t="e">
            <v>#N/A</v>
          </cell>
          <cell r="K340" t="e">
            <v>#N/A</v>
          </cell>
          <cell r="L340" t="e">
            <v>#N/A</v>
          </cell>
          <cell r="M340" t="e">
            <v>#N/A</v>
          </cell>
          <cell r="N340" t="e">
            <v>#N/A</v>
          </cell>
          <cell r="O340" t="e">
            <v>#N/A</v>
          </cell>
          <cell r="P340">
            <v>55.289994</v>
          </cell>
          <cell r="Q340">
            <v>2.500159</v>
          </cell>
          <cell r="R340" t="e">
            <v>#N/A</v>
          </cell>
        </row>
        <row r="341">
          <cell r="A341">
            <v>40645</v>
          </cell>
          <cell r="B341">
            <v>40645</v>
          </cell>
          <cell r="C341" t="str">
            <v>Past</v>
          </cell>
          <cell r="D341">
            <v>55.539994</v>
          </cell>
          <cell r="E341" t="e">
            <v>#N/A</v>
          </cell>
          <cell r="F341" t="e">
            <v>#N/A</v>
          </cell>
          <cell r="G341" t="e">
            <v>#N/A</v>
          </cell>
          <cell r="H341" t="e">
            <v>#N/A</v>
          </cell>
          <cell r="I341" t="e">
            <v>#N/A</v>
          </cell>
          <cell r="J341" t="e">
            <v>#N/A</v>
          </cell>
          <cell r="K341" t="e">
            <v>#N/A</v>
          </cell>
          <cell r="L341" t="e">
            <v>#N/A</v>
          </cell>
          <cell r="M341" t="e">
            <v>#N/A</v>
          </cell>
          <cell r="N341" t="e">
            <v>#N/A</v>
          </cell>
          <cell r="O341" t="e">
            <v>#N/A</v>
          </cell>
          <cell r="P341">
            <v>55.539994</v>
          </cell>
          <cell r="Q341">
            <v>2.133057</v>
          </cell>
          <cell r="R341" t="e">
            <v>#N/A</v>
          </cell>
        </row>
        <row r="342">
          <cell r="A342">
            <v>40646</v>
          </cell>
          <cell r="B342">
            <v>40646</v>
          </cell>
          <cell r="C342" t="str">
            <v>Past</v>
          </cell>
          <cell r="D342">
            <v>55.069992999999997</v>
          </cell>
          <cell r="E342" t="e">
            <v>#N/A</v>
          </cell>
          <cell r="F342" t="e">
            <v>#N/A</v>
          </cell>
          <cell r="G342" t="e">
            <v>#N/A</v>
          </cell>
          <cell r="H342" t="e">
            <v>#N/A</v>
          </cell>
          <cell r="I342" t="e">
            <v>#N/A</v>
          </cell>
          <cell r="J342" t="e">
            <v>#N/A</v>
          </cell>
          <cell r="K342" t="e">
            <v>#N/A</v>
          </cell>
          <cell r="L342" t="e">
            <v>#N/A</v>
          </cell>
          <cell r="M342" t="e">
            <v>#N/A</v>
          </cell>
          <cell r="N342" t="e">
            <v>#N/A</v>
          </cell>
          <cell r="O342" t="e">
            <v>#N/A</v>
          </cell>
          <cell r="P342">
            <v>55.069992999999997</v>
          </cell>
          <cell r="Q342">
            <v>2.267166</v>
          </cell>
          <cell r="R342" t="e">
            <v>#N/A</v>
          </cell>
        </row>
        <row r="343">
          <cell r="A343">
            <v>40647</v>
          </cell>
          <cell r="B343">
            <v>40647</v>
          </cell>
          <cell r="C343" t="str">
            <v>Past</v>
          </cell>
          <cell r="D343">
            <v>55.529998999999997</v>
          </cell>
          <cell r="E343" t="e">
            <v>#N/A</v>
          </cell>
          <cell r="F343" t="e">
            <v>#N/A</v>
          </cell>
          <cell r="G343" t="e">
            <v>#N/A</v>
          </cell>
          <cell r="H343" t="e">
            <v>#N/A</v>
          </cell>
          <cell r="I343" t="e">
            <v>#N/A</v>
          </cell>
          <cell r="J343" t="e">
            <v>#N/A</v>
          </cell>
          <cell r="K343" t="e">
            <v>#N/A</v>
          </cell>
          <cell r="L343" t="e">
            <v>#N/A</v>
          </cell>
          <cell r="M343" t="e">
            <v>#N/A</v>
          </cell>
          <cell r="N343" t="e">
            <v>#N/A</v>
          </cell>
          <cell r="O343" t="e">
            <v>#N/A</v>
          </cell>
          <cell r="P343">
            <v>55.529998999999997</v>
          </cell>
          <cell r="Q343">
            <v>2.5727530000000001</v>
          </cell>
          <cell r="R343" t="e">
            <v>#N/A</v>
          </cell>
        </row>
        <row r="344">
          <cell r="A344">
            <v>40648</v>
          </cell>
          <cell r="B344">
            <v>40648</v>
          </cell>
          <cell r="C344" t="str">
            <v>Past</v>
          </cell>
          <cell r="D344">
            <v>55.829987000000003</v>
          </cell>
          <cell r="E344" t="e">
            <v>#N/A</v>
          </cell>
          <cell r="F344" t="e">
            <v>#N/A</v>
          </cell>
          <cell r="G344" t="e">
            <v>#N/A</v>
          </cell>
          <cell r="H344" t="e">
            <v>#N/A</v>
          </cell>
          <cell r="I344" t="e">
            <v>#N/A</v>
          </cell>
          <cell r="J344" t="e">
            <v>#N/A</v>
          </cell>
          <cell r="K344" t="e">
            <v>#N/A</v>
          </cell>
          <cell r="L344" t="e">
            <v>#N/A</v>
          </cell>
          <cell r="M344" t="e">
            <v>#N/A</v>
          </cell>
          <cell r="N344" t="e">
            <v>#N/A</v>
          </cell>
          <cell r="O344" t="e">
            <v>#N/A</v>
          </cell>
          <cell r="P344">
            <v>55.829987000000003</v>
          </cell>
          <cell r="Q344">
            <v>2.759795</v>
          </cell>
          <cell r="R344" t="e">
            <v>#N/A</v>
          </cell>
        </row>
        <row r="345">
          <cell r="A345">
            <v>40651</v>
          </cell>
          <cell r="B345">
            <v>40651</v>
          </cell>
          <cell r="C345" t="str">
            <v>Past</v>
          </cell>
          <cell r="D345">
            <v>55.969985999999999</v>
          </cell>
          <cell r="E345" t="e">
            <v>#N/A</v>
          </cell>
          <cell r="F345" t="e">
            <v>#N/A</v>
          </cell>
          <cell r="G345" t="e">
            <v>#N/A</v>
          </cell>
          <cell r="H345" t="e">
            <v>#N/A</v>
          </cell>
          <cell r="I345" t="e">
            <v>#N/A</v>
          </cell>
          <cell r="J345" t="e">
            <v>#N/A</v>
          </cell>
          <cell r="K345" t="e">
            <v>#N/A</v>
          </cell>
          <cell r="L345" t="e">
            <v>#N/A</v>
          </cell>
          <cell r="M345" t="e">
            <v>#N/A</v>
          </cell>
          <cell r="N345" t="e">
            <v>#N/A</v>
          </cell>
          <cell r="O345" t="e">
            <v>#N/A</v>
          </cell>
          <cell r="P345">
            <v>55.969985999999999</v>
          </cell>
          <cell r="Q345">
            <v>3.0700240000000001</v>
          </cell>
          <cell r="R345" t="e">
            <v>#N/A</v>
          </cell>
        </row>
        <row r="346">
          <cell r="A346">
            <v>40652</v>
          </cell>
          <cell r="B346">
            <v>40652</v>
          </cell>
          <cell r="C346" t="str">
            <v>Past</v>
          </cell>
          <cell r="D346">
            <v>58.329987000000003</v>
          </cell>
          <cell r="E346" t="e">
            <v>#N/A</v>
          </cell>
          <cell r="F346" t="e">
            <v>#N/A</v>
          </cell>
          <cell r="G346" t="e">
            <v>#N/A</v>
          </cell>
          <cell r="H346" t="e">
            <v>#N/A</v>
          </cell>
          <cell r="I346" t="e">
            <v>#N/A</v>
          </cell>
          <cell r="J346" t="e">
            <v>#N/A</v>
          </cell>
          <cell r="K346" t="e">
            <v>#N/A</v>
          </cell>
          <cell r="L346" t="e">
            <v>#N/A</v>
          </cell>
          <cell r="M346" t="e">
            <v>#N/A</v>
          </cell>
          <cell r="N346" t="e">
            <v>#N/A</v>
          </cell>
          <cell r="O346" t="e">
            <v>#N/A</v>
          </cell>
          <cell r="P346">
            <v>58.329987000000003</v>
          </cell>
          <cell r="Q346">
            <v>6.5286559999999998</v>
          </cell>
          <cell r="R346" t="e">
            <v>#N/A</v>
          </cell>
        </row>
        <row r="347">
          <cell r="A347">
            <v>40653</v>
          </cell>
          <cell r="B347">
            <v>40653</v>
          </cell>
          <cell r="C347" t="str">
            <v>Past</v>
          </cell>
          <cell r="D347">
            <v>58.619996</v>
          </cell>
          <cell r="E347" t="e">
            <v>#N/A</v>
          </cell>
          <cell r="F347" t="e">
            <v>#N/A</v>
          </cell>
          <cell r="G347" t="e">
            <v>#N/A</v>
          </cell>
          <cell r="H347" t="e">
            <v>#N/A</v>
          </cell>
          <cell r="I347" t="e">
            <v>#N/A</v>
          </cell>
          <cell r="J347" t="e">
            <v>#N/A</v>
          </cell>
          <cell r="K347" t="e">
            <v>#N/A</v>
          </cell>
          <cell r="L347" t="e">
            <v>#N/A</v>
          </cell>
          <cell r="M347" t="e">
            <v>#N/A</v>
          </cell>
          <cell r="N347" t="e">
            <v>#N/A</v>
          </cell>
          <cell r="O347" t="e">
            <v>#N/A</v>
          </cell>
          <cell r="P347">
            <v>58.619996</v>
          </cell>
          <cell r="Q347">
            <v>5.5340389999999999</v>
          </cell>
          <cell r="R347" t="e">
            <v>#N/A</v>
          </cell>
        </row>
        <row r="348">
          <cell r="A348">
            <v>40654</v>
          </cell>
          <cell r="B348">
            <v>40654</v>
          </cell>
          <cell r="C348" t="str">
            <v>Past</v>
          </cell>
          <cell r="D348">
            <v>58.129989999999999</v>
          </cell>
          <cell r="E348" t="e">
            <v>#N/A</v>
          </cell>
          <cell r="F348" t="e">
            <v>#N/A</v>
          </cell>
          <cell r="G348" t="e">
            <v>#N/A</v>
          </cell>
          <cell r="H348" t="e">
            <v>#N/A</v>
          </cell>
          <cell r="I348" t="e">
            <v>#N/A</v>
          </cell>
          <cell r="J348" t="e">
            <v>#N/A</v>
          </cell>
          <cell r="K348" t="e">
            <v>#N/A</v>
          </cell>
          <cell r="L348" t="e">
            <v>#N/A</v>
          </cell>
          <cell r="M348" t="e">
            <v>#N/A</v>
          </cell>
          <cell r="N348" t="e">
            <v>#N/A</v>
          </cell>
          <cell r="O348" t="e">
            <v>#N/A</v>
          </cell>
          <cell r="P348">
            <v>58.129989999999999</v>
          </cell>
          <cell r="Q348">
            <v>3.3395980000000001</v>
          </cell>
          <cell r="R348" t="e">
            <v>#N/A</v>
          </cell>
        </row>
        <row r="349">
          <cell r="A349">
            <v>40658</v>
          </cell>
          <cell r="B349">
            <v>40658</v>
          </cell>
          <cell r="C349" t="str">
            <v>Past</v>
          </cell>
          <cell r="D349">
            <v>57.989991000000003</v>
          </cell>
          <cell r="E349" t="e">
            <v>#N/A</v>
          </cell>
          <cell r="F349" t="e">
            <v>#N/A</v>
          </cell>
          <cell r="G349" t="e">
            <v>#N/A</v>
          </cell>
          <cell r="H349" t="e">
            <v>#N/A</v>
          </cell>
          <cell r="I349" t="e">
            <v>#N/A</v>
          </cell>
          <cell r="J349" t="e">
            <v>#N/A</v>
          </cell>
          <cell r="K349" t="e">
            <v>#N/A</v>
          </cell>
          <cell r="L349" t="e">
            <v>#N/A</v>
          </cell>
          <cell r="M349" t="e">
            <v>#N/A</v>
          </cell>
          <cell r="N349" t="e">
            <v>#N/A</v>
          </cell>
          <cell r="O349" t="e">
            <v>#N/A</v>
          </cell>
          <cell r="P349">
            <v>57.989991000000003</v>
          </cell>
          <cell r="Q349">
            <v>2.0747499999999999</v>
          </cell>
          <cell r="R349" t="e">
            <v>#N/A</v>
          </cell>
        </row>
        <row r="350">
          <cell r="A350">
            <v>40659</v>
          </cell>
          <cell r="B350">
            <v>40659</v>
          </cell>
          <cell r="C350" t="str">
            <v>Past</v>
          </cell>
          <cell r="D350">
            <v>58.039994</v>
          </cell>
          <cell r="E350" t="e">
            <v>#N/A</v>
          </cell>
          <cell r="F350" t="e">
            <v>#N/A</v>
          </cell>
          <cell r="G350" t="e">
            <v>#N/A</v>
          </cell>
          <cell r="H350" t="e">
            <v>#N/A</v>
          </cell>
          <cell r="I350" t="e">
            <v>#N/A</v>
          </cell>
          <cell r="J350" t="e">
            <v>#N/A</v>
          </cell>
          <cell r="K350" t="e">
            <v>#N/A</v>
          </cell>
          <cell r="L350" t="e">
            <v>#N/A</v>
          </cell>
          <cell r="M350" t="e">
            <v>#N/A</v>
          </cell>
          <cell r="N350" t="e">
            <v>#N/A</v>
          </cell>
          <cell r="O350" t="e">
            <v>#N/A</v>
          </cell>
          <cell r="P350">
            <v>58.039994</v>
          </cell>
          <cell r="Q350">
            <v>3.1891790000000002</v>
          </cell>
          <cell r="R350" t="e">
            <v>#N/A</v>
          </cell>
        </row>
        <row r="351">
          <cell r="A351">
            <v>40660</v>
          </cell>
          <cell r="B351">
            <v>40660</v>
          </cell>
          <cell r="C351" t="str">
            <v>Past</v>
          </cell>
          <cell r="D351">
            <v>58.939988</v>
          </cell>
          <cell r="E351" t="e">
            <v>#N/A</v>
          </cell>
          <cell r="F351" t="e">
            <v>#N/A</v>
          </cell>
          <cell r="G351" t="e">
            <v>#N/A</v>
          </cell>
          <cell r="H351" t="e">
            <v>#N/A</v>
          </cell>
          <cell r="I351" t="e">
            <v>#N/A</v>
          </cell>
          <cell r="J351" t="e">
            <v>#N/A</v>
          </cell>
          <cell r="K351" t="e">
            <v>#N/A</v>
          </cell>
          <cell r="L351" t="e">
            <v>#N/A</v>
          </cell>
          <cell r="M351" t="e">
            <v>#N/A</v>
          </cell>
          <cell r="N351" t="e">
            <v>#N/A</v>
          </cell>
          <cell r="O351" t="e">
            <v>#N/A</v>
          </cell>
          <cell r="P351">
            <v>58.939988</v>
          </cell>
          <cell r="Q351">
            <v>5.0605200000000004</v>
          </cell>
          <cell r="R351" t="e">
            <v>#N/A</v>
          </cell>
        </row>
        <row r="352">
          <cell r="A352">
            <v>40661</v>
          </cell>
          <cell r="B352">
            <v>40661</v>
          </cell>
          <cell r="C352" t="str">
            <v>Past</v>
          </cell>
          <cell r="D352">
            <v>60.159989000000003</v>
          </cell>
          <cell r="E352" t="e">
            <v>#N/A</v>
          </cell>
          <cell r="F352" t="e">
            <v>#N/A</v>
          </cell>
          <cell r="G352" t="e">
            <v>#N/A</v>
          </cell>
          <cell r="H352" t="e">
            <v>#N/A</v>
          </cell>
          <cell r="I352" t="e">
            <v>#N/A</v>
          </cell>
          <cell r="J352" t="e">
            <v>#N/A</v>
          </cell>
          <cell r="K352" t="e">
            <v>#N/A</v>
          </cell>
          <cell r="L352" t="e">
            <v>#N/A</v>
          </cell>
          <cell r="M352" t="e">
            <v>#N/A</v>
          </cell>
          <cell r="N352" t="e">
            <v>#N/A</v>
          </cell>
          <cell r="O352" t="e">
            <v>#N/A</v>
          </cell>
          <cell r="P352">
            <v>60.159989000000003</v>
          </cell>
          <cell r="Q352">
            <v>4.9890080000000001</v>
          </cell>
          <cell r="R352" t="e">
            <v>#N/A</v>
          </cell>
        </row>
        <row r="353">
          <cell r="A353">
            <v>40662</v>
          </cell>
          <cell r="B353">
            <v>40662</v>
          </cell>
          <cell r="C353" t="str">
            <v>Past</v>
          </cell>
          <cell r="D353">
            <v>59.329987000000003</v>
          </cell>
          <cell r="E353" t="e">
            <v>#N/A</v>
          </cell>
          <cell r="F353" t="e">
            <v>#N/A</v>
          </cell>
          <cell r="G353" t="e">
            <v>#N/A</v>
          </cell>
          <cell r="H353" t="e">
            <v>#N/A</v>
          </cell>
          <cell r="I353" t="e">
            <v>#N/A</v>
          </cell>
          <cell r="J353" t="e">
            <v>#N/A</v>
          </cell>
          <cell r="K353" t="e">
            <v>#N/A</v>
          </cell>
          <cell r="L353" t="e">
            <v>#N/A</v>
          </cell>
          <cell r="M353" t="e">
            <v>#N/A</v>
          </cell>
          <cell r="N353" t="e">
            <v>#N/A</v>
          </cell>
          <cell r="O353" t="e">
            <v>#N/A</v>
          </cell>
          <cell r="P353">
            <v>59.329987000000003</v>
          </cell>
          <cell r="Q353">
            <v>2.5770240000000002</v>
          </cell>
          <cell r="R353" t="e">
            <v>#N/A</v>
          </cell>
        </row>
        <row r="354">
          <cell r="A354">
            <v>40665</v>
          </cell>
          <cell r="B354">
            <v>40665</v>
          </cell>
          <cell r="C354" t="str">
            <v>Past</v>
          </cell>
          <cell r="D354">
            <v>60.199997000000003</v>
          </cell>
          <cell r="E354" t="e">
            <v>#N/A</v>
          </cell>
          <cell r="F354" t="e">
            <v>#N/A</v>
          </cell>
          <cell r="G354" t="e">
            <v>#N/A</v>
          </cell>
          <cell r="H354" t="e">
            <v>#N/A</v>
          </cell>
          <cell r="I354" t="e">
            <v>#N/A</v>
          </cell>
          <cell r="J354" t="e">
            <v>#N/A</v>
          </cell>
          <cell r="K354" t="e">
            <v>#N/A</v>
          </cell>
          <cell r="L354" t="e">
            <v>#N/A</v>
          </cell>
          <cell r="M354" t="e">
            <v>#N/A</v>
          </cell>
          <cell r="N354" t="e">
            <v>#N/A</v>
          </cell>
          <cell r="O354" t="e">
            <v>#N/A</v>
          </cell>
          <cell r="P354">
            <v>60.199997000000003</v>
          </cell>
          <cell r="Q354">
            <v>2.5896300000000001</v>
          </cell>
          <cell r="R354" t="e">
            <v>#N/A</v>
          </cell>
        </row>
        <row r="355">
          <cell r="A355">
            <v>40666</v>
          </cell>
          <cell r="B355">
            <v>40666</v>
          </cell>
          <cell r="C355" t="str">
            <v>Past</v>
          </cell>
          <cell r="D355">
            <v>60.049987999999999</v>
          </cell>
          <cell r="E355" t="e">
            <v>#N/A</v>
          </cell>
          <cell r="F355" t="e">
            <v>#N/A</v>
          </cell>
          <cell r="G355" t="e">
            <v>#N/A</v>
          </cell>
          <cell r="H355" t="e">
            <v>#N/A</v>
          </cell>
          <cell r="I355" t="e">
            <v>#N/A</v>
          </cell>
          <cell r="J355" t="e">
            <v>#N/A</v>
          </cell>
          <cell r="K355" t="e">
            <v>#N/A</v>
          </cell>
          <cell r="L355" t="e">
            <v>#N/A</v>
          </cell>
          <cell r="M355" t="e">
            <v>#N/A</v>
          </cell>
          <cell r="N355" t="e">
            <v>#N/A</v>
          </cell>
          <cell r="O355" t="e">
            <v>#N/A</v>
          </cell>
          <cell r="P355">
            <v>60.049987999999999</v>
          </cell>
          <cell r="Q355">
            <v>2.3025280000000001</v>
          </cell>
          <cell r="R355" t="e">
            <v>#N/A</v>
          </cell>
        </row>
        <row r="356">
          <cell r="A356">
            <v>40667</v>
          </cell>
          <cell r="B356">
            <v>40667</v>
          </cell>
          <cell r="C356" t="str">
            <v>Past</v>
          </cell>
          <cell r="D356">
            <v>61.809998</v>
          </cell>
          <cell r="E356" t="e">
            <v>#N/A</v>
          </cell>
          <cell r="F356" t="e">
            <v>#N/A</v>
          </cell>
          <cell r="G356" t="e">
            <v>#N/A</v>
          </cell>
          <cell r="H356" t="e">
            <v>#N/A</v>
          </cell>
          <cell r="I356" t="e">
            <v>#N/A</v>
          </cell>
          <cell r="J356" t="e">
            <v>#N/A</v>
          </cell>
          <cell r="K356" t="e">
            <v>#N/A</v>
          </cell>
          <cell r="L356" t="e">
            <v>#N/A</v>
          </cell>
          <cell r="M356" t="e">
            <v>#N/A</v>
          </cell>
          <cell r="N356" t="e">
            <v>#N/A</v>
          </cell>
          <cell r="O356" t="e">
            <v>#N/A</v>
          </cell>
          <cell r="P356">
            <v>61.809998</v>
          </cell>
          <cell r="Q356">
            <v>5.4141880000000002</v>
          </cell>
          <cell r="R356" t="e">
            <v>#N/A</v>
          </cell>
        </row>
        <row r="357">
          <cell r="A357">
            <v>40668</v>
          </cell>
          <cell r="B357">
            <v>40668</v>
          </cell>
          <cell r="C357" t="str">
            <v>Past</v>
          </cell>
          <cell r="D357">
            <v>62</v>
          </cell>
          <cell r="E357" t="e">
            <v>#N/A</v>
          </cell>
          <cell r="F357" t="e">
            <v>#N/A</v>
          </cell>
          <cell r="G357" t="e">
            <v>#N/A</v>
          </cell>
          <cell r="H357" t="e">
            <v>#N/A</v>
          </cell>
          <cell r="I357" t="e">
            <v>#N/A</v>
          </cell>
          <cell r="J357" t="e">
            <v>#N/A</v>
          </cell>
          <cell r="K357" t="e">
            <v>#N/A</v>
          </cell>
          <cell r="L357" t="e">
            <v>#N/A</v>
          </cell>
          <cell r="M357" t="e">
            <v>#N/A</v>
          </cell>
          <cell r="N357" t="e">
            <v>#N/A</v>
          </cell>
          <cell r="O357" t="e">
            <v>#N/A</v>
          </cell>
          <cell r="P357">
            <v>62</v>
          </cell>
          <cell r="Q357">
            <v>3.7081879999999998</v>
          </cell>
          <cell r="R357" t="e">
            <v>#N/A</v>
          </cell>
        </row>
        <row r="358">
          <cell r="A358">
            <v>40669</v>
          </cell>
          <cell r="B358">
            <v>40669</v>
          </cell>
          <cell r="C358" t="str">
            <v>Past</v>
          </cell>
          <cell r="D358">
            <v>62.549987999999999</v>
          </cell>
          <cell r="E358" t="e">
            <v>#N/A</v>
          </cell>
          <cell r="F358" t="e">
            <v>#N/A</v>
          </cell>
          <cell r="G358" t="e">
            <v>#N/A</v>
          </cell>
          <cell r="H358" t="e">
            <v>#N/A</v>
          </cell>
          <cell r="I358" t="e">
            <v>#N/A</v>
          </cell>
          <cell r="J358" t="e">
            <v>#N/A</v>
          </cell>
          <cell r="K358" t="e">
            <v>#N/A</v>
          </cell>
          <cell r="L358" t="e">
            <v>#N/A</v>
          </cell>
          <cell r="M358" t="e">
            <v>#N/A</v>
          </cell>
          <cell r="N358" t="e">
            <v>#N/A</v>
          </cell>
          <cell r="O358" t="e">
            <v>#N/A</v>
          </cell>
          <cell r="P358">
            <v>62.549987999999999</v>
          </cell>
          <cell r="Q358">
            <v>4.2703239999999996</v>
          </cell>
          <cell r="R358" t="e">
            <v>#N/A</v>
          </cell>
        </row>
        <row r="359">
          <cell r="A359">
            <v>40672</v>
          </cell>
          <cell r="B359">
            <v>40672</v>
          </cell>
          <cell r="C359" t="str">
            <v>Past</v>
          </cell>
          <cell r="D359">
            <v>63.039994</v>
          </cell>
          <cell r="E359" t="e">
            <v>#N/A</v>
          </cell>
          <cell r="F359" t="e">
            <v>#N/A</v>
          </cell>
          <cell r="G359" t="e">
            <v>#N/A</v>
          </cell>
          <cell r="H359" t="e">
            <v>#N/A</v>
          </cell>
          <cell r="I359" t="e">
            <v>#N/A</v>
          </cell>
          <cell r="J359" t="e">
            <v>#N/A</v>
          </cell>
          <cell r="K359" t="e">
            <v>#N/A</v>
          </cell>
          <cell r="L359" t="e">
            <v>#N/A</v>
          </cell>
          <cell r="M359" t="e">
            <v>#N/A</v>
          </cell>
          <cell r="N359" t="e">
            <v>#N/A</v>
          </cell>
          <cell r="O359" t="e">
            <v>#N/A</v>
          </cell>
          <cell r="P359">
            <v>63.039994</v>
          </cell>
          <cell r="Q359">
            <v>2.4183020000000002</v>
          </cell>
          <cell r="R359" t="e">
            <v>#N/A</v>
          </cell>
        </row>
        <row r="360">
          <cell r="A360">
            <v>40673</v>
          </cell>
          <cell r="B360">
            <v>40673</v>
          </cell>
          <cell r="C360" t="str">
            <v>Past</v>
          </cell>
          <cell r="D360">
            <v>64.259995000000004</v>
          </cell>
          <cell r="E360" t="e">
            <v>#N/A</v>
          </cell>
          <cell r="F360" t="e">
            <v>#N/A</v>
          </cell>
          <cell r="G360" t="e">
            <v>#N/A</v>
          </cell>
          <cell r="H360" t="e">
            <v>#N/A</v>
          </cell>
          <cell r="I360" t="e">
            <v>#N/A</v>
          </cell>
          <cell r="J360" t="e">
            <v>#N/A</v>
          </cell>
          <cell r="K360" t="e">
            <v>#N/A</v>
          </cell>
          <cell r="L360" t="e">
            <v>#N/A</v>
          </cell>
          <cell r="M360" t="e">
            <v>#N/A</v>
          </cell>
          <cell r="N360" t="e">
            <v>#N/A</v>
          </cell>
          <cell r="O360" t="e">
            <v>#N/A</v>
          </cell>
          <cell r="P360">
            <v>64.259995000000004</v>
          </cell>
          <cell r="Q360">
            <v>3.559453</v>
          </cell>
          <cell r="R360" t="e">
            <v>#N/A</v>
          </cell>
        </row>
        <row r="361">
          <cell r="A361">
            <v>40674</v>
          </cell>
          <cell r="B361">
            <v>40674</v>
          </cell>
          <cell r="C361" t="str">
            <v>Past</v>
          </cell>
          <cell r="D361">
            <v>63.909989000000003</v>
          </cell>
          <cell r="E361" t="e">
            <v>#N/A</v>
          </cell>
          <cell r="F361" t="e">
            <v>#N/A</v>
          </cell>
          <cell r="G361" t="e">
            <v>#N/A</v>
          </cell>
          <cell r="H361" t="e">
            <v>#N/A</v>
          </cell>
          <cell r="I361" t="e">
            <v>#N/A</v>
          </cell>
          <cell r="J361" t="e">
            <v>#N/A</v>
          </cell>
          <cell r="K361" t="e">
            <v>#N/A</v>
          </cell>
          <cell r="L361" t="e">
            <v>#N/A</v>
          </cell>
          <cell r="M361" t="e">
            <v>#N/A</v>
          </cell>
          <cell r="N361" t="e">
            <v>#N/A</v>
          </cell>
          <cell r="O361" t="e">
            <v>#N/A</v>
          </cell>
          <cell r="P361">
            <v>63.909989000000003</v>
          </cell>
          <cell r="Q361">
            <v>2.3082919999999998</v>
          </cell>
          <cell r="R361" t="e">
            <v>#N/A</v>
          </cell>
        </row>
        <row r="362">
          <cell r="A362">
            <v>40675</v>
          </cell>
          <cell r="B362">
            <v>40675</v>
          </cell>
          <cell r="C362" t="str">
            <v>Past</v>
          </cell>
          <cell r="D362">
            <v>64.309997999999993</v>
          </cell>
          <cell r="E362" t="e">
            <v>#N/A</v>
          </cell>
          <cell r="F362" t="e">
            <v>#N/A</v>
          </cell>
          <cell r="G362" t="e">
            <v>#N/A</v>
          </cell>
          <cell r="H362" t="e">
            <v>#N/A</v>
          </cell>
          <cell r="I362" t="e">
            <v>#N/A</v>
          </cell>
          <cell r="J362" t="e">
            <v>#N/A</v>
          </cell>
          <cell r="K362" t="e">
            <v>#N/A</v>
          </cell>
          <cell r="L362" t="e">
            <v>#N/A</v>
          </cell>
          <cell r="M362" t="e">
            <v>#N/A</v>
          </cell>
          <cell r="N362" t="e">
            <v>#N/A</v>
          </cell>
          <cell r="O362" t="e">
            <v>#N/A</v>
          </cell>
          <cell r="P362">
            <v>64.309997999999993</v>
          </cell>
          <cell r="Q362">
            <v>2.340681</v>
          </cell>
          <cell r="R362" t="e">
            <v>#N/A</v>
          </cell>
        </row>
        <row r="363">
          <cell r="A363">
            <v>40676</v>
          </cell>
          <cell r="B363">
            <v>40676</v>
          </cell>
          <cell r="C363" t="str">
            <v>Past</v>
          </cell>
          <cell r="D363">
            <v>64.669999000000004</v>
          </cell>
          <cell r="E363" t="e">
            <v>#N/A</v>
          </cell>
          <cell r="F363" t="e">
            <v>#N/A</v>
          </cell>
          <cell r="G363" t="e">
            <v>#N/A</v>
          </cell>
          <cell r="H363" t="e">
            <v>#N/A</v>
          </cell>
          <cell r="I363" t="e">
            <v>#N/A</v>
          </cell>
          <cell r="J363" t="e">
            <v>#N/A</v>
          </cell>
          <cell r="K363" t="e">
            <v>#N/A</v>
          </cell>
          <cell r="L363" t="e">
            <v>#N/A</v>
          </cell>
          <cell r="M363" t="e">
            <v>#N/A</v>
          </cell>
          <cell r="N363" t="e">
            <v>#N/A</v>
          </cell>
          <cell r="O363" t="e">
            <v>#N/A</v>
          </cell>
          <cell r="P363">
            <v>64.669999000000004</v>
          </cell>
          <cell r="Q363">
            <v>2.6946979999999998</v>
          </cell>
          <cell r="R363" t="e">
            <v>#N/A</v>
          </cell>
        </row>
        <row r="364">
          <cell r="A364">
            <v>40679</v>
          </cell>
          <cell r="B364">
            <v>40679</v>
          </cell>
          <cell r="C364" t="str">
            <v>Past</v>
          </cell>
          <cell r="D364">
            <v>64.449996999999996</v>
          </cell>
          <cell r="E364" t="e">
            <v>#N/A</v>
          </cell>
          <cell r="F364" t="e">
            <v>#N/A</v>
          </cell>
          <cell r="G364" t="e">
            <v>#N/A</v>
          </cell>
          <cell r="H364" t="e">
            <v>#N/A</v>
          </cell>
          <cell r="I364" t="e">
            <v>#N/A</v>
          </cell>
          <cell r="J364" t="e">
            <v>#N/A</v>
          </cell>
          <cell r="K364" t="e">
            <v>#N/A</v>
          </cell>
          <cell r="L364" t="e">
            <v>#N/A</v>
          </cell>
          <cell r="M364" t="e">
            <v>#N/A</v>
          </cell>
          <cell r="N364" t="e">
            <v>#N/A</v>
          </cell>
          <cell r="O364" t="e">
            <v>#N/A</v>
          </cell>
          <cell r="P364">
            <v>64.449996999999996</v>
          </cell>
          <cell r="Q364">
            <v>1.914976</v>
          </cell>
          <cell r="R364" t="e">
            <v>#N/A</v>
          </cell>
        </row>
        <row r="365">
          <cell r="A365">
            <v>40680</v>
          </cell>
          <cell r="B365">
            <v>40680</v>
          </cell>
          <cell r="C365" t="str">
            <v>Past</v>
          </cell>
          <cell r="D365">
            <v>64.709992</v>
          </cell>
          <cell r="E365" t="e">
            <v>#N/A</v>
          </cell>
          <cell r="F365" t="e">
            <v>#N/A</v>
          </cell>
          <cell r="G365" t="e">
            <v>#N/A</v>
          </cell>
          <cell r="H365" t="e">
            <v>#N/A</v>
          </cell>
          <cell r="I365" t="e">
            <v>#N/A</v>
          </cell>
          <cell r="J365" t="e">
            <v>#N/A</v>
          </cell>
          <cell r="K365" t="e">
            <v>#N/A</v>
          </cell>
          <cell r="L365" t="e">
            <v>#N/A</v>
          </cell>
          <cell r="M365" t="e">
            <v>#N/A</v>
          </cell>
          <cell r="N365" t="e">
            <v>#N/A</v>
          </cell>
          <cell r="O365" t="e">
            <v>#N/A</v>
          </cell>
          <cell r="P365">
            <v>64.709992</v>
          </cell>
          <cell r="Q365">
            <v>2.5096989999999999</v>
          </cell>
          <cell r="R365" t="e">
            <v>#N/A</v>
          </cell>
        </row>
        <row r="366">
          <cell r="A366">
            <v>40681</v>
          </cell>
          <cell r="B366">
            <v>40681</v>
          </cell>
          <cell r="C366" t="str">
            <v>Past</v>
          </cell>
          <cell r="D366">
            <v>64.649994000000007</v>
          </cell>
          <cell r="E366" t="e">
            <v>#N/A</v>
          </cell>
          <cell r="F366" t="e">
            <v>#N/A</v>
          </cell>
          <cell r="G366" t="e">
            <v>#N/A</v>
          </cell>
          <cell r="H366" t="e">
            <v>#N/A</v>
          </cell>
          <cell r="I366" t="e">
            <v>#N/A</v>
          </cell>
          <cell r="J366" t="e">
            <v>#N/A</v>
          </cell>
          <cell r="K366" t="e">
            <v>#N/A</v>
          </cell>
          <cell r="L366" t="e">
            <v>#N/A</v>
          </cell>
          <cell r="M366" t="e">
            <v>#N/A</v>
          </cell>
          <cell r="N366" t="e">
            <v>#N/A</v>
          </cell>
          <cell r="O366" t="e">
            <v>#N/A</v>
          </cell>
          <cell r="P366">
            <v>64.649994000000007</v>
          </cell>
          <cell r="Q366">
            <v>2.5714670000000002</v>
          </cell>
          <cell r="R366" t="e">
            <v>#N/A</v>
          </cell>
        </row>
        <row r="367">
          <cell r="A367">
            <v>40682</v>
          </cell>
          <cell r="B367">
            <v>40682</v>
          </cell>
          <cell r="C367" t="str">
            <v>Past</v>
          </cell>
          <cell r="D367">
            <v>64.649994000000007</v>
          </cell>
          <cell r="E367" t="e">
            <v>#N/A</v>
          </cell>
          <cell r="F367" t="e">
            <v>#N/A</v>
          </cell>
          <cell r="G367" t="e">
            <v>#N/A</v>
          </cell>
          <cell r="H367" t="e">
            <v>#N/A</v>
          </cell>
          <cell r="I367" t="e">
            <v>#N/A</v>
          </cell>
          <cell r="J367" t="e">
            <v>#N/A</v>
          </cell>
          <cell r="K367" t="e">
            <v>#N/A</v>
          </cell>
          <cell r="L367" t="e">
            <v>#N/A</v>
          </cell>
          <cell r="M367" t="e">
            <v>#N/A</v>
          </cell>
          <cell r="N367" t="e">
            <v>#N/A</v>
          </cell>
          <cell r="O367" t="e">
            <v>#N/A</v>
          </cell>
          <cell r="P367">
            <v>64.649994000000007</v>
          </cell>
          <cell r="Q367">
            <v>2.2066940000000002</v>
          </cell>
          <cell r="R367" t="e">
            <v>#N/A</v>
          </cell>
        </row>
        <row r="368">
          <cell r="A368">
            <v>40683</v>
          </cell>
          <cell r="B368">
            <v>40683</v>
          </cell>
          <cell r="C368" t="str">
            <v>Past</v>
          </cell>
          <cell r="D368">
            <v>64.299987999999999</v>
          </cell>
          <cell r="E368" t="e">
            <v>#N/A</v>
          </cell>
          <cell r="F368" t="e">
            <v>#N/A</v>
          </cell>
          <cell r="G368" t="e">
            <v>#N/A</v>
          </cell>
          <cell r="H368" t="e">
            <v>#N/A</v>
          </cell>
          <cell r="I368" t="e">
            <v>#N/A</v>
          </cell>
          <cell r="J368" t="e">
            <v>#N/A</v>
          </cell>
          <cell r="K368" t="e">
            <v>#N/A</v>
          </cell>
          <cell r="L368" t="e">
            <v>#N/A</v>
          </cell>
          <cell r="M368" t="e">
            <v>#N/A</v>
          </cell>
          <cell r="N368" t="e">
            <v>#N/A</v>
          </cell>
          <cell r="O368" t="e">
            <v>#N/A</v>
          </cell>
          <cell r="P368">
            <v>64.299987999999999</v>
          </cell>
          <cell r="Q368">
            <v>1.9874700000000001</v>
          </cell>
          <cell r="R368" t="e">
            <v>#N/A</v>
          </cell>
        </row>
        <row r="369">
          <cell r="A369">
            <v>40686</v>
          </cell>
          <cell r="B369">
            <v>40686</v>
          </cell>
          <cell r="C369" t="str">
            <v>Past</v>
          </cell>
          <cell r="D369">
            <v>63.659989000000003</v>
          </cell>
          <cell r="E369" t="e">
            <v>#N/A</v>
          </cell>
          <cell r="F369" t="e">
            <v>#N/A</v>
          </cell>
          <cell r="G369" t="e">
            <v>#N/A</v>
          </cell>
          <cell r="H369" t="e">
            <v>#N/A</v>
          </cell>
          <cell r="I369" t="e">
            <v>#N/A</v>
          </cell>
          <cell r="J369" t="e">
            <v>#N/A</v>
          </cell>
          <cell r="K369" t="e">
            <v>#N/A</v>
          </cell>
          <cell r="L369" t="e">
            <v>#N/A</v>
          </cell>
          <cell r="M369" t="e">
            <v>#N/A</v>
          </cell>
          <cell r="N369" t="e">
            <v>#N/A</v>
          </cell>
          <cell r="O369" t="e">
            <v>#N/A</v>
          </cell>
          <cell r="P369">
            <v>63.659989000000003</v>
          </cell>
          <cell r="Q369">
            <v>2.3076569999999998</v>
          </cell>
          <cell r="R369" t="e">
            <v>#N/A</v>
          </cell>
        </row>
        <row r="370">
          <cell r="A370">
            <v>40687</v>
          </cell>
          <cell r="B370">
            <v>40687</v>
          </cell>
          <cell r="C370" t="str">
            <v>Past</v>
          </cell>
          <cell r="D370">
            <v>63.409989000000003</v>
          </cell>
          <cell r="E370" t="e">
            <v>#N/A</v>
          </cell>
          <cell r="F370" t="e">
            <v>#N/A</v>
          </cell>
          <cell r="G370" t="e">
            <v>#N/A</v>
          </cell>
          <cell r="H370" t="e">
            <v>#N/A</v>
          </cell>
          <cell r="I370" t="e">
            <v>#N/A</v>
          </cell>
          <cell r="J370" t="e">
            <v>#N/A</v>
          </cell>
          <cell r="K370" t="e">
            <v>#N/A</v>
          </cell>
          <cell r="L370" t="e">
            <v>#N/A</v>
          </cell>
          <cell r="M370" t="e">
            <v>#N/A</v>
          </cell>
          <cell r="N370" t="e">
            <v>#N/A</v>
          </cell>
          <cell r="O370" t="e">
            <v>#N/A</v>
          </cell>
          <cell r="P370">
            <v>63.409989000000003</v>
          </cell>
          <cell r="Q370">
            <v>2.1096300000000001</v>
          </cell>
          <cell r="R370" t="e">
            <v>#N/A</v>
          </cell>
        </row>
        <row r="371">
          <cell r="A371">
            <v>40688</v>
          </cell>
          <cell r="B371">
            <v>40688</v>
          </cell>
          <cell r="C371" t="str">
            <v>Past</v>
          </cell>
          <cell r="D371">
            <v>64.349991000000003</v>
          </cell>
          <cell r="E371" t="e">
            <v>#N/A</v>
          </cell>
          <cell r="F371" t="e">
            <v>#N/A</v>
          </cell>
          <cell r="G371" t="e">
            <v>#N/A</v>
          </cell>
          <cell r="H371" t="e">
            <v>#N/A</v>
          </cell>
          <cell r="I371" t="e">
            <v>#N/A</v>
          </cell>
          <cell r="J371" t="e">
            <v>#N/A</v>
          </cell>
          <cell r="K371" t="e">
            <v>#N/A</v>
          </cell>
          <cell r="L371" t="e">
            <v>#N/A</v>
          </cell>
          <cell r="M371" t="e">
            <v>#N/A</v>
          </cell>
          <cell r="N371" t="e">
            <v>#N/A</v>
          </cell>
          <cell r="O371" t="e">
            <v>#N/A</v>
          </cell>
          <cell r="P371">
            <v>64.349991000000003</v>
          </cell>
          <cell r="Q371">
            <v>3.47905</v>
          </cell>
          <cell r="R371" t="e">
            <v>#N/A</v>
          </cell>
        </row>
        <row r="372">
          <cell r="A372">
            <v>40689</v>
          </cell>
          <cell r="B372">
            <v>40689</v>
          </cell>
          <cell r="C372" t="str">
            <v>Past</v>
          </cell>
          <cell r="D372">
            <v>64.439988</v>
          </cell>
          <cell r="E372" t="e">
            <v>#N/A</v>
          </cell>
          <cell r="F372" t="e">
            <v>#N/A</v>
          </cell>
          <cell r="G372" t="e">
            <v>#N/A</v>
          </cell>
          <cell r="H372" t="e">
            <v>#N/A</v>
          </cell>
          <cell r="I372" t="e">
            <v>#N/A</v>
          </cell>
          <cell r="J372" t="e">
            <v>#N/A</v>
          </cell>
          <cell r="K372" t="e">
            <v>#N/A</v>
          </cell>
          <cell r="L372" t="e">
            <v>#N/A</v>
          </cell>
          <cell r="M372" t="e">
            <v>#N/A</v>
          </cell>
          <cell r="N372" t="e">
            <v>#N/A</v>
          </cell>
          <cell r="O372" t="e">
            <v>#N/A</v>
          </cell>
          <cell r="P372">
            <v>64.439988</v>
          </cell>
          <cell r="Q372">
            <v>2.2676090000000002</v>
          </cell>
          <cell r="R372" t="e">
            <v>#N/A</v>
          </cell>
        </row>
        <row r="373">
          <cell r="A373">
            <v>40690</v>
          </cell>
          <cell r="B373">
            <v>40690</v>
          </cell>
          <cell r="C373" t="str">
            <v>Past</v>
          </cell>
          <cell r="D373">
            <v>58.659989000000003</v>
          </cell>
          <cell r="E373" t="e">
            <v>#N/A</v>
          </cell>
          <cell r="F373" t="e">
            <v>#N/A</v>
          </cell>
          <cell r="G373" t="e">
            <v>#N/A</v>
          </cell>
          <cell r="H373" t="e">
            <v>#N/A</v>
          </cell>
          <cell r="I373" t="e">
            <v>#N/A</v>
          </cell>
          <cell r="J373" t="e">
            <v>#N/A</v>
          </cell>
          <cell r="K373" t="e">
            <v>#N/A</v>
          </cell>
          <cell r="L373" t="e">
            <v>#N/A</v>
          </cell>
          <cell r="M373" t="e">
            <v>#N/A</v>
          </cell>
          <cell r="N373" t="e">
            <v>#N/A</v>
          </cell>
          <cell r="O373" t="e">
            <v>#N/A</v>
          </cell>
          <cell r="P373">
            <v>58.659989000000003</v>
          </cell>
          <cell r="Q373">
            <v>20.327960999999998</v>
          </cell>
          <cell r="R373" t="e">
            <v>#N/A</v>
          </cell>
        </row>
        <row r="374">
          <cell r="A374">
            <v>40694</v>
          </cell>
          <cell r="B374">
            <v>40694</v>
          </cell>
          <cell r="C374" t="str">
            <v>Past</v>
          </cell>
          <cell r="D374">
            <v>59.859985999999999</v>
          </cell>
          <cell r="E374" t="e">
            <v>#N/A</v>
          </cell>
          <cell r="F374" t="e">
            <v>#N/A</v>
          </cell>
          <cell r="G374" t="e">
            <v>#N/A</v>
          </cell>
          <cell r="H374" t="e">
            <v>#N/A</v>
          </cell>
          <cell r="I374" t="e">
            <v>#N/A</v>
          </cell>
          <cell r="J374" t="e">
            <v>#N/A</v>
          </cell>
          <cell r="K374" t="e">
            <v>#N/A</v>
          </cell>
          <cell r="L374" t="e">
            <v>#N/A</v>
          </cell>
          <cell r="M374" t="e">
            <v>#N/A</v>
          </cell>
          <cell r="N374" t="e">
            <v>#N/A</v>
          </cell>
          <cell r="O374" t="e">
            <v>#N/A</v>
          </cell>
          <cell r="P374">
            <v>59.859985999999999</v>
          </cell>
          <cell r="Q374">
            <v>6.641184</v>
          </cell>
          <cell r="R374" t="e">
            <v>#N/A</v>
          </cell>
        </row>
        <row r="375">
          <cell r="A375">
            <v>40695</v>
          </cell>
          <cell r="B375">
            <v>40695</v>
          </cell>
          <cell r="C375" t="str">
            <v>Past</v>
          </cell>
          <cell r="D375">
            <v>60.209992</v>
          </cell>
          <cell r="E375" t="e">
            <v>#N/A</v>
          </cell>
          <cell r="F375" t="e">
            <v>#N/A</v>
          </cell>
          <cell r="G375" t="e">
            <v>#N/A</v>
          </cell>
          <cell r="H375" t="e">
            <v>#N/A</v>
          </cell>
          <cell r="I375" t="e">
            <v>#N/A</v>
          </cell>
          <cell r="J375" t="e">
            <v>#N/A</v>
          </cell>
          <cell r="K375" t="e">
            <v>#N/A</v>
          </cell>
          <cell r="L375" t="e">
            <v>#N/A</v>
          </cell>
          <cell r="M375" t="e">
            <v>#N/A</v>
          </cell>
          <cell r="N375" t="e">
            <v>#N/A</v>
          </cell>
          <cell r="O375" t="e">
            <v>#N/A</v>
          </cell>
          <cell r="P375">
            <v>60.209992</v>
          </cell>
          <cell r="Q375">
            <v>4.5227029999999999</v>
          </cell>
          <cell r="R375" t="e">
            <v>#N/A</v>
          </cell>
        </row>
        <row r="376">
          <cell r="A376">
            <v>40696</v>
          </cell>
          <cell r="B376">
            <v>40696</v>
          </cell>
          <cell r="C376" t="str">
            <v>Past</v>
          </cell>
          <cell r="D376">
            <v>59.589996999999997</v>
          </cell>
          <cell r="E376" t="e">
            <v>#N/A</v>
          </cell>
          <cell r="F376" t="e">
            <v>#N/A</v>
          </cell>
          <cell r="G376" t="e">
            <v>#N/A</v>
          </cell>
          <cell r="H376" t="e">
            <v>#N/A</v>
          </cell>
          <cell r="I376" t="e">
            <v>#N/A</v>
          </cell>
          <cell r="J376" t="e">
            <v>#N/A</v>
          </cell>
          <cell r="K376" t="e">
            <v>#N/A</v>
          </cell>
          <cell r="L376" t="e">
            <v>#N/A</v>
          </cell>
          <cell r="M376" t="e">
            <v>#N/A</v>
          </cell>
          <cell r="N376" t="e">
            <v>#N/A</v>
          </cell>
          <cell r="O376" t="e">
            <v>#N/A</v>
          </cell>
          <cell r="P376">
            <v>59.589996999999997</v>
          </cell>
          <cell r="Q376">
            <v>5.1792889999999998</v>
          </cell>
          <cell r="R376" t="e">
            <v>#N/A</v>
          </cell>
        </row>
        <row r="377">
          <cell r="A377">
            <v>40697</v>
          </cell>
          <cell r="B377">
            <v>40697</v>
          </cell>
          <cell r="C377" t="str">
            <v>Past</v>
          </cell>
          <cell r="D377">
            <v>57.789994</v>
          </cell>
          <cell r="E377" t="e">
            <v>#N/A</v>
          </cell>
          <cell r="F377" t="e">
            <v>#N/A</v>
          </cell>
          <cell r="G377" t="e">
            <v>#N/A</v>
          </cell>
          <cell r="H377" t="e">
            <v>#N/A</v>
          </cell>
          <cell r="I377" t="e">
            <v>#N/A</v>
          </cell>
          <cell r="J377" t="e">
            <v>#N/A</v>
          </cell>
          <cell r="K377" t="e">
            <v>#N/A</v>
          </cell>
          <cell r="L377" t="e">
            <v>#N/A</v>
          </cell>
          <cell r="M377" t="e">
            <v>#N/A</v>
          </cell>
          <cell r="N377" t="e">
            <v>#N/A</v>
          </cell>
          <cell r="O377" t="e">
            <v>#N/A</v>
          </cell>
          <cell r="P377">
            <v>57.789994</v>
          </cell>
          <cell r="Q377">
            <v>4.8337890000000003</v>
          </cell>
          <cell r="R377" t="e">
            <v>#N/A</v>
          </cell>
        </row>
        <row r="378">
          <cell r="A378">
            <v>40700</v>
          </cell>
          <cell r="B378">
            <v>40700</v>
          </cell>
          <cell r="C378" t="str">
            <v>Past</v>
          </cell>
          <cell r="D378">
            <v>56.76999</v>
          </cell>
          <cell r="E378" t="e">
            <v>#N/A</v>
          </cell>
          <cell r="F378" t="e">
            <v>#N/A</v>
          </cell>
          <cell r="G378" t="e">
            <v>#N/A</v>
          </cell>
          <cell r="H378" t="e">
            <v>#N/A</v>
          </cell>
          <cell r="I378" t="e">
            <v>#N/A</v>
          </cell>
          <cell r="J378" t="e">
            <v>#N/A</v>
          </cell>
          <cell r="K378" t="e">
            <v>#N/A</v>
          </cell>
          <cell r="L378" t="e">
            <v>#N/A</v>
          </cell>
          <cell r="M378" t="e">
            <v>#N/A</v>
          </cell>
          <cell r="N378" t="e">
            <v>#N/A</v>
          </cell>
          <cell r="O378" t="e">
            <v>#N/A</v>
          </cell>
          <cell r="P378">
            <v>56.76999</v>
          </cell>
          <cell r="Q378">
            <v>3.5279389999999999</v>
          </cell>
          <cell r="R378" t="e">
            <v>#N/A</v>
          </cell>
        </row>
        <row r="379">
          <cell r="A379">
            <v>40701</v>
          </cell>
          <cell r="B379">
            <v>40701</v>
          </cell>
          <cell r="C379" t="str">
            <v>Past</v>
          </cell>
          <cell r="D379">
            <v>57.129989999999999</v>
          </cell>
          <cell r="E379" t="e">
            <v>#N/A</v>
          </cell>
          <cell r="F379" t="e">
            <v>#N/A</v>
          </cell>
          <cell r="G379" t="e">
            <v>#N/A</v>
          </cell>
          <cell r="H379" t="e">
            <v>#N/A</v>
          </cell>
          <cell r="I379" t="e">
            <v>#N/A</v>
          </cell>
          <cell r="J379" t="e">
            <v>#N/A</v>
          </cell>
          <cell r="K379" t="e">
            <v>#N/A</v>
          </cell>
          <cell r="L379" t="e">
            <v>#N/A</v>
          </cell>
          <cell r="M379" t="e">
            <v>#N/A</v>
          </cell>
          <cell r="N379" t="e">
            <v>#N/A</v>
          </cell>
          <cell r="O379" t="e">
            <v>#N/A</v>
          </cell>
          <cell r="P379">
            <v>57.129989999999999</v>
          </cell>
          <cell r="Q379">
            <v>4.0882630000000004</v>
          </cell>
          <cell r="R379" t="e">
            <v>#N/A</v>
          </cell>
        </row>
        <row r="380">
          <cell r="A380">
            <v>40702</v>
          </cell>
          <cell r="B380">
            <v>40702</v>
          </cell>
          <cell r="C380" t="str">
            <v>Past</v>
          </cell>
          <cell r="D380">
            <v>57.39</v>
          </cell>
          <cell r="E380" t="e">
            <v>#N/A</v>
          </cell>
          <cell r="F380" t="e">
            <v>#N/A</v>
          </cell>
          <cell r="G380" t="e">
            <v>#N/A</v>
          </cell>
          <cell r="H380" t="e">
            <v>#N/A</v>
          </cell>
          <cell r="I380" t="e">
            <v>#N/A</v>
          </cell>
          <cell r="J380" t="e">
            <v>#N/A</v>
          </cell>
          <cell r="K380" t="e">
            <v>#N/A</v>
          </cell>
          <cell r="L380" t="e">
            <v>#N/A</v>
          </cell>
          <cell r="M380" t="e">
            <v>#N/A</v>
          </cell>
          <cell r="N380" t="e">
            <v>#N/A</v>
          </cell>
          <cell r="O380" t="e">
            <v>#N/A</v>
          </cell>
          <cell r="P380">
            <v>57.39</v>
          </cell>
          <cell r="Q380">
            <v>2.6381329999999998</v>
          </cell>
          <cell r="R380" t="e">
            <v>#N/A</v>
          </cell>
        </row>
        <row r="381">
          <cell r="A381">
            <v>40703</v>
          </cell>
          <cell r="B381">
            <v>40703</v>
          </cell>
          <cell r="C381" t="str">
            <v>Past</v>
          </cell>
          <cell r="D381">
            <v>57.439988</v>
          </cell>
          <cell r="E381" t="e">
            <v>#N/A</v>
          </cell>
          <cell r="F381" t="e">
            <v>#N/A</v>
          </cell>
          <cell r="G381" t="e">
            <v>#N/A</v>
          </cell>
          <cell r="H381" t="e">
            <v>#N/A</v>
          </cell>
          <cell r="I381" t="e">
            <v>#N/A</v>
          </cell>
          <cell r="J381" t="e">
            <v>#N/A</v>
          </cell>
          <cell r="K381" t="e">
            <v>#N/A</v>
          </cell>
          <cell r="L381" t="e">
            <v>#N/A</v>
          </cell>
          <cell r="M381" t="e">
            <v>#N/A</v>
          </cell>
          <cell r="N381" t="e">
            <v>#N/A</v>
          </cell>
          <cell r="O381" t="e">
            <v>#N/A</v>
          </cell>
          <cell r="P381">
            <v>57.439988</v>
          </cell>
          <cell r="Q381">
            <v>3.4944449999999998</v>
          </cell>
          <cell r="R381" t="e">
            <v>#N/A</v>
          </cell>
        </row>
        <row r="382">
          <cell r="A382">
            <v>40704</v>
          </cell>
          <cell r="B382">
            <v>40704</v>
          </cell>
          <cell r="C382" t="str">
            <v>Past</v>
          </cell>
          <cell r="D382">
            <v>56.339996999999997</v>
          </cell>
          <cell r="E382" t="e">
            <v>#N/A</v>
          </cell>
          <cell r="F382" t="e">
            <v>#N/A</v>
          </cell>
          <cell r="G382" t="e">
            <v>#N/A</v>
          </cell>
          <cell r="H382" t="e">
            <v>#N/A</v>
          </cell>
          <cell r="I382" t="e">
            <v>#N/A</v>
          </cell>
          <cell r="J382" t="e">
            <v>#N/A</v>
          </cell>
          <cell r="K382" t="e">
            <v>#N/A</v>
          </cell>
          <cell r="L382" t="e">
            <v>#N/A</v>
          </cell>
          <cell r="M382" t="e">
            <v>#N/A</v>
          </cell>
          <cell r="N382" t="e">
            <v>#N/A</v>
          </cell>
          <cell r="O382" t="e">
            <v>#N/A</v>
          </cell>
          <cell r="P382">
            <v>56.339996999999997</v>
          </cell>
          <cell r="Q382">
            <v>3.2940640000000001</v>
          </cell>
          <cell r="R382" t="e">
            <v>#N/A</v>
          </cell>
        </row>
        <row r="383">
          <cell r="A383">
            <v>40707</v>
          </cell>
          <cell r="B383">
            <v>40707</v>
          </cell>
          <cell r="C383" t="str">
            <v>Past</v>
          </cell>
          <cell r="D383">
            <v>56.01999</v>
          </cell>
          <cell r="E383" t="e">
            <v>#N/A</v>
          </cell>
          <cell r="F383" t="e">
            <v>#N/A</v>
          </cell>
          <cell r="G383" t="e">
            <v>#N/A</v>
          </cell>
          <cell r="H383" t="e">
            <v>#N/A</v>
          </cell>
          <cell r="I383" t="e">
            <v>#N/A</v>
          </cell>
          <cell r="J383" t="e">
            <v>#N/A</v>
          </cell>
          <cell r="K383" t="e">
            <v>#N/A</v>
          </cell>
          <cell r="L383" t="e">
            <v>#N/A</v>
          </cell>
          <cell r="M383" t="e">
            <v>#N/A</v>
          </cell>
          <cell r="N383" t="e">
            <v>#N/A</v>
          </cell>
          <cell r="O383" t="e">
            <v>#N/A</v>
          </cell>
          <cell r="P383">
            <v>56.01999</v>
          </cell>
          <cell r="Q383">
            <v>2.4218730000000002</v>
          </cell>
          <cell r="R383" t="e">
            <v>#N/A</v>
          </cell>
        </row>
        <row r="384">
          <cell r="A384">
            <v>40708</v>
          </cell>
          <cell r="B384">
            <v>40708</v>
          </cell>
          <cell r="C384" t="str">
            <v>Past</v>
          </cell>
          <cell r="D384">
            <v>55.859985999999999</v>
          </cell>
          <cell r="E384" t="e">
            <v>#N/A</v>
          </cell>
          <cell r="F384" t="e">
            <v>#N/A</v>
          </cell>
          <cell r="G384" t="e">
            <v>#N/A</v>
          </cell>
          <cell r="H384" t="e">
            <v>#N/A</v>
          </cell>
          <cell r="I384" t="e">
            <v>#N/A</v>
          </cell>
          <cell r="J384" t="e">
            <v>#N/A</v>
          </cell>
          <cell r="K384" t="e">
            <v>#N/A</v>
          </cell>
          <cell r="L384" t="e">
            <v>#N/A</v>
          </cell>
          <cell r="M384" t="e">
            <v>#N/A</v>
          </cell>
          <cell r="N384" t="e">
            <v>#N/A</v>
          </cell>
          <cell r="O384" t="e">
            <v>#N/A</v>
          </cell>
          <cell r="P384">
            <v>55.859985999999999</v>
          </cell>
          <cell r="Q384">
            <v>3.6073230000000001</v>
          </cell>
          <cell r="R384" t="e">
            <v>#N/A</v>
          </cell>
        </row>
        <row r="385">
          <cell r="A385">
            <v>40709</v>
          </cell>
          <cell r="B385">
            <v>40709</v>
          </cell>
          <cell r="C385" t="str">
            <v>Past</v>
          </cell>
          <cell r="D385">
            <v>55.279998999999997</v>
          </cell>
          <cell r="E385" t="e">
            <v>#N/A</v>
          </cell>
          <cell r="F385" t="e">
            <v>#N/A</v>
          </cell>
          <cell r="G385" t="e">
            <v>#N/A</v>
          </cell>
          <cell r="H385" t="e">
            <v>#N/A</v>
          </cell>
          <cell r="I385" t="e">
            <v>#N/A</v>
          </cell>
          <cell r="J385" t="e">
            <v>#N/A</v>
          </cell>
          <cell r="K385" t="e">
            <v>#N/A</v>
          </cell>
          <cell r="L385" t="e">
            <v>#N/A</v>
          </cell>
          <cell r="M385" t="e">
            <v>#N/A</v>
          </cell>
          <cell r="N385" t="e">
            <v>#N/A</v>
          </cell>
          <cell r="O385" t="e">
            <v>#N/A</v>
          </cell>
          <cell r="P385">
            <v>55.279998999999997</v>
          </cell>
          <cell r="Q385">
            <v>2.816573</v>
          </cell>
          <cell r="R385" t="e">
            <v>#N/A</v>
          </cell>
        </row>
        <row r="386">
          <cell r="A386">
            <v>40710</v>
          </cell>
          <cell r="B386">
            <v>40710</v>
          </cell>
          <cell r="C386" t="str">
            <v>Past</v>
          </cell>
          <cell r="D386">
            <v>55.759995000000004</v>
          </cell>
          <cell r="E386" t="e">
            <v>#N/A</v>
          </cell>
          <cell r="F386" t="e">
            <v>#N/A</v>
          </cell>
          <cell r="G386" t="e">
            <v>#N/A</v>
          </cell>
          <cell r="H386" t="e">
            <v>#N/A</v>
          </cell>
          <cell r="I386" t="e">
            <v>#N/A</v>
          </cell>
          <cell r="J386" t="e">
            <v>#N/A</v>
          </cell>
          <cell r="K386" t="e">
            <v>#N/A</v>
          </cell>
          <cell r="L386" t="e">
            <v>#N/A</v>
          </cell>
          <cell r="M386" t="e">
            <v>#N/A</v>
          </cell>
          <cell r="N386" t="e">
            <v>#N/A</v>
          </cell>
          <cell r="O386" t="e">
            <v>#N/A</v>
          </cell>
          <cell r="P386">
            <v>55.759995000000004</v>
          </cell>
          <cell r="Q386">
            <v>3.93344</v>
          </cell>
          <cell r="R386" t="e">
            <v>#N/A</v>
          </cell>
        </row>
        <row r="387">
          <cell r="A387">
            <v>40711</v>
          </cell>
          <cell r="B387">
            <v>40711</v>
          </cell>
          <cell r="C387" t="str">
            <v>Past</v>
          </cell>
          <cell r="D387">
            <v>55.179993000000003</v>
          </cell>
          <cell r="E387" t="e">
            <v>#N/A</v>
          </cell>
          <cell r="F387" t="e">
            <v>#N/A</v>
          </cell>
          <cell r="G387" t="e">
            <v>#N/A</v>
          </cell>
          <cell r="H387" t="e">
            <v>#N/A</v>
          </cell>
          <cell r="I387" t="e">
            <v>#N/A</v>
          </cell>
          <cell r="J387" t="e">
            <v>#N/A</v>
          </cell>
          <cell r="K387" t="e">
            <v>#N/A</v>
          </cell>
          <cell r="L387" t="e">
            <v>#N/A</v>
          </cell>
          <cell r="M387" t="e">
            <v>#N/A</v>
          </cell>
          <cell r="N387" t="e">
            <v>#N/A</v>
          </cell>
          <cell r="O387" t="e">
            <v>#N/A</v>
          </cell>
          <cell r="P387">
            <v>55.179993000000003</v>
          </cell>
          <cell r="Q387">
            <v>3.5958939999999999</v>
          </cell>
          <cell r="R387" t="e">
            <v>#N/A</v>
          </cell>
        </row>
        <row r="388">
          <cell r="A388">
            <v>40714</v>
          </cell>
          <cell r="B388">
            <v>40714</v>
          </cell>
          <cell r="C388" t="str">
            <v>Past</v>
          </cell>
          <cell r="D388">
            <v>55.279998999999997</v>
          </cell>
          <cell r="E388" t="e">
            <v>#N/A</v>
          </cell>
          <cell r="F388" t="e">
            <v>#N/A</v>
          </cell>
          <cell r="G388" t="e">
            <v>#N/A</v>
          </cell>
          <cell r="H388" t="e">
            <v>#N/A</v>
          </cell>
          <cell r="I388" t="e">
            <v>#N/A</v>
          </cell>
          <cell r="J388" t="e">
            <v>#N/A</v>
          </cell>
          <cell r="K388" t="e">
            <v>#N/A</v>
          </cell>
          <cell r="L388" t="e">
            <v>#N/A</v>
          </cell>
          <cell r="M388" t="e">
            <v>#N/A</v>
          </cell>
          <cell r="N388" t="e">
            <v>#N/A</v>
          </cell>
          <cell r="O388" t="e">
            <v>#N/A</v>
          </cell>
          <cell r="P388">
            <v>55.279998999999997</v>
          </cell>
          <cell r="Q388">
            <v>1.7335780000000001</v>
          </cell>
          <cell r="R388" t="e">
            <v>#N/A</v>
          </cell>
        </row>
        <row r="389">
          <cell r="A389">
            <v>40715</v>
          </cell>
          <cell r="B389">
            <v>40715</v>
          </cell>
          <cell r="C389" t="str">
            <v>Past</v>
          </cell>
          <cell r="D389">
            <v>56.259995000000004</v>
          </cell>
          <cell r="E389" t="e">
            <v>#N/A</v>
          </cell>
          <cell r="F389" t="e">
            <v>#N/A</v>
          </cell>
          <cell r="G389" t="e">
            <v>#N/A</v>
          </cell>
          <cell r="H389" t="e">
            <v>#N/A</v>
          </cell>
          <cell r="I389" t="e">
            <v>#N/A</v>
          </cell>
          <cell r="J389" t="e">
            <v>#N/A</v>
          </cell>
          <cell r="K389" t="e">
            <v>#N/A</v>
          </cell>
          <cell r="L389" t="e">
            <v>#N/A</v>
          </cell>
          <cell r="M389" t="e">
            <v>#N/A</v>
          </cell>
          <cell r="N389" t="e">
            <v>#N/A</v>
          </cell>
          <cell r="O389" t="e">
            <v>#N/A</v>
          </cell>
          <cell r="P389">
            <v>56.259995000000004</v>
          </cell>
          <cell r="Q389">
            <v>3.046408</v>
          </cell>
          <cell r="R389" t="e">
            <v>#N/A</v>
          </cell>
        </row>
        <row r="390">
          <cell r="A390">
            <v>40716</v>
          </cell>
          <cell r="B390">
            <v>40716</v>
          </cell>
          <cell r="C390" t="str">
            <v>Past</v>
          </cell>
          <cell r="D390">
            <v>54.809998</v>
          </cell>
          <cell r="E390" t="e">
            <v>#N/A</v>
          </cell>
          <cell r="F390" t="e">
            <v>#N/A</v>
          </cell>
          <cell r="G390" t="e">
            <v>#N/A</v>
          </cell>
          <cell r="H390" t="e">
            <v>#N/A</v>
          </cell>
          <cell r="I390" t="e">
            <v>#N/A</v>
          </cell>
          <cell r="J390" t="e">
            <v>#N/A</v>
          </cell>
          <cell r="K390" t="e">
            <v>#N/A</v>
          </cell>
          <cell r="L390" t="e">
            <v>#N/A</v>
          </cell>
          <cell r="M390" t="e">
            <v>#N/A</v>
          </cell>
          <cell r="N390" t="e">
            <v>#N/A</v>
          </cell>
          <cell r="O390" t="e">
            <v>#N/A</v>
          </cell>
          <cell r="P390">
            <v>54.809998</v>
          </cell>
          <cell r="Q390">
            <v>2.7746529999999998</v>
          </cell>
          <cell r="R390" t="e">
            <v>#N/A</v>
          </cell>
        </row>
        <row r="391">
          <cell r="A391">
            <v>40717</v>
          </cell>
          <cell r="B391">
            <v>40717</v>
          </cell>
          <cell r="C391" t="str">
            <v>Past</v>
          </cell>
          <cell r="D391">
            <v>54.419998999999997</v>
          </cell>
          <cell r="E391" t="e">
            <v>#N/A</v>
          </cell>
          <cell r="F391" t="e">
            <v>#N/A</v>
          </cell>
          <cell r="G391" t="e">
            <v>#N/A</v>
          </cell>
          <cell r="H391" t="e">
            <v>#N/A</v>
          </cell>
          <cell r="I391" t="e">
            <v>#N/A</v>
          </cell>
          <cell r="J391" t="e">
            <v>#N/A</v>
          </cell>
          <cell r="K391" t="e">
            <v>#N/A</v>
          </cell>
          <cell r="L391" t="e">
            <v>#N/A</v>
          </cell>
          <cell r="M391" t="e">
            <v>#N/A</v>
          </cell>
          <cell r="N391" t="e">
            <v>#N/A</v>
          </cell>
          <cell r="O391" t="e">
            <v>#N/A</v>
          </cell>
          <cell r="P391">
            <v>54.419998999999997</v>
          </cell>
          <cell r="Q391">
            <v>3.468458</v>
          </cell>
          <cell r="R391" t="e">
            <v>#N/A</v>
          </cell>
        </row>
        <row r="392">
          <cell r="A392">
            <v>40718</v>
          </cell>
          <cell r="B392">
            <v>40718</v>
          </cell>
          <cell r="C392" t="str">
            <v>Past</v>
          </cell>
          <cell r="D392">
            <v>53.309998</v>
          </cell>
          <cell r="E392" t="e">
            <v>#N/A</v>
          </cell>
          <cell r="F392" t="e">
            <v>#N/A</v>
          </cell>
          <cell r="G392" t="e">
            <v>#N/A</v>
          </cell>
          <cell r="H392" t="e">
            <v>#N/A</v>
          </cell>
          <cell r="I392" t="e">
            <v>#N/A</v>
          </cell>
          <cell r="J392" t="e">
            <v>#N/A</v>
          </cell>
          <cell r="K392" t="e">
            <v>#N/A</v>
          </cell>
          <cell r="L392" t="e">
            <v>#N/A</v>
          </cell>
          <cell r="M392" t="e">
            <v>#N/A</v>
          </cell>
          <cell r="N392" t="e">
            <v>#N/A</v>
          </cell>
          <cell r="O392" t="e">
            <v>#N/A</v>
          </cell>
          <cell r="P392">
            <v>53.309998</v>
          </cell>
          <cell r="Q392">
            <v>4.9945979999999999</v>
          </cell>
          <cell r="R392" t="e">
            <v>#N/A</v>
          </cell>
        </row>
        <row r="393">
          <cell r="A393">
            <v>40721</v>
          </cell>
          <cell r="B393">
            <v>40721</v>
          </cell>
          <cell r="C393" t="str">
            <v>Past</v>
          </cell>
          <cell r="D393">
            <v>54.419998999999997</v>
          </cell>
          <cell r="E393" t="e">
            <v>#N/A</v>
          </cell>
          <cell r="F393" t="e">
            <v>#N/A</v>
          </cell>
          <cell r="G393" t="e">
            <v>#N/A</v>
          </cell>
          <cell r="H393" t="e">
            <v>#N/A</v>
          </cell>
          <cell r="I393" t="e">
            <v>#N/A</v>
          </cell>
          <cell r="J393" t="e">
            <v>#N/A</v>
          </cell>
          <cell r="K393" t="e">
            <v>#N/A</v>
          </cell>
          <cell r="L393" t="e">
            <v>#N/A</v>
          </cell>
          <cell r="M393" t="e">
            <v>#N/A</v>
          </cell>
          <cell r="N393" t="e">
            <v>#N/A</v>
          </cell>
          <cell r="O393" t="e">
            <v>#N/A</v>
          </cell>
          <cell r="P393">
            <v>54.419998999999997</v>
          </cell>
          <cell r="Q393">
            <v>2.7003360000000001</v>
          </cell>
          <cell r="R393" t="e">
            <v>#N/A</v>
          </cell>
        </row>
        <row r="394">
          <cell r="A394">
            <v>40722</v>
          </cell>
          <cell r="B394">
            <v>40722</v>
          </cell>
          <cell r="C394" t="str">
            <v>Past</v>
          </cell>
          <cell r="D394">
            <v>55.829987000000003</v>
          </cell>
          <cell r="E394" t="e">
            <v>#N/A</v>
          </cell>
          <cell r="F394" t="e">
            <v>#N/A</v>
          </cell>
          <cell r="G394" t="e">
            <v>#N/A</v>
          </cell>
          <cell r="H394" t="e">
            <v>#N/A</v>
          </cell>
          <cell r="I394" t="e">
            <v>#N/A</v>
          </cell>
          <cell r="J394" t="e">
            <v>#N/A</v>
          </cell>
          <cell r="K394" t="e">
            <v>#N/A</v>
          </cell>
          <cell r="L394" t="e">
            <v>#N/A</v>
          </cell>
          <cell r="M394" t="e">
            <v>#N/A</v>
          </cell>
          <cell r="N394" t="e">
            <v>#N/A</v>
          </cell>
          <cell r="O394" t="e">
            <v>#N/A</v>
          </cell>
          <cell r="P394">
            <v>55.829987000000003</v>
          </cell>
          <cell r="Q394">
            <v>3.23963</v>
          </cell>
          <cell r="R394" t="e">
            <v>#N/A</v>
          </cell>
        </row>
        <row r="395">
          <cell r="A395">
            <v>40723</v>
          </cell>
          <cell r="B395">
            <v>40723</v>
          </cell>
          <cell r="C395" t="str">
            <v>Past</v>
          </cell>
          <cell r="D395">
            <v>56.339996999999997</v>
          </cell>
          <cell r="E395" t="e">
            <v>#N/A</v>
          </cell>
          <cell r="F395" t="e">
            <v>#N/A</v>
          </cell>
          <cell r="G395" t="e">
            <v>#N/A</v>
          </cell>
          <cell r="H395" t="e">
            <v>#N/A</v>
          </cell>
          <cell r="I395" t="e">
            <v>#N/A</v>
          </cell>
          <cell r="J395" t="e">
            <v>#N/A</v>
          </cell>
          <cell r="K395" t="e">
            <v>#N/A</v>
          </cell>
          <cell r="L395" t="e">
            <v>#N/A</v>
          </cell>
          <cell r="M395" t="e">
            <v>#N/A</v>
          </cell>
          <cell r="N395" t="e">
            <v>#N/A</v>
          </cell>
          <cell r="O395" t="e">
            <v>#N/A</v>
          </cell>
          <cell r="P395">
            <v>56.339996999999997</v>
          </cell>
          <cell r="Q395">
            <v>2.9237280000000001</v>
          </cell>
          <cell r="R395" t="e">
            <v>#N/A</v>
          </cell>
        </row>
        <row r="396">
          <cell r="A396">
            <v>40724</v>
          </cell>
          <cell r="B396">
            <v>40724</v>
          </cell>
          <cell r="C396" t="str">
            <v>Past</v>
          </cell>
          <cell r="D396">
            <v>56.51999</v>
          </cell>
          <cell r="E396" t="e">
            <v>#N/A</v>
          </cell>
          <cell r="F396" t="e">
            <v>#N/A</v>
          </cell>
          <cell r="G396" t="e">
            <v>#N/A</v>
          </cell>
          <cell r="H396" t="e">
            <v>#N/A</v>
          </cell>
          <cell r="I396" t="e">
            <v>#N/A</v>
          </cell>
          <cell r="J396" t="e">
            <v>#N/A</v>
          </cell>
          <cell r="K396" t="e">
            <v>#N/A</v>
          </cell>
          <cell r="L396" t="e">
            <v>#N/A</v>
          </cell>
          <cell r="M396" t="e">
            <v>#N/A</v>
          </cell>
          <cell r="N396" t="e">
            <v>#N/A</v>
          </cell>
          <cell r="O396" t="e">
            <v>#N/A</v>
          </cell>
          <cell r="P396">
            <v>56.51999</v>
          </cell>
          <cell r="Q396">
            <v>2.5959840000000001</v>
          </cell>
          <cell r="R396" t="e">
            <v>#N/A</v>
          </cell>
        </row>
        <row r="397">
          <cell r="A397">
            <v>40725</v>
          </cell>
          <cell r="B397">
            <v>40725</v>
          </cell>
          <cell r="C397" t="str">
            <v>Past</v>
          </cell>
          <cell r="D397">
            <v>56.829987000000003</v>
          </cell>
          <cell r="E397" t="e">
            <v>#N/A</v>
          </cell>
          <cell r="F397" t="e">
            <v>#N/A</v>
          </cell>
          <cell r="G397" t="e">
            <v>#N/A</v>
          </cell>
          <cell r="H397" t="e">
            <v>#N/A</v>
          </cell>
          <cell r="I397" t="e">
            <v>#N/A</v>
          </cell>
          <cell r="J397" t="e">
            <v>#N/A</v>
          </cell>
          <cell r="K397" t="e">
            <v>#N/A</v>
          </cell>
          <cell r="L397" t="e">
            <v>#N/A</v>
          </cell>
          <cell r="M397" t="e">
            <v>#N/A</v>
          </cell>
          <cell r="N397" t="e">
            <v>#N/A</v>
          </cell>
          <cell r="O397" t="e">
            <v>#N/A</v>
          </cell>
          <cell r="P397">
            <v>56.829987000000003</v>
          </cell>
          <cell r="Q397">
            <v>2.7661180000000001</v>
          </cell>
          <cell r="R397" t="e">
            <v>#N/A</v>
          </cell>
        </row>
        <row r="398">
          <cell r="A398">
            <v>40729</v>
          </cell>
          <cell r="B398">
            <v>40729</v>
          </cell>
          <cell r="C398" t="str">
            <v>Past</v>
          </cell>
          <cell r="D398">
            <v>56.189988</v>
          </cell>
          <cell r="E398" t="e">
            <v>#N/A</v>
          </cell>
          <cell r="F398" t="e">
            <v>#N/A</v>
          </cell>
          <cell r="G398" t="e">
            <v>#N/A</v>
          </cell>
          <cell r="H398" t="e">
            <v>#N/A</v>
          </cell>
          <cell r="I398" t="e">
            <v>#N/A</v>
          </cell>
          <cell r="J398" t="e">
            <v>#N/A</v>
          </cell>
          <cell r="K398" t="e">
            <v>#N/A</v>
          </cell>
          <cell r="L398" t="e">
            <v>#N/A</v>
          </cell>
          <cell r="M398" t="e">
            <v>#N/A</v>
          </cell>
          <cell r="N398" t="e">
            <v>#N/A</v>
          </cell>
          <cell r="O398" t="e">
            <v>#N/A</v>
          </cell>
          <cell r="P398">
            <v>56.189988</v>
          </cell>
          <cell r="Q398">
            <v>3.1481870000000001</v>
          </cell>
          <cell r="R398" t="e">
            <v>#N/A</v>
          </cell>
        </row>
        <row r="399">
          <cell r="A399">
            <v>40730</v>
          </cell>
          <cell r="B399">
            <v>40730</v>
          </cell>
          <cell r="C399" t="str">
            <v>Past</v>
          </cell>
          <cell r="D399">
            <v>56.26999</v>
          </cell>
          <cell r="E399" t="e">
            <v>#N/A</v>
          </cell>
          <cell r="F399" t="e">
            <v>#N/A</v>
          </cell>
          <cell r="G399" t="e">
            <v>#N/A</v>
          </cell>
          <cell r="H399" t="e">
            <v>#N/A</v>
          </cell>
          <cell r="I399" t="e">
            <v>#N/A</v>
          </cell>
          <cell r="J399" t="e">
            <v>#N/A</v>
          </cell>
          <cell r="K399" t="e">
            <v>#N/A</v>
          </cell>
          <cell r="L399" t="e">
            <v>#N/A</v>
          </cell>
          <cell r="M399" t="e">
            <v>#N/A</v>
          </cell>
          <cell r="N399" t="e">
            <v>#N/A</v>
          </cell>
          <cell r="O399" t="e">
            <v>#N/A</v>
          </cell>
          <cell r="P399">
            <v>56.26999</v>
          </cell>
          <cell r="Q399">
            <v>2.9226770000000002</v>
          </cell>
          <cell r="R399" t="e">
            <v>#N/A</v>
          </cell>
        </row>
        <row r="400">
          <cell r="A400">
            <v>40731</v>
          </cell>
          <cell r="B400">
            <v>40731</v>
          </cell>
          <cell r="C400" t="str">
            <v>Past</v>
          </cell>
          <cell r="D400">
            <v>55.859985999999999</v>
          </cell>
          <cell r="E400" t="e">
            <v>#N/A</v>
          </cell>
          <cell r="F400" t="e">
            <v>#N/A</v>
          </cell>
          <cell r="G400" t="e">
            <v>#N/A</v>
          </cell>
          <cell r="H400" t="e">
            <v>#N/A</v>
          </cell>
          <cell r="I400" t="e">
            <v>#N/A</v>
          </cell>
          <cell r="J400" t="e">
            <v>#N/A</v>
          </cell>
          <cell r="K400" t="e">
            <v>#N/A</v>
          </cell>
          <cell r="L400" t="e">
            <v>#N/A</v>
          </cell>
          <cell r="M400" t="e">
            <v>#N/A</v>
          </cell>
          <cell r="N400" t="e">
            <v>#N/A</v>
          </cell>
          <cell r="O400" t="e">
            <v>#N/A</v>
          </cell>
          <cell r="P400">
            <v>55.859985999999999</v>
          </cell>
          <cell r="Q400">
            <v>3.4080309999999998</v>
          </cell>
          <cell r="R400" t="e">
            <v>#N/A</v>
          </cell>
        </row>
        <row r="401">
          <cell r="A401">
            <v>40732</v>
          </cell>
          <cell r="B401">
            <v>40732</v>
          </cell>
          <cell r="C401" t="str">
            <v>Past</v>
          </cell>
          <cell r="D401">
            <v>55.259995000000004</v>
          </cell>
          <cell r="E401" t="e">
            <v>#N/A</v>
          </cell>
          <cell r="F401" t="e">
            <v>#N/A</v>
          </cell>
          <cell r="G401" t="e">
            <v>#N/A</v>
          </cell>
          <cell r="H401" t="e">
            <v>#N/A</v>
          </cell>
          <cell r="I401" t="e">
            <v>#N/A</v>
          </cell>
          <cell r="J401" t="e">
            <v>#N/A</v>
          </cell>
          <cell r="K401" t="e">
            <v>#N/A</v>
          </cell>
          <cell r="L401" t="e">
            <v>#N/A</v>
          </cell>
          <cell r="M401" t="e">
            <v>#N/A</v>
          </cell>
          <cell r="N401" t="e">
            <v>#N/A</v>
          </cell>
          <cell r="O401" t="e">
            <v>#N/A</v>
          </cell>
          <cell r="P401">
            <v>55.259995000000004</v>
          </cell>
          <cell r="Q401">
            <v>4.1596289999999998</v>
          </cell>
          <cell r="R401" t="e">
            <v>#N/A</v>
          </cell>
        </row>
        <row r="402">
          <cell r="A402">
            <v>40735</v>
          </cell>
          <cell r="B402">
            <v>40735</v>
          </cell>
          <cell r="C402" t="str">
            <v>Past</v>
          </cell>
          <cell r="D402">
            <v>54.869996</v>
          </cell>
          <cell r="E402" t="e">
            <v>#N/A</v>
          </cell>
          <cell r="F402" t="e">
            <v>#N/A</v>
          </cell>
          <cell r="G402" t="e">
            <v>#N/A</v>
          </cell>
          <cell r="H402" t="e">
            <v>#N/A</v>
          </cell>
          <cell r="I402" t="e">
            <v>#N/A</v>
          </cell>
          <cell r="J402" t="e">
            <v>#N/A</v>
          </cell>
          <cell r="K402" t="e">
            <v>#N/A</v>
          </cell>
          <cell r="L402" t="e">
            <v>#N/A</v>
          </cell>
          <cell r="M402" t="e">
            <v>#N/A</v>
          </cell>
          <cell r="N402" t="e">
            <v>#N/A</v>
          </cell>
          <cell r="O402" t="e">
            <v>#N/A</v>
          </cell>
          <cell r="P402">
            <v>54.869996</v>
          </cell>
          <cell r="Q402">
            <v>3.1412059999999999</v>
          </cell>
          <cell r="R402" t="e">
            <v>#N/A</v>
          </cell>
        </row>
        <row r="403">
          <cell r="A403">
            <v>40736</v>
          </cell>
          <cell r="B403">
            <v>40736</v>
          </cell>
          <cell r="C403" t="str">
            <v>Past</v>
          </cell>
          <cell r="D403">
            <v>54.599991000000003</v>
          </cell>
          <cell r="E403" t="e">
            <v>#N/A</v>
          </cell>
          <cell r="F403" t="e">
            <v>#N/A</v>
          </cell>
          <cell r="G403" t="e">
            <v>#N/A</v>
          </cell>
          <cell r="H403" t="e">
            <v>#N/A</v>
          </cell>
          <cell r="I403" t="e">
            <v>#N/A</v>
          </cell>
          <cell r="J403" t="e">
            <v>#N/A</v>
          </cell>
          <cell r="K403" t="e">
            <v>#N/A</v>
          </cell>
          <cell r="L403" t="e">
            <v>#N/A</v>
          </cell>
          <cell r="M403" t="e">
            <v>#N/A</v>
          </cell>
          <cell r="N403" t="e">
            <v>#N/A</v>
          </cell>
          <cell r="O403" t="e">
            <v>#N/A</v>
          </cell>
          <cell r="P403">
            <v>54.599991000000003</v>
          </cell>
          <cell r="Q403">
            <v>2.5667369999999998</v>
          </cell>
          <cell r="R403" t="e">
            <v>#N/A</v>
          </cell>
        </row>
        <row r="404">
          <cell r="A404">
            <v>40737</v>
          </cell>
          <cell r="B404">
            <v>40737</v>
          </cell>
          <cell r="C404" t="str">
            <v>Past</v>
          </cell>
          <cell r="D404">
            <v>54.699997000000003</v>
          </cell>
          <cell r="E404" t="e">
            <v>#N/A</v>
          </cell>
          <cell r="F404" t="e">
            <v>#N/A</v>
          </cell>
          <cell r="G404" t="e">
            <v>#N/A</v>
          </cell>
          <cell r="H404" t="e">
            <v>#N/A</v>
          </cell>
          <cell r="I404" t="e">
            <v>#N/A</v>
          </cell>
          <cell r="J404" t="e">
            <v>#N/A</v>
          </cell>
          <cell r="K404" t="e">
            <v>#N/A</v>
          </cell>
          <cell r="L404" t="e">
            <v>#N/A</v>
          </cell>
          <cell r="M404" t="e">
            <v>#N/A</v>
          </cell>
          <cell r="N404" t="e">
            <v>#N/A</v>
          </cell>
          <cell r="O404" t="e">
            <v>#N/A</v>
          </cell>
          <cell r="P404">
            <v>54.699997000000003</v>
          </cell>
          <cell r="Q404">
            <v>3.9236019999999998</v>
          </cell>
          <cell r="R404" t="e">
            <v>#N/A</v>
          </cell>
        </row>
        <row r="405">
          <cell r="A405">
            <v>40738</v>
          </cell>
          <cell r="B405">
            <v>40738</v>
          </cell>
          <cell r="C405" t="str">
            <v>Past</v>
          </cell>
          <cell r="D405">
            <v>54.279998999999997</v>
          </cell>
          <cell r="E405" t="e">
            <v>#N/A</v>
          </cell>
          <cell r="F405" t="e">
            <v>#N/A</v>
          </cell>
          <cell r="G405" t="e">
            <v>#N/A</v>
          </cell>
          <cell r="H405" t="e">
            <v>#N/A</v>
          </cell>
          <cell r="I405" t="e">
            <v>#N/A</v>
          </cell>
          <cell r="J405" t="e">
            <v>#N/A</v>
          </cell>
          <cell r="K405" t="e">
            <v>#N/A</v>
          </cell>
          <cell r="L405" t="e">
            <v>#N/A</v>
          </cell>
          <cell r="M405" t="e">
            <v>#N/A</v>
          </cell>
          <cell r="N405" t="e">
            <v>#N/A</v>
          </cell>
          <cell r="O405" t="e">
            <v>#N/A</v>
          </cell>
          <cell r="P405">
            <v>54.279998999999997</v>
          </cell>
          <cell r="Q405">
            <v>3.2127150000000002</v>
          </cell>
          <cell r="R405" t="e">
            <v>#N/A</v>
          </cell>
        </row>
        <row r="406">
          <cell r="A406">
            <v>40739</v>
          </cell>
          <cell r="B406">
            <v>40739</v>
          </cell>
          <cell r="C406" t="str">
            <v>Past</v>
          </cell>
          <cell r="D406">
            <v>54</v>
          </cell>
          <cell r="E406" t="e">
            <v>#N/A</v>
          </cell>
          <cell r="F406" t="e">
            <v>#N/A</v>
          </cell>
          <cell r="G406" t="e">
            <v>#N/A</v>
          </cell>
          <cell r="H406" t="e">
            <v>#N/A</v>
          </cell>
          <cell r="I406" t="e">
            <v>#N/A</v>
          </cell>
          <cell r="J406" t="e">
            <v>#N/A</v>
          </cell>
          <cell r="K406" t="e">
            <v>#N/A</v>
          </cell>
          <cell r="L406" t="e">
            <v>#N/A</v>
          </cell>
          <cell r="M406" t="e">
            <v>#N/A</v>
          </cell>
          <cell r="N406" t="e">
            <v>#N/A</v>
          </cell>
          <cell r="O406" t="e">
            <v>#N/A</v>
          </cell>
          <cell r="P406">
            <v>54</v>
          </cell>
          <cell r="Q406">
            <v>3.502294</v>
          </cell>
          <cell r="R406" t="e">
            <v>#N/A</v>
          </cell>
        </row>
        <row r="407">
          <cell r="A407">
            <v>40742</v>
          </cell>
          <cell r="B407">
            <v>40742</v>
          </cell>
          <cell r="C407" t="str">
            <v>Past</v>
          </cell>
          <cell r="D407">
            <v>53.819992999999997</v>
          </cell>
          <cell r="E407" t="e">
            <v>#N/A</v>
          </cell>
          <cell r="F407" t="e">
            <v>#N/A</v>
          </cell>
          <cell r="G407" t="e">
            <v>#N/A</v>
          </cell>
          <cell r="H407" t="e">
            <v>#N/A</v>
          </cell>
          <cell r="I407" t="e">
            <v>#N/A</v>
          </cell>
          <cell r="J407" t="e">
            <v>#N/A</v>
          </cell>
          <cell r="K407" t="e">
            <v>#N/A</v>
          </cell>
          <cell r="L407" t="e">
            <v>#N/A</v>
          </cell>
          <cell r="M407" t="e">
            <v>#N/A</v>
          </cell>
          <cell r="N407" t="e">
            <v>#N/A</v>
          </cell>
          <cell r="O407" t="e">
            <v>#N/A</v>
          </cell>
          <cell r="P407">
            <v>53.819992999999997</v>
          </cell>
          <cell r="Q407">
            <v>3.241206</v>
          </cell>
          <cell r="R407" t="e">
            <v>#N/A</v>
          </cell>
        </row>
        <row r="408">
          <cell r="A408">
            <v>40743</v>
          </cell>
          <cell r="B408">
            <v>40743</v>
          </cell>
          <cell r="C408" t="str">
            <v>Past</v>
          </cell>
          <cell r="D408">
            <v>54.529998999999997</v>
          </cell>
          <cell r="E408" t="e">
            <v>#N/A</v>
          </cell>
          <cell r="F408" t="e">
            <v>#N/A</v>
          </cell>
          <cell r="G408" t="e">
            <v>#N/A</v>
          </cell>
          <cell r="H408" t="e">
            <v>#N/A</v>
          </cell>
          <cell r="I408" t="e">
            <v>#N/A</v>
          </cell>
          <cell r="J408" t="e">
            <v>#N/A</v>
          </cell>
          <cell r="K408" t="e">
            <v>#N/A</v>
          </cell>
          <cell r="L408" t="e">
            <v>#N/A</v>
          </cell>
          <cell r="M408" t="e">
            <v>#N/A</v>
          </cell>
          <cell r="N408" t="e">
            <v>#N/A</v>
          </cell>
          <cell r="O408" t="e">
            <v>#N/A</v>
          </cell>
          <cell r="P408">
            <v>54.529998999999997</v>
          </cell>
          <cell r="Q408">
            <v>3.7987220000000002</v>
          </cell>
          <cell r="R408" t="e">
            <v>#N/A</v>
          </cell>
        </row>
        <row r="409">
          <cell r="A409">
            <v>40744</v>
          </cell>
          <cell r="B409">
            <v>40744</v>
          </cell>
          <cell r="C409" t="str">
            <v>Past</v>
          </cell>
          <cell r="D409">
            <v>55.779998999999997</v>
          </cell>
          <cell r="E409" t="e">
            <v>#N/A</v>
          </cell>
          <cell r="F409" t="e">
            <v>#N/A</v>
          </cell>
          <cell r="G409" t="e">
            <v>#N/A</v>
          </cell>
          <cell r="H409" t="e">
            <v>#N/A</v>
          </cell>
          <cell r="I409" t="e">
            <v>#N/A</v>
          </cell>
          <cell r="J409" t="e">
            <v>#N/A</v>
          </cell>
          <cell r="K409" t="e">
            <v>#N/A</v>
          </cell>
          <cell r="L409" t="e">
            <v>#N/A</v>
          </cell>
          <cell r="M409" t="e">
            <v>#N/A</v>
          </cell>
          <cell r="N409" t="e">
            <v>#N/A</v>
          </cell>
          <cell r="O409" t="e">
            <v>#N/A</v>
          </cell>
          <cell r="P409">
            <v>55.779998999999997</v>
          </cell>
          <cell r="Q409">
            <v>4.2694020000000004</v>
          </cell>
          <cell r="R409" t="e">
            <v>#N/A</v>
          </cell>
        </row>
        <row r="410">
          <cell r="A410">
            <v>40745</v>
          </cell>
          <cell r="B410">
            <v>40745</v>
          </cell>
          <cell r="C410" t="str">
            <v>Past</v>
          </cell>
          <cell r="D410">
            <v>63.829987000000003</v>
          </cell>
          <cell r="E410" t="e">
            <v>#N/A</v>
          </cell>
          <cell r="F410" t="e">
            <v>#N/A</v>
          </cell>
          <cell r="G410" t="e">
            <v>#N/A</v>
          </cell>
          <cell r="H410" t="e">
            <v>#N/A</v>
          </cell>
          <cell r="I410" t="e">
            <v>#N/A</v>
          </cell>
          <cell r="J410" t="e">
            <v>#N/A</v>
          </cell>
          <cell r="K410" t="e">
            <v>#N/A</v>
          </cell>
          <cell r="L410" t="e">
            <v>#N/A</v>
          </cell>
          <cell r="M410" t="e">
            <v>#N/A</v>
          </cell>
          <cell r="N410" t="e">
            <v>#N/A</v>
          </cell>
          <cell r="O410" t="e">
            <v>#N/A</v>
          </cell>
          <cell r="P410">
            <v>63.829987000000003</v>
          </cell>
          <cell r="Q410">
            <v>70.980563000000004</v>
          </cell>
          <cell r="R410" t="e">
            <v>#N/A</v>
          </cell>
        </row>
        <row r="411">
          <cell r="A411">
            <v>40746</v>
          </cell>
          <cell r="B411">
            <v>40746</v>
          </cell>
          <cell r="C411" t="str">
            <v>Past</v>
          </cell>
          <cell r="D411">
            <v>65.959992</v>
          </cell>
          <cell r="E411" t="e">
            <v>#N/A</v>
          </cell>
          <cell r="F411" t="e">
            <v>#N/A</v>
          </cell>
          <cell r="G411" t="e">
            <v>#N/A</v>
          </cell>
          <cell r="H411" t="e">
            <v>#N/A</v>
          </cell>
          <cell r="I411" t="e">
            <v>#N/A</v>
          </cell>
          <cell r="J411" t="e">
            <v>#N/A</v>
          </cell>
          <cell r="K411" t="e">
            <v>#N/A</v>
          </cell>
          <cell r="L411" t="e">
            <v>#N/A</v>
          </cell>
          <cell r="M411" t="e">
            <v>#N/A</v>
          </cell>
          <cell r="N411" t="e">
            <v>#N/A</v>
          </cell>
          <cell r="O411" t="e">
            <v>#N/A</v>
          </cell>
          <cell r="P411">
            <v>65.959992</v>
          </cell>
          <cell r="Q411">
            <v>15.726696</v>
          </cell>
          <cell r="R411" t="e">
            <v>#N/A</v>
          </cell>
        </row>
        <row r="412">
          <cell r="A412">
            <v>40749</v>
          </cell>
          <cell r="B412">
            <v>40749</v>
          </cell>
          <cell r="C412" t="str">
            <v>Past</v>
          </cell>
          <cell r="D412">
            <v>65.509995000000004</v>
          </cell>
          <cell r="E412" t="e">
            <v>#N/A</v>
          </cell>
          <cell r="F412" t="e">
            <v>#N/A</v>
          </cell>
          <cell r="G412" t="e">
            <v>#N/A</v>
          </cell>
          <cell r="H412" t="e">
            <v>#N/A</v>
          </cell>
          <cell r="I412" t="e">
            <v>#N/A</v>
          </cell>
          <cell r="J412" t="e">
            <v>#N/A</v>
          </cell>
          <cell r="K412" t="e">
            <v>#N/A</v>
          </cell>
          <cell r="L412" t="e">
            <v>#N/A</v>
          </cell>
          <cell r="M412" t="e">
            <v>#N/A</v>
          </cell>
          <cell r="N412" t="e">
            <v>#N/A</v>
          </cell>
          <cell r="O412" t="e">
            <v>#N/A</v>
          </cell>
          <cell r="P412">
            <v>65.509995000000004</v>
          </cell>
          <cell r="Q412">
            <v>7.5194020000000004</v>
          </cell>
          <cell r="R412" t="e">
            <v>#N/A</v>
          </cell>
        </row>
        <row r="413">
          <cell r="A413">
            <v>40750</v>
          </cell>
          <cell r="B413">
            <v>40750</v>
          </cell>
          <cell r="C413" t="str">
            <v>Past</v>
          </cell>
          <cell r="D413">
            <v>64.579987000000003</v>
          </cell>
          <cell r="E413" t="e">
            <v>#N/A</v>
          </cell>
          <cell r="F413" t="e">
            <v>#N/A</v>
          </cell>
          <cell r="G413" t="e">
            <v>#N/A</v>
          </cell>
          <cell r="H413" t="e">
            <v>#N/A</v>
          </cell>
          <cell r="I413" t="e">
            <v>#N/A</v>
          </cell>
          <cell r="J413" t="e">
            <v>#N/A</v>
          </cell>
          <cell r="K413" t="e">
            <v>#N/A</v>
          </cell>
          <cell r="L413" t="e">
            <v>#N/A</v>
          </cell>
          <cell r="M413" t="e">
            <v>#N/A</v>
          </cell>
          <cell r="N413" t="e">
            <v>#N/A</v>
          </cell>
          <cell r="O413" t="e">
            <v>#N/A</v>
          </cell>
          <cell r="P413">
            <v>64.579987000000003</v>
          </cell>
          <cell r="Q413">
            <v>10.099508</v>
          </cell>
          <cell r="R413" t="e">
            <v>#N/A</v>
          </cell>
        </row>
        <row r="414">
          <cell r="A414">
            <v>40751</v>
          </cell>
          <cell r="B414">
            <v>40751</v>
          </cell>
          <cell r="C414" t="str">
            <v>Past</v>
          </cell>
          <cell r="D414">
            <v>63.119996</v>
          </cell>
          <cell r="E414" t="e">
            <v>#N/A</v>
          </cell>
          <cell r="F414" t="e">
            <v>#N/A</v>
          </cell>
          <cell r="G414" t="e">
            <v>#N/A</v>
          </cell>
          <cell r="H414" t="e">
            <v>#N/A</v>
          </cell>
          <cell r="I414" t="e">
            <v>#N/A</v>
          </cell>
          <cell r="J414" t="e">
            <v>#N/A</v>
          </cell>
          <cell r="K414" t="e">
            <v>#N/A</v>
          </cell>
          <cell r="L414" t="e">
            <v>#N/A</v>
          </cell>
          <cell r="M414" t="e">
            <v>#N/A</v>
          </cell>
          <cell r="N414" t="e">
            <v>#N/A</v>
          </cell>
          <cell r="O414" t="e">
            <v>#N/A</v>
          </cell>
          <cell r="P414">
            <v>63.119996</v>
          </cell>
          <cell r="Q414">
            <v>5.8878089999999998</v>
          </cell>
          <cell r="R414" t="e">
            <v>#N/A</v>
          </cell>
        </row>
        <row r="415">
          <cell r="A415">
            <v>40752</v>
          </cell>
          <cell r="B415">
            <v>40752</v>
          </cell>
          <cell r="C415" t="str">
            <v>Past</v>
          </cell>
          <cell r="D415">
            <v>63</v>
          </cell>
          <cell r="E415" t="e">
            <v>#N/A</v>
          </cell>
          <cell r="F415" t="e">
            <v>#N/A</v>
          </cell>
          <cell r="G415" t="e">
            <v>#N/A</v>
          </cell>
          <cell r="H415" t="e">
            <v>#N/A</v>
          </cell>
          <cell r="I415" t="e">
            <v>#N/A</v>
          </cell>
          <cell r="J415" t="e">
            <v>#N/A</v>
          </cell>
          <cell r="K415" t="e">
            <v>#N/A</v>
          </cell>
          <cell r="L415" t="e">
            <v>#N/A</v>
          </cell>
          <cell r="M415" t="e">
            <v>#N/A</v>
          </cell>
          <cell r="N415" t="e">
            <v>#N/A</v>
          </cell>
          <cell r="O415" t="e">
            <v>#N/A</v>
          </cell>
          <cell r="P415">
            <v>63</v>
          </cell>
          <cell r="Q415">
            <v>5.2102029999999999</v>
          </cell>
          <cell r="R415" t="e">
            <v>#N/A</v>
          </cell>
        </row>
        <row r="416">
          <cell r="A416">
            <v>40753</v>
          </cell>
          <cell r="B416">
            <v>40753</v>
          </cell>
          <cell r="C416" t="str">
            <v>Past</v>
          </cell>
          <cell r="D416">
            <v>62.879989999999999</v>
          </cell>
          <cell r="E416" t="e">
            <v>#N/A</v>
          </cell>
          <cell r="F416" t="e">
            <v>#N/A</v>
          </cell>
          <cell r="G416" t="e">
            <v>#N/A</v>
          </cell>
          <cell r="H416" t="e">
            <v>#N/A</v>
          </cell>
          <cell r="I416" t="e">
            <v>#N/A</v>
          </cell>
          <cell r="J416" t="e">
            <v>#N/A</v>
          </cell>
          <cell r="K416" t="e">
            <v>#N/A</v>
          </cell>
          <cell r="L416" t="e">
            <v>#N/A</v>
          </cell>
          <cell r="M416" t="e">
            <v>#N/A</v>
          </cell>
          <cell r="N416" t="e">
            <v>#N/A</v>
          </cell>
          <cell r="O416" t="e">
            <v>#N/A</v>
          </cell>
          <cell r="P416">
            <v>62.879989999999999</v>
          </cell>
          <cell r="Q416">
            <v>5.9893710000000002</v>
          </cell>
          <cell r="R416" t="e">
            <v>#N/A</v>
          </cell>
        </row>
        <row r="417">
          <cell r="A417">
            <v>40756</v>
          </cell>
          <cell r="B417">
            <v>40756</v>
          </cell>
          <cell r="C417" t="str">
            <v>Past</v>
          </cell>
          <cell r="D417">
            <v>62.049987999999999</v>
          </cell>
          <cell r="E417" t="e">
            <v>#N/A</v>
          </cell>
          <cell r="F417" t="e">
            <v>#N/A</v>
          </cell>
          <cell r="G417" t="e">
            <v>#N/A</v>
          </cell>
          <cell r="H417" t="e">
            <v>#N/A</v>
          </cell>
          <cell r="I417" t="e">
            <v>#N/A</v>
          </cell>
          <cell r="J417" t="e">
            <v>#N/A</v>
          </cell>
          <cell r="K417" t="e">
            <v>#N/A</v>
          </cell>
          <cell r="L417" t="e">
            <v>#N/A</v>
          </cell>
          <cell r="M417" t="e">
            <v>#N/A</v>
          </cell>
          <cell r="N417" t="e">
            <v>#N/A</v>
          </cell>
          <cell r="O417" t="e">
            <v>#N/A</v>
          </cell>
          <cell r="P417">
            <v>62.049987999999999</v>
          </cell>
          <cell r="Q417">
            <v>4.4132340000000001</v>
          </cell>
          <cell r="R417" t="e">
            <v>#N/A</v>
          </cell>
        </row>
        <row r="418">
          <cell r="A418">
            <v>40757</v>
          </cell>
          <cell r="B418">
            <v>40757</v>
          </cell>
          <cell r="C418" t="str">
            <v>Past</v>
          </cell>
          <cell r="D418">
            <v>60.459992</v>
          </cell>
          <cell r="E418" t="e">
            <v>#N/A</v>
          </cell>
          <cell r="F418" t="e">
            <v>#N/A</v>
          </cell>
          <cell r="G418" t="e">
            <v>#N/A</v>
          </cell>
          <cell r="H418" t="e">
            <v>#N/A</v>
          </cell>
          <cell r="I418" t="e">
            <v>#N/A</v>
          </cell>
          <cell r="J418" t="e">
            <v>#N/A</v>
          </cell>
          <cell r="K418" t="e">
            <v>#N/A</v>
          </cell>
          <cell r="L418" t="e">
            <v>#N/A</v>
          </cell>
          <cell r="M418" t="e">
            <v>#N/A</v>
          </cell>
          <cell r="N418" t="e">
            <v>#N/A</v>
          </cell>
          <cell r="O418" t="e">
            <v>#N/A</v>
          </cell>
          <cell r="P418">
            <v>60.459992</v>
          </cell>
          <cell r="Q418">
            <v>4.7107619999999999</v>
          </cell>
          <cell r="R418" t="e">
            <v>#N/A</v>
          </cell>
        </row>
        <row r="419">
          <cell r="A419">
            <v>40758</v>
          </cell>
          <cell r="B419">
            <v>40758</v>
          </cell>
          <cell r="C419" t="str">
            <v>Past</v>
          </cell>
          <cell r="D419">
            <v>59.849991000000003</v>
          </cell>
          <cell r="E419" t="e">
            <v>#N/A</v>
          </cell>
          <cell r="F419" t="e">
            <v>#N/A</v>
          </cell>
          <cell r="G419" t="e">
            <v>#N/A</v>
          </cell>
          <cell r="H419" t="e">
            <v>#N/A</v>
          </cell>
          <cell r="I419" t="e">
            <v>#N/A</v>
          </cell>
          <cell r="J419" t="e">
            <v>#N/A</v>
          </cell>
          <cell r="K419" t="e">
            <v>#N/A</v>
          </cell>
          <cell r="L419" t="e">
            <v>#N/A</v>
          </cell>
          <cell r="M419" t="e">
            <v>#N/A</v>
          </cell>
          <cell r="N419" t="e">
            <v>#N/A</v>
          </cell>
          <cell r="O419" t="e">
            <v>#N/A</v>
          </cell>
          <cell r="P419">
            <v>59.849991000000003</v>
          </cell>
          <cell r="Q419">
            <v>7.4547230000000004</v>
          </cell>
          <cell r="R419" t="e">
            <v>#N/A</v>
          </cell>
        </row>
        <row r="420">
          <cell r="A420">
            <v>40759</v>
          </cell>
          <cell r="B420">
            <v>40759</v>
          </cell>
          <cell r="C420" t="str">
            <v>Past</v>
          </cell>
          <cell r="D420">
            <v>55.969985999999999</v>
          </cell>
          <cell r="E420" t="e">
            <v>#N/A</v>
          </cell>
          <cell r="F420" t="e">
            <v>#N/A</v>
          </cell>
          <cell r="G420" t="e">
            <v>#N/A</v>
          </cell>
          <cell r="H420" t="e">
            <v>#N/A</v>
          </cell>
          <cell r="I420" t="e">
            <v>#N/A</v>
          </cell>
          <cell r="J420" t="e">
            <v>#N/A</v>
          </cell>
          <cell r="K420" t="e">
            <v>#N/A</v>
          </cell>
          <cell r="L420" t="e">
            <v>#N/A</v>
          </cell>
          <cell r="M420" t="e">
            <v>#N/A</v>
          </cell>
          <cell r="N420" t="e">
            <v>#N/A</v>
          </cell>
          <cell r="O420" t="e">
            <v>#N/A</v>
          </cell>
          <cell r="P420">
            <v>55.969985999999999</v>
          </cell>
          <cell r="Q420">
            <v>9.9255630000000004</v>
          </cell>
          <cell r="R420" t="e">
            <v>#N/A</v>
          </cell>
        </row>
        <row r="421">
          <cell r="A421">
            <v>40760</v>
          </cell>
          <cell r="B421">
            <v>40760</v>
          </cell>
          <cell r="C421" t="str">
            <v>Past</v>
          </cell>
          <cell r="D421">
            <v>55.479996</v>
          </cell>
          <cell r="E421" t="e">
            <v>#N/A</v>
          </cell>
          <cell r="F421" t="e">
            <v>#N/A</v>
          </cell>
          <cell r="G421" t="e">
            <v>#N/A</v>
          </cell>
          <cell r="H421" t="e">
            <v>#N/A</v>
          </cell>
          <cell r="I421" t="e">
            <v>#N/A</v>
          </cell>
          <cell r="J421" t="e">
            <v>#N/A</v>
          </cell>
          <cell r="K421" t="e">
            <v>#N/A</v>
          </cell>
          <cell r="L421" t="e">
            <v>#N/A</v>
          </cell>
          <cell r="M421" t="e">
            <v>#N/A</v>
          </cell>
          <cell r="N421" t="e">
            <v>#N/A</v>
          </cell>
          <cell r="O421" t="e">
            <v>#N/A</v>
          </cell>
          <cell r="P421">
            <v>55.479996</v>
          </cell>
          <cell r="Q421">
            <v>10.83986</v>
          </cell>
          <cell r="R421" t="e">
            <v>#N/A</v>
          </cell>
        </row>
        <row r="422">
          <cell r="A422">
            <v>40763</v>
          </cell>
          <cell r="B422">
            <v>40763</v>
          </cell>
          <cell r="C422" t="str">
            <v>Past</v>
          </cell>
          <cell r="D422">
            <v>50.979996</v>
          </cell>
          <cell r="E422" t="e">
            <v>#N/A</v>
          </cell>
          <cell r="F422" t="e">
            <v>#N/A</v>
          </cell>
          <cell r="G422" t="e">
            <v>#N/A</v>
          </cell>
          <cell r="H422" t="e">
            <v>#N/A</v>
          </cell>
          <cell r="I422" t="e">
            <v>#N/A</v>
          </cell>
          <cell r="J422" t="e">
            <v>#N/A</v>
          </cell>
          <cell r="K422" t="e">
            <v>#N/A</v>
          </cell>
          <cell r="L422" t="e">
            <v>#N/A</v>
          </cell>
          <cell r="M422" t="e">
            <v>#N/A</v>
          </cell>
          <cell r="N422" t="e">
            <v>#N/A</v>
          </cell>
          <cell r="O422" t="e">
            <v>#N/A</v>
          </cell>
          <cell r="P422">
            <v>50.979996</v>
          </cell>
          <cell r="Q422">
            <v>9.4749920000000003</v>
          </cell>
          <cell r="R422" t="e">
            <v>#N/A</v>
          </cell>
        </row>
        <row r="423">
          <cell r="A423">
            <v>40764</v>
          </cell>
          <cell r="B423">
            <v>40764</v>
          </cell>
          <cell r="C423" t="str">
            <v>Past</v>
          </cell>
          <cell r="D423">
            <v>53.799987999999999</v>
          </cell>
          <cell r="E423" t="e">
            <v>#N/A</v>
          </cell>
          <cell r="F423" t="e">
            <v>#N/A</v>
          </cell>
          <cell r="G423" t="e">
            <v>#N/A</v>
          </cell>
          <cell r="H423" t="e">
            <v>#N/A</v>
          </cell>
          <cell r="I423" t="e">
            <v>#N/A</v>
          </cell>
          <cell r="J423" t="e">
            <v>#N/A</v>
          </cell>
          <cell r="K423" t="e">
            <v>#N/A</v>
          </cell>
          <cell r="L423" t="e">
            <v>#N/A</v>
          </cell>
          <cell r="M423" t="e">
            <v>#N/A</v>
          </cell>
          <cell r="N423" t="e">
            <v>#N/A</v>
          </cell>
          <cell r="O423" t="e">
            <v>#N/A</v>
          </cell>
          <cell r="P423">
            <v>53.799987999999999</v>
          </cell>
          <cell r="Q423">
            <v>9.5307069999999996</v>
          </cell>
          <cell r="R423" t="e">
            <v>#N/A</v>
          </cell>
        </row>
        <row r="424">
          <cell r="A424">
            <v>40765</v>
          </cell>
          <cell r="B424">
            <v>40765</v>
          </cell>
          <cell r="C424" t="str">
            <v>Past</v>
          </cell>
          <cell r="D424">
            <v>52.01999</v>
          </cell>
          <cell r="E424" t="e">
            <v>#N/A</v>
          </cell>
          <cell r="F424" t="e">
            <v>#N/A</v>
          </cell>
          <cell r="G424" t="e">
            <v>#N/A</v>
          </cell>
          <cell r="H424" t="e">
            <v>#N/A</v>
          </cell>
          <cell r="I424" t="e">
            <v>#N/A</v>
          </cell>
          <cell r="J424" t="e">
            <v>#N/A</v>
          </cell>
          <cell r="K424" t="e">
            <v>#N/A</v>
          </cell>
          <cell r="L424" t="e">
            <v>#N/A</v>
          </cell>
          <cell r="M424" t="e">
            <v>#N/A</v>
          </cell>
          <cell r="N424" t="e">
            <v>#N/A</v>
          </cell>
          <cell r="O424" t="e">
            <v>#N/A</v>
          </cell>
          <cell r="P424">
            <v>52.01999</v>
          </cell>
          <cell r="Q424">
            <v>8.2551410000000001</v>
          </cell>
          <cell r="R424" t="e">
            <v>#N/A</v>
          </cell>
        </row>
        <row r="425">
          <cell r="A425">
            <v>40766</v>
          </cell>
          <cell r="B425">
            <v>40766</v>
          </cell>
          <cell r="C425" t="str">
            <v>Past</v>
          </cell>
          <cell r="D425">
            <v>54.149994</v>
          </cell>
          <cell r="E425" t="e">
            <v>#N/A</v>
          </cell>
          <cell r="F425" t="e">
            <v>#N/A</v>
          </cell>
          <cell r="G425" t="e">
            <v>#N/A</v>
          </cell>
          <cell r="H425" t="e">
            <v>#N/A</v>
          </cell>
          <cell r="I425" t="e">
            <v>#N/A</v>
          </cell>
          <cell r="J425" t="e">
            <v>#N/A</v>
          </cell>
          <cell r="K425" t="e">
            <v>#N/A</v>
          </cell>
          <cell r="L425" t="e">
            <v>#N/A</v>
          </cell>
          <cell r="M425" t="e">
            <v>#N/A</v>
          </cell>
          <cell r="N425" t="e">
            <v>#N/A</v>
          </cell>
          <cell r="O425" t="e">
            <v>#N/A</v>
          </cell>
          <cell r="P425">
            <v>54.149994</v>
          </cell>
          <cell r="Q425">
            <v>7.190785</v>
          </cell>
          <cell r="R425" t="e">
            <v>#N/A</v>
          </cell>
        </row>
        <row r="426">
          <cell r="A426">
            <v>40767</v>
          </cell>
          <cell r="B426">
            <v>40767</v>
          </cell>
          <cell r="C426" t="str">
            <v>Past</v>
          </cell>
          <cell r="D426">
            <v>53.939988</v>
          </cell>
          <cell r="E426" t="e">
            <v>#N/A</v>
          </cell>
          <cell r="F426" t="e">
            <v>#N/A</v>
          </cell>
          <cell r="G426" t="e">
            <v>#N/A</v>
          </cell>
          <cell r="H426" t="e">
            <v>#N/A</v>
          </cell>
          <cell r="I426" t="e">
            <v>#N/A</v>
          </cell>
          <cell r="J426" t="e">
            <v>#N/A</v>
          </cell>
          <cell r="K426" t="e">
            <v>#N/A</v>
          </cell>
          <cell r="L426" t="e">
            <v>#N/A</v>
          </cell>
          <cell r="M426" t="e">
            <v>#N/A</v>
          </cell>
          <cell r="N426" t="e">
            <v>#N/A</v>
          </cell>
          <cell r="O426" t="e">
            <v>#N/A</v>
          </cell>
          <cell r="P426">
            <v>53.939988</v>
          </cell>
          <cell r="Q426">
            <v>4.7052969999999998</v>
          </cell>
          <cell r="R426" t="e">
            <v>#N/A</v>
          </cell>
        </row>
        <row r="427">
          <cell r="A427">
            <v>40770</v>
          </cell>
          <cell r="B427">
            <v>40770</v>
          </cell>
          <cell r="C427" t="str">
            <v>Past</v>
          </cell>
          <cell r="D427">
            <v>54.89</v>
          </cell>
          <cell r="E427" t="e">
            <v>#N/A</v>
          </cell>
          <cell r="F427" t="e">
            <v>#N/A</v>
          </cell>
          <cell r="G427" t="e">
            <v>#N/A</v>
          </cell>
          <cell r="H427" t="e">
            <v>#N/A</v>
          </cell>
          <cell r="I427" t="e">
            <v>#N/A</v>
          </cell>
          <cell r="J427" t="e">
            <v>#N/A</v>
          </cell>
          <cell r="K427" t="e">
            <v>#N/A</v>
          </cell>
          <cell r="L427" t="e">
            <v>#N/A</v>
          </cell>
          <cell r="M427" t="e">
            <v>#N/A</v>
          </cell>
          <cell r="N427" t="e">
            <v>#N/A</v>
          </cell>
          <cell r="O427" t="e">
            <v>#N/A</v>
          </cell>
          <cell r="P427">
            <v>54.89</v>
          </cell>
          <cell r="Q427">
            <v>3.1355110000000002</v>
          </cell>
          <cell r="R427" t="e">
            <v>#N/A</v>
          </cell>
        </row>
        <row r="428">
          <cell r="A428">
            <v>40771</v>
          </cell>
          <cell r="B428">
            <v>40771</v>
          </cell>
          <cell r="C428" t="str">
            <v>Past</v>
          </cell>
          <cell r="D428">
            <v>53.939988</v>
          </cell>
          <cell r="E428" t="e">
            <v>#N/A</v>
          </cell>
          <cell r="F428" t="e">
            <v>#N/A</v>
          </cell>
          <cell r="G428" t="e">
            <v>#N/A</v>
          </cell>
          <cell r="H428" t="e">
            <v>#N/A</v>
          </cell>
          <cell r="I428" t="e">
            <v>#N/A</v>
          </cell>
          <cell r="J428" t="e">
            <v>#N/A</v>
          </cell>
          <cell r="K428" t="e">
            <v>#N/A</v>
          </cell>
          <cell r="L428" t="e">
            <v>#N/A</v>
          </cell>
          <cell r="M428" t="e">
            <v>#N/A</v>
          </cell>
          <cell r="N428" t="e">
            <v>#N/A</v>
          </cell>
          <cell r="O428" t="e">
            <v>#N/A</v>
          </cell>
          <cell r="P428">
            <v>53.939988</v>
          </cell>
          <cell r="Q428">
            <v>3.7211129999999999</v>
          </cell>
          <cell r="R428" t="e">
            <v>#N/A</v>
          </cell>
        </row>
        <row r="429">
          <cell r="A429">
            <v>40772</v>
          </cell>
          <cell r="B429">
            <v>40772</v>
          </cell>
          <cell r="C429" t="str">
            <v>Past</v>
          </cell>
          <cell r="D429">
            <v>53.379989999999999</v>
          </cell>
          <cell r="E429" t="e">
            <v>#N/A</v>
          </cell>
          <cell r="F429" t="e">
            <v>#N/A</v>
          </cell>
          <cell r="G429" t="e">
            <v>#N/A</v>
          </cell>
          <cell r="H429" t="e">
            <v>#N/A</v>
          </cell>
          <cell r="I429" t="e">
            <v>#N/A</v>
          </cell>
          <cell r="J429" t="e">
            <v>#N/A</v>
          </cell>
          <cell r="K429" t="e">
            <v>#N/A</v>
          </cell>
          <cell r="L429" t="e">
            <v>#N/A</v>
          </cell>
          <cell r="M429" t="e">
            <v>#N/A</v>
          </cell>
          <cell r="N429" t="e">
            <v>#N/A</v>
          </cell>
          <cell r="O429" t="e">
            <v>#N/A</v>
          </cell>
          <cell r="P429">
            <v>53.379989999999999</v>
          </cell>
          <cell r="Q429">
            <v>4.8037739999999998</v>
          </cell>
          <cell r="R429" t="e">
            <v>#N/A</v>
          </cell>
        </row>
        <row r="430">
          <cell r="A430">
            <v>40773</v>
          </cell>
          <cell r="B430">
            <v>40773</v>
          </cell>
          <cell r="C430" t="str">
            <v>Past</v>
          </cell>
          <cell r="D430">
            <v>52.359985999999999</v>
          </cell>
          <cell r="E430" t="e">
            <v>#N/A</v>
          </cell>
          <cell r="F430" t="e">
            <v>#N/A</v>
          </cell>
          <cell r="G430" t="e">
            <v>#N/A</v>
          </cell>
          <cell r="H430" t="e">
            <v>#N/A</v>
          </cell>
          <cell r="I430" t="e">
            <v>#N/A</v>
          </cell>
          <cell r="J430" t="e">
            <v>#N/A</v>
          </cell>
          <cell r="K430" t="e">
            <v>#N/A</v>
          </cell>
          <cell r="L430" t="e">
            <v>#N/A</v>
          </cell>
          <cell r="M430" t="e">
            <v>#N/A</v>
          </cell>
          <cell r="N430" t="e">
            <v>#N/A</v>
          </cell>
          <cell r="O430" t="e">
            <v>#N/A</v>
          </cell>
          <cell r="P430">
            <v>52.359985999999999</v>
          </cell>
          <cell r="Q430">
            <v>4.741168</v>
          </cell>
          <cell r="R430" t="e">
            <v>#N/A</v>
          </cell>
        </row>
        <row r="431">
          <cell r="A431">
            <v>40774</v>
          </cell>
          <cell r="B431">
            <v>40774</v>
          </cell>
          <cell r="C431" t="str">
            <v>Past</v>
          </cell>
          <cell r="D431">
            <v>52.369996</v>
          </cell>
          <cell r="E431" t="e">
            <v>#N/A</v>
          </cell>
          <cell r="F431" t="e">
            <v>#N/A</v>
          </cell>
          <cell r="G431" t="e">
            <v>#N/A</v>
          </cell>
          <cell r="H431" t="e">
            <v>#N/A</v>
          </cell>
          <cell r="I431" t="e">
            <v>#N/A</v>
          </cell>
          <cell r="J431" t="e">
            <v>#N/A</v>
          </cell>
          <cell r="K431" t="e">
            <v>#N/A</v>
          </cell>
          <cell r="L431" t="e">
            <v>#N/A</v>
          </cell>
          <cell r="M431" t="e">
            <v>#N/A</v>
          </cell>
          <cell r="N431" t="e">
            <v>#N/A</v>
          </cell>
          <cell r="O431" t="e">
            <v>#N/A</v>
          </cell>
          <cell r="P431">
            <v>52.369996</v>
          </cell>
          <cell r="Q431">
            <v>4.6141800000000002</v>
          </cell>
          <cell r="R431" t="e">
            <v>#N/A</v>
          </cell>
        </row>
        <row r="432">
          <cell r="A432">
            <v>40777</v>
          </cell>
          <cell r="B432">
            <v>40777</v>
          </cell>
          <cell r="C432" t="str">
            <v>Past</v>
          </cell>
          <cell r="D432">
            <v>52.479996</v>
          </cell>
          <cell r="E432" t="e">
            <v>#N/A</v>
          </cell>
          <cell r="F432" t="e">
            <v>#N/A</v>
          </cell>
          <cell r="G432" t="e">
            <v>#N/A</v>
          </cell>
          <cell r="H432" t="e">
            <v>#N/A</v>
          </cell>
          <cell r="I432" t="e">
            <v>#N/A</v>
          </cell>
          <cell r="J432" t="e">
            <v>#N/A</v>
          </cell>
          <cell r="K432" t="e">
            <v>#N/A</v>
          </cell>
          <cell r="L432" t="e">
            <v>#N/A</v>
          </cell>
          <cell r="M432" t="e">
            <v>#N/A</v>
          </cell>
          <cell r="N432" t="e">
            <v>#N/A</v>
          </cell>
          <cell r="O432" t="e">
            <v>#N/A</v>
          </cell>
          <cell r="P432">
            <v>52.479996</v>
          </cell>
          <cell r="Q432">
            <v>3.2497850000000001</v>
          </cell>
          <cell r="R432" t="e">
            <v>#N/A</v>
          </cell>
        </row>
        <row r="433">
          <cell r="A433">
            <v>40778</v>
          </cell>
          <cell r="B433">
            <v>40778</v>
          </cell>
          <cell r="C433" t="str">
            <v>Past</v>
          </cell>
          <cell r="D433">
            <v>53.529998999999997</v>
          </cell>
          <cell r="E433" t="e">
            <v>#N/A</v>
          </cell>
          <cell r="F433" t="e">
            <v>#N/A</v>
          </cell>
          <cell r="G433" t="e">
            <v>#N/A</v>
          </cell>
          <cell r="H433" t="e">
            <v>#N/A</v>
          </cell>
          <cell r="I433" t="e">
            <v>#N/A</v>
          </cell>
          <cell r="J433" t="e">
            <v>#N/A</v>
          </cell>
          <cell r="K433" t="e">
            <v>#N/A</v>
          </cell>
          <cell r="L433" t="e">
            <v>#N/A</v>
          </cell>
          <cell r="M433" t="e">
            <v>#N/A</v>
          </cell>
          <cell r="N433" t="e">
            <v>#N/A</v>
          </cell>
          <cell r="O433" t="e">
            <v>#N/A</v>
          </cell>
          <cell r="P433">
            <v>53.529998999999997</v>
          </cell>
          <cell r="Q433">
            <v>2.7135539999999998</v>
          </cell>
          <cell r="R433" t="e">
            <v>#N/A</v>
          </cell>
        </row>
        <row r="434">
          <cell r="A434">
            <v>40779</v>
          </cell>
          <cell r="B434">
            <v>40779</v>
          </cell>
          <cell r="C434" t="str">
            <v>Past</v>
          </cell>
          <cell r="D434">
            <v>54.069992999999997</v>
          </cell>
          <cell r="E434" t="e">
            <v>#N/A</v>
          </cell>
          <cell r="F434" t="e">
            <v>#N/A</v>
          </cell>
          <cell r="G434" t="e">
            <v>#N/A</v>
          </cell>
          <cell r="H434" t="e">
            <v>#N/A</v>
          </cell>
          <cell r="I434" t="e">
            <v>#N/A</v>
          </cell>
          <cell r="J434" t="e">
            <v>#N/A</v>
          </cell>
          <cell r="K434" t="e">
            <v>#N/A</v>
          </cell>
          <cell r="L434" t="e">
            <v>#N/A</v>
          </cell>
          <cell r="M434" t="e">
            <v>#N/A</v>
          </cell>
          <cell r="N434" t="e">
            <v>#N/A</v>
          </cell>
          <cell r="O434" t="e">
            <v>#N/A</v>
          </cell>
          <cell r="P434">
            <v>54.069992999999997</v>
          </cell>
          <cell r="Q434">
            <v>3.7122069999999998</v>
          </cell>
          <cell r="R434" t="e">
            <v>#N/A</v>
          </cell>
        </row>
        <row r="435">
          <cell r="A435">
            <v>40780</v>
          </cell>
          <cell r="B435">
            <v>40780</v>
          </cell>
          <cell r="C435" t="str">
            <v>Past</v>
          </cell>
          <cell r="D435">
            <v>52.479996</v>
          </cell>
          <cell r="E435" t="e">
            <v>#N/A</v>
          </cell>
          <cell r="F435" t="e">
            <v>#N/A</v>
          </cell>
          <cell r="G435" t="e">
            <v>#N/A</v>
          </cell>
          <cell r="H435" t="e">
            <v>#N/A</v>
          </cell>
          <cell r="I435" t="e">
            <v>#N/A</v>
          </cell>
          <cell r="J435" t="e">
            <v>#N/A</v>
          </cell>
          <cell r="K435" t="e">
            <v>#N/A</v>
          </cell>
          <cell r="L435" t="e">
            <v>#N/A</v>
          </cell>
          <cell r="M435" t="e">
            <v>#N/A</v>
          </cell>
          <cell r="N435" t="e">
            <v>#N/A</v>
          </cell>
          <cell r="O435" t="e">
            <v>#N/A</v>
          </cell>
          <cell r="P435">
            <v>52.479996</v>
          </cell>
          <cell r="Q435">
            <v>3.0350190000000001</v>
          </cell>
          <cell r="R435" t="e">
            <v>#N/A</v>
          </cell>
        </row>
        <row r="436">
          <cell r="A436">
            <v>40781</v>
          </cell>
          <cell r="B436">
            <v>40781</v>
          </cell>
          <cell r="C436" t="str">
            <v>Past</v>
          </cell>
          <cell r="D436">
            <v>53.799987999999999</v>
          </cell>
          <cell r="E436" t="e">
            <v>#N/A</v>
          </cell>
          <cell r="F436" t="e">
            <v>#N/A</v>
          </cell>
          <cell r="G436" t="e">
            <v>#N/A</v>
          </cell>
          <cell r="H436" t="e">
            <v>#N/A</v>
          </cell>
          <cell r="I436" t="e">
            <v>#N/A</v>
          </cell>
          <cell r="J436" t="e">
            <v>#N/A</v>
          </cell>
          <cell r="K436" t="e">
            <v>#N/A</v>
          </cell>
          <cell r="L436" t="e">
            <v>#N/A</v>
          </cell>
          <cell r="M436" t="e">
            <v>#N/A</v>
          </cell>
          <cell r="N436" t="e">
            <v>#N/A</v>
          </cell>
          <cell r="O436" t="e">
            <v>#N/A</v>
          </cell>
          <cell r="P436">
            <v>53.799987999999999</v>
          </cell>
          <cell r="Q436">
            <v>2.4895779999999998</v>
          </cell>
          <cell r="R436" t="e">
            <v>#N/A</v>
          </cell>
        </row>
        <row r="437">
          <cell r="A437">
            <v>40784</v>
          </cell>
          <cell r="B437">
            <v>40784</v>
          </cell>
          <cell r="C437" t="str">
            <v>Past</v>
          </cell>
          <cell r="D437">
            <v>54.849991000000003</v>
          </cell>
          <cell r="E437" t="e">
            <v>#N/A</v>
          </cell>
          <cell r="F437" t="e">
            <v>#N/A</v>
          </cell>
          <cell r="G437" t="e">
            <v>#N/A</v>
          </cell>
          <cell r="H437" t="e">
            <v>#N/A</v>
          </cell>
          <cell r="I437" t="e">
            <v>#N/A</v>
          </cell>
          <cell r="J437" t="e">
            <v>#N/A</v>
          </cell>
          <cell r="K437" t="e">
            <v>#N/A</v>
          </cell>
          <cell r="L437" t="e">
            <v>#N/A</v>
          </cell>
          <cell r="M437" t="e">
            <v>#N/A</v>
          </cell>
          <cell r="N437" t="e">
            <v>#N/A</v>
          </cell>
          <cell r="O437" t="e">
            <v>#N/A</v>
          </cell>
          <cell r="P437">
            <v>54.849991000000003</v>
          </cell>
          <cell r="Q437">
            <v>2.519304</v>
          </cell>
          <cell r="R437" t="e">
            <v>#N/A</v>
          </cell>
        </row>
        <row r="438">
          <cell r="A438">
            <v>40785</v>
          </cell>
          <cell r="B438">
            <v>40785</v>
          </cell>
          <cell r="C438" t="str">
            <v>Past</v>
          </cell>
          <cell r="D438">
            <v>55.049987999999999</v>
          </cell>
          <cell r="E438" t="e">
            <v>#N/A</v>
          </cell>
          <cell r="F438" t="e">
            <v>#N/A</v>
          </cell>
          <cell r="G438" t="e">
            <v>#N/A</v>
          </cell>
          <cell r="H438" t="e">
            <v>#N/A</v>
          </cell>
          <cell r="I438" t="e">
            <v>#N/A</v>
          </cell>
          <cell r="J438" t="e">
            <v>#N/A</v>
          </cell>
          <cell r="K438" t="e">
            <v>#N/A</v>
          </cell>
          <cell r="L438" t="e">
            <v>#N/A</v>
          </cell>
          <cell r="M438" t="e">
            <v>#N/A</v>
          </cell>
          <cell r="N438" t="e">
            <v>#N/A</v>
          </cell>
          <cell r="O438" t="e">
            <v>#N/A</v>
          </cell>
          <cell r="P438">
            <v>55.049987999999999</v>
          </cell>
          <cell r="Q438">
            <v>2.3058610000000002</v>
          </cell>
          <cell r="R438" t="e">
            <v>#N/A</v>
          </cell>
        </row>
        <row r="439">
          <cell r="A439">
            <v>40786</v>
          </cell>
          <cell r="B439">
            <v>40786</v>
          </cell>
          <cell r="C439" t="str">
            <v>Past</v>
          </cell>
          <cell r="D439">
            <v>54.14</v>
          </cell>
          <cell r="E439" t="e">
            <v>#N/A</v>
          </cell>
          <cell r="F439" t="e">
            <v>#N/A</v>
          </cell>
          <cell r="G439" t="e">
            <v>#N/A</v>
          </cell>
          <cell r="H439" t="e">
            <v>#N/A</v>
          </cell>
          <cell r="I439" t="e">
            <v>#N/A</v>
          </cell>
          <cell r="J439" t="e">
            <v>#N/A</v>
          </cell>
          <cell r="K439" t="e">
            <v>#N/A</v>
          </cell>
          <cell r="L439" t="e">
            <v>#N/A</v>
          </cell>
          <cell r="M439" t="e">
            <v>#N/A</v>
          </cell>
          <cell r="N439" t="e">
            <v>#N/A</v>
          </cell>
          <cell r="O439" t="e">
            <v>#N/A</v>
          </cell>
          <cell r="P439">
            <v>54.14</v>
          </cell>
          <cell r="Q439">
            <v>6.2212889999999996</v>
          </cell>
          <cell r="R439" t="e">
            <v>#N/A</v>
          </cell>
        </row>
        <row r="440">
          <cell r="A440">
            <v>40787</v>
          </cell>
          <cell r="B440">
            <v>40787</v>
          </cell>
          <cell r="C440" t="str">
            <v>Past</v>
          </cell>
          <cell r="D440">
            <v>53.879989999999999</v>
          </cell>
          <cell r="E440" t="e">
            <v>#N/A</v>
          </cell>
          <cell r="F440" t="e">
            <v>#N/A</v>
          </cell>
          <cell r="G440" t="e">
            <v>#N/A</v>
          </cell>
          <cell r="H440" t="e">
            <v>#N/A</v>
          </cell>
          <cell r="I440" t="e">
            <v>#N/A</v>
          </cell>
          <cell r="J440" t="e">
            <v>#N/A</v>
          </cell>
          <cell r="K440" t="e">
            <v>#N/A</v>
          </cell>
          <cell r="L440" t="e">
            <v>#N/A</v>
          </cell>
          <cell r="M440" t="e">
            <v>#N/A</v>
          </cell>
          <cell r="N440" t="e">
            <v>#N/A</v>
          </cell>
          <cell r="O440" t="e">
            <v>#N/A</v>
          </cell>
          <cell r="P440">
            <v>53.879989999999999</v>
          </cell>
          <cell r="Q440">
            <v>2.5511550000000001</v>
          </cell>
          <cell r="R440" t="e">
            <v>#N/A</v>
          </cell>
        </row>
        <row r="441">
          <cell r="A441">
            <v>40788</v>
          </cell>
          <cell r="B441">
            <v>40788</v>
          </cell>
          <cell r="C441" t="str">
            <v>Past</v>
          </cell>
          <cell r="D441">
            <v>52.909989000000003</v>
          </cell>
          <cell r="E441" t="e">
            <v>#N/A</v>
          </cell>
          <cell r="F441" t="e">
            <v>#N/A</v>
          </cell>
          <cell r="G441" t="e">
            <v>#N/A</v>
          </cell>
          <cell r="H441" t="e">
            <v>#N/A</v>
          </cell>
          <cell r="I441" t="e">
            <v>#N/A</v>
          </cell>
          <cell r="J441" t="e">
            <v>#N/A</v>
          </cell>
          <cell r="K441" t="e">
            <v>#N/A</v>
          </cell>
          <cell r="L441" t="e">
            <v>#N/A</v>
          </cell>
          <cell r="M441" t="e">
            <v>#N/A</v>
          </cell>
          <cell r="N441" t="e">
            <v>#N/A</v>
          </cell>
          <cell r="O441" t="e">
            <v>#N/A</v>
          </cell>
          <cell r="P441">
            <v>52.909989000000003</v>
          </cell>
          <cell r="Q441">
            <v>2.1155409999999999</v>
          </cell>
          <cell r="R441" t="e">
            <v>#N/A</v>
          </cell>
        </row>
        <row r="442">
          <cell r="A442">
            <v>40792</v>
          </cell>
          <cell r="B442">
            <v>40792</v>
          </cell>
          <cell r="C442" t="str">
            <v>Past</v>
          </cell>
          <cell r="D442">
            <v>52.789994</v>
          </cell>
          <cell r="E442" t="e">
            <v>#N/A</v>
          </cell>
          <cell r="F442" t="e">
            <v>#N/A</v>
          </cell>
          <cell r="G442" t="e">
            <v>#N/A</v>
          </cell>
          <cell r="H442" t="e">
            <v>#N/A</v>
          </cell>
          <cell r="I442" t="e">
            <v>#N/A</v>
          </cell>
          <cell r="J442" t="e">
            <v>#N/A</v>
          </cell>
          <cell r="K442" t="e">
            <v>#N/A</v>
          </cell>
          <cell r="L442" t="e">
            <v>#N/A</v>
          </cell>
          <cell r="M442" t="e">
            <v>#N/A</v>
          </cell>
          <cell r="N442" t="e">
            <v>#N/A</v>
          </cell>
          <cell r="O442" t="e">
            <v>#N/A</v>
          </cell>
          <cell r="P442">
            <v>52.789994</v>
          </cell>
          <cell r="Q442">
            <v>2.204548</v>
          </cell>
          <cell r="R442" t="e">
            <v>#N/A</v>
          </cell>
        </row>
        <row r="443">
          <cell r="A443">
            <v>40793</v>
          </cell>
          <cell r="B443">
            <v>40793</v>
          </cell>
          <cell r="C443" t="str">
            <v>Past</v>
          </cell>
          <cell r="D443">
            <v>53.989991000000003</v>
          </cell>
          <cell r="E443" t="e">
            <v>#N/A</v>
          </cell>
          <cell r="F443" t="e">
            <v>#N/A</v>
          </cell>
          <cell r="G443" t="e">
            <v>#N/A</v>
          </cell>
          <cell r="H443" t="e">
            <v>#N/A</v>
          </cell>
          <cell r="I443" t="e">
            <v>#N/A</v>
          </cell>
          <cell r="J443" t="e">
            <v>#N/A</v>
          </cell>
          <cell r="K443" t="e">
            <v>#N/A</v>
          </cell>
          <cell r="L443" t="e">
            <v>#N/A</v>
          </cell>
          <cell r="M443" t="e">
            <v>#N/A</v>
          </cell>
          <cell r="N443" t="e">
            <v>#N/A</v>
          </cell>
          <cell r="O443" t="e">
            <v>#N/A</v>
          </cell>
          <cell r="P443">
            <v>53.989991000000003</v>
          </cell>
          <cell r="Q443">
            <v>2.7315390000000002</v>
          </cell>
          <cell r="R443" t="e">
            <v>#N/A</v>
          </cell>
        </row>
        <row r="444">
          <cell r="A444">
            <v>40794</v>
          </cell>
          <cell r="B444">
            <v>40794</v>
          </cell>
          <cell r="C444" t="str">
            <v>Past</v>
          </cell>
          <cell r="D444">
            <v>53.439988</v>
          </cell>
          <cell r="E444" t="e">
            <v>#N/A</v>
          </cell>
          <cell r="F444" t="e">
            <v>#N/A</v>
          </cell>
          <cell r="G444" t="e">
            <v>#N/A</v>
          </cell>
          <cell r="H444" t="e">
            <v>#N/A</v>
          </cell>
          <cell r="I444" t="e">
            <v>#N/A</v>
          </cell>
          <cell r="J444" t="e">
            <v>#N/A</v>
          </cell>
          <cell r="K444" t="e">
            <v>#N/A</v>
          </cell>
          <cell r="L444" t="e">
            <v>#N/A</v>
          </cell>
          <cell r="M444" t="e">
            <v>#N/A</v>
          </cell>
          <cell r="N444" t="e">
            <v>#N/A</v>
          </cell>
          <cell r="O444" t="e">
            <v>#N/A</v>
          </cell>
          <cell r="P444">
            <v>53.439988</v>
          </cell>
          <cell r="Q444">
            <v>3.1205310000000002</v>
          </cell>
          <cell r="R444" t="e">
            <v>#N/A</v>
          </cell>
        </row>
        <row r="445">
          <cell r="A445">
            <v>40795</v>
          </cell>
          <cell r="B445">
            <v>40795</v>
          </cell>
          <cell r="C445" t="str">
            <v>Past</v>
          </cell>
          <cell r="D445">
            <v>51.309998</v>
          </cell>
          <cell r="E445" t="e">
            <v>#N/A</v>
          </cell>
          <cell r="F445" t="e">
            <v>#N/A</v>
          </cell>
          <cell r="G445" t="e">
            <v>#N/A</v>
          </cell>
          <cell r="H445" t="e">
            <v>#N/A</v>
          </cell>
          <cell r="I445" t="e">
            <v>#N/A</v>
          </cell>
          <cell r="J445" t="e">
            <v>#N/A</v>
          </cell>
          <cell r="K445" t="e">
            <v>#N/A</v>
          </cell>
          <cell r="L445" t="e">
            <v>#N/A</v>
          </cell>
          <cell r="M445" t="e">
            <v>#N/A</v>
          </cell>
          <cell r="N445" t="e">
            <v>#N/A</v>
          </cell>
          <cell r="O445" t="e">
            <v>#N/A</v>
          </cell>
          <cell r="P445">
            <v>51.309998</v>
          </cell>
          <cell r="Q445">
            <v>4.4375309999999999</v>
          </cell>
          <cell r="R445" t="e">
            <v>#N/A</v>
          </cell>
        </row>
        <row r="446">
          <cell r="A446">
            <v>40798</v>
          </cell>
          <cell r="B446">
            <v>40798</v>
          </cell>
          <cell r="C446" t="str">
            <v>Past</v>
          </cell>
          <cell r="D446">
            <v>51.859985999999999</v>
          </cell>
          <cell r="E446" t="e">
            <v>#N/A</v>
          </cell>
          <cell r="F446" t="e">
            <v>#N/A</v>
          </cell>
          <cell r="G446" t="e">
            <v>#N/A</v>
          </cell>
          <cell r="H446" t="e">
            <v>#N/A</v>
          </cell>
          <cell r="I446" t="e">
            <v>#N/A</v>
          </cell>
          <cell r="J446" t="e">
            <v>#N/A</v>
          </cell>
          <cell r="K446" t="e">
            <v>#N/A</v>
          </cell>
          <cell r="L446" t="e">
            <v>#N/A</v>
          </cell>
          <cell r="M446" t="e">
            <v>#N/A</v>
          </cell>
          <cell r="N446" t="e">
            <v>#N/A</v>
          </cell>
          <cell r="O446" t="e">
            <v>#N/A</v>
          </cell>
          <cell r="P446">
            <v>51.859985999999999</v>
          </cell>
          <cell r="Q446">
            <v>3.1707390000000002</v>
          </cell>
          <cell r="R446" t="e">
            <v>#N/A</v>
          </cell>
        </row>
        <row r="447">
          <cell r="A447">
            <v>40799</v>
          </cell>
          <cell r="B447">
            <v>40799</v>
          </cell>
          <cell r="C447" t="str">
            <v>Past</v>
          </cell>
          <cell r="D447">
            <v>51.649994</v>
          </cell>
          <cell r="E447" t="e">
            <v>#N/A</v>
          </cell>
          <cell r="F447" t="e">
            <v>#N/A</v>
          </cell>
          <cell r="G447" t="e">
            <v>#N/A</v>
          </cell>
          <cell r="H447" t="e">
            <v>#N/A</v>
          </cell>
          <cell r="I447" t="e">
            <v>#N/A</v>
          </cell>
          <cell r="J447" t="e">
            <v>#N/A</v>
          </cell>
          <cell r="K447" t="e">
            <v>#N/A</v>
          </cell>
          <cell r="L447" t="e">
            <v>#N/A</v>
          </cell>
          <cell r="M447" t="e">
            <v>#N/A</v>
          </cell>
          <cell r="N447" t="e">
            <v>#N/A</v>
          </cell>
          <cell r="O447" t="e">
            <v>#N/A</v>
          </cell>
          <cell r="P447">
            <v>51.649994</v>
          </cell>
          <cell r="Q447">
            <v>3.7932190000000001</v>
          </cell>
          <cell r="R447" t="e">
            <v>#N/A</v>
          </cell>
        </row>
        <row r="448">
          <cell r="A448">
            <v>40800</v>
          </cell>
          <cell r="B448">
            <v>40800</v>
          </cell>
          <cell r="C448" t="str">
            <v>Past</v>
          </cell>
          <cell r="D448">
            <v>50.64</v>
          </cell>
          <cell r="E448" t="e">
            <v>#N/A</v>
          </cell>
          <cell r="F448" t="e">
            <v>#N/A</v>
          </cell>
          <cell r="G448" t="e">
            <v>#N/A</v>
          </cell>
          <cell r="H448" t="e">
            <v>#N/A</v>
          </cell>
          <cell r="I448" t="e">
            <v>#N/A</v>
          </cell>
          <cell r="J448" t="e">
            <v>#N/A</v>
          </cell>
          <cell r="K448" t="e">
            <v>#N/A</v>
          </cell>
          <cell r="L448" t="e">
            <v>#N/A</v>
          </cell>
          <cell r="M448" t="e">
            <v>#N/A</v>
          </cell>
          <cell r="N448" t="e">
            <v>#N/A</v>
          </cell>
          <cell r="O448" t="e">
            <v>#N/A</v>
          </cell>
          <cell r="P448">
            <v>50.64</v>
          </cell>
          <cell r="Q448">
            <v>3.7134</v>
          </cell>
          <cell r="R448" t="e">
            <v>#N/A</v>
          </cell>
        </row>
        <row r="449">
          <cell r="A449">
            <v>40801</v>
          </cell>
          <cell r="B449">
            <v>40801</v>
          </cell>
          <cell r="C449" t="str">
            <v>Past</v>
          </cell>
          <cell r="D449">
            <v>50.01999</v>
          </cell>
          <cell r="E449" t="e">
            <v>#N/A</v>
          </cell>
          <cell r="F449" t="e">
            <v>#N/A</v>
          </cell>
          <cell r="G449" t="e">
            <v>#N/A</v>
          </cell>
          <cell r="H449" t="e">
            <v>#N/A</v>
          </cell>
          <cell r="I449" t="e">
            <v>#N/A</v>
          </cell>
          <cell r="J449" t="e">
            <v>#N/A</v>
          </cell>
          <cell r="K449" t="e">
            <v>#N/A</v>
          </cell>
          <cell r="L449" t="e">
            <v>#N/A</v>
          </cell>
          <cell r="M449" t="e">
            <v>#N/A</v>
          </cell>
          <cell r="N449" t="e">
            <v>#N/A</v>
          </cell>
          <cell r="O449" t="e">
            <v>#N/A</v>
          </cell>
          <cell r="P449">
            <v>50.01999</v>
          </cell>
          <cell r="Q449">
            <v>6.265828</v>
          </cell>
          <cell r="R449" t="e">
            <v>#N/A</v>
          </cell>
        </row>
        <row r="450">
          <cell r="A450">
            <v>40802</v>
          </cell>
          <cell r="B450">
            <v>40802</v>
          </cell>
          <cell r="C450" t="str">
            <v>Past</v>
          </cell>
          <cell r="D450">
            <v>50.25</v>
          </cell>
          <cell r="E450" t="e">
            <v>#N/A</v>
          </cell>
          <cell r="F450" t="e">
            <v>#N/A</v>
          </cell>
          <cell r="G450" t="e">
            <v>#N/A</v>
          </cell>
          <cell r="H450" t="e">
            <v>#N/A</v>
          </cell>
          <cell r="I450" t="e">
            <v>#N/A</v>
          </cell>
          <cell r="J450" t="e">
            <v>#N/A</v>
          </cell>
          <cell r="K450" t="e">
            <v>#N/A</v>
          </cell>
          <cell r="L450" t="e">
            <v>#N/A</v>
          </cell>
          <cell r="M450" t="e">
            <v>#N/A</v>
          </cell>
          <cell r="N450" t="e">
            <v>#N/A</v>
          </cell>
          <cell r="O450" t="e">
            <v>#N/A</v>
          </cell>
          <cell r="P450">
            <v>50.25</v>
          </cell>
          <cell r="Q450">
            <v>5.4448559999999997</v>
          </cell>
          <cell r="R450" t="e">
            <v>#N/A</v>
          </cell>
        </row>
        <row r="451">
          <cell r="A451">
            <v>40805</v>
          </cell>
          <cell r="B451">
            <v>40805</v>
          </cell>
          <cell r="C451" t="str">
            <v>Past</v>
          </cell>
          <cell r="D451">
            <v>50.229996</v>
          </cell>
          <cell r="E451" t="e">
            <v>#N/A</v>
          </cell>
          <cell r="F451" t="e">
            <v>#N/A</v>
          </cell>
          <cell r="G451" t="e">
            <v>#N/A</v>
          </cell>
          <cell r="H451" t="e">
            <v>#N/A</v>
          </cell>
          <cell r="I451" t="e">
            <v>#N/A</v>
          </cell>
          <cell r="J451" t="e">
            <v>#N/A</v>
          </cell>
          <cell r="K451" t="e">
            <v>#N/A</v>
          </cell>
          <cell r="L451" t="e">
            <v>#N/A</v>
          </cell>
          <cell r="M451" t="e">
            <v>#N/A</v>
          </cell>
          <cell r="N451" t="e">
            <v>#N/A</v>
          </cell>
          <cell r="O451" t="e">
            <v>#N/A</v>
          </cell>
          <cell r="P451">
            <v>50.229996</v>
          </cell>
          <cell r="Q451">
            <v>2.266435</v>
          </cell>
          <cell r="R451" t="e">
            <v>#N/A</v>
          </cell>
        </row>
        <row r="452">
          <cell r="A452">
            <v>40806</v>
          </cell>
          <cell r="B452">
            <v>40806</v>
          </cell>
          <cell r="C452" t="str">
            <v>Past</v>
          </cell>
          <cell r="D452">
            <v>50.25</v>
          </cell>
          <cell r="E452" t="e">
            <v>#N/A</v>
          </cell>
          <cell r="F452" t="e">
            <v>#N/A</v>
          </cell>
          <cell r="G452" t="e">
            <v>#N/A</v>
          </cell>
          <cell r="H452" t="e">
            <v>#N/A</v>
          </cell>
          <cell r="I452" t="e">
            <v>#N/A</v>
          </cell>
          <cell r="J452" t="e">
            <v>#N/A</v>
          </cell>
          <cell r="K452" t="e">
            <v>#N/A</v>
          </cell>
          <cell r="L452" t="e">
            <v>#N/A</v>
          </cell>
          <cell r="M452" t="e">
            <v>#N/A</v>
          </cell>
          <cell r="N452" t="e">
            <v>#N/A</v>
          </cell>
          <cell r="O452" t="e">
            <v>#N/A</v>
          </cell>
          <cell r="P452">
            <v>50.25</v>
          </cell>
          <cell r="Q452">
            <v>3.3264300000000002</v>
          </cell>
          <cell r="R452" t="e">
            <v>#N/A</v>
          </cell>
        </row>
        <row r="453">
          <cell r="A453">
            <v>40807</v>
          </cell>
          <cell r="B453">
            <v>40807</v>
          </cell>
          <cell r="C453" t="str">
            <v>Past</v>
          </cell>
          <cell r="D453">
            <v>49.399994</v>
          </cell>
          <cell r="E453" t="e">
            <v>#N/A</v>
          </cell>
          <cell r="F453" t="e">
            <v>#N/A</v>
          </cell>
          <cell r="G453" t="e">
            <v>#N/A</v>
          </cell>
          <cell r="H453" t="e">
            <v>#N/A</v>
          </cell>
          <cell r="I453" t="e">
            <v>#N/A</v>
          </cell>
          <cell r="J453" t="e">
            <v>#N/A</v>
          </cell>
          <cell r="K453" t="e">
            <v>#N/A</v>
          </cell>
          <cell r="L453" t="e">
            <v>#N/A</v>
          </cell>
          <cell r="M453" t="e">
            <v>#N/A</v>
          </cell>
          <cell r="N453" t="e">
            <v>#N/A</v>
          </cell>
          <cell r="O453" t="e">
            <v>#N/A</v>
          </cell>
          <cell r="P453">
            <v>49.399994</v>
          </cell>
          <cell r="Q453">
            <v>4.0331210000000004</v>
          </cell>
          <cell r="R453" t="e">
            <v>#N/A</v>
          </cell>
        </row>
        <row r="454">
          <cell r="A454">
            <v>40808</v>
          </cell>
          <cell r="B454">
            <v>40808</v>
          </cell>
          <cell r="C454" t="str">
            <v>Past</v>
          </cell>
          <cell r="D454">
            <v>48.469985999999999</v>
          </cell>
          <cell r="E454" t="e">
            <v>#N/A</v>
          </cell>
          <cell r="F454" t="e">
            <v>#N/A</v>
          </cell>
          <cell r="G454" t="e">
            <v>#N/A</v>
          </cell>
          <cell r="H454" t="e">
            <v>#N/A</v>
          </cell>
          <cell r="I454" t="e">
            <v>#N/A</v>
          </cell>
          <cell r="J454" t="e">
            <v>#N/A</v>
          </cell>
          <cell r="K454" t="e">
            <v>#N/A</v>
          </cell>
          <cell r="L454" t="e">
            <v>#N/A</v>
          </cell>
          <cell r="M454" t="e">
            <v>#N/A</v>
          </cell>
          <cell r="N454" t="e">
            <v>#N/A</v>
          </cell>
          <cell r="O454" t="e">
            <v>#N/A</v>
          </cell>
          <cell r="P454">
            <v>48.469985999999999</v>
          </cell>
          <cell r="Q454">
            <v>6.0875899999999996</v>
          </cell>
          <cell r="R454" t="e">
            <v>#N/A</v>
          </cell>
        </row>
        <row r="455">
          <cell r="A455">
            <v>40809</v>
          </cell>
          <cell r="B455">
            <v>40809</v>
          </cell>
          <cell r="C455" t="str">
            <v>Past</v>
          </cell>
          <cell r="D455">
            <v>47.929993000000003</v>
          </cell>
          <cell r="E455" t="e">
            <v>#N/A</v>
          </cell>
          <cell r="F455" t="e">
            <v>#N/A</v>
          </cell>
          <cell r="G455" t="e">
            <v>#N/A</v>
          </cell>
          <cell r="H455" t="e">
            <v>#N/A</v>
          </cell>
          <cell r="I455" t="e">
            <v>#N/A</v>
          </cell>
          <cell r="J455" t="e">
            <v>#N/A</v>
          </cell>
          <cell r="K455" t="e">
            <v>#N/A</v>
          </cell>
          <cell r="L455" t="e">
            <v>#N/A</v>
          </cell>
          <cell r="M455" t="e">
            <v>#N/A</v>
          </cell>
          <cell r="N455" t="e">
            <v>#N/A</v>
          </cell>
          <cell r="O455" t="e">
            <v>#N/A</v>
          </cell>
          <cell r="P455">
            <v>47.929993000000003</v>
          </cell>
          <cell r="Q455">
            <v>3.070897</v>
          </cell>
          <cell r="R455" t="e">
            <v>#N/A</v>
          </cell>
        </row>
        <row r="456">
          <cell r="A456">
            <v>40812</v>
          </cell>
          <cell r="B456">
            <v>40812</v>
          </cell>
          <cell r="C456" t="str">
            <v>Past</v>
          </cell>
          <cell r="D456">
            <v>48.779998999999997</v>
          </cell>
          <cell r="E456" t="e">
            <v>#N/A</v>
          </cell>
          <cell r="F456" t="e">
            <v>#N/A</v>
          </cell>
          <cell r="G456" t="e">
            <v>#N/A</v>
          </cell>
          <cell r="H456" t="e">
            <v>#N/A</v>
          </cell>
          <cell r="I456" t="e">
            <v>#N/A</v>
          </cell>
          <cell r="J456" t="e">
            <v>#N/A</v>
          </cell>
          <cell r="K456" t="e">
            <v>#N/A</v>
          </cell>
          <cell r="L456" t="e">
            <v>#N/A</v>
          </cell>
          <cell r="M456" t="e">
            <v>#N/A</v>
          </cell>
          <cell r="N456" t="e">
            <v>#N/A</v>
          </cell>
          <cell r="O456" t="e">
            <v>#N/A</v>
          </cell>
          <cell r="P456">
            <v>48.779998999999997</v>
          </cell>
          <cell r="Q456">
            <v>2.2898329999999998</v>
          </cell>
          <cell r="R456" t="e">
            <v>#N/A</v>
          </cell>
        </row>
        <row r="457">
          <cell r="A457">
            <v>40813</v>
          </cell>
          <cell r="B457">
            <v>40813</v>
          </cell>
          <cell r="C457" t="str">
            <v>Past</v>
          </cell>
          <cell r="D457">
            <v>49.209992</v>
          </cell>
          <cell r="E457" t="e">
            <v>#N/A</v>
          </cell>
          <cell r="F457" t="e">
            <v>#N/A</v>
          </cell>
          <cell r="G457" t="e">
            <v>#N/A</v>
          </cell>
          <cell r="H457" t="e">
            <v>#N/A</v>
          </cell>
          <cell r="I457" t="e">
            <v>#N/A</v>
          </cell>
          <cell r="J457" t="e">
            <v>#N/A</v>
          </cell>
          <cell r="K457" t="e">
            <v>#N/A</v>
          </cell>
          <cell r="L457" t="e">
            <v>#N/A</v>
          </cell>
          <cell r="M457" t="e">
            <v>#N/A</v>
          </cell>
          <cell r="N457" t="e">
            <v>#N/A</v>
          </cell>
          <cell r="O457" t="e">
            <v>#N/A</v>
          </cell>
          <cell r="P457">
            <v>49.209992</v>
          </cell>
          <cell r="Q457">
            <v>3.0544959999999999</v>
          </cell>
          <cell r="R457" t="e">
            <v>#N/A</v>
          </cell>
        </row>
        <row r="458">
          <cell r="A458">
            <v>40814</v>
          </cell>
          <cell r="B458">
            <v>40814</v>
          </cell>
          <cell r="C458" t="str">
            <v>Past</v>
          </cell>
          <cell r="D458">
            <v>48.239991000000003</v>
          </cell>
          <cell r="E458" t="e">
            <v>#N/A</v>
          </cell>
          <cell r="F458" t="e">
            <v>#N/A</v>
          </cell>
          <cell r="G458" t="e">
            <v>#N/A</v>
          </cell>
          <cell r="H458" t="e">
            <v>#N/A</v>
          </cell>
          <cell r="I458" t="e">
            <v>#N/A</v>
          </cell>
          <cell r="J458" t="e">
            <v>#N/A</v>
          </cell>
          <cell r="K458" t="e">
            <v>#N/A</v>
          </cell>
          <cell r="L458" t="e">
            <v>#N/A</v>
          </cell>
          <cell r="M458" t="e">
            <v>#N/A</v>
          </cell>
          <cell r="N458" t="e">
            <v>#N/A</v>
          </cell>
          <cell r="O458" t="e">
            <v>#N/A</v>
          </cell>
          <cell r="P458">
            <v>48.239991000000003</v>
          </cell>
          <cell r="Q458">
            <v>4.5085550000000003</v>
          </cell>
          <cell r="R458" t="e">
            <v>#N/A</v>
          </cell>
        </row>
        <row r="459">
          <cell r="A459">
            <v>40815</v>
          </cell>
          <cell r="B459">
            <v>40815</v>
          </cell>
          <cell r="C459" t="str">
            <v>Past</v>
          </cell>
          <cell r="D459">
            <v>48.059998</v>
          </cell>
          <cell r="E459" t="e">
            <v>#N/A</v>
          </cell>
          <cell r="F459" t="e">
            <v>#N/A</v>
          </cell>
          <cell r="G459" t="e">
            <v>#N/A</v>
          </cell>
          <cell r="H459" t="e">
            <v>#N/A</v>
          </cell>
          <cell r="I459" t="e">
            <v>#N/A</v>
          </cell>
          <cell r="J459" t="e">
            <v>#N/A</v>
          </cell>
          <cell r="K459" t="e">
            <v>#N/A</v>
          </cell>
          <cell r="L459" t="e">
            <v>#N/A</v>
          </cell>
          <cell r="M459" t="e">
            <v>#N/A</v>
          </cell>
          <cell r="N459" t="e">
            <v>#N/A</v>
          </cell>
          <cell r="O459" t="e">
            <v>#N/A</v>
          </cell>
          <cell r="P459">
            <v>48.059998</v>
          </cell>
          <cell r="Q459">
            <v>4.375508</v>
          </cell>
          <cell r="R459" t="e">
            <v>#N/A</v>
          </cell>
        </row>
        <row r="460">
          <cell r="A460">
            <v>40816</v>
          </cell>
          <cell r="B460">
            <v>40816</v>
          </cell>
          <cell r="C460" t="str">
            <v>Past</v>
          </cell>
          <cell r="D460">
            <v>46.89</v>
          </cell>
          <cell r="E460" t="e">
            <v>#N/A</v>
          </cell>
          <cell r="F460" t="e">
            <v>#N/A</v>
          </cell>
          <cell r="G460" t="e">
            <v>#N/A</v>
          </cell>
          <cell r="H460" t="e">
            <v>#N/A</v>
          </cell>
          <cell r="I460" t="e">
            <v>#N/A</v>
          </cell>
          <cell r="J460" t="e">
            <v>#N/A</v>
          </cell>
          <cell r="K460" t="e">
            <v>#N/A</v>
          </cell>
          <cell r="L460" t="e">
            <v>#N/A</v>
          </cell>
          <cell r="M460" t="e">
            <v>#N/A</v>
          </cell>
          <cell r="N460" t="e">
            <v>#N/A</v>
          </cell>
          <cell r="O460" t="e">
            <v>#N/A</v>
          </cell>
          <cell r="P460">
            <v>46.89</v>
          </cell>
          <cell r="Q460">
            <v>4.2254880000000004</v>
          </cell>
          <cell r="R460" t="e">
            <v>#N/A</v>
          </cell>
        </row>
        <row r="461">
          <cell r="A461">
            <v>40819</v>
          </cell>
          <cell r="B461">
            <v>40819</v>
          </cell>
          <cell r="C461" t="str">
            <v>Past</v>
          </cell>
          <cell r="D461">
            <v>45.64</v>
          </cell>
          <cell r="E461" t="e">
            <v>#N/A</v>
          </cell>
          <cell r="F461" t="e">
            <v>#N/A</v>
          </cell>
          <cell r="G461" t="e">
            <v>#N/A</v>
          </cell>
          <cell r="H461" t="e">
            <v>#N/A</v>
          </cell>
          <cell r="I461" t="e">
            <v>#N/A</v>
          </cell>
          <cell r="J461" t="e">
            <v>#N/A</v>
          </cell>
          <cell r="K461" t="e">
            <v>#N/A</v>
          </cell>
          <cell r="L461" t="e">
            <v>#N/A</v>
          </cell>
          <cell r="M461" t="e">
            <v>#N/A</v>
          </cell>
          <cell r="N461" t="e">
            <v>#N/A</v>
          </cell>
          <cell r="O461" t="e">
            <v>#N/A</v>
          </cell>
          <cell r="P461">
            <v>45.64</v>
          </cell>
          <cell r="Q461">
            <v>4.9088909999999997</v>
          </cell>
          <cell r="R461" t="e">
            <v>#N/A</v>
          </cell>
        </row>
        <row r="462">
          <cell r="A462">
            <v>40820</v>
          </cell>
          <cell r="B462">
            <v>40820</v>
          </cell>
          <cell r="C462" t="str">
            <v>Past</v>
          </cell>
          <cell r="D462">
            <v>46.39</v>
          </cell>
          <cell r="E462" t="e">
            <v>#N/A</v>
          </cell>
          <cell r="F462" t="e">
            <v>#N/A</v>
          </cell>
          <cell r="G462" t="e">
            <v>#N/A</v>
          </cell>
          <cell r="H462" t="e">
            <v>#N/A</v>
          </cell>
          <cell r="I462" t="e">
            <v>#N/A</v>
          </cell>
          <cell r="J462" t="e">
            <v>#N/A</v>
          </cell>
          <cell r="K462" t="e">
            <v>#N/A</v>
          </cell>
          <cell r="L462" t="e">
            <v>#N/A</v>
          </cell>
          <cell r="M462" t="e">
            <v>#N/A</v>
          </cell>
          <cell r="N462" t="e">
            <v>#N/A</v>
          </cell>
          <cell r="O462" t="e">
            <v>#N/A</v>
          </cell>
          <cell r="P462">
            <v>46.39</v>
          </cell>
          <cell r="Q462">
            <v>4.3341089999999998</v>
          </cell>
          <cell r="R462" t="e">
            <v>#N/A</v>
          </cell>
        </row>
        <row r="463">
          <cell r="A463">
            <v>40821</v>
          </cell>
          <cell r="B463">
            <v>40821</v>
          </cell>
          <cell r="C463" t="str">
            <v>Past</v>
          </cell>
          <cell r="D463">
            <v>45.649994</v>
          </cell>
          <cell r="E463" t="e">
            <v>#N/A</v>
          </cell>
          <cell r="F463" t="e">
            <v>#N/A</v>
          </cell>
          <cell r="G463" t="e">
            <v>#N/A</v>
          </cell>
          <cell r="H463" t="e">
            <v>#N/A</v>
          </cell>
          <cell r="I463" t="e">
            <v>#N/A</v>
          </cell>
          <cell r="J463" t="e">
            <v>#N/A</v>
          </cell>
          <cell r="K463" t="e">
            <v>#N/A</v>
          </cell>
          <cell r="L463" t="e">
            <v>#N/A</v>
          </cell>
          <cell r="M463" t="e">
            <v>#N/A</v>
          </cell>
          <cell r="N463" t="e">
            <v>#N/A</v>
          </cell>
          <cell r="O463" t="e">
            <v>#N/A</v>
          </cell>
          <cell r="P463">
            <v>45.649994</v>
          </cell>
          <cell r="Q463">
            <v>3.777015</v>
          </cell>
          <cell r="R463" t="e">
            <v>#N/A</v>
          </cell>
        </row>
        <row r="464">
          <cell r="A464">
            <v>40822</v>
          </cell>
          <cell r="B464">
            <v>40822</v>
          </cell>
          <cell r="C464" t="str">
            <v>Past</v>
          </cell>
          <cell r="D464">
            <v>48.959992</v>
          </cell>
          <cell r="E464" t="e">
            <v>#N/A</v>
          </cell>
          <cell r="F464" t="e">
            <v>#N/A</v>
          </cell>
          <cell r="G464" t="e">
            <v>#N/A</v>
          </cell>
          <cell r="H464" t="e">
            <v>#N/A</v>
          </cell>
          <cell r="I464" t="e">
            <v>#N/A</v>
          </cell>
          <cell r="J464" t="e">
            <v>#N/A</v>
          </cell>
          <cell r="K464" t="e">
            <v>#N/A</v>
          </cell>
          <cell r="L464" t="e">
            <v>#N/A</v>
          </cell>
          <cell r="M464" t="e">
            <v>#N/A</v>
          </cell>
          <cell r="N464" t="e">
            <v>#N/A</v>
          </cell>
          <cell r="O464" t="e">
            <v>#N/A</v>
          </cell>
          <cell r="P464">
            <v>48.959992</v>
          </cell>
          <cell r="Q464">
            <v>5.5725470000000001</v>
          </cell>
          <cell r="R464" t="e">
            <v>#N/A</v>
          </cell>
        </row>
        <row r="465">
          <cell r="A465">
            <v>40823</v>
          </cell>
          <cell r="B465">
            <v>40823</v>
          </cell>
          <cell r="C465" t="str">
            <v>Past</v>
          </cell>
          <cell r="D465">
            <v>48.469985999999999</v>
          </cell>
          <cell r="E465" t="e">
            <v>#N/A</v>
          </cell>
          <cell r="F465" t="e">
            <v>#N/A</v>
          </cell>
          <cell r="G465" t="e">
            <v>#N/A</v>
          </cell>
          <cell r="H465" t="e">
            <v>#N/A</v>
          </cell>
          <cell r="I465" t="e">
            <v>#N/A</v>
          </cell>
          <cell r="J465" t="e">
            <v>#N/A</v>
          </cell>
          <cell r="K465" t="e">
            <v>#N/A</v>
          </cell>
          <cell r="L465" t="e">
            <v>#N/A</v>
          </cell>
          <cell r="M465" t="e">
            <v>#N/A</v>
          </cell>
          <cell r="N465" t="e">
            <v>#N/A</v>
          </cell>
          <cell r="O465" t="e">
            <v>#N/A</v>
          </cell>
          <cell r="P465">
            <v>48.469985999999999</v>
          </cell>
          <cell r="Q465">
            <v>3.425433</v>
          </cell>
          <cell r="R465" t="e">
            <v>#N/A</v>
          </cell>
        </row>
        <row r="466">
          <cell r="A466">
            <v>40826</v>
          </cell>
          <cell r="B466">
            <v>40826</v>
          </cell>
          <cell r="C466" t="str">
            <v>Past</v>
          </cell>
          <cell r="D466">
            <v>49.679993000000003</v>
          </cell>
          <cell r="E466" t="e">
            <v>#N/A</v>
          </cell>
          <cell r="F466" t="e">
            <v>#N/A</v>
          </cell>
          <cell r="G466" t="e">
            <v>#N/A</v>
          </cell>
          <cell r="H466" t="e">
            <v>#N/A</v>
          </cell>
          <cell r="I466" t="e">
            <v>#N/A</v>
          </cell>
          <cell r="J466" t="e">
            <v>#N/A</v>
          </cell>
          <cell r="K466" t="e">
            <v>#N/A</v>
          </cell>
          <cell r="L466" t="e">
            <v>#N/A</v>
          </cell>
          <cell r="M466" t="e">
            <v>#N/A</v>
          </cell>
          <cell r="N466" t="e">
            <v>#N/A</v>
          </cell>
          <cell r="O466" t="e">
            <v>#N/A</v>
          </cell>
          <cell r="P466">
            <v>49.679993000000003</v>
          </cell>
          <cell r="Q466">
            <v>2.0782729999999998</v>
          </cell>
          <cell r="R466" t="e">
            <v>#N/A</v>
          </cell>
        </row>
        <row r="467">
          <cell r="A467">
            <v>40827</v>
          </cell>
          <cell r="B467">
            <v>40827</v>
          </cell>
          <cell r="C467" t="str">
            <v>Past</v>
          </cell>
          <cell r="D467">
            <v>49.569992999999997</v>
          </cell>
          <cell r="E467" t="e">
            <v>#N/A</v>
          </cell>
          <cell r="F467" t="e">
            <v>#N/A</v>
          </cell>
          <cell r="G467" t="e">
            <v>#N/A</v>
          </cell>
          <cell r="H467" t="e">
            <v>#N/A</v>
          </cell>
          <cell r="I467" t="e">
            <v>#N/A</v>
          </cell>
          <cell r="J467" t="e">
            <v>#N/A</v>
          </cell>
          <cell r="K467" t="e">
            <v>#N/A</v>
          </cell>
          <cell r="L467" t="e">
            <v>#N/A</v>
          </cell>
          <cell r="M467" t="e">
            <v>#N/A</v>
          </cell>
          <cell r="N467" t="e">
            <v>#N/A</v>
          </cell>
          <cell r="O467" t="e">
            <v>#N/A</v>
          </cell>
          <cell r="P467">
            <v>49.569992999999997</v>
          </cell>
          <cell r="Q467">
            <v>2.2546569999999999</v>
          </cell>
          <cell r="R467" t="e">
            <v>#N/A</v>
          </cell>
        </row>
        <row r="468">
          <cell r="A468">
            <v>40828</v>
          </cell>
          <cell r="B468">
            <v>40828</v>
          </cell>
          <cell r="C468" t="str">
            <v>Past</v>
          </cell>
          <cell r="D468">
            <v>49.199997000000003</v>
          </cell>
          <cell r="E468" t="e">
            <v>#N/A</v>
          </cell>
          <cell r="F468" t="e">
            <v>#N/A</v>
          </cell>
          <cell r="G468" t="e">
            <v>#N/A</v>
          </cell>
          <cell r="H468" t="e">
            <v>#N/A</v>
          </cell>
          <cell r="I468" t="e">
            <v>#N/A</v>
          </cell>
          <cell r="J468" t="e">
            <v>#N/A</v>
          </cell>
          <cell r="K468" t="e">
            <v>#N/A</v>
          </cell>
          <cell r="L468" t="e">
            <v>#N/A</v>
          </cell>
          <cell r="M468" t="e">
            <v>#N/A</v>
          </cell>
          <cell r="N468" t="e">
            <v>#N/A</v>
          </cell>
          <cell r="O468" t="e">
            <v>#N/A</v>
          </cell>
          <cell r="P468">
            <v>49.199997000000003</v>
          </cell>
          <cell r="Q468">
            <v>1.926968</v>
          </cell>
          <cell r="R468" t="e">
            <v>#N/A</v>
          </cell>
        </row>
        <row r="469">
          <cell r="A469">
            <v>40829</v>
          </cell>
          <cell r="B469">
            <v>40829</v>
          </cell>
          <cell r="C469" t="str">
            <v>Past</v>
          </cell>
          <cell r="D469">
            <v>49.009995000000004</v>
          </cell>
          <cell r="E469" t="e">
            <v>#N/A</v>
          </cell>
          <cell r="F469" t="e">
            <v>#N/A</v>
          </cell>
          <cell r="G469" t="e">
            <v>#N/A</v>
          </cell>
          <cell r="H469" t="e">
            <v>#N/A</v>
          </cell>
          <cell r="I469" t="e">
            <v>#N/A</v>
          </cell>
          <cell r="J469" t="e">
            <v>#N/A</v>
          </cell>
          <cell r="K469" t="e">
            <v>#N/A</v>
          </cell>
          <cell r="L469" t="e">
            <v>#N/A</v>
          </cell>
          <cell r="M469" t="e">
            <v>#N/A</v>
          </cell>
          <cell r="N469" t="e">
            <v>#N/A</v>
          </cell>
          <cell r="O469" t="e">
            <v>#N/A</v>
          </cell>
          <cell r="P469">
            <v>49.009995000000004</v>
          </cell>
          <cell r="Q469">
            <v>1.3467199999999999</v>
          </cell>
          <cell r="R469" t="e">
            <v>#N/A</v>
          </cell>
        </row>
        <row r="470">
          <cell r="A470">
            <v>40830</v>
          </cell>
          <cell r="B470">
            <v>40830</v>
          </cell>
          <cell r="C470" t="str">
            <v>Past</v>
          </cell>
          <cell r="D470">
            <v>49.119996</v>
          </cell>
          <cell r="E470" t="e">
            <v>#N/A</v>
          </cell>
          <cell r="F470" t="e">
            <v>#N/A</v>
          </cell>
          <cell r="G470" t="e">
            <v>#N/A</v>
          </cell>
          <cell r="H470" t="e">
            <v>#N/A</v>
          </cell>
          <cell r="I470" t="e">
            <v>#N/A</v>
          </cell>
          <cell r="J470" t="e">
            <v>#N/A</v>
          </cell>
          <cell r="K470" t="e">
            <v>#N/A</v>
          </cell>
          <cell r="L470" t="e">
            <v>#N/A</v>
          </cell>
          <cell r="M470" t="e">
            <v>#N/A</v>
          </cell>
          <cell r="N470" t="e">
            <v>#N/A</v>
          </cell>
          <cell r="O470" t="e">
            <v>#N/A</v>
          </cell>
          <cell r="P470">
            <v>49.119996</v>
          </cell>
          <cell r="Q470">
            <v>1.7452129999999999</v>
          </cell>
          <cell r="R470" t="e">
            <v>#N/A</v>
          </cell>
        </row>
        <row r="471">
          <cell r="A471">
            <v>40833</v>
          </cell>
          <cell r="B471">
            <v>40833</v>
          </cell>
          <cell r="C471" t="str">
            <v>Past</v>
          </cell>
          <cell r="D471">
            <v>48.709992</v>
          </cell>
          <cell r="E471" t="e">
            <v>#N/A</v>
          </cell>
          <cell r="F471" t="e">
            <v>#N/A</v>
          </cell>
          <cell r="G471" t="e">
            <v>#N/A</v>
          </cell>
          <cell r="H471" t="e">
            <v>#N/A</v>
          </cell>
          <cell r="I471" t="e">
            <v>#N/A</v>
          </cell>
          <cell r="J471" t="e">
            <v>#N/A</v>
          </cell>
          <cell r="K471" t="e">
            <v>#N/A</v>
          </cell>
          <cell r="L471" t="e">
            <v>#N/A</v>
          </cell>
          <cell r="M471" t="e">
            <v>#N/A</v>
          </cell>
          <cell r="N471" t="e">
            <v>#N/A</v>
          </cell>
          <cell r="O471" t="e">
            <v>#N/A</v>
          </cell>
          <cell r="P471">
            <v>48.709992</v>
          </cell>
          <cell r="Q471">
            <v>2.4215239999999998</v>
          </cell>
          <cell r="R471" t="e">
            <v>#N/A</v>
          </cell>
        </row>
        <row r="472">
          <cell r="A472">
            <v>40834</v>
          </cell>
          <cell r="B472">
            <v>40834</v>
          </cell>
          <cell r="C472" t="str">
            <v>Past</v>
          </cell>
          <cell r="D472">
            <v>48.929993000000003</v>
          </cell>
          <cell r="E472" t="e">
            <v>#N/A</v>
          </cell>
          <cell r="F472" t="e">
            <v>#N/A</v>
          </cell>
          <cell r="G472" t="e">
            <v>#N/A</v>
          </cell>
          <cell r="H472" t="e">
            <v>#N/A</v>
          </cell>
          <cell r="I472" t="e">
            <v>#N/A</v>
          </cell>
          <cell r="J472" t="e">
            <v>#N/A</v>
          </cell>
          <cell r="K472" t="e">
            <v>#N/A</v>
          </cell>
          <cell r="L472" t="e">
            <v>#N/A</v>
          </cell>
          <cell r="M472" t="e">
            <v>#N/A</v>
          </cell>
          <cell r="N472" t="e">
            <v>#N/A</v>
          </cell>
          <cell r="O472" t="e">
            <v>#N/A</v>
          </cell>
          <cell r="P472">
            <v>48.929993000000003</v>
          </cell>
          <cell r="Q472">
            <v>4.9103089999999998</v>
          </cell>
          <cell r="R472" t="e">
            <v>#N/A</v>
          </cell>
        </row>
        <row r="473">
          <cell r="A473">
            <v>40835</v>
          </cell>
          <cell r="B473">
            <v>40835</v>
          </cell>
          <cell r="C473" t="str">
            <v>Past</v>
          </cell>
          <cell r="D473">
            <v>47.909989000000003</v>
          </cell>
          <cell r="E473" t="e">
            <v>#N/A</v>
          </cell>
          <cell r="F473" t="e">
            <v>#N/A</v>
          </cell>
          <cell r="G473" t="e">
            <v>#N/A</v>
          </cell>
          <cell r="H473" t="e">
            <v>#N/A</v>
          </cell>
          <cell r="I473" t="e">
            <v>#N/A</v>
          </cell>
          <cell r="J473" t="e">
            <v>#N/A</v>
          </cell>
          <cell r="K473" t="e">
            <v>#N/A</v>
          </cell>
          <cell r="L473" t="e">
            <v>#N/A</v>
          </cell>
          <cell r="M473" t="e">
            <v>#N/A</v>
          </cell>
          <cell r="N473" t="e">
            <v>#N/A</v>
          </cell>
          <cell r="O473" t="e">
            <v>#N/A</v>
          </cell>
          <cell r="P473">
            <v>47.909989000000003</v>
          </cell>
          <cell r="Q473">
            <v>1.6448419999999999</v>
          </cell>
          <cell r="R473" t="e">
            <v>#N/A</v>
          </cell>
        </row>
        <row r="474">
          <cell r="A474">
            <v>40836</v>
          </cell>
          <cell r="B474">
            <v>40836</v>
          </cell>
          <cell r="C474" t="str">
            <v>Past</v>
          </cell>
          <cell r="D474">
            <v>47.239991000000003</v>
          </cell>
          <cell r="E474" t="e">
            <v>#N/A</v>
          </cell>
          <cell r="F474" t="e">
            <v>#N/A</v>
          </cell>
          <cell r="G474" t="e">
            <v>#N/A</v>
          </cell>
          <cell r="H474" t="e">
            <v>#N/A</v>
          </cell>
          <cell r="I474" t="e">
            <v>#N/A</v>
          </cell>
          <cell r="J474" t="e">
            <v>#N/A</v>
          </cell>
          <cell r="K474" t="e">
            <v>#N/A</v>
          </cell>
          <cell r="L474" t="e">
            <v>#N/A</v>
          </cell>
          <cell r="M474" t="e">
            <v>#N/A</v>
          </cell>
          <cell r="N474" t="e">
            <v>#N/A</v>
          </cell>
          <cell r="O474" t="e">
            <v>#N/A</v>
          </cell>
          <cell r="P474">
            <v>47.239991000000003</v>
          </cell>
          <cell r="Q474">
            <v>3.593089</v>
          </cell>
          <cell r="R474" t="e">
            <v>#N/A</v>
          </cell>
        </row>
        <row r="475">
          <cell r="A475">
            <v>40837</v>
          </cell>
          <cell r="B475">
            <v>40837</v>
          </cell>
          <cell r="C475" t="str">
            <v>Past</v>
          </cell>
          <cell r="D475">
            <v>48.089996999999997</v>
          </cell>
          <cell r="E475" t="e">
            <v>#N/A</v>
          </cell>
          <cell r="F475" t="e">
            <v>#N/A</v>
          </cell>
          <cell r="G475" t="e">
            <v>#N/A</v>
          </cell>
          <cell r="H475" t="e">
            <v>#N/A</v>
          </cell>
          <cell r="I475" t="e">
            <v>#N/A</v>
          </cell>
          <cell r="J475" t="e">
            <v>#N/A</v>
          </cell>
          <cell r="K475" t="e">
            <v>#N/A</v>
          </cell>
          <cell r="L475" t="e">
            <v>#N/A</v>
          </cell>
          <cell r="M475" t="e">
            <v>#N/A</v>
          </cell>
          <cell r="N475" t="e">
            <v>#N/A</v>
          </cell>
          <cell r="O475" t="e">
            <v>#N/A</v>
          </cell>
          <cell r="P475">
            <v>48.089996999999997</v>
          </cell>
          <cell r="Q475">
            <v>3.1189879999999999</v>
          </cell>
          <cell r="R475" t="e">
            <v>#N/A</v>
          </cell>
        </row>
        <row r="476">
          <cell r="A476">
            <v>40840</v>
          </cell>
          <cell r="B476">
            <v>40840</v>
          </cell>
          <cell r="C476" t="str">
            <v>Past</v>
          </cell>
          <cell r="D476">
            <v>49.069992999999997</v>
          </cell>
          <cell r="E476" t="e">
            <v>#N/A</v>
          </cell>
          <cell r="F476" t="e">
            <v>#N/A</v>
          </cell>
          <cell r="G476" t="e">
            <v>#N/A</v>
          </cell>
          <cell r="H476" t="e">
            <v>#N/A</v>
          </cell>
          <cell r="I476" t="e">
            <v>#N/A</v>
          </cell>
          <cell r="J476" t="e">
            <v>#N/A</v>
          </cell>
          <cell r="K476" t="e">
            <v>#N/A</v>
          </cell>
          <cell r="L476" t="e">
            <v>#N/A</v>
          </cell>
          <cell r="M476" t="e">
            <v>#N/A</v>
          </cell>
          <cell r="N476" t="e">
            <v>#N/A</v>
          </cell>
          <cell r="O476" t="e">
            <v>#N/A</v>
          </cell>
          <cell r="P476">
            <v>49.069992999999997</v>
          </cell>
          <cell r="Q476">
            <v>2.5332560000000002</v>
          </cell>
          <cell r="R476" t="e">
            <v>#N/A</v>
          </cell>
        </row>
        <row r="477">
          <cell r="A477">
            <v>40841</v>
          </cell>
          <cell r="B477">
            <v>40841</v>
          </cell>
          <cell r="C477" t="str">
            <v>Past</v>
          </cell>
          <cell r="D477">
            <v>46.939988</v>
          </cell>
          <cell r="E477" t="e">
            <v>#N/A</v>
          </cell>
          <cell r="F477" t="e">
            <v>#N/A</v>
          </cell>
          <cell r="G477" t="e">
            <v>#N/A</v>
          </cell>
          <cell r="H477" t="e">
            <v>#N/A</v>
          </cell>
          <cell r="I477" t="e">
            <v>#N/A</v>
          </cell>
          <cell r="J477" t="e">
            <v>#N/A</v>
          </cell>
          <cell r="K477" t="e">
            <v>#N/A</v>
          </cell>
          <cell r="L477" t="e">
            <v>#N/A</v>
          </cell>
          <cell r="M477" t="e">
            <v>#N/A</v>
          </cell>
          <cell r="N477" t="e">
            <v>#N/A</v>
          </cell>
          <cell r="O477" t="e">
            <v>#N/A</v>
          </cell>
          <cell r="P477">
            <v>46.939988</v>
          </cell>
          <cell r="Q477">
            <v>4.6081919999999998</v>
          </cell>
          <cell r="R477" t="e">
            <v>#N/A</v>
          </cell>
        </row>
        <row r="478">
          <cell r="A478">
            <v>40842</v>
          </cell>
          <cell r="B478">
            <v>40842</v>
          </cell>
          <cell r="C478" t="str">
            <v>Past</v>
          </cell>
          <cell r="D478">
            <v>52.129989999999999</v>
          </cell>
          <cell r="E478" t="e">
            <v>#N/A</v>
          </cell>
          <cell r="F478" t="e">
            <v>#N/A</v>
          </cell>
          <cell r="G478" t="e">
            <v>#N/A</v>
          </cell>
          <cell r="H478" t="e">
            <v>#N/A</v>
          </cell>
          <cell r="I478" t="e">
            <v>#N/A</v>
          </cell>
          <cell r="J478" t="e">
            <v>#N/A</v>
          </cell>
          <cell r="K478" t="e">
            <v>#N/A</v>
          </cell>
          <cell r="L478" t="e">
            <v>#N/A</v>
          </cell>
          <cell r="M478" t="e">
            <v>#N/A</v>
          </cell>
          <cell r="N478" t="e">
            <v>#N/A</v>
          </cell>
          <cell r="O478" t="e">
            <v>#N/A</v>
          </cell>
          <cell r="P478">
            <v>52.129989999999999</v>
          </cell>
          <cell r="Q478">
            <v>12.793215</v>
          </cell>
          <cell r="R478" t="e">
            <v>#N/A</v>
          </cell>
        </row>
        <row r="479">
          <cell r="A479">
            <v>40843</v>
          </cell>
          <cell r="B479">
            <v>40843</v>
          </cell>
          <cell r="C479" t="str">
            <v>Past</v>
          </cell>
          <cell r="D479">
            <v>54.339996999999997</v>
          </cell>
          <cell r="E479" t="e">
            <v>#N/A</v>
          </cell>
          <cell r="F479" t="e">
            <v>#N/A</v>
          </cell>
          <cell r="G479" t="e">
            <v>#N/A</v>
          </cell>
          <cell r="H479" t="e">
            <v>#N/A</v>
          </cell>
          <cell r="I479" t="e">
            <v>#N/A</v>
          </cell>
          <cell r="J479" t="e">
            <v>#N/A</v>
          </cell>
          <cell r="K479" t="e">
            <v>#N/A</v>
          </cell>
          <cell r="L479" t="e">
            <v>#N/A</v>
          </cell>
          <cell r="M479" t="e">
            <v>#N/A</v>
          </cell>
          <cell r="N479" t="e">
            <v>#N/A</v>
          </cell>
          <cell r="O479" t="e">
            <v>#N/A</v>
          </cell>
          <cell r="P479">
            <v>54.339996999999997</v>
          </cell>
          <cell r="Q479">
            <v>5.5595309999999998</v>
          </cell>
          <cell r="R479" t="e">
            <v>#N/A</v>
          </cell>
        </row>
        <row r="480">
          <cell r="A480">
            <v>40844</v>
          </cell>
          <cell r="B480">
            <v>40844</v>
          </cell>
          <cell r="C480" t="str">
            <v>Past</v>
          </cell>
          <cell r="D480">
            <v>55.5</v>
          </cell>
          <cell r="E480" t="e">
            <v>#N/A</v>
          </cell>
          <cell r="F480" t="e">
            <v>#N/A</v>
          </cell>
          <cell r="G480" t="e">
            <v>#N/A</v>
          </cell>
          <cell r="H480" t="e">
            <v>#N/A</v>
          </cell>
          <cell r="I480" t="e">
            <v>#N/A</v>
          </cell>
          <cell r="J480" t="e">
            <v>#N/A</v>
          </cell>
          <cell r="K480" t="e">
            <v>#N/A</v>
          </cell>
          <cell r="L480" t="e">
            <v>#N/A</v>
          </cell>
          <cell r="M480" t="e">
            <v>#N/A</v>
          </cell>
          <cell r="N480" t="e">
            <v>#N/A</v>
          </cell>
          <cell r="O480" t="e">
            <v>#N/A</v>
          </cell>
          <cell r="P480">
            <v>55.5</v>
          </cell>
          <cell r="Q480">
            <v>4.8856489999999999</v>
          </cell>
          <cell r="R480" t="e">
            <v>#N/A</v>
          </cell>
        </row>
        <row r="481">
          <cell r="A481">
            <v>40847</v>
          </cell>
          <cell r="B481">
            <v>40847</v>
          </cell>
          <cell r="C481" t="str">
            <v>Past</v>
          </cell>
          <cell r="D481">
            <v>54.859985999999999</v>
          </cell>
          <cell r="E481" t="e">
            <v>#N/A</v>
          </cell>
          <cell r="F481" t="e">
            <v>#N/A</v>
          </cell>
          <cell r="G481" t="e">
            <v>#N/A</v>
          </cell>
          <cell r="H481" t="e">
            <v>#N/A</v>
          </cell>
          <cell r="I481" t="e">
            <v>#N/A</v>
          </cell>
          <cell r="J481" t="e">
            <v>#N/A</v>
          </cell>
          <cell r="K481" t="e">
            <v>#N/A</v>
          </cell>
          <cell r="L481" t="e">
            <v>#N/A</v>
          </cell>
          <cell r="M481" t="e">
            <v>#N/A</v>
          </cell>
          <cell r="N481" t="e">
            <v>#N/A</v>
          </cell>
          <cell r="O481" t="e">
            <v>#N/A</v>
          </cell>
          <cell r="P481">
            <v>54.859985999999999</v>
          </cell>
          <cell r="Q481">
            <v>3.5170699999999999</v>
          </cell>
          <cell r="R481" t="e">
            <v>#N/A</v>
          </cell>
        </row>
        <row r="482">
          <cell r="A482">
            <v>40848</v>
          </cell>
          <cell r="B482">
            <v>40848</v>
          </cell>
          <cell r="C482" t="str">
            <v>Past</v>
          </cell>
          <cell r="D482">
            <v>53.679993000000003</v>
          </cell>
          <cell r="E482" t="e">
            <v>#N/A</v>
          </cell>
          <cell r="F482" t="e">
            <v>#N/A</v>
          </cell>
          <cell r="G482" t="e">
            <v>#N/A</v>
          </cell>
          <cell r="H482" t="e">
            <v>#N/A</v>
          </cell>
          <cell r="I482" t="e">
            <v>#N/A</v>
          </cell>
          <cell r="J482" t="e">
            <v>#N/A</v>
          </cell>
          <cell r="K482" t="e">
            <v>#N/A</v>
          </cell>
          <cell r="L482" t="e">
            <v>#N/A</v>
          </cell>
          <cell r="M482" t="e">
            <v>#N/A</v>
          </cell>
          <cell r="N482" t="e">
            <v>#N/A</v>
          </cell>
          <cell r="O482" t="e">
            <v>#N/A</v>
          </cell>
          <cell r="P482">
            <v>53.679993000000003</v>
          </cell>
          <cell r="Q482">
            <v>3.1061510000000001</v>
          </cell>
          <cell r="R482" t="e">
            <v>#N/A</v>
          </cell>
        </row>
        <row r="483">
          <cell r="A483">
            <v>40849</v>
          </cell>
          <cell r="B483">
            <v>40849</v>
          </cell>
          <cell r="C483" t="str">
            <v>Past</v>
          </cell>
          <cell r="D483">
            <v>53.609985999999999</v>
          </cell>
          <cell r="E483" t="e">
            <v>#N/A</v>
          </cell>
          <cell r="F483" t="e">
            <v>#N/A</v>
          </cell>
          <cell r="G483" t="e">
            <v>#N/A</v>
          </cell>
          <cell r="H483" t="e">
            <v>#N/A</v>
          </cell>
          <cell r="I483" t="e">
            <v>#N/A</v>
          </cell>
          <cell r="J483" t="e">
            <v>#N/A</v>
          </cell>
          <cell r="K483" t="e">
            <v>#N/A</v>
          </cell>
          <cell r="L483" t="e">
            <v>#N/A</v>
          </cell>
          <cell r="M483" t="e">
            <v>#N/A</v>
          </cell>
          <cell r="N483" t="e">
            <v>#N/A</v>
          </cell>
          <cell r="O483" t="e">
            <v>#N/A</v>
          </cell>
          <cell r="P483">
            <v>53.609985999999999</v>
          </cell>
          <cell r="Q483">
            <v>2.223859</v>
          </cell>
          <cell r="R483" t="e">
            <v>#N/A</v>
          </cell>
        </row>
        <row r="484">
          <cell r="A484">
            <v>40850</v>
          </cell>
          <cell r="B484">
            <v>40850</v>
          </cell>
          <cell r="C484" t="str">
            <v>Past</v>
          </cell>
          <cell r="D484">
            <v>53.449997000000003</v>
          </cell>
          <cell r="E484" t="e">
            <v>#N/A</v>
          </cell>
          <cell r="F484" t="e">
            <v>#N/A</v>
          </cell>
          <cell r="G484" t="e">
            <v>#N/A</v>
          </cell>
          <cell r="H484" t="e">
            <v>#N/A</v>
          </cell>
          <cell r="I484" t="e">
            <v>#N/A</v>
          </cell>
          <cell r="J484" t="e">
            <v>#N/A</v>
          </cell>
          <cell r="K484" t="e">
            <v>#N/A</v>
          </cell>
          <cell r="L484" t="e">
            <v>#N/A</v>
          </cell>
          <cell r="M484" t="e">
            <v>#N/A</v>
          </cell>
          <cell r="N484" t="e">
            <v>#N/A</v>
          </cell>
          <cell r="O484" t="e">
            <v>#N/A</v>
          </cell>
          <cell r="P484">
            <v>53.449997000000003</v>
          </cell>
          <cell r="Q484">
            <v>1.975239</v>
          </cell>
          <cell r="R484" t="e">
            <v>#N/A</v>
          </cell>
        </row>
        <row r="485">
          <cell r="A485">
            <v>40851</v>
          </cell>
          <cell r="B485">
            <v>40851</v>
          </cell>
          <cell r="C485" t="str">
            <v>Past</v>
          </cell>
          <cell r="D485">
            <v>55.059998</v>
          </cell>
          <cell r="E485" t="e">
            <v>#N/A</v>
          </cell>
          <cell r="F485" t="e">
            <v>#N/A</v>
          </cell>
          <cell r="G485" t="e">
            <v>#N/A</v>
          </cell>
          <cell r="H485" t="e">
            <v>#N/A</v>
          </cell>
          <cell r="I485" t="e">
            <v>#N/A</v>
          </cell>
          <cell r="J485" t="e">
            <v>#N/A</v>
          </cell>
          <cell r="K485" t="e">
            <v>#N/A</v>
          </cell>
          <cell r="L485" t="e">
            <v>#N/A</v>
          </cell>
          <cell r="M485" t="e">
            <v>#N/A</v>
          </cell>
          <cell r="N485" t="e">
            <v>#N/A</v>
          </cell>
          <cell r="O485" t="e">
            <v>#N/A</v>
          </cell>
          <cell r="P485">
            <v>55.059998</v>
          </cell>
          <cell r="Q485">
            <v>4.6048439999999999</v>
          </cell>
          <cell r="R485" t="e">
            <v>#N/A</v>
          </cell>
        </row>
        <row r="486">
          <cell r="A486">
            <v>40854</v>
          </cell>
          <cell r="B486">
            <v>40854</v>
          </cell>
          <cell r="C486" t="str">
            <v>Past</v>
          </cell>
          <cell r="D486">
            <v>57.109985999999999</v>
          </cell>
          <cell r="E486" t="e">
            <v>#N/A</v>
          </cell>
          <cell r="F486" t="e">
            <v>#N/A</v>
          </cell>
          <cell r="G486" t="e">
            <v>#N/A</v>
          </cell>
          <cell r="H486" t="e">
            <v>#N/A</v>
          </cell>
          <cell r="I486" t="e">
            <v>#N/A</v>
          </cell>
          <cell r="J486" t="e">
            <v>#N/A</v>
          </cell>
          <cell r="K486" t="e">
            <v>#N/A</v>
          </cell>
          <cell r="L486" t="e">
            <v>#N/A</v>
          </cell>
          <cell r="M486" t="e">
            <v>#N/A</v>
          </cell>
          <cell r="N486" t="e">
            <v>#N/A</v>
          </cell>
          <cell r="O486" t="e">
            <v>#N/A</v>
          </cell>
          <cell r="P486">
            <v>57.109985999999999</v>
          </cell>
          <cell r="Q486">
            <v>4.7832340000000002</v>
          </cell>
          <cell r="R486" t="e">
            <v>#N/A</v>
          </cell>
        </row>
        <row r="487">
          <cell r="A487">
            <v>40855</v>
          </cell>
          <cell r="B487">
            <v>40855</v>
          </cell>
          <cell r="C487" t="str">
            <v>Past</v>
          </cell>
          <cell r="D487">
            <v>58.109985999999999</v>
          </cell>
          <cell r="E487" t="e">
            <v>#N/A</v>
          </cell>
          <cell r="F487" t="e">
            <v>#N/A</v>
          </cell>
          <cell r="G487" t="e">
            <v>#N/A</v>
          </cell>
          <cell r="H487" t="e">
            <v>#N/A</v>
          </cell>
          <cell r="I487" t="e">
            <v>#N/A</v>
          </cell>
          <cell r="J487" t="e">
            <v>#N/A</v>
          </cell>
          <cell r="K487" t="e">
            <v>#N/A</v>
          </cell>
          <cell r="L487" t="e">
            <v>#N/A</v>
          </cell>
          <cell r="M487" t="e">
            <v>#N/A</v>
          </cell>
          <cell r="N487" t="e">
            <v>#N/A</v>
          </cell>
          <cell r="O487" t="e">
            <v>#N/A</v>
          </cell>
          <cell r="P487">
            <v>58.109985999999999</v>
          </cell>
          <cell r="Q487">
            <v>5.2074959999999999</v>
          </cell>
          <cell r="R487" t="e">
            <v>#N/A</v>
          </cell>
        </row>
        <row r="488">
          <cell r="A488">
            <v>40856</v>
          </cell>
          <cell r="B488">
            <v>40856</v>
          </cell>
          <cell r="C488" t="str">
            <v>Past</v>
          </cell>
          <cell r="D488">
            <v>56.189988</v>
          </cell>
          <cell r="E488" t="e">
            <v>#N/A</v>
          </cell>
          <cell r="F488" t="e">
            <v>#N/A</v>
          </cell>
          <cell r="G488" t="e">
            <v>#N/A</v>
          </cell>
          <cell r="H488" t="e">
            <v>#N/A</v>
          </cell>
          <cell r="I488" t="e">
            <v>#N/A</v>
          </cell>
          <cell r="J488" t="e">
            <v>#N/A</v>
          </cell>
          <cell r="K488" t="e">
            <v>#N/A</v>
          </cell>
          <cell r="L488" t="e">
            <v>#N/A</v>
          </cell>
          <cell r="M488" t="e">
            <v>#N/A</v>
          </cell>
          <cell r="N488" t="e">
            <v>#N/A</v>
          </cell>
          <cell r="O488" t="e">
            <v>#N/A</v>
          </cell>
          <cell r="P488">
            <v>56.189988</v>
          </cell>
          <cell r="Q488">
            <v>4.8840630000000003</v>
          </cell>
          <cell r="R488" t="e">
            <v>#N/A</v>
          </cell>
        </row>
        <row r="489">
          <cell r="A489">
            <v>40857</v>
          </cell>
          <cell r="B489">
            <v>40857</v>
          </cell>
          <cell r="C489" t="str">
            <v>Past</v>
          </cell>
          <cell r="D489">
            <v>56.869996</v>
          </cell>
          <cell r="E489" t="e">
            <v>#N/A</v>
          </cell>
          <cell r="F489" t="e">
            <v>#N/A</v>
          </cell>
          <cell r="G489" t="e">
            <v>#N/A</v>
          </cell>
          <cell r="H489" t="e">
            <v>#N/A</v>
          </cell>
          <cell r="I489" t="e">
            <v>#N/A</v>
          </cell>
          <cell r="J489" t="e">
            <v>#N/A</v>
          </cell>
          <cell r="K489" t="e">
            <v>#N/A</v>
          </cell>
          <cell r="L489" t="e">
            <v>#N/A</v>
          </cell>
          <cell r="M489" t="e">
            <v>#N/A</v>
          </cell>
          <cell r="N489" t="e">
            <v>#N/A</v>
          </cell>
          <cell r="O489" t="e">
            <v>#N/A</v>
          </cell>
          <cell r="P489">
            <v>56.869996</v>
          </cell>
          <cell r="Q489">
            <v>2.5754679999999999</v>
          </cell>
          <cell r="R489" t="e">
            <v>#N/A</v>
          </cell>
        </row>
        <row r="490">
          <cell r="A490">
            <v>40858</v>
          </cell>
          <cell r="B490">
            <v>40858</v>
          </cell>
          <cell r="C490" t="str">
            <v>Past</v>
          </cell>
          <cell r="D490">
            <v>57.439988</v>
          </cell>
          <cell r="E490" t="e">
            <v>#N/A</v>
          </cell>
          <cell r="F490" t="e">
            <v>#N/A</v>
          </cell>
          <cell r="G490" t="e">
            <v>#N/A</v>
          </cell>
          <cell r="H490" t="e">
            <v>#N/A</v>
          </cell>
          <cell r="I490" t="e">
            <v>#N/A</v>
          </cell>
          <cell r="J490" t="e">
            <v>#N/A</v>
          </cell>
          <cell r="K490" t="e">
            <v>#N/A</v>
          </cell>
          <cell r="L490" t="e">
            <v>#N/A</v>
          </cell>
          <cell r="M490" t="e">
            <v>#N/A</v>
          </cell>
          <cell r="N490" t="e">
            <v>#N/A</v>
          </cell>
          <cell r="O490" t="e">
            <v>#N/A</v>
          </cell>
          <cell r="P490">
            <v>57.439988</v>
          </cell>
          <cell r="Q490">
            <v>2.383572</v>
          </cell>
          <cell r="R490" t="e">
            <v>#N/A</v>
          </cell>
        </row>
        <row r="491">
          <cell r="A491">
            <v>40861</v>
          </cell>
          <cell r="B491">
            <v>40861</v>
          </cell>
          <cell r="C491" t="str">
            <v>Past</v>
          </cell>
          <cell r="D491">
            <v>57.229996</v>
          </cell>
          <cell r="E491" t="e">
            <v>#N/A</v>
          </cell>
          <cell r="F491" t="e">
            <v>#N/A</v>
          </cell>
          <cell r="G491" t="e">
            <v>#N/A</v>
          </cell>
          <cell r="H491" t="e">
            <v>#N/A</v>
          </cell>
          <cell r="I491" t="e">
            <v>#N/A</v>
          </cell>
          <cell r="J491" t="e">
            <v>#N/A</v>
          </cell>
          <cell r="K491" t="e">
            <v>#N/A</v>
          </cell>
          <cell r="L491" t="e">
            <v>#N/A</v>
          </cell>
          <cell r="M491" t="e">
            <v>#N/A</v>
          </cell>
          <cell r="N491" t="e">
            <v>#N/A</v>
          </cell>
          <cell r="O491" t="e">
            <v>#N/A</v>
          </cell>
          <cell r="P491">
            <v>57.229996</v>
          </cell>
          <cell r="Q491">
            <v>2.3243529999999999</v>
          </cell>
          <cell r="R491" t="e">
            <v>#N/A</v>
          </cell>
        </row>
        <row r="492">
          <cell r="A492">
            <v>40862</v>
          </cell>
          <cell r="B492">
            <v>40862</v>
          </cell>
          <cell r="C492" t="str">
            <v>Past</v>
          </cell>
          <cell r="D492">
            <v>56.859985999999999</v>
          </cell>
          <cell r="E492" t="e">
            <v>#N/A</v>
          </cell>
          <cell r="F492" t="e">
            <v>#N/A</v>
          </cell>
          <cell r="G492" t="e">
            <v>#N/A</v>
          </cell>
          <cell r="H492" t="e">
            <v>#N/A</v>
          </cell>
          <cell r="I492" t="e">
            <v>#N/A</v>
          </cell>
          <cell r="J492" t="e">
            <v>#N/A</v>
          </cell>
          <cell r="K492" t="e">
            <v>#N/A</v>
          </cell>
          <cell r="L492" t="e">
            <v>#N/A</v>
          </cell>
          <cell r="M492" t="e">
            <v>#N/A</v>
          </cell>
          <cell r="N492" t="e">
            <v>#N/A</v>
          </cell>
          <cell r="O492" t="e">
            <v>#N/A</v>
          </cell>
          <cell r="P492">
            <v>56.859985999999999</v>
          </cell>
          <cell r="Q492">
            <v>2.9808789999999998</v>
          </cell>
          <cell r="R492" t="e">
            <v>#N/A</v>
          </cell>
        </row>
        <row r="493">
          <cell r="A493">
            <v>40863</v>
          </cell>
          <cell r="B493">
            <v>40863</v>
          </cell>
          <cell r="C493" t="str">
            <v>Past</v>
          </cell>
          <cell r="D493">
            <v>55.839996999999997</v>
          </cell>
          <cell r="E493" t="e">
            <v>#N/A</v>
          </cell>
          <cell r="F493" t="e">
            <v>#N/A</v>
          </cell>
          <cell r="G493" t="e">
            <v>#N/A</v>
          </cell>
          <cell r="H493" t="e">
            <v>#N/A</v>
          </cell>
          <cell r="I493" t="e">
            <v>#N/A</v>
          </cell>
          <cell r="J493" t="e">
            <v>#N/A</v>
          </cell>
          <cell r="K493" t="e">
            <v>#N/A</v>
          </cell>
          <cell r="L493" t="e">
            <v>#N/A</v>
          </cell>
          <cell r="M493" t="e">
            <v>#N/A</v>
          </cell>
          <cell r="N493" t="e">
            <v>#N/A</v>
          </cell>
          <cell r="O493" t="e">
            <v>#N/A</v>
          </cell>
          <cell r="P493">
            <v>55.839996999999997</v>
          </cell>
          <cell r="Q493">
            <v>3.4452799999999999</v>
          </cell>
          <cell r="R493" t="e">
            <v>#N/A</v>
          </cell>
        </row>
        <row r="494">
          <cell r="A494">
            <v>40864</v>
          </cell>
          <cell r="B494">
            <v>40864</v>
          </cell>
          <cell r="C494" t="str">
            <v>Past</v>
          </cell>
          <cell r="D494">
            <v>54.629989999999999</v>
          </cell>
          <cell r="E494" t="e">
            <v>#N/A</v>
          </cell>
          <cell r="F494" t="e">
            <v>#N/A</v>
          </cell>
          <cell r="G494" t="e">
            <v>#N/A</v>
          </cell>
          <cell r="H494" t="e">
            <v>#N/A</v>
          </cell>
          <cell r="I494" t="e">
            <v>#N/A</v>
          </cell>
          <cell r="J494" t="e">
            <v>#N/A</v>
          </cell>
          <cell r="K494" t="e">
            <v>#N/A</v>
          </cell>
          <cell r="L494" t="e">
            <v>#N/A</v>
          </cell>
          <cell r="M494" t="e">
            <v>#N/A</v>
          </cell>
          <cell r="N494" t="e">
            <v>#N/A</v>
          </cell>
          <cell r="O494" t="e">
            <v>#N/A</v>
          </cell>
          <cell r="P494">
            <v>54.629989999999999</v>
          </cell>
          <cell r="Q494">
            <v>2.8811900000000001</v>
          </cell>
          <cell r="R494" t="e">
            <v>#N/A</v>
          </cell>
        </row>
        <row r="495">
          <cell r="A495">
            <v>40865</v>
          </cell>
          <cell r="B495">
            <v>40865</v>
          </cell>
          <cell r="C495" t="str">
            <v>Past</v>
          </cell>
          <cell r="D495">
            <v>55.279998999999997</v>
          </cell>
          <cell r="E495" t="e">
            <v>#N/A</v>
          </cell>
          <cell r="F495" t="e">
            <v>#N/A</v>
          </cell>
          <cell r="G495" t="e">
            <v>#N/A</v>
          </cell>
          <cell r="H495" t="e">
            <v>#N/A</v>
          </cell>
          <cell r="I495" t="e">
            <v>#N/A</v>
          </cell>
          <cell r="J495" t="e">
            <v>#N/A</v>
          </cell>
          <cell r="K495" t="e">
            <v>#N/A</v>
          </cell>
          <cell r="L495" t="e">
            <v>#N/A</v>
          </cell>
          <cell r="M495" t="e">
            <v>#N/A</v>
          </cell>
          <cell r="N495" t="e">
            <v>#N/A</v>
          </cell>
          <cell r="O495" t="e">
            <v>#N/A</v>
          </cell>
          <cell r="P495">
            <v>55.279998999999997</v>
          </cell>
          <cell r="Q495">
            <v>3.2577780000000001</v>
          </cell>
          <cell r="R495" t="e">
            <v>#N/A</v>
          </cell>
        </row>
        <row r="496">
          <cell r="A496">
            <v>40868</v>
          </cell>
          <cell r="B496">
            <v>40868</v>
          </cell>
          <cell r="C496" t="str">
            <v>Past</v>
          </cell>
          <cell r="D496">
            <v>53.939988</v>
          </cell>
          <cell r="E496" t="e">
            <v>#N/A</v>
          </cell>
          <cell r="F496" t="e">
            <v>#N/A</v>
          </cell>
          <cell r="G496" t="e">
            <v>#N/A</v>
          </cell>
          <cell r="H496" t="e">
            <v>#N/A</v>
          </cell>
          <cell r="I496" t="e">
            <v>#N/A</v>
          </cell>
          <cell r="J496" t="e">
            <v>#N/A</v>
          </cell>
          <cell r="K496" t="e">
            <v>#N/A</v>
          </cell>
          <cell r="L496" t="e">
            <v>#N/A</v>
          </cell>
          <cell r="M496" t="e">
            <v>#N/A</v>
          </cell>
          <cell r="N496" t="e">
            <v>#N/A</v>
          </cell>
          <cell r="O496" t="e">
            <v>#N/A</v>
          </cell>
          <cell r="P496">
            <v>53.939988</v>
          </cell>
          <cell r="Q496">
            <v>3.1163530000000002</v>
          </cell>
          <cell r="R496" t="e">
            <v>#N/A</v>
          </cell>
        </row>
        <row r="497">
          <cell r="A497">
            <v>40869</v>
          </cell>
          <cell r="B497">
            <v>40869</v>
          </cell>
          <cell r="C497" t="str">
            <v>Past</v>
          </cell>
          <cell r="D497">
            <v>53.959992</v>
          </cell>
          <cell r="E497" t="e">
            <v>#N/A</v>
          </cell>
          <cell r="F497" t="e">
            <v>#N/A</v>
          </cell>
          <cell r="G497" t="e">
            <v>#N/A</v>
          </cell>
          <cell r="H497" t="e">
            <v>#N/A</v>
          </cell>
          <cell r="I497" t="e">
            <v>#N/A</v>
          </cell>
          <cell r="J497" t="e">
            <v>#N/A</v>
          </cell>
          <cell r="K497" t="e">
            <v>#N/A</v>
          </cell>
          <cell r="L497" t="e">
            <v>#N/A</v>
          </cell>
          <cell r="M497" t="e">
            <v>#N/A</v>
          </cell>
          <cell r="N497" t="e">
            <v>#N/A</v>
          </cell>
          <cell r="O497" t="e">
            <v>#N/A</v>
          </cell>
          <cell r="P497">
            <v>53.959992</v>
          </cell>
          <cell r="Q497">
            <v>2.3624239999999999</v>
          </cell>
          <cell r="R497" t="e">
            <v>#N/A</v>
          </cell>
        </row>
        <row r="498">
          <cell r="A498">
            <v>40870</v>
          </cell>
          <cell r="B498">
            <v>40870</v>
          </cell>
          <cell r="C498" t="str">
            <v>Past</v>
          </cell>
          <cell r="D498">
            <v>54.079987000000003</v>
          </cell>
          <cell r="E498" t="e">
            <v>#N/A</v>
          </cell>
          <cell r="F498" t="e">
            <v>#N/A</v>
          </cell>
          <cell r="G498" t="e">
            <v>#N/A</v>
          </cell>
          <cell r="H498" t="e">
            <v>#N/A</v>
          </cell>
          <cell r="I498" t="e">
            <v>#N/A</v>
          </cell>
          <cell r="J498" t="e">
            <v>#N/A</v>
          </cell>
          <cell r="K498" t="e">
            <v>#N/A</v>
          </cell>
          <cell r="L498" t="e">
            <v>#N/A</v>
          </cell>
          <cell r="M498" t="e">
            <v>#N/A</v>
          </cell>
          <cell r="N498" t="e">
            <v>#N/A</v>
          </cell>
          <cell r="O498" t="e">
            <v>#N/A</v>
          </cell>
          <cell r="P498">
            <v>54.079987000000003</v>
          </cell>
          <cell r="Q498">
            <v>5.1405000000000003</v>
          </cell>
          <cell r="R498" t="e">
            <v>#N/A</v>
          </cell>
        </row>
        <row r="499">
          <cell r="A499">
            <v>40872</v>
          </cell>
          <cell r="B499">
            <v>40872</v>
          </cell>
          <cell r="C499" t="str">
            <v>Past</v>
          </cell>
          <cell r="D499">
            <v>53.739991000000003</v>
          </cell>
          <cell r="E499" t="e">
            <v>#N/A</v>
          </cell>
          <cell r="F499" t="e">
            <v>#N/A</v>
          </cell>
          <cell r="G499" t="e">
            <v>#N/A</v>
          </cell>
          <cell r="H499" t="e">
            <v>#N/A</v>
          </cell>
          <cell r="I499" t="e">
            <v>#N/A</v>
          </cell>
          <cell r="J499" t="e">
            <v>#N/A</v>
          </cell>
          <cell r="K499" t="e">
            <v>#N/A</v>
          </cell>
          <cell r="L499" t="e">
            <v>#N/A</v>
          </cell>
          <cell r="M499" t="e">
            <v>#N/A</v>
          </cell>
          <cell r="N499" t="e">
            <v>#N/A</v>
          </cell>
          <cell r="O499" t="e">
            <v>#N/A</v>
          </cell>
          <cell r="P499">
            <v>53.739991000000003</v>
          </cell>
          <cell r="Q499">
            <v>1.003169</v>
          </cell>
          <cell r="R499" t="e">
            <v>#N/A</v>
          </cell>
        </row>
        <row r="500">
          <cell r="A500">
            <v>40875</v>
          </cell>
          <cell r="B500">
            <v>40875</v>
          </cell>
          <cell r="C500" t="str">
            <v>Past</v>
          </cell>
          <cell r="D500">
            <v>54.789994</v>
          </cell>
          <cell r="E500" t="e">
            <v>#N/A</v>
          </cell>
          <cell r="F500" t="e">
            <v>#N/A</v>
          </cell>
          <cell r="G500" t="e">
            <v>#N/A</v>
          </cell>
          <cell r="H500" t="e">
            <v>#N/A</v>
          </cell>
          <cell r="I500" t="e">
            <v>#N/A</v>
          </cell>
          <cell r="J500" t="e">
            <v>#N/A</v>
          </cell>
          <cell r="K500" t="e">
            <v>#N/A</v>
          </cell>
          <cell r="L500" t="e">
            <v>#N/A</v>
          </cell>
          <cell r="M500" t="e">
            <v>#N/A</v>
          </cell>
          <cell r="N500" t="e">
            <v>#N/A</v>
          </cell>
          <cell r="O500" t="e">
            <v>#N/A</v>
          </cell>
          <cell r="P500">
            <v>54.789994</v>
          </cell>
          <cell r="Q500">
            <v>2.3714309999999998</v>
          </cell>
          <cell r="R500" t="e">
            <v>#N/A</v>
          </cell>
        </row>
        <row r="501">
          <cell r="A501">
            <v>40876</v>
          </cell>
          <cell r="B501">
            <v>40876</v>
          </cell>
          <cell r="C501" t="str">
            <v>Past</v>
          </cell>
          <cell r="D501">
            <v>54.869996</v>
          </cell>
          <cell r="E501" t="e">
            <v>#N/A</v>
          </cell>
          <cell r="F501" t="e">
            <v>#N/A</v>
          </cell>
          <cell r="G501" t="e">
            <v>#N/A</v>
          </cell>
          <cell r="H501" t="e">
            <v>#N/A</v>
          </cell>
          <cell r="I501" t="e">
            <v>#N/A</v>
          </cell>
          <cell r="J501" t="e">
            <v>#N/A</v>
          </cell>
          <cell r="K501" t="e">
            <v>#N/A</v>
          </cell>
          <cell r="L501" t="e">
            <v>#N/A</v>
          </cell>
          <cell r="M501" t="e">
            <v>#N/A</v>
          </cell>
          <cell r="N501" t="e">
            <v>#N/A</v>
          </cell>
          <cell r="O501" t="e">
            <v>#N/A</v>
          </cell>
          <cell r="P501">
            <v>54.869996</v>
          </cell>
          <cell r="Q501">
            <v>1.7011309999999999</v>
          </cell>
          <cell r="R501" t="e">
            <v>#N/A</v>
          </cell>
        </row>
        <row r="502">
          <cell r="A502">
            <v>40877</v>
          </cell>
          <cell r="B502">
            <v>40877</v>
          </cell>
          <cell r="C502" t="str">
            <v>Past</v>
          </cell>
          <cell r="D502">
            <v>56.669998999999997</v>
          </cell>
          <cell r="E502" t="e">
            <v>#N/A</v>
          </cell>
          <cell r="F502" t="e">
            <v>#N/A</v>
          </cell>
          <cell r="G502" t="e">
            <v>#N/A</v>
          </cell>
          <cell r="H502" t="e">
            <v>#N/A</v>
          </cell>
          <cell r="I502" t="e">
            <v>#N/A</v>
          </cell>
          <cell r="J502" t="e">
            <v>#N/A</v>
          </cell>
          <cell r="K502" t="e">
            <v>#N/A</v>
          </cell>
          <cell r="L502" t="e">
            <v>#N/A</v>
          </cell>
          <cell r="M502" t="e">
            <v>#N/A</v>
          </cell>
          <cell r="N502" t="e">
            <v>#N/A</v>
          </cell>
          <cell r="O502" t="e">
            <v>#N/A</v>
          </cell>
          <cell r="P502">
            <v>56.669998999999997</v>
          </cell>
          <cell r="Q502">
            <v>3.6250990000000001</v>
          </cell>
          <cell r="R502" t="e">
            <v>#N/A</v>
          </cell>
        </row>
        <row r="503">
          <cell r="A503">
            <v>40878</v>
          </cell>
          <cell r="B503">
            <v>40878</v>
          </cell>
          <cell r="C503" t="str">
            <v>Past</v>
          </cell>
          <cell r="D503">
            <v>57.289994</v>
          </cell>
          <cell r="E503" t="e">
            <v>#N/A</v>
          </cell>
          <cell r="F503" t="e">
            <v>#N/A</v>
          </cell>
          <cell r="G503" t="e">
            <v>#N/A</v>
          </cell>
          <cell r="H503" t="e">
            <v>#N/A</v>
          </cell>
          <cell r="I503" t="e">
            <v>#N/A</v>
          </cell>
          <cell r="J503" t="e">
            <v>#N/A</v>
          </cell>
          <cell r="K503" t="e">
            <v>#N/A</v>
          </cell>
          <cell r="L503" t="e">
            <v>#N/A</v>
          </cell>
          <cell r="M503" t="e">
            <v>#N/A</v>
          </cell>
          <cell r="N503" t="e">
            <v>#N/A</v>
          </cell>
          <cell r="O503" t="e">
            <v>#N/A</v>
          </cell>
          <cell r="P503">
            <v>57.289994</v>
          </cell>
          <cell r="Q503">
            <v>3.9173580000000001</v>
          </cell>
          <cell r="R503" t="e">
            <v>#N/A</v>
          </cell>
        </row>
        <row r="504">
          <cell r="A504">
            <v>40879</v>
          </cell>
          <cell r="B504">
            <v>40879</v>
          </cell>
          <cell r="C504" t="str">
            <v>Past</v>
          </cell>
          <cell r="D504">
            <v>57.479996</v>
          </cell>
          <cell r="E504" t="e">
            <v>#N/A</v>
          </cell>
          <cell r="F504" t="e">
            <v>#N/A</v>
          </cell>
          <cell r="G504" t="e">
            <v>#N/A</v>
          </cell>
          <cell r="H504" t="e">
            <v>#N/A</v>
          </cell>
          <cell r="I504" t="e">
            <v>#N/A</v>
          </cell>
          <cell r="J504" t="e">
            <v>#N/A</v>
          </cell>
          <cell r="K504" t="e">
            <v>#N/A</v>
          </cell>
          <cell r="L504" t="e">
            <v>#N/A</v>
          </cell>
          <cell r="M504" t="e">
            <v>#N/A</v>
          </cell>
          <cell r="N504" t="e">
            <v>#N/A</v>
          </cell>
          <cell r="O504" t="e">
            <v>#N/A</v>
          </cell>
          <cell r="P504">
            <v>57.479996</v>
          </cell>
          <cell r="Q504">
            <v>1.811704</v>
          </cell>
          <cell r="R504" t="e">
            <v>#N/A</v>
          </cell>
        </row>
        <row r="505">
          <cell r="A505">
            <v>40882</v>
          </cell>
          <cell r="B505">
            <v>40882</v>
          </cell>
          <cell r="C505" t="str">
            <v>Past</v>
          </cell>
          <cell r="D505">
            <v>57.009995000000004</v>
          </cell>
          <cell r="E505" t="e">
            <v>#N/A</v>
          </cell>
          <cell r="F505" t="e">
            <v>#N/A</v>
          </cell>
          <cell r="G505" t="e">
            <v>#N/A</v>
          </cell>
          <cell r="H505" t="e">
            <v>#N/A</v>
          </cell>
          <cell r="I505" t="e">
            <v>#N/A</v>
          </cell>
          <cell r="J505" t="e">
            <v>#N/A</v>
          </cell>
          <cell r="K505" t="e">
            <v>#N/A</v>
          </cell>
          <cell r="L505" t="e">
            <v>#N/A</v>
          </cell>
          <cell r="M505" t="e">
            <v>#N/A</v>
          </cell>
          <cell r="N505" t="e">
            <v>#N/A</v>
          </cell>
          <cell r="O505" t="e">
            <v>#N/A</v>
          </cell>
          <cell r="P505">
            <v>57.009995000000004</v>
          </cell>
          <cell r="Q505">
            <v>2.1775549999999999</v>
          </cell>
          <cell r="R505" t="e">
            <v>#N/A</v>
          </cell>
        </row>
        <row r="506">
          <cell r="A506">
            <v>40883</v>
          </cell>
          <cell r="B506">
            <v>40883</v>
          </cell>
          <cell r="C506" t="str">
            <v>Past</v>
          </cell>
          <cell r="D506">
            <v>57.369996</v>
          </cell>
          <cell r="E506" t="e">
            <v>#N/A</v>
          </cell>
          <cell r="F506" t="e">
            <v>#N/A</v>
          </cell>
          <cell r="G506" t="e">
            <v>#N/A</v>
          </cell>
          <cell r="H506" t="e">
            <v>#N/A</v>
          </cell>
          <cell r="I506" t="e">
            <v>#N/A</v>
          </cell>
          <cell r="J506" t="e">
            <v>#N/A</v>
          </cell>
          <cell r="K506" t="e">
            <v>#N/A</v>
          </cell>
          <cell r="L506" t="e">
            <v>#N/A</v>
          </cell>
          <cell r="M506" t="e">
            <v>#N/A</v>
          </cell>
          <cell r="N506" t="e">
            <v>#N/A</v>
          </cell>
          <cell r="O506" t="e">
            <v>#N/A</v>
          </cell>
          <cell r="P506">
            <v>57.369996</v>
          </cell>
          <cell r="Q506">
            <v>3.857291</v>
          </cell>
          <cell r="R506" t="e">
            <v>#N/A</v>
          </cell>
        </row>
        <row r="507">
          <cell r="A507">
            <v>40884</v>
          </cell>
          <cell r="B507">
            <v>40884</v>
          </cell>
          <cell r="C507" t="str">
            <v>Past</v>
          </cell>
          <cell r="D507">
            <v>57.309998</v>
          </cell>
          <cell r="E507" t="e">
            <v>#N/A</v>
          </cell>
          <cell r="F507" t="e">
            <v>#N/A</v>
          </cell>
          <cell r="G507" t="e">
            <v>#N/A</v>
          </cell>
          <cell r="H507" t="e">
            <v>#N/A</v>
          </cell>
          <cell r="I507" t="e">
            <v>#N/A</v>
          </cell>
          <cell r="J507" t="e">
            <v>#N/A</v>
          </cell>
          <cell r="K507" t="e">
            <v>#N/A</v>
          </cell>
          <cell r="L507" t="e">
            <v>#N/A</v>
          </cell>
          <cell r="M507" t="e">
            <v>#N/A</v>
          </cell>
          <cell r="N507" t="e">
            <v>#N/A</v>
          </cell>
          <cell r="O507" t="e">
            <v>#N/A</v>
          </cell>
          <cell r="P507">
            <v>57.309998</v>
          </cell>
          <cell r="Q507">
            <v>3.203843</v>
          </cell>
          <cell r="R507" t="e">
            <v>#N/A</v>
          </cell>
        </row>
        <row r="508">
          <cell r="A508">
            <v>40885</v>
          </cell>
          <cell r="B508">
            <v>40885</v>
          </cell>
          <cell r="C508" t="str">
            <v>Past</v>
          </cell>
          <cell r="D508">
            <v>56.439988</v>
          </cell>
          <cell r="E508" t="e">
            <v>#N/A</v>
          </cell>
          <cell r="F508" t="e">
            <v>#N/A</v>
          </cell>
          <cell r="G508" t="e">
            <v>#N/A</v>
          </cell>
          <cell r="H508" t="e">
            <v>#N/A</v>
          </cell>
          <cell r="I508" t="e">
            <v>#N/A</v>
          </cell>
          <cell r="J508" t="e">
            <v>#N/A</v>
          </cell>
          <cell r="K508" t="e">
            <v>#N/A</v>
          </cell>
          <cell r="L508" t="e">
            <v>#N/A</v>
          </cell>
          <cell r="M508" t="e">
            <v>#N/A</v>
          </cell>
          <cell r="N508" t="e">
            <v>#N/A</v>
          </cell>
          <cell r="O508" t="e">
            <v>#N/A</v>
          </cell>
          <cell r="P508">
            <v>56.439988</v>
          </cell>
          <cell r="Q508">
            <v>3.145079</v>
          </cell>
          <cell r="R508" t="e">
            <v>#N/A</v>
          </cell>
        </row>
        <row r="509">
          <cell r="A509">
            <v>40886</v>
          </cell>
          <cell r="B509">
            <v>40886</v>
          </cell>
          <cell r="C509" t="str">
            <v>Past</v>
          </cell>
          <cell r="D509">
            <v>57.129989999999999</v>
          </cell>
          <cell r="E509" t="e">
            <v>#N/A</v>
          </cell>
          <cell r="F509" t="e">
            <v>#N/A</v>
          </cell>
          <cell r="G509" t="e">
            <v>#N/A</v>
          </cell>
          <cell r="H509" t="e">
            <v>#N/A</v>
          </cell>
          <cell r="I509" t="e">
            <v>#N/A</v>
          </cell>
          <cell r="J509" t="e">
            <v>#N/A</v>
          </cell>
          <cell r="K509" t="e">
            <v>#N/A</v>
          </cell>
          <cell r="L509" t="e">
            <v>#N/A</v>
          </cell>
          <cell r="M509" t="e">
            <v>#N/A</v>
          </cell>
          <cell r="N509" t="e">
            <v>#N/A</v>
          </cell>
          <cell r="O509" t="e">
            <v>#N/A</v>
          </cell>
          <cell r="P509">
            <v>57.129989999999999</v>
          </cell>
          <cell r="Q509">
            <v>2.059129</v>
          </cell>
          <cell r="R509" t="e">
            <v>#N/A</v>
          </cell>
        </row>
        <row r="510">
          <cell r="A510">
            <v>40889</v>
          </cell>
          <cell r="B510">
            <v>40889</v>
          </cell>
          <cell r="C510" t="str">
            <v>Past</v>
          </cell>
          <cell r="D510">
            <v>56.379989999999999</v>
          </cell>
          <cell r="E510" t="e">
            <v>#N/A</v>
          </cell>
          <cell r="F510" t="e">
            <v>#N/A</v>
          </cell>
          <cell r="G510" t="e">
            <v>#N/A</v>
          </cell>
          <cell r="H510" t="e">
            <v>#N/A</v>
          </cell>
          <cell r="I510" t="e">
            <v>#N/A</v>
          </cell>
          <cell r="J510" t="e">
            <v>#N/A</v>
          </cell>
          <cell r="K510" t="e">
            <v>#N/A</v>
          </cell>
          <cell r="L510" t="e">
            <v>#N/A</v>
          </cell>
          <cell r="M510" t="e">
            <v>#N/A</v>
          </cell>
          <cell r="N510" t="e">
            <v>#N/A</v>
          </cell>
          <cell r="O510" t="e">
            <v>#N/A</v>
          </cell>
          <cell r="P510">
            <v>56.379989999999999</v>
          </cell>
          <cell r="Q510">
            <v>1.8898820000000001</v>
          </cell>
          <cell r="R510" t="e">
            <v>#N/A</v>
          </cell>
        </row>
        <row r="511">
          <cell r="A511">
            <v>40890</v>
          </cell>
          <cell r="B511">
            <v>40890</v>
          </cell>
          <cell r="C511" t="str">
            <v>Past</v>
          </cell>
          <cell r="D511">
            <v>55.329987000000003</v>
          </cell>
          <cell r="E511" t="e">
            <v>#N/A</v>
          </cell>
          <cell r="F511" t="e">
            <v>#N/A</v>
          </cell>
          <cell r="G511" t="e">
            <v>#N/A</v>
          </cell>
          <cell r="H511" t="e">
            <v>#N/A</v>
          </cell>
          <cell r="I511" t="e">
            <v>#N/A</v>
          </cell>
          <cell r="J511" t="e">
            <v>#N/A</v>
          </cell>
          <cell r="K511" t="e">
            <v>#N/A</v>
          </cell>
          <cell r="L511" t="e">
            <v>#N/A</v>
          </cell>
          <cell r="M511" t="e">
            <v>#N/A</v>
          </cell>
          <cell r="N511" t="e">
            <v>#N/A</v>
          </cell>
          <cell r="O511" t="e">
            <v>#N/A</v>
          </cell>
          <cell r="P511">
            <v>55.329987000000003</v>
          </cell>
          <cell r="Q511">
            <v>5.0525589999999996</v>
          </cell>
          <cell r="R511" t="e">
            <v>#N/A</v>
          </cell>
        </row>
        <row r="512">
          <cell r="A512">
            <v>40891</v>
          </cell>
          <cell r="B512">
            <v>40891</v>
          </cell>
          <cell r="C512" t="str">
            <v>Past</v>
          </cell>
          <cell r="D512">
            <v>54.829987000000003</v>
          </cell>
          <cell r="E512" t="e">
            <v>#N/A</v>
          </cell>
          <cell r="F512" t="e">
            <v>#N/A</v>
          </cell>
          <cell r="G512" t="e">
            <v>#N/A</v>
          </cell>
          <cell r="H512" t="e">
            <v>#N/A</v>
          </cell>
          <cell r="I512" t="e">
            <v>#N/A</v>
          </cell>
          <cell r="J512" t="e">
            <v>#N/A</v>
          </cell>
          <cell r="K512" t="e">
            <v>#N/A</v>
          </cell>
          <cell r="L512" t="e">
            <v>#N/A</v>
          </cell>
          <cell r="M512" t="e">
            <v>#N/A</v>
          </cell>
          <cell r="N512" t="e">
            <v>#N/A</v>
          </cell>
          <cell r="O512" t="e">
            <v>#N/A</v>
          </cell>
          <cell r="P512">
            <v>54.829987000000003</v>
          </cell>
          <cell r="Q512">
            <v>2.4238279999999999</v>
          </cell>
          <cell r="R512" t="e">
            <v>#N/A</v>
          </cell>
        </row>
        <row r="513">
          <cell r="A513">
            <v>40892</v>
          </cell>
          <cell r="B513">
            <v>40892</v>
          </cell>
          <cell r="C513" t="str">
            <v>Past</v>
          </cell>
          <cell r="D513">
            <v>54.679993000000003</v>
          </cell>
          <cell r="E513" t="e">
            <v>#N/A</v>
          </cell>
          <cell r="F513" t="e">
            <v>#N/A</v>
          </cell>
          <cell r="G513" t="e">
            <v>#N/A</v>
          </cell>
          <cell r="H513" t="e">
            <v>#N/A</v>
          </cell>
          <cell r="I513" t="e">
            <v>#N/A</v>
          </cell>
          <cell r="J513" t="e">
            <v>#N/A</v>
          </cell>
          <cell r="K513" t="e">
            <v>#N/A</v>
          </cell>
          <cell r="L513" t="e">
            <v>#N/A</v>
          </cell>
          <cell r="M513" t="e">
            <v>#N/A</v>
          </cell>
          <cell r="N513" t="e">
            <v>#N/A</v>
          </cell>
          <cell r="O513" t="e">
            <v>#N/A</v>
          </cell>
          <cell r="P513">
            <v>54.679993000000003</v>
          </cell>
          <cell r="Q513">
            <v>2.4231020000000001</v>
          </cell>
          <cell r="R513" t="e">
            <v>#N/A</v>
          </cell>
        </row>
        <row r="514">
          <cell r="A514">
            <v>40893</v>
          </cell>
          <cell r="B514">
            <v>40893</v>
          </cell>
          <cell r="C514" t="str">
            <v>Past</v>
          </cell>
          <cell r="D514">
            <v>54.629989999999999</v>
          </cell>
          <cell r="E514" t="e">
            <v>#N/A</v>
          </cell>
          <cell r="F514" t="e">
            <v>#N/A</v>
          </cell>
          <cell r="G514" t="e">
            <v>#N/A</v>
          </cell>
          <cell r="H514" t="e">
            <v>#N/A</v>
          </cell>
          <cell r="I514" t="e">
            <v>#N/A</v>
          </cell>
          <cell r="J514" t="e">
            <v>#N/A</v>
          </cell>
          <cell r="K514" t="e">
            <v>#N/A</v>
          </cell>
          <cell r="L514" t="e">
            <v>#N/A</v>
          </cell>
          <cell r="M514" t="e">
            <v>#N/A</v>
          </cell>
          <cell r="N514" t="e">
            <v>#N/A</v>
          </cell>
          <cell r="O514" t="e">
            <v>#N/A</v>
          </cell>
          <cell r="P514">
            <v>54.629989999999999</v>
          </cell>
          <cell r="Q514">
            <v>3.5367329999999999</v>
          </cell>
          <cell r="R514" t="e">
            <v>#N/A</v>
          </cell>
        </row>
        <row r="515">
          <cell r="A515">
            <v>40896</v>
          </cell>
          <cell r="B515">
            <v>40896</v>
          </cell>
          <cell r="C515" t="str">
            <v>Past</v>
          </cell>
          <cell r="D515">
            <v>54.409989000000003</v>
          </cell>
          <cell r="E515" t="e">
            <v>#N/A</v>
          </cell>
          <cell r="F515" t="e">
            <v>#N/A</v>
          </cell>
          <cell r="G515" t="e">
            <v>#N/A</v>
          </cell>
          <cell r="H515" t="e">
            <v>#N/A</v>
          </cell>
          <cell r="I515" t="e">
            <v>#N/A</v>
          </cell>
          <cell r="J515" t="e">
            <v>#N/A</v>
          </cell>
          <cell r="K515" t="e">
            <v>#N/A</v>
          </cell>
          <cell r="L515" t="e">
            <v>#N/A</v>
          </cell>
          <cell r="M515" t="e">
            <v>#N/A</v>
          </cell>
          <cell r="N515" t="e">
            <v>#N/A</v>
          </cell>
          <cell r="O515" t="e">
            <v>#N/A</v>
          </cell>
          <cell r="P515">
            <v>54.409989000000003</v>
          </cell>
          <cell r="Q515">
            <v>1.150166</v>
          </cell>
          <cell r="R515" t="e">
            <v>#N/A</v>
          </cell>
        </row>
        <row r="516">
          <cell r="A516">
            <v>40897</v>
          </cell>
          <cell r="B516">
            <v>40897</v>
          </cell>
          <cell r="C516" t="str">
            <v>Past</v>
          </cell>
          <cell r="D516">
            <v>55.559998</v>
          </cell>
          <cell r="E516" t="e">
            <v>#N/A</v>
          </cell>
          <cell r="F516" t="e">
            <v>#N/A</v>
          </cell>
          <cell r="G516" t="e">
            <v>#N/A</v>
          </cell>
          <cell r="H516" t="e">
            <v>#N/A</v>
          </cell>
          <cell r="I516" t="e">
            <v>#N/A</v>
          </cell>
          <cell r="J516" t="e">
            <v>#N/A</v>
          </cell>
          <cell r="K516" t="e">
            <v>#N/A</v>
          </cell>
          <cell r="L516" t="e">
            <v>#N/A</v>
          </cell>
          <cell r="M516" t="e">
            <v>#N/A</v>
          </cell>
          <cell r="N516" t="e">
            <v>#N/A</v>
          </cell>
          <cell r="O516" t="e">
            <v>#N/A</v>
          </cell>
          <cell r="P516">
            <v>55.559998</v>
          </cell>
          <cell r="Q516">
            <v>3.2585090000000001</v>
          </cell>
          <cell r="R516" t="e">
            <v>#N/A</v>
          </cell>
        </row>
        <row r="517">
          <cell r="A517">
            <v>40898</v>
          </cell>
          <cell r="B517">
            <v>40898</v>
          </cell>
          <cell r="C517" t="str">
            <v>Past</v>
          </cell>
          <cell r="D517">
            <v>55.629989999999999</v>
          </cell>
          <cell r="E517" t="e">
            <v>#N/A</v>
          </cell>
          <cell r="F517" t="e">
            <v>#N/A</v>
          </cell>
          <cell r="G517" t="e">
            <v>#N/A</v>
          </cell>
          <cell r="H517" t="e">
            <v>#N/A</v>
          </cell>
          <cell r="I517" t="e">
            <v>#N/A</v>
          </cell>
          <cell r="J517" t="e">
            <v>#N/A</v>
          </cell>
          <cell r="K517" t="e">
            <v>#N/A</v>
          </cell>
          <cell r="L517" t="e">
            <v>#N/A</v>
          </cell>
          <cell r="M517" t="e">
            <v>#N/A</v>
          </cell>
          <cell r="N517" t="e">
            <v>#N/A</v>
          </cell>
          <cell r="O517" t="e">
            <v>#N/A</v>
          </cell>
          <cell r="P517">
            <v>55.629989999999999</v>
          </cell>
          <cell r="Q517">
            <v>1.9369449999999999</v>
          </cell>
          <cell r="R517" t="e">
            <v>#N/A</v>
          </cell>
        </row>
        <row r="518">
          <cell r="A518">
            <v>40899</v>
          </cell>
          <cell r="B518">
            <v>40899</v>
          </cell>
          <cell r="C518" t="str">
            <v>Past</v>
          </cell>
          <cell r="D518">
            <v>56.51999</v>
          </cell>
          <cell r="E518" t="e">
            <v>#N/A</v>
          </cell>
          <cell r="F518" t="e">
            <v>#N/A</v>
          </cell>
          <cell r="G518" t="e">
            <v>#N/A</v>
          </cell>
          <cell r="H518" t="e">
            <v>#N/A</v>
          </cell>
          <cell r="I518" t="e">
            <v>#N/A</v>
          </cell>
          <cell r="J518" t="e">
            <v>#N/A</v>
          </cell>
          <cell r="K518" t="e">
            <v>#N/A</v>
          </cell>
          <cell r="L518" t="e">
            <v>#N/A</v>
          </cell>
          <cell r="M518" t="e">
            <v>#N/A</v>
          </cell>
          <cell r="N518" t="e">
            <v>#N/A</v>
          </cell>
          <cell r="O518" t="e">
            <v>#N/A</v>
          </cell>
          <cell r="P518">
            <v>56.51999</v>
          </cell>
          <cell r="Q518">
            <v>1.4591270000000001</v>
          </cell>
          <cell r="R518" t="e">
            <v>#N/A</v>
          </cell>
        </row>
        <row r="519">
          <cell r="A519">
            <v>40900</v>
          </cell>
          <cell r="B519">
            <v>40900</v>
          </cell>
          <cell r="C519" t="str">
            <v>Past</v>
          </cell>
          <cell r="D519">
            <v>56.099991000000003</v>
          </cell>
          <cell r="E519" t="e">
            <v>#N/A</v>
          </cell>
          <cell r="F519" t="e">
            <v>#N/A</v>
          </cell>
          <cell r="G519" t="e">
            <v>#N/A</v>
          </cell>
          <cell r="H519" t="e">
            <v>#N/A</v>
          </cell>
          <cell r="I519" t="e">
            <v>#N/A</v>
          </cell>
          <cell r="J519" t="e">
            <v>#N/A</v>
          </cell>
          <cell r="K519" t="e">
            <v>#N/A</v>
          </cell>
          <cell r="L519" t="e">
            <v>#N/A</v>
          </cell>
          <cell r="M519" t="e">
            <v>#N/A</v>
          </cell>
          <cell r="N519" t="e">
            <v>#N/A</v>
          </cell>
          <cell r="O519" t="e">
            <v>#N/A</v>
          </cell>
          <cell r="P519">
            <v>56.099991000000003</v>
          </cell>
          <cell r="Q519">
            <v>1.5811679999999999</v>
          </cell>
          <cell r="R519" t="e">
            <v>#N/A</v>
          </cell>
        </row>
        <row r="520">
          <cell r="A520">
            <v>40904</v>
          </cell>
          <cell r="B520">
            <v>40904</v>
          </cell>
          <cell r="C520" t="str">
            <v>Past</v>
          </cell>
          <cell r="D520">
            <v>55.859985999999999</v>
          </cell>
          <cell r="E520" t="e">
            <v>#N/A</v>
          </cell>
          <cell r="F520" t="e">
            <v>#N/A</v>
          </cell>
          <cell r="G520" t="e">
            <v>#N/A</v>
          </cell>
          <cell r="H520" t="e">
            <v>#N/A</v>
          </cell>
          <cell r="I520" t="e">
            <v>#N/A</v>
          </cell>
          <cell r="J520" t="e">
            <v>#N/A</v>
          </cell>
          <cell r="K520" t="e">
            <v>#N/A</v>
          </cell>
          <cell r="L520" t="e">
            <v>#N/A</v>
          </cell>
          <cell r="M520" t="e">
            <v>#N/A</v>
          </cell>
          <cell r="N520" t="e">
            <v>#N/A</v>
          </cell>
          <cell r="O520" t="e">
            <v>#N/A</v>
          </cell>
          <cell r="P520">
            <v>55.859985999999999</v>
          </cell>
          <cell r="Q520">
            <v>0.96979300000000002</v>
          </cell>
          <cell r="R520" t="e">
            <v>#N/A</v>
          </cell>
        </row>
        <row r="521">
          <cell r="A521">
            <v>40905</v>
          </cell>
          <cell r="B521">
            <v>40905</v>
          </cell>
          <cell r="C521" t="str">
            <v>Past</v>
          </cell>
          <cell r="D521">
            <v>54.969985999999999</v>
          </cell>
          <cell r="E521" t="e">
            <v>#N/A</v>
          </cell>
          <cell r="F521" t="e">
            <v>#N/A</v>
          </cell>
          <cell r="G521" t="e">
            <v>#N/A</v>
          </cell>
          <cell r="H521" t="e">
            <v>#N/A</v>
          </cell>
          <cell r="I521" t="e">
            <v>#N/A</v>
          </cell>
          <cell r="J521" t="e">
            <v>#N/A</v>
          </cell>
          <cell r="K521" t="e">
            <v>#N/A</v>
          </cell>
          <cell r="L521" t="e">
            <v>#N/A</v>
          </cell>
          <cell r="M521" t="e">
            <v>#N/A</v>
          </cell>
          <cell r="N521" t="e">
            <v>#N/A</v>
          </cell>
          <cell r="O521" t="e">
            <v>#N/A</v>
          </cell>
          <cell r="P521">
            <v>54.969985999999999</v>
          </cell>
          <cell r="Q521">
            <v>1.7833600000000001</v>
          </cell>
          <cell r="R521" t="e">
            <v>#N/A</v>
          </cell>
        </row>
        <row r="522">
          <cell r="A522">
            <v>40906</v>
          </cell>
          <cell r="B522">
            <v>40906</v>
          </cell>
          <cell r="C522" t="str">
            <v>Past</v>
          </cell>
          <cell r="D522">
            <v>55.429993000000003</v>
          </cell>
          <cell r="E522" t="e">
            <v>#N/A</v>
          </cell>
          <cell r="F522" t="e">
            <v>#N/A</v>
          </cell>
          <cell r="G522" t="e">
            <v>#N/A</v>
          </cell>
          <cell r="H522" t="e">
            <v>#N/A</v>
          </cell>
          <cell r="I522" t="e">
            <v>#N/A</v>
          </cell>
          <cell r="J522" t="e">
            <v>#N/A</v>
          </cell>
          <cell r="K522" t="e">
            <v>#N/A</v>
          </cell>
          <cell r="L522" t="e">
            <v>#N/A</v>
          </cell>
          <cell r="M522" t="e">
            <v>#N/A</v>
          </cell>
          <cell r="N522" t="e">
            <v>#N/A</v>
          </cell>
          <cell r="O522" t="e">
            <v>#N/A</v>
          </cell>
          <cell r="P522">
            <v>55.429993000000003</v>
          </cell>
          <cell r="Q522">
            <v>2.00421</v>
          </cell>
          <cell r="R522" t="e">
            <v>#N/A</v>
          </cell>
        </row>
        <row r="523">
          <cell r="A523">
            <v>40907</v>
          </cell>
          <cell r="B523">
            <v>40907</v>
          </cell>
          <cell r="C523" t="str">
            <v>Past</v>
          </cell>
          <cell r="D523">
            <v>55.899994</v>
          </cell>
          <cell r="E523" t="e">
            <v>#N/A</v>
          </cell>
          <cell r="F523" t="e">
            <v>#N/A</v>
          </cell>
          <cell r="G523" t="e">
            <v>#N/A</v>
          </cell>
          <cell r="H523" t="e">
            <v>#N/A</v>
          </cell>
          <cell r="I523" t="e">
            <v>#N/A</v>
          </cell>
          <cell r="J523" t="e">
            <v>#N/A</v>
          </cell>
          <cell r="K523" t="e">
            <v>#N/A</v>
          </cell>
          <cell r="L523" t="e">
            <v>#N/A</v>
          </cell>
          <cell r="M523" t="e">
            <v>#N/A</v>
          </cell>
          <cell r="N523" t="e">
            <v>#N/A</v>
          </cell>
          <cell r="O523" t="e">
            <v>#N/A</v>
          </cell>
          <cell r="P523">
            <v>55.899994</v>
          </cell>
          <cell r="Q523">
            <v>1.6307309999999999</v>
          </cell>
          <cell r="R523" t="e">
            <v>#N/A</v>
          </cell>
        </row>
        <row r="524">
          <cell r="A524">
            <v>40911</v>
          </cell>
          <cell r="B524">
            <v>40911</v>
          </cell>
          <cell r="C524" t="str">
            <v>Past</v>
          </cell>
          <cell r="D524">
            <v>58.029998999999997</v>
          </cell>
          <cell r="E524" t="e">
            <v>#N/A</v>
          </cell>
          <cell r="F524" t="e">
            <v>#N/A</v>
          </cell>
          <cell r="G524" t="e">
            <v>#N/A</v>
          </cell>
          <cell r="H524" t="e">
            <v>#N/A</v>
          </cell>
          <cell r="I524" t="e">
            <v>#N/A</v>
          </cell>
          <cell r="J524" t="e">
            <v>#N/A</v>
          </cell>
          <cell r="K524" t="e">
            <v>#N/A</v>
          </cell>
          <cell r="L524" t="e">
            <v>#N/A</v>
          </cell>
          <cell r="M524" t="e">
            <v>#N/A</v>
          </cell>
          <cell r="N524" t="e">
            <v>#N/A</v>
          </cell>
          <cell r="O524" t="e">
            <v>#N/A</v>
          </cell>
          <cell r="P524">
            <v>58.029998999999997</v>
          </cell>
          <cell r="Q524">
            <v>3.5159919999999998</v>
          </cell>
          <cell r="R524" t="e">
            <v>#N/A</v>
          </cell>
        </row>
        <row r="525">
          <cell r="A525">
            <v>40912</v>
          </cell>
          <cell r="B525">
            <v>40912</v>
          </cell>
          <cell r="C525" t="str">
            <v>Past</v>
          </cell>
          <cell r="D525">
            <v>58.989991000000003</v>
          </cell>
          <cell r="E525" t="e">
            <v>#N/A</v>
          </cell>
          <cell r="F525" t="e">
            <v>#N/A</v>
          </cell>
          <cell r="G525" t="e">
            <v>#N/A</v>
          </cell>
          <cell r="H525" t="e">
            <v>#N/A</v>
          </cell>
          <cell r="I525" t="e">
            <v>#N/A</v>
          </cell>
          <cell r="J525" t="e">
            <v>#N/A</v>
          </cell>
          <cell r="K525" t="e">
            <v>#N/A</v>
          </cell>
          <cell r="L525" t="e">
            <v>#N/A</v>
          </cell>
          <cell r="M525" t="e">
            <v>#N/A</v>
          </cell>
          <cell r="N525" t="e">
            <v>#N/A</v>
          </cell>
          <cell r="O525" t="e">
            <v>#N/A</v>
          </cell>
          <cell r="P525">
            <v>58.989991000000003</v>
          </cell>
          <cell r="Q525">
            <v>3.6409069999999999</v>
          </cell>
          <cell r="R525" t="e">
            <v>#N/A</v>
          </cell>
        </row>
        <row r="526">
          <cell r="A526">
            <v>40913</v>
          </cell>
          <cell r="B526">
            <v>40913</v>
          </cell>
          <cell r="C526" t="str">
            <v>Past</v>
          </cell>
          <cell r="D526">
            <v>59.959992</v>
          </cell>
          <cell r="E526" t="e">
            <v>#N/A</v>
          </cell>
          <cell r="F526" t="e">
            <v>#N/A</v>
          </cell>
          <cell r="G526" t="e">
            <v>#N/A</v>
          </cell>
          <cell r="H526" t="e">
            <v>#N/A</v>
          </cell>
          <cell r="I526" t="e">
            <v>#N/A</v>
          </cell>
          <cell r="J526" t="e">
            <v>#N/A</v>
          </cell>
          <cell r="K526" t="e">
            <v>#N/A</v>
          </cell>
          <cell r="L526" t="e">
            <v>#N/A</v>
          </cell>
          <cell r="M526" t="e">
            <v>#N/A</v>
          </cell>
          <cell r="N526" t="e">
            <v>#N/A</v>
          </cell>
          <cell r="O526" t="e">
            <v>#N/A</v>
          </cell>
          <cell r="P526">
            <v>59.959992</v>
          </cell>
          <cell r="Q526">
            <v>4.986313</v>
          </cell>
          <cell r="R526" t="e">
            <v>#N/A</v>
          </cell>
        </row>
        <row r="527">
          <cell r="A527">
            <v>40914</v>
          </cell>
          <cell r="B527">
            <v>40914</v>
          </cell>
          <cell r="C527" t="str">
            <v>Past</v>
          </cell>
          <cell r="D527">
            <v>60.829987000000003</v>
          </cell>
          <cell r="E527" t="e">
            <v>#N/A</v>
          </cell>
          <cell r="F527" t="e">
            <v>#N/A</v>
          </cell>
          <cell r="G527" t="e">
            <v>#N/A</v>
          </cell>
          <cell r="H527" t="e">
            <v>#N/A</v>
          </cell>
          <cell r="I527" t="e">
            <v>#N/A</v>
          </cell>
          <cell r="J527" t="e">
            <v>#N/A</v>
          </cell>
          <cell r="K527" t="e">
            <v>#N/A</v>
          </cell>
          <cell r="L527" t="e">
            <v>#N/A</v>
          </cell>
          <cell r="M527" t="e">
            <v>#N/A</v>
          </cell>
          <cell r="N527" t="e">
            <v>#N/A</v>
          </cell>
          <cell r="O527" t="e">
            <v>#N/A</v>
          </cell>
          <cell r="P527">
            <v>60.829987000000003</v>
          </cell>
          <cell r="Q527">
            <v>4.84884</v>
          </cell>
          <cell r="R527" t="e">
            <v>#N/A</v>
          </cell>
        </row>
        <row r="528">
          <cell r="A528">
            <v>40917</v>
          </cell>
          <cell r="B528">
            <v>40917</v>
          </cell>
          <cell r="C528" t="str">
            <v>Past</v>
          </cell>
          <cell r="D528">
            <v>61.64</v>
          </cell>
          <cell r="E528" t="e">
            <v>#N/A</v>
          </cell>
          <cell r="F528" t="e">
            <v>#N/A</v>
          </cell>
          <cell r="G528" t="e">
            <v>#N/A</v>
          </cell>
          <cell r="H528" t="e">
            <v>#N/A</v>
          </cell>
          <cell r="I528" t="e">
            <v>#N/A</v>
          </cell>
          <cell r="J528" t="e">
            <v>#N/A</v>
          </cell>
          <cell r="K528" t="e">
            <v>#N/A</v>
          </cell>
          <cell r="L528" t="e">
            <v>#N/A</v>
          </cell>
          <cell r="M528" t="e">
            <v>#N/A</v>
          </cell>
          <cell r="N528" t="e">
            <v>#N/A</v>
          </cell>
          <cell r="O528" t="e">
            <v>#N/A</v>
          </cell>
          <cell r="P528">
            <v>61.64</v>
          </cell>
          <cell r="Q528">
            <v>3.7339329999999999</v>
          </cell>
          <cell r="R528" t="e">
            <v>#N/A</v>
          </cell>
        </row>
        <row r="529">
          <cell r="A529">
            <v>40918</v>
          </cell>
          <cell r="B529">
            <v>40918</v>
          </cell>
          <cell r="C529" t="str">
            <v>Past</v>
          </cell>
          <cell r="D529">
            <v>61.39</v>
          </cell>
          <cell r="E529" t="e">
            <v>#N/A</v>
          </cell>
          <cell r="F529" t="e">
            <v>#N/A</v>
          </cell>
          <cell r="G529" t="e">
            <v>#N/A</v>
          </cell>
          <cell r="H529" t="e">
            <v>#N/A</v>
          </cell>
          <cell r="I529" t="e">
            <v>#N/A</v>
          </cell>
          <cell r="J529" t="e">
            <v>#N/A</v>
          </cell>
          <cell r="K529" t="e">
            <v>#N/A</v>
          </cell>
          <cell r="L529" t="e">
            <v>#N/A</v>
          </cell>
          <cell r="M529" t="e">
            <v>#N/A</v>
          </cell>
          <cell r="N529" t="e">
            <v>#N/A</v>
          </cell>
          <cell r="O529" t="e">
            <v>#N/A</v>
          </cell>
          <cell r="P529">
            <v>61.39</v>
          </cell>
          <cell r="Q529">
            <v>5.698016</v>
          </cell>
          <cell r="R529" t="e">
            <v>#N/A</v>
          </cell>
        </row>
        <row r="530">
          <cell r="A530">
            <v>40919</v>
          </cell>
          <cell r="B530">
            <v>40919</v>
          </cell>
          <cell r="C530" t="str">
            <v>Past</v>
          </cell>
          <cell r="D530">
            <v>61.309998</v>
          </cell>
          <cell r="E530" t="e">
            <v>#N/A</v>
          </cell>
          <cell r="F530" t="e">
            <v>#N/A</v>
          </cell>
          <cell r="G530" t="e">
            <v>#N/A</v>
          </cell>
          <cell r="H530" t="e">
            <v>#N/A</v>
          </cell>
          <cell r="I530" t="e">
            <v>#N/A</v>
          </cell>
          <cell r="J530" t="e">
            <v>#N/A</v>
          </cell>
          <cell r="K530" t="e">
            <v>#N/A</v>
          </cell>
          <cell r="L530" t="e">
            <v>#N/A</v>
          </cell>
          <cell r="M530" t="e">
            <v>#N/A</v>
          </cell>
          <cell r="N530" t="e">
            <v>#N/A</v>
          </cell>
          <cell r="O530" t="e">
            <v>#N/A</v>
          </cell>
          <cell r="P530">
            <v>61.309998</v>
          </cell>
          <cell r="Q530">
            <v>3.320878</v>
          </cell>
          <cell r="R530" t="e">
            <v>#N/A</v>
          </cell>
        </row>
        <row r="531">
          <cell r="A531">
            <v>40920</v>
          </cell>
          <cell r="B531">
            <v>40920</v>
          </cell>
          <cell r="C531" t="str">
            <v>Past</v>
          </cell>
          <cell r="D531">
            <v>60.25</v>
          </cell>
          <cell r="E531" t="e">
            <v>#N/A</v>
          </cell>
          <cell r="F531" t="e">
            <v>#N/A</v>
          </cell>
          <cell r="G531" t="e">
            <v>#N/A</v>
          </cell>
          <cell r="H531" t="e">
            <v>#N/A</v>
          </cell>
          <cell r="I531" t="e">
            <v>#N/A</v>
          </cell>
          <cell r="J531" t="e">
            <v>#N/A</v>
          </cell>
          <cell r="K531" t="e">
            <v>#N/A</v>
          </cell>
          <cell r="L531" t="e">
            <v>#N/A</v>
          </cell>
          <cell r="M531" t="e">
            <v>#N/A</v>
          </cell>
          <cell r="N531" t="e">
            <v>#N/A</v>
          </cell>
          <cell r="O531" t="e">
            <v>#N/A</v>
          </cell>
          <cell r="P531">
            <v>60.25</v>
          </cell>
          <cell r="Q531">
            <v>6.9979300000000002</v>
          </cell>
          <cell r="R531" t="e">
            <v>#N/A</v>
          </cell>
        </row>
        <row r="532">
          <cell r="A532">
            <v>40921</v>
          </cell>
          <cell r="B532">
            <v>40921</v>
          </cell>
          <cell r="C532" t="str">
            <v>Past</v>
          </cell>
          <cell r="D532">
            <v>60.529998999999997</v>
          </cell>
          <cell r="E532" t="e">
            <v>#N/A</v>
          </cell>
          <cell r="F532" t="e">
            <v>#N/A</v>
          </cell>
          <cell r="G532" t="e">
            <v>#N/A</v>
          </cell>
          <cell r="H532" t="e">
            <v>#N/A</v>
          </cell>
          <cell r="I532" t="e">
            <v>#N/A</v>
          </cell>
          <cell r="J532" t="e">
            <v>#N/A</v>
          </cell>
          <cell r="K532" t="e">
            <v>#N/A</v>
          </cell>
          <cell r="L532" t="e">
            <v>#N/A</v>
          </cell>
          <cell r="M532" t="e">
            <v>#N/A</v>
          </cell>
          <cell r="N532" t="e">
            <v>#N/A</v>
          </cell>
          <cell r="O532" t="e">
            <v>#N/A</v>
          </cell>
          <cell r="P532">
            <v>60.529998999999997</v>
          </cell>
          <cell r="Q532">
            <v>4.2384919999999999</v>
          </cell>
          <cell r="R532" t="e">
            <v>#N/A</v>
          </cell>
        </row>
        <row r="533">
          <cell r="A533">
            <v>40925</v>
          </cell>
          <cell r="B533">
            <v>40925</v>
          </cell>
          <cell r="C533" t="str">
            <v>Past</v>
          </cell>
          <cell r="D533">
            <v>61.549987999999999</v>
          </cell>
          <cell r="E533" t="e">
            <v>#N/A</v>
          </cell>
          <cell r="F533" t="e">
            <v>#N/A</v>
          </cell>
          <cell r="G533" t="e">
            <v>#N/A</v>
          </cell>
          <cell r="H533" t="e">
            <v>#N/A</v>
          </cell>
          <cell r="I533" t="e">
            <v>#N/A</v>
          </cell>
          <cell r="J533" t="e">
            <v>#N/A</v>
          </cell>
          <cell r="K533" t="e">
            <v>#N/A</v>
          </cell>
          <cell r="L533" t="e">
            <v>#N/A</v>
          </cell>
          <cell r="M533" t="e">
            <v>#N/A</v>
          </cell>
          <cell r="N533" t="e">
            <v>#N/A</v>
          </cell>
          <cell r="O533" t="e">
            <v>#N/A</v>
          </cell>
          <cell r="P533">
            <v>61.549987999999999</v>
          </cell>
          <cell r="Q533">
            <v>3.005242</v>
          </cell>
          <cell r="R533" t="e">
            <v>#N/A</v>
          </cell>
        </row>
        <row r="534">
          <cell r="A534">
            <v>40926</v>
          </cell>
          <cell r="B534">
            <v>40926</v>
          </cell>
          <cell r="C534" t="str">
            <v>Past</v>
          </cell>
          <cell r="D534">
            <v>62.449997000000003</v>
          </cell>
          <cell r="E534" t="e">
            <v>#N/A</v>
          </cell>
          <cell r="F534" t="e">
            <v>#N/A</v>
          </cell>
          <cell r="G534" t="e">
            <v>#N/A</v>
          </cell>
          <cell r="H534" t="e">
            <v>#N/A</v>
          </cell>
          <cell r="I534" t="e">
            <v>#N/A</v>
          </cell>
          <cell r="J534" t="e">
            <v>#N/A</v>
          </cell>
          <cell r="K534" t="e">
            <v>#N/A</v>
          </cell>
          <cell r="L534" t="e">
            <v>#N/A</v>
          </cell>
          <cell r="M534" t="e">
            <v>#N/A</v>
          </cell>
          <cell r="N534" t="e">
            <v>#N/A</v>
          </cell>
          <cell r="O534" t="e">
            <v>#N/A</v>
          </cell>
          <cell r="P534">
            <v>62.449997000000003</v>
          </cell>
          <cell r="Q534">
            <v>5.4350779999999999</v>
          </cell>
          <cell r="R534" t="e">
            <v>#N/A</v>
          </cell>
        </row>
        <row r="535">
          <cell r="A535">
            <v>40927</v>
          </cell>
          <cell r="B535">
            <v>40927</v>
          </cell>
          <cell r="C535" t="str">
            <v>Past</v>
          </cell>
          <cell r="D535">
            <v>62</v>
          </cell>
          <cell r="E535" t="e">
            <v>#N/A</v>
          </cell>
          <cell r="F535" t="e">
            <v>#N/A</v>
          </cell>
          <cell r="G535" t="e">
            <v>#N/A</v>
          </cell>
          <cell r="H535" t="e">
            <v>#N/A</v>
          </cell>
          <cell r="I535" t="e">
            <v>#N/A</v>
          </cell>
          <cell r="J535" t="e">
            <v>#N/A</v>
          </cell>
          <cell r="K535" t="e">
            <v>#N/A</v>
          </cell>
          <cell r="L535" t="e">
            <v>#N/A</v>
          </cell>
          <cell r="M535" t="e">
            <v>#N/A</v>
          </cell>
          <cell r="N535" t="e">
            <v>#N/A</v>
          </cell>
          <cell r="O535" t="e">
            <v>#N/A</v>
          </cell>
          <cell r="P535">
            <v>62</v>
          </cell>
          <cell r="Q535">
            <v>4.812945</v>
          </cell>
          <cell r="R535" t="e">
            <v>#N/A</v>
          </cell>
        </row>
        <row r="536">
          <cell r="A536">
            <v>40928</v>
          </cell>
          <cell r="B536">
            <v>40928</v>
          </cell>
          <cell r="C536" t="str">
            <v>Past</v>
          </cell>
          <cell r="D536">
            <v>62.339996999999997</v>
          </cell>
          <cell r="E536" t="e">
            <v>#N/A</v>
          </cell>
          <cell r="F536" t="e">
            <v>#N/A</v>
          </cell>
          <cell r="G536" t="e">
            <v>#N/A</v>
          </cell>
          <cell r="H536" t="e">
            <v>#N/A</v>
          </cell>
          <cell r="I536" t="e">
            <v>#N/A</v>
          </cell>
          <cell r="J536" t="e">
            <v>#N/A</v>
          </cell>
          <cell r="K536" t="e">
            <v>#N/A</v>
          </cell>
          <cell r="L536" t="e">
            <v>#N/A</v>
          </cell>
          <cell r="M536" t="e">
            <v>#N/A</v>
          </cell>
          <cell r="N536" t="e">
            <v>#N/A</v>
          </cell>
          <cell r="O536" t="e">
            <v>#N/A</v>
          </cell>
          <cell r="P536">
            <v>62.339996999999997</v>
          </cell>
          <cell r="Q536">
            <v>6.5449840000000004</v>
          </cell>
          <cell r="R536" t="e">
            <v>#N/A</v>
          </cell>
        </row>
        <row r="537">
          <cell r="A537">
            <v>40931</v>
          </cell>
          <cell r="B537">
            <v>40931</v>
          </cell>
          <cell r="C537" t="str">
            <v>Past</v>
          </cell>
          <cell r="D537">
            <v>62.289994</v>
          </cell>
          <cell r="E537" t="e">
            <v>#N/A</v>
          </cell>
          <cell r="F537" t="e">
            <v>#N/A</v>
          </cell>
          <cell r="G537" t="e">
            <v>#N/A</v>
          </cell>
          <cell r="H537" t="e">
            <v>#N/A</v>
          </cell>
          <cell r="I537" t="e">
            <v>#N/A</v>
          </cell>
          <cell r="J537" t="e">
            <v>#N/A</v>
          </cell>
          <cell r="K537" t="e">
            <v>#N/A</v>
          </cell>
          <cell r="L537" t="e">
            <v>#N/A</v>
          </cell>
          <cell r="M537" t="e">
            <v>#N/A</v>
          </cell>
          <cell r="N537" t="e">
            <v>#N/A</v>
          </cell>
          <cell r="O537" t="e">
            <v>#N/A</v>
          </cell>
          <cell r="P537">
            <v>62.289994</v>
          </cell>
          <cell r="Q537">
            <v>3.5815459999999999</v>
          </cell>
          <cell r="R537" t="e">
            <v>#N/A</v>
          </cell>
        </row>
        <row r="538">
          <cell r="A538">
            <v>40932</v>
          </cell>
          <cell r="B538">
            <v>40932</v>
          </cell>
          <cell r="C538" t="str">
            <v>Past</v>
          </cell>
          <cell r="D538">
            <v>62.009995000000004</v>
          </cell>
          <cell r="E538" t="e">
            <v>#N/A</v>
          </cell>
          <cell r="F538" t="e">
            <v>#N/A</v>
          </cell>
          <cell r="G538" t="e">
            <v>#N/A</v>
          </cell>
          <cell r="H538" t="e">
            <v>#N/A</v>
          </cell>
          <cell r="I538" t="e">
            <v>#N/A</v>
          </cell>
          <cell r="J538" t="e">
            <v>#N/A</v>
          </cell>
          <cell r="K538" t="e">
            <v>#N/A</v>
          </cell>
          <cell r="L538" t="e">
            <v>#N/A</v>
          </cell>
          <cell r="M538" t="e">
            <v>#N/A</v>
          </cell>
          <cell r="N538" t="e">
            <v>#N/A</v>
          </cell>
          <cell r="O538" t="e">
            <v>#N/A</v>
          </cell>
          <cell r="P538">
            <v>62.009995000000004</v>
          </cell>
          <cell r="Q538">
            <v>3.5867589999999998</v>
          </cell>
          <cell r="R538" t="e">
            <v>#N/A</v>
          </cell>
        </row>
        <row r="539">
          <cell r="A539">
            <v>40933</v>
          </cell>
          <cell r="B539">
            <v>40933</v>
          </cell>
          <cell r="C539" t="str">
            <v>Past</v>
          </cell>
          <cell r="D539">
            <v>62.539994</v>
          </cell>
          <cell r="E539" t="e">
            <v>#N/A</v>
          </cell>
          <cell r="F539" t="e">
            <v>#N/A</v>
          </cell>
          <cell r="G539" t="e">
            <v>#N/A</v>
          </cell>
          <cell r="H539" t="e">
            <v>#N/A</v>
          </cell>
          <cell r="I539" t="e">
            <v>#N/A</v>
          </cell>
          <cell r="J539" t="e">
            <v>#N/A</v>
          </cell>
          <cell r="K539" t="e">
            <v>#N/A</v>
          </cell>
          <cell r="L539" t="e">
            <v>#N/A</v>
          </cell>
          <cell r="M539" t="e">
            <v>#N/A</v>
          </cell>
          <cell r="N539" t="e">
            <v>#N/A</v>
          </cell>
          <cell r="O539" t="e">
            <v>#N/A</v>
          </cell>
          <cell r="P539">
            <v>62.539994</v>
          </cell>
          <cell r="Q539">
            <v>3.756678</v>
          </cell>
          <cell r="R539" t="e">
            <v>#N/A</v>
          </cell>
        </row>
        <row r="540">
          <cell r="A540">
            <v>40934</v>
          </cell>
          <cell r="B540">
            <v>40934</v>
          </cell>
          <cell r="C540" t="str">
            <v>Past</v>
          </cell>
          <cell r="D540">
            <v>62.539994</v>
          </cell>
          <cell r="E540" t="e">
            <v>#N/A</v>
          </cell>
          <cell r="F540" t="e">
            <v>#N/A</v>
          </cell>
          <cell r="G540" t="e">
            <v>#N/A</v>
          </cell>
          <cell r="H540" t="e">
            <v>#N/A</v>
          </cell>
          <cell r="I540" t="e">
            <v>#N/A</v>
          </cell>
          <cell r="J540" t="e">
            <v>#N/A</v>
          </cell>
          <cell r="K540" t="e">
            <v>#N/A</v>
          </cell>
          <cell r="L540" t="e">
            <v>#N/A</v>
          </cell>
          <cell r="M540" t="e">
            <v>#N/A</v>
          </cell>
          <cell r="N540" t="e">
            <v>#N/A</v>
          </cell>
          <cell r="O540" t="e">
            <v>#N/A</v>
          </cell>
          <cell r="P540">
            <v>62.539994</v>
          </cell>
          <cell r="Q540">
            <v>2.8415910000000002</v>
          </cell>
          <cell r="R540" t="e">
            <v>#N/A</v>
          </cell>
        </row>
        <row r="541">
          <cell r="A541">
            <v>40935</v>
          </cell>
          <cell r="B541">
            <v>40935</v>
          </cell>
          <cell r="C541" t="str">
            <v>Past</v>
          </cell>
          <cell r="D541">
            <v>62.069992999999997</v>
          </cell>
          <cell r="E541" t="e">
            <v>#N/A</v>
          </cell>
          <cell r="F541" t="e">
            <v>#N/A</v>
          </cell>
          <cell r="G541" t="e">
            <v>#N/A</v>
          </cell>
          <cell r="H541" t="e">
            <v>#N/A</v>
          </cell>
          <cell r="I541" t="e">
            <v>#N/A</v>
          </cell>
          <cell r="J541" t="e">
            <v>#N/A</v>
          </cell>
          <cell r="K541" t="e">
            <v>#N/A</v>
          </cell>
          <cell r="L541" t="e">
            <v>#N/A</v>
          </cell>
          <cell r="M541" t="e">
            <v>#N/A</v>
          </cell>
          <cell r="N541" t="e">
            <v>#N/A</v>
          </cell>
          <cell r="O541" t="e">
            <v>#N/A</v>
          </cell>
          <cell r="P541">
            <v>62.069992999999997</v>
          </cell>
          <cell r="Q541">
            <v>3.6458119999999998</v>
          </cell>
          <cell r="R541" t="e">
            <v>#N/A</v>
          </cell>
        </row>
        <row r="542">
          <cell r="A542">
            <v>40938</v>
          </cell>
          <cell r="B542">
            <v>40938</v>
          </cell>
          <cell r="C542" t="str">
            <v>Past</v>
          </cell>
          <cell r="D542">
            <v>61.669998999999997</v>
          </cell>
          <cell r="E542" t="e">
            <v>#N/A</v>
          </cell>
          <cell r="F542" t="e">
            <v>#N/A</v>
          </cell>
          <cell r="G542" t="e">
            <v>#N/A</v>
          </cell>
          <cell r="H542" t="e">
            <v>#N/A</v>
          </cell>
          <cell r="I542" t="e">
            <v>#N/A</v>
          </cell>
          <cell r="J542" t="e">
            <v>#N/A</v>
          </cell>
          <cell r="K542" t="e">
            <v>#N/A</v>
          </cell>
          <cell r="L542" t="e">
            <v>#N/A</v>
          </cell>
          <cell r="M542" t="e">
            <v>#N/A</v>
          </cell>
          <cell r="N542" t="e">
            <v>#N/A</v>
          </cell>
          <cell r="O542" t="e">
            <v>#N/A</v>
          </cell>
          <cell r="P542">
            <v>61.669998999999997</v>
          </cell>
          <cell r="Q542">
            <v>4.9683989999999998</v>
          </cell>
          <cell r="R542" t="e">
            <v>#N/A</v>
          </cell>
        </row>
        <row r="543">
          <cell r="A543">
            <v>40939</v>
          </cell>
          <cell r="B543">
            <v>40939</v>
          </cell>
          <cell r="C543" t="str">
            <v>Past</v>
          </cell>
          <cell r="D543">
            <v>62.01999</v>
          </cell>
          <cell r="E543" t="e">
            <v>#N/A</v>
          </cell>
          <cell r="F543" t="e">
            <v>#N/A</v>
          </cell>
          <cell r="G543" t="e">
            <v>#N/A</v>
          </cell>
          <cell r="H543" t="e">
            <v>#N/A</v>
          </cell>
          <cell r="I543" t="e">
            <v>#N/A</v>
          </cell>
          <cell r="J543" t="e">
            <v>#N/A</v>
          </cell>
          <cell r="K543" t="e">
            <v>#N/A</v>
          </cell>
          <cell r="L543" t="e">
            <v>#N/A</v>
          </cell>
          <cell r="M543" t="e">
            <v>#N/A</v>
          </cell>
          <cell r="N543" t="e">
            <v>#N/A</v>
          </cell>
          <cell r="O543" t="e">
            <v>#N/A</v>
          </cell>
          <cell r="P543">
            <v>62.01999</v>
          </cell>
          <cell r="Q543">
            <v>2.9209520000000002</v>
          </cell>
          <cell r="R543" t="e">
            <v>#N/A</v>
          </cell>
        </row>
        <row r="544">
          <cell r="A544">
            <v>40940</v>
          </cell>
          <cell r="B544">
            <v>40940</v>
          </cell>
          <cell r="C544" t="str">
            <v>Past</v>
          </cell>
          <cell r="D544">
            <v>62.869996</v>
          </cell>
          <cell r="E544" t="e">
            <v>#N/A</v>
          </cell>
          <cell r="F544" t="e">
            <v>#N/A</v>
          </cell>
          <cell r="G544" t="e">
            <v>#N/A</v>
          </cell>
          <cell r="H544" t="e">
            <v>#N/A</v>
          </cell>
          <cell r="I544" t="e">
            <v>#N/A</v>
          </cell>
          <cell r="J544" t="e">
            <v>#N/A</v>
          </cell>
          <cell r="K544" t="e">
            <v>#N/A</v>
          </cell>
          <cell r="L544" t="e">
            <v>#N/A</v>
          </cell>
          <cell r="M544" t="e">
            <v>#N/A</v>
          </cell>
          <cell r="N544" t="e">
            <v>#N/A</v>
          </cell>
          <cell r="O544" t="e">
            <v>#N/A</v>
          </cell>
          <cell r="P544">
            <v>62.869996</v>
          </cell>
          <cell r="Q544">
            <v>3.1094949999999999</v>
          </cell>
          <cell r="R544" t="e">
            <v>#N/A</v>
          </cell>
        </row>
        <row r="545">
          <cell r="A545">
            <v>40941</v>
          </cell>
          <cell r="B545">
            <v>40941</v>
          </cell>
          <cell r="C545" t="str">
            <v>Past</v>
          </cell>
          <cell r="D545">
            <v>63.119996</v>
          </cell>
          <cell r="E545" t="e">
            <v>#N/A</v>
          </cell>
          <cell r="F545" t="e">
            <v>#N/A</v>
          </cell>
          <cell r="G545" t="e">
            <v>#N/A</v>
          </cell>
          <cell r="H545" t="e">
            <v>#N/A</v>
          </cell>
          <cell r="I545" t="e">
            <v>#N/A</v>
          </cell>
          <cell r="J545" t="e">
            <v>#N/A</v>
          </cell>
          <cell r="K545" t="e">
            <v>#N/A</v>
          </cell>
          <cell r="L545" t="e">
            <v>#N/A</v>
          </cell>
          <cell r="M545" t="e">
            <v>#N/A</v>
          </cell>
          <cell r="N545" t="e">
            <v>#N/A</v>
          </cell>
          <cell r="O545" t="e">
            <v>#N/A</v>
          </cell>
          <cell r="P545">
            <v>63.119996</v>
          </cell>
          <cell r="Q545">
            <v>6.0803010000000004</v>
          </cell>
          <cell r="R545" t="e">
            <v>#N/A</v>
          </cell>
        </row>
        <row r="546">
          <cell r="A546">
            <v>40942</v>
          </cell>
          <cell r="B546">
            <v>40942</v>
          </cell>
          <cell r="C546" t="str">
            <v>Past</v>
          </cell>
          <cell r="D546">
            <v>63.609985999999999</v>
          </cell>
          <cell r="E546" t="e">
            <v>#N/A</v>
          </cell>
          <cell r="F546" t="e">
            <v>#N/A</v>
          </cell>
          <cell r="G546" t="e">
            <v>#N/A</v>
          </cell>
          <cell r="H546" t="e">
            <v>#N/A</v>
          </cell>
          <cell r="I546" t="e">
            <v>#N/A</v>
          </cell>
          <cell r="J546" t="e">
            <v>#N/A</v>
          </cell>
          <cell r="K546" t="e">
            <v>#N/A</v>
          </cell>
          <cell r="L546" t="e">
            <v>#N/A</v>
          </cell>
          <cell r="M546" t="e">
            <v>#N/A</v>
          </cell>
          <cell r="N546" t="e">
            <v>#N/A</v>
          </cell>
          <cell r="O546" t="e">
            <v>#N/A</v>
          </cell>
          <cell r="P546">
            <v>63.609985999999999</v>
          </cell>
          <cell r="Q546">
            <v>6.5267970000000002</v>
          </cell>
          <cell r="R546" t="e">
            <v>#N/A</v>
          </cell>
        </row>
        <row r="547">
          <cell r="A547">
            <v>40945</v>
          </cell>
          <cell r="B547">
            <v>40945</v>
          </cell>
          <cell r="C547" t="str">
            <v>Past</v>
          </cell>
          <cell r="D547">
            <v>58.469985999999999</v>
          </cell>
          <cell r="E547" t="e">
            <v>#N/A</v>
          </cell>
          <cell r="F547" t="e">
            <v>#N/A</v>
          </cell>
          <cell r="G547" t="e">
            <v>#N/A</v>
          </cell>
          <cell r="H547" t="e">
            <v>#N/A</v>
          </cell>
          <cell r="I547" t="e">
            <v>#N/A</v>
          </cell>
          <cell r="J547" t="e">
            <v>#N/A</v>
          </cell>
          <cell r="K547" t="e">
            <v>#N/A</v>
          </cell>
          <cell r="L547" t="e">
            <v>#N/A</v>
          </cell>
          <cell r="M547" t="e">
            <v>#N/A</v>
          </cell>
          <cell r="N547" t="e">
            <v>#N/A</v>
          </cell>
          <cell r="O547" t="e">
            <v>#N/A</v>
          </cell>
          <cell r="P547">
            <v>58.469985999999999</v>
          </cell>
          <cell r="Q547">
            <v>23.064399000000002</v>
          </cell>
          <cell r="R547" t="e">
            <v>#N/A</v>
          </cell>
        </row>
        <row r="548">
          <cell r="A548">
            <v>40946</v>
          </cell>
          <cell r="B548">
            <v>40946</v>
          </cell>
          <cell r="C548" t="str">
            <v>Past</v>
          </cell>
          <cell r="D548">
            <v>60.619996</v>
          </cell>
          <cell r="E548" t="e">
            <v>#N/A</v>
          </cell>
          <cell r="F548" t="e">
            <v>#N/A</v>
          </cell>
          <cell r="G548" t="e">
            <v>#N/A</v>
          </cell>
          <cell r="H548" t="e">
            <v>#N/A</v>
          </cell>
          <cell r="I548" t="e">
            <v>#N/A</v>
          </cell>
          <cell r="J548" t="e">
            <v>#N/A</v>
          </cell>
          <cell r="K548" t="e">
            <v>#N/A</v>
          </cell>
          <cell r="L548" t="e">
            <v>#N/A</v>
          </cell>
          <cell r="M548" t="e">
            <v>#N/A</v>
          </cell>
          <cell r="N548" t="e">
            <v>#N/A</v>
          </cell>
          <cell r="O548" t="e">
            <v>#N/A</v>
          </cell>
          <cell r="P548">
            <v>60.619996</v>
          </cell>
          <cell r="Q548">
            <v>9.4442850000000007</v>
          </cell>
          <cell r="R548" t="e">
            <v>#N/A</v>
          </cell>
        </row>
        <row r="549">
          <cell r="A549">
            <v>40947</v>
          </cell>
          <cell r="B549">
            <v>40947</v>
          </cell>
          <cell r="C549" t="str">
            <v>Past</v>
          </cell>
          <cell r="D549">
            <v>60.819992999999997</v>
          </cell>
          <cell r="E549" t="e">
            <v>#N/A</v>
          </cell>
          <cell r="F549" t="e">
            <v>#N/A</v>
          </cell>
          <cell r="G549" t="e">
            <v>#N/A</v>
          </cell>
          <cell r="H549" t="e">
            <v>#N/A</v>
          </cell>
          <cell r="I549" t="e">
            <v>#N/A</v>
          </cell>
          <cell r="J549" t="e">
            <v>#N/A</v>
          </cell>
          <cell r="K549" t="e">
            <v>#N/A</v>
          </cell>
          <cell r="L549" t="e">
            <v>#N/A</v>
          </cell>
          <cell r="M549" t="e">
            <v>#N/A</v>
          </cell>
          <cell r="N549" t="e">
            <v>#N/A</v>
          </cell>
          <cell r="O549" t="e">
            <v>#N/A</v>
          </cell>
          <cell r="P549">
            <v>60.819992999999997</v>
          </cell>
          <cell r="Q549">
            <v>4.409516</v>
          </cell>
          <cell r="R549" t="e">
            <v>#N/A</v>
          </cell>
        </row>
        <row r="550">
          <cell r="A550">
            <v>40948</v>
          </cell>
          <cell r="B550">
            <v>40948</v>
          </cell>
          <cell r="C550" t="str">
            <v>Past</v>
          </cell>
          <cell r="D550">
            <v>60.489991000000003</v>
          </cell>
          <cell r="E550" t="e">
            <v>#N/A</v>
          </cell>
          <cell r="F550" t="e">
            <v>#N/A</v>
          </cell>
          <cell r="G550" t="e">
            <v>#N/A</v>
          </cell>
          <cell r="H550" t="e">
            <v>#N/A</v>
          </cell>
          <cell r="I550" t="e">
            <v>#N/A</v>
          </cell>
          <cell r="J550" t="e">
            <v>#N/A</v>
          </cell>
          <cell r="K550" t="e">
            <v>#N/A</v>
          </cell>
          <cell r="L550" t="e">
            <v>#N/A</v>
          </cell>
          <cell r="M550" t="e">
            <v>#N/A</v>
          </cell>
          <cell r="N550" t="e">
            <v>#N/A</v>
          </cell>
          <cell r="O550" t="e">
            <v>#N/A</v>
          </cell>
          <cell r="P550">
            <v>60.489991000000003</v>
          </cell>
          <cell r="Q550">
            <v>2.4689890000000001</v>
          </cell>
          <cell r="R550" t="e">
            <v>#N/A</v>
          </cell>
        </row>
        <row r="551">
          <cell r="A551">
            <v>40949</v>
          </cell>
          <cell r="B551">
            <v>40949</v>
          </cell>
          <cell r="C551" t="str">
            <v>Past</v>
          </cell>
          <cell r="D551">
            <v>60.819992999999997</v>
          </cell>
          <cell r="E551" t="e">
            <v>#N/A</v>
          </cell>
          <cell r="F551" t="e">
            <v>#N/A</v>
          </cell>
          <cell r="G551" t="e">
            <v>#N/A</v>
          </cell>
          <cell r="H551" t="e">
            <v>#N/A</v>
          </cell>
          <cell r="I551" t="e">
            <v>#N/A</v>
          </cell>
          <cell r="J551" t="e">
            <v>#N/A</v>
          </cell>
          <cell r="K551" t="e">
            <v>#N/A</v>
          </cell>
          <cell r="L551" t="e">
            <v>#N/A</v>
          </cell>
          <cell r="M551" t="e">
            <v>#N/A</v>
          </cell>
          <cell r="N551" t="e">
            <v>#N/A</v>
          </cell>
          <cell r="O551" t="e">
            <v>#N/A</v>
          </cell>
          <cell r="P551">
            <v>60.819992999999997</v>
          </cell>
          <cell r="Q551">
            <v>7.4365389999999998</v>
          </cell>
          <cell r="R551" t="e">
            <v>#N/A</v>
          </cell>
        </row>
        <row r="552">
          <cell r="A552">
            <v>40952</v>
          </cell>
          <cell r="B552">
            <v>40952</v>
          </cell>
          <cell r="C552" t="str">
            <v>Past</v>
          </cell>
          <cell r="D552">
            <v>60.939988</v>
          </cell>
          <cell r="E552" t="e">
            <v>#N/A</v>
          </cell>
          <cell r="F552" t="e">
            <v>#N/A</v>
          </cell>
          <cell r="G552" t="e">
            <v>#N/A</v>
          </cell>
          <cell r="H552" t="e">
            <v>#N/A</v>
          </cell>
          <cell r="I552" t="e">
            <v>#N/A</v>
          </cell>
          <cell r="J552" t="e">
            <v>#N/A</v>
          </cell>
          <cell r="K552" t="e">
            <v>#N/A</v>
          </cell>
          <cell r="L552" t="e">
            <v>#N/A</v>
          </cell>
          <cell r="M552" t="e">
            <v>#N/A</v>
          </cell>
          <cell r="N552" t="e">
            <v>#N/A</v>
          </cell>
          <cell r="O552" t="e">
            <v>#N/A</v>
          </cell>
          <cell r="P552">
            <v>60.939988</v>
          </cell>
          <cell r="Q552">
            <v>7.1433200000000001</v>
          </cell>
          <cell r="R552" t="e">
            <v>#N/A</v>
          </cell>
        </row>
        <row r="553">
          <cell r="A553">
            <v>40953</v>
          </cell>
          <cell r="B553">
            <v>40953</v>
          </cell>
          <cell r="C553" t="str">
            <v>Past</v>
          </cell>
          <cell r="D553">
            <v>62.899994</v>
          </cell>
          <cell r="E553" t="e">
            <v>#N/A</v>
          </cell>
          <cell r="F553" t="e">
            <v>#N/A</v>
          </cell>
          <cell r="G553" t="e">
            <v>#N/A</v>
          </cell>
          <cell r="H553" t="e">
            <v>#N/A</v>
          </cell>
          <cell r="I553" t="e">
            <v>#N/A</v>
          </cell>
          <cell r="J553" t="e">
            <v>#N/A</v>
          </cell>
          <cell r="K553" t="e">
            <v>#N/A</v>
          </cell>
          <cell r="L553" t="e">
            <v>#N/A</v>
          </cell>
          <cell r="M553" t="e">
            <v>#N/A</v>
          </cell>
          <cell r="N553" t="e">
            <v>#N/A</v>
          </cell>
          <cell r="O553" t="e">
            <v>#N/A</v>
          </cell>
          <cell r="P553">
            <v>62.899994</v>
          </cell>
          <cell r="Q553">
            <v>8.1793440000000004</v>
          </cell>
          <cell r="R553" t="e">
            <v>#N/A</v>
          </cell>
        </row>
        <row r="554">
          <cell r="A554">
            <v>40954</v>
          </cell>
          <cell r="B554">
            <v>40954</v>
          </cell>
          <cell r="C554" t="str">
            <v>Past</v>
          </cell>
          <cell r="D554">
            <v>63.399994</v>
          </cell>
          <cell r="E554" t="e">
            <v>#N/A</v>
          </cell>
          <cell r="F554" t="e">
            <v>#N/A</v>
          </cell>
          <cell r="G554" t="e">
            <v>#N/A</v>
          </cell>
          <cell r="H554" t="e">
            <v>#N/A</v>
          </cell>
          <cell r="I554" t="e">
            <v>#N/A</v>
          </cell>
          <cell r="J554" t="e">
            <v>#N/A</v>
          </cell>
          <cell r="K554" t="e">
            <v>#N/A</v>
          </cell>
          <cell r="L554" t="e">
            <v>#N/A</v>
          </cell>
          <cell r="M554" t="e">
            <v>#N/A</v>
          </cell>
          <cell r="N554" t="e">
            <v>#N/A</v>
          </cell>
          <cell r="O554" t="e">
            <v>#N/A</v>
          </cell>
          <cell r="P554">
            <v>63.399994</v>
          </cell>
          <cell r="Q554">
            <v>6.4164139999999996</v>
          </cell>
          <cell r="R554" t="e">
            <v>#N/A</v>
          </cell>
        </row>
        <row r="555">
          <cell r="A555">
            <v>40955</v>
          </cell>
          <cell r="B555">
            <v>40955</v>
          </cell>
          <cell r="C555" t="str">
            <v>Past</v>
          </cell>
          <cell r="D555">
            <v>63.739991000000003</v>
          </cell>
          <cell r="E555" t="e">
            <v>#N/A</v>
          </cell>
          <cell r="F555" t="e">
            <v>#N/A</v>
          </cell>
          <cell r="G555" t="e">
            <v>#N/A</v>
          </cell>
          <cell r="H555" t="e">
            <v>#N/A</v>
          </cell>
          <cell r="I555" t="e">
            <v>#N/A</v>
          </cell>
          <cell r="J555" t="e">
            <v>#N/A</v>
          </cell>
          <cell r="K555" t="e">
            <v>#N/A</v>
          </cell>
          <cell r="L555" t="e">
            <v>#N/A</v>
          </cell>
          <cell r="M555" t="e">
            <v>#N/A</v>
          </cell>
          <cell r="N555" t="e">
            <v>#N/A</v>
          </cell>
          <cell r="O555" t="e">
            <v>#N/A</v>
          </cell>
          <cell r="P555">
            <v>63.739991000000003</v>
          </cell>
          <cell r="Q555">
            <v>5.901637</v>
          </cell>
          <cell r="R555" t="e">
            <v>#N/A</v>
          </cell>
        </row>
        <row r="556">
          <cell r="A556">
            <v>40956</v>
          </cell>
          <cell r="B556">
            <v>40956</v>
          </cell>
          <cell r="C556" t="str">
            <v>Past</v>
          </cell>
          <cell r="D556">
            <v>64.009995000000004</v>
          </cell>
          <cell r="E556" t="e">
            <v>#N/A</v>
          </cell>
          <cell r="F556" t="e">
            <v>#N/A</v>
          </cell>
          <cell r="G556" t="e">
            <v>#N/A</v>
          </cell>
          <cell r="H556" t="e">
            <v>#N/A</v>
          </cell>
          <cell r="I556" t="e">
            <v>#N/A</v>
          </cell>
          <cell r="J556" t="e">
            <v>#N/A</v>
          </cell>
          <cell r="K556" t="e">
            <v>#N/A</v>
          </cell>
          <cell r="L556" t="e">
            <v>#N/A</v>
          </cell>
          <cell r="M556" t="e">
            <v>#N/A</v>
          </cell>
          <cell r="N556" t="e">
            <v>#N/A</v>
          </cell>
          <cell r="O556" t="e">
            <v>#N/A</v>
          </cell>
          <cell r="P556">
            <v>64.009995000000004</v>
          </cell>
          <cell r="Q556">
            <v>4.7341839999999999</v>
          </cell>
          <cell r="R556" t="e">
            <v>#N/A</v>
          </cell>
        </row>
        <row r="557">
          <cell r="A557">
            <v>40960</v>
          </cell>
          <cell r="B557">
            <v>40960</v>
          </cell>
          <cell r="C557" t="str">
            <v>Past</v>
          </cell>
          <cell r="D557">
            <v>63.189988</v>
          </cell>
          <cell r="E557" t="e">
            <v>#N/A</v>
          </cell>
          <cell r="F557" t="e">
            <v>#N/A</v>
          </cell>
          <cell r="G557" t="e">
            <v>#N/A</v>
          </cell>
          <cell r="H557" t="e">
            <v>#N/A</v>
          </cell>
          <cell r="I557" t="e">
            <v>#N/A</v>
          </cell>
          <cell r="J557" t="e">
            <v>#N/A</v>
          </cell>
          <cell r="K557" t="e">
            <v>#N/A</v>
          </cell>
          <cell r="L557" t="e">
            <v>#N/A</v>
          </cell>
          <cell r="M557" t="e">
            <v>#N/A</v>
          </cell>
          <cell r="N557" t="e">
            <v>#N/A</v>
          </cell>
          <cell r="O557" t="e">
            <v>#N/A</v>
          </cell>
          <cell r="P557">
            <v>63.189988</v>
          </cell>
          <cell r="Q557">
            <v>5.9928239999999997</v>
          </cell>
          <cell r="R557" t="e">
            <v>#N/A</v>
          </cell>
        </row>
        <row r="558">
          <cell r="A558">
            <v>40961</v>
          </cell>
          <cell r="B558">
            <v>40961</v>
          </cell>
          <cell r="C558" t="str">
            <v>Past</v>
          </cell>
          <cell r="D558">
            <v>62.559998</v>
          </cell>
          <cell r="E558" t="e">
            <v>#N/A</v>
          </cell>
          <cell r="F558" t="e">
            <v>#N/A</v>
          </cell>
          <cell r="G558" t="e">
            <v>#N/A</v>
          </cell>
          <cell r="H558" t="e">
            <v>#N/A</v>
          </cell>
          <cell r="I558" t="e">
            <v>#N/A</v>
          </cell>
          <cell r="J558" t="e">
            <v>#N/A</v>
          </cell>
          <cell r="K558" t="e">
            <v>#N/A</v>
          </cell>
          <cell r="L558" t="e">
            <v>#N/A</v>
          </cell>
          <cell r="M558" t="e">
            <v>#N/A</v>
          </cell>
          <cell r="N558" t="e">
            <v>#N/A</v>
          </cell>
          <cell r="O558">
            <v>0</v>
          </cell>
          <cell r="P558">
            <v>62.559998</v>
          </cell>
          <cell r="Q558">
            <v>5.0215589999999999</v>
          </cell>
          <cell r="R558" t="e">
            <v>#N/A</v>
          </cell>
        </row>
        <row r="559">
          <cell r="A559">
            <v>40962</v>
          </cell>
          <cell r="B559">
            <v>40962</v>
          </cell>
          <cell r="C559" t="str">
            <v>Current</v>
          </cell>
          <cell r="D559">
            <v>64.049987999999999</v>
          </cell>
          <cell r="E559">
            <v>64.049987999999999</v>
          </cell>
          <cell r="F559">
            <v>64.049987999999999</v>
          </cell>
          <cell r="G559">
            <v>64.049987999999999</v>
          </cell>
          <cell r="H559">
            <v>64.049987999999999</v>
          </cell>
          <cell r="I559">
            <v>64.049987999999999</v>
          </cell>
          <cell r="J559" t="e">
            <v>#N/A</v>
          </cell>
          <cell r="K559" t="e">
            <v>#N/A</v>
          </cell>
          <cell r="L559" t="e">
            <v>#N/A</v>
          </cell>
          <cell r="M559" t="e">
            <v>#N/A</v>
          </cell>
          <cell r="N559" t="e">
            <v>#N/A</v>
          </cell>
          <cell r="O559">
            <v>354.90281500000003</v>
          </cell>
          <cell r="P559">
            <v>64.049987999999999</v>
          </cell>
          <cell r="Q559">
            <v>8.6165269999999996</v>
          </cell>
          <cell r="R559" t="e">
            <v>#N/A</v>
          </cell>
        </row>
        <row r="560">
          <cell r="A560">
            <v>40963</v>
          </cell>
          <cell r="B560">
            <v>40963</v>
          </cell>
          <cell r="C560" t="str">
            <v>Future</v>
          </cell>
          <cell r="D560" t="e">
            <v>#N/A</v>
          </cell>
          <cell r="E560">
            <v>63.79682599209486</v>
          </cell>
          <cell r="F560">
            <v>64.093268679841898</v>
          </cell>
          <cell r="G560">
            <v>63.954928758893281</v>
          </cell>
          <cell r="H560">
            <v>63.954928758893281</v>
          </cell>
          <cell r="I560" t="e">
            <v>#N/A</v>
          </cell>
          <cell r="J560" t="e">
            <v>#N/A</v>
          </cell>
          <cell r="K560" t="e">
            <v>#N/A</v>
          </cell>
          <cell r="L560" t="e">
            <v>#N/A</v>
          </cell>
          <cell r="M560" t="e">
            <v>#N/A</v>
          </cell>
          <cell r="N560" t="e">
            <v>#N/A</v>
          </cell>
          <cell r="O560" t="e">
            <v>#N/A</v>
          </cell>
          <cell r="P560" t="str">
            <v/>
          </cell>
          <cell r="Q560" t="str">
            <v/>
          </cell>
          <cell r="R560" t="e">
            <v>#N/A</v>
          </cell>
        </row>
        <row r="561">
          <cell r="A561">
            <v>40966</v>
          </cell>
          <cell r="B561">
            <v>40966</v>
          </cell>
          <cell r="C561" t="str">
            <v>Future</v>
          </cell>
          <cell r="D561" t="e">
            <v>#N/A</v>
          </cell>
          <cell r="E561">
            <v>63.54366398418972</v>
          </cell>
          <cell r="F561">
            <v>64.136549359683798</v>
          </cell>
          <cell r="G561">
            <v>63.859869517786564</v>
          </cell>
          <cell r="H561">
            <v>63.859869517786564</v>
          </cell>
          <cell r="I561" t="e">
            <v>#N/A</v>
          </cell>
          <cell r="J561" t="e">
            <v>#N/A</v>
          </cell>
          <cell r="K561" t="e">
            <v>#N/A</v>
          </cell>
          <cell r="L561" t="e">
            <v>#N/A</v>
          </cell>
          <cell r="M561" t="e">
            <v>#N/A</v>
          </cell>
          <cell r="N561" t="e">
            <v>#N/A</v>
          </cell>
          <cell r="O561" t="e">
            <v>#N/A</v>
          </cell>
          <cell r="P561" t="str">
            <v/>
          </cell>
          <cell r="Q561" t="str">
            <v/>
          </cell>
          <cell r="R561" t="e">
            <v>#N/A</v>
          </cell>
        </row>
        <row r="562">
          <cell r="A562">
            <v>40967</v>
          </cell>
          <cell r="B562">
            <v>40967</v>
          </cell>
          <cell r="C562" t="str">
            <v>Future</v>
          </cell>
          <cell r="D562" t="e">
            <v>#N/A</v>
          </cell>
          <cell r="E562">
            <v>63.290501976284581</v>
          </cell>
          <cell r="F562">
            <v>64.179830039525697</v>
          </cell>
          <cell r="G562">
            <v>63.764810276679846</v>
          </cell>
          <cell r="H562">
            <v>63.764810276679846</v>
          </cell>
          <cell r="I562" t="e">
            <v>#N/A</v>
          </cell>
          <cell r="J562" t="e">
            <v>#N/A</v>
          </cell>
          <cell r="K562" t="e">
            <v>#N/A</v>
          </cell>
          <cell r="L562" t="e">
            <v>#N/A</v>
          </cell>
          <cell r="M562" t="e">
            <v>#N/A</v>
          </cell>
          <cell r="N562" t="e">
            <v>#N/A</v>
          </cell>
          <cell r="O562" t="e">
            <v>#N/A</v>
          </cell>
          <cell r="P562" t="str">
            <v/>
          </cell>
          <cell r="Q562" t="str">
            <v/>
          </cell>
          <cell r="R562" t="e">
            <v>#N/A</v>
          </cell>
        </row>
        <row r="563">
          <cell r="A563">
            <v>40968</v>
          </cell>
          <cell r="B563">
            <v>40968</v>
          </cell>
          <cell r="C563" t="str">
            <v>Future</v>
          </cell>
          <cell r="D563" t="e">
            <v>#N/A</v>
          </cell>
          <cell r="E563">
            <v>63.037339968379442</v>
          </cell>
          <cell r="F563">
            <v>64.223110719367597</v>
          </cell>
          <cell r="G563">
            <v>63.669751035573128</v>
          </cell>
          <cell r="H563">
            <v>63.669751035573128</v>
          </cell>
          <cell r="I563" t="e">
            <v>#N/A</v>
          </cell>
          <cell r="J563" t="e">
            <v>#N/A</v>
          </cell>
          <cell r="K563" t="e">
            <v>#N/A</v>
          </cell>
          <cell r="L563" t="e">
            <v>#N/A</v>
          </cell>
          <cell r="M563" t="e">
            <v>#N/A</v>
          </cell>
          <cell r="N563" t="e">
            <v>#N/A</v>
          </cell>
          <cell r="O563" t="e">
            <v>#N/A</v>
          </cell>
          <cell r="P563" t="str">
            <v/>
          </cell>
          <cell r="Q563" t="str">
            <v/>
          </cell>
          <cell r="R563" t="e">
            <v>#N/A</v>
          </cell>
        </row>
        <row r="564">
          <cell r="A564">
            <v>40969</v>
          </cell>
          <cell r="B564">
            <v>40969</v>
          </cell>
          <cell r="C564" t="str">
            <v>Future</v>
          </cell>
          <cell r="D564" t="e">
            <v>#N/A</v>
          </cell>
          <cell r="E564">
            <v>62.784177960474302</v>
          </cell>
          <cell r="F564">
            <v>64.266391399209496</v>
          </cell>
          <cell r="G564">
            <v>63.57469179446641</v>
          </cell>
          <cell r="H564">
            <v>63.57469179446641</v>
          </cell>
          <cell r="I564" t="e">
            <v>#N/A</v>
          </cell>
          <cell r="J564" t="e">
            <v>#N/A</v>
          </cell>
          <cell r="K564" t="e">
            <v>#N/A</v>
          </cell>
          <cell r="L564" t="e">
            <v>#N/A</v>
          </cell>
          <cell r="M564" t="e">
            <v>#N/A</v>
          </cell>
          <cell r="N564" t="e">
            <v>#N/A</v>
          </cell>
          <cell r="O564" t="e">
            <v>#N/A</v>
          </cell>
          <cell r="P564" t="str">
            <v/>
          </cell>
          <cell r="Q564" t="str">
            <v/>
          </cell>
          <cell r="R564" t="e">
            <v>#N/A</v>
          </cell>
        </row>
        <row r="565">
          <cell r="A565">
            <v>40970</v>
          </cell>
          <cell r="B565">
            <v>40970</v>
          </cell>
          <cell r="C565" t="str">
            <v>Future</v>
          </cell>
          <cell r="D565" t="e">
            <v>#N/A</v>
          </cell>
          <cell r="E565">
            <v>62.531015952569163</v>
          </cell>
          <cell r="F565">
            <v>64.309672079051396</v>
          </cell>
          <cell r="G565">
            <v>63.479632553359693</v>
          </cell>
          <cell r="H565">
            <v>63.479632553359693</v>
          </cell>
          <cell r="I565" t="e">
            <v>#N/A</v>
          </cell>
          <cell r="J565" t="e">
            <v>#N/A</v>
          </cell>
          <cell r="K565" t="e">
            <v>#N/A</v>
          </cell>
          <cell r="L565" t="e">
            <v>#N/A</v>
          </cell>
          <cell r="M565" t="e">
            <v>#N/A</v>
          </cell>
          <cell r="N565" t="e">
            <v>#N/A</v>
          </cell>
          <cell r="O565" t="e">
            <v>#N/A</v>
          </cell>
          <cell r="P565" t="str">
            <v/>
          </cell>
          <cell r="Q565" t="str">
            <v/>
          </cell>
          <cell r="R565" t="e">
            <v>#N/A</v>
          </cell>
        </row>
        <row r="566">
          <cell r="A566">
            <v>40973</v>
          </cell>
          <cell r="B566">
            <v>40973</v>
          </cell>
          <cell r="C566" t="str">
            <v>Future</v>
          </cell>
          <cell r="D566" t="e">
            <v>#N/A</v>
          </cell>
          <cell r="E566">
            <v>62.277853944664024</v>
          </cell>
          <cell r="F566">
            <v>64.352952758893295</v>
          </cell>
          <cell r="G566">
            <v>63.384573312252975</v>
          </cell>
          <cell r="H566">
            <v>63.384573312252975</v>
          </cell>
          <cell r="I566" t="e">
            <v>#N/A</v>
          </cell>
          <cell r="J566" t="e">
            <v>#N/A</v>
          </cell>
          <cell r="K566" t="e">
            <v>#N/A</v>
          </cell>
          <cell r="L566" t="e">
            <v>#N/A</v>
          </cell>
          <cell r="M566" t="e">
            <v>#N/A</v>
          </cell>
          <cell r="N566" t="e">
            <v>#N/A</v>
          </cell>
          <cell r="O566" t="e">
            <v>#N/A</v>
          </cell>
          <cell r="P566" t="str">
            <v/>
          </cell>
          <cell r="Q566" t="str">
            <v/>
          </cell>
          <cell r="R566" t="e">
            <v>#N/A</v>
          </cell>
        </row>
        <row r="567">
          <cell r="A567">
            <v>40974</v>
          </cell>
          <cell r="B567">
            <v>40974</v>
          </cell>
          <cell r="C567" t="str">
            <v>Future</v>
          </cell>
          <cell r="D567" t="e">
            <v>#N/A</v>
          </cell>
          <cell r="E567">
            <v>62.024691936758884</v>
          </cell>
          <cell r="F567">
            <v>64.396233438735194</v>
          </cell>
          <cell r="G567">
            <v>63.289514071146257</v>
          </cell>
          <cell r="H567">
            <v>63.289514071146257</v>
          </cell>
          <cell r="I567" t="e">
            <v>#N/A</v>
          </cell>
          <cell r="J567" t="e">
            <v>#N/A</v>
          </cell>
          <cell r="K567" t="e">
            <v>#N/A</v>
          </cell>
          <cell r="L567" t="e">
            <v>#N/A</v>
          </cell>
          <cell r="M567" t="e">
            <v>#N/A</v>
          </cell>
          <cell r="N567" t="e">
            <v>#N/A</v>
          </cell>
          <cell r="O567" t="e">
            <v>#N/A</v>
          </cell>
          <cell r="P567" t="str">
            <v/>
          </cell>
          <cell r="Q567" t="str">
            <v/>
          </cell>
          <cell r="R567" t="e">
            <v>#N/A</v>
          </cell>
        </row>
        <row r="568">
          <cell r="A568">
            <v>40975</v>
          </cell>
          <cell r="B568">
            <v>40975</v>
          </cell>
          <cell r="C568" t="str">
            <v>Future</v>
          </cell>
          <cell r="D568" t="e">
            <v>#N/A</v>
          </cell>
          <cell r="E568">
            <v>61.771529928853745</v>
          </cell>
          <cell r="F568">
            <v>64.439514118577094</v>
          </cell>
          <cell r="G568">
            <v>63.19445483003954</v>
          </cell>
          <cell r="H568">
            <v>63.19445483003954</v>
          </cell>
          <cell r="I568" t="e">
            <v>#N/A</v>
          </cell>
          <cell r="J568" t="e">
            <v>#N/A</v>
          </cell>
          <cell r="K568" t="e">
            <v>#N/A</v>
          </cell>
          <cell r="L568" t="e">
            <v>#N/A</v>
          </cell>
          <cell r="M568" t="e">
            <v>#N/A</v>
          </cell>
          <cell r="N568" t="e">
            <v>#N/A</v>
          </cell>
          <cell r="O568" t="e">
            <v>#N/A</v>
          </cell>
          <cell r="P568" t="str">
            <v/>
          </cell>
          <cell r="Q568" t="str">
            <v/>
          </cell>
          <cell r="R568" t="e">
            <v>#N/A</v>
          </cell>
        </row>
        <row r="569">
          <cell r="A569">
            <v>40976</v>
          </cell>
          <cell r="B569">
            <v>40976</v>
          </cell>
          <cell r="C569" t="str">
            <v>Future</v>
          </cell>
          <cell r="D569" t="e">
            <v>#N/A</v>
          </cell>
          <cell r="E569">
            <v>61.518367920948606</v>
          </cell>
          <cell r="F569">
            <v>64.482794798418993</v>
          </cell>
          <cell r="G569">
            <v>63.099395588932822</v>
          </cell>
          <cell r="H569">
            <v>63.099395588932822</v>
          </cell>
          <cell r="I569" t="e">
            <v>#N/A</v>
          </cell>
          <cell r="J569" t="e">
            <v>#N/A</v>
          </cell>
          <cell r="K569" t="e">
            <v>#N/A</v>
          </cell>
          <cell r="L569" t="e">
            <v>#N/A</v>
          </cell>
          <cell r="M569" t="e">
            <v>#N/A</v>
          </cell>
          <cell r="N569" t="e">
            <v>#N/A</v>
          </cell>
          <cell r="O569" t="e">
            <v>#N/A</v>
          </cell>
          <cell r="P569" t="str">
            <v/>
          </cell>
          <cell r="Q569" t="str">
            <v/>
          </cell>
          <cell r="R569" t="e">
            <v>#N/A</v>
          </cell>
        </row>
        <row r="570">
          <cell r="A570">
            <v>40977</v>
          </cell>
          <cell r="B570">
            <v>40977</v>
          </cell>
          <cell r="C570" t="str">
            <v>Future</v>
          </cell>
          <cell r="D570" t="e">
            <v>#N/A</v>
          </cell>
          <cell r="E570">
            <v>61.265205913043467</v>
          </cell>
          <cell r="F570">
            <v>64.526075478260893</v>
          </cell>
          <cell r="G570">
            <v>63.004336347826104</v>
          </cell>
          <cell r="H570">
            <v>63.004336347826104</v>
          </cell>
          <cell r="I570" t="e">
            <v>#N/A</v>
          </cell>
          <cell r="J570" t="e">
            <v>#N/A</v>
          </cell>
          <cell r="K570" t="e">
            <v>#N/A</v>
          </cell>
          <cell r="L570" t="e">
            <v>#N/A</v>
          </cell>
          <cell r="M570" t="e">
            <v>#N/A</v>
          </cell>
          <cell r="N570" t="e">
            <v>#N/A</v>
          </cell>
          <cell r="O570" t="e">
            <v>#N/A</v>
          </cell>
          <cell r="P570" t="str">
            <v/>
          </cell>
          <cell r="Q570" t="str">
            <v/>
          </cell>
          <cell r="R570" t="e">
            <v>#N/A</v>
          </cell>
        </row>
        <row r="571">
          <cell r="A571">
            <v>40980</v>
          </cell>
          <cell r="B571">
            <v>40980</v>
          </cell>
          <cell r="C571" t="str">
            <v>Future</v>
          </cell>
          <cell r="D571" t="e">
            <v>#N/A</v>
          </cell>
          <cell r="E571">
            <v>61.012043905138327</v>
          </cell>
          <cell r="F571">
            <v>64.569356158102792</v>
          </cell>
          <cell r="G571">
            <v>62.909277106719387</v>
          </cell>
          <cell r="H571">
            <v>62.909277106719387</v>
          </cell>
          <cell r="I571" t="e">
            <v>#N/A</v>
          </cell>
          <cell r="J571" t="e">
            <v>#N/A</v>
          </cell>
          <cell r="K571" t="e">
            <v>#N/A</v>
          </cell>
          <cell r="L571" t="e">
            <v>#N/A</v>
          </cell>
          <cell r="M571" t="e">
            <v>#N/A</v>
          </cell>
          <cell r="N571" t="e">
            <v>#N/A</v>
          </cell>
          <cell r="O571" t="e">
            <v>#N/A</v>
          </cell>
          <cell r="P571" t="str">
            <v/>
          </cell>
          <cell r="Q571" t="str">
            <v/>
          </cell>
          <cell r="R571" t="e">
            <v>#N/A</v>
          </cell>
        </row>
        <row r="572">
          <cell r="A572">
            <v>40981</v>
          </cell>
          <cell r="B572">
            <v>40981</v>
          </cell>
          <cell r="C572" t="str">
            <v>Future</v>
          </cell>
          <cell r="D572" t="e">
            <v>#N/A</v>
          </cell>
          <cell r="E572">
            <v>60.758881897233188</v>
          </cell>
          <cell r="F572">
            <v>64.612636837944692</v>
          </cell>
          <cell r="G572">
            <v>62.814217865612669</v>
          </cell>
          <cell r="H572">
            <v>62.814217865612669</v>
          </cell>
          <cell r="I572" t="e">
            <v>#N/A</v>
          </cell>
          <cell r="J572" t="e">
            <v>#N/A</v>
          </cell>
          <cell r="K572" t="e">
            <v>#N/A</v>
          </cell>
          <cell r="L572" t="e">
            <v>#N/A</v>
          </cell>
          <cell r="M572" t="e">
            <v>#N/A</v>
          </cell>
          <cell r="N572" t="e">
            <v>#N/A</v>
          </cell>
          <cell r="O572" t="e">
            <v>#N/A</v>
          </cell>
          <cell r="P572" t="str">
            <v/>
          </cell>
          <cell r="Q572" t="str">
            <v/>
          </cell>
          <cell r="R572" t="e">
            <v>#N/A</v>
          </cell>
        </row>
        <row r="573">
          <cell r="A573">
            <v>40982</v>
          </cell>
          <cell r="B573">
            <v>40982</v>
          </cell>
          <cell r="C573" t="str">
            <v>Future</v>
          </cell>
          <cell r="D573" t="e">
            <v>#N/A</v>
          </cell>
          <cell r="E573">
            <v>60.505719889328049</v>
          </cell>
          <cell r="F573">
            <v>64.655917517786591</v>
          </cell>
          <cell r="G573">
            <v>62.719158624505951</v>
          </cell>
          <cell r="H573">
            <v>62.719158624505951</v>
          </cell>
          <cell r="I573" t="e">
            <v>#N/A</v>
          </cell>
          <cell r="J573" t="e">
            <v>#N/A</v>
          </cell>
          <cell r="K573" t="e">
            <v>#N/A</v>
          </cell>
          <cell r="L573" t="e">
            <v>#N/A</v>
          </cell>
          <cell r="M573" t="e">
            <v>#N/A</v>
          </cell>
          <cell r="N573" t="e">
            <v>#N/A</v>
          </cell>
          <cell r="O573" t="e">
            <v>#N/A</v>
          </cell>
          <cell r="P573" t="str">
            <v/>
          </cell>
          <cell r="Q573" t="str">
            <v/>
          </cell>
          <cell r="R573" t="e">
            <v>#N/A</v>
          </cell>
        </row>
        <row r="574">
          <cell r="A574">
            <v>40983</v>
          </cell>
          <cell r="B574">
            <v>40983</v>
          </cell>
          <cell r="C574" t="str">
            <v>Future</v>
          </cell>
          <cell r="D574" t="e">
            <v>#N/A</v>
          </cell>
          <cell r="E574">
            <v>60.252557881422909</v>
          </cell>
          <cell r="F574">
            <v>64.69919819762849</v>
          </cell>
          <cell r="G574">
            <v>62.624099383399233</v>
          </cell>
          <cell r="H574">
            <v>62.624099383399233</v>
          </cell>
          <cell r="I574" t="e">
            <v>#N/A</v>
          </cell>
          <cell r="J574" t="e">
            <v>#N/A</v>
          </cell>
          <cell r="K574" t="e">
            <v>#N/A</v>
          </cell>
          <cell r="L574" t="e">
            <v>#N/A</v>
          </cell>
          <cell r="M574" t="e">
            <v>#N/A</v>
          </cell>
          <cell r="N574" t="e">
            <v>#N/A</v>
          </cell>
          <cell r="O574" t="e">
            <v>#N/A</v>
          </cell>
          <cell r="P574" t="str">
            <v/>
          </cell>
          <cell r="Q574" t="str">
            <v/>
          </cell>
          <cell r="R574" t="e">
            <v>#N/A</v>
          </cell>
        </row>
        <row r="575">
          <cell r="A575">
            <v>40984</v>
          </cell>
          <cell r="B575">
            <v>40984</v>
          </cell>
          <cell r="C575" t="str">
            <v>Future</v>
          </cell>
          <cell r="D575" t="e">
            <v>#N/A</v>
          </cell>
          <cell r="E575">
            <v>59.99939587351777</v>
          </cell>
          <cell r="F575">
            <v>64.74247887747039</v>
          </cell>
          <cell r="G575">
            <v>62.529040142292516</v>
          </cell>
          <cell r="H575">
            <v>62.529040142292516</v>
          </cell>
          <cell r="I575" t="e">
            <v>#N/A</v>
          </cell>
          <cell r="J575" t="e">
            <v>#N/A</v>
          </cell>
          <cell r="K575" t="e">
            <v>#N/A</v>
          </cell>
          <cell r="L575" t="e">
            <v>#N/A</v>
          </cell>
          <cell r="M575" t="e">
            <v>#N/A</v>
          </cell>
          <cell r="N575" t="e">
            <v>#N/A</v>
          </cell>
          <cell r="O575" t="e">
            <v>#N/A</v>
          </cell>
          <cell r="P575" t="str">
            <v/>
          </cell>
          <cell r="Q575" t="str">
            <v/>
          </cell>
          <cell r="R575" t="e">
            <v>#N/A</v>
          </cell>
        </row>
        <row r="576">
          <cell r="A576">
            <v>40987</v>
          </cell>
          <cell r="B576">
            <v>40987</v>
          </cell>
          <cell r="C576" t="str">
            <v>Future</v>
          </cell>
          <cell r="D576" t="e">
            <v>#N/A</v>
          </cell>
          <cell r="E576">
            <v>59.746233865612631</v>
          </cell>
          <cell r="F576">
            <v>64.785759557312289</v>
          </cell>
          <cell r="G576">
            <v>62.433980901185798</v>
          </cell>
          <cell r="H576">
            <v>62.433980901185798</v>
          </cell>
          <cell r="I576" t="e">
            <v>#N/A</v>
          </cell>
          <cell r="J576" t="e">
            <v>#N/A</v>
          </cell>
          <cell r="K576" t="e">
            <v>#N/A</v>
          </cell>
          <cell r="L576" t="e">
            <v>#N/A</v>
          </cell>
          <cell r="M576" t="e">
            <v>#N/A</v>
          </cell>
          <cell r="N576" t="e">
            <v>#N/A</v>
          </cell>
          <cell r="O576" t="e">
            <v>#N/A</v>
          </cell>
          <cell r="P576" t="str">
            <v/>
          </cell>
          <cell r="Q576" t="str">
            <v/>
          </cell>
          <cell r="R576" t="e">
            <v>#N/A</v>
          </cell>
        </row>
        <row r="577">
          <cell r="A577">
            <v>40988</v>
          </cell>
          <cell r="B577">
            <v>40988</v>
          </cell>
          <cell r="C577" t="str">
            <v>Future</v>
          </cell>
          <cell r="D577" t="e">
            <v>#N/A</v>
          </cell>
          <cell r="E577">
            <v>59.493071857707491</v>
          </cell>
          <cell r="F577">
            <v>64.829040237154189</v>
          </cell>
          <cell r="G577">
            <v>62.33892166007908</v>
          </cell>
          <cell r="H577">
            <v>62.33892166007908</v>
          </cell>
          <cell r="I577" t="e">
            <v>#N/A</v>
          </cell>
          <cell r="J577" t="e">
            <v>#N/A</v>
          </cell>
          <cell r="K577" t="e">
            <v>#N/A</v>
          </cell>
          <cell r="L577" t="e">
            <v>#N/A</v>
          </cell>
          <cell r="M577" t="e">
            <v>#N/A</v>
          </cell>
          <cell r="N577" t="e">
            <v>#N/A</v>
          </cell>
          <cell r="O577" t="e">
            <v>#N/A</v>
          </cell>
          <cell r="P577" t="str">
            <v/>
          </cell>
          <cell r="Q577" t="str">
            <v/>
          </cell>
          <cell r="R577" t="e">
            <v>#N/A</v>
          </cell>
        </row>
        <row r="578">
          <cell r="A578">
            <v>40989</v>
          </cell>
          <cell r="B578">
            <v>40989</v>
          </cell>
          <cell r="C578" t="str">
            <v>Future</v>
          </cell>
          <cell r="D578" t="e">
            <v>#N/A</v>
          </cell>
          <cell r="E578">
            <v>59.239909849802352</v>
          </cell>
          <cell r="F578">
            <v>64.872320916996088</v>
          </cell>
          <cell r="G578">
            <v>62.243862418972363</v>
          </cell>
          <cell r="H578">
            <v>62.243862418972363</v>
          </cell>
          <cell r="I578" t="e">
            <v>#N/A</v>
          </cell>
          <cell r="J578" t="e">
            <v>#N/A</v>
          </cell>
          <cell r="K578" t="e">
            <v>#N/A</v>
          </cell>
          <cell r="L578" t="e">
            <v>#N/A</v>
          </cell>
          <cell r="M578" t="e">
            <v>#N/A</v>
          </cell>
          <cell r="N578" t="e">
            <v>#N/A</v>
          </cell>
          <cell r="O578" t="e">
            <v>#N/A</v>
          </cell>
          <cell r="P578" t="str">
            <v/>
          </cell>
          <cell r="Q578" t="str">
            <v/>
          </cell>
          <cell r="R578" t="e">
            <v>#N/A</v>
          </cell>
        </row>
        <row r="579">
          <cell r="A579">
            <v>40990</v>
          </cell>
          <cell r="B579">
            <v>40990</v>
          </cell>
          <cell r="C579" t="str">
            <v>Future</v>
          </cell>
          <cell r="D579" t="e">
            <v>#N/A</v>
          </cell>
          <cell r="E579">
            <v>58.986747841897213</v>
          </cell>
          <cell r="F579">
            <v>64.915601596837988</v>
          </cell>
          <cell r="G579">
            <v>62.148803177865645</v>
          </cell>
          <cell r="H579">
            <v>62.148803177865645</v>
          </cell>
          <cell r="I579" t="e">
            <v>#N/A</v>
          </cell>
          <cell r="J579" t="e">
            <v>#N/A</v>
          </cell>
          <cell r="K579" t="e">
            <v>#N/A</v>
          </cell>
          <cell r="L579" t="e">
            <v>#N/A</v>
          </cell>
          <cell r="M579" t="e">
            <v>#N/A</v>
          </cell>
          <cell r="N579" t="e">
            <v>#N/A</v>
          </cell>
          <cell r="O579" t="e">
            <v>#N/A</v>
          </cell>
          <cell r="P579" t="str">
            <v/>
          </cell>
          <cell r="Q579" t="str">
            <v/>
          </cell>
          <cell r="R579" t="e">
            <v>#N/A</v>
          </cell>
        </row>
        <row r="580">
          <cell r="A580">
            <v>40991</v>
          </cell>
          <cell r="B580">
            <v>40991</v>
          </cell>
          <cell r="C580" t="str">
            <v>Future</v>
          </cell>
          <cell r="D580" t="e">
            <v>#N/A</v>
          </cell>
          <cell r="E580">
            <v>58.733585833992073</v>
          </cell>
          <cell r="F580">
            <v>64.958882276679887</v>
          </cell>
          <cell r="G580">
            <v>62.053743936758927</v>
          </cell>
          <cell r="H580">
            <v>62.053743936758927</v>
          </cell>
          <cell r="I580" t="e">
            <v>#N/A</v>
          </cell>
          <cell r="J580" t="e">
            <v>#N/A</v>
          </cell>
          <cell r="K580" t="e">
            <v>#N/A</v>
          </cell>
          <cell r="L580" t="e">
            <v>#N/A</v>
          </cell>
          <cell r="M580" t="e">
            <v>#N/A</v>
          </cell>
          <cell r="N580" t="e">
            <v>#N/A</v>
          </cell>
          <cell r="O580" t="e">
            <v>#N/A</v>
          </cell>
          <cell r="P580" t="str">
            <v/>
          </cell>
          <cell r="Q580" t="str">
            <v/>
          </cell>
          <cell r="R580" t="e">
            <v>#N/A</v>
          </cell>
        </row>
        <row r="581">
          <cell r="A581">
            <v>40994</v>
          </cell>
          <cell r="B581">
            <v>40994</v>
          </cell>
          <cell r="C581" t="str">
            <v>Future</v>
          </cell>
          <cell r="D581" t="e">
            <v>#N/A</v>
          </cell>
          <cell r="E581">
            <v>58.480423826086934</v>
          </cell>
          <cell r="F581">
            <v>65.002162956521786</v>
          </cell>
          <cell r="G581">
            <v>61.958684695652209</v>
          </cell>
          <cell r="H581">
            <v>61.958684695652209</v>
          </cell>
          <cell r="I581" t="e">
            <v>#N/A</v>
          </cell>
          <cell r="J581" t="e">
            <v>#N/A</v>
          </cell>
          <cell r="K581" t="e">
            <v>#N/A</v>
          </cell>
          <cell r="L581" t="e">
            <v>#N/A</v>
          </cell>
          <cell r="M581" t="e">
            <v>#N/A</v>
          </cell>
          <cell r="N581" t="e">
            <v>#N/A</v>
          </cell>
          <cell r="O581" t="e">
            <v>#N/A</v>
          </cell>
          <cell r="P581" t="str">
            <v/>
          </cell>
          <cell r="Q581" t="str">
            <v/>
          </cell>
          <cell r="R581" t="e">
            <v>#N/A</v>
          </cell>
        </row>
        <row r="582">
          <cell r="A582">
            <v>40995</v>
          </cell>
          <cell r="B582">
            <v>40995</v>
          </cell>
          <cell r="C582" t="str">
            <v>Future</v>
          </cell>
          <cell r="D582" t="e">
            <v>#N/A</v>
          </cell>
          <cell r="E582">
            <v>58.227261818181795</v>
          </cell>
          <cell r="F582">
            <v>65.045443636363686</v>
          </cell>
          <cell r="G582">
            <v>61.863625454545492</v>
          </cell>
          <cell r="H582">
            <v>61.863625454545492</v>
          </cell>
          <cell r="I582" t="e">
            <v>#N/A</v>
          </cell>
          <cell r="J582" t="e">
            <v>#N/A</v>
          </cell>
          <cell r="K582" t="e">
            <v>#N/A</v>
          </cell>
          <cell r="L582" t="e">
            <v>#N/A</v>
          </cell>
          <cell r="M582" t="e">
            <v>#N/A</v>
          </cell>
          <cell r="N582" t="e">
            <v>#N/A</v>
          </cell>
          <cell r="O582" t="e">
            <v>#N/A</v>
          </cell>
          <cell r="P582" t="str">
            <v/>
          </cell>
          <cell r="Q582" t="str">
            <v/>
          </cell>
          <cell r="R582" t="e">
            <v>#N/A</v>
          </cell>
        </row>
        <row r="583">
          <cell r="A583">
            <v>40996</v>
          </cell>
          <cell r="B583">
            <v>40996</v>
          </cell>
          <cell r="C583" t="str">
            <v>Future</v>
          </cell>
          <cell r="D583" t="e">
            <v>#N/A</v>
          </cell>
          <cell r="E583">
            <v>57.974099810276655</v>
          </cell>
          <cell r="F583">
            <v>65.088724316205585</v>
          </cell>
          <cell r="G583">
            <v>61.768566213438774</v>
          </cell>
          <cell r="H583">
            <v>61.768566213438774</v>
          </cell>
          <cell r="I583" t="e">
            <v>#N/A</v>
          </cell>
          <cell r="J583" t="e">
            <v>#N/A</v>
          </cell>
          <cell r="K583" t="e">
            <v>#N/A</v>
          </cell>
          <cell r="L583" t="e">
            <v>#N/A</v>
          </cell>
          <cell r="M583" t="e">
            <v>#N/A</v>
          </cell>
          <cell r="N583" t="e">
            <v>#N/A</v>
          </cell>
          <cell r="O583" t="e">
            <v>#N/A</v>
          </cell>
          <cell r="P583" t="str">
            <v/>
          </cell>
          <cell r="Q583" t="str">
            <v/>
          </cell>
          <cell r="R583" t="e">
            <v>#N/A</v>
          </cell>
        </row>
        <row r="584">
          <cell r="A584">
            <v>40997</v>
          </cell>
          <cell r="B584">
            <v>40997</v>
          </cell>
          <cell r="C584" t="str">
            <v>Future</v>
          </cell>
          <cell r="D584" t="e">
            <v>#N/A</v>
          </cell>
          <cell r="E584">
            <v>57.720937802371516</v>
          </cell>
          <cell r="F584">
            <v>65.132004996047485</v>
          </cell>
          <cell r="G584">
            <v>61.673506972332056</v>
          </cell>
          <cell r="H584">
            <v>61.673506972332056</v>
          </cell>
          <cell r="I584" t="e">
            <v>#N/A</v>
          </cell>
          <cell r="J584" t="e">
            <v>#N/A</v>
          </cell>
          <cell r="K584" t="e">
            <v>#N/A</v>
          </cell>
          <cell r="L584" t="e">
            <v>#N/A</v>
          </cell>
          <cell r="M584" t="e">
            <v>#N/A</v>
          </cell>
          <cell r="N584" t="e">
            <v>#N/A</v>
          </cell>
          <cell r="O584" t="e">
            <v>#N/A</v>
          </cell>
          <cell r="P584" t="str">
            <v/>
          </cell>
          <cell r="Q584" t="str">
            <v/>
          </cell>
          <cell r="R584" t="e">
            <v>#N/A</v>
          </cell>
        </row>
        <row r="585">
          <cell r="A585">
            <v>40998</v>
          </cell>
          <cell r="B585">
            <v>40998</v>
          </cell>
          <cell r="C585" t="str">
            <v>Future</v>
          </cell>
          <cell r="D585" t="e">
            <v>#N/A</v>
          </cell>
          <cell r="E585">
            <v>57.467775794466377</v>
          </cell>
          <cell r="F585">
            <v>65.175285675889384</v>
          </cell>
          <cell r="G585">
            <v>61.578447731225339</v>
          </cell>
          <cell r="H585">
            <v>61.578447731225339</v>
          </cell>
          <cell r="I585" t="e">
            <v>#N/A</v>
          </cell>
          <cell r="J585" t="e">
            <v>#N/A</v>
          </cell>
          <cell r="K585" t="e">
            <v>#N/A</v>
          </cell>
          <cell r="L585" t="e">
            <v>#N/A</v>
          </cell>
          <cell r="M585" t="e">
            <v>#N/A</v>
          </cell>
          <cell r="N585" t="e">
            <v>#N/A</v>
          </cell>
          <cell r="O585" t="e">
            <v>#N/A</v>
          </cell>
          <cell r="P585" t="str">
            <v/>
          </cell>
          <cell r="Q585" t="str">
            <v/>
          </cell>
          <cell r="R585" t="e">
            <v>#N/A</v>
          </cell>
        </row>
        <row r="586">
          <cell r="A586">
            <v>41001</v>
          </cell>
          <cell r="B586">
            <v>41001</v>
          </cell>
          <cell r="C586" t="str">
            <v>Future</v>
          </cell>
          <cell r="D586" t="e">
            <v>#N/A</v>
          </cell>
          <cell r="E586">
            <v>57.214613786561237</v>
          </cell>
          <cell r="F586">
            <v>65.218566355731284</v>
          </cell>
          <cell r="G586">
            <v>61.483388490118621</v>
          </cell>
          <cell r="H586">
            <v>61.483388490118621</v>
          </cell>
          <cell r="I586" t="e">
            <v>#N/A</v>
          </cell>
          <cell r="J586" t="e">
            <v>#N/A</v>
          </cell>
          <cell r="K586" t="e">
            <v>#N/A</v>
          </cell>
          <cell r="L586" t="e">
            <v>#N/A</v>
          </cell>
          <cell r="M586" t="e">
            <v>#N/A</v>
          </cell>
          <cell r="N586" t="e">
            <v>#N/A</v>
          </cell>
          <cell r="O586" t="e">
            <v>#N/A</v>
          </cell>
          <cell r="P586" t="str">
            <v/>
          </cell>
          <cell r="Q586" t="str">
            <v/>
          </cell>
          <cell r="R586" t="e">
            <v>#N/A</v>
          </cell>
        </row>
        <row r="587">
          <cell r="A587">
            <v>41002</v>
          </cell>
          <cell r="B587">
            <v>41002</v>
          </cell>
          <cell r="C587" t="str">
            <v>Future</v>
          </cell>
          <cell r="D587" t="e">
            <v>#N/A</v>
          </cell>
          <cell r="E587">
            <v>56.961451778656098</v>
          </cell>
          <cell r="F587">
            <v>65.261847035573183</v>
          </cell>
          <cell r="G587">
            <v>61.388329249011903</v>
          </cell>
          <cell r="H587">
            <v>61.388329249011903</v>
          </cell>
          <cell r="I587" t="e">
            <v>#N/A</v>
          </cell>
          <cell r="J587" t="e">
            <v>#N/A</v>
          </cell>
          <cell r="K587" t="e">
            <v>#N/A</v>
          </cell>
          <cell r="L587" t="e">
            <v>#N/A</v>
          </cell>
          <cell r="M587" t="e">
            <v>#N/A</v>
          </cell>
          <cell r="N587" t="e">
            <v>#N/A</v>
          </cell>
          <cell r="O587" t="e">
            <v>#N/A</v>
          </cell>
          <cell r="P587" t="str">
            <v/>
          </cell>
          <cell r="Q587" t="str">
            <v/>
          </cell>
          <cell r="R587" t="e">
            <v>#N/A</v>
          </cell>
        </row>
        <row r="588">
          <cell r="A588">
            <v>41003</v>
          </cell>
          <cell r="B588">
            <v>41003</v>
          </cell>
          <cell r="C588" t="str">
            <v>Future</v>
          </cell>
          <cell r="D588" t="e">
            <v>#N/A</v>
          </cell>
          <cell r="E588">
            <v>56.708289770750959</v>
          </cell>
          <cell r="F588">
            <v>65.305127715415082</v>
          </cell>
          <cell r="G588">
            <v>61.293270007905186</v>
          </cell>
          <cell r="H588">
            <v>61.293270007905186</v>
          </cell>
          <cell r="I588" t="e">
            <v>#N/A</v>
          </cell>
          <cell r="J588" t="e">
            <v>#N/A</v>
          </cell>
          <cell r="K588" t="e">
            <v>#N/A</v>
          </cell>
          <cell r="L588" t="e">
            <v>#N/A</v>
          </cell>
          <cell r="M588" t="e">
            <v>#N/A</v>
          </cell>
          <cell r="N588" t="e">
            <v>#N/A</v>
          </cell>
          <cell r="O588" t="e">
            <v>#N/A</v>
          </cell>
          <cell r="P588" t="str">
            <v/>
          </cell>
          <cell r="Q588" t="str">
            <v/>
          </cell>
          <cell r="R588" t="e">
            <v>#N/A</v>
          </cell>
        </row>
        <row r="589">
          <cell r="A589">
            <v>41004</v>
          </cell>
          <cell r="B589">
            <v>41004</v>
          </cell>
          <cell r="C589" t="str">
            <v>Future</v>
          </cell>
          <cell r="D589" t="e">
            <v>#N/A</v>
          </cell>
          <cell r="E589">
            <v>56.455127762845819</v>
          </cell>
          <cell r="F589">
            <v>65.348408395256982</v>
          </cell>
          <cell r="G589">
            <v>61.198210766798468</v>
          </cell>
          <cell r="H589">
            <v>61.198210766798468</v>
          </cell>
          <cell r="I589" t="e">
            <v>#N/A</v>
          </cell>
          <cell r="J589" t="e">
            <v>#N/A</v>
          </cell>
          <cell r="K589" t="e">
            <v>#N/A</v>
          </cell>
          <cell r="L589" t="e">
            <v>#N/A</v>
          </cell>
          <cell r="M589" t="e">
            <v>#N/A</v>
          </cell>
          <cell r="N589" t="e">
            <v>#N/A</v>
          </cell>
          <cell r="O589" t="e">
            <v>#N/A</v>
          </cell>
          <cell r="P589" t="str">
            <v/>
          </cell>
          <cell r="Q589" t="str">
            <v/>
          </cell>
          <cell r="R589" t="e">
            <v>#N/A</v>
          </cell>
        </row>
        <row r="590">
          <cell r="A590">
            <v>41008</v>
          </cell>
          <cell r="B590">
            <v>41008</v>
          </cell>
          <cell r="C590" t="str">
            <v>Future</v>
          </cell>
          <cell r="D590" t="e">
            <v>#N/A</v>
          </cell>
          <cell r="E590">
            <v>56.20196575494068</v>
          </cell>
          <cell r="F590">
            <v>65.391689075098881</v>
          </cell>
          <cell r="G590">
            <v>61.10315152569175</v>
          </cell>
          <cell r="H590">
            <v>61.10315152569175</v>
          </cell>
          <cell r="I590" t="e">
            <v>#N/A</v>
          </cell>
          <cell r="J590" t="e">
            <v>#N/A</v>
          </cell>
          <cell r="K590" t="e">
            <v>#N/A</v>
          </cell>
          <cell r="L590" t="e">
            <v>#N/A</v>
          </cell>
          <cell r="M590" t="e">
            <v>#N/A</v>
          </cell>
          <cell r="N590" t="e">
            <v>#N/A</v>
          </cell>
          <cell r="O590" t="e">
            <v>#N/A</v>
          </cell>
          <cell r="P590" t="str">
            <v/>
          </cell>
          <cell r="Q590" t="str">
            <v/>
          </cell>
          <cell r="R590" t="e">
            <v>#N/A</v>
          </cell>
        </row>
        <row r="591">
          <cell r="A591">
            <v>41009</v>
          </cell>
          <cell r="B591">
            <v>41009</v>
          </cell>
          <cell r="C591" t="str">
            <v>Future</v>
          </cell>
          <cell r="D591" t="e">
            <v>#N/A</v>
          </cell>
          <cell r="E591">
            <v>55.948803747035541</v>
          </cell>
          <cell r="F591">
            <v>65.434969754940781</v>
          </cell>
          <cell r="G591">
            <v>61.008092284585032</v>
          </cell>
          <cell r="H591">
            <v>61.008092284585032</v>
          </cell>
          <cell r="I591" t="e">
            <v>#N/A</v>
          </cell>
          <cell r="J591" t="e">
            <v>#N/A</v>
          </cell>
          <cell r="K591" t="e">
            <v>#N/A</v>
          </cell>
          <cell r="L591" t="e">
            <v>#N/A</v>
          </cell>
          <cell r="M591" t="e">
            <v>#N/A</v>
          </cell>
          <cell r="N591" t="e">
            <v>#N/A</v>
          </cell>
          <cell r="O591" t="e">
            <v>#N/A</v>
          </cell>
          <cell r="P591" t="str">
            <v/>
          </cell>
          <cell r="Q591" t="str">
            <v/>
          </cell>
          <cell r="R591" t="e">
            <v>#N/A</v>
          </cell>
        </row>
        <row r="592">
          <cell r="A592">
            <v>41010</v>
          </cell>
          <cell r="B592">
            <v>41010</v>
          </cell>
          <cell r="C592" t="str">
            <v>Future</v>
          </cell>
          <cell r="D592" t="e">
            <v>#N/A</v>
          </cell>
          <cell r="E592">
            <v>55.695641739130402</v>
          </cell>
          <cell r="F592">
            <v>65.47825043478268</v>
          </cell>
          <cell r="G592">
            <v>60.913033043478315</v>
          </cell>
          <cell r="H592">
            <v>60.913033043478315</v>
          </cell>
          <cell r="I592" t="e">
            <v>#N/A</v>
          </cell>
          <cell r="J592" t="e">
            <v>#N/A</v>
          </cell>
          <cell r="K592" t="e">
            <v>#N/A</v>
          </cell>
          <cell r="L592" t="e">
            <v>#N/A</v>
          </cell>
          <cell r="M592" t="e">
            <v>#N/A</v>
          </cell>
          <cell r="N592" t="e">
            <v>#N/A</v>
          </cell>
          <cell r="O592" t="e">
            <v>#N/A</v>
          </cell>
          <cell r="P592" t="str">
            <v/>
          </cell>
          <cell r="Q592" t="str">
            <v/>
          </cell>
          <cell r="R592" t="e">
            <v>#N/A</v>
          </cell>
        </row>
        <row r="593">
          <cell r="A593">
            <v>41011</v>
          </cell>
          <cell r="B593">
            <v>41011</v>
          </cell>
          <cell r="C593" t="str">
            <v>Future</v>
          </cell>
          <cell r="D593" t="e">
            <v>#N/A</v>
          </cell>
          <cell r="E593">
            <v>55.442479731225262</v>
          </cell>
          <cell r="F593">
            <v>65.52153111462458</v>
          </cell>
          <cell r="G593">
            <v>60.817973802371597</v>
          </cell>
          <cell r="H593">
            <v>60.817973802371597</v>
          </cell>
          <cell r="I593" t="e">
            <v>#N/A</v>
          </cell>
          <cell r="J593" t="e">
            <v>#N/A</v>
          </cell>
          <cell r="K593" t="e">
            <v>#N/A</v>
          </cell>
          <cell r="L593" t="e">
            <v>#N/A</v>
          </cell>
          <cell r="M593" t="e">
            <v>#N/A</v>
          </cell>
          <cell r="N593" t="e">
            <v>#N/A</v>
          </cell>
          <cell r="O593" t="e">
            <v>#N/A</v>
          </cell>
          <cell r="P593" t="str">
            <v/>
          </cell>
          <cell r="Q593" t="str">
            <v/>
          </cell>
          <cell r="R593" t="e">
            <v>#N/A</v>
          </cell>
        </row>
        <row r="594">
          <cell r="A594">
            <v>41012</v>
          </cell>
          <cell r="B594">
            <v>41012</v>
          </cell>
          <cell r="C594" t="str">
            <v>Future</v>
          </cell>
          <cell r="D594" t="e">
            <v>#N/A</v>
          </cell>
          <cell r="E594">
            <v>55.189317723320123</v>
          </cell>
          <cell r="F594">
            <v>65.564811794466479</v>
          </cell>
          <cell r="G594">
            <v>60.722914561264879</v>
          </cell>
          <cell r="H594">
            <v>60.722914561264879</v>
          </cell>
          <cell r="I594" t="e">
            <v>#N/A</v>
          </cell>
          <cell r="J594" t="e">
            <v>#N/A</v>
          </cell>
          <cell r="K594" t="e">
            <v>#N/A</v>
          </cell>
          <cell r="L594" t="e">
            <v>#N/A</v>
          </cell>
          <cell r="M594" t="e">
            <v>#N/A</v>
          </cell>
          <cell r="N594" t="e">
            <v>#N/A</v>
          </cell>
          <cell r="O594" t="e">
            <v>#N/A</v>
          </cell>
          <cell r="P594" t="str">
            <v/>
          </cell>
          <cell r="Q594" t="str">
            <v/>
          </cell>
          <cell r="R594" t="e">
            <v>#N/A</v>
          </cell>
        </row>
        <row r="595">
          <cell r="A595">
            <v>41015</v>
          </cell>
          <cell r="B595">
            <v>41015</v>
          </cell>
          <cell r="C595" t="str">
            <v>Future</v>
          </cell>
          <cell r="D595" t="e">
            <v>#N/A</v>
          </cell>
          <cell r="E595">
            <v>54.936155715414984</v>
          </cell>
          <cell r="F595">
            <v>65.608092474308378</v>
          </cell>
          <cell r="G595">
            <v>60.627855320158162</v>
          </cell>
          <cell r="H595">
            <v>60.627855320158162</v>
          </cell>
          <cell r="I595" t="e">
            <v>#N/A</v>
          </cell>
          <cell r="J595" t="e">
            <v>#N/A</v>
          </cell>
          <cell r="K595" t="e">
            <v>#N/A</v>
          </cell>
          <cell r="L595" t="e">
            <v>#N/A</v>
          </cell>
          <cell r="M595" t="e">
            <v>#N/A</v>
          </cell>
          <cell r="N595" t="e">
            <v>#N/A</v>
          </cell>
          <cell r="O595" t="e">
            <v>#N/A</v>
          </cell>
          <cell r="P595" t="str">
            <v/>
          </cell>
          <cell r="Q595" t="str">
            <v/>
          </cell>
          <cell r="R595" t="e">
            <v>#N/A</v>
          </cell>
        </row>
        <row r="596">
          <cell r="A596">
            <v>41016</v>
          </cell>
          <cell r="B596">
            <v>41016</v>
          </cell>
          <cell r="C596" t="str">
            <v>Future</v>
          </cell>
          <cell r="D596" t="e">
            <v>#N/A</v>
          </cell>
          <cell r="E596">
            <v>54.682993707509844</v>
          </cell>
          <cell r="F596">
            <v>65.651373154150278</v>
          </cell>
          <cell r="G596">
            <v>60.532796079051444</v>
          </cell>
          <cell r="H596">
            <v>60.532796079051444</v>
          </cell>
          <cell r="I596" t="e">
            <v>#N/A</v>
          </cell>
          <cell r="J596" t="e">
            <v>#N/A</v>
          </cell>
          <cell r="K596" t="e">
            <v>#N/A</v>
          </cell>
          <cell r="L596" t="e">
            <v>#N/A</v>
          </cell>
          <cell r="M596" t="e">
            <v>#N/A</v>
          </cell>
          <cell r="N596" t="e">
            <v>#N/A</v>
          </cell>
          <cell r="O596" t="e">
            <v>#N/A</v>
          </cell>
          <cell r="P596" t="str">
            <v/>
          </cell>
          <cell r="Q596" t="str">
            <v/>
          </cell>
          <cell r="R596" t="e">
            <v>#N/A</v>
          </cell>
        </row>
        <row r="597">
          <cell r="A597">
            <v>41017</v>
          </cell>
          <cell r="B597">
            <v>41017</v>
          </cell>
          <cell r="C597" t="str">
            <v>Future</v>
          </cell>
          <cell r="D597" t="e">
            <v>#N/A</v>
          </cell>
          <cell r="E597">
            <v>54.429831699604705</v>
          </cell>
          <cell r="F597">
            <v>65.694653833992177</v>
          </cell>
          <cell r="G597">
            <v>60.437736837944726</v>
          </cell>
          <cell r="H597">
            <v>60.437736837944726</v>
          </cell>
          <cell r="I597" t="e">
            <v>#N/A</v>
          </cell>
          <cell r="J597" t="e">
            <v>#N/A</v>
          </cell>
          <cell r="K597" t="e">
            <v>#N/A</v>
          </cell>
          <cell r="L597" t="e">
            <v>#N/A</v>
          </cell>
          <cell r="M597" t="e">
            <v>#N/A</v>
          </cell>
          <cell r="N597" t="e">
            <v>#N/A</v>
          </cell>
          <cell r="O597" t="e">
            <v>#N/A</v>
          </cell>
          <cell r="P597" t="str">
            <v/>
          </cell>
          <cell r="Q597" t="str">
            <v/>
          </cell>
          <cell r="R597" t="e">
            <v>#N/A</v>
          </cell>
        </row>
        <row r="598">
          <cell r="A598">
            <v>41018</v>
          </cell>
          <cell r="B598">
            <v>41018</v>
          </cell>
          <cell r="C598" t="str">
            <v>Future</v>
          </cell>
          <cell r="D598" t="e">
            <v>#N/A</v>
          </cell>
          <cell r="E598">
            <v>54.176669691699566</v>
          </cell>
          <cell r="F598">
            <v>65.737934513834077</v>
          </cell>
          <cell r="G598">
            <v>60.342677596838008</v>
          </cell>
          <cell r="H598">
            <v>60.342677596838008</v>
          </cell>
          <cell r="I598" t="e">
            <v>#N/A</v>
          </cell>
          <cell r="J598" t="e">
            <v>#N/A</v>
          </cell>
          <cell r="K598" t="e">
            <v>#N/A</v>
          </cell>
          <cell r="L598" t="e">
            <v>#N/A</v>
          </cell>
          <cell r="M598" t="e">
            <v>#N/A</v>
          </cell>
          <cell r="N598" t="e">
            <v>#N/A</v>
          </cell>
          <cell r="O598" t="e">
            <v>#N/A</v>
          </cell>
          <cell r="P598" t="str">
            <v/>
          </cell>
          <cell r="Q598" t="str">
            <v/>
          </cell>
          <cell r="R598" t="e">
            <v>#N/A</v>
          </cell>
        </row>
        <row r="599">
          <cell r="A599">
            <v>41019</v>
          </cell>
          <cell r="B599">
            <v>41019</v>
          </cell>
          <cell r="C599" t="str">
            <v>Future</v>
          </cell>
          <cell r="D599" t="e">
            <v>#N/A</v>
          </cell>
          <cell r="E599">
            <v>53.923507683794426</v>
          </cell>
          <cell r="F599">
            <v>65.781215193675976</v>
          </cell>
          <cell r="G599">
            <v>60.247618355731291</v>
          </cell>
          <cell r="H599">
            <v>60.247618355731291</v>
          </cell>
          <cell r="I599" t="e">
            <v>#N/A</v>
          </cell>
          <cell r="J599" t="e">
            <v>#N/A</v>
          </cell>
          <cell r="K599" t="e">
            <v>#N/A</v>
          </cell>
          <cell r="L599" t="e">
            <v>#N/A</v>
          </cell>
          <cell r="M599" t="e">
            <v>#N/A</v>
          </cell>
          <cell r="N599" t="e">
            <v>#N/A</v>
          </cell>
          <cell r="O599" t="e">
            <v>#N/A</v>
          </cell>
          <cell r="P599" t="str">
            <v/>
          </cell>
          <cell r="Q599" t="str">
            <v/>
          </cell>
          <cell r="R599" t="e">
            <v>#N/A</v>
          </cell>
        </row>
        <row r="600">
          <cell r="A600">
            <v>41022</v>
          </cell>
          <cell r="B600">
            <v>41022</v>
          </cell>
          <cell r="C600" t="str">
            <v>Future</v>
          </cell>
          <cell r="D600" t="e">
            <v>#N/A</v>
          </cell>
          <cell r="E600">
            <v>53.670345675889287</v>
          </cell>
          <cell r="F600">
            <v>65.824495873517876</v>
          </cell>
          <cell r="G600">
            <v>60.152559114624573</v>
          </cell>
          <cell r="H600">
            <v>60.152559114624573</v>
          </cell>
          <cell r="I600" t="e">
            <v>#N/A</v>
          </cell>
          <cell r="J600" t="e">
            <v>#N/A</v>
          </cell>
          <cell r="K600" t="e">
            <v>#N/A</v>
          </cell>
          <cell r="L600" t="e">
            <v>#N/A</v>
          </cell>
          <cell r="M600" t="e">
            <v>#N/A</v>
          </cell>
          <cell r="N600" t="e">
            <v>#N/A</v>
          </cell>
          <cell r="O600" t="e">
            <v>#N/A</v>
          </cell>
          <cell r="P600" t="str">
            <v/>
          </cell>
          <cell r="Q600" t="str">
            <v/>
          </cell>
          <cell r="R600" t="e">
            <v>#N/A</v>
          </cell>
        </row>
        <row r="601">
          <cell r="A601">
            <v>41023</v>
          </cell>
          <cell r="B601">
            <v>41023</v>
          </cell>
          <cell r="C601" t="str">
            <v>Future</v>
          </cell>
          <cell r="D601" t="e">
            <v>#N/A</v>
          </cell>
          <cell r="E601">
            <v>53.417183667984148</v>
          </cell>
          <cell r="F601">
            <v>65.867776553359775</v>
          </cell>
          <cell r="G601">
            <v>60.057499873517855</v>
          </cell>
          <cell r="H601">
            <v>60.057499873517855</v>
          </cell>
          <cell r="I601" t="e">
            <v>#N/A</v>
          </cell>
          <cell r="J601" t="e">
            <v>#N/A</v>
          </cell>
          <cell r="K601" t="e">
            <v>#N/A</v>
          </cell>
          <cell r="L601" t="e">
            <v>#N/A</v>
          </cell>
          <cell r="M601" t="e">
            <v>#N/A</v>
          </cell>
          <cell r="N601" t="e">
            <v>#N/A</v>
          </cell>
          <cell r="O601" t="e">
            <v>#N/A</v>
          </cell>
          <cell r="P601" t="str">
            <v/>
          </cell>
          <cell r="Q601" t="str">
            <v/>
          </cell>
          <cell r="R601" t="e">
            <v>#N/A</v>
          </cell>
        </row>
        <row r="602">
          <cell r="A602">
            <v>41024</v>
          </cell>
          <cell r="B602">
            <v>41024</v>
          </cell>
          <cell r="C602" t="str">
            <v>Future</v>
          </cell>
          <cell r="D602" t="e">
            <v>#N/A</v>
          </cell>
          <cell r="E602">
            <v>53.164021660079008</v>
          </cell>
          <cell r="F602">
            <v>65.911057233201674</v>
          </cell>
          <cell r="G602">
            <v>59.962440632411138</v>
          </cell>
          <cell r="H602">
            <v>59.962440632411138</v>
          </cell>
          <cell r="I602" t="e">
            <v>#N/A</v>
          </cell>
          <cell r="J602" t="e">
            <v>#N/A</v>
          </cell>
          <cell r="K602" t="e">
            <v>#N/A</v>
          </cell>
          <cell r="L602" t="e">
            <v>#N/A</v>
          </cell>
          <cell r="M602" t="e">
            <v>#N/A</v>
          </cell>
          <cell r="N602" t="e">
            <v>#N/A</v>
          </cell>
          <cell r="O602" t="e">
            <v>#N/A</v>
          </cell>
          <cell r="P602" t="str">
            <v/>
          </cell>
          <cell r="Q602" t="str">
            <v/>
          </cell>
          <cell r="R602" t="e">
            <v>#N/A</v>
          </cell>
        </row>
        <row r="603">
          <cell r="A603">
            <v>41025</v>
          </cell>
          <cell r="B603">
            <v>41025</v>
          </cell>
          <cell r="C603" t="str">
            <v>Future</v>
          </cell>
          <cell r="D603" t="e">
            <v>#N/A</v>
          </cell>
          <cell r="E603">
            <v>52.910859652173869</v>
          </cell>
          <cell r="F603">
            <v>65.954337913043574</v>
          </cell>
          <cell r="G603">
            <v>59.86738139130442</v>
          </cell>
          <cell r="H603">
            <v>59.86738139130442</v>
          </cell>
          <cell r="I603" t="e">
            <v>#N/A</v>
          </cell>
          <cell r="J603" t="e">
            <v>#N/A</v>
          </cell>
          <cell r="K603" t="e">
            <v>#N/A</v>
          </cell>
          <cell r="L603" t="e">
            <v>#N/A</v>
          </cell>
          <cell r="M603" t="e">
            <v>#N/A</v>
          </cell>
          <cell r="N603" t="e">
            <v>#N/A</v>
          </cell>
          <cell r="O603" t="e">
            <v>#N/A</v>
          </cell>
          <cell r="P603" t="str">
            <v/>
          </cell>
          <cell r="Q603" t="str">
            <v/>
          </cell>
          <cell r="R603" t="e">
            <v>#N/A</v>
          </cell>
        </row>
        <row r="604">
          <cell r="A604">
            <v>41026</v>
          </cell>
          <cell r="B604">
            <v>41026</v>
          </cell>
          <cell r="C604" t="str">
            <v>Future</v>
          </cell>
          <cell r="D604" t="e">
            <v>#N/A</v>
          </cell>
          <cell r="E604">
            <v>52.65769764426873</v>
          </cell>
          <cell r="F604">
            <v>65.997618592885473</v>
          </cell>
          <cell r="G604">
            <v>59.772322150197702</v>
          </cell>
          <cell r="H604">
            <v>59.772322150197702</v>
          </cell>
          <cell r="I604" t="e">
            <v>#N/A</v>
          </cell>
          <cell r="J604" t="e">
            <v>#N/A</v>
          </cell>
          <cell r="K604" t="e">
            <v>#N/A</v>
          </cell>
          <cell r="L604" t="e">
            <v>#N/A</v>
          </cell>
          <cell r="M604" t="e">
            <v>#N/A</v>
          </cell>
          <cell r="N604" t="e">
            <v>#N/A</v>
          </cell>
          <cell r="O604" t="e">
            <v>#N/A</v>
          </cell>
          <cell r="P604" t="str">
            <v/>
          </cell>
          <cell r="Q604" t="str">
            <v/>
          </cell>
          <cell r="R604" t="e">
            <v>#N/A</v>
          </cell>
        </row>
        <row r="605">
          <cell r="A605">
            <v>41029</v>
          </cell>
          <cell r="B605">
            <v>41029</v>
          </cell>
          <cell r="C605" t="str">
            <v>Future</v>
          </cell>
          <cell r="D605" t="e">
            <v>#N/A</v>
          </cell>
          <cell r="E605">
            <v>52.40453563636359</v>
          </cell>
          <cell r="F605">
            <v>66.040899272727373</v>
          </cell>
          <cell r="G605">
            <v>59.677262909090985</v>
          </cell>
          <cell r="H605">
            <v>59.677262909090985</v>
          </cell>
          <cell r="I605" t="e">
            <v>#N/A</v>
          </cell>
          <cell r="J605" t="e">
            <v>#N/A</v>
          </cell>
          <cell r="K605" t="e">
            <v>#N/A</v>
          </cell>
          <cell r="L605" t="e">
            <v>#N/A</v>
          </cell>
          <cell r="M605" t="e">
            <v>#N/A</v>
          </cell>
          <cell r="N605" t="e">
            <v>#N/A</v>
          </cell>
          <cell r="O605" t="e">
            <v>#N/A</v>
          </cell>
          <cell r="P605" t="str">
            <v/>
          </cell>
          <cell r="Q605" t="str">
            <v/>
          </cell>
          <cell r="R605" t="e">
            <v>#N/A</v>
          </cell>
        </row>
        <row r="606">
          <cell r="A606">
            <v>41030</v>
          </cell>
          <cell r="B606">
            <v>41030</v>
          </cell>
          <cell r="C606" t="str">
            <v>Future</v>
          </cell>
          <cell r="D606" t="e">
            <v>#N/A</v>
          </cell>
          <cell r="E606">
            <v>52.151373628458451</v>
          </cell>
          <cell r="F606">
            <v>66.084179952569272</v>
          </cell>
          <cell r="G606">
            <v>59.582203667984267</v>
          </cell>
          <cell r="H606">
            <v>59.582203667984267</v>
          </cell>
          <cell r="I606" t="e">
            <v>#N/A</v>
          </cell>
          <cell r="J606" t="e">
            <v>#N/A</v>
          </cell>
          <cell r="K606" t="e">
            <v>#N/A</v>
          </cell>
          <cell r="L606" t="e">
            <v>#N/A</v>
          </cell>
          <cell r="M606" t="e">
            <v>#N/A</v>
          </cell>
          <cell r="N606" t="e">
            <v>#N/A</v>
          </cell>
          <cell r="O606" t="e">
            <v>#N/A</v>
          </cell>
          <cell r="P606" t="str">
            <v/>
          </cell>
          <cell r="Q606" t="str">
            <v/>
          </cell>
          <cell r="R606" t="e">
            <v>#N/A</v>
          </cell>
        </row>
        <row r="607">
          <cell r="A607">
            <v>41031</v>
          </cell>
          <cell r="B607">
            <v>41031</v>
          </cell>
          <cell r="C607" t="str">
            <v>Future</v>
          </cell>
          <cell r="D607" t="e">
            <v>#N/A</v>
          </cell>
          <cell r="E607">
            <v>51.898211620553312</v>
          </cell>
          <cell r="F607">
            <v>66.127460632411172</v>
          </cell>
          <cell r="G607">
            <v>59.487144426877549</v>
          </cell>
          <cell r="H607">
            <v>59.487144426877549</v>
          </cell>
          <cell r="I607" t="e">
            <v>#N/A</v>
          </cell>
          <cell r="J607" t="e">
            <v>#N/A</v>
          </cell>
          <cell r="K607" t="e">
            <v>#N/A</v>
          </cell>
          <cell r="L607" t="e">
            <v>#N/A</v>
          </cell>
          <cell r="M607" t="e">
            <v>#N/A</v>
          </cell>
          <cell r="N607" t="e">
            <v>#N/A</v>
          </cell>
          <cell r="O607" t="e">
            <v>#N/A</v>
          </cell>
          <cell r="P607" t="str">
            <v/>
          </cell>
          <cell r="Q607" t="str">
            <v/>
          </cell>
          <cell r="R607" t="e">
            <v>#N/A</v>
          </cell>
        </row>
        <row r="608">
          <cell r="A608">
            <v>41032</v>
          </cell>
          <cell r="B608">
            <v>41032</v>
          </cell>
          <cell r="C608" t="str">
            <v>Future</v>
          </cell>
          <cell r="D608" t="e">
            <v>#N/A</v>
          </cell>
          <cell r="E608">
            <v>51.645049612648172</v>
          </cell>
          <cell r="F608">
            <v>66.170741312253071</v>
          </cell>
          <cell r="G608">
            <v>59.392085185770831</v>
          </cell>
          <cell r="H608">
            <v>59.392085185770831</v>
          </cell>
          <cell r="I608" t="e">
            <v>#N/A</v>
          </cell>
          <cell r="J608" t="e">
            <v>#N/A</v>
          </cell>
          <cell r="K608" t="e">
            <v>#N/A</v>
          </cell>
          <cell r="L608" t="e">
            <v>#N/A</v>
          </cell>
          <cell r="M608" t="e">
            <v>#N/A</v>
          </cell>
          <cell r="N608" t="e">
            <v>#N/A</v>
          </cell>
          <cell r="O608" t="e">
            <v>#N/A</v>
          </cell>
          <cell r="P608" t="str">
            <v/>
          </cell>
          <cell r="Q608" t="str">
            <v/>
          </cell>
          <cell r="R608" t="e">
            <v>#N/A</v>
          </cell>
        </row>
        <row r="609">
          <cell r="A609">
            <v>41033</v>
          </cell>
          <cell r="B609">
            <v>41033</v>
          </cell>
          <cell r="C609" t="str">
            <v>Future</v>
          </cell>
          <cell r="D609" t="e">
            <v>#N/A</v>
          </cell>
          <cell r="E609">
            <v>51.391887604743033</v>
          </cell>
          <cell r="F609">
            <v>66.21402199209497</v>
          </cell>
          <cell r="G609">
            <v>59.297025944664114</v>
          </cell>
          <cell r="H609">
            <v>59.297025944664114</v>
          </cell>
          <cell r="I609" t="e">
            <v>#N/A</v>
          </cell>
          <cell r="J609" t="e">
            <v>#N/A</v>
          </cell>
          <cell r="K609" t="e">
            <v>#N/A</v>
          </cell>
          <cell r="L609" t="e">
            <v>#N/A</v>
          </cell>
          <cell r="M609" t="e">
            <v>#N/A</v>
          </cell>
          <cell r="N609" t="e">
            <v>#N/A</v>
          </cell>
          <cell r="O609" t="e">
            <v>#N/A</v>
          </cell>
          <cell r="P609" t="str">
            <v/>
          </cell>
          <cell r="Q609" t="str">
            <v/>
          </cell>
          <cell r="R609" t="e">
            <v>#N/A</v>
          </cell>
        </row>
        <row r="610">
          <cell r="A610">
            <v>41036</v>
          </cell>
          <cell r="B610">
            <v>41036</v>
          </cell>
          <cell r="C610" t="str">
            <v>Future</v>
          </cell>
          <cell r="D610" t="e">
            <v>#N/A</v>
          </cell>
          <cell r="E610">
            <v>51.138725596837894</v>
          </cell>
          <cell r="F610">
            <v>66.25730267193687</v>
          </cell>
          <cell r="G610">
            <v>59.201966703557396</v>
          </cell>
          <cell r="H610">
            <v>59.201966703557396</v>
          </cell>
          <cell r="I610" t="e">
            <v>#N/A</v>
          </cell>
          <cell r="J610" t="e">
            <v>#N/A</v>
          </cell>
          <cell r="K610" t="e">
            <v>#N/A</v>
          </cell>
          <cell r="L610" t="e">
            <v>#N/A</v>
          </cell>
          <cell r="M610" t="e">
            <v>#N/A</v>
          </cell>
          <cell r="N610" t="e">
            <v>#N/A</v>
          </cell>
          <cell r="O610" t="e">
            <v>#N/A</v>
          </cell>
          <cell r="P610" t="str">
            <v/>
          </cell>
          <cell r="Q610" t="str">
            <v/>
          </cell>
          <cell r="R610" t="e">
            <v>#N/A</v>
          </cell>
        </row>
        <row r="611">
          <cell r="A611">
            <v>41037</v>
          </cell>
          <cell r="B611">
            <v>41037</v>
          </cell>
          <cell r="C611" t="str">
            <v>Future</v>
          </cell>
          <cell r="D611" t="e">
            <v>#N/A</v>
          </cell>
          <cell r="E611">
            <v>50.885563588932754</v>
          </cell>
          <cell r="F611">
            <v>66.300583351778769</v>
          </cell>
          <cell r="G611">
            <v>59.106907462450678</v>
          </cell>
          <cell r="H611">
            <v>59.106907462450678</v>
          </cell>
          <cell r="I611" t="e">
            <v>#N/A</v>
          </cell>
          <cell r="J611" t="e">
            <v>#N/A</v>
          </cell>
          <cell r="K611" t="e">
            <v>#N/A</v>
          </cell>
          <cell r="L611" t="e">
            <v>#N/A</v>
          </cell>
          <cell r="M611" t="e">
            <v>#N/A</v>
          </cell>
          <cell r="N611" t="e">
            <v>#N/A</v>
          </cell>
          <cell r="O611" t="e">
            <v>#N/A</v>
          </cell>
          <cell r="P611" t="str">
            <v/>
          </cell>
          <cell r="Q611" t="str">
            <v/>
          </cell>
          <cell r="R611" t="e">
            <v>#N/A</v>
          </cell>
        </row>
        <row r="612">
          <cell r="A612">
            <v>41038</v>
          </cell>
          <cell r="B612">
            <v>41038</v>
          </cell>
          <cell r="C612" t="str">
            <v>Future</v>
          </cell>
          <cell r="D612" t="e">
            <v>#N/A</v>
          </cell>
          <cell r="E612">
            <v>50.632401581027615</v>
          </cell>
          <cell r="F612">
            <v>66.343864031620669</v>
          </cell>
          <cell r="G612">
            <v>59.011848221343961</v>
          </cell>
          <cell r="H612">
            <v>59.011848221343961</v>
          </cell>
          <cell r="I612" t="e">
            <v>#N/A</v>
          </cell>
          <cell r="J612" t="e">
            <v>#N/A</v>
          </cell>
          <cell r="K612" t="e">
            <v>#N/A</v>
          </cell>
          <cell r="L612" t="e">
            <v>#N/A</v>
          </cell>
          <cell r="M612" t="e">
            <v>#N/A</v>
          </cell>
          <cell r="N612" t="e">
            <v>#N/A</v>
          </cell>
          <cell r="O612" t="e">
            <v>#N/A</v>
          </cell>
          <cell r="P612" t="str">
            <v/>
          </cell>
          <cell r="Q612" t="str">
            <v/>
          </cell>
          <cell r="R612" t="e">
            <v>#N/A</v>
          </cell>
        </row>
        <row r="613">
          <cell r="A613">
            <v>41039</v>
          </cell>
          <cell r="B613">
            <v>41039</v>
          </cell>
          <cell r="C613" t="str">
            <v>Future</v>
          </cell>
          <cell r="D613" t="e">
            <v>#N/A</v>
          </cell>
          <cell r="E613">
            <v>50.379239573122476</v>
          </cell>
          <cell r="F613">
            <v>66.387144711462568</v>
          </cell>
          <cell r="G613">
            <v>58.916788980237243</v>
          </cell>
          <cell r="H613">
            <v>58.916788980237243</v>
          </cell>
          <cell r="I613" t="e">
            <v>#N/A</v>
          </cell>
          <cell r="J613" t="e">
            <v>#N/A</v>
          </cell>
          <cell r="K613" t="e">
            <v>#N/A</v>
          </cell>
          <cell r="L613" t="e">
            <v>#N/A</v>
          </cell>
          <cell r="M613" t="e">
            <v>#N/A</v>
          </cell>
          <cell r="N613" t="e">
            <v>#N/A</v>
          </cell>
          <cell r="O613" t="e">
            <v>#N/A</v>
          </cell>
          <cell r="P613" t="str">
            <v/>
          </cell>
          <cell r="Q613" t="str">
            <v/>
          </cell>
          <cell r="R613" t="e">
            <v>#N/A</v>
          </cell>
        </row>
        <row r="614">
          <cell r="A614">
            <v>41040</v>
          </cell>
          <cell r="B614">
            <v>41040</v>
          </cell>
          <cell r="C614" t="str">
            <v>Future</v>
          </cell>
          <cell r="D614" t="e">
            <v>#N/A</v>
          </cell>
          <cell r="E614">
            <v>50.126077565217336</v>
          </cell>
          <cell r="F614">
            <v>66.430425391304468</v>
          </cell>
          <cell r="G614">
            <v>58.821729739130525</v>
          </cell>
          <cell r="H614">
            <v>58.821729739130525</v>
          </cell>
          <cell r="I614" t="e">
            <v>#N/A</v>
          </cell>
          <cell r="J614" t="e">
            <v>#N/A</v>
          </cell>
          <cell r="K614" t="e">
            <v>#N/A</v>
          </cell>
          <cell r="L614" t="e">
            <v>#N/A</v>
          </cell>
          <cell r="M614" t="e">
            <v>#N/A</v>
          </cell>
          <cell r="N614" t="e">
            <v>#N/A</v>
          </cell>
          <cell r="O614" t="e">
            <v>#N/A</v>
          </cell>
          <cell r="P614" t="str">
            <v/>
          </cell>
          <cell r="Q614" t="str">
            <v/>
          </cell>
          <cell r="R614" t="e">
            <v>#N/A</v>
          </cell>
        </row>
        <row r="615">
          <cell r="A615">
            <v>41043</v>
          </cell>
          <cell r="B615">
            <v>41043</v>
          </cell>
          <cell r="C615" t="str">
            <v>Future</v>
          </cell>
          <cell r="D615" t="e">
            <v>#N/A</v>
          </cell>
          <cell r="E615">
            <v>49.872915557312197</v>
          </cell>
          <cell r="F615">
            <v>66.473706071146367</v>
          </cell>
          <cell r="G615">
            <v>58.726670498023807</v>
          </cell>
          <cell r="H615">
            <v>58.726670498023807</v>
          </cell>
          <cell r="I615" t="e">
            <v>#N/A</v>
          </cell>
          <cell r="J615" t="e">
            <v>#N/A</v>
          </cell>
          <cell r="K615" t="e">
            <v>#N/A</v>
          </cell>
          <cell r="L615" t="e">
            <v>#N/A</v>
          </cell>
          <cell r="M615" t="e">
            <v>#N/A</v>
          </cell>
          <cell r="N615" t="e">
            <v>#N/A</v>
          </cell>
          <cell r="O615" t="e">
            <v>#N/A</v>
          </cell>
          <cell r="P615" t="str">
            <v/>
          </cell>
          <cell r="Q615" t="str">
            <v/>
          </cell>
          <cell r="R615" t="e">
            <v>#N/A</v>
          </cell>
        </row>
        <row r="616">
          <cell r="A616">
            <v>41044</v>
          </cell>
          <cell r="B616">
            <v>41044</v>
          </cell>
          <cell r="C616" t="str">
            <v>Future</v>
          </cell>
          <cell r="D616" t="e">
            <v>#N/A</v>
          </cell>
          <cell r="E616">
            <v>49.619753549407058</v>
          </cell>
          <cell r="F616">
            <v>66.516986750988266</v>
          </cell>
          <cell r="G616">
            <v>58.63161125691709</v>
          </cell>
          <cell r="H616">
            <v>58.63161125691709</v>
          </cell>
          <cell r="I616" t="e">
            <v>#N/A</v>
          </cell>
          <cell r="J616" t="e">
            <v>#N/A</v>
          </cell>
          <cell r="K616" t="e">
            <v>#N/A</v>
          </cell>
          <cell r="L616" t="e">
            <v>#N/A</v>
          </cell>
          <cell r="M616" t="e">
            <v>#N/A</v>
          </cell>
          <cell r="N616" t="e">
            <v>#N/A</v>
          </cell>
          <cell r="O616" t="e">
            <v>#N/A</v>
          </cell>
          <cell r="P616" t="str">
            <v/>
          </cell>
          <cell r="Q616" t="str">
            <v/>
          </cell>
          <cell r="R616" t="e">
            <v>#N/A</v>
          </cell>
        </row>
        <row r="617">
          <cell r="A617">
            <v>41045</v>
          </cell>
          <cell r="B617">
            <v>41045</v>
          </cell>
          <cell r="C617" t="str">
            <v>Future</v>
          </cell>
          <cell r="D617" t="e">
            <v>#N/A</v>
          </cell>
          <cell r="E617">
            <v>49.366591541501919</v>
          </cell>
          <cell r="F617">
            <v>66.560267430830166</v>
          </cell>
          <cell r="G617">
            <v>58.536552015810372</v>
          </cell>
          <cell r="H617">
            <v>58.536552015810372</v>
          </cell>
          <cell r="I617" t="e">
            <v>#N/A</v>
          </cell>
          <cell r="J617" t="e">
            <v>#N/A</v>
          </cell>
          <cell r="K617" t="e">
            <v>#N/A</v>
          </cell>
          <cell r="L617" t="e">
            <v>#N/A</v>
          </cell>
          <cell r="M617" t="e">
            <v>#N/A</v>
          </cell>
          <cell r="N617" t="e">
            <v>#N/A</v>
          </cell>
          <cell r="O617" t="e">
            <v>#N/A</v>
          </cell>
          <cell r="P617" t="str">
            <v/>
          </cell>
          <cell r="Q617" t="str">
            <v/>
          </cell>
          <cell r="R617" t="e">
            <v>#N/A</v>
          </cell>
        </row>
        <row r="618">
          <cell r="A618">
            <v>41046</v>
          </cell>
          <cell r="B618">
            <v>41046</v>
          </cell>
          <cell r="C618" t="str">
            <v>Future</v>
          </cell>
          <cell r="D618" t="e">
            <v>#N/A</v>
          </cell>
          <cell r="E618">
            <v>49.113429533596779</v>
          </cell>
          <cell r="F618">
            <v>66.603548110672065</v>
          </cell>
          <cell r="G618">
            <v>58.441492774703654</v>
          </cell>
          <cell r="H618">
            <v>58.441492774703654</v>
          </cell>
          <cell r="I618" t="e">
            <v>#N/A</v>
          </cell>
          <cell r="J618" t="e">
            <v>#N/A</v>
          </cell>
          <cell r="K618" t="e">
            <v>#N/A</v>
          </cell>
          <cell r="L618" t="e">
            <v>#N/A</v>
          </cell>
          <cell r="M618" t="e">
            <v>#N/A</v>
          </cell>
          <cell r="N618" t="e">
            <v>#N/A</v>
          </cell>
          <cell r="O618" t="e">
            <v>#N/A</v>
          </cell>
          <cell r="P618" t="str">
            <v/>
          </cell>
          <cell r="Q618" t="str">
            <v/>
          </cell>
          <cell r="R618" t="e">
            <v>#N/A</v>
          </cell>
        </row>
        <row r="619">
          <cell r="A619">
            <v>41047</v>
          </cell>
          <cell r="B619">
            <v>41047</v>
          </cell>
          <cell r="C619" t="str">
            <v>Future</v>
          </cell>
          <cell r="D619" t="e">
            <v>#N/A</v>
          </cell>
          <cell r="E619">
            <v>48.86026752569164</v>
          </cell>
          <cell r="F619">
            <v>66.646828790513965</v>
          </cell>
          <cell r="G619">
            <v>58.346433533596937</v>
          </cell>
          <cell r="H619">
            <v>58.346433533596937</v>
          </cell>
          <cell r="I619" t="e">
            <v>#N/A</v>
          </cell>
          <cell r="J619" t="e">
            <v>#N/A</v>
          </cell>
          <cell r="K619" t="e">
            <v>#N/A</v>
          </cell>
          <cell r="L619" t="e">
            <v>#N/A</v>
          </cell>
          <cell r="M619" t="e">
            <v>#N/A</v>
          </cell>
          <cell r="N619" t="e">
            <v>#N/A</v>
          </cell>
          <cell r="O619" t="e">
            <v>#N/A</v>
          </cell>
          <cell r="P619" t="str">
            <v/>
          </cell>
          <cell r="Q619" t="str">
            <v/>
          </cell>
          <cell r="R619" t="e">
            <v>#N/A</v>
          </cell>
        </row>
        <row r="620">
          <cell r="A620">
            <v>41050</v>
          </cell>
          <cell r="B620">
            <v>41050</v>
          </cell>
          <cell r="C620" t="str">
            <v>Future</v>
          </cell>
          <cell r="D620" t="e">
            <v>#N/A</v>
          </cell>
          <cell r="E620">
            <v>48.607105517786501</v>
          </cell>
          <cell r="F620">
            <v>66.690109470355864</v>
          </cell>
          <cell r="G620">
            <v>58.251374292490219</v>
          </cell>
          <cell r="H620">
            <v>58.251374292490219</v>
          </cell>
          <cell r="I620" t="e">
            <v>#N/A</v>
          </cell>
          <cell r="J620" t="e">
            <v>#N/A</v>
          </cell>
          <cell r="K620" t="e">
            <v>#N/A</v>
          </cell>
          <cell r="L620" t="e">
            <v>#N/A</v>
          </cell>
          <cell r="M620" t="e">
            <v>#N/A</v>
          </cell>
          <cell r="N620" t="e">
            <v>#N/A</v>
          </cell>
          <cell r="O620" t="e">
            <v>#N/A</v>
          </cell>
          <cell r="P620" t="str">
            <v/>
          </cell>
          <cell r="Q620" t="str">
            <v/>
          </cell>
          <cell r="R620" t="e">
            <v>#N/A</v>
          </cell>
        </row>
        <row r="621">
          <cell r="A621">
            <v>41051</v>
          </cell>
          <cell r="B621">
            <v>41051</v>
          </cell>
          <cell r="C621" t="str">
            <v>Future</v>
          </cell>
          <cell r="D621" t="e">
            <v>#N/A</v>
          </cell>
          <cell r="E621">
            <v>48.353943509881361</v>
          </cell>
          <cell r="F621">
            <v>66.733390150197764</v>
          </cell>
          <cell r="G621">
            <v>58.156315051383501</v>
          </cell>
          <cell r="H621">
            <v>58.156315051383501</v>
          </cell>
          <cell r="I621" t="e">
            <v>#N/A</v>
          </cell>
          <cell r="J621" t="e">
            <v>#N/A</v>
          </cell>
          <cell r="K621" t="e">
            <v>#N/A</v>
          </cell>
          <cell r="L621" t="e">
            <v>#N/A</v>
          </cell>
          <cell r="M621" t="e">
            <v>#N/A</v>
          </cell>
          <cell r="N621" t="e">
            <v>#N/A</v>
          </cell>
          <cell r="O621" t="e">
            <v>#N/A</v>
          </cell>
          <cell r="P621" t="str">
            <v/>
          </cell>
          <cell r="Q621" t="str">
            <v/>
          </cell>
          <cell r="R621" t="e">
            <v>#N/A</v>
          </cell>
        </row>
        <row r="622">
          <cell r="A622">
            <v>41052</v>
          </cell>
          <cell r="B622">
            <v>41052</v>
          </cell>
          <cell r="C622" t="str">
            <v>Future</v>
          </cell>
          <cell r="D622" t="e">
            <v>#N/A</v>
          </cell>
          <cell r="E622">
            <v>48.100781501976222</v>
          </cell>
          <cell r="F622">
            <v>66.776670830039663</v>
          </cell>
          <cell r="G622">
            <v>58.061255810276784</v>
          </cell>
          <cell r="H622">
            <v>58.061255810276784</v>
          </cell>
          <cell r="I622" t="e">
            <v>#N/A</v>
          </cell>
          <cell r="J622" t="e">
            <v>#N/A</v>
          </cell>
          <cell r="K622" t="e">
            <v>#N/A</v>
          </cell>
          <cell r="L622" t="e">
            <v>#N/A</v>
          </cell>
          <cell r="M622" t="e">
            <v>#N/A</v>
          </cell>
          <cell r="N622" t="e">
            <v>#N/A</v>
          </cell>
          <cell r="O622" t="e">
            <v>#N/A</v>
          </cell>
          <cell r="P622" t="str">
            <v/>
          </cell>
          <cell r="Q622" t="str">
            <v/>
          </cell>
          <cell r="R622" t="e">
            <v>#N/A</v>
          </cell>
        </row>
        <row r="623">
          <cell r="A623">
            <v>41053</v>
          </cell>
          <cell r="B623">
            <v>41053</v>
          </cell>
          <cell r="C623" t="str">
            <v>Future</v>
          </cell>
          <cell r="D623" t="e">
            <v>#N/A</v>
          </cell>
          <cell r="E623">
            <v>47.847619494071083</v>
          </cell>
          <cell r="F623">
            <v>66.819951509881562</v>
          </cell>
          <cell r="G623">
            <v>57.966196569170066</v>
          </cell>
          <cell r="H623">
            <v>57.966196569170066</v>
          </cell>
          <cell r="I623" t="e">
            <v>#N/A</v>
          </cell>
          <cell r="J623" t="e">
            <v>#N/A</v>
          </cell>
          <cell r="K623" t="e">
            <v>#N/A</v>
          </cell>
          <cell r="L623" t="e">
            <v>#N/A</v>
          </cell>
          <cell r="M623" t="e">
            <v>#N/A</v>
          </cell>
          <cell r="N623" t="e">
            <v>#N/A</v>
          </cell>
          <cell r="O623" t="e">
            <v>#N/A</v>
          </cell>
          <cell r="P623" t="str">
            <v/>
          </cell>
          <cell r="Q623" t="str">
            <v/>
          </cell>
          <cell r="R623" t="e">
            <v>#N/A</v>
          </cell>
        </row>
        <row r="624">
          <cell r="A624">
            <v>41054</v>
          </cell>
          <cell r="B624">
            <v>41054</v>
          </cell>
          <cell r="C624" t="str">
            <v>Future</v>
          </cell>
          <cell r="D624" t="e">
            <v>#N/A</v>
          </cell>
          <cell r="E624">
            <v>47.594457486165943</v>
          </cell>
          <cell r="F624">
            <v>66.863232189723462</v>
          </cell>
          <cell r="G624">
            <v>57.871137328063348</v>
          </cell>
          <cell r="H624">
            <v>57.871137328063348</v>
          </cell>
          <cell r="I624" t="e">
            <v>#N/A</v>
          </cell>
          <cell r="J624" t="e">
            <v>#N/A</v>
          </cell>
          <cell r="K624" t="e">
            <v>#N/A</v>
          </cell>
          <cell r="L624" t="e">
            <v>#N/A</v>
          </cell>
          <cell r="M624" t="e">
            <v>#N/A</v>
          </cell>
          <cell r="N624" t="e">
            <v>#N/A</v>
          </cell>
          <cell r="O624" t="e">
            <v>#N/A</v>
          </cell>
          <cell r="P624" t="str">
            <v/>
          </cell>
          <cell r="Q624" t="str">
            <v/>
          </cell>
          <cell r="R624" t="e">
            <v>#N/A</v>
          </cell>
        </row>
        <row r="625">
          <cell r="A625">
            <v>41058</v>
          </cell>
          <cell r="B625">
            <v>41058</v>
          </cell>
          <cell r="C625" t="str">
            <v>Future</v>
          </cell>
          <cell r="D625" t="e">
            <v>#N/A</v>
          </cell>
          <cell r="E625">
            <v>47.341295478260804</v>
          </cell>
          <cell r="F625">
            <v>66.906512869565361</v>
          </cell>
          <cell r="G625">
            <v>57.77607808695663</v>
          </cell>
          <cell r="H625">
            <v>57.77607808695663</v>
          </cell>
          <cell r="I625" t="e">
            <v>#N/A</v>
          </cell>
          <cell r="J625" t="e">
            <v>#N/A</v>
          </cell>
          <cell r="K625" t="e">
            <v>#N/A</v>
          </cell>
          <cell r="L625" t="e">
            <v>#N/A</v>
          </cell>
          <cell r="M625" t="e">
            <v>#N/A</v>
          </cell>
          <cell r="N625" t="e">
            <v>#N/A</v>
          </cell>
          <cell r="O625" t="e">
            <v>#N/A</v>
          </cell>
          <cell r="P625" t="str">
            <v/>
          </cell>
          <cell r="Q625" t="str">
            <v/>
          </cell>
          <cell r="R625" t="e">
            <v>#N/A</v>
          </cell>
        </row>
        <row r="626">
          <cell r="A626">
            <v>41059</v>
          </cell>
          <cell r="B626">
            <v>41059</v>
          </cell>
          <cell r="C626" t="str">
            <v>Future</v>
          </cell>
          <cell r="D626" t="e">
            <v>#N/A</v>
          </cell>
          <cell r="E626">
            <v>47.088133470355665</v>
          </cell>
          <cell r="F626">
            <v>66.949793549407261</v>
          </cell>
          <cell r="G626">
            <v>57.681018845849913</v>
          </cell>
          <cell r="H626">
            <v>57.681018845849913</v>
          </cell>
          <cell r="I626" t="e">
            <v>#N/A</v>
          </cell>
          <cell r="J626" t="e">
            <v>#N/A</v>
          </cell>
          <cell r="K626" t="e">
            <v>#N/A</v>
          </cell>
          <cell r="L626" t="e">
            <v>#N/A</v>
          </cell>
          <cell r="M626" t="e">
            <v>#N/A</v>
          </cell>
          <cell r="N626" t="e">
            <v>#N/A</v>
          </cell>
          <cell r="O626" t="e">
            <v>#N/A</v>
          </cell>
          <cell r="P626" t="str">
            <v/>
          </cell>
          <cell r="Q626" t="str">
            <v/>
          </cell>
          <cell r="R626" t="e">
            <v>#N/A</v>
          </cell>
        </row>
        <row r="627">
          <cell r="A627">
            <v>41060</v>
          </cell>
          <cell r="B627">
            <v>41060</v>
          </cell>
          <cell r="C627" t="str">
            <v>Future</v>
          </cell>
          <cell r="D627" t="e">
            <v>#N/A</v>
          </cell>
          <cell r="E627">
            <v>46.834971462450525</v>
          </cell>
          <cell r="F627">
            <v>66.99307422924916</v>
          </cell>
          <cell r="G627">
            <v>57.585959604743195</v>
          </cell>
          <cell r="H627">
            <v>57.585959604743195</v>
          </cell>
          <cell r="I627" t="e">
            <v>#N/A</v>
          </cell>
          <cell r="J627" t="e">
            <v>#N/A</v>
          </cell>
          <cell r="K627" t="e">
            <v>#N/A</v>
          </cell>
          <cell r="L627" t="e">
            <v>#N/A</v>
          </cell>
          <cell r="M627" t="e">
            <v>#N/A</v>
          </cell>
          <cell r="N627" t="e">
            <v>#N/A</v>
          </cell>
          <cell r="O627" t="e">
            <v>#N/A</v>
          </cell>
          <cell r="P627" t="str">
            <v/>
          </cell>
          <cell r="Q627" t="str">
            <v/>
          </cell>
          <cell r="R627" t="e">
            <v>#N/A</v>
          </cell>
        </row>
        <row r="628">
          <cell r="A628">
            <v>41061</v>
          </cell>
          <cell r="B628">
            <v>41061</v>
          </cell>
          <cell r="C628" t="str">
            <v>Future</v>
          </cell>
          <cell r="D628" t="e">
            <v>#N/A</v>
          </cell>
          <cell r="E628">
            <v>46.581809454545386</v>
          </cell>
          <cell r="F628">
            <v>67.03635490909106</v>
          </cell>
          <cell r="G628">
            <v>57.490900363636477</v>
          </cell>
          <cell r="H628">
            <v>57.490900363636477</v>
          </cell>
          <cell r="I628" t="e">
            <v>#N/A</v>
          </cell>
          <cell r="J628" t="e">
            <v>#N/A</v>
          </cell>
          <cell r="K628" t="e">
            <v>#N/A</v>
          </cell>
          <cell r="L628" t="e">
            <v>#N/A</v>
          </cell>
          <cell r="M628" t="e">
            <v>#N/A</v>
          </cell>
          <cell r="N628" t="e">
            <v>#N/A</v>
          </cell>
          <cell r="O628" t="e">
            <v>#N/A</v>
          </cell>
          <cell r="P628" t="str">
            <v/>
          </cell>
          <cell r="Q628" t="str">
            <v/>
          </cell>
          <cell r="R628" t="e">
            <v>#N/A</v>
          </cell>
        </row>
        <row r="629">
          <cell r="A629">
            <v>41064</v>
          </cell>
          <cell r="B629">
            <v>41064</v>
          </cell>
          <cell r="C629" t="str">
            <v>Future</v>
          </cell>
          <cell r="D629" t="e">
            <v>#N/A</v>
          </cell>
          <cell r="E629">
            <v>46.328647446640247</v>
          </cell>
          <cell r="F629">
            <v>67.079635588932959</v>
          </cell>
          <cell r="G629">
            <v>57.39584112252976</v>
          </cell>
          <cell r="H629">
            <v>57.39584112252976</v>
          </cell>
          <cell r="I629" t="e">
            <v>#N/A</v>
          </cell>
          <cell r="J629" t="e">
            <v>#N/A</v>
          </cell>
          <cell r="K629" t="e">
            <v>#N/A</v>
          </cell>
          <cell r="L629" t="e">
            <v>#N/A</v>
          </cell>
          <cell r="M629" t="e">
            <v>#N/A</v>
          </cell>
          <cell r="N629" t="e">
            <v>#N/A</v>
          </cell>
          <cell r="O629" t="e">
            <v>#N/A</v>
          </cell>
          <cell r="P629" t="str">
            <v/>
          </cell>
          <cell r="Q629" t="str">
            <v/>
          </cell>
          <cell r="R629" t="e">
            <v>#N/A</v>
          </cell>
        </row>
        <row r="630">
          <cell r="A630">
            <v>41065</v>
          </cell>
          <cell r="B630">
            <v>41065</v>
          </cell>
          <cell r="C630" t="str">
            <v>Future</v>
          </cell>
          <cell r="D630" t="e">
            <v>#N/A</v>
          </cell>
          <cell r="E630">
            <v>46.075485438735107</v>
          </cell>
          <cell r="F630">
            <v>67.122916268774858</v>
          </cell>
          <cell r="G630">
            <v>57.300781881423042</v>
          </cell>
          <cell r="H630">
            <v>57.300781881423042</v>
          </cell>
          <cell r="I630" t="e">
            <v>#N/A</v>
          </cell>
          <cell r="J630" t="e">
            <v>#N/A</v>
          </cell>
          <cell r="K630" t="e">
            <v>#N/A</v>
          </cell>
          <cell r="L630" t="e">
            <v>#N/A</v>
          </cell>
          <cell r="M630" t="e">
            <v>#N/A</v>
          </cell>
          <cell r="N630" t="e">
            <v>#N/A</v>
          </cell>
          <cell r="O630" t="e">
            <v>#N/A</v>
          </cell>
          <cell r="P630" t="str">
            <v/>
          </cell>
          <cell r="Q630" t="str">
            <v/>
          </cell>
          <cell r="R630" t="e">
            <v>#N/A</v>
          </cell>
        </row>
        <row r="631">
          <cell r="A631">
            <v>41066</v>
          </cell>
          <cell r="B631">
            <v>41066</v>
          </cell>
          <cell r="C631" t="str">
            <v>Future</v>
          </cell>
          <cell r="D631" t="e">
            <v>#N/A</v>
          </cell>
          <cell r="E631">
            <v>45.822323430829968</v>
          </cell>
          <cell r="F631">
            <v>67.166196948616758</v>
          </cell>
          <cell r="G631">
            <v>57.205722640316324</v>
          </cell>
          <cell r="H631">
            <v>57.205722640316324</v>
          </cell>
          <cell r="I631" t="e">
            <v>#N/A</v>
          </cell>
          <cell r="J631" t="e">
            <v>#N/A</v>
          </cell>
          <cell r="K631" t="e">
            <v>#N/A</v>
          </cell>
          <cell r="L631" t="e">
            <v>#N/A</v>
          </cell>
          <cell r="M631" t="e">
            <v>#N/A</v>
          </cell>
          <cell r="N631" t="e">
            <v>#N/A</v>
          </cell>
          <cell r="O631" t="e">
            <v>#N/A</v>
          </cell>
          <cell r="P631" t="str">
            <v/>
          </cell>
          <cell r="Q631" t="str">
            <v/>
          </cell>
          <cell r="R631" t="e">
            <v>#N/A</v>
          </cell>
        </row>
        <row r="632">
          <cell r="A632">
            <v>41067</v>
          </cell>
          <cell r="B632">
            <v>41067</v>
          </cell>
          <cell r="C632" t="str">
            <v>Future</v>
          </cell>
          <cell r="D632" t="e">
            <v>#N/A</v>
          </cell>
          <cell r="E632">
            <v>45.569161422924829</v>
          </cell>
          <cell r="F632">
            <v>67.209477628458657</v>
          </cell>
          <cell r="G632">
            <v>57.110663399209606</v>
          </cell>
          <cell r="H632">
            <v>57.110663399209606</v>
          </cell>
          <cell r="I632" t="e">
            <v>#N/A</v>
          </cell>
          <cell r="J632" t="e">
            <v>#N/A</v>
          </cell>
          <cell r="K632" t="e">
            <v>#N/A</v>
          </cell>
          <cell r="L632" t="e">
            <v>#N/A</v>
          </cell>
          <cell r="M632" t="e">
            <v>#N/A</v>
          </cell>
          <cell r="N632" t="e">
            <v>#N/A</v>
          </cell>
          <cell r="O632" t="e">
            <v>#N/A</v>
          </cell>
          <cell r="P632" t="str">
            <v/>
          </cell>
          <cell r="Q632" t="str">
            <v/>
          </cell>
          <cell r="R632" t="e">
            <v>#N/A</v>
          </cell>
        </row>
        <row r="633">
          <cell r="A633">
            <v>41068</v>
          </cell>
          <cell r="B633">
            <v>41068</v>
          </cell>
          <cell r="C633" t="str">
            <v>Future</v>
          </cell>
          <cell r="D633" t="e">
            <v>#N/A</v>
          </cell>
          <cell r="E633">
            <v>45.315999415019689</v>
          </cell>
          <cell r="F633">
            <v>67.252758308300557</v>
          </cell>
          <cell r="G633">
            <v>57.015604158102889</v>
          </cell>
          <cell r="H633">
            <v>57.015604158102889</v>
          </cell>
          <cell r="I633" t="e">
            <v>#N/A</v>
          </cell>
          <cell r="J633" t="e">
            <v>#N/A</v>
          </cell>
          <cell r="K633" t="e">
            <v>#N/A</v>
          </cell>
          <cell r="L633" t="e">
            <v>#N/A</v>
          </cell>
          <cell r="M633" t="e">
            <v>#N/A</v>
          </cell>
          <cell r="N633" t="e">
            <v>#N/A</v>
          </cell>
          <cell r="O633" t="e">
            <v>#N/A</v>
          </cell>
          <cell r="P633" t="str">
            <v/>
          </cell>
          <cell r="Q633" t="str">
            <v/>
          </cell>
          <cell r="R633" t="e">
            <v>#N/A</v>
          </cell>
        </row>
        <row r="634">
          <cell r="A634">
            <v>41071</v>
          </cell>
          <cell r="B634">
            <v>41071</v>
          </cell>
          <cell r="C634" t="str">
            <v>Future</v>
          </cell>
          <cell r="D634" t="e">
            <v>#N/A</v>
          </cell>
          <cell r="E634">
            <v>45.06283740711455</v>
          </cell>
          <cell r="F634">
            <v>67.296038988142456</v>
          </cell>
          <cell r="G634">
            <v>56.920544916996171</v>
          </cell>
          <cell r="H634">
            <v>56.920544916996171</v>
          </cell>
          <cell r="I634" t="e">
            <v>#N/A</v>
          </cell>
          <cell r="J634" t="e">
            <v>#N/A</v>
          </cell>
          <cell r="K634" t="e">
            <v>#N/A</v>
          </cell>
          <cell r="L634" t="e">
            <v>#N/A</v>
          </cell>
          <cell r="M634" t="e">
            <v>#N/A</v>
          </cell>
          <cell r="N634" t="e">
            <v>#N/A</v>
          </cell>
          <cell r="O634" t="e">
            <v>#N/A</v>
          </cell>
          <cell r="P634" t="str">
            <v/>
          </cell>
          <cell r="Q634" t="str">
            <v/>
          </cell>
          <cell r="R634" t="e">
            <v>#N/A</v>
          </cell>
        </row>
        <row r="635">
          <cell r="A635">
            <v>41072</v>
          </cell>
          <cell r="B635">
            <v>41072</v>
          </cell>
          <cell r="C635" t="str">
            <v>Future</v>
          </cell>
          <cell r="D635" t="e">
            <v>#N/A</v>
          </cell>
          <cell r="E635">
            <v>44.809675399209411</v>
          </cell>
          <cell r="F635">
            <v>67.339319667984356</v>
          </cell>
          <cell r="G635">
            <v>56.825485675889453</v>
          </cell>
          <cell r="H635">
            <v>56.825485675889453</v>
          </cell>
          <cell r="I635" t="e">
            <v>#N/A</v>
          </cell>
          <cell r="J635" t="e">
            <v>#N/A</v>
          </cell>
          <cell r="K635" t="e">
            <v>#N/A</v>
          </cell>
          <cell r="L635" t="e">
            <v>#N/A</v>
          </cell>
          <cell r="M635" t="e">
            <v>#N/A</v>
          </cell>
          <cell r="N635" t="e">
            <v>#N/A</v>
          </cell>
          <cell r="O635" t="e">
            <v>#N/A</v>
          </cell>
          <cell r="P635" t="str">
            <v/>
          </cell>
          <cell r="Q635" t="str">
            <v/>
          </cell>
          <cell r="R635" t="e">
            <v>#N/A</v>
          </cell>
        </row>
        <row r="636">
          <cell r="A636">
            <v>41073</v>
          </cell>
          <cell r="B636">
            <v>41073</v>
          </cell>
          <cell r="C636" t="str">
            <v>Future</v>
          </cell>
          <cell r="D636" t="e">
            <v>#N/A</v>
          </cell>
          <cell r="E636">
            <v>44.556513391304271</v>
          </cell>
          <cell r="F636">
            <v>67.382600347826255</v>
          </cell>
          <cell r="G636">
            <v>56.730426434782736</v>
          </cell>
          <cell r="H636">
            <v>56.730426434782736</v>
          </cell>
          <cell r="I636" t="e">
            <v>#N/A</v>
          </cell>
          <cell r="J636" t="e">
            <v>#N/A</v>
          </cell>
          <cell r="K636" t="e">
            <v>#N/A</v>
          </cell>
          <cell r="L636" t="e">
            <v>#N/A</v>
          </cell>
          <cell r="M636" t="e">
            <v>#N/A</v>
          </cell>
          <cell r="N636" t="e">
            <v>#N/A</v>
          </cell>
          <cell r="O636" t="e">
            <v>#N/A</v>
          </cell>
          <cell r="P636" t="str">
            <v/>
          </cell>
          <cell r="Q636" t="str">
            <v/>
          </cell>
          <cell r="R636" t="e">
            <v>#N/A</v>
          </cell>
        </row>
        <row r="637">
          <cell r="A637">
            <v>41074</v>
          </cell>
          <cell r="B637">
            <v>41074</v>
          </cell>
          <cell r="C637" t="str">
            <v>Future</v>
          </cell>
          <cell r="D637" t="e">
            <v>#N/A</v>
          </cell>
          <cell r="E637">
            <v>44.303351383399132</v>
          </cell>
          <cell r="F637">
            <v>67.425881027668154</v>
          </cell>
          <cell r="G637">
            <v>56.635367193676018</v>
          </cell>
          <cell r="H637">
            <v>56.635367193676018</v>
          </cell>
          <cell r="I637" t="e">
            <v>#N/A</v>
          </cell>
          <cell r="J637" t="e">
            <v>#N/A</v>
          </cell>
          <cell r="K637" t="e">
            <v>#N/A</v>
          </cell>
          <cell r="L637" t="e">
            <v>#N/A</v>
          </cell>
          <cell r="M637" t="e">
            <v>#N/A</v>
          </cell>
          <cell r="N637" t="e">
            <v>#N/A</v>
          </cell>
          <cell r="O637" t="e">
            <v>#N/A</v>
          </cell>
          <cell r="P637" t="str">
            <v/>
          </cell>
          <cell r="Q637" t="str">
            <v/>
          </cell>
          <cell r="R637" t="e">
            <v>#N/A</v>
          </cell>
        </row>
        <row r="638">
          <cell r="A638">
            <v>41075</v>
          </cell>
          <cell r="B638">
            <v>41075</v>
          </cell>
          <cell r="C638" t="str">
            <v>Future</v>
          </cell>
          <cell r="D638" t="e">
            <v>#N/A</v>
          </cell>
          <cell r="E638">
            <v>44.050189375493993</v>
          </cell>
          <cell r="F638">
            <v>67.469161707510054</v>
          </cell>
          <cell r="G638">
            <v>56.5403079525693</v>
          </cell>
          <cell r="H638">
            <v>56.5403079525693</v>
          </cell>
          <cell r="I638" t="e">
            <v>#N/A</v>
          </cell>
          <cell r="J638" t="e">
            <v>#N/A</v>
          </cell>
          <cell r="K638" t="e">
            <v>#N/A</v>
          </cell>
          <cell r="L638" t="e">
            <v>#N/A</v>
          </cell>
          <cell r="M638" t="e">
            <v>#N/A</v>
          </cell>
          <cell r="N638" t="e">
            <v>#N/A</v>
          </cell>
          <cell r="O638" t="e">
            <v>#N/A</v>
          </cell>
          <cell r="P638" t="str">
            <v/>
          </cell>
          <cell r="Q638" t="str">
            <v/>
          </cell>
          <cell r="R638" t="e">
            <v>#N/A</v>
          </cell>
        </row>
        <row r="639">
          <cell r="A639">
            <v>41078</v>
          </cell>
          <cell r="B639">
            <v>41078</v>
          </cell>
          <cell r="C639" t="str">
            <v>Future</v>
          </cell>
          <cell r="D639" t="e">
            <v>#N/A</v>
          </cell>
          <cell r="E639">
            <v>43.797027367588854</v>
          </cell>
          <cell r="F639">
            <v>67.512442387351953</v>
          </cell>
          <cell r="G639">
            <v>56.445248711462582</v>
          </cell>
          <cell r="H639">
            <v>56.445248711462582</v>
          </cell>
          <cell r="I639" t="e">
            <v>#N/A</v>
          </cell>
          <cell r="J639" t="e">
            <v>#N/A</v>
          </cell>
          <cell r="K639" t="e">
            <v>#N/A</v>
          </cell>
          <cell r="L639" t="e">
            <v>#N/A</v>
          </cell>
          <cell r="M639" t="e">
            <v>#N/A</v>
          </cell>
          <cell r="N639" t="e">
            <v>#N/A</v>
          </cell>
          <cell r="O639" t="e">
            <v>#N/A</v>
          </cell>
          <cell r="P639" t="str">
            <v/>
          </cell>
          <cell r="Q639" t="str">
            <v/>
          </cell>
          <cell r="R639" t="e">
            <v>#N/A</v>
          </cell>
        </row>
        <row r="640">
          <cell r="A640">
            <v>41079</v>
          </cell>
          <cell r="B640">
            <v>41079</v>
          </cell>
          <cell r="C640" t="str">
            <v>Future</v>
          </cell>
          <cell r="D640" t="e">
            <v>#N/A</v>
          </cell>
          <cell r="E640">
            <v>43.543865359683714</v>
          </cell>
          <cell r="F640">
            <v>67.555723067193853</v>
          </cell>
          <cell r="G640">
            <v>56.350189470355865</v>
          </cell>
          <cell r="H640">
            <v>56.350189470355865</v>
          </cell>
          <cell r="I640" t="e">
            <v>#N/A</v>
          </cell>
          <cell r="J640" t="e">
            <v>#N/A</v>
          </cell>
          <cell r="K640" t="e">
            <v>#N/A</v>
          </cell>
          <cell r="L640" t="e">
            <v>#N/A</v>
          </cell>
          <cell r="M640" t="e">
            <v>#N/A</v>
          </cell>
          <cell r="N640" t="e">
            <v>#N/A</v>
          </cell>
          <cell r="O640" t="e">
            <v>#N/A</v>
          </cell>
          <cell r="P640" t="str">
            <v/>
          </cell>
          <cell r="Q640" t="str">
            <v/>
          </cell>
          <cell r="R640" t="e">
            <v>#N/A</v>
          </cell>
        </row>
        <row r="641">
          <cell r="A641">
            <v>41080</v>
          </cell>
          <cell r="B641">
            <v>41080</v>
          </cell>
          <cell r="C641" t="str">
            <v>Future</v>
          </cell>
          <cell r="D641" t="e">
            <v>#N/A</v>
          </cell>
          <cell r="E641">
            <v>43.290703351778575</v>
          </cell>
          <cell r="F641">
            <v>67.599003747035752</v>
          </cell>
          <cell r="G641">
            <v>56.255130229249147</v>
          </cell>
          <cell r="H641">
            <v>56.255130229249147</v>
          </cell>
          <cell r="I641" t="e">
            <v>#N/A</v>
          </cell>
          <cell r="J641" t="e">
            <v>#N/A</v>
          </cell>
          <cell r="K641" t="e">
            <v>#N/A</v>
          </cell>
          <cell r="L641" t="e">
            <v>#N/A</v>
          </cell>
          <cell r="M641" t="e">
            <v>#N/A</v>
          </cell>
          <cell r="N641" t="e">
            <v>#N/A</v>
          </cell>
          <cell r="O641" t="e">
            <v>#N/A</v>
          </cell>
          <cell r="P641" t="str">
            <v/>
          </cell>
          <cell r="Q641" t="str">
            <v/>
          </cell>
          <cell r="R641" t="e">
            <v>#N/A</v>
          </cell>
        </row>
        <row r="642">
          <cell r="A642">
            <v>41081</v>
          </cell>
          <cell r="B642">
            <v>41081</v>
          </cell>
          <cell r="C642" t="str">
            <v>Future</v>
          </cell>
          <cell r="D642" t="e">
            <v>#N/A</v>
          </cell>
          <cell r="E642">
            <v>43.037541343873436</v>
          </cell>
          <cell r="F642">
            <v>67.642284426877652</v>
          </cell>
          <cell r="G642">
            <v>56.160070988142429</v>
          </cell>
          <cell r="H642">
            <v>56.160070988142429</v>
          </cell>
          <cell r="I642" t="e">
            <v>#N/A</v>
          </cell>
          <cell r="J642" t="e">
            <v>#N/A</v>
          </cell>
          <cell r="K642" t="e">
            <v>#N/A</v>
          </cell>
          <cell r="L642" t="e">
            <v>#N/A</v>
          </cell>
          <cell r="M642" t="e">
            <v>#N/A</v>
          </cell>
          <cell r="N642" t="e">
            <v>#N/A</v>
          </cell>
          <cell r="O642" t="e">
            <v>#N/A</v>
          </cell>
          <cell r="P642" t="str">
            <v/>
          </cell>
          <cell r="Q642" t="str">
            <v/>
          </cell>
          <cell r="R642" t="e">
            <v>#N/A</v>
          </cell>
        </row>
        <row r="643">
          <cell r="A643">
            <v>41082</v>
          </cell>
          <cell r="B643">
            <v>41082</v>
          </cell>
          <cell r="C643" t="str">
            <v>Future</v>
          </cell>
          <cell r="D643" t="e">
            <v>#N/A</v>
          </cell>
          <cell r="E643">
            <v>42.784379335968296</v>
          </cell>
          <cell r="F643">
            <v>67.685565106719551</v>
          </cell>
          <cell r="G643">
            <v>56.065011747035712</v>
          </cell>
          <cell r="H643">
            <v>56.065011747035712</v>
          </cell>
          <cell r="I643" t="e">
            <v>#N/A</v>
          </cell>
          <cell r="J643" t="e">
            <v>#N/A</v>
          </cell>
          <cell r="K643" t="e">
            <v>#N/A</v>
          </cell>
          <cell r="L643" t="e">
            <v>#N/A</v>
          </cell>
          <cell r="M643" t="e">
            <v>#N/A</v>
          </cell>
          <cell r="N643" t="e">
            <v>#N/A</v>
          </cell>
          <cell r="O643" t="e">
            <v>#N/A</v>
          </cell>
          <cell r="P643" t="str">
            <v/>
          </cell>
          <cell r="Q643" t="str">
            <v/>
          </cell>
          <cell r="R643" t="e">
            <v>#N/A</v>
          </cell>
        </row>
        <row r="644">
          <cell r="A644">
            <v>41085</v>
          </cell>
          <cell r="B644">
            <v>41085</v>
          </cell>
          <cell r="C644" t="str">
            <v>Future</v>
          </cell>
          <cell r="D644" t="e">
            <v>#N/A</v>
          </cell>
          <cell r="E644">
            <v>42.531217328063157</v>
          </cell>
          <cell r="F644">
            <v>67.72884578656145</v>
          </cell>
          <cell r="G644">
            <v>55.969952505928994</v>
          </cell>
          <cell r="H644">
            <v>55.969952505928994</v>
          </cell>
          <cell r="I644" t="e">
            <v>#N/A</v>
          </cell>
          <cell r="J644" t="e">
            <v>#N/A</v>
          </cell>
          <cell r="K644" t="e">
            <v>#N/A</v>
          </cell>
          <cell r="L644" t="e">
            <v>#N/A</v>
          </cell>
          <cell r="M644" t="e">
            <v>#N/A</v>
          </cell>
          <cell r="N644" t="e">
            <v>#N/A</v>
          </cell>
          <cell r="O644" t="e">
            <v>#N/A</v>
          </cell>
          <cell r="P644" t="str">
            <v/>
          </cell>
          <cell r="Q644" t="str">
            <v/>
          </cell>
          <cell r="R644" t="e">
            <v>#N/A</v>
          </cell>
        </row>
        <row r="645">
          <cell r="A645">
            <v>41086</v>
          </cell>
          <cell r="B645">
            <v>41086</v>
          </cell>
          <cell r="C645" t="str">
            <v>Future</v>
          </cell>
          <cell r="D645" t="e">
            <v>#N/A</v>
          </cell>
          <cell r="E645">
            <v>42.278055320158018</v>
          </cell>
          <cell r="F645">
            <v>67.77212646640335</v>
          </cell>
          <cell r="G645">
            <v>55.874893264822276</v>
          </cell>
          <cell r="H645">
            <v>55.874893264822276</v>
          </cell>
          <cell r="I645" t="e">
            <v>#N/A</v>
          </cell>
          <cell r="J645" t="e">
            <v>#N/A</v>
          </cell>
          <cell r="K645" t="e">
            <v>#N/A</v>
          </cell>
          <cell r="L645" t="e">
            <v>#N/A</v>
          </cell>
          <cell r="M645" t="e">
            <v>#N/A</v>
          </cell>
          <cell r="N645" t="e">
            <v>#N/A</v>
          </cell>
          <cell r="O645" t="e">
            <v>#N/A</v>
          </cell>
          <cell r="P645" t="str">
            <v/>
          </cell>
          <cell r="Q645" t="str">
            <v/>
          </cell>
          <cell r="R645" t="e">
            <v>#N/A</v>
          </cell>
        </row>
        <row r="646">
          <cell r="A646">
            <v>41087</v>
          </cell>
          <cell r="B646">
            <v>41087</v>
          </cell>
          <cell r="C646" t="str">
            <v>Future</v>
          </cell>
          <cell r="D646" t="e">
            <v>#N/A</v>
          </cell>
          <cell r="E646">
            <v>42.024893312252878</v>
          </cell>
          <cell r="F646">
            <v>67.815407146245249</v>
          </cell>
          <cell r="G646">
            <v>55.779834023715559</v>
          </cell>
          <cell r="H646">
            <v>55.779834023715559</v>
          </cell>
          <cell r="I646" t="e">
            <v>#N/A</v>
          </cell>
          <cell r="J646" t="e">
            <v>#N/A</v>
          </cell>
          <cell r="K646" t="e">
            <v>#N/A</v>
          </cell>
          <cell r="L646" t="e">
            <v>#N/A</v>
          </cell>
          <cell r="M646" t="e">
            <v>#N/A</v>
          </cell>
          <cell r="N646" t="e">
            <v>#N/A</v>
          </cell>
          <cell r="O646" t="e">
            <v>#N/A</v>
          </cell>
          <cell r="P646" t="str">
            <v/>
          </cell>
          <cell r="Q646" t="str">
            <v/>
          </cell>
          <cell r="R646" t="e">
            <v>#N/A</v>
          </cell>
        </row>
        <row r="647">
          <cell r="A647">
            <v>41088</v>
          </cell>
          <cell r="B647">
            <v>41088</v>
          </cell>
          <cell r="C647" t="str">
            <v>Future</v>
          </cell>
          <cell r="D647" t="e">
            <v>#N/A</v>
          </cell>
          <cell r="E647">
            <v>41.771731304347739</v>
          </cell>
          <cell r="F647">
            <v>67.858687826087149</v>
          </cell>
          <cell r="G647">
            <v>55.684774782608841</v>
          </cell>
          <cell r="H647">
            <v>55.684774782608841</v>
          </cell>
          <cell r="I647" t="e">
            <v>#N/A</v>
          </cell>
          <cell r="J647" t="e">
            <v>#N/A</v>
          </cell>
          <cell r="K647" t="e">
            <v>#N/A</v>
          </cell>
          <cell r="L647" t="e">
            <v>#N/A</v>
          </cell>
          <cell r="M647" t="e">
            <v>#N/A</v>
          </cell>
          <cell r="N647" t="e">
            <v>#N/A</v>
          </cell>
          <cell r="O647" t="e">
            <v>#N/A</v>
          </cell>
          <cell r="P647" t="str">
            <v/>
          </cell>
          <cell r="Q647" t="str">
            <v/>
          </cell>
          <cell r="R647" t="e">
            <v>#N/A</v>
          </cell>
        </row>
        <row r="648">
          <cell r="A648">
            <v>41089</v>
          </cell>
          <cell r="B648">
            <v>41089</v>
          </cell>
          <cell r="C648" t="str">
            <v>Future</v>
          </cell>
          <cell r="D648" t="e">
            <v>#N/A</v>
          </cell>
          <cell r="E648">
            <v>41.5185692964426</v>
          </cell>
          <cell r="F648">
            <v>67.901968505929048</v>
          </cell>
          <cell r="G648">
            <v>55.589715541502123</v>
          </cell>
          <cell r="H648">
            <v>55.589715541502123</v>
          </cell>
          <cell r="I648" t="e">
            <v>#N/A</v>
          </cell>
          <cell r="J648" t="e">
            <v>#N/A</v>
          </cell>
          <cell r="K648" t="e">
            <v>#N/A</v>
          </cell>
          <cell r="L648" t="e">
            <v>#N/A</v>
          </cell>
          <cell r="M648" t="e">
            <v>#N/A</v>
          </cell>
          <cell r="N648" t="e">
            <v>#N/A</v>
          </cell>
          <cell r="O648" t="e">
            <v>#N/A</v>
          </cell>
          <cell r="P648" t="str">
            <v/>
          </cell>
          <cell r="Q648" t="str">
            <v/>
          </cell>
          <cell r="R648" t="e">
            <v>#N/A</v>
          </cell>
        </row>
        <row r="649">
          <cell r="A649">
            <v>41092</v>
          </cell>
          <cell r="B649">
            <v>41092</v>
          </cell>
          <cell r="C649" t="str">
            <v>Future</v>
          </cell>
          <cell r="D649" t="e">
            <v>#N/A</v>
          </cell>
          <cell r="E649">
            <v>41.26540728853746</v>
          </cell>
          <cell r="F649">
            <v>67.945249185770948</v>
          </cell>
          <cell r="G649">
            <v>55.494656300395405</v>
          </cell>
          <cell r="H649">
            <v>55.494656300395405</v>
          </cell>
          <cell r="I649" t="e">
            <v>#N/A</v>
          </cell>
          <cell r="J649" t="e">
            <v>#N/A</v>
          </cell>
          <cell r="K649" t="e">
            <v>#N/A</v>
          </cell>
          <cell r="L649" t="e">
            <v>#N/A</v>
          </cell>
          <cell r="M649" t="e">
            <v>#N/A</v>
          </cell>
          <cell r="N649" t="e">
            <v>#N/A</v>
          </cell>
          <cell r="O649" t="e">
            <v>#N/A</v>
          </cell>
          <cell r="P649" t="str">
            <v/>
          </cell>
          <cell r="Q649" t="str">
            <v/>
          </cell>
          <cell r="R649" t="e">
            <v>#N/A</v>
          </cell>
        </row>
        <row r="650">
          <cell r="A650">
            <v>41093</v>
          </cell>
          <cell r="B650">
            <v>41093</v>
          </cell>
          <cell r="C650" t="str">
            <v>Future</v>
          </cell>
          <cell r="D650" t="e">
            <v>#N/A</v>
          </cell>
          <cell r="E650">
            <v>41.012245280632321</v>
          </cell>
          <cell r="F650">
            <v>67.988529865612847</v>
          </cell>
          <cell r="G650">
            <v>55.399597059288688</v>
          </cell>
          <cell r="H650">
            <v>55.399597059288688</v>
          </cell>
          <cell r="I650" t="e">
            <v>#N/A</v>
          </cell>
          <cell r="J650" t="e">
            <v>#N/A</v>
          </cell>
          <cell r="K650" t="e">
            <v>#N/A</v>
          </cell>
          <cell r="L650" t="e">
            <v>#N/A</v>
          </cell>
          <cell r="M650" t="e">
            <v>#N/A</v>
          </cell>
          <cell r="N650" t="e">
            <v>#N/A</v>
          </cell>
          <cell r="O650" t="e">
            <v>#N/A</v>
          </cell>
          <cell r="P650" t="str">
            <v/>
          </cell>
          <cell r="Q650" t="str">
            <v/>
          </cell>
          <cell r="R650" t="e">
            <v>#N/A</v>
          </cell>
        </row>
        <row r="651">
          <cell r="A651">
            <v>41095</v>
          </cell>
          <cell r="B651">
            <v>41095</v>
          </cell>
          <cell r="C651" t="str">
            <v>Future</v>
          </cell>
          <cell r="D651" t="e">
            <v>#N/A</v>
          </cell>
          <cell r="E651">
            <v>40.759083272727182</v>
          </cell>
          <cell r="F651">
            <v>68.031810545454746</v>
          </cell>
          <cell r="G651">
            <v>55.30453781818197</v>
          </cell>
          <cell r="H651">
            <v>55.30453781818197</v>
          </cell>
          <cell r="I651" t="e">
            <v>#N/A</v>
          </cell>
          <cell r="J651" t="e">
            <v>#N/A</v>
          </cell>
          <cell r="K651" t="e">
            <v>#N/A</v>
          </cell>
          <cell r="L651" t="e">
            <v>#N/A</v>
          </cell>
          <cell r="M651" t="e">
            <v>#N/A</v>
          </cell>
          <cell r="N651" t="e">
            <v>#N/A</v>
          </cell>
          <cell r="O651" t="e">
            <v>#N/A</v>
          </cell>
          <cell r="P651" t="str">
            <v/>
          </cell>
          <cell r="Q651" t="str">
            <v/>
          </cell>
          <cell r="R651" t="e">
            <v>#N/A</v>
          </cell>
        </row>
        <row r="652">
          <cell r="A652">
            <v>41096</v>
          </cell>
          <cell r="B652">
            <v>41096</v>
          </cell>
          <cell r="C652" t="str">
            <v>Future</v>
          </cell>
          <cell r="D652" t="e">
            <v>#N/A</v>
          </cell>
          <cell r="E652">
            <v>40.505921264822042</v>
          </cell>
          <cell r="F652">
            <v>68.075091225296646</v>
          </cell>
          <cell r="G652">
            <v>55.209478577075252</v>
          </cell>
          <cell r="H652">
            <v>55.209478577075252</v>
          </cell>
          <cell r="I652" t="e">
            <v>#N/A</v>
          </cell>
          <cell r="J652" t="e">
            <v>#N/A</v>
          </cell>
          <cell r="K652" t="e">
            <v>#N/A</v>
          </cell>
          <cell r="L652" t="e">
            <v>#N/A</v>
          </cell>
          <cell r="M652" t="e">
            <v>#N/A</v>
          </cell>
          <cell r="N652" t="e">
            <v>#N/A</v>
          </cell>
          <cell r="O652" t="e">
            <v>#N/A</v>
          </cell>
          <cell r="P652" t="str">
            <v/>
          </cell>
          <cell r="Q652" t="str">
            <v/>
          </cell>
          <cell r="R652" t="e">
            <v>#N/A</v>
          </cell>
        </row>
        <row r="653">
          <cell r="A653">
            <v>41099</v>
          </cell>
          <cell r="B653">
            <v>41099</v>
          </cell>
          <cell r="C653" t="str">
            <v>Future</v>
          </cell>
          <cell r="D653" t="e">
            <v>#N/A</v>
          </cell>
          <cell r="E653">
            <v>40.252759256916903</v>
          </cell>
          <cell r="F653">
            <v>68.118371905138545</v>
          </cell>
          <cell r="G653">
            <v>55.114419335968535</v>
          </cell>
          <cell r="H653">
            <v>55.114419335968535</v>
          </cell>
          <cell r="I653" t="e">
            <v>#N/A</v>
          </cell>
          <cell r="J653" t="e">
            <v>#N/A</v>
          </cell>
          <cell r="K653" t="e">
            <v>#N/A</v>
          </cell>
          <cell r="L653" t="e">
            <v>#N/A</v>
          </cell>
          <cell r="M653" t="e">
            <v>#N/A</v>
          </cell>
          <cell r="N653" t="e">
            <v>#N/A</v>
          </cell>
          <cell r="O653" t="e">
            <v>#N/A</v>
          </cell>
          <cell r="P653" t="str">
            <v/>
          </cell>
          <cell r="Q653" t="str">
            <v/>
          </cell>
          <cell r="R653" t="e">
            <v>#N/A</v>
          </cell>
        </row>
        <row r="654">
          <cell r="A654">
            <v>41100</v>
          </cell>
          <cell r="B654">
            <v>41100</v>
          </cell>
          <cell r="C654" t="str">
            <v>Future</v>
          </cell>
          <cell r="D654" t="e">
            <v>#N/A</v>
          </cell>
          <cell r="E654">
            <v>39.999597249011764</v>
          </cell>
          <cell r="F654">
            <v>68.161652584980445</v>
          </cell>
          <cell r="G654">
            <v>55.019360094861817</v>
          </cell>
          <cell r="H654">
            <v>55.019360094861817</v>
          </cell>
          <cell r="I654" t="e">
            <v>#N/A</v>
          </cell>
          <cell r="J654" t="e">
            <v>#N/A</v>
          </cell>
          <cell r="K654" t="e">
            <v>#N/A</v>
          </cell>
          <cell r="L654" t="e">
            <v>#N/A</v>
          </cell>
          <cell r="M654" t="e">
            <v>#N/A</v>
          </cell>
          <cell r="N654" t="e">
            <v>#N/A</v>
          </cell>
          <cell r="O654" t="e">
            <v>#N/A</v>
          </cell>
          <cell r="P654" t="str">
            <v/>
          </cell>
          <cell r="Q654" t="str">
            <v/>
          </cell>
          <cell r="R654" t="e">
            <v>#N/A</v>
          </cell>
        </row>
        <row r="655">
          <cell r="A655">
            <v>41101</v>
          </cell>
          <cell r="B655">
            <v>41101</v>
          </cell>
          <cell r="C655" t="str">
            <v>Future</v>
          </cell>
          <cell r="D655" t="e">
            <v>#N/A</v>
          </cell>
          <cell r="E655">
            <v>39.746435241106624</v>
          </cell>
          <cell r="F655">
            <v>68.204933264822344</v>
          </cell>
          <cell r="G655">
            <v>54.924300853755099</v>
          </cell>
          <cell r="H655">
            <v>54.924300853755099</v>
          </cell>
          <cell r="I655" t="e">
            <v>#N/A</v>
          </cell>
          <cell r="J655" t="e">
            <v>#N/A</v>
          </cell>
          <cell r="K655" t="e">
            <v>#N/A</v>
          </cell>
          <cell r="L655" t="e">
            <v>#N/A</v>
          </cell>
          <cell r="M655" t="e">
            <v>#N/A</v>
          </cell>
          <cell r="N655" t="e">
            <v>#N/A</v>
          </cell>
          <cell r="O655" t="e">
            <v>#N/A</v>
          </cell>
          <cell r="P655" t="str">
            <v/>
          </cell>
          <cell r="Q655" t="str">
            <v/>
          </cell>
          <cell r="R655" t="e">
            <v>#N/A</v>
          </cell>
        </row>
        <row r="656">
          <cell r="A656">
            <v>41102</v>
          </cell>
          <cell r="B656">
            <v>41102</v>
          </cell>
          <cell r="C656" t="str">
            <v>Future</v>
          </cell>
          <cell r="D656" t="e">
            <v>#N/A</v>
          </cell>
          <cell r="E656">
            <v>39.493273233201485</v>
          </cell>
          <cell r="F656">
            <v>68.248213944664244</v>
          </cell>
          <cell r="G656">
            <v>54.829241612648381</v>
          </cell>
          <cell r="H656">
            <v>54.829241612648381</v>
          </cell>
          <cell r="I656" t="e">
            <v>#N/A</v>
          </cell>
          <cell r="J656" t="e">
            <v>#N/A</v>
          </cell>
          <cell r="K656" t="e">
            <v>#N/A</v>
          </cell>
          <cell r="L656" t="e">
            <v>#N/A</v>
          </cell>
          <cell r="M656" t="e">
            <v>#N/A</v>
          </cell>
          <cell r="N656" t="e">
            <v>#N/A</v>
          </cell>
          <cell r="O656" t="e">
            <v>#N/A</v>
          </cell>
          <cell r="P656" t="str">
            <v/>
          </cell>
          <cell r="Q656" t="str">
            <v/>
          </cell>
          <cell r="R656" t="e">
            <v>#N/A</v>
          </cell>
        </row>
        <row r="657">
          <cell r="A657">
            <v>41103</v>
          </cell>
          <cell r="B657">
            <v>41103</v>
          </cell>
          <cell r="C657" t="str">
            <v>Future</v>
          </cell>
          <cell r="D657" t="e">
            <v>#N/A</v>
          </cell>
          <cell r="E657">
            <v>39.240111225296346</v>
          </cell>
          <cell r="F657">
            <v>68.291494624506143</v>
          </cell>
          <cell r="G657">
            <v>54.734182371541664</v>
          </cell>
          <cell r="H657">
            <v>54.734182371541664</v>
          </cell>
          <cell r="I657" t="e">
            <v>#N/A</v>
          </cell>
          <cell r="J657" t="e">
            <v>#N/A</v>
          </cell>
          <cell r="K657" t="e">
            <v>#N/A</v>
          </cell>
          <cell r="L657" t="e">
            <v>#N/A</v>
          </cell>
          <cell r="M657" t="e">
            <v>#N/A</v>
          </cell>
          <cell r="N657" t="e">
            <v>#N/A</v>
          </cell>
          <cell r="O657" t="e">
            <v>#N/A</v>
          </cell>
          <cell r="P657" t="str">
            <v/>
          </cell>
          <cell r="Q657" t="str">
            <v/>
          </cell>
          <cell r="R657" t="e">
            <v>#N/A</v>
          </cell>
        </row>
        <row r="658">
          <cell r="A658">
            <v>41106</v>
          </cell>
          <cell r="B658">
            <v>41106</v>
          </cell>
          <cell r="C658" t="str">
            <v>Future</v>
          </cell>
          <cell r="D658" t="e">
            <v>#N/A</v>
          </cell>
          <cell r="E658">
            <v>38.986949217391206</v>
          </cell>
          <cell r="F658">
            <v>68.334775304348042</v>
          </cell>
          <cell r="G658">
            <v>54.639123130434946</v>
          </cell>
          <cell r="H658">
            <v>54.639123130434946</v>
          </cell>
          <cell r="I658" t="e">
            <v>#N/A</v>
          </cell>
          <cell r="J658" t="e">
            <v>#N/A</v>
          </cell>
          <cell r="K658" t="e">
            <v>#N/A</v>
          </cell>
          <cell r="L658" t="e">
            <v>#N/A</v>
          </cell>
          <cell r="M658" t="e">
            <v>#N/A</v>
          </cell>
          <cell r="N658" t="e">
            <v>#N/A</v>
          </cell>
          <cell r="O658" t="e">
            <v>#N/A</v>
          </cell>
          <cell r="P658" t="str">
            <v/>
          </cell>
          <cell r="Q658" t="str">
            <v/>
          </cell>
          <cell r="R658" t="e">
            <v>#N/A</v>
          </cell>
        </row>
        <row r="659">
          <cell r="A659">
            <v>41107</v>
          </cell>
          <cell r="B659">
            <v>41107</v>
          </cell>
          <cell r="C659" t="str">
            <v>Future</v>
          </cell>
          <cell r="D659" t="e">
            <v>#N/A</v>
          </cell>
          <cell r="E659">
            <v>38.733787209486067</v>
          </cell>
          <cell r="F659">
            <v>68.378055984189942</v>
          </cell>
          <cell r="G659">
            <v>54.544063889328228</v>
          </cell>
          <cell r="H659">
            <v>54.544063889328228</v>
          </cell>
          <cell r="I659" t="e">
            <v>#N/A</v>
          </cell>
          <cell r="J659" t="e">
            <v>#N/A</v>
          </cell>
          <cell r="K659" t="e">
            <v>#N/A</v>
          </cell>
          <cell r="L659" t="e">
            <v>#N/A</v>
          </cell>
          <cell r="M659" t="e">
            <v>#N/A</v>
          </cell>
          <cell r="N659" t="e">
            <v>#N/A</v>
          </cell>
          <cell r="O659" t="e">
            <v>#N/A</v>
          </cell>
          <cell r="P659" t="str">
            <v/>
          </cell>
          <cell r="Q659" t="str">
            <v/>
          </cell>
          <cell r="R659" t="e">
            <v>#N/A</v>
          </cell>
        </row>
        <row r="660">
          <cell r="A660">
            <v>41108</v>
          </cell>
          <cell r="B660">
            <v>41108</v>
          </cell>
          <cell r="C660" t="str">
            <v>Future</v>
          </cell>
          <cell r="D660" t="e">
            <v>#N/A</v>
          </cell>
          <cell r="E660">
            <v>38.480625201580928</v>
          </cell>
          <cell r="F660">
            <v>68.421336664031841</v>
          </cell>
          <cell r="G660">
            <v>54.449004648221511</v>
          </cell>
          <cell r="H660">
            <v>54.449004648221511</v>
          </cell>
          <cell r="I660" t="e">
            <v>#N/A</v>
          </cell>
          <cell r="J660" t="e">
            <v>#N/A</v>
          </cell>
          <cell r="K660" t="e">
            <v>#N/A</v>
          </cell>
          <cell r="L660" t="e">
            <v>#N/A</v>
          </cell>
          <cell r="M660" t="e">
            <v>#N/A</v>
          </cell>
          <cell r="N660" t="e">
            <v>#N/A</v>
          </cell>
          <cell r="O660" t="e">
            <v>#N/A</v>
          </cell>
          <cell r="P660" t="str">
            <v/>
          </cell>
          <cell r="Q660" t="str">
            <v/>
          </cell>
          <cell r="R660" t="e">
            <v>#N/A</v>
          </cell>
        </row>
        <row r="661">
          <cell r="A661">
            <v>41109</v>
          </cell>
          <cell r="B661">
            <v>41109</v>
          </cell>
          <cell r="C661" t="str">
            <v>Future</v>
          </cell>
          <cell r="D661" t="e">
            <v>#N/A</v>
          </cell>
          <cell r="E661">
            <v>38.227463193675788</v>
          </cell>
          <cell r="F661">
            <v>68.464617343873741</v>
          </cell>
          <cell r="G661">
            <v>54.353945407114793</v>
          </cell>
          <cell r="H661">
            <v>54.353945407114793</v>
          </cell>
          <cell r="I661" t="e">
            <v>#N/A</v>
          </cell>
          <cell r="J661" t="e">
            <v>#N/A</v>
          </cell>
          <cell r="K661" t="e">
            <v>#N/A</v>
          </cell>
          <cell r="L661" t="e">
            <v>#N/A</v>
          </cell>
          <cell r="M661" t="e">
            <v>#N/A</v>
          </cell>
          <cell r="N661" t="e">
            <v>#N/A</v>
          </cell>
          <cell r="O661" t="e">
            <v>#N/A</v>
          </cell>
          <cell r="P661" t="str">
            <v/>
          </cell>
          <cell r="Q661" t="str">
            <v/>
          </cell>
          <cell r="R661" t="e">
            <v>#N/A</v>
          </cell>
        </row>
        <row r="662">
          <cell r="A662">
            <v>41110</v>
          </cell>
          <cell r="B662">
            <v>41110</v>
          </cell>
          <cell r="C662" t="str">
            <v>Future</v>
          </cell>
          <cell r="D662" t="e">
            <v>#N/A</v>
          </cell>
          <cell r="E662">
            <v>37.974301185770649</v>
          </cell>
          <cell r="F662">
            <v>68.50789802371564</v>
          </cell>
          <cell r="G662">
            <v>54.258886166008075</v>
          </cell>
          <cell r="H662">
            <v>54.258886166008075</v>
          </cell>
          <cell r="I662" t="e">
            <v>#N/A</v>
          </cell>
          <cell r="J662" t="e">
            <v>#N/A</v>
          </cell>
          <cell r="K662" t="e">
            <v>#N/A</v>
          </cell>
          <cell r="L662" t="e">
            <v>#N/A</v>
          </cell>
          <cell r="M662" t="e">
            <v>#N/A</v>
          </cell>
          <cell r="N662" t="e">
            <v>#N/A</v>
          </cell>
          <cell r="O662" t="e">
            <v>#N/A</v>
          </cell>
          <cell r="P662" t="str">
            <v/>
          </cell>
          <cell r="Q662" t="str">
            <v/>
          </cell>
          <cell r="R662" t="e">
            <v>#N/A</v>
          </cell>
        </row>
        <row r="663">
          <cell r="A663">
            <v>41113</v>
          </cell>
          <cell r="B663">
            <v>41113</v>
          </cell>
          <cell r="C663" t="str">
            <v>Future</v>
          </cell>
          <cell r="D663" t="e">
            <v>#N/A</v>
          </cell>
          <cell r="E663">
            <v>37.72113917786551</v>
          </cell>
          <cell r="F663">
            <v>68.55117870355754</v>
          </cell>
          <cell r="G663">
            <v>54.163826924901358</v>
          </cell>
          <cell r="H663">
            <v>54.163826924901358</v>
          </cell>
          <cell r="I663" t="e">
            <v>#N/A</v>
          </cell>
          <cell r="J663" t="e">
            <v>#N/A</v>
          </cell>
          <cell r="K663" t="e">
            <v>#N/A</v>
          </cell>
          <cell r="L663" t="e">
            <v>#N/A</v>
          </cell>
          <cell r="M663" t="e">
            <v>#N/A</v>
          </cell>
          <cell r="N663" t="e">
            <v>#N/A</v>
          </cell>
          <cell r="O663" t="e">
            <v>#N/A</v>
          </cell>
          <cell r="P663" t="str">
            <v/>
          </cell>
          <cell r="Q663" t="str">
            <v/>
          </cell>
          <cell r="R663" t="e">
            <v>#N/A</v>
          </cell>
        </row>
        <row r="664">
          <cell r="A664">
            <v>41114</v>
          </cell>
          <cell r="B664">
            <v>41114</v>
          </cell>
          <cell r="C664" t="str">
            <v>Future</v>
          </cell>
          <cell r="D664" t="e">
            <v>#N/A</v>
          </cell>
          <cell r="E664">
            <v>37.467977169960371</v>
          </cell>
          <cell r="F664">
            <v>68.594459383399439</v>
          </cell>
          <cell r="G664">
            <v>54.06876768379464</v>
          </cell>
          <cell r="H664">
            <v>54.06876768379464</v>
          </cell>
          <cell r="I664" t="e">
            <v>#N/A</v>
          </cell>
          <cell r="J664" t="e">
            <v>#N/A</v>
          </cell>
          <cell r="K664" t="e">
            <v>#N/A</v>
          </cell>
          <cell r="L664" t="e">
            <v>#N/A</v>
          </cell>
          <cell r="M664" t="e">
            <v>#N/A</v>
          </cell>
          <cell r="N664" t="e">
            <v>#N/A</v>
          </cell>
          <cell r="O664" t="e">
            <v>#N/A</v>
          </cell>
          <cell r="P664" t="str">
            <v/>
          </cell>
          <cell r="Q664" t="str">
            <v/>
          </cell>
          <cell r="R664" t="e">
            <v>#N/A</v>
          </cell>
        </row>
        <row r="665">
          <cell r="A665">
            <v>41115</v>
          </cell>
          <cell r="B665">
            <v>41115</v>
          </cell>
          <cell r="C665" t="str">
            <v>Future</v>
          </cell>
          <cell r="D665" t="e">
            <v>#N/A</v>
          </cell>
          <cell r="E665">
            <v>37.214815162055231</v>
          </cell>
          <cell r="F665">
            <v>68.637740063241338</v>
          </cell>
          <cell r="G665">
            <v>53.973708442687922</v>
          </cell>
          <cell r="H665">
            <v>53.973708442687922</v>
          </cell>
          <cell r="I665" t="e">
            <v>#N/A</v>
          </cell>
          <cell r="J665" t="e">
            <v>#N/A</v>
          </cell>
          <cell r="K665" t="e">
            <v>#N/A</v>
          </cell>
          <cell r="L665" t="e">
            <v>#N/A</v>
          </cell>
          <cell r="M665" t="e">
            <v>#N/A</v>
          </cell>
          <cell r="N665" t="e">
            <v>#N/A</v>
          </cell>
          <cell r="O665" t="e">
            <v>#N/A</v>
          </cell>
          <cell r="P665" t="str">
            <v/>
          </cell>
          <cell r="Q665" t="str">
            <v/>
          </cell>
          <cell r="R665" t="e">
            <v>#N/A</v>
          </cell>
        </row>
        <row r="666">
          <cell r="A666">
            <v>41116</v>
          </cell>
          <cell r="B666">
            <v>41116</v>
          </cell>
          <cell r="C666" t="str">
            <v>Future</v>
          </cell>
          <cell r="D666" t="e">
            <v>#N/A</v>
          </cell>
          <cell r="E666">
            <v>36.961653154150092</v>
          </cell>
          <cell r="F666">
            <v>68.681020743083238</v>
          </cell>
          <cell r="G666">
            <v>53.878649201581204</v>
          </cell>
          <cell r="H666">
            <v>53.878649201581204</v>
          </cell>
          <cell r="I666" t="e">
            <v>#N/A</v>
          </cell>
          <cell r="J666" t="e">
            <v>#N/A</v>
          </cell>
          <cell r="K666" t="e">
            <v>#N/A</v>
          </cell>
          <cell r="L666" t="e">
            <v>#N/A</v>
          </cell>
          <cell r="M666" t="e">
            <v>#N/A</v>
          </cell>
          <cell r="N666" t="e">
            <v>#N/A</v>
          </cell>
          <cell r="O666" t="e">
            <v>#N/A</v>
          </cell>
          <cell r="P666" t="str">
            <v/>
          </cell>
          <cell r="Q666" t="str">
            <v/>
          </cell>
          <cell r="R666" t="e">
            <v>#N/A</v>
          </cell>
        </row>
        <row r="667">
          <cell r="A667">
            <v>41117</v>
          </cell>
          <cell r="B667">
            <v>41117</v>
          </cell>
          <cell r="C667" t="str">
            <v>Future</v>
          </cell>
          <cell r="D667" t="e">
            <v>#N/A</v>
          </cell>
          <cell r="E667">
            <v>36.708491146244953</v>
          </cell>
          <cell r="F667">
            <v>68.724301422925137</v>
          </cell>
          <cell r="G667">
            <v>53.783589960474487</v>
          </cell>
          <cell r="H667">
            <v>53.783589960474487</v>
          </cell>
          <cell r="I667" t="e">
            <v>#N/A</v>
          </cell>
          <cell r="J667" t="e">
            <v>#N/A</v>
          </cell>
          <cell r="K667" t="e">
            <v>#N/A</v>
          </cell>
          <cell r="L667" t="e">
            <v>#N/A</v>
          </cell>
          <cell r="M667" t="e">
            <v>#N/A</v>
          </cell>
          <cell r="N667" t="e">
            <v>#N/A</v>
          </cell>
          <cell r="O667" t="e">
            <v>#N/A</v>
          </cell>
          <cell r="P667" t="str">
            <v/>
          </cell>
          <cell r="Q667" t="str">
            <v/>
          </cell>
          <cell r="R667" t="e">
            <v>#N/A</v>
          </cell>
        </row>
        <row r="668">
          <cell r="A668">
            <v>41120</v>
          </cell>
          <cell r="B668">
            <v>41120</v>
          </cell>
          <cell r="C668" t="str">
            <v>Future</v>
          </cell>
          <cell r="D668" t="e">
            <v>#N/A</v>
          </cell>
          <cell r="E668">
            <v>36.455329138339813</v>
          </cell>
          <cell r="F668">
            <v>68.767582102767037</v>
          </cell>
          <cell r="G668">
            <v>53.688530719367769</v>
          </cell>
          <cell r="H668">
            <v>53.688530719367769</v>
          </cell>
          <cell r="I668" t="e">
            <v>#N/A</v>
          </cell>
          <cell r="J668" t="e">
            <v>#N/A</v>
          </cell>
          <cell r="K668" t="e">
            <v>#N/A</v>
          </cell>
          <cell r="L668" t="e">
            <v>#N/A</v>
          </cell>
          <cell r="M668" t="e">
            <v>#N/A</v>
          </cell>
          <cell r="N668" t="e">
            <v>#N/A</v>
          </cell>
          <cell r="O668" t="e">
            <v>#N/A</v>
          </cell>
          <cell r="P668" t="str">
            <v/>
          </cell>
          <cell r="Q668" t="str">
            <v/>
          </cell>
          <cell r="R668" t="e">
            <v>#N/A</v>
          </cell>
        </row>
        <row r="669">
          <cell r="A669">
            <v>41121</v>
          </cell>
          <cell r="B669">
            <v>41121</v>
          </cell>
          <cell r="C669" t="str">
            <v>Future</v>
          </cell>
          <cell r="D669" t="e">
            <v>#N/A</v>
          </cell>
          <cell r="E669">
            <v>36.202167130434674</v>
          </cell>
          <cell r="F669">
            <v>68.810862782608936</v>
          </cell>
          <cell r="G669">
            <v>53.593471478261051</v>
          </cell>
          <cell r="H669">
            <v>53.593471478261051</v>
          </cell>
          <cell r="I669" t="e">
            <v>#N/A</v>
          </cell>
          <cell r="J669" t="e">
            <v>#N/A</v>
          </cell>
          <cell r="K669" t="e">
            <v>#N/A</v>
          </cell>
          <cell r="L669" t="e">
            <v>#N/A</v>
          </cell>
          <cell r="M669" t="e">
            <v>#N/A</v>
          </cell>
          <cell r="N669" t="e">
            <v>#N/A</v>
          </cell>
          <cell r="O669" t="e">
            <v>#N/A</v>
          </cell>
          <cell r="P669" t="str">
            <v/>
          </cell>
          <cell r="Q669" t="str">
            <v/>
          </cell>
          <cell r="R669" t="e">
            <v>#N/A</v>
          </cell>
        </row>
        <row r="670">
          <cell r="A670">
            <v>41122</v>
          </cell>
          <cell r="B670">
            <v>41122</v>
          </cell>
          <cell r="C670" t="str">
            <v>Future</v>
          </cell>
          <cell r="D670" t="e">
            <v>#N/A</v>
          </cell>
          <cell r="E670">
            <v>35.949005122529535</v>
          </cell>
          <cell r="F670">
            <v>68.854143462450836</v>
          </cell>
          <cell r="G670">
            <v>53.498412237154334</v>
          </cell>
          <cell r="H670">
            <v>53.498412237154334</v>
          </cell>
          <cell r="I670" t="e">
            <v>#N/A</v>
          </cell>
          <cell r="J670" t="e">
            <v>#N/A</v>
          </cell>
          <cell r="K670" t="e">
            <v>#N/A</v>
          </cell>
          <cell r="L670" t="e">
            <v>#N/A</v>
          </cell>
          <cell r="M670" t="e">
            <v>#N/A</v>
          </cell>
          <cell r="N670" t="e">
            <v>#N/A</v>
          </cell>
          <cell r="O670" t="e">
            <v>#N/A</v>
          </cell>
          <cell r="P670" t="str">
            <v/>
          </cell>
          <cell r="Q670" t="str">
            <v/>
          </cell>
          <cell r="R670" t="e">
            <v>#N/A</v>
          </cell>
        </row>
        <row r="671">
          <cell r="A671">
            <v>41123</v>
          </cell>
          <cell r="B671">
            <v>41123</v>
          </cell>
          <cell r="C671" t="str">
            <v>Future</v>
          </cell>
          <cell r="D671" t="e">
            <v>#N/A</v>
          </cell>
          <cell r="E671">
            <v>35.695843114624395</v>
          </cell>
          <cell r="F671">
            <v>68.897424142292735</v>
          </cell>
          <cell r="G671">
            <v>53.403352996047616</v>
          </cell>
          <cell r="H671">
            <v>53.403352996047616</v>
          </cell>
          <cell r="I671" t="e">
            <v>#N/A</v>
          </cell>
          <cell r="J671" t="e">
            <v>#N/A</v>
          </cell>
          <cell r="K671" t="e">
            <v>#N/A</v>
          </cell>
          <cell r="L671" t="e">
            <v>#N/A</v>
          </cell>
          <cell r="M671" t="e">
            <v>#N/A</v>
          </cell>
          <cell r="N671" t="e">
            <v>#N/A</v>
          </cell>
          <cell r="O671" t="e">
            <v>#N/A</v>
          </cell>
          <cell r="P671" t="str">
            <v/>
          </cell>
          <cell r="Q671" t="str">
            <v/>
          </cell>
          <cell r="R671" t="e">
            <v>#N/A</v>
          </cell>
        </row>
        <row r="672">
          <cell r="A672">
            <v>41124</v>
          </cell>
          <cell r="B672">
            <v>41124</v>
          </cell>
          <cell r="C672" t="str">
            <v>Future</v>
          </cell>
          <cell r="D672" t="e">
            <v>#N/A</v>
          </cell>
          <cell r="E672">
            <v>35.442681106719256</v>
          </cell>
          <cell r="F672">
            <v>68.940704822134634</v>
          </cell>
          <cell r="G672">
            <v>53.308293754940898</v>
          </cell>
          <cell r="H672">
            <v>53.308293754940898</v>
          </cell>
          <cell r="I672" t="e">
            <v>#N/A</v>
          </cell>
          <cell r="J672" t="e">
            <v>#N/A</v>
          </cell>
          <cell r="K672" t="e">
            <v>#N/A</v>
          </cell>
          <cell r="L672" t="e">
            <v>#N/A</v>
          </cell>
          <cell r="M672" t="e">
            <v>#N/A</v>
          </cell>
          <cell r="N672" t="e">
            <v>#N/A</v>
          </cell>
          <cell r="O672" t="e">
            <v>#N/A</v>
          </cell>
          <cell r="P672" t="str">
            <v/>
          </cell>
          <cell r="Q672" t="str">
            <v/>
          </cell>
          <cell r="R672" t="e">
            <v>#N/A</v>
          </cell>
        </row>
        <row r="673">
          <cell r="A673">
            <v>41127</v>
          </cell>
          <cell r="B673">
            <v>41127</v>
          </cell>
          <cell r="C673" t="str">
            <v>Future</v>
          </cell>
          <cell r="D673" t="e">
            <v>#N/A</v>
          </cell>
          <cell r="E673">
            <v>35.189519098814117</v>
          </cell>
          <cell r="F673">
            <v>68.983985501976534</v>
          </cell>
          <cell r="G673">
            <v>53.21323451383418</v>
          </cell>
          <cell r="H673">
            <v>53.21323451383418</v>
          </cell>
          <cell r="I673" t="e">
            <v>#N/A</v>
          </cell>
          <cell r="J673" t="e">
            <v>#N/A</v>
          </cell>
          <cell r="K673" t="e">
            <v>#N/A</v>
          </cell>
          <cell r="L673" t="e">
            <v>#N/A</v>
          </cell>
          <cell r="M673" t="e">
            <v>#N/A</v>
          </cell>
          <cell r="N673" t="e">
            <v>#N/A</v>
          </cell>
          <cell r="O673" t="e">
            <v>#N/A</v>
          </cell>
          <cell r="P673" t="str">
            <v/>
          </cell>
          <cell r="Q673" t="str">
            <v/>
          </cell>
          <cell r="R673" t="e">
            <v>#N/A</v>
          </cell>
        </row>
        <row r="674">
          <cell r="A674">
            <v>41128</v>
          </cell>
          <cell r="B674">
            <v>41128</v>
          </cell>
          <cell r="C674" t="str">
            <v>Future</v>
          </cell>
          <cell r="D674" t="e">
            <v>#N/A</v>
          </cell>
          <cell r="E674">
            <v>34.936357090908977</v>
          </cell>
          <cell r="F674">
            <v>69.027266181818433</v>
          </cell>
          <cell r="G674">
            <v>53.118175272727463</v>
          </cell>
          <cell r="H674">
            <v>53.118175272727463</v>
          </cell>
          <cell r="I674" t="e">
            <v>#N/A</v>
          </cell>
          <cell r="J674" t="e">
            <v>#N/A</v>
          </cell>
          <cell r="K674" t="e">
            <v>#N/A</v>
          </cell>
          <cell r="L674" t="e">
            <v>#N/A</v>
          </cell>
          <cell r="M674" t="e">
            <v>#N/A</v>
          </cell>
          <cell r="N674" t="e">
            <v>#N/A</v>
          </cell>
          <cell r="O674" t="e">
            <v>#N/A</v>
          </cell>
          <cell r="P674" t="str">
            <v/>
          </cell>
          <cell r="Q674" t="str">
            <v/>
          </cell>
          <cell r="R674" t="e">
            <v>#N/A</v>
          </cell>
        </row>
        <row r="675">
          <cell r="A675">
            <v>41129</v>
          </cell>
          <cell r="B675">
            <v>41129</v>
          </cell>
          <cell r="C675" t="str">
            <v>Future</v>
          </cell>
          <cell r="D675" t="e">
            <v>#N/A</v>
          </cell>
          <cell r="E675">
            <v>34.683195083003838</v>
          </cell>
          <cell r="F675">
            <v>69.070546861660333</v>
          </cell>
          <cell r="G675">
            <v>53.023116031620745</v>
          </cell>
          <cell r="H675">
            <v>53.023116031620745</v>
          </cell>
          <cell r="I675" t="e">
            <v>#N/A</v>
          </cell>
          <cell r="J675" t="e">
            <v>#N/A</v>
          </cell>
          <cell r="K675" t="e">
            <v>#N/A</v>
          </cell>
          <cell r="L675" t="e">
            <v>#N/A</v>
          </cell>
          <cell r="M675" t="e">
            <v>#N/A</v>
          </cell>
          <cell r="N675" t="e">
            <v>#N/A</v>
          </cell>
          <cell r="O675" t="e">
            <v>#N/A</v>
          </cell>
          <cell r="P675" t="str">
            <v/>
          </cell>
          <cell r="Q675" t="str">
            <v/>
          </cell>
          <cell r="R675" t="e">
            <v>#N/A</v>
          </cell>
        </row>
        <row r="676">
          <cell r="A676">
            <v>41130</v>
          </cell>
          <cell r="B676">
            <v>41130</v>
          </cell>
          <cell r="C676" t="str">
            <v>Future</v>
          </cell>
          <cell r="D676" t="e">
            <v>#N/A</v>
          </cell>
          <cell r="E676">
            <v>34.430033075098699</v>
          </cell>
          <cell r="F676">
            <v>69.113827541502232</v>
          </cell>
          <cell r="G676">
            <v>52.928056790514027</v>
          </cell>
          <cell r="H676">
            <v>52.928056790514027</v>
          </cell>
          <cell r="I676" t="e">
            <v>#N/A</v>
          </cell>
          <cell r="J676" t="e">
            <v>#N/A</v>
          </cell>
          <cell r="K676" t="e">
            <v>#N/A</v>
          </cell>
          <cell r="L676" t="e">
            <v>#N/A</v>
          </cell>
          <cell r="M676" t="e">
            <v>#N/A</v>
          </cell>
          <cell r="N676" t="e">
            <v>#N/A</v>
          </cell>
          <cell r="O676" t="e">
            <v>#N/A</v>
          </cell>
          <cell r="P676" t="str">
            <v/>
          </cell>
          <cell r="Q676" t="str">
            <v/>
          </cell>
          <cell r="R676" t="e">
            <v>#N/A</v>
          </cell>
        </row>
        <row r="677">
          <cell r="A677">
            <v>41131</v>
          </cell>
          <cell r="B677">
            <v>41131</v>
          </cell>
          <cell r="C677" t="str">
            <v>Future</v>
          </cell>
          <cell r="D677" t="e">
            <v>#N/A</v>
          </cell>
          <cell r="E677">
            <v>34.176871067193559</v>
          </cell>
          <cell r="F677">
            <v>69.157108221344131</v>
          </cell>
          <cell r="G677">
            <v>52.83299754940731</v>
          </cell>
          <cell r="H677">
            <v>52.83299754940731</v>
          </cell>
          <cell r="I677" t="e">
            <v>#N/A</v>
          </cell>
          <cell r="J677" t="e">
            <v>#N/A</v>
          </cell>
          <cell r="K677" t="e">
            <v>#N/A</v>
          </cell>
          <cell r="L677" t="e">
            <v>#N/A</v>
          </cell>
          <cell r="M677" t="e">
            <v>#N/A</v>
          </cell>
          <cell r="N677" t="e">
            <v>#N/A</v>
          </cell>
          <cell r="O677" t="e">
            <v>#N/A</v>
          </cell>
          <cell r="P677" t="str">
            <v/>
          </cell>
          <cell r="Q677" t="str">
            <v/>
          </cell>
          <cell r="R677" t="e">
            <v>#N/A</v>
          </cell>
        </row>
        <row r="678">
          <cell r="A678">
            <v>41134</v>
          </cell>
          <cell r="B678">
            <v>41134</v>
          </cell>
          <cell r="C678" t="str">
            <v>Future</v>
          </cell>
          <cell r="D678" t="e">
            <v>#N/A</v>
          </cell>
          <cell r="E678">
            <v>33.92370905928842</v>
          </cell>
          <cell r="F678">
            <v>69.200388901186031</v>
          </cell>
          <cell r="G678">
            <v>52.737938308300592</v>
          </cell>
          <cell r="H678">
            <v>52.737938308300592</v>
          </cell>
          <cell r="I678" t="e">
            <v>#N/A</v>
          </cell>
          <cell r="J678" t="e">
            <v>#N/A</v>
          </cell>
          <cell r="K678" t="e">
            <v>#N/A</v>
          </cell>
          <cell r="L678" t="e">
            <v>#N/A</v>
          </cell>
          <cell r="M678" t="e">
            <v>#N/A</v>
          </cell>
          <cell r="N678" t="e">
            <v>#N/A</v>
          </cell>
          <cell r="O678" t="e">
            <v>#N/A</v>
          </cell>
          <cell r="P678" t="str">
            <v/>
          </cell>
          <cell r="Q678" t="str">
            <v/>
          </cell>
          <cell r="R678" t="e">
            <v>#N/A</v>
          </cell>
        </row>
        <row r="679">
          <cell r="A679">
            <v>41135</v>
          </cell>
          <cell r="B679">
            <v>41135</v>
          </cell>
          <cell r="C679" t="str">
            <v>Future</v>
          </cell>
          <cell r="D679" t="e">
            <v>#N/A</v>
          </cell>
          <cell r="E679">
            <v>33.670547051383281</v>
          </cell>
          <cell r="F679">
            <v>69.24366958102793</v>
          </cell>
          <cell r="G679">
            <v>52.642879067193874</v>
          </cell>
          <cell r="H679">
            <v>52.642879067193874</v>
          </cell>
          <cell r="I679" t="e">
            <v>#N/A</v>
          </cell>
          <cell r="J679" t="e">
            <v>#N/A</v>
          </cell>
          <cell r="K679" t="e">
            <v>#N/A</v>
          </cell>
          <cell r="L679" t="e">
            <v>#N/A</v>
          </cell>
          <cell r="M679" t="e">
            <v>#N/A</v>
          </cell>
          <cell r="N679" t="e">
            <v>#N/A</v>
          </cell>
          <cell r="O679" t="e">
            <v>#N/A</v>
          </cell>
          <cell r="P679" t="str">
            <v/>
          </cell>
          <cell r="Q679" t="str">
            <v/>
          </cell>
          <cell r="R679" t="e">
            <v>#N/A</v>
          </cell>
        </row>
        <row r="680">
          <cell r="A680">
            <v>41136</v>
          </cell>
          <cell r="B680">
            <v>41136</v>
          </cell>
          <cell r="C680" t="str">
            <v>Future</v>
          </cell>
          <cell r="D680" t="e">
            <v>#N/A</v>
          </cell>
          <cell r="E680">
            <v>33.417385043478141</v>
          </cell>
          <cell r="F680">
            <v>69.28695026086983</v>
          </cell>
          <cell r="G680">
            <v>52.547819826087157</v>
          </cell>
          <cell r="H680">
            <v>52.547819826087157</v>
          </cell>
          <cell r="I680" t="e">
            <v>#N/A</v>
          </cell>
          <cell r="J680" t="e">
            <v>#N/A</v>
          </cell>
          <cell r="K680" t="e">
            <v>#N/A</v>
          </cell>
          <cell r="L680" t="e">
            <v>#N/A</v>
          </cell>
          <cell r="M680" t="e">
            <v>#N/A</v>
          </cell>
          <cell r="N680" t="e">
            <v>#N/A</v>
          </cell>
          <cell r="O680" t="e">
            <v>#N/A</v>
          </cell>
          <cell r="P680" t="str">
            <v/>
          </cell>
          <cell r="Q680" t="str">
            <v/>
          </cell>
          <cell r="R680" t="e">
            <v>#N/A</v>
          </cell>
        </row>
        <row r="681">
          <cell r="A681">
            <v>41137</v>
          </cell>
          <cell r="B681">
            <v>41137</v>
          </cell>
          <cell r="C681" t="str">
            <v>Future</v>
          </cell>
          <cell r="D681" t="e">
            <v>#N/A</v>
          </cell>
          <cell r="E681">
            <v>33.164223035573002</v>
          </cell>
          <cell r="F681">
            <v>69.330230940711729</v>
          </cell>
          <cell r="G681">
            <v>52.452760584980439</v>
          </cell>
          <cell r="H681">
            <v>52.452760584980439</v>
          </cell>
          <cell r="I681" t="e">
            <v>#N/A</v>
          </cell>
          <cell r="J681" t="e">
            <v>#N/A</v>
          </cell>
          <cell r="K681" t="e">
            <v>#N/A</v>
          </cell>
          <cell r="L681" t="e">
            <v>#N/A</v>
          </cell>
          <cell r="M681" t="e">
            <v>#N/A</v>
          </cell>
          <cell r="N681" t="e">
            <v>#N/A</v>
          </cell>
          <cell r="O681" t="e">
            <v>#N/A</v>
          </cell>
          <cell r="P681" t="str">
            <v/>
          </cell>
          <cell r="Q681" t="str">
            <v/>
          </cell>
          <cell r="R681" t="e">
            <v>#N/A</v>
          </cell>
        </row>
        <row r="682">
          <cell r="A682">
            <v>41138</v>
          </cell>
          <cell r="B682">
            <v>41138</v>
          </cell>
          <cell r="C682" t="str">
            <v>Future</v>
          </cell>
          <cell r="D682" t="e">
            <v>#N/A</v>
          </cell>
          <cell r="E682">
            <v>32.911061027667863</v>
          </cell>
          <cell r="F682">
            <v>69.373511620553629</v>
          </cell>
          <cell r="G682">
            <v>52.357701343873721</v>
          </cell>
          <cell r="H682">
            <v>52.357701343873721</v>
          </cell>
          <cell r="I682" t="e">
            <v>#N/A</v>
          </cell>
          <cell r="J682" t="e">
            <v>#N/A</v>
          </cell>
          <cell r="K682" t="e">
            <v>#N/A</v>
          </cell>
          <cell r="L682" t="e">
            <v>#N/A</v>
          </cell>
          <cell r="M682" t="e">
            <v>#N/A</v>
          </cell>
          <cell r="N682" t="e">
            <v>#N/A</v>
          </cell>
          <cell r="O682" t="e">
            <v>#N/A</v>
          </cell>
          <cell r="P682" t="str">
            <v/>
          </cell>
          <cell r="Q682" t="str">
            <v/>
          </cell>
          <cell r="R682" t="e">
            <v>#N/A</v>
          </cell>
        </row>
        <row r="683">
          <cell r="A683">
            <v>41141</v>
          </cell>
          <cell r="B683">
            <v>41141</v>
          </cell>
          <cell r="C683" t="str">
            <v>Future</v>
          </cell>
          <cell r="D683" t="e">
            <v>#N/A</v>
          </cell>
          <cell r="E683">
            <v>32.657899019762723</v>
          </cell>
          <cell r="F683">
            <v>69.416792300395528</v>
          </cell>
          <cell r="G683">
            <v>52.262642102767003</v>
          </cell>
          <cell r="H683">
            <v>52.262642102767003</v>
          </cell>
          <cell r="I683" t="e">
            <v>#N/A</v>
          </cell>
          <cell r="J683" t="e">
            <v>#N/A</v>
          </cell>
          <cell r="K683" t="e">
            <v>#N/A</v>
          </cell>
          <cell r="L683" t="e">
            <v>#N/A</v>
          </cell>
          <cell r="M683" t="e">
            <v>#N/A</v>
          </cell>
          <cell r="N683" t="e">
            <v>#N/A</v>
          </cell>
          <cell r="O683" t="e">
            <v>#N/A</v>
          </cell>
          <cell r="P683" t="str">
            <v/>
          </cell>
          <cell r="Q683" t="str">
            <v/>
          </cell>
          <cell r="R683" t="e">
            <v>#N/A</v>
          </cell>
        </row>
        <row r="684">
          <cell r="A684">
            <v>41142</v>
          </cell>
          <cell r="B684">
            <v>41142</v>
          </cell>
          <cell r="C684" t="str">
            <v>Future</v>
          </cell>
          <cell r="D684" t="e">
            <v>#N/A</v>
          </cell>
          <cell r="E684">
            <v>32.404737011857584</v>
          </cell>
          <cell r="F684">
            <v>69.460072980237427</v>
          </cell>
          <cell r="G684">
            <v>52.167582861660286</v>
          </cell>
          <cell r="H684">
            <v>52.167582861660286</v>
          </cell>
          <cell r="I684" t="e">
            <v>#N/A</v>
          </cell>
          <cell r="J684" t="e">
            <v>#N/A</v>
          </cell>
          <cell r="K684" t="e">
            <v>#N/A</v>
          </cell>
          <cell r="L684" t="e">
            <v>#N/A</v>
          </cell>
          <cell r="M684" t="e">
            <v>#N/A</v>
          </cell>
          <cell r="N684" t="e">
            <v>#N/A</v>
          </cell>
          <cell r="O684" t="e">
            <v>#N/A</v>
          </cell>
          <cell r="P684" t="str">
            <v/>
          </cell>
          <cell r="Q684" t="str">
            <v/>
          </cell>
          <cell r="R684" t="e">
            <v>#N/A</v>
          </cell>
        </row>
        <row r="685">
          <cell r="A685">
            <v>41143</v>
          </cell>
          <cell r="B685">
            <v>41143</v>
          </cell>
          <cell r="C685" t="str">
            <v>Future</v>
          </cell>
          <cell r="D685" t="e">
            <v>#N/A</v>
          </cell>
          <cell r="E685">
            <v>32.151575003952445</v>
          </cell>
          <cell r="F685">
            <v>69.503353660079327</v>
          </cell>
          <cell r="G685">
            <v>52.072523620553568</v>
          </cell>
          <cell r="H685">
            <v>52.072523620553568</v>
          </cell>
          <cell r="I685" t="e">
            <v>#N/A</v>
          </cell>
          <cell r="J685" t="e">
            <v>#N/A</v>
          </cell>
          <cell r="K685" t="e">
            <v>#N/A</v>
          </cell>
          <cell r="L685" t="e">
            <v>#N/A</v>
          </cell>
          <cell r="M685" t="e">
            <v>#N/A</v>
          </cell>
          <cell r="N685" t="e">
            <v>#N/A</v>
          </cell>
          <cell r="O685" t="e">
            <v>#N/A</v>
          </cell>
          <cell r="P685" t="str">
            <v/>
          </cell>
          <cell r="Q685" t="str">
            <v/>
          </cell>
          <cell r="R685" t="e">
            <v>#N/A</v>
          </cell>
        </row>
        <row r="686">
          <cell r="A686">
            <v>41144</v>
          </cell>
          <cell r="B686">
            <v>41144</v>
          </cell>
          <cell r="C686" t="str">
            <v>Future</v>
          </cell>
          <cell r="D686" t="e">
            <v>#N/A</v>
          </cell>
          <cell r="E686">
            <v>31.898412996047306</v>
          </cell>
          <cell r="F686">
            <v>69.546634339921226</v>
          </cell>
          <cell r="G686">
            <v>51.97746437944685</v>
          </cell>
          <cell r="H686">
            <v>51.97746437944685</v>
          </cell>
          <cell r="I686" t="e">
            <v>#N/A</v>
          </cell>
          <cell r="J686" t="e">
            <v>#N/A</v>
          </cell>
          <cell r="K686" t="e">
            <v>#N/A</v>
          </cell>
          <cell r="L686" t="e">
            <v>#N/A</v>
          </cell>
          <cell r="M686" t="e">
            <v>#N/A</v>
          </cell>
          <cell r="N686" t="e">
            <v>#N/A</v>
          </cell>
          <cell r="O686" t="e">
            <v>#N/A</v>
          </cell>
          <cell r="P686" t="str">
            <v/>
          </cell>
          <cell r="Q686" t="str">
            <v/>
          </cell>
          <cell r="R686" t="e">
            <v>#N/A</v>
          </cell>
        </row>
        <row r="687">
          <cell r="A687">
            <v>41145</v>
          </cell>
          <cell r="B687">
            <v>41145</v>
          </cell>
          <cell r="C687" t="str">
            <v>Future</v>
          </cell>
          <cell r="D687" t="e">
            <v>#N/A</v>
          </cell>
          <cell r="E687">
            <v>31.645250988142166</v>
          </cell>
          <cell r="F687">
            <v>69.589915019763126</v>
          </cell>
          <cell r="G687">
            <v>51.882405138340133</v>
          </cell>
          <cell r="H687">
            <v>51.882405138340133</v>
          </cell>
          <cell r="I687" t="e">
            <v>#N/A</v>
          </cell>
          <cell r="J687" t="e">
            <v>#N/A</v>
          </cell>
          <cell r="K687" t="e">
            <v>#N/A</v>
          </cell>
          <cell r="L687" t="e">
            <v>#N/A</v>
          </cell>
          <cell r="M687" t="e">
            <v>#N/A</v>
          </cell>
          <cell r="N687" t="e">
            <v>#N/A</v>
          </cell>
          <cell r="O687" t="e">
            <v>#N/A</v>
          </cell>
          <cell r="P687" t="str">
            <v/>
          </cell>
          <cell r="Q687" t="str">
            <v/>
          </cell>
          <cell r="R687" t="e">
            <v>#N/A</v>
          </cell>
        </row>
        <row r="688">
          <cell r="A688">
            <v>41148</v>
          </cell>
          <cell r="B688">
            <v>41148</v>
          </cell>
          <cell r="C688" t="str">
            <v>Future</v>
          </cell>
          <cell r="D688" t="e">
            <v>#N/A</v>
          </cell>
          <cell r="E688">
            <v>31.392088980237027</v>
          </cell>
          <cell r="F688">
            <v>69.633195699605025</v>
          </cell>
          <cell r="G688">
            <v>51.787345897233415</v>
          </cell>
          <cell r="H688">
            <v>51.787345897233415</v>
          </cell>
          <cell r="I688" t="e">
            <v>#N/A</v>
          </cell>
          <cell r="J688" t="e">
            <v>#N/A</v>
          </cell>
          <cell r="K688" t="e">
            <v>#N/A</v>
          </cell>
          <cell r="L688" t="e">
            <v>#N/A</v>
          </cell>
          <cell r="M688" t="e">
            <v>#N/A</v>
          </cell>
          <cell r="N688" t="e">
            <v>#N/A</v>
          </cell>
          <cell r="O688" t="e">
            <v>#N/A</v>
          </cell>
          <cell r="P688" t="str">
            <v/>
          </cell>
          <cell r="Q688" t="str">
            <v/>
          </cell>
          <cell r="R688" t="e">
            <v>#N/A</v>
          </cell>
        </row>
        <row r="689">
          <cell r="A689">
            <v>41149</v>
          </cell>
          <cell r="B689">
            <v>41149</v>
          </cell>
          <cell r="C689" t="str">
            <v>Future</v>
          </cell>
          <cell r="D689" t="e">
            <v>#N/A</v>
          </cell>
          <cell r="E689">
            <v>31.138926972331888</v>
          </cell>
          <cell r="F689">
            <v>69.676476379446925</v>
          </cell>
          <cell r="G689">
            <v>51.692286656126697</v>
          </cell>
          <cell r="H689">
            <v>51.692286656126697</v>
          </cell>
          <cell r="I689" t="e">
            <v>#N/A</v>
          </cell>
          <cell r="J689" t="e">
            <v>#N/A</v>
          </cell>
          <cell r="K689" t="e">
            <v>#N/A</v>
          </cell>
          <cell r="L689" t="e">
            <v>#N/A</v>
          </cell>
          <cell r="M689" t="e">
            <v>#N/A</v>
          </cell>
          <cell r="N689" t="e">
            <v>#N/A</v>
          </cell>
          <cell r="O689" t="e">
            <v>#N/A</v>
          </cell>
          <cell r="P689" t="str">
            <v/>
          </cell>
          <cell r="Q689" t="str">
            <v/>
          </cell>
          <cell r="R689" t="e">
            <v>#N/A</v>
          </cell>
        </row>
        <row r="690">
          <cell r="A690">
            <v>41150</v>
          </cell>
          <cell r="B690">
            <v>41150</v>
          </cell>
          <cell r="C690" t="str">
            <v>Future</v>
          </cell>
          <cell r="D690" t="e">
            <v>#N/A</v>
          </cell>
          <cell r="E690">
            <v>30.885764964426748</v>
          </cell>
          <cell r="F690">
            <v>69.719757059288824</v>
          </cell>
          <cell r="G690">
            <v>51.597227415019979</v>
          </cell>
          <cell r="H690">
            <v>51.597227415019979</v>
          </cell>
          <cell r="I690" t="e">
            <v>#N/A</v>
          </cell>
          <cell r="J690" t="e">
            <v>#N/A</v>
          </cell>
          <cell r="K690" t="e">
            <v>#N/A</v>
          </cell>
          <cell r="L690" t="e">
            <v>#N/A</v>
          </cell>
          <cell r="M690" t="e">
            <v>#N/A</v>
          </cell>
          <cell r="N690" t="e">
            <v>#N/A</v>
          </cell>
          <cell r="O690" t="e">
            <v>#N/A</v>
          </cell>
          <cell r="P690" t="str">
            <v/>
          </cell>
          <cell r="Q690" t="str">
            <v/>
          </cell>
          <cell r="R690" t="e">
            <v>#N/A</v>
          </cell>
        </row>
        <row r="691">
          <cell r="A691">
            <v>41151</v>
          </cell>
          <cell r="B691">
            <v>41151</v>
          </cell>
          <cell r="C691" t="str">
            <v>Future</v>
          </cell>
          <cell r="D691" t="e">
            <v>#N/A</v>
          </cell>
          <cell r="E691">
            <v>30.632602956521609</v>
          </cell>
          <cell r="F691">
            <v>69.763037739130723</v>
          </cell>
          <cell r="G691">
            <v>51.502168173913262</v>
          </cell>
          <cell r="H691">
            <v>51.502168173913262</v>
          </cell>
          <cell r="I691" t="e">
            <v>#N/A</v>
          </cell>
          <cell r="J691" t="e">
            <v>#N/A</v>
          </cell>
          <cell r="K691" t="e">
            <v>#N/A</v>
          </cell>
          <cell r="L691" t="e">
            <v>#N/A</v>
          </cell>
          <cell r="M691" t="e">
            <v>#N/A</v>
          </cell>
          <cell r="N691" t="e">
            <v>#N/A</v>
          </cell>
          <cell r="O691" t="e">
            <v>#N/A</v>
          </cell>
          <cell r="P691" t="str">
            <v/>
          </cell>
          <cell r="Q691" t="str">
            <v/>
          </cell>
          <cell r="R691" t="e">
            <v>#N/A</v>
          </cell>
        </row>
        <row r="692">
          <cell r="A692">
            <v>41152</v>
          </cell>
          <cell r="B692">
            <v>41152</v>
          </cell>
          <cell r="C692" t="str">
            <v>Future</v>
          </cell>
          <cell r="D692" t="e">
            <v>#N/A</v>
          </cell>
          <cell r="E692">
            <v>30.37944094861647</v>
          </cell>
          <cell r="F692">
            <v>69.806318418972623</v>
          </cell>
          <cell r="G692">
            <v>51.407108932806544</v>
          </cell>
          <cell r="H692">
            <v>51.407108932806544</v>
          </cell>
          <cell r="I692" t="e">
            <v>#N/A</v>
          </cell>
          <cell r="J692" t="e">
            <v>#N/A</v>
          </cell>
          <cell r="K692" t="e">
            <v>#N/A</v>
          </cell>
          <cell r="L692" t="e">
            <v>#N/A</v>
          </cell>
          <cell r="M692" t="e">
            <v>#N/A</v>
          </cell>
          <cell r="N692" t="e">
            <v>#N/A</v>
          </cell>
          <cell r="O692" t="e">
            <v>#N/A</v>
          </cell>
          <cell r="P692" t="str">
            <v/>
          </cell>
          <cell r="Q692" t="str">
            <v/>
          </cell>
          <cell r="R692" t="e">
            <v>#N/A</v>
          </cell>
        </row>
        <row r="693">
          <cell r="A693">
            <v>41156</v>
          </cell>
          <cell r="B693">
            <v>41156</v>
          </cell>
          <cell r="C693" t="str">
            <v>Future</v>
          </cell>
          <cell r="D693" t="e">
            <v>#N/A</v>
          </cell>
          <cell r="E693">
            <v>30.12627894071133</v>
          </cell>
          <cell r="F693">
            <v>69.849599098814522</v>
          </cell>
          <cell r="G693">
            <v>51.312049691699826</v>
          </cell>
          <cell r="H693">
            <v>51.312049691699826</v>
          </cell>
          <cell r="I693" t="e">
            <v>#N/A</v>
          </cell>
          <cell r="J693" t="e">
            <v>#N/A</v>
          </cell>
          <cell r="K693" t="e">
            <v>#N/A</v>
          </cell>
          <cell r="L693" t="e">
            <v>#N/A</v>
          </cell>
          <cell r="M693" t="e">
            <v>#N/A</v>
          </cell>
          <cell r="N693" t="e">
            <v>#N/A</v>
          </cell>
          <cell r="O693" t="e">
            <v>#N/A</v>
          </cell>
          <cell r="P693" t="str">
            <v/>
          </cell>
          <cell r="Q693" t="str">
            <v/>
          </cell>
          <cell r="R693" t="e">
            <v>#N/A</v>
          </cell>
        </row>
        <row r="694">
          <cell r="A694">
            <v>41157</v>
          </cell>
          <cell r="B694">
            <v>41157</v>
          </cell>
          <cell r="C694" t="str">
            <v>Future</v>
          </cell>
          <cell r="D694" t="e">
            <v>#N/A</v>
          </cell>
          <cell r="E694">
            <v>29.873116932806191</v>
          </cell>
          <cell r="F694">
            <v>69.892879778656422</v>
          </cell>
          <cell r="G694">
            <v>51.216990450593109</v>
          </cell>
          <cell r="H694">
            <v>51.216990450593109</v>
          </cell>
          <cell r="I694" t="e">
            <v>#N/A</v>
          </cell>
          <cell r="J694" t="e">
            <v>#N/A</v>
          </cell>
          <cell r="K694" t="e">
            <v>#N/A</v>
          </cell>
          <cell r="L694" t="e">
            <v>#N/A</v>
          </cell>
          <cell r="M694" t="e">
            <v>#N/A</v>
          </cell>
          <cell r="N694" t="e">
            <v>#N/A</v>
          </cell>
          <cell r="O694" t="e">
            <v>#N/A</v>
          </cell>
          <cell r="P694" t="str">
            <v/>
          </cell>
          <cell r="Q694" t="str">
            <v/>
          </cell>
          <cell r="R694" t="e">
            <v>#N/A</v>
          </cell>
        </row>
        <row r="695">
          <cell r="A695">
            <v>41158</v>
          </cell>
          <cell r="B695">
            <v>41158</v>
          </cell>
          <cell r="C695" t="str">
            <v>Future</v>
          </cell>
          <cell r="D695" t="e">
            <v>#N/A</v>
          </cell>
          <cell r="E695">
            <v>29.619954924901052</v>
          </cell>
          <cell r="F695">
            <v>69.936160458498321</v>
          </cell>
          <cell r="G695">
            <v>51.121931209486391</v>
          </cell>
          <cell r="H695">
            <v>51.121931209486391</v>
          </cell>
          <cell r="I695" t="e">
            <v>#N/A</v>
          </cell>
          <cell r="J695" t="e">
            <v>#N/A</v>
          </cell>
          <cell r="K695" t="e">
            <v>#N/A</v>
          </cell>
          <cell r="L695" t="e">
            <v>#N/A</v>
          </cell>
          <cell r="M695" t="e">
            <v>#N/A</v>
          </cell>
          <cell r="N695" t="e">
            <v>#N/A</v>
          </cell>
          <cell r="O695" t="e">
            <v>#N/A</v>
          </cell>
          <cell r="P695" t="str">
            <v/>
          </cell>
          <cell r="Q695" t="str">
            <v/>
          </cell>
          <cell r="R695" t="e">
            <v>#N/A</v>
          </cell>
        </row>
        <row r="696">
          <cell r="A696">
            <v>41159</v>
          </cell>
          <cell r="B696">
            <v>41159</v>
          </cell>
          <cell r="C696" t="str">
            <v>Future</v>
          </cell>
          <cell r="D696" t="e">
            <v>#N/A</v>
          </cell>
          <cell r="E696">
            <v>29.366792916995912</v>
          </cell>
          <cell r="F696">
            <v>69.979441138340221</v>
          </cell>
          <cell r="G696">
            <v>51.026871968379673</v>
          </cell>
          <cell r="H696">
            <v>51.026871968379673</v>
          </cell>
          <cell r="I696" t="e">
            <v>#N/A</v>
          </cell>
          <cell r="J696" t="e">
            <v>#N/A</v>
          </cell>
          <cell r="K696" t="e">
            <v>#N/A</v>
          </cell>
          <cell r="L696" t="e">
            <v>#N/A</v>
          </cell>
          <cell r="M696" t="e">
            <v>#N/A</v>
          </cell>
          <cell r="N696" t="e">
            <v>#N/A</v>
          </cell>
          <cell r="O696" t="e">
            <v>#N/A</v>
          </cell>
          <cell r="P696" t="str">
            <v/>
          </cell>
          <cell r="Q696" t="str">
            <v/>
          </cell>
          <cell r="R696" t="e">
            <v>#N/A</v>
          </cell>
        </row>
        <row r="697">
          <cell r="A697">
            <v>41162</v>
          </cell>
          <cell r="B697">
            <v>41162</v>
          </cell>
          <cell r="C697" t="str">
            <v>Future</v>
          </cell>
          <cell r="D697" t="e">
            <v>#N/A</v>
          </cell>
          <cell r="E697">
            <v>29.113630909090773</v>
          </cell>
          <cell r="F697">
            <v>70.02272181818212</v>
          </cell>
          <cell r="G697">
            <v>50.931812727272955</v>
          </cell>
          <cell r="H697">
            <v>50.931812727272955</v>
          </cell>
          <cell r="I697" t="e">
            <v>#N/A</v>
          </cell>
          <cell r="J697" t="e">
            <v>#N/A</v>
          </cell>
          <cell r="K697" t="e">
            <v>#N/A</v>
          </cell>
          <cell r="L697" t="e">
            <v>#N/A</v>
          </cell>
          <cell r="M697" t="e">
            <v>#N/A</v>
          </cell>
          <cell r="N697" t="e">
            <v>#N/A</v>
          </cell>
          <cell r="O697" t="e">
            <v>#N/A</v>
          </cell>
          <cell r="P697" t="str">
            <v/>
          </cell>
          <cell r="Q697" t="str">
            <v/>
          </cell>
          <cell r="R697" t="e">
            <v>#N/A</v>
          </cell>
        </row>
        <row r="698">
          <cell r="A698">
            <v>41163</v>
          </cell>
          <cell r="B698">
            <v>41163</v>
          </cell>
          <cell r="C698" t="str">
            <v>Future</v>
          </cell>
          <cell r="D698" t="e">
            <v>#N/A</v>
          </cell>
          <cell r="E698">
            <v>28.860468901185634</v>
          </cell>
          <cell r="F698">
            <v>70.066002498024019</v>
          </cell>
          <cell r="G698">
            <v>50.836753486166238</v>
          </cell>
          <cell r="H698">
            <v>50.836753486166238</v>
          </cell>
          <cell r="I698" t="e">
            <v>#N/A</v>
          </cell>
          <cell r="J698" t="e">
            <v>#N/A</v>
          </cell>
          <cell r="K698" t="e">
            <v>#N/A</v>
          </cell>
          <cell r="L698" t="e">
            <v>#N/A</v>
          </cell>
          <cell r="M698" t="e">
            <v>#N/A</v>
          </cell>
          <cell r="N698" t="e">
            <v>#N/A</v>
          </cell>
          <cell r="O698" t="e">
            <v>#N/A</v>
          </cell>
          <cell r="P698" t="str">
            <v/>
          </cell>
          <cell r="Q698" t="str">
            <v/>
          </cell>
          <cell r="R698" t="e">
            <v>#N/A</v>
          </cell>
        </row>
        <row r="699">
          <cell r="A699">
            <v>41164</v>
          </cell>
          <cell r="B699">
            <v>41164</v>
          </cell>
          <cell r="C699" t="str">
            <v>Future</v>
          </cell>
          <cell r="D699" t="e">
            <v>#N/A</v>
          </cell>
          <cell r="E699">
            <v>28.607306893280494</v>
          </cell>
          <cell r="F699">
            <v>70.109283177865919</v>
          </cell>
          <cell r="G699">
            <v>50.74169424505952</v>
          </cell>
          <cell r="H699">
            <v>50.74169424505952</v>
          </cell>
          <cell r="I699" t="e">
            <v>#N/A</v>
          </cell>
          <cell r="J699" t="e">
            <v>#N/A</v>
          </cell>
          <cell r="K699" t="e">
            <v>#N/A</v>
          </cell>
          <cell r="L699" t="e">
            <v>#N/A</v>
          </cell>
          <cell r="M699" t="e">
            <v>#N/A</v>
          </cell>
          <cell r="N699" t="e">
            <v>#N/A</v>
          </cell>
          <cell r="O699" t="e">
            <v>#N/A</v>
          </cell>
          <cell r="P699" t="str">
            <v/>
          </cell>
          <cell r="Q699" t="str">
            <v/>
          </cell>
          <cell r="R699" t="e">
            <v>#N/A</v>
          </cell>
        </row>
        <row r="700">
          <cell r="A700">
            <v>41165</v>
          </cell>
          <cell r="B700">
            <v>41165</v>
          </cell>
          <cell r="C700" t="str">
            <v>Future</v>
          </cell>
          <cell r="D700" t="e">
            <v>#N/A</v>
          </cell>
          <cell r="E700">
            <v>28.354144885375355</v>
          </cell>
          <cell r="F700">
            <v>70.152563857707818</v>
          </cell>
          <cell r="G700">
            <v>50.646635003952802</v>
          </cell>
          <cell r="H700">
            <v>50.646635003952802</v>
          </cell>
          <cell r="I700" t="e">
            <v>#N/A</v>
          </cell>
          <cell r="J700" t="e">
            <v>#N/A</v>
          </cell>
          <cell r="K700" t="e">
            <v>#N/A</v>
          </cell>
          <cell r="L700" t="e">
            <v>#N/A</v>
          </cell>
          <cell r="M700" t="e">
            <v>#N/A</v>
          </cell>
          <cell r="N700" t="e">
            <v>#N/A</v>
          </cell>
          <cell r="O700" t="e">
            <v>#N/A</v>
          </cell>
          <cell r="P700" t="str">
            <v/>
          </cell>
          <cell r="Q700" t="str">
            <v/>
          </cell>
          <cell r="R700" t="e">
            <v>#N/A</v>
          </cell>
        </row>
        <row r="701">
          <cell r="A701">
            <v>41166</v>
          </cell>
          <cell r="B701">
            <v>41166</v>
          </cell>
          <cell r="C701" t="str">
            <v>Future</v>
          </cell>
          <cell r="D701" t="e">
            <v>#N/A</v>
          </cell>
          <cell r="E701">
            <v>28.100982877470216</v>
          </cell>
          <cell r="F701">
            <v>70.195844537549718</v>
          </cell>
          <cell r="G701">
            <v>50.551575762846085</v>
          </cell>
          <cell r="H701">
            <v>50.551575762846085</v>
          </cell>
          <cell r="I701" t="e">
            <v>#N/A</v>
          </cell>
          <cell r="J701" t="e">
            <v>#N/A</v>
          </cell>
          <cell r="K701" t="e">
            <v>#N/A</v>
          </cell>
          <cell r="L701" t="e">
            <v>#N/A</v>
          </cell>
          <cell r="M701" t="e">
            <v>#N/A</v>
          </cell>
          <cell r="N701" t="e">
            <v>#N/A</v>
          </cell>
          <cell r="O701" t="e">
            <v>#N/A</v>
          </cell>
          <cell r="P701" t="str">
            <v/>
          </cell>
          <cell r="Q701" t="str">
            <v/>
          </cell>
          <cell r="R701" t="e">
            <v>#N/A</v>
          </cell>
        </row>
        <row r="702">
          <cell r="A702">
            <v>41169</v>
          </cell>
          <cell r="B702">
            <v>41169</v>
          </cell>
          <cell r="C702" t="str">
            <v>Future</v>
          </cell>
          <cell r="D702" t="e">
            <v>#N/A</v>
          </cell>
          <cell r="E702">
            <v>27.847820869565076</v>
          </cell>
          <cell r="F702">
            <v>70.239125217391617</v>
          </cell>
          <cell r="G702">
            <v>50.456516521739367</v>
          </cell>
          <cell r="H702">
            <v>50.456516521739367</v>
          </cell>
          <cell r="I702" t="e">
            <v>#N/A</v>
          </cell>
          <cell r="J702" t="e">
            <v>#N/A</v>
          </cell>
          <cell r="K702" t="e">
            <v>#N/A</v>
          </cell>
          <cell r="L702" t="e">
            <v>#N/A</v>
          </cell>
          <cell r="M702" t="e">
            <v>#N/A</v>
          </cell>
          <cell r="N702" t="e">
            <v>#N/A</v>
          </cell>
          <cell r="O702" t="e">
            <v>#N/A</v>
          </cell>
          <cell r="P702" t="str">
            <v/>
          </cell>
          <cell r="Q702" t="str">
            <v/>
          </cell>
          <cell r="R702" t="e">
            <v>#N/A</v>
          </cell>
        </row>
        <row r="703">
          <cell r="A703">
            <v>41170</v>
          </cell>
          <cell r="B703">
            <v>41170</v>
          </cell>
          <cell r="C703" t="str">
            <v>Future</v>
          </cell>
          <cell r="D703" t="e">
            <v>#N/A</v>
          </cell>
          <cell r="E703">
            <v>27.594658861659937</v>
          </cell>
          <cell r="F703">
            <v>70.282405897233517</v>
          </cell>
          <cell r="G703">
            <v>50.361457280632649</v>
          </cell>
          <cell r="H703">
            <v>50.361457280632649</v>
          </cell>
          <cell r="I703" t="e">
            <v>#N/A</v>
          </cell>
          <cell r="J703" t="e">
            <v>#N/A</v>
          </cell>
          <cell r="K703" t="e">
            <v>#N/A</v>
          </cell>
          <cell r="L703" t="e">
            <v>#N/A</v>
          </cell>
          <cell r="M703" t="e">
            <v>#N/A</v>
          </cell>
          <cell r="N703" t="e">
            <v>#N/A</v>
          </cell>
          <cell r="O703" t="e">
            <v>#N/A</v>
          </cell>
          <cell r="P703" t="str">
            <v/>
          </cell>
          <cell r="Q703" t="str">
            <v/>
          </cell>
          <cell r="R703" t="e">
            <v>#N/A</v>
          </cell>
        </row>
        <row r="704">
          <cell r="A704">
            <v>41171</v>
          </cell>
          <cell r="B704">
            <v>41171</v>
          </cell>
          <cell r="C704" t="str">
            <v>Future</v>
          </cell>
          <cell r="D704" t="e">
            <v>#N/A</v>
          </cell>
          <cell r="E704">
            <v>27.341496853754798</v>
          </cell>
          <cell r="F704">
            <v>70.325686577075416</v>
          </cell>
          <cell r="G704">
            <v>50.266398039525932</v>
          </cell>
          <cell r="H704">
            <v>50.266398039525932</v>
          </cell>
          <cell r="I704" t="e">
            <v>#N/A</v>
          </cell>
          <cell r="J704" t="e">
            <v>#N/A</v>
          </cell>
          <cell r="K704" t="e">
            <v>#N/A</v>
          </cell>
          <cell r="L704" t="e">
            <v>#N/A</v>
          </cell>
          <cell r="M704" t="e">
            <v>#N/A</v>
          </cell>
          <cell r="N704" t="e">
            <v>#N/A</v>
          </cell>
          <cell r="O704" t="e">
            <v>#N/A</v>
          </cell>
          <cell r="P704" t="str">
            <v/>
          </cell>
          <cell r="Q704" t="str">
            <v/>
          </cell>
          <cell r="R704" t="e">
            <v>#N/A</v>
          </cell>
        </row>
        <row r="705">
          <cell r="A705">
            <v>41172</v>
          </cell>
          <cell r="B705">
            <v>41172</v>
          </cell>
          <cell r="C705" t="str">
            <v>Future</v>
          </cell>
          <cell r="D705" t="e">
            <v>#N/A</v>
          </cell>
          <cell r="E705">
            <v>27.088334845849658</v>
          </cell>
          <cell r="F705">
            <v>70.368967256917315</v>
          </cell>
          <cell r="G705">
            <v>50.171338798419214</v>
          </cell>
          <cell r="H705">
            <v>50.171338798419214</v>
          </cell>
          <cell r="I705" t="e">
            <v>#N/A</v>
          </cell>
          <cell r="J705" t="e">
            <v>#N/A</v>
          </cell>
          <cell r="K705" t="e">
            <v>#N/A</v>
          </cell>
          <cell r="L705" t="e">
            <v>#N/A</v>
          </cell>
          <cell r="M705" t="e">
            <v>#N/A</v>
          </cell>
          <cell r="N705" t="e">
            <v>#N/A</v>
          </cell>
          <cell r="O705" t="e">
            <v>#N/A</v>
          </cell>
          <cell r="P705" t="str">
            <v/>
          </cell>
          <cell r="Q705" t="str">
            <v/>
          </cell>
          <cell r="R705" t="e">
            <v>#N/A</v>
          </cell>
        </row>
        <row r="706">
          <cell r="A706">
            <v>41173</v>
          </cell>
          <cell r="B706">
            <v>41173</v>
          </cell>
          <cell r="C706" t="str">
            <v>Future</v>
          </cell>
          <cell r="D706" t="e">
            <v>#N/A</v>
          </cell>
          <cell r="E706">
            <v>26.835172837944519</v>
          </cell>
          <cell r="F706">
            <v>70.412247936759215</v>
          </cell>
          <cell r="G706">
            <v>50.076279557312496</v>
          </cell>
          <cell r="H706">
            <v>50.076279557312496</v>
          </cell>
          <cell r="I706" t="e">
            <v>#N/A</v>
          </cell>
          <cell r="J706" t="e">
            <v>#N/A</v>
          </cell>
          <cell r="K706" t="e">
            <v>#N/A</v>
          </cell>
          <cell r="L706" t="e">
            <v>#N/A</v>
          </cell>
          <cell r="M706" t="e">
            <v>#N/A</v>
          </cell>
          <cell r="N706" t="e">
            <v>#N/A</v>
          </cell>
          <cell r="O706" t="e">
            <v>#N/A</v>
          </cell>
          <cell r="P706" t="str">
            <v/>
          </cell>
          <cell r="Q706" t="str">
            <v/>
          </cell>
          <cell r="R706" t="e">
            <v>#N/A</v>
          </cell>
        </row>
        <row r="707">
          <cell r="A707">
            <v>41176</v>
          </cell>
          <cell r="B707">
            <v>41176</v>
          </cell>
          <cell r="C707" t="str">
            <v>Future</v>
          </cell>
          <cell r="D707" t="e">
            <v>#N/A</v>
          </cell>
          <cell r="E707">
            <v>26.58201083003938</v>
          </cell>
          <cell r="F707">
            <v>70.455528616601114</v>
          </cell>
          <cell r="G707">
            <v>49.981220316205778</v>
          </cell>
          <cell r="H707">
            <v>49.981220316205778</v>
          </cell>
          <cell r="I707" t="e">
            <v>#N/A</v>
          </cell>
          <cell r="J707" t="e">
            <v>#N/A</v>
          </cell>
          <cell r="K707" t="e">
            <v>#N/A</v>
          </cell>
          <cell r="L707" t="e">
            <v>#N/A</v>
          </cell>
          <cell r="M707" t="e">
            <v>#N/A</v>
          </cell>
          <cell r="N707" t="e">
            <v>#N/A</v>
          </cell>
          <cell r="O707" t="e">
            <v>#N/A</v>
          </cell>
          <cell r="P707" t="str">
            <v/>
          </cell>
          <cell r="Q707" t="str">
            <v/>
          </cell>
          <cell r="R707" t="e">
            <v>#N/A</v>
          </cell>
        </row>
        <row r="708">
          <cell r="A708">
            <v>41177</v>
          </cell>
          <cell r="B708">
            <v>41177</v>
          </cell>
          <cell r="C708" t="str">
            <v>Future</v>
          </cell>
          <cell r="D708" t="e">
            <v>#N/A</v>
          </cell>
          <cell r="E708">
            <v>26.32884882213424</v>
          </cell>
          <cell r="F708">
            <v>70.498809296443014</v>
          </cell>
          <cell r="G708">
            <v>49.886161075099061</v>
          </cell>
          <cell r="H708">
            <v>49.886161075099061</v>
          </cell>
          <cell r="I708" t="e">
            <v>#N/A</v>
          </cell>
          <cell r="J708" t="e">
            <v>#N/A</v>
          </cell>
          <cell r="K708" t="e">
            <v>#N/A</v>
          </cell>
          <cell r="L708" t="e">
            <v>#N/A</v>
          </cell>
          <cell r="M708" t="e">
            <v>#N/A</v>
          </cell>
          <cell r="N708" t="e">
            <v>#N/A</v>
          </cell>
          <cell r="O708" t="e">
            <v>#N/A</v>
          </cell>
          <cell r="P708" t="str">
            <v/>
          </cell>
          <cell r="Q708" t="str">
            <v/>
          </cell>
          <cell r="R708" t="e">
            <v>#N/A</v>
          </cell>
        </row>
        <row r="709">
          <cell r="A709">
            <v>41178</v>
          </cell>
          <cell r="B709">
            <v>41178</v>
          </cell>
          <cell r="C709" t="str">
            <v>Future</v>
          </cell>
          <cell r="D709" t="e">
            <v>#N/A</v>
          </cell>
          <cell r="E709">
            <v>26.075686814229101</v>
          </cell>
          <cell r="F709">
            <v>70.542089976284913</v>
          </cell>
          <cell r="G709">
            <v>49.791101833992343</v>
          </cell>
          <cell r="H709">
            <v>49.791101833992343</v>
          </cell>
          <cell r="I709" t="e">
            <v>#N/A</v>
          </cell>
          <cell r="J709" t="e">
            <v>#N/A</v>
          </cell>
          <cell r="K709" t="e">
            <v>#N/A</v>
          </cell>
          <cell r="L709" t="e">
            <v>#N/A</v>
          </cell>
          <cell r="M709" t="e">
            <v>#N/A</v>
          </cell>
          <cell r="N709" t="e">
            <v>#N/A</v>
          </cell>
          <cell r="O709" t="e">
            <v>#N/A</v>
          </cell>
          <cell r="P709" t="str">
            <v/>
          </cell>
          <cell r="Q709" t="str">
            <v/>
          </cell>
          <cell r="R709" t="e">
            <v>#N/A</v>
          </cell>
        </row>
        <row r="710">
          <cell r="A710">
            <v>41179</v>
          </cell>
          <cell r="B710">
            <v>41179</v>
          </cell>
          <cell r="C710" t="str">
            <v>Future</v>
          </cell>
          <cell r="D710" t="e">
            <v>#N/A</v>
          </cell>
          <cell r="E710">
            <v>25.822524806323962</v>
          </cell>
          <cell r="F710">
            <v>70.585370656126813</v>
          </cell>
          <cell r="G710">
            <v>49.696042592885625</v>
          </cell>
          <cell r="H710">
            <v>49.696042592885625</v>
          </cell>
          <cell r="I710" t="e">
            <v>#N/A</v>
          </cell>
          <cell r="J710" t="e">
            <v>#N/A</v>
          </cell>
          <cell r="K710" t="e">
            <v>#N/A</v>
          </cell>
          <cell r="L710" t="e">
            <v>#N/A</v>
          </cell>
          <cell r="M710" t="e">
            <v>#N/A</v>
          </cell>
          <cell r="N710" t="e">
            <v>#N/A</v>
          </cell>
          <cell r="O710" t="e">
            <v>#N/A</v>
          </cell>
          <cell r="P710" t="str">
            <v/>
          </cell>
          <cell r="Q710" t="str">
            <v/>
          </cell>
          <cell r="R710" t="e">
            <v>#N/A</v>
          </cell>
        </row>
        <row r="711">
          <cell r="A711">
            <v>41180</v>
          </cell>
          <cell r="B711">
            <v>41180</v>
          </cell>
          <cell r="C711" t="str">
            <v>Future</v>
          </cell>
          <cell r="D711" t="e">
            <v>#N/A</v>
          </cell>
          <cell r="E711">
            <v>25.569362798418823</v>
          </cell>
          <cell r="F711">
            <v>70.628651335968712</v>
          </cell>
          <cell r="G711">
            <v>49.600983351778908</v>
          </cell>
          <cell r="H711">
            <v>49.600983351778908</v>
          </cell>
          <cell r="I711" t="e">
            <v>#N/A</v>
          </cell>
          <cell r="J711" t="e">
            <v>#N/A</v>
          </cell>
          <cell r="K711" t="e">
            <v>#N/A</v>
          </cell>
          <cell r="L711" t="e">
            <v>#N/A</v>
          </cell>
          <cell r="M711" t="e">
            <v>#N/A</v>
          </cell>
          <cell r="N711" t="e">
            <v>#N/A</v>
          </cell>
          <cell r="O711" t="e">
            <v>#N/A</v>
          </cell>
          <cell r="P711" t="str">
            <v/>
          </cell>
          <cell r="Q711" t="str">
            <v/>
          </cell>
          <cell r="R711" t="e">
            <v>#N/A</v>
          </cell>
        </row>
        <row r="712">
          <cell r="A712">
            <v>41183</v>
          </cell>
          <cell r="B712">
            <v>41183</v>
          </cell>
          <cell r="C712" t="str">
            <v>Future</v>
          </cell>
          <cell r="D712" t="e">
            <v>#N/A</v>
          </cell>
          <cell r="E712">
            <v>25.316200790513683</v>
          </cell>
          <cell r="F712">
            <v>70.671932015810611</v>
          </cell>
          <cell r="G712">
            <v>49.50592411067219</v>
          </cell>
          <cell r="H712">
            <v>49.50592411067219</v>
          </cell>
          <cell r="I712" t="e">
            <v>#N/A</v>
          </cell>
          <cell r="J712" t="e">
            <v>#N/A</v>
          </cell>
          <cell r="K712" t="e">
            <v>#N/A</v>
          </cell>
          <cell r="L712" t="e">
            <v>#N/A</v>
          </cell>
          <cell r="M712" t="e">
            <v>#N/A</v>
          </cell>
          <cell r="N712" t="e">
            <v>#N/A</v>
          </cell>
          <cell r="O712" t="e">
            <v>#N/A</v>
          </cell>
          <cell r="P712" t="str">
            <v/>
          </cell>
          <cell r="Q712" t="str">
            <v/>
          </cell>
          <cell r="R712" t="e">
            <v>#N/A</v>
          </cell>
        </row>
        <row r="713">
          <cell r="A713">
            <v>41184</v>
          </cell>
          <cell r="B713">
            <v>41184</v>
          </cell>
          <cell r="C713" t="str">
            <v>Future</v>
          </cell>
          <cell r="D713" t="e">
            <v>#N/A</v>
          </cell>
          <cell r="E713">
            <v>25.063038782608544</v>
          </cell>
          <cell r="F713">
            <v>70.715212695652511</v>
          </cell>
          <cell r="G713">
            <v>49.410864869565472</v>
          </cell>
          <cell r="H713">
            <v>49.410864869565472</v>
          </cell>
          <cell r="I713" t="e">
            <v>#N/A</v>
          </cell>
          <cell r="J713" t="e">
            <v>#N/A</v>
          </cell>
          <cell r="K713" t="e">
            <v>#N/A</v>
          </cell>
          <cell r="L713" t="e">
            <v>#N/A</v>
          </cell>
          <cell r="M713" t="e">
            <v>#N/A</v>
          </cell>
          <cell r="N713" t="e">
            <v>#N/A</v>
          </cell>
          <cell r="O713" t="e">
            <v>#N/A</v>
          </cell>
          <cell r="P713" t="str">
            <v/>
          </cell>
          <cell r="Q713" t="str">
            <v/>
          </cell>
          <cell r="R713" t="e">
            <v>#N/A</v>
          </cell>
        </row>
        <row r="714">
          <cell r="A714">
            <v>41185</v>
          </cell>
          <cell r="B714">
            <v>41185</v>
          </cell>
          <cell r="C714" t="str">
            <v>Future</v>
          </cell>
          <cell r="D714" t="e">
            <v>#N/A</v>
          </cell>
          <cell r="E714">
            <v>24.809876774703405</v>
          </cell>
          <cell r="F714">
            <v>70.75849337549441</v>
          </cell>
          <cell r="G714">
            <v>49.315805628458754</v>
          </cell>
          <cell r="H714">
            <v>49.315805628458754</v>
          </cell>
          <cell r="I714" t="e">
            <v>#N/A</v>
          </cell>
          <cell r="J714" t="e">
            <v>#N/A</v>
          </cell>
          <cell r="K714" t="e">
            <v>#N/A</v>
          </cell>
          <cell r="L714" t="e">
            <v>#N/A</v>
          </cell>
          <cell r="M714" t="e">
            <v>#N/A</v>
          </cell>
          <cell r="N714" t="e">
            <v>#N/A</v>
          </cell>
          <cell r="O714" t="e">
            <v>#N/A</v>
          </cell>
          <cell r="P714" t="str">
            <v/>
          </cell>
          <cell r="Q714" t="str">
            <v/>
          </cell>
          <cell r="R714" t="e">
            <v>#N/A</v>
          </cell>
        </row>
        <row r="715">
          <cell r="A715">
            <v>41186</v>
          </cell>
          <cell r="B715">
            <v>41186</v>
          </cell>
          <cell r="C715" t="str">
            <v>Future</v>
          </cell>
          <cell r="D715" t="e">
            <v>#N/A</v>
          </cell>
          <cell r="E715">
            <v>24.556714766798265</v>
          </cell>
          <cell r="F715">
            <v>70.80177405533631</v>
          </cell>
          <cell r="G715">
            <v>49.220746387352037</v>
          </cell>
          <cell r="H715">
            <v>49.220746387352037</v>
          </cell>
          <cell r="I715" t="e">
            <v>#N/A</v>
          </cell>
          <cell r="J715" t="e">
            <v>#N/A</v>
          </cell>
          <cell r="K715" t="e">
            <v>#N/A</v>
          </cell>
          <cell r="L715" t="e">
            <v>#N/A</v>
          </cell>
          <cell r="M715" t="e">
            <v>#N/A</v>
          </cell>
          <cell r="N715" t="e">
            <v>#N/A</v>
          </cell>
          <cell r="O715" t="e">
            <v>#N/A</v>
          </cell>
          <cell r="P715" t="str">
            <v/>
          </cell>
          <cell r="Q715" t="str">
            <v/>
          </cell>
          <cell r="R715" t="e">
            <v>#N/A</v>
          </cell>
        </row>
        <row r="716">
          <cell r="A716">
            <v>41187</v>
          </cell>
          <cell r="B716">
            <v>41187</v>
          </cell>
          <cell r="C716" t="str">
            <v>Future</v>
          </cell>
          <cell r="D716" t="e">
            <v>#N/A</v>
          </cell>
          <cell r="E716">
            <v>24.303552758893126</v>
          </cell>
          <cell r="F716">
            <v>70.845054735178209</v>
          </cell>
          <cell r="G716">
            <v>49.125687146245319</v>
          </cell>
          <cell r="H716">
            <v>49.125687146245319</v>
          </cell>
          <cell r="I716" t="e">
            <v>#N/A</v>
          </cell>
          <cell r="J716" t="e">
            <v>#N/A</v>
          </cell>
          <cell r="K716" t="e">
            <v>#N/A</v>
          </cell>
          <cell r="L716" t="e">
            <v>#N/A</v>
          </cell>
          <cell r="M716" t="e">
            <v>#N/A</v>
          </cell>
          <cell r="N716" t="e">
            <v>#N/A</v>
          </cell>
          <cell r="O716" t="e">
            <v>#N/A</v>
          </cell>
          <cell r="P716" t="str">
            <v/>
          </cell>
          <cell r="Q716" t="str">
            <v/>
          </cell>
          <cell r="R716" t="e">
            <v>#N/A</v>
          </cell>
        </row>
        <row r="717">
          <cell r="A717">
            <v>41190</v>
          </cell>
          <cell r="B717">
            <v>41190</v>
          </cell>
          <cell r="C717" t="str">
            <v>Future</v>
          </cell>
          <cell r="D717" t="e">
            <v>#N/A</v>
          </cell>
          <cell r="E717">
            <v>24.050390750987987</v>
          </cell>
          <cell r="F717">
            <v>70.888335415020109</v>
          </cell>
          <cell r="G717">
            <v>49.030627905138601</v>
          </cell>
          <cell r="H717">
            <v>49.030627905138601</v>
          </cell>
          <cell r="I717" t="e">
            <v>#N/A</v>
          </cell>
          <cell r="J717" t="e">
            <v>#N/A</v>
          </cell>
          <cell r="K717" t="e">
            <v>#N/A</v>
          </cell>
          <cell r="L717" t="e">
            <v>#N/A</v>
          </cell>
          <cell r="M717" t="e">
            <v>#N/A</v>
          </cell>
          <cell r="N717" t="e">
            <v>#N/A</v>
          </cell>
          <cell r="O717" t="e">
            <v>#N/A</v>
          </cell>
          <cell r="P717" t="str">
            <v/>
          </cell>
          <cell r="Q717" t="str">
            <v/>
          </cell>
          <cell r="R717" t="e">
            <v>#N/A</v>
          </cell>
        </row>
        <row r="718">
          <cell r="A718">
            <v>41191</v>
          </cell>
          <cell r="B718">
            <v>41191</v>
          </cell>
          <cell r="C718" t="str">
            <v>Future</v>
          </cell>
          <cell r="D718" t="e">
            <v>#N/A</v>
          </cell>
          <cell r="E718">
            <v>23.797228743082847</v>
          </cell>
          <cell r="F718">
            <v>70.931616094862008</v>
          </cell>
          <cell r="G718">
            <v>48.935568664031884</v>
          </cell>
          <cell r="H718">
            <v>48.935568664031884</v>
          </cell>
          <cell r="I718" t="e">
            <v>#N/A</v>
          </cell>
          <cell r="J718" t="e">
            <v>#N/A</v>
          </cell>
          <cell r="K718" t="e">
            <v>#N/A</v>
          </cell>
          <cell r="L718" t="e">
            <v>#N/A</v>
          </cell>
          <cell r="M718" t="e">
            <v>#N/A</v>
          </cell>
          <cell r="N718" t="e">
            <v>#N/A</v>
          </cell>
          <cell r="O718" t="e">
            <v>#N/A</v>
          </cell>
          <cell r="P718" t="str">
            <v/>
          </cell>
          <cell r="Q718" t="str">
            <v/>
          </cell>
          <cell r="R718" t="e">
            <v>#N/A</v>
          </cell>
        </row>
        <row r="719">
          <cell r="A719">
            <v>41192</v>
          </cell>
          <cell r="B719">
            <v>41192</v>
          </cell>
          <cell r="C719" t="str">
            <v>Future</v>
          </cell>
          <cell r="D719" t="e">
            <v>#N/A</v>
          </cell>
          <cell r="E719">
            <v>23.544066735177708</v>
          </cell>
          <cell r="F719">
            <v>70.974896774703907</v>
          </cell>
          <cell r="G719">
            <v>48.840509422925166</v>
          </cell>
          <cell r="H719">
            <v>48.840509422925166</v>
          </cell>
          <cell r="I719" t="e">
            <v>#N/A</v>
          </cell>
          <cell r="J719" t="e">
            <v>#N/A</v>
          </cell>
          <cell r="K719" t="e">
            <v>#N/A</v>
          </cell>
          <cell r="L719" t="e">
            <v>#N/A</v>
          </cell>
          <cell r="M719" t="e">
            <v>#N/A</v>
          </cell>
          <cell r="N719" t="e">
            <v>#N/A</v>
          </cell>
          <cell r="O719" t="e">
            <v>#N/A</v>
          </cell>
          <cell r="P719" t="str">
            <v/>
          </cell>
          <cell r="Q719" t="str">
            <v/>
          </cell>
          <cell r="R719" t="e">
            <v>#N/A</v>
          </cell>
        </row>
        <row r="720">
          <cell r="A720">
            <v>41193</v>
          </cell>
          <cell r="B720">
            <v>41193</v>
          </cell>
          <cell r="C720" t="str">
            <v>Future</v>
          </cell>
          <cell r="D720" t="e">
            <v>#N/A</v>
          </cell>
          <cell r="E720">
            <v>23.290904727272569</v>
          </cell>
          <cell r="F720">
            <v>71.018177454545807</v>
          </cell>
          <cell r="G720">
            <v>48.745450181818448</v>
          </cell>
          <cell r="H720">
            <v>48.745450181818448</v>
          </cell>
          <cell r="I720" t="e">
            <v>#N/A</v>
          </cell>
          <cell r="J720" t="e">
            <v>#N/A</v>
          </cell>
          <cell r="K720" t="e">
            <v>#N/A</v>
          </cell>
          <cell r="L720" t="e">
            <v>#N/A</v>
          </cell>
          <cell r="M720" t="e">
            <v>#N/A</v>
          </cell>
          <cell r="N720" t="e">
            <v>#N/A</v>
          </cell>
          <cell r="O720" t="e">
            <v>#N/A</v>
          </cell>
          <cell r="P720" t="str">
            <v/>
          </cell>
          <cell r="Q720" t="str">
            <v/>
          </cell>
          <cell r="R720" t="e">
            <v>#N/A</v>
          </cell>
        </row>
        <row r="721">
          <cell r="A721">
            <v>41194</v>
          </cell>
          <cell r="B721">
            <v>41194</v>
          </cell>
          <cell r="C721" t="str">
            <v>Future</v>
          </cell>
          <cell r="D721" t="e">
            <v>#N/A</v>
          </cell>
          <cell r="E721">
            <v>23.037742719367429</v>
          </cell>
          <cell r="F721">
            <v>71.061458134387706</v>
          </cell>
          <cell r="G721">
            <v>48.650390940711731</v>
          </cell>
          <cell r="H721">
            <v>48.650390940711731</v>
          </cell>
          <cell r="I721" t="e">
            <v>#N/A</v>
          </cell>
          <cell r="J721" t="e">
            <v>#N/A</v>
          </cell>
          <cell r="K721" t="e">
            <v>#N/A</v>
          </cell>
          <cell r="L721" t="e">
            <v>#N/A</v>
          </cell>
          <cell r="M721" t="e">
            <v>#N/A</v>
          </cell>
          <cell r="N721" t="e">
            <v>#N/A</v>
          </cell>
          <cell r="O721" t="e">
            <v>#N/A</v>
          </cell>
          <cell r="P721" t="str">
            <v/>
          </cell>
          <cell r="Q721" t="str">
            <v/>
          </cell>
          <cell r="R721" t="e">
            <v>#N/A</v>
          </cell>
        </row>
        <row r="722">
          <cell r="A722">
            <v>41197</v>
          </cell>
          <cell r="B722">
            <v>41197</v>
          </cell>
          <cell r="C722" t="str">
            <v>Future</v>
          </cell>
          <cell r="D722" t="e">
            <v>#N/A</v>
          </cell>
          <cell r="E722">
            <v>22.78458071146229</v>
          </cell>
          <cell r="F722">
            <v>71.104738814229606</v>
          </cell>
          <cell r="G722">
            <v>48.555331699605013</v>
          </cell>
          <cell r="H722">
            <v>48.555331699605013</v>
          </cell>
          <cell r="I722" t="e">
            <v>#N/A</v>
          </cell>
          <cell r="J722" t="e">
            <v>#N/A</v>
          </cell>
          <cell r="K722" t="e">
            <v>#N/A</v>
          </cell>
          <cell r="L722" t="e">
            <v>#N/A</v>
          </cell>
          <cell r="M722" t="e">
            <v>#N/A</v>
          </cell>
          <cell r="N722" t="e">
            <v>#N/A</v>
          </cell>
          <cell r="O722" t="e">
            <v>#N/A</v>
          </cell>
          <cell r="P722" t="str">
            <v/>
          </cell>
          <cell r="Q722" t="str">
            <v/>
          </cell>
          <cell r="R722" t="e">
            <v>#N/A</v>
          </cell>
        </row>
        <row r="723">
          <cell r="A723">
            <v>41198</v>
          </cell>
          <cell r="B723">
            <v>41198</v>
          </cell>
          <cell r="C723" t="str">
            <v>Future</v>
          </cell>
          <cell r="D723" t="e">
            <v>#N/A</v>
          </cell>
          <cell r="E723">
            <v>22.531418703557151</v>
          </cell>
          <cell r="F723">
            <v>71.148019494071505</v>
          </cell>
          <cell r="G723">
            <v>48.460272458498295</v>
          </cell>
          <cell r="H723">
            <v>48.460272458498295</v>
          </cell>
          <cell r="I723" t="e">
            <v>#N/A</v>
          </cell>
          <cell r="J723" t="e">
            <v>#N/A</v>
          </cell>
          <cell r="K723" t="e">
            <v>#N/A</v>
          </cell>
          <cell r="L723" t="e">
            <v>#N/A</v>
          </cell>
          <cell r="M723" t="e">
            <v>#N/A</v>
          </cell>
          <cell r="N723" t="e">
            <v>#N/A</v>
          </cell>
          <cell r="O723" t="e">
            <v>#N/A</v>
          </cell>
          <cell r="P723" t="str">
            <v/>
          </cell>
          <cell r="Q723" t="str">
            <v/>
          </cell>
          <cell r="R723" t="e">
            <v>#N/A</v>
          </cell>
        </row>
        <row r="724">
          <cell r="A724">
            <v>41199</v>
          </cell>
          <cell r="B724">
            <v>41199</v>
          </cell>
          <cell r="C724" t="str">
            <v>Future</v>
          </cell>
          <cell r="D724" t="e">
            <v>#N/A</v>
          </cell>
          <cell r="E724">
            <v>22.278256695652011</v>
          </cell>
          <cell r="F724">
            <v>71.191300173913405</v>
          </cell>
          <cell r="G724">
            <v>48.365213217391577</v>
          </cell>
          <cell r="H724">
            <v>48.365213217391577</v>
          </cell>
          <cell r="I724" t="e">
            <v>#N/A</v>
          </cell>
          <cell r="J724" t="e">
            <v>#N/A</v>
          </cell>
          <cell r="K724" t="e">
            <v>#N/A</v>
          </cell>
          <cell r="L724" t="e">
            <v>#N/A</v>
          </cell>
          <cell r="M724" t="e">
            <v>#N/A</v>
          </cell>
          <cell r="N724" t="e">
            <v>#N/A</v>
          </cell>
          <cell r="O724" t="e">
            <v>#N/A</v>
          </cell>
          <cell r="P724" t="str">
            <v/>
          </cell>
          <cell r="Q724" t="str">
            <v/>
          </cell>
          <cell r="R724" t="e">
            <v>#N/A</v>
          </cell>
        </row>
        <row r="725">
          <cell r="A725">
            <v>41200</v>
          </cell>
          <cell r="B725">
            <v>41200</v>
          </cell>
          <cell r="C725" t="str">
            <v>Future</v>
          </cell>
          <cell r="D725" t="e">
            <v>#N/A</v>
          </cell>
          <cell r="E725">
            <v>22.025094687746872</v>
          </cell>
          <cell r="F725">
            <v>71.234580853755304</v>
          </cell>
          <cell r="G725">
            <v>48.27015397628486</v>
          </cell>
          <cell r="H725">
            <v>48.27015397628486</v>
          </cell>
          <cell r="I725" t="e">
            <v>#N/A</v>
          </cell>
          <cell r="J725" t="e">
            <v>#N/A</v>
          </cell>
          <cell r="K725" t="e">
            <v>#N/A</v>
          </cell>
          <cell r="L725" t="e">
            <v>#N/A</v>
          </cell>
          <cell r="M725" t="e">
            <v>#N/A</v>
          </cell>
          <cell r="N725" t="e">
            <v>#N/A</v>
          </cell>
          <cell r="O725" t="e">
            <v>#N/A</v>
          </cell>
          <cell r="P725" t="str">
            <v/>
          </cell>
          <cell r="Q725" t="str">
            <v/>
          </cell>
          <cell r="R725" t="e">
            <v>#N/A</v>
          </cell>
        </row>
        <row r="726">
          <cell r="A726">
            <v>41201</v>
          </cell>
          <cell r="B726">
            <v>41201</v>
          </cell>
          <cell r="C726" t="str">
            <v>Future</v>
          </cell>
          <cell r="D726" t="e">
            <v>#N/A</v>
          </cell>
          <cell r="E726">
            <v>21.771932679841733</v>
          </cell>
          <cell r="F726">
            <v>71.277861533597203</v>
          </cell>
          <cell r="G726">
            <v>48.175094735178142</v>
          </cell>
          <cell r="H726">
            <v>48.175094735178142</v>
          </cell>
          <cell r="I726" t="e">
            <v>#N/A</v>
          </cell>
          <cell r="J726" t="e">
            <v>#N/A</v>
          </cell>
          <cell r="K726" t="e">
            <v>#N/A</v>
          </cell>
          <cell r="L726" t="e">
            <v>#N/A</v>
          </cell>
          <cell r="M726" t="e">
            <v>#N/A</v>
          </cell>
          <cell r="N726" t="e">
            <v>#N/A</v>
          </cell>
          <cell r="O726" t="e">
            <v>#N/A</v>
          </cell>
          <cell r="P726" t="str">
            <v/>
          </cell>
          <cell r="Q726" t="str">
            <v/>
          </cell>
          <cell r="R726" t="e">
            <v>#N/A</v>
          </cell>
        </row>
        <row r="727">
          <cell r="A727">
            <v>41204</v>
          </cell>
          <cell r="B727">
            <v>41204</v>
          </cell>
          <cell r="C727" t="str">
            <v>Future</v>
          </cell>
          <cell r="D727" t="e">
            <v>#N/A</v>
          </cell>
          <cell r="E727">
            <v>21.518770671936593</v>
          </cell>
          <cell r="F727">
            <v>71.321142213439103</v>
          </cell>
          <cell r="G727">
            <v>48.080035494071424</v>
          </cell>
          <cell r="H727">
            <v>48.080035494071424</v>
          </cell>
          <cell r="I727" t="e">
            <v>#N/A</v>
          </cell>
          <cell r="J727" t="e">
            <v>#N/A</v>
          </cell>
          <cell r="K727" t="e">
            <v>#N/A</v>
          </cell>
          <cell r="L727" t="e">
            <v>#N/A</v>
          </cell>
          <cell r="M727" t="e">
            <v>#N/A</v>
          </cell>
          <cell r="N727" t="e">
            <v>#N/A</v>
          </cell>
          <cell r="O727" t="e">
            <v>#N/A</v>
          </cell>
          <cell r="P727" t="str">
            <v/>
          </cell>
          <cell r="Q727" t="str">
            <v/>
          </cell>
          <cell r="R727" t="e">
            <v>#N/A</v>
          </cell>
        </row>
        <row r="728">
          <cell r="A728">
            <v>41205</v>
          </cell>
          <cell r="B728">
            <v>41205</v>
          </cell>
          <cell r="C728" t="str">
            <v>Future</v>
          </cell>
          <cell r="D728" t="e">
            <v>#N/A</v>
          </cell>
          <cell r="E728">
            <v>21.265608664031454</v>
          </cell>
          <cell r="F728">
            <v>71.364422893281002</v>
          </cell>
          <cell r="G728">
            <v>47.984976252964707</v>
          </cell>
          <cell r="H728">
            <v>47.984976252964707</v>
          </cell>
          <cell r="I728" t="e">
            <v>#N/A</v>
          </cell>
          <cell r="J728" t="e">
            <v>#N/A</v>
          </cell>
          <cell r="K728" t="e">
            <v>#N/A</v>
          </cell>
          <cell r="L728" t="e">
            <v>#N/A</v>
          </cell>
          <cell r="M728" t="e">
            <v>#N/A</v>
          </cell>
          <cell r="N728" t="e">
            <v>#N/A</v>
          </cell>
          <cell r="O728" t="e">
            <v>#N/A</v>
          </cell>
          <cell r="P728" t="str">
            <v/>
          </cell>
          <cell r="Q728" t="str">
            <v/>
          </cell>
          <cell r="R728" t="e">
            <v>#N/A</v>
          </cell>
        </row>
        <row r="729">
          <cell r="A729">
            <v>41206</v>
          </cell>
          <cell r="B729">
            <v>41206</v>
          </cell>
          <cell r="C729" t="str">
            <v>Future</v>
          </cell>
          <cell r="D729" t="e">
            <v>#N/A</v>
          </cell>
          <cell r="E729">
            <v>21.012446656126315</v>
          </cell>
          <cell r="F729">
            <v>71.407703573122902</v>
          </cell>
          <cell r="G729">
            <v>47.889917011857989</v>
          </cell>
          <cell r="H729">
            <v>47.889917011857989</v>
          </cell>
          <cell r="I729" t="e">
            <v>#N/A</v>
          </cell>
          <cell r="J729" t="e">
            <v>#N/A</v>
          </cell>
          <cell r="K729" t="e">
            <v>#N/A</v>
          </cell>
          <cell r="L729" t="e">
            <v>#N/A</v>
          </cell>
          <cell r="M729" t="e">
            <v>#N/A</v>
          </cell>
          <cell r="N729" t="e">
            <v>#N/A</v>
          </cell>
          <cell r="O729" t="e">
            <v>#N/A</v>
          </cell>
          <cell r="P729" t="str">
            <v/>
          </cell>
          <cell r="Q729" t="str">
            <v/>
          </cell>
          <cell r="R729" t="e">
            <v>#N/A</v>
          </cell>
        </row>
        <row r="730">
          <cell r="A730">
            <v>41207</v>
          </cell>
          <cell r="B730">
            <v>41207</v>
          </cell>
          <cell r="C730" t="str">
            <v>Future</v>
          </cell>
          <cell r="D730" t="e">
            <v>#N/A</v>
          </cell>
          <cell r="E730">
            <v>20.759284648221175</v>
          </cell>
          <cell r="F730">
            <v>71.450984252964801</v>
          </cell>
          <cell r="G730">
            <v>47.794857770751271</v>
          </cell>
          <cell r="H730">
            <v>47.794857770751271</v>
          </cell>
          <cell r="I730" t="e">
            <v>#N/A</v>
          </cell>
          <cell r="J730" t="e">
            <v>#N/A</v>
          </cell>
          <cell r="K730" t="e">
            <v>#N/A</v>
          </cell>
          <cell r="L730" t="e">
            <v>#N/A</v>
          </cell>
          <cell r="M730" t="e">
            <v>#N/A</v>
          </cell>
          <cell r="N730" t="e">
            <v>#N/A</v>
          </cell>
          <cell r="O730" t="e">
            <v>#N/A</v>
          </cell>
          <cell r="P730" t="str">
            <v/>
          </cell>
          <cell r="Q730" t="str">
            <v/>
          </cell>
          <cell r="R730" t="e">
            <v>#N/A</v>
          </cell>
        </row>
        <row r="731">
          <cell r="A731">
            <v>41208</v>
          </cell>
          <cell r="B731">
            <v>41208</v>
          </cell>
          <cell r="C731" t="str">
            <v>Future</v>
          </cell>
          <cell r="D731" t="e">
            <v>#N/A</v>
          </cell>
          <cell r="E731">
            <v>20.506122640316036</v>
          </cell>
          <cell r="F731">
            <v>71.494264932806701</v>
          </cell>
          <cell r="G731">
            <v>47.699798529644553</v>
          </cell>
          <cell r="H731">
            <v>47.699798529644553</v>
          </cell>
          <cell r="I731" t="e">
            <v>#N/A</v>
          </cell>
          <cell r="J731" t="e">
            <v>#N/A</v>
          </cell>
          <cell r="K731" t="e">
            <v>#N/A</v>
          </cell>
          <cell r="L731" t="e">
            <v>#N/A</v>
          </cell>
          <cell r="M731" t="e">
            <v>#N/A</v>
          </cell>
          <cell r="N731" t="e">
            <v>#N/A</v>
          </cell>
          <cell r="O731" t="e">
            <v>#N/A</v>
          </cell>
          <cell r="P731" t="str">
            <v/>
          </cell>
          <cell r="Q731" t="str">
            <v/>
          </cell>
          <cell r="R731" t="e">
            <v>#N/A</v>
          </cell>
        </row>
        <row r="732">
          <cell r="A732">
            <v>41211</v>
          </cell>
          <cell r="B732">
            <v>41211</v>
          </cell>
          <cell r="C732" t="str">
            <v>Future</v>
          </cell>
          <cell r="D732" t="e">
            <v>#N/A</v>
          </cell>
          <cell r="E732">
            <v>20.252960632410897</v>
          </cell>
          <cell r="F732">
            <v>71.5375456126486</v>
          </cell>
          <cell r="G732">
            <v>47.604739288537836</v>
          </cell>
          <cell r="H732">
            <v>47.604739288537836</v>
          </cell>
          <cell r="I732" t="e">
            <v>#N/A</v>
          </cell>
          <cell r="J732" t="e">
            <v>#N/A</v>
          </cell>
          <cell r="K732" t="e">
            <v>#N/A</v>
          </cell>
          <cell r="L732" t="e">
            <v>#N/A</v>
          </cell>
          <cell r="M732" t="e">
            <v>#N/A</v>
          </cell>
          <cell r="N732" t="e">
            <v>#N/A</v>
          </cell>
          <cell r="O732" t="e">
            <v>#N/A</v>
          </cell>
          <cell r="P732" t="str">
            <v/>
          </cell>
          <cell r="Q732" t="str">
            <v/>
          </cell>
          <cell r="R732" t="e">
            <v>#N/A</v>
          </cell>
        </row>
        <row r="733">
          <cell r="A733">
            <v>41212</v>
          </cell>
          <cell r="B733">
            <v>41212</v>
          </cell>
          <cell r="C733" t="str">
            <v>Future</v>
          </cell>
          <cell r="D733" t="e">
            <v>#N/A</v>
          </cell>
          <cell r="E733">
            <v>19.999798624505758</v>
          </cell>
          <cell r="F733">
            <v>71.580826292490499</v>
          </cell>
          <cell r="G733">
            <v>47.509680047431118</v>
          </cell>
          <cell r="H733">
            <v>47.509680047431118</v>
          </cell>
          <cell r="I733" t="e">
            <v>#N/A</v>
          </cell>
          <cell r="J733" t="e">
            <v>#N/A</v>
          </cell>
          <cell r="K733" t="e">
            <v>#N/A</v>
          </cell>
          <cell r="L733" t="e">
            <v>#N/A</v>
          </cell>
          <cell r="M733" t="e">
            <v>#N/A</v>
          </cell>
          <cell r="N733" t="e">
            <v>#N/A</v>
          </cell>
          <cell r="O733" t="e">
            <v>#N/A</v>
          </cell>
          <cell r="P733" t="str">
            <v/>
          </cell>
          <cell r="Q733" t="str">
            <v/>
          </cell>
          <cell r="R733" t="e">
            <v>#N/A</v>
          </cell>
        </row>
        <row r="734">
          <cell r="A734">
            <v>41213</v>
          </cell>
          <cell r="B734">
            <v>41213</v>
          </cell>
          <cell r="C734" t="str">
            <v>Future</v>
          </cell>
          <cell r="D734" t="e">
            <v>#N/A</v>
          </cell>
          <cell r="E734">
            <v>19.746636616600618</v>
          </cell>
          <cell r="F734">
            <v>71.624106972332399</v>
          </cell>
          <cell r="G734">
            <v>47.4146208063244</v>
          </cell>
          <cell r="H734">
            <v>47.4146208063244</v>
          </cell>
          <cell r="I734" t="e">
            <v>#N/A</v>
          </cell>
          <cell r="J734" t="e">
            <v>#N/A</v>
          </cell>
          <cell r="K734" t="e">
            <v>#N/A</v>
          </cell>
          <cell r="L734" t="e">
            <v>#N/A</v>
          </cell>
          <cell r="M734" t="e">
            <v>#N/A</v>
          </cell>
          <cell r="N734" t="e">
            <v>#N/A</v>
          </cell>
          <cell r="O734" t="e">
            <v>#N/A</v>
          </cell>
          <cell r="P734" t="str">
            <v/>
          </cell>
          <cell r="Q734" t="str">
            <v/>
          </cell>
          <cell r="R734" t="e">
            <v>#N/A</v>
          </cell>
        </row>
        <row r="735">
          <cell r="A735">
            <v>41214</v>
          </cell>
          <cell r="B735">
            <v>41214</v>
          </cell>
          <cell r="C735" t="str">
            <v>Future</v>
          </cell>
          <cell r="D735" t="e">
            <v>#N/A</v>
          </cell>
          <cell r="E735">
            <v>19.493474608695479</v>
          </cell>
          <cell r="F735">
            <v>71.667387652174298</v>
          </cell>
          <cell r="G735">
            <v>47.319561565217683</v>
          </cell>
          <cell r="H735">
            <v>47.319561565217683</v>
          </cell>
          <cell r="I735" t="e">
            <v>#N/A</v>
          </cell>
          <cell r="J735" t="e">
            <v>#N/A</v>
          </cell>
          <cell r="K735" t="e">
            <v>#N/A</v>
          </cell>
          <cell r="L735" t="e">
            <v>#N/A</v>
          </cell>
          <cell r="M735" t="e">
            <v>#N/A</v>
          </cell>
          <cell r="N735" t="e">
            <v>#N/A</v>
          </cell>
          <cell r="O735" t="e">
            <v>#N/A</v>
          </cell>
          <cell r="P735" t="str">
            <v/>
          </cell>
          <cell r="Q735" t="str">
            <v/>
          </cell>
          <cell r="R735" t="e">
            <v>#N/A</v>
          </cell>
        </row>
        <row r="736">
          <cell r="A736">
            <v>41215</v>
          </cell>
          <cell r="B736">
            <v>41215</v>
          </cell>
          <cell r="C736" t="str">
            <v>Future</v>
          </cell>
          <cell r="D736" t="e">
            <v>#N/A</v>
          </cell>
          <cell r="E736">
            <v>19.24031260079034</v>
          </cell>
          <cell r="F736">
            <v>71.710668332016198</v>
          </cell>
          <cell r="G736">
            <v>47.224502324110965</v>
          </cell>
          <cell r="H736">
            <v>47.224502324110965</v>
          </cell>
          <cell r="I736" t="e">
            <v>#N/A</v>
          </cell>
          <cell r="J736" t="e">
            <v>#N/A</v>
          </cell>
          <cell r="K736" t="e">
            <v>#N/A</v>
          </cell>
          <cell r="L736" t="e">
            <v>#N/A</v>
          </cell>
          <cell r="M736" t="e">
            <v>#N/A</v>
          </cell>
          <cell r="N736" t="e">
            <v>#N/A</v>
          </cell>
          <cell r="O736" t="e">
            <v>#N/A</v>
          </cell>
          <cell r="P736" t="str">
            <v/>
          </cell>
          <cell r="Q736" t="str">
            <v/>
          </cell>
          <cell r="R736" t="e">
            <v>#N/A</v>
          </cell>
        </row>
        <row r="737">
          <cell r="A737">
            <v>41218</v>
          </cell>
          <cell r="B737">
            <v>41218</v>
          </cell>
          <cell r="C737" t="str">
            <v>Future</v>
          </cell>
          <cell r="D737" t="e">
            <v>#N/A</v>
          </cell>
          <cell r="E737">
            <v>18.9871505928852</v>
          </cell>
          <cell r="F737">
            <v>71.753949011858097</v>
          </cell>
          <cell r="G737">
            <v>47.129443083004247</v>
          </cell>
          <cell r="H737">
            <v>47.129443083004247</v>
          </cell>
          <cell r="I737" t="e">
            <v>#N/A</v>
          </cell>
          <cell r="J737" t="e">
            <v>#N/A</v>
          </cell>
          <cell r="K737" t="e">
            <v>#N/A</v>
          </cell>
          <cell r="L737" t="e">
            <v>#N/A</v>
          </cell>
          <cell r="M737" t="e">
            <v>#N/A</v>
          </cell>
          <cell r="N737" t="e">
            <v>#N/A</v>
          </cell>
          <cell r="O737" t="e">
            <v>#N/A</v>
          </cell>
          <cell r="P737" t="str">
            <v/>
          </cell>
          <cell r="Q737" t="str">
            <v/>
          </cell>
          <cell r="R737" t="e">
            <v>#N/A</v>
          </cell>
        </row>
        <row r="738">
          <cell r="A738">
            <v>41219</v>
          </cell>
          <cell r="B738">
            <v>41219</v>
          </cell>
          <cell r="C738" t="str">
            <v>Future</v>
          </cell>
          <cell r="D738" t="e">
            <v>#N/A</v>
          </cell>
          <cell r="E738">
            <v>18.733988584980061</v>
          </cell>
          <cell r="F738">
            <v>71.797229691699997</v>
          </cell>
          <cell r="G738">
            <v>47.03438384189753</v>
          </cell>
          <cell r="H738">
            <v>47.03438384189753</v>
          </cell>
          <cell r="I738" t="e">
            <v>#N/A</v>
          </cell>
          <cell r="J738" t="e">
            <v>#N/A</v>
          </cell>
          <cell r="K738" t="e">
            <v>#N/A</v>
          </cell>
          <cell r="L738" t="e">
            <v>#N/A</v>
          </cell>
          <cell r="M738" t="e">
            <v>#N/A</v>
          </cell>
          <cell r="N738" t="e">
            <v>#N/A</v>
          </cell>
          <cell r="O738" t="e">
            <v>#N/A</v>
          </cell>
          <cell r="P738" t="str">
            <v/>
          </cell>
          <cell r="Q738" t="str">
            <v/>
          </cell>
          <cell r="R738" t="e">
            <v>#N/A</v>
          </cell>
        </row>
        <row r="739">
          <cell r="A739">
            <v>41220</v>
          </cell>
          <cell r="B739">
            <v>41220</v>
          </cell>
          <cell r="C739" t="str">
            <v>Future</v>
          </cell>
          <cell r="D739" t="e">
            <v>#N/A</v>
          </cell>
          <cell r="E739">
            <v>18.480826577074922</v>
          </cell>
          <cell r="F739">
            <v>71.840510371541896</v>
          </cell>
          <cell r="G739">
            <v>46.939324600790812</v>
          </cell>
          <cell r="H739">
            <v>46.939324600790812</v>
          </cell>
          <cell r="I739" t="e">
            <v>#N/A</v>
          </cell>
          <cell r="J739" t="e">
            <v>#N/A</v>
          </cell>
          <cell r="K739" t="e">
            <v>#N/A</v>
          </cell>
          <cell r="L739" t="e">
            <v>#N/A</v>
          </cell>
          <cell r="M739" t="e">
            <v>#N/A</v>
          </cell>
          <cell r="N739" t="e">
            <v>#N/A</v>
          </cell>
          <cell r="O739" t="e">
            <v>#N/A</v>
          </cell>
          <cell r="P739" t="str">
            <v/>
          </cell>
          <cell r="Q739" t="str">
            <v/>
          </cell>
          <cell r="R739" t="e">
            <v>#N/A</v>
          </cell>
        </row>
        <row r="740">
          <cell r="A740">
            <v>41221</v>
          </cell>
          <cell r="B740">
            <v>41221</v>
          </cell>
          <cell r="C740" t="str">
            <v>Future</v>
          </cell>
          <cell r="D740" t="e">
            <v>#N/A</v>
          </cell>
          <cell r="E740">
            <v>18.227664569169782</v>
          </cell>
          <cell r="F740">
            <v>71.883791051383795</v>
          </cell>
          <cell r="G740">
            <v>46.844265359684094</v>
          </cell>
          <cell r="H740">
            <v>46.844265359684094</v>
          </cell>
          <cell r="I740" t="e">
            <v>#N/A</v>
          </cell>
          <cell r="J740" t="e">
            <v>#N/A</v>
          </cell>
          <cell r="K740" t="e">
            <v>#N/A</v>
          </cell>
          <cell r="L740" t="e">
            <v>#N/A</v>
          </cell>
          <cell r="M740" t="e">
            <v>#N/A</v>
          </cell>
          <cell r="N740" t="e">
            <v>#N/A</v>
          </cell>
          <cell r="O740" t="e">
            <v>#N/A</v>
          </cell>
          <cell r="P740" t="str">
            <v/>
          </cell>
          <cell r="Q740" t="str">
            <v/>
          </cell>
          <cell r="R740" t="e">
            <v>#N/A</v>
          </cell>
        </row>
        <row r="741">
          <cell r="A741">
            <v>41222</v>
          </cell>
          <cell r="B741">
            <v>41222</v>
          </cell>
          <cell r="C741" t="str">
            <v>Future</v>
          </cell>
          <cell r="D741" t="e">
            <v>#N/A</v>
          </cell>
          <cell r="E741">
            <v>17.974502561264643</v>
          </cell>
          <cell r="F741">
            <v>71.927071731225695</v>
          </cell>
          <cell r="G741">
            <v>46.749206118577376</v>
          </cell>
          <cell r="H741">
            <v>46.749206118577376</v>
          </cell>
          <cell r="I741" t="e">
            <v>#N/A</v>
          </cell>
          <cell r="J741" t="e">
            <v>#N/A</v>
          </cell>
          <cell r="K741" t="e">
            <v>#N/A</v>
          </cell>
          <cell r="L741" t="e">
            <v>#N/A</v>
          </cell>
          <cell r="M741" t="e">
            <v>#N/A</v>
          </cell>
          <cell r="N741" t="e">
            <v>#N/A</v>
          </cell>
          <cell r="O741" t="e">
            <v>#N/A</v>
          </cell>
          <cell r="P741" t="str">
            <v/>
          </cell>
          <cell r="Q741" t="str">
            <v/>
          </cell>
          <cell r="R741" t="e">
            <v>#N/A</v>
          </cell>
        </row>
        <row r="742">
          <cell r="A742">
            <v>41225</v>
          </cell>
          <cell r="B742">
            <v>41225</v>
          </cell>
          <cell r="C742" t="str">
            <v>Future</v>
          </cell>
          <cell r="D742" t="e">
            <v>#N/A</v>
          </cell>
          <cell r="E742">
            <v>17.721340553359504</v>
          </cell>
          <cell r="F742">
            <v>71.970352411067594</v>
          </cell>
          <cell r="G742">
            <v>46.654146877470659</v>
          </cell>
          <cell r="H742">
            <v>46.654146877470659</v>
          </cell>
          <cell r="I742" t="e">
            <v>#N/A</v>
          </cell>
          <cell r="J742" t="e">
            <v>#N/A</v>
          </cell>
          <cell r="K742" t="e">
            <v>#N/A</v>
          </cell>
          <cell r="L742" t="e">
            <v>#N/A</v>
          </cell>
          <cell r="M742" t="e">
            <v>#N/A</v>
          </cell>
          <cell r="N742" t="e">
            <v>#N/A</v>
          </cell>
          <cell r="O742" t="e">
            <v>#N/A</v>
          </cell>
          <cell r="P742" t="str">
            <v/>
          </cell>
          <cell r="Q742" t="str">
            <v/>
          </cell>
          <cell r="R742" t="e">
            <v>#N/A</v>
          </cell>
        </row>
        <row r="743">
          <cell r="A743">
            <v>41226</v>
          </cell>
          <cell r="B743">
            <v>41226</v>
          </cell>
          <cell r="C743" t="str">
            <v>Future</v>
          </cell>
          <cell r="D743" t="e">
            <v>#N/A</v>
          </cell>
          <cell r="E743">
            <v>17.468178545454364</v>
          </cell>
          <cell r="F743">
            <v>72.013633090909494</v>
          </cell>
          <cell r="G743">
            <v>46.559087636363941</v>
          </cell>
          <cell r="H743">
            <v>46.559087636363941</v>
          </cell>
          <cell r="I743" t="e">
            <v>#N/A</v>
          </cell>
          <cell r="J743" t="e">
            <v>#N/A</v>
          </cell>
          <cell r="K743" t="e">
            <v>#N/A</v>
          </cell>
          <cell r="L743" t="e">
            <v>#N/A</v>
          </cell>
          <cell r="M743" t="e">
            <v>#N/A</v>
          </cell>
          <cell r="N743" t="e">
            <v>#N/A</v>
          </cell>
          <cell r="O743" t="e">
            <v>#N/A</v>
          </cell>
          <cell r="P743" t="str">
            <v/>
          </cell>
          <cell r="Q743" t="str">
            <v/>
          </cell>
          <cell r="R743" t="e">
            <v>#N/A</v>
          </cell>
        </row>
        <row r="744">
          <cell r="A744">
            <v>41227</v>
          </cell>
          <cell r="B744">
            <v>41227</v>
          </cell>
          <cell r="C744" t="str">
            <v>Future</v>
          </cell>
          <cell r="D744" t="e">
            <v>#N/A</v>
          </cell>
          <cell r="E744">
            <v>17.215016537549225</v>
          </cell>
          <cell r="F744">
            <v>72.056913770751393</v>
          </cell>
          <cell r="G744">
            <v>46.464028395257223</v>
          </cell>
          <cell r="H744">
            <v>46.464028395257223</v>
          </cell>
          <cell r="I744" t="e">
            <v>#N/A</v>
          </cell>
          <cell r="J744" t="e">
            <v>#N/A</v>
          </cell>
          <cell r="K744" t="e">
            <v>#N/A</v>
          </cell>
          <cell r="L744" t="e">
            <v>#N/A</v>
          </cell>
          <cell r="M744" t="e">
            <v>#N/A</v>
          </cell>
          <cell r="N744" t="e">
            <v>#N/A</v>
          </cell>
          <cell r="O744" t="e">
            <v>#N/A</v>
          </cell>
          <cell r="P744" t="str">
            <v/>
          </cell>
          <cell r="Q744" t="str">
            <v/>
          </cell>
          <cell r="R744" t="e">
            <v>#N/A</v>
          </cell>
        </row>
        <row r="745">
          <cell r="A745">
            <v>41228</v>
          </cell>
          <cell r="B745">
            <v>41228</v>
          </cell>
          <cell r="C745" t="str">
            <v>Future</v>
          </cell>
          <cell r="D745" t="e">
            <v>#N/A</v>
          </cell>
          <cell r="E745">
            <v>16.961854529644086</v>
          </cell>
          <cell r="F745">
            <v>72.100194450593293</v>
          </cell>
          <cell r="G745">
            <v>46.368969154150506</v>
          </cell>
          <cell r="H745">
            <v>46.368969154150506</v>
          </cell>
          <cell r="I745" t="e">
            <v>#N/A</v>
          </cell>
          <cell r="J745" t="e">
            <v>#N/A</v>
          </cell>
          <cell r="K745" t="e">
            <v>#N/A</v>
          </cell>
          <cell r="L745" t="e">
            <v>#N/A</v>
          </cell>
          <cell r="M745" t="e">
            <v>#N/A</v>
          </cell>
          <cell r="N745" t="e">
            <v>#N/A</v>
          </cell>
          <cell r="O745" t="e">
            <v>#N/A</v>
          </cell>
          <cell r="P745" t="str">
            <v/>
          </cell>
          <cell r="Q745" t="str">
            <v/>
          </cell>
          <cell r="R745" t="e">
            <v>#N/A</v>
          </cell>
        </row>
        <row r="746">
          <cell r="A746">
            <v>41229</v>
          </cell>
          <cell r="B746">
            <v>41229</v>
          </cell>
          <cell r="C746" t="str">
            <v>Future</v>
          </cell>
          <cell r="D746" t="e">
            <v>#N/A</v>
          </cell>
          <cell r="E746">
            <v>16.708692521738946</v>
          </cell>
          <cell r="F746">
            <v>72.143475130435192</v>
          </cell>
          <cell r="G746">
            <v>46.273909913043788</v>
          </cell>
          <cell r="H746">
            <v>46.273909913043788</v>
          </cell>
          <cell r="I746" t="e">
            <v>#N/A</v>
          </cell>
          <cell r="J746" t="e">
            <v>#N/A</v>
          </cell>
          <cell r="K746" t="e">
            <v>#N/A</v>
          </cell>
          <cell r="L746" t="e">
            <v>#N/A</v>
          </cell>
          <cell r="M746" t="e">
            <v>#N/A</v>
          </cell>
          <cell r="N746" t="e">
            <v>#N/A</v>
          </cell>
          <cell r="O746" t="e">
            <v>#N/A</v>
          </cell>
          <cell r="P746" t="str">
            <v/>
          </cell>
          <cell r="Q746" t="str">
            <v/>
          </cell>
          <cell r="R746" t="e">
            <v>#N/A</v>
          </cell>
        </row>
        <row r="747">
          <cell r="A747">
            <v>41232</v>
          </cell>
          <cell r="B747">
            <v>41232</v>
          </cell>
          <cell r="C747" t="str">
            <v>Future</v>
          </cell>
          <cell r="D747" t="e">
            <v>#N/A</v>
          </cell>
          <cell r="E747">
            <v>16.455530513833807</v>
          </cell>
          <cell r="F747">
            <v>72.186755810277091</v>
          </cell>
          <cell r="G747">
            <v>46.17885067193707</v>
          </cell>
          <cell r="H747">
            <v>46.17885067193707</v>
          </cell>
          <cell r="I747" t="e">
            <v>#N/A</v>
          </cell>
          <cell r="J747" t="e">
            <v>#N/A</v>
          </cell>
          <cell r="K747" t="e">
            <v>#N/A</v>
          </cell>
          <cell r="L747" t="e">
            <v>#N/A</v>
          </cell>
          <cell r="M747" t="e">
            <v>#N/A</v>
          </cell>
          <cell r="N747" t="e">
            <v>#N/A</v>
          </cell>
          <cell r="O747" t="e">
            <v>#N/A</v>
          </cell>
          <cell r="P747" t="str">
            <v/>
          </cell>
          <cell r="Q747" t="str">
            <v/>
          </cell>
          <cell r="R747" t="e">
            <v>#N/A</v>
          </cell>
        </row>
        <row r="748">
          <cell r="A748">
            <v>41233</v>
          </cell>
          <cell r="B748">
            <v>41233</v>
          </cell>
          <cell r="C748" t="str">
            <v>Future</v>
          </cell>
          <cell r="D748" t="e">
            <v>#N/A</v>
          </cell>
          <cell r="E748">
            <v>16.202368505928668</v>
          </cell>
          <cell r="F748">
            <v>72.230036490118991</v>
          </cell>
          <cell r="G748">
            <v>46.083791430830352</v>
          </cell>
          <cell r="H748">
            <v>46.083791430830352</v>
          </cell>
          <cell r="I748" t="e">
            <v>#N/A</v>
          </cell>
          <cell r="J748" t="e">
            <v>#N/A</v>
          </cell>
          <cell r="K748" t="e">
            <v>#N/A</v>
          </cell>
          <cell r="L748" t="e">
            <v>#N/A</v>
          </cell>
          <cell r="M748" t="e">
            <v>#N/A</v>
          </cell>
          <cell r="N748" t="e">
            <v>#N/A</v>
          </cell>
          <cell r="O748" t="e">
            <v>#N/A</v>
          </cell>
          <cell r="P748" t="str">
            <v/>
          </cell>
          <cell r="Q748" t="str">
            <v/>
          </cell>
          <cell r="R748" t="e">
            <v>#N/A</v>
          </cell>
        </row>
        <row r="749">
          <cell r="A749">
            <v>41234</v>
          </cell>
          <cell r="B749">
            <v>41234</v>
          </cell>
          <cell r="C749" t="str">
            <v>Future</v>
          </cell>
          <cell r="D749" t="e">
            <v>#N/A</v>
          </cell>
          <cell r="E749">
            <v>15.94920649802353</v>
          </cell>
          <cell r="F749">
            <v>72.27331716996089</v>
          </cell>
          <cell r="G749">
            <v>45.988732189723635</v>
          </cell>
          <cell r="H749">
            <v>45.988732189723635</v>
          </cell>
          <cell r="I749" t="e">
            <v>#N/A</v>
          </cell>
          <cell r="J749" t="e">
            <v>#N/A</v>
          </cell>
          <cell r="K749" t="e">
            <v>#N/A</v>
          </cell>
          <cell r="L749" t="e">
            <v>#N/A</v>
          </cell>
          <cell r="M749" t="e">
            <v>#N/A</v>
          </cell>
          <cell r="N749" t="e">
            <v>#N/A</v>
          </cell>
          <cell r="O749" t="e">
            <v>#N/A</v>
          </cell>
          <cell r="P749" t="str">
            <v/>
          </cell>
          <cell r="Q749" t="str">
            <v/>
          </cell>
          <cell r="R749" t="e">
            <v>#N/A</v>
          </cell>
        </row>
        <row r="750">
          <cell r="A750">
            <v>41236</v>
          </cell>
          <cell r="B750">
            <v>41236</v>
          </cell>
          <cell r="C750" t="str">
            <v>Future</v>
          </cell>
          <cell r="D750" t="e">
            <v>#N/A</v>
          </cell>
          <cell r="E750">
            <v>15.696044490118393</v>
          </cell>
          <cell r="F750">
            <v>72.31659784980279</v>
          </cell>
          <cell r="G750">
            <v>45.893672948616917</v>
          </cell>
          <cell r="H750">
            <v>45.893672948616917</v>
          </cell>
          <cell r="I750" t="e">
            <v>#N/A</v>
          </cell>
          <cell r="J750" t="e">
            <v>#N/A</v>
          </cell>
          <cell r="K750" t="e">
            <v>#N/A</v>
          </cell>
          <cell r="L750" t="e">
            <v>#N/A</v>
          </cell>
          <cell r="M750" t="e">
            <v>#N/A</v>
          </cell>
          <cell r="N750" t="e">
            <v>#N/A</v>
          </cell>
          <cell r="O750" t="e">
            <v>#N/A</v>
          </cell>
          <cell r="P750" t="str">
            <v/>
          </cell>
          <cell r="Q750" t="str">
            <v/>
          </cell>
          <cell r="R750" t="e">
            <v>#N/A</v>
          </cell>
        </row>
        <row r="751">
          <cell r="A751">
            <v>41239</v>
          </cell>
          <cell r="B751">
            <v>41239</v>
          </cell>
          <cell r="C751" t="str">
            <v>Future</v>
          </cell>
          <cell r="D751" t="e">
            <v>#N/A</v>
          </cell>
          <cell r="E751">
            <v>15.442882482213255</v>
          </cell>
          <cell r="F751">
            <v>72.359878529644689</v>
          </cell>
          <cell r="G751">
            <v>45.798613707510199</v>
          </cell>
          <cell r="H751">
            <v>45.798613707510199</v>
          </cell>
          <cell r="I751" t="e">
            <v>#N/A</v>
          </cell>
          <cell r="J751" t="e">
            <v>#N/A</v>
          </cell>
          <cell r="K751" t="e">
            <v>#N/A</v>
          </cell>
          <cell r="L751" t="e">
            <v>#N/A</v>
          </cell>
          <cell r="M751" t="e">
            <v>#N/A</v>
          </cell>
          <cell r="N751" t="e">
            <v>#N/A</v>
          </cell>
          <cell r="O751" t="e">
            <v>#N/A</v>
          </cell>
          <cell r="P751" t="str">
            <v/>
          </cell>
          <cell r="Q751" t="str">
            <v/>
          </cell>
          <cell r="R751" t="e">
            <v>#N/A</v>
          </cell>
        </row>
        <row r="752">
          <cell r="A752">
            <v>41240</v>
          </cell>
          <cell r="B752">
            <v>41240</v>
          </cell>
          <cell r="C752" t="str">
            <v>Future</v>
          </cell>
          <cell r="D752" t="e">
            <v>#N/A</v>
          </cell>
          <cell r="E752">
            <v>15.189720474308118</v>
          </cell>
          <cell r="F752">
            <v>72.403159209486589</v>
          </cell>
          <cell r="G752">
            <v>45.703554466403482</v>
          </cell>
          <cell r="H752">
            <v>45.703554466403482</v>
          </cell>
          <cell r="I752" t="e">
            <v>#N/A</v>
          </cell>
          <cell r="J752" t="e">
            <v>#N/A</v>
          </cell>
          <cell r="K752" t="e">
            <v>#N/A</v>
          </cell>
          <cell r="L752" t="e">
            <v>#N/A</v>
          </cell>
          <cell r="M752" t="e">
            <v>#N/A</v>
          </cell>
          <cell r="N752" t="e">
            <v>#N/A</v>
          </cell>
          <cell r="O752" t="e">
            <v>#N/A</v>
          </cell>
          <cell r="P752" t="str">
            <v/>
          </cell>
          <cell r="Q752" t="str">
            <v/>
          </cell>
          <cell r="R752" t="e">
            <v>#N/A</v>
          </cell>
        </row>
        <row r="753">
          <cell r="A753">
            <v>41241</v>
          </cell>
          <cell r="B753">
            <v>41241</v>
          </cell>
          <cell r="C753" t="str">
            <v>Future</v>
          </cell>
          <cell r="D753" t="e">
            <v>#N/A</v>
          </cell>
          <cell r="E753">
            <v>14.93655846640298</v>
          </cell>
          <cell r="F753">
            <v>72.446439889328488</v>
          </cell>
          <cell r="G753">
            <v>45.608495225296764</v>
          </cell>
          <cell r="H753">
            <v>45.608495225296764</v>
          </cell>
          <cell r="I753" t="e">
            <v>#N/A</v>
          </cell>
          <cell r="J753" t="e">
            <v>#N/A</v>
          </cell>
          <cell r="K753" t="e">
            <v>#N/A</v>
          </cell>
          <cell r="L753" t="e">
            <v>#N/A</v>
          </cell>
          <cell r="M753" t="e">
            <v>#N/A</v>
          </cell>
          <cell r="N753" t="e">
            <v>#N/A</v>
          </cell>
          <cell r="O753" t="e">
            <v>#N/A</v>
          </cell>
          <cell r="P753" t="str">
            <v/>
          </cell>
          <cell r="Q753" t="str">
            <v/>
          </cell>
          <cell r="R753" t="e">
            <v>#N/A</v>
          </cell>
        </row>
        <row r="754">
          <cell r="A754">
            <v>41242</v>
          </cell>
          <cell r="B754">
            <v>41242</v>
          </cell>
          <cell r="C754" t="str">
            <v>Future</v>
          </cell>
          <cell r="D754" t="e">
            <v>#N/A</v>
          </cell>
          <cell r="E754">
            <v>14.683396458497842</v>
          </cell>
          <cell r="F754">
            <v>72.489720569170387</v>
          </cell>
          <cell r="G754">
            <v>45.513435984190046</v>
          </cell>
          <cell r="H754">
            <v>45.513435984190046</v>
          </cell>
          <cell r="I754" t="e">
            <v>#N/A</v>
          </cell>
          <cell r="J754" t="e">
            <v>#N/A</v>
          </cell>
          <cell r="K754" t="e">
            <v>#N/A</v>
          </cell>
          <cell r="L754" t="e">
            <v>#N/A</v>
          </cell>
          <cell r="M754" t="e">
            <v>#N/A</v>
          </cell>
          <cell r="N754" t="e">
            <v>#N/A</v>
          </cell>
          <cell r="O754" t="e">
            <v>#N/A</v>
          </cell>
          <cell r="P754" t="str">
            <v/>
          </cell>
          <cell r="Q754" t="str">
            <v/>
          </cell>
          <cell r="R754" t="e">
            <v>#N/A</v>
          </cell>
        </row>
        <row r="755">
          <cell r="A755">
            <v>41243</v>
          </cell>
          <cell r="B755">
            <v>41243</v>
          </cell>
          <cell r="C755" t="str">
            <v>Future</v>
          </cell>
          <cell r="D755" t="e">
            <v>#N/A</v>
          </cell>
          <cell r="E755">
            <v>14.430234450592705</v>
          </cell>
          <cell r="F755">
            <v>72.533001249012287</v>
          </cell>
          <cell r="G755">
            <v>45.418376743083329</v>
          </cell>
          <cell r="H755">
            <v>45.418376743083329</v>
          </cell>
          <cell r="I755" t="e">
            <v>#N/A</v>
          </cell>
          <cell r="J755" t="e">
            <v>#N/A</v>
          </cell>
          <cell r="K755" t="e">
            <v>#N/A</v>
          </cell>
          <cell r="L755" t="e">
            <v>#N/A</v>
          </cell>
          <cell r="M755" t="e">
            <v>#N/A</v>
          </cell>
          <cell r="N755" t="e">
            <v>#N/A</v>
          </cell>
          <cell r="O755" t="e">
            <v>#N/A</v>
          </cell>
          <cell r="P755" t="str">
            <v/>
          </cell>
          <cell r="Q755" t="str">
            <v/>
          </cell>
          <cell r="R755" t="e">
            <v>#N/A</v>
          </cell>
        </row>
        <row r="756">
          <cell r="A756">
            <v>41246</v>
          </cell>
          <cell r="B756">
            <v>41246</v>
          </cell>
          <cell r="C756" t="str">
            <v>Future</v>
          </cell>
          <cell r="D756" t="e">
            <v>#N/A</v>
          </cell>
          <cell r="E756">
            <v>14.177072442687567</v>
          </cell>
          <cell r="F756">
            <v>72.576281928854186</v>
          </cell>
          <cell r="G756">
            <v>45.323317501976611</v>
          </cell>
          <cell r="H756">
            <v>45.323317501976611</v>
          </cell>
          <cell r="I756" t="e">
            <v>#N/A</v>
          </cell>
          <cell r="J756" t="e">
            <v>#N/A</v>
          </cell>
          <cell r="K756" t="e">
            <v>#N/A</v>
          </cell>
          <cell r="L756" t="e">
            <v>#N/A</v>
          </cell>
          <cell r="M756" t="e">
            <v>#N/A</v>
          </cell>
          <cell r="N756" t="e">
            <v>#N/A</v>
          </cell>
          <cell r="O756" t="e">
            <v>#N/A</v>
          </cell>
          <cell r="P756" t="str">
            <v/>
          </cell>
          <cell r="Q756" t="str">
            <v/>
          </cell>
          <cell r="R756" t="e">
            <v>#N/A</v>
          </cell>
        </row>
        <row r="757">
          <cell r="A757">
            <v>41247</v>
          </cell>
          <cell r="B757">
            <v>41247</v>
          </cell>
          <cell r="C757" t="str">
            <v>Future</v>
          </cell>
          <cell r="D757" t="e">
            <v>#N/A</v>
          </cell>
          <cell r="E757">
            <v>13.92391043478243</v>
          </cell>
          <cell r="F757">
            <v>72.619562608696086</v>
          </cell>
          <cell r="G757">
            <v>45.228258260869893</v>
          </cell>
          <cell r="H757">
            <v>45.228258260869893</v>
          </cell>
          <cell r="I757" t="e">
            <v>#N/A</v>
          </cell>
          <cell r="J757" t="e">
            <v>#N/A</v>
          </cell>
          <cell r="K757" t="e">
            <v>#N/A</v>
          </cell>
          <cell r="L757" t="e">
            <v>#N/A</v>
          </cell>
          <cell r="M757" t="e">
            <v>#N/A</v>
          </cell>
          <cell r="N757" t="e">
            <v>#N/A</v>
          </cell>
          <cell r="O757" t="e">
            <v>#N/A</v>
          </cell>
          <cell r="P757" t="str">
            <v/>
          </cell>
          <cell r="Q757" t="str">
            <v/>
          </cell>
          <cell r="R757" t="e">
            <v>#N/A</v>
          </cell>
        </row>
        <row r="758">
          <cell r="A758">
            <v>41248</v>
          </cell>
          <cell r="B758">
            <v>41248</v>
          </cell>
          <cell r="C758" t="str">
            <v>Future</v>
          </cell>
          <cell r="D758" t="e">
            <v>#N/A</v>
          </cell>
          <cell r="E758">
            <v>13.670748426877292</v>
          </cell>
          <cell r="F758">
            <v>72.662843288537985</v>
          </cell>
          <cell r="G758">
            <v>45.133199019763175</v>
          </cell>
          <cell r="H758">
            <v>45.133199019763175</v>
          </cell>
          <cell r="I758" t="e">
            <v>#N/A</v>
          </cell>
          <cell r="J758" t="e">
            <v>#N/A</v>
          </cell>
          <cell r="K758" t="e">
            <v>#N/A</v>
          </cell>
          <cell r="L758" t="e">
            <v>#N/A</v>
          </cell>
          <cell r="M758" t="e">
            <v>#N/A</v>
          </cell>
          <cell r="N758" t="e">
            <v>#N/A</v>
          </cell>
          <cell r="O758" t="e">
            <v>#N/A</v>
          </cell>
          <cell r="P758" t="str">
            <v/>
          </cell>
          <cell r="Q758" t="str">
            <v/>
          </cell>
          <cell r="R758" t="e">
            <v>#N/A</v>
          </cell>
        </row>
        <row r="759">
          <cell r="A759">
            <v>41249</v>
          </cell>
          <cell r="B759">
            <v>41249</v>
          </cell>
          <cell r="C759" t="str">
            <v>Future</v>
          </cell>
          <cell r="D759" t="e">
            <v>#N/A</v>
          </cell>
          <cell r="E759">
            <v>13.417586418972155</v>
          </cell>
          <cell r="F759">
            <v>72.706123968379885</v>
          </cell>
          <cell r="G759">
            <v>45.038139778656458</v>
          </cell>
          <cell r="H759">
            <v>45.038139778656458</v>
          </cell>
          <cell r="I759" t="e">
            <v>#N/A</v>
          </cell>
          <cell r="J759" t="e">
            <v>#N/A</v>
          </cell>
          <cell r="K759" t="e">
            <v>#N/A</v>
          </cell>
          <cell r="L759" t="e">
            <v>#N/A</v>
          </cell>
          <cell r="M759" t="e">
            <v>#N/A</v>
          </cell>
          <cell r="N759" t="e">
            <v>#N/A</v>
          </cell>
          <cell r="O759" t="e">
            <v>#N/A</v>
          </cell>
          <cell r="P759" t="str">
            <v/>
          </cell>
          <cell r="Q759" t="str">
            <v/>
          </cell>
          <cell r="R759" t="e">
            <v>#N/A</v>
          </cell>
        </row>
        <row r="760">
          <cell r="A760">
            <v>41250</v>
          </cell>
          <cell r="B760">
            <v>41250</v>
          </cell>
          <cell r="C760" t="str">
            <v>Future</v>
          </cell>
          <cell r="D760" t="e">
            <v>#N/A</v>
          </cell>
          <cell r="E760">
            <v>13.164424411067017</v>
          </cell>
          <cell r="F760">
            <v>72.749404648221784</v>
          </cell>
          <cell r="G760">
            <v>44.94308053754974</v>
          </cell>
          <cell r="H760">
            <v>44.94308053754974</v>
          </cell>
          <cell r="I760" t="e">
            <v>#N/A</v>
          </cell>
          <cell r="J760" t="e">
            <v>#N/A</v>
          </cell>
          <cell r="K760" t="e">
            <v>#N/A</v>
          </cell>
          <cell r="L760" t="e">
            <v>#N/A</v>
          </cell>
          <cell r="M760" t="e">
            <v>#N/A</v>
          </cell>
          <cell r="N760" t="e">
            <v>#N/A</v>
          </cell>
          <cell r="O760" t="e">
            <v>#N/A</v>
          </cell>
          <cell r="P760" t="str">
            <v/>
          </cell>
          <cell r="Q760" t="str">
            <v/>
          </cell>
          <cell r="R760" t="e">
            <v>#N/A</v>
          </cell>
        </row>
        <row r="761">
          <cell r="A761">
            <v>41253</v>
          </cell>
          <cell r="B761">
            <v>41253</v>
          </cell>
          <cell r="C761" t="str">
            <v>Future</v>
          </cell>
          <cell r="D761" t="e">
            <v>#N/A</v>
          </cell>
          <cell r="E761">
            <v>12.91126240316188</v>
          </cell>
          <cell r="F761">
            <v>72.792685328063683</v>
          </cell>
          <cell r="G761">
            <v>44.848021296443022</v>
          </cell>
          <cell r="H761">
            <v>44.848021296443022</v>
          </cell>
          <cell r="I761" t="e">
            <v>#N/A</v>
          </cell>
          <cell r="J761" t="e">
            <v>#N/A</v>
          </cell>
          <cell r="K761" t="e">
            <v>#N/A</v>
          </cell>
          <cell r="L761" t="e">
            <v>#N/A</v>
          </cell>
          <cell r="M761" t="e">
            <v>#N/A</v>
          </cell>
          <cell r="N761" t="e">
            <v>#N/A</v>
          </cell>
          <cell r="O761" t="e">
            <v>#N/A</v>
          </cell>
          <cell r="P761" t="str">
            <v/>
          </cell>
          <cell r="Q761" t="str">
            <v/>
          </cell>
          <cell r="R761" t="e">
            <v>#N/A</v>
          </cell>
        </row>
        <row r="762">
          <cell r="A762">
            <v>41254</v>
          </cell>
          <cell r="B762">
            <v>41254</v>
          </cell>
          <cell r="C762" t="str">
            <v>Future</v>
          </cell>
          <cell r="D762" t="e">
            <v>#N/A</v>
          </cell>
          <cell r="E762">
            <v>12.658100395256742</v>
          </cell>
          <cell r="F762">
            <v>72.835966007905583</v>
          </cell>
          <cell r="G762">
            <v>44.752962055336305</v>
          </cell>
          <cell r="H762">
            <v>44.752962055336305</v>
          </cell>
          <cell r="I762" t="e">
            <v>#N/A</v>
          </cell>
          <cell r="J762" t="e">
            <v>#N/A</v>
          </cell>
          <cell r="K762" t="e">
            <v>#N/A</v>
          </cell>
          <cell r="L762" t="e">
            <v>#N/A</v>
          </cell>
          <cell r="M762" t="e">
            <v>#N/A</v>
          </cell>
          <cell r="N762" t="e">
            <v>#N/A</v>
          </cell>
          <cell r="O762" t="e">
            <v>#N/A</v>
          </cell>
          <cell r="P762" t="str">
            <v/>
          </cell>
          <cell r="Q762" t="str">
            <v/>
          </cell>
          <cell r="R762" t="e">
            <v>#N/A</v>
          </cell>
        </row>
        <row r="763">
          <cell r="A763">
            <v>41255</v>
          </cell>
          <cell r="B763">
            <v>41255</v>
          </cell>
          <cell r="C763" t="str">
            <v>Future</v>
          </cell>
          <cell r="D763" t="e">
            <v>#N/A</v>
          </cell>
          <cell r="E763">
            <v>12.404938387351605</v>
          </cell>
          <cell r="F763">
            <v>72.879246687747482</v>
          </cell>
          <cell r="G763">
            <v>44.657902814229587</v>
          </cell>
          <cell r="H763">
            <v>44.657902814229587</v>
          </cell>
          <cell r="I763" t="e">
            <v>#N/A</v>
          </cell>
          <cell r="J763" t="e">
            <v>#N/A</v>
          </cell>
          <cell r="K763" t="e">
            <v>#N/A</v>
          </cell>
          <cell r="L763" t="e">
            <v>#N/A</v>
          </cell>
          <cell r="M763" t="e">
            <v>#N/A</v>
          </cell>
          <cell r="N763" t="e">
            <v>#N/A</v>
          </cell>
          <cell r="O763" t="e">
            <v>#N/A</v>
          </cell>
          <cell r="P763" t="str">
            <v/>
          </cell>
          <cell r="Q763" t="str">
            <v/>
          </cell>
          <cell r="R763" t="e">
            <v>#N/A</v>
          </cell>
        </row>
        <row r="764">
          <cell r="A764">
            <v>41256</v>
          </cell>
          <cell r="B764">
            <v>41256</v>
          </cell>
          <cell r="C764" t="str">
            <v>Future</v>
          </cell>
          <cell r="D764" t="e">
            <v>#N/A</v>
          </cell>
          <cell r="E764">
            <v>12.151776379446467</v>
          </cell>
          <cell r="F764">
            <v>72.922527367589382</v>
          </cell>
          <cell r="G764">
            <v>44.562843573122869</v>
          </cell>
          <cell r="H764">
            <v>44.562843573122869</v>
          </cell>
          <cell r="I764" t="e">
            <v>#N/A</v>
          </cell>
          <cell r="J764" t="e">
            <v>#N/A</v>
          </cell>
          <cell r="K764" t="e">
            <v>#N/A</v>
          </cell>
          <cell r="L764" t="e">
            <v>#N/A</v>
          </cell>
          <cell r="M764" t="e">
            <v>#N/A</v>
          </cell>
          <cell r="N764" t="e">
            <v>#N/A</v>
          </cell>
          <cell r="O764" t="e">
            <v>#N/A</v>
          </cell>
          <cell r="P764" t="str">
            <v/>
          </cell>
          <cell r="Q764" t="str">
            <v/>
          </cell>
          <cell r="R764" t="e">
            <v>#N/A</v>
          </cell>
        </row>
        <row r="765">
          <cell r="A765">
            <v>41257</v>
          </cell>
          <cell r="B765">
            <v>41257</v>
          </cell>
          <cell r="C765" t="str">
            <v>Future</v>
          </cell>
          <cell r="D765" t="e">
            <v>#N/A</v>
          </cell>
          <cell r="E765">
            <v>11.89861437154133</v>
          </cell>
          <cell r="F765">
            <v>72.965808047431281</v>
          </cell>
          <cell r="G765">
            <v>44.467784332016151</v>
          </cell>
          <cell r="H765">
            <v>44.467784332016151</v>
          </cell>
          <cell r="I765" t="e">
            <v>#N/A</v>
          </cell>
          <cell r="J765" t="e">
            <v>#N/A</v>
          </cell>
          <cell r="K765" t="e">
            <v>#N/A</v>
          </cell>
          <cell r="L765" t="e">
            <v>#N/A</v>
          </cell>
          <cell r="M765" t="e">
            <v>#N/A</v>
          </cell>
          <cell r="N765" t="e">
            <v>#N/A</v>
          </cell>
          <cell r="O765" t="e">
            <v>#N/A</v>
          </cell>
          <cell r="P765" t="str">
            <v/>
          </cell>
          <cell r="Q765" t="str">
            <v/>
          </cell>
          <cell r="R765" t="e">
            <v>#N/A</v>
          </cell>
        </row>
        <row r="766">
          <cell r="A766">
            <v>41260</v>
          </cell>
          <cell r="B766">
            <v>41260</v>
          </cell>
          <cell r="C766" t="str">
            <v>Future</v>
          </cell>
          <cell r="D766" t="e">
            <v>#N/A</v>
          </cell>
          <cell r="E766">
            <v>11.645452363636192</v>
          </cell>
          <cell r="F766">
            <v>73.009088727273181</v>
          </cell>
          <cell r="G766">
            <v>44.372725090909434</v>
          </cell>
          <cell r="H766">
            <v>44.372725090909434</v>
          </cell>
          <cell r="I766" t="e">
            <v>#N/A</v>
          </cell>
          <cell r="J766" t="e">
            <v>#N/A</v>
          </cell>
          <cell r="K766" t="e">
            <v>#N/A</v>
          </cell>
          <cell r="L766" t="e">
            <v>#N/A</v>
          </cell>
          <cell r="M766" t="e">
            <v>#N/A</v>
          </cell>
          <cell r="N766" t="e">
            <v>#N/A</v>
          </cell>
          <cell r="O766" t="e">
            <v>#N/A</v>
          </cell>
          <cell r="P766" t="str">
            <v/>
          </cell>
          <cell r="Q766" t="str">
            <v/>
          </cell>
          <cell r="R766" t="e">
            <v>#N/A</v>
          </cell>
        </row>
        <row r="767">
          <cell r="A767">
            <v>41261</v>
          </cell>
          <cell r="B767">
            <v>41261</v>
          </cell>
          <cell r="C767" t="str">
            <v>Future</v>
          </cell>
          <cell r="D767" t="e">
            <v>#N/A</v>
          </cell>
          <cell r="E767">
            <v>11.392290355731054</v>
          </cell>
          <cell r="F767">
            <v>73.05236940711508</v>
          </cell>
          <cell r="G767">
            <v>44.277665849802716</v>
          </cell>
          <cell r="H767">
            <v>44.277665849802716</v>
          </cell>
          <cell r="I767" t="e">
            <v>#N/A</v>
          </cell>
          <cell r="J767" t="e">
            <v>#N/A</v>
          </cell>
          <cell r="K767" t="e">
            <v>#N/A</v>
          </cell>
          <cell r="L767" t="e">
            <v>#N/A</v>
          </cell>
          <cell r="M767" t="e">
            <v>#N/A</v>
          </cell>
          <cell r="N767" t="e">
            <v>#N/A</v>
          </cell>
          <cell r="O767" t="e">
            <v>#N/A</v>
          </cell>
          <cell r="P767" t="str">
            <v/>
          </cell>
          <cell r="Q767" t="str">
            <v/>
          </cell>
          <cell r="R767" t="e">
            <v>#N/A</v>
          </cell>
        </row>
        <row r="768">
          <cell r="A768">
            <v>41262</v>
          </cell>
          <cell r="B768">
            <v>41262</v>
          </cell>
          <cell r="C768" t="str">
            <v>Future</v>
          </cell>
          <cell r="D768" t="e">
            <v>#N/A</v>
          </cell>
          <cell r="E768">
            <v>11.139128347825917</v>
          </cell>
          <cell r="F768">
            <v>73.095650086956979</v>
          </cell>
          <cell r="G768">
            <v>44.182606608695998</v>
          </cell>
          <cell r="H768">
            <v>44.182606608695998</v>
          </cell>
          <cell r="I768" t="e">
            <v>#N/A</v>
          </cell>
          <cell r="J768" t="e">
            <v>#N/A</v>
          </cell>
          <cell r="K768" t="e">
            <v>#N/A</v>
          </cell>
          <cell r="L768" t="e">
            <v>#N/A</v>
          </cell>
          <cell r="M768" t="e">
            <v>#N/A</v>
          </cell>
          <cell r="N768" t="e">
            <v>#N/A</v>
          </cell>
          <cell r="O768" t="e">
            <v>#N/A</v>
          </cell>
          <cell r="P768" t="str">
            <v/>
          </cell>
          <cell r="Q768" t="str">
            <v/>
          </cell>
          <cell r="R768" t="e">
            <v>#N/A</v>
          </cell>
        </row>
        <row r="769">
          <cell r="A769">
            <v>41263</v>
          </cell>
          <cell r="B769">
            <v>41263</v>
          </cell>
          <cell r="C769" t="str">
            <v>Future</v>
          </cell>
          <cell r="D769" t="e">
            <v>#N/A</v>
          </cell>
          <cell r="E769">
            <v>10.885966339920779</v>
          </cell>
          <cell r="F769">
            <v>73.138930766798879</v>
          </cell>
          <cell r="G769">
            <v>44.087547367589281</v>
          </cell>
          <cell r="H769">
            <v>44.087547367589281</v>
          </cell>
          <cell r="I769" t="e">
            <v>#N/A</v>
          </cell>
          <cell r="J769" t="e">
            <v>#N/A</v>
          </cell>
          <cell r="K769" t="e">
            <v>#N/A</v>
          </cell>
          <cell r="L769" t="e">
            <v>#N/A</v>
          </cell>
          <cell r="M769" t="e">
            <v>#N/A</v>
          </cell>
          <cell r="N769" t="e">
            <v>#N/A</v>
          </cell>
          <cell r="O769" t="e">
            <v>#N/A</v>
          </cell>
          <cell r="P769" t="str">
            <v/>
          </cell>
          <cell r="Q769" t="str">
            <v/>
          </cell>
          <cell r="R769" t="e">
            <v>#N/A</v>
          </cell>
        </row>
        <row r="770">
          <cell r="A770">
            <v>41264</v>
          </cell>
          <cell r="B770">
            <v>41264</v>
          </cell>
          <cell r="C770" t="str">
            <v>Future</v>
          </cell>
          <cell r="D770" t="e">
            <v>#N/A</v>
          </cell>
          <cell r="E770">
            <v>10.632804332015642</v>
          </cell>
          <cell r="F770">
            <v>73.182211446640778</v>
          </cell>
          <cell r="G770">
            <v>43.992488126482563</v>
          </cell>
          <cell r="H770">
            <v>43.992488126482563</v>
          </cell>
          <cell r="I770" t="e">
            <v>#N/A</v>
          </cell>
          <cell r="J770" t="e">
            <v>#N/A</v>
          </cell>
          <cell r="K770" t="e">
            <v>#N/A</v>
          </cell>
          <cell r="L770" t="e">
            <v>#N/A</v>
          </cell>
          <cell r="M770" t="e">
            <v>#N/A</v>
          </cell>
          <cell r="N770" t="e">
            <v>#N/A</v>
          </cell>
          <cell r="O770" t="e">
            <v>#N/A</v>
          </cell>
          <cell r="P770" t="str">
            <v/>
          </cell>
          <cell r="Q770" t="str">
            <v/>
          </cell>
          <cell r="R770" t="e">
            <v>#N/A</v>
          </cell>
        </row>
        <row r="771">
          <cell r="A771">
            <v>41267</v>
          </cell>
          <cell r="B771">
            <v>41267</v>
          </cell>
          <cell r="C771" t="str">
            <v>Future</v>
          </cell>
          <cell r="D771" t="e">
            <v>#N/A</v>
          </cell>
          <cell r="E771">
            <v>10.379642324110504</v>
          </cell>
          <cell r="F771">
            <v>73.225492126482678</v>
          </cell>
          <cell r="G771">
            <v>43.897428885375845</v>
          </cell>
          <cell r="H771">
            <v>43.897428885375845</v>
          </cell>
          <cell r="I771" t="e">
            <v>#N/A</v>
          </cell>
          <cell r="J771" t="e">
            <v>#N/A</v>
          </cell>
          <cell r="K771" t="e">
            <v>#N/A</v>
          </cell>
          <cell r="L771" t="e">
            <v>#N/A</v>
          </cell>
          <cell r="M771" t="e">
            <v>#N/A</v>
          </cell>
          <cell r="N771" t="e">
            <v>#N/A</v>
          </cell>
          <cell r="O771" t="e">
            <v>#N/A</v>
          </cell>
          <cell r="P771" t="str">
            <v/>
          </cell>
          <cell r="Q771" t="str">
            <v/>
          </cell>
          <cell r="R771" t="e">
            <v>#N/A</v>
          </cell>
        </row>
        <row r="772">
          <cell r="A772">
            <v>41269</v>
          </cell>
          <cell r="B772">
            <v>41269</v>
          </cell>
          <cell r="C772" t="str">
            <v>Future</v>
          </cell>
          <cell r="D772" t="e">
            <v>#N/A</v>
          </cell>
          <cell r="E772">
            <v>10.126480316205367</v>
          </cell>
          <cell r="F772">
            <v>73.268772806324577</v>
          </cell>
          <cell r="G772">
            <v>43.802369644269127</v>
          </cell>
          <cell r="H772">
            <v>43.802369644269127</v>
          </cell>
          <cell r="I772" t="e">
            <v>#N/A</v>
          </cell>
          <cell r="J772" t="e">
            <v>#N/A</v>
          </cell>
          <cell r="K772" t="e">
            <v>#N/A</v>
          </cell>
          <cell r="L772" t="e">
            <v>#N/A</v>
          </cell>
          <cell r="M772" t="e">
            <v>#N/A</v>
          </cell>
          <cell r="N772" t="e">
            <v>#N/A</v>
          </cell>
          <cell r="O772" t="e">
            <v>#N/A</v>
          </cell>
          <cell r="P772" t="str">
            <v/>
          </cell>
          <cell r="Q772" t="str">
            <v/>
          </cell>
          <cell r="R772" t="e">
            <v>#N/A</v>
          </cell>
        </row>
        <row r="773">
          <cell r="A773">
            <v>41270</v>
          </cell>
          <cell r="B773">
            <v>41270</v>
          </cell>
          <cell r="C773" t="str">
            <v>Future</v>
          </cell>
          <cell r="D773" t="e">
            <v>#N/A</v>
          </cell>
          <cell r="E773">
            <v>9.8733183083002292</v>
          </cell>
          <cell r="F773">
            <v>73.312053486166477</v>
          </cell>
          <cell r="G773">
            <v>43.70731040316241</v>
          </cell>
          <cell r="H773">
            <v>43.70731040316241</v>
          </cell>
          <cell r="I773" t="e">
            <v>#N/A</v>
          </cell>
          <cell r="J773" t="e">
            <v>#N/A</v>
          </cell>
          <cell r="K773" t="e">
            <v>#N/A</v>
          </cell>
          <cell r="L773" t="e">
            <v>#N/A</v>
          </cell>
          <cell r="M773" t="e">
            <v>#N/A</v>
          </cell>
          <cell r="N773" t="e">
            <v>#N/A</v>
          </cell>
          <cell r="O773" t="e">
            <v>#N/A</v>
          </cell>
          <cell r="P773" t="str">
            <v/>
          </cell>
          <cell r="Q773" t="str">
            <v/>
          </cell>
          <cell r="R773" t="e">
            <v>#N/A</v>
          </cell>
        </row>
        <row r="774">
          <cell r="A774">
            <v>41271</v>
          </cell>
          <cell r="B774">
            <v>41271</v>
          </cell>
          <cell r="C774" t="str">
            <v>Future</v>
          </cell>
          <cell r="D774" t="e">
            <v>#N/A</v>
          </cell>
          <cell r="E774">
            <v>9.6201563003950916</v>
          </cell>
          <cell r="F774">
            <v>73.355334166008376</v>
          </cell>
          <cell r="G774">
            <v>43.612251162055692</v>
          </cell>
          <cell r="H774">
            <v>43.612251162055692</v>
          </cell>
          <cell r="I774" t="e">
            <v>#N/A</v>
          </cell>
          <cell r="J774" t="e">
            <v>#N/A</v>
          </cell>
          <cell r="K774" t="e">
            <v>#N/A</v>
          </cell>
          <cell r="L774" t="e">
            <v>#N/A</v>
          </cell>
          <cell r="M774" t="e">
            <v>#N/A</v>
          </cell>
          <cell r="N774" t="e">
            <v>#N/A</v>
          </cell>
          <cell r="O774" t="e">
            <v>#N/A</v>
          </cell>
          <cell r="P774" t="str">
            <v/>
          </cell>
          <cell r="Q774" t="str">
            <v/>
          </cell>
          <cell r="R774" t="e">
            <v>#N/A</v>
          </cell>
        </row>
        <row r="775">
          <cell r="A775">
            <v>41274</v>
          </cell>
          <cell r="B775">
            <v>41274</v>
          </cell>
          <cell r="C775" t="str">
            <v>Future</v>
          </cell>
          <cell r="D775" t="e">
            <v>#N/A</v>
          </cell>
          <cell r="E775">
            <v>9.3669942924899541</v>
          </cell>
          <cell r="F775">
            <v>73.398614845850275</v>
          </cell>
          <cell r="G775">
            <v>43.517191920948974</v>
          </cell>
          <cell r="H775">
            <v>43.517191920948974</v>
          </cell>
          <cell r="I775" t="e">
            <v>#N/A</v>
          </cell>
          <cell r="J775" t="e">
            <v>#N/A</v>
          </cell>
          <cell r="K775" t="e">
            <v>#N/A</v>
          </cell>
          <cell r="L775" t="e">
            <v>#N/A</v>
          </cell>
          <cell r="M775" t="e">
            <v>#N/A</v>
          </cell>
          <cell r="N775" t="e">
            <v>#N/A</v>
          </cell>
          <cell r="O775" t="e">
            <v>#N/A</v>
          </cell>
          <cell r="P775" t="str">
            <v/>
          </cell>
          <cell r="Q775" t="str">
            <v/>
          </cell>
          <cell r="R775" t="e">
            <v>#N/A</v>
          </cell>
        </row>
        <row r="776">
          <cell r="A776">
            <v>41276</v>
          </cell>
          <cell r="B776">
            <v>41276</v>
          </cell>
          <cell r="C776" t="str">
            <v>Future</v>
          </cell>
          <cell r="D776" t="e">
            <v>#N/A</v>
          </cell>
          <cell r="E776">
            <v>9.1138322845848165</v>
          </cell>
          <cell r="F776">
            <v>73.441895525692175</v>
          </cell>
          <cell r="G776">
            <v>43.422132679842257</v>
          </cell>
          <cell r="H776">
            <v>43.422132679842257</v>
          </cell>
          <cell r="I776" t="e">
            <v>#N/A</v>
          </cell>
          <cell r="J776" t="e">
            <v>#N/A</v>
          </cell>
          <cell r="K776" t="e">
            <v>#N/A</v>
          </cell>
          <cell r="L776" t="e">
            <v>#N/A</v>
          </cell>
          <cell r="M776" t="e">
            <v>#N/A</v>
          </cell>
          <cell r="N776" t="e">
            <v>#N/A</v>
          </cell>
          <cell r="O776" t="e">
            <v>#N/A</v>
          </cell>
          <cell r="P776" t="str">
            <v/>
          </cell>
          <cell r="Q776" t="str">
            <v/>
          </cell>
          <cell r="R776" t="e">
            <v>#N/A</v>
          </cell>
        </row>
        <row r="777">
          <cell r="A777">
            <v>41277</v>
          </cell>
          <cell r="B777">
            <v>41277</v>
          </cell>
          <cell r="C777" t="str">
            <v>Future</v>
          </cell>
          <cell r="D777" t="e">
            <v>#N/A</v>
          </cell>
          <cell r="E777">
            <v>8.860670276679679</v>
          </cell>
          <cell r="F777">
            <v>73.485176205534074</v>
          </cell>
          <cell r="G777">
            <v>43.327073438735539</v>
          </cell>
          <cell r="H777">
            <v>43.327073438735539</v>
          </cell>
          <cell r="I777" t="e">
            <v>#N/A</v>
          </cell>
          <cell r="J777" t="e">
            <v>#N/A</v>
          </cell>
          <cell r="K777" t="e">
            <v>#N/A</v>
          </cell>
          <cell r="L777" t="e">
            <v>#N/A</v>
          </cell>
          <cell r="M777" t="e">
            <v>#N/A</v>
          </cell>
          <cell r="N777" t="e">
            <v>#N/A</v>
          </cell>
          <cell r="O777" t="e">
            <v>#N/A</v>
          </cell>
          <cell r="P777" t="str">
            <v/>
          </cell>
          <cell r="Q777" t="str">
            <v/>
          </cell>
          <cell r="R777" t="e">
            <v>#N/A</v>
          </cell>
        </row>
        <row r="778">
          <cell r="A778">
            <v>41278</v>
          </cell>
          <cell r="B778">
            <v>41278</v>
          </cell>
          <cell r="C778" t="str">
            <v>Future</v>
          </cell>
          <cell r="D778" t="e">
            <v>#N/A</v>
          </cell>
          <cell r="E778">
            <v>8.6075082687745414</v>
          </cell>
          <cell r="F778">
            <v>73.528456885375974</v>
          </cell>
          <cell r="G778">
            <v>43.232014197628821</v>
          </cell>
          <cell r="H778">
            <v>43.232014197628821</v>
          </cell>
          <cell r="I778" t="e">
            <v>#N/A</v>
          </cell>
          <cell r="J778" t="e">
            <v>#N/A</v>
          </cell>
          <cell r="K778" t="e">
            <v>#N/A</v>
          </cell>
          <cell r="L778" t="e">
            <v>#N/A</v>
          </cell>
          <cell r="M778" t="e">
            <v>#N/A</v>
          </cell>
          <cell r="N778" t="e">
            <v>#N/A</v>
          </cell>
          <cell r="O778" t="e">
            <v>#N/A</v>
          </cell>
          <cell r="P778" t="str">
            <v/>
          </cell>
          <cell r="Q778" t="str">
            <v/>
          </cell>
          <cell r="R778" t="e">
            <v>#N/A</v>
          </cell>
        </row>
        <row r="779">
          <cell r="A779">
            <v>41281</v>
          </cell>
          <cell r="B779">
            <v>41281</v>
          </cell>
          <cell r="C779" t="str">
            <v>Future</v>
          </cell>
          <cell r="D779" t="e">
            <v>#N/A</v>
          </cell>
          <cell r="E779">
            <v>8.3543462608694039</v>
          </cell>
          <cell r="F779">
            <v>73.571737565217873</v>
          </cell>
          <cell r="G779">
            <v>43.136954956522104</v>
          </cell>
          <cell r="H779">
            <v>43.136954956522104</v>
          </cell>
          <cell r="I779" t="e">
            <v>#N/A</v>
          </cell>
          <cell r="J779" t="e">
            <v>#N/A</v>
          </cell>
          <cell r="K779" t="e">
            <v>#N/A</v>
          </cell>
          <cell r="L779" t="e">
            <v>#N/A</v>
          </cell>
          <cell r="M779" t="e">
            <v>#N/A</v>
          </cell>
          <cell r="N779" t="e">
            <v>#N/A</v>
          </cell>
          <cell r="O779" t="e">
            <v>#N/A</v>
          </cell>
          <cell r="P779" t="str">
            <v/>
          </cell>
          <cell r="Q779" t="str">
            <v/>
          </cell>
          <cell r="R779" t="e">
            <v>#N/A</v>
          </cell>
        </row>
        <row r="780">
          <cell r="A780">
            <v>41282</v>
          </cell>
          <cell r="B780">
            <v>41282</v>
          </cell>
          <cell r="C780" t="str">
            <v>Future</v>
          </cell>
          <cell r="D780" t="e">
            <v>#N/A</v>
          </cell>
          <cell r="E780">
            <v>8.1011842529642664</v>
          </cell>
          <cell r="F780">
            <v>73.615018245059773</v>
          </cell>
          <cell r="G780">
            <v>43.041895715415386</v>
          </cell>
          <cell r="H780">
            <v>43.041895715415386</v>
          </cell>
          <cell r="I780" t="e">
            <v>#N/A</v>
          </cell>
          <cell r="J780" t="e">
            <v>#N/A</v>
          </cell>
          <cell r="K780" t="e">
            <v>#N/A</v>
          </cell>
          <cell r="L780" t="e">
            <v>#N/A</v>
          </cell>
          <cell r="M780" t="e">
            <v>#N/A</v>
          </cell>
          <cell r="N780" t="e">
            <v>#N/A</v>
          </cell>
          <cell r="O780" t="e">
            <v>#N/A</v>
          </cell>
          <cell r="P780" t="str">
            <v/>
          </cell>
          <cell r="Q780" t="str">
            <v/>
          </cell>
          <cell r="R780" t="e">
            <v>#N/A</v>
          </cell>
        </row>
        <row r="781">
          <cell r="A781">
            <v>41283</v>
          </cell>
          <cell r="B781">
            <v>41283</v>
          </cell>
          <cell r="C781" t="str">
            <v>Future</v>
          </cell>
          <cell r="D781" t="e">
            <v>#N/A</v>
          </cell>
          <cell r="E781">
            <v>7.8480222450591279</v>
          </cell>
          <cell r="F781">
            <v>73.658298924901672</v>
          </cell>
          <cell r="G781">
            <v>42.946836474308668</v>
          </cell>
          <cell r="H781">
            <v>42.946836474308668</v>
          </cell>
          <cell r="I781" t="e">
            <v>#N/A</v>
          </cell>
          <cell r="J781" t="e">
            <v>#N/A</v>
          </cell>
          <cell r="K781" t="e">
            <v>#N/A</v>
          </cell>
          <cell r="L781" t="e">
            <v>#N/A</v>
          </cell>
          <cell r="M781" t="e">
            <v>#N/A</v>
          </cell>
          <cell r="N781" t="e">
            <v>#N/A</v>
          </cell>
          <cell r="O781" t="e">
            <v>#N/A</v>
          </cell>
          <cell r="P781" t="str">
            <v/>
          </cell>
          <cell r="Q781" t="str">
            <v/>
          </cell>
          <cell r="R781" t="e">
            <v>#N/A</v>
          </cell>
        </row>
        <row r="782">
          <cell r="A782">
            <v>41284</v>
          </cell>
          <cell r="B782">
            <v>41284</v>
          </cell>
          <cell r="C782" t="str">
            <v>Future</v>
          </cell>
          <cell r="D782" t="e">
            <v>#N/A</v>
          </cell>
          <cell r="E782">
            <v>7.5948602371539895</v>
          </cell>
          <cell r="F782">
            <v>73.701579604743571</v>
          </cell>
          <cell r="G782">
            <v>42.85177723320195</v>
          </cell>
          <cell r="H782">
            <v>42.85177723320195</v>
          </cell>
          <cell r="I782" t="e">
            <v>#N/A</v>
          </cell>
          <cell r="J782" t="e">
            <v>#N/A</v>
          </cell>
          <cell r="K782" t="e">
            <v>#N/A</v>
          </cell>
          <cell r="L782" t="e">
            <v>#N/A</v>
          </cell>
          <cell r="M782" t="e">
            <v>#N/A</v>
          </cell>
          <cell r="N782" t="e">
            <v>#N/A</v>
          </cell>
          <cell r="O782" t="e">
            <v>#N/A</v>
          </cell>
          <cell r="P782" t="str">
            <v/>
          </cell>
          <cell r="Q782" t="str">
            <v/>
          </cell>
          <cell r="R782" t="e">
            <v>#N/A</v>
          </cell>
        </row>
        <row r="783">
          <cell r="A783">
            <v>41285</v>
          </cell>
          <cell r="B783">
            <v>41285</v>
          </cell>
          <cell r="C783" t="str">
            <v>Future</v>
          </cell>
          <cell r="D783" t="e">
            <v>#N/A</v>
          </cell>
          <cell r="E783">
            <v>7.3416982292488511</v>
          </cell>
          <cell r="F783">
            <v>73.744860284585471</v>
          </cell>
          <cell r="G783">
            <v>42.756717992095233</v>
          </cell>
          <cell r="H783">
            <v>42.756717992095233</v>
          </cell>
          <cell r="I783" t="e">
            <v>#N/A</v>
          </cell>
          <cell r="J783" t="e">
            <v>#N/A</v>
          </cell>
          <cell r="K783" t="e">
            <v>#N/A</v>
          </cell>
          <cell r="L783" t="e">
            <v>#N/A</v>
          </cell>
          <cell r="M783" t="e">
            <v>#N/A</v>
          </cell>
          <cell r="N783" t="e">
            <v>#N/A</v>
          </cell>
          <cell r="O783" t="e">
            <v>#N/A</v>
          </cell>
          <cell r="P783" t="str">
            <v/>
          </cell>
          <cell r="Q783" t="str">
            <v/>
          </cell>
          <cell r="R783" t="e">
            <v>#N/A</v>
          </cell>
        </row>
        <row r="784">
          <cell r="A784">
            <v>41288</v>
          </cell>
          <cell r="B784">
            <v>41288</v>
          </cell>
          <cell r="C784" t="str">
            <v>Future</v>
          </cell>
          <cell r="D784" t="e">
            <v>#N/A</v>
          </cell>
          <cell r="E784">
            <v>7.0885362213437126</v>
          </cell>
          <cell r="F784">
            <v>73.78814096442737</v>
          </cell>
          <cell r="G784">
            <v>42.661658750988515</v>
          </cell>
          <cell r="H784">
            <v>42.661658750988515</v>
          </cell>
          <cell r="I784" t="e">
            <v>#N/A</v>
          </cell>
          <cell r="J784" t="e">
            <v>#N/A</v>
          </cell>
          <cell r="K784" t="e">
            <v>#N/A</v>
          </cell>
          <cell r="L784" t="e">
            <v>#N/A</v>
          </cell>
          <cell r="M784" t="e">
            <v>#N/A</v>
          </cell>
          <cell r="N784" t="e">
            <v>#N/A</v>
          </cell>
          <cell r="O784" t="e">
            <v>#N/A</v>
          </cell>
          <cell r="P784" t="str">
            <v/>
          </cell>
          <cell r="Q784" t="str">
            <v/>
          </cell>
          <cell r="R784" t="e">
            <v>#N/A</v>
          </cell>
        </row>
        <row r="785">
          <cell r="A785">
            <v>41289</v>
          </cell>
          <cell r="B785">
            <v>41289</v>
          </cell>
          <cell r="C785" t="str">
            <v>Future</v>
          </cell>
          <cell r="D785" t="e">
            <v>#N/A</v>
          </cell>
          <cell r="E785">
            <v>6.8353742134385742</v>
          </cell>
          <cell r="F785">
            <v>73.83142164426927</v>
          </cell>
          <cell r="G785">
            <v>42.566599509881797</v>
          </cell>
          <cell r="H785">
            <v>42.566599509881797</v>
          </cell>
          <cell r="I785" t="e">
            <v>#N/A</v>
          </cell>
          <cell r="J785" t="e">
            <v>#N/A</v>
          </cell>
          <cell r="K785" t="e">
            <v>#N/A</v>
          </cell>
          <cell r="L785" t="e">
            <v>#N/A</v>
          </cell>
          <cell r="M785" t="e">
            <v>#N/A</v>
          </cell>
          <cell r="N785" t="e">
            <v>#N/A</v>
          </cell>
          <cell r="O785" t="e">
            <v>#N/A</v>
          </cell>
          <cell r="P785" t="str">
            <v/>
          </cell>
          <cell r="Q785" t="str">
            <v/>
          </cell>
          <cell r="R785" t="e">
            <v>#N/A</v>
          </cell>
        </row>
        <row r="786">
          <cell r="A786">
            <v>41290</v>
          </cell>
          <cell r="B786">
            <v>41290</v>
          </cell>
          <cell r="C786" t="str">
            <v>Future</v>
          </cell>
          <cell r="D786" t="e">
            <v>#N/A</v>
          </cell>
          <cell r="E786">
            <v>6.5822122055334358</v>
          </cell>
          <cell r="F786">
            <v>73.874702324111169</v>
          </cell>
          <cell r="G786">
            <v>42.47154026877508</v>
          </cell>
          <cell r="H786">
            <v>42.47154026877508</v>
          </cell>
          <cell r="I786" t="e">
            <v>#N/A</v>
          </cell>
          <cell r="J786" t="e">
            <v>#N/A</v>
          </cell>
          <cell r="K786" t="e">
            <v>#N/A</v>
          </cell>
          <cell r="L786" t="e">
            <v>#N/A</v>
          </cell>
          <cell r="M786" t="e">
            <v>#N/A</v>
          </cell>
          <cell r="N786" t="e">
            <v>#N/A</v>
          </cell>
          <cell r="O786" t="e">
            <v>#N/A</v>
          </cell>
          <cell r="P786" t="str">
            <v/>
          </cell>
          <cell r="Q786" t="str">
            <v/>
          </cell>
          <cell r="R786" t="e">
            <v>#N/A</v>
          </cell>
        </row>
        <row r="787">
          <cell r="A787">
            <v>41291</v>
          </cell>
          <cell r="B787">
            <v>41291</v>
          </cell>
          <cell r="C787" t="str">
            <v>Future</v>
          </cell>
          <cell r="D787" t="e">
            <v>#N/A</v>
          </cell>
          <cell r="E787">
            <v>6.3290501976282973</v>
          </cell>
          <cell r="F787">
            <v>73.917983003953069</v>
          </cell>
          <cell r="G787">
            <v>42.376481027668362</v>
          </cell>
          <cell r="H787">
            <v>42.376481027668362</v>
          </cell>
          <cell r="I787" t="e">
            <v>#N/A</v>
          </cell>
          <cell r="J787" t="e">
            <v>#N/A</v>
          </cell>
          <cell r="K787" t="e">
            <v>#N/A</v>
          </cell>
          <cell r="L787" t="e">
            <v>#N/A</v>
          </cell>
          <cell r="M787" t="e">
            <v>#N/A</v>
          </cell>
          <cell r="N787" t="e">
            <v>#N/A</v>
          </cell>
          <cell r="O787" t="e">
            <v>#N/A</v>
          </cell>
          <cell r="P787" t="str">
            <v/>
          </cell>
          <cell r="Q787" t="str">
            <v/>
          </cell>
          <cell r="R787" t="e">
            <v>#N/A</v>
          </cell>
        </row>
        <row r="788">
          <cell r="A788">
            <v>41292</v>
          </cell>
          <cell r="B788">
            <v>41292</v>
          </cell>
          <cell r="C788" t="str">
            <v>Future</v>
          </cell>
          <cell r="D788" t="e">
            <v>#N/A</v>
          </cell>
          <cell r="E788">
            <v>6.0758881897231589</v>
          </cell>
          <cell r="F788">
            <v>73.961263683794968</v>
          </cell>
          <cell r="G788">
            <v>42.281421786561644</v>
          </cell>
          <cell r="H788">
            <v>42.281421786561644</v>
          </cell>
          <cell r="I788" t="e">
            <v>#N/A</v>
          </cell>
          <cell r="J788" t="e">
            <v>#N/A</v>
          </cell>
          <cell r="K788" t="e">
            <v>#N/A</v>
          </cell>
          <cell r="L788" t="e">
            <v>#N/A</v>
          </cell>
          <cell r="M788" t="e">
            <v>#N/A</v>
          </cell>
          <cell r="N788" t="e">
            <v>#N/A</v>
          </cell>
          <cell r="O788" t="e">
            <v>#N/A</v>
          </cell>
          <cell r="P788" t="str">
            <v/>
          </cell>
          <cell r="Q788" t="str">
            <v/>
          </cell>
          <cell r="R788" t="e">
            <v>#N/A</v>
          </cell>
        </row>
        <row r="789">
          <cell r="A789">
            <v>41296</v>
          </cell>
          <cell r="B789">
            <v>41296</v>
          </cell>
          <cell r="C789" t="str">
            <v>Future</v>
          </cell>
          <cell r="D789" t="e">
            <v>#N/A</v>
          </cell>
          <cell r="E789">
            <v>5.8227261818180205</v>
          </cell>
          <cell r="F789">
            <v>74.004544363636867</v>
          </cell>
          <cell r="G789">
            <v>42.186362545454926</v>
          </cell>
          <cell r="H789">
            <v>42.186362545454926</v>
          </cell>
          <cell r="I789" t="e">
            <v>#N/A</v>
          </cell>
          <cell r="J789" t="e">
            <v>#N/A</v>
          </cell>
          <cell r="K789" t="e">
            <v>#N/A</v>
          </cell>
          <cell r="L789" t="e">
            <v>#N/A</v>
          </cell>
          <cell r="M789" t="e">
            <v>#N/A</v>
          </cell>
          <cell r="N789" t="e">
            <v>#N/A</v>
          </cell>
          <cell r="O789" t="e">
            <v>#N/A</v>
          </cell>
          <cell r="P789" t="str">
            <v/>
          </cell>
          <cell r="Q789" t="str">
            <v/>
          </cell>
          <cell r="R789" t="e">
            <v>#N/A</v>
          </cell>
        </row>
        <row r="790">
          <cell r="A790">
            <v>41297</v>
          </cell>
          <cell r="B790">
            <v>41297</v>
          </cell>
          <cell r="C790" t="str">
            <v>Future</v>
          </cell>
          <cell r="D790" t="e">
            <v>#N/A</v>
          </cell>
          <cell r="E790">
            <v>5.5695641739128821</v>
          </cell>
          <cell r="F790">
            <v>74.047825043478767</v>
          </cell>
          <cell r="G790">
            <v>42.091303304348209</v>
          </cell>
          <cell r="H790">
            <v>42.091303304348209</v>
          </cell>
          <cell r="I790" t="e">
            <v>#N/A</v>
          </cell>
          <cell r="J790" t="e">
            <v>#N/A</v>
          </cell>
          <cell r="K790" t="e">
            <v>#N/A</v>
          </cell>
          <cell r="L790" t="e">
            <v>#N/A</v>
          </cell>
          <cell r="M790" t="e">
            <v>#N/A</v>
          </cell>
          <cell r="N790" t="e">
            <v>#N/A</v>
          </cell>
          <cell r="O790" t="e">
            <v>#N/A</v>
          </cell>
          <cell r="P790" t="str">
            <v/>
          </cell>
          <cell r="Q790" t="str">
            <v/>
          </cell>
          <cell r="R790" t="e">
            <v>#N/A</v>
          </cell>
        </row>
        <row r="791">
          <cell r="A791">
            <v>41298</v>
          </cell>
          <cell r="B791">
            <v>41298</v>
          </cell>
          <cell r="C791" t="str">
            <v>Future</v>
          </cell>
          <cell r="D791" t="e">
            <v>#N/A</v>
          </cell>
          <cell r="E791">
            <v>5.3164021660077436</v>
          </cell>
          <cell r="F791">
            <v>74.091105723320666</v>
          </cell>
          <cell r="G791">
            <v>41.996244063241491</v>
          </cell>
          <cell r="H791">
            <v>41.996244063241491</v>
          </cell>
          <cell r="I791" t="e">
            <v>#N/A</v>
          </cell>
          <cell r="J791" t="e">
            <v>#N/A</v>
          </cell>
          <cell r="K791" t="e">
            <v>#N/A</v>
          </cell>
          <cell r="L791" t="e">
            <v>#N/A</v>
          </cell>
          <cell r="M791" t="e">
            <v>#N/A</v>
          </cell>
          <cell r="N791" t="e">
            <v>#N/A</v>
          </cell>
          <cell r="O791" t="e">
            <v>#N/A</v>
          </cell>
          <cell r="P791" t="str">
            <v/>
          </cell>
          <cell r="Q791" t="str">
            <v/>
          </cell>
          <cell r="R791" t="e">
            <v>#N/A</v>
          </cell>
        </row>
        <row r="792">
          <cell r="A792">
            <v>41299</v>
          </cell>
          <cell r="B792">
            <v>41299</v>
          </cell>
          <cell r="C792" t="str">
            <v>Future</v>
          </cell>
          <cell r="D792" t="e">
            <v>#N/A</v>
          </cell>
          <cell r="E792">
            <v>5.0632401581026052</v>
          </cell>
          <cell r="F792">
            <v>74.134386403162566</v>
          </cell>
          <cell r="G792">
            <v>41.901184822134773</v>
          </cell>
          <cell r="H792">
            <v>41.901184822134773</v>
          </cell>
          <cell r="I792" t="e">
            <v>#N/A</v>
          </cell>
          <cell r="J792" t="e">
            <v>#N/A</v>
          </cell>
          <cell r="K792" t="e">
            <v>#N/A</v>
          </cell>
          <cell r="L792" t="e">
            <v>#N/A</v>
          </cell>
          <cell r="M792" t="e">
            <v>#N/A</v>
          </cell>
          <cell r="N792" t="e">
            <v>#N/A</v>
          </cell>
          <cell r="O792" t="e">
            <v>#N/A</v>
          </cell>
          <cell r="P792" t="str">
            <v/>
          </cell>
          <cell r="Q792" t="str">
            <v/>
          </cell>
          <cell r="R792" t="e">
            <v>#N/A</v>
          </cell>
        </row>
        <row r="793">
          <cell r="A793">
            <v>41302</v>
          </cell>
          <cell r="B793">
            <v>41302</v>
          </cell>
          <cell r="C793" t="str">
            <v>Future</v>
          </cell>
          <cell r="D793" t="e">
            <v>#N/A</v>
          </cell>
          <cell r="E793">
            <v>4.8100781501974668</v>
          </cell>
          <cell r="F793">
            <v>74.177667083004465</v>
          </cell>
          <cell r="G793">
            <v>41.806125581028056</v>
          </cell>
          <cell r="H793">
            <v>41.806125581028056</v>
          </cell>
          <cell r="I793" t="e">
            <v>#N/A</v>
          </cell>
          <cell r="J793" t="e">
            <v>#N/A</v>
          </cell>
          <cell r="K793" t="e">
            <v>#N/A</v>
          </cell>
          <cell r="L793" t="e">
            <v>#N/A</v>
          </cell>
          <cell r="M793" t="e">
            <v>#N/A</v>
          </cell>
          <cell r="N793" t="e">
            <v>#N/A</v>
          </cell>
          <cell r="O793" t="e">
            <v>#N/A</v>
          </cell>
          <cell r="P793" t="str">
            <v/>
          </cell>
          <cell r="Q793" t="str">
            <v/>
          </cell>
          <cell r="R793" t="e">
            <v>#N/A</v>
          </cell>
        </row>
        <row r="794">
          <cell r="A794">
            <v>41303</v>
          </cell>
          <cell r="B794">
            <v>41303</v>
          </cell>
          <cell r="C794" t="str">
            <v>Future</v>
          </cell>
          <cell r="D794" t="e">
            <v>#N/A</v>
          </cell>
          <cell r="E794">
            <v>4.5569161422923283</v>
          </cell>
          <cell r="F794">
            <v>74.220947762846365</v>
          </cell>
          <cell r="G794">
            <v>41.711066339921338</v>
          </cell>
          <cell r="H794">
            <v>41.711066339921338</v>
          </cell>
          <cell r="I794" t="e">
            <v>#N/A</v>
          </cell>
          <cell r="J794" t="e">
            <v>#N/A</v>
          </cell>
          <cell r="K794" t="e">
            <v>#N/A</v>
          </cell>
          <cell r="L794" t="e">
            <v>#N/A</v>
          </cell>
          <cell r="M794" t="e">
            <v>#N/A</v>
          </cell>
          <cell r="N794" t="e">
            <v>#N/A</v>
          </cell>
          <cell r="O794" t="e">
            <v>#N/A</v>
          </cell>
          <cell r="P794" t="str">
            <v/>
          </cell>
          <cell r="Q794" t="str">
            <v/>
          </cell>
          <cell r="R794" t="e">
            <v>#N/A</v>
          </cell>
        </row>
        <row r="795">
          <cell r="A795">
            <v>41304</v>
          </cell>
          <cell r="B795">
            <v>41304</v>
          </cell>
          <cell r="C795" t="str">
            <v>Future</v>
          </cell>
          <cell r="D795" t="e">
            <v>#N/A</v>
          </cell>
          <cell r="E795">
            <v>4.3037541343871899</v>
          </cell>
          <cell r="F795">
            <v>74.264228442688264</v>
          </cell>
          <cell r="G795">
            <v>41.61600709881462</v>
          </cell>
          <cell r="H795">
            <v>41.61600709881462</v>
          </cell>
          <cell r="I795" t="e">
            <v>#N/A</v>
          </cell>
          <cell r="J795" t="e">
            <v>#N/A</v>
          </cell>
          <cell r="K795" t="e">
            <v>#N/A</v>
          </cell>
          <cell r="L795" t="e">
            <v>#N/A</v>
          </cell>
          <cell r="M795" t="e">
            <v>#N/A</v>
          </cell>
          <cell r="N795" t="e">
            <v>#N/A</v>
          </cell>
          <cell r="O795" t="e">
            <v>#N/A</v>
          </cell>
          <cell r="P795" t="str">
            <v/>
          </cell>
          <cell r="Q795" t="str">
            <v/>
          </cell>
          <cell r="R795" t="e">
            <v>#N/A</v>
          </cell>
        </row>
        <row r="796">
          <cell r="A796">
            <v>41305</v>
          </cell>
          <cell r="B796">
            <v>41305</v>
          </cell>
          <cell r="C796" t="str">
            <v>Future</v>
          </cell>
          <cell r="D796" t="e">
            <v>#N/A</v>
          </cell>
          <cell r="E796">
            <v>4.0505921264820515</v>
          </cell>
          <cell r="F796">
            <v>74.307509122530163</v>
          </cell>
          <cell r="G796">
            <v>41.520947857707903</v>
          </cell>
          <cell r="H796">
            <v>41.520947857707903</v>
          </cell>
          <cell r="I796" t="e">
            <v>#N/A</v>
          </cell>
          <cell r="J796" t="e">
            <v>#N/A</v>
          </cell>
          <cell r="K796" t="e">
            <v>#N/A</v>
          </cell>
          <cell r="L796" t="e">
            <v>#N/A</v>
          </cell>
          <cell r="M796" t="e">
            <v>#N/A</v>
          </cell>
          <cell r="N796" t="e">
            <v>#N/A</v>
          </cell>
          <cell r="O796" t="e">
            <v>#N/A</v>
          </cell>
          <cell r="P796" t="str">
            <v/>
          </cell>
          <cell r="Q796" t="str">
            <v/>
          </cell>
          <cell r="R796" t="e">
            <v>#N/A</v>
          </cell>
        </row>
        <row r="797">
          <cell r="A797">
            <v>41306</v>
          </cell>
          <cell r="B797">
            <v>41306</v>
          </cell>
          <cell r="C797" t="str">
            <v>Future</v>
          </cell>
          <cell r="D797" t="e">
            <v>#N/A</v>
          </cell>
          <cell r="E797">
            <v>3.797430118576913</v>
          </cell>
          <cell r="F797">
            <v>74.350789802372063</v>
          </cell>
          <cell r="G797">
            <v>41.425888616601185</v>
          </cell>
          <cell r="H797">
            <v>41.425888616601185</v>
          </cell>
          <cell r="I797" t="e">
            <v>#N/A</v>
          </cell>
          <cell r="J797" t="e">
            <v>#N/A</v>
          </cell>
          <cell r="K797" t="e">
            <v>#N/A</v>
          </cell>
          <cell r="L797" t="e">
            <v>#N/A</v>
          </cell>
          <cell r="M797" t="e">
            <v>#N/A</v>
          </cell>
          <cell r="N797" t="e">
            <v>#N/A</v>
          </cell>
          <cell r="O797" t="e">
            <v>#N/A</v>
          </cell>
          <cell r="P797" t="str">
            <v/>
          </cell>
          <cell r="Q797" t="str">
            <v/>
          </cell>
          <cell r="R797" t="e">
            <v>#N/A</v>
          </cell>
        </row>
        <row r="798">
          <cell r="A798">
            <v>41309</v>
          </cell>
          <cell r="B798">
            <v>41309</v>
          </cell>
          <cell r="C798" t="str">
            <v>Future</v>
          </cell>
          <cell r="D798" t="e">
            <v>#N/A</v>
          </cell>
          <cell r="E798">
            <v>3.5442681106717746</v>
          </cell>
          <cell r="F798">
            <v>74.394070482213962</v>
          </cell>
          <cell r="G798">
            <v>41.330829375494467</v>
          </cell>
          <cell r="H798">
            <v>41.330829375494467</v>
          </cell>
          <cell r="I798" t="e">
            <v>#N/A</v>
          </cell>
          <cell r="J798" t="e">
            <v>#N/A</v>
          </cell>
          <cell r="K798" t="e">
            <v>#N/A</v>
          </cell>
          <cell r="L798" t="e">
            <v>#N/A</v>
          </cell>
          <cell r="M798" t="e">
            <v>#N/A</v>
          </cell>
          <cell r="N798" t="e">
            <v>#N/A</v>
          </cell>
          <cell r="O798" t="e">
            <v>#N/A</v>
          </cell>
          <cell r="P798" t="str">
            <v/>
          </cell>
          <cell r="Q798" t="str">
            <v/>
          </cell>
          <cell r="R798" t="e">
            <v>#N/A</v>
          </cell>
        </row>
        <row r="799">
          <cell r="A799">
            <v>41310</v>
          </cell>
          <cell r="B799">
            <v>41310</v>
          </cell>
          <cell r="C799" t="str">
            <v>Future</v>
          </cell>
          <cell r="D799" t="e">
            <v>#N/A</v>
          </cell>
          <cell r="E799">
            <v>3.2911061027666362</v>
          </cell>
          <cell r="F799">
            <v>74.437351162055862</v>
          </cell>
          <cell r="G799">
            <v>41.235770134387749</v>
          </cell>
          <cell r="H799">
            <v>41.235770134387749</v>
          </cell>
          <cell r="I799" t="e">
            <v>#N/A</v>
          </cell>
          <cell r="J799" t="e">
            <v>#N/A</v>
          </cell>
          <cell r="K799" t="e">
            <v>#N/A</v>
          </cell>
          <cell r="L799" t="e">
            <v>#N/A</v>
          </cell>
          <cell r="M799" t="e">
            <v>#N/A</v>
          </cell>
          <cell r="N799" t="e">
            <v>#N/A</v>
          </cell>
          <cell r="O799" t="e">
            <v>#N/A</v>
          </cell>
          <cell r="P799" t="str">
            <v/>
          </cell>
          <cell r="Q799" t="str">
            <v/>
          </cell>
          <cell r="R799" t="e">
            <v>#N/A</v>
          </cell>
        </row>
        <row r="800">
          <cell r="A800">
            <v>41311</v>
          </cell>
          <cell r="B800">
            <v>41311</v>
          </cell>
          <cell r="C800" t="str">
            <v>Future</v>
          </cell>
          <cell r="D800" t="e">
            <v>#N/A</v>
          </cell>
          <cell r="E800">
            <v>3.0379440948614977</v>
          </cell>
          <cell r="F800">
            <v>74.480631841897761</v>
          </cell>
          <cell r="G800">
            <v>41.140710893281032</v>
          </cell>
          <cell r="H800">
            <v>41.140710893281032</v>
          </cell>
          <cell r="I800" t="e">
            <v>#N/A</v>
          </cell>
          <cell r="J800" t="e">
            <v>#N/A</v>
          </cell>
          <cell r="K800" t="e">
            <v>#N/A</v>
          </cell>
          <cell r="L800" t="e">
            <v>#N/A</v>
          </cell>
          <cell r="M800" t="e">
            <v>#N/A</v>
          </cell>
          <cell r="N800" t="e">
            <v>#N/A</v>
          </cell>
          <cell r="O800" t="e">
            <v>#N/A</v>
          </cell>
          <cell r="P800" t="str">
            <v/>
          </cell>
          <cell r="Q800" t="str">
            <v/>
          </cell>
          <cell r="R800" t="e">
            <v>#N/A</v>
          </cell>
        </row>
        <row r="801">
          <cell r="A801">
            <v>41312</v>
          </cell>
          <cell r="B801">
            <v>41312</v>
          </cell>
          <cell r="C801" t="str">
            <v>Future</v>
          </cell>
          <cell r="D801" t="e">
            <v>#N/A</v>
          </cell>
          <cell r="E801">
            <v>2.7847820869563593</v>
          </cell>
          <cell r="F801">
            <v>74.523912521739661</v>
          </cell>
          <cell r="G801">
            <v>41.045651652174314</v>
          </cell>
          <cell r="H801">
            <v>41.045651652174314</v>
          </cell>
          <cell r="I801" t="e">
            <v>#N/A</v>
          </cell>
          <cell r="J801" t="e">
            <v>#N/A</v>
          </cell>
          <cell r="K801" t="e">
            <v>#N/A</v>
          </cell>
          <cell r="L801" t="e">
            <v>#N/A</v>
          </cell>
          <cell r="M801" t="e">
            <v>#N/A</v>
          </cell>
          <cell r="N801" t="e">
            <v>#N/A</v>
          </cell>
          <cell r="O801" t="e">
            <v>#N/A</v>
          </cell>
          <cell r="P801" t="str">
            <v/>
          </cell>
          <cell r="Q801" t="str">
            <v/>
          </cell>
          <cell r="R801" t="e">
            <v>#N/A</v>
          </cell>
        </row>
        <row r="802">
          <cell r="A802">
            <v>41313</v>
          </cell>
          <cell r="B802">
            <v>41313</v>
          </cell>
          <cell r="C802" t="str">
            <v>Future</v>
          </cell>
          <cell r="D802" t="e">
            <v>#N/A</v>
          </cell>
          <cell r="E802">
            <v>2.5316200790512209</v>
          </cell>
          <cell r="F802">
            <v>74.56719320158156</v>
          </cell>
          <cell r="G802">
            <v>40.950592411067596</v>
          </cell>
          <cell r="H802">
            <v>40.950592411067596</v>
          </cell>
          <cell r="I802" t="e">
            <v>#N/A</v>
          </cell>
          <cell r="J802" t="e">
            <v>#N/A</v>
          </cell>
          <cell r="K802" t="e">
            <v>#N/A</v>
          </cell>
          <cell r="L802" t="e">
            <v>#N/A</v>
          </cell>
          <cell r="M802" t="e">
            <v>#N/A</v>
          </cell>
          <cell r="N802" t="e">
            <v>#N/A</v>
          </cell>
          <cell r="O802" t="e">
            <v>#N/A</v>
          </cell>
          <cell r="P802" t="str">
            <v/>
          </cell>
          <cell r="Q802" t="str">
            <v/>
          </cell>
          <cell r="R802" t="e">
            <v>#N/A</v>
          </cell>
        </row>
        <row r="803">
          <cell r="A803">
            <v>41316</v>
          </cell>
          <cell r="B803">
            <v>41316</v>
          </cell>
          <cell r="C803" t="str">
            <v>Future</v>
          </cell>
          <cell r="D803" t="e">
            <v>#N/A</v>
          </cell>
          <cell r="E803">
            <v>2.2784580711460825</v>
          </cell>
          <cell r="F803">
            <v>74.610473881423459</v>
          </cell>
          <cell r="G803">
            <v>40.855533169960879</v>
          </cell>
          <cell r="H803">
            <v>40.855533169960879</v>
          </cell>
          <cell r="I803" t="e">
            <v>#N/A</v>
          </cell>
          <cell r="J803" t="e">
            <v>#N/A</v>
          </cell>
          <cell r="K803" t="e">
            <v>#N/A</v>
          </cell>
          <cell r="L803" t="e">
            <v>#N/A</v>
          </cell>
          <cell r="M803" t="e">
            <v>#N/A</v>
          </cell>
          <cell r="N803" t="e">
            <v>#N/A</v>
          </cell>
          <cell r="O803" t="e">
            <v>#N/A</v>
          </cell>
          <cell r="P803" t="str">
            <v/>
          </cell>
          <cell r="Q803" t="str">
            <v/>
          </cell>
          <cell r="R803" t="e">
            <v>#N/A</v>
          </cell>
        </row>
        <row r="804">
          <cell r="A804">
            <v>41317</v>
          </cell>
          <cell r="B804">
            <v>41317</v>
          </cell>
          <cell r="C804" t="str">
            <v>Future</v>
          </cell>
          <cell r="D804" t="e">
            <v>#N/A</v>
          </cell>
          <cell r="E804">
            <v>2.025296063240944</v>
          </cell>
          <cell r="F804">
            <v>74.653754561265359</v>
          </cell>
          <cell r="G804">
            <v>40.760473928854161</v>
          </cell>
          <cell r="H804">
            <v>40.760473928854161</v>
          </cell>
          <cell r="I804" t="e">
            <v>#N/A</v>
          </cell>
          <cell r="J804" t="e">
            <v>#N/A</v>
          </cell>
          <cell r="K804" t="e">
            <v>#N/A</v>
          </cell>
          <cell r="L804" t="e">
            <v>#N/A</v>
          </cell>
          <cell r="M804" t="e">
            <v>#N/A</v>
          </cell>
          <cell r="N804" t="e">
            <v>#N/A</v>
          </cell>
          <cell r="O804" t="e">
            <v>#N/A</v>
          </cell>
          <cell r="P804" t="str">
            <v/>
          </cell>
          <cell r="Q804" t="str">
            <v/>
          </cell>
          <cell r="R804" t="e">
            <v>#N/A</v>
          </cell>
        </row>
        <row r="805">
          <cell r="A805">
            <v>41318</v>
          </cell>
          <cell r="B805">
            <v>41318</v>
          </cell>
          <cell r="C805" t="str">
            <v>Future</v>
          </cell>
          <cell r="D805" t="e">
            <v>#N/A</v>
          </cell>
          <cell r="E805">
            <v>1.7721340553358056</v>
          </cell>
          <cell r="F805">
            <v>74.697035241107258</v>
          </cell>
          <cell r="G805">
            <v>40.665414687747443</v>
          </cell>
          <cell r="H805">
            <v>40.665414687747443</v>
          </cell>
          <cell r="I805" t="e">
            <v>#N/A</v>
          </cell>
          <cell r="J805" t="e">
            <v>#N/A</v>
          </cell>
          <cell r="K805" t="e">
            <v>#N/A</v>
          </cell>
          <cell r="L805" t="e">
            <v>#N/A</v>
          </cell>
          <cell r="M805" t="e">
            <v>#N/A</v>
          </cell>
          <cell r="N805" t="e">
            <v>#N/A</v>
          </cell>
          <cell r="O805" t="e">
            <v>#N/A</v>
          </cell>
          <cell r="P805" t="str">
            <v/>
          </cell>
          <cell r="Q805" t="str">
            <v/>
          </cell>
          <cell r="R805" t="e">
            <v>#N/A</v>
          </cell>
        </row>
        <row r="806">
          <cell r="A806">
            <v>41319</v>
          </cell>
          <cell r="B806">
            <v>41319</v>
          </cell>
          <cell r="C806" t="str">
            <v>Future</v>
          </cell>
          <cell r="D806" t="e">
            <v>#N/A</v>
          </cell>
          <cell r="E806">
            <v>1.5189720474306672</v>
          </cell>
          <cell r="F806">
            <v>74.740315920949158</v>
          </cell>
          <cell r="G806">
            <v>40.570355446640725</v>
          </cell>
          <cell r="H806">
            <v>40.570355446640725</v>
          </cell>
          <cell r="I806" t="e">
            <v>#N/A</v>
          </cell>
          <cell r="J806" t="e">
            <v>#N/A</v>
          </cell>
          <cell r="K806" t="e">
            <v>#N/A</v>
          </cell>
          <cell r="L806" t="e">
            <v>#N/A</v>
          </cell>
          <cell r="M806" t="e">
            <v>#N/A</v>
          </cell>
          <cell r="N806" t="e">
            <v>#N/A</v>
          </cell>
          <cell r="O806" t="e">
            <v>#N/A</v>
          </cell>
          <cell r="P806" t="str">
            <v/>
          </cell>
          <cell r="Q806" t="str">
            <v/>
          </cell>
          <cell r="R806" t="e">
            <v>#N/A</v>
          </cell>
        </row>
        <row r="807">
          <cell r="A807">
            <v>41320</v>
          </cell>
          <cell r="B807">
            <v>41320</v>
          </cell>
          <cell r="C807" t="str">
            <v>Future</v>
          </cell>
          <cell r="D807" t="e">
            <v>#N/A</v>
          </cell>
          <cell r="E807">
            <v>1.2658100395255287</v>
          </cell>
          <cell r="F807">
            <v>74.783596600791057</v>
          </cell>
          <cell r="G807">
            <v>40.475296205534008</v>
          </cell>
          <cell r="H807">
            <v>40.475296205534008</v>
          </cell>
          <cell r="I807" t="e">
            <v>#N/A</v>
          </cell>
          <cell r="J807" t="e">
            <v>#N/A</v>
          </cell>
          <cell r="K807" t="e">
            <v>#N/A</v>
          </cell>
          <cell r="L807" t="e">
            <v>#N/A</v>
          </cell>
          <cell r="M807" t="e">
            <v>#N/A</v>
          </cell>
          <cell r="N807" t="e">
            <v>#N/A</v>
          </cell>
          <cell r="O807" t="e">
            <v>#N/A</v>
          </cell>
          <cell r="P807" t="str">
            <v/>
          </cell>
          <cell r="Q807" t="str">
            <v/>
          </cell>
          <cell r="R807" t="e">
            <v>#N/A</v>
          </cell>
        </row>
        <row r="808">
          <cell r="A808">
            <v>41324</v>
          </cell>
          <cell r="B808">
            <v>41324</v>
          </cell>
          <cell r="C808" t="str">
            <v>Future</v>
          </cell>
          <cell r="D808" t="e">
            <v>#N/A</v>
          </cell>
          <cell r="E808">
            <v>1.0126480316203903</v>
          </cell>
          <cell r="F808">
            <v>74.826877280632957</v>
          </cell>
          <cell r="G808">
            <v>40.38023696442729</v>
          </cell>
          <cell r="H808">
            <v>40.38023696442729</v>
          </cell>
          <cell r="I808" t="e">
            <v>#N/A</v>
          </cell>
          <cell r="J808" t="e">
            <v>#N/A</v>
          </cell>
          <cell r="K808" t="e">
            <v>#N/A</v>
          </cell>
          <cell r="L808" t="e">
            <v>#N/A</v>
          </cell>
          <cell r="M808" t="e">
            <v>#N/A</v>
          </cell>
          <cell r="N808" t="e">
            <v>#N/A</v>
          </cell>
          <cell r="O808" t="e">
            <v>#N/A</v>
          </cell>
          <cell r="P808" t="str">
            <v/>
          </cell>
          <cell r="Q808" t="str">
            <v/>
          </cell>
          <cell r="R808" t="e">
            <v>#N/A</v>
          </cell>
        </row>
        <row r="809">
          <cell r="A809">
            <v>41325</v>
          </cell>
          <cell r="B809">
            <v>41325</v>
          </cell>
          <cell r="C809" t="str">
            <v>Future</v>
          </cell>
          <cell r="D809" t="e">
            <v>#N/A</v>
          </cell>
          <cell r="E809">
            <v>0.75948602371525198</v>
          </cell>
          <cell r="F809">
            <v>74.870157960474856</v>
          </cell>
          <cell r="G809">
            <v>40.285177723320572</v>
          </cell>
          <cell r="H809">
            <v>40.285177723320572</v>
          </cell>
          <cell r="I809" t="e">
            <v>#N/A</v>
          </cell>
          <cell r="J809" t="e">
            <v>#N/A</v>
          </cell>
          <cell r="K809" t="e">
            <v>#N/A</v>
          </cell>
          <cell r="L809" t="e">
            <v>#N/A</v>
          </cell>
          <cell r="M809" t="e">
            <v>#N/A</v>
          </cell>
          <cell r="N809" t="e">
            <v>#N/A</v>
          </cell>
          <cell r="O809" t="e">
            <v>#N/A</v>
          </cell>
          <cell r="P809" t="str">
            <v/>
          </cell>
          <cell r="Q809" t="str">
            <v/>
          </cell>
          <cell r="R809" t="e">
            <v>#N/A</v>
          </cell>
        </row>
        <row r="810">
          <cell r="A810">
            <v>41326</v>
          </cell>
          <cell r="B810">
            <v>41326</v>
          </cell>
          <cell r="C810" t="str">
            <v>Future</v>
          </cell>
          <cell r="D810" t="e">
            <v>#N/A</v>
          </cell>
          <cell r="E810">
            <v>0.50632401581011366</v>
          </cell>
          <cell r="F810">
            <v>74.913438640316755</v>
          </cell>
          <cell r="G810">
            <v>40.190118482213855</v>
          </cell>
          <cell r="H810">
            <v>40.190118482213855</v>
          </cell>
          <cell r="I810" t="e">
            <v>#N/A</v>
          </cell>
          <cell r="J810" t="e">
            <v>#N/A</v>
          </cell>
          <cell r="K810" t="e">
            <v>#N/A</v>
          </cell>
          <cell r="L810" t="e">
            <v>#N/A</v>
          </cell>
          <cell r="M810" t="e">
            <v>#N/A</v>
          </cell>
          <cell r="N810" t="e">
            <v>#N/A</v>
          </cell>
          <cell r="O810" t="e">
            <v>#N/A</v>
          </cell>
          <cell r="P810" t="str">
            <v/>
          </cell>
          <cell r="Q810" t="str">
            <v/>
          </cell>
          <cell r="R810" t="e">
            <v>#N/A</v>
          </cell>
        </row>
        <row r="811">
          <cell r="A811">
            <v>41327</v>
          </cell>
          <cell r="B811">
            <v>41327</v>
          </cell>
          <cell r="C811" t="str">
            <v>Future</v>
          </cell>
          <cell r="D811" t="e">
            <v>#N/A</v>
          </cell>
          <cell r="E811">
            <v>0.25316200790497534</v>
          </cell>
          <cell r="F811">
            <v>74.956719320158655</v>
          </cell>
          <cell r="G811">
            <v>40.095059241107137</v>
          </cell>
          <cell r="H811">
            <v>40.095059241107137</v>
          </cell>
          <cell r="I811" t="e">
            <v>#N/A</v>
          </cell>
          <cell r="J811" t="e">
            <v>#N/A</v>
          </cell>
          <cell r="K811">
            <v>75</v>
          </cell>
          <cell r="L811">
            <v>40</v>
          </cell>
          <cell r="M811" t="e">
            <v>#N/A</v>
          </cell>
          <cell r="N811">
            <v>68</v>
          </cell>
          <cell r="O811" t="e">
            <v>#N/A</v>
          </cell>
          <cell r="P811" t="str">
            <v/>
          </cell>
          <cell r="Q811" t="str">
            <v/>
          </cell>
          <cell r="R811">
            <v>68</v>
          </cell>
        </row>
        <row r="812">
          <cell r="A812" t="str">
            <v/>
          </cell>
          <cell r="B812" t="str">
            <v/>
          </cell>
          <cell r="C812" t="str">
            <v>Future</v>
          </cell>
          <cell r="D812" t="e">
            <v>#N/A</v>
          </cell>
          <cell r="E812">
            <v>-1.6298074001497298E-13</v>
          </cell>
          <cell r="F812">
            <v>75.000000000000554</v>
          </cell>
          <cell r="G812">
            <v>40.000000000000419</v>
          </cell>
          <cell r="H812">
            <v>40.000000000000419</v>
          </cell>
          <cell r="I812" t="e">
            <v>#N/A</v>
          </cell>
          <cell r="J812" t="e">
            <v>#N/A</v>
          </cell>
          <cell r="K812">
            <v>75</v>
          </cell>
          <cell r="L812">
            <v>40</v>
          </cell>
          <cell r="M812" t="e">
            <v>#N/A</v>
          </cell>
          <cell r="N812">
            <v>68</v>
          </cell>
          <cell r="O812" t="e">
            <v>#N/A</v>
          </cell>
          <cell r="P812" t="str">
            <v/>
          </cell>
          <cell r="Q812" t="str">
            <v/>
          </cell>
          <cell r="R812">
            <v>68</v>
          </cell>
        </row>
        <row r="813">
          <cell r="A813" t="str">
            <v/>
          </cell>
          <cell r="B813" t="str">
            <v/>
          </cell>
          <cell r="C813" t="str">
            <v>Future</v>
          </cell>
          <cell r="D813" t="e">
            <v>#N/A</v>
          </cell>
          <cell r="E813">
            <v>-0.2531620079053013</v>
          </cell>
          <cell r="F813">
            <v>75.043280679842454</v>
          </cell>
          <cell r="G813">
            <v>39.904940758893702</v>
          </cell>
          <cell r="H813">
            <v>39.904940758893702</v>
          </cell>
          <cell r="I813" t="e">
            <v>#N/A</v>
          </cell>
          <cell r="J813" t="e">
            <v>#N/A</v>
          </cell>
          <cell r="K813">
            <v>75</v>
          </cell>
          <cell r="L813">
            <v>40</v>
          </cell>
          <cell r="M813" t="e">
            <v>#N/A</v>
          </cell>
          <cell r="N813">
            <v>68</v>
          </cell>
          <cell r="O813" t="e">
            <v>#N/A</v>
          </cell>
          <cell r="P813" t="str">
            <v/>
          </cell>
          <cell r="Q813" t="str">
            <v/>
          </cell>
          <cell r="R813">
            <v>68</v>
          </cell>
        </row>
        <row r="814">
          <cell r="A814" t="str">
            <v/>
          </cell>
          <cell r="B814" t="str">
            <v/>
          </cell>
          <cell r="C814" t="str">
            <v>Future</v>
          </cell>
          <cell r="D814" t="e">
            <v>#N/A</v>
          </cell>
          <cell r="E814">
            <v>-0.50632401581043962</v>
          </cell>
          <cell r="F814">
            <v>75.086561359684353</v>
          </cell>
          <cell r="G814">
            <v>39.809881517786984</v>
          </cell>
          <cell r="H814">
            <v>39.809881517786984</v>
          </cell>
          <cell r="I814" t="e">
            <v>#N/A</v>
          </cell>
          <cell r="J814" t="e">
            <v>#N/A</v>
          </cell>
          <cell r="K814">
            <v>75</v>
          </cell>
          <cell r="L814">
            <v>40</v>
          </cell>
          <cell r="M814" t="e">
            <v>#N/A</v>
          </cell>
          <cell r="N814">
            <v>68</v>
          </cell>
          <cell r="O814" t="e">
            <v>#N/A</v>
          </cell>
          <cell r="P814" t="str">
            <v/>
          </cell>
          <cell r="Q814" t="str">
            <v/>
          </cell>
          <cell r="R814">
            <v>68</v>
          </cell>
        </row>
        <row r="815">
          <cell r="A815" t="str">
            <v/>
          </cell>
          <cell r="B815" t="str">
            <v/>
          </cell>
          <cell r="C815" t="str">
            <v>Future</v>
          </cell>
          <cell r="D815" t="e">
            <v>#N/A</v>
          </cell>
          <cell r="E815">
            <v>-0.75948602371557794</v>
          </cell>
          <cell r="F815">
            <v>75.129842039526253</v>
          </cell>
          <cell r="G815">
            <v>39.714822276680266</v>
          </cell>
          <cell r="H815">
            <v>39.714822276680266</v>
          </cell>
          <cell r="I815" t="e">
            <v>#N/A</v>
          </cell>
          <cell r="J815" t="e">
            <v>#N/A</v>
          </cell>
          <cell r="K815">
            <v>75</v>
          </cell>
          <cell r="L815">
            <v>40</v>
          </cell>
          <cell r="M815" t="e">
            <v>#N/A</v>
          </cell>
          <cell r="N815">
            <v>68</v>
          </cell>
          <cell r="O815" t="e">
            <v>#N/A</v>
          </cell>
          <cell r="P815" t="str">
            <v/>
          </cell>
          <cell r="Q815" t="str">
            <v/>
          </cell>
          <cell r="R815">
            <v>68</v>
          </cell>
        </row>
        <row r="816">
          <cell r="A816" t="str">
            <v/>
          </cell>
          <cell r="B816" t="str">
            <v/>
          </cell>
          <cell r="C816" t="str">
            <v>Future</v>
          </cell>
          <cell r="D816" t="e">
            <v>#N/A</v>
          </cell>
          <cell r="E816">
            <v>-1.0126480316207163</v>
          </cell>
          <cell r="F816">
            <v>75.173122719368152</v>
          </cell>
          <cell r="G816">
            <v>39.619763035573548</v>
          </cell>
          <cell r="H816">
            <v>39.619763035573548</v>
          </cell>
          <cell r="I816" t="e">
            <v>#N/A</v>
          </cell>
          <cell r="J816" t="e">
            <v>#N/A</v>
          </cell>
          <cell r="K816">
            <v>75</v>
          </cell>
          <cell r="L816">
            <v>40</v>
          </cell>
          <cell r="M816" t="e">
            <v>#N/A</v>
          </cell>
          <cell r="N816">
            <v>68</v>
          </cell>
          <cell r="O816" t="e">
            <v>#N/A</v>
          </cell>
          <cell r="P816" t="str">
            <v/>
          </cell>
          <cell r="Q816" t="str">
            <v/>
          </cell>
          <cell r="R816">
            <v>68</v>
          </cell>
        </row>
        <row r="817">
          <cell r="A817" t="str">
            <v/>
          </cell>
          <cell r="B817" t="str">
            <v/>
          </cell>
          <cell r="C817" t="str">
            <v>Future</v>
          </cell>
          <cell r="D817" t="e">
            <v>#N/A</v>
          </cell>
          <cell r="E817">
            <v>-1.2658100395258547</v>
          </cell>
          <cell r="F817">
            <v>75.216403399210051</v>
          </cell>
          <cell r="G817">
            <v>39.524703794466831</v>
          </cell>
          <cell r="H817">
            <v>39.524703794466831</v>
          </cell>
          <cell r="I817" t="e">
            <v>#N/A</v>
          </cell>
          <cell r="J817" t="e">
            <v>#N/A</v>
          </cell>
          <cell r="K817">
            <v>75</v>
          </cell>
          <cell r="L817">
            <v>40</v>
          </cell>
          <cell r="M817" t="e">
            <v>#N/A</v>
          </cell>
          <cell r="N817">
            <v>68</v>
          </cell>
          <cell r="O817" t="e">
            <v>#N/A</v>
          </cell>
          <cell r="P817" t="str">
            <v/>
          </cell>
          <cell r="Q817" t="str">
            <v/>
          </cell>
          <cell r="R817">
            <v>68</v>
          </cell>
        </row>
        <row r="818">
          <cell r="A818" t="str">
            <v/>
          </cell>
          <cell r="B818" t="str">
            <v/>
          </cell>
          <cell r="C818" t="str">
            <v>Future</v>
          </cell>
          <cell r="D818" t="e">
            <v>#N/A</v>
          </cell>
          <cell r="E818">
            <v>-1.5189720474309931</v>
          </cell>
          <cell r="F818">
            <v>75.259684079051951</v>
          </cell>
          <cell r="G818">
            <v>39.429644553360113</v>
          </cell>
          <cell r="H818">
            <v>39.429644553360113</v>
          </cell>
          <cell r="I818" t="e">
            <v>#N/A</v>
          </cell>
          <cell r="J818" t="e">
            <v>#N/A</v>
          </cell>
          <cell r="K818">
            <v>75</v>
          </cell>
          <cell r="L818">
            <v>40</v>
          </cell>
          <cell r="M818" t="e">
            <v>#N/A</v>
          </cell>
          <cell r="N818">
            <v>68</v>
          </cell>
          <cell r="O818" t="e">
            <v>#N/A</v>
          </cell>
          <cell r="P818" t="str">
            <v/>
          </cell>
          <cell r="Q818" t="str">
            <v/>
          </cell>
          <cell r="R818">
            <v>68</v>
          </cell>
        </row>
        <row r="819">
          <cell r="A819" t="str">
            <v/>
          </cell>
          <cell r="B819" t="str">
            <v/>
          </cell>
          <cell r="C819" t="str">
            <v>Future</v>
          </cell>
          <cell r="D819" t="e">
            <v>#N/A</v>
          </cell>
          <cell r="E819">
            <v>-1.7721340553361316</v>
          </cell>
          <cell r="F819">
            <v>75.30296475889385</v>
          </cell>
          <cell r="G819">
            <v>39.334585312253395</v>
          </cell>
          <cell r="H819">
            <v>39.334585312253395</v>
          </cell>
          <cell r="I819" t="e">
            <v>#N/A</v>
          </cell>
          <cell r="J819" t="e">
            <v>#N/A</v>
          </cell>
          <cell r="K819">
            <v>75</v>
          </cell>
          <cell r="L819">
            <v>40</v>
          </cell>
          <cell r="M819" t="e">
            <v>#N/A</v>
          </cell>
          <cell r="N819">
            <v>68</v>
          </cell>
          <cell r="O819" t="e">
            <v>#N/A</v>
          </cell>
          <cell r="P819" t="str">
            <v/>
          </cell>
          <cell r="Q819" t="str">
            <v/>
          </cell>
          <cell r="R819">
            <v>68</v>
          </cell>
        </row>
        <row r="820">
          <cell r="A820" t="str">
            <v/>
          </cell>
          <cell r="B820" t="str">
            <v/>
          </cell>
          <cell r="C820" t="str">
            <v>Future</v>
          </cell>
          <cell r="D820" t="e">
            <v>#N/A</v>
          </cell>
          <cell r="E820">
            <v>-2.02529606324127</v>
          </cell>
          <cell r="F820">
            <v>75.34624543873575</v>
          </cell>
          <cell r="G820">
            <v>39.239526071146678</v>
          </cell>
          <cell r="H820">
            <v>39.239526071146678</v>
          </cell>
          <cell r="I820" t="e">
            <v>#N/A</v>
          </cell>
          <cell r="J820" t="e">
            <v>#N/A</v>
          </cell>
          <cell r="K820">
            <v>75</v>
          </cell>
          <cell r="L820">
            <v>40</v>
          </cell>
          <cell r="M820" t="e">
            <v>#N/A</v>
          </cell>
          <cell r="N820">
            <v>68</v>
          </cell>
          <cell r="O820" t="e">
            <v>#N/A</v>
          </cell>
          <cell r="P820" t="str">
            <v/>
          </cell>
          <cell r="Q820" t="str">
            <v/>
          </cell>
          <cell r="R820">
            <v>68</v>
          </cell>
        </row>
        <row r="821">
          <cell r="A821" t="str">
            <v/>
          </cell>
          <cell r="B821" t="str">
            <v/>
          </cell>
          <cell r="C821" t="str">
            <v>Future</v>
          </cell>
          <cell r="D821" t="e">
            <v>#N/A</v>
          </cell>
          <cell r="E821">
            <v>-2.2784580711464084</v>
          </cell>
          <cell r="F821">
            <v>75.389526118577649</v>
          </cell>
          <cell r="G821">
            <v>39.14446683003996</v>
          </cell>
          <cell r="H821">
            <v>39.14446683003996</v>
          </cell>
          <cell r="I821" t="e">
            <v>#N/A</v>
          </cell>
          <cell r="J821" t="e">
            <v>#N/A</v>
          </cell>
          <cell r="K821">
            <v>75</v>
          </cell>
          <cell r="L821">
            <v>40</v>
          </cell>
          <cell r="M821" t="e">
            <v>#N/A</v>
          </cell>
          <cell r="N821">
            <v>68</v>
          </cell>
          <cell r="O821" t="e">
            <v>#N/A</v>
          </cell>
          <cell r="P821" t="str">
            <v/>
          </cell>
          <cell r="Q821" t="str">
            <v/>
          </cell>
          <cell r="R821">
            <v>68</v>
          </cell>
        </row>
        <row r="822">
          <cell r="A822" t="str">
            <v/>
          </cell>
          <cell r="B822" t="str">
            <v/>
          </cell>
          <cell r="C822" t="str">
            <v>Future</v>
          </cell>
          <cell r="D822" t="e">
            <v>#N/A</v>
          </cell>
          <cell r="E822">
            <v>-2.5316200790515468</v>
          </cell>
          <cell r="F822">
            <v>75.432806798419548</v>
          </cell>
          <cell r="G822">
            <v>39.049407588933242</v>
          </cell>
          <cell r="H822">
            <v>39.049407588933242</v>
          </cell>
          <cell r="I822" t="e">
            <v>#N/A</v>
          </cell>
          <cell r="J822" t="e">
            <v>#N/A</v>
          </cell>
          <cell r="K822">
            <v>75</v>
          </cell>
          <cell r="L822">
            <v>40</v>
          </cell>
          <cell r="M822" t="e">
            <v>#N/A</v>
          </cell>
          <cell r="N822">
            <v>68</v>
          </cell>
          <cell r="O822" t="e">
            <v>#N/A</v>
          </cell>
          <cell r="P822" t="str">
            <v/>
          </cell>
          <cell r="Q822" t="str">
            <v/>
          </cell>
          <cell r="R822">
            <v>68</v>
          </cell>
        </row>
        <row r="823">
          <cell r="A823" t="str">
            <v/>
          </cell>
          <cell r="B823" t="str">
            <v/>
          </cell>
          <cell r="C823" t="str">
            <v>Future</v>
          </cell>
          <cell r="D823" t="e">
            <v>#N/A</v>
          </cell>
          <cell r="E823">
            <v>-2.7847820869566853</v>
          </cell>
          <cell r="F823">
            <v>75.476087478261448</v>
          </cell>
          <cell r="G823">
            <v>38.954348347826524</v>
          </cell>
          <cell r="H823">
            <v>38.954348347826524</v>
          </cell>
          <cell r="I823" t="e">
            <v>#N/A</v>
          </cell>
          <cell r="J823" t="e">
            <v>#N/A</v>
          </cell>
          <cell r="K823">
            <v>75</v>
          </cell>
          <cell r="L823">
            <v>40</v>
          </cell>
          <cell r="M823" t="e">
            <v>#N/A</v>
          </cell>
          <cell r="N823">
            <v>68</v>
          </cell>
          <cell r="O823" t="e">
            <v>#N/A</v>
          </cell>
          <cell r="P823" t="str">
            <v/>
          </cell>
          <cell r="Q823" t="str">
            <v/>
          </cell>
          <cell r="R823">
            <v>68</v>
          </cell>
        </row>
        <row r="824">
          <cell r="A824" t="str">
            <v/>
          </cell>
          <cell r="B824" t="str">
            <v/>
          </cell>
          <cell r="C824" t="str">
            <v>Future</v>
          </cell>
          <cell r="D824" t="e">
            <v>#N/A</v>
          </cell>
          <cell r="E824">
            <v>-3.0379440948618237</v>
          </cell>
          <cell r="F824">
            <v>75.519368158103347</v>
          </cell>
          <cell r="G824">
            <v>38.859289106719807</v>
          </cell>
          <cell r="H824">
            <v>38.859289106719807</v>
          </cell>
          <cell r="I824" t="e">
            <v>#N/A</v>
          </cell>
          <cell r="J824" t="e">
            <v>#N/A</v>
          </cell>
          <cell r="K824">
            <v>75</v>
          </cell>
          <cell r="L824">
            <v>40</v>
          </cell>
          <cell r="M824" t="e">
            <v>#N/A</v>
          </cell>
          <cell r="N824">
            <v>68</v>
          </cell>
          <cell r="O824" t="e">
            <v>#N/A</v>
          </cell>
          <cell r="P824" t="str">
            <v/>
          </cell>
          <cell r="Q824" t="str">
            <v/>
          </cell>
          <cell r="R824">
            <v>68</v>
          </cell>
        </row>
        <row r="825">
          <cell r="A825" t="str">
            <v/>
          </cell>
          <cell r="B825" t="str">
            <v/>
          </cell>
          <cell r="C825" t="str">
            <v>Future</v>
          </cell>
          <cell r="D825" t="e">
            <v>#N/A</v>
          </cell>
          <cell r="E825">
            <v>-3.2911061027669621</v>
          </cell>
          <cell r="F825">
            <v>75.562648837945247</v>
          </cell>
          <cell r="G825">
            <v>38.764229865613089</v>
          </cell>
          <cell r="H825">
            <v>38.764229865613089</v>
          </cell>
          <cell r="I825" t="e">
            <v>#N/A</v>
          </cell>
          <cell r="J825" t="e">
            <v>#N/A</v>
          </cell>
          <cell r="K825">
            <v>75</v>
          </cell>
          <cell r="L825">
            <v>40</v>
          </cell>
          <cell r="M825" t="e">
            <v>#N/A</v>
          </cell>
          <cell r="N825">
            <v>68</v>
          </cell>
          <cell r="O825" t="e">
            <v>#N/A</v>
          </cell>
          <cell r="P825" t="str">
            <v/>
          </cell>
          <cell r="Q825" t="str">
            <v/>
          </cell>
          <cell r="R825">
            <v>68</v>
          </cell>
        </row>
        <row r="826">
          <cell r="A826" t="str">
            <v/>
          </cell>
          <cell r="B826" t="str">
            <v/>
          </cell>
          <cell r="C826" t="str">
            <v>Future</v>
          </cell>
          <cell r="D826" t="e">
            <v>#N/A</v>
          </cell>
          <cell r="E826">
            <v>-3.5442681106721006</v>
          </cell>
          <cell r="F826">
            <v>75.605929517787146</v>
          </cell>
          <cell r="G826">
            <v>38.669170624506371</v>
          </cell>
          <cell r="H826">
            <v>38.669170624506371</v>
          </cell>
          <cell r="I826" t="e">
            <v>#N/A</v>
          </cell>
          <cell r="J826" t="e">
            <v>#N/A</v>
          </cell>
          <cell r="K826">
            <v>75</v>
          </cell>
          <cell r="L826">
            <v>40</v>
          </cell>
          <cell r="M826" t="e">
            <v>#N/A</v>
          </cell>
          <cell r="N826">
            <v>68</v>
          </cell>
          <cell r="O826" t="e">
            <v>#N/A</v>
          </cell>
          <cell r="P826" t="str">
            <v/>
          </cell>
          <cell r="Q826" t="str">
            <v/>
          </cell>
          <cell r="R826">
            <v>68</v>
          </cell>
        </row>
        <row r="827">
          <cell r="A827" t="str">
            <v/>
          </cell>
          <cell r="B827" t="str">
            <v/>
          </cell>
          <cell r="C827" t="str">
            <v>Future</v>
          </cell>
          <cell r="D827" t="e">
            <v>#N/A</v>
          </cell>
          <cell r="E827">
            <v>-3.797430118577239</v>
          </cell>
          <cell r="F827">
            <v>75.649210197629046</v>
          </cell>
          <cell r="G827">
            <v>38.574111383399654</v>
          </cell>
          <cell r="H827">
            <v>38.574111383399654</v>
          </cell>
          <cell r="I827" t="e">
            <v>#N/A</v>
          </cell>
          <cell r="J827" t="e">
            <v>#N/A</v>
          </cell>
          <cell r="K827">
            <v>75</v>
          </cell>
          <cell r="L827">
            <v>40</v>
          </cell>
          <cell r="M827" t="e">
            <v>#N/A</v>
          </cell>
          <cell r="N827">
            <v>68</v>
          </cell>
          <cell r="O827" t="e">
            <v>#N/A</v>
          </cell>
          <cell r="P827" t="str">
            <v/>
          </cell>
          <cell r="Q827" t="str">
            <v/>
          </cell>
          <cell r="R827">
            <v>68</v>
          </cell>
        </row>
        <row r="828">
          <cell r="A828" t="str">
            <v/>
          </cell>
          <cell r="B828" t="str">
            <v/>
          </cell>
          <cell r="C828" t="str">
            <v>Future</v>
          </cell>
          <cell r="D828" t="e">
            <v>#N/A</v>
          </cell>
          <cell r="E828">
            <v>-4.0505921264823774</v>
          </cell>
          <cell r="F828">
            <v>75.692490877470945</v>
          </cell>
          <cell r="G828">
            <v>38.479052142292936</v>
          </cell>
          <cell r="H828">
            <v>38.479052142292936</v>
          </cell>
          <cell r="I828" t="e">
            <v>#N/A</v>
          </cell>
          <cell r="J828" t="e">
            <v>#N/A</v>
          </cell>
          <cell r="K828">
            <v>75</v>
          </cell>
          <cell r="L828">
            <v>40</v>
          </cell>
          <cell r="M828" t="e">
            <v>#N/A</v>
          </cell>
          <cell r="N828">
            <v>68</v>
          </cell>
          <cell r="O828" t="e">
            <v>#N/A</v>
          </cell>
          <cell r="P828" t="str">
            <v/>
          </cell>
          <cell r="Q828" t="str">
            <v/>
          </cell>
          <cell r="R828">
            <v>68</v>
          </cell>
        </row>
        <row r="829">
          <cell r="A829" t="str">
            <v/>
          </cell>
          <cell r="B829" t="str">
            <v/>
          </cell>
          <cell r="C829" t="str">
            <v>Future</v>
          </cell>
          <cell r="D829" t="e">
            <v>#N/A</v>
          </cell>
          <cell r="E829">
            <v>-4.3037541343875159</v>
          </cell>
          <cell r="F829">
            <v>75.735771557312844</v>
          </cell>
          <cell r="G829">
            <v>38.383992901186218</v>
          </cell>
          <cell r="H829">
            <v>38.383992901186218</v>
          </cell>
          <cell r="I829" t="e">
            <v>#N/A</v>
          </cell>
          <cell r="J829" t="e">
            <v>#N/A</v>
          </cell>
          <cell r="K829">
            <v>75</v>
          </cell>
          <cell r="L829">
            <v>40</v>
          </cell>
          <cell r="M829" t="e">
            <v>#N/A</v>
          </cell>
          <cell r="N829">
            <v>68</v>
          </cell>
          <cell r="O829" t="e">
            <v>#N/A</v>
          </cell>
          <cell r="P829" t="str">
            <v/>
          </cell>
          <cell r="Q829" t="str">
            <v/>
          </cell>
          <cell r="R829">
            <v>68</v>
          </cell>
        </row>
        <row r="830">
          <cell r="A830" t="str">
            <v/>
          </cell>
          <cell r="B830" t="str">
            <v/>
          </cell>
          <cell r="C830" t="str">
            <v>Future</v>
          </cell>
          <cell r="D830" t="e">
            <v>#N/A</v>
          </cell>
          <cell r="E830">
            <v>-4.5569161422926543</v>
          </cell>
          <cell r="F830">
            <v>75.779052237154744</v>
          </cell>
          <cell r="G830">
            <v>38.2889336600795</v>
          </cell>
          <cell r="H830">
            <v>38.2889336600795</v>
          </cell>
          <cell r="I830" t="e">
            <v>#N/A</v>
          </cell>
          <cell r="J830" t="e">
            <v>#N/A</v>
          </cell>
          <cell r="K830">
            <v>75</v>
          </cell>
          <cell r="L830">
            <v>40</v>
          </cell>
          <cell r="M830" t="e">
            <v>#N/A</v>
          </cell>
          <cell r="N830">
            <v>68</v>
          </cell>
          <cell r="O830" t="e">
            <v>#N/A</v>
          </cell>
          <cell r="P830" t="str">
            <v/>
          </cell>
          <cell r="Q830" t="str">
            <v/>
          </cell>
          <cell r="R830">
            <v>68</v>
          </cell>
        </row>
        <row r="831">
          <cell r="A831" t="str">
            <v/>
          </cell>
          <cell r="B831" t="str">
            <v/>
          </cell>
          <cell r="C831" t="str">
            <v>Future</v>
          </cell>
          <cell r="D831" t="e">
            <v>#N/A</v>
          </cell>
          <cell r="E831">
            <v>-4.8100781501977927</v>
          </cell>
          <cell r="F831">
            <v>75.822332916996643</v>
          </cell>
          <cell r="G831">
            <v>38.193874418972783</v>
          </cell>
          <cell r="H831">
            <v>38.193874418972783</v>
          </cell>
          <cell r="I831" t="e">
            <v>#N/A</v>
          </cell>
          <cell r="J831" t="e">
            <v>#N/A</v>
          </cell>
          <cell r="K831">
            <v>75</v>
          </cell>
          <cell r="L831">
            <v>40</v>
          </cell>
          <cell r="M831" t="e">
            <v>#N/A</v>
          </cell>
          <cell r="N831">
            <v>68</v>
          </cell>
          <cell r="O831" t="e">
            <v>#N/A</v>
          </cell>
          <cell r="P831" t="str">
            <v/>
          </cell>
          <cell r="Q831" t="str">
            <v/>
          </cell>
          <cell r="R831">
            <v>68</v>
          </cell>
        </row>
        <row r="832">
          <cell r="A832" t="str">
            <v/>
          </cell>
          <cell r="B832" t="str">
            <v/>
          </cell>
          <cell r="C832" t="str">
            <v>Future</v>
          </cell>
          <cell r="D832" t="e">
            <v>#N/A</v>
          </cell>
          <cell r="E832">
            <v>-5.0632401581029312</v>
          </cell>
          <cell r="F832">
            <v>75.865613596838543</v>
          </cell>
          <cell r="G832">
            <v>38.098815177866065</v>
          </cell>
          <cell r="H832">
            <v>38.098815177866065</v>
          </cell>
          <cell r="I832" t="e">
            <v>#N/A</v>
          </cell>
          <cell r="J832" t="e">
            <v>#N/A</v>
          </cell>
          <cell r="K832">
            <v>75</v>
          </cell>
          <cell r="L832">
            <v>40</v>
          </cell>
          <cell r="M832" t="e">
            <v>#N/A</v>
          </cell>
          <cell r="N832">
            <v>68</v>
          </cell>
          <cell r="O832" t="e">
            <v>#N/A</v>
          </cell>
          <cell r="P832" t="str">
            <v/>
          </cell>
          <cell r="Q832" t="str">
            <v/>
          </cell>
          <cell r="R832">
            <v>68</v>
          </cell>
        </row>
        <row r="833">
          <cell r="A833" t="str">
            <v/>
          </cell>
          <cell r="B833" t="str">
            <v/>
          </cell>
          <cell r="C833" t="str">
            <v>Future</v>
          </cell>
          <cell r="D833" t="e">
            <v>#N/A</v>
          </cell>
          <cell r="E833">
            <v>-5.3164021660080696</v>
          </cell>
          <cell r="F833">
            <v>75.908894276680442</v>
          </cell>
          <cell r="G833">
            <v>38.003755936759347</v>
          </cell>
          <cell r="H833">
            <v>38.003755936759347</v>
          </cell>
          <cell r="I833" t="e">
            <v>#N/A</v>
          </cell>
          <cell r="J833" t="e">
            <v>#N/A</v>
          </cell>
          <cell r="K833">
            <v>75</v>
          </cell>
          <cell r="L833">
            <v>40</v>
          </cell>
          <cell r="M833" t="e">
            <v>#N/A</v>
          </cell>
          <cell r="N833">
            <v>68</v>
          </cell>
          <cell r="O833" t="e">
            <v>#N/A</v>
          </cell>
          <cell r="P833" t="str">
            <v/>
          </cell>
          <cell r="Q833" t="str">
            <v/>
          </cell>
          <cell r="R833">
            <v>68</v>
          </cell>
        </row>
        <row r="834">
          <cell r="A834" t="str">
            <v/>
          </cell>
          <cell r="B834" t="str">
            <v/>
          </cell>
          <cell r="C834" t="str">
            <v>Future</v>
          </cell>
          <cell r="D834" t="e">
            <v>#N/A</v>
          </cell>
          <cell r="E834">
            <v>-5.569564173913208</v>
          </cell>
          <cell r="F834">
            <v>75.952174956522342</v>
          </cell>
          <cell r="G834">
            <v>37.90869669565263</v>
          </cell>
          <cell r="H834">
            <v>37.90869669565263</v>
          </cell>
          <cell r="I834" t="e">
            <v>#N/A</v>
          </cell>
          <cell r="J834" t="e">
            <v>#N/A</v>
          </cell>
          <cell r="K834">
            <v>75</v>
          </cell>
          <cell r="L834">
            <v>40</v>
          </cell>
          <cell r="M834" t="e">
            <v>#N/A</v>
          </cell>
          <cell r="N834">
            <v>68</v>
          </cell>
          <cell r="O834" t="e">
            <v>#N/A</v>
          </cell>
          <cell r="P834" t="str">
            <v/>
          </cell>
          <cell r="Q834" t="str">
            <v/>
          </cell>
          <cell r="R834">
            <v>68</v>
          </cell>
        </row>
        <row r="835">
          <cell r="A835" t="str">
            <v/>
          </cell>
          <cell r="B835" t="str">
            <v/>
          </cell>
          <cell r="C835" t="str">
            <v>Future</v>
          </cell>
          <cell r="D835" t="e">
            <v>#N/A</v>
          </cell>
          <cell r="E835">
            <v>-5.8227261818183464</v>
          </cell>
          <cell r="F835">
            <v>75.995455636364241</v>
          </cell>
          <cell r="G835">
            <v>37.813637454545912</v>
          </cell>
          <cell r="H835">
            <v>37.813637454545912</v>
          </cell>
          <cell r="I835" t="e">
            <v>#N/A</v>
          </cell>
          <cell r="J835" t="e">
            <v>#N/A</v>
          </cell>
          <cell r="K835">
            <v>75</v>
          </cell>
          <cell r="L835">
            <v>40</v>
          </cell>
          <cell r="M835" t="e">
            <v>#N/A</v>
          </cell>
          <cell r="N835">
            <v>68</v>
          </cell>
          <cell r="O835" t="e">
            <v>#N/A</v>
          </cell>
          <cell r="P835" t="str">
            <v/>
          </cell>
          <cell r="Q835" t="str">
            <v/>
          </cell>
          <cell r="R835">
            <v>68</v>
          </cell>
        </row>
        <row r="836">
          <cell r="A836" t="str">
            <v/>
          </cell>
          <cell r="B836" t="str">
            <v/>
          </cell>
          <cell r="C836" t="str">
            <v>Future</v>
          </cell>
          <cell r="D836" t="e">
            <v>#N/A</v>
          </cell>
          <cell r="E836">
            <v>-6.0758881897234849</v>
          </cell>
          <cell r="F836">
            <v>76.03873631620614</v>
          </cell>
          <cell r="G836">
            <v>37.718578213439194</v>
          </cell>
          <cell r="H836">
            <v>37.718578213439194</v>
          </cell>
          <cell r="I836" t="e">
            <v>#N/A</v>
          </cell>
          <cell r="J836" t="e">
            <v>#N/A</v>
          </cell>
          <cell r="K836">
            <v>75</v>
          </cell>
          <cell r="L836">
            <v>40</v>
          </cell>
          <cell r="M836" t="e">
            <v>#N/A</v>
          </cell>
          <cell r="N836">
            <v>68</v>
          </cell>
          <cell r="O836" t="e">
            <v>#N/A</v>
          </cell>
          <cell r="P836" t="str">
            <v/>
          </cell>
          <cell r="Q836" t="str">
            <v/>
          </cell>
          <cell r="R836">
            <v>68</v>
          </cell>
        </row>
        <row r="837">
          <cell r="A837" t="str">
            <v/>
          </cell>
          <cell r="B837" t="str">
            <v/>
          </cell>
          <cell r="C837" t="str">
            <v>Future</v>
          </cell>
          <cell r="D837" t="e">
            <v>#N/A</v>
          </cell>
          <cell r="E837">
            <v>-6.3290501976286233</v>
          </cell>
          <cell r="F837">
            <v>76.08201699604804</v>
          </cell>
          <cell r="G837">
            <v>37.623518972332477</v>
          </cell>
          <cell r="H837">
            <v>37.623518972332477</v>
          </cell>
          <cell r="I837" t="e">
            <v>#N/A</v>
          </cell>
          <cell r="J837" t="e">
            <v>#N/A</v>
          </cell>
          <cell r="K837">
            <v>75</v>
          </cell>
          <cell r="L837">
            <v>40</v>
          </cell>
          <cell r="M837" t="e">
            <v>#N/A</v>
          </cell>
          <cell r="N837">
            <v>68</v>
          </cell>
          <cell r="O837" t="e">
            <v>#N/A</v>
          </cell>
          <cell r="P837" t="str">
            <v/>
          </cell>
          <cell r="Q837" t="str">
            <v/>
          </cell>
          <cell r="R837">
            <v>68</v>
          </cell>
        </row>
        <row r="838">
          <cell r="A838" t="str">
            <v/>
          </cell>
          <cell r="B838" t="str">
            <v/>
          </cell>
          <cell r="C838" t="str">
            <v>Future</v>
          </cell>
          <cell r="D838" t="e">
            <v>#N/A</v>
          </cell>
          <cell r="E838">
            <v>-6.5822122055337617</v>
          </cell>
          <cell r="F838">
            <v>76.125297675889939</v>
          </cell>
          <cell r="G838">
            <v>37.528459731225759</v>
          </cell>
          <cell r="H838">
            <v>37.528459731225759</v>
          </cell>
          <cell r="I838" t="e">
            <v>#N/A</v>
          </cell>
          <cell r="J838" t="e">
            <v>#N/A</v>
          </cell>
          <cell r="K838">
            <v>75</v>
          </cell>
          <cell r="L838">
            <v>40</v>
          </cell>
          <cell r="M838" t="e">
            <v>#N/A</v>
          </cell>
          <cell r="N838">
            <v>68</v>
          </cell>
          <cell r="O838" t="e">
            <v>#N/A</v>
          </cell>
          <cell r="P838" t="str">
            <v/>
          </cell>
          <cell r="Q838" t="str">
            <v/>
          </cell>
          <cell r="R838">
            <v>68</v>
          </cell>
        </row>
        <row r="839">
          <cell r="A839" t="str">
            <v/>
          </cell>
          <cell r="B839" t="str">
            <v/>
          </cell>
          <cell r="C839" t="str">
            <v>Future</v>
          </cell>
          <cell r="D839" t="e">
            <v>#N/A</v>
          </cell>
          <cell r="E839">
            <v>-6.8353742134389002</v>
          </cell>
          <cell r="F839">
            <v>76.168578355731839</v>
          </cell>
          <cell r="G839">
            <v>37.433400490119041</v>
          </cell>
          <cell r="H839">
            <v>37.433400490119041</v>
          </cell>
          <cell r="I839" t="e">
            <v>#N/A</v>
          </cell>
          <cell r="J839" t="e">
            <v>#N/A</v>
          </cell>
          <cell r="K839">
            <v>75</v>
          </cell>
          <cell r="L839">
            <v>40</v>
          </cell>
          <cell r="M839" t="e">
            <v>#N/A</v>
          </cell>
          <cell r="N839">
            <v>68</v>
          </cell>
          <cell r="O839" t="e">
            <v>#N/A</v>
          </cell>
          <cell r="P839" t="str">
            <v/>
          </cell>
          <cell r="Q839" t="str">
            <v/>
          </cell>
          <cell r="R839">
            <v>68</v>
          </cell>
        </row>
        <row r="840">
          <cell r="A840" t="str">
            <v/>
          </cell>
          <cell r="B840" t="str">
            <v/>
          </cell>
          <cell r="C840" t="str">
            <v>Future</v>
          </cell>
          <cell r="D840" t="e">
            <v>#N/A</v>
          </cell>
          <cell r="E840">
            <v>-7.0885362213440386</v>
          </cell>
          <cell r="F840">
            <v>76.211859035573738</v>
          </cell>
          <cell r="G840">
            <v>37.338341249012323</v>
          </cell>
          <cell r="H840">
            <v>37.338341249012323</v>
          </cell>
          <cell r="I840" t="e">
            <v>#N/A</v>
          </cell>
          <cell r="J840" t="e">
            <v>#N/A</v>
          </cell>
          <cell r="K840">
            <v>75</v>
          </cell>
          <cell r="L840">
            <v>40</v>
          </cell>
          <cell r="M840" t="e">
            <v>#N/A</v>
          </cell>
          <cell r="N840">
            <v>68</v>
          </cell>
          <cell r="O840" t="e">
            <v>#N/A</v>
          </cell>
          <cell r="P840" t="str">
            <v/>
          </cell>
          <cell r="Q840" t="str">
            <v/>
          </cell>
          <cell r="R840">
            <v>68</v>
          </cell>
        </row>
        <row r="841">
          <cell r="A841" t="str">
            <v/>
          </cell>
          <cell r="B841" t="str">
            <v/>
          </cell>
          <cell r="C841" t="str">
            <v>Future</v>
          </cell>
          <cell r="D841" t="e">
            <v>#N/A</v>
          </cell>
          <cell r="E841">
            <v>-7.341698229249177</v>
          </cell>
          <cell r="F841">
            <v>76.255139715415638</v>
          </cell>
          <cell r="G841">
            <v>37.243282007905606</v>
          </cell>
          <cell r="H841">
            <v>37.243282007905606</v>
          </cell>
          <cell r="I841" t="e">
            <v>#N/A</v>
          </cell>
          <cell r="J841" t="e">
            <v>#N/A</v>
          </cell>
          <cell r="K841">
            <v>75</v>
          </cell>
          <cell r="L841">
            <v>40</v>
          </cell>
          <cell r="M841" t="e">
            <v>#N/A</v>
          </cell>
          <cell r="N841">
            <v>68</v>
          </cell>
          <cell r="O841" t="e">
            <v>#N/A</v>
          </cell>
          <cell r="P841" t="str">
            <v/>
          </cell>
          <cell r="Q841" t="str">
            <v/>
          </cell>
          <cell r="R841">
            <v>68</v>
          </cell>
        </row>
        <row r="842">
          <cell r="A842" t="str">
            <v/>
          </cell>
          <cell r="B842" t="str">
            <v/>
          </cell>
          <cell r="C842" t="str">
            <v>Future</v>
          </cell>
          <cell r="D842" t="e">
            <v>#N/A</v>
          </cell>
          <cell r="E842">
            <v>-7.5948602371543155</v>
          </cell>
          <cell r="F842">
            <v>76.298420395257537</v>
          </cell>
          <cell r="G842">
            <v>37.148222766798888</v>
          </cell>
          <cell r="H842">
            <v>37.148222766798888</v>
          </cell>
          <cell r="I842" t="e">
            <v>#N/A</v>
          </cell>
          <cell r="J842" t="e">
            <v>#N/A</v>
          </cell>
          <cell r="K842">
            <v>75</v>
          </cell>
          <cell r="L842">
            <v>40</v>
          </cell>
          <cell r="M842" t="e">
            <v>#N/A</v>
          </cell>
          <cell r="N842">
            <v>68</v>
          </cell>
          <cell r="O842" t="e">
            <v>#N/A</v>
          </cell>
          <cell r="P842" t="str">
            <v/>
          </cell>
          <cell r="Q842" t="str">
            <v/>
          </cell>
          <cell r="R842">
            <v>68</v>
          </cell>
        </row>
        <row r="843">
          <cell r="A843" t="str">
            <v/>
          </cell>
          <cell r="B843" t="str">
            <v/>
          </cell>
          <cell r="C843" t="str">
            <v>Future</v>
          </cell>
          <cell r="D843" t="e">
            <v>#N/A</v>
          </cell>
          <cell r="E843">
            <v>-7.8480222450594539</v>
          </cell>
          <cell r="F843">
            <v>76.341701075099436</v>
          </cell>
          <cell r="G843">
            <v>37.05316352569217</v>
          </cell>
          <cell r="H843">
            <v>37.05316352569217</v>
          </cell>
          <cell r="I843" t="e">
            <v>#N/A</v>
          </cell>
          <cell r="J843" t="e">
            <v>#N/A</v>
          </cell>
          <cell r="K843">
            <v>75</v>
          </cell>
          <cell r="L843">
            <v>40</v>
          </cell>
          <cell r="M843" t="e">
            <v>#N/A</v>
          </cell>
          <cell r="N843">
            <v>68</v>
          </cell>
          <cell r="O843" t="e">
            <v>#N/A</v>
          </cell>
          <cell r="P843" t="str">
            <v/>
          </cell>
          <cell r="Q843" t="str">
            <v/>
          </cell>
          <cell r="R843">
            <v>68</v>
          </cell>
        </row>
        <row r="844">
          <cell r="A844" t="str">
            <v/>
          </cell>
          <cell r="B844" t="str">
            <v/>
          </cell>
          <cell r="C844" t="str">
            <v>Future</v>
          </cell>
          <cell r="D844" t="e">
            <v>#N/A</v>
          </cell>
          <cell r="E844">
            <v>-8.1011842529645914</v>
          </cell>
          <cell r="F844">
            <v>76.384981754941336</v>
          </cell>
          <cell r="G844">
            <v>36.958104284585453</v>
          </cell>
          <cell r="H844">
            <v>36.958104284585453</v>
          </cell>
          <cell r="I844" t="e">
            <v>#N/A</v>
          </cell>
          <cell r="J844" t="e">
            <v>#N/A</v>
          </cell>
          <cell r="K844">
            <v>75</v>
          </cell>
          <cell r="L844">
            <v>40</v>
          </cell>
          <cell r="M844" t="e">
            <v>#N/A</v>
          </cell>
          <cell r="N844">
            <v>68</v>
          </cell>
          <cell r="O844" t="e">
            <v>#N/A</v>
          </cell>
          <cell r="P844" t="str">
            <v/>
          </cell>
          <cell r="Q844" t="str">
            <v/>
          </cell>
          <cell r="R844">
            <v>68</v>
          </cell>
        </row>
        <row r="845">
          <cell r="A845" t="str">
            <v/>
          </cell>
          <cell r="B845" t="str">
            <v/>
          </cell>
          <cell r="C845" t="str">
            <v>Future</v>
          </cell>
          <cell r="D845" t="e">
            <v>#N/A</v>
          </cell>
          <cell r="E845">
            <v>-8.354346260869729</v>
          </cell>
          <cell r="F845">
            <v>76.428262434783235</v>
          </cell>
          <cell r="G845">
            <v>36.863045043478735</v>
          </cell>
          <cell r="H845">
            <v>36.863045043478735</v>
          </cell>
          <cell r="I845" t="e">
            <v>#N/A</v>
          </cell>
          <cell r="J845" t="e">
            <v>#N/A</v>
          </cell>
          <cell r="K845">
            <v>75</v>
          </cell>
          <cell r="L845">
            <v>40</v>
          </cell>
          <cell r="M845" t="e">
            <v>#N/A</v>
          </cell>
          <cell r="N845">
            <v>68</v>
          </cell>
          <cell r="O845" t="e">
            <v>#N/A</v>
          </cell>
          <cell r="P845" t="str">
            <v/>
          </cell>
          <cell r="Q845" t="str">
            <v/>
          </cell>
          <cell r="R845">
            <v>68</v>
          </cell>
        </row>
        <row r="846">
          <cell r="A846" t="str">
            <v/>
          </cell>
          <cell r="B846" t="str">
            <v/>
          </cell>
          <cell r="C846" t="str">
            <v>Future</v>
          </cell>
          <cell r="D846" t="e">
            <v>#N/A</v>
          </cell>
          <cell r="E846">
            <v>-8.6075082687748665</v>
          </cell>
          <cell r="F846">
            <v>76.471543114625135</v>
          </cell>
          <cell r="G846">
            <v>36.767985802372017</v>
          </cell>
          <cell r="H846">
            <v>36.767985802372017</v>
          </cell>
          <cell r="I846" t="e">
            <v>#N/A</v>
          </cell>
          <cell r="J846" t="e">
            <v>#N/A</v>
          </cell>
          <cell r="K846">
            <v>75</v>
          </cell>
          <cell r="L846">
            <v>40</v>
          </cell>
          <cell r="M846" t="e">
            <v>#N/A</v>
          </cell>
          <cell r="N846">
            <v>68</v>
          </cell>
          <cell r="O846" t="e">
            <v>#N/A</v>
          </cell>
          <cell r="P846" t="str">
            <v/>
          </cell>
          <cell r="Q846" t="str">
            <v/>
          </cell>
          <cell r="R846">
            <v>68</v>
          </cell>
        </row>
        <row r="847">
          <cell r="A847" t="str">
            <v/>
          </cell>
          <cell r="B847" t="str">
            <v/>
          </cell>
          <cell r="C847" t="str">
            <v>Future</v>
          </cell>
          <cell r="D847" t="e">
            <v>#N/A</v>
          </cell>
          <cell r="E847">
            <v>-8.8606702766800041</v>
          </cell>
          <cell r="F847">
            <v>76.514823794467034</v>
          </cell>
          <cell r="G847">
            <v>36.672926561265299</v>
          </cell>
          <cell r="H847">
            <v>36.672926561265299</v>
          </cell>
          <cell r="I847" t="e">
            <v>#N/A</v>
          </cell>
          <cell r="J847" t="e">
            <v>#N/A</v>
          </cell>
          <cell r="K847">
            <v>75</v>
          </cell>
          <cell r="L847">
            <v>40</v>
          </cell>
          <cell r="M847" t="e">
            <v>#N/A</v>
          </cell>
          <cell r="N847">
            <v>68</v>
          </cell>
          <cell r="O847" t="e">
            <v>#N/A</v>
          </cell>
          <cell r="P847" t="str">
            <v/>
          </cell>
          <cell r="Q847" t="str">
            <v/>
          </cell>
          <cell r="R847">
            <v>68</v>
          </cell>
        </row>
        <row r="848">
          <cell r="A848" t="str">
            <v/>
          </cell>
          <cell r="B848" t="str">
            <v/>
          </cell>
          <cell r="C848" t="str">
            <v>Future</v>
          </cell>
          <cell r="D848" t="e">
            <v>#N/A</v>
          </cell>
          <cell r="E848">
            <v>-9.1138322845851416</v>
          </cell>
          <cell r="F848">
            <v>76.558104474308934</v>
          </cell>
          <cell r="G848">
            <v>36.577867320158582</v>
          </cell>
          <cell r="H848">
            <v>36.577867320158582</v>
          </cell>
          <cell r="I848" t="e">
            <v>#N/A</v>
          </cell>
          <cell r="J848" t="e">
            <v>#N/A</v>
          </cell>
          <cell r="K848">
            <v>75</v>
          </cell>
          <cell r="L848">
            <v>40</v>
          </cell>
          <cell r="M848" t="e">
            <v>#N/A</v>
          </cell>
          <cell r="N848">
            <v>68</v>
          </cell>
          <cell r="O848" t="e">
            <v>#N/A</v>
          </cell>
          <cell r="P848" t="str">
            <v/>
          </cell>
          <cell r="Q848" t="str">
            <v/>
          </cell>
          <cell r="R848">
            <v>68</v>
          </cell>
        </row>
        <row r="849">
          <cell r="A849" t="str">
            <v/>
          </cell>
          <cell r="B849" t="str">
            <v/>
          </cell>
          <cell r="C849" t="str">
            <v>Future</v>
          </cell>
          <cell r="D849" t="e">
            <v>#N/A</v>
          </cell>
          <cell r="E849">
            <v>-9.3669942924902792</v>
          </cell>
          <cell r="F849">
            <v>76.601385154150833</v>
          </cell>
          <cell r="G849">
            <v>36.482808079051864</v>
          </cell>
          <cell r="H849">
            <v>36.482808079051864</v>
          </cell>
          <cell r="I849" t="e">
            <v>#N/A</v>
          </cell>
          <cell r="J849" t="e">
            <v>#N/A</v>
          </cell>
          <cell r="K849">
            <v>75</v>
          </cell>
          <cell r="L849">
            <v>40</v>
          </cell>
          <cell r="M849" t="e">
            <v>#N/A</v>
          </cell>
          <cell r="N849">
            <v>68</v>
          </cell>
          <cell r="O849" t="e">
            <v>#N/A</v>
          </cell>
          <cell r="P849" t="str">
            <v/>
          </cell>
          <cell r="Q849" t="str">
            <v/>
          </cell>
          <cell r="R849">
            <v>68</v>
          </cell>
        </row>
        <row r="850">
          <cell r="A850" t="str">
            <v/>
          </cell>
          <cell r="B850" t="str">
            <v/>
          </cell>
          <cell r="C850" t="str">
            <v>Future</v>
          </cell>
          <cell r="D850" t="e">
            <v>#N/A</v>
          </cell>
          <cell r="E850">
            <v>-9.6201563003954167</v>
          </cell>
          <cell r="F850">
            <v>76.644665833992732</v>
          </cell>
          <cell r="G850">
            <v>36.387748837945146</v>
          </cell>
          <cell r="H850">
            <v>36.387748837945146</v>
          </cell>
          <cell r="I850" t="e">
            <v>#N/A</v>
          </cell>
          <cell r="J850" t="e">
            <v>#N/A</v>
          </cell>
          <cell r="K850">
            <v>75</v>
          </cell>
          <cell r="L850">
            <v>40</v>
          </cell>
          <cell r="M850" t="e">
            <v>#N/A</v>
          </cell>
          <cell r="N850">
            <v>68</v>
          </cell>
          <cell r="O850" t="e">
            <v>#N/A</v>
          </cell>
          <cell r="P850" t="str">
            <v/>
          </cell>
          <cell r="Q850" t="str">
            <v/>
          </cell>
          <cell r="R850">
            <v>68</v>
          </cell>
        </row>
        <row r="851">
          <cell r="A851" t="str">
            <v/>
          </cell>
          <cell r="B851" t="str">
            <v/>
          </cell>
          <cell r="C851" t="str">
            <v>Future</v>
          </cell>
          <cell r="D851" t="e">
            <v>#N/A</v>
          </cell>
          <cell r="E851">
            <v>-9.8733183083005542</v>
          </cell>
          <cell r="F851">
            <v>76.687946513834632</v>
          </cell>
          <cell r="G851">
            <v>36.292689596838429</v>
          </cell>
          <cell r="H851">
            <v>36.292689596838429</v>
          </cell>
          <cell r="I851" t="e">
            <v>#N/A</v>
          </cell>
          <cell r="J851" t="e">
            <v>#N/A</v>
          </cell>
          <cell r="K851">
            <v>75</v>
          </cell>
          <cell r="L851">
            <v>40</v>
          </cell>
          <cell r="M851" t="e">
            <v>#N/A</v>
          </cell>
          <cell r="N851">
            <v>68</v>
          </cell>
          <cell r="O851" t="e">
            <v>#N/A</v>
          </cell>
          <cell r="P851" t="str">
            <v/>
          </cell>
          <cell r="Q851" t="str">
            <v/>
          </cell>
          <cell r="R851">
            <v>68</v>
          </cell>
        </row>
        <row r="852">
          <cell r="A852" t="str">
            <v/>
          </cell>
          <cell r="B852" t="str">
            <v/>
          </cell>
          <cell r="C852" t="str">
            <v>Future</v>
          </cell>
          <cell r="D852" t="e">
            <v>#N/A</v>
          </cell>
          <cell r="E852">
            <v>-10.126480316205692</v>
          </cell>
          <cell r="F852">
            <v>76.731227193676531</v>
          </cell>
          <cell r="G852">
            <v>36.197630355731711</v>
          </cell>
          <cell r="H852">
            <v>36.197630355731711</v>
          </cell>
          <cell r="I852" t="e">
            <v>#N/A</v>
          </cell>
          <cell r="J852" t="e">
            <v>#N/A</v>
          </cell>
          <cell r="K852">
            <v>75</v>
          </cell>
          <cell r="L852">
            <v>40</v>
          </cell>
          <cell r="M852" t="e">
            <v>#N/A</v>
          </cell>
          <cell r="N852">
            <v>68</v>
          </cell>
          <cell r="O852" t="e">
            <v>#N/A</v>
          </cell>
          <cell r="P852" t="str">
            <v/>
          </cell>
          <cell r="Q852" t="str">
            <v/>
          </cell>
          <cell r="R852">
            <v>68</v>
          </cell>
        </row>
        <row r="853">
          <cell r="A853" t="str">
            <v/>
          </cell>
          <cell r="B853" t="str">
            <v/>
          </cell>
          <cell r="C853" t="str">
            <v>Future</v>
          </cell>
          <cell r="D853" t="e">
            <v>#N/A</v>
          </cell>
          <cell r="E853">
            <v>-10.379642324110829</v>
          </cell>
          <cell r="F853">
            <v>76.774507873518431</v>
          </cell>
          <cell r="G853">
            <v>36.102571114624993</v>
          </cell>
          <cell r="H853">
            <v>36.102571114624993</v>
          </cell>
          <cell r="I853" t="e">
            <v>#N/A</v>
          </cell>
          <cell r="J853" t="e">
            <v>#N/A</v>
          </cell>
          <cell r="K853">
            <v>75</v>
          </cell>
          <cell r="L853">
            <v>40</v>
          </cell>
          <cell r="M853" t="e">
            <v>#N/A</v>
          </cell>
          <cell r="N853">
            <v>68</v>
          </cell>
          <cell r="O853" t="e">
            <v>#N/A</v>
          </cell>
          <cell r="P853" t="str">
            <v/>
          </cell>
          <cell r="Q853" t="str">
            <v/>
          </cell>
          <cell r="R853">
            <v>68</v>
          </cell>
        </row>
        <row r="854">
          <cell r="A854" t="str">
            <v/>
          </cell>
          <cell r="B854" t="str">
            <v/>
          </cell>
          <cell r="C854" t="str">
            <v>Future</v>
          </cell>
          <cell r="D854" t="e">
            <v>#N/A</v>
          </cell>
          <cell r="E854">
            <v>-10.632804332015967</v>
          </cell>
          <cell r="F854">
            <v>76.81778855336033</v>
          </cell>
          <cell r="G854">
            <v>36.007511873518276</v>
          </cell>
          <cell r="H854">
            <v>36.007511873518276</v>
          </cell>
          <cell r="I854" t="e">
            <v>#N/A</v>
          </cell>
          <cell r="J854" t="e">
            <v>#N/A</v>
          </cell>
          <cell r="K854">
            <v>75</v>
          </cell>
          <cell r="L854">
            <v>40</v>
          </cell>
          <cell r="M854" t="e">
            <v>#N/A</v>
          </cell>
          <cell r="N854">
            <v>68</v>
          </cell>
          <cell r="O854" t="e">
            <v>#N/A</v>
          </cell>
          <cell r="P854" t="str">
            <v/>
          </cell>
          <cell r="Q854" t="str">
            <v/>
          </cell>
          <cell r="R854">
            <v>68</v>
          </cell>
        </row>
        <row r="855">
          <cell r="A855" t="str">
            <v/>
          </cell>
          <cell r="B855" t="str">
            <v/>
          </cell>
          <cell r="C855" t="str">
            <v>Future</v>
          </cell>
          <cell r="D855" t="e">
            <v>#N/A</v>
          </cell>
          <cell r="E855">
            <v>-10.885966339921104</v>
          </cell>
          <cell r="F855">
            <v>76.86106923320223</v>
          </cell>
          <cell r="G855">
            <v>35.912452632411558</v>
          </cell>
          <cell r="H855">
            <v>35.912452632411558</v>
          </cell>
          <cell r="I855" t="e">
            <v>#N/A</v>
          </cell>
          <cell r="J855" t="e">
            <v>#N/A</v>
          </cell>
          <cell r="K855">
            <v>75</v>
          </cell>
          <cell r="L855">
            <v>40</v>
          </cell>
          <cell r="M855" t="e">
            <v>#N/A</v>
          </cell>
          <cell r="N855">
            <v>68</v>
          </cell>
          <cell r="O855" t="e">
            <v>#N/A</v>
          </cell>
          <cell r="P855" t="str">
            <v/>
          </cell>
          <cell r="Q855" t="str">
            <v/>
          </cell>
          <cell r="R855">
            <v>68</v>
          </cell>
        </row>
        <row r="856">
          <cell r="A856" t="str">
            <v/>
          </cell>
          <cell r="B856" t="str">
            <v/>
          </cell>
          <cell r="C856" t="str">
            <v>Future</v>
          </cell>
          <cell r="D856" t="e">
            <v>#N/A</v>
          </cell>
          <cell r="E856">
            <v>-11.139128347826242</v>
          </cell>
          <cell r="F856">
            <v>76.904349913044129</v>
          </cell>
          <cell r="G856">
            <v>35.81739339130484</v>
          </cell>
          <cell r="H856">
            <v>35.81739339130484</v>
          </cell>
          <cell r="I856" t="e">
            <v>#N/A</v>
          </cell>
          <cell r="J856" t="e">
            <v>#N/A</v>
          </cell>
          <cell r="K856">
            <v>75</v>
          </cell>
          <cell r="L856">
            <v>40</v>
          </cell>
          <cell r="M856" t="e">
            <v>#N/A</v>
          </cell>
          <cell r="N856">
            <v>68</v>
          </cell>
          <cell r="O856" t="e">
            <v>#N/A</v>
          </cell>
          <cell r="P856" t="str">
            <v/>
          </cell>
          <cell r="Q856" t="str">
            <v/>
          </cell>
          <cell r="R856">
            <v>68</v>
          </cell>
        </row>
        <row r="857">
          <cell r="A857" t="str">
            <v/>
          </cell>
          <cell r="B857" t="str">
            <v/>
          </cell>
          <cell r="C857" t="str">
            <v>Future</v>
          </cell>
          <cell r="D857" t="e">
            <v>#N/A</v>
          </cell>
          <cell r="E857">
            <v>-11.392290355731379</v>
          </cell>
          <cell r="F857">
            <v>76.947630592886028</v>
          </cell>
          <cell r="G857">
            <v>35.722334150198122</v>
          </cell>
          <cell r="H857">
            <v>35.722334150198122</v>
          </cell>
          <cell r="I857" t="e">
            <v>#N/A</v>
          </cell>
          <cell r="J857" t="e">
            <v>#N/A</v>
          </cell>
          <cell r="K857">
            <v>75</v>
          </cell>
          <cell r="L857">
            <v>40</v>
          </cell>
          <cell r="M857" t="e">
            <v>#N/A</v>
          </cell>
          <cell r="N857">
            <v>68</v>
          </cell>
          <cell r="O857" t="e">
            <v>#N/A</v>
          </cell>
          <cell r="P857" t="str">
            <v/>
          </cell>
          <cell r="Q857" t="str">
            <v/>
          </cell>
          <cell r="R857">
            <v>68</v>
          </cell>
        </row>
        <row r="858">
          <cell r="A858" t="str">
            <v/>
          </cell>
          <cell r="B858" t="str">
            <v/>
          </cell>
          <cell r="C858" t="str">
            <v>Future</v>
          </cell>
          <cell r="D858" t="e">
            <v>#N/A</v>
          </cell>
          <cell r="E858">
            <v>-11.645452363636517</v>
          </cell>
          <cell r="F858">
            <v>76.990911272727928</v>
          </cell>
          <cell r="G858">
            <v>35.627274909091405</v>
          </cell>
          <cell r="H858">
            <v>35.627274909091405</v>
          </cell>
          <cell r="I858" t="e">
            <v>#N/A</v>
          </cell>
          <cell r="J858" t="e">
            <v>#N/A</v>
          </cell>
          <cell r="K858">
            <v>75</v>
          </cell>
          <cell r="L858">
            <v>40</v>
          </cell>
          <cell r="M858" t="e">
            <v>#N/A</v>
          </cell>
          <cell r="N858">
            <v>68</v>
          </cell>
          <cell r="O858" t="e">
            <v>#N/A</v>
          </cell>
          <cell r="P858" t="str">
            <v/>
          </cell>
          <cell r="Q858" t="str">
            <v/>
          </cell>
          <cell r="R858">
            <v>68</v>
          </cell>
        </row>
        <row r="859">
          <cell r="A859" t="str">
            <v/>
          </cell>
          <cell r="B859" t="str">
            <v/>
          </cell>
          <cell r="C859" t="str">
            <v>Future</v>
          </cell>
          <cell r="D859" t="e">
            <v>#N/A</v>
          </cell>
          <cell r="E859">
            <v>-11.898614371541655</v>
          </cell>
          <cell r="F859">
            <v>77.034191952569827</v>
          </cell>
          <cell r="G859">
            <v>35.532215667984687</v>
          </cell>
          <cell r="H859">
            <v>35.532215667984687</v>
          </cell>
          <cell r="I859" t="e">
            <v>#N/A</v>
          </cell>
          <cell r="J859" t="e">
            <v>#N/A</v>
          </cell>
          <cell r="K859">
            <v>75</v>
          </cell>
          <cell r="L859">
            <v>40</v>
          </cell>
          <cell r="M859" t="e">
            <v>#N/A</v>
          </cell>
          <cell r="N859">
            <v>68</v>
          </cell>
          <cell r="O859" t="e">
            <v>#N/A</v>
          </cell>
          <cell r="P859" t="str">
            <v/>
          </cell>
          <cell r="Q859" t="str">
            <v/>
          </cell>
          <cell r="R859">
            <v>68</v>
          </cell>
        </row>
        <row r="860">
          <cell r="A860" t="str">
            <v/>
          </cell>
          <cell r="B860" t="str">
            <v/>
          </cell>
          <cell r="C860" t="str">
            <v>Future</v>
          </cell>
          <cell r="D860" t="e">
            <v>#N/A</v>
          </cell>
          <cell r="E860">
            <v>-12.151776379446792</v>
          </cell>
          <cell r="F860">
            <v>77.077472632411727</v>
          </cell>
          <cell r="G860">
            <v>35.437156426877969</v>
          </cell>
          <cell r="H860">
            <v>35.437156426877969</v>
          </cell>
          <cell r="I860" t="e">
            <v>#N/A</v>
          </cell>
          <cell r="J860" t="e">
            <v>#N/A</v>
          </cell>
          <cell r="K860">
            <v>75</v>
          </cell>
          <cell r="L860">
            <v>40</v>
          </cell>
          <cell r="M860" t="e">
            <v>#N/A</v>
          </cell>
          <cell r="N860">
            <v>68</v>
          </cell>
          <cell r="O860" t="e">
            <v>#N/A</v>
          </cell>
          <cell r="P860" t="str">
            <v/>
          </cell>
          <cell r="Q860" t="str">
            <v/>
          </cell>
          <cell r="R860">
            <v>68</v>
          </cell>
        </row>
        <row r="861">
          <cell r="A861" t="str">
            <v/>
          </cell>
          <cell r="B861" t="str">
            <v/>
          </cell>
          <cell r="C861" t="str">
            <v>Future</v>
          </cell>
          <cell r="D861" t="e">
            <v>#N/A</v>
          </cell>
          <cell r="E861">
            <v>-12.40493838735193</v>
          </cell>
          <cell r="F861">
            <v>77.120753312253626</v>
          </cell>
          <cell r="G861">
            <v>35.342097185771252</v>
          </cell>
          <cell r="H861">
            <v>35.342097185771252</v>
          </cell>
          <cell r="I861" t="e">
            <v>#N/A</v>
          </cell>
          <cell r="J861" t="e">
            <v>#N/A</v>
          </cell>
          <cell r="K861">
            <v>75</v>
          </cell>
          <cell r="L861">
            <v>40</v>
          </cell>
          <cell r="M861" t="e">
            <v>#N/A</v>
          </cell>
          <cell r="N861">
            <v>68</v>
          </cell>
          <cell r="O861" t="e">
            <v>#N/A</v>
          </cell>
          <cell r="P861" t="str">
            <v/>
          </cell>
          <cell r="Q861" t="str">
            <v/>
          </cell>
          <cell r="R861">
            <v>68</v>
          </cell>
        </row>
        <row r="862">
          <cell r="A862" t="str">
            <v/>
          </cell>
          <cell r="B862" t="str">
            <v/>
          </cell>
          <cell r="C862" t="str">
            <v>Future</v>
          </cell>
          <cell r="D862" t="e">
            <v>#N/A</v>
          </cell>
          <cell r="E862">
            <v>-12.658100395257067</v>
          </cell>
          <cell r="F862">
            <v>77.164033992095526</v>
          </cell>
          <cell r="G862">
            <v>35.247037944664534</v>
          </cell>
          <cell r="H862">
            <v>35.247037944664534</v>
          </cell>
          <cell r="I862" t="e">
            <v>#N/A</v>
          </cell>
          <cell r="J862" t="e">
            <v>#N/A</v>
          </cell>
          <cell r="K862">
            <v>75</v>
          </cell>
          <cell r="L862">
            <v>40</v>
          </cell>
          <cell r="M862" t="e">
            <v>#N/A</v>
          </cell>
          <cell r="N862">
            <v>68</v>
          </cell>
          <cell r="O862" t="e">
            <v>#N/A</v>
          </cell>
          <cell r="P862" t="str">
            <v/>
          </cell>
          <cell r="Q862" t="str">
            <v/>
          </cell>
          <cell r="R862">
            <v>68</v>
          </cell>
        </row>
        <row r="863">
          <cell r="A863" t="str">
            <v/>
          </cell>
          <cell r="B863" t="str">
            <v/>
          </cell>
          <cell r="C863" t="str">
            <v>Future</v>
          </cell>
          <cell r="D863" t="e">
            <v>#N/A</v>
          </cell>
          <cell r="E863">
            <v>-12.911262403162205</v>
          </cell>
          <cell r="F863">
            <v>77.207314671937425</v>
          </cell>
          <cell r="G863">
            <v>35.151978703557816</v>
          </cell>
          <cell r="H863">
            <v>35.151978703557816</v>
          </cell>
          <cell r="I863" t="e">
            <v>#N/A</v>
          </cell>
          <cell r="J863" t="e">
            <v>#N/A</v>
          </cell>
          <cell r="K863">
            <v>75</v>
          </cell>
          <cell r="L863">
            <v>40</v>
          </cell>
          <cell r="M863" t="e">
            <v>#N/A</v>
          </cell>
          <cell r="N863">
            <v>68</v>
          </cell>
          <cell r="O863" t="e">
            <v>#N/A</v>
          </cell>
          <cell r="P863" t="str">
            <v/>
          </cell>
          <cell r="Q863" t="str">
            <v/>
          </cell>
          <cell r="R863">
            <v>68</v>
          </cell>
        </row>
        <row r="864">
          <cell r="A864" t="str">
            <v/>
          </cell>
          <cell r="B864" t="str">
            <v/>
          </cell>
          <cell r="C864" t="str">
            <v>Future</v>
          </cell>
          <cell r="D864" t="e">
            <v>#N/A</v>
          </cell>
          <cell r="E864">
            <v>-13.164424411067342</v>
          </cell>
          <cell r="F864">
            <v>77.250595351779324</v>
          </cell>
          <cell r="G864">
            <v>35.056919462451098</v>
          </cell>
          <cell r="H864">
            <v>35.056919462451098</v>
          </cell>
          <cell r="I864" t="e">
            <v>#N/A</v>
          </cell>
          <cell r="J864" t="e">
            <v>#N/A</v>
          </cell>
          <cell r="K864">
            <v>75</v>
          </cell>
          <cell r="L864">
            <v>40</v>
          </cell>
          <cell r="M864" t="e">
            <v>#N/A</v>
          </cell>
          <cell r="N864">
            <v>68</v>
          </cell>
          <cell r="O864" t="e">
            <v>#N/A</v>
          </cell>
          <cell r="P864" t="str">
            <v/>
          </cell>
          <cell r="Q864" t="str">
            <v/>
          </cell>
          <cell r="R864">
            <v>68</v>
          </cell>
        </row>
        <row r="865">
          <cell r="A865" t="str">
            <v/>
          </cell>
          <cell r="B865" t="str">
            <v/>
          </cell>
          <cell r="C865" t="str">
            <v>Future</v>
          </cell>
          <cell r="D865" t="e">
            <v>#N/A</v>
          </cell>
          <cell r="E865">
            <v>-13.41758641897248</v>
          </cell>
          <cell r="F865">
            <v>77.293876031621224</v>
          </cell>
          <cell r="G865">
            <v>34.961860221344381</v>
          </cell>
          <cell r="H865">
            <v>34.961860221344381</v>
          </cell>
          <cell r="I865" t="e">
            <v>#N/A</v>
          </cell>
          <cell r="J865" t="e">
            <v>#N/A</v>
          </cell>
          <cell r="K865">
            <v>75</v>
          </cell>
          <cell r="L865">
            <v>40</v>
          </cell>
          <cell r="M865" t="e">
            <v>#N/A</v>
          </cell>
          <cell r="N865">
            <v>68</v>
          </cell>
          <cell r="O865" t="e">
            <v>#N/A</v>
          </cell>
          <cell r="P865" t="str">
            <v/>
          </cell>
          <cell r="Q865" t="str">
            <v/>
          </cell>
          <cell r="R865">
            <v>68</v>
          </cell>
        </row>
        <row r="866">
          <cell r="A866" t="str">
            <v/>
          </cell>
          <cell r="B866" t="str">
            <v/>
          </cell>
          <cell r="C866" t="str">
            <v>Future</v>
          </cell>
          <cell r="D866" t="e">
            <v>#N/A</v>
          </cell>
          <cell r="E866">
            <v>-13.670748426877617</v>
          </cell>
          <cell r="F866">
            <v>77.337156711463123</v>
          </cell>
          <cell r="G866">
            <v>34.866800980237663</v>
          </cell>
          <cell r="H866">
            <v>34.866800980237663</v>
          </cell>
          <cell r="I866" t="e">
            <v>#N/A</v>
          </cell>
          <cell r="J866" t="e">
            <v>#N/A</v>
          </cell>
          <cell r="K866">
            <v>75</v>
          </cell>
          <cell r="L866">
            <v>40</v>
          </cell>
          <cell r="M866" t="e">
            <v>#N/A</v>
          </cell>
          <cell r="N866">
            <v>68</v>
          </cell>
          <cell r="O866" t="e">
            <v>#N/A</v>
          </cell>
          <cell r="P866" t="str">
            <v/>
          </cell>
          <cell r="Q866" t="str">
            <v/>
          </cell>
          <cell r="R866">
            <v>68</v>
          </cell>
        </row>
        <row r="867">
          <cell r="A867" t="str">
            <v/>
          </cell>
          <cell r="B867" t="str">
            <v/>
          </cell>
          <cell r="C867" t="str">
            <v>Future</v>
          </cell>
          <cell r="D867" t="e">
            <v>#N/A</v>
          </cell>
          <cell r="E867">
            <v>-13.923910434782755</v>
          </cell>
          <cell r="F867">
            <v>77.380437391305023</v>
          </cell>
          <cell r="G867">
            <v>34.771741739130945</v>
          </cell>
          <cell r="H867">
            <v>34.771741739130945</v>
          </cell>
          <cell r="I867" t="e">
            <v>#N/A</v>
          </cell>
          <cell r="J867" t="e">
            <v>#N/A</v>
          </cell>
          <cell r="K867">
            <v>75</v>
          </cell>
          <cell r="L867">
            <v>40</v>
          </cell>
          <cell r="M867" t="e">
            <v>#N/A</v>
          </cell>
          <cell r="N867">
            <v>68</v>
          </cell>
          <cell r="O867" t="e">
            <v>#N/A</v>
          </cell>
          <cell r="P867" t="str">
            <v/>
          </cell>
          <cell r="Q867" t="str">
            <v/>
          </cell>
          <cell r="R867">
            <v>68</v>
          </cell>
        </row>
        <row r="868">
          <cell r="A868" t="str">
            <v/>
          </cell>
          <cell r="B868" t="str">
            <v/>
          </cell>
          <cell r="C868" t="str">
            <v>Future</v>
          </cell>
          <cell r="D868" t="e">
            <v>#N/A</v>
          </cell>
          <cell r="E868">
            <v>-14.177072442687892</v>
          </cell>
          <cell r="F868">
            <v>77.423718071146922</v>
          </cell>
          <cell r="G868">
            <v>34.676682498024228</v>
          </cell>
          <cell r="H868">
            <v>34.676682498024228</v>
          </cell>
          <cell r="I868" t="e">
            <v>#N/A</v>
          </cell>
          <cell r="J868" t="e">
            <v>#N/A</v>
          </cell>
          <cell r="K868">
            <v>75</v>
          </cell>
          <cell r="L868">
            <v>40</v>
          </cell>
          <cell r="M868" t="e">
            <v>#N/A</v>
          </cell>
          <cell r="N868">
            <v>68</v>
          </cell>
          <cell r="O868" t="e">
            <v>#N/A</v>
          </cell>
          <cell r="P868" t="str">
            <v/>
          </cell>
          <cell r="Q868" t="str">
            <v/>
          </cell>
          <cell r="R868">
            <v>68</v>
          </cell>
        </row>
        <row r="869">
          <cell r="A869" t="str">
            <v/>
          </cell>
          <cell r="B869" t="str">
            <v/>
          </cell>
          <cell r="C869" t="str">
            <v>Future</v>
          </cell>
          <cell r="D869" t="e">
            <v>#N/A</v>
          </cell>
          <cell r="E869">
            <v>-14.43023445059303</v>
          </cell>
          <cell r="F869">
            <v>77.466998750988822</v>
          </cell>
          <cell r="G869">
            <v>34.58162325691751</v>
          </cell>
          <cell r="H869">
            <v>34.58162325691751</v>
          </cell>
          <cell r="I869" t="e">
            <v>#N/A</v>
          </cell>
          <cell r="J869" t="e">
            <v>#N/A</v>
          </cell>
          <cell r="K869">
            <v>75</v>
          </cell>
          <cell r="L869">
            <v>40</v>
          </cell>
          <cell r="M869" t="e">
            <v>#N/A</v>
          </cell>
          <cell r="N869">
            <v>68</v>
          </cell>
          <cell r="O869" t="e">
            <v>#N/A</v>
          </cell>
          <cell r="P869" t="str">
            <v/>
          </cell>
          <cell r="Q869" t="str">
            <v/>
          </cell>
          <cell r="R869">
            <v>68</v>
          </cell>
        </row>
        <row r="870">
          <cell r="A870" t="str">
            <v/>
          </cell>
          <cell r="B870" t="str">
            <v/>
          </cell>
          <cell r="C870" t="str">
            <v>Future</v>
          </cell>
          <cell r="D870" t="e">
            <v>#N/A</v>
          </cell>
          <cell r="E870">
            <v>-14.683396458498168</v>
          </cell>
          <cell r="F870">
            <v>77.510279430830721</v>
          </cell>
          <cell r="G870">
            <v>34.486564015810792</v>
          </cell>
          <cell r="H870">
            <v>34.486564015810792</v>
          </cell>
          <cell r="I870" t="e">
            <v>#N/A</v>
          </cell>
          <cell r="J870" t="e">
            <v>#N/A</v>
          </cell>
          <cell r="K870">
            <v>75</v>
          </cell>
          <cell r="L870">
            <v>40</v>
          </cell>
          <cell r="M870" t="e">
            <v>#N/A</v>
          </cell>
          <cell r="N870">
            <v>68</v>
          </cell>
          <cell r="O870" t="e">
            <v>#N/A</v>
          </cell>
          <cell r="P870" t="str">
            <v/>
          </cell>
          <cell r="Q870" t="str">
            <v/>
          </cell>
          <cell r="R870">
            <v>68</v>
          </cell>
        </row>
        <row r="871">
          <cell r="A871" t="str">
            <v/>
          </cell>
          <cell r="B871" t="str">
            <v/>
          </cell>
          <cell r="C871" t="str">
            <v>Future</v>
          </cell>
          <cell r="D871" t="e">
            <v>#N/A</v>
          </cell>
          <cell r="E871">
            <v>-14.936558466403305</v>
          </cell>
          <cell r="F871">
            <v>77.55356011067262</v>
          </cell>
          <cell r="G871">
            <v>34.391504774704075</v>
          </cell>
          <cell r="H871">
            <v>34.391504774704075</v>
          </cell>
          <cell r="I871" t="e">
            <v>#N/A</v>
          </cell>
          <cell r="J871" t="e">
            <v>#N/A</v>
          </cell>
          <cell r="K871">
            <v>75</v>
          </cell>
          <cell r="L871">
            <v>40</v>
          </cell>
          <cell r="M871" t="e">
            <v>#N/A</v>
          </cell>
          <cell r="N871">
            <v>68</v>
          </cell>
          <cell r="O871" t="e">
            <v>#N/A</v>
          </cell>
          <cell r="P871" t="str">
            <v/>
          </cell>
          <cell r="Q871" t="str">
            <v/>
          </cell>
          <cell r="R871">
            <v>68</v>
          </cell>
        </row>
        <row r="872">
          <cell r="A872" t="str">
            <v/>
          </cell>
          <cell r="B872" t="str">
            <v/>
          </cell>
          <cell r="C872" t="str">
            <v>Future</v>
          </cell>
          <cell r="D872" t="e">
            <v>#N/A</v>
          </cell>
          <cell r="E872">
            <v>-15.189720474308443</v>
          </cell>
          <cell r="F872">
            <v>77.59684079051452</v>
          </cell>
          <cell r="G872">
            <v>34.296445533597357</v>
          </cell>
          <cell r="H872">
            <v>34.296445533597357</v>
          </cell>
          <cell r="I872" t="e">
            <v>#N/A</v>
          </cell>
          <cell r="J872" t="e">
            <v>#N/A</v>
          </cell>
          <cell r="K872">
            <v>75</v>
          </cell>
          <cell r="L872">
            <v>40</v>
          </cell>
          <cell r="M872" t="e">
            <v>#N/A</v>
          </cell>
          <cell r="N872">
            <v>68</v>
          </cell>
          <cell r="O872" t="e">
            <v>#N/A</v>
          </cell>
          <cell r="P872" t="str">
            <v/>
          </cell>
          <cell r="Q872" t="str">
            <v/>
          </cell>
          <cell r="R872">
            <v>68</v>
          </cell>
        </row>
        <row r="873">
          <cell r="A873" t="str">
            <v/>
          </cell>
          <cell r="B873" t="str">
            <v/>
          </cell>
          <cell r="C873" t="str">
            <v>Future</v>
          </cell>
          <cell r="D873" t="e">
            <v>#N/A</v>
          </cell>
          <cell r="E873">
            <v>-15.44288248221358</v>
          </cell>
          <cell r="F873">
            <v>77.640121470356419</v>
          </cell>
          <cell r="G873">
            <v>34.201386292490639</v>
          </cell>
          <cell r="H873">
            <v>34.201386292490639</v>
          </cell>
          <cell r="I873" t="e">
            <v>#N/A</v>
          </cell>
          <cell r="J873" t="e">
            <v>#N/A</v>
          </cell>
          <cell r="K873">
            <v>75</v>
          </cell>
          <cell r="L873">
            <v>40</v>
          </cell>
          <cell r="M873" t="e">
            <v>#N/A</v>
          </cell>
          <cell r="N873">
            <v>68</v>
          </cell>
          <cell r="O873" t="e">
            <v>#N/A</v>
          </cell>
          <cell r="P873" t="str">
            <v/>
          </cell>
          <cell r="Q873" t="str">
            <v/>
          </cell>
          <cell r="R873">
            <v>68</v>
          </cell>
        </row>
        <row r="874">
          <cell r="A874" t="str">
            <v/>
          </cell>
          <cell r="B874" t="str">
            <v/>
          </cell>
          <cell r="C874" t="str">
            <v>Future</v>
          </cell>
          <cell r="D874" t="e">
            <v>#N/A</v>
          </cell>
          <cell r="E874">
            <v>-15.696044490118718</v>
          </cell>
          <cell r="F874">
            <v>77.683402150198319</v>
          </cell>
          <cell r="G874">
            <v>34.106327051383921</v>
          </cell>
          <cell r="H874">
            <v>34.106327051383921</v>
          </cell>
          <cell r="I874" t="e">
            <v>#N/A</v>
          </cell>
          <cell r="J874" t="e">
            <v>#N/A</v>
          </cell>
          <cell r="K874">
            <v>75</v>
          </cell>
          <cell r="L874">
            <v>40</v>
          </cell>
          <cell r="M874" t="e">
            <v>#N/A</v>
          </cell>
          <cell r="N874">
            <v>68</v>
          </cell>
          <cell r="O874" t="e">
            <v>#N/A</v>
          </cell>
          <cell r="P874" t="str">
            <v/>
          </cell>
          <cell r="Q874" t="str">
            <v/>
          </cell>
          <cell r="R874">
            <v>68</v>
          </cell>
        </row>
        <row r="875">
          <cell r="A875" t="str">
            <v/>
          </cell>
          <cell r="B875" t="str">
            <v/>
          </cell>
          <cell r="C875" t="str">
            <v>Future</v>
          </cell>
          <cell r="D875" t="e">
            <v>#N/A</v>
          </cell>
          <cell r="E875">
            <v>-15.949206498023855</v>
          </cell>
          <cell r="F875">
            <v>77.726682830040218</v>
          </cell>
          <cell r="G875">
            <v>34.011267810277204</v>
          </cell>
          <cell r="H875">
            <v>34.011267810277204</v>
          </cell>
          <cell r="I875" t="e">
            <v>#N/A</v>
          </cell>
          <cell r="J875" t="e">
            <v>#N/A</v>
          </cell>
          <cell r="K875">
            <v>75</v>
          </cell>
          <cell r="L875">
            <v>40</v>
          </cell>
          <cell r="M875" t="e">
            <v>#N/A</v>
          </cell>
          <cell r="N875">
            <v>68</v>
          </cell>
          <cell r="O875" t="e">
            <v>#N/A</v>
          </cell>
          <cell r="P875" t="str">
            <v/>
          </cell>
          <cell r="Q875" t="str">
            <v/>
          </cell>
          <cell r="R875">
            <v>68</v>
          </cell>
        </row>
        <row r="876">
          <cell r="A876" t="str">
            <v/>
          </cell>
          <cell r="B876" t="str">
            <v/>
          </cell>
          <cell r="C876" t="str">
            <v>Future</v>
          </cell>
          <cell r="D876" t="e">
            <v>#N/A</v>
          </cell>
          <cell r="E876">
            <v>-16.202368505928995</v>
          </cell>
          <cell r="F876">
            <v>77.769963509882118</v>
          </cell>
          <cell r="G876">
            <v>33.916208569170486</v>
          </cell>
          <cell r="H876">
            <v>33.916208569170486</v>
          </cell>
          <cell r="I876" t="e">
            <v>#N/A</v>
          </cell>
          <cell r="J876" t="e">
            <v>#N/A</v>
          </cell>
          <cell r="K876">
            <v>75</v>
          </cell>
          <cell r="L876">
            <v>40</v>
          </cell>
          <cell r="M876" t="e">
            <v>#N/A</v>
          </cell>
          <cell r="N876">
            <v>68</v>
          </cell>
          <cell r="O876" t="e">
            <v>#N/A</v>
          </cell>
          <cell r="P876" t="str">
            <v/>
          </cell>
          <cell r="Q876" t="str">
            <v/>
          </cell>
          <cell r="R876">
            <v>68</v>
          </cell>
        </row>
        <row r="877">
          <cell r="A877" t="str">
            <v/>
          </cell>
          <cell r="B877" t="str">
            <v/>
          </cell>
          <cell r="C877" t="str">
            <v>Future</v>
          </cell>
          <cell r="D877" t="e">
            <v>#N/A</v>
          </cell>
          <cell r="E877">
            <v>-16.455530513834134</v>
          </cell>
          <cell r="F877">
            <v>77.813244189724017</v>
          </cell>
          <cell r="G877">
            <v>33.821149328063768</v>
          </cell>
          <cell r="H877">
            <v>33.821149328063768</v>
          </cell>
          <cell r="I877" t="e">
            <v>#N/A</v>
          </cell>
          <cell r="J877" t="e">
            <v>#N/A</v>
          </cell>
          <cell r="K877">
            <v>75</v>
          </cell>
          <cell r="L877">
            <v>40</v>
          </cell>
          <cell r="M877" t="e">
            <v>#N/A</v>
          </cell>
          <cell r="N877">
            <v>68</v>
          </cell>
          <cell r="O877" t="e">
            <v>#N/A</v>
          </cell>
          <cell r="P877" t="str">
            <v/>
          </cell>
          <cell r="Q877" t="str">
            <v/>
          </cell>
          <cell r="R877">
            <v>68</v>
          </cell>
        </row>
        <row r="878">
          <cell r="A878" t="str">
            <v/>
          </cell>
          <cell r="B878" t="str">
            <v/>
          </cell>
          <cell r="C878" t="str">
            <v>Future</v>
          </cell>
          <cell r="D878" t="e">
            <v>#N/A</v>
          </cell>
          <cell r="E878">
            <v>-16.708692521739273</v>
          </cell>
          <cell r="F878">
            <v>77.856524869565916</v>
          </cell>
          <cell r="G878">
            <v>33.726090086957051</v>
          </cell>
          <cell r="H878">
            <v>33.726090086957051</v>
          </cell>
          <cell r="I878" t="e">
            <v>#N/A</v>
          </cell>
          <cell r="J878" t="e">
            <v>#N/A</v>
          </cell>
          <cell r="K878">
            <v>75</v>
          </cell>
          <cell r="L878">
            <v>40</v>
          </cell>
          <cell r="M878" t="e">
            <v>#N/A</v>
          </cell>
          <cell r="N878">
            <v>68</v>
          </cell>
          <cell r="O878" t="e">
            <v>#N/A</v>
          </cell>
          <cell r="P878" t="str">
            <v/>
          </cell>
          <cell r="Q878" t="str">
            <v/>
          </cell>
          <cell r="R878">
            <v>68</v>
          </cell>
        </row>
        <row r="879">
          <cell r="A879" t="str">
            <v/>
          </cell>
          <cell r="B879" t="str">
            <v/>
          </cell>
          <cell r="C879" t="str">
            <v>Future</v>
          </cell>
          <cell r="D879" t="e">
            <v>#N/A</v>
          </cell>
          <cell r="E879">
            <v>-16.961854529644413</v>
          </cell>
          <cell r="F879">
            <v>77.899805549407816</v>
          </cell>
          <cell r="G879">
            <v>33.631030845850333</v>
          </cell>
          <cell r="H879">
            <v>33.631030845850333</v>
          </cell>
          <cell r="I879" t="e">
            <v>#N/A</v>
          </cell>
          <cell r="J879" t="e">
            <v>#N/A</v>
          </cell>
          <cell r="K879">
            <v>75</v>
          </cell>
          <cell r="L879">
            <v>40</v>
          </cell>
          <cell r="M879" t="e">
            <v>#N/A</v>
          </cell>
          <cell r="N879">
            <v>68</v>
          </cell>
          <cell r="O879" t="e">
            <v>#N/A</v>
          </cell>
          <cell r="P879" t="str">
            <v/>
          </cell>
          <cell r="Q879" t="str">
            <v/>
          </cell>
          <cell r="R879">
            <v>68</v>
          </cell>
        </row>
        <row r="880">
          <cell r="A880" t="str">
            <v/>
          </cell>
          <cell r="B880" t="str">
            <v/>
          </cell>
          <cell r="C880" t="str">
            <v>Future</v>
          </cell>
          <cell r="D880" t="e">
            <v>#N/A</v>
          </cell>
          <cell r="E880">
            <v>-17.215016537549552</v>
          </cell>
          <cell r="F880">
            <v>77.943086229249715</v>
          </cell>
          <cell r="G880">
            <v>33.535971604743615</v>
          </cell>
          <cell r="H880">
            <v>33.535971604743615</v>
          </cell>
          <cell r="I880" t="e">
            <v>#N/A</v>
          </cell>
          <cell r="J880" t="e">
            <v>#N/A</v>
          </cell>
          <cell r="K880">
            <v>75</v>
          </cell>
          <cell r="L880">
            <v>40</v>
          </cell>
          <cell r="M880" t="e">
            <v>#N/A</v>
          </cell>
          <cell r="N880">
            <v>68</v>
          </cell>
          <cell r="O880" t="e">
            <v>#N/A</v>
          </cell>
          <cell r="P880" t="str">
            <v/>
          </cell>
          <cell r="Q880" t="str">
            <v/>
          </cell>
          <cell r="R880">
            <v>68</v>
          </cell>
        </row>
        <row r="881">
          <cell r="A881" t="str">
            <v/>
          </cell>
          <cell r="B881" t="str">
            <v/>
          </cell>
          <cell r="C881" t="str">
            <v>Future</v>
          </cell>
          <cell r="D881" t="e">
            <v>#N/A</v>
          </cell>
          <cell r="E881">
            <v>-17.468178545454691</v>
          </cell>
          <cell r="F881">
            <v>77.986366909091615</v>
          </cell>
          <cell r="G881">
            <v>33.440912363636897</v>
          </cell>
          <cell r="H881">
            <v>33.440912363636897</v>
          </cell>
          <cell r="I881" t="e">
            <v>#N/A</v>
          </cell>
          <cell r="J881" t="e">
            <v>#N/A</v>
          </cell>
          <cell r="K881">
            <v>75</v>
          </cell>
          <cell r="L881">
            <v>40</v>
          </cell>
          <cell r="M881" t="e">
            <v>#N/A</v>
          </cell>
          <cell r="N881">
            <v>68</v>
          </cell>
          <cell r="O881" t="e">
            <v>#N/A</v>
          </cell>
          <cell r="P881" t="str">
            <v/>
          </cell>
          <cell r="Q881" t="str">
            <v/>
          </cell>
          <cell r="R881">
            <v>68</v>
          </cell>
        </row>
        <row r="882">
          <cell r="A882" t="str">
            <v/>
          </cell>
          <cell r="B882" t="str">
            <v/>
          </cell>
          <cell r="C882" t="str">
            <v>Future</v>
          </cell>
          <cell r="D882" t="e">
            <v>#N/A</v>
          </cell>
          <cell r="E882">
            <v>-17.72134055335983</v>
          </cell>
          <cell r="F882">
            <v>78.029647588933514</v>
          </cell>
          <cell r="G882">
            <v>33.34585312253018</v>
          </cell>
          <cell r="H882">
            <v>33.34585312253018</v>
          </cell>
          <cell r="I882" t="e">
            <v>#N/A</v>
          </cell>
          <cell r="J882" t="e">
            <v>#N/A</v>
          </cell>
          <cell r="K882">
            <v>75</v>
          </cell>
          <cell r="L882">
            <v>40</v>
          </cell>
          <cell r="M882" t="e">
            <v>#N/A</v>
          </cell>
          <cell r="N882">
            <v>68</v>
          </cell>
          <cell r="O882" t="e">
            <v>#N/A</v>
          </cell>
          <cell r="P882" t="str">
            <v/>
          </cell>
          <cell r="Q882" t="str">
            <v/>
          </cell>
          <cell r="R882">
            <v>68</v>
          </cell>
        </row>
        <row r="883">
          <cell r="A883" t="str">
            <v/>
          </cell>
          <cell r="B883" t="str">
            <v/>
          </cell>
          <cell r="C883" t="str">
            <v>Future</v>
          </cell>
          <cell r="D883" t="e">
            <v>#N/A</v>
          </cell>
          <cell r="E883">
            <v>-17.97450256126497</v>
          </cell>
          <cell r="F883">
            <v>78.072928268775414</v>
          </cell>
          <cell r="G883">
            <v>33.250793881423462</v>
          </cell>
          <cell r="H883">
            <v>33.250793881423462</v>
          </cell>
          <cell r="I883" t="e">
            <v>#N/A</v>
          </cell>
          <cell r="J883" t="e">
            <v>#N/A</v>
          </cell>
          <cell r="K883">
            <v>75</v>
          </cell>
          <cell r="L883">
            <v>40</v>
          </cell>
          <cell r="M883" t="e">
            <v>#N/A</v>
          </cell>
          <cell r="N883">
            <v>68</v>
          </cell>
          <cell r="O883" t="e">
            <v>#N/A</v>
          </cell>
          <cell r="P883" t="str">
            <v/>
          </cell>
          <cell r="Q883" t="str">
            <v/>
          </cell>
          <cell r="R883">
            <v>68</v>
          </cell>
        </row>
        <row r="884">
          <cell r="A884" t="str">
            <v/>
          </cell>
          <cell r="B884" t="str">
            <v/>
          </cell>
          <cell r="C884" t="str">
            <v>Future</v>
          </cell>
          <cell r="D884" t="e">
            <v>#N/A</v>
          </cell>
          <cell r="E884">
            <v>-18.227664569170109</v>
          </cell>
          <cell r="F884">
            <v>78.116208948617313</v>
          </cell>
          <cell r="G884">
            <v>33.155734640316744</v>
          </cell>
          <cell r="H884">
            <v>33.155734640316744</v>
          </cell>
          <cell r="I884" t="e">
            <v>#N/A</v>
          </cell>
          <cell r="J884" t="e">
            <v>#N/A</v>
          </cell>
          <cell r="K884">
            <v>75</v>
          </cell>
          <cell r="L884">
            <v>40</v>
          </cell>
          <cell r="M884" t="e">
            <v>#N/A</v>
          </cell>
          <cell r="N884">
            <v>68</v>
          </cell>
          <cell r="O884" t="e">
            <v>#N/A</v>
          </cell>
          <cell r="P884" t="str">
            <v/>
          </cell>
          <cell r="Q884" t="str">
            <v/>
          </cell>
          <cell r="R884">
            <v>68</v>
          </cell>
        </row>
        <row r="885">
          <cell r="A885" t="str">
            <v/>
          </cell>
          <cell r="B885" t="str">
            <v/>
          </cell>
          <cell r="C885" t="str">
            <v>Future</v>
          </cell>
          <cell r="D885" t="e">
            <v>#N/A</v>
          </cell>
          <cell r="E885">
            <v>-18.480826577075248</v>
          </cell>
          <cell r="F885">
            <v>78.159489628459212</v>
          </cell>
          <cell r="G885">
            <v>33.060675399210027</v>
          </cell>
          <cell r="H885">
            <v>33.060675399210027</v>
          </cell>
          <cell r="I885" t="e">
            <v>#N/A</v>
          </cell>
          <cell r="J885" t="e">
            <v>#N/A</v>
          </cell>
          <cell r="K885">
            <v>75</v>
          </cell>
          <cell r="L885">
            <v>40</v>
          </cell>
          <cell r="M885" t="e">
            <v>#N/A</v>
          </cell>
          <cell r="N885">
            <v>68</v>
          </cell>
          <cell r="O885" t="e">
            <v>#N/A</v>
          </cell>
          <cell r="P885" t="str">
            <v/>
          </cell>
          <cell r="Q885" t="str">
            <v/>
          </cell>
          <cell r="R885">
            <v>68</v>
          </cell>
        </row>
        <row r="886">
          <cell r="A886" t="str">
            <v/>
          </cell>
          <cell r="B886" t="str">
            <v/>
          </cell>
          <cell r="C886" t="str">
            <v>Future</v>
          </cell>
          <cell r="D886" t="e">
            <v>#N/A</v>
          </cell>
          <cell r="E886">
            <v>-18.733988584980388</v>
          </cell>
          <cell r="F886">
            <v>78.202770308301112</v>
          </cell>
          <cell r="G886">
            <v>32.965616158103309</v>
          </cell>
          <cell r="H886">
            <v>32.965616158103309</v>
          </cell>
          <cell r="I886" t="e">
            <v>#N/A</v>
          </cell>
          <cell r="J886" t="e">
            <v>#N/A</v>
          </cell>
          <cell r="K886">
            <v>75</v>
          </cell>
          <cell r="L886">
            <v>40</v>
          </cell>
          <cell r="M886" t="e">
            <v>#N/A</v>
          </cell>
          <cell r="N886">
            <v>68</v>
          </cell>
          <cell r="O886" t="e">
            <v>#N/A</v>
          </cell>
          <cell r="P886" t="str">
            <v/>
          </cell>
          <cell r="Q886" t="str">
            <v/>
          </cell>
          <cell r="R886">
            <v>68</v>
          </cell>
        </row>
        <row r="887">
          <cell r="A887" t="str">
            <v/>
          </cell>
          <cell r="B887" t="str">
            <v/>
          </cell>
          <cell r="C887" t="str">
            <v>Future</v>
          </cell>
          <cell r="D887" t="e">
            <v>#N/A</v>
          </cell>
          <cell r="E887">
            <v>-18.987150592885527</v>
          </cell>
          <cell r="F887">
            <v>78.246050988143011</v>
          </cell>
          <cell r="G887">
            <v>32.870556916996591</v>
          </cell>
          <cell r="H887">
            <v>32.870556916996591</v>
          </cell>
          <cell r="I887" t="e">
            <v>#N/A</v>
          </cell>
          <cell r="J887" t="e">
            <v>#N/A</v>
          </cell>
          <cell r="K887">
            <v>75</v>
          </cell>
          <cell r="L887">
            <v>40</v>
          </cell>
          <cell r="M887" t="e">
            <v>#N/A</v>
          </cell>
          <cell r="N887">
            <v>68</v>
          </cell>
          <cell r="O887" t="e">
            <v>#N/A</v>
          </cell>
          <cell r="P887" t="str">
            <v/>
          </cell>
          <cell r="Q887" t="str">
            <v/>
          </cell>
          <cell r="R887">
            <v>68</v>
          </cell>
        </row>
        <row r="888">
          <cell r="A888" t="str">
            <v/>
          </cell>
          <cell r="B888" t="str">
            <v/>
          </cell>
          <cell r="C888" t="str">
            <v>Future</v>
          </cell>
          <cell r="D888" t="e">
            <v>#N/A</v>
          </cell>
          <cell r="E888">
            <v>-19.240312600790666</v>
          </cell>
          <cell r="F888">
            <v>78.289331667984911</v>
          </cell>
          <cell r="G888">
            <v>32.775497675889874</v>
          </cell>
          <cell r="H888">
            <v>32.775497675889874</v>
          </cell>
          <cell r="I888" t="e">
            <v>#N/A</v>
          </cell>
          <cell r="J888" t="e">
            <v>#N/A</v>
          </cell>
          <cell r="K888">
            <v>75</v>
          </cell>
          <cell r="L888">
            <v>40</v>
          </cell>
          <cell r="M888" t="e">
            <v>#N/A</v>
          </cell>
          <cell r="N888">
            <v>68</v>
          </cell>
          <cell r="O888" t="e">
            <v>#N/A</v>
          </cell>
          <cell r="P888" t="str">
            <v/>
          </cell>
          <cell r="Q888" t="str">
            <v/>
          </cell>
          <cell r="R888">
            <v>68</v>
          </cell>
        </row>
        <row r="889">
          <cell r="A889" t="str">
            <v/>
          </cell>
          <cell r="B889" t="str">
            <v/>
          </cell>
          <cell r="C889" t="str">
            <v>Future</v>
          </cell>
          <cell r="D889" t="e">
            <v>#N/A</v>
          </cell>
          <cell r="E889">
            <v>-19.493474608695806</v>
          </cell>
          <cell r="F889">
            <v>78.33261234782681</v>
          </cell>
          <cell r="G889">
            <v>32.680438434783156</v>
          </cell>
          <cell r="H889">
            <v>32.680438434783156</v>
          </cell>
          <cell r="I889" t="e">
            <v>#N/A</v>
          </cell>
          <cell r="J889" t="e">
            <v>#N/A</v>
          </cell>
          <cell r="K889">
            <v>75</v>
          </cell>
          <cell r="L889">
            <v>40</v>
          </cell>
          <cell r="M889" t="e">
            <v>#N/A</v>
          </cell>
          <cell r="N889">
            <v>68</v>
          </cell>
          <cell r="O889" t="e">
            <v>#N/A</v>
          </cell>
          <cell r="P889" t="str">
            <v/>
          </cell>
          <cell r="Q889" t="str">
            <v/>
          </cell>
          <cell r="R889">
            <v>68</v>
          </cell>
        </row>
        <row r="890">
          <cell r="A890" t="str">
            <v/>
          </cell>
          <cell r="B890" t="str">
            <v/>
          </cell>
          <cell r="C890" t="str">
            <v>Future</v>
          </cell>
          <cell r="D890" t="e">
            <v>#N/A</v>
          </cell>
          <cell r="E890">
            <v>-19.746636616600945</v>
          </cell>
          <cell r="F890">
            <v>78.37589302766871</v>
          </cell>
          <cell r="G890">
            <v>32.585379193676438</v>
          </cell>
          <cell r="H890">
            <v>32.585379193676438</v>
          </cell>
          <cell r="I890" t="e">
            <v>#N/A</v>
          </cell>
          <cell r="J890" t="e">
            <v>#N/A</v>
          </cell>
          <cell r="K890">
            <v>75</v>
          </cell>
          <cell r="L890">
            <v>40</v>
          </cell>
          <cell r="M890" t="e">
            <v>#N/A</v>
          </cell>
          <cell r="N890">
            <v>68</v>
          </cell>
          <cell r="O890" t="e">
            <v>#N/A</v>
          </cell>
          <cell r="P890" t="str">
            <v/>
          </cell>
          <cell r="Q890" t="str">
            <v/>
          </cell>
          <cell r="R890">
            <v>68</v>
          </cell>
        </row>
        <row r="891">
          <cell r="A891" t="str">
            <v/>
          </cell>
          <cell r="B891" t="str">
            <v/>
          </cell>
          <cell r="C891" t="str">
            <v>Future</v>
          </cell>
          <cell r="D891" t="e">
            <v>#N/A</v>
          </cell>
          <cell r="E891">
            <v>-19.999798624506084</v>
          </cell>
          <cell r="F891">
            <v>78.419173707510609</v>
          </cell>
          <cell r="G891">
            <v>32.49031995256972</v>
          </cell>
          <cell r="H891">
            <v>32.49031995256972</v>
          </cell>
          <cell r="I891" t="e">
            <v>#N/A</v>
          </cell>
          <cell r="J891" t="e">
            <v>#N/A</v>
          </cell>
          <cell r="K891">
            <v>75</v>
          </cell>
          <cell r="L891">
            <v>40</v>
          </cell>
          <cell r="M891" t="e">
            <v>#N/A</v>
          </cell>
          <cell r="N891">
            <v>68</v>
          </cell>
          <cell r="O891" t="e">
            <v>#N/A</v>
          </cell>
          <cell r="P891" t="str">
            <v/>
          </cell>
          <cell r="Q891" t="str">
            <v/>
          </cell>
          <cell r="R891">
            <v>68</v>
          </cell>
        </row>
        <row r="892">
          <cell r="A892" t="str">
            <v/>
          </cell>
          <cell r="B892" t="str">
            <v/>
          </cell>
          <cell r="C892" t="str">
            <v>Future</v>
          </cell>
          <cell r="D892" t="e">
            <v>#N/A</v>
          </cell>
          <cell r="E892">
            <v>-20.252960632411224</v>
          </cell>
          <cell r="F892">
            <v>78.462454387352508</v>
          </cell>
          <cell r="G892">
            <v>32.395260711463003</v>
          </cell>
          <cell r="H892">
            <v>32.395260711463003</v>
          </cell>
          <cell r="I892" t="e">
            <v>#N/A</v>
          </cell>
          <cell r="J892" t="e">
            <v>#N/A</v>
          </cell>
          <cell r="K892">
            <v>75</v>
          </cell>
          <cell r="L892">
            <v>40</v>
          </cell>
          <cell r="M892" t="e">
            <v>#N/A</v>
          </cell>
          <cell r="N892">
            <v>68</v>
          </cell>
          <cell r="O892" t="e">
            <v>#N/A</v>
          </cell>
          <cell r="P892" t="str">
            <v/>
          </cell>
          <cell r="Q892" t="str">
            <v/>
          </cell>
          <cell r="R892">
            <v>68</v>
          </cell>
        </row>
        <row r="893">
          <cell r="A893" t="str">
            <v/>
          </cell>
          <cell r="B893" t="str">
            <v/>
          </cell>
          <cell r="C893" t="str">
            <v>Future</v>
          </cell>
          <cell r="D893" t="e">
            <v>#N/A</v>
          </cell>
          <cell r="E893">
            <v>-20.506122640316363</v>
          </cell>
          <cell r="F893">
            <v>78.505735067194408</v>
          </cell>
          <cell r="G893">
            <v>32.300201470356285</v>
          </cell>
          <cell r="H893">
            <v>32.300201470356285</v>
          </cell>
          <cell r="I893" t="e">
            <v>#N/A</v>
          </cell>
          <cell r="J893" t="e">
            <v>#N/A</v>
          </cell>
          <cell r="K893">
            <v>75</v>
          </cell>
          <cell r="L893">
            <v>40</v>
          </cell>
          <cell r="M893" t="e">
            <v>#N/A</v>
          </cell>
          <cell r="N893">
            <v>68</v>
          </cell>
          <cell r="O893" t="e">
            <v>#N/A</v>
          </cell>
          <cell r="P893" t="str">
            <v/>
          </cell>
          <cell r="Q893" t="str">
            <v/>
          </cell>
          <cell r="R893">
            <v>68</v>
          </cell>
        </row>
        <row r="894">
          <cell r="A894" t="str">
            <v/>
          </cell>
          <cell r="B894" t="str">
            <v/>
          </cell>
          <cell r="C894" t="str">
            <v>Future</v>
          </cell>
          <cell r="D894" t="e">
            <v>#N/A</v>
          </cell>
          <cell r="E894">
            <v>-20.759284648221502</v>
          </cell>
          <cell r="F894">
            <v>78.549015747036307</v>
          </cell>
          <cell r="G894">
            <v>32.205142229249567</v>
          </cell>
          <cell r="H894">
            <v>32.205142229249567</v>
          </cell>
          <cell r="I894" t="e">
            <v>#N/A</v>
          </cell>
          <cell r="J894" t="e">
            <v>#N/A</v>
          </cell>
          <cell r="K894">
            <v>75</v>
          </cell>
          <cell r="L894">
            <v>40</v>
          </cell>
          <cell r="M894" t="e">
            <v>#N/A</v>
          </cell>
          <cell r="N894">
            <v>68</v>
          </cell>
          <cell r="O894" t="e">
            <v>#N/A</v>
          </cell>
          <cell r="P894" t="str">
            <v/>
          </cell>
          <cell r="Q894" t="str">
            <v/>
          </cell>
          <cell r="R894">
            <v>68</v>
          </cell>
        </row>
        <row r="895">
          <cell r="A895" t="str">
            <v/>
          </cell>
          <cell r="B895" t="str">
            <v/>
          </cell>
          <cell r="C895" t="str">
            <v>Future</v>
          </cell>
          <cell r="D895" t="e">
            <v>#N/A</v>
          </cell>
          <cell r="E895">
            <v>-21.012446656126642</v>
          </cell>
          <cell r="F895">
            <v>78.592296426878207</v>
          </cell>
          <cell r="G895">
            <v>32.11008298814285</v>
          </cell>
          <cell r="H895">
            <v>32.11008298814285</v>
          </cell>
          <cell r="I895" t="e">
            <v>#N/A</v>
          </cell>
          <cell r="J895" t="e">
            <v>#N/A</v>
          </cell>
          <cell r="K895">
            <v>75</v>
          </cell>
          <cell r="L895">
            <v>40</v>
          </cell>
          <cell r="M895" t="e">
            <v>#N/A</v>
          </cell>
          <cell r="N895">
            <v>68</v>
          </cell>
          <cell r="O895" t="e">
            <v>#N/A</v>
          </cell>
          <cell r="P895" t="str">
            <v/>
          </cell>
          <cell r="Q895" t="str">
            <v/>
          </cell>
          <cell r="R895">
            <v>68</v>
          </cell>
        </row>
        <row r="896">
          <cell r="A896" t="str">
            <v/>
          </cell>
          <cell r="B896" t="str">
            <v/>
          </cell>
          <cell r="C896" t="str">
            <v>Future</v>
          </cell>
          <cell r="D896" t="e">
            <v>#N/A</v>
          </cell>
          <cell r="E896">
            <v>-21.265608664031781</v>
          </cell>
          <cell r="F896">
            <v>78.635577106720106</v>
          </cell>
          <cell r="G896">
            <v>32.015023747036132</v>
          </cell>
          <cell r="H896">
            <v>32.015023747036132</v>
          </cell>
          <cell r="I896" t="e">
            <v>#N/A</v>
          </cell>
          <cell r="J896" t="e">
            <v>#N/A</v>
          </cell>
          <cell r="K896">
            <v>75</v>
          </cell>
          <cell r="L896">
            <v>40</v>
          </cell>
          <cell r="M896" t="e">
            <v>#N/A</v>
          </cell>
          <cell r="N896">
            <v>68</v>
          </cell>
          <cell r="O896" t="e">
            <v>#N/A</v>
          </cell>
          <cell r="P896" t="str">
            <v/>
          </cell>
          <cell r="Q896" t="str">
            <v/>
          </cell>
          <cell r="R896">
            <v>68</v>
          </cell>
        </row>
        <row r="897">
          <cell r="A897" t="str">
            <v/>
          </cell>
          <cell r="B897" t="str">
            <v/>
          </cell>
          <cell r="C897" t="str">
            <v>Future</v>
          </cell>
          <cell r="D897" t="e">
            <v>#N/A</v>
          </cell>
          <cell r="E897">
            <v>-21.51877067193692</v>
          </cell>
          <cell r="F897">
            <v>78.678857786562006</v>
          </cell>
          <cell r="G897">
            <v>31.919964505929414</v>
          </cell>
          <cell r="H897">
            <v>31.919964505929414</v>
          </cell>
          <cell r="I897" t="e">
            <v>#N/A</v>
          </cell>
          <cell r="J897" t="e">
            <v>#N/A</v>
          </cell>
          <cell r="K897">
            <v>75</v>
          </cell>
          <cell r="L897">
            <v>40</v>
          </cell>
          <cell r="M897" t="e">
            <v>#N/A</v>
          </cell>
          <cell r="N897">
            <v>68</v>
          </cell>
          <cell r="O897" t="e">
            <v>#N/A</v>
          </cell>
          <cell r="P897" t="str">
            <v/>
          </cell>
          <cell r="Q897" t="str">
            <v/>
          </cell>
          <cell r="R897">
            <v>68</v>
          </cell>
        </row>
        <row r="898">
          <cell r="A898" t="str">
            <v/>
          </cell>
          <cell r="B898" t="str">
            <v/>
          </cell>
          <cell r="C898" t="str">
            <v>Future</v>
          </cell>
          <cell r="D898" t="e">
            <v>#N/A</v>
          </cell>
          <cell r="E898">
            <v>-21.77193267984206</v>
          </cell>
          <cell r="F898">
            <v>78.722138466403905</v>
          </cell>
          <cell r="G898">
            <v>31.824905264822696</v>
          </cell>
          <cell r="H898">
            <v>31.824905264822696</v>
          </cell>
          <cell r="I898" t="e">
            <v>#N/A</v>
          </cell>
          <cell r="J898" t="e">
            <v>#N/A</v>
          </cell>
          <cell r="K898">
            <v>75</v>
          </cell>
          <cell r="L898">
            <v>40</v>
          </cell>
          <cell r="M898" t="e">
            <v>#N/A</v>
          </cell>
          <cell r="N898">
            <v>68</v>
          </cell>
          <cell r="O898" t="e">
            <v>#N/A</v>
          </cell>
          <cell r="P898" t="str">
            <v/>
          </cell>
          <cell r="Q898" t="str">
            <v/>
          </cell>
          <cell r="R898">
            <v>68</v>
          </cell>
        </row>
        <row r="899">
          <cell r="A899" t="str">
            <v/>
          </cell>
          <cell r="B899" t="str">
            <v/>
          </cell>
          <cell r="C899" t="str">
            <v>Future</v>
          </cell>
          <cell r="D899" t="e">
            <v>#N/A</v>
          </cell>
          <cell r="E899">
            <v>-22.025094687747199</v>
          </cell>
          <cell r="F899">
            <v>78.765419146245804</v>
          </cell>
          <cell r="G899">
            <v>31.729846023715979</v>
          </cell>
          <cell r="H899">
            <v>31.729846023715979</v>
          </cell>
          <cell r="I899" t="e">
            <v>#N/A</v>
          </cell>
          <cell r="J899" t="e">
            <v>#N/A</v>
          </cell>
          <cell r="K899">
            <v>75</v>
          </cell>
          <cell r="L899">
            <v>40</v>
          </cell>
          <cell r="M899" t="e">
            <v>#N/A</v>
          </cell>
          <cell r="N899">
            <v>68</v>
          </cell>
          <cell r="O899" t="e">
            <v>#N/A</v>
          </cell>
          <cell r="P899" t="str">
            <v/>
          </cell>
          <cell r="Q899" t="str">
            <v/>
          </cell>
          <cell r="R899">
            <v>68</v>
          </cell>
        </row>
        <row r="900">
          <cell r="A900" t="str">
            <v/>
          </cell>
          <cell r="B900" t="str">
            <v/>
          </cell>
          <cell r="C900" t="str">
            <v>Future</v>
          </cell>
          <cell r="D900" t="e">
            <v>#N/A</v>
          </cell>
          <cell r="E900">
            <v>-22.278256695652338</v>
          </cell>
          <cell r="F900">
            <v>78.808699826087704</v>
          </cell>
          <cell r="G900">
            <v>31.634786782609261</v>
          </cell>
          <cell r="H900">
            <v>31.634786782609261</v>
          </cell>
          <cell r="I900" t="e">
            <v>#N/A</v>
          </cell>
          <cell r="J900" t="e">
            <v>#N/A</v>
          </cell>
          <cell r="K900">
            <v>75</v>
          </cell>
          <cell r="L900">
            <v>40</v>
          </cell>
          <cell r="M900" t="e">
            <v>#N/A</v>
          </cell>
          <cell r="N900">
            <v>68</v>
          </cell>
          <cell r="O900" t="e">
            <v>#N/A</v>
          </cell>
          <cell r="P900" t="str">
            <v/>
          </cell>
          <cell r="Q900" t="str">
            <v/>
          </cell>
          <cell r="R900">
            <v>68</v>
          </cell>
        </row>
        <row r="901">
          <cell r="A901" t="str">
            <v/>
          </cell>
          <cell r="B901" t="str">
            <v/>
          </cell>
          <cell r="C901" t="str">
            <v>Future</v>
          </cell>
          <cell r="D901" t="e">
            <v>#N/A</v>
          </cell>
          <cell r="E901">
            <v>-22.531418703557478</v>
          </cell>
          <cell r="F901">
            <v>78.851980505929603</v>
          </cell>
          <cell r="G901">
            <v>31.539727541502543</v>
          </cell>
          <cell r="H901">
            <v>31.539727541502543</v>
          </cell>
          <cell r="I901" t="e">
            <v>#N/A</v>
          </cell>
          <cell r="J901" t="e">
            <v>#N/A</v>
          </cell>
          <cell r="K901">
            <v>75</v>
          </cell>
          <cell r="L901">
            <v>40</v>
          </cell>
          <cell r="M901" t="e">
            <v>#N/A</v>
          </cell>
          <cell r="N901">
            <v>68</v>
          </cell>
          <cell r="O901" t="e">
            <v>#N/A</v>
          </cell>
          <cell r="P901" t="str">
            <v/>
          </cell>
          <cell r="Q901" t="str">
            <v/>
          </cell>
          <cell r="R901">
            <v>68</v>
          </cell>
        </row>
        <row r="902">
          <cell r="A902" t="str">
            <v/>
          </cell>
          <cell r="B902" t="str">
            <v/>
          </cell>
          <cell r="C902" t="str">
            <v>Future</v>
          </cell>
          <cell r="D902" t="e">
            <v>#N/A</v>
          </cell>
          <cell r="E902">
            <v>-22.784580711462617</v>
          </cell>
          <cell r="F902">
            <v>78.895261185771503</v>
          </cell>
          <cell r="G902">
            <v>31.444668300395826</v>
          </cell>
          <cell r="H902">
            <v>31.444668300395826</v>
          </cell>
          <cell r="I902" t="e">
            <v>#N/A</v>
          </cell>
          <cell r="J902" t="e">
            <v>#N/A</v>
          </cell>
          <cell r="K902">
            <v>75</v>
          </cell>
          <cell r="L902">
            <v>40</v>
          </cell>
          <cell r="M902" t="e">
            <v>#N/A</v>
          </cell>
          <cell r="N902">
            <v>68</v>
          </cell>
          <cell r="O902" t="e">
            <v>#N/A</v>
          </cell>
          <cell r="P902" t="str">
            <v/>
          </cell>
          <cell r="Q902" t="str">
            <v/>
          </cell>
          <cell r="R902">
            <v>68</v>
          </cell>
        </row>
        <row r="903">
          <cell r="A903" t="str">
            <v/>
          </cell>
          <cell r="B903" t="str">
            <v/>
          </cell>
          <cell r="C903" t="str">
            <v>Future</v>
          </cell>
          <cell r="D903" t="e">
            <v>#N/A</v>
          </cell>
          <cell r="E903">
            <v>-23.037742719367756</v>
          </cell>
          <cell r="F903">
            <v>78.938541865613402</v>
          </cell>
          <cell r="G903">
            <v>31.349609059289108</v>
          </cell>
          <cell r="H903">
            <v>31.349609059289108</v>
          </cell>
          <cell r="I903" t="e">
            <v>#N/A</v>
          </cell>
          <cell r="J903" t="e">
            <v>#N/A</v>
          </cell>
          <cell r="K903">
            <v>75</v>
          </cell>
          <cell r="L903">
            <v>40</v>
          </cell>
          <cell r="M903" t="e">
            <v>#N/A</v>
          </cell>
          <cell r="N903">
            <v>68</v>
          </cell>
          <cell r="O903" t="e">
            <v>#N/A</v>
          </cell>
          <cell r="P903" t="str">
            <v/>
          </cell>
          <cell r="Q903" t="str">
            <v/>
          </cell>
          <cell r="R903">
            <v>68</v>
          </cell>
        </row>
        <row r="904">
          <cell r="A904" t="str">
            <v/>
          </cell>
          <cell r="B904" t="str">
            <v/>
          </cell>
          <cell r="C904" t="str">
            <v>Future</v>
          </cell>
          <cell r="D904" t="e">
            <v>#N/A</v>
          </cell>
          <cell r="E904">
            <v>-23.290904727272896</v>
          </cell>
          <cell r="F904">
            <v>78.981822545455302</v>
          </cell>
          <cell r="G904">
            <v>31.25454981818239</v>
          </cell>
          <cell r="H904">
            <v>31.25454981818239</v>
          </cell>
          <cell r="I904" t="e">
            <v>#N/A</v>
          </cell>
          <cell r="J904" t="e">
            <v>#N/A</v>
          </cell>
          <cell r="K904">
            <v>75</v>
          </cell>
          <cell r="L904">
            <v>40</v>
          </cell>
          <cell r="M904" t="e">
            <v>#N/A</v>
          </cell>
          <cell r="N904">
            <v>68</v>
          </cell>
          <cell r="O904" t="e">
            <v>#N/A</v>
          </cell>
          <cell r="P904" t="str">
            <v/>
          </cell>
          <cell r="Q904" t="str">
            <v/>
          </cell>
          <cell r="R904">
            <v>68</v>
          </cell>
        </row>
        <row r="905">
          <cell r="A905" t="str">
            <v/>
          </cell>
          <cell r="B905" t="str">
            <v/>
          </cell>
          <cell r="C905" t="str">
            <v>Future</v>
          </cell>
          <cell r="D905" t="e">
            <v>#N/A</v>
          </cell>
          <cell r="E905">
            <v>-23.544066735178035</v>
          </cell>
          <cell r="F905">
            <v>79.025103225297201</v>
          </cell>
          <cell r="G905">
            <v>31.159490577075672</v>
          </cell>
          <cell r="H905">
            <v>31.159490577075672</v>
          </cell>
          <cell r="I905" t="e">
            <v>#N/A</v>
          </cell>
          <cell r="J905" t="e">
            <v>#N/A</v>
          </cell>
          <cell r="K905">
            <v>75</v>
          </cell>
          <cell r="L905">
            <v>40</v>
          </cell>
          <cell r="M905" t="e">
            <v>#N/A</v>
          </cell>
          <cell r="N905">
            <v>68</v>
          </cell>
          <cell r="O905" t="e">
            <v>#N/A</v>
          </cell>
          <cell r="P905" t="str">
            <v/>
          </cell>
          <cell r="Q905" t="str">
            <v/>
          </cell>
          <cell r="R905">
            <v>68</v>
          </cell>
        </row>
        <row r="906">
          <cell r="A906" t="str">
            <v/>
          </cell>
          <cell r="B906" t="str">
            <v/>
          </cell>
          <cell r="C906" t="str">
            <v>Future</v>
          </cell>
          <cell r="D906" t="e">
            <v>#N/A</v>
          </cell>
          <cell r="E906">
            <v>-23.797228743083174</v>
          </cell>
          <cell r="F906">
            <v>79.0683839051391</v>
          </cell>
          <cell r="G906">
            <v>31.064431335968955</v>
          </cell>
          <cell r="H906">
            <v>31.064431335968955</v>
          </cell>
          <cell r="I906" t="e">
            <v>#N/A</v>
          </cell>
          <cell r="J906" t="e">
            <v>#N/A</v>
          </cell>
          <cell r="K906">
            <v>75</v>
          </cell>
          <cell r="L906">
            <v>40</v>
          </cell>
          <cell r="M906" t="e">
            <v>#N/A</v>
          </cell>
          <cell r="N906">
            <v>68</v>
          </cell>
          <cell r="O906" t="e">
            <v>#N/A</v>
          </cell>
          <cell r="P906" t="str">
            <v/>
          </cell>
          <cell r="Q906" t="str">
            <v/>
          </cell>
          <cell r="R906">
            <v>68</v>
          </cell>
        </row>
        <row r="907">
          <cell r="A907" t="str">
            <v/>
          </cell>
          <cell r="B907" t="str">
            <v/>
          </cell>
          <cell r="C907" t="str">
            <v>Future</v>
          </cell>
          <cell r="D907" t="e">
            <v>#N/A</v>
          </cell>
          <cell r="E907">
            <v>-24.050390750988313</v>
          </cell>
          <cell r="F907">
            <v>79.111664584981</v>
          </cell>
          <cell r="G907">
            <v>30.969372094862237</v>
          </cell>
          <cell r="H907">
            <v>30.969372094862237</v>
          </cell>
          <cell r="I907" t="e">
            <v>#N/A</v>
          </cell>
          <cell r="J907" t="e">
            <v>#N/A</v>
          </cell>
          <cell r="K907">
            <v>75</v>
          </cell>
          <cell r="L907">
            <v>40</v>
          </cell>
          <cell r="M907" t="e">
            <v>#N/A</v>
          </cell>
          <cell r="N907">
            <v>68</v>
          </cell>
          <cell r="O907" t="e">
            <v>#N/A</v>
          </cell>
          <cell r="P907" t="str">
            <v/>
          </cell>
          <cell r="Q907" t="str">
            <v/>
          </cell>
          <cell r="R907">
            <v>68</v>
          </cell>
        </row>
        <row r="908">
          <cell r="A908" t="str">
            <v/>
          </cell>
          <cell r="B908" t="str">
            <v/>
          </cell>
          <cell r="C908" t="str">
            <v>Future</v>
          </cell>
          <cell r="D908" t="e">
            <v>#N/A</v>
          </cell>
          <cell r="E908">
            <v>-24.303552758893453</v>
          </cell>
          <cell r="F908">
            <v>79.154945264822899</v>
          </cell>
          <cell r="G908">
            <v>30.874312853755519</v>
          </cell>
          <cell r="H908">
            <v>30.874312853755519</v>
          </cell>
          <cell r="I908" t="e">
            <v>#N/A</v>
          </cell>
          <cell r="J908" t="e">
            <v>#N/A</v>
          </cell>
          <cell r="K908">
            <v>75</v>
          </cell>
          <cell r="L908">
            <v>40</v>
          </cell>
          <cell r="M908" t="e">
            <v>#N/A</v>
          </cell>
          <cell r="N908">
            <v>68</v>
          </cell>
          <cell r="O908" t="e">
            <v>#N/A</v>
          </cell>
          <cell r="P908" t="str">
            <v/>
          </cell>
          <cell r="Q908" t="str">
            <v/>
          </cell>
          <cell r="R908">
            <v>68</v>
          </cell>
        </row>
        <row r="909">
          <cell r="A909" t="str">
            <v/>
          </cell>
          <cell r="B909" t="str">
            <v/>
          </cell>
          <cell r="C909" t="str">
            <v>Future</v>
          </cell>
          <cell r="D909" t="e">
            <v>#N/A</v>
          </cell>
          <cell r="E909">
            <v>-24.556714766798592</v>
          </cell>
          <cell r="F909">
            <v>79.198225944664799</v>
          </cell>
          <cell r="G909">
            <v>30.779253612648802</v>
          </cell>
          <cell r="H909">
            <v>30.779253612648802</v>
          </cell>
          <cell r="I909" t="e">
            <v>#N/A</v>
          </cell>
          <cell r="J909" t="e">
            <v>#N/A</v>
          </cell>
          <cell r="K909">
            <v>75</v>
          </cell>
          <cell r="L909">
            <v>40</v>
          </cell>
          <cell r="M909" t="e">
            <v>#N/A</v>
          </cell>
          <cell r="N909">
            <v>68</v>
          </cell>
          <cell r="O909" t="e">
            <v>#N/A</v>
          </cell>
          <cell r="P909" t="str">
            <v/>
          </cell>
          <cell r="Q909" t="str">
            <v/>
          </cell>
          <cell r="R909">
            <v>68</v>
          </cell>
        </row>
        <row r="910">
          <cell r="A910" t="str">
            <v/>
          </cell>
          <cell r="B910" t="str">
            <v/>
          </cell>
          <cell r="C910" t="str">
            <v>Future</v>
          </cell>
          <cell r="D910" t="e">
            <v>#N/A</v>
          </cell>
          <cell r="E910">
            <v>-24.809876774703731</v>
          </cell>
          <cell r="F910">
            <v>79.241506624506698</v>
          </cell>
          <cell r="G910">
            <v>30.684194371542084</v>
          </cell>
          <cell r="H910">
            <v>30.684194371542084</v>
          </cell>
          <cell r="I910" t="e">
            <v>#N/A</v>
          </cell>
          <cell r="J910" t="e">
            <v>#N/A</v>
          </cell>
          <cell r="K910">
            <v>75</v>
          </cell>
          <cell r="L910">
            <v>40</v>
          </cell>
          <cell r="M910" t="e">
            <v>#N/A</v>
          </cell>
          <cell r="N910">
            <v>68</v>
          </cell>
          <cell r="O910" t="e">
            <v>#N/A</v>
          </cell>
          <cell r="P910" t="str">
            <v/>
          </cell>
          <cell r="Q910" t="str">
            <v/>
          </cell>
          <cell r="R910">
            <v>68</v>
          </cell>
        </row>
        <row r="911">
          <cell r="A911" t="str">
            <v/>
          </cell>
          <cell r="B911" t="str">
            <v/>
          </cell>
          <cell r="C911" t="str">
            <v>Future</v>
          </cell>
          <cell r="D911" t="e">
            <v>#N/A</v>
          </cell>
          <cell r="E911">
            <v>-25.063038782608871</v>
          </cell>
          <cell r="F911">
            <v>79.284787304348598</v>
          </cell>
          <cell r="G911">
            <v>30.589135130435366</v>
          </cell>
          <cell r="H911">
            <v>30.589135130435366</v>
          </cell>
          <cell r="I911" t="e">
            <v>#N/A</v>
          </cell>
          <cell r="J911" t="e">
            <v>#N/A</v>
          </cell>
          <cell r="K911">
            <v>75</v>
          </cell>
          <cell r="L911">
            <v>40</v>
          </cell>
          <cell r="M911" t="e">
            <v>#N/A</v>
          </cell>
          <cell r="N911">
            <v>68</v>
          </cell>
          <cell r="O911" t="e">
            <v>#N/A</v>
          </cell>
          <cell r="P911" t="str">
            <v/>
          </cell>
          <cell r="Q911" t="str">
            <v/>
          </cell>
          <cell r="R911">
            <v>68</v>
          </cell>
        </row>
        <row r="912">
          <cell r="A912" t="str">
            <v/>
          </cell>
          <cell r="B912" t="str">
            <v/>
          </cell>
          <cell r="C912" t="str">
            <v>Future</v>
          </cell>
          <cell r="D912" t="e">
            <v>#N/A</v>
          </cell>
          <cell r="E912">
            <v>-25.31620079051401</v>
          </cell>
          <cell r="F912">
            <v>79.328067984190497</v>
          </cell>
          <cell r="G912">
            <v>30.494075889328649</v>
          </cell>
          <cell r="H912">
            <v>30.494075889328649</v>
          </cell>
          <cell r="I912" t="e">
            <v>#N/A</v>
          </cell>
          <cell r="J912" t="e">
            <v>#N/A</v>
          </cell>
          <cell r="K912">
            <v>75</v>
          </cell>
          <cell r="L912">
            <v>40</v>
          </cell>
          <cell r="M912" t="e">
            <v>#N/A</v>
          </cell>
          <cell r="N912">
            <v>68</v>
          </cell>
          <cell r="O912" t="e">
            <v>#N/A</v>
          </cell>
          <cell r="P912" t="str">
            <v/>
          </cell>
          <cell r="Q912" t="str">
            <v/>
          </cell>
          <cell r="R912">
            <v>68</v>
          </cell>
        </row>
        <row r="913">
          <cell r="A913" t="str">
            <v/>
          </cell>
          <cell r="B913" t="str">
            <v/>
          </cell>
          <cell r="C913" t="str">
            <v>Future</v>
          </cell>
          <cell r="D913" t="e">
            <v>#N/A</v>
          </cell>
          <cell r="E913">
            <v>-25.569362798419149</v>
          </cell>
          <cell r="F913">
            <v>79.371348664032396</v>
          </cell>
          <cell r="G913">
            <v>30.399016648221931</v>
          </cell>
          <cell r="H913">
            <v>30.399016648221931</v>
          </cell>
          <cell r="I913" t="e">
            <v>#N/A</v>
          </cell>
          <cell r="J913" t="e">
            <v>#N/A</v>
          </cell>
          <cell r="K913">
            <v>75</v>
          </cell>
          <cell r="L913">
            <v>40</v>
          </cell>
          <cell r="M913" t="e">
            <v>#N/A</v>
          </cell>
          <cell r="N913">
            <v>68</v>
          </cell>
          <cell r="O913" t="e">
            <v>#N/A</v>
          </cell>
          <cell r="P913" t="str">
            <v/>
          </cell>
          <cell r="Q913" t="str">
            <v/>
          </cell>
          <cell r="R913">
            <v>68</v>
          </cell>
        </row>
        <row r="914">
          <cell r="A914" t="str">
            <v/>
          </cell>
          <cell r="B914" t="str">
            <v/>
          </cell>
          <cell r="C914" t="str">
            <v>Future</v>
          </cell>
          <cell r="D914" t="e">
            <v>#N/A</v>
          </cell>
          <cell r="E914">
            <v>-25.822524806324289</v>
          </cell>
          <cell r="F914">
            <v>79.414629343874296</v>
          </cell>
          <cell r="G914">
            <v>30.303957407115213</v>
          </cell>
          <cell r="H914">
            <v>30.303957407115213</v>
          </cell>
          <cell r="I914" t="e">
            <v>#N/A</v>
          </cell>
          <cell r="J914" t="e">
            <v>#N/A</v>
          </cell>
          <cell r="K914">
            <v>75</v>
          </cell>
          <cell r="L914">
            <v>40</v>
          </cell>
          <cell r="M914" t="e">
            <v>#N/A</v>
          </cell>
          <cell r="N914">
            <v>68</v>
          </cell>
          <cell r="O914" t="e">
            <v>#N/A</v>
          </cell>
          <cell r="P914" t="str">
            <v/>
          </cell>
          <cell r="Q914" t="str">
            <v/>
          </cell>
          <cell r="R914">
            <v>68</v>
          </cell>
        </row>
        <row r="915">
          <cell r="A915" t="str">
            <v/>
          </cell>
          <cell r="B915" t="str">
            <v/>
          </cell>
          <cell r="C915" t="str">
            <v>Future</v>
          </cell>
          <cell r="D915" t="e">
            <v>#N/A</v>
          </cell>
          <cell r="E915">
            <v>-26.075686814229428</v>
          </cell>
          <cell r="F915">
            <v>79.457910023716195</v>
          </cell>
          <cell r="G915">
            <v>30.208898166008495</v>
          </cell>
          <cell r="H915">
            <v>30.208898166008495</v>
          </cell>
          <cell r="I915" t="e">
            <v>#N/A</v>
          </cell>
          <cell r="J915" t="e">
            <v>#N/A</v>
          </cell>
          <cell r="K915">
            <v>75</v>
          </cell>
          <cell r="L915">
            <v>40</v>
          </cell>
          <cell r="M915" t="e">
            <v>#N/A</v>
          </cell>
          <cell r="N915">
            <v>68</v>
          </cell>
          <cell r="O915" t="e">
            <v>#N/A</v>
          </cell>
          <cell r="P915" t="str">
            <v/>
          </cell>
          <cell r="Q915" t="str">
            <v/>
          </cell>
          <cell r="R915">
            <v>68</v>
          </cell>
        </row>
        <row r="916">
          <cell r="A916" t="str">
            <v/>
          </cell>
          <cell r="B916" t="str">
            <v/>
          </cell>
          <cell r="C916" t="str">
            <v>Future</v>
          </cell>
          <cell r="D916" t="e">
            <v>#N/A</v>
          </cell>
          <cell r="E916">
            <v>-26.328848822134567</v>
          </cell>
          <cell r="F916">
            <v>79.501190703558095</v>
          </cell>
          <cell r="G916">
            <v>30.113838924901778</v>
          </cell>
          <cell r="H916">
            <v>30.113838924901778</v>
          </cell>
          <cell r="I916" t="e">
            <v>#N/A</v>
          </cell>
          <cell r="J916" t="e">
            <v>#N/A</v>
          </cell>
          <cell r="K916">
            <v>75</v>
          </cell>
          <cell r="L916">
            <v>40</v>
          </cell>
          <cell r="M916" t="e">
            <v>#N/A</v>
          </cell>
          <cell r="N916">
            <v>68</v>
          </cell>
          <cell r="O916" t="e">
            <v>#N/A</v>
          </cell>
          <cell r="P916" t="str">
            <v/>
          </cell>
          <cell r="Q916" t="str">
            <v/>
          </cell>
          <cell r="R916">
            <v>68</v>
          </cell>
        </row>
        <row r="917">
          <cell r="A917" t="str">
            <v/>
          </cell>
          <cell r="B917" t="str">
            <v/>
          </cell>
          <cell r="C917" t="str">
            <v>Future</v>
          </cell>
          <cell r="D917" t="e">
            <v>#N/A</v>
          </cell>
          <cell r="E917">
            <v>-26.582010830039707</v>
          </cell>
          <cell r="F917">
            <v>79.544471383399994</v>
          </cell>
          <cell r="G917">
            <v>30.01877968379506</v>
          </cell>
          <cell r="H917">
            <v>30.01877968379506</v>
          </cell>
          <cell r="I917" t="e">
            <v>#N/A</v>
          </cell>
          <cell r="J917" t="e">
            <v>#N/A</v>
          </cell>
          <cell r="K917">
            <v>75</v>
          </cell>
          <cell r="L917">
            <v>40</v>
          </cell>
          <cell r="M917" t="e">
            <v>#N/A</v>
          </cell>
          <cell r="N917">
            <v>68</v>
          </cell>
          <cell r="O917" t="e">
            <v>#N/A</v>
          </cell>
          <cell r="P917" t="str">
            <v/>
          </cell>
          <cell r="Q917" t="str">
            <v/>
          </cell>
          <cell r="R917">
            <v>68</v>
          </cell>
        </row>
        <row r="918">
          <cell r="A918" t="str">
            <v/>
          </cell>
          <cell r="B918" t="str">
            <v/>
          </cell>
          <cell r="C918" t="str">
            <v>Future</v>
          </cell>
          <cell r="D918" t="e">
            <v>#N/A</v>
          </cell>
          <cell r="E918">
            <v>-26.835172837944846</v>
          </cell>
          <cell r="F918">
            <v>79.587752063241894</v>
          </cell>
          <cell r="G918">
            <v>29.923720442688342</v>
          </cell>
          <cell r="H918">
            <v>29.923720442688342</v>
          </cell>
          <cell r="I918" t="e">
            <v>#N/A</v>
          </cell>
          <cell r="J918" t="e">
            <v>#N/A</v>
          </cell>
          <cell r="K918">
            <v>75</v>
          </cell>
          <cell r="L918">
            <v>40</v>
          </cell>
          <cell r="M918" t="e">
            <v>#N/A</v>
          </cell>
          <cell r="N918">
            <v>68</v>
          </cell>
          <cell r="O918" t="e">
            <v>#N/A</v>
          </cell>
          <cell r="P918" t="str">
            <v/>
          </cell>
          <cell r="Q918" t="str">
            <v/>
          </cell>
          <cell r="R918">
            <v>68</v>
          </cell>
        </row>
        <row r="919">
          <cell r="A919" t="str">
            <v/>
          </cell>
          <cell r="B919" t="str">
            <v/>
          </cell>
          <cell r="C919" t="str">
            <v>Future</v>
          </cell>
          <cell r="D919" t="e">
            <v>#N/A</v>
          </cell>
          <cell r="E919">
            <v>-27.088334845849985</v>
          </cell>
          <cell r="F919">
            <v>79.631032743083793</v>
          </cell>
          <cell r="G919">
            <v>29.828661201581625</v>
          </cell>
          <cell r="H919">
            <v>29.828661201581625</v>
          </cell>
          <cell r="I919" t="e">
            <v>#N/A</v>
          </cell>
          <cell r="J919" t="e">
            <v>#N/A</v>
          </cell>
          <cell r="K919">
            <v>75</v>
          </cell>
          <cell r="L919">
            <v>40</v>
          </cell>
          <cell r="M919" t="e">
            <v>#N/A</v>
          </cell>
          <cell r="N919">
            <v>68</v>
          </cell>
          <cell r="O919" t="e">
            <v>#N/A</v>
          </cell>
          <cell r="P919" t="str">
            <v/>
          </cell>
          <cell r="Q919" t="str">
            <v/>
          </cell>
          <cell r="R919">
            <v>68</v>
          </cell>
        </row>
        <row r="920">
          <cell r="A920" t="str">
            <v/>
          </cell>
          <cell r="B920" t="str">
            <v/>
          </cell>
          <cell r="C920" t="str">
            <v>Future</v>
          </cell>
          <cell r="D920" t="e">
            <v>#N/A</v>
          </cell>
          <cell r="E920">
            <v>-27.341496853755125</v>
          </cell>
          <cell r="F920">
            <v>79.674313422925692</v>
          </cell>
          <cell r="G920">
            <v>29.733601960474907</v>
          </cell>
          <cell r="H920">
            <v>29.733601960474907</v>
          </cell>
          <cell r="I920" t="e">
            <v>#N/A</v>
          </cell>
          <cell r="J920" t="e">
            <v>#N/A</v>
          </cell>
          <cell r="K920">
            <v>75</v>
          </cell>
          <cell r="L920">
            <v>40</v>
          </cell>
          <cell r="M920" t="e">
            <v>#N/A</v>
          </cell>
          <cell r="N920">
            <v>68</v>
          </cell>
          <cell r="O920" t="e">
            <v>#N/A</v>
          </cell>
          <cell r="P920" t="str">
            <v/>
          </cell>
          <cell r="Q920" t="str">
            <v/>
          </cell>
          <cell r="R920">
            <v>68</v>
          </cell>
        </row>
        <row r="921">
          <cell r="A921" t="str">
            <v/>
          </cell>
          <cell r="B921" t="str">
            <v/>
          </cell>
          <cell r="C921" t="str">
            <v>Future</v>
          </cell>
          <cell r="D921" t="e">
            <v>#N/A</v>
          </cell>
          <cell r="E921">
            <v>-27.594658861660264</v>
          </cell>
          <cell r="F921">
            <v>79.717594102767592</v>
          </cell>
          <cell r="G921">
            <v>29.638542719368189</v>
          </cell>
          <cell r="H921">
            <v>29.638542719368189</v>
          </cell>
          <cell r="I921" t="e">
            <v>#N/A</v>
          </cell>
          <cell r="J921" t="e">
            <v>#N/A</v>
          </cell>
          <cell r="K921">
            <v>75</v>
          </cell>
          <cell r="L921">
            <v>40</v>
          </cell>
          <cell r="M921" t="e">
            <v>#N/A</v>
          </cell>
          <cell r="N921">
            <v>68</v>
          </cell>
          <cell r="O921" t="e">
            <v>#N/A</v>
          </cell>
          <cell r="P921" t="str">
            <v/>
          </cell>
          <cell r="Q921" t="str">
            <v/>
          </cell>
          <cell r="R921">
            <v>68</v>
          </cell>
        </row>
        <row r="922">
          <cell r="A922" t="str">
            <v/>
          </cell>
          <cell r="B922" t="str">
            <v/>
          </cell>
          <cell r="C922" t="str">
            <v>Future</v>
          </cell>
          <cell r="D922" t="e">
            <v>#N/A</v>
          </cell>
          <cell r="E922">
            <v>-27.847820869565403</v>
          </cell>
          <cell r="F922">
            <v>79.760874782609491</v>
          </cell>
          <cell r="G922">
            <v>29.543483478261471</v>
          </cell>
          <cell r="H922">
            <v>29.543483478261471</v>
          </cell>
          <cell r="I922" t="e">
            <v>#N/A</v>
          </cell>
          <cell r="J922" t="e">
            <v>#N/A</v>
          </cell>
          <cell r="K922">
            <v>75</v>
          </cell>
          <cell r="L922">
            <v>40</v>
          </cell>
          <cell r="M922" t="e">
            <v>#N/A</v>
          </cell>
          <cell r="N922">
            <v>68</v>
          </cell>
          <cell r="O922" t="e">
            <v>#N/A</v>
          </cell>
          <cell r="P922" t="str">
            <v/>
          </cell>
          <cell r="Q922" t="str">
            <v/>
          </cell>
          <cell r="R922">
            <v>68</v>
          </cell>
        </row>
        <row r="923">
          <cell r="A923" t="str">
            <v/>
          </cell>
          <cell r="B923" t="str">
            <v/>
          </cell>
          <cell r="C923" t="str">
            <v>Future</v>
          </cell>
          <cell r="D923" t="e">
            <v>#N/A</v>
          </cell>
          <cell r="E923">
            <v>-28.100982877470543</v>
          </cell>
          <cell r="F923">
            <v>79.804155462451391</v>
          </cell>
          <cell r="G923">
            <v>29.448424237154754</v>
          </cell>
          <cell r="H923">
            <v>29.448424237154754</v>
          </cell>
          <cell r="I923" t="e">
            <v>#N/A</v>
          </cell>
          <cell r="J923" t="e">
            <v>#N/A</v>
          </cell>
          <cell r="K923">
            <v>75</v>
          </cell>
          <cell r="L923">
            <v>40</v>
          </cell>
          <cell r="M923" t="e">
            <v>#N/A</v>
          </cell>
          <cell r="N923">
            <v>68</v>
          </cell>
          <cell r="O923" t="e">
            <v>#N/A</v>
          </cell>
          <cell r="P923" t="str">
            <v/>
          </cell>
          <cell r="Q923" t="str">
            <v/>
          </cell>
          <cell r="R923">
            <v>68</v>
          </cell>
        </row>
        <row r="924">
          <cell r="A924" t="str">
            <v/>
          </cell>
          <cell r="B924" t="str">
            <v/>
          </cell>
          <cell r="C924" t="str">
            <v>Future</v>
          </cell>
          <cell r="D924" t="e">
            <v>#N/A</v>
          </cell>
          <cell r="E924">
            <v>-28.354144885375682</v>
          </cell>
          <cell r="F924">
            <v>79.84743614229329</v>
          </cell>
          <cell r="G924">
            <v>29.353364996048036</v>
          </cell>
          <cell r="H924">
            <v>29.353364996048036</v>
          </cell>
          <cell r="I924" t="e">
            <v>#N/A</v>
          </cell>
          <cell r="J924" t="e">
            <v>#N/A</v>
          </cell>
          <cell r="K924">
            <v>75</v>
          </cell>
          <cell r="L924">
            <v>40</v>
          </cell>
          <cell r="M924" t="e">
            <v>#N/A</v>
          </cell>
          <cell r="N924">
            <v>68</v>
          </cell>
          <cell r="O924" t="e">
            <v>#N/A</v>
          </cell>
          <cell r="P924" t="str">
            <v/>
          </cell>
          <cell r="Q924" t="str">
            <v/>
          </cell>
          <cell r="R924">
            <v>68</v>
          </cell>
        </row>
        <row r="925">
          <cell r="A925" t="str">
            <v/>
          </cell>
          <cell r="B925" t="str">
            <v/>
          </cell>
          <cell r="C925" t="str">
            <v>Future</v>
          </cell>
          <cell r="D925" t="e">
            <v>#N/A</v>
          </cell>
          <cell r="E925">
            <v>-28.607306893280821</v>
          </cell>
          <cell r="F925">
            <v>79.89071682213519</v>
          </cell>
          <cell r="G925">
            <v>29.258305754941318</v>
          </cell>
          <cell r="H925">
            <v>29.258305754941318</v>
          </cell>
          <cell r="I925" t="e">
            <v>#N/A</v>
          </cell>
          <cell r="J925" t="e">
            <v>#N/A</v>
          </cell>
          <cell r="K925">
            <v>75</v>
          </cell>
          <cell r="L925">
            <v>40</v>
          </cell>
          <cell r="M925" t="e">
            <v>#N/A</v>
          </cell>
          <cell r="N925">
            <v>68</v>
          </cell>
          <cell r="O925" t="e">
            <v>#N/A</v>
          </cell>
          <cell r="P925" t="str">
            <v/>
          </cell>
          <cell r="Q925" t="str">
            <v/>
          </cell>
          <cell r="R925">
            <v>68</v>
          </cell>
        </row>
        <row r="926">
          <cell r="A926" t="str">
            <v/>
          </cell>
          <cell r="B926" t="str">
            <v/>
          </cell>
          <cell r="C926" t="str">
            <v>Future</v>
          </cell>
          <cell r="D926" t="e">
            <v>#N/A</v>
          </cell>
          <cell r="E926">
            <v>-28.860468901185961</v>
          </cell>
          <cell r="F926">
            <v>79.933997501977089</v>
          </cell>
          <cell r="G926">
            <v>29.163246513834601</v>
          </cell>
          <cell r="H926">
            <v>29.163246513834601</v>
          </cell>
          <cell r="I926" t="e">
            <v>#N/A</v>
          </cell>
          <cell r="J926" t="e">
            <v>#N/A</v>
          </cell>
          <cell r="K926">
            <v>75</v>
          </cell>
          <cell r="L926">
            <v>40</v>
          </cell>
          <cell r="M926" t="e">
            <v>#N/A</v>
          </cell>
          <cell r="N926">
            <v>68</v>
          </cell>
          <cell r="O926" t="e">
            <v>#N/A</v>
          </cell>
          <cell r="P926" t="str">
            <v/>
          </cell>
          <cell r="Q926" t="str">
            <v/>
          </cell>
          <cell r="R926">
            <v>68</v>
          </cell>
        </row>
        <row r="927">
          <cell r="A927" t="str">
            <v/>
          </cell>
          <cell r="B927" t="str">
            <v/>
          </cell>
          <cell r="C927" t="str">
            <v>Future</v>
          </cell>
          <cell r="D927" t="e">
            <v>#N/A</v>
          </cell>
          <cell r="E927">
            <v>-29.1136309090911</v>
          </cell>
          <cell r="F927">
            <v>79.977278181818988</v>
          </cell>
          <cell r="G927">
            <v>29.068187272727883</v>
          </cell>
          <cell r="H927">
            <v>29.068187272727883</v>
          </cell>
          <cell r="I927" t="e">
            <v>#N/A</v>
          </cell>
          <cell r="J927" t="e">
            <v>#N/A</v>
          </cell>
          <cell r="K927">
            <v>75</v>
          </cell>
          <cell r="L927">
            <v>40</v>
          </cell>
          <cell r="M927" t="e">
            <v>#N/A</v>
          </cell>
          <cell r="N927">
            <v>68</v>
          </cell>
          <cell r="O927" t="e">
            <v>#N/A</v>
          </cell>
          <cell r="P927" t="str">
            <v/>
          </cell>
          <cell r="Q927" t="str">
            <v/>
          </cell>
          <cell r="R927">
            <v>68</v>
          </cell>
        </row>
        <row r="928">
          <cell r="A928" t="str">
            <v/>
          </cell>
          <cell r="B928" t="str">
            <v/>
          </cell>
          <cell r="C928" t="str">
            <v>Future</v>
          </cell>
          <cell r="D928" t="e">
            <v>#N/A</v>
          </cell>
          <cell r="E928">
            <v>-29.366792916996239</v>
          </cell>
          <cell r="F928">
            <v>80.020558861660888</v>
          </cell>
          <cell r="G928">
            <v>28.973128031621165</v>
          </cell>
          <cell r="H928">
            <v>28.973128031621165</v>
          </cell>
          <cell r="I928" t="e">
            <v>#N/A</v>
          </cell>
          <cell r="J928" t="e">
            <v>#N/A</v>
          </cell>
          <cell r="K928">
            <v>75</v>
          </cell>
          <cell r="L928">
            <v>40</v>
          </cell>
          <cell r="M928" t="e">
            <v>#N/A</v>
          </cell>
          <cell r="N928">
            <v>68</v>
          </cell>
          <cell r="O928" t="e">
            <v>#N/A</v>
          </cell>
          <cell r="P928" t="str">
            <v/>
          </cell>
          <cell r="Q928" t="str">
            <v/>
          </cell>
          <cell r="R928">
            <v>68</v>
          </cell>
        </row>
        <row r="929">
          <cell r="A929" t="str">
            <v/>
          </cell>
          <cell r="B929" t="str">
            <v/>
          </cell>
          <cell r="C929" t="str">
            <v>Future</v>
          </cell>
          <cell r="D929" t="e">
            <v>#N/A</v>
          </cell>
          <cell r="E929">
            <v>-29.619954924901378</v>
          </cell>
          <cell r="F929">
            <v>80.063839541502787</v>
          </cell>
          <cell r="G929">
            <v>28.878068790514448</v>
          </cell>
          <cell r="H929">
            <v>28.878068790514448</v>
          </cell>
          <cell r="I929" t="e">
            <v>#N/A</v>
          </cell>
          <cell r="J929" t="e">
            <v>#N/A</v>
          </cell>
          <cell r="K929">
            <v>75</v>
          </cell>
          <cell r="L929">
            <v>40</v>
          </cell>
          <cell r="M929" t="e">
            <v>#N/A</v>
          </cell>
          <cell r="N929">
            <v>68</v>
          </cell>
          <cell r="O929" t="e">
            <v>#N/A</v>
          </cell>
          <cell r="P929" t="str">
            <v/>
          </cell>
          <cell r="Q929" t="str">
            <v/>
          </cell>
          <cell r="R929">
            <v>68</v>
          </cell>
        </row>
        <row r="930">
          <cell r="A930" t="str">
            <v/>
          </cell>
          <cell r="B930" t="str">
            <v/>
          </cell>
          <cell r="C930" t="str">
            <v>Future</v>
          </cell>
          <cell r="D930" t="e">
            <v>#N/A</v>
          </cell>
          <cell r="E930">
            <v>-29.873116932806518</v>
          </cell>
          <cell r="F930">
            <v>80.107120221344687</v>
          </cell>
          <cell r="G930">
            <v>28.78300954940773</v>
          </cell>
          <cell r="H930">
            <v>28.78300954940773</v>
          </cell>
          <cell r="I930" t="e">
            <v>#N/A</v>
          </cell>
          <cell r="J930" t="e">
            <v>#N/A</v>
          </cell>
          <cell r="K930">
            <v>75</v>
          </cell>
          <cell r="L930">
            <v>40</v>
          </cell>
          <cell r="M930" t="e">
            <v>#N/A</v>
          </cell>
          <cell r="N930">
            <v>68</v>
          </cell>
          <cell r="O930" t="e">
            <v>#N/A</v>
          </cell>
          <cell r="P930" t="str">
            <v/>
          </cell>
          <cell r="Q930" t="str">
            <v/>
          </cell>
          <cell r="R930">
            <v>68</v>
          </cell>
        </row>
        <row r="931">
          <cell r="A931" t="str">
            <v/>
          </cell>
          <cell r="B931" t="str">
            <v/>
          </cell>
          <cell r="C931" t="str">
            <v>Future</v>
          </cell>
          <cell r="D931" t="e">
            <v>#N/A</v>
          </cell>
          <cell r="E931">
            <v>-30.126278940711657</v>
          </cell>
          <cell r="F931">
            <v>80.150400901186586</v>
          </cell>
          <cell r="G931">
            <v>28.687950308301012</v>
          </cell>
          <cell r="H931">
            <v>28.687950308301012</v>
          </cell>
          <cell r="I931" t="e">
            <v>#N/A</v>
          </cell>
          <cell r="J931" t="e">
            <v>#N/A</v>
          </cell>
          <cell r="K931">
            <v>75</v>
          </cell>
          <cell r="L931">
            <v>40</v>
          </cell>
          <cell r="M931" t="e">
            <v>#N/A</v>
          </cell>
          <cell r="N931">
            <v>68</v>
          </cell>
          <cell r="O931" t="e">
            <v>#N/A</v>
          </cell>
          <cell r="P931" t="str">
            <v/>
          </cell>
          <cell r="Q931" t="str">
            <v/>
          </cell>
          <cell r="R931">
            <v>68</v>
          </cell>
        </row>
        <row r="932">
          <cell r="A932" t="str">
            <v/>
          </cell>
          <cell r="B932" t="str">
            <v/>
          </cell>
          <cell r="C932" t="str">
            <v>Future</v>
          </cell>
          <cell r="D932" t="e">
            <v>#N/A</v>
          </cell>
          <cell r="E932">
            <v>-30.379440948616796</v>
          </cell>
          <cell r="F932">
            <v>80.193681581028486</v>
          </cell>
          <cell r="G932">
            <v>28.592891067194294</v>
          </cell>
          <cell r="H932">
            <v>28.592891067194294</v>
          </cell>
          <cell r="I932" t="e">
            <v>#N/A</v>
          </cell>
          <cell r="J932" t="e">
            <v>#N/A</v>
          </cell>
          <cell r="K932">
            <v>75</v>
          </cell>
          <cell r="L932">
            <v>40</v>
          </cell>
          <cell r="M932" t="e">
            <v>#N/A</v>
          </cell>
          <cell r="N932">
            <v>68</v>
          </cell>
          <cell r="O932" t="e">
            <v>#N/A</v>
          </cell>
          <cell r="P932" t="str">
            <v/>
          </cell>
          <cell r="Q932" t="str">
            <v/>
          </cell>
          <cell r="R932">
            <v>68</v>
          </cell>
        </row>
        <row r="933">
          <cell r="A933" t="str">
            <v/>
          </cell>
          <cell r="B933" t="str">
            <v/>
          </cell>
          <cell r="C933" t="str">
            <v>Future</v>
          </cell>
          <cell r="D933" t="e">
            <v>#N/A</v>
          </cell>
          <cell r="E933">
            <v>-30.632602956521936</v>
          </cell>
          <cell r="F933">
            <v>80.236962260870385</v>
          </cell>
          <cell r="G933">
            <v>28.497831826087577</v>
          </cell>
          <cell r="H933">
            <v>28.497831826087577</v>
          </cell>
          <cell r="I933" t="e">
            <v>#N/A</v>
          </cell>
          <cell r="J933" t="e">
            <v>#N/A</v>
          </cell>
          <cell r="K933">
            <v>75</v>
          </cell>
          <cell r="L933">
            <v>40</v>
          </cell>
          <cell r="M933" t="e">
            <v>#N/A</v>
          </cell>
          <cell r="N933">
            <v>68</v>
          </cell>
          <cell r="O933" t="e">
            <v>#N/A</v>
          </cell>
          <cell r="P933" t="str">
            <v/>
          </cell>
          <cell r="Q933" t="str">
            <v/>
          </cell>
          <cell r="R933">
            <v>68</v>
          </cell>
        </row>
        <row r="934">
          <cell r="A934" t="str">
            <v/>
          </cell>
          <cell r="B934" t="str">
            <v/>
          </cell>
          <cell r="C934" t="str">
            <v>Future</v>
          </cell>
          <cell r="D934" t="e">
            <v>#N/A</v>
          </cell>
          <cell r="E934">
            <v>-30.885764964427075</v>
          </cell>
          <cell r="F934">
            <v>80.280242940712284</v>
          </cell>
          <cell r="G934">
            <v>28.402772584980859</v>
          </cell>
          <cell r="H934">
            <v>28.402772584980859</v>
          </cell>
          <cell r="I934" t="e">
            <v>#N/A</v>
          </cell>
          <cell r="J934" t="e">
            <v>#N/A</v>
          </cell>
          <cell r="K934">
            <v>75</v>
          </cell>
          <cell r="L934">
            <v>40</v>
          </cell>
          <cell r="M934" t="e">
            <v>#N/A</v>
          </cell>
          <cell r="N934">
            <v>68</v>
          </cell>
          <cell r="O934" t="e">
            <v>#N/A</v>
          </cell>
          <cell r="P934" t="str">
            <v/>
          </cell>
          <cell r="Q934" t="str">
            <v/>
          </cell>
          <cell r="R934">
            <v>68</v>
          </cell>
        </row>
        <row r="935">
          <cell r="A935" t="str">
            <v/>
          </cell>
          <cell r="B935" t="str">
            <v/>
          </cell>
          <cell r="C935" t="str">
            <v>Future</v>
          </cell>
          <cell r="D935" t="e">
            <v>#N/A</v>
          </cell>
          <cell r="E935">
            <v>-31.138926972332214</v>
          </cell>
          <cell r="F935">
            <v>80.323523620554184</v>
          </cell>
          <cell r="G935">
            <v>28.307713343874141</v>
          </cell>
          <cell r="H935">
            <v>28.307713343874141</v>
          </cell>
          <cell r="I935" t="e">
            <v>#N/A</v>
          </cell>
          <cell r="J935" t="e">
            <v>#N/A</v>
          </cell>
          <cell r="K935">
            <v>75</v>
          </cell>
          <cell r="L935">
            <v>40</v>
          </cell>
          <cell r="M935" t="e">
            <v>#N/A</v>
          </cell>
          <cell r="N935">
            <v>68</v>
          </cell>
          <cell r="O935" t="e">
            <v>#N/A</v>
          </cell>
          <cell r="P935" t="str">
            <v/>
          </cell>
          <cell r="Q935" t="str">
            <v/>
          </cell>
          <cell r="R935">
            <v>68</v>
          </cell>
        </row>
        <row r="936">
          <cell r="A936" t="str">
            <v/>
          </cell>
          <cell r="B936" t="str">
            <v/>
          </cell>
          <cell r="C936" t="str">
            <v>Future</v>
          </cell>
          <cell r="D936" t="e">
            <v>#N/A</v>
          </cell>
          <cell r="E936">
            <v>-31.392088980237354</v>
          </cell>
          <cell r="F936">
            <v>80.366804300396083</v>
          </cell>
          <cell r="G936">
            <v>28.212654102767424</v>
          </cell>
          <cell r="H936">
            <v>28.212654102767424</v>
          </cell>
          <cell r="I936" t="e">
            <v>#N/A</v>
          </cell>
          <cell r="J936" t="e">
            <v>#N/A</v>
          </cell>
          <cell r="K936">
            <v>75</v>
          </cell>
          <cell r="L936">
            <v>40</v>
          </cell>
          <cell r="M936" t="e">
            <v>#N/A</v>
          </cell>
          <cell r="N936">
            <v>68</v>
          </cell>
          <cell r="O936" t="e">
            <v>#N/A</v>
          </cell>
          <cell r="P936" t="str">
            <v/>
          </cell>
          <cell r="Q936" t="str">
            <v/>
          </cell>
          <cell r="R936">
            <v>68</v>
          </cell>
        </row>
        <row r="937">
          <cell r="A937" t="str">
            <v/>
          </cell>
          <cell r="B937" t="str">
            <v/>
          </cell>
          <cell r="C937" t="str">
            <v>Future</v>
          </cell>
          <cell r="D937" t="e">
            <v>#N/A</v>
          </cell>
          <cell r="E937">
            <v>-31.645250988142493</v>
          </cell>
          <cell r="F937">
            <v>80.410084980237983</v>
          </cell>
          <cell r="G937">
            <v>28.117594861660706</v>
          </cell>
          <cell r="H937">
            <v>28.117594861660706</v>
          </cell>
          <cell r="I937" t="e">
            <v>#N/A</v>
          </cell>
          <cell r="J937" t="e">
            <v>#N/A</v>
          </cell>
          <cell r="K937">
            <v>75</v>
          </cell>
          <cell r="L937">
            <v>40</v>
          </cell>
          <cell r="M937" t="e">
            <v>#N/A</v>
          </cell>
          <cell r="N937">
            <v>68</v>
          </cell>
          <cell r="O937" t="e">
            <v>#N/A</v>
          </cell>
          <cell r="P937" t="str">
            <v/>
          </cell>
          <cell r="Q937" t="str">
            <v/>
          </cell>
          <cell r="R937">
            <v>68</v>
          </cell>
        </row>
        <row r="938">
          <cell r="A938" t="str">
            <v/>
          </cell>
          <cell r="B938" t="str">
            <v/>
          </cell>
          <cell r="C938" t="str">
            <v>Future</v>
          </cell>
          <cell r="D938" t="e">
            <v>#N/A</v>
          </cell>
          <cell r="E938">
            <v>-31.898412996047632</v>
          </cell>
          <cell r="F938">
            <v>80.453365660079882</v>
          </cell>
          <cell r="G938">
            <v>28.022535620553988</v>
          </cell>
          <cell r="H938">
            <v>28.022535620553988</v>
          </cell>
          <cell r="I938" t="e">
            <v>#N/A</v>
          </cell>
          <cell r="J938" t="e">
            <v>#N/A</v>
          </cell>
          <cell r="K938">
            <v>75</v>
          </cell>
          <cell r="L938">
            <v>40</v>
          </cell>
          <cell r="M938" t="e">
            <v>#N/A</v>
          </cell>
          <cell r="N938">
            <v>68</v>
          </cell>
          <cell r="O938" t="e">
            <v>#N/A</v>
          </cell>
          <cell r="P938" t="str">
            <v/>
          </cell>
          <cell r="Q938" t="str">
            <v/>
          </cell>
          <cell r="R938">
            <v>68</v>
          </cell>
        </row>
        <row r="939">
          <cell r="A939" t="str">
            <v/>
          </cell>
          <cell r="B939" t="str">
            <v/>
          </cell>
          <cell r="C939" t="str">
            <v>Future</v>
          </cell>
          <cell r="D939" t="e">
            <v>#N/A</v>
          </cell>
          <cell r="E939">
            <v>-32.151575003952772</v>
          </cell>
          <cell r="F939">
            <v>80.496646339921782</v>
          </cell>
          <cell r="G939">
            <v>27.92747637944727</v>
          </cell>
          <cell r="H939">
            <v>27.92747637944727</v>
          </cell>
          <cell r="I939" t="e">
            <v>#N/A</v>
          </cell>
          <cell r="J939" t="e">
            <v>#N/A</v>
          </cell>
          <cell r="K939">
            <v>75</v>
          </cell>
          <cell r="L939">
            <v>40</v>
          </cell>
          <cell r="M939" t="e">
            <v>#N/A</v>
          </cell>
          <cell r="N939">
            <v>68</v>
          </cell>
          <cell r="O939" t="e">
            <v>#N/A</v>
          </cell>
          <cell r="P939" t="str">
            <v/>
          </cell>
          <cell r="Q939" t="str">
            <v/>
          </cell>
          <cell r="R939">
            <v>68</v>
          </cell>
        </row>
        <row r="940">
          <cell r="A940" t="str">
            <v/>
          </cell>
          <cell r="B940" t="str">
            <v/>
          </cell>
          <cell r="C940" t="str">
            <v>Future</v>
          </cell>
          <cell r="D940" t="e">
            <v>#N/A</v>
          </cell>
          <cell r="E940">
            <v>-32.404737011857911</v>
          </cell>
          <cell r="F940">
            <v>80.539927019763681</v>
          </cell>
          <cell r="G940">
            <v>27.832417138340553</v>
          </cell>
          <cell r="H940">
            <v>27.832417138340553</v>
          </cell>
          <cell r="I940" t="e">
            <v>#N/A</v>
          </cell>
          <cell r="J940" t="e">
            <v>#N/A</v>
          </cell>
          <cell r="K940">
            <v>75</v>
          </cell>
          <cell r="L940">
            <v>40</v>
          </cell>
          <cell r="M940" t="e">
            <v>#N/A</v>
          </cell>
          <cell r="N940">
            <v>68</v>
          </cell>
          <cell r="O940" t="e">
            <v>#N/A</v>
          </cell>
          <cell r="P940" t="str">
            <v/>
          </cell>
          <cell r="Q940" t="str">
            <v/>
          </cell>
          <cell r="R940">
            <v>68</v>
          </cell>
        </row>
        <row r="941">
          <cell r="A941" t="str">
            <v/>
          </cell>
          <cell r="B941" t="str">
            <v/>
          </cell>
          <cell r="C941" t="str">
            <v>Future</v>
          </cell>
          <cell r="D941" t="e">
            <v>#N/A</v>
          </cell>
          <cell r="E941">
            <v>-32.65789901976305</v>
          </cell>
          <cell r="F941">
            <v>80.58320769960558</v>
          </cell>
          <cell r="G941">
            <v>27.737357897233835</v>
          </cell>
          <cell r="H941">
            <v>27.737357897233835</v>
          </cell>
          <cell r="I941" t="e">
            <v>#N/A</v>
          </cell>
          <cell r="J941" t="e">
            <v>#N/A</v>
          </cell>
          <cell r="K941">
            <v>75</v>
          </cell>
          <cell r="L941">
            <v>40</v>
          </cell>
          <cell r="M941" t="e">
            <v>#N/A</v>
          </cell>
          <cell r="N941">
            <v>68</v>
          </cell>
          <cell r="O941" t="e">
            <v>#N/A</v>
          </cell>
          <cell r="P941" t="str">
            <v/>
          </cell>
          <cell r="Q941" t="str">
            <v/>
          </cell>
          <cell r="R941">
            <v>68</v>
          </cell>
        </row>
        <row r="942">
          <cell r="A942" t="str">
            <v/>
          </cell>
          <cell r="B942" t="str">
            <v/>
          </cell>
          <cell r="C942" t="str">
            <v>Future</v>
          </cell>
          <cell r="D942" t="e">
            <v>#N/A</v>
          </cell>
          <cell r="E942">
            <v>-32.91106102766819</v>
          </cell>
          <cell r="F942">
            <v>80.62648837944748</v>
          </cell>
          <cell r="G942">
            <v>27.642298656127117</v>
          </cell>
          <cell r="H942">
            <v>27.642298656127117</v>
          </cell>
          <cell r="I942" t="e">
            <v>#N/A</v>
          </cell>
          <cell r="J942" t="e">
            <v>#N/A</v>
          </cell>
          <cell r="K942">
            <v>75</v>
          </cell>
          <cell r="L942">
            <v>40</v>
          </cell>
          <cell r="M942" t="e">
            <v>#N/A</v>
          </cell>
          <cell r="N942">
            <v>68</v>
          </cell>
          <cell r="O942" t="e">
            <v>#N/A</v>
          </cell>
          <cell r="P942" t="str">
            <v/>
          </cell>
          <cell r="Q942" t="str">
            <v/>
          </cell>
          <cell r="R942">
            <v>68</v>
          </cell>
        </row>
        <row r="943">
          <cell r="A943" t="str">
            <v/>
          </cell>
          <cell r="B943" t="str">
            <v/>
          </cell>
          <cell r="C943" t="str">
            <v>Future</v>
          </cell>
          <cell r="D943" t="e">
            <v>#N/A</v>
          </cell>
          <cell r="E943">
            <v>-33.164223035573329</v>
          </cell>
          <cell r="F943">
            <v>80.669769059289379</v>
          </cell>
          <cell r="G943">
            <v>27.5472394150204</v>
          </cell>
          <cell r="H943">
            <v>27.5472394150204</v>
          </cell>
          <cell r="I943" t="e">
            <v>#N/A</v>
          </cell>
          <cell r="J943" t="e">
            <v>#N/A</v>
          </cell>
          <cell r="K943">
            <v>75</v>
          </cell>
          <cell r="L943">
            <v>40</v>
          </cell>
          <cell r="M943" t="e">
            <v>#N/A</v>
          </cell>
          <cell r="N943">
            <v>68</v>
          </cell>
          <cell r="O943" t="e">
            <v>#N/A</v>
          </cell>
          <cell r="P943" t="str">
            <v/>
          </cell>
          <cell r="Q943" t="str">
            <v/>
          </cell>
          <cell r="R943">
            <v>68</v>
          </cell>
        </row>
        <row r="944">
          <cell r="A944" t="str">
            <v/>
          </cell>
          <cell r="B944" t="str">
            <v/>
          </cell>
          <cell r="C944" t="str">
            <v>Future</v>
          </cell>
          <cell r="D944" t="e">
            <v>#N/A</v>
          </cell>
          <cell r="E944">
            <v>-33.417385043478468</v>
          </cell>
          <cell r="F944">
            <v>80.713049739131279</v>
          </cell>
          <cell r="G944">
            <v>27.452180173913682</v>
          </cell>
          <cell r="H944">
            <v>27.452180173913682</v>
          </cell>
          <cell r="I944" t="e">
            <v>#N/A</v>
          </cell>
          <cell r="J944" t="e">
            <v>#N/A</v>
          </cell>
          <cell r="K944">
            <v>75</v>
          </cell>
          <cell r="L944">
            <v>40</v>
          </cell>
          <cell r="M944" t="e">
            <v>#N/A</v>
          </cell>
          <cell r="N944">
            <v>68</v>
          </cell>
          <cell r="O944" t="e">
            <v>#N/A</v>
          </cell>
          <cell r="P944" t="str">
            <v/>
          </cell>
          <cell r="Q944" t="str">
            <v/>
          </cell>
          <cell r="R944">
            <v>68</v>
          </cell>
        </row>
        <row r="945">
          <cell r="A945" t="str">
            <v/>
          </cell>
          <cell r="B945" t="str">
            <v/>
          </cell>
          <cell r="C945" t="str">
            <v>Future</v>
          </cell>
          <cell r="D945" t="e">
            <v>#N/A</v>
          </cell>
          <cell r="E945">
            <v>-33.670547051383608</v>
          </cell>
          <cell r="F945">
            <v>80.756330418973178</v>
          </cell>
          <cell r="G945">
            <v>27.357120932806964</v>
          </cell>
          <cell r="H945">
            <v>27.357120932806964</v>
          </cell>
          <cell r="I945" t="e">
            <v>#N/A</v>
          </cell>
          <cell r="J945" t="e">
            <v>#N/A</v>
          </cell>
          <cell r="K945">
            <v>75</v>
          </cell>
          <cell r="L945">
            <v>40</v>
          </cell>
          <cell r="M945" t="e">
            <v>#N/A</v>
          </cell>
          <cell r="N945">
            <v>68</v>
          </cell>
          <cell r="O945" t="e">
            <v>#N/A</v>
          </cell>
          <cell r="P945" t="str">
            <v/>
          </cell>
          <cell r="Q945" t="str">
            <v/>
          </cell>
          <cell r="R945">
            <v>68</v>
          </cell>
        </row>
        <row r="946">
          <cell r="A946" t="str">
            <v/>
          </cell>
          <cell r="B946" t="str">
            <v/>
          </cell>
          <cell r="C946" t="str">
            <v>Future</v>
          </cell>
          <cell r="D946" t="e">
            <v>#N/A</v>
          </cell>
          <cell r="E946">
            <v>-33.923709059288747</v>
          </cell>
          <cell r="F946">
            <v>80.799611098815078</v>
          </cell>
          <cell r="G946">
            <v>27.262061691700247</v>
          </cell>
          <cell r="H946">
            <v>27.262061691700247</v>
          </cell>
          <cell r="I946" t="e">
            <v>#N/A</v>
          </cell>
          <cell r="J946" t="e">
            <v>#N/A</v>
          </cell>
          <cell r="K946">
            <v>75</v>
          </cell>
          <cell r="L946">
            <v>40</v>
          </cell>
          <cell r="M946" t="e">
            <v>#N/A</v>
          </cell>
          <cell r="N946">
            <v>68</v>
          </cell>
          <cell r="O946" t="e">
            <v>#N/A</v>
          </cell>
          <cell r="P946" t="str">
            <v/>
          </cell>
          <cell r="Q946" t="str">
            <v/>
          </cell>
          <cell r="R946">
            <v>68</v>
          </cell>
        </row>
        <row r="947">
          <cell r="A947" t="str">
            <v/>
          </cell>
          <cell r="B947" t="str">
            <v/>
          </cell>
          <cell r="C947" t="str">
            <v>Future</v>
          </cell>
          <cell r="D947" t="e">
            <v>#N/A</v>
          </cell>
          <cell r="E947">
            <v>-34.176871067193886</v>
          </cell>
          <cell r="F947">
            <v>80.842891778656977</v>
          </cell>
          <cell r="G947">
            <v>27.167002450593529</v>
          </cell>
          <cell r="H947">
            <v>27.167002450593529</v>
          </cell>
          <cell r="I947" t="e">
            <v>#N/A</v>
          </cell>
          <cell r="J947" t="e">
            <v>#N/A</v>
          </cell>
          <cell r="K947">
            <v>75</v>
          </cell>
          <cell r="L947">
            <v>40</v>
          </cell>
          <cell r="M947" t="e">
            <v>#N/A</v>
          </cell>
          <cell r="N947">
            <v>68</v>
          </cell>
          <cell r="O947" t="e">
            <v>#N/A</v>
          </cell>
          <cell r="P947" t="str">
            <v/>
          </cell>
          <cell r="Q947" t="str">
            <v/>
          </cell>
          <cell r="R947">
            <v>68</v>
          </cell>
        </row>
        <row r="948">
          <cell r="A948" t="str">
            <v/>
          </cell>
          <cell r="B948" t="str">
            <v/>
          </cell>
          <cell r="C948" t="str">
            <v>Future</v>
          </cell>
          <cell r="D948" t="e">
            <v>#N/A</v>
          </cell>
          <cell r="E948">
            <v>-34.430033075099026</v>
          </cell>
          <cell r="F948">
            <v>80.886172458498876</v>
          </cell>
          <cell r="G948">
            <v>27.071943209486811</v>
          </cell>
          <cell r="H948">
            <v>27.071943209486811</v>
          </cell>
          <cell r="I948" t="e">
            <v>#N/A</v>
          </cell>
          <cell r="J948" t="e">
            <v>#N/A</v>
          </cell>
          <cell r="K948">
            <v>75</v>
          </cell>
          <cell r="L948">
            <v>40</v>
          </cell>
          <cell r="M948" t="e">
            <v>#N/A</v>
          </cell>
          <cell r="N948">
            <v>68</v>
          </cell>
          <cell r="O948" t="e">
            <v>#N/A</v>
          </cell>
          <cell r="P948" t="str">
            <v/>
          </cell>
          <cell r="Q948" t="str">
            <v/>
          </cell>
          <cell r="R948">
            <v>68</v>
          </cell>
        </row>
        <row r="949">
          <cell r="A949" t="str">
            <v/>
          </cell>
          <cell r="B949" t="str">
            <v/>
          </cell>
          <cell r="C949" t="str">
            <v>Future</v>
          </cell>
          <cell r="D949" t="e">
            <v>#N/A</v>
          </cell>
          <cell r="E949">
            <v>-34.683195083004165</v>
          </cell>
          <cell r="F949">
            <v>80.929453138340776</v>
          </cell>
          <cell r="G949">
            <v>26.976883968380093</v>
          </cell>
          <cell r="H949">
            <v>26.976883968380093</v>
          </cell>
          <cell r="I949" t="e">
            <v>#N/A</v>
          </cell>
          <cell r="J949" t="e">
            <v>#N/A</v>
          </cell>
          <cell r="K949">
            <v>75</v>
          </cell>
          <cell r="L949">
            <v>40</v>
          </cell>
          <cell r="M949" t="e">
            <v>#N/A</v>
          </cell>
          <cell r="N949">
            <v>68</v>
          </cell>
          <cell r="O949" t="e">
            <v>#N/A</v>
          </cell>
          <cell r="P949" t="str">
            <v/>
          </cell>
          <cell r="Q949" t="str">
            <v/>
          </cell>
          <cell r="R949">
            <v>68</v>
          </cell>
        </row>
        <row r="950">
          <cell r="A950" t="str">
            <v/>
          </cell>
          <cell r="B950" t="str">
            <v/>
          </cell>
          <cell r="C950" t="str">
            <v>Future</v>
          </cell>
          <cell r="D950" t="e">
            <v>#N/A</v>
          </cell>
          <cell r="E950">
            <v>-34.936357090909304</v>
          </cell>
          <cell r="F950">
            <v>80.972733818182675</v>
          </cell>
          <cell r="G950">
            <v>26.881824727273376</v>
          </cell>
          <cell r="H950">
            <v>26.881824727273376</v>
          </cell>
          <cell r="I950" t="e">
            <v>#N/A</v>
          </cell>
          <cell r="J950" t="e">
            <v>#N/A</v>
          </cell>
          <cell r="K950">
            <v>75</v>
          </cell>
          <cell r="L950">
            <v>40</v>
          </cell>
          <cell r="M950" t="e">
            <v>#N/A</v>
          </cell>
          <cell r="N950">
            <v>68</v>
          </cell>
          <cell r="O950" t="e">
            <v>#N/A</v>
          </cell>
          <cell r="P950" t="str">
            <v/>
          </cell>
          <cell r="Q950" t="str">
            <v/>
          </cell>
          <cell r="R950">
            <v>68</v>
          </cell>
        </row>
        <row r="951">
          <cell r="A951" t="str">
            <v/>
          </cell>
          <cell r="B951" t="str">
            <v/>
          </cell>
          <cell r="C951" t="str">
            <v>Future</v>
          </cell>
          <cell r="D951" t="e">
            <v>#N/A</v>
          </cell>
          <cell r="E951">
            <v>-35.189519098814444</v>
          </cell>
          <cell r="F951">
            <v>81.016014498024575</v>
          </cell>
          <cell r="G951">
            <v>26.786765486166658</v>
          </cell>
          <cell r="H951">
            <v>26.786765486166658</v>
          </cell>
          <cell r="I951" t="e">
            <v>#N/A</v>
          </cell>
          <cell r="J951" t="e">
            <v>#N/A</v>
          </cell>
          <cell r="K951">
            <v>75</v>
          </cell>
          <cell r="L951">
            <v>40</v>
          </cell>
          <cell r="M951" t="e">
            <v>#N/A</v>
          </cell>
          <cell r="N951">
            <v>68</v>
          </cell>
          <cell r="O951" t="e">
            <v>#N/A</v>
          </cell>
          <cell r="P951" t="str">
            <v/>
          </cell>
          <cell r="Q951" t="str">
            <v/>
          </cell>
          <cell r="R951">
            <v>68</v>
          </cell>
        </row>
        <row r="952">
          <cell r="A952" t="str">
            <v/>
          </cell>
          <cell r="B952" t="str">
            <v/>
          </cell>
          <cell r="C952" t="str">
            <v>Future</v>
          </cell>
          <cell r="D952" t="e">
            <v>#N/A</v>
          </cell>
          <cell r="E952">
            <v>-35.442681106719583</v>
          </cell>
          <cell r="F952">
            <v>81.059295177866474</v>
          </cell>
          <cell r="G952">
            <v>26.69170624505994</v>
          </cell>
          <cell r="H952">
            <v>26.69170624505994</v>
          </cell>
          <cell r="I952" t="e">
            <v>#N/A</v>
          </cell>
          <cell r="J952" t="e">
            <v>#N/A</v>
          </cell>
          <cell r="K952">
            <v>75</v>
          </cell>
          <cell r="L952">
            <v>40</v>
          </cell>
          <cell r="M952" t="e">
            <v>#N/A</v>
          </cell>
          <cell r="N952">
            <v>68</v>
          </cell>
          <cell r="O952" t="e">
            <v>#N/A</v>
          </cell>
          <cell r="P952" t="str">
            <v/>
          </cell>
          <cell r="Q952" t="str">
            <v/>
          </cell>
          <cell r="R952">
            <v>68</v>
          </cell>
        </row>
        <row r="953">
          <cell r="A953" t="str">
            <v/>
          </cell>
          <cell r="B953" t="str">
            <v/>
          </cell>
          <cell r="C953" t="str">
            <v>Future</v>
          </cell>
          <cell r="D953" t="e">
            <v>#N/A</v>
          </cell>
          <cell r="E953">
            <v>-35.695843114624722</v>
          </cell>
          <cell r="F953">
            <v>81.102575857708374</v>
          </cell>
          <cell r="G953">
            <v>26.596647003953223</v>
          </cell>
          <cell r="H953">
            <v>26.596647003953223</v>
          </cell>
          <cell r="I953" t="e">
            <v>#N/A</v>
          </cell>
          <cell r="J953" t="e">
            <v>#N/A</v>
          </cell>
          <cell r="K953">
            <v>75</v>
          </cell>
          <cell r="L953">
            <v>40</v>
          </cell>
          <cell r="M953" t="e">
            <v>#N/A</v>
          </cell>
          <cell r="N953">
            <v>68</v>
          </cell>
          <cell r="O953" t="e">
            <v>#N/A</v>
          </cell>
          <cell r="P953" t="str">
            <v/>
          </cell>
          <cell r="Q953" t="str">
            <v/>
          </cell>
          <cell r="R953">
            <v>68</v>
          </cell>
        </row>
        <row r="954">
          <cell r="A954" t="str">
            <v/>
          </cell>
          <cell r="B954" t="str">
            <v/>
          </cell>
          <cell r="C954" t="str">
            <v>Future</v>
          </cell>
          <cell r="D954" t="e">
            <v>#N/A</v>
          </cell>
          <cell r="E954">
            <v>-35.949005122529861</v>
          </cell>
          <cell r="F954">
            <v>81.145856537550273</v>
          </cell>
          <cell r="G954">
            <v>26.501587762846505</v>
          </cell>
          <cell r="H954">
            <v>26.501587762846505</v>
          </cell>
          <cell r="I954" t="e">
            <v>#N/A</v>
          </cell>
          <cell r="J954" t="e">
            <v>#N/A</v>
          </cell>
          <cell r="K954">
            <v>75</v>
          </cell>
          <cell r="L954">
            <v>40</v>
          </cell>
          <cell r="M954" t="e">
            <v>#N/A</v>
          </cell>
          <cell r="N954">
            <v>68</v>
          </cell>
          <cell r="O954" t="e">
            <v>#N/A</v>
          </cell>
          <cell r="P954" t="str">
            <v/>
          </cell>
          <cell r="Q954" t="str">
            <v/>
          </cell>
          <cell r="R954">
            <v>68</v>
          </cell>
        </row>
        <row r="955">
          <cell r="A955" t="str">
            <v/>
          </cell>
          <cell r="B955" t="str">
            <v/>
          </cell>
          <cell r="C955" t="str">
            <v>Future</v>
          </cell>
          <cell r="D955" t="e">
            <v>#N/A</v>
          </cell>
          <cell r="E955">
            <v>-36.202167130435001</v>
          </cell>
          <cell r="F955">
            <v>81.189137217392172</v>
          </cell>
          <cell r="G955">
            <v>26.406528521739787</v>
          </cell>
          <cell r="H955">
            <v>26.406528521739787</v>
          </cell>
          <cell r="I955" t="e">
            <v>#N/A</v>
          </cell>
          <cell r="J955" t="e">
            <v>#N/A</v>
          </cell>
          <cell r="K955">
            <v>75</v>
          </cell>
          <cell r="L955">
            <v>40</v>
          </cell>
          <cell r="M955" t="e">
            <v>#N/A</v>
          </cell>
          <cell r="N955">
            <v>68</v>
          </cell>
          <cell r="O955" t="e">
            <v>#N/A</v>
          </cell>
          <cell r="P955" t="str">
            <v/>
          </cell>
          <cell r="Q955" t="str">
            <v/>
          </cell>
          <cell r="R955">
            <v>68</v>
          </cell>
        </row>
        <row r="956">
          <cell r="A956" t="str">
            <v/>
          </cell>
          <cell r="B956" t="str">
            <v/>
          </cell>
          <cell r="C956" t="str">
            <v>Future</v>
          </cell>
          <cell r="D956" t="e">
            <v>#N/A</v>
          </cell>
          <cell r="E956">
            <v>-36.45532913834014</v>
          </cell>
          <cell r="F956">
            <v>81.232417897234072</v>
          </cell>
          <cell r="G956">
            <v>26.311469280633069</v>
          </cell>
          <cell r="H956">
            <v>26.311469280633069</v>
          </cell>
          <cell r="I956" t="e">
            <v>#N/A</v>
          </cell>
          <cell r="J956" t="e">
            <v>#N/A</v>
          </cell>
          <cell r="K956">
            <v>75</v>
          </cell>
          <cell r="L956">
            <v>40</v>
          </cell>
          <cell r="M956" t="e">
            <v>#N/A</v>
          </cell>
          <cell r="N956">
            <v>68</v>
          </cell>
          <cell r="O956" t="e">
            <v>#N/A</v>
          </cell>
          <cell r="P956" t="str">
            <v/>
          </cell>
          <cell r="Q956" t="str">
            <v/>
          </cell>
          <cell r="R956">
            <v>68</v>
          </cell>
        </row>
        <row r="957">
          <cell r="A957" t="str">
            <v/>
          </cell>
          <cell r="B957" t="str">
            <v/>
          </cell>
          <cell r="C957" t="str">
            <v>Future</v>
          </cell>
          <cell r="D957" t="e">
            <v>#N/A</v>
          </cell>
          <cell r="E957">
            <v>-36.708491146245279</v>
          </cell>
          <cell r="F957">
            <v>81.275698577075971</v>
          </cell>
          <cell r="G957">
            <v>26.216410039526352</v>
          </cell>
          <cell r="H957">
            <v>26.216410039526352</v>
          </cell>
          <cell r="I957" t="e">
            <v>#N/A</v>
          </cell>
          <cell r="J957" t="e">
            <v>#N/A</v>
          </cell>
          <cell r="K957">
            <v>75</v>
          </cell>
          <cell r="L957">
            <v>40</v>
          </cell>
          <cell r="M957" t="e">
            <v>#N/A</v>
          </cell>
          <cell r="N957">
            <v>68</v>
          </cell>
          <cell r="O957" t="e">
            <v>#N/A</v>
          </cell>
          <cell r="P957" t="str">
            <v/>
          </cell>
          <cell r="Q957" t="str">
            <v/>
          </cell>
          <cell r="R957">
            <v>68</v>
          </cell>
        </row>
        <row r="958">
          <cell r="A958" t="str">
            <v/>
          </cell>
          <cell r="B958" t="str">
            <v/>
          </cell>
          <cell r="C958" t="str">
            <v>Future</v>
          </cell>
          <cell r="D958" t="e">
            <v>#N/A</v>
          </cell>
          <cell r="E958">
            <v>-36.961653154150419</v>
          </cell>
          <cell r="F958">
            <v>81.318979256917871</v>
          </cell>
          <cell r="G958">
            <v>26.121350798419634</v>
          </cell>
          <cell r="H958">
            <v>26.121350798419634</v>
          </cell>
          <cell r="I958" t="e">
            <v>#N/A</v>
          </cell>
          <cell r="J958" t="e">
            <v>#N/A</v>
          </cell>
          <cell r="K958">
            <v>75</v>
          </cell>
          <cell r="L958">
            <v>40</v>
          </cell>
          <cell r="M958" t="e">
            <v>#N/A</v>
          </cell>
          <cell r="N958">
            <v>68</v>
          </cell>
          <cell r="O958" t="e">
            <v>#N/A</v>
          </cell>
          <cell r="P958" t="str">
            <v/>
          </cell>
          <cell r="Q958" t="str">
            <v/>
          </cell>
          <cell r="R958">
            <v>68</v>
          </cell>
        </row>
        <row r="959">
          <cell r="A959" t="str">
            <v/>
          </cell>
          <cell r="B959" t="str">
            <v/>
          </cell>
          <cell r="C959" t="str">
            <v>Future</v>
          </cell>
          <cell r="D959" t="e">
            <v>#N/A</v>
          </cell>
          <cell r="E959">
            <v>-37.214815162055558</v>
          </cell>
          <cell r="F959">
            <v>81.36225993675977</v>
          </cell>
          <cell r="G959">
            <v>26.026291557312916</v>
          </cell>
          <cell r="H959">
            <v>26.026291557312916</v>
          </cell>
          <cell r="I959" t="e">
            <v>#N/A</v>
          </cell>
          <cell r="J959" t="e">
            <v>#N/A</v>
          </cell>
          <cell r="K959">
            <v>75</v>
          </cell>
          <cell r="L959">
            <v>40</v>
          </cell>
          <cell r="M959" t="e">
            <v>#N/A</v>
          </cell>
          <cell r="N959">
            <v>68</v>
          </cell>
          <cell r="O959" t="e">
            <v>#N/A</v>
          </cell>
          <cell r="P959" t="str">
            <v/>
          </cell>
          <cell r="Q959" t="str">
            <v/>
          </cell>
          <cell r="R959">
            <v>68</v>
          </cell>
        </row>
        <row r="960">
          <cell r="A960" t="str">
            <v/>
          </cell>
          <cell r="B960" t="str">
            <v/>
          </cell>
          <cell r="C960" t="str">
            <v>Future</v>
          </cell>
          <cell r="D960" t="e">
            <v>#N/A</v>
          </cell>
          <cell r="E960">
            <v>-37.467977169960697</v>
          </cell>
          <cell r="F960">
            <v>81.40554061660167</v>
          </cell>
          <cell r="G960">
            <v>25.931232316206199</v>
          </cell>
          <cell r="H960">
            <v>25.931232316206199</v>
          </cell>
          <cell r="I960" t="e">
            <v>#N/A</v>
          </cell>
          <cell r="J960" t="e">
            <v>#N/A</v>
          </cell>
          <cell r="K960">
            <v>75</v>
          </cell>
          <cell r="L960">
            <v>40</v>
          </cell>
          <cell r="M960" t="e">
            <v>#N/A</v>
          </cell>
          <cell r="N960">
            <v>68</v>
          </cell>
          <cell r="O960" t="e">
            <v>#N/A</v>
          </cell>
          <cell r="P960" t="str">
            <v/>
          </cell>
          <cell r="Q960" t="str">
            <v/>
          </cell>
          <cell r="R960">
            <v>68</v>
          </cell>
        </row>
        <row r="961">
          <cell r="A961" t="str">
            <v/>
          </cell>
          <cell r="B961" t="str">
            <v/>
          </cell>
          <cell r="C961" t="str">
            <v>Future</v>
          </cell>
          <cell r="D961" t="e">
            <v>#N/A</v>
          </cell>
          <cell r="E961">
            <v>-37.721139177865837</v>
          </cell>
          <cell r="F961">
            <v>81.448821296443569</v>
          </cell>
          <cell r="G961">
            <v>25.836173075099481</v>
          </cell>
          <cell r="H961">
            <v>25.836173075099481</v>
          </cell>
          <cell r="I961" t="e">
            <v>#N/A</v>
          </cell>
          <cell r="J961" t="e">
            <v>#N/A</v>
          </cell>
          <cell r="K961">
            <v>75</v>
          </cell>
          <cell r="L961">
            <v>40</v>
          </cell>
          <cell r="M961" t="e">
            <v>#N/A</v>
          </cell>
          <cell r="N961">
            <v>68</v>
          </cell>
          <cell r="O961" t="e">
            <v>#N/A</v>
          </cell>
          <cell r="P961" t="str">
            <v/>
          </cell>
          <cell r="Q961" t="str">
            <v/>
          </cell>
          <cell r="R961">
            <v>68</v>
          </cell>
        </row>
        <row r="962">
          <cell r="A962" t="str">
            <v/>
          </cell>
          <cell r="B962" t="str">
            <v/>
          </cell>
          <cell r="C962" t="str">
            <v>Future</v>
          </cell>
          <cell r="D962" t="e">
            <v>#N/A</v>
          </cell>
          <cell r="E962">
            <v>-37.974301185770976</v>
          </cell>
          <cell r="F962">
            <v>81.492101976285468</v>
          </cell>
          <cell r="G962">
            <v>25.741113833992763</v>
          </cell>
          <cell r="H962">
            <v>25.741113833992763</v>
          </cell>
          <cell r="I962" t="e">
            <v>#N/A</v>
          </cell>
          <cell r="J962" t="e">
            <v>#N/A</v>
          </cell>
          <cell r="K962">
            <v>75</v>
          </cell>
          <cell r="L962">
            <v>40</v>
          </cell>
          <cell r="M962" t="e">
            <v>#N/A</v>
          </cell>
          <cell r="N962">
            <v>68</v>
          </cell>
          <cell r="O962" t="e">
            <v>#N/A</v>
          </cell>
          <cell r="P962" t="str">
            <v/>
          </cell>
          <cell r="Q962" t="str">
            <v/>
          </cell>
          <cell r="R962">
            <v>68</v>
          </cell>
        </row>
        <row r="963">
          <cell r="A963" t="str">
            <v/>
          </cell>
          <cell r="B963" t="str">
            <v/>
          </cell>
          <cell r="C963" t="str">
            <v>Future</v>
          </cell>
          <cell r="D963" t="e">
            <v>#N/A</v>
          </cell>
          <cell r="E963">
            <v>-38.227463193676115</v>
          </cell>
          <cell r="F963">
            <v>81.535382656127368</v>
          </cell>
          <cell r="G963">
            <v>25.646054592886045</v>
          </cell>
          <cell r="H963">
            <v>25.646054592886045</v>
          </cell>
          <cell r="I963" t="e">
            <v>#N/A</v>
          </cell>
          <cell r="J963" t="e">
            <v>#N/A</v>
          </cell>
          <cell r="K963">
            <v>75</v>
          </cell>
          <cell r="L963">
            <v>40</v>
          </cell>
          <cell r="M963" t="e">
            <v>#N/A</v>
          </cell>
          <cell r="N963">
            <v>68</v>
          </cell>
          <cell r="O963" t="e">
            <v>#N/A</v>
          </cell>
          <cell r="P963" t="str">
            <v/>
          </cell>
          <cell r="Q963" t="str">
            <v/>
          </cell>
          <cell r="R963">
            <v>68</v>
          </cell>
        </row>
        <row r="964">
          <cell r="A964" t="str">
            <v/>
          </cell>
          <cell r="B964" t="str">
            <v/>
          </cell>
          <cell r="C964" t="str">
            <v>Future</v>
          </cell>
          <cell r="D964" t="e">
            <v>#N/A</v>
          </cell>
          <cell r="E964">
            <v>-38.480625201581255</v>
          </cell>
          <cell r="F964">
            <v>81.578663335969267</v>
          </cell>
          <cell r="G964">
            <v>25.550995351779328</v>
          </cell>
          <cell r="H964">
            <v>25.550995351779328</v>
          </cell>
          <cell r="I964" t="e">
            <v>#N/A</v>
          </cell>
          <cell r="J964" t="e">
            <v>#N/A</v>
          </cell>
          <cell r="K964">
            <v>75</v>
          </cell>
          <cell r="L964">
            <v>40</v>
          </cell>
          <cell r="M964" t="e">
            <v>#N/A</v>
          </cell>
          <cell r="N964">
            <v>68</v>
          </cell>
          <cell r="O964" t="e">
            <v>#N/A</v>
          </cell>
          <cell r="P964" t="str">
            <v/>
          </cell>
          <cell r="Q964" t="str">
            <v/>
          </cell>
          <cell r="R964">
            <v>68</v>
          </cell>
        </row>
        <row r="965">
          <cell r="A965" t="str">
            <v/>
          </cell>
          <cell r="B965" t="str">
            <v/>
          </cell>
          <cell r="C965" t="str">
            <v>Future</v>
          </cell>
          <cell r="D965" t="e">
            <v>#N/A</v>
          </cell>
          <cell r="E965">
            <v>-38.733787209486394</v>
          </cell>
          <cell r="F965">
            <v>81.621944015811167</v>
          </cell>
          <cell r="G965">
            <v>25.45593611067261</v>
          </cell>
          <cell r="H965">
            <v>25.45593611067261</v>
          </cell>
          <cell r="I965" t="e">
            <v>#N/A</v>
          </cell>
          <cell r="J965" t="e">
            <v>#N/A</v>
          </cell>
          <cell r="K965">
            <v>75</v>
          </cell>
          <cell r="L965">
            <v>40</v>
          </cell>
          <cell r="M965" t="e">
            <v>#N/A</v>
          </cell>
          <cell r="N965">
            <v>68</v>
          </cell>
          <cell r="O965" t="e">
            <v>#N/A</v>
          </cell>
          <cell r="P965" t="str">
            <v/>
          </cell>
          <cell r="Q965" t="str">
            <v/>
          </cell>
          <cell r="R965">
            <v>68</v>
          </cell>
        </row>
        <row r="966">
          <cell r="A966" t="str">
            <v/>
          </cell>
          <cell r="B966" t="str">
            <v/>
          </cell>
          <cell r="C966" t="str">
            <v>Future</v>
          </cell>
          <cell r="D966" t="e">
            <v>#N/A</v>
          </cell>
          <cell r="E966">
            <v>-38.986949217391533</v>
          </cell>
          <cell r="F966">
            <v>81.665224695653066</v>
          </cell>
          <cell r="G966">
            <v>25.360876869565892</v>
          </cell>
          <cell r="H966">
            <v>25.360876869565892</v>
          </cell>
          <cell r="I966" t="e">
            <v>#N/A</v>
          </cell>
          <cell r="J966" t="e">
            <v>#N/A</v>
          </cell>
          <cell r="K966">
            <v>75</v>
          </cell>
          <cell r="L966">
            <v>40</v>
          </cell>
          <cell r="M966" t="e">
            <v>#N/A</v>
          </cell>
          <cell r="N966">
            <v>68</v>
          </cell>
          <cell r="O966" t="e">
            <v>#N/A</v>
          </cell>
          <cell r="P966" t="str">
            <v/>
          </cell>
          <cell r="Q966" t="str">
            <v/>
          </cell>
          <cell r="R966">
            <v>68</v>
          </cell>
        </row>
        <row r="967">
          <cell r="A967" t="str">
            <v/>
          </cell>
          <cell r="B967" t="str">
            <v/>
          </cell>
          <cell r="C967" t="str">
            <v>Future</v>
          </cell>
          <cell r="D967" t="e">
            <v>#N/A</v>
          </cell>
          <cell r="E967">
            <v>-39.240111225296673</v>
          </cell>
          <cell r="F967">
            <v>81.708505375494966</v>
          </cell>
          <cell r="G967">
            <v>25.265817628459175</v>
          </cell>
          <cell r="H967">
            <v>25.265817628459175</v>
          </cell>
          <cell r="I967" t="e">
            <v>#N/A</v>
          </cell>
          <cell r="J967" t="e">
            <v>#N/A</v>
          </cell>
          <cell r="K967">
            <v>75</v>
          </cell>
          <cell r="L967">
            <v>40</v>
          </cell>
          <cell r="M967" t="e">
            <v>#N/A</v>
          </cell>
          <cell r="N967">
            <v>68</v>
          </cell>
          <cell r="O967" t="e">
            <v>#N/A</v>
          </cell>
          <cell r="P967" t="str">
            <v/>
          </cell>
          <cell r="Q967" t="str">
            <v/>
          </cell>
          <cell r="R967">
            <v>68</v>
          </cell>
        </row>
        <row r="968">
          <cell r="A968" t="str">
            <v/>
          </cell>
          <cell r="B968" t="str">
            <v/>
          </cell>
          <cell r="C968" t="str">
            <v>Future</v>
          </cell>
          <cell r="D968" t="e">
            <v>#N/A</v>
          </cell>
          <cell r="E968">
            <v>-39.493273233201812</v>
          </cell>
          <cell r="F968">
            <v>81.751786055336865</v>
          </cell>
          <cell r="G968">
            <v>25.170758387352457</v>
          </cell>
          <cell r="H968">
            <v>25.170758387352457</v>
          </cell>
          <cell r="I968" t="e">
            <v>#N/A</v>
          </cell>
          <cell r="J968" t="e">
            <v>#N/A</v>
          </cell>
          <cell r="K968">
            <v>75</v>
          </cell>
          <cell r="L968">
            <v>40</v>
          </cell>
          <cell r="M968" t="e">
            <v>#N/A</v>
          </cell>
          <cell r="N968">
            <v>68</v>
          </cell>
          <cell r="O968" t="e">
            <v>#N/A</v>
          </cell>
          <cell r="P968" t="str">
            <v/>
          </cell>
          <cell r="Q968" t="str">
            <v/>
          </cell>
          <cell r="R968">
            <v>68</v>
          </cell>
        </row>
        <row r="969">
          <cell r="A969" t="str">
            <v/>
          </cell>
          <cell r="B969" t="str">
            <v/>
          </cell>
          <cell r="C969" t="str">
            <v>Future</v>
          </cell>
          <cell r="D969" t="e">
            <v>#N/A</v>
          </cell>
          <cell r="E969">
            <v>-39.746435241106951</v>
          </cell>
          <cell r="F969">
            <v>81.795066735178764</v>
          </cell>
          <cell r="G969">
            <v>25.075699146245739</v>
          </cell>
          <cell r="H969">
            <v>25.075699146245739</v>
          </cell>
          <cell r="I969" t="e">
            <v>#N/A</v>
          </cell>
          <cell r="J969" t="e">
            <v>#N/A</v>
          </cell>
          <cell r="K969">
            <v>75</v>
          </cell>
          <cell r="L969">
            <v>40</v>
          </cell>
          <cell r="M969" t="e">
            <v>#N/A</v>
          </cell>
          <cell r="N969">
            <v>68</v>
          </cell>
          <cell r="O969" t="e">
            <v>#N/A</v>
          </cell>
          <cell r="P969" t="str">
            <v/>
          </cell>
          <cell r="Q969" t="str">
            <v/>
          </cell>
          <cell r="R969">
            <v>68</v>
          </cell>
        </row>
        <row r="970">
          <cell r="A970" t="str">
            <v/>
          </cell>
          <cell r="B970" t="str">
            <v/>
          </cell>
          <cell r="C970" t="str">
            <v>Future</v>
          </cell>
          <cell r="D970" t="e">
            <v>#N/A</v>
          </cell>
          <cell r="E970">
            <v>-39.999597249012091</v>
          </cell>
          <cell r="F970">
            <v>81.838347415020664</v>
          </cell>
          <cell r="G970">
            <v>24.980639905139022</v>
          </cell>
          <cell r="H970">
            <v>24.980639905139022</v>
          </cell>
          <cell r="I970" t="e">
            <v>#N/A</v>
          </cell>
          <cell r="J970" t="e">
            <v>#N/A</v>
          </cell>
          <cell r="K970">
            <v>75</v>
          </cell>
          <cell r="L970">
            <v>40</v>
          </cell>
          <cell r="M970" t="e">
            <v>#N/A</v>
          </cell>
          <cell r="N970">
            <v>68</v>
          </cell>
          <cell r="O970" t="e">
            <v>#N/A</v>
          </cell>
          <cell r="P970" t="str">
            <v/>
          </cell>
          <cell r="Q970" t="str">
            <v/>
          </cell>
          <cell r="R970">
            <v>68</v>
          </cell>
        </row>
        <row r="971">
          <cell r="A971" t="str">
            <v/>
          </cell>
          <cell r="B971" t="str">
            <v/>
          </cell>
          <cell r="C971" t="str">
            <v>Future</v>
          </cell>
          <cell r="D971" t="e">
            <v>#N/A</v>
          </cell>
          <cell r="E971">
            <v>-40.25275925691723</v>
          </cell>
          <cell r="F971">
            <v>81.881628094862563</v>
          </cell>
          <cell r="G971">
            <v>24.885580664032304</v>
          </cell>
          <cell r="H971">
            <v>24.885580664032304</v>
          </cell>
          <cell r="I971" t="e">
            <v>#N/A</v>
          </cell>
          <cell r="J971" t="e">
            <v>#N/A</v>
          </cell>
          <cell r="K971">
            <v>75</v>
          </cell>
          <cell r="L971">
            <v>40</v>
          </cell>
          <cell r="M971" t="e">
            <v>#N/A</v>
          </cell>
          <cell r="N971">
            <v>68</v>
          </cell>
          <cell r="O971" t="e">
            <v>#N/A</v>
          </cell>
          <cell r="P971" t="str">
            <v/>
          </cell>
          <cell r="Q971" t="str">
            <v/>
          </cell>
          <cell r="R971">
            <v>68</v>
          </cell>
        </row>
        <row r="972">
          <cell r="A972" t="str">
            <v/>
          </cell>
          <cell r="B972" t="str">
            <v/>
          </cell>
          <cell r="C972" t="str">
            <v>Future</v>
          </cell>
          <cell r="D972" t="e">
            <v>#N/A</v>
          </cell>
          <cell r="E972">
            <v>-40.505921264822369</v>
          </cell>
          <cell r="F972">
            <v>81.924908774704463</v>
          </cell>
          <cell r="G972">
            <v>24.790521422925586</v>
          </cell>
          <cell r="H972">
            <v>24.790521422925586</v>
          </cell>
          <cell r="I972" t="e">
            <v>#N/A</v>
          </cell>
          <cell r="J972" t="e">
            <v>#N/A</v>
          </cell>
          <cell r="K972">
            <v>75</v>
          </cell>
          <cell r="L972">
            <v>40</v>
          </cell>
          <cell r="M972" t="e">
            <v>#N/A</v>
          </cell>
          <cell r="N972">
            <v>68</v>
          </cell>
          <cell r="O972" t="e">
            <v>#N/A</v>
          </cell>
          <cell r="P972" t="str">
            <v/>
          </cell>
          <cell r="Q972" t="str">
            <v/>
          </cell>
          <cell r="R972">
            <v>68</v>
          </cell>
        </row>
        <row r="973">
          <cell r="A973" t="str">
            <v/>
          </cell>
          <cell r="B973" t="str">
            <v/>
          </cell>
          <cell r="C973" t="str">
            <v>Future</v>
          </cell>
          <cell r="D973" t="e">
            <v>#N/A</v>
          </cell>
          <cell r="E973">
            <v>-40.759083272727509</v>
          </cell>
          <cell r="F973">
            <v>81.968189454546362</v>
          </cell>
          <cell r="G973">
            <v>24.695462181818868</v>
          </cell>
          <cell r="H973">
            <v>24.695462181818868</v>
          </cell>
          <cell r="I973" t="e">
            <v>#N/A</v>
          </cell>
          <cell r="J973" t="e">
            <v>#N/A</v>
          </cell>
          <cell r="K973">
            <v>75</v>
          </cell>
          <cell r="L973">
            <v>40</v>
          </cell>
          <cell r="M973" t="e">
            <v>#N/A</v>
          </cell>
          <cell r="N973">
            <v>68</v>
          </cell>
          <cell r="O973" t="e">
            <v>#N/A</v>
          </cell>
          <cell r="P973" t="str">
            <v/>
          </cell>
          <cell r="Q973" t="str">
            <v/>
          </cell>
          <cell r="R973">
            <v>68</v>
          </cell>
        </row>
        <row r="974">
          <cell r="A974" t="str">
            <v/>
          </cell>
          <cell r="B974" t="str">
            <v/>
          </cell>
          <cell r="C974" t="str">
            <v>Future</v>
          </cell>
          <cell r="D974" t="e">
            <v>#N/A</v>
          </cell>
          <cell r="E974">
            <v>-41.012245280632648</v>
          </cell>
          <cell r="F974">
            <v>82.011470134388261</v>
          </cell>
          <cell r="G974">
            <v>24.600402940712151</v>
          </cell>
          <cell r="H974">
            <v>24.600402940712151</v>
          </cell>
          <cell r="I974" t="e">
            <v>#N/A</v>
          </cell>
          <cell r="J974" t="e">
            <v>#N/A</v>
          </cell>
          <cell r="K974">
            <v>75</v>
          </cell>
          <cell r="L974">
            <v>40</v>
          </cell>
          <cell r="M974" t="e">
            <v>#N/A</v>
          </cell>
          <cell r="N974">
            <v>68</v>
          </cell>
          <cell r="O974" t="e">
            <v>#N/A</v>
          </cell>
          <cell r="P974" t="str">
            <v/>
          </cell>
          <cell r="Q974" t="str">
            <v/>
          </cell>
          <cell r="R974">
            <v>68</v>
          </cell>
        </row>
        <row r="975">
          <cell r="A975" t="str">
            <v/>
          </cell>
          <cell r="B975" t="str">
            <v/>
          </cell>
          <cell r="C975" t="str">
            <v>Future</v>
          </cell>
          <cell r="D975" t="e">
            <v>#N/A</v>
          </cell>
          <cell r="E975">
            <v>-41.265407288537787</v>
          </cell>
          <cell r="F975">
            <v>82.054750814230161</v>
          </cell>
          <cell r="G975">
            <v>24.505343699605433</v>
          </cell>
          <cell r="H975">
            <v>24.505343699605433</v>
          </cell>
          <cell r="I975" t="e">
            <v>#N/A</v>
          </cell>
          <cell r="J975" t="e">
            <v>#N/A</v>
          </cell>
          <cell r="K975">
            <v>75</v>
          </cell>
          <cell r="L975">
            <v>40</v>
          </cell>
          <cell r="M975" t="e">
            <v>#N/A</v>
          </cell>
          <cell r="N975">
            <v>68</v>
          </cell>
          <cell r="O975" t="e">
            <v>#N/A</v>
          </cell>
          <cell r="P975" t="str">
            <v/>
          </cell>
          <cell r="Q975" t="str">
            <v/>
          </cell>
          <cell r="R975">
            <v>68</v>
          </cell>
        </row>
        <row r="976">
          <cell r="A976" t="str">
            <v/>
          </cell>
          <cell r="B976" t="str">
            <v/>
          </cell>
          <cell r="C976" t="str">
            <v>Future</v>
          </cell>
          <cell r="D976" t="e">
            <v>#N/A</v>
          </cell>
          <cell r="E976">
            <v>-41.518569296442926</v>
          </cell>
          <cell r="F976">
            <v>82.09803149407206</v>
          </cell>
          <cell r="G976">
            <v>24.410284458498715</v>
          </cell>
          <cell r="H976">
            <v>24.410284458498715</v>
          </cell>
          <cell r="I976" t="e">
            <v>#N/A</v>
          </cell>
          <cell r="J976" t="e">
            <v>#N/A</v>
          </cell>
          <cell r="K976">
            <v>75</v>
          </cell>
          <cell r="L976">
            <v>40</v>
          </cell>
          <cell r="M976" t="e">
            <v>#N/A</v>
          </cell>
          <cell r="N976">
            <v>68</v>
          </cell>
          <cell r="O976" t="e">
            <v>#N/A</v>
          </cell>
          <cell r="P976" t="str">
            <v/>
          </cell>
          <cell r="Q976" t="str">
            <v/>
          </cell>
          <cell r="R976">
            <v>68</v>
          </cell>
        </row>
        <row r="977">
          <cell r="A977" t="str">
            <v/>
          </cell>
          <cell r="B977" t="str">
            <v/>
          </cell>
          <cell r="C977" t="str">
            <v>Future</v>
          </cell>
          <cell r="D977" t="e">
            <v>#N/A</v>
          </cell>
          <cell r="E977">
            <v>-41.771731304348066</v>
          </cell>
          <cell r="F977">
            <v>82.14131217391396</v>
          </cell>
          <cell r="G977">
            <v>24.315225217391998</v>
          </cell>
          <cell r="H977">
            <v>24.315225217391998</v>
          </cell>
          <cell r="I977" t="e">
            <v>#N/A</v>
          </cell>
          <cell r="J977" t="e">
            <v>#N/A</v>
          </cell>
          <cell r="K977">
            <v>75</v>
          </cell>
          <cell r="L977">
            <v>40</v>
          </cell>
          <cell r="M977" t="e">
            <v>#N/A</v>
          </cell>
          <cell r="N977">
            <v>68</v>
          </cell>
          <cell r="O977" t="e">
            <v>#N/A</v>
          </cell>
          <cell r="P977" t="str">
            <v/>
          </cell>
          <cell r="Q977" t="str">
            <v/>
          </cell>
          <cell r="R977">
            <v>68</v>
          </cell>
        </row>
        <row r="978">
          <cell r="A978" t="str">
            <v/>
          </cell>
          <cell r="B978" t="str">
            <v/>
          </cell>
          <cell r="C978" t="str">
            <v>Future</v>
          </cell>
          <cell r="D978" t="e">
            <v>#N/A</v>
          </cell>
          <cell r="E978">
            <v>-42.024893312253205</v>
          </cell>
          <cell r="F978">
            <v>82.184592853755859</v>
          </cell>
          <cell r="G978">
            <v>24.22016597628528</v>
          </cell>
          <cell r="H978">
            <v>24.22016597628528</v>
          </cell>
          <cell r="I978" t="e">
            <v>#N/A</v>
          </cell>
          <cell r="J978" t="e">
            <v>#N/A</v>
          </cell>
          <cell r="K978">
            <v>75</v>
          </cell>
          <cell r="L978">
            <v>40</v>
          </cell>
          <cell r="M978" t="e">
            <v>#N/A</v>
          </cell>
          <cell r="N978">
            <v>68</v>
          </cell>
          <cell r="O978" t="e">
            <v>#N/A</v>
          </cell>
          <cell r="P978" t="str">
            <v/>
          </cell>
          <cell r="Q978" t="str">
            <v/>
          </cell>
          <cell r="R978">
            <v>68</v>
          </cell>
        </row>
        <row r="979">
          <cell r="A979" t="str">
            <v/>
          </cell>
          <cell r="B979" t="str">
            <v/>
          </cell>
          <cell r="C979" t="str">
            <v>Future</v>
          </cell>
          <cell r="D979" t="e">
            <v>#N/A</v>
          </cell>
          <cell r="E979">
            <v>-42.278055320158344</v>
          </cell>
          <cell r="F979">
            <v>82.227873533597759</v>
          </cell>
          <cell r="G979">
            <v>24.125106735178562</v>
          </cell>
          <cell r="H979">
            <v>24.125106735178562</v>
          </cell>
          <cell r="I979" t="e">
            <v>#N/A</v>
          </cell>
          <cell r="J979" t="e">
            <v>#N/A</v>
          </cell>
          <cell r="K979">
            <v>75</v>
          </cell>
          <cell r="L979">
            <v>40</v>
          </cell>
          <cell r="M979" t="e">
            <v>#N/A</v>
          </cell>
          <cell r="N979">
            <v>68</v>
          </cell>
          <cell r="O979" t="e">
            <v>#N/A</v>
          </cell>
          <cell r="P979" t="str">
            <v/>
          </cell>
          <cell r="Q979" t="str">
            <v/>
          </cell>
          <cell r="R979">
            <v>68</v>
          </cell>
        </row>
        <row r="980">
          <cell r="A980" t="str">
            <v/>
          </cell>
          <cell r="B980" t="str">
            <v/>
          </cell>
          <cell r="C980" t="str">
            <v>Future</v>
          </cell>
          <cell r="D980" t="e">
            <v>#N/A</v>
          </cell>
          <cell r="E980">
            <v>-42.531217328063484</v>
          </cell>
          <cell r="F980">
            <v>82.271154213439658</v>
          </cell>
          <cell r="G980">
            <v>24.030047494071844</v>
          </cell>
          <cell r="H980">
            <v>24.030047494071844</v>
          </cell>
          <cell r="I980" t="e">
            <v>#N/A</v>
          </cell>
          <cell r="J980" t="e">
            <v>#N/A</v>
          </cell>
          <cell r="K980">
            <v>75</v>
          </cell>
          <cell r="L980">
            <v>40</v>
          </cell>
          <cell r="M980" t="e">
            <v>#N/A</v>
          </cell>
          <cell r="N980">
            <v>68</v>
          </cell>
          <cell r="O980" t="e">
            <v>#N/A</v>
          </cell>
          <cell r="P980" t="str">
            <v/>
          </cell>
          <cell r="Q980" t="str">
            <v/>
          </cell>
          <cell r="R980">
            <v>68</v>
          </cell>
        </row>
        <row r="981">
          <cell r="A981" t="str">
            <v/>
          </cell>
          <cell r="B981" t="str">
            <v/>
          </cell>
          <cell r="C981" t="str">
            <v>Future</v>
          </cell>
          <cell r="D981" t="e">
            <v>#N/A</v>
          </cell>
          <cell r="E981">
            <v>-42.784379335968623</v>
          </cell>
          <cell r="F981">
            <v>82.314434893281557</v>
          </cell>
          <cell r="G981">
            <v>23.934988252965127</v>
          </cell>
          <cell r="H981">
            <v>23.934988252965127</v>
          </cell>
          <cell r="I981" t="e">
            <v>#N/A</v>
          </cell>
          <cell r="J981" t="e">
            <v>#N/A</v>
          </cell>
          <cell r="K981">
            <v>75</v>
          </cell>
          <cell r="L981">
            <v>40</v>
          </cell>
          <cell r="M981" t="e">
            <v>#N/A</v>
          </cell>
          <cell r="N981">
            <v>68</v>
          </cell>
          <cell r="O981" t="e">
            <v>#N/A</v>
          </cell>
          <cell r="P981" t="str">
            <v/>
          </cell>
          <cell r="Q981" t="str">
            <v/>
          </cell>
          <cell r="R981">
            <v>68</v>
          </cell>
        </row>
        <row r="982">
          <cell r="A982" t="str">
            <v/>
          </cell>
          <cell r="B982" t="str">
            <v/>
          </cell>
          <cell r="C982" t="str">
            <v>Future</v>
          </cell>
          <cell r="D982" t="e">
            <v>#N/A</v>
          </cell>
          <cell r="E982">
            <v>-43.037541343873762</v>
          </cell>
          <cell r="F982">
            <v>82.357715573123457</v>
          </cell>
          <cell r="G982">
            <v>23.839929011858409</v>
          </cell>
          <cell r="H982">
            <v>23.839929011858409</v>
          </cell>
          <cell r="I982" t="e">
            <v>#N/A</v>
          </cell>
          <cell r="J982" t="e">
            <v>#N/A</v>
          </cell>
          <cell r="K982">
            <v>75</v>
          </cell>
          <cell r="L982">
            <v>40</v>
          </cell>
          <cell r="M982" t="e">
            <v>#N/A</v>
          </cell>
          <cell r="N982">
            <v>68</v>
          </cell>
          <cell r="O982" t="e">
            <v>#N/A</v>
          </cell>
          <cell r="P982" t="str">
            <v/>
          </cell>
          <cell r="Q982" t="str">
            <v/>
          </cell>
          <cell r="R982">
            <v>68</v>
          </cell>
        </row>
        <row r="983">
          <cell r="A983" t="str">
            <v/>
          </cell>
          <cell r="B983" t="str">
            <v/>
          </cell>
          <cell r="C983" t="str">
            <v>Future</v>
          </cell>
          <cell r="D983" t="e">
            <v>#N/A</v>
          </cell>
          <cell r="E983">
            <v>-43.290703351778902</v>
          </cell>
          <cell r="F983">
            <v>82.400996252965356</v>
          </cell>
          <cell r="G983">
            <v>23.744869770751691</v>
          </cell>
          <cell r="H983">
            <v>23.744869770751691</v>
          </cell>
          <cell r="I983" t="e">
            <v>#N/A</v>
          </cell>
          <cell r="J983" t="e">
            <v>#N/A</v>
          </cell>
          <cell r="K983">
            <v>75</v>
          </cell>
          <cell r="L983">
            <v>40</v>
          </cell>
          <cell r="M983" t="e">
            <v>#N/A</v>
          </cell>
          <cell r="N983">
            <v>68</v>
          </cell>
          <cell r="O983" t="e">
            <v>#N/A</v>
          </cell>
          <cell r="P983" t="str">
            <v/>
          </cell>
          <cell r="Q983" t="str">
            <v/>
          </cell>
          <cell r="R983">
            <v>68</v>
          </cell>
        </row>
        <row r="984">
          <cell r="A984" t="str">
            <v/>
          </cell>
          <cell r="B984" t="str">
            <v/>
          </cell>
          <cell r="C984" t="str">
            <v>Future</v>
          </cell>
          <cell r="D984" t="e">
            <v>#N/A</v>
          </cell>
          <cell r="E984">
            <v>-43.543865359684041</v>
          </cell>
          <cell r="F984">
            <v>82.444276932807256</v>
          </cell>
          <cell r="G984">
            <v>23.649810529644974</v>
          </cell>
          <cell r="H984">
            <v>23.649810529644974</v>
          </cell>
          <cell r="I984" t="e">
            <v>#N/A</v>
          </cell>
          <cell r="J984" t="e">
            <v>#N/A</v>
          </cell>
          <cell r="K984">
            <v>75</v>
          </cell>
          <cell r="L984">
            <v>40</v>
          </cell>
          <cell r="M984" t="e">
            <v>#N/A</v>
          </cell>
          <cell r="N984">
            <v>68</v>
          </cell>
          <cell r="O984" t="e">
            <v>#N/A</v>
          </cell>
          <cell r="P984" t="str">
            <v/>
          </cell>
          <cell r="Q984" t="str">
            <v/>
          </cell>
          <cell r="R984">
            <v>68</v>
          </cell>
        </row>
        <row r="985">
          <cell r="A985" t="str">
            <v/>
          </cell>
          <cell r="B985" t="str">
            <v/>
          </cell>
          <cell r="C985" t="str">
            <v>Future</v>
          </cell>
          <cell r="D985" t="e">
            <v>#N/A</v>
          </cell>
          <cell r="E985">
            <v>-43.79702736758918</v>
          </cell>
          <cell r="F985">
            <v>82.487557612649155</v>
          </cell>
          <cell r="G985">
            <v>23.554751288538256</v>
          </cell>
          <cell r="H985">
            <v>23.554751288538256</v>
          </cell>
          <cell r="I985" t="e">
            <v>#N/A</v>
          </cell>
          <cell r="J985" t="e">
            <v>#N/A</v>
          </cell>
          <cell r="K985">
            <v>75</v>
          </cell>
          <cell r="L985">
            <v>40</v>
          </cell>
          <cell r="M985" t="e">
            <v>#N/A</v>
          </cell>
          <cell r="N985">
            <v>68</v>
          </cell>
          <cell r="O985" t="e">
            <v>#N/A</v>
          </cell>
          <cell r="P985" t="str">
            <v/>
          </cell>
          <cell r="Q985" t="str">
            <v/>
          </cell>
          <cell r="R985">
            <v>68</v>
          </cell>
        </row>
        <row r="986">
          <cell r="A986" t="str">
            <v/>
          </cell>
          <cell r="B986" t="str">
            <v/>
          </cell>
          <cell r="C986" t="str">
            <v>Future</v>
          </cell>
          <cell r="D986" t="e">
            <v>#N/A</v>
          </cell>
          <cell r="E986">
            <v>-44.05018937549432</v>
          </cell>
          <cell r="F986">
            <v>82.530838292491055</v>
          </cell>
          <cell r="G986">
            <v>23.459692047431538</v>
          </cell>
          <cell r="H986">
            <v>23.459692047431538</v>
          </cell>
          <cell r="I986" t="e">
            <v>#N/A</v>
          </cell>
          <cell r="J986" t="e">
            <v>#N/A</v>
          </cell>
          <cell r="K986">
            <v>75</v>
          </cell>
          <cell r="L986">
            <v>40</v>
          </cell>
          <cell r="M986" t="e">
            <v>#N/A</v>
          </cell>
          <cell r="N986">
            <v>68</v>
          </cell>
          <cell r="O986" t="e">
            <v>#N/A</v>
          </cell>
          <cell r="P986" t="str">
            <v/>
          </cell>
          <cell r="Q986" t="str">
            <v/>
          </cell>
          <cell r="R986">
            <v>68</v>
          </cell>
        </row>
        <row r="987">
          <cell r="A987" t="str">
            <v/>
          </cell>
          <cell r="B987" t="str">
            <v/>
          </cell>
          <cell r="C987" t="str">
            <v>Future</v>
          </cell>
          <cell r="D987" t="e">
            <v>#N/A</v>
          </cell>
          <cell r="E987">
            <v>-44.303351383399459</v>
          </cell>
          <cell r="F987">
            <v>82.574118972332954</v>
          </cell>
          <cell r="G987">
            <v>23.364632806324821</v>
          </cell>
          <cell r="H987">
            <v>23.364632806324821</v>
          </cell>
          <cell r="I987" t="e">
            <v>#N/A</v>
          </cell>
          <cell r="J987" t="e">
            <v>#N/A</v>
          </cell>
          <cell r="K987">
            <v>75</v>
          </cell>
          <cell r="L987">
            <v>40</v>
          </cell>
          <cell r="M987" t="e">
            <v>#N/A</v>
          </cell>
          <cell r="N987">
            <v>68</v>
          </cell>
          <cell r="O987" t="e">
            <v>#N/A</v>
          </cell>
          <cell r="P987" t="str">
            <v/>
          </cell>
          <cell r="Q987" t="str">
            <v/>
          </cell>
          <cell r="R987">
            <v>68</v>
          </cell>
        </row>
        <row r="988">
          <cell r="A988" t="str">
            <v/>
          </cell>
          <cell r="B988" t="str">
            <v/>
          </cell>
          <cell r="C988" t="str">
            <v>Future</v>
          </cell>
          <cell r="D988" t="e">
            <v>#N/A</v>
          </cell>
          <cell r="E988">
            <v>-44.556513391304598</v>
          </cell>
          <cell r="F988">
            <v>82.617399652174853</v>
          </cell>
          <cell r="G988">
            <v>23.269573565218103</v>
          </cell>
          <cell r="H988">
            <v>23.269573565218103</v>
          </cell>
          <cell r="I988" t="e">
            <v>#N/A</v>
          </cell>
          <cell r="J988" t="e">
            <v>#N/A</v>
          </cell>
          <cell r="K988">
            <v>75</v>
          </cell>
          <cell r="L988">
            <v>40</v>
          </cell>
          <cell r="M988" t="e">
            <v>#N/A</v>
          </cell>
          <cell r="N988">
            <v>68</v>
          </cell>
          <cell r="O988" t="e">
            <v>#N/A</v>
          </cell>
          <cell r="P988" t="str">
            <v/>
          </cell>
          <cell r="Q988" t="str">
            <v/>
          </cell>
          <cell r="R988">
            <v>68</v>
          </cell>
        </row>
        <row r="989">
          <cell r="A989" t="str">
            <v/>
          </cell>
          <cell r="B989" t="str">
            <v/>
          </cell>
          <cell r="C989" t="str">
            <v>Future</v>
          </cell>
          <cell r="D989" t="e">
            <v>#N/A</v>
          </cell>
          <cell r="E989">
            <v>-44.809675399209738</v>
          </cell>
          <cell r="F989">
            <v>82.660680332016753</v>
          </cell>
          <cell r="G989">
            <v>23.174514324111385</v>
          </cell>
          <cell r="H989">
            <v>23.174514324111385</v>
          </cell>
          <cell r="I989" t="e">
            <v>#N/A</v>
          </cell>
          <cell r="J989" t="e">
            <v>#N/A</v>
          </cell>
          <cell r="K989">
            <v>75</v>
          </cell>
          <cell r="L989">
            <v>40</v>
          </cell>
          <cell r="M989" t="e">
            <v>#N/A</v>
          </cell>
          <cell r="N989">
            <v>68</v>
          </cell>
          <cell r="O989" t="e">
            <v>#N/A</v>
          </cell>
          <cell r="P989" t="str">
            <v/>
          </cell>
          <cell r="Q989" t="str">
            <v/>
          </cell>
          <cell r="R989">
            <v>68</v>
          </cell>
        </row>
        <row r="990">
          <cell r="A990" t="str">
            <v/>
          </cell>
          <cell r="B990" t="str">
            <v/>
          </cell>
          <cell r="C990" t="str">
            <v>Future</v>
          </cell>
          <cell r="D990" t="e">
            <v>#N/A</v>
          </cell>
          <cell r="E990">
            <v>-45.062837407114877</v>
          </cell>
          <cell r="F990">
            <v>82.703961011858652</v>
          </cell>
          <cell r="G990">
            <v>23.079455083004667</v>
          </cell>
          <cell r="H990">
            <v>23.079455083004667</v>
          </cell>
          <cell r="I990" t="e">
            <v>#N/A</v>
          </cell>
          <cell r="J990" t="e">
            <v>#N/A</v>
          </cell>
          <cell r="K990">
            <v>75</v>
          </cell>
          <cell r="L990">
            <v>40</v>
          </cell>
          <cell r="M990" t="e">
            <v>#N/A</v>
          </cell>
          <cell r="N990">
            <v>68</v>
          </cell>
          <cell r="O990" t="e">
            <v>#N/A</v>
          </cell>
          <cell r="P990" t="str">
            <v/>
          </cell>
          <cell r="Q990" t="str">
            <v/>
          </cell>
          <cell r="R990">
            <v>68</v>
          </cell>
        </row>
        <row r="991">
          <cell r="A991" t="str">
            <v/>
          </cell>
          <cell r="B991" t="str">
            <v/>
          </cell>
          <cell r="C991" t="str">
            <v>Future</v>
          </cell>
          <cell r="D991" t="e">
            <v>#N/A</v>
          </cell>
          <cell r="E991">
            <v>-45.315999415020016</v>
          </cell>
          <cell r="F991">
            <v>82.747241691700552</v>
          </cell>
          <cell r="G991">
            <v>22.98439584189795</v>
          </cell>
          <cell r="H991">
            <v>22.98439584189795</v>
          </cell>
          <cell r="I991" t="e">
            <v>#N/A</v>
          </cell>
          <cell r="J991" t="e">
            <v>#N/A</v>
          </cell>
          <cell r="K991">
            <v>75</v>
          </cell>
          <cell r="L991">
            <v>40</v>
          </cell>
          <cell r="M991" t="e">
            <v>#N/A</v>
          </cell>
          <cell r="N991">
            <v>68</v>
          </cell>
          <cell r="O991" t="e">
            <v>#N/A</v>
          </cell>
          <cell r="P991" t="str">
            <v/>
          </cell>
          <cell r="Q991" t="str">
            <v/>
          </cell>
          <cell r="R991">
            <v>68</v>
          </cell>
        </row>
        <row r="992">
          <cell r="A992" t="str">
            <v/>
          </cell>
          <cell r="B992" t="str">
            <v/>
          </cell>
          <cell r="C992" t="str">
            <v>Future</v>
          </cell>
          <cell r="D992" t="e">
            <v>#N/A</v>
          </cell>
          <cell r="E992">
            <v>-45.569161422925156</v>
          </cell>
          <cell r="F992">
            <v>82.790522371542451</v>
          </cell>
          <cell r="G992">
            <v>22.889336600791232</v>
          </cell>
          <cell r="H992">
            <v>22.889336600791232</v>
          </cell>
          <cell r="I992" t="e">
            <v>#N/A</v>
          </cell>
          <cell r="J992" t="e">
            <v>#N/A</v>
          </cell>
          <cell r="K992">
            <v>75</v>
          </cell>
          <cell r="L992">
            <v>40</v>
          </cell>
          <cell r="M992" t="e">
            <v>#N/A</v>
          </cell>
          <cell r="N992">
            <v>68</v>
          </cell>
          <cell r="O992" t="e">
            <v>#N/A</v>
          </cell>
          <cell r="P992" t="str">
            <v/>
          </cell>
          <cell r="Q992" t="str">
            <v/>
          </cell>
          <cell r="R992">
            <v>68</v>
          </cell>
        </row>
        <row r="993">
          <cell r="A993" t="str">
            <v/>
          </cell>
          <cell r="B993" t="str">
            <v/>
          </cell>
          <cell r="C993" t="str">
            <v>Future</v>
          </cell>
          <cell r="D993" t="e">
            <v>#N/A</v>
          </cell>
          <cell r="E993">
            <v>-45.822323430830295</v>
          </cell>
          <cell r="F993">
            <v>82.833803051384351</v>
          </cell>
          <cell r="G993">
            <v>22.794277359684514</v>
          </cell>
          <cell r="H993">
            <v>22.794277359684514</v>
          </cell>
          <cell r="I993" t="e">
            <v>#N/A</v>
          </cell>
          <cell r="J993" t="e">
            <v>#N/A</v>
          </cell>
          <cell r="K993">
            <v>75</v>
          </cell>
          <cell r="L993">
            <v>40</v>
          </cell>
          <cell r="M993" t="e">
            <v>#N/A</v>
          </cell>
          <cell r="N993">
            <v>68</v>
          </cell>
          <cell r="O993" t="e">
            <v>#N/A</v>
          </cell>
          <cell r="P993" t="str">
            <v/>
          </cell>
          <cell r="Q993" t="str">
            <v/>
          </cell>
          <cell r="R993">
            <v>68</v>
          </cell>
        </row>
        <row r="994">
          <cell r="A994" t="str">
            <v/>
          </cell>
          <cell r="B994" t="str">
            <v/>
          </cell>
          <cell r="C994" t="str">
            <v>Future</v>
          </cell>
          <cell r="D994" t="e">
            <v>#N/A</v>
          </cell>
          <cell r="E994">
            <v>-46.075485438735434</v>
          </cell>
          <cell r="F994">
            <v>82.87708373122625</v>
          </cell>
          <cell r="G994">
            <v>22.699218118577797</v>
          </cell>
          <cell r="H994">
            <v>22.699218118577797</v>
          </cell>
          <cell r="I994" t="e">
            <v>#N/A</v>
          </cell>
          <cell r="J994" t="e">
            <v>#N/A</v>
          </cell>
          <cell r="K994">
            <v>75</v>
          </cell>
          <cell r="L994">
            <v>40</v>
          </cell>
          <cell r="M994" t="e">
            <v>#N/A</v>
          </cell>
          <cell r="N994">
            <v>68</v>
          </cell>
          <cell r="O994" t="e">
            <v>#N/A</v>
          </cell>
          <cell r="P994" t="str">
            <v/>
          </cell>
          <cell r="Q994" t="str">
            <v/>
          </cell>
          <cell r="R994">
            <v>68</v>
          </cell>
        </row>
        <row r="995">
          <cell r="A995" t="str">
            <v/>
          </cell>
          <cell r="B995" t="str">
            <v/>
          </cell>
          <cell r="C995" t="str">
            <v>Future</v>
          </cell>
          <cell r="D995" t="e">
            <v>#N/A</v>
          </cell>
          <cell r="E995">
            <v>-46.328647446640574</v>
          </cell>
          <cell r="F995">
            <v>82.920364411068149</v>
          </cell>
          <cell r="G995">
            <v>22.604158877471079</v>
          </cell>
          <cell r="H995">
            <v>22.604158877471079</v>
          </cell>
          <cell r="I995" t="e">
            <v>#N/A</v>
          </cell>
          <cell r="J995" t="e">
            <v>#N/A</v>
          </cell>
          <cell r="K995">
            <v>75</v>
          </cell>
          <cell r="L995">
            <v>40</v>
          </cell>
          <cell r="M995" t="e">
            <v>#N/A</v>
          </cell>
          <cell r="N995">
            <v>68</v>
          </cell>
          <cell r="O995" t="e">
            <v>#N/A</v>
          </cell>
          <cell r="P995" t="str">
            <v/>
          </cell>
          <cell r="Q995" t="str">
            <v/>
          </cell>
          <cell r="R995">
            <v>68</v>
          </cell>
        </row>
        <row r="996">
          <cell r="A996" t="str">
            <v/>
          </cell>
          <cell r="B996" t="str">
            <v/>
          </cell>
          <cell r="C996" t="str">
            <v>Future</v>
          </cell>
          <cell r="D996" t="e">
            <v>#N/A</v>
          </cell>
          <cell r="E996">
            <v>-46.581809454545713</v>
          </cell>
          <cell r="F996">
            <v>82.963645090910049</v>
          </cell>
          <cell r="G996">
            <v>22.509099636364361</v>
          </cell>
          <cell r="H996">
            <v>22.509099636364361</v>
          </cell>
          <cell r="I996" t="e">
            <v>#N/A</v>
          </cell>
          <cell r="J996" t="e">
            <v>#N/A</v>
          </cell>
          <cell r="K996">
            <v>75</v>
          </cell>
          <cell r="L996">
            <v>40</v>
          </cell>
          <cell r="M996" t="e">
            <v>#N/A</v>
          </cell>
          <cell r="N996">
            <v>68</v>
          </cell>
          <cell r="O996" t="e">
            <v>#N/A</v>
          </cell>
          <cell r="P996" t="str">
            <v/>
          </cell>
          <cell r="Q996" t="str">
            <v/>
          </cell>
          <cell r="R996">
            <v>68</v>
          </cell>
        </row>
        <row r="997">
          <cell r="A997" t="str">
            <v/>
          </cell>
          <cell r="B997" t="str">
            <v/>
          </cell>
          <cell r="C997" t="str">
            <v>Future</v>
          </cell>
          <cell r="D997" t="e">
            <v>#N/A</v>
          </cell>
          <cell r="E997">
            <v>-46.834971462450852</v>
          </cell>
          <cell r="F997">
            <v>83.006925770751948</v>
          </cell>
          <cell r="G997">
            <v>22.414040395257643</v>
          </cell>
          <cell r="H997">
            <v>22.414040395257643</v>
          </cell>
          <cell r="I997" t="e">
            <v>#N/A</v>
          </cell>
          <cell r="J997" t="e">
            <v>#N/A</v>
          </cell>
          <cell r="K997">
            <v>75</v>
          </cell>
          <cell r="L997">
            <v>40</v>
          </cell>
          <cell r="M997" t="e">
            <v>#N/A</v>
          </cell>
          <cell r="N997">
            <v>68</v>
          </cell>
          <cell r="O997" t="e">
            <v>#N/A</v>
          </cell>
          <cell r="P997" t="str">
            <v/>
          </cell>
          <cell r="Q997" t="str">
            <v/>
          </cell>
          <cell r="R997">
            <v>68</v>
          </cell>
        </row>
        <row r="998">
          <cell r="A998" t="str">
            <v/>
          </cell>
          <cell r="B998" t="str">
            <v/>
          </cell>
          <cell r="C998" t="str">
            <v>Future</v>
          </cell>
          <cell r="D998" t="e">
            <v>#N/A</v>
          </cell>
          <cell r="E998">
            <v>-47.088133470355992</v>
          </cell>
          <cell r="F998">
            <v>83.050206450593848</v>
          </cell>
          <cell r="G998">
            <v>22.318981154150926</v>
          </cell>
          <cell r="H998">
            <v>22.318981154150926</v>
          </cell>
          <cell r="I998" t="e">
            <v>#N/A</v>
          </cell>
          <cell r="J998" t="e">
            <v>#N/A</v>
          </cell>
          <cell r="K998">
            <v>75</v>
          </cell>
          <cell r="L998">
            <v>40</v>
          </cell>
          <cell r="M998" t="e">
            <v>#N/A</v>
          </cell>
          <cell r="N998">
            <v>68</v>
          </cell>
          <cell r="O998" t="e">
            <v>#N/A</v>
          </cell>
          <cell r="P998" t="str">
            <v/>
          </cell>
          <cell r="Q998" t="str">
            <v/>
          </cell>
          <cell r="R998">
            <v>68</v>
          </cell>
        </row>
        <row r="999">
          <cell r="A999" t="str">
            <v/>
          </cell>
          <cell r="B999" t="str">
            <v/>
          </cell>
          <cell r="C999" t="str">
            <v>Future</v>
          </cell>
          <cell r="D999" t="e">
            <v>#N/A</v>
          </cell>
          <cell r="E999">
            <v>-47.341295478261131</v>
          </cell>
          <cell r="F999">
            <v>83.093487130435747</v>
          </cell>
          <cell r="G999">
            <v>22.223921913044208</v>
          </cell>
          <cell r="H999">
            <v>22.223921913044208</v>
          </cell>
          <cell r="I999" t="e">
            <v>#N/A</v>
          </cell>
          <cell r="J999" t="e">
            <v>#N/A</v>
          </cell>
          <cell r="K999">
            <v>75</v>
          </cell>
          <cell r="L999">
            <v>40</v>
          </cell>
          <cell r="M999" t="e">
            <v>#N/A</v>
          </cell>
          <cell r="N999">
            <v>68</v>
          </cell>
          <cell r="O999" t="e">
            <v>#N/A</v>
          </cell>
          <cell r="P999" t="str">
            <v/>
          </cell>
          <cell r="Q999" t="str">
            <v/>
          </cell>
          <cell r="R999">
            <v>68</v>
          </cell>
        </row>
        <row r="1000">
          <cell r="A1000" t="str">
            <v/>
          </cell>
          <cell r="B1000" t="str">
            <v/>
          </cell>
          <cell r="C1000" t="str">
            <v>Future</v>
          </cell>
          <cell r="D1000" t="e">
            <v>#N/A</v>
          </cell>
          <cell r="E1000">
            <v>-47.59445748616627</v>
          </cell>
          <cell r="F1000">
            <v>83.136767810277647</v>
          </cell>
          <cell r="G1000">
            <v>22.12886267193749</v>
          </cell>
          <cell r="H1000">
            <v>22.12886267193749</v>
          </cell>
          <cell r="I1000" t="e">
            <v>#N/A</v>
          </cell>
          <cell r="J1000" t="e">
            <v>#N/A</v>
          </cell>
          <cell r="K1000">
            <v>75</v>
          </cell>
          <cell r="L1000">
            <v>40</v>
          </cell>
          <cell r="M1000" t="e">
            <v>#N/A</v>
          </cell>
          <cell r="N1000">
            <v>68</v>
          </cell>
          <cell r="O1000" t="e">
            <v>#N/A</v>
          </cell>
          <cell r="P1000" t="str">
            <v/>
          </cell>
          <cell r="Q1000" t="str">
            <v/>
          </cell>
          <cell r="R1000">
            <v>68</v>
          </cell>
        </row>
        <row r="1001">
          <cell r="A1001" t="str">
            <v/>
          </cell>
          <cell r="B1001" t="str">
            <v/>
          </cell>
          <cell r="C1001" t="str">
            <v>Future</v>
          </cell>
          <cell r="D1001" t="e">
            <v>#N/A</v>
          </cell>
          <cell r="E1001">
            <v>-47.847619494071409</v>
          </cell>
          <cell r="F1001">
            <v>83.180048490119546</v>
          </cell>
          <cell r="G1001">
            <v>22.033803430830773</v>
          </cell>
          <cell r="H1001">
            <v>22.033803430830773</v>
          </cell>
          <cell r="I1001" t="e">
            <v>#N/A</v>
          </cell>
          <cell r="J1001" t="e">
            <v>#N/A</v>
          </cell>
          <cell r="K1001">
            <v>75</v>
          </cell>
          <cell r="L1001">
            <v>40</v>
          </cell>
          <cell r="M1001" t="e">
            <v>#N/A</v>
          </cell>
          <cell r="N1001">
            <v>68</v>
          </cell>
          <cell r="O1001" t="e">
            <v>#N/A</v>
          </cell>
          <cell r="P1001" t="str">
            <v/>
          </cell>
          <cell r="Q1001" t="str">
            <v/>
          </cell>
          <cell r="R1001">
            <v>68</v>
          </cell>
        </row>
        <row r="1002">
          <cell r="A1002" t="str">
            <v/>
          </cell>
          <cell r="B1002" t="str">
            <v/>
          </cell>
          <cell r="C1002" t="str">
            <v>Future</v>
          </cell>
          <cell r="D1002" t="e">
            <v>#N/A</v>
          </cell>
          <cell r="E1002">
            <v>-48.100781501976549</v>
          </cell>
          <cell r="F1002">
            <v>83.223329169961445</v>
          </cell>
          <cell r="G1002">
            <v>21.938744189724055</v>
          </cell>
          <cell r="H1002">
            <v>21.938744189724055</v>
          </cell>
          <cell r="I1002" t="e">
            <v>#N/A</v>
          </cell>
          <cell r="J1002" t="e">
            <v>#N/A</v>
          </cell>
          <cell r="K1002">
            <v>75</v>
          </cell>
          <cell r="L1002">
            <v>40</v>
          </cell>
          <cell r="M1002" t="e">
            <v>#N/A</v>
          </cell>
          <cell r="N1002">
            <v>68</v>
          </cell>
          <cell r="O1002" t="e">
            <v>#N/A</v>
          </cell>
          <cell r="P1002" t="str">
            <v/>
          </cell>
          <cell r="Q1002" t="str">
            <v/>
          </cell>
          <cell r="R1002">
            <v>68</v>
          </cell>
        </row>
        <row r="1003">
          <cell r="A1003" t="str">
            <v/>
          </cell>
          <cell r="B1003" t="str">
            <v/>
          </cell>
          <cell r="C1003" t="str">
            <v>Future</v>
          </cell>
          <cell r="D1003" t="e">
            <v>#N/A</v>
          </cell>
          <cell r="E1003">
            <v>-48.353943509881688</v>
          </cell>
          <cell r="F1003">
            <v>83.266609849803345</v>
          </cell>
          <cell r="G1003">
            <v>21.843684948617337</v>
          </cell>
          <cell r="H1003">
            <v>21.843684948617337</v>
          </cell>
          <cell r="I1003" t="e">
            <v>#N/A</v>
          </cell>
          <cell r="J1003" t="e">
            <v>#N/A</v>
          </cell>
          <cell r="K1003">
            <v>75</v>
          </cell>
          <cell r="L1003">
            <v>40</v>
          </cell>
          <cell r="M1003" t="e">
            <v>#N/A</v>
          </cell>
          <cell r="N1003">
            <v>68</v>
          </cell>
          <cell r="O1003" t="e">
            <v>#N/A</v>
          </cell>
          <cell r="P1003" t="str">
            <v/>
          </cell>
          <cell r="Q1003" t="str">
            <v/>
          </cell>
          <cell r="R1003">
            <v>68</v>
          </cell>
        </row>
        <row r="1004">
          <cell r="A1004" t="str">
            <v/>
          </cell>
          <cell r="B1004" t="str">
            <v/>
          </cell>
          <cell r="C1004" t="str">
            <v>Future</v>
          </cell>
          <cell r="D1004" t="e">
            <v>#N/A</v>
          </cell>
          <cell r="E1004">
            <v>-48.607105517786827</v>
          </cell>
          <cell r="F1004">
            <v>83.309890529645244</v>
          </cell>
          <cell r="G1004">
            <v>21.74862570751062</v>
          </cell>
          <cell r="H1004">
            <v>21.74862570751062</v>
          </cell>
          <cell r="I1004" t="e">
            <v>#N/A</v>
          </cell>
          <cell r="J1004" t="e">
            <v>#N/A</v>
          </cell>
          <cell r="K1004">
            <v>75</v>
          </cell>
          <cell r="L1004">
            <v>40</v>
          </cell>
          <cell r="M1004" t="e">
            <v>#N/A</v>
          </cell>
          <cell r="N1004">
            <v>68</v>
          </cell>
          <cell r="O1004" t="e">
            <v>#N/A</v>
          </cell>
          <cell r="P1004" t="str">
            <v/>
          </cell>
          <cell r="Q1004" t="str">
            <v/>
          </cell>
          <cell r="R1004">
            <v>68</v>
          </cell>
        </row>
        <row r="1005">
          <cell r="A1005" t="str">
            <v/>
          </cell>
          <cell r="B1005" t="str">
            <v/>
          </cell>
          <cell r="C1005" t="str">
            <v>Future</v>
          </cell>
          <cell r="D1005" t="e">
            <v>#N/A</v>
          </cell>
          <cell r="E1005">
            <v>-48.860267525691967</v>
          </cell>
          <cell r="F1005">
            <v>83.353171209487144</v>
          </cell>
          <cell r="G1005">
            <v>21.653566466403902</v>
          </cell>
          <cell r="H1005">
            <v>21.653566466403902</v>
          </cell>
          <cell r="I1005" t="e">
            <v>#N/A</v>
          </cell>
          <cell r="J1005" t="e">
            <v>#N/A</v>
          </cell>
          <cell r="K1005">
            <v>75</v>
          </cell>
          <cell r="L1005">
            <v>40</v>
          </cell>
          <cell r="M1005" t="e">
            <v>#N/A</v>
          </cell>
          <cell r="N1005">
            <v>68</v>
          </cell>
          <cell r="O1005" t="e">
            <v>#N/A</v>
          </cell>
          <cell r="P1005" t="str">
            <v/>
          </cell>
          <cell r="Q1005" t="str">
            <v/>
          </cell>
          <cell r="R1005">
            <v>68</v>
          </cell>
        </row>
        <row r="1006">
          <cell r="A1006" t="str">
            <v/>
          </cell>
          <cell r="B1006" t="str">
            <v/>
          </cell>
          <cell r="C1006" t="str">
            <v>Future</v>
          </cell>
          <cell r="D1006" t="e">
            <v>#N/A</v>
          </cell>
          <cell r="E1006">
            <v>-49.113429533597106</v>
          </cell>
          <cell r="F1006">
            <v>83.396451889329043</v>
          </cell>
          <cell r="G1006">
            <v>21.558507225297184</v>
          </cell>
          <cell r="H1006">
            <v>21.558507225297184</v>
          </cell>
          <cell r="I1006" t="e">
            <v>#N/A</v>
          </cell>
          <cell r="J1006" t="e">
            <v>#N/A</v>
          </cell>
          <cell r="K1006">
            <v>75</v>
          </cell>
          <cell r="L1006">
            <v>40</v>
          </cell>
          <cell r="M1006" t="e">
            <v>#N/A</v>
          </cell>
          <cell r="N1006">
            <v>68</v>
          </cell>
          <cell r="O1006" t="e">
            <v>#N/A</v>
          </cell>
          <cell r="P1006" t="str">
            <v/>
          </cell>
          <cell r="Q1006" t="str">
            <v/>
          </cell>
          <cell r="R1006">
            <v>68</v>
          </cell>
        </row>
        <row r="1007">
          <cell r="A1007" t="str">
            <v/>
          </cell>
          <cell r="B1007" t="str">
            <v/>
          </cell>
          <cell r="C1007" t="str">
            <v>Future</v>
          </cell>
          <cell r="D1007" t="e">
            <v>#N/A</v>
          </cell>
          <cell r="E1007">
            <v>-49.366591541502245</v>
          </cell>
          <cell r="F1007">
            <v>83.439732569170943</v>
          </cell>
          <cell r="G1007">
            <v>21.463447984190466</v>
          </cell>
          <cell r="H1007">
            <v>21.463447984190466</v>
          </cell>
          <cell r="I1007" t="e">
            <v>#N/A</v>
          </cell>
          <cell r="J1007" t="e">
            <v>#N/A</v>
          </cell>
          <cell r="K1007">
            <v>75</v>
          </cell>
          <cell r="L1007">
            <v>40</v>
          </cell>
          <cell r="M1007" t="e">
            <v>#N/A</v>
          </cell>
          <cell r="N1007">
            <v>68</v>
          </cell>
          <cell r="O1007" t="e">
            <v>#N/A</v>
          </cell>
          <cell r="P1007" t="str">
            <v/>
          </cell>
          <cell r="Q1007" t="str">
            <v/>
          </cell>
          <cell r="R1007">
            <v>68</v>
          </cell>
        </row>
        <row r="1008">
          <cell r="A1008" t="str">
            <v/>
          </cell>
          <cell r="B1008" t="str">
            <v/>
          </cell>
          <cell r="C1008" t="str">
            <v>Future</v>
          </cell>
          <cell r="D1008" t="e">
            <v>#N/A</v>
          </cell>
          <cell r="E1008">
            <v>-49.619753549407385</v>
          </cell>
          <cell r="F1008">
            <v>83.483013249012842</v>
          </cell>
          <cell r="G1008">
            <v>21.368388743083749</v>
          </cell>
          <cell r="H1008">
            <v>21.368388743083749</v>
          </cell>
          <cell r="I1008" t="e">
            <v>#N/A</v>
          </cell>
          <cell r="J1008" t="e">
            <v>#N/A</v>
          </cell>
          <cell r="K1008">
            <v>75</v>
          </cell>
          <cell r="L1008">
            <v>40</v>
          </cell>
          <cell r="M1008" t="e">
            <v>#N/A</v>
          </cell>
          <cell r="N1008">
            <v>68</v>
          </cell>
          <cell r="O1008" t="e">
            <v>#N/A</v>
          </cell>
          <cell r="P1008" t="str">
            <v/>
          </cell>
          <cell r="Q1008" t="str">
            <v/>
          </cell>
          <cell r="R1008">
            <v>68</v>
          </cell>
        </row>
        <row r="1009">
          <cell r="A1009" t="str">
            <v/>
          </cell>
          <cell r="B1009" t="str">
            <v/>
          </cell>
          <cell r="C1009" t="str">
            <v>Future</v>
          </cell>
          <cell r="D1009" t="e">
            <v>#N/A</v>
          </cell>
          <cell r="E1009">
            <v>-49.872915557312524</v>
          </cell>
          <cell r="F1009">
            <v>83.526293928854741</v>
          </cell>
          <cell r="G1009">
            <v>21.273329501977031</v>
          </cell>
          <cell r="H1009">
            <v>21.273329501977031</v>
          </cell>
          <cell r="I1009" t="e">
            <v>#N/A</v>
          </cell>
          <cell r="J1009" t="e">
            <v>#N/A</v>
          </cell>
          <cell r="K1009">
            <v>75</v>
          </cell>
          <cell r="L1009">
            <v>40</v>
          </cell>
          <cell r="M1009" t="e">
            <v>#N/A</v>
          </cell>
          <cell r="N1009">
            <v>68</v>
          </cell>
          <cell r="O1009" t="e">
            <v>#N/A</v>
          </cell>
          <cell r="P1009" t="str">
            <v/>
          </cell>
          <cell r="Q1009" t="str">
            <v/>
          </cell>
          <cell r="R1009">
            <v>68</v>
          </cell>
        </row>
        <row r="1010">
          <cell r="A1010" t="str">
            <v/>
          </cell>
          <cell r="B1010" t="str">
            <v/>
          </cell>
          <cell r="C1010" t="str">
            <v>Future</v>
          </cell>
          <cell r="D1010" t="e">
            <v>#N/A</v>
          </cell>
          <cell r="E1010">
            <v>-50.126077565217663</v>
          </cell>
          <cell r="F1010">
            <v>83.569574608696641</v>
          </cell>
          <cell r="G1010">
            <v>21.178270260870313</v>
          </cell>
          <cell r="H1010">
            <v>21.178270260870313</v>
          </cell>
          <cell r="I1010" t="e">
            <v>#N/A</v>
          </cell>
          <cell r="J1010" t="e">
            <v>#N/A</v>
          </cell>
          <cell r="K1010">
            <v>75</v>
          </cell>
          <cell r="L1010">
            <v>40</v>
          </cell>
          <cell r="M1010" t="e">
            <v>#N/A</v>
          </cell>
          <cell r="N1010">
            <v>68</v>
          </cell>
          <cell r="O1010" t="e">
            <v>#N/A</v>
          </cell>
          <cell r="P1010" t="str">
            <v/>
          </cell>
          <cell r="Q1010" t="str">
            <v/>
          </cell>
          <cell r="R1010">
            <v>68</v>
          </cell>
        </row>
        <row r="1011">
          <cell r="A1011" t="str">
            <v/>
          </cell>
          <cell r="B1011" t="str">
            <v/>
          </cell>
          <cell r="C1011" t="str">
            <v>Future</v>
          </cell>
          <cell r="D1011" t="e">
            <v>#N/A</v>
          </cell>
          <cell r="E1011">
            <v>-50.379239573122803</v>
          </cell>
          <cell r="F1011">
            <v>83.61285528853854</v>
          </cell>
          <cell r="G1011">
            <v>21.083211019763596</v>
          </cell>
          <cell r="H1011">
            <v>21.083211019763596</v>
          </cell>
          <cell r="I1011" t="e">
            <v>#N/A</v>
          </cell>
          <cell r="J1011" t="e">
            <v>#N/A</v>
          </cell>
          <cell r="K1011">
            <v>75</v>
          </cell>
          <cell r="L1011">
            <v>40</v>
          </cell>
          <cell r="M1011" t="e">
            <v>#N/A</v>
          </cell>
          <cell r="N1011">
            <v>68</v>
          </cell>
          <cell r="O1011" t="e">
            <v>#N/A</v>
          </cell>
          <cell r="P1011" t="str">
            <v/>
          </cell>
          <cell r="Q1011" t="str">
            <v/>
          </cell>
          <cell r="R1011">
            <v>68</v>
          </cell>
        </row>
        <row r="1012">
          <cell r="A1012" t="str">
            <v/>
          </cell>
          <cell r="B1012" t="str">
            <v/>
          </cell>
          <cell r="C1012" t="str">
            <v>Future</v>
          </cell>
          <cell r="D1012" t="e">
            <v>#N/A</v>
          </cell>
          <cell r="E1012">
            <v>-50.632401581027942</v>
          </cell>
          <cell r="F1012">
            <v>83.65613596838044</v>
          </cell>
          <cell r="G1012">
            <v>20.988151778656878</v>
          </cell>
          <cell r="H1012">
            <v>20.988151778656878</v>
          </cell>
          <cell r="I1012" t="e">
            <v>#N/A</v>
          </cell>
          <cell r="J1012" t="e">
            <v>#N/A</v>
          </cell>
          <cell r="K1012">
            <v>75</v>
          </cell>
          <cell r="L1012">
            <v>40</v>
          </cell>
          <cell r="M1012" t="e">
            <v>#N/A</v>
          </cell>
          <cell r="N1012">
            <v>68</v>
          </cell>
          <cell r="O1012" t="e">
            <v>#N/A</v>
          </cell>
          <cell r="P1012" t="str">
            <v/>
          </cell>
          <cell r="Q1012" t="str">
            <v/>
          </cell>
          <cell r="R1012">
            <v>68</v>
          </cell>
        </row>
        <row r="1013">
          <cell r="A1013" t="str">
            <v/>
          </cell>
          <cell r="B1013" t="str">
            <v/>
          </cell>
          <cell r="C1013" t="str">
            <v>Future</v>
          </cell>
          <cell r="D1013" t="e">
            <v>#N/A</v>
          </cell>
          <cell r="E1013">
            <v>-50.885563588933081</v>
          </cell>
          <cell r="F1013">
            <v>83.699416648222339</v>
          </cell>
          <cell r="G1013">
            <v>20.89309253755016</v>
          </cell>
          <cell r="H1013">
            <v>20.89309253755016</v>
          </cell>
          <cell r="I1013" t="e">
            <v>#N/A</v>
          </cell>
          <cell r="J1013" t="e">
            <v>#N/A</v>
          </cell>
          <cell r="K1013">
            <v>75</v>
          </cell>
          <cell r="L1013">
            <v>40</v>
          </cell>
          <cell r="M1013" t="e">
            <v>#N/A</v>
          </cell>
          <cell r="N1013">
            <v>68</v>
          </cell>
          <cell r="O1013" t="e">
            <v>#N/A</v>
          </cell>
          <cell r="P1013" t="str">
            <v/>
          </cell>
          <cell r="Q1013" t="str">
            <v/>
          </cell>
          <cell r="R1013">
            <v>68</v>
          </cell>
        </row>
        <row r="1014">
          <cell r="A1014" t="str">
            <v/>
          </cell>
          <cell r="B1014" t="str">
            <v/>
          </cell>
          <cell r="C1014" t="str">
            <v>Future</v>
          </cell>
          <cell r="D1014" t="e">
            <v>#N/A</v>
          </cell>
          <cell r="E1014">
            <v>-51.138725596838221</v>
          </cell>
          <cell r="F1014">
            <v>83.742697328064239</v>
          </cell>
          <cell r="G1014">
            <v>20.798033296443442</v>
          </cell>
          <cell r="H1014">
            <v>20.798033296443442</v>
          </cell>
          <cell r="I1014" t="e">
            <v>#N/A</v>
          </cell>
          <cell r="J1014" t="e">
            <v>#N/A</v>
          </cell>
          <cell r="K1014">
            <v>75</v>
          </cell>
          <cell r="L1014">
            <v>40</v>
          </cell>
          <cell r="M1014" t="e">
            <v>#N/A</v>
          </cell>
          <cell r="N1014">
            <v>68</v>
          </cell>
          <cell r="O1014" t="e">
            <v>#N/A</v>
          </cell>
          <cell r="P1014" t="str">
            <v/>
          </cell>
          <cell r="Q1014" t="str">
            <v/>
          </cell>
          <cell r="R1014">
            <v>68</v>
          </cell>
        </row>
        <row r="1015">
          <cell r="A1015" t="str">
            <v/>
          </cell>
          <cell r="B1015" t="str">
            <v/>
          </cell>
          <cell r="C1015" t="str">
            <v>Future</v>
          </cell>
          <cell r="D1015" t="e">
            <v>#N/A</v>
          </cell>
          <cell r="E1015">
            <v>-51.39188760474336</v>
          </cell>
          <cell r="F1015">
            <v>83.785978007906138</v>
          </cell>
          <cell r="G1015">
            <v>20.702974055336725</v>
          </cell>
          <cell r="H1015">
            <v>20.702974055336725</v>
          </cell>
          <cell r="I1015" t="e">
            <v>#N/A</v>
          </cell>
          <cell r="J1015" t="e">
            <v>#N/A</v>
          </cell>
          <cell r="K1015">
            <v>75</v>
          </cell>
          <cell r="L1015">
            <v>40</v>
          </cell>
          <cell r="M1015" t="e">
            <v>#N/A</v>
          </cell>
          <cell r="N1015">
            <v>68</v>
          </cell>
          <cell r="O1015" t="e">
            <v>#N/A</v>
          </cell>
          <cell r="P1015" t="str">
            <v/>
          </cell>
          <cell r="Q1015" t="str">
            <v/>
          </cell>
          <cell r="R1015">
            <v>68</v>
          </cell>
        </row>
        <row r="1016">
          <cell r="A1016" t="str">
            <v/>
          </cell>
          <cell r="B1016" t="str">
            <v/>
          </cell>
          <cell r="C1016" t="str">
            <v>Future</v>
          </cell>
          <cell r="D1016" t="e">
            <v>#N/A</v>
          </cell>
          <cell r="E1016">
            <v>-51.645049612648499</v>
          </cell>
          <cell r="F1016">
            <v>83.829258687748037</v>
          </cell>
          <cell r="G1016">
            <v>20.607914814230007</v>
          </cell>
          <cell r="H1016">
            <v>20.607914814230007</v>
          </cell>
          <cell r="I1016" t="e">
            <v>#N/A</v>
          </cell>
          <cell r="J1016" t="e">
            <v>#N/A</v>
          </cell>
          <cell r="K1016">
            <v>75</v>
          </cell>
          <cell r="L1016">
            <v>40</v>
          </cell>
          <cell r="M1016" t="e">
            <v>#N/A</v>
          </cell>
          <cell r="N1016">
            <v>68</v>
          </cell>
          <cell r="O1016" t="e">
            <v>#N/A</v>
          </cell>
          <cell r="P1016" t="str">
            <v/>
          </cell>
          <cell r="Q1016" t="str">
            <v/>
          </cell>
          <cell r="R1016">
            <v>68</v>
          </cell>
        </row>
        <row r="1017">
          <cell r="A1017" t="str">
            <v/>
          </cell>
          <cell r="B1017" t="str">
            <v/>
          </cell>
          <cell r="C1017" t="str">
            <v>Future</v>
          </cell>
          <cell r="D1017" t="e">
            <v>#N/A</v>
          </cell>
          <cell r="E1017">
            <v>-51.898211620553639</v>
          </cell>
          <cell r="F1017">
            <v>83.872539367589937</v>
          </cell>
          <cell r="G1017">
            <v>20.512855573123289</v>
          </cell>
          <cell r="H1017">
            <v>20.512855573123289</v>
          </cell>
          <cell r="I1017" t="e">
            <v>#N/A</v>
          </cell>
          <cell r="J1017" t="e">
            <v>#N/A</v>
          </cell>
          <cell r="K1017">
            <v>75</v>
          </cell>
          <cell r="L1017">
            <v>40</v>
          </cell>
          <cell r="M1017" t="e">
            <v>#N/A</v>
          </cell>
          <cell r="N1017">
            <v>68</v>
          </cell>
          <cell r="O1017" t="e">
            <v>#N/A</v>
          </cell>
          <cell r="P1017" t="str">
            <v/>
          </cell>
          <cell r="Q1017" t="str">
            <v/>
          </cell>
          <cell r="R1017">
            <v>68</v>
          </cell>
        </row>
        <row r="1018">
          <cell r="A1018" t="str">
            <v/>
          </cell>
          <cell r="B1018" t="str">
            <v/>
          </cell>
          <cell r="C1018" t="str">
            <v>Future</v>
          </cell>
          <cell r="D1018" t="e">
            <v>#N/A</v>
          </cell>
          <cell r="E1018">
            <v>-52.151373628458778</v>
          </cell>
          <cell r="F1018">
            <v>83.915820047431836</v>
          </cell>
          <cell r="G1018">
            <v>20.417796332016572</v>
          </cell>
          <cell r="H1018">
            <v>20.417796332016572</v>
          </cell>
          <cell r="I1018" t="e">
            <v>#N/A</v>
          </cell>
          <cell r="J1018" t="e">
            <v>#N/A</v>
          </cell>
          <cell r="K1018">
            <v>75</v>
          </cell>
          <cell r="L1018">
            <v>40</v>
          </cell>
          <cell r="M1018" t="e">
            <v>#N/A</v>
          </cell>
          <cell r="N1018">
            <v>68</v>
          </cell>
          <cell r="O1018" t="e">
            <v>#N/A</v>
          </cell>
          <cell r="P1018" t="str">
            <v/>
          </cell>
          <cell r="Q1018" t="str">
            <v/>
          </cell>
          <cell r="R1018">
            <v>68</v>
          </cell>
        </row>
        <row r="1019">
          <cell r="A1019" t="str">
            <v/>
          </cell>
          <cell r="B1019" t="str">
            <v/>
          </cell>
          <cell r="C1019" t="str">
            <v>Future</v>
          </cell>
          <cell r="D1019" t="e">
            <v>#N/A</v>
          </cell>
          <cell r="E1019">
            <v>-52.404535636363917</v>
          </cell>
          <cell r="F1019">
            <v>83.959100727273736</v>
          </cell>
          <cell r="G1019">
            <v>20.322737090909854</v>
          </cell>
          <cell r="H1019">
            <v>20.322737090909854</v>
          </cell>
          <cell r="I1019" t="e">
            <v>#N/A</v>
          </cell>
          <cell r="J1019" t="e">
            <v>#N/A</v>
          </cell>
          <cell r="K1019">
            <v>75</v>
          </cell>
          <cell r="L1019">
            <v>40</v>
          </cell>
          <cell r="M1019" t="e">
            <v>#N/A</v>
          </cell>
          <cell r="N1019">
            <v>68</v>
          </cell>
          <cell r="O1019" t="e">
            <v>#N/A</v>
          </cell>
          <cell r="P1019" t="str">
            <v/>
          </cell>
          <cell r="Q1019" t="str">
            <v/>
          </cell>
          <cell r="R1019">
            <v>68</v>
          </cell>
        </row>
        <row r="1020">
          <cell r="A1020" t="str">
            <v/>
          </cell>
          <cell r="B1020" t="str">
            <v/>
          </cell>
          <cell r="C1020" t="str">
            <v>Future</v>
          </cell>
          <cell r="D1020" t="e">
            <v>#N/A</v>
          </cell>
          <cell r="E1020">
            <v>-52.657697644269057</v>
          </cell>
          <cell r="F1020">
            <v>84.002381407115635</v>
          </cell>
          <cell r="G1020">
            <v>20.227677849803136</v>
          </cell>
          <cell r="H1020">
            <v>20.227677849803136</v>
          </cell>
          <cell r="I1020" t="e">
            <v>#N/A</v>
          </cell>
          <cell r="J1020" t="e">
            <v>#N/A</v>
          </cell>
          <cell r="K1020">
            <v>75</v>
          </cell>
          <cell r="L1020">
            <v>40</v>
          </cell>
          <cell r="M1020" t="e">
            <v>#N/A</v>
          </cell>
          <cell r="N1020">
            <v>68</v>
          </cell>
          <cell r="O1020" t="e">
            <v>#N/A</v>
          </cell>
          <cell r="P1020" t="str">
            <v/>
          </cell>
          <cell r="Q1020" t="str">
            <v/>
          </cell>
          <cell r="R1020">
            <v>68</v>
          </cell>
        </row>
        <row r="1021">
          <cell r="A1021" t="str">
            <v/>
          </cell>
          <cell r="B1021" t="str">
            <v/>
          </cell>
          <cell r="C1021" t="str">
            <v>Future</v>
          </cell>
          <cell r="D1021" t="e">
            <v>#N/A</v>
          </cell>
          <cell r="E1021">
            <v>-52.910859652174196</v>
          </cell>
          <cell r="F1021">
            <v>84.045662086957535</v>
          </cell>
          <cell r="G1021">
            <v>20.132618608696419</v>
          </cell>
          <cell r="H1021">
            <v>20.132618608696419</v>
          </cell>
          <cell r="I1021" t="e">
            <v>#N/A</v>
          </cell>
          <cell r="J1021" t="e">
            <v>#N/A</v>
          </cell>
          <cell r="K1021">
            <v>75</v>
          </cell>
          <cell r="L1021">
            <v>40</v>
          </cell>
          <cell r="M1021" t="e">
            <v>#N/A</v>
          </cell>
          <cell r="N1021">
            <v>68</v>
          </cell>
          <cell r="O1021" t="e">
            <v>#N/A</v>
          </cell>
          <cell r="P1021" t="str">
            <v/>
          </cell>
          <cell r="Q1021" t="str">
            <v/>
          </cell>
          <cell r="R1021">
            <v>68</v>
          </cell>
        </row>
        <row r="1022">
          <cell r="A1022" t="str">
            <v/>
          </cell>
          <cell r="B1022" t="str">
            <v/>
          </cell>
          <cell r="C1022" t="str">
            <v>Future</v>
          </cell>
          <cell r="D1022" t="e">
            <v>#N/A</v>
          </cell>
          <cell r="E1022">
            <v>-53.164021660079335</v>
          </cell>
          <cell r="F1022">
            <v>84.088942766799434</v>
          </cell>
          <cell r="G1022">
            <v>20.037559367589701</v>
          </cell>
          <cell r="H1022">
            <v>20.037559367589701</v>
          </cell>
          <cell r="I1022" t="e">
            <v>#N/A</v>
          </cell>
          <cell r="J1022" t="e">
            <v>#N/A</v>
          </cell>
          <cell r="K1022">
            <v>75</v>
          </cell>
          <cell r="L1022">
            <v>40</v>
          </cell>
          <cell r="M1022" t="e">
            <v>#N/A</v>
          </cell>
          <cell r="N1022">
            <v>68</v>
          </cell>
          <cell r="O1022" t="e">
            <v>#N/A</v>
          </cell>
          <cell r="P1022" t="str">
            <v/>
          </cell>
          <cell r="Q1022" t="str">
            <v/>
          </cell>
          <cell r="R1022">
            <v>68</v>
          </cell>
        </row>
        <row r="1023">
          <cell r="A1023" t="str">
            <v/>
          </cell>
          <cell r="B1023" t="str">
            <v/>
          </cell>
          <cell r="C1023" t="str">
            <v>Future</v>
          </cell>
          <cell r="D1023" t="e">
            <v>#N/A</v>
          </cell>
          <cell r="E1023">
            <v>-53.417183667984474</v>
          </cell>
          <cell r="F1023">
            <v>84.132223446641333</v>
          </cell>
          <cell r="G1023">
            <v>19.942500126482983</v>
          </cell>
          <cell r="H1023">
            <v>19.942500126482983</v>
          </cell>
          <cell r="I1023" t="e">
            <v>#N/A</v>
          </cell>
          <cell r="J1023" t="e">
            <v>#N/A</v>
          </cell>
          <cell r="K1023">
            <v>75</v>
          </cell>
          <cell r="L1023">
            <v>40</v>
          </cell>
          <cell r="M1023" t="e">
            <v>#N/A</v>
          </cell>
          <cell r="N1023">
            <v>68</v>
          </cell>
          <cell r="O1023" t="e">
            <v>#N/A</v>
          </cell>
          <cell r="P1023" t="str">
            <v/>
          </cell>
          <cell r="Q1023" t="str">
            <v/>
          </cell>
          <cell r="R1023">
            <v>68</v>
          </cell>
        </row>
        <row r="1024">
          <cell r="A1024" t="str">
            <v/>
          </cell>
          <cell r="B1024" t="str">
            <v/>
          </cell>
          <cell r="C1024" t="str">
            <v>Future</v>
          </cell>
          <cell r="D1024" t="e">
            <v>#N/A</v>
          </cell>
          <cell r="E1024">
            <v>-53.670345675889614</v>
          </cell>
          <cell r="F1024">
            <v>84.175504126483233</v>
          </cell>
          <cell r="G1024">
            <v>19.847440885376265</v>
          </cell>
          <cell r="H1024">
            <v>19.847440885376265</v>
          </cell>
          <cell r="I1024" t="e">
            <v>#N/A</v>
          </cell>
          <cell r="J1024" t="e">
            <v>#N/A</v>
          </cell>
          <cell r="K1024">
            <v>75</v>
          </cell>
          <cell r="L1024">
            <v>40</v>
          </cell>
          <cell r="M1024" t="e">
            <v>#N/A</v>
          </cell>
          <cell r="N1024">
            <v>68</v>
          </cell>
          <cell r="O1024" t="e">
            <v>#N/A</v>
          </cell>
          <cell r="P1024" t="str">
            <v/>
          </cell>
          <cell r="Q1024" t="str">
            <v/>
          </cell>
          <cell r="R1024">
            <v>68</v>
          </cell>
        </row>
        <row r="1025">
          <cell r="A1025" t="str">
            <v/>
          </cell>
          <cell r="B1025" t="str">
            <v/>
          </cell>
          <cell r="C1025" t="str">
            <v>Future</v>
          </cell>
          <cell r="D1025" t="e">
            <v>#N/A</v>
          </cell>
          <cell r="E1025">
            <v>-53.923507683794753</v>
          </cell>
          <cell r="F1025">
            <v>84.218784806325132</v>
          </cell>
          <cell r="G1025">
            <v>19.752381644269548</v>
          </cell>
          <cell r="H1025">
            <v>19.752381644269548</v>
          </cell>
          <cell r="I1025" t="e">
            <v>#N/A</v>
          </cell>
          <cell r="J1025" t="e">
            <v>#N/A</v>
          </cell>
          <cell r="K1025">
            <v>75</v>
          </cell>
          <cell r="L1025">
            <v>40</v>
          </cell>
          <cell r="M1025" t="e">
            <v>#N/A</v>
          </cell>
          <cell r="N1025">
            <v>68</v>
          </cell>
          <cell r="O1025" t="e">
            <v>#N/A</v>
          </cell>
          <cell r="P1025" t="str">
            <v/>
          </cell>
          <cell r="Q1025" t="str">
            <v/>
          </cell>
          <cell r="R1025">
            <v>68</v>
          </cell>
        </row>
        <row r="1026">
          <cell r="A1026" t="str">
            <v/>
          </cell>
          <cell r="B1026" t="str">
            <v/>
          </cell>
          <cell r="C1026" t="str">
            <v>Future</v>
          </cell>
          <cell r="D1026" t="e">
            <v>#N/A</v>
          </cell>
          <cell r="E1026">
            <v>-54.176669691699892</v>
          </cell>
          <cell r="F1026">
            <v>84.262065486167032</v>
          </cell>
          <cell r="G1026">
            <v>19.65732240316283</v>
          </cell>
          <cell r="H1026">
            <v>19.65732240316283</v>
          </cell>
          <cell r="I1026" t="e">
            <v>#N/A</v>
          </cell>
          <cell r="J1026" t="e">
            <v>#N/A</v>
          </cell>
          <cell r="K1026">
            <v>75</v>
          </cell>
          <cell r="L1026">
            <v>40</v>
          </cell>
          <cell r="M1026" t="e">
            <v>#N/A</v>
          </cell>
          <cell r="N1026">
            <v>68</v>
          </cell>
          <cell r="O1026" t="e">
            <v>#N/A</v>
          </cell>
          <cell r="P1026" t="str">
            <v/>
          </cell>
          <cell r="Q1026" t="str">
            <v/>
          </cell>
          <cell r="R1026">
            <v>68</v>
          </cell>
        </row>
        <row r="1027">
          <cell r="A1027" t="str">
            <v/>
          </cell>
          <cell r="B1027" t="str">
            <v/>
          </cell>
          <cell r="C1027" t="str">
            <v>Future</v>
          </cell>
          <cell r="D1027" t="e">
            <v>#N/A</v>
          </cell>
          <cell r="E1027">
            <v>-54.429831699605032</v>
          </cell>
          <cell r="F1027">
            <v>84.305346166008931</v>
          </cell>
          <cell r="G1027">
            <v>19.562263162056112</v>
          </cell>
          <cell r="H1027">
            <v>19.562263162056112</v>
          </cell>
          <cell r="I1027" t="e">
            <v>#N/A</v>
          </cell>
          <cell r="J1027" t="e">
            <v>#N/A</v>
          </cell>
          <cell r="K1027">
            <v>75</v>
          </cell>
          <cell r="L1027">
            <v>40</v>
          </cell>
          <cell r="M1027" t="e">
            <v>#N/A</v>
          </cell>
          <cell r="N1027">
            <v>68</v>
          </cell>
          <cell r="O1027" t="e">
            <v>#N/A</v>
          </cell>
          <cell r="P1027" t="str">
            <v/>
          </cell>
          <cell r="Q1027" t="str">
            <v/>
          </cell>
          <cell r="R1027">
            <v>68</v>
          </cell>
        </row>
        <row r="1028">
          <cell r="A1028" t="str">
            <v/>
          </cell>
          <cell r="B1028" t="str">
            <v/>
          </cell>
          <cell r="C1028" t="str">
            <v>Future</v>
          </cell>
          <cell r="D1028" t="e">
            <v>#N/A</v>
          </cell>
          <cell r="E1028">
            <v>-54.682993707510171</v>
          </cell>
          <cell r="F1028">
            <v>84.348626845850831</v>
          </cell>
          <cell r="G1028">
            <v>19.467203920949395</v>
          </cell>
          <cell r="H1028">
            <v>19.467203920949395</v>
          </cell>
          <cell r="I1028" t="e">
            <v>#N/A</v>
          </cell>
          <cell r="J1028" t="e">
            <v>#N/A</v>
          </cell>
          <cell r="K1028">
            <v>75</v>
          </cell>
          <cell r="L1028">
            <v>40</v>
          </cell>
          <cell r="M1028" t="e">
            <v>#N/A</v>
          </cell>
          <cell r="N1028">
            <v>68</v>
          </cell>
          <cell r="O1028" t="e">
            <v>#N/A</v>
          </cell>
          <cell r="P1028" t="str">
            <v/>
          </cell>
          <cell r="Q1028" t="str">
            <v/>
          </cell>
          <cell r="R1028">
            <v>68</v>
          </cell>
        </row>
        <row r="1029">
          <cell r="A1029" t="str">
            <v/>
          </cell>
          <cell r="B1029" t="str">
            <v/>
          </cell>
          <cell r="C1029" t="str">
            <v>Future</v>
          </cell>
          <cell r="D1029" t="e">
            <v>#N/A</v>
          </cell>
          <cell r="E1029">
            <v>-54.93615571541531</v>
          </cell>
          <cell r="F1029">
            <v>84.39190752569273</v>
          </cell>
          <cell r="G1029">
            <v>19.372144679842677</v>
          </cell>
          <cell r="H1029">
            <v>19.372144679842677</v>
          </cell>
          <cell r="I1029" t="e">
            <v>#N/A</v>
          </cell>
          <cell r="J1029" t="e">
            <v>#N/A</v>
          </cell>
          <cell r="K1029">
            <v>75</v>
          </cell>
          <cell r="L1029">
            <v>40</v>
          </cell>
          <cell r="M1029" t="e">
            <v>#N/A</v>
          </cell>
          <cell r="N1029">
            <v>68</v>
          </cell>
          <cell r="O1029" t="e">
            <v>#N/A</v>
          </cell>
          <cell r="P1029" t="str">
            <v/>
          </cell>
          <cell r="Q1029" t="str">
            <v/>
          </cell>
          <cell r="R1029">
            <v>68</v>
          </cell>
        </row>
        <row r="1030">
          <cell r="A1030" t="str">
            <v/>
          </cell>
          <cell r="B1030" t="str">
            <v/>
          </cell>
          <cell r="C1030" t="str">
            <v>Future</v>
          </cell>
          <cell r="D1030" t="e">
            <v>#N/A</v>
          </cell>
          <cell r="E1030">
            <v>-55.18931772332045</v>
          </cell>
          <cell r="F1030">
            <v>84.435188205534629</v>
          </cell>
          <cell r="G1030">
            <v>19.277085438735959</v>
          </cell>
          <cell r="H1030">
            <v>19.277085438735959</v>
          </cell>
          <cell r="I1030" t="e">
            <v>#N/A</v>
          </cell>
          <cell r="J1030" t="e">
            <v>#N/A</v>
          </cell>
          <cell r="K1030">
            <v>75</v>
          </cell>
          <cell r="L1030">
            <v>40</v>
          </cell>
          <cell r="M1030" t="e">
            <v>#N/A</v>
          </cell>
          <cell r="N1030">
            <v>68</v>
          </cell>
          <cell r="O1030" t="e">
            <v>#N/A</v>
          </cell>
          <cell r="P1030" t="str">
            <v/>
          </cell>
          <cell r="Q1030" t="str">
            <v/>
          </cell>
          <cell r="R1030">
            <v>68</v>
          </cell>
        </row>
        <row r="1031">
          <cell r="A1031" t="str">
            <v/>
          </cell>
          <cell r="B1031" t="str">
            <v/>
          </cell>
          <cell r="C1031" t="str">
            <v>Future</v>
          </cell>
          <cell r="D1031" t="e">
            <v>#N/A</v>
          </cell>
          <cell r="E1031">
            <v>-55.442479731225589</v>
          </cell>
          <cell r="F1031">
            <v>84.478468885376529</v>
          </cell>
          <cell r="G1031">
            <v>19.182026197629241</v>
          </cell>
          <cell r="H1031">
            <v>19.182026197629241</v>
          </cell>
          <cell r="I1031" t="e">
            <v>#N/A</v>
          </cell>
          <cell r="J1031" t="e">
            <v>#N/A</v>
          </cell>
          <cell r="K1031">
            <v>75</v>
          </cell>
          <cell r="L1031">
            <v>40</v>
          </cell>
          <cell r="M1031" t="e">
            <v>#N/A</v>
          </cell>
          <cell r="N1031">
            <v>68</v>
          </cell>
          <cell r="O1031" t="e">
            <v>#N/A</v>
          </cell>
          <cell r="P1031" t="str">
            <v/>
          </cell>
          <cell r="Q1031" t="str">
            <v/>
          </cell>
          <cell r="R1031">
            <v>68</v>
          </cell>
        </row>
        <row r="1032">
          <cell r="A1032" t="str">
            <v/>
          </cell>
          <cell r="B1032" t="str">
            <v/>
          </cell>
          <cell r="C1032" t="str">
            <v>Future</v>
          </cell>
          <cell r="D1032" t="e">
            <v>#N/A</v>
          </cell>
          <cell r="E1032">
            <v>-55.695641739130728</v>
          </cell>
          <cell r="F1032">
            <v>84.521749565218428</v>
          </cell>
          <cell r="G1032">
            <v>19.086966956522524</v>
          </cell>
          <cell r="H1032">
            <v>19.086966956522524</v>
          </cell>
          <cell r="I1032" t="e">
            <v>#N/A</v>
          </cell>
          <cell r="J1032" t="e">
            <v>#N/A</v>
          </cell>
          <cell r="K1032">
            <v>75</v>
          </cell>
          <cell r="L1032">
            <v>40</v>
          </cell>
          <cell r="M1032" t="e">
            <v>#N/A</v>
          </cell>
          <cell r="N1032">
            <v>68</v>
          </cell>
          <cell r="O1032" t="e">
            <v>#N/A</v>
          </cell>
          <cell r="P1032" t="str">
            <v/>
          </cell>
          <cell r="Q1032" t="str">
            <v/>
          </cell>
          <cell r="R1032">
            <v>68</v>
          </cell>
        </row>
        <row r="1033">
          <cell r="A1033" t="str">
            <v/>
          </cell>
          <cell r="B1033" t="str">
            <v/>
          </cell>
          <cell r="C1033" t="str">
            <v>Future</v>
          </cell>
          <cell r="D1033" t="e">
            <v>#N/A</v>
          </cell>
          <cell r="E1033">
            <v>-55.948803747035868</v>
          </cell>
          <cell r="F1033">
            <v>84.565030245060328</v>
          </cell>
          <cell r="G1033">
            <v>18.991907715415806</v>
          </cell>
          <cell r="H1033">
            <v>18.991907715415806</v>
          </cell>
          <cell r="I1033" t="e">
            <v>#N/A</v>
          </cell>
          <cell r="J1033" t="e">
            <v>#N/A</v>
          </cell>
          <cell r="K1033">
            <v>75</v>
          </cell>
          <cell r="L1033">
            <v>40</v>
          </cell>
          <cell r="M1033" t="e">
            <v>#N/A</v>
          </cell>
          <cell r="N1033">
            <v>68</v>
          </cell>
          <cell r="O1033" t="e">
            <v>#N/A</v>
          </cell>
          <cell r="P1033" t="str">
            <v/>
          </cell>
          <cell r="Q1033" t="str">
            <v/>
          </cell>
          <cell r="R1033">
            <v>68</v>
          </cell>
        </row>
        <row r="1034">
          <cell r="A1034" t="str">
            <v/>
          </cell>
          <cell r="B1034" t="str">
            <v/>
          </cell>
          <cell r="C1034" t="str">
            <v>Future</v>
          </cell>
          <cell r="D1034" t="e">
            <v>#N/A</v>
          </cell>
          <cell r="E1034">
            <v>-56.201965754941007</v>
          </cell>
          <cell r="F1034">
            <v>84.608310924902227</v>
          </cell>
          <cell r="G1034">
            <v>18.896848474309088</v>
          </cell>
          <cell r="H1034">
            <v>18.896848474309088</v>
          </cell>
          <cell r="I1034" t="e">
            <v>#N/A</v>
          </cell>
          <cell r="J1034" t="e">
            <v>#N/A</v>
          </cell>
          <cell r="K1034">
            <v>75</v>
          </cell>
          <cell r="L1034">
            <v>40</v>
          </cell>
          <cell r="M1034" t="e">
            <v>#N/A</v>
          </cell>
          <cell r="N1034">
            <v>68</v>
          </cell>
          <cell r="O1034" t="e">
            <v>#N/A</v>
          </cell>
          <cell r="P1034" t="str">
            <v/>
          </cell>
          <cell r="Q1034" t="str">
            <v/>
          </cell>
          <cell r="R1034">
            <v>68</v>
          </cell>
        </row>
        <row r="1035">
          <cell r="A1035" t="str">
            <v/>
          </cell>
          <cell r="B1035" t="str">
            <v/>
          </cell>
          <cell r="C1035" t="str">
            <v>Future</v>
          </cell>
          <cell r="D1035" t="e">
            <v>#N/A</v>
          </cell>
          <cell r="E1035">
            <v>-56.455127762846146</v>
          </cell>
          <cell r="F1035">
            <v>84.651591604744127</v>
          </cell>
          <cell r="G1035">
            <v>18.801789233202371</v>
          </cell>
          <cell r="H1035">
            <v>18.801789233202371</v>
          </cell>
          <cell r="I1035" t="e">
            <v>#N/A</v>
          </cell>
          <cell r="J1035" t="e">
            <v>#N/A</v>
          </cell>
          <cell r="K1035">
            <v>75</v>
          </cell>
          <cell r="L1035">
            <v>40</v>
          </cell>
          <cell r="M1035" t="e">
            <v>#N/A</v>
          </cell>
          <cell r="N1035">
            <v>68</v>
          </cell>
          <cell r="O1035" t="e">
            <v>#N/A</v>
          </cell>
          <cell r="P1035" t="str">
            <v/>
          </cell>
          <cell r="Q1035" t="str">
            <v/>
          </cell>
          <cell r="R1035">
            <v>68</v>
          </cell>
        </row>
        <row r="1036">
          <cell r="A1036" t="str">
            <v/>
          </cell>
          <cell r="B1036" t="str">
            <v/>
          </cell>
          <cell r="C1036" t="str">
            <v>Future</v>
          </cell>
          <cell r="D1036" t="e">
            <v>#N/A</v>
          </cell>
          <cell r="E1036">
            <v>-56.708289770751286</v>
          </cell>
          <cell r="F1036">
            <v>84.694872284586026</v>
          </cell>
          <cell r="G1036">
            <v>18.706729992095653</v>
          </cell>
          <cell r="H1036">
            <v>18.706729992095653</v>
          </cell>
          <cell r="I1036" t="e">
            <v>#N/A</v>
          </cell>
          <cell r="J1036" t="e">
            <v>#N/A</v>
          </cell>
          <cell r="K1036">
            <v>75</v>
          </cell>
          <cell r="L1036">
            <v>40</v>
          </cell>
          <cell r="M1036" t="e">
            <v>#N/A</v>
          </cell>
          <cell r="N1036">
            <v>68</v>
          </cell>
          <cell r="O1036" t="e">
            <v>#N/A</v>
          </cell>
          <cell r="P1036" t="str">
            <v/>
          </cell>
          <cell r="Q1036" t="str">
            <v/>
          </cell>
          <cell r="R1036">
            <v>68</v>
          </cell>
        </row>
        <row r="1037">
          <cell r="A1037" t="str">
            <v/>
          </cell>
          <cell r="B1037" t="str">
            <v/>
          </cell>
          <cell r="C1037" t="str">
            <v>Future</v>
          </cell>
          <cell r="D1037" t="e">
            <v>#N/A</v>
          </cell>
          <cell r="E1037">
            <v>-56.961451778656425</v>
          </cell>
          <cell r="F1037">
            <v>84.738152964427925</v>
          </cell>
          <cell r="G1037">
            <v>18.611670750988935</v>
          </cell>
          <cell r="H1037">
            <v>18.611670750988935</v>
          </cell>
          <cell r="I1037" t="e">
            <v>#N/A</v>
          </cell>
          <cell r="J1037" t="e">
            <v>#N/A</v>
          </cell>
          <cell r="K1037">
            <v>75</v>
          </cell>
          <cell r="L1037">
            <v>40</v>
          </cell>
          <cell r="M1037" t="e">
            <v>#N/A</v>
          </cell>
          <cell r="N1037">
            <v>68</v>
          </cell>
          <cell r="O1037" t="e">
            <v>#N/A</v>
          </cell>
          <cell r="P1037" t="str">
            <v/>
          </cell>
          <cell r="Q1037" t="str">
            <v/>
          </cell>
          <cell r="R1037">
            <v>68</v>
          </cell>
        </row>
        <row r="1038">
          <cell r="A1038" t="str">
            <v/>
          </cell>
          <cell r="B1038" t="str">
            <v/>
          </cell>
          <cell r="C1038" t="str">
            <v>Future</v>
          </cell>
          <cell r="D1038" t="e">
            <v>#N/A</v>
          </cell>
          <cell r="E1038">
            <v>-57.214613786561564</v>
          </cell>
          <cell r="F1038">
            <v>84.781433644269825</v>
          </cell>
          <cell r="G1038">
            <v>18.516611509882217</v>
          </cell>
          <cell r="H1038">
            <v>18.516611509882217</v>
          </cell>
          <cell r="I1038" t="e">
            <v>#N/A</v>
          </cell>
          <cell r="J1038" t="e">
            <v>#N/A</v>
          </cell>
          <cell r="K1038">
            <v>75</v>
          </cell>
          <cell r="L1038">
            <v>40</v>
          </cell>
          <cell r="M1038" t="e">
            <v>#N/A</v>
          </cell>
          <cell r="N1038">
            <v>68</v>
          </cell>
          <cell r="O1038" t="e">
            <v>#N/A</v>
          </cell>
          <cell r="P1038" t="str">
            <v/>
          </cell>
          <cell r="Q1038" t="str">
            <v/>
          </cell>
          <cell r="R1038">
            <v>68</v>
          </cell>
        </row>
        <row r="1039">
          <cell r="A1039" t="str">
            <v/>
          </cell>
          <cell r="B1039" t="str">
            <v/>
          </cell>
          <cell r="C1039" t="str">
            <v>Future</v>
          </cell>
          <cell r="D1039" t="e">
            <v>#N/A</v>
          </cell>
          <cell r="E1039">
            <v>-57.467775794466704</v>
          </cell>
          <cell r="F1039">
            <v>84.824714324111724</v>
          </cell>
          <cell r="G1039">
            <v>18.4215522687755</v>
          </cell>
          <cell r="H1039">
            <v>18.4215522687755</v>
          </cell>
          <cell r="I1039" t="e">
            <v>#N/A</v>
          </cell>
          <cell r="J1039" t="e">
            <v>#N/A</v>
          </cell>
          <cell r="K1039">
            <v>75</v>
          </cell>
          <cell r="L1039">
            <v>40</v>
          </cell>
          <cell r="M1039" t="e">
            <v>#N/A</v>
          </cell>
          <cell r="N1039">
            <v>68</v>
          </cell>
          <cell r="O1039" t="e">
            <v>#N/A</v>
          </cell>
          <cell r="P1039" t="str">
            <v/>
          </cell>
          <cell r="Q1039" t="str">
            <v/>
          </cell>
          <cell r="R1039">
            <v>68</v>
          </cell>
        </row>
        <row r="1040">
          <cell r="A1040" t="str">
            <v/>
          </cell>
          <cell r="B1040" t="str">
            <v/>
          </cell>
          <cell r="C1040" t="str">
            <v>Future</v>
          </cell>
          <cell r="D1040" t="e">
            <v>#N/A</v>
          </cell>
          <cell r="E1040">
            <v>-57.720937802371843</v>
          </cell>
          <cell r="F1040">
            <v>84.867995003953624</v>
          </cell>
          <cell r="G1040">
            <v>18.326493027668782</v>
          </cell>
          <cell r="H1040">
            <v>18.326493027668782</v>
          </cell>
          <cell r="I1040" t="e">
            <v>#N/A</v>
          </cell>
          <cell r="J1040" t="e">
            <v>#N/A</v>
          </cell>
          <cell r="K1040">
            <v>75</v>
          </cell>
          <cell r="L1040">
            <v>40</v>
          </cell>
          <cell r="M1040" t="e">
            <v>#N/A</v>
          </cell>
          <cell r="N1040">
            <v>68</v>
          </cell>
          <cell r="O1040" t="e">
            <v>#N/A</v>
          </cell>
          <cell r="P1040" t="str">
            <v/>
          </cell>
          <cell r="Q1040" t="str">
            <v/>
          </cell>
          <cell r="R1040">
            <v>68</v>
          </cell>
        </row>
        <row r="1041">
          <cell r="A1041" t="str">
            <v/>
          </cell>
          <cell r="B1041" t="str">
            <v/>
          </cell>
          <cell r="C1041" t="str">
            <v>Future</v>
          </cell>
          <cell r="D1041" t="e">
            <v>#N/A</v>
          </cell>
          <cell r="E1041">
            <v>-57.974099810276982</v>
          </cell>
          <cell r="F1041">
            <v>84.911275683795523</v>
          </cell>
          <cell r="G1041">
            <v>18.231433786562064</v>
          </cell>
          <cell r="H1041">
            <v>18.231433786562064</v>
          </cell>
          <cell r="I1041" t="e">
            <v>#N/A</v>
          </cell>
          <cell r="J1041" t="e">
            <v>#N/A</v>
          </cell>
          <cell r="K1041">
            <v>75</v>
          </cell>
          <cell r="L1041">
            <v>40</v>
          </cell>
          <cell r="M1041" t="e">
            <v>#N/A</v>
          </cell>
          <cell r="N1041">
            <v>68</v>
          </cell>
          <cell r="O1041" t="e">
            <v>#N/A</v>
          </cell>
          <cell r="P1041" t="str">
            <v/>
          </cell>
          <cell r="Q1041" t="str">
            <v/>
          </cell>
          <cell r="R1041">
            <v>68</v>
          </cell>
        </row>
        <row r="1042">
          <cell r="A1042" t="str">
            <v/>
          </cell>
          <cell r="B1042" t="str">
            <v/>
          </cell>
          <cell r="C1042" t="str">
            <v>Future</v>
          </cell>
          <cell r="D1042" t="e">
            <v>#N/A</v>
          </cell>
          <cell r="E1042">
            <v>-58.227261818182122</v>
          </cell>
          <cell r="F1042">
            <v>84.954556363637423</v>
          </cell>
          <cell r="G1042">
            <v>18.136374545455347</v>
          </cell>
          <cell r="H1042">
            <v>18.136374545455347</v>
          </cell>
          <cell r="I1042" t="e">
            <v>#N/A</v>
          </cell>
          <cell r="J1042" t="e">
            <v>#N/A</v>
          </cell>
          <cell r="K1042">
            <v>75</v>
          </cell>
          <cell r="L1042">
            <v>40</v>
          </cell>
          <cell r="M1042" t="e">
            <v>#N/A</v>
          </cell>
          <cell r="N1042">
            <v>68</v>
          </cell>
          <cell r="O1042" t="e">
            <v>#N/A</v>
          </cell>
          <cell r="P1042" t="str">
            <v/>
          </cell>
          <cell r="Q1042" t="str">
            <v/>
          </cell>
          <cell r="R1042">
            <v>68</v>
          </cell>
        </row>
        <row r="1043">
          <cell r="A1043" t="str">
            <v/>
          </cell>
          <cell r="B1043" t="str">
            <v/>
          </cell>
          <cell r="C1043" t="str">
            <v>Future</v>
          </cell>
          <cell r="D1043" t="e">
            <v>#N/A</v>
          </cell>
          <cell r="E1043">
            <v>-58.480423826087261</v>
          </cell>
          <cell r="F1043">
            <v>84.997837043479322</v>
          </cell>
          <cell r="G1043">
            <v>18.041315304348629</v>
          </cell>
          <cell r="H1043">
            <v>18.041315304348629</v>
          </cell>
          <cell r="I1043" t="e">
            <v>#N/A</v>
          </cell>
          <cell r="J1043" t="e">
            <v>#N/A</v>
          </cell>
          <cell r="K1043">
            <v>75</v>
          </cell>
          <cell r="L1043">
            <v>40</v>
          </cell>
          <cell r="M1043" t="e">
            <v>#N/A</v>
          </cell>
          <cell r="N1043">
            <v>68</v>
          </cell>
          <cell r="O1043" t="e">
            <v>#N/A</v>
          </cell>
          <cell r="P1043" t="str">
            <v/>
          </cell>
          <cell r="Q1043" t="str">
            <v/>
          </cell>
          <cell r="R1043">
            <v>68</v>
          </cell>
        </row>
        <row r="1044">
          <cell r="A1044" t="str">
            <v/>
          </cell>
          <cell r="B1044" t="str">
            <v/>
          </cell>
          <cell r="C1044" t="str">
            <v>Future</v>
          </cell>
          <cell r="D1044" t="e">
            <v>#N/A</v>
          </cell>
          <cell r="E1044">
            <v>-58.7335858339924</v>
          </cell>
          <cell r="F1044">
            <v>85.041117723321221</v>
          </cell>
          <cell r="G1044">
            <v>17.946256063241911</v>
          </cell>
          <cell r="H1044">
            <v>17.946256063241911</v>
          </cell>
          <cell r="I1044" t="e">
            <v>#N/A</v>
          </cell>
          <cell r="J1044" t="e">
            <v>#N/A</v>
          </cell>
          <cell r="K1044">
            <v>75</v>
          </cell>
          <cell r="L1044">
            <v>40</v>
          </cell>
          <cell r="M1044" t="e">
            <v>#N/A</v>
          </cell>
          <cell r="N1044">
            <v>68</v>
          </cell>
          <cell r="O1044" t="e">
            <v>#N/A</v>
          </cell>
          <cell r="P1044" t="str">
            <v/>
          </cell>
          <cell r="Q1044" t="str">
            <v/>
          </cell>
          <cell r="R1044">
            <v>68</v>
          </cell>
        </row>
        <row r="1045">
          <cell r="A1045" t="str">
            <v/>
          </cell>
          <cell r="B1045" t="str">
            <v/>
          </cell>
          <cell r="C1045" t="str">
            <v>Future</v>
          </cell>
          <cell r="D1045" t="e">
            <v>#N/A</v>
          </cell>
          <cell r="E1045">
            <v>-58.98674784189754</v>
          </cell>
          <cell r="F1045">
            <v>85.084398403163121</v>
          </cell>
          <cell r="G1045">
            <v>17.851196822135194</v>
          </cell>
          <cell r="H1045">
            <v>17.851196822135194</v>
          </cell>
          <cell r="I1045" t="e">
            <v>#N/A</v>
          </cell>
          <cell r="J1045" t="e">
            <v>#N/A</v>
          </cell>
          <cell r="K1045">
            <v>75</v>
          </cell>
          <cell r="L1045">
            <v>40</v>
          </cell>
          <cell r="M1045" t="e">
            <v>#N/A</v>
          </cell>
          <cell r="N1045">
            <v>68</v>
          </cell>
          <cell r="O1045" t="e">
            <v>#N/A</v>
          </cell>
          <cell r="P1045" t="str">
            <v/>
          </cell>
          <cell r="Q1045" t="str">
            <v/>
          </cell>
          <cell r="R1045">
            <v>68</v>
          </cell>
        </row>
        <row r="1046">
          <cell r="A1046" t="str">
            <v/>
          </cell>
          <cell r="B1046" t="str">
            <v/>
          </cell>
          <cell r="C1046" t="str">
            <v>Future</v>
          </cell>
          <cell r="D1046" t="e">
            <v>#N/A</v>
          </cell>
          <cell r="E1046">
            <v>-59.239909849802679</v>
          </cell>
          <cell r="F1046">
            <v>85.12767908300502</v>
          </cell>
          <cell r="G1046">
            <v>17.756137581028476</v>
          </cell>
          <cell r="H1046">
            <v>17.756137581028476</v>
          </cell>
          <cell r="I1046" t="e">
            <v>#N/A</v>
          </cell>
          <cell r="J1046" t="e">
            <v>#N/A</v>
          </cell>
          <cell r="K1046">
            <v>75</v>
          </cell>
          <cell r="L1046">
            <v>40</v>
          </cell>
          <cell r="M1046" t="e">
            <v>#N/A</v>
          </cell>
          <cell r="N1046">
            <v>68</v>
          </cell>
          <cell r="O1046" t="e">
            <v>#N/A</v>
          </cell>
          <cell r="P1046" t="str">
            <v/>
          </cell>
          <cell r="Q1046" t="str">
            <v/>
          </cell>
          <cell r="R1046">
            <v>68</v>
          </cell>
        </row>
        <row r="1047">
          <cell r="A1047" t="str">
            <v/>
          </cell>
          <cell r="B1047" t="str">
            <v/>
          </cell>
          <cell r="C1047" t="str">
            <v>Future</v>
          </cell>
          <cell r="D1047" t="e">
            <v>#N/A</v>
          </cell>
          <cell r="E1047">
            <v>-59.493071857707818</v>
          </cell>
          <cell r="F1047">
            <v>85.17095976284692</v>
          </cell>
          <cell r="G1047">
            <v>17.661078339921758</v>
          </cell>
          <cell r="H1047">
            <v>17.661078339921758</v>
          </cell>
          <cell r="I1047" t="e">
            <v>#N/A</v>
          </cell>
          <cell r="J1047" t="e">
            <v>#N/A</v>
          </cell>
          <cell r="K1047">
            <v>75</v>
          </cell>
          <cell r="L1047">
            <v>40</v>
          </cell>
          <cell r="M1047" t="e">
            <v>#N/A</v>
          </cell>
          <cell r="N1047">
            <v>68</v>
          </cell>
          <cell r="O1047" t="e">
            <v>#N/A</v>
          </cell>
          <cell r="P1047" t="str">
            <v/>
          </cell>
          <cell r="Q1047" t="str">
            <v/>
          </cell>
          <cell r="R1047">
            <v>68</v>
          </cell>
        </row>
        <row r="1048">
          <cell r="A1048" t="str">
            <v/>
          </cell>
          <cell r="B1048" t="str">
            <v/>
          </cell>
          <cell r="C1048" t="str">
            <v>Future</v>
          </cell>
          <cell r="D1048" t="e">
            <v>#N/A</v>
          </cell>
          <cell r="E1048">
            <v>-59.746233865612957</v>
          </cell>
          <cell r="F1048">
            <v>85.214240442688819</v>
          </cell>
          <cell r="G1048">
            <v>17.56601909881504</v>
          </cell>
          <cell r="H1048">
            <v>17.56601909881504</v>
          </cell>
          <cell r="I1048" t="e">
            <v>#N/A</v>
          </cell>
          <cell r="J1048" t="e">
            <v>#N/A</v>
          </cell>
          <cell r="K1048">
            <v>75</v>
          </cell>
          <cell r="L1048">
            <v>40</v>
          </cell>
          <cell r="M1048" t="e">
            <v>#N/A</v>
          </cell>
          <cell r="N1048">
            <v>68</v>
          </cell>
          <cell r="O1048" t="e">
            <v>#N/A</v>
          </cell>
          <cell r="P1048" t="str">
            <v/>
          </cell>
          <cell r="Q1048" t="str">
            <v/>
          </cell>
          <cell r="R1048">
            <v>68</v>
          </cell>
        </row>
        <row r="1049">
          <cell r="A1049" t="str">
            <v/>
          </cell>
          <cell r="B1049" t="str">
            <v/>
          </cell>
          <cell r="C1049" t="str">
            <v>Future</v>
          </cell>
          <cell r="D1049" t="e">
            <v>#N/A</v>
          </cell>
          <cell r="E1049">
            <v>-59.999395873518097</v>
          </cell>
          <cell r="F1049">
            <v>85.257521122530719</v>
          </cell>
          <cell r="G1049">
            <v>17.470959857708323</v>
          </cell>
          <cell r="H1049">
            <v>17.470959857708323</v>
          </cell>
          <cell r="I1049" t="e">
            <v>#N/A</v>
          </cell>
          <cell r="J1049" t="e">
            <v>#N/A</v>
          </cell>
          <cell r="K1049">
            <v>75</v>
          </cell>
          <cell r="L1049">
            <v>40</v>
          </cell>
          <cell r="M1049" t="e">
            <v>#N/A</v>
          </cell>
          <cell r="N1049">
            <v>68</v>
          </cell>
          <cell r="O1049" t="e">
            <v>#N/A</v>
          </cell>
          <cell r="P1049" t="str">
            <v/>
          </cell>
          <cell r="Q1049" t="str">
            <v/>
          </cell>
          <cell r="R1049">
            <v>68</v>
          </cell>
        </row>
        <row r="1050">
          <cell r="A1050" t="str">
            <v/>
          </cell>
          <cell r="B1050" t="str">
            <v/>
          </cell>
          <cell r="C1050" t="str">
            <v>Future</v>
          </cell>
          <cell r="D1050" t="e">
            <v>#N/A</v>
          </cell>
          <cell r="E1050">
            <v>-60.252557881423236</v>
          </cell>
          <cell r="F1050">
            <v>85.300801802372618</v>
          </cell>
          <cell r="G1050">
            <v>17.375900616601605</v>
          </cell>
          <cell r="H1050">
            <v>17.375900616601605</v>
          </cell>
          <cell r="I1050" t="e">
            <v>#N/A</v>
          </cell>
          <cell r="J1050" t="e">
            <v>#N/A</v>
          </cell>
          <cell r="K1050">
            <v>75</v>
          </cell>
          <cell r="L1050">
            <v>40</v>
          </cell>
          <cell r="M1050" t="e">
            <v>#N/A</v>
          </cell>
          <cell r="N1050">
            <v>68</v>
          </cell>
          <cell r="O1050" t="e">
            <v>#N/A</v>
          </cell>
          <cell r="P1050" t="str">
            <v/>
          </cell>
          <cell r="Q1050" t="str">
            <v/>
          </cell>
          <cell r="R1050">
            <v>68</v>
          </cell>
        </row>
        <row r="1051">
          <cell r="A1051" t="str">
            <v/>
          </cell>
          <cell r="B1051" t="str">
            <v/>
          </cell>
          <cell r="C1051" t="str">
            <v>Future</v>
          </cell>
          <cell r="D1051" t="e">
            <v>#N/A</v>
          </cell>
          <cell r="E1051">
            <v>-60.505719889328375</v>
          </cell>
          <cell r="F1051">
            <v>85.344082482214517</v>
          </cell>
          <cell r="G1051">
            <v>17.280841375494887</v>
          </cell>
          <cell r="H1051">
            <v>17.280841375494887</v>
          </cell>
          <cell r="I1051" t="e">
            <v>#N/A</v>
          </cell>
          <cell r="J1051" t="e">
            <v>#N/A</v>
          </cell>
          <cell r="K1051">
            <v>75</v>
          </cell>
          <cell r="L1051">
            <v>40</v>
          </cell>
          <cell r="M1051" t="e">
            <v>#N/A</v>
          </cell>
          <cell r="N1051">
            <v>68</v>
          </cell>
          <cell r="O1051" t="e">
            <v>#N/A</v>
          </cell>
          <cell r="P1051" t="str">
            <v/>
          </cell>
          <cell r="Q1051" t="str">
            <v/>
          </cell>
          <cell r="R1051">
            <v>68</v>
          </cell>
        </row>
        <row r="1052">
          <cell r="A1052" t="str">
            <v/>
          </cell>
          <cell r="B1052" t="str">
            <v/>
          </cell>
          <cell r="C1052" t="str">
            <v>Future</v>
          </cell>
          <cell r="D1052" t="e">
            <v>#N/A</v>
          </cell>
          <cell r="E1052">
            <v>-60.758881897233515</v>
          </cell>
          <cell r="F1052">
            <v>85.387363162056417</v>
          </cell>
          <cell r="G1052">
            <v>17.18578213438817</v>
          </cell>
          <cell r="H1052">
            <v>17.18578213438817</v>
          </cell>
          <cell r="I1052" t="e">
            <v>#N/A</v>
          </cell>
          <cell r="J1052" t="e">
            <v>#N/A</v>
          </cell>
          <cell r="K1052">
            <v>75</v>
          </cell>
          <cell r="L1052">
            <v>40</v>
          </cell>
          <cell r="M1052" t="e">
            <v>#N/A</v>
          </cell>
          <cell r="N1052">
            <v>68</v>
          </cell>
          <cell r="O1052" t="e">
            <v>#N/A</v>
          </cell>
          <cell r="P1052" t="str">
            <v/>
          </cell>
          <cell r="Q1052" t="str">
            <v/>
          </cell>
          <cell r="R1052">
            <v>68</v>
          </cell>
        </row>
        <row r="1053">
          <cell r="A1053" t="str">
            <v/>
          </cell>
          <cell r="B1053" t="str">
            <v/>
          </cell>
          <cell r="C1053" t="str">
            <v>Future</v>
          </cell>
          <cell r="D1053" t="e">
            <v>#N/A</v>
          </cell>
          <cell r="E1053">
            <v>-61.012043905138654</v>
          </cell>
          <cell r="F1053">
            <v>85.430643841898316</v>
          </cell>
          <cell r="G1053">
            <v>17.090722893281452</v>
          </cell>
          <cell r="H1053">
            <v>17.090722893281452</v>
          </cell>
          <cell r="I1053" t="e">
            <v>#N/A</v>
          </cell>
          <cell r="J1053" t="e">
            <v>#N/A</v>
          </cell>
          <cell r="K1053">
            <v>75</v>
          </cell>
          <cell r="L1053">
            <v>40</v>
          </cell>
          <cell r="M1053" t="e">
            <v>#N/A</v>
          </cell>
          <cell r="N1053">
            <v>68</v>
          </cell>
          <cell r="O1053" t="e">
            <v>#N/A</v>
          </cell>
          <cell r="P1053" t="str">
            <v/>
          </cell>
          <cell r="Q1053" t="str">
            <v/>
          </cell>
          <cell r="R1053">
            <v>68</v>
          </cell>
        </row>
        <row r="1054">
          <cell r="A1054" t="str">
            <v/>
          </cell>
          <cell r="B1054" t="str">
            <v/>
          </cell>
          <cell r="C1054" t="str">
            <v>Future</v>
          </cell>
          <cell r="D1054" t="e">
            <v>#N/A</v>
          </cell>
          <cell r="E1054">
            <v>-61.265205913043793</v>
          </cell>
          <cell r="F1054">
            <v>85.473924521740216</v>
          </cell>
          <cell r="G1054">
            <v>16.995663652174734</v>
          </cell>
          <cell r="H1054">
            <v>16.995663652174734</v>
          </cell>
          <cell r="I1054" t="e">
            <v>#N/A</v>
          </cell>
          <cell r="J1054" t="e">
            <v>#N/A</v>
          </cell>
          <cell r="K1054">
            <v>75</v>
          </cell>
          <cell r="L1054">
            <v>40</v>
          </cell>
          <cell r="M1054" t="e">
            <v>#N/A</v>
          </cell>
          <cell r="N1054">
            <v>68</v>
          </cell>
          <cell r="O1054" t="e">
            <v>#N/A</v>
          </cell>
          <cell r="P1054" t="str">
            <v/>
          </cell>
          <cell r="Q1054" t="str">
            <v/>
          </cell>
          <cell r="R1054">
            <v>68</v>
          </cell>
        </row>
        <row r="1055">
          <cell r="A1055" t="str">
            <v/>
          </cell>
          <cell r="B1055" t="str">
            <v/>
          </cell>
          <cell r="C1055" t="str">
            <v>Future</v>
          </cell>
          <cell r="D1055" t="e">
            <v>#N/A</v>
          </cell>
          <cell r="E1055">
            <v>-61.518367920948933</v>
          </cell>
          <cell r="F1055">
            <v>85.517205201582115</v>
          </cell>
          <cell r="G1055">
            <v>16.900604411068016</v>
          </cell>
          <cell r="H1055">
            <v>16.900604411068016</v>
          </cell>
          <cell r="I1055" t="e">
            <v>#N/A</v>
          </cell>
          <cell r="J1055" t="e">
            <v>#N/A</v>
          </cell>
          <cell r="K1055">
            <v>75</v>
          </cell>
          <cell r="L1055">
            <v>40</v>
          </cell>
          <cell r="M1055" t="e">
            <v>#N/A</v>
          </cell>
          <cell r="N1055">
            <v>68</v>
          </cell>
          <cell r="O1055" t="e">
            <v>#N/A</v>
          </cell>
          <cell r="P1055" t="str">
            <v/>
          </cell>
          <cell r="Q1055" t="str">
            <v/>
          </cell>
          <cell r="R1055">
            <v>68</v>
          </cell>
        </row>
        <row r="1056">
          <cell r="A1056" t="str">
            <v/>
          </cell>
          <cell r="B1056" t="str">
            <v/>
          </cell>
          <cell r="C1056" t="str">
            <v>Future</v>
          </cell>
          <cell r="D1056" t="e">
            <v>#N/A</v>
          </cell>
          <cell r="E1056">
            <v>-61.771529928854072</v>
          </cell>
          <cell r="F1056">
            <v>85.560485881424015</v>
          </cell>
          <cell r="G1056">
            <v>16.805545169961299</v>
          </cell>
          <cell r="H1056">
            <v>16.805545169961299</v>
          </cell>
          <cell r="I1056" t="e">
            <v>#N/A</v>
          </cell>
          <cell r="J1056" t="e">
            <v>#N/A</v>
          </cell>
          <cell r="K1056">
            <v>75</v>
          </cell>
          <cell r="L1056">
            <v>40</v>
          </cell>
          <cell r="M1056" t="e">
            <v>#N/A</v>
          </cell>
          <cell r="N1056">
            <v>68</v>
          </cell>
          <cell r="O1056" t="e">
            <v>#N/A</v>
          </cell>
          <cell r="P1056" t="str">
            <v/>
          </cell>
          <cell r="Q1056" t="str">
            <v/>
          </cell>
          <cell r="R1056">
            <v>68</v>
          </cell>
        </row>
        <row r="1057">
          <cell r="A1057" t="str">
            <v/>
          </cell>
          <cell r="B1057" t="str">
            <v/>
          </cell>
          <cell r="C1057" t="str">
            <v>Future</v>
          </cell>
          <cell r="D1057" t="e">
            <v>#N/A</v>
          </cell>
          <cell r="E1057">
            <v>-62.024691936759211</v>
          </cell>
          <cell r="F1057">
            <v>85.603766561265914</v>
          </cell>
          <cell r="G1057">
            <v>16.710485928854581</v>
          </cell>
          <cell r="H1057">
            <v>16.710485928854581</v>
          </cell>
          <cell r="I1057" t="e">
            <v>#N/A</v>
          </cell>
          <cell r="J1057" t="e">
            <v>#N/A</v>
          </cell>
          <cell r="K1057">
            <v>75</v>
          </cell>
          <cell r="L1057">
            <v>40</v>
          </cell>
          <cell r="M1057" t="e">
            <v>#N/A</v>
          </cell>
          <cell r="N1057">
            <v>68</v>
          </cell>
          <cell r="O1057" t="e">
            <v>#N/A</v>
          </cell>
          <cell r="P1057" t="str">
            <v/>
          </cell>
          <cell r="Q1057" t="str">
            <v/>
          </cell>
          <cell r="R1057">
            <v>68</v>
          </cell>
        </row>
        <row r="1058">
          <cell r="A1058" t="str">
            <v/>
          </cell>
          <cell r="B1058" t="str">
            <v/>
          </cell>
          <cell r="C1058" t="str">
            <v>Future</v>
          </cell>
          <cell r="D1058" t="e">
            <v>#N/A</v>
          </cell>
          <cell r="E1058">
            <v>-62.277853944664351</v>
          </cell>
          <cell r="F1058">
            <v>85.647047241107813</v>
          </cell>
          <cell r="G1058">
            <v>16.615426687747863</v>
          </cell>
          <cell r="H1058">
            <v>16.615426687747863</v>
          </cell>
          <cell r="I1058" t="e">
            <v>#N/A</v>
          </cell>
          <cell r="J1058" t="e">
            <v>#N/A</v>
          </cell>
          <cell r="K1058">
            <v>75</v>
          </cell>
          <cell r="L1058">
            <v>40</v>
          </cell>
          <cell r="M1058" t="e">
            <v>#N/A</v>
          </cell>
          <cell r="N1058">
            <v>68</v>
          </cell>
          <cell r="O1058" t="e">
            <v>#N/A</v>
          </cell>
          <cell r="P1058" t="str">
            <v/>
          </cell>
          <cell r="Q1058" t="str">
            <v/>
          </cell>
          <cell r="R1058">
            <v>68</v>
          </cell>
        </row>
        <row r="1059">
          <cell r="A1059" t="str">
            <v/>
          </cell>
          <cell r="B1059" t="str">
            <v/>
          </cell>
          <cell r="C1059" t="str">
            <v>Future</v>
          </cell>
          <cell r="D1059" t="e">
            <v>#N/A</v>
          </cell>
          <cell r="E1059">
            <v>-62.53101595256949</v>
          </cell>
          <cell r="F1059">
            <v>85.690327920949713</v>
          </cell>
          <cell r="G1059">
            <v>16.520367446641146</v>
          </cell>
          <cell r="H1059">
            <v>16.520367446641146</v>
          </cell>
          <cell r="I1059" t="e">
            <v>#N/A</v>
          </cell>
          <cell r="J1059" t="e">
            <v>#N/A</v>
          </cell>
          <cell r="K1059">
            <v>75</v>
          </cell>
          <cell r="L1059">
            <v>40</v>
          </cell>
          <cell r="M1059" t="e">
            <v>#N/A</v>
          </cell>
          <cell r="N1059">
            <v>68</v>
          </cell>
          <cell r="O1059" t="e">
            <v>#N/A</v>
          </cell>
          <cell r="P1059" t="str">
            <v/>
          </cell>
          <cell r="Q1059" t="str">
            <v/>
          </cell>
          <cell r="R1059">
            <v>68</v>
          </cell>
        </row>
        <row r="1060">
          <cell r="A1060" t="str">
            <v/>
          </cell>
          <cell r="B1060" t="str">
            <v/>
          </cell>
          <cell r="C1060" t="str">
            <v>Future</v>
          </cell>
          <cell r="D1060" t="e">
            <v>#N/A</v>
          </cell>
          <cell r="E1060">
            <v>-62.784177960474629</v>
          </cell>
          <cell r="F1060">
            <v>85.733608600791612</v>
          </cell>
          <cell r="G1060">
            <v>16.425308205534428</v>
          </cell>
          <cell r="H1060">
            <v>16.425308205534428</v>
          </cell>
          <cell r="I1060" t="e">
            <v>#N/A</v>
          </cell>
          <cell r="J1060" t="e">
            <v>#N/A</v>
          </cell>
          <cell r="K1060">
            <v>75</v>
          </cell>
          <cell r="L1060">
            <v>40</v>
          </cell>
          <cell r="M1060" t="e">
            <v>#N/A</v>
          </cell>
          <cell r="N1060">
            <v>68</v>
          </cell>
          <cell r="O1060" t="e">
            <v>#N/A</v>
          </cell>
          <cell r="P1060" t="str">
            <v/>
          </cell>
          <cell r="Q1060" t="str">
            <v/>
          </cell>
          <cell r="R1060">
            <v>68</v>
          </cell>
        </row>
        <row r="1061">
          <cell r="A1061" t="str">
            <v/>
          </cell>
          <cell r="B1061" t="str">
            <v/>
          </cell>
          <cell r="C1061" t="str">
            <v>Future</v>
          </cell>
          <cell r="D1061" t="e">
            <v>#N/A</v>
          </cell>
          <cell r="E1061">
            <v>-63.037339968379769</v>
          </cell>
          <cell r="F1061">
            <v>85.776889280633512</v>
          </cell>
          <cell r="G1061">
            <v>16.33024896442771</v>
          </cell>
          <cell r="H1061">
            <v>16.33024896442771</v>
          </cell>
          <cell r="I1061" t="e">
            <v>#N/A</v>
          </cell>
          <cell r="J1061" t="e">
            <v>#N/A</v>
          </cell>
          <cell r="K1061">
            <v>75</v>
          </cell>
          <cell r="L1061">
            <v>40</v>
          </cell>
          <cell r="M1061" t="e">
            <v>#N/A</v>
          </cell>
          <cell r="N1061">
            <v>68</v>
          </cell>
          <cell r="O1061" t="e">
            <v>#N/A</v>
          </cell>
          <cell r="P1061" t="str">
            <v/>
          </cell>
          <cell r="Q1061" t="str">
            <v/>
          </cell>
          <cell r="R1061">
            <v>68</v>
          </cell>
        </row>
        <row r="1062">
          <cell r="A1062" t="str">
            <v/>
          </cell>
          <cell r="B1062" t="str">
            <v/>
          </cell>
          <cell r="C1062" t="str">
            <v>Future</v>
          </cell>
          <cell r="D1062" t="e">
            <v>#N/A</v>
          </cell>
          <cell r="E1062">
            <v>-63.290501976284908</v>
          </cell>
          <cell r="F1062">
            <v>85.820169960475411</v>
          </cell>
          <cell r="G1062">
            <v>16.235189723320993</v>
          </cell>
          <cell r="H1062">
            <v>16.235189723320993</v>
          </cell>
          <cell r="I1062" t="e">
            <v>#N/A</v>
          </cell>
          <cell r="J1062" t="e">
            <v>#N/A</v>
          </cell>
          <cell r="K1062">
            <v>75</v>
          </cell>
          <cell r="L1062">
            <v>40</v>
          </cell>
          <cell r="M1062" t="e">
            <v>#N/A</v>
          </cell>
          <cell r="N1062">
            <v>68</v>
          </cell>
          <cell r="O1062" t="e">
            <v>#N/A</v>
          </cell>
          <cell r="P1062" t="str">
            <v/>
          </cell>
          <cell r="Q1062" t="str">
            <v/>
          </cell>
          <cell r="R1062">
            <v>68</v>
          </cell>
        </row>
        <row r="1063">
          <cell r="A1063" t="str">
            <v/>
          </cell>
          <cell r="B1063" t="str">
            <v/>
          </cell>
          <cell r="C1063" t="str">
            <v>Future</v>
          </cell>
          <cell r="D1063" t="e">
            <v>#N/A</v>
          </cell>
          <cell r="E1063">
            <v>-63.543663984190047</v>
          </cell>
          <cell r="F1063">
            <v>85.863450640317311</v>
          </cell>
          <cell r="G1063">
            <v>16.140130482214275</v>
          </cell>
          <cell r="H1063">
            <v>16.140130482214275</v>
          </cell>
          <cell r="I1063" t="e">
            <v>#N/A</v>
          </cell>
          <cell r="J1063" t="e">
            <v>#N/A</v>
          </cell>
          <cell r="K1063">
            <v>75</v>
          </cell>
          <cell r="L1063">
            <v>40</v>
          </cell>
          <cell r="M1063" t="e">
            <v>#N/A</v>
          </cell>
          <cell r="N1063">
            <v>68</v>
          </cell>
          <cell r="O1063" t="e">
            <v>#N/A</v>
          </cell>
          <cell r="P1063" t="str">
            <v/>
          </cell>
          <cell r="Q1063" t="str">
            <v/>
          </cell>
          <cell r="R1063">
            <v>68</v>
          </cell>
        </row>
        <row r="1064">
          <cell r="A1064" t="str">
            <v/>
          </cell>
          <cell r="B1064" t="str">
            <v/>
          </cell>
          <cell r="C1064" t="str">
            <v>Future</v>
          </cell>
          <cell r="D1064" t="e">
            <v>#N/A</v>
          </cell>
          <cell r="E1064">
            <v>-63.796825992095187</v>
          </cell>
          <cell r="F1064">
            <v>85.90673132015921</v>
          </cell>
          <cell r="G1064">
            <v>16.045071241107557</v>
          </cell>
          <cell r="H1064">
            <v>16.045071241107557</v>
          </cell>
          <cell r="I1064" t="e">
            <v>#N/A</v>
          </cell>
          <cell r="J1064" t="e">
            <v>#N/A</v>
          </cell>
          <cell r="K1064">
            <v>75</v>
          </cell>
          <cell r="L1064">
            <v>40</v>
          </cell>
          <cell r="M1064" t="e">
            <v>#N/A</v>
          </cell>
          <cell r="N1064">
            <v>68</v>
          </cell>
          <cell r="O1064" t="e">
            <v>#N/A</v>
          </cell>
          <cell r="P1064" t="str">
            <v/>
          </cell>
          <cell r="Q1064" t="str">
            <v/>
          </cell>
          <cell r="R1064">
            <v>68</v>
          </cell>
        </row>
        <row r="1065">
          <cell r="A1065" t="str">
            <v/>
          </cell>
          <cell r="B1065" t="str">
            <v/>
          </cell>
          <cell r="C1065" t="str">
            <v>Future</v>
          </cell>
          <cell r="D1065" t="e">
            <v>#N/A</v>
          </cell>
          <cell r="E1065">
            <v>-64.049988000000326</v>
          </cell>
          <cell r="F1065">
            <v>85.950012000001109</v>
          </cell>
          <cell r="G1065">
            <v>15.950012000000838</v>
          </cell>
          <cell r="H1065">
            <v>15.950012000000838</v>
          </cell>
          <cell r="I1065" t="e">
            <v>#N/A</v>
          </cell>
          <cell r="J1065" t="e">
            <v>#N/A</v>
          </cell>
          <cell r="K1065">
            <v>75</v>
          </cell>
          <cell r="L1065">
            <v>40</v>
          </cell>
          <cell r="M1065" t="e">
            <v>#N/A</v>
          </cell>
          <cell r="N1065">
            <v>68</v>
          </cell>
          <cell r="O1065" t="e">
            <v>#N/A</v>
          </cell>
          <cell r="P1065" t="str">
            <v/>
          </cell>
          <cell r="Q1065" t="str">
            <v/>
          </cell>
          <cell r="R1065">
            <v>68</v>
          </cell>
        </row>
        <row r="1066">
          <cell r="A1066" t="str">
            <v/>
          </cell>
          <cell r="B1066" t="str">
            <v/>
          </cell>
          <cell r="C1066" t="str">
            <v>Future</v>
          </cell>
          <cell r="D1066" t="e">
            <v>#N/A</v>
          </cell>
          <cell r="E1066">
            <v>-64.303150007905458</v>
          </cell>
          <cell r="F1066">
            <v>85.993292679843009</v>
          </cell>
          <cell r="G1066">
            <v>15.854952758894118</v>
          </cell>
          <cell r="H1066">
            <v>15.854952758894118</v>
          </cell>
          <cell r="I1066" t="e">
            <v>#N/A</v>
          </cell>
          <cell r="J1066" t="e">
            <v>#N/A</v>
          </cell>
          <cell r="K1066">
            <v>75</v>
          </cell>
          <cell r="L1066">
            <v>40</v>
          </cell>
          <cell r="M1066" t="e">
            <v>#N/A</v>
          </cell>
          <cell r="N1066">
            <v>68</v>
          </cell>
          <cell r="O1066" t="e">
            <v>#N/A</v>
          </cell>
          <cell r="P1066" t="str">
            <v/>
          </cell>
          <cell r="Q1066" t="str">
            <v/>
          </cell>
          <cell r="R1066">
            <v>68</v>
          </cell>
        </row>
        <row r="1067">
          <cell r="A1067" t="str">
            <v/>
          </cell>
          <cell r="B1067" t="str">
            <v/>
          </cell>
          <cell r="C1067" t="str">
            <v>Future</v>
          </cell>
          <cell r="D1067" t="e">
            <v>#N/A</v>
          </cell>
          <cell r="E1067">
            <v>-64.55631201581059</v>
          </cell>
          <cell r="F1067">
            <v>86.036573359684908</v>
          </cell>
          <cell r="G1067">
            <v>15.759893517787399</v>
          </cell>
          <cell r="H1067">
            <v>15.759893517787399</v>
          </cell>
          <cell r="I1067" t="e">
            <v>#N/A</v>
          </cell>
          <cell r="J1067" t="e">
            <v>#N/A</v>
          </cell>
          <cell r="K1067">
            <v>75</v>
          </cell>
          <cell r="L1067">
            <v>40</v>
          </cell>
          <cell r="M1067" t="e">
            <v>#N/A</v>
          </cell>
          <cell r="N1067">
            <v>68</v>
          </cell>
          <cell r="O1067" t="e">
            <v>#N/A</v>
          </cell>
          <cell r="P1067" t="str">
            <v/>
          </cell>
          <cell r="Q1067" t="str">
            <v/>
          </cell>
          <cell r="R1067">
            <v>68</v>
          </cell>
        </row>
        <row r="1068">
          <cell r="A1068" t="str">
            <v/>
          </cell>
          <cell r="B1068" t="str">
            <v/>
          </cell>
          <cell r="C1068" t="str">
            <v>Future</v>
          </cell>
          <cell r="D1068" t="e">
            <v>#N/A</v>
          </cell>
          <cell r="E1068">
            <v>-64.809474023715723</v>
          </cell>
          <cell r="F1068">
            <v>86.079854039526808</v>
          </cell>
          <cell r="G1068">
            <v>15.664834276680679</v>
          </cell>
          <cell r="H1068">
            <v>15.664834276680679</v>
          </cell>
          <cell r="I1068" t="e">
            <v>#N/A</v>
          </cell>
          <cell r="J1068" t="e">
            <v>#N/A</v>
          </cell>
          <cell r="K1068">
            <v>75</v>
          </cell>
          <cell r="L1068">
            <v>40</v>
          </cell>
          <cell r="M1068" t="e">
            <v>#N/A</v>
          </cell>
          <cell r="N1068">
            <v>68</v>
          </cell>
          <cell r="O1068" t="e">
            <v>#N/A</v>
          </cell>
          <cell r="P1068" t="str">
            <v/>
          </cell>
          <cell r="Q1068" t="str">
            <v/>
          </cell>
          <cell r="R1068">
            <v>68</v>
          </cell>
        </row>
        <row r="1069">
          <cell r="A1069" t="str">
            <v/>
          </cell>
          <cell r="B1069" t="str">
            <v/>
          </cell>
          <cell r="C1069" t="str">
            <v>Future</v>
          </cell>
          <cell r="D1069" t="e">
            <v>#N/A</v>
          </cell>
          <cell r="E1069">
            <v>-65.062636031620855</v>
          </cell>
          <cell r="F1069">
            <v>86.123134719368707</v>
          </cell>
          <cell r="G1069">
            <v>15.56977503557396</v>
          </cell>
          <cell r="H1069">
            <v>15.56977503557396</v>
          </cell>
          <cell r="I1069" t="e">
            <v>#N/A</v>
          </cell>
          <cell r="J1069" t="e">
            <v>#N/A</v>
          </cell>
          <cell r="K1069">
            <v>75</v>
          </cell>
          <cell r="L1069">
            <v>40</v>
          </cell>
          <cell r="M1069" t="e">
            <v>#N/A</v>
          </cell>
          <cell r="N1069">
            <v>68</v>
          </cell>
          <cell r="O1069" t="e">
            <v>#N/A</v>
          </cell>
          <cell r="P1069" t="str">
            <v/>
          </cell>
          <cell r="Q1069" t="str">
            <v/>
          </cell>
          <cell r="R1069">
            <v>68</v>
          </cell>
        </row>
        <row r="1070">
          <cell r="A1070" t="str">
            <v/>
          </cell>
          <cell r="B1070" t="str">
            <v/>
          </cell>
          <cell r="C1070" t="str">
            <v>Future</v>
          </cell>
          <cell r="D1070" t="e">
            <v>#N/A</v>
          </cell>
          <cell r="E1070">
            <v>-65.315798039525987</v>
          </cell>
          <cell r="F1070">
            <v>86.166415399210607</v>
          </cell>
          <cell r="G1070">
            <v>15.47471579446724</v>
          </cell>
          <cell r="H1070">
            <v>15.47471579446724</v>
          </cell>
          <cell r="I1070" t="e">
            <v>#N/A</v>
          </cell>
          <cell r="J1070" t="e">
            <v>#N/A</v>
          </cell>
          <cell r="K1070">
            <v>75</v>
          </cell>
          <cell r="L1070">
            <v>40</v>
          </cell>
          <cell r="M1070" t="e">
            <v>#N/A</v>
          </cell>
          <cell r="N1070">
            <v>68</v>
          </cell>
          <cell r="O1070" t="e">
            <v>#N/A</v>
          </cell>
          <cell r="P1070" t="str">
            <v/>
          </cell>
          <cell r="Q1070" t="str">
            <v/>
          </cell>
          <cell r="R1070">
            <v>68</v>
          </cell>
        </row>
        <row r="1071">
          <cell r="A1071" t="str">
            <v/>
          </cell>
          <cell r="B1071" t="str">
            <v/>
          </cell>
          <cell r="C1071" t="str">
            <v>Future</v>
          </cell>
          <cell r="D1071" t="e">
            <v>#N/A</v>
          </cell>
          <cell r="E1071">
            <v>-65.568960047431119</v>
          </cell>
          <cell r="F1071">
            <v>86.209696079052506</v>
          </cell>
          <cell r="G1071">
            <v>15.379656553360521</v>
          </cell>
          <cell r="H1071">
            <v>15.379656553360521</v>
          </cell>
          <cell r="I1071" t="e">
            <v>#N/A</v>
          </cell>
          <cell r="J1071" t="e">
            <v>#N/A</v>
          </cell>
          <cell r="K1071">
            <v>75</v>
          </cell>
          <cell r="L1071">
            <v>40</v>
          </cell>
          <cell r="M1071" t="e">
            <v>#N/A</v>
          </cell>
          <cell r="N1071">
            <v>68</v>
          </cell>
          <cell r="O1071" t="e">
            <v>#N/A</v>
          </cell>
          <cell r="P1071" t="str">
            <v/>
          </cell>
          <cell r="Q1071" t="str">
            <v/>
          </cell>
          <cell r="R1071">
            <v>68</v>
          </cell>
        </row>
        <row r="1072">
          <cell r="A1072" t="str">
            <v/>
          </cell>
          <cell r="B1072" t="str">
            <v/>
          </cell>
          <cell r="C1072" t="str">
            <v>Future</v>
          </cell>
          <cell r="D1072" t="e">
            <v>#N/A</v>
          </cell>
          <cell r="E1072">
            <v>-65.822122055336251</v>
          </cell>
          <cell r="F1072">
            <v>86.252976758894405</v>
          </cell>
          <cell r="G1072">
            <v>15.284597312253801</v>
          </cell>
          <cell r="H1072">
            <v>15.284597312253801</v>
          </cell>
          <cell r="I1072" t="e">
            <v>#N/A</v>
          </cell>
          <cell r="J1072" t="e">
            <v>#N/A</v>
          </cell>
          <cell r="K1072">
            <v>75</v>
          </cell>
          <cell r="L1072">
            <v>40</v>
          </cell>
          <cell r="M1072" t="e">
            <v>#N/A</v>
          </cell>
          <cell r="N1072">
            <v>68</v>
          </cell>
          <cell r="O1072" t="e">
            <v>#N/A</v>
          </cell>
          <cell r="P1072" t="str">
            <v/>
          </cell>
          <cell r="Q1072" t="str">
            <v/>
          </cell>
          <cell r="R1072">
            <v>68</v>
          </cell>
        </row>
        <row r="1073">
          <cell r="A1073" t="str">
            <v/>
          </cell>
          <cell r="B1073" t="str">
            <v/>
          </cell>
          <cell r="C1073" t="str">
            <v>Future</v>
          </cell>
          <cell r="D1073" t="e">
            <v>#N/A</v>
          </cell>
          <cell r="E1073">
            <v>-66.075284063241384</v>
          </cell>
          <cell r="F1073">
            <v>86.296257438736305</v>
          </cell>
          <cell r="G1073">
            <v>15.189538071147082</v>
          </cell>
          <cell r="H1073">
            <v>15.189538071147082</v>
          </cell>
          <cell r="I1073" t="e">
            <v>#N/A</v>
          </cell>
          <cell r="J1073" t="e">
            <v>#N/A</v>
          </cell>
          <cell r="K1073">
            <v>75</v>
          </cell>
          <cell r="L1073">
            <v>40</v>
          </cell>
          <cell r="M1073" t="e">
            <v>#N/A</v>
          </cell>
          <cell r="N1073">
            <v>68</v>
          </cell>
          <cell r="O1073" t="e">
            <v>#N/A</v>
          </cell>
          <cell r="P1073" t="str">
            <v/>
          </cell>
          <cell r="Q1073" t="str">
            <v/>
          </cell>
          <cell r="R1073">
            <v>68</v>
          </cell>
        </row>
        <row r="1074">
          <cell r="A1074" t="str">
            <v/>
          </cell>
          <cell r="B1074" t="str">
            <v/>
          </cell>
          <cell r="C1074" t="str">
            <v>Future</v>
          </cell>
          <cell r="D1074" t="e">
            <v>#N/A</v>
          </cell>
          <cell r="E1074">
            <v>-66.328446071146516</v>
          </cell>
          <cell r="F1074">
            <v>86.339538118578204</v>
          </cell>
          <cell r="G1074">
            <v>15.094478830040362</v>
          </cell>
          <cell r="H1074">
            <v>15.094478830040362</v>
          </cell>
          <cell r="I1074" t="e">
            <v>#N/A</v>
          </cell>
          <cell r="J1074" t="e">
            <v>#N/A</v>
          </cell>
          <cell r="K1074">
            <v>75</v>
          </cell>
          <cell r="L1074">
            <v>40</v>
          </cell>
          <cell r="M1074" t="e">
            <v>#N/A</v>
          </cell>
          <cell r="N1074">
            <v>68</v>
          </cell>
          <cell r="O1074" t="e">
            <v>#N/A</v>
          </cell>
          <cell r="P1074" t="str">
            <v/>
          </cell>
          <cell r="Q1074" t="str">
            <v/>
          </cell>
          <cell r="R1074">
            <v>68</v>
          </cell>
        </row>
        <row r="1075">
          <cell r="A1075" t="str">
            <v/>
          </cell>
          <cell r="B1075" t="str">
            <v/>
          </cell>
          <cell r="C1075" t="str">
            <v>Future</v>
          </cell>
          <cell r="D1075" t="e">
            <v>#N/A</v>
          </cell>
          <cell r="E1075">
            <v>-66.581608079051648</v>
          </cell>
          <cell r="F1075">
            <v>86.382818798420104</v>
          </cell>
          <cell r="G1075">
            <v>14.999419588933643</v>
          </cell>
          <cell r="H1075">
            <v>14.999419588933643</v>
          </cell>
          <cell r="I1075" t="e">
            <v>#N/A</v>
          </cell>
          <cell r="J1075" t="e">
            <v>#N/A</v>
          </cell>
          <cell r="K1075">
            <v>75</v>
          </cell>
          <cell r="L1075">
            <v>40</v>
          </cell>
          <cell r="M1075" t="e">
            <v>#N/A</v>
          </cell>
          <cell r="N1075">
            <v>68</v>
          </cell>
          <cell r="O1075" t="e">
            <v>#N/A</v>
          </cell>
          <cell r="P1075" t="str">
            <v/>
          </cell>
          <cell r="Q1075" t="str">
            <v/>
          </cell>
          <cell r="R1075">
            <v>68</v>
          </cell>
        </row>
        <row r="1076">
          <cell r="A1076" t="str">
            <v/>
          </cell>
          <cell r="B1076" t="str">
            <v/>
          </cell>
          <cell r="C1076" t="str">
            <v>Future</v>
          </cell>
          <cell r="D1076" t="e">
            <v>#N/A</v>
          </cell>
          <cell r="E1076">
            <v>-66.83477008695678</v>
          </cell>
          <cell r="F1076">
            <v>86.426099478262003</v>
          </cell>
          <cell r="G1076">
            <v>14.904360347826923</v>
          </cell>
          <cell r="H1076">
            <v>14.904360347826923</v>
          </cell>
          <cell r="I1076" t="e">
            <v>#N/A</v>
          </cell>
          <cell r="J1076" t="e">
            <v>#N/A</v>
          </cell>
          <cell r="K1076">
            <v>75</v>
          </cell>
          <cell r="L1076">
            <v>40</v>
          </cell>
          <cell r="M1076" t="e">
            <v>#N/A</v>
          </cell>
          <cell r="N1076">
            <v>68</v>
          </cell>
          <cell r="O1076" t="e">
            <v>#N/A</v>
          </cell>
          <cell r="P1076" t="str">
            <v/>
          </cell>
          <cell r="Q1076" t="str">
            <v/>
          </cell>
          <cell r="R1076">
            <v>68</v>
          </cell>
        </row>
        <row r="1077">
          <cell r="A1077" t="str">
            <v/>
          </cell>
          <cell r="B1077" t="str">
            <v/>
          </cell>
          <cell r="C1077" t="str">
            <v>Future</v>
          </cell>
          <cell r="D1077" t="e">
            <v>#N/A</v>
          </cell>
          <cell r="E1077">
            <v>-67.087932094861912</v>
          </cell>
          <cell r="F1077">
            <v>86.469380158103903</v>
          </cell>
          <cell r="G1077">
            <v>14.809301106720204</v>
          </cell>
          <cell r="H1077">
            <v>14.809301106720204</v>
          </cell>
          <cell r="I1077" t="e">
            <v>#N/A</v>
          </cell>
          <cell r="J1077" t="e">
            <v>#N/A</v>
          </cell>
          <cell r="K1077">
            <v>75</v>
          </cell>
          <cell r="L1077">
            <v>40</v>
          </cell>
          <cell r="M1077" t="e">
            <v>#N/A</v>
          </cell>
          <cell r="N1077">
            <v>68</v>
          </cell>
          <cell r="O1077" t="e">
            <v>#N/A</v>
          </cell>
          <cell r="P1077" t="str">
            <v/>
          </cell>
          <cell r="Q1077" t="str">
            <v/>
          </cell>
          <cell r="R1077">
            <v>68</v>
          </cell>
        </row>
        <row r="1078">
          <cell r="A1078" t="str">
            <v/>
          </cell>
          <cell r="B1078" t="str">
            <v/>
          </cell>
          <cell r="C1078" t="str">
            <v>Future</v>
          </cell>
          <cell r="D1078" t="e">
            <v>#N/A</v>
          </cell>
          <cell r="E1078">
            <v>-67.341094102767045</v>
          </cell>
          <cell r="F1078">
            <v>86.512660837945802</v>
          </cell>
          <cell r="G1078">
            <v>14.714241865613484</v>
          </cell>
          <cell r="H1078">
            <v>14.714241865613484</v>
          </cell>
          <cell r="I1078" t="e">
            <v>#N/A</v>
          </cell>
          <cell r="J1078" t="e">
            <v>#N/A</v>
          </cell>
          <cell r="K1078">
            <v>75</v>
          </cell>
          <cell r="L1078">
            <v>40</v>
          </cell>
          <cell r="M1078" t="e">
            <v>#N/A</v>
          </cell>
          <cell r="N1078">
            <v>68</v>
          </cell>
          <cell r="O1078" t="e">
            <v>#N/A</v>
          </cell>
          <cell r="P1078" t="str">
            <v/>
          </cell>
          <cell r="Q1078" t="str">
            <v/>
          </cell>
          <cell r="R1078">
            <v>68</v>
          </cell>
        </row>
        <row r="1079">
          <cell r="A1079" t="str">
            <v/>
          </cell>
          <cell r="B1079" t="str">
            <v/>
          </cell>
          <cell r="C1079" t="str">
            <v>Future</v>
          </cell>
          <cell r="D1079" t="e">
            <v>#N/A</v>
          </cell>
          <cell r="E1079">
            <v>-67.594256110672177</v>
          </cell>
          <cell r="F1079">
            <v>86.555941517787701</v>
          </cell>
          <cell r="G1079">
            <v>14.619182624506765</v>
          </cell>
          <cell r="H1079">
            <v>14.619182624506765</v>
          </cell>
          <cell r="I1079" t="e">
            <v>#N/A</v>
          </cell>
          <cell r="J1079" t="e">
            <v>#N/A</v>
          </cell>
          <cell r="K1079">
            <v>75</v>
          </cell>
          <cell r="L1079">
            <v>40</v>
          </cell>
          <cell r="M1079" t="e">
            <v>#N/A</v>
          </cell>
          <cell r="N1079">
            <v>68</v>
          </cell>
          <cell r="O1079" t="e">
            <v>#N/A</v>
          </cell>
          <cell r="P1079" t="str">
            <v/>
          </cell>
          <cell r="Q1079" t="str">
            <v/>
          </cell>
          <cell r="R1079">
            <v>68</v>
          </cell>
        </row>
        <row r="1080">
          <cell r="A1080" t="str">
            <v/>
          </cell>
          <cell r="B1080" t="str">
            <v/>
          </cell>
          <cell r="C1080" t="str">
            <v>Future</v>
          </cell>
          <cell r="D1080" t="e">
            <v>#N/A</v>
          </cell>
          <cell r="E1080">
            <v>-67.847418118577309</v>
          </cell>
          <cell r="F1080">
            <v>86.599222197629601</v>
          </cell>
          <cell r="G1080">
            <v>14.524123383400045</v>
          </cell>
          <cell r="H1080">
            <v>14.524123383400045</v>
          </cell>
          <cell r="I1080" t="e">
            <v>#N/A</v>
          </cell>
          <cell r="J1080" t="e">
            <v>#N/A</v>
          </cell>
          <cell r="K1080">
            <v>75</v>
          </cell>
          <cell r="L1080">
            <v>40</v>
          </cell>
          <cell r="M1080" t="e">
            <v>#N/A</v>
          </cell>
          <cell r="N1080">
            <v>68</v>
          </cell>
          <cell r="O1080" t="e">
            <v>#N/A</v>
          </cell>
          <cell r="P1080" t="str">
            <v/>
          </cell>
          <cell r="Q1080" t="str">
            <v/>
          </cell>
          <cell r="R1080">
            <v>68</v>
          </cell>
        </row>
        <row r="1081">
          <cell r="A1081" t="str">
            <v/>
          </cell>
          <cell r="B1081" t="str">
            <v/>
          </cell>
          <cell r="C1081" t="str">
            <v>Future</v>
          </cell>
          <cell r="D1081" t="e">
            <v>#N/A</v>
          </cell>
          <cell r="E1081">
            <v>-68.100580126482441</v>
          </cell>
          <cell r="F1081">
            <v>86.6425028774715</v>
          </cell>
          <cell r="G1081">
            <v>14.429064142293326</v>
          </cell>
          <cell r="H1081">
            <v>14.429064142293326</v>
          </cell>
          <cell r="I1081" t="e">
            <v>#N/A</v>
          </cell>
          <cell r="J1081" t="e">
            <v>#N/A</v>
          </cell>
          <cell r="K1081">
            <v>75</v>
          </cell>
          <cell r="L1081">
            <v>40</v>
          </cell>
          <cell r="M1081" t="e">
            <v>#N/A</v>
          </cell>
          <cell r="N1081">
            <v>68</v>
          </cell>
          <cell r="O1081" t="e">
            <v>#N/A</v>
          </cell>
          <cell r="P1081" t="str">
            <v/>
          </cell>
          <cell r="Q1081" t="str">
            <v/>
          </cell>
          <cell r="R1081">
            <v>68</v>
          </cell>
        </row>
        <row r="1082">
          <cell r="A1082" t="str">
            <v/>
          </cell>
          <cell r="B1082" t="str">
            <v/>
          </cell>
          <cell r="C1082" t="str">
            <v>Future</v>
          </cell>
          <cell r="D1082" t="e">
            <v>#N/A</v>
          </cell>
          <cell r="E1082">
            <v>-68.353742134387574</v>
          </cell>
          <cell r="F1082">
            <v>86.6857835573134</v>
          </cell>
          <cell r="G1082">
            <v>14.334004901186606</v>
          </cell>
          <cell r="H1082">
            <v>14.334004901186606</v>
          </cell>
          <cell r="I1082" t="e">
            <v>#N/A</v>
          </cell>
          <cell r="J1082" t="e">
            <v>#N/A</v>
          </cell>
          <cell r="K1082">
            <v>75</v>
          </cell>
          <cell r="L1082">
            <v>40</v>
          </cell>
          <cell r="M1082" t="e">
            <v>#N/A</v>
          </cell>
          <cell r="N1082">
            <v>68</v>
          </cell>
          <cell r="O1082" t="e">
            <v>#N/A</v>
          </cell>
          <cell r="P1082" t="str">
            <v/>
          </cell>
          <cell r="Q1082" t="str">
            <v/>
          </cell>
          <cell r="R1082">
            <v>68</v>
          </cell>
        </row>
        <row r="1083">
          <cell r="A1083" t="str">
            <v/>
          </cell>
          <cell r="B1083" t="str">
            <v/>
          </cell>
          <cell r="C1083" t="str">
            <v>Future</v>
          </cell>
          <cell r="D1083" t="e">
            <v>#N/A</v>
          </cell>
          <cell r="E1083">
            <v>-68.606904142292706</v>
          </cell>
          <cell r="F1083">
            <v>86.729064237155299</v>
          </cell>
          <cell r="G1083">
            <v>14.238945660079887</v>
          </cell>
          <cell r="H1083">
            <v>14.238945660079887</v>
          </cell>
          <cell r="I1083" t="e">
            <v>#N/A</v>
          </cell>
          <cell r="J1083" t="e">
            <v>#N/A</v>
          </cell>
          <cell r="K1083">
            <v>75</v>
          </cell>
          <cell r="L1083">
            <v>40</v>
          </cell>
          <cell r="M1083" t="e">
            <v>#N/A</v>
          </cell>
          <cell r="N1083">
            <v>68</v>
          </cell>
          <cell r="O1083" t="e">
            <v>#N/A</v>
          </cell>
          <cell r="P1083" t="str">
            <v/>
          </cell>
          <cell r="Q1083" t="str">
            <v/>
          </cell>
          <cell r="R1083">
            <v>68</v>
          </cell>
        </row>
        <row r="1084">
          <cell r="A1084" t="str">
            <v/>
          </cell>
          <cell r="B1084" t="str">
            <v/>
          </cell>
          <cell r="C1084" t="str">
            <v>Future</v>
          </cell>
          <cell r="D1084" t="e">
            <v>#N/A</v>
          </cell>
          <cell r="E1084">
            <v>-68.860066150197838</v>
          </cell>
          <cell r="F1084">
            <v>86.772344916997199</v>
          </cell>
          <cell r="G1084">
            <v>14.143886418973167</v>
          </cell>
          <cell r="H1084">
            <v>14.143886418973167</v>
          </cell>
          <cell r="I1084" t="e">
            <v>#N/A</v>
          </cell>
          <cell r="J1084" t="e">
            <v>#N/A</v>
          </cell>
          <cell r="K1084">
            <v>75</v>
          </cell>
          <cell r="L1084">
            <v>40</v>
          </cell>
          <cell r="M1084" t="e">
            <v>#N/A</v>
          </cell>
          <cell r="N1084">
            <v>68</v>
          </cell>
          <cell r="O1084" t="e">
            <v>#N/A</v>
          </cell>
          <cell r="P1084" t="str">
            <v/>
          </cell>
          <cell r="Q1084" t="str">
            <v/>
          </cell>
          <cell r="R1084">
            <v>68</v>
          </cell>
        </row>
        <row r="1085">
          <cell r="A1085" t="str">
            <v/>
          </cell>
          <cell r="B1085" t="str">
            <v/>
          </cell>
          <cell r="C1085" t="str">
            <v>Future</v>
          </cell>
          <cell r="D1085" t="e">
            <v>#N/A</v>
          </cell>
          <cell r="E1085">
            <v>-69.11322815810297</v>
          </cell>
          <cell r="F1085">
            <v>86.815625596839098</v>
          </cell>
          <cell r="G1085">
            <v>14.048827177866448</v>
          </cell>
          <cell r="H1085">
            <v>14.048827177866448</v>
          </cell>
          <cell r="I1085" t="e">
            <v>#N/A</v>
          </cell>
          <cell r="J1085" t="e">
            <v>#N/A</v>
          </cell>
          <cell r="K1085">
            <v>75</v>
          </cell>
          <cell r="L1085">
            <v>40</v>
          </cell>
          <cell r="M1085" t="e">
            <v>#N/A</v>
          </cell>
          <cell r="N1085">
            <v>68</v>
          </cell>
          <cell r="O1085" t="e">
            <v>#N/A</v>
          </cell>
          <cell r="P1085" t="str">
            <v/>
          </cell>
          <cell r="Q1085" t="str">
            <v/>
          </cell>
          <cell r="R1085">
            <v>68</v>
          </cell>
        </row>
        <row r="1086">
          <cell r="A1086" t="str">
            <v/>
          </cell>
          <cell r="B1086" t="str">
            <v/>
          </cell>
          <cell r="C1086" t="str">
            <v>Future</v>
          </cell>
          <cell r="D1086" t="e">
            <v>#N/A</v>
          </cell>
          <cell r="E1086">
            <v>-69.366390166008102</v>
          </cell>
          <cell r="F1086">
            <v>86.858906276680997</v>
          </cell>
          <cell r="G1086">
            <v>13.953767936759728</v>
          </cell>
          <cell r="H1086">
            <v>13.953767936759728</v>
          </cell>
          <cell r="I1086" t="e">
            <v>#N/A</v>
          </cell>
          <cell r="J1086" t="e">
            <v>#N/A</v>
          </cell>
          <cell r="K1086">
            <v>75</v>
          </cell>
          <cell r="L1086">
            <v>40</v>
          </cell>
          <cell r="M1086" t="e">
            <v>#N/A</v>
          </cell>
          <cell r="N1086">
            <v>68</v>
          </cell>
          <cell r="O1086" t="e">
            <v>#N/A</v>
          </cell>
          <cell r="P1086" t="str">
            <v/>
          </cell>
          <cell r="Q1086" t="str">
            <v/>
          </cell>
          <cell r="R1086">
            <v>68</v>
          </cell>
        </row>
        <row r="1087">
          <cell r="A1087" t="str">
            <v/>
          </cell>
          <cell r="B1087" t="str">
            <v/>
          </cell>
          <cell r="C1087" t="str">
            <v>Future</v>
          </cell>
          <cell r="D1087" t="e">
            <v>#N/A</v>
          </cell>
          <cell r="E1087">
            <v>-69.619552173913235</v>
          </cell>
          <cell r="F1087">
            <v>86.902186956522897</v>
          </cell>
          <cell r="G1087">
            <v>13.858708695653009</v>
          </cell>
          <cell r="H1087">
            <v>13.858708695653009</v>
          </cell>
          <cell r="I1087" t="e">
            <v>#N/A</v>
          </cell>
          <cell r="J1087" t="e">
            <v>#N/A</v>
          </cell>
          <cell r="K1087">
            <v>75</v>
          </cell>
          <cell r="L1087">
            <v>40</v>
          </cell>
          <cell r="M1087" t="e">
            <v>#N/A</v>
          </cell>
          <cell r="N1087">
            <v>68</v>
          </cell>
          <cell r="O1087" t="e">
            <v>#N/A</v>
          </cell>
          <cell r="P1087" t="str">
            <v/>
          </cell>
          <cell r="Q1087" t="str">
            <v/>
          </cell>
          <cell r="R1087">
            <v>68</v>
          </cell>
        </row>
        <row r="1088">
          <cell r="A1088" t="str">
            <v/>
          </cell>
          <cell r="B1088" t="str">
            <v/>
          </cell>
          <cell r="C1088" t="str">
            <v>Future</v>
          </cell>
          <cell r="D1088" t="e">
            <v>#N/A</v>
          </cell>
          <cell r="E1088">
            <v>-69.872714181818367</v>
          </cell>
          <cell r="F1088">
            <v>86.945467636364796</v>
          </cell>
          <cell r="G1088">
            <v>13.76364945454629</v>
          </cell>
          <cell r="H1088">
            <v>13.76364945454629</v>
          </cell>
          <cell r="I1088" t="e">
            <v>#N/A</v>
          </cell>
          <cell r="J1088" t="e">
            <v>#N/A</v>
          </cell>
          <cell r="K1088">
            <v>75</v>
          </cell>
          <cell r="L1088">
            <v>40</v>
          </cell>
          <cell r="M1088" t="e">
            <v>#N/A</v>
          </cell>
          <cell r="N1088">
            <v>68</v>
          </cell>
          <cell r="O1088" t="e">
            <v>#N/A</v>
          </cell>
          <cell r="P1088" t="str">
            <v/>
          </cell>
          <cell r="Q1088" t="str">
            <v/>
          </cell>
          <cell r="R1088">
            <v>68</v>
          </cell>
        </row>
        <row r="1089">
          <cell r="A1089" t="str">
            <v/>
          </cell>
          <cell r="B1089" t="str">
            <v/>
          </cell>
          <cell r="C1089" t="str">
            <v>Future</v>
          </cell>
          <cell r="D1089" t="e">
            <v>#N/A</v>
          </cell>
          <cell r="E1089">
            <v>-70.125876189723499</v>
          </cell>
          <cell r="F1089">
            <v>86.988748316206696</v>
          </cell>
          <cell r="G1089">
            <v>13.66859021343957</v>
          </cell>
          <cell r="H1089">
            <v>13.66859021343957</v>
          </cell>
          <cell r="I1089" t="e">
            <v>#N/A</v>
          </cell>
          <cell r="J1089" t="e">
            <v>#N/A</v>
          </cell>
          <cell r="K1089">
            <v>75</v>
          </cell>
          <cell r="L1089">
            <v>40</v>
          </cell>
          <cell r="M1089" t="e">
            <v>#N/A</v>
          </cell>
          <cell r="N1089">
            <v>68</v>
          </cell>
          <cell r="O1089" t="e">
            <v>#N/A</v>
          </cell>
          <cell r="P1089" t="str">
            <v/>
          </cell>
          <cell r="Q1089" t="str">
            <v/>
          </cell>
          <cell r="R1089">
            <v>68</v>
          </cell>
        </row>
        <row r="1090">
          <cell r="A1090" t="str">
            <v/>
          </cell>
          <cell r="B1090" t="str">
            <v/>
          </cell>
          <cell r="C1090" t="str">
            <v>Future</v>
          </cell>
          <cell r="D1090" t="e">
            <v>#N/A</v>
          </cell>
          <cell r="E1090">
            <v>-70.379038197628631</v>
          </cell>
          <cell r="F1090">
            <v>87.032028996048595</v>
          </cell>
          <cell r="G1090">
            <v>13.573530972332851</v>
          </cell>
          <cell r="H1090">
            <v>13.573530972332851</v>
          </cell>
          <cell r="I1090" t="e">
            <v>#N/A</v>
          </cell>
          <cell r="J1090" t="e">
            <v>#N/A</v>
          </cell>
          <cell r="K1090">
            <v>75</v>
          </cell>
          <cell r="L1090">
            <v>40</v>
          </cell>
          <cell r="M1090" t="e">
            <v>#N/A</v>
          </cell>
          <cell r="N1090">
            <v>68</v>
          </cell>
          <cell r="O1090" t="e">
            <v>#N/A</v>
          </cell>
          <cell r="P1090" t="str">
            <v/>
          </cell>
          <cell r="Q1090" t="str">
            <v/>
          </cell>
          <cell r="R1090">
            <v>68</v>
          </cell>
        </row>
        <row r="1091">
          <cell r="A1091" t="str">
            <v/>
          </cell>
          <cell r="B1091" t="str">
            <v/>
          </cell>
          <cell r="C1091" t="str">
            <v>Future</v>
          </cell>
          <cell r="D1091" t="e">
            <v>#N/A</v>
          </cell>
          <cell r="E1091">
            <v>-70.632200205533763</v>
          </cell>
          <cell r="F1091">
            <v>87.075309675890495</v>
          </cell>
          <cell r="G1091">
            <v>13.478471731226131</v>
          </cell>
          <cell r="H1091">
            <v>13.478471731226131</v>
          </cell>
          <cell r="I1091" t="e">
            <v>#N/A</v>
          </cell>
          <cell r="J1091" t="e">
            <v>#N/A</v>
          </cell>
          <cell r="K1091">
            <v>75</v>
          </cell>
          <cell r="L1091">
            <v>40</v>
          </cell>
          <cell r="M1091" t="e">
            <v>#N/A</v>
          </cell>
          <cell r="N1091">
            <v>68</v>
          </cell>
          <cell r="O1091" t="e">
            <v>#N/A</v>
          </cell>
          <cell r="P1091" t="str">
            <v/>
          </cell>
          <cell r="Q1091" t="str">
            <v/>
          </cell>
          <cell r="R1091">
            <v>68</v>
          </cell>
        </row>
        <row r="1092">
          <cell r="A1092" t="str">
            <v/>
          </cell>
          <cell r="B1092" t="str">
            <v/>
          </cell>
          <cell r="C1092" t="str">
            <v>Future</v>
          </cell>
          <cell r="D1092" t="e">
            <v>#N/A</v>
          </cell>
          <cell r="E1092">
            <v>-70.885362213438896</v>
          </cell>
          <cell r="F1092">
            <v>87.118590355732394</v>
          </cell>
          <cell r="G1092">
            <v>13.383412490119412</v>
          </cell>
          <cell r="H1092">
            <v>13.383412490119412</v>
          </cell>
          <cell r="I1092" t="e">
            <v>#N/A</v>
          </cell>
          <cell r="J1092" t="e">
            <v>#N/A</v>
          </cell>
          <cell r="K1092">
            <v>75</v>
          </cell>
          <cell r="L1092">
            <v>40</v>
          </cell>
          <cell r="M1092" t="e">
            <v>#N/A</v>
          </cell>
          <cell r="N1092">
            <v>68</v>
          </cell>
          <cell r="O1092" t="e">
            <v>#N/A</v>
          </cell>
          <cell r="P1092" t="str">
            <v/>
          </cell>
          <cell r="Q1092" t="str">
            <v/>
          </cell>
          <cell r="R1092">
            <v>68</v>
          </cell>
        </row>
        <row r="1093">
          <cell r="A1093" t="str">
            <v/>
          </cell>
          <cell r="B1093" t="str">
            <v/>
          </cell>
          <cell r="C1093" t="str">
            <v>Future</v>
          </cell>
          <cell r="D1093" t="e">
            <v>#N/A</v>
          </cell>
          <cell r="E1093">
            <v>-71.138524221344028</v>
          </cell>
          <cell r="F1093">
            <v>87.161871035574293</v>
          </cell>
          <cell r="G1093">
            <v>13.288353249012692</v>
          </cell>
          <cell r="H1093">
            <v>13.288353249012692</v>
          </cell>
          <cell r="I1093" t="e">
            <v>#N/A</v>
          </cell>
          <cell r="J1093" t="e">
            <v>#N/A</v>
          </cell>
          <cell r="K1093">
            <v>75</v>
          </cell>
          <cell r="L1093">
            <v>40</v>
          </cell>
          <cell r="M1093" t="e">
            <v>#N/A</v>
          </cell>
          <cell r="N1093">
            <v>68</v>
          </cell>
          <cell r="O1093" t="e">
            <v>#N/A</v>
          </cell>
          <cell r="P1093" t="str">
            <v/>
          </cell>
          <cell r="Q1093" t="str">
            <v/>
          </cell>
          <cell r="R1093">
            <v>68</v>
          </cell>
        </row>
        <row r="1094">
          <cell r="A1094" t="str">
            <v/>
          </cell>
          <cell r="B1094" t="str">
            <v/>
          </cell>
          <cell r="C1094" t="str">
            <v>Future</v>
          </cell>
          <cell r="D1094" t="e">
            <v>#N/A</v>
          </cell>
          <cell r="E1094">
            <v>-71.39168622924916</v>
          </cell>
          <cell r="F1094">
            <v>87.205151715416193</v>
          </cell>
          <cell r="G1094">
            <v>13.193294007905973</v>
          </cell>
          <cell r="H1094">
            <v>13.193294007905973</v>
          </cell>
          <cell r="I1094" t="e">
            <v>#N/A</v>
          </cell>
          <cell r="J1094" t="e">
            <v>#N/A</v>
          </cell>
          <cell r="K1094">
            <v>75</v>
          </cell>
          <cell r="L1094">
            <v>40</v>
          </cell>
          <cell r="M1094" t="e">
            <v>#N/A</v>
          </cell>
          <cell r="N1094">
            <v>68</v>
          </cell>
          <cell r="O1094" t="e">
            <v>#N/A</v>
          </cell>
          <cell r="P1094" t="str">
            <v/>
          </cell>
          <cell r="Q1094" t="str">
            <v/>
          </cell>
          <cell r="R1094">
            <v>68</v>
          </cell>
        </row>
        <row r="1095">
          <cell r="A1095" t="str">
            <v/>
          </cell>
          <cell r="B1095" t="str">
            <v/>
          </cell>
          <cell r="C1095" t="str">
            <v>Future</v>
          </cell>
          <cell r="D1095" t="e">
            <v>#N/A</v>
          </cell>
          <cell r="E1095">
            <v>-71.644848237154292</v>
          </cell>
          <cell r="F1095">
            <v>87.248432395258092</v>
          </cell>
          <cell r="G1095">
            <v>13.098234766799253</v>
          </cell>
          <cell r="H1095">
            <v>13.098234766799253</v>
          </cell>
          <cell r="I1095" t="e">
            <v>#N/A</v>
          </cell>
          <cell r="J1095" t="e">
            <v>#N/A</v>
          </cell>
          <cell r="K1095">
            <v>75</v>
          </cell>
          <cell r="L1095">
            <v>40</v>
          </cell>
          <cell r="M1095" t="e">
            <v>#N/A</v>
          </cell>
          <cell r="N1095">
            <v>68</v>
          </cell>
          <cell r="O1095" t="e">
            <v>#N/A</v>
          </cell>
          <cell r="P1095" t="str">
            <v/>
          </cell>
          <cell r="Q1095" t="str">
            <v/>
          </cell>
          <cell r="R1095">
            <v>68</v>
          </cell>
        </row>
        <row r="1096">
          <cell r="A1096" t="str">
            <v/>
          </cell>
          <cell r="B1096" t="str">
            <v/>
          </cell>
          <cell r="C1096" t="str">
            <v>Future</v>
          </cell>
          <cell r="D1096" t="e">
            <v>#N/A</v>
          </cell>
          <cell r="E1096">
            <v>-71.898010245059425</v>
          </cell>
          <cell r="F1096">
            <v>87.291713075099992</v>
          </cell>
          <cell r="G1096">
            <v>13.003175525692534</v>
          </cell>
          <cell r="H1096">
            <v>13.003175525692534</v>
          </cell>
          <cell r="I1096" t="e">
            <v>#N/A</v>
          </cell>
          <cell r="J1096" t="e">
            <v>#N/A</v>
          </cell>
          <cell r="K1096">
            <v>75</v>
          </cell>
          <cell r="L1096">
            <v>40</v>
          </cell>
          <cell r="M1096" t="e">
            <v>#N/A</v>
          </cell>
          <cell r="N1096">
            <v>68</v>
          </cell>
          <cell r="O1096" t="e">
            <v>#N/A</v>
          </cell>
          <cell r="P1096" t="str">
            <v/>
          </cell>
          <cell r="Q1096" t="str">
            <v/>
          </cell>
          <cell r="R1096">
            <v>68</v>
          </cell>
        </row>
        <row r="1097">
          <cell r="A1097" t="str">
            <v/>
          </cell>
          <cell r="B1097" t="str">
            <v/>
          </cell>
          <cell r="C1097" t="str">
            <v>Future</v>
          </cell>
          <cell r="D1097" t="e">
            <v>#N/A</v>
          </cell>
          <cell r="E1097">
            <v>-72.151172252964557</v>
          </cell>
          <cell r="F1097">
            <v>87.334993754941891</v>
          </cell>
          <cell r="G1097">
            <v>12.908116284585814</v>
          </cell>
          <cell r="H1097">
            <v>12.908116284585814</v>
          </cell>
          <cell r="I1097" t="e">
            <v>#N/A</v>
          </cell>
          <cell r="J1097" t="e">
            <v>#N/A</v>
          </cell>
          <cell r="K1097">
            <v>75</v>
          </cell>
          <cell r="L1097">
            <v>40</v>
          </cell>
          <cell r="M1097" t="e">
            <v>#N/A</v>
          </cell>
          <cell r="N1097">
            <v>68</v>
          </cell>
          <cell r="O1097" t="e">
            <v>#N/A</v>
          </cell>
          <cell r="P1097" t="str">
            <v/>
          </cell>
          <cell r="Q1097" t="str">
            <v/>
          </cell>
          <cell r="R1097">
            <v>68</v>
          </cell>
        </row>
        <row r="1098">
          <cell r="A1098" t="str">
            <v/>
          </cell>
          <cell r="B1098" t="str">
            <v/>
          </cell>
          <cell r="C1098" t="str">
            <v>Future</v>
          </cell>
          <cell r="D1098" t="e">
            <v>#N/A</v>
          </cell>
          <cell r="E1098">
            <v>-72.404334260869689</v>
          </cell>
          <cell r="F1098">
            <v>87.378274434783791</v>
          </cell>
          <cell r="G1098">
            <v>12.813057043479095</v>
          </cell>
          <cell r="H1098">
            <v>12.813057043479095</v>
          </cell>
          <cell r="I1098" t="e">
            <v>#N/A</v>
          </cell>
          <cell r="J1098" t="e">
            <v>#N/A</v>
          </cell>
          <cell r="K1098">
            <v>75</v>
          </cell>
          <cell r="L1098">
            <v>40</v>
          </cell>
          <cell r="M1098" t="e">
            <v>#N/A</v>
          </cell>
          <cell r="N1098">
            <v>68</v>
          </cell>
          <cell r="O1098" t="e">
            <v>#N/A</v>
          </cell>
          <cell r="P1098" t="str">
            <v/>
          </cell>
          <cell r="Q1098" t="str">
            <v/>
          </cell>
          <cell r="R1098">
            <v>68</v>
          </cell>
        </row>
        <row r="1099">
          <cell r="A1099" t="str">
            <v/>
          </cell>
          <cell r="B1099" t="str">
            <v/>
          </cell>
          <cell r="C1099" t="str">
            <v>Future</v>
          </cell>
          <cell r="D1099" t="e">
            <v>#N/A</v>
          </cell>
          <cell r="E1099">
            <v>-72.657496268774821</v>
          </cell>
          <cell r="F1099">
            <v>87.42155511462569</v>
          </cell>
          <cell r="G1099">
            <v>12.717997802372375</v>
          </cell>
          <cell r="H1099">
            <v>12.717997802372375</v>
          </cell>
          <cell r="I1099" t="e">
            <v>#N/A</v>
          </cell>
          <cell r="J1099" t="e">
            <v>#N/A</v>
          </cell>
          <cell r="K1099">
            <v>75</v>
          </cell>
          <cell r="L1099">
            <v>40</v>
          </cell>
          <cell r="M1099" t="e">
            <v>#N/A</v>
          </cell>
          <cell r="N1099">
            <v>68</v>
          </cell>
          <cell r="O1099" t="e">
            <v>#N/A</v>
          </cell>
          <cell r="P1099" t="str">
            <v/>
          </cell>
          <cell r="Q1099" t="str">
            <v/>
          </cell>
          <cell r="R1099">
            <v>68</v>
          </cell>
        </row>
        <row r="1100">
          <cell r="A1100" t="str">
            <v/>
          </cell>
          <cell r="B1100" t="str">
            <v/>
          </cell>
          <cell r="C1100" t="str">
            <v>Future</v>
          </cell>
          <cell r="D1100" t="e">
            <v>#N/A</v>
          </cell>
          <cell r="E1100">
            <v>-72.910658276679953</v>
          </cell>
          <cell r="F1100">
            <v>87.464835794467589</v>
          </cell>
          <cell r="G1100">
            <v>12.622938561265656</v>
          </cell>
          <cell r="H1100">
            <v>12.622938561265656</v>
          </cell>
          <cell r="I1100" t="e">
            <v>#N/A</v>
          </cell>
          <cell r="J1100" t="e">
            <v>#N/A</v>
          </cell>
          <cell r="K1100">
            <v>75</v>
          </cell>
          <cell r="L1100">
            <v>40</v>
          </cell>
          <cell r="M1100" t="e">
            <v>#N/A</v>
          </cell>
          <cell r="N1100">
            <v>68</v>
          </cell>
          <cell r="O1100" t="e">
            <v>#N/A</v>
          </cell>
          <cell r="P1100" t="str">
            <v/>
          </cell>
          <cell r="Q1100" t="str">
            <v/>
          </cell>
          <cell r="R1100">
            <v>68</v>
          </cell>
        </row>
        <row r="1101">
          <cell r="A1101" t="str">
            <v/>
          </cell>
          <cell r="B1101" t="str">
            <v/>
          </cell>
          <cell r="C1101" t="str">
            <v>Future</v>
          </cell>
          <cell r="D1101" t="e">
            <v>#N/A</v>
          </cell>
          <cell r="E1101">
            <v>-73.163820284585086</v>
          </cell>
          <cell r="F1101">
            <v>87.508116474309489</v>
          </cell>
          <cell r="G1101">
            <v>12.527879320158936</v>
          </cell>
          <cell r="H1101">
            <v>12.527879320158936</v>
          </cell>
          <cell r="I1101" t="e">
            <v>#N/A</v>
          </cell>
          <cell r="J1101" t="e">
            <v>#N/A</v>
          </cell>
          <cell r="K1101">
            <v>75</v>
          </cell>
          <cell r="L1101">
            <v>40</v>
          </cell>
          <cell r="M1101" t="e">
            <v>#N/A</v>
          </cell>
          <cell r="N1101">
            <v>68</v>
          </cell>
          <cell r="O1101" t="e">
            <v>#N/A</v>
          </cell>
          <cell r="P1101" t="str">
            <v/>
          </cell>
          <cell r="Q1101" t="str">
            <v/>
          </cell>
          <cell r="R1101">
            <v>68</v>
          </cell>
        </row>
        <row r="1102">
          <cell r="A1102" t="str">
            <v/>
          </cell>
          <cell r="B1102" t="str">
            <v/>
          </cell>
          <cell r="C1102" t="str">
            <v>Future</v>
          </cell>
          <cell r="D1102" t="e">
            <v>#N/A</v>
          </cell>
          <cell r="E1102">
            <v>-73.416982292490218</v>
          </cell>
          <cell r="F1102">
            <v>87.551397154151388</v>
          </cell>
          <cell r="G1102">
            <v>12.432820079052217</v>
          </cell>
          <cell r="H1102">
            <v>12.432820079052217</v>
          </cell>
          <cell r="I1102" t="e">
            <v>#N/A</v>
          </cell>
          <cell r="J1102" t="e">
            <v>#N/A</v>
          </cell>
          <cell r="K1102">
            <v>75</v>
          </cell>
          <cell r="L1102">
            <v>40</v>
          </cell>
          <cell r="M1102" t="e">
            <v>#N/A</v>
          </cell>
          <cell r="N1102">
            <v>68</v>
          </cell>
          <cell r="O1102" t="e">
            <v>#N/A</v>
          </cell>
          <cell r="P1102" t="str">
            <v/>
          </cell>
          <cell r="Q1102" t="str">
            <v/>
          </cell>
          <cell r="R1102">
            <v>68</v>
          </cell>
        </row>
        <row r="1103">
          <cell r="A1103" t="str">
            <v/>
          </cell>
          <cell r="B1103" t="str">
            <v/>
          </cell>
          <cell r="C1103" t="str">
            <v>Future</v>
          </cell>
          <cell r="D1103" t="e">
            <v>#N/A</v>
          </cell>
          <cell r="E1103">
            <v>-73.67014430039535</v>
          </cell>
          <cell r="F1103">
            <v>87.594677833993288</v>
          </cell>
          <cell r="G1103">
            <v>12.337760837945497</v>
          </cell>
          <cell r="H1103">
            <v>12.337760837945497</v>
          </cell>
          <cell r="I1103" t="e">
            <v>#N/A</v>
          </cell>
          <cell r="J1103" t="e">
            <v>#N/A</v>
          </cell>
          <cell r="K1103">
            <v>75</v>
          </cell>
          <cell r="L1103">
            <v>40</v>
          </cell>
          <cell r="M1103" t="e">
            <v>#N/A</v>
          </cell>
          <cell r="N1103">
            <v>68</v>
          </cell>
          <cell r="O1103" t="e">
            <v>#N/A</v>
          </cell>
          <cell r="P1103" t="str">
            <v/>
          </cell>
          <cell r="Q1103" t="str">
            <v/>
          </cell>
          <cell r="R1103">
            <v>68</v>
          </cell>
        </row>
        <row r="1104">
          <cell r="A1104" t="str">
            <v/>
          </cell>
          <cell r="B1104" t="str">
            <v/>
          </cell>
          <cell r="C1104" t="str">
            <v>Future</v>
          </cell>
          <cell r="D1104" t="e">
            <v>#N/A</v>
          </cell>
          <cell r="E1104">
            <v>-73.923306308300482</v>
          </cell>
          <cell r="F1104">
            <v>87.637958513835187</v>
          </cell>
          <cell r="G1104">
            <v>12.242701596838778</v>
          </cell>
          <cell r="H1104">
            <v>12.242701596838778</v>
          </cell>
          <cell r="I1104" t="e">
            <v>#N/A</v>
          </cell>
          <cell r="J1104" t="e">
            <v>#N/A</v>
          </cell>
          <cell r="K1104">
            <v>75</v>
          </cell>
          <cell r="L1104">
            <v>40</v>
          </cell>
          <cell r="M1104" t="e">
            <v>#N/A</v>
          </cell>
          <cell r="N1104">
            <v>68</v>
          </cell>
          <cell r="O1104" t="e">
            <v>#N/A</v>
          </cell>
          <cell r="P1104" t="str">
            <v/>
          </cell>
          <cell r="Q1104" t="str">
            <v/>
          </cell>
          <cell r="R1104">
            <v>68</v>
          </cell>
        </row>
        <row r="1105">
          <cell r="A1105" t="str">
            <v/>
          </cell>
          <cell r="B1105" t="str">
            <v/>
          </cell>
          <cell r="C1105" t="str">
            <v>Future</v>
          </cell>
          <cell r="D1105" t="e">
            <v>#N/A</v>
          </cell>
          <cell r="E1105">
            <v>-74.176468316205614</v>
          </cell>
          <cell r="F1105">
            <v>87.681239193677087</v>
          </cell>
          <cell r="G1105">
            <v>12.147642355732058</v>
          </cell>
          <cell r="H1105">
            <v>12.147642355732058</v>
          </cell>
          <cell r="I1105" t="e">
            <v>#N/A</v>
          </cell>
          <cell r="J1105" t="e">
            <v>#N/A</v>
          </cell>
          <cell r="K1105">
            <v>75</v>
          </cell>
          <cell r="L1105">
            <v>40</v>
          </cell>
          <cell r="M1105" t="e">
            <v>#N/A</v>
          </cell>
          <cell r="N1105">
            <v>68</v>
          </cell>
          <cell r="O1105" t="e">
            <v>#N/A</v>
          </cell>
          <cell r="P1105" t="str">
            <v/>
          </cell>
          <cell r="Q1105" t="str">
            <v/>
          </cell>
          <cell r="R1105">
            <v>68</v>
          </cell>
        </row>
        <row r="1106">
          <cell r="A1106" t="str">
            <v/>
          </cell>
          <cell r="B1106" t="str">
            <v/>
          </cell>
          <cell r="C1106" t="str">
            <v>Future</v>
          </cell>
          <cell r="D1106" t="e">
            <v>#N/A</v>
          </cell>
          <cell r="E1106">
            <v>-74.429630324110747</v>
          </cell>
          <cell r="F1106">
            <v>87.724519873518986</v>
          </cell>
          <cell r="G1106">
            <v>12.052583114625339</v>
          </cell>
          <cell r="H1106">
            <v>12.052583114625339</v>
          </cell>
          <cell r="I1106" t="e">
            <v>#N/A</v>
          </cell>
          <cell r="J1106" t="e">
            <v>#N/A</v>
          </cell>
          <cell r="K1106">
            <v>75</v>
          </cell>
          <cell r="L1106">
            <v>40</v>
          </cell>
          <cell r="M1106" t="e">
            <v>#N/A</v>
          </cell>
          <cell r="N1106">
            <v>68</v>
          </cell>
          <cell r="O1106" t="e">
            <v>#N/A</v>
          </cell>
          <cell r="P1106" t="str">
            <v/>
          </cell>
          <cell r="Q1106" t="str">
            <v/>
          </cell>
          <cell r="R1106">
            <v>68</v>
          </cell>
        </row>
        <row r="1107">
          <cell r="A1107" t="str">
            <v/>
          </cell>
          <cell r="B1107" t="str">
            <v/>
          </cell>
          <cell r="C1107" t="str">
            <v>Future</v>
          </cell>
          <cell r="D1107" t="e">
            <v>#N/A</v>
          </cell>
          <cell r="E1107">
            <v>-74.682792332015879</v>
          </cell>
          <cell r="F1107">
            <v>87.767800553360885</v>
          </cell>
          <cell r="G1107">
            <v>11.957523873518619</v>
          </cell>
          <cell r="H1107">
            <v>11.957523873518619</v>
          </cell>
          <cell r="I1107" t="e">
            <v>#N/A</v>
          </cell>
          <cell r="J1107" t="e">
            <v>#N/A</v>
          </cell>
          <cell r="K1107">
            <v>75</v>
          </cell>
          <cell r="L1107">
            <v>40</v>
          </cell>
          <cell r="M1107" t="e">
            <v>#N/A</v>
          </cell>
          <cell r="N1107">
            <v>68</v>
          </cell>
          <cell r="O1107" t="e">
            <v>#N/A</v>
          </cell>
          <cell r="P1107" t="str">
            <v/>
          </cell>
          <cell r="Q1107" t="str">
            <v/>
          </cell>
          <cell r="R1107">
            <v>68</v>
          </cell>
        </row>
        <row r="1108">
          <cell r="A1108" t="str">
            <v/>
          </cell>
          <cell r="B1108" t="str">
            <v/>
          </cell>
          <cell r="C1108" t="str">
            <v>Future</v>
          </cell>
          <cell r="D1108" t="e">
            <v>#N/A</v>
          </cell>
          <cell r="E1108">
            <v>-74.935954339921011</v>
          </cell>
          <cell r="F1108">
            <v>87.811081233202785</v>
          </cell>
          <cell r="G1108">
            <v>11.8624646324119</v>
          </cell>
          <cell r="H1108">
            <v>11.8624646324119</v>
          </cell>
          <cell r="I1108" t="e">
            <v>#N/A</v>
          </cell>
          <cell r="J1108" t="e">
            <v>#N/A</v>
          </cell>
          <cell r="K1108">
            <v>75</v>
          </cell>
          <cell r="L1108">
            <v>40</v>
          </cell>
          <cell r="M1108" t="e">
            <v>#N/A</v>
          </cell>
          <cell r="N1108">
            <v>68</v>
          </cell>
          <cell r="O1108" t="e">
            <v>#N/A</v>
          </cell>
          <cell r="P1108" t="str">
            <v/>
          </cell>
          <cell r="Q1108" t="str">
            <v/>
          </cell>
          <cell r="R1108">
            <v>68</v>
          </cell>
        </row>
        <row r="1109">
          <cell r="A1109" t="str">
            <v/>
          </cell>
          <cell r="B1109" t="str">
            <v/>
          </cell>
          <cell r="C1109" t="str">
            <v>Future</v>
          </cell>
          <cell r="D1109" t="e">
            <v>#N/A</v>
          </cell>
          <cell r="E1109">
            <v>-75.189116347826143</v>
          </cell>
          <cell r="F1109">
            <v>87.854361913044684</v>
          </cell>
          <cell r="G1109">
            <v>11.76740539130518</v>
          </cell>
          <cell r="H1109">
            <v>11.76740539130518</v>
          </cell>
          <cell r="I1109" t="e">
            <v>#N/A</v>
          </cell>
          <cell r="J1109" t="e">
            <v>#N/A</v>
          </cell>
          <cell r="K1109">
            <v>75</v>
          </cell>
          <cell r="L1109">
            <v>40</v>
          </cell>
          <cell r="M1109" t="e">
            <v>#N/A</v>
          </cell>
          <cell r="N1109">
            <v>68</v>
          </cell>
          <cell r="O1109" t="e">
            <v>#N/A</v>
          </cell>
          <cell r="P1109" t="str">
            <v/>
          </cell>
          <cell r="Q1109" t="str">
            <v/>
          </cell>
          <cell r="R1109">
            <v>68</v>
          </cell>
        </row>
        <row r="1110">
          <cell r="A1110" t="str">
            <v/>
          </cell>
          <cell r="B1110" t="str">
            <v/>
          </cell>
          <cell r="C1110" t="str">
            <v>Future</v>
          </cell>
          <cell r="D1110" t="e">
            <v>#N/A</v>
          </cell>
          <cell r="E1110">
            <v>-75.442278355731275</v>
          </cell>
          <cell r="F1110">
            <v>87.897642592886584</v>
          </cell>
          <cell r="G1110">
            <v>11.672346150198461</v>
          </cell>
          <cell r="H1110">
            <v>11.672346150198461</v>
          </cell>
          <cell r="I1110" t="e">
            <v>#N/A</v>
          </cell>
          <cell r="J1110" t="e">
            <v>#N/A</v>
          </cell>
          <cell r="K1110">
            <v>75</v>
          </cell>
          <cell r="L1110">
            <v>40</v>
          </cell>
          <cell r="M1110" t="e">
            <v>#N/A</v>
          </cell>
          <cell r="N1110">
            <v>68</v>
          </cell>
          <cell r="O1110" t="e">
            <v>#N/A</v>
          </cell>
          <cell r="P1110" t="str">
            <v/>
          </cell>
          <cell r="Q1110" t="str">
            <v/>
          </cell>
          <cell r="R1110">
            <v>68</v>
          </cell>
        </row>
        <row r="1111">
          <cell r="A1111" t="str">
            <v/>
          </cell>
          <cell r="B1111" t="str">
            <v/>
          </cell>
          <cell r="C1111" t="str">
            <v>Future</v>
          </cell>
          <cell r="D1111" t="e">
            <v>#N/A</v>
          </cell>
          <cell r="E1111">
            <v>-75.695440363636408</v>
          </cell>
          <cell r="F1111">
            <v>87.940923272728483</v>
          </cell>
          <cell r="G1111">
            <v>11.577286909091741</v>
          </cell>
          <cell r="H1111">
            <v>11.577286909091741</v>
          </cell>
          <cell r="I1111" t="e">
            <v>#N/A</v>
          </cell>
          <cell r="J1111" t="e">
            <v>#N/A</v>
          </cell>
          <cell r="K1111">
            <v>75</v>
          </cell>
          <cell r="L1111">
            <v>40</v>
          </cell>
          <cell r="M1111" t="e">
            <v>#N/A</v>
          </cell>
          <cell r="N1111">
            <v>68</v>
          </cell>
          <cell r="O1111" t="e">
            <v>#N/A</v>
          </cell>
          <cell r="P1111" t="str">
            <v/>
          </cell>
          <cell r="Q1111" t="str">
            <v/>
          </cell>
          <cell r="R1111">
            <v>68</v>
          </cell>
        </row>
        <row r="1112">
          <cell r="A1112" t="str">
            <v/>
          </cell>
          <cell r="B1112" t="str">
            <v/>
          </cell>
          <cell r="C1112" t="str">
            <v>Future</v>
          </cell>
          <cell r="D1112" t="e">
            <v>#N/A</v>
          </cell>
          <cell r="E1112">
            <v>-75.94860237154154</v>
          </cell>
          <cell r="F1112">
            <v>87.984203952570383</v>
          </cell>
          <cell r="G1112">
            <v>11.482227667985022</v>
          </cell>
          <cell r="H1112">
            <v>11.482227667985022</v>
          </cell>
          <cell r="I1112" t="e">
            <v>#N/A</v>
          </cell>
          <cell r="J1112" t="e">
            <v>#N/A</v>
          </cell>
          <cell r="K1112">
            <v>75</v>
          </cell>
          <cell r="L1112">
            <v>40</v>
          </cell>
          <cell r="M1112" t="e">
            <v>#N/A</v>
          </cell>
          <cell r="N1112">
            <v>68</v>
          </cell>
          <cell r="O1112" t="e">
            <v>#N/A</v>
          </cell>
          <cell r="P1112" t="str">
            <v/>
          </cell>
          <cell r="Q1112" t="str">
            <v/>
          </cell>
          <cell r="R1112">
            <v>68</v>
          </cell>
        </row>
        <row r="1113">
          <cell r="A1113" t="str">
            <v/>
          </cell>
          <cell r="B1113" t="str">
            <v/>
          </cell>
          <cell r="C1113" t="str">
            <v>Future</v>
          </cell>
          <cell r="D1113" t="e">
            <v>#N/A</v>
          </cell>
          <cell r="E1113">
            <v>-76.201764379446672</v>
          </cell>
          <cell r="F1113">
            <v>88.027484632412282</v>
          </cell>
          <cell r="G1113">
            <v>11.387168426878302</v>
          </cell>
          <cell r="H1113">
            <v>11.387168426878302</v>
          </cell>
          <cell r="I1113" t="e">
            <v>#N/A</v>
          </cell>
          <cell r="J1113" t="e">
            <v>#N/A</v>
          </cell>
          <cell r="K1113">
            <v>75</v>
          </cell>
          <cell r="L1113">
            <v>40</v>
          </cell>
          <cell r="M1113" t="e">
            <v>#N/A</v>
          </cell>
          <cell r="N1113">
            <v>68</v>
          </cell>
          <cell r="O1113" t="e">
            <v>#N/A</v>
          </cell>
          <cell r="P1113" t="str">
            <v/>
          </cell>
          <cell r="Q1113" t="str">
            <v/>
          </cell>
          <cell r="R1113">
            <v>68</v>
          </cell>
        </row>
        <row r="1114">
          <cell r="A1114" t="str">
            <v/>
          </cell>
          <cell r="B1114" t="str">
            <v/>
          </cell>
          <cell r="C1114" t="str">
            <v>Future</v>
          </cell>
          <cell r="D1114" t="e">
            <v>#N/A</v>
          </cell>
          <cell r="E1114">
            <v>-76.454926387351804</v>
          </cell>
          <cell r="F1114">
            <v>88.070765312254181</v>
          </cell>
          <cell r="G1114">
            <v>11.292109185771583</v>
          </cell>
          <cell r="H1114">
            <v>11.292109185771583</v>
          </cell>
          <cell r="I1114" t="e">
            <v>#N/A</v>
          </cell>
          <cell r="J1114" t="e">
            <v>#N/A</v>
          </cell>
          <cell r="K1114">
            <v>75</v>
          </cell>
          <cell r="L1114">
            <v>40</v>
          </cell>
          <cell r="M1114" t="e">
            <v>#N/A</v>
          </cell>
          <cell r="N1114">
            <v>68</v>
          </cell>
          <cell r="O1114" t="e">
            <v>#N/A</v>
          </cell>
          <cell r="P1114" t="str">
            <v/>
          </cell>
          <cell r="Q1114" t="str">
            <v/>
          </cell>
          <cell r="R1114">
            <v>68</v>
          </cell>
        </row>
        <row r="1115">
          <cell r="A1115" t="str">
            <v/>
          </cell>
          <cell r="B1115" t="str">
            <v/>
          </cell>
          <cell r="C1115" t="str">
            <v>Future</v>
          </cell>
          <cell r="D1115" t="e">
            <v>#N/A</v>
          </cell>
          <cell r="E1115">
            <v>-76.708088395256937</v>
          </cell>
          <cell r="F1115">
            <v>88.114045992096081</v>
          </cell>
          <cell r="G1115">
            <v>11.197049944664863</v>
          </cell>
          <cell r="H1115">
            <v>11.197049944664863</v>
          </cell>
          <cell r="I1115" t="e">
            <v>#N/A</v>
          </cell>
          <cell r="J1115" t="e">
            <v>#N/A</v>
          </cell>
          <cell r="K1115">
            <v>75</v>
          </cell>
          <cell r="L1115">
            <v>40</v>
          </cell>
          <cell r="M1115" t="e">
            <v>#N/A</v>
          </cell>
          <cell r="N1115">
            <v>68</v>
          </cell>
          <cell r="O1115" t="e">
            <v>#N/A</v>
          </cell>
          <cell r="P1115" t="str">
            <v/>
          </cell>
          <cell r="Q1115" t="str">
            <v/>
          </cell>
          <cell r="R1115">
            <v>68</v>
          </cell>
        </row>
        <row r="1116">
          <cell r="A1116" t="str">
            <v/>
          </cell>
          <cell r="B1116" t="str">
            <v/>
          </cell>
          <cell r="C1116" t="str">
            <v>Future</v>
          </cell>
          <cell r="D1116" t="e">
            <v>#N/A</v>
          </cell>
          <cell r="E1116">
            <v>-76.961250403162069</v>
          </cell>
          <cell r="F1116">
            <v>88.15732667193798</v>
          </cell>
          <cell r="G1116">
            <v>11.101990703558144</v>
          </cell>
          <cell r="H1116">
            <v>11.101990703558144</v>
          </cell>
          <cell r="I1116" t="e">
            <v>#N/A</v>
          </cell>
          <cell r="J1116" t="e">
            <v>#N/A</v>
          </cell>
          <cell r="K1116">
            <v>75</v>
          </cell>
          <cell r="L1116">
            <v>40</v>
          </cell>
          <cell r="M1116" t="e">
            <v>#N/A</v>
          </cell>
          <cell r="N1116">
            <v>68</v>
          </cell>
          <cell r="O1116" t="e">
            <v>#N/A</v>
          </cell>
          <cell r="P1116" t="str">
            <v/>
          </cell>
          <cell r="Q1116" t="str">
            <v/>
          </cell>
          <cell r="R1116">
            <v>68</v>
          </cell>
        </row>
        <row r="1117">
          <cell r="A1117" t="str">
            <v/>
          </cell>
          <cell r="B1117" t="str">
            <v/>
          </cell>
          <cell r="C1117" t="str">
            <v>Future</v>
          </cell>
          <cell r="D1117" t="e">
            <v>#N/A</v>
          </cell>
          <cell r="E1117">
            <v>-77.214412411067201</v>
          </cell>
          <cell r="F1117">
            <v>88.20060735177988</v>
          </cell>
          <cell r="G1117">
            <v>11.006931462451425</v>
          </cell>
          <cell r="H1117">
            <v>11.006931462451425</v>
          </cell>
          <cell r="I1117" t="e">
            <v>#N/A</v>
          </cell>
          <cell r="J1117" t="e">
            <v>#N/A</v>
          </cell>
          <cell r="K1117">
            <v>75</v>
          </cell>
          <cell r="L1117">
            <v>40</v>
          </cell>
          <cell r="M1117" t="e">
            <v>#N/A</v>
          </cell>
          <cell r="N1117">
            <v>68</v>
          </cell>
          <cell r="O1117" t="e">
            <v>#N/A</v>
          </cell>
          <cell r="P1117" t="str">
            <v/>
          </cell>
          <cell r="Q1117" t="str">
            <v/>
          </cell>
          <cell r="R1117">
            <v>68</v>
          </cell>
        </row>
        <row r="1118">
          <cell r="A1118" t="str">
            <v/>
          </cell>
          <cell r="B1118" t="str">
            <v/>
          </cell>
          <cell r="C1118" t="str">
            <v>Future</v>
          </cell>
          <cell r="D1118" t="e">
            <v>#N/A</v>
          </cell>
          <cell r="E1118">
            <v>-77.467574418972333</v>
          </cell>
          <cell r="F1118">
            <v>88.243888031621779</v>
          </cell>
          <cell r="G1118">
            <v>10.911872221344705</v>
          </cell>
          <cell r="H1118">
            <v>10.911872221344705</v>
          </cell>
          <cell r="I1118" t="e">
            <v>#N/A</v>
          </cell>
          <cell r="J1118" t="e">
            <v>#N/A</v>
          </cell>
          <cell r="K1118">
            <v>75</v>
          </cell>
          <cell r="L1118">
            <v>40</v>
          </cell>
          <cell r="M1118" t="e">
            <v>#N/A</v>
          </cell>
          <cell r="N1118">
            <v>68</v>
          </cell>
          <cell r="O1118" t="e">
            <v>#N/A</v>
          </cell>
          <cell r="P1118" t="str">
            <v/>
          </cell>
          <cell r="Q1118" t="str">
            <v/>
          </cell>
          <cell r="R1118">
            <v>68</v>
          </cell>
        </row>
        <row r="1119">
          <cell r="A1119" t="str">
            <v/>
          </cell>
          <cell r="B1119" t="str">
            <v/>
          </cell>
          <cell r="C1119" t="str">
            <v>Future</v>
          </cell>
          <cell r="D1119" t="e">
            <v>#N/A</v>
          </cell>
          <cell r="E1119">
            <v>-77.720736426877465</v>
          </cell>
          <cell r="F1119">
            <v>88.287168711463679</v>
          </cell>
          <cell r="G1119">
            <v>10.816812980237986</v>
          </cell>
          <cell r="H1119">
            <v>10.816812980237986</v>
          </cell>
          <cell r="I1119" t="e">
            <v>#N/A</v>
          </cell>
          <cell r="J1119" t="e">
            <v>#N/A</v>
          </cell>
          <cell r="K1119">
            <v>75</v>
          </cell>
          <cell r="L1119">
            <v>40</v>
          </cell>
          <cell r="M1119" t="e">
            <v>#N/A</v>
          </cell>
          <cell r="N1119">
            <v>68</v>
          </cell>
          <cell r="O1119" t="e">
            <v>#N/A</v>
          </cell>
          <cell r="P1119" t="str">
            <v/>
          </cell>
          <cell r="Q1119" t="str">
            <v/>
          </cell>
          <cell r="R1119">
            <v>68</v>
          </cell>
        </row>
        <row r="1120">
          <cell r="A1120" t="str">
            <v/>
          </cell>
          <cell r="B1120" t="str">
            <v/>
          </cell>
          <cell r="C1120" t="str">
            <v>Future</v>
          </cell>
          <cell r="D1120" t="e">
            <v>#N/A</v>
          </cell>
          <cell r="E1120">
            <v>-77.973898434782598</v>
          </cell>
          <cell r="F1120">
            <v>88.330449391305578</v>
          </cell>
          <cell r="G1120">
            <v>10.721753739131266</v>
          </cell>
          <cell r="H1120">
            <v>10.721753739131266</v>
          </cell>
          <cell r="I1120" t="e">
            <v>#N/A</v>
          </cell>
          <cell r="J1120" t="e">
            <v>#N/A</v>
          </cell>
          <cell r="K1120">
            <v>75</v>
          </cell>
          <cell r="L1120">
            <v>40</v>
          </cell>
          <cell r="M1120" t="e">
            <v>#N/A</v>
          </cell>
          <cell r="N1120">
            <v>68</v>
          </cell>
          <cell r="O1120" t="e">
            <v>#N/A</v>
          </cell>
          <cell r="P1120" t="str">
            <v/>
          </cell>
          <cell r="Q1120" t="str">
            <v/>
          </cell>
          <cell r="R1120">
            <v>68</v>
          </cell>
        </row>
        <row r="1121">
          <cell r="A1121" t="str">
            <v/>
          </cell>
          <cell r="B1121" t="str">
            <v/>
          </cell>
          <cell r="C1121" t="str">
            <v>Future</v>
          </cell>
          <cell r="D1121" t="e">
            <v>#N/A</v>
          </cell>
          <cell r="E1121">
            <v>-78.22706044268773</v>
          </cell>
          <cell r="F1121">
            <v>88.373730071147477</v>
          </cell>
          <cell r="G1121">
            <v>10.626694498024547</v>
          </cell>
          <cell r="H1121">
            <v>10.626694498024547</v>
          </cell>
          <cell r="I1121" t="e">
            <v>#N/A</v>
          </cell>
          <cell r="J1121" t="e">
            <v>#N/A</v>
          </cell>
          <cell r="K1121">
            <v>75</v>
          </cell>
          <cell r="L1121">
            <v>40</v>
          </cell>
          <cell r="M1121" t="e">
            <v>#N/A</v>
          </cell>
          <cell r="N1121">
            <v>68</v>
          </cell>
          <cell r="O1121" t="e">
            <v>#N/A</v>
          </cell>
          <cell r="P1121" t="str">
            <v/>
          </cell>
          <cell r="Q1121" t="str">
            <v/>
          </cell>
          <cell r="R1121">
            <v>68</v>
          </cell>
        </row>
        <row r="1122">
          <cell r="A1122" t="str">
            <v/>
          </cell>
          <cell r="B1122" t="str">
            <v/>
          </cell>
          <cell r="C1122" t="str">
            <v>Future</v>
          </cell>
          <cell r="D1122" t="e">
            <v>#N/A</v>
          </cell>
          <cell r="E1122">
            <v>-78.480222450592862</v>
          </cell>
          <cell r="F1122">
            <v>88.417010750989377</v>
          </cell>
          <cell r="G1122">
            <v>10.531635256917827</v>
          </cell>
          <cell r="H1122">
            <v>10.531635256917827</v>
          </cell>
          <cell r="I1122" t="e">
            <v>#N/A</v>
          </cell>
          <cell r="J1122" t="e">
            <v>#N/A</v>
          </cell>
          <cell r="K1122">
            <v>75</v>
          </cell>
          <cell r="L1122">
            <v>40</v>
          </cell>
          <cell r="M1122" t="e">
            <v>#N/A</v>
          </cell>
          <cell r="N1122">
            <v>68</v>
          </cell>
          <cell r="O1122" t="e">
            <v>#N/A</v>
          </cell>
          <cell r="P1122" t="str">
            <v/>
          </cell>
          <cell r="Q1122" t="str">
            <v/>
          </cell>
          <cell r="R1122">
            <v>68</v>
          </cell>
        </row>
        <row r="1123">
          <cell r="A1123" t="str">
            <v/>
          </cell>
          <cell r="B1123" t="str">
            <v/>
          </cell>
          <cell r="C1123" t="str">
            <v>Future</v>
          </cell>
          <cell r="D1123" t="e">
            <v>#N/A</v>
          </cell>
          <cell r="E1123">
            <v>-78.733384458497994</v>
          </cell>
          <cell r="F1123">
            <v>88.460291430831276</v>
          </cell>
          <cell r="G1123">
            <v>10.436576015811108</v>
          </cell>
          <cell r="H1123">
            <v>10.436576015811108</v>
          </cell>
          <cell r="I1123" t="e">
            <v>#N/A</v>
          </cell>
          <cell r="J1123" t="e">
            <v>#N/A</v>
          </cell>
          <cell r="K1123">
            <v>75</v>
          </cell>
          <cell r="L1123">
            <v>40</v>
          </cell>
          <cell r="M1123" t="e">
            <v>#N/A</v>
          </cell>
          <cell r="N1123">
            <v>68</v>
          </cell>
          <cell r="O1123" t="e">
            <v>#N/A</v>
          </cell>
          <cell r="P1123" t="str">
            <v/>
          </cell>
          <cell r="Q1123" t="str">
            <v/>
          </cell>
          <cell r="R1123">
            <v>68</v>
          </cell>
        </row>
        <row r="1124">
          <cell r="A1124" t="str">
            <v/>
          </cell>
          <cell r="B1124" t="str">
            <v/>
          </cell>
          <cell r="C1124" t="str">
            <v>Future</v>
          </cell>
          <cell r="D1124" t="e">
            <v>#N/A</v>
          </cell>
          <cell r="E1124">
            <v>-78.986546466403126</v>
          </cell>
          <cell r="F1124">
            <v>88.503572110673176</v>
          </cell>
          <cell r="G1124">
            <v>10.341516774704388</v>
          </cell>
          <cell r="H1124">
            <v>10.341516774704388</v>
          </cell>
          <cell r="I1124" t="e">
            <v>#N/A</v>
          </cell>
          <cell r="J1124" t="e">
            <v>#N/A</v>
          </cell>
          <cell r="K1124">
            <v>75</v>
          </cell>
          <cell r="L1124">
            <v>40</v>
          </cell>
          <cell r="M1124" t="e">
            <v>#N/A</v>
          </cell>
          <cell r="N1124">
            <v>68</v>
          </cell>
          <cell r="O1124" t="e">
            <v>#N/A</v>
          </cell>
          <cell r="P1124" t="str">
            <v/>
          </cell>
          <cell r="Q1124" t="str">
            <v/>
          </cell>
          <cell r="R1124">
            <v>68</v>
          </cell>
        </row>
        <row r="1125">
          <cell r="A1125" t="str">
            <v/>
          </cell>
          <cell r="B1125" t="str">
            <v/>
          </cell>
          <cell r="C1125" t="str">
            <v>Future</v>
          </cell>
          <cell r="D1125" t="e">
            <v>#N/A</v>
          </cell>
          <cell r="E1125">
            <v>-79.239708474308259</v>
          </cell>
          <cell r="F1125">
            <v>88.546852790515075</v>
          </cell>
          <cell r="G1125">
            <v>10.246457533597669</v>
          </cell>
          <cell r="H1125">
            <v>10.246457533597669</v>
          </cell>
          <cell r="I1125" t="e">
            <v>#N/A</v>
          </cell>
          <cell r="J1125" t="e">
            <v>#N/A</v>
          </cell>
          <cell r="K1125">
            <v>75</v>
          </cell>
          <cell r="L1125">
            <v>40</v>
          </cell>
          <cell r="M1125" t="e">
            <v>#N/A</v>
          </cell>
          <cell r="N1125">
            <v>68</v>
          </cell>
          <cell r="O1125" t="e">
            <v>#N/A</v>
          </cell>
          <cell r="P1125" t="str">
            <v/>
          </cell>
          <cell r="Q1125" t="str">
            <v/>
          </cell>
          <cell r="R1125">
            <v>68</v>
          </cell>
        </row>
        <row r="1126">
          <cell r="A1126" t="str">
            <v/>
          </cell>
          <cell r="B1126" t="str">
            <v/>
          </cell>
          <cell r="C1126" t="str">
            <v>Future</v>
          </cell>
          <cell r="D1126" t="e">
            <v>#N/A</v>
          </cell>
          <cell r="E1126">
            <v>-79.492870482213391</v>
          </cell>
          <cell r="F1126">
            <v>88.590133470356974</v>
          </cell>
          <cell r="G1126">
            <v>10.151398292490949</v>
          </cell>
          <cell r="H1126">
            <v>10.151398292490949</v>
          </cell>
          <cell r="I1126" t="e">
            <v>#N/A</v>
          </cell>
          <cell r="J1126" t="e">
            <v>#N/A</v>
          </cell>
          <cell r="K1126">
            <v>75</v>
          </cell>
          <cell r="L1126">
            <v>40</v>
          </cell>
          <cell r="M1126" t="e">
            <v>#N/A</v>
          </cell>
          <cell r="N1126">
            <v>68</v>
          </cell>
          <cell r="O1126" t="e">
            <v>#N/A</v>
          </cell>
          <cell r="P1126" t="str">
            <v/>
          </cell>
          <cell r="Q1126" t="str">
            <v/>
          </cell>
          <cell r="R1126">
            <v>68</v>
          </cell>
        </row>
        <row r="1127">
          <cell r="A1127" t="str">
            <v/>
          </cell>
          <cell r="B1127" t="str">
            <v/>
          </cell>
          <cell r="C1127" t="str">
            <v>Future</v>
          </cell>
          <cell r="D1127" t="e">
            <v>#N/A</v>
          </cell>
          <cell r="E1127">
            <v>-79.746032490118523</v>
          </cell>
          <cell r="F1127">
            <v>88.633414150198874</v>
          </cell>
          <cell r="G1127">
            <v>10.05633905138423</v>
          </cell>
          <cell r="H1127">
            <v>10.05633905138423</v>
          </cell>
          <cell r="I1127" t="e">
            <v>#N/A</v>
          </cell>
          <cell r="J1127" t="e">
            <v>#N/A</v>
          </cell>
          <cell r="K1127">
            <v>75</v>
          </cell>
          <cell r="L1127">
            <v>40</v>
          </cell>
          <cell r="M1127" t="e">
            <v>#N/A</v>
          </cell>
          <cell r="N1127">
            <v>68</v>
          </cell>
          <cell r="O1127" t="e">
            <v>#N/A</v>
          </cell>
          <cell r="P1127" t="str">
            <v/>
          </cell>
          <cell r="Q1127" t="str">
            <v/>
          </cell>
          <cell r="R1127">
            <v>68</v>
          </cell>
        </row>
        <row r="1128">
          <cell r="A1128" t="str">
            <v/>
          </cell>
          <cell r="B1128" t="str">
            <v/>
          </cell>
          <cell r="C1128" t="str">
            <v>Future</v>
          </cell>
          <cell r="D1128" t="e">
            <v>#N/A</v>
          </cell>
          <cell r="E1128">
            <v>-79.999194498023655</v>
          </cell>
          <cell r="F1128">
            <v>88.676694830040773</v>
          </cell>
          <cell r="G1128">
            <v>9.9612798102775102</v>
          </cell>
          <cell r="H1128">
            <v>9.9612798102775102</v>
          </cell>
          <cell r="I1128" t="e">
            <v>#N/A</v>
          </cell>
          <cell r="J1128" t="e">
            <v>#N/A</v>
          </cell>
          <cell r="K1128">
            <v>75</v>
          </cell>
          <cell r="L1128">
            <v>40</v>
          </cell>
          <cell r="M1128" t="e">
            <v>#N/A</v>
          </cell>
          <cell r="N1128">
            <v>68</v>
          </cell>
          <cell r="O1128" t="e">
            <v>#N/A</v>
          </cell>
          <cell r="P1128" t="str">
            <v/>
          </cell>
          <cell r="Q1128" t="str">
            <v/>
          </cell>
          <cell r="R1128">
            <v>68</v>
          </cell>
        </row>
        <row r="1129">
          <cell r="A1129" t="str">
            <v/>
          </cell>
          <cell r="B1129" t="str">
            <v/>
          </cell>
          <cell r="C1129" t="str">
            <v>Future</v>
          </cell>
          <cell r="D1129" t="e">
            <v>#N/A</v>
          </cell>
          <cell r="E1129">
            <v>-80.252356505928788</v>
          </cell>
          <cell r="F1129">
            <v>88.719975509882673</v>
          </cell>
          <cell r="G1129">
            <v>9.8662205691707907</v>
          </cell>
          <cell r="H1129">
            <v>9.8662205691707907</v>
          </cell>
          <cell r="I1129" t="e">
            <v>#N/A</v>
          </cell>
          <cell r="J1129" t="e">
            <v>#N/A</v>
          </cell>
          <cell r="K1129">
            <v>75</v>
          </cell>
          <cell r="L1129">
            <v>40</v>
          </cell>
          <cell r="M1129" t="e">
            <v>#N/A</v>
          </cell>
          <cell r="N1129">
            <v>68</v>
          </cell>
          <cell r="O1129" t="e">
            <v>#N/A</v>
          </cell>
          <cell r="P1129" t="str">
            <v/>
          </cell>
          <cell r="Q1129" t="str">
            <v/>
          </cell>
          <cell r="R1129">
            <v>68</v>
          </cell>
        </row>
        <row r="1130">
          <cell r="A1130" t="str">
            <v/>
          </cell>
          <cell r="B1130" t="str">
            <v/>
          </cell>
          <cell r="C1130" t="str">
            <v>Future</v>
          </cell>
          <cell r="D1130" t="e">
            <v>#N/A</v>
          </cell>
          <cell r="E1130">
            <v>-80.50551851383392</v>
          </cell>
          <cell r="F1130">
            <v>88.763256189724572</v>
          </cell>
          <cell r="G1130">
            <v>9.7711613280640712</v>
          </cell>
          <cell r="H1130">
            <v>9.7711613280640712</v>
          </cell>
          <cell r="I1130" t="e">
            <v>#N/A</v>
          </cell>
          <cell r="J1130" t="e">
            <v>#N/A</v>
          </cell>
          <cell r="K1130">
            <v>75</v>
          </cell>
          <cell r="L1130">
            <v>40</v>
          </cell>
          <cell r="M1130" t="e">
            <v>#N/A</v>
          </cell>
          <cell r="N1130">
            <v>68</v>
          </cell>
          <cell r="O1130" t="e">
            <v>#N/A</v>
          </cell>
          <cell r="P1130" t="str">
            <v/>
          </cell>
          <cell r="Q1130" t="str">
            <v/>
          </cell>
          <cell r="R1130">
            <v>68</v>
          </cell>
        </row>
        <row r="1131">
          <cell r="A1131" t="str">
            <v/>
          </cell>
          <cell r="B1131" t="str">
            <v/>
          </cell>
          <cell r="C1131" t="str">
            <v>Future</v>
          </cell>
          <cell r="D1131" t="e">
            <v>#N/A</v>
          </cell>
          <cell r="E1131">
            <v>-80.758680521739052</v>
          </cell>
          <cell r="F1131">
            <v>88.806536869566472</v>
          </cell>
          <cell r="G1131">
            <v>9.6761020869573517</v>
          </cell>
          <cell r="H1131">
            <v>9.6761020869573517</v>
          </cell>
          <cell r="I1131" t="e">
            <v>#N/A</v>
          </cell>
          <cell r="J1131" t="e">
            <v>#N/A</v>
          </cell>
          <cell r="K1131">
            <v>75</v>
          </cell>
          <cell r="L1131">
            <v>40</v>
          </cell>
          <cell r="M1131" t="e">
            <v>#N/A</v>
          </cell>
          <cell r="N1131">
            <v>68</v>
          </cell>
          <cell r="O1131" t="e">
            <v>#N/A</v>
          </cell>
          <cell r="P1131" t="str">
            <v/>
          </cell>
          <cell r="Q1131" t="str">
            <v/>
          </cell>
          <cell r="R1131">
            <v>68</v>
          </cell>
        </row>
        <row r="1132">
          <cell r="A1132" t="str">
            <v/>
          </cell>
          <cell r="B1132" t="str">
            <v/>
          </cell>
          <cell r="C1132" t="str">
            <v>Future</v>
          </cell>
          <cell r="D1132" t="e">
            <v>#N/A</v>
          </cell>
          <cell r="E1132">
            <v>-81.011842529644184</v>
          </cell>
          <cell r="F1132">
            <v>88.849817549408371</v>
          </cell>
          <cell r="G1132">
            <v>9.5810428458506323</v>
          </cell>
          <cell r="H1132">
            <v>9.5810428458506323</v>
          </cell>
          <cell r="I1132" t="e">
            <v>#N/A</v>
          </cell>
          <cell r="J1132" t="e">
            <v>#N/A</v>
          </cell>
          <cell r="K1132">
            <v>75</v>
          </cell>
          <cell r="L1132">
            <v>40</v>
          </cell>
          <cell r="M1132" t="e">
            <v>#N/A</v>
          </cell>
          <cell r="N1132">
            <v>68</v>
          </cell>
          <cell r="O1132" t="e">
            <v>#N/A</v>
          </cell>
          <cell r="P1132" t="str">
            <v/>
          </cell>
          <cell r="Q1132" t="str">
            <v/>
          </cell>
          <cell r="R1132">
            <v>68</v>
          </cell>
        </row>
        <row r="1133">
          <cell r="A1133" t="str">
            <v/>
          </cell>
          <cell r="B1133" t="str">
            <v/>
          </cell>
          <cell r="C1133" t="str">
            <v>Future</v>
          </cell>
          <cell r="D1133" t="e">
            <v>#N/A</v>
          </cell>
          <cell r="E1133">
            <v>-81.265004537549316</v>
          </cell>
          <cell r="F1133">
            <v>88.89309822925027</v>
          </cell>
          <cell r="G1133">
            <v>9.4859836047439128</v>
          </cell>
          <cell r="H1133">
            <v>9.4859836047439128</v>
          </cell>
          <cell r="I1133" t="e">
            <v>#N/A</v>
          </cell>
          <cell r="J1133" t="e">
            <v>#N/A</v>
          </cell>
          <cell r="K1133">
            <v>75</v>
          </cell>
          <cell r="L1133">
            <v>40</v>
          </cell>
          <cell r="M1133" t="e">
            <v>#N/A</v>
          </cell>
          <cell r="N1133">
            <v>68</v>
          </cell>
          <cell r="O1133" t="e">
            <v>#N/A</v>
          </cell>
          <cell r="P1133" t="str">
            <v/>
          </cell>
          <cell r="Q1133" t="str">
            <v/>
          </cell>
          <cell r="R1133">
            <v>68</v>
          </cell>
        </row>
        <row r="1134">
          <cell r="A1134" t="str">
            <v/>
          </cell>
          <cell r="B1134" t="str">
            <v/>
          </cell>
          <cell r="C1134" t="str">
            <v>Future</v>
          </cell>
          <cell r="D1134" t="e">
            <v>#N/A</v>
          </cell>
          <cell r="E1134">
            <v>-81.518166545454449</v>
          </cell>
          <cell r="F1134">
            <v>88.93637890909217</v>
          </cell>
          <cell r="G1134">
            <v>9.3909243636371933</v>
          </cell>
          <cell r="H1134">
            <v>9.3909243636371933</v>
          </cell>
          <cell r="I1134" t="e">
            <v>#N/A</v>
          </cell>
          <cell r="J1134" t="e">
            <v>#N/A</v>
          </cell>
          <cell r="K1134">
            <v>75</v>
          </cell>
          <cell r="L1134">
            <v>40</v>
          </cell>
          <cell r="M1134" t="e">
            <v>#N/A</v>
          </cell>
          <cell r="N1134">
            <v>68</v>
          </cell>
          <cell r="O1134" t="e">
            <v>#N/A</v>
          </cell>
          <cell r="P1134" t="str">
            <v/>
          </cell>
          <cell r="Q1134" t="str">
            <v/>
          </cell>
          <cell r="R1134">
            <v>68</v>
          </cell>
        </row>
        <row r="1135">
          <cell r="A1135" t="str">
            <v/>
          </cell>
          <cell r="B1135" t="str">
            <v/>
          </cell>
          <cell r="C1135" t="str">
            <v>Future</v>
          </cell>
          <cell r="D1135" t="e">
            <v>#N/A</v>
          </cell>
          <cell r="E1135">
            <v>-81.771328553359581</v>
          </cell>
          <cell r="F1135">
            <v>88.979659588934069</v>
          </cell>
          <cell r="G1135">
            <v>9.2958651225304738</v>
          </cell>
          <cell r="H1135">
            <v>9.2958651225304738</v>
          </cell>
          <cell r="I1135" t="e">
            <v>#N/A</v>
          </cell>
          <cell r="J1135" t="e">
            <v>#N/A</v>
          </cell>
          <cell r="K1135">
            <v>75</v>
          </cell>
          <cell r="L1135">
            <v>40</v>
          </cell>
          <cell r="M1135" t="e">
            <v>#N/A</v>
          </cell>
          <cell r="N1135">
            <v>68</v>
          </cell>
          <cell r="O1135" t="e">
            <v>#N/A</v>
          </cell>
          <cell r="P1135" t="str">
            <v/>
          </cell>
          <cell r="Q1135" t="str">
            <v/>
          </cell>
          <cell r="R1135">
            <v>68</v>
          </cell>
        </row>
        <row r="1136">
          <cell r="A1136" t="str">
            <v/>
          </cell>
          <cell r="B1136" t="str">
            <v/>
          </cell>
          <cell r="C1136" t="str">
            <v>Future</v>
          </cell>
          <cell r="D1136" t="e">
            <v>#N/A</v>
          </cell>
          <cell r="E1136">
            <v>-82.024490561264713</v>
          </cell>
          <cell r="F1136">
            <v>89.022940268775969</v>
          </cell>
          <cell r="G1136">
            <v>9.2008058814237543</v>
          </cell>
          <cell r="H1136">
            <v>9.2008058814237543</v>
          </cell>
          <cell r="I1136" t="e">
            <v>#N/A</v>
          </cell>
          <cell r="J1136" t="e">
            <v>#N/A</v>
          </cell>
          <cell r="K1136">
            <v>75</v>
          </cell>
          <cell r="L1136">
            <v>40</v>
          </cell>
          <cell r="M1136" t="e">
            <v>#N/A</v>
          </cell>
          <cell r="N1136">
            <v>68</v>
          </cell>
          <cell r="O1136" t="e">
            <v>#N/A</v>
          </cell>
          <cell r="P1136" t="str">
            <v/>
          </cell>
          <cell r="Q1136" t="str">
            <v/>
          </cell>
          <cell r="R1136">
            <v>68</v>
          </cell>
        </row>
        <row r="1137">
          <cell r="A1137" t="str">
            <v/>
          </cell>
          <cell r="B1137" t="str">
            <v/>
          </cell>
          <cell r="C1137" t="str">
            <v>Future</v>
          </cell>
          <cell r="D1137" t="e">
            <v>#N/A</v>
          </cell>
          <cell r="E1137">
            <v>-82.277652569169845</v>
          </cell>
          <cell r="F1137">
            <v>89.066220948617868</v>
          </cell>
          <cell r="G1137">
            <v>9.1057466403170348</v>
          </cell>
          <cell r="H1137">
            <v>9.1057466403170348</v>
          </cell>
          <cell r="I1137" t="e">
            <v>#N/A</v>
          </cell>
          <cell r="J1137" t="e">
            <v>#N/A</v>
          </cell>
          <cell r="K1137">
            <v>75</v>
          </cell>
          <cell r="L1137">
            <v>40</v>
          </cell>
          <cell r="M1137" t="e">
            <v>#N/A</v>
          </cell>
          <cell r="N1137">
            <v>68</v>
          </cell>
          <cell r="O1137" t="e">
            <v>#N/A</v>
          </cell>
          <cell r="P1137" t="str">
            <v/>
          </cell>
          <cell r="Q1137" t="str">
            <v/>
          </cell>
          <cell r="R1137">
            <v>68</v>
          </cell>
        </row>
        <row r="1138">
          <cell r="A1138" t="str">
            <v/>
          </cell>
          <cell r="B1138" t="str">
            <v/>
          </cell>
          <cell r="C1138" t="str">
            <v>Future</v>
          </cell>
          <cell r="D1138" t="e">
            <v>#N/A</v>
          </cell>
          <cell r="E1138">
            <v>-82.530814577074977</v>
          </cell>
          <cell r="F1138">
            <v>89.109501628459768</v>
          </cell>
          <cell r="G1138">
            <v>9.0106873992103154</v>
          </cell>
          <cell r="H1138">
            <v>9.0106873992103154</v>
          </cell>
          <cell r="I1138" t="e">
            <v>#N/A</v>
          </cell>
          <cell r="J1138" t="e">
            <v>#N/A</v>
          </cell>
          <cell r="K1138">
            <v>75</v>
          </cell>
          <cell r="L1138">
            <v>40</v>
          </cell>
          <cell r="M1138" t="e">
            <v>#N/A</v>
          </cell>
          <cell r="N1138">
            <v>68</v>
          </cell>
          <cell r="O1138" t="e">
            <v>#N/A</v>
          </cell>
          <cell r="P1138" t="str">
            <v/>
          </cell>
          <cell r="Q1138" t="str">
            <v/>
          </cell>
          <cell r="R1138">
            <v>68</v>
          </cell>
        </row>
        <row r="1139">
          <cell r="A1139" t="str">
            <v/>
          </cell>
          <cell r="B1139" t="str">
            <v/>
          </cell>
          <cell r="C1139" t="str">
            <v>Future</v>
          </cell>
          <cell r="D1139" t="e">
            <v>#N/A</v>
          </cell>
          <cell r="E1139">
            <v>-82.78397658498011</v>
          </cell>
          <cell r="F1139">
            <v>89.152782308301667</v>
          </cell>
          <cell r="G1139">
            <v>8.9156281581035959</v>
          </cell>
          <cell r="H1139">
            <v>8.9156281581035959</v>
          </cell>
          <cell r="I1139" t="e">
            <v>#N/A</v>
          </cell>
          <cell r="J1139" t="e">
            <v>#N/A</v>
          </cell>
          <cell r="K1139">
            <v>75</v>
          </cell>
          <cell r="L1139">
            <v>40</v>
          </cell>
          <cell r="M1139" t="e">
            <v>#N/A</v>
          </cell>
          <cell r="N1139">
            <v>68</v>
          </cell>
          <cell r="O1139" t="e">
            <v>#N/A</v>
          </cell>
          <cell r="P1139" t="str">
            <v/>
          </cell>
          <cell r="Q1139" t="str">
            <v/>
          </cell>
          <cell r="R1139">
            <v>68</v>
          </cell>
        </row>
        <row r="1140">
          <cell r="A1140" t="str">
            <v/>
          </cell>
          <cell r="B1140" t="str">
            <v/>
          </cell>
          <cell r="C1140" t="str">
            <v>Future</v>
          </cell>
          <cell r="D1140" t="e">
            <v>#N/A</v>
          </cell>
          <cell r="E1140">
            <v>-83.037138592885242</v>
          </cell>
          <cell r="F1140">
            <v>89.196062988143566</v>
          </cell>
          <cell r="G1140">
            <v>8.8205689169968764</v>
          </cell>
          <cell r="H1140">
            <v>8.8205689169968764</v>
          </cell>
          <cell r="I1140" t="e">
            <v>#N/A</v>
          </cell>
          <cell r="J1140" t="e">
            <v>#N/A</v>
          </cell>
          <cell r="K1140">
            <v>75</v>
          </cell>
          <cell r="L1140">
            <v>40</v>
          </cell>
          <cell r="M1140" t="e">
            <v>#N/A</v>
          </cell>
          <cell r="N1140">
            <v>68</v>
          </cell>
          <cell r="O1140" t="e">
            <v>#N/A</v>
          </cell>
          <cell r="P1140" t="str">
            <v/>
          </cell>
          <cell r="Q1140" t="str">
            <v/>
          </cell>
          <cell r="R1140">
            <v>68</v>
          </cell>
        </row>
        <row r="1141">
          <cell r="A1141" t="str">
            <v/>
          </cell>
          <cell r="B1141" t="str">
            <v/>
          </cell>
          <cell r="C1141" t="str">
            <v>Future</v>
          </cell>
          <cell r="D1141" t="e">
            <v>#N/A</v>
          </cell>
          <cell r="E1141">
            <v>-83.290300600790374</v>
          </cell>
          <cell r="F1141">
            <v>89.239343667985466</v>
          </cell>
          <cell r="G1141">
            <v>8.7255096758901569</v>
          </cell>
          <cell r="H1141">
            <v>8.7255096758901569</v>
          </cell>
          <cell r="I1141" t="e">
            <v>#N/A</v>
          </cell>
          <cell r="J1141" t="e">
            <v>#N/A</v>
          </cell>
          <cell r="K1141">
            <v>75</v>
          </cell>
          <cell r="L1141">
            <v>40</v>
          </cell>
          <cell r="M1141" t="e">
            <v>#N/A</v>
          </cell>
          <cell r="N1141">
            <v>68</v>
          </cell>
          <cell r="O1141" t="e">
            <v>#N/A</v>
          </cell>
          <cell r="P1141" t="str">
            <v/>
          </cell>
          <cell r="Q1141" t="str">
            <v/>
          </cell>
          <cell r="R1141">
            <v>68</v>
          </cell>
        </row>
        <row r="1142">
          <cell r="A1142" t="str">
            <v/>
          </cell>
          <cell r="B1142" t="str">
            <v/>
          </cell>
          <cell r="C1142" t="str">
            <v>Future</v>
          </cell>
          <cell r="D1142" t="e">
            <v>#N/A</v>
          </cell>
          <cell r="E1142">
            <v>-83.543462608695506</v>
          </cell>
          <cell r="F1142">
            <v>89.282624347827365</v>
          </cell>
          <cell r="G1142">
            <v>8.6304504347834374</v>
          </cell>
          <cell r="H1142">
            <v>8.6304504347834374</v>
          </cell>
          <cell r="I1142" t="e">
            <v>#N/A</v>
          </cell>
          <cell r="J1142" t="e">
            <v>#N/A</v>
          </cell>
          <cell r="K1142">
            <v>75</v>
          </cell>
          <cell r="L1142">
            <v>40</v>
          </cell>
          <cell r="M1142" t="e">
            <v>#N/A</v>
          </cell>
          <cell r="N1142">
            <v>68</v>
          </cell>
          <cell r="O1142" t="e">
            <v>#N/A</v>
          </cell>
          <cell r="P1142" t="str">
            <v/>
          </cell>
          <cell r="Q1142" t="str">
            <v/>
          </cell>
          <cell r="R1142">
            <v>68</v>
          </cell>
        </row>
        <row r="1143">
          <cell r="A1143" t="str">
            <v/>
          </cell>
          <cell r="B1143" t="str">
            <v/>
          </cell>
          <cell r="C1143" t="str">
            <v>Future</v>
          </cell>
          <cell r="D1143" t="e">
            <v>#N/A</v>
          </cell>
          <cell r="E1143">
            <v>-83.796624616600639</v>
          </cell>
          <cell r="F1143">
            <v>89.325905027669265</v>
          </cell>
          <cell r="G1143">
            <v>8.5353911936767179</v>
          </cell>
          <cell r="H1143">
            <v>8.5353911936767179</v>
          </cell>
          <cell r="I1143" t="e">
            <v>#N/A</v>
          </cell>
          <cell r="J1143" t="e">
            <v>#N/A</v>
          </cell>
          <cell r="K1143">
            <v>75</v>
          </cell>
          <cell r="L1143">
            <v>40</v>
          </cell>
          <cell r="M1143" t="e">
            <v>#N/A</v>
          </cell>
          <cell r="N1143">
            <v>68</v>
          </cell>
          <cell r="O1143" t="e">
            <v>#N/A</v>
          </cell>
          <cell r="P1143" t="str">
            <v/>
          </cell>
          <cell r="Q1143" t="str">
            <v/>
          </cell>
          <cell r="R1143">
            <v>68</v>
          </cell>
        </row>
        <row r="1144">
          <cell r="A1144" t="str">
            <v/>
          </cell>
          <cell r="B1144" t="str">
            <v/>
          </cell>
          <cell r="C1144" t="str">
            <v>Future</v>
          </cell>
          <cell r="D1144" t="e">
            <v>#N/A</v>
          </cell>
          <cell r="E1144">
            <v>-84.049786624505771</v>
          </cell>
          <cell r="F1144">
            <v>89.369185707511164</v>
          </cell>
          <cell r="G1144">
            <v>8.4403319525699985</v>
          </cell>
          <cell r="H1144">
            <v>8.4403319525699985</v>
          </cell>
          <cell r="I1144" t="e">
            <v>#N/A</v>
          </cell>
          <cell r="J1144" t="e">
            <v>#N/A</v>
          </cell>
          <cell r="K1144">
            <v>75</v>
          </cell>
          <cell r="L1144">
            <v>40</v>
          </cell>
          <cell r="M1144" t="e">
            <v>#N/A</v>
          </cell>
          <cell r="N1144">
            <v>68</v>
          </cell>
          <cell r="O1144" t="e">
            <v>#N/A</v>
          </cell>
          <cell r="P1144" t="str">
            <v/>
          </cell>
          <cell r="Q1144" t="str">
            <v/>
          </cell>
          <cell r="R1144">
            <v>68</v>
          </cell>
        </row>
        <row r="1145">
          <cell r="A1145" t="str">
            <v/>
          </cell>
          <cell r="B1145" t="str">
            <v/>
          </cell>
          <cell r="C1145" t="str">
            <v>Future</v>
          </cell>
          <cell r="D1145" t="e">
            <v>#N/A</v>
          </cell>
          <cell r="E1145">
            <v>-84.302948632410903</v>
          </cell>
          <cell r="F1145">
            <v>89.412466387353064</v>
          </cell>
          <cell r="G1145">
            <v>8.345272711463279</v>
          </cell>
          <cell r="H1145">
            <v>8.345272711463279</v>
          </cell>
          <cell r="I1145" t="e">
            <v>#N/A</v>
          </cell>
          <cell r="J1145" t="e">
            <v>#N/A</v>
          </cell>
          <cell r="K1145">
            <v>75</v>
          </cell>
          <cell r="L1145">
            <v>40</v>
          </cell>
          <cell r="M1145" t="e">
            <v>#N/A</v>
          </cell>
          <cell r="N1145">
            <v>68</v>
          </cell>
          <cell r="O1145" t="e">
            <v>#N/A</v>
          </cell>
          <cell r="P1145" t="str">
            <v/>
          </cell>
          <cell r="Q1145" t="str">
            <v/>
          </cell>
          <cell r="R1145">
            <v>68</v>
          </cell>
        </row>
        <row r="1146">
          <cell r="A1146" t="str">
            <v/>
          </cell>
          <cell r="B1146" t="str">
            <v/>
          </cell>
          <cell r="C1146" t="str">
            <v>Future</v>
          </cell>
          <cell r="D1146" t="e">
            <v>#N/A</v>
          </cell>
          <cell r="E1146">
            <v>-84.556110640316035</v>
          </cell>
          <cell r="F1146">
            <v>89.455747067194963</v>
          </cell>
          <cell r="G1146">
            <v>8.2502134703565595</v>
          </cell>
          <cell r="H1146">
            <v>8.2502134703565595</v>
          </cell>
          <cell r="I1146" t="e">
            <v>#N/A</v>
          </cell>
          <cell r="J1146" t="e">
            <v>#N/A</v>
          </cell>
          <cell r="K1146">
            <v>75</v>
          </cell>
          <cell r="L1146">
            <v>40</v>
          </cell>
          <cell r="M1146" t="e">
            <v>#N/A</v>
          </cell>
          <cell r="N1146">
            <v>68</v>
          </cell>
          <cell r="O1146" t="e">
            <v>#N/A</v>
          </cell>
          <cell r="P1146" t="str">
            <v/>
          </cell>
          <cell r="Q1146" t="str">
            <v/>
          </cell>
          <cell r="R1146">
            <v>68</v>
          </cell>
        </row>
        <row r="1147">
          <cell r="A1147" t="str">
            <v/>
          </cell>
          <cell r="B1147" t="str">
            <v/>
          </cell>
          <cell r="C1147" t="str">
            <v>Future</v>
          </cell>
          <cell r="D1147" t="e">
            <v>#N/A</v>
          </cell>
          <cell r="E1147">
            <v>-84.809272648221167</v>
          </cell>
          <cell r="F1147">
            <v>89.499027747036862</v>
          </cell>
          <cell r="G1147">
            <v>8.15515422924984</v>
          </cell>
          <cell r="H1147">
            <v>8.15515422924984</v>
          </cell>
          <cell r="I1147" t="e">
            <v>#N/A</v>
          </cell>
          <cell r="J1147" t="e">
            <v>#N/A</v>
          </cell>
          <cell r="K1147">
            <v>75</v>
          </cell>
          <cell r="L1147">
            <v>40</v>
          </cell>
          <cell r="M1147" t="e">
            <v>#N/A</v>
          </cell>
          <cell r="N1147">
            <v>68</v>
          </cell>
          <cell r="O1147" t="e">
            <v>#N/A</v>
          </cell>
          <cell r="P1147" t="str">
            <v/>
          </cell>
          <cell r="Q1147" t="str">
            <v/>
          </cell>
          <cell r="R1147">
            <v>68</v>
          </cell>
        </row>
        <row r="1148">
          <cell r="A1148" t="str">
            <v/>
          </cell>
          <cell r="B1148" t="str">
            <v/>
          </cell>
          <cell r="C1148" t="str">
            <v>Future</v>
          </cell>
          <cell r="D1148" t="e">
            <v>#N/A</v>
          </cell>
          <cell r="E1148">
            <v>-85.0624346561263</v>
          </cell>
          <cell r="F1148">
            <v>89.542308426878762</v>
          </cell>
          <cell r="G1148">
            <v>8.0600949881431205</v>
          </cell>
          <cell r="H1148">
            <v>8.0600949881431205</v>
          </cell>
          <cell r="I1148" t="e">
            <v>#N/A</v>
          </cell>
          <cell r="J1148" t="e">
            <v>#N/A</v>
          </cell>
          <cell r="K1148">
            <v>75</v>
          </cell>
          <cell r="L1148">
            <v>40</v>
          </cell>
          <cell r="M1148" t="e">
            <v>#N/A</v>
          </cell>
          <cell r="N1148">
            <v>68</v>
          </cell>
          <cell r="O1148" t="e">
            <v>#N/A</v>
          </cell>
          <cell r="P1148" t="str">
            <v/>
          </cell>
          <cell r="Q1148" t="str">
            <v/>
          </cell>
          <cell r="R1148">
            <v>68</v>
          </cell>
        </row>
        <row r="1149">
          <cell r="A1149" t="str">
            <v/>
          </cell>
          <cell r="B1149" t="str">
            <v/>
          </cell>
          <cell r="C1149" t="str">
            <v>Future</v>
          </cell>
          <cell r="D1149" t="e">
            <v>#N/A</v>
          </cell>
          <cell r="E1149">
            <v>-85.315596664031432</v>
          </cell>
          <cell r="F1149">
            <v>89.585589106720661</v>
          </cell>
          <cell r="G1149">
            <v>7.965035747036401</v>
          </cell>
          <cell r="H1149">
            <v>7.965035747036401</v>
          </cell>
          <cell r="I1149" t="e">
            <v>#N/A</v>
          </cell>
          <cell r="J1149" t="e">
            <v>#N/A</v>
          </cell>
          <cell r="K1149">
            <v>75</v>
          </cell>
          <cell r="L1149">
            <v>40</v>
          </cell>
          <cell r="M1149" t="e">
            <v>#N/A</v>
          </cell>
          <cell r="N1149">
            <v>68</v>
          </cell>
          <cell r="O1149" t="e">
            <v>#N/A</v>
          </cell>
          <cell r="P1149" t="str">
            <v/>
          </cell>
          <cell r="Q1149" t="str">
            <v/>
          </cell>
          <cell r="R1149">
            <v>68</v>
          </cell>
        </row>
        <row r="1150">
          <cell r="A1150" t="str">
            <v/>
          </cell>
          <cell r="B1150" t="str">
            <v/>
          </cell>
          <cell r="C1150" t="str">
            <v>Future</v>
          </cell>
          <cell r="D1150" t="e">
            <v>#N/A</v>
          </cell>
          <cell r="E1150">
            <v>-85.568758671936564</v>
          </cell>
          <cell r="F1150">
            <v>89.628869786562561</v>
          </cell>
          <cell r="G1150">
            <v>7.8699765059296816</v>
          </cell>
          <cell r="H1150">
            <v>7.8699765059296816</v>
          </cell>
          <cell r="I1150" t="e">
            <v>#N/A</v>
          </cell>
          <cell r="J1150" t="e">
            <v>#N/A</v>
          </cell>
          <cell r="K1150">
            <v>75</v>
          </cell>
          <cell r="L1150">
            <v>40</v>
          </cell>
          <cell r="M1150" t="e">
            <v>#N/A</v>
          </cell>
          <cell r="N1150">
            <v>68</v>
          </cell>
          <cell r="O1150" t="e">
            <v>#N/A</v>
          </cell>
          <cell r="P1150" t="str">
            <v/>
          </cell>
          <cell r="Q1150" t="str">
            <v/>
          </cell>
          <cell r="R1150">
            <v>68</v>
          </cell>
        </row>
        <row r="1151">
          <cell r="A1151" t="str">
            <v/>
          </cell>
          <cell r="B1151" t="str">
            <v/>
          </cell>
          <cell r="C1151" t="str">
            <v>Future</v>
          </cell>
          <cell r="D1151" t="e">
            <v>#N/A</v>
          </cell>
          <cell r="E1151">
            <v>-85.821920679841696</v>
          </cell>
          <cell r="F1151">
            <v>89.67215046640446</v>
          </cell>
          <cell r="G1151">
            <v>7.7749172648229621</v>
          </cell>
          <cell r="H1151">
            <v>7.7749172648229621</v>
          </cell>
          <cell r="I1151" t="e">
            <v>#N/A</v>
          </cell>
          <cell r="J1151" t="e">
            <v>#N/A</v>
          </cell>
          <cell r="K1151">
            <v>75</v>
          </cell>
          <cell r="L1151">
            <v>40</v>
          </cell>
          <cell r="M1151" t="e">
            <v>#N/A</v>
          </cell>
          <cell r="N1151">
            <v>68</v>
          </cell>
          <cell r="O1151" t="e">
            <v>#N/A</v>
          </cell>
          <cell r="P1151" t="str">
            <v/>
          </cell>
          <cell r="Q1151" t="str">
            <v/>
          </cell>
          <cell r="R1151">
            <v>68</v>
          </cell>
        </row>
        <row r="1152">
          <cell r="A1152" t="str">
            <v/>
          </cell>
          <cell r="B1152" t="str">
            <v/>
          </cell>
          <cell r="C1152" t="str">
            <v>Future</v>
          </cell>
          <cell r="D1152" t="e">
            <v>#N/A</v>
          </cell>
          <cell r="E1152">
            <v>-86.075082687746828</v>
          </cell>
          <cell r="F1152">
            <v>89.71543114624636</v>
          </cell>
          <cell r="G1152">
            <v>7.6798580237162426</v>
          </cell>
          <cell r="H1152">
            <v>7.6798580237162426</v>
          </cell>
          <cell r="I1152" t="e">
            <v>#N/A</v>
          </cell>
          <cell r="J1152" t="e">
            <v>#N/A</v>
          </cell>
          <cell r="K1152">
            <v>75</v>
          </cell>
          <cell r="L1152">
            <v>40</v>
          </cell>
          <cell r="M1152" t="e">
            <v>#N/A</v>
          </cell>
          <cell r="N1152">
            <v>68</v>
          </cell>
          <cell r="O1152" t="e">
            <v>#N/A</v>
          </cell>
          <cell r="P1152" t="str">
            <v/>
          </cell>
          <cell r="Q1152" t="str">
            <v/>
          </cell>
          <cell r="R1152">
            <v>68</v>
          </cell>
        </row>
        <row r="1153">
          <cell r="A1153" t="str">
            <v/>
          </cell>
          <cell r="B1153" t="str">
            <v/>
          </cell>
          <cell r="C1153" t="str">
            <v>Future</v>
          </cell>
          <cell r="D1153" t="e">
            <v>#N/A</v>
          </cell>
          <cell r="E1153">
            <v>-86.328244695651961</v>
          </cell>
          <cell r="F1153">
            <v>89.758711826088259</v>
          </cell>
          <cell r="G1153">
            <v>7.5847987826095231</v>
          </cell>
          <cell r="H1153">
            <v>7.5847987826095231</v>
          </cell>
          <cell r="I1153" t="e">
            <v>#N/A</v>
          </cell>
          <cell r="J1153" t="e">
            <v>#N/A</v>
          </cell>
          <cell r="K1153">
            <v>75</v>
          </cell>
          <cell r="L1153">
            <v>40</v>
          </cell>
          <cell r="M1153" t="e">
            <v>#N/A</v>
          </cell>
          <cell r="N1153">
            <v>68</v>
          </cell>
          <cell r="O1153" t="e">
            <v>#N/A</v>
          </cell>
          <cell r="P1153" t="str">
            <v/>
          </cell>
          <cell r="Q1153" t="str">
            <v/>
          </cell>
          <cell r="R1153">
            <v>68</v>
          </cell>
        </row>
        <row r="1154">
          <cell r="A1154" t="str">
            <v/>
          </cell>
          <cell r="B1154" t="str">
            <v/>
          </cell>
          <cell r="C1154" t="str">
            <v>Future</v>
          </cell>
          <cell r="D1154" t="e">
            <v>#N/A</v>
          </cell>
          <cell r="E1154">
            <v>-86.581406703557093</v>
          </cell>
          <cell r="F1154">
            <v>89.801992505930158</v>
          </cell>
          <cell r="G1154">
            <v>7.4897395415028036</v>
          </cell>
          <cell r="H1154">
            <v>7.4897395415028036</v>
          </cell>
          <cell r="I1154" t="e">
            <v>#N/A</v>
          </cell>
          <cell r="J1154" t="e">
            <v>#N/A</v>
          </cell>
          <cell r="K1154">
            <v>75</v>
          </cell>
          <cell r="L1154">
            <v>40</v>
          </cell>
          <cell r="M1154" t="e">
            <v>#N/A</v>
          </cell>
          <cell r="N1154">
            <v>68</v>
          </cell>
          <cell r="O1154" t="e">
            <v>#N/A</v>
          </cell>
          <cell r="P1154" t="str">
            <v/>
          </cell>
          <cell r="Q1154" t="str">
            <v/>
          </cell>
          <cell r="R1154">
            <v>68</v>
          </cell>
        </row>
        <row r="1155">
          <cell r="A1155" t="str">
            <v/>
          </cell>
          <cell r="B1155" t="str">
            <v/>
          </cell>
          <cell r="C1155" t="str">
            <v>Future</v>
          </cell>
          <cell r="D1155" t="e">
            <v>#N/A</v>
          </cell>
          <cell r="E1155">
            <v>-86.834568711462225</v>
          </cell>
          <cell r="F1155">
            <v>89.845273185772058</v>
          </cell>
          <cell r="G1155">
            <v>7.3946803003960841</v>
          </cell>
          <cell r="H1155">
            <v>7.3946803003960841</v>
          </cell>
          <cell r="I1155" t="e">
            <v>#N/A</v>
          </cell>
          <cell r="J1155" t="e">
            <v>#N/A</v>
          </cell>
          <cell r="K1155">
            <v>75</v>
          </cell>
          <cell r="L1155">
            <v>40</v>
          </cell>
          <cell r="M1155" t="e">
            <v>#N/A</v>
          </cell>
          <cell r="N1155">
            <v>68</v>
          </cell>
          <cell r="O1155" t="e">
            <v>#N/A</v>
          </cell>
          <cell r="P1155" t="str">
            <v/>
          </cell>
          <cell r="Q1155" t="str">
            <v/>
          </cell>
          <cell r="R1155">
            <v>68</v>
          </cell>
        </row>
        <row r="1156">
          <cell r="A1156" t="str">
            <v/>
          </cell>
          <cell r="B1156" t="str">
            <v/>
          </cell>
          <cell r="C1156" t="str">
            <v>Future</v>
          </cell>
          <cell r="D1156" t="e">
            <v>#N/A</v>
          </cell>
          <cell r="E1156">
            <v>-87.087730719367357</v>
          </cell>
          <cell r="F1156">
            <v>89.888553865613957</v>
          </cell>
          <cell r="G1156">
            <v>7.2996210592893647</v>
          </cell>
          <cell r="H1156">
            <v>7.2996210592893647</v>
          </cell>
          <cell r="I1156" t="e">
            <v>#N/A</v>
          </cell>
          <cell r="J1156" t="e">
            <v>#N/A</v>
          </cell>
          <cell r="K1156">
            <v>75</v>
          </cell>
          <cell r="L1156">
            <v>40</v>
          </cell>
          <cell r="M1156" t="e">
            <v>#N/A</v>
          </cell>
          <cell r="N1156">
            <v>68</v>
          </cell>
          <cell r="O1156" t="e">
            <v>#N/A</v>
          </cell>
          <cell r="P1156" t="str">
            <v/>
          </cell>
          <cell r="Q1156" t="str">
            <v/>
          </cell>
          <cell r="R1156">
            <v>68</v>
          </cell>
        </row>
        <row r="1157">
          <cell r="A1157" t="str">
            <v/>
          </cell>
          <cell r="B1157" t="str">
            <v/>
          </cell>
          <cell r="C1157" t="str">
            <v>Future</v>
          </cell>
          <cell r="D1157" t="e">
            <v>#N/A</v>
          </cell>
          <cell r="E1157">
            <v>-87.34089272727249</v>
          </cell>
          <cell r="F1157">
            <v>89.931834545455857</v>
          </cell>
          <cell r="G1157">
            <v>7.2045618181826452</v>
          </cell>
          <cell r="H1157">
            <v>7.2045618181826452</v>
          </cell>
          <cell r="I1157" t="e">
            <v>#N/A</v>
          </cell>
          <cell r="J1157" t="e">
            <v>#N/A</v>
          </cell>
          <cell r="K1157">
            <v>75</v>
          </cell>
          <cell r="L1157">
            <v>40</v>
          </cell>
          <cell r="M1157" t="e">
            <v>#N/A</v>
          </cell>
          <cell r="N1157">
            <v>68</v>
          </cell>
          <cell r="O1157" t="e">
            <v>#N/A</v>
          </cell>
          <cell r="P1157" t="str">
            <v/>
          </cell>
          <cell r="Q1157" t="str">
            <v/>
          </cell>
          <cell r="R1157">
            <v>68</v>
          </cell>
        </row>
        <row r="1158">
          <cell r="A1158" t="str">
            <v/>
          </cell>
          <cell r="B1158" t="str">
            <v/>
          </cell>
          <cell r="C1158" t="str">
            <v>Future</v>
          </cell>
          <cell r="D1158" t="e">
            <v>#N/A</v>
          </cell>
          <cell r="E1158">
            <v>-87.594054735177622</v>
          </cell>
          <cell r="F1158">
            <v>89.975115225297756</v>
          </cell>
          <cell r="G1158">
            <v>7.1095025770759257</v>
          </cell>
          <cell r="H1158">
            <v>7.1095025770759257</v>
          </cell>
          <cell r="I1158" t="e">
            <v>#N/A</v>
          </cell>
          <cell r="J1158" t="e">
            <v>#N/A</v>
          </cell>
          <cell r="K1158">
            <v>75</v>
          </cell>
          <cell r="L1158">
            <v>40</v>
          </cell>
          <cell r="M1158" t="e">
            <v>#N/A</v>
          </cell>
          <cell r="N1158">
            <v>68</v>
          </cell>
          <cell r="O1158" t="e">
            <v>#N/A</v>
          </cell>
          <cell r="P1158" t="str">
            <v/>
          </cell>
          <cell r="Q1158" t="str">
            <v/>
          </cell>
          <cell r="R1158">
            <v>68</v>
          </cell>
        </row>
        <row r="1159">
          <cell r="A1159" t="str">
            <v/>
          </cell>
          <cell r="B1159" t="str">
            <v/>
          </cell>
          <cell r="C1159" t="str">
            <v>Future</v>
          </cell>
          <cell r="D1159" t="e">
            <v>#N/A</v>
          </cell>
          <cell r="E1159">
            <v>-87.847216743082754</v>
          </cell>
          <cell r="F1159">
            <v>90.018395905139656</v>
          </cell>
          <cell r="G1159">
            <v>7.0144433359692062</v>
          </cell>
          <cell r="H1159">
            <v>7.0144433359692062</v>
          </cell>
          <cell r="I1159" t="e">
            <v>#N/A</v>
          </cell>
          <cell r="J1159" t="e">
            <v>#N/A</v>
          </cell>
          <cell r="K1159">
            <v>75</v>
          </cell>
          <cell r="L1159">
            <v>40</v>
          </cell>
          <cell r="M1159" t="e">
            <v>#N/A</v>
          </cell>
          <cell r="N1159">
            <v>68</v>
          </cell>
          <cell r="O1159" t="e">
            <v>#N/A</v>
          </cell>
          <cell r="P1159" t="str">
            <v/>
          </cell>
          <cell r="Q1159" t="str">
            <v/>
          </cell>
          <cell r="R1159">
            <v>68</v>
          </cell>
        </row>
        <row r="1160">
          <cell r="A1160" t="str">
            <v/>
          </cell>
          <cell r="B1160" t="str">
            <v/>
          </cell>
          <cell r="C1160" t="str">
            <v>Future</v>
          </cell>
          <cell r="D1160" t="e">
            <v>#N/A</v>
          </cell>
          <cell r="E1160">
            <v>-88.100378750987886</v>
          </cell>
          <cell r="F1160">
            <v>90.061676584981555</v>
          </cell>
          <cell r="G1160">
            <v>6.9193840948624867</v>
          </cell>
          <cell r="H1160">
            <v>6.9193840948624867</v>
          </cell>
          <cell r="I1160" t="e">
            <v>#N/A</v>
          </cell>
          <cell r="J1160" t="e">
            <v>#N/A</v>
          </cell>
          <cell r="K1160">
            <v>75</v>
          </cell>
          <cell r="L1160">
            <v>40</v>
          </cell>
          <cell r="M1160" t="e">
            <v>#N/A</v>
          </cell>
          <cell r="N1160">
            <v>68</v>
          </cell>
          <cell r="O1160" t="e">
            <v>#N/A</v>
          </cell>
          <cell r="P1160" t="str">
            <v/>
          </cell>
          <cell r="Q1160" t="str">
            <v/>
          </cell>
          <cell r="R1160">
            <v>68</v>
          </cell>
        </row>
        <row r="1161">
          <cell r="A1161" t="str">
            <v/>
          </cell>
          <cell r="B1161" t="str">
            <v/>
          </cell>
          <cell r="C1161" t="str">
            <v>Future</v>
          </cell>
          <cell r="D1161" t="e">
            <v>#N/A</v>
          </cell>
          <cell r="E1161">
            <v>-88.353540758893018</v>
          </cell>
          <cell r="F1161">
            <v>90.104957264823454</v>
          </cell>
          <cell r="G1161">
            <v>6.8243248537557673</v>
          </cell>
          <cell r="H1161">
            <v>6.8243248537557673</v>
          </cell>
          <cell r="I1161" t="e">
            <v>#N/A</v>
          </cell>
          <cell r="J1161" t="e">
            <v>#N/A</v>
          </cell>
          <cell r="K1161">
            <v>75</v>
          </cell>
          <cell r="L1161">
            <v>40</v>
          </cell>
          <cell r="M1161" t="e">
            <v>#N/A</v>
          </cell>
          <cell r="N1161">
            <v>68</v>
          </cell>
          <cell r="O1161" t="e">
            <v>#N/A</v>
          </cell>
          <cell r="P1161" t="str">
            <v/>
          </cell>
          <cell r="Q1161" t="str">
            <v/>
          </cell>
          <cell r="R1161">
            <v>68</v>
          </cell>
        </row>
        <row r="1162">
          <cell r="A1162" t="str">
            <v/>
          </cell>
          <cell r="B1162" t="str">
            <v/>
          </cell>
          <cell r="C1162" t="str">
            <v>Future</v>
          </cell>
          <cell r="D1162" t="e">
            <v>#N/A</v>
          </cell>
          <cell r="E1162">
            <v>-88.606702766798151</v>
          </cell>
          <cell r="F1162">
            <v>90.148237944665354</v>
          </cell>
          <cell r="G1162">
            <v>6.7292656126490478</v>
          </cell>
          <cell r="H1162">
            <v>6.7292656126490478</v>
          </cell>
          <cell r="I1162" t="e">
            <v>#N/A</v>
          </cell>
          <cell r="J1162" t="e">
            <v>#N/A</v>
          </cell>
          <cell r="K1162">
            <v>75</v>
          </cell>
          <cell r="L1162">
            <v>40</v>
          </cell>
          <cell r="M1162" t="e">
            <v>#N/A</v>
          </cell>
          <cell r="N1162">
            <v>68</v>
          </cell>
          <cell r="O1162" t="e">
            <v>#N/A</v>
          </cell>
          <cell r="P1162" t="str">
            <v/>
          </cell>
          <cell r="Q1162" t="str">
            <v/>
          </cell>
          <cell r="R1162">
            <v>68</v>
          </cell>
        </row>
        <row r="1163">
          <cell r="A1163" t="str">
            <v/>
          </cell>
          <cell r="B1163" t="str">
            <v/>
          </cell>
          <cell r="C1163" t="str">
            <v>Future</v>
          </cell>
          <cell r="D1163" t="e">
            <v>#N/A</v>
          </cell>
          <cell r="E1163">
            <v>-88.859864774703283</v>
          </cell>
          <cell r="F1163">
            <v>90.191518624507253</v>
          </cell>
          <cell r="G1163">
            <v>6.6342063715423283</v>
          </cell>
          <cell r="H1163">
            <v>6.6342063715423283</v>
          </cell>
          <cell r="I1163" t="e">
            <v>#N/A</v>
          </cell>
          <cell r="J1163" t="e">
            <v>#N/A</v>
          </cell>
          <cell r="K1163">
            <v>75</v>
          </cell>
          <cell r="L1163">
            <v>40</v>
          </cell>
          <cell r="M1163" t="e">
            <v>#N/A</v>
          </cell>
          <cell r="N1163">
            <v>68</v>
          </cell>
          <cell r="O1163" t="e">
            <v>#N/A</v>
          </cell>
          <cell r="P1163" t="str">
            <v/>
          </cell>
          <cell r="Q1163" t="str">
            <v/>
          </cell>
          <cell r="R1163">
            <v>68</v>
          </cell>
        </row>
        <row r="1164">
          <cell r="A1164" t="str">
            <v/>
          </cell>
          <cell r="B1164" t="str">
            <v/>
          </cell>
          <cell r="C1164" t="str">
            <v>Future</v>
          </cell>
          <cell r="D1164" t="e">
            <v>#N/A</v>
          </cell>
          <cell r="E1164">
            <v>-89.113026782608415</v>
          </cell>
          <cell r="F1164">
            <v>90.234799304349153</v>
          </cell>
          <cell r="G1164">
            <v>6.5391471304356088</v>
          </cell>
          <cell r="H1164">
            <v>6.5391471304356088</v>
          </cell>
          <cell r="I1164" t="e">
            <v>#N/A</v>
          </cell>
          <cell r="J1164" t="e">
            <v>#N/A</v>
          </cell>
          <cell r="K1164">
            <v>75</v>
          </cell>
          <cell r="L1164">
            <v>40</v>
          </cell>
          <cell r="M1164" t="e">
            <v>#N/A</v>
          </cell>
          <cell r="N1164">
            <v>68</v>
          </cell>
          <cell r="O1164" t="e">
            <v>#N/A</v>
          </cell>
          <cell r="P1164" t="str">
            <v/>
          </cell>
          <cell r="Q1164" t="str">
            <v/>
          </cell>
          <cell r="R1164">
            <v>68</v>
          </cell>
        </row>
        <row r="1165">
          <cell r="A1165" t="str">
            <v/>
          </cell>
          <cell r="B1165" t="str">
            <v/>
          </cell>
          <cell r="C1165" t="str">
            <v>Future</v>
          </cell>
          <cell r="D1165" t="e">
            <v>#N/A</v>
          </cell>
          <cell r="E1165">
            <v>-89.366188790513547</v>
          </cell>
          <cell r="F1165">
            <v>90.278079984191052</v>
          </cell>
          <cell r="G1165">
            <v>6.4440878893288893</v>
          </cell>
          <cell r="H1165">
            <v>6.4440878893288893</v>
          </cell>
          <cell r="I1165" t="e">
            <v>#N/A</v>
          </cell>
          <cell r="J1165" t="e">
            <v>#N/A</v>
          </cell>
          <cell r="K1165">
            <v>75</v>
          </cell>
          <cell r="L1165">
            <v>40</v>
          </cell>
          <cell r="M1165" t="e">
            <v>#N/A</v>
          </cell>
          <cell r="N1165">
            <v>68</v>
          </cell>
          <cell r="O1165" t="e">
            <v>#N/A</v>
          </cell>
          <cell r="P1165" t="str">
            <v/>
          </cell>
          <cell r="Q1165" t="str">
            <v/>
          </cell>
          <cell r="R1165">
            <v>68</v>
          </cell>
        </row>
        <row r="1166">
          <cell r="A1166" t="str">
            <v/>
          </cell>
          <cell r="B1166" t="str">
            <v/>
          </cell>
          <cell r="C1166" t="str">
            <v>Future</v>
          </cell>
          <cell r="D1166" t="e">
            <v>#N/A</v>
          </cell>
          <cell r="E1166">
            <v>-89.619350798418679</v>
          </cell>
          <cell r="F1166">
            <v>90.321360664032952</v>
          </cell>
          <cell r="G1166">
            <v>6.3490286482221698</v>
          </cell>
          <cell r="H1166">
            <v>6.3490286482221698</v>
          </cell>
          <cell r="I1166" t="e">
            <v>#N/A</v>
          </cell>
          <cell r="J1166" t="e">
            <v>#N/A</v>
          </cell>
          <cell r="K1166">
            <v>75</v>
          </cell>
          <cell r="L1166">
            <v>40</v>
          </cell>
          <cell r="M1166" t="e">
            <v>#N/A</v>
          </cell>
          <cell r="N1166">
            <v>68</v>
          </cell>
          <cell r="O1166" t="e">
            <v>#N/A</v>
          </cell>
          <cell r="P1166" t="str">
            <v/>
          </cell>
          <cell r="Q1166" t="str">
            <v/>
          </cell>
          <cell r="R1166">
            <v>68</v>
          </cell>
        </row>
        <row r="1167">
          <cell r="A1167" t="str">
            <v/>
          </cell>
          <cell r="B1167" t="str">
            <v/>
          </cell>
          <cell r="C1167" t="str">
            <v>Future</v>
          </cell>
          <cell r="D1167" t="e">
            <v>#N/A</v>
          </cell>
          <cell r="E1167">
            <v>-89.872512806323812</v>
          </cell>
          <cell r="F1167">
            <v>90.364641343874851</v>
          </cell>
          <cell r="G1167">
            <v>6.2539694071154504</v>
          </cell>
          <cell r="H1167">
            <v>6.2539694071154504</v>
          </cell>
          <cell r="I1167" t="e">
            <v>#N/A</v>
          </cell>
          <cell r="J1167" t="e">
            <v>#N/A</v>
          </cell>
          <cell r="K1167">
            <v>75</v>
          </cell>
          <cell r="L1167">
            <v>40</v>
          </cell>
          <cell r="M1167" t="e">
            <v>#N/A</v>
          </cell>
          <cell r="N1167">
            <v>68</v>
          </cell>
          <cell r="O1167" t="e">
            <v>#N/A</v>
          </cell>
          <cell r="P1167" t="str">
            <v/>
          </cell>
          <cell r="Q1167" t="str">
            <v/>
          </cell>
          <cell r="R1167">
            <v>68</v>
          </cell>
        </row>
        <row r="1168">
          <cell r="A1168" t="str">
            <v/>
          </cell>
          <cell r="B1168" t="str">
            <v/>
          </cell>
          <cell r="C1168" t="str">
            <v>Future</v>
          </cell>
          <cell r="D1168" t="e">
            <v>#N/A</v>
          </cell>
          <cell r="E1168">
            <v>-90.125674814228944</v>
          </cell>
          <cell r="F1168">
            <v>90.40792202371675</v>
          </cell>
          <cell r="G1168">
            <v>6.1589101660087309</v>
          </cell>
          <cell r="H1168">
            <v>6.1589101660087309</v>
          </cell>
          <cell r="I1168" t="e">
            <v>#N/A</v>
          </cell>
          <cell r="J1168" t="e">
            <v>#N/A</v>
          </cell>
          <cell r="K1168">
            <v>75</v>
          </cell>
          <cell r="L1168">
            <v>40</v>
          </cell>
          <cell r="M1168" t="e">
            <v>#N/A</v>
          </cell>
          <cell r="N1168">
            <v>68</v>
          </cell>
          <cell r="O1168" t="e">
            <v>#N/A</v>
          </cell>
          <cell r="P1168" t="str">
            <v/>
          </cell>
          <cell r="Q1168" t="str">
            <v/>
          </cell>
          <cell r="R1168">
            <v>68</v>
          </cell>
        </row>
        <row r="1169">
          <cell r="A1169" t="str">
            <v/>
          </cell>
          <cell r="B1169" t="str">
            <v/>
          </cell>
          <cell r="C1169" t="str">
            <v>Future</v>
          </cell>
          <cell r="D1169" t="e">
            <v>#N/A</v>
          </cell>
          <cell r="E1169">
            <v>-90.378836822134076</v>
          </cell>
          <cell r="F1169">
            <v>90.45120270355865</v>
          </cell>
          <cell r="G1169">
            <v>6.0638509249020114</v>
          </cell>
          <cell r="H1169">
            <v>6.0638509249020114</v>
          </cell>
          <cell r="I1169" t="e">
            <v>#N/A</v>
          </cell>
          <cell r="J1169" t="e">
            <v>#N/A</v>
          </cell>
          <cell r="K1169">
            <v>75</v>
          </cell>
          <cell r="L1169">
            <v>40</v>
          </cell>
          <cell r="M1169" t="e">
            <v>#N/A</v>
          </cell>
          <cell r="N1169">
            <v>68</v>
          </cell>
          <cell r="O1169" t="e">
            <v>#N/A</v>
          </cell>
          <cell r="P1169" t="str">
            <v/>
          </cell>
          <cell r="Q1169" t="str">
            <v/>
          </cell>
          <cell r="R1169">
            <v>68</v>
          </cell>
        </row>
        <row r="1170">
          <cell r="A1170" t="str">
            <v/>
          </cell>
          <cell r="B1170" t="str">
            <v/>
          </cell>
          <cell r="C1170" t="str">
            <v>Future</v>
          </cell>
          <cell r="D1170" t="e">
            <v>#N/A</v>
          </cell>
          <cell r="E1170">
            <v>-90.631998830039208</v>
          </cell>
          <cell r="F1170">
            <v>90.494483383400549</v>
          </cell>
          <cell r="G1170">
            <v>5.9687916837952919</v>
          </cell>
          <cell r="H1170">
            <v>5.9687916837952919</v>
          </cell>
          <cell r="I1170" t="e">
            <v>#N/A</v>
          </cell>
          <cell r="J1170" t="e">
            <v>#N/A</v>
          </cell>
          <cell r="K1170">
            <v>75</v>
          </cell>
          <cell r="L1170">
            <v>40</v>
          </cell>
          <cell r="M1170" t="e">
            <v>#N/A</v>
          </cell>
          <cell r="N1170">
            <v>68</v>
          </cell>
          <cell r="O1170" t="e">
            <v>#N/A</v>
          </cell>
          <cell r="P1170" t="str">
            <v/>
          </cell>
          <cell r="Q1170" t="str">
            <v/>
          </cell>
          <cell r="R1170">
            <v>68</v>
          </cell>
        </row>
        <row r="1171">
          <cell r="A1171" t="str">
            <v/>
          </cell>
          <cell r="B1171" t="str">
            <v/>
          </cell>
          <cell r="C1171" t="str">
            <v>Future</v>
          </cell>
          <cell r="D1171" t="e">
            <v>#N/A</v>
          </cell>
          <cell r="E1171">
            <v>-90.885160837944341</v>
          </cell>
          <cell r="F1171">
            <v>90.537764063242449</v>
          </cell>
          <cell r="G1171">
            <v>5.8737324426885724</v>
          </cell>
          <cell r="H1171">
            <v>5.8737324426885724</v>
          </cell>
          <cell r="I1171" t="e">
            <v>#N/A</v>
          </cell>
          <cell r="J1171" t="e">
            <v>#N/A</v>
          </cell>
          <cell r="K1171">
            <v>75</v>
          </cell>
          <cell r="L1171">
            <v>40</v>
          </cell>
          <cell r="M1171" t="e">
            <v>#N/A</v>
          </cell>
          <cell r="N1171">
            <v>68</v>
          </cell>
          <cell r="O1171" t="e">
            <v>#N/A</v>
          </cell>
          <cell r="P1171" t="str">
            <v/>
          </cell>
          <cell r="Q1171" t="str">
            <v/>
          </cell>
          <cell r="R1171">
            <v>68</v>
          </cell>
        </row>
        <row r="1172">
          <cell r="A1172" t="str">
            <v/>
          </cell>
          <cell r="B1172" t="str">
            <v/>
          </cell>
          <cell r="C1172" t="str">
            <v>Future</v>
          </cell>
          <cell r="D1172" t="e">
            <v>#N/A</v>
          </cell>
          <cell r="E1172">
            <v>-91.138322845849473</v>
          </cell>
          <cell r="F1172">
            <v>90.581044743084348</v>
          </cell>
          <cell r="G1172">
            <v>5.7786732015818529</v>
          </cell>
          <cell r="H1172">
            <v>5.7786732015818529</v>
          </cell>
          <cell r="I1172" t="e">
            <v>#N/A</v>
          </cell>
          <cell r="J1172" t="e">
            <v>#N/A</v>
          </cell>
          <cell r="K1172">
            <v>75</v>
          </cell>
          <cell r="L1172">
            <v>40</v>
          </cell>
          <cell r="M1172" t="e">
            <v>#N/A</v>
          </cell>
          <cell r="N1172">
            <v>68</v>
          </cell>
          <cell r="O1172" t="e">
            <v>#N/A</v>
          </cell>
          <cell r="P1172" t="str">
            <v/>
          </cell>
          <cell r="Q1172" t="str">
            <v/>
          </cell>
          <cell r="R1172">
            <v>68</v>
          </cell>
        </row>
        <row r="1173">
          <cell r="A1173" t="str">
            <v/>
          </cell>
          <cell r="B1173" t="str">
            <v/>
          </cell>
          <cell r="C1173" t="str">
            <v>Future</v>
          </cell>
          <cell r="D1173" t="e">
            <v>#N/A</v>
          </cell>
          <cell r="E1173">
            <v>-91.391484853754605</v>
          </cell>
          <cell r="F1173">
            <v>90.624325422926248</v>
          </cell>
          <cell r="G1173">
            <v>5.6836139604751335</v>
          </cell>
          <cell r="H1173">
            <v>5.6836139604751335</v>
          </cell>
          <cell r="I1173" t="e">
            <v>#N/A</v>
          </cell>
          <cell r="J1173" t="e">
            <v>#N/A</v>
          </cell>
          <cell r="K1173">
            <v>75</v>
          </cell>
          <cell r="L1173">
            <v>40</v>
          </cell>
          <cell r="M1173" t="e">
            <v>#N/A</v>
          </cell>
          <cell r="N1173">
            <v>68</v>
          </cell>
          <cell r="O1173" t="e">
            <v>#N/A</v>
          </cell>
          <cell r="P1173" t="str">
            <v/>
          </cell>
          <cell r="Q1173" t="str">
            <v/>
          </cell>
          <cell r="R1173">
            <v>68</v>
          </cell>
        </row>
        <row r="1174">
          <cell r="A1174" t="str">
            <v/>
          </cell>
          <cell r="B1174" t="str">
            <v/>
          </cell>
          <cell r="C1174" t="str">
            <v>Future</v>
          </cell>
          <cell r="D1174" t="e">
            <v>#N/A</v>
          </cell>
          <cell r="E1174">
            <v>-91.644646861659737</v>
          </cell>
          <cell r="F1174">
            <v>90.667606102768147</v>
          </cell>
          <cell r="G1174">
            <v>5.588554719368414</v>
          </cell>
          <cell r="H1174">
            <v>5.588554719368414</v>
          </cell>
          <cell r="I1174" t="e">
            <v>#N/A</v>
          </cell>
          <cell r="J1174" t="e">
            <v>#N/A</v>
          </cell>
          <cell r="K1174">
            <v>75</v>
          </cell>
          <cell r="L1174">
            <v>40</v>
          </cell>
          <cell r="M1174" t="e">
            <v>#N/A</v>
          </cell>
          <cell r="N1174">
            <v>68</v>
          </cell>
          <cell r="O1174" t="e">
            <v>#N/A</v>
          </cell>
          <cell r="P1174" t="str">
            <v/>
          </cell>
          <cell r="Q1174" t="str">
            <v/>
          </cell>
          <cell r="R1174">
            <v>68</v>
          </cell>
        </row>
        <row r="1175">
          <cell r="A1175" t="str">
            <v/>
          </cell>
          <cell r="B1175" t="str">
            <v/>
          </cell>
          <cell r="C1175" t="str">
            <v>Future</v>
          </cell>
          <cell r="D1175" t="e">
            <v>#N/A</v>
          </cell>
          <cell r="E1175">
            <v>-91.897808869564869</v>
          </cell>
          <cell r="F1175">
            <v>90.710886782610046</v>
          </cell>
          <cell r="G1175">
            <v>5.4934954782616945</v>
          </cell>
          <cell r="H1175">
            <v>5.4934954782616945</v>
          </cell>
          <cell r="I1175" t="e">
            <v>#N/A</v>
          </cell>
          <cell r="J1175" t="e">
            <v>#N/A</v>
          </cell>
          <cell r="K1175">
            <v>75</v>
          </cell>
          <cell r="L1175">
            <v>40</v>
          </cell>
          <cell r="M1175" t="e">
            <v>#N/A</v>
          </cell>
          <cell r="N1175">
            <v>68</v>
          </cell>
          <cell r="O1175" t="e">
            <v>#N/A</v>
          </cell>
          <cell r="P1175" t="str">
            <v/>
          </cell>
          <cell r="Q1175" t="str">
            <v/>
          </cell>
          <cell r="R1175">
            <v>68</v>
          </cell>
        </row>
        <row r="1176">
          <cell r="A1176" t="str">
            <v/>
          </cell>
          <cell r="B1176" t="str">
            <v/>
          </cell>
          <cell r="C1176" t="str">
            <v>Future</v>
          </cell>
          <cell r="D1176" t="e">
            <v>#N/A</v>
          </cell>
          <cell r="E1176">
            <v>-92.150970877470002</v>
          </cell>
          <cell r="F1176">
            <v>90.754167462451946</v>
          </cell>
          <cell r="G1176">
            <v>5.398436237154975</v>
          </cell>
          <cell r="H1176">
            <v>5.398436237154975</v>
          </cell>
          <cell r="I1176" t="e">
            <v>#N/A</v>
          </cell>
          <cell r="J1176" t="e">
            <v>#N/A</v>
          </cell>
          <cell r="K1176">
            <v>75</v>
          </cell>
          <cell r="L1176">
            <v>40</v>
          </cell>
          <cell r="M1176" t="e">
            <v>#N/A</v>
          </cell>
          <cell r="N1176">
            <v>68</v>
          </cell>
          <cell r="O1176" t="e">
            <v>#N/A</v>
          </cell>
          <cell r="P1176" t="str">
            <v/>
          </cell>
          <cell r="Q1176" t="str">
            <v/>
          </cell>
          <cell r="R1176">
            <v>68</v>
          </cell>
        </row>
        <row r="1177">
          <cell r="A1177" t="str">
            <v/>
          </cell>
          <cell r="B1177" t="str">
            <v/>
          </cell>
          <cell r="C1177" t="str">
            <v>Future</v>
          </cell>
          <cell r="D1177" t="e">
            <v>#N/A</v>
          </cell>
          <cell r="E1177">
            <v>-92.404132885375134</v>
          </cell>
          <cell r="F1177">
            <v>90.797448142293845</v>
          </cell>
          <cell r="G1177">
            <v>5.3033769960482555</v>
          </cell>
          <cell r="H1177">
            <v>5.3033769960482555</v>
          </cell>
          <cell r="I1177" t="e">
            <v>#N/A</v>
          </cell>
          <cell r="J1177" t="e">
            <v>#N/A</v>
          </cell>
          <cell r="K1177">
            <v>75</v>
          </cell>
          <cell r="L1177">
            <v>40</v>
          </cell>
          <cell r="M1177" t="e">
            <v>#N/A</v>
          </cell>
          <cell r="N1177">
            <v>68</v>
          </cell>
          <cell r="O1177" t="e">
            <v>#N/A</v>
          </cell>
          <cell r="P1177" t="str">
            <v/>
          </cell>
          <cell r="Q1177" t="str">
            <v/>
          </cell>
          <cell r="R1177">
            <v>68</v>
          </cell>
        </row>
        <row r="1178">
          <cell r="A1178" t="str">
            <v/>
          </cell>
          <cell r="B1178" t="str">
            <v/>
          </cell>
          <cell r="C1178" t="str">
            <v>Future</v>
          </cell>
          <cell r="D1178" t="e">
            <v>#N/A</v>
          </cell>
          <cell r="E1178">
            <v>-92.657294893280266</v>
          </cell>
          <cell r="F1178">
            <v>90.840728822135745</v>
          </cell>
          <cell r="G1178">
            <v>5.208317754941536</v>
          </cell>
          <cell r="H1178">
            <v>5.208317754941536</v>
          </cell>
          <cell r="I1178" t="e">
            <v>#N/A</v>
          </cell>
          <cell r="J1178" t="e">
            <v>#N/A</v>
          </cell>
          <cell r="K1178">
            <v>75</v>
          </cell>
          <cell r="L1178">
            <v>40</v>
          </cell>
          <cell r="M1178" t="e">
            <v>#N/A</v>
          </cell>
          <cell r="N1178">
            <v>68</v>
          </cell>
          <cell r="O1178" t="e">
            <v>#N/A</v>
          </cell>
          <cell r="P1178" t="str">
            <v/>
          </cell>
          <cell r="Q1178" t="str">
            <v/>
          </cell>
          <cell r="R1178">
            <v>68</v>
          </cell>
        </row>
        <row r="1179">
          <cell r="A1179" t="str">
            <v/>
          </cell>
          <cell r="B1179" t="str">
            <v/>
          </cell>
          <cell r="C1179" t="str">
            <v>Future</v>
          </cell>
          <cell r="D1179" t="e">
            <v>#N/A</v>
          </cell>
          <cell r="E1179">
            <v>-92.910456901185398</v>
          </cell>
          <cell r="F1179">
            <v>90.884009501977644</v>
          </cell>
          <cell r="G1179">
            <v>5.1132585138348166</v>
          </cell>
          <cell r="H1179">
            <v>5.1132585138348166</v>
          </cell>
          <cell r="I1179" t="e">
            <v>#N/A</v>
          </cell>
          <cell r="J1179" t="e">
            <v>#N/A</v>
          </cell>
          <cell r="K1179">
            <v>75</v>
          </cell>
          <cell r="L1179">
            <v>40</v>
          </cell>
          <cell r="M1179" t="e">
            <v>#N/A</v>
          </cell>
          <cell r="N1179">
            <v>68</v>
          </cell>
          <cell r="O1179" t="e">
            <v>#N/A</v>
          </cell>
          <cell r="P1179" t="str">
            <v/>
          </cell>
          <cell r="Q1179" t="str">
            <v/>
          </cell>
          <cell r="R1179">
            <v>68</v>
          </cell>
        </row>
        <row r="1180">
          <cell r="A1180" t="str">
            <v/>
          </cell>
          <cell r="B1180" t="str">
            <v/>
          </cell>
          <cell r="C1180" t="str">
            <v>Future</v>
          </cell>
          <cell r="D1180" t="e">
            <v>#N/A</v>
          </cell>
          <cell r="E1180">
            <v>-93.16361890909053</v>
          </cell>
          <cell r="F1180">
            <v>90.927290181819544</v>
          </cell>
          <cell r="G1180">
            <v>5.0181992727280971</v>
          </cell>
          <cell r="H1180">
            <v>5.0181992727280971</v>
          </cell>
          <cell r="I1180" t="e">
            <v>#N/A</v>
          </cell>
          <cell r="J1180" t="e">
            <v>#N/A</v>
          </cell>
          <cell r="K1180">
            <v>75</v>
          </cell>
          <cell r="L1180">
            <v>40</v>
          </cell>
          <cell r="M1180" t="e">
            <v>#N/A</v>
          </cell>
          <cell r="N1180">
            <v>68</v>
          </cell>
          <cell r="O1180" t="e">
            <v>#N/A</v>
          </cell>
          <cell r="P1180" t="str">
            <v/>
          </cell>
          <cell r="Q1180" t="str">
            <v/>
          </cell>
          <cell r="R1180">
            <v>68</v>
          </cell>
        </row>
        <row r="1181">
          <cell r="A1181" t="str">
            <v/>
          </cell>
          <cell r="B1181" t="str">
            <v/>
          </cell>
          <cell r="C1181" t="str">
            <v>Future</v>
          </cell>
          <cell r="D1181" t="e">
            <v>#N/A</v>
          </cell>
          <cell r="E1181">
            <v>-93.416780916995663</v>
          </cell>
          <cell r="F1181">
            <v>90.970570861661443</v>
          </cell>
          <cell r="G1181">
            <v>4.9231400316213776</v>
          </cell>
          <cell r="H1181">
            <v>4.9231400316213776</v>
          </cell>
          <cell r="I1181" t="e">
            <v>#N/A</v>
          </cell>
          <cell r="J1181" t="e">
            <v>#N/A</v>
          </cell>
          <cell r="K1181">
            <v>75</v>
          </cell>
          <cell r="L1181">
            <v>40</v>
          </cell>
          <cell r="M1181" t="e">
            <v>#N/A</v>
          </cell>
          <cell r="N1181">
            <v>68</v>
          </cell>
          <cell r="O1181" t="e">
            <v>#N/A</v>
          </cell>
          <cell r="P1181" t="str">
            <v/>
          </cell>
          <cell r="Q1181" t="str">
            <v/>
          </cell>
          <cell r="R1181">
            <v>68</v>
          </cell>
        </row>
        <row r="1182">
          <cell r="A1182" t="str">
            <v/>
          </cell>
          <cell r="B1182" t="str">
            <v/>
          </cell>
          <cell r="C1182" t="str">
            <v>Future</v>
          </cell>
          <cell r="D1182" t="e">
            <v>#N/A</v>
          </cell>
          <cell r="E1182">
            <v>-93.669942924900795</v>
          </cell>
          <cell r="F1182">
            <v>91.013851541503342</v>
          </cell>
          <cell r="G1182">
            <v>4.8280807905146581</v>
          </cell>
          <cell r="H1182">
            <v>4.8280807905146581</v>
          </cell>
          <cell r="I1182" t="e">
            <v>#N/A</v>
          </cell>
          <cell r="J1182" t="e">
            <v>#N/A</v>
          </cell>
          <cell r="K1182">
            <v>75</v>
          </cell>
          <cell r="L1182">
            <v>40</v>
          </cell>
          <cell r="M1182" t="e">
            <v>#N/A</v>
          </cell>
          <cell r="N1182">
            <v>68</v>
          </cell>
          <cell r="O1182" t="e">
            <v>#N/A</v>
          </cell>
          <cell r="P1182" t="str">
            <v/>
          </cell>
          <cell r="Q1182" t="str">
            <v/>
          </cell>
          <cell r="R1182">
            <v>68</v>
          </cell>
        </row>
        <row r="1183">
          <cell r="A1183" t="str">
            <v/>
          </cell>
          <cell r="B1183" t="str">
            <v/>
          </cell>
          <cell r="C1183" t="str">
            <v>Future</v>
          </cell>
          <cell r="D1183" t="e">
            <v>#N/A</v>
          </cell>
          <cell r="E1183">
            <v>-93.923104932805927</v>
          </cell>
          <cell r="F1183">
            <v>91.057132221345242</v>
          </cell>
          <cell r="G1183">
            <v>4.7330215494079386</v>
          </cell>
          <cell r="H1183">
            <v>4.7330215494079386</v>
          </cell>
          <cell r="I1183" t="e">
            <v>#N/A</v>
          </cell>
          <cell r="J1183" t="e">
            <v>#N/A</v>
          </cell>
          <cell r="K1183">
            <v>75</v>
          </cell>
          <cell r="L1183">
            <v>40</v>
          </cell>
          <cell r="M1183" t="e">
            <v>#N/A</v>
          </cell>
          <cell r="N1183">
            <v>68</v>
          </cell>
          <cell r="O1183" t="e">
            <v>#N/A</v>
          </cell>
          <cell r="P1183" t="str">
            <v/>
          </cell>
          <cell r="Q1183" t="str">
            <v/>
          </cell>
          <cell r="R1183">
            <v>68</v>
          </cell>
        </row>
        <row r="1184">
          <cell r="A1184" t="str">
            <v/>
          </cell>
          <cell r="B1184" t="str">
            <v/>
          </cell>
          <cell r="C1184" t="str">
            <v>Future</v>
          </cell>
          <cell r="D1184" t="e">
            <v>#N/A</v>
          </cell>
          <cell r="E1184">
            <v>-94.176266940711059</v>
          </cell>
          <cell r="F1184">
            <v>91.100412901187141</v>
          </cell>
          <cell r="G1184">
            <v>4.6379623083012191</v>
          </cell>
          <cell r="H1184">
            <v>4.6379623083012191</v>
          </cell>
          <cell r="I1184" t="e">
            <v>#N/A</v>
          </cell>
          <cell r="J1184" t="e">
            <v>#N/A</v>
          </cell>
          <cell r="K1184">
            <v>75</v>
          </cell>
          <cell r="L1184">
            <v>40</v>
          </cell>
          <cell r="M1184" t="e">
            <v>#N/A</v>
          </cell>
          <cell r="N1184">
            <v>68</v>
          </cell>
          <cell r="O1184" t="e">
            <v>#N/A</v>
          </cell>
          <cell r="P1184" t="str">
            <v/>
          </cell>
          <cell r="Q1184" t="str">
            <v/>
          </cell>
          <cell r="R1184">
            <v>68</v>
          </cell>
        </row>
        <row r="1185">
          <cell r="A1185" t="str">
            <v/>
          </cell>
          <cell r="B1185" t="str">
            <v/>
          </cell>
          <cell r="C1185" t="str">
            <v>Future</v>
          </cell>
          <cell r="D1185" t="e">
            <v>#N/A</v>
          </cell>
          <cell r="E1185">
            <v>-94.429428948616192</v>
          </cell>
          <cell r="F1185">
            <v>91.143693581029041</v>
          </cell>
          <cell r="G1185">
            <v>4.5429030671944997</v>
          </cell>
          <cell r="H1185">
            <v>4.5429030671944997</v>
          </cell>
          <cell r="I1185" t="e">
            <v>#N/A</v>
          </cell>
          <cell r="J1185" t="e">
            <v>#N/A</v>
          </cell>
          <cell r="K1185">
            <v>75</v>
          </cell>
          <cell r="L1185">
            <v>40</v>
          </cell>
          <cell r="M1185" t="e">
            <v>#N/A</v>
          </cell>
          <cell r="N1185">
            <v>68</v>
          </cell>
          <cell r="O1185" t="e">
            <v>#N/A</v>
          </cell>
          <cell r="P1185" t="str">
            <v/>
          </cell>
          <cell r="Q1185" t="str">
            <v/>
          </cell>
          <cell r="R1185">
            <v>68</v>
          </cell>
        </row>
        <row r="1186">
          <cell r="A1186" t="str">
            <v/>
          </cell>
          <cell r="B1186" t="str">
            <v/>
          </cell>
          <cell r="C1186" t="str">
            <v>Future</v>
          </cell>
          <cell r="D1186" t="e">
            <v>#N/A</v>
          </cell>
          <cell r="E1186">
            <v>-94.682590956521324</v>
          </cell>
          <cell r="F1186">
            <v>91.18697426087094</v>
          </cell>
          <cell r="G1186">
            <v>4.4478438260877802</v>
          </cell>
          <cell r="H1186">
            <v>4.4478438260877802</v>
          </cell>
          <cell r="I1186" t="e">
            <v>#N/A</v>
          </cell>
          <cell r="J1186" t="e">
            <v>#N/A</v>
          </cell>
          <cell r="K1186">
            <v>75</v>
          </cell>
          <cell r="L1186">
            <v>40</v>
          </cell>
          <cell r="M1186" t="e">
            <v>#N/A</v>
          </cell>
          <cell r="N1186">
            <v>68</v>
          </cell>
          <cell r="O1186" t="e">
            <v>#N/A</v>
          </cell>
          <cell r="P1186" t="str">
            <v/>
          </cell>
          <cell r="Q1186" t="str">
            <v/>
          </cell>
          <cell r="R1186">
            <v>68</v>
          </cell>
        </row>
        <row r="1187">
          <cell r="A1187" t="str">
            <v/>
          </cell>
          <cell r="B1187" t="str">
            <v/>
          </cell>
          <cell r="C1187" t="str">
            <v>Future</v>
          </cell>
          <cell r="D1187" t="e">
            <v>#N/A</v>
          </cell>
          <cell r="E1187">
            <v>-94.935752964426456</v>
          </cell>
          <cell r="F1187">
            <v>91.23025494071284</v>
          </cell>
          <cell r="G1187">
            <v>4.3527845849810607</v>
          </cell>
          <cell r="H1187">
            <v>4.3527845849810607</v>
          </cell>
          <cell r="I1187" t="e">
            <v>#N/A</v>
          </cell>
          <cell r="J1187" t="e">
            <v>#N/A</v>
          </cell>
          <cell r="K1187">
            <v>75</v>
          </cell>
          <cell r="L1187">
            <v>40</v>
          </cell>
          <cell r="M1187" t="e">
            <v>#N/A</v>
          </cell>
          <cell r="N1187">
            <v>68</v>
          </cell>
          <cell r="O1187" t="e">
            <v>#N/A</v>
          </cell>
          <cell r="P1187" t="str">
            <v/>
          </cell>
          <cell r="Q1187" t="str">
            <v/>
          </cell>
          <cell r="R1187">
            <v>68</v>
          </cell>
        </row>
        <row r="1188">
          <cell r="A1188" t="str">
            <v/>
          </cell>
          <cell r="B1188" t="str">
            <v/>
          </cell>
          <cell r="C1188" t="str">
            <v>Future</v>
          </cell>
          <cell r="D1188" t="e">
            <v>#N/A</v>
          </cell>
          <cell r="E1188">
            <v>-95.188914972331588</v>
          </cell>
          <cell r="F1188">
            <v>91.273535620554739</v>
          </cell>
          <cell r="G1188">
            <v>4.2577253438743412</v>
          </cell>
          <cell r="H1188">
            <v>4.2577253438743412</v>
          </cell>
          <cell r="I1188" t="e">
            <v>#N/A</v>
          </cell>
          <cell r="J1188" t="e">
            <v>#N/A</v>
          </cell>
          <cell r="K1188">
            <v>75</v>
          </cell>
          <cell r="L1188">
            <v>40</v>
          </cell>
          <cell r="M1188" t="e">
            <v>#N/A</v>
          </cell>
          <cell r="N1188">
            <v>68</v>
          </cell>
          <cell r="O1188" t="e">
            <v>#N/A</v>
          </cell>
          <cell r="P1188" t="str">
            <v/>
          </cell>
          <cell r="Q1188" t="str">
            <v/>
          </cell>
          <cell r="R1188">
            <v>68</v>
          </cell>
        </row>
        <row r="1189">
          <cell r="A1189" t="str">
            <v/>
          </cell>
          <cell r="B1189" t="str">
            <v/>
          </cell>
          <cell r="C1189" t="str">
            <v>Future</v>
          </cell>
          <cell r="D1189" t="e">
            <v>#N/A</v>
          </cell>
          <cell r="E1189">
            <v>-95.44207698023672</v>
          </cell>
          <cell r="F1189">
            <v>91.316816300396638</v>
          </cell>
          <cell r="G1189">
            <v>4.1626661027676217</v>
          </cell>
          <cell r="H1189">
            <v>4.1626661027676217</v>
          </cell>
          <cell r="I1189" t="e">
            <v>#N/A</v>
          </cell>
          <cell r="J1189" t="e">
            <v>#N/A</v>
          </cell>
          <cell r="K1189">
            <v>75</v>
          </cell>
          <cell r="L1189">
            <v>40</v>
          </cell>
          <cell r="M1189" t="e">
            <v>#N/A</v>
          </cell>
          <cell r="N1189">
            <v>68</v>
          </cell>
          <cell r="O1189" t="e">
            <v>#N/A</v>
          </cell>
          <cell r="P1189" t="str">
            <v/>
          </cell>
          <cell r="Q1189" t="str">
            <v/>
          </cell>
          <cell r="R1189">
            <v>68</v>
          </cell>
        </row>
        <row r="1190">
          <cell r="A1190" t="str">
            <v/>
          </cell>
          <cell r="B1190" t="str">
            <v/>
          </cell>
          <cell r="C1190" t="str">
            <v>Future</v>
          </cell>
          <cell r="D1190" t="e">
            <v>#N/A</v>
          </cell>
          <cell r="E1190">
            <v>-95.695238988141853</v>
          </cell>
          <cell r="F1190">
            <v>91.360096980238538</v>
          </cell>
          <cell r="G1190">
            <v>4.0676068616609022</v>
          </cell>
          <cell r="H1190">
            <v>4.0676068616609022</v>
          </cell>
          <cell r="I1190" t="e">
            <v>#N/A</v>
          </cell>
          <cell r="J1190" t="e">
            <v>#N/A</v>
          </cell>
          <cell r="K1190">
            <v>75</v>
          </cell>
          <cell r="L1190">
            <v>40</v>
          </cell>
          <cell r="M1190" t="e">
            <v>#N/A</v>
          </cell>
          <cell r="N1190">
            <v>68</v>
          </cell>
          <cell r="O1190" t="e">
            <v>#N/A</v>
          </cell>
          <cell r="P1190" t="str">
            <v/>
          </cell>
          <cell r="Q1190" t="str">
            <v/>
          </cell>
          <cell r="R1190">
            <v>68</v>
          </cell>
        </row>
        <row r="1191">
          <cell r="A1191" t="str">
            <v/>
          </cell>
          <cell r="B1191" t="str">
            <v/>
          </cell>
          <cell r="C1191" t="str">
            <v>Future</v>
          </cell>
          <cell r="D1191" t="e">
            <v>#N/A</v>
          </cell>
          <cell r="E1191">
            <v>-95.948400996046985</v>
          </cell>
          <cell r="F1191">
            <v>91.403377660080437</v>
          </cell>
          <cell r="G1191">
            <v>3.9725476205541828</v>
          </cell>
          <cell r="H1191">
            <v>3.9725476205541828</v>
          </cell>
          <cell r="I1191" t="e">
            <v>#N/A</v>
          </cell>
          <cell r="J1191" t="e">
            <v>#N/A</v>
          </cell>
          <cell r="K1191">
            <v>75</v>
          </cell>
          <cell r="L1191">
            <v>40</v>
          </cell>
          <cell r="M1191" t="e">
            <v>#N/A</v>
          </cell>
          <cell r="N1191">
            <v>68</v>
          </cell>
          <cell r="O1191" t="e">
            <v>#N/A</v>
          </cell>
          <cell r="P1191" t="str">
            <v/>
          </cell>
          <cell r="Q1191" t="str">
            <v/>
          </cell>
          <cell r="R1191">
            <v>68</v>
          </cell>
        </row>
        <row r="1192">
          <cell r="A1192" t="str">
            <v/>
          </cell>
          <cell r="B1192" t="str">
            <v/>
          </cell>
          <cell r="C1192" t="str">
            <v>Future</v>
          </cell>
          <cell r="D1192" t="e">
            <v>#N/A</v>
          </cell>
          <cell r="E1192">
            <v>-96.201563003952117</v>
          </cell>
          <cell r="F1192">
            <v>91.446658339922337</v>
          </cell>
          <cell r="G1192">
            <v>3.8774883794474633</v>
          </cell>
          <cell r="H1192">
            <v>3.8774883794474633</v>
          </cell>
          <cell r="I1192" t="e">
            <v>#N/A</v>
          </cell>
          <cell r="J1192" t="e">
            <v>#N/A</v>
          </cell>
          <cell r="K1192">
            <v>75</v>
          </cell>
          <cell r="L1192">
            <v>40</v>
          </cell>
          <cell r="M1192" t="e">
            <v>#N/A</v>
          </cell>
          <cell r="N1192">
            <v>68</v>
          </cell>
          <cell r="O1192" t="e">
            <v>#N/A</v>
          </cell>
          <cell r="P1192" t="str">
            <v/>
          </cell>
          <cell r="Q1192" t="str">
            <v/>
          </cell>
          <cell r="R1192">
            <v>68</v>
          </cell>
        </row>
        <row r="1193">
          <cell r="A1193" t="str">
            <v/>
          </cell>
          <cell r="B1193" t="str">
            <v/>
          </cell>
          <cell r="C1193" t="str">
            <v>Future</v>
          </cell>
          <cell r="D1193" t="e">
            <v>#N/A</v>
          </cell>
          <cell r="E1193">
            <v>-96.454725011857249</v>
          </cell>
          <cell r="F1193">
            <v>91.489939019764236</v>
          </cell>
          <cell r="G1193">
            <v>3.7824291383407438</v>
          </cell>
          <cell r="H1193">
            <v>3.7824291383407438</v>
          </cell>
          <cell r="I1193" t="e">
            <v>#N/A</v>
          </cell>
          <cell r="J1193" t="e">
            <v>#N/A</v>
          </cell>
          <cell r="K1193">
            <v>75</v>
          </cell>
          <cell r="L1193">
            <v>40</v>
          </cell>
          <cell r="M1193" t="e">
            <v>#N/A</v>
          </cell>
          <cell r="N1193">
            <v>68</v>
          </cell>
          <cell r="O1193" t="e">
            <v>#N/A</v>
          </cell>
          <cell r="P1193" t="str">
            <v/>
          </cell>
          <cell r="Q1193" t="str">
            <v/>
          </cell>
          <cell r="R1193">
            <v>68</v>
          </cell>
        </row>
        <row r="1194">
          <cell r="A1194" t="str">
            <v/>
          </cell>
          <cell r="B1194" t="str">
            <v/>
          </cell>
          <cell r="C1194" t="str">
            <v>Future</v>
          </cell>
          <cell r="D1194" t="e">
            <v>#N/A</v>
          </cell>
          <cell r="E1194">
            <v>-96.707887019762381</v>
          </cell>
          <cell r="F1194">
            <v>91.533219699606136</v>
          </cell>
          <cell r="G1194">
            <v>3.6873698972340243</v>
          </cell>
          <cell r="H1194">
            <v>3.6873698972340243</v>
          </cell>
          <cell r="I1194" t="e">
            <v>#N/A</v>
          </cell>
          <cell r="J1194" t="e">
            <v>#N/A</v>
          </cell>
          <cell r="K1194">
            <v>75</v>
          </cell>
          <cell r="L1194">
            <v>40</v>
          </cell>
          <cell r="M1194" t="e">
            <v>#N/A</v>
          </cell>
          <cell r="N1194">
            <v>68</v>
          </cell>
          <cell r="O1194" t="e">
            <v>#N/A</v>
          </cell>
          <cell r="P1194" t="str">
            <v/>
          </cell>
          <cell r="Q1194" t="str">
            <v/>
          </cell>
          <cell r="R1194">
            <v>68</v>
          </cell>
        </row>
        <row r="1195">
          <cell r="A1195" t="str">
            <v/>
          </cell>
          <cell r="B1195" t="str">
            <v/>
          </cell>
          <cell r="C1195" t="str">
            <v>Future</v>
          </cell>
          <cell r="D1195" t="e">
            <v>#N/A</v>
          </cell>
          <cell r="E1195">
            <v>-96.961049027667514</v>
          </cell>
          <cell r="F1195">
            <v>91.576500379448035</v>
          </cell>
          <cell r="G1195">
            <v>3.5923106561273048</v>
          </cell>
          <cell r="H1195">
            <v>3.5923106561273048</v>
          </cell>
          <cell r="I1195" t="e">
            <v>#N/A</v>
          </cell>
          <cell r="J1195" t="e">
            <v>#N/A</v>
          </cell>
          <cell r="K1195">
            <v>75</v>
          </cell>
          <cell r="L1195">
            <v>40</v>
          </cell>
          <cell r="M1195" t="e">
            <v>#N/A</v>
          </cell>
          <cell r="N1195">
            <v>68</v>
          </cell>
          <cell r="O1195" t="e">
            <v>#N/A</v>
          </cell>
          <cell r="P1195" t="str">
            <v/>
          </cell>
          <cell r="Q1195" t="str">
            <v/>
          </cell>
          <cell r="R1195">
            <v>68</v>
          </cell>
        </row>
        <row r="1196">
          <cell r="A1196" t="str">
            <v/>
          </cell>
          <cell r="B1196" t="str">
            <v/>
          </cell>
          <cell r="C1196" t="str">
            <v>Future</v>
          </cell>
          <cell r="D1196" t="e">
            <v>#N/A</v>
          </cell>
          <cell r="E1196">
            <v>-97.214211035572646</v>
          </cell>
          <cell r="F1196">
            <v>91.619781059289934</v>
          </cell>
          <cell r="G1196">
            <v>3.4972514150205853</v>
          </cell>
          <cell r="H1196">
            <v>3.4972514150205853</v>
          </cell>
          <cell r="I1196" t="e">
            <v>#N/A</v>
          </cell>
          <cell r="J1196" t="e">
            <v>#N/A</v>
          </cell>
          <cell r="K1196">
            <v>75</v>
          </cell>
          <cell r="L1196">
            <v>40</v>
          </cell>
          <cell r="M1196" t="e">
            <v>#N/A</v>
          </cell>
          <cell r="N1196">
            <v>68</v>
          </cell>
          <cell r="O1196" t="e">
            <v>#N/A</v>
          </cell>
          <cell r="P1196" t="str">
            <v/>
          </cell>
          <cell r="Q1196" t="str">
            <v/>
          </cell>
          <cell r="R1196">
            <v>68</v>
          </cell>
        </row>
        <row r="1197">
          <cell r="A1197" t="str">
            <v/>
          </cell>
          <cell r="B1197" t="str">
            <v/>
          </cell>
          <cell r="C1197" t="str">
            <v>Future</v>
          </cell>
          <cell r="D1197" t="e">
            <v>#N/A</v>
          </cell>
          <cell r="E1197">
            <v>-97.467373043477778</v>
          </cell>
          <cell r="F1197">
            <v>91.663061739131834</v>
          </cell>
          <cell r="G1197">
            <v>3.4021921739138659</v>
          </cell>
          <cell r="H1197">
            <v>3.4021921739138659</v>
          </cell>
          <cell r="I1197" t="e">
            <v>#N/A</v>
          </cell>
          <cell r="J1197" t="e">
            <v>#N/A</v>
          </cell>
          <cell r="K1197">
            <v>75</v>
          </cell>
          <cell r="L1197">
            <v>40</v>
          </cell>
          <cell r="M1197" t="e">
            <v>#N/A</v>
          </cell>
          <cell r="N1197">
            <v>68</v>
          </cell>
          <cell r="O1197" t="e">
            <v>#N/A</v>
          </cell>
          <cell r="P1197" t="str">
            <v/>
          </cell>
          <cell r="Q1197" t="str">
            <v/>
          </cell>
          <cell r="R1197">
            <v>68</v>
          </cell>
        </row>
        <row r="1198">
          <cell r="A1198" t="str">
            <v/>
          </cell>
          <cell r="B1198" t="str">
            <v/>
          </cell>
          <cell r="C1198" t="str">
            <v>Future</v>
          </cell>
          <cell r="D1198" t="e">
            <v>#N/A</v>
          </cell>
          <cell r="E1198">
            <v>-97.72053505138291</v>
          </cell>
          <cell r="F1198">
            <v>91.706342418973733</v>
          </cell>
          <cell r="G1198">
            <v>3.3071329328071464</v>
          </cell>
          <cell r="H1198">
            <v>3.3071329328071464</v>
          </cell>
          <cell r="I1198" t="e">
            <v>#N/A</v>
          </cell>
          <cell r="J1198" t="e">
            <v>#N/A</v>
          </cell>
          <cell r="K1198">
            <v>75</v>
          </cell>
          <cell r="L1198">
            <v>40</v>
          </cell>
          <cell r="M1198" t="e">
            <v>#N/A</v>
          </cell>
          <cell r="N1198">
            <v>68</v>
          </cell>
          <cell r="O1198" t="e">
            <v>#N/A</v>
          </cell>
          <cell r="P1198" t="str">
            <v/>
          </cell>
          <cell r="Q1198" t="str">
            <v/>
          </cell>
          <cell r="R1198">
            <v>68</v>
          </cell>
        </row>
        <row r="1199">
          <cell r="A1199" t="str">
            <v/>
          </cell>
          <cell r="B1199" t="str">
            <v/>
          </cell>
          <cell r="C1199" t="str">
            <v>Future</v>
          </cell>
          <cell r="D1199" t="e">
            <v>#N/A</v>
          </cell>
          <cell r="E1199">
            <v>-97.973697059288043</v>
          </cell>
          <cell r="F1199">
            <v>91.749623098815633</v>
          </cell>
          <cell r="G1199">
            <v>3.2120736917004269</v>
          </cell>
          <cell r="H1199">
            <v>3.2120736917004269</v>
          </cell>
          <cell r="I1199" t="e">
            <v>#N/A</v>
          </cell>
          <cell r="J1199" t="e">
            <v>#N/A</v>
          </cell>
          <cell r="K1199">
            <v>75</v>
          </cell>
          <cell r="L1199">
            <v>40</v>
          </cell>
          <cell r="M1199" t="e">
            <v>#N/A</v>
          </cell>
          <cell r="N1199">
            <v>68</v>
          </cell>
          <cell r="O1199" t="e">
            <v>#N/A</v>
          </cell>
          <cell r="P1199" t="str">
            <v/>
          </cell>
          <cell r="Q1199" t="str">
            <v/>
          </cell>
          <cell r="R1199">
            <v>68</v>
          </cell>
        </row>
        <row r="1200">
          <cell r="A1200" t="str">
            <v/>
          </cell>
          <cell r="B1200" t="str">
            <v/>
          </cell>
          <cell r="C1200" t="str">
            <v>Future</v>
          </cell>
          <cell r="D1200" t="e">
            <v>#N/A</v>
          </cell>
          <cell r="E1200">
            <v>-98.226859067193175</v>
          </cell>
          <cell r="F1200">
            <v>91.792903778657532</v>
          </cell>
          <cell r="G1200">
            <v>3.1170144505937074</v>
          </cell>
          <cell r="H1200">
            <v>3.1170144505937074</v>
          </cell>
          <cell r="I1200" t="e">
            <v>#N/A</v>
          </cell>
          <cell r="J1200" t="e">
            <v>#N/A</v>
          </cell>
          <cell r="K1200">
            <v>75</v>
          </cell>
          <cell r="L1200">
            <v>40</v>
          </cell>
          <cell r="M1200" t="e">
            <v>#N/A</v>
          </cell>
          <cell r="N1200">
            <v>68</v>
          </cell>
          <cell r="O1200" t="e">
            <v>#N/A</v>
          </cell>
          <cell r="P1200" t="str">
            <v/>
          </cell>
          <cell r="Q1200" t="str">
            <v/>
          </cell>
          <cell r="R1200">
            <v>68</v>
          </cell>
        </row>
        <row r="1201">
          <cell r="A1201" t="str">
            <v/>
          </cell>
          <cell r="B1201" t="str">
            <v/>
          </cell>
          <cell r="C1201" t="str">
            <v>Future</v>
          </cell>
          <cell r="D1201" t="e">
            <v>#N/A</v>
          </cell>
          <cell r="E1201">
            <v>-98.480021075098307</v>
          </cell>
          <cell r="F1201">
            <v>91.836184458499432</v>
          </cell>
          <cell r="G1201">
            <v>3.0219552094869879</v>
          </cell>
          <cell r="H1201">
            <v>3.0219552094869879</v>
          </cell>
          <cell r="I1201" t="e">
            <v>#N/A</v>
          </cell>
          <cell r="J1201" t="e">
            <v>#N/A</v>
          </cell>
          <cell r="K1201">
            <v>75</v>
          </cell>
          <cell r="L1201">
            <v>40</v>
          </cell>
          <cell r="M1201" t="e">
            <v>#N/A</v>
          </cell>
          <cell r="N1201">
            <v>68</v>
          </cell>
          <cell r="O1201" t="e">
            <v>#N/A</v>
          </cell>
          <cell r="P1201" t="str">
            <v/>
          </cell>
          <cell r="Q1201" t="str">
            <v/>
          </cell>
          <cell r="R1201">
            <v>68</v>
          </cell>
        </row>
        <row r="1202">
          <cell r="A1202" t="str">
            <v/>
          </cell>
          <cell r="B1202" t="str">
            <v/>
          </cell>
          <cell r="C1202" t="str">
            <v>Future</v>
          </cell>
          <cell r="D1202" t="e">
            <v>#N/A</v>
          </cell>
          <cell r="E1202">
            <v>-98.733183083003439</v>
          </cell>
          <cell r="F1202">
            <v>91.879465138341331</v>
          </cell>
          <cell r="G1202">
            <v>2.9268959683802684</v>
          </cell>
          <cell r="H1202">
            <v>2.9268959683802684</v>
          </cell>
          <cell r="I1202" t="e">
            <v>#N/A</v>
          </cell>
          <cell r="J1202" t="e">
            <v>#N/A</v>
          </cell>
          <cell r="K1202">
            <v>75</v>
          </cell>
          <cell r="L1202">
            <v>40</v>
          </cell>
          <cell r="M1202" t="e">
            <v>#N/A</v>
          </cell>
          <cell r="N1202">
            <v>68</v>
          </cell>
          <cell r="O1202" t="e">
            <v>#N/A</v>
          </cell>
          <cell r="P1202" t="str">
            <v/>
          </cell>
          <cell r="Q1202" t="str">
            <v/>
          </cell>
          <cell r="R1202">
            <v>68</v>
          </cell>
        </row>
        <row r="1203">
          <cell r="A1203" t="str">
            <v/>
          </cell>
          <cell r="B1203" t="str">
            <v/>
          </cell>
          <cell r="C1203" t="str">
            <v>Future</v>
          </cell>
          <cell r="D1203" t="e">
            <v>#N/A</v>
          </cell>
          <cell r="E1203">
            <v>-98.986345090908571</v>
          </cell>
          <cell r="F1203">
            <v>91.92274581818323</v>
          </cell>
          <cell r="G1203">
            <v>2.831836727273549</v>
          </cell>
          <cell r="H1203">
            <v>2.831836727273549</v>
          </cell>
          <cell r="I1203" t="e">
            <v>#N/A</v>
          </cell>
          <cell r="J1203" t="e">
            <v>#N/A</v>
          </cell>
          <cell r="K1203">
            <v>75</v>
          </cell>
          <cell r="L1203">
            <v>40</v>
          </cell>
          <cell r="M1203" t="e">
            <v>#N/A</v>
          </cell>
          <cell r="N1203">
            <v>68</v>
          </cell>
          <cell r="O1203" t="e">
            <v>#N/A</v>
          </cell>
          <cell r="P1203" t="str">
            <v/>
          </cell>
          <cell r="Q1203" t="str">
            <v/>
          </cell>
          <cell r="R1203">
            <v>68</v>
          </cell>
        </row>
        <row r="1204">
          <cell r="A1204" t="str">
            <v/>
          </cell>
          <cell r="B1204" t="str">
            <v/>
          </cell>
          <cell r="C1204" t="str">
            <v>Future</v>
          </cell>
          <cell r="D1204" t="e">
            <v>#N/A</v>
          </cell>
          <cell r="E1204">
            <v>-99.239507098813704</v>
          </cell>
          <cell r="F1204">
            <v>91.96602649802513</v>
          </cell>
          <cell r="G1204">
            <v>2.7367774861668295</v>
          </cell>
          <cell r="H1204">
            <v>2.7367774861668295</v>
          </cell>
          <cell r="I1204" t="e">
            <v>#N/A</v>
          </cell>
          <cell r="J1204" t="e">
            <v>#N/A</v>
          </cell>
          <cell r="K1204">
            <v>75</v>
          </cell>
          <cell r="L1204">
            <v>40</v>
          </cell>
          <cell r="M1204" t="e">
            <v>#N/A</v>
          </cell>
          <cell r="N1204">
            <v>68</v>
          </cell>
          <cell r="O1204" t="e">
            <v>#N/A</v>
          </cell>
          <cell r="P1204" t="str">
            <v/>
          </cell>
          <cell r="Q1204" t="str">
            <v/>
          </cell>
          <cell r="R1204">
            <v>68</v>
          </cell>
        </row>
        <row r="1205">
          <cell r="A1205" t="str">
            <v/>
          </cell>
          <cell r="B1205" t="str">
            <v/>
          </cell>
          <cell r="C1205" t="str">
            <v>Future</v>
          </cell>
          <cell r="D1205" t="e">
            <v>#N/A</v>
          </cell>
          <cell r="E1205">
            <v>-99.492669106718836</v>
          </cell>
          <cell r="F1205">
            <v>92.009307177867029</v>
          </cell>
          <cell r="G1205">
            <v>2.64171824506011</v>
          </cell>
          <cell r="H1205">
            <v>2.64171824506011</v>
          </cell>
          <cell r="I1205" t="e">
            <v>#N/A</v>
          </cell>
          <cell r="J1205" t="e">
            <v>#N/A</v>
          </cell>
          <cell r="K1205">
            <v>75</v>
          </cell>
          <cell r="L1205">
            <v>40</v>
          </cell>
          <cell r="M1205" t="e">
            <v>#N/A</v>
          </cell>
          <cell r="N1205">
            <v>68</v>
          </cell>
          <cell r="O1205" t="e">
            <v>#N/A</v>
          </cell>
          <cell r="P1205" t="str">
            <v/>
          </cell>
          <cell r="Q1205" t="str">
            <v/>
          </cell>
          <cell r="R1205">
            <v>68</v>
          </cell>
        </row>
        <row r="1206">
          <cell r="A1206" t="str">
            <v/>
          </cell>
          <cell r="B1206" t="str">
            <v/>
          </cell>
          <cell r="C1206" t="str">
            <v>Future</v>
          </cell>
          <cell r="D1206" t="e">
            <v>#N/A</v>
          </cell>
          <cell r="E1206">
            <v>-99.745831114623968</v>
          </cell>
          <cell r="F1206">
            <v>92.052587857708929</v>
          </cell>
          <cell r="G1206">
            <v>2.5466590039533905</v>
          </cell>
          <cell r="H1206">
            <v>2.5466590039533905</v>
          </cell>
          <cell r="I1206" t="e">
            <v>#N/A</v>
          </cell>
          <cell r="J1206" t="e">
            <v>#N/A</v>
          </cell>
          <cell r="K1206">
            <v>75</v>
          </cell>
          <cell r="L1206">
            <v>40</v>
          </cell>
          <cell r="M1206" t="e">
            <v>#N/A</v>
          </cell>
          <cell r="N1206">
            <v>68</v>
          </cell>
          <cell r="O1206" t="e">
            <v>#N/A</v>
          </cell>
          <cell r="P1206" t="str">
            <v/>
          </cell>
          <cell r="Q1206" t="str">
            <v/>
          </cell>
          <cell r="R1206">
            <v>68</v>
          </cell>
        </row>
        <row r="1207">
          <cell r="A1207" t="str">
            <v/>
          </cell>
          <cell r="B1207" t="str">
            <v/>
          </cell>
          <cell r="C1207" t="str">
            <v>Future</v>
          </cell>
          <cell r="D1207" t="e">
            <v>#N/A</v>
          </cell>
          <cell r="E1207">
            <v>-99.9989931225291</v>
          </cell>
          <cell r="F1207">
            <v>92.095868537550828</v>
          </cell>
          <cell r="G1207">
            <v>2.451599762846671</v>
          </cell>
          <cell r="H1207">
            <v>2.451599762846671</v>
          </cell>
          <cell r="I1207" t="e">
            <v>#N/A</v>
          </cell>
          <cell r="J1207" t="e">
            <v>#N/A</v>
          </cell>
          <cell r="K1207">
            <v>75</v>
          </cell>
          <cell r="L1207">
            <v>40</v>
          </cell>
          <cell r="M1207" t="e">
            <v>#N/A</v>
          </cell>
          <cell r="N1207">
            <v>68</v>
          </cell>
          <cell r="O1207" t="e">
            <v>#N/A</v>
          </cell>
          <cell r="P1207" t="str">
            <v/>
          </cell>
          <cell r="Q1207" t="str">
            <v/>
          </cell>
          <cell r="R1207">
            <v>68</v>
          </cell>
        </row>
        <row r="1208">
          <cell r="A1208" t="str">
            <v/>
          </cell>
          <cell r="B1208" t="str">
            <v/>
          </cell>
          <cell r="C1208" t="str">
            <v>Future</v>
          </cell>
          <cell r="D1208" t="e">
            <v>#N/A</v>
          </cell>
          <cell r="E1208">
            <v>-100.25215513043423</v>
          </cell>
          <cell r="F1208">
            <v>92.139149217392728</v>
          </cell>
          <cell r="G1208">
            <v>2.3565405217399515</v>
          </cell>
          <cell r="H1208">
            <v>2.3565405217399515</v>
          </cell>
          <cell r="I1208" t="e">
            <v>#N/A</v>
          </cell>
          <cell r="J1208" t="e">
            <v>#N/A</v>
          </cell>
          <cell r="K1208">
            <v>75</v>
          </cell>
          <cell r="L1208">
            <v>40</v>
          </cell>
          <cell r="M1208" t="e">
            <v>#N/A</v>
          </cell>
          <cell r="N1208">
            <v>68</v>
          </cell>
          <cell r="O1208" t="e">
            <v>#N/A</v>
          </cell>
          <cell r="P1208" t="str">
            <v/>
          </cell>
          <cell r="Q1208" t="str">
            <v/>
          </cell>
          <cell r="R1208">
            <v>68</v>
          </cell>
        </row>
        <row r="1209">
          <cell r="A1209" t="str">
            <v/>
          </cell>
          <cell r="B1209" t="str">
            <v/>
          </cell>
          <cell r="C1209" t="str">
            <v>Future</v>
          </cell>
          <cell r="D1209" t="e">
            <v>#N/A</v>
          </cell>
          <cell r="E1209">
            <v>-100.50531713833936</v>
          </cell>
          <cell r="F1209">
            <v>92.182429897234627</v>
          </cell>
          <cell r="G1209">
            <v>2.2614812806332321</v>
          </cell>
          <cell r="H1209">
            <v>2.2614812806332321</v>
          </cell>
          <cell r="I1209" t="e">
            <v>#N/A</v>
          </cell>
          <cell r="J1209" t="e">
            <v>#N/A</v>
          </cell>
          <cell r="K1209">
            <v>75</v>
          </cell>
          <cell r="L1209">
            <v>40</v>
          </cell>
          <cell r="M1209" t="e">
            <v>#N/A</v>
          </cell>
          <cell r="N1209">
            <v>68</v>
          </cell>
          <cell r="O1209" t="e">
            <v>#N/A</v>
          </cell>
          <cell r="P1209" t="str">
            <v/>
          </cell>
          <cell r="Q1209" t="str">
            <v/>
          </cell>
          <cell r="R1209">
            <v>68</v>
          </cell>
        </row>
        <row r="1210">
          <cell r="A1210" t="str">
            <v/>
          </cell>
          <cell r="B1210" t="str">
            <v/>
          </cell>
          <cell r="C1210" t="str">
            <v>Future</v>
          </cell>
          <cell r="D1210" t="e">
            <v>#N/A</v>
          </cell>
          <cell r="E1210">
            <v>-100.7584791462445</v>
          </cell>
          <cell r="F1210">
            <v>92.225710577076526</v>
          </cell>
          <cell r="G1210">
            <v>2.1664220395265126</v>
          </cell>
          <cell r="H1210">
            <v>2.1664220395265126</v>
          </cell>
          <cell r="I1210" t="e">
            <v>#N/A</v>
          </cell>
          <cell r="J1210" t="e">
            <v>#N/A</v>
          </cell>
          <cell r="K1210">
            <v>75</v>
          </cell>
          <cell r="L1210">
            <v>40</v>
          </cell>
          <cell r="M1210" t="e">
            <v>#N/A</v>
          </cell>
          <cell r="N1210">
            <v>68</v>
          </cell>
          <cell r="O1210" t="e">
            <v>#N/A</v>
          </cell>
          <cell r="P1210" t="str">
            <v/>
          </cell>
          <cell r="Q1210" t="str">
            <v/>
          </cell>
          <cell r="R1210">
            <v>68</v>
          </cell>
        </row>
        <row r="1211">
          <cell r="A1211" t="str">
            <v/>
          </cell>
          <cell r="B1211" t="str">
            <v/>
          </cell>
          <cell r="C1211" t="str">
            <v>Future</v>
          </cell>
          <cell r="D1211" t="e">
            <v>#N/A</v>
          </cell>
          <cell r="E1211">
            <v>-101.01164115414963</v>
          </cell>
          <cell r="F1211">
            <v>92.268991256918426</v>
          </cell>
          <cell r="G1211">
            <v>2.0713627984197931</v>
          </cell>
          <cell r="H1211">
            <v>2.0713627984197931</v>
          </cell>
          <cell r="I1211" t="e">
            <v>#N/A</v>
          </cell>
          <cell r="J1211" t="e">
            <v>#N/A</v>
          </cell>
          <cell r="K1211">
            <v>75</v>
          </cell>
          <cell r="L1211">
            <v>40</v>
          </cell>
          <cell r="M1211" t="e">
            <v>#N/A</v>
          </cell>
          <cell r="N1211">
            <v>68</v>
          </cell>
          <cell r="O1211" t="e">
            <v>#N/A</v>
          </cell>
          <cell r="P1211" t="str">
            <v/>
          </cell>
          <cell r="Q1211" t="str">
            <v/>
          </cell>
          <cell r="R1211">
            <v>68</v>
          </cell>
        </row>
        <row r="1212">
          <cell r="A1212" t="str">
            <v/>
          </cell>
          <cell r="B1212" t="str">
            <v/>
          </cell>
          <cell r="C1212" t="str">
            <v>Future</v>
          </cell>
          <cell r="D1212" t="e">
            <v>#N/A</v>
          </cell>
          <cell r="E1212">
            <v>-101.26480316205476</v>
          </cell>
          <cell r="F1212">
            <v>92.312271936760325</v>
          </cell>
          <cell r="G1212">
            <v>1.9763035573130738</v>
          </cell>
          <cell r="H1212">
            <v>1.9763035573130738</v>
          </cell>
          <cell r="I1212" t="e">
            <v>#N/A</v>
          </cell>
          <cell r="J1212" t="e">
            <v>#N/A</v>
          </cell>
          <cell r="K1212">
            <v>75</v>
          </cell>
          <cell r="L1212">
            <v>40</v>
          </cell>
          <cell r="M1212" t="e">
            <v>#N/A</v>
          </cell>
          <cell r="N1212">
            <v>68</v>
          </cell>
          <cell r="O1212" t="e">
            <v>#N/A</v>
          </cell>
          <cell r="P1212" t="str">
            <v/>
          </cell>
          <cell r="Q1212" t="str">
            <v/>
          </cell>
          <cell r="R1212">
            <v>68</v>
          </cell>
        </row>
        <row r="1213">
          <cell r="A1213" t="str">
            <v/>
          </cell>
          <cell r="B1213" t="str">
            <v/>
          </cell>
          <cell r="C1213" t="str">
            <v>Future</v>
          </cell>
          <cell r="D1213" t="e">
            <v>#N/A</v>
          </cell>
          <cell r="E1213">
            <v>-101.51796516995989</v>
          </cell>
          <cell r="F1213">
            <v>92.355552616602225</v>
          </cell>
          <cell r="G1213">
            <v>1.8812443162063546</v>
          </cell>
          <cell r="H1213">
            <v>1.8812443162063546</v>
          </cell>
          <cell r="I1213" t="e">
            <v>#N/A</v>
          </cell>
          <cell r="J1213" t="e">
            <v>#N/A</v>
          </cell>
          <cell r="K1213">
            <v>75</v>
          </cell>
          <cell r="L1213">
            <v>40</v>
          </cell>
          <cell r="M1213" t="e">
            <v>#N/A</v>
          </cell>
          <cell r="N1213">
            <v>68</v>
          </cell>
          <cell r="O1213" t="e">
            <v>#N/A</v>
          </cell>
          <cell r="P1213" t="str">
            <v/>
          </cell>
          <cell r="Q1213" t="str">
            <v/>
          </cell>
          <cell r="R1213">
            <v>68</v>
          </cell>
        </row>
        <row r="1214">
          <cell r="A1214" t="str">
            <v/>
          </cell>
          <cell r="B1214" t="str">
            <v/>
          </cell>
          <cell r="C1214" t="str">
            <v>Future</v>
          </cell>
          <cell r="D1214" t="e">
            <v>#N/A</v>
          </cell>
          <cell r="E1214">
            <v>-101.77112717786503</v>
          </cell>
          <cell r="F1214">
            <v>92.398833296444124</v>
          </cell>
          <cell r="G1214">
            <v>1.7861850750996353</v>
          </cell>
          <cell r="H1214">
            <v>1.7861850750996353</v>
          </cell>
          <cell r="I1214" t="e">
            <v>#N/A</v>
          </cell>
          <cell r="J1214" t="e">
            <v>#N/A</v>
          </cell>
          <cell r="K1214">
            <v>75</v>
          </cell>
          <cell r="L1214">
            <v>40</v>
          </cell>
          <cell r="M1214" t="e">
            <v>#N/A</v>
          </cell>
          <cell r="N1214">
            <v>68</v>
          </cell>
          <cell r="O1214" t="e">
            <v>#N/A</v>
          </cell>
          <cell r="P1214" t="str">
            <v/>
          </cell>
          <cell r="Q1214" t="str">
            <v/>
          </cell>
          <cell r="R1214">
            <v>68</v>
          </cell>
        </row>
        <row r="1215">
          <cell r="A1215" t="str">
            <v/>
          </cell>
          <cell r="B1215" t="str">
            <v/>
          </cell>
          <cell r="C1215" t="str">
            <v>Future</v>
          </cell>
          <cell r="D1215" t="e">
            <v>#N/A</v>
          </cell>
          <cell r="E1215">
            <v>-102.02428918577016</v>
          </cell>
          <cell r="F1215">
            <v>92.442113976286024</v>
          </cell>
          <cell r="G1215">
            <v>1.691125833992916</v>
          </cell>
          <cell r="H1215">
            <v>1.691125833992916</v>
          </cell>
          <cell r="I1215" t="e">
            <v>#N/A</v>
          </cell>
          <cell r="J1215" t="e">
            <v>#N/A</v>
          </cell>
          <cell r="K1215">
            <v>75</v>
          </cell>
          <cell r="L1215">
            <v>40</v>
          </cell>
          <cell r="M1215" t="e">
            <v>#N/A</v>
          </cell>
          <cell r="N1215">
            <v>68</v>
          </cell>
          <cell r="O1215" t="e">
            <v>#N/A</v>
          </cell>
          <cell r="P1215" t="str">
            <v/>
          </cell>
          <cell r="Q1215" t="str">
            <v/>
          </cell>
          <cell r="R1215">
            <v>68</v>
          </cell>
        </row>
        <row r="1216">
          <cell r="A1216" t="str">
            <v/>
          </cell>
          <cell r="B1216" t="str">
            <v/>
          </cell>
          <cell r="C1216" t="str">
            <v>Future</v>
          </cell>
          <cell r="D1216" t="e">
            <v>#N/A</v>
          </cell>
          <cell r="E1216">
            <v>-102.27745119367529</v>
          </cell>
          <cell r="F1216">
            <v>92.485394656127923</v>
          </cell>
          <cell r="G1216">
            <v>1.5960665928861968</v>
          </cell>
          <cell r="H1216">
            <v>1.5960665928861968</v>
          </cell>
          <cell r="I1216" t="e">
            <v>#N/A</v>
          </cell>
          <cell r="J1216" t="e">
            <v>#N/A</v>
          </cell>
          <cell r="K1216">
            <v>75</v>
          </cell>
          <cell r="L1216">
            <v>40</v>
          </cell>
          <cell r="M1216" t="e">
            <v>#N/A</v>
          </cell>
          <cell r="N1216">
            <v>68</v>
          </cell>
          <cell r="O1216" t="e">
            <v>#N/A</v>
          </cell>
          <cell r="P1216" t="str">
            <v/>
          </cell>
          <cell r="Q1216" t="str">
            <v/>
          </cell>
          <cell r="R1216">
            <v>68</v>
          </cell>
        </row>
        <row r="1217">
          <cell r="A1217" t="str">
            <v/>
          </cell>
          <cell r="B1217" t="str">
            <v/>
          </cell>
          <cell r="C1217" t="str">
            <v>Future</v>
          </cell>
          <cell r="D1217" t="e">
            <v>#N/A</v>
          </cell>
          <cell r="E1217">
            <v>-102.53061320158042</v>
          </cell>
          <cell r="F1217">
            <v>92.528675335969822</v>
          </cell>
          <cell r="G1217">
            <v>1.5010073517794775</v>
          </cell>
          <cell r="H1217">
            <v>1.5010073517794775</v>
          </cell>
          <cell r="I1217" t="e">
            <v>#N/A</v>
          </cell>
          <cell r="J1217" t="e">
            <v>#N/A</v>
          </cell>
          <cell r="K1217">
            <v>75</v>
          </cell>
          <cell r="L1217">
            <v>40</v>
          </cell>
          <cell r="M1217" t="e">
            <v>#N/A</v>
          </cell>
          <cell r="N1217">
            <v>68</v>
          </cell>
          <cell r="O1217" t="e">
            <v>#N/A</v>
          </cell>
          <cell r="P1217" t="str">
            <v/>
          </cell>
          <cell r="Q1217" t="str">
            <v/>
          </cell>
          <cell r="R1217">
            <v>68</v>
          </cell>
        </row>
        <row r="1218">
          <cell r="A1218" t="str">
            <v/>
          </cell>
          <cell r="B1218" t="str">
            <v/>
          </cell>
          <cell r="C1218" t="str">
            <v>Future</v>
          </cell>
          <cell r="D1218" t="e">
            <v>#N/A</v>
          </cell>
          <cell r="E1218">
            <v>-102.78377520948555</v>
          </cell>
          <cell r="F1218">
            <v>92.571956015811722</v>
          </cell>
          <cell r="G1218">
            <v>1.4059481106727583</v>
          </cell>
          <cell r="H1218">
            <v>1.4059481106727583</v>
          </cell>
          <cell r="I1218" t="e">
            <v>#N/A</v>
          </cell>
          <cell r="J1218" t="e">
            <v>#N/A</v>
          </cell>
          <cell r="K1218">
            <v>75</v>
          </cell>
          <cell r="L1218">
            <v>40</v>
          </cell>
          <cell r="M1218" t="e">
            <v>#N/A</v>
          </cell>
          <cell r="N1218">
            <v>68</v>
          </cell>
          <cell r="O1218" t="e">
            <v>#N/A</v>
          </cell>
          <cell r="P1218" t="str">
            <v/>
          </cell>
          <cell r="Q1218" t="str">
            <v/>
          </cell>
          <cell r="R1218">
            <v>68</v>
          </cell>
        </row>
        <row r="1219">
          <cell r="A1219" t="str">
            <v/>
          </cell>
          <cell r="B1219" t="str">
            <v/>
          </cell>
          <cell r="C1219" t="str">
            <v>Future</v>
          </cell>
          <cell r="D1219" t="e">
            <v>#N/A</v>
          </cell>
          <cell r="E1219">
            <v>-103.03693721739069</v>
          </cell>
          <cell r="F1219">
            <v>92.615236695653621</v>
          </cell>
          <cell r="G1219">
            <v>1.310888869566039</v>
          </cell>
          <cell r="H1219">
            <v>1.310888869566039</v>
          </cell>
          <cell r="I1219" t="e">
            <v>#N/A</v>
          </cell>
          <cell r="J1219" t="e">
            <v>#N/A</v>
          </cell>
          <cell r="K1219">
            <v>75</v>
          </cell>
          <cell r="L1219">
            <v>40</v>
          </cell>
          <cell r="M1219" t="e">
            <v>#N/A</v>
          </cell>
          <cell r="N1219">
            <v>68</v>
          </cell>
          <cell r="O1219" t="e">
            <v>#N/A</v>
          </cell>
          <cell r="P1219" t="str">
            <v/>
          </cell>
          <cell r="Q1219" t="str">
            <v/>
          </cell>
          <cell r="R1219">
            <v>68</v>
          </cell>
        </row>
        <row r="1220">
          <cell r="A1220" t="str">
            <v/>
          </cell>
          <cell r="B1220" t="str">
            <v/>
          </cell>
          <cell r="C1220" t="str">
            <v>Future</v>
          </cell>
          <cell r="D1220" t="e">
            <v>#N/A</v>
          </cell>
          <cell r="E1220">
            <v>-103.29009922529582</v>
          </cell>
          <cell r="F1220">
            <v>92.658517375495521</v>
          </cell>
          <cell r="G1220">
            <v>1.2158296284593197</v>
          </cell>
          <cell r="H1220">
            <v>1.2158296284593197</v>
          </cell>
          <cell r="I1220" t="e">
            <v>#N/A</v>
          </cell>
          <cell r="J1220" t="e">
            <v>#N/A</v>
          </cell>
          <cell r="K1220">
            <v>75</v>
          </cell>
          <cell r="L1220">
            <v>40</v>
          </cell>
          <cell r="M1220" t="e">
            <v>#N/A</v>
          </cell>
          <cell r="N1220">
            <v>68</v>
          </cell>
          <cell r="O1220" t="e">
            <v>#N/A</v>
          </cell>
          <cell r="P1220" t="str">
            <v/>
          </cell>
          <cell r="Q1220" t="str">
            <v/>
          </cell>
          <cell r="R1220">
            <v>68</v>
          </cell>
        </row>
        <row r="1221">
          <cell r="A1221" t="str">
            <v/>
          </cell>
          <cell r="B1221" t="str">
            <v/>
          </cell>
          <cell r="C1221" t="str">
            <v>Future</v>
          </cell>
          <cell r="D1221" t="e">
            <v>#N/A</v>
          </cell>
          <cell r="E1221">
            <v>-103.54326123320095</v>
          </cell>
          <cell r="F1221">
            <v>92.70179805533742</v>
          </cell>
          <cell r="G1221">
            <v>1.1207703873526005</v>
          </cell>
          <cell r="H1221">
            <v>1.1207703873526005</v>
          </cell>
          <cell r="I1221" t="e">
            <v>#N/A</v>
          </cell>
          <cell r="J1221" t="e">
            <v>#N/A</v>
          </cell>
          <cell r="K1221">
            <v>75</v>
          </cell>
          <cell r="L1221">
            <v>40</v>
          </cell>
          <cell r="M1221" t="e">
            <v>#N/A</v>
          </cell>
          <cell r="N1221">
            <v>68</v>
          </cell>
          <cell r="O1221" t="e">
            <v>#N/A</v>
          </cell>
          <cell r="P1221" t="str">
            <v/>
          </cell>
          <cell r="Q1221" t="str">
            <v/>
          </cell>
          <cell r="R1221">
            <v>68</v>
          </cell>
        </row>
        <row r="1222">
          <cell r="A1222" t="str">
            <v/>
          </cell>
          <cell r="B1222" t="str">
            <v/>
          </cell>
          <cell r="C1222" t="str">
            <v>Future</v>
          </cell>
          <cell r="D1222" t="e">
            <v>#N/A</v>
          </cell>
          <cell r="E1222">
            <v>-103.79642324110608</v>
          </cell>
          <cell r="F1222">
            <v>92.74507873517932</v>
          </cell>
          <cell r="G1222">
            <v>1.0257111462458812</v>
          </cell>
          <cell r="H1222">
            <v>1.0257111462458812</v>
          </cell>
          <cell r="I1222" t="e">
            <v>#N/A</v>
          </cell>
          <cell r="J1222" t="e">
            <v>#N/A</v>
          </cell>
          <cell r="K1222">
            <v>75</v>
          </cell>
          <cell r="L1222">
            <v>40</v>
          </cell>
          <cell r="M1222" t="e">
            <v>#N/A</v>
          </cell>
          <cell r="N1222">
            <v>68</v>
          </cell>
          <cell r="O1222" t="e">
            <v>#N/A</v>
          </cell>
          <cell r="P1222" t="str">
            <v/>
          </cell>
          <cell r="Q1222" t="str">
            <v/>
          </cell>
          <cell r="R1222">
            <v>68</v>
          </cell>
        </row>
        <row r="1223">
          <cell r="A1223" t="str">
            <v/>
          </cell>
          <cell r="B1223" t="str">
            <v/>
          </cell>
          <cell r="C1223" t="str">
            <v>Future</v>
          </cell>
          <cell r="D1223" t="e">
            <v>#N/A</v>
          </cell>
          <cell r="E1223">
            <v>-104.04958524901122</v>
          </cell>
          <cell r="F1223">
            <v>92.788359415021219</v>
          </cell>
          <cell r="G1223">
            <v>0.93065190513916185</v>
          </cell>
          <cell r="H1223">
            <v>0.93065190513916185</v>
          </cell>
          <cell r="I1223" t="e">
            <v>#N/A</v>
          </cell>
          <cell r="J1223" t="e">
            <v>#N/A</v>
          </cell>
          <cell r="K1223">
            <v>75</v>
          </cell>
          <cell r="L1223">
            <v>40</v>
          </cell>
          <cell r="M1223" t="e">
            <v>#N/A</v>
          </cell>
          <cell r="N1223">
            <v>68</v>
          </cell>
          <cell r="O1223" t="e">
            <v>#N/A</v>
          </cell>
          <cell r="P1223" t="str">
            <v/>
          </cell>
          <cell r="Q1223" t="str">
            <v/>
          </cell>
          <cell r="R1223">
            <v>68</v>
          </cell>
        </row>
        <row r="1224">
          <cell r="A1224" t="str">
            <v/>
          </cell>
          <cell r="B1224" t="str">
            <v/>
          </cell>
          <cell r="C1224" t="str">
            <v>Future</v>
          </cell>
          <cell r="D1224" t="e">
            <v>#N/A</v>
          </cell>
          <cell r="E1224">
            <v>-104.30274725691635</v>
          </cell>
          <cell r="F1224">
            <v>92.831640094863118</v>
          </cell>
          <cell r="G1224">
            <v>0.83559266403244248</v>
          </cell>
          <cell r="H1224">
            <v>0.83559266403244248</v>
          </cell>
          <cell r="I1224" t="e">
            <v>#N/A</v>
          </cell>
          <cell r="J1224" t="e">
            <v>#N/A</v>
          </cell>
          <cell r="K1224">
            <v>75</v>
          </cell>
          <cell r="L1224">
            <v>40</v>
          </cell>
          <cell r="M1224" t="e">
            <v>#N/A</v>
          </cell>
          <cell r="N1224">
            <v>68</v>
          </cell>
          <cell r="O1224" t="e">
            <v>#N/A</v>
          </cell>
          <cell r="P1224" t="str">
            <v/>
          </cell>
          <cell r="Q1224" t="str">
            <v/>
          </cell>
          <cell r="R1224">
            <v>68</v>
          </cell>
        </row>
        <row r="1225">
          <cell r="A1225" t="str">
            <v/>
          </cell>
          <cell r="B1225" t="str">
            <v/>
          </cell>
          <cell r="C1225" t="str">
            <v>Future</v>
          </cell>
          <cell r="D1225" t="e">
            <v>#N/A</v>
          </cell>
          <cell r="E1225">
            <v>-104.55590926482148</v>
          </cell>
          <cell r="F1225">
            <v>92.874920774705018</v>
          </cell>
          <cell r="G1225">
            <v>0.74053342292572311</v>
          </cell>
          <cell r="H1225">
            <v>0.74053342292572311</v>
          </cell>
          <cell r="I1225" t="e">
            <v>#N/A</v>
          </cell>
          <cell r="J1225" t="e">
            <v>#N/A</v>
          </cell>
          <cell r="K1225">
            <v>75</v>
          </cell>
          <cell r="L1225">
            <v>40</v>
          </cell>
          <cell r="M1225" t="e">
            <v>#N/A</v>
          </cell>
          <cell r="N1225">
            <v>68</v>
          </cell>
          <cell r="O1225" t="e">
            <v>#N/A</v>
          </cell>
          <cell r="P1225" t="str">
            <v/>
          </cell>
          <cell r="Q1225" t="str">
            <v/>
          </cell>
          <cell r="R1225">
            <v>68</v>
          </cell>
        </row>
        <row r="1226">
          <cell r="A1226" t="str">
            <v/>
          </cell>
          <cell r="B1226" t="str">
            <v/>
          </cell>
          <cell r="C1226" t="str">
            <v>Future</v>
          </cell>
          <cell r="D1226" t="e">
            <v>#N/A</v>
          </cell>
          <cell r="E1226">
            <v>-104.80907127272661</v>
          </cell>
          <cell r="F1226">
            <v>92.918201454546917</v>
          </cell>
          <cell r="G1226">
            <v>0.64547418181900373</v>
          </cell>
          <cell r="H1226">
            <v>0.64547418181900373</v>
          </cell>
          <cell r="I1226" t="e">
            <v>#N/A</v>
          </cell>
          <cell r="J1226" t="e">
            <v>#N/A</v>
          </cell>
          <cell r="K1226">
            <v>75</v>
          </cell>
          <cell r="L1226">
            <v>40</v>
          </cell>
          <cell r="M1226" t="e">
            <v>#N/A</v>
          </cell>
          <cell r="N1226">
            <v>68</v>
          </cell>
          <cell r="O1226" t="e">
            <v>#N/A</v>
          </cell>
          <cell r="P1226" t="str">
            <v/>
          </cell>
          <cell r="Q1226" t="str">
            <v/>
          </cell>
          <cell r="R1226">
            <v>68</v>
          </cell>
        </row>
        <row r="1227">
          <cell r="A1227" t="str">
            <v/>
          </cell>
          <cell r="B1227" t="str">
            <v/>
          </cell>
          <cell r="C1227" t="str">
            <v>Future</v>
          </cell>
          <cell r="D1227" t="e">
            <v>#N/A</v>
          </cell>
          <cell r="E1227">
            <v>-105.06223328063174</v>
          </cell>
          <cell r="F1227">
            <v>92.961482134388817</v>
          </cell>
          <cell r="G1227">
            <v>0.55041494071228436</v>
          </cell>
          <cell r="H1227">
            <v>0.55041494071228436</v>
          </cell>
          <cell r="I1227" t="e">
            <v>#N/A</v>
          </cell>
          <cell r="J1227" t="e">
            <v>#N/A</v>
          </cell>
          <cell r="K1227">
            <v>75</v>
          </cell>
          <cell r="L1227">
            <v>40</v>
          </cell>
          <cell r="M1227" t="e">
            <v>#N/A</v>
          </cell>
          <cell r="N1227">
            <v>68</v>
          </cell>
          <cell r="O1227" t="e">
            <v>#N/A</v>
          </cell>
          <cell r="P1227" t="str">
            <v/>
          </cell>
          <cell r="Q1227" t="str">
            <v/>
          </cell>
          <cell r="R1227">
            <v>68</v>
          </cell>
        </row>
        <row r="1228">
          <cell r="A1228" t="str">
            <v/>
          </cell>
          <cell r="B1228" t="str">
            <v/>
          </cell>
          <cell r="C1228" t="str">
            <v>Future</v>
          </cell>
          <cell r="D1228" t="e">
            <v>#N/A</v>
          </cell>
          <cell r="E1228">
            <v>-105.31539528853688</v>
          </cell>
          <cell r="F1228">
            <v>93.004762814230716</v>
          </cell>
          <cell r="G1228">
            <v>0.45535569960556499</v>
          </cell>
          <cell r="H1228">
            <v>0.45535569960556499</v>
          </cell>
          <cell r="I1228" t="e">
            <v>#N/A</v>
          </cell>
          <cell r="J1228" t="e">
            <v>#N/A</v>
          </cell>
          <cell r="K1228">
            <v>75</v>
          </cell>
          <cell r="L1228">
            <v>40</v>
          </cell>
          <cell r="M1228" t="e">
            <v>#N/A</v>
          </cell>
          <cell r="N1228">
            <v>68</v>
          </cell>
          <cell r="O1228" t="e">
            <v>#N/A</v>
          </cell>
          <cell r="P1228" t="str">
            <v/>
          </cell>
          <cell r="Q1228" t="str">
            <v/>
          </cell>
          <cell r="R1228">
            <v>68</v>
          </cell>
        </row>
        <row r="1229">
          <cell r="A1229" t="str">
            <v/>
          </cell>
          <cell r="B1229" t="str">
            <v/>
          </cell>
          <cell r="C1229" t="str">
            <v>Future</v>
          </cell>
          <cell r="D1229" t="e">
            <v>#N/A</v>
          </cell>
          <cell r="E1229">
            <v>-105.56855729644201</v>
          </cell>
          <cell r="F1229">
            <v>93.048043494072616</v>
          </cell>
          <cell r="G1229">
            <v>0.36029645849884562</v>
          </cell>
          <cell r="H1229">
            <v>0.36029645849884562</v>
          </cell>
          <cell r="I1229" t="e">
            <v>#N/A</v>
          </cell>
          <cell r="J1229" t="e">
            <v>#N/A</v>
          </cell>
          <cell r="K1229">
            <v>75</v>
          </cell>
          <cell r="L1229">
            <v>40</v>
          </cell>
          <cell r="M1229" t="e">
            <v>#N/A</v>
          </cell>
          <cell r="N1229">
            <v>68</v>
          </cell>
          <cell r="O1229" t="e">
            <v>#N/A</v>
          </cell>
          <cell r="P1229" t="str">
            <v/>
          </cell>
          <cell r="Q1229" t="str">
            <v/>
          </cell>
          <cell r="R1229">
            <v>68</v>
          </cell>
        </row>
        <row r="1230">
          <cell r="A1230" t="str">
            <v/>
          </cell>
          <cell r="B1230" t="str">
            <v/>
          </cell>
          <cell r="C1230" t="str">
            <v>Future</v>
          </cell>
          <cell r="D1230" t="e">
            <v>#N/A</v>
          </cell>
          <cell r="E1230">
            <v>-105.82171930434714</v>
          </cell>
          <cell r="F1230">
            <v>93.091324173914515</v>
          </cell>
          <cell r="G1230">
            <v>0.26523721739212625</v>
          </cell>
          <cell r="H1230">
            <v>0.26523721739212625</v>
          </cell>
          <cell r="I1230" t="e">
            <v>#N/A</v>
          </cell>
          <cell r="J1230" t="e">
            <v>#N/A</v>
          </cell>
          <cell r="K1230">
            <v>75</v>
          </cell>
          <cell r="L1230">
            <v>40</v>
          </cell>
          <cell r="M1230" t="e">
            <v>#N/A</v>
          </cell>
          <cell r="N1230">
            <v>68</v>
          </cell>
          <cell r="O1230" t="e">
            <v>#N/A</v>
          </cell>
          <cell r="P1230" t="str">
            <v/>
          </cell>
          <cell r="Q1230" t="str">
            <v/>
          </cell>
          <cell r="R1230">
            <v>68</v>
          </cell>
        </row>
        <row r="1231">
          <cell r="A1231" t="str">
            <v/>
          </cell>
          <cell r="B1231" t="str">
            <v/>
          </cell>
          <cell r="C1231" t="str">
            <v>Future</v>
          </cell>
          <cell r="D1231" t="e">
            <v>#N/A</v>
          </cell>
          <cell r="E1231">
            <v>-106.07488131225227</v>
          </cell>
          <cell r="F1231">
            <v>93.134604853756414</v>
          </cell>
          <cell r="G1231">
            <v>0.17017797628540687</v>
          </cell>
          <cell r="H1231">
            <v>0.17017797628540687</v>
          </cell>
          <cell r="I1231" t="e">
            <v>#N/A</v>
          </cell>
          <cell r="J1231" t="e">
            <v>#N/A</v>
          </cell>
          <cell r="K1231">
            <v>75</v>
          </cell>
          <cell r="L1231">
            <v>40</v>
          </cell>
          <cell r="M1231" t="e">
            <v>#N/A</v>
          </cell>
          <cell r="N1231">
            <v>68</v>
          </cell>
          <cell r="O1231" t="e">
            <v>#N/A</v>
          </cell>
          <cell r="P1231" t="str">
            <v/>
          </cell>
          <cell r="Q1231" t="str">
            <v/>
          </cell>
          <cell r="R1231">
            <v>68</v>
          </cell>
        </row>
        <row r="1232">
          <cell r="A1232" t="str">
            <v/>
          </cell>
          <cell r="B1232" t="str">
            <v/>
          </cell>
          <cell r="C1232" t="str">
            <v>Future</v>
          </cell>
          <cell r="D1232" t="e">
            <v>#N/A</v>
          </cell>
          <cell r="E1232">
            <v>-106.32804332015741</v>
          </cell>
          <cell r="F1232">
            <v>93.177885533598314</v>
          </cell>
          <cell r="G1232">
            <v>7.5118735178687515E-2</v>
          </cell>
          <cell r="H1232">
            <v>7.5118735178687515E-2</v>
          </cell>
          <cell r="I1232" t="e">
            <v>#N/A</v>
          </cell>
          <cell r="J1232" t="e">
            <v>#N/A</v>
          </cell>
          <cell r="K1232">
            <v>75</v>
          </cell>
          <cell r="L1232">
            <v>40</v>
          </cell>
          <cell r="M1232" t="e">
            <v>#N/A</v>
          </cell>
          <cell r="N1232">
            <v>68</v>
          </cell>
          <cell r="O1232" t="e">
            <v>#N/A</v>
          </cell>
          <cell r="P1232" t="str">
            <v/>
          </cell>
          <cell r="Q1232" t="str">
            <v/>
          </cell>
          <cell r="R1232">
            <v>68</v>
          </cell>
        </row>
        <row r="1233">
          <cell r="A1233" t="str">
            <v/>
          </cell>
          <cell r="B1233" t="str">
            <v/>
          </cell>
          <cell r="C1233" t="str">
            <v>Future</v>
          </cell>
          <cell r="D1233" t="e">
            <v>#N/A</v>
          </cell>
          <cell r="E1233">
            <v>-106.58120532806254</v>
          </cell>
          <cell r="F1233">
            <v>93.221166213440213</v>
          </cell>
          <cell r="G1233">
            <v>-1.9940505928031843E-2</v>
          </cell>
          <cell r="H1233">
            <v>-1.9940505928031843E-2</v>
          </cell>
          <cell r="I1233" t="e">
            <v>#N/A</v>
          </cell>
          <cell r="J1233" t="e">
            <v>#N/A</v>
          </cell>
          <cell r="K1233">
            <v>75</v>
          </cell>
          <cell r="L1233">
            <v>40</v>
          </cell>
          <cell r="M1233" t="e">
            <v>#N/A</v>
          </cell>
          <cell r="N1233">
            <v>68</v>
          </cell>
          <cell r="O1233" t="e">
            <v>#N/A</v>
          </cell>
          <cell r="P1233" t="str">
            <v/>
          </cell>
          <cell r="Q1233" t="str">
            <v/>
          </cell>
          <cell r="R1233">
            <v>68</v>
          </cell>
        </row>
        <row r="1234">
          <cell r="A1234" t="str">
            <v/>
          </cell>
          <cell r="B1234" t="str">
            <v/>
          </cell>
          <cell r="C1234" t="str">
            <v>Future</v>
          </cell>
          <cell r="D1234" t="e">
            <v>#N/A</v>
          </cell>
          <cell r="E1234">
            <v>-106.83436733596767</v>
          </cell>
          <cell r="F1234">
            <v>93.264446893282113</v>
          </cell>
          <cell r="G1234">
            <v>-0.1149997470347512</v>
          </cell>
          <cell r="H1234">
            <v>-0.1149997470347512</v>
          </cell>
          <cell r="I1234" t="e">
            <v>#N/A</v>
          </cell>
          <cell r="J1234" t="e">
            <v>#N/A</v>
          </cell>
          <cell r="K1234">
            <v>75</v>
          </cell>
          <cell r="L1234">
            <v>40</v>
          </cell>
          <cell r="M1234" t="e">
            <v>#N/A</v>
          </cell>
          <cell r="N1234">
            <v>68</v>
          </cell>
          <cell r="O1234" t="e">
            <v>#N/A</v>
          </cell>
          <cell r="P1234" t="str">
            <v/>
          </cell>
          <cell r="Q1234" t="str">
            <v/>
          </cell>
          <cell r="R1234">
            <v>68</v>
          </cell>
        </row>
        <row r="1235">
          <cell r="A1235" t="str">
            <v/>
          </cell>
          <cell r="B1235" t="str">
            <v/>
          </cell>
          <cell r="C1235" t="str">
            <v>Future</v>
          </cell>
          <cell r="D1235" t="e">
            <v>#N/A</v>
          </cell>
          <cell r="E1235">
            <v>-107.0875293438728</v>
          </cell>
          <cell r="F1235">
            <v>93.307727573124012</v>
          </cell>
          <cell r="G1235">
            <v>-0.21005898814147056</v>
          </cell>
          <cell r="H1235">
            <v>-0.21005898814147056</v>
          </cell>
          <cell r="I1235" t="e">
            <v>#N/A</v>
          </cell>
          <cell r="J1235" t="e">
            <v>#N/A</v>
          </cell>
          <cell r="K1235">
            <v>75</v>
          </cell>
          <cell r="L1235">
            <v>40</v>
          </cell>
          <cell r="M1235" t="e">
            <v>#N/A</v>
          </cell>
          <cell r="N1235">
            <v>68</v>
          </cell>
          <cell r="O1235" t="e">
            <v>#N/A</v>
          </cell>
          <cell r="P1235" t="str">
            <v/>
          </cell>
          <cell r="Q1235" t="str">
            <v/>
          </cell>
          <cell r="R1235">
            <v>68</v>
          </cell>
        </row>
        <row r="1236">
          <cell r="A1236" t="str">
            <v/>
          </cell>
          <cell r="B1236" t="str">
            <v/>
          </cell>
          <cell r="C1236" t="str">
            <v>Future</v>
          </cell>
          <cell r="D1236" t="e">
            <v>#N/A</v>
          </cell>
          <cell r="E1236">
            <v>-107.34069135177793</v>
          </cell>
          <cell r="F1236">
            <v>93.351008252965912</v>
          </cell>
          <cell r="G1236">
            <v>-0.30511822924818993</v>
          </cell>
          <cell r="H1236">
            <v>-0.30511822924818993</v>
          </cell>
          <cell r="I1236" t="e">
            <v>#N/A</v>
          </cell>
          <cell r="J1236" t="e">
            <v>#N/A</v>
          </cell>
          <cell r="K1236">
            <v>75</v>
          </cell>
          <cell r="L1236">
            <v>40</v>
          </cell>
          <cell r="M1236" t="e">
            <v>#N/A</v>
          </cell>
          <cell r="N1236">
            <v>68</v>
          </cell>
          <cell r="O1236" t="e">
            <v>#N/A</v>
          </cell>
          <cell r="P1236" t="str">
            <v/>
          </cell>
          <cell r="Q1236" t="str">
            <v/>
          </cell>
          <cell r="R1236">
            <v>68</v>
          </cell>
        </row>
        <row r="1237">
          <cell r="A1237" t="str">
            <v/>
          </cell>
          <cell r="B1237" t="str">
            <v/>
          </cell>
          <cell r="C1237" t="str">
            <v>Future</v>
          </cell>
          <cell r="D1237" t="e">
            <v>#N/A</v>
          </cell>
          <cell r="E1237">
            <v>-107.59385335968307</v>
          </cell>
          <cell r="F1237">
            <v>93.394288932807811</v>
          </cell>
          <cell r="G1237">
            <v>-0.4001774703549093</v>
          </cell>
          <cell r="H1237">
            <v>-0.4001774703549093</v>
          </cell>
          <cell r="I1237" t="e">
            <v>#N/A</v>
          </cell>
          <cell r="J1237" t="e">
            <v>#N/A</v>
          </cell>
          <cell r="K1237">
            <v>75</v>
          </cell>
          <cell r="L1237">
            <v>40</v>
          </cell>
          <cell r="M1237" t="e">
            <v>#N/A</v>
          </cell>
          <cell r="N1237">
            <v>68</v>
          </cell>
          <cell r="O1237" t="e">
            <v>#N/A</v>
          </cell>
          <cell r="P1237" t="str">
            <v/>
          </cell>
          <cell r="Q1237" t="str">
            <v/>
          </cell>
          <cell r="R1237">
            <v>68</v>
          </cell>
        </row>
        <row r="1238">
          <cell r="A1238" t="str">
            <v/>
          </cell>
          <cell r="B1238" t="str">
            <v/>
          </cell>
          <cell r="C1238" t="str">
            <v>Future</v>
          </cell>
          <cell r="D1238" t="e">
            <v>#N/A</v>
          </cell>
          <cell r="E1238">
            <v>-107.8470153675882</v>
          </cell>
          <cell r="F1238">
            <v>93.43756961264971</v>
          </cell>
          <cell r="G1238">
            <v>-0.49523671146162868</v>
          </cell>
          <cell r="H1238">
            <v>-0.49523671146162868</v>
          </cell>
          <cell r="I1238" t="e">
            <v>#N/A</v>
          </cell>
          <cell r="J1238" t="e">
            <v>#N/A</v>
          </cell>
          <cell r="K1238">
            <v>75</v>
          </cell>
          <cell r="L1238">
            <v>40</v>
          </cell>
          <cell r="M1238" t="e">
            <v>#N/A</v>
          </cell>
          <cell r="N1238">
            <v>68</v>
          </cell>
          <cell r="O1238" t="e">
            <v>#N/A</v>
          </cell>
          <cell r="P1238" t="str">
            <v/>
          </cell>
          <cell r="Q1238" t="str">
            <v/>
          </cell>
          <cell r="R1238">
            <v>68</v>
          </cell>
        </row>
        <row r="1239">
          <cell r="A1239" t="str">
            <v/>
          </cell>
          <cell r="B1239" t="str">
            <v/>
          </cell>
          <cell r="C1239" t="str">
            <v>Future</v>
          </cell>
          <cell r="D1239" t="e">
            <v>#N/A</v>
          </cell>
          <cell r="E1239">
            <v>-108.10017737549333</v>
          </cell>
          <cell r="F1239">
            <v>93.48085029249161</v>
          </cell>
          <cell r="G1239">
            <v>-0.59029595256834799</v>
          </cell>
          <cell r="H1239">
            <v>-0.59029595256834799</v>
          </cell>
          <cell r="I1239" t="e">
            <v>#N/A</v>
          </cell>
          <cell r="J1239" t="e">
            <v>#N/A</v>
          </cell>
          <cell r="K1239">
            <v>75</v>
          </cell>
          <cell r="L1239">
            <v>40</v>
          </cell>
          <cell r="M1239" t="e">
            <v>#N/A</v>
          </cell>
          <cell r="N1239">
            <v>68</v>
          </cell>
          <cell r="O1239" t="e">
            <v>#N/A</v>
          </cell>
          <cell r="P1239" t="str">
            <v/>
          </cell>
          <cell r="Q1239" t="str">
            <v/>
          </cell>
          <cell r="R1239">
            <v>68</v>
          </cell>
        </row>
        <row r="1240">
          <cell r="A1240" t="str">
            <v/>
          </cell>
          <cell r="B1240" t="str">
            <v/>
          </cell>
          <cell r="C1240" t="str">
            <v>Future</v>
          </cell>
          <cell r="D1240" t="e">
            <v>#N/A</v>
          </cell>
          <cell r="E1240">
            <v>-108.35333938339846</v>
          </cell>
          <cell r="F1240">
            <v>93.524130972333509</v>
          </cell>
          <cell r="G1240">
            <v>-0.68535519367506736</v>
          </cell>
          <cell r="H1240">
            <v>-0.68535519367506736</v>
          </cell>
          <cell r="I1240" t="e">
            <v>#N/A</v>
          </cell>
          <cell r="J1240" t="e">
            <v>#N/A</v>
          </cell>
          <cell r="K1240">
            <v>75</v>
          </cell>
          <cell r="L1240">
            <v>40</v>
          </cell>
          <cell r="M1240" t="e">
            <v>#N/A</v>
          </cell>
          <cell r="N1240">
            <v>68</v>
          </cell>
          <cell r="O1240" t="e">
            <v>#N/A</v>
          </cell>
          <cell r="P1240" t="str">
            <v/>
          </cell>
          <cell r="Q1240" t="str">
            <v/>
          </cell>
          <cell r="R1240">
            <v>68</v>
          </cell>
        </row>
        <row r="1241">
          <cell r="A1241" t="str">
            <v/>
          </cell>
          <cell r="B1241" t="str">
            <v/>
          </cell>
          <cell r="C1241" t="str">
            <v>Future</v>
          </cell>
          <cell r="D1241" t="e">
            <v>#N/A</v>
          </cell>
          <cell r="E1241">
            <v>-108.6065013913036</v>
          </cell>
          <cell r="F1241">
            <v>93.567411652175409</v>
          </cell>
          <cell r="G1241">
            <v>-0.78041443478178674</v>
          </cell>
          <cell r="H1241">
            <v>-0.78041443478178674</v>
          </cell>
          <cell r="I1241" t="e">
            <v>#N/A</v>
          </cell>
          <cell r="J1241" t="e">
            <v>#N/A</v>
          </cell>
          <cell r="K1241">
            <v>75</v>
          </cell>
          <cell r="L1241">
            <v>40</v>
          </cell>
          <cell r="M1241" t="e">
            <v>#N/A</v>
          </cell>
          <cell r="N1241">
            <v>68</v>
          </cell>
          <cell r="O1241" t="e">
            <v>#N/A</v>
          </cell>
          <cell r="P1241" t="str">
            <v/>
          </cell>
          <cell r="Q1241" t="str">
            <v/>
          </cell>
          <cell r="R1241">
            <v>68</v>
          </cell>
        </row>
        <row r="1242">
          <cell r="A1242" t="str">
            <v/>
          </cell>
          <cell r="B1242" t="str">
            <v/>
          </cell>
          <cell r="C1242" t="str">
            <v>Future</v>
          </cell>
          <cell r="D1242" t="e">
            <v>#N/A</v>
          </cell>
          <cell r="E1242">
            <v>-108.85966339920873</v>
          </cell>
          <cell r="F1242">
            <v>93.610692332017308</v>
          </cell>
          <cell r="G1242">
            <v>-0.87547367588850611</v>
          </cell>
          <cell r="H1242">
            <v>-0.87547367588850611</v>
          </cell>
          <cell r="I1242" t="e">
            <v>#N/A</v>
          </cell>
          <cell r="J1242" t="e">
            <v>#N/A</v>
          </cell>
          <cell r="K1242">
            <v>75</v>
          </cell>
          <cell r="L1242">
            <v>40</v>
          </cell>
          <cell r="M1242" t="e">
            <v>#N/A</v>
          </cell>
          <cell r="N1242">
            <v>68</v>
          </cell>
          <cell r="O1242" t="e">
            <v>#N/A</v>
          </cell>
          <cell r="P1242" t="str">
            <v/>
          </cell>
          <cell r="Q1242" t="str">
            <v/>
          </cell>
          <cell r="R1242">
            <v>68</v>
          </cell>
        </row>
        <row r="1243">
          <cell r="A1243" t="str">
            <v/>
          </cell>
          <cell r="B1243" t="str">
            <v/>
          </cell>
          <cell r="C1243" t="str">
            <v>Future</v>
          </cell>
          <cell r="D1243" t="e">
            <v>#N/A</v>
          </cell>
          <cell r="E1243">
            <v>-109.11282540711386</v>
          </cell>
          <cell r="F1243">
            <v>93.653973011859208</v>
          </cell>
          <cell r="G1243">
            <v>-0.97053291699522548</v>
          </cell>
          <cell r="H1243">
            <v>-0.97053291699522548</v>
          </cell>
          <cell r="I1243" t="e">
            <v>#N/A</v>
          </cell>
          <cell r="J1243" t="e">
            <v>#N/A</v>
          </cell>
          <cell r="K1243">
            <v>75</v>
          </cell>
          <cell r="L1243">
            <v>40</v>
          </cell>
          <cell r="M1243" t="e">
            <v>#N/A</v>
          </cell>
          <cell r="N1243">
            <v>68</v>
          </cell>
          <cell r="O1243" t="e">
            <v>#N/A</v>
          </cell>
          <cell r="P1243" t="str">
            <v/>
          </cell>
          <cell r="Q1243" t="str">
            <v/>
          </cell>
          <cell r="R1243">
            <v>68</v>
          </cell>
        </row>
        <row r="1244">
          <cell r="A1244" t="str">
            <v/>
          </cell>
          <cell r="B1244" t="str">
            <v/>
          </cell>
          <cell r="C1244" t="str">
            <v>Future</v>
          </cell>
          <cell r="D1244" t="e">
            <v>#N/A</v>
          </cell>
          <cell r="E1244">
            <v>-109.36598741501899</v>
          </cell>
          <cell r="F1244">
            <v>93.697253691701107</v>
          </cell>
          <cell r="G1244">
            <v>-1.0655921581019447</v>
          </cell>
          <cell r="H1244">
            <v>-1.0655921581019447</v>
          </cell>
          <cell r="I1244" t="e">
            <v>#N/A</v>
          </cell>
          <cell r="J1244" t="e">
            <v>#N/A</v>
          </cell>
          <cell r="K1244">
            <v>75</v>
          </cell>
          <cell r="L1244">
            <v>40</v>
          </cell>
          <cell r="M1244" t="e">
            <v>#N/A</v>
          </cell>
          <cell r="N1244">
            <v>68</v>
          </cell>
          <cell r="O1244" t="e">
            <v>#N/A</v>
          </cell>
          <cell r="P1244" t="str">
            <v/>
          </cell>
          <cell r="Q1244" t="str">
            <v/>
          </cell>
          <cell r="R1244">
            <v>68</v>
          </cell>
        </row>
        <row r="1245">
          <cell r="A1245" t="str">
            <v/>
          </cell>
          <cell r="B1245" t="str">
            <v/>
          </cell>
          <cell r="C1245" t="str">
            <v>Future</v>
          </cell>
          <cell r="D1245" t="e">
            <v>#N/A</v>
          </cell>
          <cell r="E1245">
            <v>-109.61914942292412</v>
          </cell>
          <cell r="F1245">
            <v>93.740534371543006</v>
          </cell>
          <cell r="G1245">
            <v>-1.160651399208664</v>
          </cell>
          <cell r="H1245">
            <v>-1.160651399208664</v>
          </cell>
          <cell r="I1245" t="e">
            <v>#N/A</v>
          </cell>
          <cell r="J1245" t="e">
            <v>#N/A</v>
          </cell>
          <cell r="K1245">
            <v>75</v>
          </cell>
          <cell r="L1245">
            <v>40</v>
          </cell>
          <cell r="M1245" t="e">
            <v>#N/A</v>
          </cell>
          <cell r="N1245">
            <v>68</v>
          </cell>
          <cell r="O1245" t="e">
            <v>#N/A</v>
          </cell>
          <cell r="P1245" t="str">
            <v/>
          </cell>
          <cell r="Q1245" t="str">
            <v/>
          </cell>
          <cell r="R1245">
            <v>68</v>
          </cell>
        </row>
        <row r="1246">
          <cell r="A1246" t="str">
            <v/>
          </cell>
          <cell r="B1246" t="str">
            <v/>
          </cell>
          <cell r="C1246" t="str">
            <v>Future</v>
          </cell>
          <cell r="D1246" t="e">
            <v>#N/A</v>
          </cell>
          <cell r="E1246">
            <v>-109.87231143082926</v>
          </cell>
          <cell r="F1246">
            <v>93.783815051384906</v>
          </cell>
          <cell r="G1246">
            <v>-1.2557106403153833</v>
          </cell>
          <cell r="H1246">
            <v>-1.2557106403153833</v>
          </cell>
          <cell r="I1246" t="e">
            <v>#N/A</v>
          </cell>
          <cell r="J1246" t="e">
            <v>#N/A</v>
          </cell>
          <cell r="K1246">
            <v>75</v>
          </cell>
          <cell r="L1246">
            <v>40</v>
          </cell>
          <cell r="M1246" t="e">
            <v>#N/A</v>
          </cell>
          <cell r="N1246">
            <v>68</v>
          </cell>
          <cell r="O1246" t="e">
            <v>#N/A</v>
          </cell>
          <cell r="P1246" t="str">
            <v/>
          </cell>
          <cell r="Q1246" t="str">
            <v/>
          </cell>
          <cell r="R1246">
            <v>68</v>
          </cell>
        </row>
        <row r="1247">
          <cell r="A1247" t="str">
            <v/>
          </cell>
          <cell r="B1247" t="str">
            <v/>
          </cell>
          <cell r="C1247" t="str">
            <v>Future</v>
          </cell>
          <cell r="D1247" t="e">
            <v>#N/A</v>
          </cell>
          <cell r="E1247">
            <v>-110.12547343873439</v>
          </cell>
          <cell r="F1247">
            <v>93.827095731226805</v>
          </cell>
          <cell r="G1247">
            <v>-1.3507698814221025</v>
          </cell>
          <cell r="H1247">
            <v>-1.3507698814221025</v>
          </cell>
          <cell r="I1247" t="e">
            <v>#N/A</v>
          </cell>
          <cell r="J1247" t="e">
            <v>#N/A</v>
          </cell>
          <cell r="K1247">
            <v>75</v>
          </cell>
          <cell r="L1247">
            <v>40</v>
          </cell>
          <cell r="M1247" t="e">
            <v>#N/A</v>
          </cell>
          <cell r="N1247">
            <v>68</v>
          </cell>
          <cell r="O1247" t="e">
            <v>#N/A</v>
          </cell>
          <cell r="P1247" t="str">
            <v/>
          </cell>
          <cell r="Q1247" t="str">
            <v/>
          </cell>
          <cell r="R1247">
            <v>68</v>
          </cell>
        </row>
        <row r="1248">
          <cell r="A1248" t="str">
            <v/>
          </cell>
          <cell r="B1248" t="str">
            <v/>
          </cell>
          <cell r="C1248" t="str">
            <v>Future</v>
          </cell>
          <cell r="D1248" t="e">
            <v>#N/A</v>
          </cell>
          <cell r="E1248">
            <v>-110.37863544663952</v>
          </cell>
          <cell r="F1248">
            <v>93.870376411068705</v>
          </cell>
          <cell r="G1248">
            <v>-1.4458291225288218</v>
          </cell>
          <cell r="H1248">
            <v>-1.4458291225288218</v>
          </cell>
          <cell r="I1248" t="e">
            <v>#N/A</v>
          </cell>
          <cell r="J1248" t="e">
            <v>#N/A</v>
          </cell>
          <cell r="K1248">
            <v>75</v>
          </cell>
          <cell r="L1248">
            <v>40</v>
          </cell>
          <cell r="M1248" t="e">
            <v>#N/A</v>
          </cell>
          <cell r="N1248">
            <v>68</v>
          </cell>
          <cell r="O1248" t="e">
            <v>#N/A</v>
          </cell>
          <cell r="P1248" t="str">
            <v/>
          </cell>
          <cell r="Q1248" t="str">
            <v/>
          </cell>
          <cell r="R1248">
            <v>68</v>
          </cell>
        </row>
        <row r="1249">
          <cell r="A1249" t="str">
            <v/>
          </cell>
          <cell r="B1249" t="str">
            <v/>
          </cell>
          <cell r="C1249" t="str">
            <v>Future</v>
          </cell>
          <cell r="D1249" t="e">
            <v>#N/A</v>
          </cell>
          <cell r="E1249">
            <v>-110.63179745454465</v>
          </cell>
          <cell r="F1249">
            <v>93.913657090910604</v>
          </cell>
          <cell r="G1249">
            <v>-1.540888363635541</v>
          </cell>
          <cell r="H1249">
            <v>-1.540888363635541</v>
          </cell>
          <cell r="I1249" t="e">
            <v>#N/A</v>
          </cell>
          <cell r="J1249" t="e">
            <v>#N/A</v>
          </cell>
          <cell r="K1249">
            <v>75</v>
          </cell>
          <cell r="L1249">
            <v>40</v>
          </cell>
          <cell r="M1249" t="e">
            <v>#N/A</v>
          </cell>
          <cell r="N1249">
            <v>68</v>
          </cell>
          <cell r="O1249" t="e">
            <v>#N/A</v>
          </cell>
          <cell r="P1249" t="str">
            <v/>
          </cell>
          <cell r="Q1249" t="str">
            <v/>
          </cell>
          <cell r="R1249">
            <v>68</v>
          </cell>
        </row>
        <row r="1250">
          <cell r="A1250" t="str">
            <v/>
          </cell>
          <cell r="B1250" t="str">
            <v/>
          </cell>
          <cell r="C1250" t="str">
            <v>Future</v>
          </cell>
          <cell r="D1250" t="e">
            <v>#N/A</v>
          </cell>
          <cell r="E1250">
            <v>-110.88495946244979</v>
          </cell>
          <cell r="F1250">
            <v>93.956937770752504</v>
          </cell>
          <cell r="G1250">
            <v>-1.6359476047422603</v>
          </cell>
          <cell r="H1250">
            <v>-1.6359476047422603</v>
          </cell>
          <cell r="I1250" t="e">
            <v>#N/A</v>
          </cell>
          <cell r="J1250" t="e">
            <v>#N/A</v>
          </cell>
          <cell r="K1250">
            <v>75</v>
          </cell>
          <cell r="L1250">
            <v>40</v>
          </cell>
          <cell r="M1250" t="e">
            <v>#N/A</v>
          </cell>
          <cell r="N1250">
            <v>68</v>
          </cell>
          <cell r="O1250" t="e">
            <v>#N/A</v>
          </cell>
          <cell r="P1250" t="str">
            <v/>
          </cell>
          <cell r="Q1250" t="str">
            <v/>
          </cell>
          <cell r="R1250">
            <v>68</v>
          </cell>
        </row>
        <row r="1251">
          <cell r="A1251" t="str">
            <v/>
          </cell>
          <cell r="B1251" t="str">
            <v/>
          </cell>
          <cell r="C1251" t="str">
            <v>Future</v>
          </cell>
          <cell r="D1251" t="e">
            <v>#N/A</v>
          </cell>
          <cell r="E1251">
            <v>-111.13812147035492</v>
          </cell>
          <cell r="F1251">
            <v>94.000218450594403</v>
          </cell>
          <cell r="G1251">
            <v>-1.7310068458489796</v>
          </cell>
          <cell r="H1251">
            <v>-1.7310068458489796</v>
          </cell>
          <cell r="I1251" t="e">
            <v>#N/A</v>
          </cell>
          <cell r="J1251" t="e">
            <v>#N/A</v>
          </cell>
          <cell r="K1251">
            <v>75</v>
          </cell>
          <cell r="L1251">
            <v>40</v>
          </cell>
          <cell r="M1251" t="e">
            <v>#N/A</v>
          </cell>
          <cell r="N1251">
            <v>68</v>
          </cell>
          <cell r="O1251" t="e">
            <v>#N/A</v>
          </cell>
          <cell r="P1251" t="str">
            <v/>
          </cell>
          <cell r="Q1251" t="str">
            <v/>
          </cell>
          <cell r="R1251">
            <v>68</v>
          </cell>
        </row>
        <row r="1252">
          <cell r="A1252" t="str">
            <v/>
          </cell>
          <cell r="B1252" t="str">
            <v/>
          </cell>
          <cell r="C1252" t="str">
            <v>Future</v>
          </cell>
          <cell r="D1252" t="e">
            <v>#N/A</v>
          </cell>
          <cell r="E1252">
            <v>-111.39128347826005</v>
          </cell>
          <cell r="F1252">
            <v>94.043499130436302</v>
          </cell>
          <cell r="G1252">
            <v>-1.8260660869556988</v>
          </cell>
          <cell r="H1252">
            <v>-1.8260660869556988</v>
          </cell>
          <cell r="I1252" t="e">
            <v>#N/A</v>
          </cell>
          <cell r="J1252" t="e">
            <v>#N/A</v>
          </cell>
          <cell r="K1252">
            <v>75</v>
          </cell>
          <cell r="L1252">
            <v>40</v>
          </cell>
          <cell r="M1252" t="e">
            <v>#N/A</v>
          </cell>
          <cell r="N1252">
            <v>68</v>
          </cell>
          <cell r="O1252" t="e">
            <v>#N/A</v>
          </cell>
          <cell r="P1252" t="str">
            <v/>
          </cell>
          <cell r="Q1252" t="str">
            <v/>
          </cell>
          <cell r="R1252">
            <v>68</v>
          </cell>
        </row>
        <row r="1253">
          <cell r="A1253" t="str">
            <v/>
          </cell>
          <cell r="P1253" t="str">
            <v/>
          </cell>
          <cell r="Q1253" t="str">
            <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Model"/>
      <sheetName val="Revenue"/>
      <sheetName val="Aetna"/>
      <sheetName val="Assumptions"/>
      <sheetName val="Shares"/>
      <sheetName val="Options Expensing"/>
      <sheetName val="Debt"/>
      <sheetName val="Disclaimer"/>
      <sheetName val="__FDSCACHE__"/>
      <sheetName val="DCF"/>
      <sheetName val="WACC"/>
      <sheetName val="WC"/>
      <sheetName val="Valuation"/>
      <sheetName val="New Products"/>
      <sheetName val="Valuation Matrix"/>
      <sheetName val="Products"/>
      <sheetName val="Charts"/>
      <sheetName val="CUS Image(OLD)"/>
      <sheetName val="CUS Image"/>
      <sheetName val="Module1"/>
      <sheetName val="Module2"/>
    </sheetNames>
    <sheetDataSet>
      <sheetData sheetId="0" refreshError="1"/>
      <sheetData sheetId="1" refreshError="1">
        <row r="5">
          <cell r="D5">
            <v>36586</v>
          </cell>
          <cell r="E5">
            <v>36678</v>
          </cell>
          <cell r="F5">
            <v>36770</v>
          </cell>
          <cell r="G5">
            <v>36861</v>
          </cell>
          <cell r="I5">
            <v>36951</v>
          </cell>
          <cell r="J5">
            <v>37043</v>
          </cell>
          <cell r="K5">
            <v>37135</v>
          </cell>
          <cell r="L5">
            <v>37226</v>
          </cell>
          <cell r="N5">
            <v>37316</v>
          </cell>
          <cell r="O5">
            <v>37408</v>
          </cell>
          <cell r="P5">
            <v>37500</v>
          </cell>
          <cell r="Q5">
            <v>37591</v>
          </cell>
          <cell r="S5">
            <v>37681</v>
          </cell>
          <cell r="T5">
            <v>37773</v>
          </cell>
          <cell r="U5">
            <v>37865</v>
          </cell>
          <cell r="V5">
            <v>37956</v>
          </cell>
          <cell r="X5">
            <v>38047</v>
          </cell>
          <cell r="Y5">
            <v>38139</v>
          </cell>
          <cell r="Z5">
            <v>38231</v>
          </cell>
          <cell r="AA5">
            <v>38322</v>
          </cell>
          <cell r="AC5">
            <v>38412</v>
          </cell>
          <cell r="AD5">
            <v>38504</v>
          </cell>
          <cell r="AE5">
            <v>38596</v>
          </cell>
          <cell r="AF5">
            <v>38687</v>
          </cell>
        </row>
        <row r="6">
          <cell r="D6" t="str">
            <v>Fiscal Year End, December 2000</v>
          </cell>
          <cell r="I6" t="str">
            <v>Fiscal Year End, December 2001</v>
          </cell>
          <cell r="N6" t="str">
            <v>Fiscal Year End, December 2002</v>
          </cell>
          <cell r="S6" t="str">
            <v>Fiscal Year End, December 2003</v>
          </cell>
          <cell r="X6" t="str">
            <v>Fiscal Year End, December 2004</v>
          </cell>
          <cell r="AC6" t="str">
            <v>Fiscal Year End, December 2005</v>
          </cell>
        </row>
        <row r="7">
          <cell r="D7" t="str">
            <v>1QA</v>
          </cell>
          <cell r="E7" t="str">
            <v>2QA</v>
          </cell>
          <cell r="F7" t="str">
            <v>3QA</v>
          </cell>
          <cell r="G7" t="str">
            <v>4QA</v>
          </cell>
          <cell r="H7" t="str">
            <v>FY00</v>
          </cell>
          <cell r="I7" t="str">
            <v>1QA</v>
          </cell>
          <cell r="J7" t="str">
            <v>2QA</v>
          </cell>
          <cell r="K7" t="str">
            <v>3QA</v>
          </cell>
          <cell r="L7" t="str">
            <v>4QA</v>
          </cell>
          <cell r="M7" t="str">
            <v>FY01</v>
          </cell>
          <cell r="N7" t="str">
            <v>1QA</v>
          </cell>
          <cell r="O7" t="str">
            <v>2QA</v>
          </cell>
          <cell r="P7" t="str">
            <v>3QA</v>
          </cell>
          <cell r="Q7" t="str">
            <v>4QA</v>
          </cell>
          <cell r="R7" t="str">
            <v>FY02</v>
          </cell>
          <cell r="S7" t="str">
            <v>1QA</v>
          </cell>
          <cell r="T7" t="str">
            <v>2QA</v>
          </cell>
          <cell r="U7" t="str">
            <v>3QA</v>
          </cell>
          <cell r="V7" t="str">
            <v>4QA</v>
          </cell>
          <cell r="W7" t="str">
            <v>FY03</v>
          </cell>
          <cell r="X7" t="str">
            <v>1QA</v>
          </cell>
          <cell r="Y7" t="str">
            <v>2QA</v>
          </cell>
          <cell r="Z7" t="str">
            <v>3QA</v>
          </cell>
          <cell r="AA7" t="str">
            <v>4QA</v>
          </cell>
          <cell r="AB7" t="str">
            <v>FY04</v>
          </cell>
          <cell r="AC7" t="str">
            <v>1QA</v>
          </cell>
          <cell r="AD7" t="str">
            <v>2QE</v>
          </cell>
          <cell r="AE7" t="str">
            <v>3QE</v>
          </cell>
          <cell r="AF7" t="str">
            <v>4QE</v>
          </cell>
          <cell r="AG7" t="str">
            <v>FY 05E</v>
          </cell>
        </row>
        <row r="8">
          <cell r="D8">
            <v>136.553</v>
          </cell>
          <cell r="E8">
            <v>146.18600000000001</v>
          </cell>
          <cell r="F8">
            <v>147.72499999999999</v>
          </cell>
          <cell r="G8">
            <v>154.19299999999998</v>
          </cell>
          <cell r="H8">
            <v>584.65700000000004</v>
          </cell>
          <cell r="I8">
            <v>168.346</v>
          </cell>
          <cell r="J8">
            <v>200.578</v>
          </cell>
          <cell r="K8">
            <v>209.72399999999999</v>
          </cell>
          <cell r="L8">
            <v>226.47200000000009</v>
          </cell>
          <cell r="M8">
            <v>805.12</v>
          </cell>
          <cell r="N8">
            <v>266.45699999999999</v>
          </cell>
          <cell r="O8">
            <v>290.99900000000002</v>
          </cell>
          <cell r="P8">
            <v>306.00900000000001</v>
          </cell>
          <cell r="Q8">
            <v>336.92600000000004</v>
          </cell>
          <cell r="R8">
            <v>1200.3910000000001</v>
          </cell>
          <cell r="S8">
            <v>351.529</v>
          </cell>
          <cell r="T8">
            <v>350.50700000000001</v>
          </cell>
          <cell r="U8">
            <v>362.85500000000002</v>
          </cell>
          <cell r="V8">
            <v>396.91999999999985</v>
          </cell>
          <cell r="W8">
            <v>1461.8109999999999</v>
          </cell>
          <cell r="X8">
            <v>401.24299999999999</v>
          </cell>
          <cell r="Y8">
            <v>438.452</v>
          </cell>
          <cell r="Z8">
            <v>440.15899999999999</v>
          </cell>
          <cell r="AA8">
            <v>459.76400000000001</v>
          </cell>
          <cell r="AB8">
            <v>1739.6179999999999</v>
          </cell>
          <cell r="AC8">
            <v>486.74099999999999</v>
          </cell>
          <cell r="AD8">
            <v>562.25379679909997</v>
          </cell>
          <cell r="AE8">
            <v>593.29297947792497</v>
          </cell>
          <cell r="AF8">
            <v>642.55720016895998</v>
          </cell>
          <cell r="AG8">
            <v>2284.8449764459847</v>
          </cell>
        </row>
        <row r="9">
          <cell r="D9">
            <v>119.661</v>
          </cell>
          <cell r="E9">
            <v>129.005</v>
          </cell>
          <cell r="F9">
            <v>130.328</v>
          </cell>
          <cell r="G9">
            <v>135.36599999999999</v>
          </cell>
          <cell r="H9">
            <v>514.36</v>
          </cell>
          <cell r="I9">
            <v>146.73599999999999</v>
          </cell>
          <cell r="J9">
            <v>178.61199999999999</v>
          </cell>
          <cell r="K9">
            <v>186.542</v>
          </cell>
          <cell r="L9">
            <v>201.08100000000002</v>
          </cell>
          <cell r="M9">
            <v>712.971</v>
          </cell>
          <cell r="N9">
            <v>236.62700000000001</v>
          </cell>
          <cell r="O9">
            <v>258.10300000000001</v>
          </cell>
          <cell r="P9">
            <v>270.67099999999999</v>
          </cell>
          <cell r="Q9">
            <v>297.77999999999992</v>
          </cell>
          <cell r="R9">
            <v>1063.181</v>
          </cell>
          <cell r="S9">
            <v>311.24400000000003</v>
          </cell>
          <cell r="T9">
            <v>312.72300000000001</v>
          </cell>
          <cell r="U9">
            <v>323.483</v>
          </cell>
          <cell r="V9">
            <v>352.49800000000016</v>
          </cell>
          <cell r="W9">
            <v>1299.9480000000001</v>
          </cell>
          <cell r="X9">
            <v>358.23</v>
          </cell>
          <cell r="Y9">
            <v>392.58499999999998</v>
          </cell>
          <cell r="Z9">
            <v>388.33199999999999</v>
          </cell>
          <cell r="AA9">
            <v>407.58</v>
          </cell>
          <cell r="AB9">
            <v>1546.7269999999999</v>
          </cell>
          <cell r="AC9">
            <v>433.39400000000001</v>
          </cell>
          <cell r="AD9">
            <v>502.52960330365795</v>
          </cell>
          <cell r="AE9">
            <v>528.09035196200693</v>
          </cell>
          <cell r="AF9">
            <v>571.30107404447801</v>
          </cell>
          <cell r="AG9">
            <v>2035.315029310143</v>
          </cell>
        </row>
        <row r="10">
          <cell r="D10">
            <v>16.891999999999996</v>
          </cell>
          <cell r="E10">
            <v>17.181000000000012</v>
          </cell>
          <cell r="F10">
            <v>17.396999999999991</v>
          </cell>
          <cell r="G10">
            <v>18.826999999999998</v>
          </cell>
          <cell r="H10">
            <v>70.297000000000025</v>
          </cell>
          <cell r="I10">
            <v>21.610000000000014</v>
          </cell>
          <cell r="J10">
            <v>21.966000000000008</v>
          </cell>
          <cell r="K10">
            <v>23.181999999999988</v>
          </cell>
          <cell r="L10">
            <v>25.391000000000076</v>
          </cell>
          <cell r="M10">
            <v>92.149000000000001</v>
          </cell>
          <cell r="N10">
            <v>29.829999999999984</v>
          </cell>
          <cell r="O10">
            <v>32.896000000000015</v>
          </cell>
          <cell r="P10">
            <v>35.338000000000022</v>
          </cell>
          <cell r="Q10">
            <v>39.146000000000129</v>
          </cell>
          <cell r="R10">
            <v>137.21000000000004</v>
          </cell>
          <cell r="S10">
            <v>40.284999999999968</v>
          </cell>
          <cell r="T10">
            <v>37.783999999999992</v>
          </cell>
          <cell r="U10">
            <v>39.372000000000014</v>
          </cell>
          <cell r="V10">
            <v>44.421999999999684</v>
          </cell>
          <cell r="W10">
            <v>161.86299999999983</v>
          </cell>
          <cell r="X10">
            <v>43.012999999999977</v>
          </cell>
          <cell r="Y10">
            <v>45.867000000000019</v>
          </cell>
          <cell r="Z10">
            <v>51.826999999999998</v>
          </cell>
          <cell r="AA10">
            <v>52.184000000000026</v>
          </cell>
          <cell r="AB10">
            <v>192.89100000000008</v>
          </cell>
          <cell r="AC10">
            <v>53.34699999999998</v>
          </cell>
          <cell r="AD10">
            <v>59.724193495442002</v>
          </cell>
          <cell r="AE10">
            <v>65.202627515917996</v>
          </cell>
          <cell r="AF10">
            <v>71.256126124481995</v>
          </cell>
          <cell r="AG10">
            <v>249.52994713584198</v>
          </cell>
        </row>
        <row r="13">
          <cell r="D13">
            <v>6.7930000000000001</v>
          </cell>
          <cell r="E13">
            <v>6.8730000000000002</v>
          </cell>
          <cell r="F13">
            <v>6.6680000000000001</v>
          </cell>
          <cell r="G13">
            <v>10.978999999999999</v>
          </cell>
          <cell r="H13">
            <v>31.312999999999999</v>
          </cell>
          <cell r="I13">
            <v>8.9809999999999999</v>
          </cell>
          <cell r="J13">
            <v>15.653</v>
          </cell>
          <cell r="K13">
            <v>11.292999999999999</v>
          </cell>
          <cell r="L13">
            <v>12.421999999999997</v>
          </cell>
          <cell r="M13">
            <v>48.348999999999997</v>
          </cell>
          <cell r="N13">
            <v>14.661</v>
          </cell>
          <cell r="O13">
            <v>15.773</v>
          </cell>
          <cell r="P13">
            <v>16.457999999999998</v>
          </cell>
          <cell r="Q13">
            <v>18.067000000000007</v>
          </cell>
          <cell r="R13">
            <v>64.959000000000003</v>
          </cell>
          <cell r="S13">
            <v>18.725000000000001</v>
          </cell>
          <cell r="T13">
            <v>18.8</v>
          </cell>
          <cell r="U13">
            <v>18.981000000000002</v>
          </cell>
          <cell r="V13">
            <v>21.425999999999995</v>
          </cell>
          <cell r="W13">
            <v>77.932000000000002</v>
          </cell>
          <cell r="X13">
            <v>22.158000000000001</v>
          </cell>
          <cell r="Y13">
            <v>23.414000000000001</v>
          </cell>
          <cell r="Z13">
            <v>29.268999999999998</v>
          </cell>
          <cell r="AA13">
            <v>33.356000000000002</v>
          </cell>
          <cell r="AB13">
            <v>108.197</v>
          </cell>
          <cell r="AC13">
            <v>36.195999999999998</v>
          </cell>
          <cell r="AD13">
            <v>38.627697023629985</v>
          </cell>
          <cell r="AE13">
            <v>39.181736722785651</v>
          </cell>
          <cell r="AF13">
            <v>39.583525662887077</v>
          </cell>
          <cell r="AG13">
            <v>153.58613622055771</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row>
        <row r="15">
          <cell r="D15">
            <v>0</v>
          </cell>
          <cell r="E15">
            <v>0</v>
          </cell>
          <cell r="F15">
            <v>0</v>
          </cell>
          <cell r="G15">
            <v>0</v>
          </cell>
          <cell r="H15">
            <v>0</v>
          </cell>
          <cell r="I15">
            <v>0</v>
          </cell>
          <cell r="J15">
            <v>2.0190000000000001</v>
          </cell>
          <cell r="K15">
            <v>0</v>
          </cell>
          <cell r="L15">
            <v>0</v>
          </cell>
          <cell r="M15">
            <v>2.0190000000000001</v>
          </cell>
          <cell r="N15">
            <v>0</v>
          </cell>
          <cell r="O15">
            <v>0</v>
          </cell>
          <cell r="P15">
            <v>0</v>
          </cell>
          <cell r="Q15">
            <v>2.3860000000000001</v>
          </cell>
          <cell r="R15">
            <v>2.3860000000000001</v>
          </cell>
          <cell r="S15">
            <v>0</v>
          </cell>
          <cell r="T15">
            <v>0</v>
          </cell>
          <cell r="U15">
            <v>0</v>
          </cell>
          <cell r="V15">
            <v>0</v>
          </cell>
          <cell r="W15">
            <v>0</v>
          </cell>
          <cell r="X15">
            <v>0</v>
          </cell>
          <cell r="Y15">
            <v>1.3169999999999999</v>
          </cell>
          <cell r="Z15">
            <v>0</v>
          </cell>
          <cell r="AA15">
            <v>0</v>
          </cell>
          <cell r="AB15">
            <v>1.3169999999999999</v>
          </cell>
          <cell r="AC15">
            <v>0</v>
          </cell>
          <cell r="AD15">
            <v>0</v>
          </cell>
          <cell r="AE15">
            <v>0</v>
          </cell>
          <cell r="AF15">
            <v>0</v>
          </cell>
          <cell r="AG15">
            <v>0</v>
          </cell>
        </row>
        <row r="16">
          <cell r="D16">
            <v>0.34499999999999997</v>
          </cell>
          <cell r="E16">
            <v>0.34499999999999997</v>
          </cell>
          <cell r="F16">
            <v>0.34499999999999997</v>
          </cell>
          <cell r="G16">
            <v>0.30000000000000004</v>
          </cell>
          <cell r="H16">
            <v>1.335</v>
          </cell>
          <cell r="I16">
            <v>0.52900000000000003</v>
          </cell>
          <cell r="J16">
            <v>0.92600000000000005</v>
          </cell>
          <cell r="K16">
            <v>0.95299999999999996</v>
          </cell>
          <cell r="L16">
            <v>0.99199999999999999</v>
          </cell>
          <cell r="M16">
            <v>3.4</v>
          </cell>
          <cell r="N16">
            <v>0.64600000000000002</v>
          </cell>
          <cell r="O16">
            <v>0.65700000000000003</v>
          </cell>
          <cell r="P16">
            <v>0.67700000000000005</v>
          </cell>
          <cell r="Q16">
            <v>0.77999999999999969</v>
          </cell>
          <cell r="R16">
            <v>2.76</v>
          </cell>
          <cell r="S16">
            <v>0.92700000000000005</v>
          </cell>
          <cell r="T16">
            <v>1.083</v>
          </cell>
          <cell r="U16">
            <v>1.127</v>
          </cell>
          <cell r="V16">
            <v>1.1359999999999997</v>
          </cell>
          <cell r="W16">
            <v>4.2729999999999997</v>
          </cell>
          <cell r="X16">
            <v>1.369</v>
          </cell>
          <cell r="Y16">
            <v>1.43</v>
          </cell>
          <cell r="Z16">
            <v>1.778</v>
          </cell>
          <cell r="AA16">
            <v>2.0139999999999998</v>
          </cell>
          <cell r="AB16">
            <v>6.5909999999999993</v>
          </cell>
          <cell r="AC16">
            <v>2.6150000000000002</v>
          </cell>
          <cell r="AD16">
            <v>2.9217499999999998</v>
          </cell>
          <cell r="AE16">
            <v>3.3342499999999999</v>
          </cell>
          <cell r="AF16">
            <v>3.3342499999999999</v>
          </cell>
          <cell r="AG16">
            <v>12.205249999999999</v>
          </cell>
        </row>
        <row r="17">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row>
        <row r="18">
          <cell r="D18">
            <v>7.1379999999999999</v>
          </cell>
          <cell r="E18">
            <v>7.218</v>
          </cell>
          <cell r="F18">
            <v>7.0129999999999999</v>
          </cell>
          <cell r="G18">
            <v>11.279</v>
          </cell>
          <cell r="H18">
            <v>32.647999999999996</v>
          </cell>
          <cell r="I18">
            <v>9.51</v>
          </cell>
          <cell r="J18">
            <v>18.597999999999999</v>
          </cell>
          <cell r="K18">
            <v>12.245999999999999</v>
          </cell>
          <cell r="L18">
            <v>13.413999999999998</v>
          </cell>
          <cell r="M18">
            <v>53.767999999999994</v>
          </cell>
          <cell r="N18">
            <v>15.307</v>
          </cell>
          <cell r="O18">
            <v>16.43</v>
          </cell>
          <cell r="P18">
            <v>17.134999999999998</v>
          </cell>
          <cell r="Q18">
            <v>21.233000000000008</v>
          </cell>
          <cell r="R18">
            <v>70.105000000000004</v>
          </cell>
          <cell r="S18">
            <v>19.652000000000001</v>
          </cell>
          <cell r="T18">
            <v>19.882999999999999</v>
          </cell>
          <cell r="U18">
            <v>20.108000000000001</v>
          </cell>
          <cell r="V18">
            <v>22.561999999999994</v>
          </cell>
          <cell r="W18">
            <v>82.204999999999998</v>
          </cell>
          <cell r="X18">
            <v>23.527000000000001</v>
          </cell>
          <cell r="Y18">
            <v>26.161000000000001</v>
          </cell>
          <cell r="Z18">
            <v>31.046999999999997</v>
          </cell>
          <cell r="AA18">
            <v>35.370000000000005</v>
          </cell>
          <cell r="AB18">
            <v>116.10499999999999</v>
          </cell>
          <cell r="AC18">
            <v>38.811</v>
          </cell>
          <cell r="AD18">
            <v>41.549447023629988</v>
          </cell>
          <cell r="AE18">
            <v>42.515986722785648</v>
          </cell>
          <cell r="AF18">
            <v>42.917775662887074</v>
          </cell>
          <cell r="AG18">
            <v>165.79138622055771</v>
          </cell>
        </row>
        <row r="19">
          <cell r="D19">
            <v>9.753999999999996</v>
          </cell>
          <cell r="E19">
            <v>9.9630000000000116</v>
          </cell>
          <cell r="F19">
            <v>10.383999999999991</v>
          </cell>
          <cell r="G19">
            <v>7.5479999999999983</v>
          </cell>
          <cell r="H19">
            <v>37.649000000000029</v>
          </cell>
          <cell r="I19">
            <v>12.100000000000014</v>
          </cell>
          <cell r="J19">
            <v>3.3680000000000092</v>
          </cell>
          <cell r="K19">
            <v>10.935999999999989</v>
          </cell>
          <cell r="L19">
            <v>11.977000000000078</v>
          </cell>
          <cell r="M19">
            <v>38.381000000000007</v>
          </cell>
          <cell r="N19">
            <v>14.522999999999984</v>
          </cell>
          <cell r="O19">
            <v>16.466000000000015</v>
          </cell>
          <cell r="P19">
            <v>18.203000000000024</v>
          </cell>
          <cell r="Q19">
            <v>17.913000000000121</v>
          </cell>
          <cell r="R19">
            <v>67.105000000000032</v>
          </cell>
          <cell r="S19">
            <v>20.632999999999967</v>
          </cell>
          <cell r="T19">
            <v>17.900999999999993</v>
          </cell>
          <cell r="U19">
            <v>19.264000000000014</v>
          </cell>
          <cell r="V19">
            <v>21.85999999999969</v>
          </cell>
          <cell r="W19">
            <v>79.657999999999831</v>
          </cell>
          <cell r="X19">
            <v>19.485999999999976</v>
          </cell>
          <cell r="Y19">
            <v>19.706000000000017</v>
          </cell>
          <cell r="Z19">
            <v>20.78</v>
          </cell>
          <cell r="AA19">
            <v>16.814000000000021</v>
          </cell>
          <cell r="AB19">
            <v>76.786000000000087</v>
          </cell>
          <cell r="AC19">
            <v>14.53599999999998</v>
          </cell>
          <cell r="AD19">
            <v>18.174746471812014</v>
          </cell>
          <cell r="AE19">
            <v>22.686640793132348</v>
          </cell>
          <cell r="AF19">
            <v>28.338350461594921</v>
          </cell>
          <cell r="AG19">
            <v>83.738560915284268</v>
          </cell>
        </row>
        <row r="20">
          <cell r="D20">
            <v>1.204</v>
          </cell>
          <cell r="E20">
            <v>1.5389999999999999</v>
          </cell>
          <cell r="F20">
            <v>2.0209999999999999</v>
          </cell>
          <cell r="G20">
            <v>2.1560000000000006</v>
          </cell>
          <cell r="H20">
            <v>6.92</v>
          </cell>
          <cell r="I20">
            <v>1.873</v>
          </cell>
          <cell r="J20">
            <v>1.5389999999999999</v>
          </cell>
          <cell r="K20">
            <v>1.391</v>
          </cell>
          <cell r="L20">
            <v>1.1690000000000005</v>
          </cell>
          <cell r="M20">
            <v>5.9720000000000004</v>
          </cell>
          <cell r="N20">
            <v>0.86699999999999999</v>
          </cell>
          <cell r="O20">
            <v>0.67100000000000004</v>
          </cell>
          <cell r="P20">
            <v>0.50800000000000001</v>
          </cell>
          <cell r="Q20">
            <v>0.58600000000000008</v>
          </cell>
          <cell r="R20">
            <v>2.6320000000000001</v>
          </cell>
          <cell r="S20">
            <v>0.46100000000000002</v>
          </cell>
          <cell r="T20">
            <v>0.35099999999999998</v>
          </cell>
          <cell r="U20">
            <v>0.246</v>
          </cell>
          <cell r="V20">
            <v>0.24400000000000005</v>
          </cell>
          <cell r="W20">
            <v>1.302</v>
          </cell>
          <cell r="X20">
            <v>0.17399999999999999</v>
          </cell>
          <cell r="Y20">
            <v>-1.0000000000000009E-3</v>
          </cell>
          <cell r="Z20">
            <v>-0.3</v>
          </cell>
          <cell r="AA20">
            <v>-0.42499999999999999</v>
          </cell>
          <cell r="AB20">
            <v>-0.55200000000000005</v>
          </cell>
          <cell r="AC20">
            <v>-0.51500000000000001</v>
          </cell>
          <cell r="AD20">
            <v>5.2702125000000044E-2</v>
          </cell>
          <cell r="AE20">
            <v>8.7651375000000031E-2</v>
          </cell>
          <cell r="AF20">
            <v>0.11897287500000009</v>
          </cell>
          <cell r="AG20">
            <v>-0.25567362499999985</v>
          </cell>
        </row>
        <row r="21">
          <cell r="D21">
            <v>0</v>
          </cell>
          <cell r="E21">
            <v>0</v>
          </cell>
          <cell r="F21">
            <v>0</v>
          </cell>
          <cell r="G21">
            <v>0</v>
          </cell>
          <cell r="H21">
            <v>0</v>
          </cell>
          <cell r="I21">
            <v>0</v>
          </cell>
          <cell r="J21">
            <v>0</v>
          </cell>
          <cell r="K21">
            <v>0</v>
          </cell>
          <cell r="L21">
            <v>0</v>
          </cell>
          <cell r="M21">
            <v>0</v>
          </cell>
          <cell r="N21">
            <v>0</v>
          </cell>
          <cell r="O21">
            <v>0</v>
          </cell>
          <cell r="P21">
            <v>0</v>
          </cell>
          <cell r="Q21">
            <v>0</v>
          </cell>
          <cell r="R21">
            <v>0</v>
          </cell>
          <cell r="S21">
            <v>0</v>
          </cell>
          <cell r="T21">
            <v>0</v>
          </cell>
          <cell r="U21">
            <v>0</v>
          </cell>
          <cell r="V21">
            <v>0</v>
          </cell>
          <cell r="W21">
            <v>0</v>
          </cell>
          <cell r="X21">
            <v>0</v>
          </cell>
          <cell r="Y21">
            <v>0</v>
          </cell>
          <cell r="Z21">
            <v>0</v>
          </cell>
          <cell r="AA21">
            <v>0.19900000000000001</v>
          </cell>
          <cell r="AB21">
            <v>0.19900000000000001</v>
          </cell>
          <cell r="AC21">
            <v>0</v>
          </cell>
          <cell r="AD21">
            <v>0</v>
          </cell>
          <cell r="AE21">
            <v>0</v>
          </cell>
          <cell r="AF21">
            <v>0</v>
          </cell>
          <cell r="AG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-7.8E-2</v>
          </cell>
          <cell r="Y22">
            <v>-8.5000000000000006E-2</v>
          </cell>
          <cell r="Z22">
            <v>-9.1999999999999998E-2</v>
          </cell>
          <cell r="AA22">
            <v>4.2999999999999997E-2</v>
          </cell>
          <cell r="AB22">
            <v>-0.21200000000000002</v>
          </cell>
          <cell r="AC22">
            <v>1.5</v>
          </cell>
          <cell r="AD22">
            <v>0.86357001000000055</v>
          </cell>
          <cell r="AE22">
            <v>0.20375000000000015</v>
          </cell>
          <cell r="AF22">
            <v>-0.33125000000000004</v>
          </cell>
          <cell r="AG22">
            <v>2.2360700100000006</v>
          </cell>
        </row>
        <row r="23">
          <cell r="D23">
            <v>10.957999999999997</v>
          </cell>
          <cell r="E23">
            <v>11.502000000000011</v>
          </cell>
          <cell r="F23">
            <v>12.40499999999999</v>
          </cell>
          <cell r="G23">
            <v>9.7039999999999988</v>
          </cell>
          <cell r="H23">
            <v>44.569000000000031</v>
          </cell>
          <cell r="I23">
            <v>13.973000000000013</v>
          </cell>
          <cell r="J23">
            <v>4.9070000000000089</v>
          </cell>
          <cell r="K23">
            <v>12.326999999999989</v>
          </cell>
          <cell r="L23">
            <v>13.146000000000079</v>
          </cell>
          <cell r="M23">
            <v>44.353000000000009</v>
          </cell>
          <cell r="N23">
            <v>15.389999999999983</v>
          </cell>
          <cell r="O23">
            <v>17.137000000000015</v>
          </cell>
          <cell r="P23">
            <v>18.711000000000023</v>
          </cell>
          <cell r="Q23">
            <v>18.49900000000012</v>
          </cell>
          <cell r="R23">
            <v>69.737000000000037</v>
          </cell>
          <cell r="S23">
            <v>21.093999999999966</v>
          </cell>
          <cell r="T23">
            <v>18.251999999999992</v>
          </cell>
          <cell r="U23">
            <v>19.510000000000012</v>
          </cell>
          <cell r="V23">
            <v>22.10399999999969</v>
          </cell>
          <cell r="W23">
            <v>80.959999999999837</v>
          </cell>
          <cell r="X23">
            <v>19.581999999999976</v>
          </cell>
          <cell r="Y23">
            <v>19.620000000000015</v>
          </cell>
          <cell r="Z23">
            <v>20.388000000000002</v>
          </cell>
          <cell r="AA23">
            <v>16.631000000000022</v>
          </cell>
          <cell r="AB23">
            <v>76.221000000000075</v>
          </cell>
          <cell r="AC23">
            <v>15.520999999999979</v>
          </cell>
          <cell r="AD23">
            <v>19.091018606812014</v>
          </cell>
          <cell r="AE23">
            <v>22.978042168132347</v>
          </cell>
          <cell r="AF23">
            <v>28.126073336594921</v>
          </cell>
          <cell r="AG23">
            <v>85.718957300284274</v>
          </cell>
        </row>
        <row r="24">
          <cell r="D24">
            <v>4.1970000000000001</v>
          </cell>
          <cell r="E24">
            <v>4.4050000000000002</v>
          </cell>
          <cell r="F24">
            <v>4.7510000000000003</v>
          </cell>
          <cell r="G24">
            <v>3.1369999999999969</v>
          </cell>
          <cell r="H24">
            <v>16.489999999999998</v>
          </cell>
          <cell r="I24">
            <v>5.24</v>
          </cell>
          <cell r="J24">
            <v>1.84</v>
          </cell>
          <cell r="K24">
            <v>4.6230000000000002</v>
          </cell>
          <cell r="L24">
            <v>4.93</v>
          </cell>
          <cell r="M24">
            <v>16.632999999999999</v>
          </cell>
          <cell r="N24">
            <v>5.7709999999999999</v>
          </cell>
          <cell r="O24">
            <v>6.4269999999999996</v>
          </cell>
          <cell r="P24">
            <v>7.016</v>
          </cell>
          <cell r="Q24">
            <v>6.9369999999999985</v>
          </cell>
          <cell r="R24">
            <v>26.151</v>
          </cell>
          <cell r="S24">
            <v>7.91</v>
          </cell>
          <cell r="T24">
            <v>6.8449999999999998</v>
          </cell>
          <cell r="U24">
            <v>7.3159999999999998</v>
          </cell>
          <cell r="V24">
            <v>8.2890000000000015</v>
          </cell>
          <cell r="W24">
            <v>30.36</v>
          </cell>
          <cell r="X24">
            <v>7.343</v>
          </cell>
          <cell r="Y24">
            <v>7.4560000000000004</v>
          </cell>
          <cell r="Z24">
            <v>7.7469999999999999</v>
          </cell>
          <cell r="AA24">
            <v>4.6479999999999997</v>
          </cell>
          <cell r="AB24">
            <v>27.193999999999999</v>
          </cell>
          <cell r="AC24">
            <v>5.8979999999999997</v>
          </cell>
          <cell r="AD24">
            <v>7.2545870705885651</v>
          </cell>
          <cell r="AE24">
            <v>8.7316560238902916</v>
          </cell>
          <cell r="AF24">
            <v>10.68790786790607</v>
          </cell>
          <cell r="AG24">
            <v>32.572150962384924</v>
          </cell>
        </row>
        <row r="25">
          <cell r="D25">
            <v>6.7609999999999966</v>
          </cell>
          <cell r="E25">
            <v>7.0970000000000111</v>
          </cell>
          <cell r="F25">
            <v>7.6539999999999901</v>
          </cell>
          <cell r="G25">
            <v>6.5670000000000019</v>
          </cell>
          <cell r="H25">
            <v>28.079000000000033</v>
          </cell>
          <cell r="I25">
            <v>8.733000000000013</v>
          </cell>
          <cell r="J25">
            <v>3.0670000000000091</v>
          </cell>
          <cell r="K25">
            <v>7.7039999999999891</v>
          </cell>
          <cell r="L25">
            <v>8.2160000000000792</v>
          </cell>
          <cell r="M25">
            <v>27.72000000000001</v>
          </cell>
          <cell r="N25">
            <v>9.618999999999982</v>
          </cell>
          <cell r="O25">
            <v>10.710000000000015</v>
          </cell>
          <cell r="P25">
            <v>11.695000000000023</v>
          </cell>
          <cell r="Q25">
            <v>11.562000000000122</v>
          </cell>
          <cell r="R25">
            <v>43.586000000000041</v>
          </cell>
          <cell r="S25">
            <v>13.183999999999966</v>
          </cell>
          <cell r="T25">
            <v>11.406999999999993</v>
          </cell>
          <cell r="U25">
            <v>12.194000000000013</v>
          </cell>
          <cell r="V25">
            <v>13.814999999999689</v>
          </cell>
          <cell r="W25">
            <v>50.599999999999838</v>
          </cell>
          <cell r="X25">
            <v>12.238999999999976</v>
          </cell>
          <cell r="Y25">
            <v>12.164000000000016</v>
          </cell>
          <cell r="Z25">
            <v>12.641000000000002</v>
          </cell>
          <cell r="AA25">
            <v>11.983000000000022</v>
          </cell>
          <cell r="AB25">
            <v>49.027000000000015</v>
          </cell>
          <cell r="AC25">
            <v>9.6229999999999798</v>
          </cell>
          <cell r="AD25">
            <v>11.836431536223449</v>
          </cell>
          <cell r="AE25">
            <v>14.246386144242056</v>
          </cell>
          <cell r="AF25">
            <v>17.438165468688851</v>
          </cell>
          <cell r="AG25">
            <v>53.143983149154337</v>
          </cell>
        </row>
        <row r="26">
          <cell r="D26">
            <v>0</v>
          </cell>
          <cell r="E26">
            <v>0</v>
          </cell>
          <cell r="F26">
            <v>0</v>
          </cell>
          <cell r="G26">
            <v>0</v>
          </cell>
          <cell r="H26">
            <v>0</v>
          </cell>
          <cell r="I26">
            <v>0</v>
          </cell>
          <cell r="J26">
            <v>0</v>
          </cell>
          <cell r="K26">
            <v>0</v>
          </cell>
          <cell r="L26">
            <v>0</v>
          </cell>
          <cell r="M26">
            <v>0</v>
          </cell>
          <cell r="N26">
            <v>0</v>
          </cell>
          <cell r="O26">
            <v>0</v>
          </cell>
          <cell r="P26">
            <v>0</v>
          </cell>
          <cell r="Q26">
            <v>0</v>
          </cell>
          <cell r="R26">
            <v>0</v>
          </cell>
          <cell r="S26">
            <v>0</v>
          </cell>
          <cell r="T26">
            <v>0</v>
          </cell>
          <cell r="U26">
            <v>0</v>
          </cell>
          <cell r="V26">
            <v>0</v>
          </cell>
          <cell r="W26">
            <v>0</v>
          </cell>
          <cell r="X26">
            <v>0</v>
          </cell>
          <cell r="Y26">
            <v>0</v>
          </cell>
          <cell r="Z26">
            <v>0</v>
          </cell>
          <cell r="AA26">
            <v>-4.4009999999999998</v>
          </cell>
          <cell r="AB26">
            <v>-4.4009999999999998</v>
          </cell>
          <cell r="AC26">
            <v>0</v>
          </cell>
          <cell r="AD26">
            <v>0</v>
          </cell>
          <cell r="AE26">
            <v>0</v>
          </cell>
          <cell r="AF26">
            <v>0</v>
          </cell>
          <cell r="AG26">
            <v>0</v>
          </cell>
        </row>
        <row r="27">
          <cell r="D27">
            <v>6.7609999999999966</v>
          </cell>
          <cell r="E27">
            <v>7.0970000000000111</v>
          </cell>
          <cell r="F27">
            <v>7.6539999999999901</v>
          </cell>
          <cell r="G27">
            <v>6.5670000000000019</v>
          </cell>
          <cell r="H27">
            <v>28.079000000000033</v>
          </cell>
          <cell r="I27">
            <v>8.733000000000013</v>
          </cell>
          <cell r="J27">
            <v>3.0670000000000091</v>
          </cell>
          <cell r="K27">
            <v>7.7039999999999891</v>
          </cell>
          <cell r="L27">
            <v>8.2160000000000792</v>
          </cell>
          <cell r="M27">
            <v>27.72000000000001</v>
          </cell>
          <cell r="N27">
            <v>9.618999999999982</v>
          </cell>
          <cell r="O27">
            <v>10.710000000000015</v>
          </cell>
          <cell r="P27">
            <v>11.695000000000023</v>
          </cell>
          <cell r="Q27">
            <v>11.562000000000122</v>
          </cell>
          <cell r="R27">
            <v>43.586000000000041</v>
          </cell>
          <cell r="S27">
            <v>13.183999999999966</v>
          </cell>
          <cell r="T27">
            <v>11.406999999999993</v>
          </cell>
          <cell r="U27">
            <v>12.194000000000013</v>
          </cell>
          <cell r="V27">
            <v>13.814999999999689</v>
          </cell>
          <cell r="W27">
            <v>50.599999999999838</v>
          </cell>
          <cell r="X27">
            <v>12.238999999999976</v>
          </cell>
          <cell r="Y27">
            <v>12.164000000000016</v>
          </cell>
          <cell r="Z27">
            <v>12.641000000000002</v>
          </cell>
          <cell r="AA27">
            <v>7.5820000000000221</v>
          </cell>
          <cell r="AB27">
            <v>44.626000000000019</v>
          </cell>
          <cell r="AC27">
            <v>9.6229999999999798</v>
          </cell>
          <cell r="AD27">
            <v>11.836431536223449</v>
          </cell>
          <cell r="AE27">
            <v>14.246386144242056</v>
          </cell>
          <cell r="AF27">
            <v>17.438165468688851</v>
          </cell>
          <cell r="AG27">
            <v>53.143983149154337</v>
          </cell>
        </row>
        <row r="28">
          <cell r="D28">
            <v>0</v>
          </cell>
          <cell r="E28">
            <v>0</v>
          </cell>
          <cell r="F28">
            <v>0</v>
          </cell>
          <cell r="G28">
            <v>0</v>
          </cell>
          <cell r="H28">
            <v>0</v>
          </cell>
          <cell r="I28">
            <v>0</v>
          </cell>
          <cell r="J28">
            <v>0</v>
          </cell>
          <cell r="K28">
            <v>0</v>
          </cell>
          <cell r="L28">
            <v>0</v>
          </cell>
          <cell r="M28">
            <v>0</v>
          </cell>
          <cell r="N28">
            <v>0</v>
          </cell>
          <cell r="O28">
            <v>0</v>
          </cell>
          <cell r="P28">
            <v>0</v>
          </cell>
          <cell r="Q28">
            <v>0</v>
          </cell>
          <cell r="R28">
            <v>0</v>
          </cell>
          <cell r="S28">
            <v>0</v>
          </cell>
          <cell r="T28">
            <v>0</v>
          </cell>
          <cell r="U28">
            <v>0</v>
          </cell>
          <cell r="V28">
            <v>0</v>
          </cell>
          <cell r="W28">
            <v>0</v>
          </cell>
          <cell r="X28">
            <v>0</v>
          </cell>
          <cell r="Y28">
            <v>0.81651314984709511</v>
          </cell>
          <cell r="Z28">
            <v>0</v>
          </cell>
          <cell r="AA28">
            <v>4.5750000000000002</v>
          </cell>
          <cell r="AB28">
            <v>5.3915131498470954</v>
          </cell>
          <cell r="AC28">
            <v>0</v>
          </cell>
          <cell r="AD28">
            <v>0</v>
          </cell>
          <cell r="AE28">
            <v>0</v>
          </cell>
          <cell r="AF28">
            <v>0</v>
          </cell>
          <cell r="AG28">
            <v>0</v>
          </cell>
        </row>
        <row r="29">
          <cell r="D29">
            <v>6.7609999999999966</v>
          </cell>
          <cell r="E29">
            <v>7.0970000000000111</v>
          </cell>
          <cell r="F29">
            <v>7.6539999999999901</v>
          </cell>
          <cell r="G29">
            <v>6.5670000000000019</v>
          </cell>
          <cell r="H29">
            <v>28.079000000000033</v>
          </cell>
          <cell r="I29">
            <v>8.733000000000013</v>
          </cell>
          <cell r="J29">
            <v>3.0670000000000091</v>
          </cell>
          <cell r="K29">
            <v>7.7039999999999891</v>
          </cell>
          <cell r="L29">
            <v>8.2160000000000792</v>
          </cell>
          <cell r="M29">
            <v>27.72000000000001</v>
          </cell>
          <cell r="N29">
            <v>9.618999999999982</v>
          </cell>
          <cell r="O29">
            <v>10.710000000000015</v>
          </cell>
          <cell r="P29">
            <v>11.695000000000023</v>
          </cell>
          <cell r="Q29">
            <v>11.562000000000122</v>
          </cell>
          <cell r="R29">
            <v>43.586000000000041</v>
          </cell>
          <cell r="S29">
            <v>13.183999999999966</v>
          </cell>
          <cell r="T29">
            <v>11.406999999999993</v>
          </cell>
          <cell r="U29">
            <v>12.194000000000013</v>
          </cell>
          <cell r="V29">
            <v>13.814999999999863</v>
          </cell>
          <cell r="W29">
            <v>50.599999999999838</v>
          </cell>
          <cell r="X29">
            <v>12.238999999999976</v>
          </cell>
          <cell r="Y29">
            <v>12.980513149847111</v>
          </cell>
          <cell r="Z29">
            <v>12.641000000000002</v>
          </cell>
          <cell r="AA29">
            <v>12.157000000000021</v>
          </cell>
          <cell r="AB29">
            <v>50.017513149847112</v>
          </cell>
          <cell r="AC29">
            <v>9.6229999999999798</v>
          </cell>
          <cell r="AD29">
            <v>11.836431536223449</v>
          </cell>
          <cell r="AE29">
            <v>14.246386144242056</v>
          </cell>
          <cell r="AF29">
            <v>17.438165468688851</v>
          </cell>
          <cell r="AG29">
            <v>53.143983149154337</v>
          </cell>
        </row>
        <row r="32">
          <cell r="S32">
            <v>-2.8260000000000001</v>
          </cell>
          <cell r="T32">
            <v>-2.8340000000000001</v>
          </cell>
          <cell r="U32">
            <v>-2.8340000000000001</v>
          </cell>
          <cell r="V32">
            <v>-2.875</v>
          </cell>
          <cell r="W32">
            <v>-11.369</v>
          </cell>
          <cell r="X32">
            <v>-1.72</v>
          </cell>
          <cell r="Y32">
            <v>-1.8029999999999999</v>
          </cell>
          <cell r="Z32">
            <v>-1.8029999999999999</v>
          </cell>
          <cell r="AA32">
            <v>-2.7080000000000011</v>
          </cell>
          <cell r="AB32">
            <v>-8.0340000000000007</v>
          </cell>
          <cell r="AC32">
            <v>-1.1930000000000001</v>
          </cell>
          <cell r="AD32">
            <v>-1.1930000000000001</v>
          </cell>
          <cell r="AE32">
            <v>-1.1930000000000001</v>
          </cell>
          <cell r="AF32">
            <v>-1.1930000000000001</v>
          </cell>
          <cell r="AG32">
            <v>-4.7720000000000002</v>
          </cell>
        </row>
        <row r="33">
          <cell r="S33">
            <v>10.357999999999965</v>
          </cell>
          <cell r="T33">
            <v>8.5729999999999933</v>
          </cell>
          <cell r="U33">
            <v>9.3600000000000136</v>
          </cell>
          <cell r="V33">
            <v>10.939999999999863</v>
          </cell>
          <cell r="W33">
            <v>39.230999999999838</v>
          </cell>
          <cell r="X33">
            <v>10.518999999999975</v>
          </cell>
          <cell r="Y33">
            <v>11.177513149847112</v>
          </cell>
          <cell r="Z33">
            <v>10.838000000000001</v>
          </cell>
          <cell r="AA33">
            <v>9.4490000000000194</v>
          </cell>
          <cell r="AB33">
            <v>41.983513149847113</v>
          </cell>
          <cell r="AC33">
            <v>8.4299999999999802</v>
          </cell>
          <cell r="AD33">
            <v>10.643431536223449</v>
          </cell>
          <cell r="AE33">
            <v>13.053386144242056</v>
          </cell>
          <cell r="AF33">
            <v>16.24516546868885</v>
          </cell>
          <cell r="AG33">
            <v>48.371983149154339</v>
          </cell>
        </row>
        <row r="34">
          <cell r="S34">
            <v>10.357999999999965</v>
          </cell>
          <cell r="T34">
            <v>8.5729999999999933</v>
          </cell>
          <cell r="U34">
            <v>9.3600000000000136</v>
          </cell>
          <cell r="V34">
            <v>10.939999999999689</v>
          </cell>
          <cell r="W34">
            <v>39.230999999999838</v>
          </cell>
          <cell r="X34">
            <v>10.518999999999975</v>
          </cell>
          <cell r="Y34">
            <v>10.361000000000015</v>
          </cell>
          <cell r="Z34">
            <v>10.838000000000001</v>
          </cell>
          <cell r="AA34">
            <v>4.874000000000021</v>
          </cell>
          <cell r="AB34">
            <v>36.59200000000002</v>
          </cell>
          <cell r="AC34">
            <v>8.4299999999999802</v>
          </cell>
          <cell r="AD34">
            <v>10.643431536223449</v>
          </cell>
          <cell r="AE34">
            <v>13.053386144242056</v>
          </cell>
          <cell r="AF34">
            <v>16.24516546868885</v>
          </cell>
          <cell r="AG34">
            <v>48.371983149154339</v>
          </cell>
        </row>
        <row r="37">
          <cell r="D37">
            <v>0.15972019648537131</v>
          </cell>
          <cell r="E37">
            <v>0.16530735125075291</v>
          </cell>
          <cell r="F37">
            <v>0.17524094943687282</v>
          </cell>
          <cell r="G37">
            <v>0.15237735119853946</v>
          </cell>
          <cell r="H37">
            <v>0.65153093411052121</v>
          </cell>
          <cell r="I37">
            <v>0.19581390544208646</v>
          </cell>
          <cell r="J37">
            <v>6.8079598391190724E-2</v>
          </cell>
          <cell r="K37">
            <v>0.17387627660203753</v>
          </cell>
          <cell r="L37">
            <v>0.20078385371322632</v>
          </cell>
          <cell r="M37">
            <v>0.62214421329796921</v>
          </cell>
          <cell r="N37">
            <v>0.21561950471758129</v>
          </cell>
          <cell r="O37">
            <v>0.23960091749030354</v>
          </cell>
          <cell r="P37">
            <v>0.2656000272526754</v>
          </cell>
          <cell r="Q37">
            <v>0.26049537604936573</v>
          </cell>
          <cell r="R37">
            <v>0.98200583467285474</v>
          </cell>
          <cell r="S37">
            <v>0.29956485614354295</v>
          </cell>
          <cell r="T37">
            <v>0.25755587355977716</v>
          </cell>
          <cell r="U37">
            <v>0.27856891695402353</v>
          </cell>
          <cell r="V37">
            <v>0.31447727730375691</v>
          </cell>
          <cell r="W37">
            <v>1.1518313595056393</v>
          </cell>
          <cell r="X37">
            <v>0.27780366006719304</v>
          </cell>
          <cell r="Y37">
            <v>0.2963743784169236</v>
          </cell>
          <cell r="Z37">
            <v>0.28624925256133188</v>
          </cell>
          <cell r="AA37">
            <v>0.27585335565725316</v>
          </cell>
          <cell r="AB37">
            <v>1.1362806467027016</v>
          </cell>
          <cell r="AC37">
            <v>0.21652287084981098</v>
          </cell>
          <cell r="AD37">
            <v>0.26632631578929072</v>
          </cell>
          <cell r="AE37">
            <v>0.32055163952886478</v>
          </cell>
          <cell r="AF37">
            <v>0.39236845574504386</v>
          </cell>
          <cell r="AG37">
            <v>1.1957692819130104</v>
          </cell>
        </row>
        <row r="38">
          <cell r="D38">
            <v>0.15972019648537131</v>
          </cell>
          <cell r="E38">
            <v>0.16530735125075291</v>
          </cell>
          <cell r="F38">
            <v>0.17524094943687282</v>
          </cell>
          <cell r="G38">
            <v>0.15237735119853946</v>
          </cell>
          <cell r="H38">
            <v>0.65153093411052121</v>
          </cell>
          <cell r="I38">
            <v>0.19581390544208646</v>
          </cell>
          <cell r="J38">
            <v>6.8079598391190724E-2</v>
          </cell>
          <cell r="K38">
            <v>0.17387627660203753</v>
          </cell>
          <cell r="L38">
            <v>0.20078385371322632</v>
          </cell>
          <cell r="M38">
            <v>0.62214421329796921</v>
          </cell>
          <cell r="N38">
            <v>0.21561950471758129</v>
          </cell>
          <cell r="O38">
            <v>0.23960091749030354</v>
          </cell>
          <cell r="P38">
            <v>0.2656000272526754</v>
          </cell>
          <cell r="Q38">
            <v>0.26049537604936573</v>
          </cell>
          <cell r="R38">
            <v>0.98200583467285474</v>
          </cell>
          <cell r="S38">
            <v>0.29956485614354295</v>
          </cell>
          <cell r="T38">
            <v>0.25755587355977716</v>
          </cell>
          <cell r="U38">
            <v>0.27856891695402353</v>
          </cell>
          <cell r="V38">
            <v>0.31447727730375691</v>
          </cell>
          <cell r="W38">
            <v>1.1518313595056393</v>
          </cell>
          <cell r="X38">
            <v>0.27780366006719304</v>
          </cell>
          <cell r="Y38">
            <v>0.27773154246262793</v>
          </cell>
          <cell r="Z38">
            <v>0.28624925256133188</v>
          </cell>
          <cell r="AA38">
            <v>0.17204245641139226</v>
          </cell>
          <cell r="AB38">
            <v>1.0138269115025451</v>
          </cell>
          <cell r="AC38">
            <v>0.21652287084981098</v>
          </cell>
          <cell r="AD38">
            <v>0.26632631578929072</v>
          </cell>
          <cell r="AE38">
            <v>0.32055163952886478</v>
          </cell>
          <cell r="AF38">
            <v>0.39236845574504386</v>
          </cell>
          <cell r="AG38">
            <v>1.1957692819130104</v>
          </cell>
        </row>
        <row r="39">
          <cell r="S39">
            <v>0.23535291109942472</v>
          </cell>
          <cell r="T39">
            <v>0.19356767809485134</v>
          </cell>
          <cell r="U39">
            <v>0.21382688721417592</v>
          </cell>
          <cell r="V39">
            <v>0.2490323136954857</v>
          </cell>
          <cell r="W39">
            <v>0.89303351906651574</v>
          </cell>
          <cell r="X39">
            <v>0.23876270122124377</v>
          </cell>
          <cell r="Y39">
            <v>0.25520782374246476</v>
          </cell>
          <cell r="Z39">
            <v>0.24542120079580057</v>
          </cell>
          <cell r="AA39">
            <v>0.21440637966647905</v>
          </cell>
          <cell r="AB39">
            <v>0.95365619086862952</v>
          </cell>
          <cell r="AC39">
            <v>0.18967970500508219</v>
          </cell>
          <cell r="AD39">
            <v>0.23948314994456199</v>
          </cell>
          <cell r="AE39">
            <v>0.293708473684136</v>
          </cell>
          <cell r="AF39">
            <v>0.36552528990031508</v>
          </cell>
          <cell r="AG39">
            <v>1.0883966185340954</v>
          </cell>
        </row>
        <row r="40">
          <cell r="S40">
            <v>0.23535291109942472</v>
          </cell>
          <cell r="T40">
            <v>0.19356767809485134</v>
          </cell>
          <cell r="U40">
            <v>0.21382688721417592</v>
          </cell>
          <cell r="V40">
            <v>0.24903231369548176</v>
          </cell>
          <cell r="W40">
            <v>0.89303351906651574</v>
          </cell>
          <cell r="X40">
            <v>0.23876270122124377</v>
          </cell>
          <cell r="Y40">
            <v>0.23656498778816906</v>
          </cell>
          <cell r="Z40">
            <v>0.24542120079580057</v>
          </cell>
          <cell r="AA40">
            <v>0.11059548042061818</v>
          </cell>
          <cell r="AB40">
            <v>0.83118788110260822</v>
          </cell>
          <cell r="AC40">
            <v>0.18967970500508219</v>
          </cell>
          <cell r="AD40">
            <v>0.23948314994456199</v>
          </cell>
          <cell r="AE40">
            <v>0.293708473684136</v>
          </cell>
          <cell r="AF40">
            <v>0.36552528990031508</v>
          </cell>
          <cell r="AG40">
            <v>1.0883966185340954</v>
          </cell>
        </row>
        <row r="42">
          <cell r="D42">
            <v>42.330275999999998</v>
          </cell>
          <cell r="E42">
            <v>42.93215</v>
          </cell>
          <cell r="F42">
            <v>43.677005999999999</v>
          </cell>
          <cell r="G42">
            <v>43.096955999999999</v>
          </cell>
          <cell r="H42">
            <v>43.096955999999999</v>
          </cell>
          <cell r="I42">
            <v>44.598466999999999</v>
          </cell>
          <cell r="J42">
            <v>45.050207</v>
          </cell>
          <cell r="K42">
            <v>44.307366999999999</v>
          </cell>
          <cell r="L42">
            <v>40.919625000000003</v>
          </cell>
          <cell r="M42">
            <v>44.555585999999998</v>
          </cell>
          <cell r="N42">
            <v>44.610992000000003</v>
          </cell>
          <cell r="O42">
            <v>44.699328000000001</v>
          </cell>
          <cell r="P42">
            <v>44.032375000000002</v>
          </cell>
          <cell r="Q42">
            <v>44.384664999999998</v>
          </cell>
          <cell r="R42">
            <v>44.384664999999998</v>
          </cell>
          <cell r="S42">
            <v>44.010503</v>
          </cell>
          <cell r="T42">
            <v>44.289419000000002</v>
          </cell>
          <cell r="U42">
            <v>43.773727999999998</v>
          </cell>
          <cell r="V42">
            <v>43.930042</v>
          </cell>
          <cell r="W42">
            <v>43.930042</v>
          </cell>
          <cell r="X42">
            <v>44.056294999999999</v>
          </cell>
          <cell r="Y42">
            <v>43.797690000000003</v>
          </cell>
          <cell r="Z42">
            <v>44.160814000000002</v>
          </cell>
          <cell r="AA42">
            <v>44.070517000000002</v>
          </cell>
          <cell r="AB42">
            <v>44.023741000000001</v>
          </cell>
          <cell r="AC42">
            <v>44.443342000000001</v>
          </cell>
          <cell r="AD42">
            <v>44.443342000000001</v>
          </cell>
          <cell r="AE42">
            <v>44.443342000000001</v>
          </cell>
          <cell r="AF42">
            <v>44.443342000000001</v>
          </cell>
          <cell r="AG42">
            <v>44.443342000000001</v>
          </cell>
        </row>
        <row r="44">
          <cell r="AC44">
            <v>0.22</v>
          </cell>
          <cell r="AD44" t="str">
            <v>$0.27 - $0.28</v>
          </cell>
          <cell r="AG44" t="str">
            <v>$1.18 - $1.28</v>
          </cell>
        </row>
        <row r="45">
          <cell r="D45">
            <v>0.16</v>
          </cell>
          <cell r="E45">
            <v>0.17</v>
          </cell>
          <cell r="F45">
            <v>0.18</v>
          </cell>
          <cell r="G45">
            <v>0.2</v>
          </cell>
          <cell r="H45">
            <v>0.7</v>
          </cell>
          <cell r="I45">
            <v>0.2</v>
          </cell>
          <cell r="J45">
            <v>0.16</v>
          </cell>
          <cell r="K45">
            <v>0.17</v>
          </cell>
          <cell r="L45">
            <v>0.19</v>
          </cell>
          <cell r="M45">
            <v>0.72</v>
          </cell>
          <cell r="N45">
            <v>0.22</v>
          </cell>
          <cell r="O45">
            <v>0.24</v>
          </cell>
          <cell r="P45">
            <v>0.27</v>
          </cell>
          <cell r="Q45">
            <v>0.3</v>
          </cell>
          <cell r="R45">
            <v>1.03</v>
          </cell>
          <cell r="S45">
            <v>0.3</v>
          </cell>
          <cell r="T45">
            <v>0.26</v>
          </cell>
          <cell r="U45">
            <v>0.28000000000000003</v>
          </cell>
          <cell r="V45">
            <v>0.32</v>
          </cell>
          <cell r="W45">
            <v>1.1499999999999999</v>
          </cell>
          <cell r="X45">
            <v>0.28000000000000003</v>
          </cell>
          <cell r="Y45">
            <v>0.3</v>
          </cell>
          <cell r="Z45">
            <v>0.28999999999999998</v>
          </cell>
          <cell r="AA45">
            <v>0.28000000000000003</v>
          </cell>
          <cell r="AB45">
            <v>1.1399999999999999</v>
          </cell>
          <cell r="AC45">
            <v>0.22</v>
          </cell>
          <cell r="AD45">
            <v>0.28000000000000003</v>
          </cell>
          <cell r="AE45">
            <v>0.34</v>
          </cell>
          <cell r="AF45">
            <v>0.37</v>
          </cell>
          <cell r="AG45">
            <v>1.2</v>
          </cell>
        </row>
        <row r="47">
          <cell r="D47">
            <v>9.753999999999996</v>
          </cell>
          <cell r="E47">
            <v>9.9630000000000116</v>
          </cell>
          <cell r="F47">
            <v>10.383999999999991</v>
          </cell>
          <cell r="G47">
            <v>7.5479999999999983</v>
          </cell>
          <cell r="H47">
            <v>37.649000000000029</v>
          </cell>
          <cell r="I47">
            <v>12.100000000000014</v>
          </cell>
          <cell r="J47">
            <v>3.3680000000000092</v>
          </cell>
          <cell r="K47">
            <v>10.935999999999989</v>
          </cell>
          <cell r="L47">
            <v>11.977000000000078</v>
          </cell>
          <cell r="M47">
            <v>38.381000000000007</v>
          </cell>
          <cell r="N47">
            <v>14.522999999999984</v>
          </cell>
          <cell r="O47">
            <v>16.466000000000015</v>
          </cell>
          <cell r="P47">
            <v>18.203000000000024</v>
          </cell>
          <cell r="Q47">
            <v>17.913000000000121</v>
          </cell>
          <cell r="R47">
            <v>67.105000000000032</v>
          </cell>
          <cell r="S47">
            <v>20.632999999999967</v>
          </cell>
          <cell r="T47">
            <v>17.900999999999993</v>
          </cell>
          <cell r="U47">
            <v>19.264000000000014</v>
          </cell>
          <cell r="V47">
            <v>21.85999999999969</v>
          </cell>
          <cell r="W47">
            <v>79.657999999999831</v>
          </cell>
          <cell r="X47">
            <v>19.485999999999976</v>
          </cell>
          <cell r="Y47">
            <v>19.706000000000017</v>
          </cell>
          <cell r="Z47">
            <v>20.78</v>
          </cell>
          <cell r="AA47">
            <v>16.814000000000021</v>
          </cell>
          <cell r="AB47">
            <v>76.786000000000087</v>
          </cell>
          <cell r="AC47">
            <v>14.53599999999998</v>
          </cell>
          <cell r="AD47">
            <v>18.174746471812014</v>
          </cell>
          <cell r="AE47">
            <v>22.686640793132348</v>
          </cell>
          <cell r="AF47">
            <v>28.338350461594921</v>
          </cell>
          <cell r="AG47">
            <v>83.738560915284268</v>
          </cell>
        </row>
        <row r="48">
          <cell r="D48">
            <v>0.34499999999999997</v>
          </cell>
          <cell r="E48">
            <v>0.34499999999999997</v>
          </cell>
          <cell r="F48">
            <v>0.34499999999999997</v>
          </cell>
          <cell r="G48">
            <v>0.30000000000000004</v>
          </cell>
          <cell r="H48">
            <v>1.335</v>
          </cell>
          <cell r="I48">
            <v>0.52900000000000003</v>
          </cell>
          <cell r="J48">
            <v>0.92600000000000005</v>
          </cell>
          <cell r="K48">
            <v>0.95299999999999996</v>
          </cell>
          <cell r="L48">
            <v>0.99199999999999999</v>
          </cell>
          <cell r="M48">
            <v>3.4</v>
          </cell>
          <cell r="N48">
            <v>0.64600000000000002</v>
          </cell>
          <cell r="O48">
            <v>0.65700000000000003</v>
          </cell>
          <cell r="P48">
            <v>0.67700000000000005</v>
          </cell>
          <cell r="Q48">
            <v>0.77999999999999969</v>
          </cell>
          <cell r="R48">
            <v>2.76</v>
          </cell>
          <cell r="S48">
            <v>0.92700000000000005</v>
          </cell>
          <cell r="T48">
            <v>1.083</v>
          </cell>
          <cell r="U48">
            <v>1.127</v>
          </cell>
          <cell r="V48">
            <v>1.1359999999999997</v>
          </cell>
          <cell r="W48">
            <v>4.2729999999999997</v>
          </cell>
          <cell r="X48">
            <v>1.369</v>
          </cell>
          <cell r="Y48">
            <v>1.43</v>
          </cell>
          <cell r="Z48">
            <v>1.778</v>
          </cell>
          <cell r="AA48">
            <v>2.0139999999999998</v>
          </cell>
          <cell r="AB48">
            <v>6.5909999999999993</v>
          </cell>
          <cell r="AC48">
            <v>2.6150000000000002</v>
          </cell>
          <cell r="AD48">
            <v>2.9217499999999998</v>
          </cell>
          <cell r="AE48">
            <v>3.3342499999999999</v>
          </cell>
          <cell r="AF48">
            <v>3.3342499999999999</v>
          </cell>
          <cell r="AG48">
            <v>12.205249999999999</v>
          </cell>
        </row>
        <row r="49">
          <cell r="D49">
            <v>10.098999999999997</v>
          </cell>
          <cell r="E49">
            <v>10.308000000000012</v>
          </cell>
          <cell r="F49">
            <v>10.728999999999992</v>
          </cell>
          <cell r="G49">
            <v>7.8479999999999981</v>
          </cell>
          <cell r="H49">
            <v>38.98400000000003</v>
          </cell>
          <cell r="I49">
            <v>12.629000000000014</v>
          </cell>
          <cell r="J49">
            <v>4.2940000000000094</v>
          </cell>
          <cell r="K49">
            <v>11.888999999999989</v>
          </cell>
          <cell r="L49">
            <v>12.969000000000079</v>
          </cell>
          <cell r="M49">
            <v>41.781000000000006</v>
          </cell>
          <cell r="N49">
            <v>15.168999999999984</v>
          </cell>
          <cell r="O49">
            <v>17.123000000000015</v>
          </cell>
          <cell r="P49">
            <v>18.880000000000024</v>
          </cell>
          <cell r="Q49">
            <v>18.693000000000122</v>
          </cell>
          <cell r="R49">
            <v>69.865000000000038</v>
          </cell>
          <cell r="S49">
            <v>21.559999999999967</v>
          </cell>
          <cell r="T49">
            <v>18.983999999999991</v>
          </cell>
          <cell r="U49">
            <v>20.391000000000012</v>
          </cell>
          <cell r="V49">
            <v>22.99599999999969</v>
          </cell>
          <cell r="W49">
            <v>83.930999999999827</v>
          </cell>
          <cell r="X49">
            <v>20.854999999999976</v>
          </cell>
          <cell r="Y49">
            <v>21.136000000000017</v>
          </cell>
          <cell r="Z49">
            <v>22.558</v>
          </cell>
          <cell r="AA49">
            <v>18.828000000000021</v>
          </cell>
          <cell r="AB49">
            <v>83.377000000000081</v>
          </cell>
          <cell r="AC49">
            <v>17.150999999999982</v>
          </cell>
          <cell r="AD49">
            <v>21.096496471812014</v>
          </cell>
          <cell r="AE49">
            <v>26.020890793132349</v>
          </cell>
          <cell r="AF49">
            <v>31.672600461594921</v>
          </cell>
          <cell r="AG49">
            <v>95.943810915284274</v>
          </cell>
        </row>
        <row r="53">
          <cell r="D53">
            <v>0.12370288459426007</v>
          </cell>
          <cell r="E53">
            <v>0.11752835428837242</v>
          </cell>
          <cell r="F53">
            <v>0.11776611947876116</v>
          </cell>
          <cell r="G53">
            <v>0.12210022504264137</v>
          </cell>
          <cell r="H53">
            <v>0.12023630949428472</v>
          </cell>
          <cell r="I53">
            <v>0.12836657835648019</v>
          </cell>
          <cell r="J53">
            <v>0.10951350596775324</v>
          </cell>
          <cell r="K53">
            <v>0.11053575174991889</v>
          </cell>
          <cell r="L53">
            <v>0.11211540499487825</v>
          </cell>
          <cell r="M53">
            <v>0.1144537460254372</v>
          </cell>
          <cell r="N53">
            <v>0.11195052109721262</v>
          </cell>
          <cell r="O53">
            <v>0.11304506201052242</v>
          </cell>
          <cell r="P53">
            <v>0.11548026365237631</v>
          </cell>
          <cell r="Q53">
            <v>0.11618574998664431</v>
          </cell>
          <cell r="R53">
            <v>0.1143044224756767</v>
          </cell>
          <cell r="S53">
            <v>0.11459936449055404</v>
          </cell>
          <cell r="T53">
            <v>0.10779813241960928</v>
          </cell>
          <cell r="U53">
            <v>0.10850615259538937</v>
          </cell>
          <cell r="V53">
            <v>0.111916759044643</v>
          </cell>
          <cell r="W53">
            <v>0.1107277206150452</v>
          </cell>
          <cell r="X53">
            <v>0.10719937793307292</v>
          </cell>
          <cell r="Y53">
            <v>0.10461122312134515</v>
          </cell>
          <cell r="Z53">
            <v>0.11774608720939478</v>
          </cell>
          <cell r="AA53">
            <v>0.11350170957273738</v>
          </cell>
          <cell r="AB53">
            <v>0.11088123944452177</v>
          </cell>
          <cell r="AC53">
            <v>0.10960038295520612</v>
          </cell>
          <cell r="AD53">
            <v>0.10622283715192442</v>
          </cell>
          <cell r="AE53">
            <v>0.10989954334752756</v>
          </cell>
          <cell r="AF53">
            <v>0.11089460378896267</v>
          </cell>
          <cell r="AG53">
            <v>0.10921088726289831</v>
          </cell>
        </row>
        <row r="54">
          <cell r="D54">
            <v>7.3956632223385763E-2</v>
          </cell>
          <cell r="E54">
            <v>7.051290821282484E-2</v>
          </cell>
          <cell r="F54">
            <v>7.2628194279911948E-2</v>
          </cell>
          <cell r="G54">
            <v>5.0897252145039006E-2</v>
          </cell>
          <cell r="H54">
            <v>0</v>
          </cell>
          <cell r="I54">
            <v>7.5018117448588106E-2</v>
          </cell>
          <cell r="J54">
            <v>2.1408130502846821E-2</v>
          </cell>
          <cell r="K54">
            <v>5.6688790982434005E-2</v>
          </cell>
          <cell r="L54">
            <v>5.726535730686387E-2</v>
          </cell>
          <cell r="M54">
            <v>5.1894127583465822E-2</v>
          </cell>
          <cell r="N54">
            <v>5.6928510041019696E-2</v>
          </cell>
          <cell r="O54">
            <v>5.8842126605246112E-2</v>
          </cell>
          <cell r="P54">
            <v>6.169753177194142E-2</v>
          </cell>
          <cell r="Q54">
            <v>5.5481025507084995E-2</v>
          </cell>
          <cell r="R54">
            <v>5.8201869224277787E-2</v>
          </cell>
          <cell r="S54">
            <v>6.1332066486690907E-2</v>
          </cell>
          <cell r="T54">
            <v>5.4161543136085698E-2</v>
          </cell>
          <cell r="U54">
            <v>5.6196001157487185E-2</v>
          </cell>
          <cell r="V54">
            <v>5.7936108031844451E-2</v>
          </cell>
          <cell r="W54">
            <v>5.7415767154577323E-2</v>
          </cell>
          <cell r="X54">
            <v>5.1975984627769145E-2</v>
          </cell>
          <cell r="Y54">
            <v>4.8205960971782584E-2</v>
          </cell>
          <cell r="Z54">
            <v>5.1249662053939597E-2</v>
          </cell>
          <cell r="AA54">
            <v>4.0951444654213943E-2</v>
          </cell>
          <cell r="AB54">
            <v>4.7928338290360348E-2</v>
          </cell>
          <cell r="AC54">
            <v>3.5236398824015198E-2</v>
          </cell>
          <cell r="AD54">
            <v>3.7521305488578224E-2</v>
          </cell>
          <cell r="AE54">
            <v>4.3858416824735957E-2</v>
          </cell>
          <cell r="AF54">
            <v>4.9291487906861262E-2</v>
          </cell>
          <cell r="AG54">
            <v>4.1991387557733705E-2</v>
          </cell>
        </row>
        <row r="55">
          <cell r="D55">
            <v>7.1430140677978482E-2</v>
          </cell>
          <cell r="E55">
            <v>6.8152901098600491E-2</v>
          </cell>
          <cell r="F55">
            <v>7.0292773734980482E-2</v>
          </cell>
          <cell r="G55">
            <v>4.8951638530932005E-2</v>
          </cell>
          <cell r="H55">
            <v>2.2833900902580486E-3</v>
          </cell>
          <cell r="I55">
            <v>7.1875779644304069E-2</v>
          </cell>
          <cell r="J55">
            <v>1.6791472644058718E-2</v>
          </cell>
          <cell r="K55">
            <v>5.2144723541416291E-2</v>
          </cell>
          <cell r="L55">
            <v>5.2885124871949178E-2</v>
          </cell>
          <cell r="M55">
            <v>4.7671154610492858E-2</v>
          </cell>
          <cell r="N55">
            <v>5.4504103851653302E-2</v>
          </cell>
          <cell r="O55">
            <v>5.6584386887927496E-2</v>
          </cell>
          <cell r="P55">
            <v>5.9485178540500519E-2</v>
          </cell>
          <cell r="Q55">
            <v>5.3165977098829177E-2</v>
          </cell>
          <cell r="R55">
            <v>5.5902618396839056E-2</v>
          </cell>
          <cell r="S55">
            <v>5.8695015205004329E-2</v>
          </cell>
          <cell r="T55">
            <v>5.1071733232146553E-2</v>
          </cell>
          <cell r="U55">
            <v>5.309007730360616E-2</v>
          </cell>
          <cell r="V55">
            <v>5.5074070341629797E-2</v>
          </cell>
          <cell r="W55">
            <v>5.4492680654338925E-2</v>
          </cell>
          <cell r="X55">
            <v>4.8564087099338744E-2</v>
          </cell>
          <cell r="Y55">
            <v>4.4944486511636433E-2</v>
          </cell>
          <cell r="Z55">
            <v>4.7210212673147664E-2</v>
          </cell>
          <cell r="AA55">
            <v>3.657093639345408E-2</v>
          </cell>
          <cell r="AB55">
            <v>4.4139575470017033E-2</v>
          </cell>
          <cell r="AC55">
            <v>2.9863931741932529E-2</v>
          </cell>
          <cell r="AD55">
            <v>3.2324808787918366E-2</v>
          </cell>
          <cell r="AE55">
            <v>3.823851213121672E-2</v>
          </cell>
          <cell r="AF55">
            <v>4.4102455710002736E-2</v>
          </cell>
          <cell r="AG55">
            <v>3.664955906353759E-2</v>
          </cell>
        </row>
        <row r="56">
          <cell r="D56">
            <v>8.02472300132549E-2</v>
          </cell>
          <cell r="E56">
            <v>7.8680585008140388E-2</v>
          </cell>
          <cell r="F56">
            <v>8.3973599593839848E-2</v>
          </cell>
          <cell r="G56">
            <v>6.293411503764762E-2</v>
          </cell>
          <cell r="H56">
            <v>7.623102092337905E-2</v>
          </cell>
          <cell r="I56">
            <v>8.300167512147609E-2</v>
          </cell>
          <cell r="J56">
            <v>2.446429817826486E-2</v>
          </cell>
          <cell r="K56">
            <v>5.8777250100131552E-2</v>
          </cell>
          <cell r="L56">
            <v>5.8046910876400057E-2</v>
          </cell>
          <cell r="M56">
            <v>5.5088682432432444E-2</v>
          </cell>
          <cell r="N56">
            <v>5.7757912158434503E-2</v>
          </cell>
          <cell r="O56">
            <v>5.8890236736208759E-2</v>
          </cell>
          <cell r="P56">
            <v>6.1145260433516736E-2</v>
          </cell>
          <cell r="Q56">
            <v>5.4905231415800851E-2</v>
          </cell>
          <cell r="R56">
            <v>5.8095237301845841E-2</v>
          </cell>
          <cell r="S56">
            <v>6.000642905706205E-2</v>
          </cell>
          <cell r="T56">
            <v>5.2073139766110207E-2</v>
          </cell>
          <cell r="U56">
            <v>5.3768034063193318E-2</v>
          </cell>
          <cell r="V56">
            <v>5.56888037891759E-2</v>
          </cell>
          <cell r="W56">
            <v>5.5383356671963639E-2</v>
          </cell>
          <cell r="X56">
            <v>4.8803343609732694E-2</v>
          </cell>
          <cell r="Y56">
            <v>4.4748341893753513E-2</v>
          </cell>
          <cell r="Z56">
            <v>4.6319625408091175E-2</v>
          </cell>
          <cell r="AA56">
            <v>3.6172906099651174E-2</v>
          </cell>
          <cell r="AB56">
            <v>4.381479152319652E-2</v>
          </cell>
          <cell r="AC56">
            <v>3.1887595250862329E-2</v>
          </cell>
          <cell r="AD56">
            <v>3.3954450313180305E-2</v>
          </cell>
          <cell r="AE56">
            <v>3.872967144892249E-2</v>
          </cell>
          <cell r="AF56">
            <v>4.3772092708943562E-2</v>
          </cell>
          <cell r="AG56">
            <v>3.7516312127931682E-2</v>
          </cell>
        </row>
        <row r="57">
          <cell r="D57">
            <v>4.9511911126082886E-2</v>
          </cell>
          <cell r="E57">
            <v>4.8547740549710713E-2</v>
          </cell>
          <cell r="F57">
            <v>5.1812489422914131E-2</v>
          </cell>
          <cell r="G57">
            <v>4.2589482012802153E-2</v>
          </cell>
          <cell r="H57">
            <v>4.8026449696146681E-2</v>
          </cell>
          <cell r="I57">
            <v>5.1875304432537829E-2</v>
          </cell>
          <cell r="J57">
            <v>1.5290809560370574E-2</v>
          </cell>
          <cell r="K57">
            <v>3.6733993248269106E-2</v>
          </cell>
          <cell r="L57">
            <v>3.6278215408527659E-2</v>
          </cell>
          <cell r="M57">
            <v>3.4429650238473782E-2</v>
          </cell>
          <cell r="N57">
            <v>3.6099633336710922E-2</v>
          </cell>
          <cell r="O57">
            <v>3.6804250186426808E-2</v>
          </cell>
          <cell r="P57">
            <v>3.8217830194536839E-2</v>
          </cell>
          <cell r="Q57">
            <v>3.4316140636223146E-2</v>
          </cell>
          <cell r="R57">
            <v>3.6309835711863914E-2</v>
          </cell>
          <cell r="S57">
            <v>3.7504729339542305E-2</v>
          </cell>
          <cell r="T57">
            <v>3.2544285848784743E-2</v>
          </cell>
          <cell r="U57">
            <v>3.3605710269942572E-2</v>
          </cell>
          <cell r="V57">
            <v>3.4805502368234639E-2</v>
          </cell>
          <cell r="W57">
            <v>3.4614597919977237E-2</v>
          </cell>
          <cell r="X57">
            <v>3.0502712819912063E-2</v>
          </cell>
          <cell r="Y57">
            <v>2.7743059673578898E-2</v>
          </cell>
          <cell r="Z57">
            <v>2.8719167391783429E-2</v>
          </cell>
          <cell r="AA57">
            <v>2.6063371642842895E-2</v>
          </cell>
          <cell r="AB57">
            <v>2.8182624001361227E-2</v>
          </cell>
          <cell r="AC57">
            <v>1.9770267965920234E-2</v>
          </cell>
          <cell r="AD57">
            <v>2.1051759194171786E-2</v>
          </cell>
          <cell r="AE57">
            <v>2.4012396298331944E-2</v>
          </cell>
          <cell r="AF57">
            <v>2.7138697479545008E-2</v>
          </cell>
          <cell r="AG57">
            <v>2.3259338684683276E-2</v>
          </cell>
        </row>
        <row r="59">
          <cell r="D59">
            <v>0.87629711540573996</v>
          </cell>
          <cell r="E59">
            <v>0.88247164571162762</v>
          </cell>
          <cell r="F59">
            <v>0.88223388052123886</v>
          </cell>
          <cell r="G59">
            <v>0.8778997749573586</v>
          </cell>
          <cell r="H59">
            <v>0.87976369050571523</v>
          </cell>
          <cell r="I59">
            <v>0.87163342164351987</v>
          </cell>
          <cell r="J59">
            <v>0.89048649403224678</v>
          </cell>
          <cell r="K59">
            <v>0.88946424825008108</v>
          </cell>
          <cell r="L59">
            <v>0.88788459500512174</v>
          </cell>
          <cell r="M59">
            <v>0.88554625397456277</v>
          </cell>
          <cell r="N59">
            <v>0.8880494789027874</v>
          </cell>
          <cell r="O59">
            <v>0.88695493798947755</v>
          </cell>
          <cell r="P59">
            <v>0.88451973634762371</v>
          </cell>
          <cell r="Q59">
            <v>0.88381425001335567</v>
          </cell>
          <cell r="R59">
            <v>0.88569557752432326</v>
          </cell>
          <cell r="S59">
            <v>0.88540063550944592</v>
          </cell>
          <cell r="T59">
            <v>0.89220186758039066</v>
          </cell>
          <cell r="U59">
            <v>0.89149384740461057</v>
          </cell>
          <cell r="V59">
            <v>0.88808324095535696</v>
          </cell>
          <cell r="W59">
            <v>0.88927227938495479</v>
          </cell>
          <cell r="X59">
            <v>0.89280062206692712</v>
          </cell>
          <cell r="Y59">
            <v>0.89538877687865481</v>
          </cell>
          <cell r="Z59">
            <v>0.88225391279060517</v>
          </cell>
          <cell r="AA59">
            <v>0.88649829042726258</v>
          </cell>
          <cell r="AB59">
            <v>0.88911876055547823</v>
          </cell>
          <cell r="AC59">
            <v>0.89039961704479387</v>
          </cell>
          <cell r="AD59">
            <v>0.89377716284807551</v>
          </cell>
          <cell r="AE59">
            <v>0.89010045665247239</v>
          </cell>
          <cell r="AF59">
            <v>0.88910539621103735</v>
          </cell>
          <cell r="AG59">
            <v>0.89078911273710182</v>
          </cell>
        </row>
        <row r="60">
          <cell r="H60">
            <v>5.3557898049625671E-2</v>
          </cell>
          <cell r="I60">
            <v>5.3348460907892074E-2</v>
          </cell>
          <cell r="J60">
            <v>7.8039465943423508E-2</v>
          </cell>
          <cell r="K60">
            <v>5.3846960767484887E-2</v>
          </cell>
          <cell r="L60">
            <v>5.4850047688014374E-2</v>
          </cell>
          <cell r="M60">
            <v>6.0051917726550073E-2</v>
          </cell>
          <cell r="N60">
            <v>5.5022011056192935E-2</v>
          </cell>
          <cell r="O60">
            <v>5.4202935405276299E-2</v>
          </cell>
          <cell r="P60">
            <v>5.3782731880434878E-2</v>
          </cell>
          <cell r="Q60">
            <v>5.3623050758920369E-2</v>
          </cell>
          <cell r="R60">
            <v>5.4114867572316018E-2</v>
          </cell>
          <cell r="S60">
            <v>5.326729800386313E-2</v>
          </cell>
          <cell r="T60">
            <v>5.3636589283523585E-2</v>
          </cell>
          <cell r="U60">
            <v>5.2310151437902193E-2</v>
          </cell>
          <cell r="V60">
            <v>5.3980651012798558E-2</v>
          </cell>
          <cell r="W60">
            <v>5.3311953460467874E-2</v>
          </cell>
          <cell r="X60">
            <v>5.5223393305303771E-2</v>
          </cell>
          <cell r="Y60">
            <v>5.3401512594309072E-2</v>
          </cell>
          <cell r="Z60">
            <v>6.6496425155455188E-2</v>
          </cell>
          <cell r="AA60">
            <v>7.2550264918523413E-2</v>
          </cell>
          <cell r="AB60">
            <v>6.2195838396705484E-2</v>
          </cell>
          <cell r="AC60">
            <v>7.4363984131190913E-2</v>
          </cell>
          <cell r="AD60">
            <v>6.8701531663346194E-2</v>
          </cell>
          <cell r="AE60">
            <v>6.6041126522791607E-2</v>
          </cell>
          <cell r="AF60">
            <v>6.1603115882101413E-2</v>
          </cell>
          <cell r="AG60">
            <v>6.7219499705164609E-2</v>
          </cell>
        </row>
        <row r="61">
          <cell r="D61">
            <v>5.2272743916281589E-2</v>
          </cell>
          <cell r="E61">
            <v>4.9375453189771934E-2</v>
          </cell>
          <cell r="F61">
            <v>4.7473345743780676E-2</v>
          </cell>
          <cell r="G61">
            <v>7.3148586511709357E-2</v>
          </cell>
          <cell r="H61">
            <v>5.5841288139883719E-2</v>
          </cell>
          <cell r="I61">
            <v>5.6490798712176112E-2</v>
          </cell>
          <cell r="J61">
            <v>9.2722033323694511E-2</v>
          </cell>
          <cell r="K61">
            <v>5.8391028208502602E-2</v>
          </cell>
          <cell r="L61">
            <v>5.9230280122929073E-2</v>
          </cell>
          <cell r="M61">
            <v>6.6782591414944345E-2</v>
          </cell>
          <cell r="N61">
            <v>5.7446417245559322E-2</v>
          </cell>
          <cell r="O61">
            <v>5.6460675122594915E-2</v>
          </cell>
          <cell r="P61">
            <v>5.5995085111875786E-2</v>
          </cell>
          <cell r="Q61">
            <v>6.3019772887815143E-2</v>
          </cell>
          <cell r="R61">
            <v>5.8401804078837646E-2</v>
          </cell>
          <cell r="S61">
            <v>5.5904349285549701E-2</v>
          </cell>
          <cell r="T61">
            <v>5.672639918746273E-2</v>
          </cell>
          <cell r="U61">
            <v>5.5416075291783218E-2</v>
          </cell>
          <cell r="V61">
            <v>5.6842688703013206E-2</v>
          </cell>
          <cell r="W61">
            <v>5.6235039960706279E-2</v>
          </cell>
          <cell r="X61">
            <v>5.8635290833734172E-2</v>
          </cell>
          <cell r="Y61">
            <v>5.9666736609708705E-2</v>
          </cell>
          <cell r="Z61">
            <v>7.0535874536247128E-2</v>
          </cell>
          <cell r="AA61">
            <v>7.6930773179283291E-2</v>
          </cell>
          <cell r="AB61">
            <v>6.6741663974504747E-2</v>
          </cell>
          <cell r="AC61">
            <v>7.9736451213273593E-2</v>
          </cell>
          <cell r="AD61">
            <v>7.3898028364006052E-2</v>
          </cell>
          <cell r="AE61">
            <v>7.1661031216310844E-2</v>
          </cell>
          <cell r="AF61">
            <v>6.6792148078959931E-2</v>
          </cell>
          <cell r="AG61">
            <v>7.2561328199360717E-2</v>
          </cell>
        </row>
        <row r="62">
          <cell r="D62">
            <v>0.3830078481474723</v>
          </cell>
          <cell r="E62">
            <v>0.39</v>
          </cell>
          <cell r="F62">
            <v>0.39</v>
          </cell>
          <cell r="G62">
            <v>0.39</v>
          </cell>
          <cell r="H62">
            <v>0.36998810832641493</v>
          </cell>
          <cell r="I62">
            <v>0.36599999999999999</v>
          </cell>
          <cell r="J62">
            <v>0.37497452618707899</v>
          </cell>
          <cell r="K62">
            <v>0.35</v>
          </cell>
          <cell r="L62">
            <v>0.36</v>
          </cell>
          <cell r="M62">
            <v>0.37501409149324727</v>
          </cell>
          <cell r="N62">
            <v>0.37498375568551051</v>
          </cell>
          <cell r="O62">
            <v>0.37503647079418767</v>
          </cell>
          <cell r="P62">
            <v>0.37496659718881892</v>
          </cell>
          <cell r="Q62">
            <v>0.37499324287799091</v>
          </cell>
          <cell r="R62">
            <v>0.37499462265368433</v>
          </cell>
          <cell r="S62">
            <v>0.37498814828861349</v>
          </cell>
          <cell r="T62">
            <v>0.37502739425816367</v>
          </cell>
          <cell r="U62">
            <v>0.37498718605843134</v>
          </cell>
          <cell r="V62">
            <v>0.37500000000000533</v>
          </cell>
          <cell r="W62">
            <v>0.37500000000000072</v>
          </cell>
          <cell r="X62">
            <v>0.37498723317332289</v>
          </cell>
          <cell r="Y62">
            <v>0.38002038735983662</v>
          </cell>
          <cell r="Z62">
            <v>0.37997841867765347</v>
          </cell>
          <cell r="AA62">
            <v>0.27947808309782896</v>
          </cell>
          <cell r="AB62">
            <v>0.35677831568727741</v>
          </cell>
          <cell r="AC62">
            <v>0.38000128857676746</v>
          </cell>
          <cell r="AD62">
            <v>0.38</v>
          </cell>
          <cell r="AE62">
            <v>0.38</v>
          </cell>
          <cell r="AF62">
            <v>0.38</v>
          </cell>
          <cell r="AG62">
            <v>0.37998771786596269</v>
          </cell>
        </row>
        <row r="63">
          <cell r="AD63">
            <v>0.90322580645161299</v>
          </cell>
        </row>
        <row r="64">
          <cell r="I64">
            <v>0.23282534986415526</v>
          </cell>
          <cell r="J64">
            <v>0.37207393320837823</v>
          </cell>
          <cell r="K64">
            <v>0.4196919952614655</v>
          </cell>
          <cell r="L64">
            <v>0.46875668804679926</v>
          </cell>
          <cell r="M64">
            <v>0.37708092095023238</v>
          </cell>
          <cell r="N64">
            <v>0.58279376997374444</v>
          </cell>
          <cell r="O64">
            <v>0.45080218169490194</v>
          </cell>
          <cell r="P64">
            <v>0.45910339303084058</v>
          </cell>
          <cell r="Q64">
            <v>0.48771592073192238</v>
          </cell>
          <cell r="R64">
            <v>0.49094669117647061</v>
          </cell>
          <cell r="S64">
            <v>0.31927102684485686</v>
          </cell>
          <cell r="T64">
            <v>0.20449554809466686</v>
          </cell>
          <cell r="U64">
            <v>0.18576577813070849</v>
          </cell>
          <cell r="V64">
            <v>0.17806283872422957</v>
          </cell>
          <cell r="W64">
            <v>0.21777904032935913</v>
          </cell>
          <cell r="X64">
            <v>0.14142218707418164</v>
          </cell>
          <cell r="Y64">
            <v>0.25090797045422764</v>
          </cell>
          <cell r="Z64">
            <v>0.21304377781758554</v>
          </cell>
          <cell r="AA64">
            <v>0.15832913433437512</v>
          </cell>
          <cell r="AB64">
            <v>0.19004303565919267</v>
          </cell>
          <cell r="AC64">
            <v>0.21308284505897923</v>
          </cell>
          <cell r="AD64">
            <v>0.28236111774857897</v>
          </cell>
          <cell r="AE64">
            <v>0.34790605094505622</v>
          </cell>
          <cell r="AF64">
            <v>0.39758049818811392</v>
          </cell>
          <cell r="AG64">
            <v>0.31341764481971612</v>
          </cell>
        </row>
        <row r="65">
          <cell r="I65">
            <v>0.27930381245560132</v>
          </cell>
          <cell r="J65">
            <v>0.27850532565042752</v>
          </cell>
          <cell r="K65">
            <v>0.33252859688452019</v>
          </cell>
          <cell r="L65">
            <v>0.34864821798481316</v>
          </cell>
          <cell r="M65">
            <v>0.31085252571233424</v>
          </cell>
          <cell r="N65">
            <v>0.38037945395649997</v>
          </cell>
          <cell r="O65">
            <v>0.49758718018756265</v>
          </cell>
          <cell r="P65">
            <v>0.52437235786386172</v>
          </cell>
          <cell r="Q65">
            <v>0.54172738371864093</v>
          </cell>
          <cell r="R65">
            <v>0.48900150842657042</v>
          </cell>
          <cell r="S65">
            <v>0.35048608783104229</v>
          </cell>
          <cell r="T65">
            <v>0.14858949416342337</v>
          </cell>
          <cell r="U65">
            <v>0.1141547342803777</v>
          </cell>
          <cell r="V65">
            <v>0.13477749961680741</v>
          </cell>
          <cell r="W65">
            <v>0.17967349318562631</v>
          </cell>
          <cell r="X65">
            <v>6.7717512721856998E-2</v>
          </cell>
          <cell r="Y65">
            <v>0.21392652974804216</v>
          </cell>
          <cell r="Z65">
            <v>0.31634156253174783</v>
          </cell>
          <cell r="AA65">
            <v>0.17473324028635351</v>
          </cell>
          <cell r="AB65">
            <v>0.19169297492323922</v>
          </cell>
          <cell r="AC65">
            <v>0.24025294678353082</v>
          </cell>
          <cell r="AD65">
            <v>0.30211684861538757</v>
          </cell>
          <cell r="AE65">
            <v>0.25808222578806417</v>
          </cell>
          <cell r="AF65">
            <v>0.36547842489042548</v>
          </cell>
          <cell r="AG65">
            <v>0.29363188088527648</v>
          </cell>
        </row>
        <row r="66">
          <cell r="I66">
            <v>0.2505198534508386</v>
          </cell>
          <cell r="J66">
            <v>-0.58343034536282457</v>
          </cell>
          <cell r="K66">
            <v>0.10811818436014509</v>
          </cell>
          <cell r="L66">
            <v>0.65252293577982701</v>
          </cell>
          <cell r="M66">
            <v>7.1747383541965304E-2</v>
          </cell>
          <cell r="N66">
            <v>0.20112439623089462</v>
          </cell>
          <cell r="O66">
            <v>2.9876571960875591</v>
          </cell>
          <cell r="P66">
            <v>0.58802254184540681</v>
          </cell>
          <cell r="Q66">
            <v>0.44136016655100674</v>
          </cell>
          <cell r="R66">
            <v>0.67217156123596911</v>
          </cell>
          <cell r="S66">
            <v>0.42131979695431387</v>
          </cell>
          <cell r="T66">
            <v>0.1086842258949936</v>
          </cell>
          <cell r="U66">
            <v>8.0031779661016156E-2</v>
          </cell>
          <cell r="V66">
            <v>0.23019312041938367</v>
          </cell>
          <cell r="W66">
            <v>0.20133113862448693</v>
          </cell>
          <cell r="X66">
            <v>-3.2699443413728768E-2</v>
          </cell>
          <cell r="Y66">
            <v>0.11335861778339806</v>
          </cell>
          <cell r="Z66">
            <v>0.10627237506743104</v>
          </cell>
          <cell r="AA66">
            <v>-0.18124891285439748</v>
          </cell>
          <cell r="AB66">
            <v>-6.6006600660035719E-3</v>
          </cell>
          <cell r="AC66">
            <v>-0.17760728842004303</v>
          </cell>
          <cell r="AD66">
            <v>-1.869016284443803E-3</v>
          </cell>
          <cell r="AE66">
            <v>0.15351054141024689</v>
          </cell>
          <cell r="AF66">
            <v>0.68220737527060149</v>
          </cell>
          <cell r="AG66">
            <v>0.15072275226122533</v>
          </cell>
        </row>
        <row r="67">
          <cell r="I67">
            <v>0.24051671109288697</v>
          </cell>
          <cell r="J67">
            <v>-0.66194921208471291</v>
          </cell>
          <cell r="K67">
            <v>5.3158705701078501E-2</v>
          </cell>
          <cell r="L67">
            <v>0.58677795442502401</v>
          </cell>
          <cell r="M67">
            <v>1.9442747483332301E-2</v>
          </cell>
          <cell r="N67">
            <v>0.20024793388429485</v>
          </cell>
          <cell r="O67">
            <v>3.8889548693586606</v>
          </cell>
          <cell r="P67">
            <v>0.66450256035113764</v>
          </cell>
          <cell r="Q67">
            <v>0.49561659848042106</v>
          </cell>
          <cell r="R67">
            <v>0.74839113102837396</v>
          </cell>
          <cell r="S67">
            <v>0.42071197411003181</v>
          </cell>
          <cell r="T67">
            <v>8.714927729867461E-2</v>
          </cell>
          <cell r="U67">
            <v>5.8287095533702482E-2</v>
          </cell>
          <cell r="V67">
            <v>0.2203427678222265</v>
          </cell>
          <cell r="W67">
            <v>0.18706504731390794</v>
          </cell>
          <cell r="X67">
            <v>-5.5590558813550794E-2</v>
          </cell>
          <cell r="Y67">
            <v>0.10083235573431804</v>
          </cell>
          <cell r="Z67">
            <v>7.8696013289035749E-2</v>
          </cell>
          <cell r="AA67">
            <v>-0.23083257090575204</v>
          </cell>
          <cell r="AB67">
            <v>-3.6054131411782264E-2</v>
          </cell>
          <cell r="AC67">
            <v>-0.25402853330596331</v>
          </cell>
          <cell r="AD67">
            <v>-7.7704939012889551E-2</v>
          </cell>
          <cell r="AE67">
            <v>9.1753647407716299E-2</v>
          </cell>
          <cell r="AF67">
            <v>0.68540207336712777</v>
          </cell>
          <cell r="AG67">
            <v>9.0544642451542812E-2</v>
          </cell>
        </row>
        <row r="68">
          <cell r="I68">
            <v>0.27514144916955807</v>
          </cell>
          <cell r="J68">
            <v>-0.57337854286211054</v>
          </cell>
          <cell r="K68">
            <v>-6.2877871825877119E-3</v>
          </cell>
          <cell r="L68">
            <v>0.35469909315746917</v>
          </cell>
          <cell r="M68">
            <v>-4.8464179137970298E-3</v>
          </cell>
          <cell r="N68">
            <v>0.10140986187647383</v>
          </cell>
          <cell r="O68">
            <v>2.4923578561239013</v>
          </cell>
          <cell r="P68">
            <v>0.51788756388416002</v>
          </cell>
          <cell r="Q68">
            <v>0.40719610527917305</v>
          </cell>
          <cell r="R68">
            <v>0.57231754334543372</v>
          </cell>
          <cell r="S68">
            <v>0.3706302794022085</v>
          </cell>
          <cell r="T68">
            <v>6.5063896831416113E-2</v>
          </cell>
          <cell r="U68">
            <v>4.2702153813264365E-2</v>
          </cell>
          <cell r="V68">
            <v>0.19487539867017389</v>
          </cell>
          <cell r="W68">
            <v>0.1609332205285543</v>
          </cell>
          <cell r="X68">
            <v>-7.167915046932738E-2</v>
          </cell>
          <cell r="Y68">
            <v>7.4950690335306991E-2</v>
          </cell>
          <cell r="Z68">
            <v>4.500256278831305E-2</v>
          </cell>
          <cell r="AA68">
            <v>-0.24760224393773733</v>
          </cell>
          <cell r="AB68">
            <v>-5.8535079051380556E-2</v>
          </cell>
          <cell r="AC68">
            <v>-0.20738433255030142</v>
          </cell>
          <cell r="AD68">
            <v>-2.6961335024872635E-2</v>
          </cell>
          <cell r="AE68">
            <v>0.12703757936689941</v>
          </cell>
          <cell r="AF68">
            <v>0.69118353295621926</v>
          </cell>
          <cell r="AG68">
            <v>0.12461076737754939</v>
          </cell>
        </row>
        <row r="69">
          <cell r="I69">
            <v>0.29167282946309969</v>
          </cell>
          <cell r="J69">
            <v>-0.56784556855009094</v>
          </cell>
          <cell r="K69">
            <v>6.532532009406733E-3</v>
          </cell>
          <cell r="L69">
            <v>0.25110400487286078</v>
          </cell>
          <cell r="M69">
            <v>-1.2785355603832871E-2</v>
          </cell>
          <cell r="N69">
            <v>0.10145425397915586</v>
          </cell>
          <cell r="O69">
            <v>2.4920117378545754</v>
          </cell>
          <cell r="P69">
            <v>0.51804257528557107</v>
          </cell>
          <cell r="Q69">
            <v>0.40725413826679779</v>
          </cell>
          <cell r="R69">
            <v>0.5723665223665233</v>
          </cell>
          <cell r="S69">
            <v>0.37062064663686356</v>
          </cell>
          <cell r="T69">
            <v>6.507936507936285E-2</v>
          </cell>
          <cell r="U69">
            <v>4.2667806755022575E-2</v>
          </cell>
          <cell r="V69">
            <v>0.19486248053965949</v>
          </cell>
          <cell r="W69">
            <v>0.16092323223052785</v>
          </cell>
          <cell r="X69">
            <v>-7.167779126213536E-2</v>
          </cell>
          <cell r="Y69">
            <v>6.6362759708952668E-2</v>
          </cell>
          <cell r="Z69">
            <v>3.6657372478267058E-2</v>
          </cell>
          <cell r="AA69">
            <v>-0.13260948244659487</v>
          </cell>
          <cell r="AB69">
            <v>-3.1086956521735765E-2</v>
          </cell>
          <cell r="AC69">
            <v>-0.21374295285562561</v>
          </cell>
          <cell r="AD69">
            <v>-2.6929337699487577E-2</v>
          </cell>
          <cell r="AE69">
            <v>0.12699835014967586</v>
          </cell>
          <cell r="AF69">
            <v>0.45524204862628892</v>
          </cell>
          <cell r="AG69">
            <v>8.3973792994764596E-2</v>
          </cell>
        </row>
        <row r="70">
          <cell r="I70">
            <v>0.22598086998985734</v>
          </cell>
          <cell r="J70">
            <v>-0.58816351556004598</v>
          </cell>
          <cell r="K70">
            <v>-7.7874083610057765E-3</v>
          </cell>
          <cell r="L70">
            <v>0.31767518029379449</v>
          </cell>
          <cell r="M70">
            <v>-4.5104106764586982E-2</v>
          </cell>
          <cell r="N70">
            <v>0.10114500924119763</v>
          </cell>
          <cell r="O70">
            <v>2.5194231921513084</v>
          </cell>
          <cell r="P70">
            <v>0.52752308965398576</v>
          </cell>
          <cell r="Q70">
            <v>0.29739205235807264</v>
          </cell>
          <cell r="R70">
            <v>0.57842155192165023</v>
          </cell>
          <cell r="S70">
            <v>0.3893216967357076</v>
          </cell>
          <cell r="T70">
            <v>7.4936925357141915E-2</v>
          </cell>
          <cell r="U70">
            <v>4.8828645973783447E-2</v>
          </cell>
          <cell r="V70">
            <v>0.20722786743117161</v>
          </cell>
          <cell r="W70">
            <v>0.17293738879806164</v>
          </cell>
          <cell r="X70">
            <v>-7.264268698435894E-2</v>
          </cell>
          <cell r="Y70">
            <v>0.15071877150624124</v>
          </cell>
          <cell r="Z70">
            <v>2.7570684092425024E-2</v>
          </cell>
          <cell r="AA70">
            <v>-0.12281943540612794</v>
          </cell>
          <cell r="AB70">
            <v>-1.3500859022984035E-2</v>
          </cell>
          <cell r="AC70">
            <v>-0.22059028740859621</v>
          </cell>
          <cell r="AD70">
            <v>-0.10138549353737614</v>
          </cell>
          <cell r="AE70">
            <v>0.11983397916535443</v>
          </cell>
          <cell r="AF70">
            <v>0.42238057902242931</v>
          </cell>
          <cell r="AG70">
            <v>5.2353822431927322E-2</v>
          </cell>
        </row>
        <row r="76">
          <cell r="B76" t="str">
            <v>(In millions, except per share data)</v>
          </cell>
        </row>
        <row r="78">
          <cell r="B78" t="str">
            <v>BALANCE SHEET</v>
          </cell>
          <cell r="D78" t="str">
            <v>Fiscal Year End, December 2000</v>
          </cell>
          <cell r="I78" t="str">
            <v>Fiscal Year End, December 2001</v>
          </cell>
          <cell r="N78" t="str">
            <v>Fiscal Year End, December 2002</v>
          </cell>
          <cell r="S78" t="str">
            <v>Fiscal Year End, December 2003</v>
          </cell>
          <cell r="X78" t="str">
            <v>Fiscal Year End, December 2004</v>
          </cell>
          <cell r="AC78" t="str">
            <v>Fiscal Year End, December 2005</v>
          </cell>
        </row>
        <row r="79">
          <cell r="D79" t="str">
            <v>1QA</v>
          </cell>
          <cell r="E79" t="str">
            <v>2QA</v>
          </cell>
          <cell r="F79" t="str">
            <v>3QA</v>
          </cell>
          <cell r="G79" t="str">
            <v>4QA</v>
          </cell>
          <cell r="H79" t="str">
            <v>FY00</v>
          </cell>
          <cell r="I79" t="str">
            <v>1QA</v>
          </cell>
          <cell r="J79" t="str">
            <v>2QA</v>
          </cell>
          <cell r="K79" t="str">
            <v>3QA</v>
          </cell>
          <cell r="L79" t="str">
            <v>4QA</v>
          </cell>
          <cell r="M79" t="str">
            <v>FY01</v>
          </cell>
          <cell r="N79" t="str">
            <v>1QA</v>
          </cell>
          <cell r="O79" t="str">
            <v>2QA</v>
          </cell>
          <cell r="P79" t="str">
            <v>3QA</v>
          </cell>
          <cell r="Q79" t="str">
            <v>4QA</v>
          </cell>
          <cell r="R79" t="str">
            <v>FY02</v>
          </cell>
          <cell r="S79" t="str">
            <v>1QA</v>
          </cell>
          <cell r="T79" t="str">
            <v>2QA</v>
          </cell>
          <cell r="U79" t="str">
            <v>3QA</v>
          </cell>
          <cell r="V79" t="str">
            <v>4QA</v>
          </cell>
          <cell r="W79" t="str">
            <v>FY03</v>
          </cell>
          <cell r="X79" t="str">
            <v>1QA</v>
          </cell>
          <cell r="Y79" t="str">
            <v>2QA</v>
          </cell>
          <cell r="Z79" t="str">
            <v>3QA</v>
          </cell>
          <cell r="AA79" t="str">
            <v>4QA</v>
          </cell>
          <cell r="AB79" t="str">
            <v>FY04</v>
          </cell>
          <cell r="AC79" t="str">
            <v>1QA</v>
          </cell>
          <cell r="AD79" t="str">
            <v>2QE</v>
          </cell>
          <cell r="AE79" t="str">
            <v>3QE</v>
          </cell>
          <cell r="AF79" t="str">
            <v>4QE</v>
          </cell>
          <cell r="AG79" t="str">
            <v>FY 05E</v>
          </cell>
        </row>
        <row r="80">
          <cell r="B80" t="str">
            <v>Assets</v>
          </cell>
        </row>
        <row r="81">
          <cell r="B81" t="str">
            <v>Cash and equivalents / securities</v>
          </cell>
          <cell r="D81">
            <v>99.269000000000005</v>
          </cell>
          <cell r="E81">
            <v>121.38499999999999</v>
          </cell>
          <cell r="F81">
            <v>129.011</v>
          </cell>
          <cell r="G81">
            <v>128.62700000000001</v>
          </cell>
          <cell r="H81">
            <v>128.62700000000001</v>
          </cell>
          <cell r="I81">
            <v>139.63</v>
          </cell>
          <cell r="J81">
            <v>124</v>
          </cell>
          <cell r="K81">
            <v>136.517</v>
          </cell>
          <cell r="L81">
            <v>126.92400000000001</v>
          </cell>
          <cell r="M81">
            <v>126.92400000000001</v>
          </cell>
          <cell r="N81">
            <v>91.347999999999999</v>
          </cell>
          <cell r="O81">
            <v>96.538000000000011</v>
          </cell>
          <cell r="P81">
            <v>76.596999999999994</v>
          </cell>
          <cell r="Q81">
            <v>83.367999999999995</v>
          </cell>
          <cell r="R81">
            <v>83.367999999999995</v>
          </cell>
          <cell r="S81">
            <v>85.671999999999997</v>
          </cell>
          <cell r="T81">
            <v>81.769000000000005</v>
          </cell>
          <cell r="U81">
            <v>75.763000000000005</v>
          </cell>
          <cell r="V81">
            <v>63.036000000000001</v>
          </cell>
          <cell r="W81">
            <v>63.036000000000001</v>
          </cell>
          <cell r="X81">
            <v>65.950999999999993</v>
          </cell>
          <cell r="Y81">
            <v>50.822000000000003</v>
          </cell>
          <cell r="Z81">
            <v>79.265000000000001</v>
          </cell>
          <cell r="AA81">
            <v>62.754000000000005</v>
          </cell>
          <cell r="AB81">
            <v>62.754000000000005</v>
          </cell>
          <cell r="AC81">
            <v>45.331000000000003</v>
          </cell>
          <cell r="AD81">
            <v>22.391821531909585</v>
          </cell>
          <cell r="AE81">
            <v>27.140417600114382</v>
          </cell>
          <cell r="AF81">
            <v>40.898317378188835</v>
          </cell>
          <cell r="AG81">
            <v>40.898317378188835</v>
          </cell>
        </row>
        <row r="82">
          <cell r="B82" t="str">
            <v>Accounts receivable</v>
          </cell>
        </row>
        <row r="83">
          <cell r="B83" t="str">
            <v>Patient accounts</v>
          </cell>
          <cell r="D83">
            <v>91.308999999999997</v>
          </cell>
          <cell r="E83">
            <v>98.385000000000005</v>
          </cell>
          <cell r="F83">
            <v>96.998999999999995</v>
          </cell>
          <cell r="G83">
            <v>99.305000000000007</v>
          </cell>
          <cell r="H83">
            <v>99.305000000000007</v>
          </cell>
          <cell r="I83">
            <v>104.86</v>
          </cell>
          <cell r="J83">
            <v>111.26</v>
          </cell>
          <cell r="K83">
            <v>112.14400000000001</v>
          </cell>
          <cell r="L83">
            <v>118.342</v>
          </cell>
          <cell r="M83">
            <v>118.342</v>
          </cell>
          <cell r="N83">
            <v>138.79300000000001</v>
          </cell>
          <cell r="O83">
            <v>147.262</v>
          </cell>
          <cell r="P83">
            <v>156.27199999999999</v>
          </cell>
          <cell r="Q83">
            <v>163.68799999999999</v>
          </cell>
          <cell r="R83">
            <v>163.68799999999999</v>
          </cell>
          <cell r="S83">
            <v>169.62899999999999</v>
          </cell>
          <cell r="T83">
            <v>171.73699999999999</v>
          </cell>
          <cell r="U83">
            <v>181.97900000000001</v>
          </cell>
          <cell r="V83">
            <v>172.20599999999999</v>
          </cell>
          <cell r="W83">
            <v>172.20599999999999</v>
          </cell>
          <cell r="X83">
            <v>192.17699999999999</v>
          </cell>
          <cell r="Y83">
            <v>213.78899999999999</v>
          </cell>
          <cell r="Z83">
            <v>236.79499999999999</v>
          </cell>
          <cell r="AA83">
            <v>244.73</v>
          </cell>
          <cell r="AB83">
            <v>244.73</v>
          </cell>
          <cell r="AC83">
            <v>287.85500000000002</v>
          </cell>
          <cell r="AD83">
            <v>314.24595766305862</v>
          </cell>
          <cell r="AE83">
            <v>325.09204354954795</v>
          </cell>
          <cell r="AF83">
            <v>338.0026915957269</v>
          </cell>
          <cell r="AG83">
            <v>338.0026915957269</v>
          </cell>
        </row>
        <row r="84">
          <cell r="B84" t="str">
            <v>Allowance for doubtful accounts</v>
          </cell>
          <cell r="D84">
            <v>-1.879</v>
          </cell>
          <cell r="E84">
            <v>-1.909</v>
          </cell>
          <cell r="F84">
            <v>-2.319</v>
          </cell>
          <cell r="G84">
            <v>-2.9540000000000002</v>
          </cell>
          <cell r="H84">
            <v>-2.9540000000000002</v>
          </cell>
          <cell r="I84">
            <v>-2.9870000000000001</v>
          </cell>
          <cell r="J84">
            <v>-3.02</v>
          </cell>
          <cell r="K84">
            <v>-3.153</v>
          </cell>
          <cell r="L84">
            <v>-3.2389999999999999</v>
          </cell>
          <cell r="M84">
            <v>-3.2389999999999999</v>
          </cell>
          <cell r="N84">
            <v>-3.6960000000000002</v>
          </cell>
          <cell r="O84">
            <v>-4.1950000000000003</v>
          </cell>
          <cell r="P84">
            <v>-4.8150000000000004</v>
          </cell>
          <cell r="Q84">
            <v>-5.4370000000000003</v>
          </cell>
          <cell r="R84">
            <v>-5.4370000000000003</v>
          </cell>
          <cell r="S84">
            <v>-5.7489999999999997</v>
          </cell>
          <cell r="T84">
            <v>-5.8840000000000003</v>
          </cell>
          <cell r="U84">
            <v>-6.0730000000000004</v>
          </cell>
          <cell r="V84">
            <v>-5.48</v>
          </cell>
          <cell r="W84">
            <v>-5.48</v>
          </cell>
          <cell r="X84">
            <v>-5.9779999999999998</v>
          </cell>
          <cell r="Y84">
            <v>-6.3150000000000004</v>
          </cell>
          <cell r="Z84">
            <v>-6.8129999999999997</v>
          </cell>
          <cell r="AA84">
            <v>-6.9029999999999996</v>
          </cell>
          <cell r="AB84">
            <v>-6.9029999999999996</v>
          </cell>
          <cell r="AC84">
            <v>-7.6539999999999999</v>
          </cell>
          <cell r="AD84">
            <v>-7.8836200000000005</v>
          </cell>
          <cell r="AE84">
            <v>-8.120128600000001</v>
          </cell>
          <cell r="AF84">
            <v>-8.3637324580000012</v>
          </cell>
          <cell r="AG84">
            <v>-8.3637324580000012</v>
          </cell>
        </row>
        <row r="85">
          <cell r="B85" t="str">
            <v>Due from affiliates</v>
          </cell>
          <cell r="D85">
            <v>0</v>
          </cell>
          <cell r="E85">
            <v>0</v>
          </cell>
          <cell r="F85">
            <v>0</v>
          </cell>
          <cell r="G85">
            <v>0</v>
          </cell>
          <cell r="H85">
            <v>0</v>
          </cell>
          <cell r="I85">
            <v>0</v>
          </cell>
          <cell r="J85">
            <v>0</v>
          </cell>
          <cell r="K85">
            <v>0</v>
          </cell>
          <cell r="L85">
            <v>0</v>
          </cell>
          <cell r="M85">
            <v>0</v>
          </cell>
          <cell r="N85">
            <v>0</v>
          </cell>
          <cell r="O85">
            <v>0</v>
          </cell>
          <cell r="P85">
            <v>0</v>
          </cell>
          <cell r="Q85">
            <v>0</v>
          </cell>
          <cell r="R85">
            <v>0</v>
          </cell>
          <cell r="S85">
            <v>0</v>
          </cell>
          <cell r="T85">
            <v>0</v>
          </cell>
          <cell r="U85">
            <v>0</v>
          </cell>
          <cell r="V85">
            <v>0</v>
          </cell>
          <cell r="W85">
            <v>0</v>
          </cell>
          <cell r="X85">
            <v>0</v>
          </cell>
          <cell r="Y85">
            <v>0</v>
          </cell>
          <cell r="Z85">
            <v>0</v>
          </cell>
          <cell r="AA85">
            <v>0</v>
          </cell>
          <cell r="AB85">
            <v>0</v>
          </cell>
          <cell r="AC85">
            <v>0</v>
          </cell>
          <cell r="AD85">
            <v>0</v>
          </cell>
          <cell r="AE85">
            <v>0</v>
          </cell>
          <cell r="AF85">
            <v>0</v>
          </cell>
          <cell r="AG85">
            <v>0</v>
          </cell>
        </row>
        <row r="86">
          <cell r="B86" t="str">
            <v>Other</v>
          </cell>
          <cell r="D86">
            <v>0</v>
          </cell>
          <cell r="E86">
            <v>0</v>
          </cell>
          <cell r="F86">
            <v>0</v>
          </cell>
          <cell r="G86">
            <v>0</v>
          </cell>
          <cell r="H86">
            <v>0</v>
          </cell>
          <cell r="I86">
            <v>0</v>
          </cell>
          <cell r="J86">
            <v>0</v>
          </cell>
          <cell r="K86">
            <v>0</v>
          </cell>
          <cell r="L86">
            <v>0</v>
          </cell>
          <cell r="M86">
            <v>0</v>
          </cell>
          <cell r="N86">
            <v>0</v>
          </cell>
          <cell r="O86">
            <v>0</v>
          </cell>
          <cell r="P86">
            <v>0</v>
          </cell>
          <cell r="Q86">
            <v>0</v>
          </cell>
          <cell r="R86">
            <v>0</v>
          </cell>
          <cell r="S86">
            <v>0</v>
          </cell>
          <cell r="T86">
            <v>0</v>
          </cell>
          <cell r="U86">
            <v>0</v>
          </cell>
          <cell r="V86">
            <v>0</v>
          </cell>
          <cell r="W86">
            <v>0</v>
          </cell>
          <cell r="X86">
            <v>0</v>
          </cell>
          <cell r="Y86">
            <v>0</v>
          </cell>
          <cell r="Z86">
            <v>0</v>
          </cell>
          <cell r="AA86">
            <v>0</v>
          </cell>
          <cell r="AB86">
            <v>0</v>
          </cell>
          <cell r="AC86">
            <v>0</v>
          </cell>
          <cell r="AD86">
            <v>0</v>
          </cell>
          <cell r="AE86">
            <v>0</v>
          </cell>
          <cell r="AF86">
            <v>0</v>
          </cell>
          <cell r="AG86">
            <v>0</v>
          </cell>
        </row>
        <row r="87">
          <cell r="B87" t="str">
            <v>Accounts receivable - Total</v>
          </cell>
          <cell r="D87">
            <v>91.308999999999997</v>
          </cell>
          <cell r="E87">
            <v>98.385000000000005</v>
          </cell>
          <cell r="F87">
            <v>96.998999999999995</v>
          </cell>
          <cell r="G87">
            <v>99.305000000000007</v>
          </cell>
          <cell r="H87">
            <v>99.305000000000007</v>
          </cell>
          <cell r="I87">
            <v>104.86</v>
          </cell>
          <cell r="J87">
            <v>111.26</v>
          </cell>
          <cell r="K87">
            <v>112.14400000000001</v>
          </cell>
          <cell r="L87">
            <v>118.342</v>
          </cell>
          <cell r="M87">
            <v>118.342</v>
          </cell>
          <cell r="N87">
            <v>138.79300000000001</v>
          </cell>
          <cell r="O87">
            <v>147.262</v>
          </cell>
          <cell r="P87">
            <v>156.27199999999999</v>
          </cell>
          <cell r="Q87">
            <v>163.68799999999999</v>
          </cell>
          <cell r="R87">
            <v>163.68799999999999</v>
          </cell>
          <cell r="S87">
            <v>169.62899999999999</v>
          </cell>
          <cell r="T87">
            <v>171.73699999999999</v>
          </cell>
          <cell r="U87">
            <v>181.97900000000001</v>
          </cell>
          <cell r="V87">
            <v>172.20599999999999</v>
          </cell>
          <cell r="W87">
            <v>172.20599999999999</v>
          </cell>
          <cell r="X87">
            <v>192.17699999999999</v>
          </cell>
          <cell r="Y87">
            <v>213.78899999999999</v>
          </cell>
          <cell r="Z87">
            <v>236.79499999999999</v>
          </cell>
          <cell r="AA87">
            <v>244.73</v>
          </cell>
          <cell r="AB87">
            <v>244.73</v>
          </cell>
          <cell r="AC87">
            <v>287.85500000000002</v>
          </cell>
          <cell r="AD87">
            <v>314.24595766305862</v>
          </cell>
          <cell r="AE87">
            <v>325.09204354954795</v>
          </cell>
          <cell r="AF87">
            <v>338.0026915957269</v>
          </cell>
          <cell r="AG87">
            <v>338.0026915957269</v>
          </cell>
        </row>
        <row r="88">
          <cell r="B88" t="str">
            <v>Inventory, net</v>
          </cell>
          <cell r="D88">
            <v>31.335999999999999</v>
          </cell>
          <cell r="E88">
            <v>24.806999999999999</v>
          </cell>
          <cell r="F88">
            <v>26.937999999999999</v>
          </cell>
          <cell r="G88">
            <v>48.838999999999999</v>
          </cell>
          <cell r="H88">
            <v>48.838999999999999</v>
          </cell>
          <cell r="I88">
            <v>41.7</v>
          </cell>
          <cell r="J88">
            <v>49.566000000000003</v>
          </cell>
          <cell r="K88">
            <v>50.142000000000003</v>
          </cell>
          <cell r="L88">
            <v>74.058000000000007</v>
          </cell>
          <cell r="M88">
            <v>74.058000000000007</v>
          </cell>
          <cell r="N88">
            <v>71.028000000000006</v>
          </cell>
          <cell r="O88">
            <v>90.835999999999999</v>
          </cell>
          <cell r="P88">
            <v>79.632000000000005</v>
          </cell>
          <cell r="Q88">
            <v>108.604</v>
          </cell>
          <cell r="R88">
            <v>108.604</v>
          </cell>
          <cell r="S88">
            <v>103.998</v>
          </cell>
          <cell r="T88">
            <v>107.188</v>
          </cell>
          <cell r="U88">
            <v>99.552999999999997</v>
          </cell>
          <cell r="V88">
            <v>117.218</v>
          </cell>
          <cell r="W88">
            <v>117.218</v>
          </cell>
          <cell r="X88">
            <v>103.55800000000001</v>
          </cell>
          <cell r="Y88">
            <v>104.759</v>
          </cell>
          <cell r="Z88">
            <v>107.898</v>
          </cell>
          <cell r="AA88">
            <v>112.616</v>
          </cell>
          <cell r="AB88">
            <v>112.616</v>
          </cell>
          <cell r="AC88">
            <v>117.44</v>
          </cell>
          <cell r="AD88">
            <v>134.00789421430878</v>
          </cell>
          <cell r="AE88">
            <v>140.82409385653517</v>
          </cell>
          <cell r="AF88">
            <v>152.34695307852746</v>
          </cell>
          <cell r="AG88">
            <v>152.34695307852746</v>
          </cell>
        </row>
        <row r="89">
          <cell r="B89" t="str">
            <v>Other</v>
          </cell>
          <cell r="D89">
            <v>2.9630000000000001</v>
          </cell>
          <cell r="E89">
            <v>7.423</v>
          </cell>
          <cell r="F89">
            <v>2.742</v>
          </cell>
          <cell r="G89">
            <v>1.7829999999999999</v>
          </cell>
          <cell r="H89">
            <v>1.7829999999999999</v>
          </cell>
          <cell r="I89">
            <v>6.444</v>
          </cell>
          <cell r="J89">
            <v>5.7160000000000002</v>
          </cell>
          <cell r="K89">
            <v>3.1739999999999999</v>
          </cell>
          <cell r="L89">
            <v>8.1449999999999996</v>
          </cell>
          <cell r="M89">
            <v>8.1449999999999996</v>
          </cell>
          <cell r="N89">
            <v>10.393000000000001</v>
          </cell>
          <cell r="O89">
            <v>18.611999999999998</v>
          </cell>
          <cell r="P89">
            <v>13.856999999999999</v>
          </cell>
          <cell r="Q89">
            <v>14.667</v>
          </cell>
          <cell r="R89">
            <v>14.667</v>
          </cell>
          <cell r="S89">
            <v>16.437000000000001</v>
          </cell>
          <cell r="T89">
            <v>16.364000000000001</v>
          </cell>
          <cell r="U89">
            <v>17.878</v>
          </cell>
          <cell r="V89">
            <v>18.317</v>
          </cell>
          <cell r="W89">
            <v>18.317</v>
          </cell>
          <cell r="X89">
            <v>19.305</v>
          </cell>
          <cell r="Y89">
            <v>33.360999999999997</v>
          </cell>
          <cell r="Z89">
            <v>34.226999999999997</v>
          </cell>
          <cell r="AA89">
            <v>33.381999999999998</v>
          </cell>
          <cell r="AB89">
            <v>33.381999999999998</v>
          </cell>
          <cell r="AC89">
            <v>34.323999999999998</v>
          </cell>
          <cell r="AD89">
            <v>34.323999999999998</v>
          </cell>
          <cell r="AE89">
            <v>34.323999999999998</v>
          </cell>
          <cell r="AF89">
            <v>34.323999999999998</v>
          </cell>
          <cell r="AG89">
            <v>34.323999999999998</v>
          </cell>
        </row>
        <row r="90">
          <cell r="B90" t="str">
            <v>Income taxes receivable</v>
          </cell>
          <cell r="D90">
            <v>0</v>
          </cell>
          <cell r="E90">
            <v>0</v>
          </cell>
          <cell r="F90">
            <v>0</v>
          </cell>
          <cell r="G90">
            <v>0</v>
          </cell>
          <cell r="H90">
            <v>0</v>
          </cell>
          <cell r="I90">
            <v>0</v>
          </cell>
          <cell r="J90">
            <v>0</v>
          </cell>
          <cell r="K90">
            <v>0</v>
          </cell>
          <cell r="L90">
            <v>0</v>
          </cell>
          <cell r="M90">
            <v>0</v>
          </cell>
          <cell r="N90">
            <v>0</v>
          </cell>
          <cell r="O90">
            <v>0</v>
          </cell>
          <cell r="P90">
            <v>0</v>
          </cell>
          <cell r="Q90">
            <v>0</v>
          </cell>
          <cell r="R90">
            <v>0</v>
          </cell>
          <cell r="S90">
            <v>0</v>
          </cell>
          <cell r="T90">
            <v>0</v>
          </cell>
          <cell r="U90">
            <v>0</v>
          </cell>
          <cell r="V90">
            <v>0</v>
          </cell>
          <cell r="W90">
            <v>0</v>
          </cell>
          <cell r="X90">
            <v>0</v>
          </cell>
          <cell r="Y90">
            <v>0</v>
          </cell>
          <cell r="Z90">
            <v>0</v>
          </cell>
          <cell r="AA90">
            <v>0</v>
          </cell>
          <cell r="AB90">
            <v>0</v>
          </cell>
          <cell r="AC90">
            <v>0</v>
          </cell>
          <cell r="AD90">
            <v>0</v>
          </cell>
          <cell r="AE90">
            <v>0</v>
          </cell>
          <cell r="AF90">
            <v>0</v>
          </cell>
          <cell r="AG90">
            <v>0</v>
          </cell>
        </row>
        <row r="91">
          <cell r="B91" t="str">
            <v>Deferred income taxes</v>
          </cell>
          <cell r="D91">
            <v>1.6850000000000001</v>
          </cell>
          <cell r="E91">
            <v>1.917</v>
          </cell>
          <cell r="F91">
            <v>1.9930000000000001</v>
          </cell>
          <cell r="G91">
            <v>2.6680000000000001</v>
          </cell>
          <cell r="H91">
            <v>2.6680000000000001</v>
          </cell>
          <cell r="I91">
            <v>2.6680000000000001</v>
          </cell>
          <cell r="J91">
            <v>2.6680000000000001</v>
          </cell>
          <cell r="K91">
            <v>1.661</v>
          </cell>
          <cell r="L91">
            <v>2.165</v>
          </cell>
          <cell r="M91">
            <v>2.165</v>
          </cell>
          <cell r="N91">
            <v>2.165</v>
          </cell>
          <cell r="O91">
            <v>2.165</v>
          </cell>
          <cell r="P91">
            <v>2.165</v>
          </cell>
          <cell r="Q91">
            <v>3.2210000000000001</v>
          </cell>
          <cell r="R91">
            <v>3.2210000000000001</v>
          </cell>
          <cell r="S91">
            <v>3.2210000000000001</v>
          </cell>
          <cell r="T91">
            <v>3.2210000000000001</v>
          </cell>
          <cell r="U91">
            <v>3.2210000000000001</v>
          </cell>
          <cell r="V91">
            <v>2.3250000000000002</v>
          </cell>
          <cell r="W91">
            <v>2.3250000000000002</v>
          </cell>
          <cell r="X91">
            <v>2.3250000000000002</v>
          </cell>
          <cell r="Y91">
            <v>2.3250000000000002</v>
          </cell>
          <cell r="Z91">
            <v>2.3250000000000002</v>
          </cell>
          <cell r="AA91">
            <v>3.0750000000000002</v>
          </cell>
          <cell r="AB91">
            <v>3.0750000000000002</v>
          </cell>
          <cell r="AC91">
            <v>3.0750000000000002</v>
          </cell>
          <cell r="AD91">
            <v>3.0903749999999999</v>
          </cell>
          <cell r="AE91">
            <v>3.1058268749999995</v>
          </cell>
          <cell r="AF91">
            <v>3.121356009374999</v>
          </cell>
          <cell r="AG91">
            <v>3.121356009374999</v>
          </cell>
        </row>
        <row r="92">
          <cell r="B92" t="str">
            <v>Total current assets</v>
          </cell>
          <cell r="D92">
            <v>226.56199999999998</v>
          </cell>
          <cell r="E92">
            <v>253.91699999999997</v>
          </cell>
          <cell r="F92">
            <v>257.68299999999999</v>
          </cell>
          <cell r="G92">
            <v>281.22200000000004</v>
          </cell>
          <cell r="H92">
            <v>281.22200000000004</v>
          </cell>
          <cell r="I92">
            <v>295.30200000000002</v>
          </cell>
          <cell r="J92">
            <v>293.21000000000004</v>
          </cell>
          <cell r="K92">
            <v>303.63799999999998</v>
          </cell>
          <cell r="L92">
            <v>329.63400000000001</v>
          </cell>
          <cell r="M92">
            <v>329.63400000000001</v>
          </cell>
          <cell r="N92">
            <v>313.72700000000003</v>
          </cell>
          <cell r="O92">
            <v>355.41300000000007</v>
          </cell>
          <cell r="P92">
            <v>328.52299999999997</v>
          </cell>
          <cell r="Q92">
            <v>373.54799999999994</v>
          </cell>
          <cell r="R92">
            <v>373.54799999999994</v>
          </cell>
          <cell r="S92">
            <v>378.95699999999999</v>
          </cell>
          <cell r="T92">
            <v>380.279</v>
          </cell>
          <cell r="U92">
            <v>378.39400000000001</v>
          </cell>
          <cell r="V92">
            <v>373.10199999999998</v>
          </cell>
          <cell r="W92">
            <v>373.10199999999998</v>
          </cell>
          <cell r="X92">
            <v>383.31599999999997</v>
          </cell>
          <cell r="Y92">
            <v>405.05599999999998</v>
          </cell>
          <cell r="Z92">
            <v>460.50999999999993</v>
          </cell>
          <cell r="AA92">
            <v>456.55699999999996</v>
          </cell>
          <cell r="AB92">
            <v>456.55699999999996</v>
          </cell>
          <cell r="AC92">
            <v>488.02500000000003</v>
          </cell>
          <cell r="AD92">
            <v>508.06004840927693</v>
          </cell>
          <cell r="AE92">
            <v>530.48638188119753</v>
          </cell>
          <cell r="AF92">
            <v>568.6933180618181</v>
          </cell>
          <cell r="AG92">
            <v>568.6933180618181</v>
          </cell>
        </row>
        <row r="93">
          <cell r="AB93">
            <v>0</v>
          </cell>
        </row>
        <row r="94">
          <cell r="B94" t="str">
            <v>Fixed assets, net</v>
          </cell>
          <cell r="D94">
            <v>2.7480000000000002</v>
          </cell>
          <cell r="E94">
            <v>3.6549999999999998</v>
          </cell>
          <cell r="F94">
            <v>3.762</v>
          </cell>
          <cell r="G94">
            <v>3.952</v>
          </cell>
          <cell r="H94">
            <v>3.952</v>
          </cell>
          <cell r="I94">
            <v>4.008</v>
          </cell>
          <cell r="J94">
            <v>4.1769999999999996</v>
          </cell>
          <cell r="K94">
            <v>6.6269999999999998</v>
          </cell>
          <cell r="L94">
            <v>9.8279999999999994</v>
          </cell>
          <cell r="M94">
            <v>9.8279999999999994</v>
          </cell>
          <cell r="N94">
            <v>11.090999999999999</v>
          </cell>
          <cell r="O94">
            <v>12.369</v>
          </cell>
          <cell r="P94">
            <v>13.866</v>
          </cell>
          <cell r="Q94">
            <v>13.748999999999999</v>
          </cell>
          <cell r="R94">
            <v>13.748999999999999</v>
          </cell>
          <cell r="S94">
            <v>15.301</v>
          </cell>
          <cell r="T94">
            <v>20.277999999999999</v>
          </cell>
          <cell r="U94">
            <v>23.962</v>
          </cell>
          <cell r="V94">
            <v>29.78</v>
          </cell>
          <cell r="W94">
            <v>29.78</v>
          </cell>
          <cell r="X94">
            <v>31.89</v>
          </cell>
          <cell r="Y94">
            <v>33.417999999999999</v>
          </cell>
          <cell r="Z94">
            <v>37.691000000000003</v>
          </cell>
          <cell r="AA94">
            <v>48.208999999999996</v>
          </cell>
          <cell r="AB94">
            <v>48.208999999999996</v>
          </cell>
          <cell r="AC94">
            <v>60.65</v>
          </cell>
          <cell r="AD94">
            <v>61.309249999999999</v>
          </cell>
          <cell r="AE94">
            <v>61.968499999999999</v>
          </cell>
          <cell r="AF94">
            <v>62.627750000000006</v>
          </cell>
          <cell r="AG94">
            <v>62.627750000000006</v>
          </cell>
        </row>
        <row r="95">
          <cell r="B95" t="str">
            <v>Goodwill, net</v>
          </cell>
          <cell r="D95">
            <v>9.6470000000000002</v>
          </cell>
          <cell r="E95">
            <v>9.5269999999999992</v>
          </cell>
          <cell r="F95">
            <v>9.76</v>
          </cell>
          <cell r="G95">
            <v>9.6349999999999998</v>
          </cell>
          <cell r="H95">
            <v>9.6349999999999998</v>
          </cell>
          <cell r="I95">
            <v>26.300999999999998</v>
          </cell>
          <cell r="J95">
            <v>41.387999999999998</v>
          </cell>
          <cell r="K95">
            <v>40.838999999999999</v>
          </cell>
          <cell r="L95">
            <v>56.554000000000002</v>
          </cell>
          <cell r="M95">
            <v>56.554000000000002</v>
          </cell>
          <cell r="N95">
            <v>83.563000000000002</v>
          </cell>
          <cell r="O95">
            <v>83.64</v>
          </cell>
          <cell r="P95">
            <v>88.417000000000002</v>
          </cell>
          <cell r="Q95">
            <v>92.784999999999997</v>
          </cell>
          <cell r="R95">
            <v>92.784999999999997</v>
          </cell>
          <cell r="S95">
            <v>92.76</v>
          </cell>
          <cell r="T95">
            <v>92.787999999999997</v>
          </cell>
          <cell r="U95">
            <v>105.402</v>
          </cell>
          <cell r="V95">
            <v>107.127</v>
          </cell>
          <cell r="W95">
            <v>107.127</v>
          </cell>
          <cell r="X95">
            <v>112.871</v>
          </cell>
          <cell r="Y95">
            <v>120.56399999999999</v>
          </cell>
          <cell r="Z95">
            <v>157.32499999999999</v>
          </cell>
          <cell r="AA95">
            <v>158.74100000000001</v>
          </cell>
          <cell r="AB95">
            <v>158.74100000000001</v>
          </cell>
          <cell r="AC95">
            <v>159.25899999999999</v>
          </cell>
          <cell r="AD95">
            <v>179.584</v>
          </cell>
          <cell r="AE95">
            <v>182.97149999999999</v>
          </cell>
          <cell r="AF95">
            <v>181.35899999999998</v>
          </cell>
          <cell r="AG95">
            <v>181.35899999999998</v>
          </cell>
        </row>
        <row r="96">
          <cell r="B96" t="str">
            <v>Other</v>
          </cell>
          <cell r="D96">
            <v>3.7999999999999999E-2</v>
          </cell>
          <cell r="E96">
            <v>2.0569999999999999</v>
          </cell>
          <cell r="F96">
            <v>2.0569999999999999</v>
          </cell>
          <cell r="G96">
            <v>2.2920000000000003</v>
          </cell>
          <cell r="H96">
            <v>2.2920000000000003</v>
          </cell>
          <cell r="I96">
            <v>2.2920000000000003</v>
          </cell>
          <cell r="J96">
            <v>0.38600000000000001</v>
          </cell>
          <cell r="K96">
            <v>0.122</v>
          </cell>
          <cell r="L96">
            <v>0</v>
          </cell>
          <cell r="M96">
            <v>0</v>
          </cell>
          <cell r="N96">
            <v>0</v>
          </cell>
          <cell r="O96">
            <v>0.81599999999999995</v>
          </cell>
          <cell r="P96">
            <v>0</v>
          </cell>
          <cell r="Q96">
            <v>4.78</v>
          </cell>
          <cell r="R96">
            <v>4.78</v>
          </cell>
          <cell r="S96">
            <v>1.976</v>
          </cell>
          <cell r="T96">
            <v>0</v>
          </cell>
          <cell r="U96">
            <v>6</v>
          </cell>
          <cell r="V96">
            <v>4</v>
          </cell>
          <cell r="W96">
            <v>4</v>
          </cell>
          <cell r="X96">
            <v>4.5819999999999999</v>
          </cell>
          <cell r="Y96">
            <v>4.5819999999999999</v>
          </cell>
          <cell r="Z96">
            <v>5.1050000000000004</v>
          </cell>
          <cell r="AA96">
            <v>5.8860000000000001</v>
          </cell>
          <cell r="AB96">
            <v>5.8860000000000001</v>
          </cell>
          <cell r="AC96">
            <v>6.0039999999999996</v>
          </cell>
          <cell r="AD96">
            <v>6.0039999999999996</v>
          </cell>
          <cell r="AE96">
            <v>6.0039999999999996</v>
          </cell>
          <cell r="AF96">
            <v>6.0039999999999996</v>
          </cell>
          <cell r="AG96">
            <v>6.0039999999999996</v>
          </cell>
        </row>
        <row r="97">
          <cell r="B97" t="str">
            <v>Total assets</v>
          </cell>
          <cell r="D97">
            <v>238.99499999999998</v>
          </cell>
          <cell r="E97">
            <v>269.15599999999995</v>
          </cell>
          <cell r="F97">
            <v>273.262</v>
          </cell>
          <cell r="G97">
            <v>297.10100000000006</v>
          </cell>
          <cell r="H97">
            <v>297.10100000000006</v>
          </cell>
          <cell r="I97">
            <v>327.90300000000002</v>
          </cell>
          <cell r="J97">
            <v>339.16100000000006</v>
          </cell>
          <cell r="K97">
            <v>351.226</v>
          </cell>
          <cell r="L97">
            <v>396.01600000000002</v>
          </cell>
          <cell r="M97">
            <v>396.01600000000002</v>
          </cell>
          <cell r="N97">
            <v>408.38100000000003</v>
          </cell>
          <cell r="O97">
            <v>452.23800000000006</v>
          </cell>
          <cell r="P97">
            <v>430.80599999999998</v>
          </cell>
          <cell r="Q97">
            <v>484.86199999999997</v>
          </cell>
          <cell r="R97">
            <v>484.86199999999997</v>
          </cell>
          <cell r="S97">
            <v>488.99400000000003</v>
          </cell>
          <cell r="T97">
            <v>493.34500000000003</v>
          </cell>
          <cell r="U97">
            <v>513.75800000000004</v>
          </cell>
          <cell r="V97">
            <v>514.00900000000001</v>
          </cell>
          <cell r="W97">
            <v>514.00900000000001</v>
          </cell>
          <cell r="X97">
            <v>532.65899999999999</v>
          </cell>
          <cell r="Y97">
            <v>563.62</v>
          </cell>
          <cell r="Z97">
            <v>660.63099999999986</v>
          </cell>
          <cell r="AA97">
            <v>669.39300000000003</v>
          </cell>
          <cell r="AB97">
            <v>669.39300000000003</v>
          </cell>
          <cell r="AC97">
            <v>713.93799999999999</v>
          </cell>
          <cell r="AD97">
            <v>754.95729840927697</v>
          </cell>
          <cell r="AE97">
            <v>781.43038188119749</v>
          </cell>
          <cell r="AF97">
            <v>818.68406806181804</v>
          </cell>
          <cell r="AG97">
            <v>818.68406806181804</v>
          </cell>
        </row>
        <row r="99">
          <cell r="B99" t="str">
            <v>Liabilities</v>
          </cell>
        </row>
        <row r="100">
          <cell r="B100" t="str">
            <v>Accounts payable</v>
          </cell>
          <cell r="D100">
            <v>59.317999999999998</v>
          </cell>
          <cell r="E100">
            <v>64.114000000000004</v>
          </cell>
          <cell r="F100">
            <v>65.820999999999998</v>
          </cell>
          <cell r="G100">
            <v>77.257000000000005</v>
          </cell>
          <cell r="H100">
            <v>77.257000000000005</v>
          </cell>
          <cell r="I100">
            <v>81.765000000000001</v>
          </cell>
          <cell r="J100">
            <v>88.866</v>
          </cell>
          <cell r="K100">
            <v>91.637</v>
          </cell>
          <cell r="L100">
            <v>116.148</v>
          </cell>
          <cell r="M100">
            <v>116.148</v>
          </cell>
          <cell r="N100">
            <v>108.21299999999999</v>
          </cell>
          <cell r="O100">
            <v>140.435</v>
          </cell>
          <cell r="P100">
            <v>118.53700000000001</v>
          </cell>
          <cell r="Q100">
            <v>142.666</v>
          </cell>
          <cell r="R100">
            <v>142.666</v>
          </cell>
          <cell r="S100">
            <v>151.37700000000001</v>
          </cell>
          <cell r="T100">
            <v>154.31800000000001</v>
          </cell>
          <cell r="U100">
            <v>157.768</v>
          </cell>
          <cell r="V100">
            <v>151.53899999999999</v>
          </cell>
          <cell r="W100">
            <v>151.53899999999999</v>
          </cell>
          <cell r="X100">
            <v>152.52000000000001</v>
          </cell>
          <cell r="Y100">
            <v>164.19499999999999</v>
          </cell>
          <cell r="Z100">
            <v>163.17599999999999</v>
          </cell>
          <cell r="AA100">
            <v>173.96899999999999</v>
          </cell>
          <cell r="AB100">
            <v>173.96899999999999</v>
          </cell>
          <cell r="AC100">
            <v>199.68600000000001</v>
          </cell>
          <cell r="AD100">
            <v>231.30129686305352</v>
          </cell>
          <cell r="AE100">
            <v>243.06624419073199</v>
          </cell>
          <cell r="AF100">
            <v>262.95501490266383</v>
          </cell>
          <cell r="AG100">
            <v>262.95501490266383</v>
          </cell>
        </row>
        <row r="101">
          <cell r="B101" t="str">
            <v>Accrued expenses</v>
          </cell>
          <cell r="D101">
            <v>0</v>
          </cell>
          <cell r="E101">
            <v>0</v>
          </cell>
          <cell r="F101">
            <v>0</v>
          </cell>
          <cell r="G101">
            <v>0</v>
          </cell>
          <cell r="H101">
            <v>0</v>
          </cell>
          <cell r="I101">
            <v>0</v>
          </cell>
          <cell r="J101">
            <v>0</v>
          </cell>
          <cell r="K101">
            <v>15.83</v>
          </cell>
          <cell r="L101">
            <v>0</v>
          </cell>
          <cell r="M101">
            <v>0</v>
          </cell>
          <cell r="N101">
            <v>0</v>
          </cell>
          <cell r="O101">
            <v>0</v>
          </cell>
          <cell r="P101">
            <v>0</v>
          </cell>
          <cell r="Q101">
            <v>0</v>
          </cell>
          <cell r="R101">
            <v>0</v>
          </cell>
          <cell r="S101">
            <v>0</v>
          </cell>
          <cell r="T101">
            <v>0</v>
          </cell>
          <cell r="U101">
            <v>0</v>
          </cell>
          <cell r="V101">
            <v>0</v>
          </cell>
          <cell r="W101">
            <v>0</v>
          </cell>
          <cell r="X101">
            <v>0</v>
          </cell>
          <cell r="Y101">
            <v>0</v>
          </cell>
          <cell r="Z101">
            <v>0</v>
          </cell>
          <cell r="AA101">
            <v>0</v>
          </cell>
          <cell r="AB101">
            <v>0</v>
          </cell>
          <cell r="AC101">
            <v>0</v>
          </cell>
          <cell r="AD101">
            <v>0</v>
          </cell>
          <cell r="AE101">
            <v>0</v>
          </cell>
          <cell r="AF101">
            <v>0</v>
          </cell>
          <cell r="AG101">
            <v>0</v>
          </cell>
        </row>
        <row r="102">
          <cell r="B102" t="str">
            <v>Income taxes payable</v>
          </cell>
          <cell r="D102">
            <v>0</v>
          </cell>
          <cell r="E102">
            <v>0</v>
          </cell>
          <cell r="F102">
            <v>0</v>
          </cell>
          <cell r="G102">
            <v>0</v>
          </cell>
          <cell r="H102">
            <v>0</v>
          </cell>
          <cell r="I102">
            <v>0</v>
          </cell>
          <cell r="J102">
            <v>0</v>
          </cell>
          <cell r="K102">
            <v>0</v>
          </cell>
          <cell r="L102">
            <v>0</v>
          </cell>
          <cell r="M102">
            <v>0</v>
          </cell>
          <cell r="N102">
            <v>0</v>
          </cell>
          <cell r="O102">
            <v>0</v>
          </cell>
          <cell r="P102">
            <v>0</v>
          </cell>
          <cell r="Q102">
            <v>0</v>
          </cell>
          <cell r="R102">
            <v>0</v>
          </cell>
          <cell r="S102">
            <v>0</v>
          </cell>
          <cell r="T102">
            <v>0</v>
          </cell>
          <cell r="U102">
            <v>0</v>
          </cell>
          <cell r="V102">
            <v>0</v>
          </cell>
          <cell r="W102">
            <v>0</v>
          </cell>
          <cell r="X102">
            <v>0</v>
          </cell>
          <cell r="Y102">
            <v>0</v>
          </cell>
          <cell r="Z102">
            <v>0</v>
          </cell>
          <cell r="AA102">
            <v>0</v>
          </cell>
          <cell r="AB102">
            <v>0</v>
          </cell>
          <cell r="AC102">
            <v>0</v>
          </cell>
          <cell r="AD102">
            <v>0</v>
          </cell>
          <cell r="AE102">
            <v>0</v>
          </cell>
          <cell r="AF102">
            <v>0</v>
          </cell>
          <cell r="AG102">
            <v>0</v>
          </cell>
        </row>
        <row r="103">
          <cell r="B103" t="str">
            <v>Current portion of long-term debt / Line of Credit</v>
          </cell>
          <cell r="D103">
            <v>0</v>
          </cell>
          <cell r="E103">
            <v>0</v>
          </cell>
          <cell r="F103">
            <v>0</v>
          </cell>
          <cell r="G103">
            <v>0</v>
          </cell>
          <cell r="H103">
            <v>0</v>
          </cell>
          <cell r="I103">
            <v>0</v>
          </cell>
          <cell r="J103">
            <v>0</v>
          </cell>
          <cell r="K103">
            <v>0</v>
          </cell>
          <cell r="L103">
            <v>0</v>
          </cell>
          <cell r="M103">
            <v>0</v>
          </cell>
          <cell r="N103">
            <v>0</v>
          </cell>
          <cell r="O103">
            <v>0</v>
          </cell>
          <cell r="P103">
            <v>0</v>
          </cell>
          <cell r="Q103">
            <v>0</v>
          </cell>
          <cell r="R103">
            <v>0</v>
          </cell>
          <cell r="S103">
            <v>0</v>
          </cell>
          <cell r="T103">
            <v>0</v>
          </cell>
          <cell r="U103">
            <v>0</v>
          </cell>
          <cell r="V103">
            <v>0</v>
          </cell>
          <cell r="W103">
            <v>0</v>
          </cell>
          <cell r="X103">
            <v>0</v>
          </cell>
          <cell r="Y103">
            <v>5.0060000000000002</v>
          </cell>
          <cell r="Z103">
            <v>45.274000000000001</v>
          </cell>
          <cell r="AA103">
            <v>40.29</v>
          </cell>
          <cell r="AB103">
            <v>40.29</v>
          </cell>
          <cell r="AC103">
            <v>45.369</v>
          </cell>
          <cell r="AD103">
            <v>40.29</v>
          </cell>
          <cell r="AE103">
            <v>40.29</v>
          </cell>
          <cell r="AF103">
            <v>40.29</v>
          </cell>
          <cell r="AG103">
            <v>40.29</v>
          </cell>
        </row>
        <row r="104">
          <cell r="B104" t="str">
            <v>Due to affiliates and other</v>
          </cell>
          <cell r="D104">
            <v>5.6539999999999999</v>
          </cell>
          <cell r="E104">
            <v>10.542</v>
          </cell>
          <cell r="F104">
            <v>4.843</v>
          </cell>
          <cell r="G104">
            <v>9.2409999999999997</v>
          </cell>
          <cell r="H104">
            <v>9.2409999999999997</v>
          </cell>
          <cell r="I104">
            <v>11.541</v>
          </cell>
          <cell r="J104">
            <v>11.17</v>
          </cell>
          <cell r="K104">
            <v>0</v>
          </cell>
          <cell r="L104">
            <v>24.806000000000001</v>
          </cell>
          <cell r="M104">
            <v>24.806000000000001</v>
          </cell>
          <cell r="N104">
            <v>29.173999999999999</v>
          </cell>
          <cell r="O104">
            <v>28.463000000000001</v>
          </cell>
          <cell r="P104">
            <v>29.015999999999998</v>
          </cell>
          <cell r="Q104">
            <v>45.448</v>
          </cell>
          <cell r="R104">
            <v>45.448</v>
          </cell>
          <cell r="S104">
            <v>26.474</v>
          </cell>
          <cell r="T104">
            <v>18.393999999999998</v>
          </cell>
          <cell r="U104">
            <v>26.154</v>
          </cell>
          <cell r="V104">
            <v>13.124000000000001</v>
          </cell>
          <cell r="W104">
            <v>13.124000000000001</v>
          </cell>
          <cell r="X104">
            <v>18.696000000000002</v>
          </cell>
          <cell r="Y104">
            <v>20.03</v>
          </cell>
          <cell r="Z104">
            <v>36.249000000000002</v>
          </cell>
          <cell r="AA104">
            <v>26.905999999999999</v>
          </cell>
          <cell r="AB104">
            <v>26.905999999999999</v>
          </cell>
          <cell r="AC104">
            <v>29.716000000000001</v>
          </cell>
          <cell r="AD104">
            <v>29.716000000000001</v>
          </cell>
          <cell r="AE104">
            <v>29.716000000000001</v>
          </cell>
          <cell r="AF104">
            <v>29.716000000000001</v>
          </cell>
          <cell r="AG104">
            <v>29.716000000000001</v>
          </cell>
        </row>
        <row r="105">
          <cell r="B105" t="str">
            <v>Current liabilities</v>
          </cell>
          <cell r="D105">
            <v>64.971999999999994</v>
          </cell>
          <cell r="E105">
            <v>74.656000000000006</v>
          </cell>
          <cell r="F105">
            <v>70.664000000000001</v>
          </cell>
          <cell r="G105">
            <v>86.498000000000005</v>
          </cell>
          <cell r="H105">
            <v>86.498000000000005</v>
          </cell>
          <cell r="I105">
            <v>93.305999999999997</v>
          </cell>
          <cell r="J105">
            <v>100.036</v>
          </cell>
          <cell r="K105">
            <v>107.467</v>
          </cell>
          <cell r="L105">
            <v>140.95400000000001</v>
          </cell>
          <cell r="M105">
            <v>140.95400000000001</v>
          </cell>
          <cell r="N105">
            <v>137.387</v>
          </cell>
          <cell r="O105">
            <v>168.898</v>
          </cell>
          <cell r="P105">
            <v>147.553</v>
          </cell>
          <cell r="Q105">
            <v>188.114</v>
          </cell>
          <cell r="R105">
            <v>188.114</v>
          </cell>
          <cell r="S105">
            <v>177.851</v>
          </cell>
          <cell r="T105">
            <v>172.71200000000002</v>
          </cell>
          <cell r="U105">
            <v>183.922</v>
          </cell>
          <cell r="V105">
            <v>164.66299999999998</v>
          </cell>
          <cell r="W105">
            <v>164.66299999999998</v>
          </cell>
          <cell r="X105">
            <v>171.21600000000001</v>
          </cell>
          <cell r="Y105">
            <v>189.23099999999999</v>
          </cell>
          <cell r="Z105">
            <v>244.69899999999998</v>
          </cell>
          <cell r="AA105">
            <v>241.16499999999999</v>
          </cell>
          <cell r="AB105">
            <v>241.16499999999999</v>
          </cell>
          <cell r="AC105">
            <v>274.77100000000002</v>
          </cell>
          <cell r="AD105">
            <v>301.30729686305352</v>
          </cell>
          <cell r="AE105">
            <v>313.07224419073202</v>
          </cell>
          <cell r="AF105">
            <v>332.96101490266386</v>
          </cell>
          <cell r="AG105">
            <v>332.96101490266386</v>
          </cell>
        </row>
        <row r="107">
          <cell r="B107" t="str">
            <v>Long term debt / LOC</v>
          </cell>
          <cell r="D107">
            <v>0</v>
          </cell>
          <cell r="E107">
            <v>0</v>
          </cell>
          <cell r="F107">
            <v>0</v>
          </cell>
          <cell r="G107">
            <v>0</v>
          </cell>
          <cell r="H107">
            <v>0</v>
          </cell>
          <cell r="I107">
            <v>0</v>
          </cell>
          <cell r="J107">
            <v>0</v>
          </cell>
          <cell r="K107">
            <v>0</v>
          </cell>
          <cell r="L107">
            <v>0</v>
          </cell>
          <cell r="M107">
            <v>0</v>
          </cell>
          <cell r="N107">
            <v>0</v>
          </cell>
          <cell r="O107">
            <v>0</v>
          </cell>
          <cell r="P107">
            <v>0</v>
          </cell>
          <cell r="Q107">
            <v>0</v>
          </cell>
          <cell r="R107">
            <v>0</v>
          </cell>
          <cell r="S107">
            <v>0</v>
          </cell>
          <cell r="T107">
            <v>0</v>
          </cell>
          <cell r="U107">
            <v>0</v>
          </cell>
          <cell r="V107">
            <v>0</v>
          </cell>
          <cell r="W107">
            <v>0</v>
          </cell>
          <cell r="X107">
            <v>0</v>
          </cell>
          <cell r="Y107">
            <v>0</v>
          </cell>
          <cell r="Z107">
            <v>0</v>
          </cell>
          <cell r="AA107">
            <v>0</v>
          </cell>
          <cell r="AB107">
            <v>0</v>
          </cell>
          <cell r="AC107">
            <v>0</v>
          </cell>
          <cell r="AD107">
            <v>0</v>
          </cell>
          <cell r="AE107">
            <v>0</v>
          </cell>
          <cell r="AF107">
            <v>0</v>
          </cell>
          <cell r="AG107">
            <v>0</v>
          </cell>
        </row>
        <row r="108">
          <cell r="B108" t="str">
            <v>Deferred income taxes</v>
          </cell>
          <cell r="D108">
            <v>0</v>
          </cell>
          <cell r="E108">
            <v>0</v>
          </cell>
          <cell r="F108">
            <v>0</v>
          </cell>
          <cell r="G108">
            <v>0</v>
          </cell>
          <cell r="H108">
            <v>0</v>
          </cell>
          <cell r="I108">
            <v>0</v>
          </cell>
          <cell r="J108">
            <v>0</v>
          </cell>
          <cell r="K108">
            <v>0.16600000000000001</v>
          </cell>
          <cell r="L108">
            <v>0.72199999999999998</v>
          </cell>
          <cell r="M108">
            <v>0.72199999999999998</v>
          </cell>
          <cell r="N108">
            <v>0.72199999999999998</v>
          </cell>
          <cell r="O108">
            <v>0.72199999999999998</v>
          </cell>
          <cell r="P108">
            <v>0.72199999999999998</v>
          </cell>
          <cell r="Q108">
            <v>2.3210000000000002</v>
          </cell>
          <cell r="R108">
            <v>2.3210000000000002</v>
          </cell>
          <cell r="S108">
            <v>2.3210000000000002</v>
          </cell>
          <cell r="T108">
            <v>2.3210000000000002</v>
          </cell>
          <cell r="U108">
            <v>2.3210000000000002</v>
          </cell>
          <cell r="V108">
            <v>6.4370000000000003</v>
          </cell>
          <cell r="W108">
            <v>6.4370000000000003</v>
          </cell>
          <cell r="X108">
            <v>6.4370000000000003</v>
          </cell>
          <cell r="Y108">
            <v>6.49</v>
          </cell>
          <cell r="Z108">
            <v>6.49</v>
          </cell>
          <cell r="AA108">
            <v>9.7140000000000004</v>
          </cell>
          <cell r="AB108">
            <v>9.7140000000000004</v>
          </cell>
          <cell r="AC108">
            <v>9.7140000000000004</v>
          </cell>
          <cell r="AD108">
            <v>9.7140000000000004</v>
          </cell>
          <cell r="AE108">
            <v>9.7140000000000004</v>
          </cell>
          <cell r="AF108">
            <v>9.7140000000000004</v>
          </cell>
          <cell r="AG108">
            <v>9.7140000000000004</v>
          </cell>
        </row>
        <row r="109">
          <cell r="B109" t="str">
            <v xml:space="preserve"> Minority interest in consolidated joint venture</v>
          </cell>
          <cell r="D109">
            <v>0</v>
          </cell>
          <cell r="E109">
            <v>0</v>
          </cell>
          <cell r="F109">
            <v>0</v>
          </cell>
          <cell r="G109">
            <v>0</v>
          </cell>
          <cell r="H109">
            <v>0</v>
          </cell>
          <cell r="I109">
            <v>0</v>
          </cell>
          <cell r="J109">
            <v>0</v>
          </cell>
          <cell r="K109">
            <v>0</v>
          </cell>
          <cell r="L109">
            <v>0</v>
          </cell>
          <cell r="M109">
            <v>0</v>
          </cell>
          <cell r="N109">
            <v>0</v>
          </cell>
          <cell r="O109">
            <v>0</v>
          </cell>
          <cell r="P109">
            <v>0</v>
          </cell>
          <cell r="Q109">
            <v>0</v>
          </cell>
          <cell r="R109">
            <v>0</v>
          </cell>
          <cell r="S109">
            <v>0</v>
          </cell>
          <cell r="T109">
            <v>0</v>
          </cell>
          <cell r="U109">
            <v>0</v>
          </cell>
          <cell r="V109">
            <v>0</v>
          </cell>
          <cell r="W109">
            <v>0</v>
          </cell>
          <cell r="X109">
            <v>7.8E-2</v>
          </cell>
          <cell r="Y109">
            <v>0.16300000000000001</v>
          </cell>
          <cell r="Z109">
            <v>23.254999999999999</v>
          </cell>
          <cell r="AA109">
            <v>23.212</v>
          </cell>
          <cell r="AB109">
            <v>23.212</v>
          </cell>
          <cell r="AC109">
            <v>21.712</v>
          </cell>
          <cell r="AD109">
            <v>21.712</v>
          </cell>
          <cell r="AE109">
            <v>21.712</v>
          </cell>
          <cell r="AF109">
            <v>21.712</v>
          </cell>
          <cell r="AG109">
            <v>21.712</v>
          </cell>
        </row>
        <row r="110">
          <cell r="B110" t="str">
            <v>Liabilities - Total</v>
          </cell>
          <cell r="D110">
            <v>64.971999999999994</v>
          </cell>
          <cell r="E110">
            <v>74.656000000000006</v>
          </cell>
          <cell r="F110">
            <v>70.664000000000001</v>
          </cell>
          <cell r="G110">
            <v>86.498000000000005</v>
          </cell>
          <cell r="H110">
            <v>86.498000000000005</v>
          </cell>
          <cell r="I110">
            <v>93.305999999999997</v>
          </cell>
          <cell r="J110">
            <v>100.036</v>
          </cell>
          <cell r="K110">
            <v>107.633</v>
          </cell>
          <cell r="L110">
            <v>141.67600000000002</v>
          </cell>
          <cell r="M110">
            <v>141.67600000000002</v>
          </cell>
          <cell r="N110">
            <v>138.10900000000001</v>
          </cell>
          <cell r="O110">
            <v>169.62</v>
          </cell>
          <cell r="P110">
            <v>148.27500000000001</v>
          </cell>
          <cell r="Q110">
            <v>190.435</v>
          </cell>
          <cell r="R110">
            <v>190.435</v>
          </cell>
          <cell r="S110">
            <v>180.172</v>
          </cell>
          <cell r="T110">
            <v>175.03300000000002</v>
          </cell>
          <cell r="U110">
            <v>186.24299999999999</v>
          </cell>
          <cell r="V110">
            <v>171.1</v>
          </cell>
          <cell r="W110">
            <v>171.1</v>
          </cell>
          <cell r="X110">
            <v>177.73100000000002</v>
          </cell>
          <cell r="Y110">
            <v>195.88400000000001</v>
          </cell>
          <cell r="Z110">
            <v>274.44400000000002</v>
          </cell>
          <cell r="AA110">
            <v>274.09100000000001</v>
          </cell>
          <cell r="AB110">
            <v>274.09100000000001</v>
          </cell>
          <cell r="AC110">
            <v>306.197</v>
          </cell>
          <cell r="AD110">
            <v>332.73329686305351</v>
          </cell>
          <cell r="AE110">
            <v>344.49824419073201</v>
          </cell>
          <cell r="AF110">
            <v>364.38701490266385</v>
          </cell>
          <cell r="AG110">
            <v>364.38701490266385</v>
          </cell>
        </row>
        <row r="112">
          <cell r="B112" t="str">
            <v>Preferred Secuities</v>
          </cell>
          <cell r="D112">
            <v>0</v>
          </cell>
          <cell r="E112">
            <v>0</v>
          </cell>
          <cell r="F112">
            <v>0</v>
          </cell>
          <cell r="G112">
            <v>0</v>
          </cell>
          <cell r="H112">
            <v>0</v>
          </cell>
          <cell r="I112">
            <v>0</v>
          </cell>
          <cell r="J112">
            <v>0</v>
          </cell>
          <cell r="K112">
            <v>0</v>
          </cell>
          <cell r="L112">
            <v>0</v>
          </cell>
          <cell r="M112">
            <v>0</v>
          </cell>
          <cell r="N112">
            <v>0</v>
          </cell>
          <cell r="O112">
            <v>0</v>
          </cell>
          <cell r="P112">
            <v>0</v>
          </cell>
          <cell r="Q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row>
        <row r="113">
          <cell r="B113" t="str">
            <v>Common stock</v>
          </cell>
          <cell r="D113">
            <v>0.22299999999999998</v>
          </cell>
          <cell r="E113">
            <v>0.22699999999999998</v>
          </cell>
          <cell r="F113">
            <v>0.22700000000000001</v>
          </cell>
          <cell r="G113">
            <v>0.45400000000000001</v>
          </cell>
          <cell r="H113">
            <v>0.45400000000000001</v>
          </cell>
          <cell r="I113">
            <v>0.45400000000000001</v>
          </cell>
          <cell r="J113">
            <v>0.45400000000000001</v>
          </cell>
          <cell r="K113">
            <v>0.45400000000000001</v>
          </cell>
          <cell r="L113">
            <v>0.45400000000000001</v>
          </cell>
          <cell r="M113">
            <v>0.45400000000000001</v>
          </cell>
          <cell r="N113">
            <v>0.45400000000000001</v>
          </cell>
          <cell r="O113">
            <v>0.45400000000000001</v>
          </cell>
          <cell r="P113">
            <v>0.45400000000000001</v>
          </cell>
          <cell r="Q113">
            <v>0.45400000000000001</v>
          </cell>
          <cell r="R113">
            <v>0.45400000000000001</v>
          </cell>
          <cell r="S113">
            <v>0.45400000000000001</v>
          </cell>
          <cell r="T113">
            <v>0.45400000000000001</v>
          </cell>
          <cell r="U113">
            <v>0.45400000000000001</v>
          </cell>
          <cell r="V113">
            <v>0.45400000000000001</v>
          </cell>
          <cell r="W113">
            <v>0.45400000000000001</v>
          </cell>
          <cell r="X113">
            <v>0.45400000000000001</v>
          </cell>
          <cell r="Y113">
            <v>0.45400000000000001</v>
          </cell>
          <cell r="Z113">
            <v>0.45400000000000001</v>
          </cell>
          <cell r="AA113">
            <v>0.45400000000000001</v>
          </cell>
          <cell r="AB113">
            <v>0.45400000000000001</v>
          </cell>
          <cell r="AC113">
            <v>0.45400000000000001</v>
          </cell>
          <cell r="AD113">
            <v>0.45400000000000001</v>
          </cell>
          <cell r="AE113">
            <v>0.45400000000000001</v>
          </cell>
          <cell r="AF113">
            <v>0.45400000000000001</v>
          </cell>
          <cell r="AG113">
            <v>0.45400000000000001</v>
          </cell>
        </row>
        <row r="114">
          <cell r="B114" t="str">
            <v>Additional paid-in capital</v>
          </cell>
          <cell r="D114">
            <v>160.08500000000001</v>
          </cell>
          <cell r="E114">
            <v>173.834</v>
          </cell>
          <cell r="F114">
            <v>174.291</v>
          </cell>
          <cell r="G114">
            <v>174.279</v>
          </cell>
          <cell r="H114">
            <v>174.279</v>
          </cell>
          <cell r="I114">
            <v>180.65</v>
          </cell>
          <cell r="J114">
            <v>181.316</v>
          </cell>
          <cell r="K114">
            <v>181.47399999999999</v>
          </cell>
          <cell r="L114">
            <v>182.81800000000001</v>
          </cell>
          <cell r="M114">
            <v>182.81800000000001</v>
          </cell>
          <cell r="N114">
            <v>186.26599999999999</v>
          </cell>
          <cell r="O114">
            <v>186.48500000000001</v>
          </cell>
          <cell r="P114">
            <v>186.624</v>
          </cell>
          <cell r="Q114">
            <v>187.15799999999999</v>
          </cell>
          <cell r="R114">
            <v>187.15799999999999</v>
          </cell>
          <cell r="S114">
            <v>187.31100000000001</v>
          </cell>
          <cell r="T114">
            <v>187.762</v>
          </cell>
          <cell r="U114">
            <v>188.90700000000001</v>
          </cell>
          <cell r="V114">
            <v>189.309</v>
          </cell>
          <cell r="W114">
            <v>189.309</v>
          </cell>
          <cell r="X114">
            <v>189.37200000000001</v>
          </cell>
          <cell r="Y114">
            <v>189.50800000000001</v>
          </cell>
          <cell r="Z114">
            <v>190.917</v>
          </cell>
          <cell r="AA114">
            <v>190.524</v>
          </cell>
          <cell r="AB114">
            <v>190.524</v>
          </cell>
          <cell r="AC114">
            <v>190.65199999999999</v>
          </cell>
          <cell r="AD114">
            <v>190.65199999999999</v>
          </cell>
          <cell r="AE114">
            <v>190.65199999999999</v>
          </cell>
          <cell r="AF114">
            <v>190.65199999999999</v>
          </cell>
          <cell r="AG114">
            <v>190.65199999999999</v>
          </cell>
        </row>
        <row r="115">
          <cell r="B115" t="str">
            <v>Accumulated other comprehensive income (loss)</v>
          </cell>
          <cell r="D115">
            <v>-30.734000000000002</v>
          </cell>
          <cell r="E115">
            <v>-31.107000000000003</v>
          </cell>
          <cell r="F115">
            <v>-31.12</v>
          </cell>
          <cell r="G115">
            <v>-29.896999999999998</v>
          </cell>
          <cell r="H115">
            <v>-29.896999999999998</v>
          </cell>
          <cell r="I115">
            <v>-21.007000000000001</v>
          </cell>
          <cell r="J115">
            <v>-20.212</v>
          </cell>
          <cell r="K115">
            <v>-23.606000000000002</v>
          </cell>
          <cell r="L115">
            <v>-22.419</v>
          </cell>
          <cell r="M115">
            <v>-22.419</v>
          </cell>
          <cell r="N115">
            <v>-18.613</v>
          </cell>
          <cell r="O115">
            <v>-18.137</v>
          </cell>
          <cell r="P115">
            <v>-30.058</v>
          </cell>
          <cell r="Q115">
            <v>-30.257999999999999</v>
          </cell>
          <cell r="R115">
            <v>-30.257999999999999</v>
          </cell>
          <cell r="S115">
            <v>-29.2</v>
          </cell>
          <cell r="T115">
            <v>-31.568000000000001</v>
          </cell>
          <cell r="U115">
            <v>-35.704000000000001</v>
          </cell>
          <cell r="V115">
            <v>-34.527000000000001</v>
          </cell>
          <cell r="W115">
            <v>-34.527000000000001</v>
          </cell>
          <cell r="X115">
            <v>-34.81</v>
          </cell>
          <cell r="Y115">
            <v>-34.302</v>
          </cell>
          <cell r="Z115">
            <v>-29.901</v>
          </cell>
          <cell r="AA115">
            <v>-27.975000000000001</v>
          </cell>
          <cell r="AB115">
            <v>-27.975000000000001</v>
          </cell>
          <cell r="AC115">
            <v>-25.286999999999999</v>
          </cell>
          <cell r="AD115">
            <v>-25.286999999999999</v>
          </cell>
          <cell r="AE115">
            <v>-25.286999999999999</v>
          </cell>
          <cell r="AF115">
            <v>-25.286999999999999</v>
          </cell>
          <cell r="AG115">
            <v>-25.286999999999999</v>
          </cell>
        </row>
        <row r="116">
          <cell r="B116" t="str">
            <v>Retained earnings</v>
          </cell>
          <cell r="D116">
            <v>44.448999999999998</v>
          </cell>
          <cell r="E116">
            <v>51.545999999999999</v>
          </cell>
          <cell r="F116">
            <v>59.2</v>
          </cell>
          <cell r="G116">
            <v>65.766999999999996</v>
          </cell>
          <cell r="H116">
            <v>65.766999999999996</v>
          </cell>
          <cell r="I116">
            <v>74.5</v>
          </cell>
          <cell r="J116">
            <v>77.566999999999993</v>
          </cell>
          <cell r="K116">
            <v>85.271000000000001</v>
          </cell>
          <cell r="L116">
            <v>93.486999999999995</v>
          </cell>
          <cell r="M116">
            <v>93.486999999999995</v>
          </cell>
          <cell r="N116">
            <v>103.10599999999999</v>
          </cell>
          <cell r="O116">
            <v>113.816</v>
          </cell>
          <cell r="P116">
            <v>125.511</v>
          </cell>
          <cell r="Q116">
            <v>137.07300000000001</v>
          </cell>
          <cell r="R116">
            <v>137.07300000000001</v>
          </cell>
          <cell r="S116">
            <v>150.25700000000001</v>
          </cell>
          <cell r="T116">
            <v>161.66399999999999</v>
          </cell>
          <cell r="U116">
            <v>173.858</v>
          </cell>
          <cell r="V116">
            <v>187.673</v>
          </cell>
          <cell r="W116">
            <v>187.673</v>
          </cell>
          <cell r="X116">
            <v>199.91200000000001</v>
          </cell>
          <cell r="Y116">
            <v>212.07599999999999</v>
          </cell>
          <cell r="Z116">
            <v>224.71700000000001</v>
          </cell>
          <cell r="AA116">
            <v>232.29900000000001</v>
          </cell>
          <cell r="AB116">
            <v>232.29900000000001</v>
          </cell>
          <cell r="AC116">
            <v>241.922</v>
          </cell>
          <cell r="AD116">
            <v>253.75843153622344</v>
          </cell>
          <cell r="AE116">
            <v>268.00481768046552</v>
          </cell>
          <cell r="AF116">
            <v>285.44298314915437</v>
          </cell>
          <cell r="AG116">
            <v>285.44298314915437</v>
          </cell>
        </row>
        <row r="117">
          <cell r="B117" t="str">
            <v>Equity</v>
          </cell>
          <cell r="D117">
            <v>174.02300000000002</v>
          </cell>
          <cell r="E117">
            <v>194.5</v>
          </cell>
          <cell r="F117">
            <v>202.59800000000001</v>
          </cell>
          <cell r="G117">
            <v>210.60300000000001</v>
          </cell>
          <cell r="H117">
            <v>210.60300000000001</v>
          </cell>
          <cell r="I117">
            <v>234.59700000000001</v>
          </cell>
          <cell r="J117">
            <v>239.125</v>
          </cell>
          <cell r="K117">
            <v>243.59300000000002</v>
          </cell>
          <cell r="L117">
            <v>254.34</v>
          </cell>
          <cell r="M117">
            <v>254.34</v>
          </cell>
          <cell r="N117">
            <v>271.21299999999997</v>
          </cell>
          <cell r="O117">
            <v>282.61800000000005</v>
          </cell>
          <cell r="P117">
            <v>282.53100000000001</v>
          </cell>
          <cell r="Q117">
            <v>294.42700000000002</v>
          </cell>
          <cell r="R117">
            <v>294.42700000000002</v>
          </cell>
          <cell r="S117">
            <v>308.822</v>
          </cell>
          <cell r="T117">
            <v>318.31200000000001</v>
          </cell>
          <cell r="U117">
            <v>327.51499999999999</v>
          </cell>
          <cell r="V117">
            <v>342.90899999999999</v>
          </cell>
          <cell r="W117">
            <v>342.90899999999999</v>
          </cell>
          <cell r="X117">
            <v>354.928</v>
          </cell>
          <cell r="Y117">
            <v>367.73599999999999</v>
          </cell>
          <cell r="Z117">
            <v>386.18700000000001</v>
          </cell>
          <cell r="AA117">
            <v>395.30200000000002</v>
          </cell>
          <cell r="AB117">
            <v>395.30200000000002</v>
          </cell>
          <cell r="AC117">
            <v>407.74099999999999</v>
          </cell>
          <cell r="AD117">
            <v>419.57743153622346</v>
          </cell>
          <cell r="AE117">
            <v>433.82381768046548</v>
          </cell>
          <cell r="AF117">
            <v>451.26198314915439</v>
          </cell>
          <cell r="AG117">
            <v>451.26198314915439</v>
          </cell>
        </row>
        <row r="118">
          <cell r="B118" t="str">
            <v>Total Liabilities and Shareholders Equity</v>
          </cell>
          <cell r="D118">
            <v>238.995</v>
          </cell>
          <cell r="E118">
            <v>269.15600000000001</v>
          </cell>
          <cell r="F118">
            <v>273.262</v>
          </cell>
          <cell r="G118">
            <v>297.101</v>
          </cell>
          <cell r="H118">
            <v>297.101</v>
          </cell>
          <cell r="I118">
            <v>327.90300000000002</v>
          </cell>
          <cell r="J118">
            <v>339.161</v>
          </cell>
          <cell r="K118">
            <v>351.226</v>
          </cell>
          <cell r="L118">
            <v>396.01600000000002</v>
          </cell>
          <cell r="M118">
            <v>396.01600000000002</v>
          </cell>
          <cell r="N118">
            <v>409.322</v>
          </cell>
          <cell r="O118">
            <v>452.23800000000006</v>
          </cell>
          <cell r="P118">
            <v>430.80600000000004</v>
          </cell>
          <cell r="Q118">
            <v>484.86200000000002</v>
          </cell>
          <cell r="R118">
            <v>484.86200000000002</v>
          </cell>
          <cell r="S118">
            <v>488.99400000000003</v>
          </cell>
          <cell r="T118">
            <v>493.34500000000003</v>
          </cell>
          <cell r="U118">
            <v>513.75800000000004</v>
          </cell>
          <cell r="V118">
            <v>514.00900000000001</v>
          </cell>
          <cell r="W118">
            <v>514.00900000000001</v>
          </cell>
          <cell r="X118">
            <v>532.65899999999999</v>
          </cell>
          <cell r="Y118">
            <v>563.62</v>
          </cell>
          <cell r="Z118">
            <v>660.63100000000009</v>
          </cell>
          <cell r="AA118">
            <v>669.39300000000003</v>
          </cell>
          <cell r="AB118">
            <v>669.39300000000003</v>
          </cell>
          <cell r="AC118">
            <v>713.93799999999999</v>
          </cell>
          <cell r="AD118">
            <v>752.31072839927697</v>
          </cell>
          <cell r="AE118">
            <v>778.32206187119755</v>
          </cell>
          <cell r="AF118">
            <v>815.64899805181824</v>
          </cell>
          <cell r="AG118">
            <v>815.64899805181824</v>
          </cell>
        </row>
        <row r="120">
          <cell r="B120" t="str">
            <v>Balance Sheet Check</v>
          </cell>
          <cell r="D120" t="str">
            <v>OK</v>
          </cell>
          <cell r="E120" t="str">
            <v>OK</v>
          </cell>
          <cell r="F120" t="str">
            <v>OK</v>
          </cell>
          <cell r="G120" t="str">
            <v>OK</v>
          </cell>
          <cell r="H120" t="str">
            <v>OK</v>
          </cell>
          <cell r="I120" t="str">
            <v>OK</v>
          </cell>
          <cell r="J120" t="str">
            <v>OK</v>
          </cell>
          <cell r="K120" t="str">
            <v>OK</v>
          </cell>
          <cell r="L120" t="str">
            <v>OK</v>
          </cell>
          <cell r="M120" t="str">
            <v>OK</v>
          </cell>
          <cell r="N120" t="str">
            <v>Balance</v>
          </cell>
          <cell r="O120" t="str">
            <v>OK</v>
          </cell>
          <cell r="P120" t="str">
            <v>OK</v>
          </cell>
          <cell r="Q120" t="str">
            <v>OK</v>
          </cell>
          <cell r="R120" t="str">
            <v>OK</v>
          </cell>
          <cell r="S120" t="str">
            <v>OK</v>
          </cell>
          <cell r="T120" t="str">
            <v>OK</v>
          </cell>
          <cell r="U120" t="str">
            <v>OK</v>
          </cell>
          <cell r="V120" t="str">
            <v>OK</v>
          </cell>
          <cell r="W120" t="str">
            <v>OK</v>
          </cell>
          <cell r="X120" t="str">
            <v>OK</v>
          </cell>
          <cell r="Y120" t="str">
            <v>OK</v>
          </cell>
          <cell r="Z120" t="str">
            <v>OK</v>
          </cell>
          <cell r="AA120" t="str">
            <v>OK</v>
          </cell>
          <cell r="AB120" t="str">
            <v>OK</v>
          </cell>
          <cell r="AC120" t="str">
            <v>OK</v>
          </cell>
          <cell r="AD120" t="str">
            <v>OK</v>
          </cell>
          <cell r="AE120" t="str">
            <v>OK</v>
          </cell>
          <cell r="AF120" t="str">
            <v>OK</v>
          </cell>
          <cell r="AG120" t="str">
            <v>OK</v>
          </cell>
        </row>
        <row r="121">
          <cell r="B121" t="str">
            <v>Balance Sheet Check</v>
          </cell>
          <cell r="D121">
            <v>0</v>
          </cell>
          <cell r="E121">
            <v>0</v>
          </cell>
          <cell r="F121">
            <v>0</v>
          </cell>
          <cell r="G121">
            <v>0</v>
          </cell>
          <cell r="H121">
            <v>0</v>
          </cell>
          <cell r="I121">
            <v>0</v>
          </cell>
          <cell r="J121">
            <v>0</v>
          </cell>
          <cell r="K121">
            <v>0</v>
          </cell>
          <cell r="L121">
            <v>0</v>
          </cell>
          <cell r="M121">
            <v>0</v>
          </cell>
          <cell r="N121">
            <v>0.94099999999997408</v>
          </cell>
          <cell r="O121">
            <v>0</v>
          </cell>
          <cell r="P121">
            <v>0</v>
          </cell>
          <cell r="Q121">
            <v>0</v>
          </cell>
          <cell r="R121">
            <v>0</v>
          </cell>
          <cell r="S121">
            <v>0</v>
          </cell>
          <cell r="T121">
            <v>0</v>
          </cell>
          <cell r="U121">
            <v>0</v>
          </cell>
          <cell r="V121">
            <v>0</v>
          </cell>
          <cell r="W121">
            <v>0</v>
          </cell>
          <cell r="X121">
            <v>0</v>
          </cell>
          <cell r="Y121">
            <v>0</v>
          </cell>
          <cell r="Z121">
            <v>0</v>
          </cell>
          <cell r="AA121">
            <v>0</v>
          </cell>
          <cell r="AB121">
            <v>0</v>
          </cell>
          <cell r="AC121">
            <v>0</v>
          </cell>
          <cell r="AD121">
            <v>0</v>
          </cell>
          <cell r="AE121">
            <v>0</v>
          </cell>
          <cell r="AF121">
            <v>0</v>
          </cell>
          <cell r="AG121">
            <v>0</v>
          </cell>
        </row>
        <row r="123">
          <cell r="B123" t="str">
            <v xml:space="preserve">PHCC DSO without Integrity </v>
          </cell>
        </row>
        <row r="124">
          <cell r="B124" t="str">
            <v>PHCC receivables</v>
          </cell>
          <cell r="X124">
            <v>43.704566185578315</v>
          </cell>
          <cell r="Y124">
            <v>44.493459375256585</v>
          </cell>
          <cell r="Z124">
            <v>44.493459375256585</v>
          </cell>
          <cell r="AA124">
            <v>44.493459375256585</v>
          </cell>
        </row>
        <row r="125">
          <cell r="B125" t="str">
            <v>Integrity receivables</v>
          </cell>
          <cell r="X125">
            <v>192.17699999999999</v>
          </cell>
          <cell r="Y125">
            <v>213.78900000000002</v>
          </cell>
          <cell r="Z125">
            <v>214.62133244003905</v>
          </cell>
          <cell r="AA125">
            <v>224.18072171184076</v>
          </cell>
        </row>
        <row r="126">
          <cell r="B126" t="str">
            <v>Integrity DSOs</v>
          </cell>
          <cell r="X126">
            <v>0</v>
          </cell>
          <cell r="Y126">
            <v>0</v>
          </cell>
          <cell r="Z126">
            <v>22.173667559960933</v>
          </cell>
          <cell r="AA126">
            <v>20.549278288159229</v>
          </cell>
        </row>
        <row r="127">
          <cell r="B127" t="str">
            <v>Bad Debt</v>
          </cell>
        </row>
        <row r="128">
          <cell r="B128" t="str">
            <v>Allowance for Doubtful Accounts as % of Rec</v>
          </cell>
          <cell r="D128">
            <v>2.0578475287211555E-2</v>
          </cell>
          <cell r="E128">
            <v>1.9403364333994002E-2</v>
          </cell>
          <cell r="F128">
            <v>2.3907462963535707E-2</v>
          </cell>
          <cell r="G128">
            <v>2.9746739841901213E-2</v>
          </cell>
          <cell r="H128">
            <v>2.9746739841901213E-2</v>
          </cell>
          <cell r="I128">
            <v>2.8485599847415603E-2</v>
          </cell>
          <cell r="J128">
            <v>2.7143627539097607E-2</v>
          </cell>
          <cell r="K128">
            <v>2.8115637038093878E-2</v>
          </cell>
          <cell r="L128">
            <v>2.7369826435246995E-2</v>
          </cell>
          <cell r="M128">
            <v>2.7369826435246995E-2</v>
          </cell>
          <cell r="N128">
            <v>2.6629585065529243E-2</v>
          </cell>
          <cell r="O128">
            <v>2.8486642854232594E-2</v>
          </cell>
          <cell r="P128">
            <v>3.0811661718030105E-2</v>
          </cell>
          <cell r="Q128">
            <v>3.3215629734617079E-2</v>
          </cell>
          <cell r="R128">
            <v>3.3215629734617079E-2</v>
          </cell>
          <cell r="S128">
            <v>3.3891610514711519E-2</v>
          </cell>
          <cell r="T128">
            <v>3.4261690841228161E-2</v>
          </cell>
          <cell r="U128">
            <v>3.3371982481495116E-2</v>
          </cell>
          <cell r="V128">
            <v>3.1822352298990747E-2</v>
          </cell>
          <cell r="W128">
            <v>3.1822352298990747E-2</v>
          </cell>
          <cell r="X128">
            <v>3.110674014059955E-2</v>
          </cell>
          <cell r="Y128">
            <v>2.9538470173863018E-2</v>
          </cell>
          <cell r="Z128">
            <v>2.8771722375894763E-2</v>
          </cell>
          <cell r="AA128">
            <v>2.8206595023086665E-2</v>
          </cell>
          <cell r="AB128">
            <v>2.8206595023086665E-2</v>
          </cell>
          <cell r="AC128">
            <v>2.6589776102551629E-2</v>
          </cell>
          <cell r="AD128">
            <v>2.5087418971520996E-2</v>
          </cell>
          <cell r="AE128">
            <v>2.4977937052348669E-2</v>
          </cell>
          <cell r="AF128">
            <v>2.474457353731244E-2</v>
          </cell>
          <cell r="AG128">
            <v>2.474457353731244E-2</v>
          </cell>
        </row>
        <row r="129">
          <cell r="B129" t="str">
            <v>Allowance y/y Growth Rate</v>
          </cell>
          <cell r="M129">
            <v>9.6479350033852329E-2</v>
          </cell>
          <cell r="N129">
            <v>0.23736190157348513</v>
          </cell>
          <cell r="O129">
            <v>0.38907284768211925</v>
          </cell>
          <cell r="P129">
            <v>0.52711703139866795</v>
          </cell>
          <cell r="Q129">
            <v>0.67860450756406321</v>
          </cell>
          <cell r="R129">
            <v>0.67860450756406321</v>
          </cell>
          <cell r="S129">
            <v>0.55546536796536783</v>
          </cell>
          <cell r="T129">
            <v>0.4026221692491061</v>
          </cell>
          <cell r="U129">
            <v>0.2612668743509865</v>
          </cell>
          <cell r="V129">
            <v>7.9087732205260775E-3</v>
          </cell>
          <cell r="W129">
            <v>7.9087732205260775E-3</v>
          </cell>
          <cell r="X129">
            <v>3.9833014437293368E-2</v>
          </cell>
          <cell r="Y129">
            <v>7.3249490142760054E-2</v>
          </cell>
          <cell r="Z129">
            <v>0.12185081508315476</v>
          </cell>
          <cell r="AA129">
            <v>0.25967153284671518</v>
          </cell>
          <cell r="AB129">
            <v>0.25967153284671518</v>
          </cell>
          <cell r="AC129">
            <v>0.28036132485781207</v>
          </cell>
        </row>
        <row r="130">
          <cell r="B130" t="str">
            <v>Receivables y/y growth rate</v>
          </cell>
          <cell r="M130">
            <v>0.19170233120185287</v>
          </cell>
          <cell r="N130">
            <v>0.32360289910356665</v>
          </cell>
          <cell r="O130">
            <v>0.32358439690814311</v>
          </cell>
          <cell r="P130">
            <v>0.39349407904123246</v>
          </cell>
          <cell r="Q130">
            <v>0.38317757009345788</v>
          </cell>
          <cell r="R130">
            <v>0.38317757009345788</v>
          </cell>
          <cell r="S130">
            <v>0.22217258795472383</v>
          </cell>
          <cell r="T130">
            <v>0.16620037755836536</v>
          </cell>
          <cell r="U130">
            <v>0.16450163816934582</v>
          </cell>
          <cell r="V130">
            <v>5.2038023557010815E-2</v>
          </cell>
          <cell r="W130">
            <v>5.2038023557010815E-2</v>
          </cell>
          <cell r="X130">
            <v>0.13292538422085842</v>
          </cell>
          <cell r="Y130">
            <v>0.24486278437378073</v>
          </cell>
          <cell r="Z130">
            <v>0.30122156952175794</v>
          </cell>
          <cell r="AA130">
            <v>0.42114676608248258</v>
          </cell>
          <cell r="AB130">
            <v>0.42114676608248258</v>
          </cell>
          <cell r="AC130">
            <v>0.49786394833929148</v>
          </cell>
        </row>
        <row r="133">
          <cell r="B133" t="str">
            <v>Days receivable</v>
          </cell>
          <cell r="D133">
            <v>61.016207992501073</v>
          </cell>
          <cell r="E133">
            <v>61.412387301109547</v>
          </cell>
          <cell r="F133">
            <v>59.916457945506856</v>
          </cell>
          <cell r="G133">
            <v>58.767786151122309</v>
          </cell>
          <cell r="H133">
            <v>15.498969908852541</v>
          </cell>
          <cell r="I133">
            <v>56.838148812564597</v>
          </cell>
          <cell r="J133">
            <v>50.616094486932766</v>
          </cell>
          <cell r="K133">
            <v>48.793366519806995</v>
          </cell>
          <cell r="L133">
            <v>47.682307305097297</v>
          </cell>
          <cell r="M133">
            <v>13.412544092806042</v>
          </cell>
          <cell r="N133">
            <v>47.530600622239241</v>
          </cell>
          <cell r="O133">
            <v>46.177675868301954</v>
          </cell>
          <cell r="P133">
            <v>46.59934838517821</v>
          </cell>
          <cell r="Q133">
            <v>44.331782053032406</v>
          </cell>
          <cell r="R133">
            <v>12.443053971580925</v>
          </cell>
          <cell r="S133">
            <v>44.032345126575613</v>
          </cell>
          <cell r="T133">
            <v>44.709524346161416</v>
          </cell>
          <cell r="U133">
            <v>45.763690041476622</v>
          </cell>
          <cell r="V133">
            <v>39.589331603345777</v>
          </cell>
          <cell r="W133">
            <v>42.998164605410686</v>
          </cell>
          <cell r="X133">
            <v>43.704566185578315</v>
          </cell>
          <cell r="Y133">
            <v>44.493459375256585</v>
          </cell>
          <cell r="Z133">
            <v>49.090314522706564</v>
          </cell>
          <cell r="AA133">
            <v>48.571903193812481</v>
          </cell>
          <cell r="AB133">
            <v>51.348313250380258</v>
          </cell>
          <cell r="AC133">
            <v>53.964569966368153</v>
          </cell>
          <cell r="AD133">
            <v>51</v>
          </cell>
          <cell r="AE133">
            <v>50</v>
          </cell>
          <cell r="AF133">
            <v>48</v>
          </cell>
          <cell r="AG133">
            <v>53.995340473532082</v>
          </cell>
        </row>
        <row r="134">
          <cell r="B134" t="str">
            <v>Inventory turns</v>
          </cell>
          <cell r="D134">
            <v>15.274572376818995</v>
          </cell>
          <cell r="E134">
            <v>20.80138670536542</v>
          </cell>
          <cell r="F134">
            <v>19.352290444724925</v>
          </cell>
          <cell r="G134">
            <v>11.086713487172137</v>
          </cell>
          <cell r="H134">
            <v>42.12698867708184</v>
          </cell>
          <cell r="I134">
            <v>14.075395683453236</v>
          </cell>
          <cell r="J134">
            <v>14.414074163741272</v>
          </cell>
          <cell r="K134">
            <v>14.881097682581467</v>
          </cell>
          <cell r="L134">
            <v>10.860730778578951</v>
          </cell>
          <cell r="M134">
            <v>38.508790407518426</v>
          </cell>
          <cell r="N134">
            <v>13.325843329391226</v>
          </cell>
          <cell r="O134">
            <v>11.365669998678939</v>
          </cell>
          <cell r="P134">
            <v>13.596092023307213</v>
          </cell>
          <cell r="Q134">
            <v>10.967551839711241</v>
          </cell>
          <cell r="R134">
            <v>39.158078892121836</v>
          </cell>
          <cell r="S134">
            <v>11.971153291409451</v>
          </cell>
          <cell r="T134">
            <v>11.670075008396463</v>
          </cell>
          <cell r="U134">
            <v>12.997418460518519</v>
          </cell>
          <cell r="V134">
            <v>12.028801037383342</v>
          </cell>
          <cell r="W134">
            <v>11.090003241822929</v>
          </cell>
          <cell r="X134">
            <v>13.836883678711446</v>
          </cell>
          <cell r="Y134">
            <v>14.990024723412784</v>
          </cell>
          <cell r="Z134">
            <v>14.396263137407551</v>
          </cell>
          <cell r="AA134">
            <v>14.476806137671378</v>
          </cell>
          <cell r="AB134">
            <v>13.734522625559421</v>
          </cell>
          <cell r="AC134">
            <v>14.761376021798366</v>
          </cell>
          <cell r="AD134">
            <v>15</v>
          </cell>
          <cell r="AE134">
            <v>15</v>
          </cell>
          <cell r="AF134">
            <v>15</v>
          </cell>
          <cell r="AG134">
            <v>13.359735709719359</v>
          </cell>
        </row>
        <row r="135">
          <cell r="B135" t="str">
            <v>Days payables</v>
          </cell>
          <cell r="D135">
            <v>45.234182398609406</v>
          </cell>
          <cell r="E135">
            <v>45.350199604666493</v>
          </cell>
          <cell r="F135">
            <v>46.085002838990853</v>
          </cell>
          <cell r="G135">
            <v>52.078817797674468</v>
          </cell>
          <cell r="H135">
            <v>13.705772707831091</v>
          </cell>
          <cell r="I135">
            <v>50.846801398429839</v>
          </cell>
          <cell r="J135">
            <v>45.400211072044435</v>
          </cell>
          <cell r="K135">
            <v>44.82570279079242</v>
          </cell>
          <cell r="L135">
            <v>52.707640204693625</v>
          </cell>
          <cell r="M135">
            <v>14.865268012303446</v>
          </cell>
          <cell r="N135">
            <v>41.729964247528812</v>
          </cell>
          <cell r="O135">
            <v>49.649534294448337</v>
          </cell>
          <cell r="P135">
            <v>39.96180325930743</v>
          </cell>
          <cell r="Q135">
            <v>43.717753039156435</v>
          </cell>
          <cell r="R135">
            <v>12.244643668387603</v>
          </cell>
          <cell r="S135">
            <v>44.380457936538534</v>
          </cell>
          <cell r="T135">
            <v>45.028723502908328</v>
          </cell>
          <cell r="U135">
            <v>44.504131592695757</v>
          </cell>
          <cell r="V135">
            <v>39.228403423565503</v>
          </cell>
          <cell r="W135">
            <v>42.549190429155622</v>
          </cell>
          <cell r="X135">
            <v>38.850598777321835</v>
          </cell>
          <cell r="Y135">
            <v>38.164458015461619</v>
          </cell>
          <cell r="Z135">
            <v>38.342990018849846</v>
          </cell>
          <cell r="AA135">
            <v>38.948602114922224</v>
          </cell>
          <cell r="AB135">
            <v>41.053582823601062</v>
          </cell>
          <cell r="AC135">
            <v>42.043377388704045</v>
          </cell>
          <cell r="AD135">
            <v>42</v>
          </cell>
          <cell r="AE135">
            <v>42</v>
          </cell>
          <cell r="AF135">
            <v>42</v>
          </cell>
          <cell r="AG135">
            <v>47.1566214847849</v>
          </cell>
        </row>
        <row r="136">
          <cell r="B136" t="str">
            <v>EBITDA/Interest Expense</v>
          </cell>
          <cell r="D136">
            <v>8.387873754152821</v>
          </cell>
          <cell r="E136">
            <v>6.6978557504873377</v>
          </cell>
          <cell r="F136">
            <v>5.30875804057397</v>
          </cell>
          <cell r="G136">
            <v>3.6400742115027809</v>
          </cell>
          <cell r="H136">
            <v>5.633526011560698</v>
          </cell>
          <cell r="I136">
            <v>6.7426588360918389</v>
          </cell>
          <cell r="J136">
            <v>2.7901234567901296</v>
          </cell>
          <cell r="K136">
            <v>8.5470884255930901</v>
          </cell>
          <cell r="L136">
            <v>11.094097519247283</v>
          </cell>
          <cell r="M136">
            <v>6.9961486939048898</v>
          </cell>
          <cell r="N136">
            <v>17.495963091118782</v>
          </cell>
          <cell r="O136">
            <v>25.518628912071556</v>
          </cell>
          <cell r="P136">
            <v>37.165354330708709</v>
          </cell>
          <cell r="Q136">
            <v>31.899317406143549</v>
          </cell>
          <cell r="R136">
            <v>26.544452887538007</v>
          </cell>
          <cell r="S136">
            <v>46.767895878524868</v>
          </cell>
          <cell r="T136">
            <v>54.085470085470064</v>
          </cell>
          <cell r="U136">
            <v>82.890243902439082</v>
          </cell>
          <cell r="V136">
            <v>94.245901639342975</v>
          </cell>
          <cell r="W136">
            <v>64.463133640552854</v>
          </cell>
          <cell r="X136" t="str">
            <v>NM</v>
          </cell>
          <cell r="Y136" t="str">
            <v>NM</v>
          </cell>
          <cell r="Z136" t="str">
            <v>NM</v>
          </cell>
          <cell r="AA136">
            <v>44.301176470588288</v>
          </cell>
          <cell r="AB136" t="str">
            <v>NM</v>
          </cell>
          <cell r="AC136">
            <v>33.302912621359191</v>
          </cell>
          <cell r="AD136" t="str">
            <v>NM</v>
          </cell>
          <cell r="AE136" t="str">
            <v>NM</v>
          </cell>
          <cell r="AF136" t="str">
            <v>NM</v>
          </cell>
          <cell r="AG136" t="str">
            <v>NM</v>
          </cell>
        </row>
        <row r="137">
          <cell r="B137" t="str">
            <v>Debt to total capitalization</v>
          </cell>
          <cell r="D137">
            <v>3.1467577931510428E-2</v>
          </cell>
          <cell r="E137">
            <v>5.1413856673266936E-2</v>
          </cell>
          <cell r="F137">
            <v>2.3346397288867678E-2</v>
          </cell>
          <cell r="G137">
            <v>4.2034351631156638E-2</v>
          </cell>
          <cell r="H137">
            <v>4.2034351631156638E-2</v>
          </cell>
          <cell r="I137">
            <v>4.6888330936304026E-2</v>
          </cell>
          <cell r="J137">
            <v>4.4627339739107853E-2</v>
          </cell>
          <cell r="K137">
            <v>0</v>
          </cell>
          <cell r="L137">
            <v>8.8863892013498313E-2</v>
          </cell>
          <cell r="M137">
            <v>8.8863892013498313E-2</v>
          </cell>
          <cell r="N137">
            <v>9.7121380086355291E-2</v>
          </cell>
          <cell r="O137">
            <v>9.1497069894979105E-2</v>
          </cell>
          <cell r="P137">
            <v>9.3135225182717205E-2</v>
          </cell>
          <cell r="Q137">
            <v>0.13371974990805444</v>
          </cell>
          <cell r="R137">
            <v>0.13371974990805444</v>
          </cell>
          <cell r="S137">
            <v>7.8957100591715984E-2</v>
          </cell>
          <cell r="T137">
            <v>5.4629261135827688E-2</v>
          </cell>
          <cell r="U137">
            <v>7.3950501740327829E-2</v>
          </cell>
          <cell r="V137">
            <v>3.6861751579207548E-2</v>
          </cell>
          <cell r="W137">
            <v>3.6861751579207548E-2</v>
          </cell>
          <cell r="X137">
            <v>5.0039612016358696E-2</v>
          </cell>
          <cell r="Y137">
            <v>5.1654864015927136E-2</v>
          </cell>
          <cell r="Z137">
            <v>8.5809448058404111E-2</v>
          </cell>
          <cell r="AA137">
            <v>6.372688343186296E-2</v>
          </cell>
          <cell r="AB137">
            <v>6.372688343186296E-2</v>
          </cell>
          <cell r="AC137">
            <v>6.7928962160852382E-2</v>
          </cell>
          <cell r="AD137">
            <v>6.6139404483157249E-2</v>
          </cell>
          <cell r="AE137">
            <v>6.4106682676577098E-2</v>
          </cell>
          <cell r="AF137">
            <v>6.1782453752742515E-2</v>
          </cell>
          <cell r="AG137">
            <v>6.1782453752742515E-2</v>
          </cell>
        </row>
        <row r="138">
          <cell r="B138" t="str">
            <v>Bad debt allowance (% of receivables)</v>
          </cell>
          <cell r="D138">
            <v>2.0578475287211555E-2</v>
          </cell>
          <cell r="E138">
            <v>1.9403364333994002E-2</v>
          </cell>
          <cell r="F138">
            <v>2.3907462963535707E-2</v>
          </cell>
          <cell r="G138">
            <v>2.9746739841901213E-2</v>
          </cell>
          <cell r="H138">
            <v>2.9746739841901213E-2</v>
          </cell>
          <cell r="I138">
            <v>2.8485599847415603E-2</v>
          </cell>
          <cell r="J138">
            <v>2.7143627539097607E-2</v>
          </cell>
          <cell r="K138">
            <v>2.8115637038093878E-2</v>
          </cell>
          <cell r="L138">
            <v>2.7369826435246995E-2</v>
          </cell>
          <cell r="M138">
            <v>2.7369826435246995E-2</v>
          </cell>
          <cell r="N138">
            <v>2.6629585065529243E-2</v>
          </cell>
          <cell r="O138">
            <v>2.8486642854232594E-2</v>
          </cell>
          <cell r="P138">
            <v>3.0811661718030105E-2</v>
          </cell>
          <cell r="Q138">
            <v>3.3215629734617079E-2</v>
          </cell>
          <cell r="R138">
            <v>3.3215629734617079E-2</v>
          </cell>
          <cell r="S138">
            <v>3.3891610514711519E-2</v>
          </cell>
          <cell r="T138">
            <v>3.4261690841228161E-2</v>
          </cell>
          <cell r="U138">
            <v>3.3371982481495116E-2</v>
          </cell>
          <cell r="V138">
            <v>3.1822352298990747E-2</v>
          </cell>
          <cell r="W138">
            <v>3.1822352298990747E-2</v>
          </cell>
          <cell r="X138">
            <v>3.110674014059955E-2</v>
          </cell>
          <cell r="Y138">
            <v>2.9538470173863018E-2</v>
          </cell>
          <cell r="Z138">
            <v>2.8771722375894763E-2</v>
          </cell>
          <cell r="AA138">
            <v>2.8206595023086665E-2</v>
          </cell>
          <cell r="AB138">
            <v>2.8206595023086665E-2</v>
          </cell>
          <cell r="AC138">
            <v>2.6589776102551629E-2</v>
          </cell>
          <cell r="AD138">
            <v>2.5087418971520996E-2</v>
          </cell>
          <cell r="AE138">
            <v>2.4977937052348669E-2</v>
          </cell>
          <cell r="AF138">
            <v>2.474457353731244E-2</v>
          </cell>
          <cell r="AG138">
            <v>2.474457353731244E-2</v>
          </cell>
        </row>
        <row r="140">
          <cell r="B140" t="str">
            <v>CASH FLOW STATEMENT</v>
          </cell>
          <cell r="D140" t="str">
            <v>Fiscal Year End, December 2000</v>
          </cell>
          <cell r="I140" t="str">
            <v>Fiscal Year End, December 2001</v>
          </cell>
          <cell r="N140" t="str">
            <v>Fiscal Year End, December 2002</v>
          </cell>
          <cell r="S140" t="str">
            <v>Fiscal Year End, December 2003</v>
          </cell>
          <cell r="X140" t="str">
            <v>Fiscal Year End, December 2004</v>
          </cell>
          <cell r="AC140" t="str">
            <v>Fiscal Year End, December 2005</v>
          </cell>
        </row>
        <row r="141">
          <cell r="D141" t="str">
            <v>1QA</v>
          </cell>
          <cell r="E141" t="str">
            <v>2QA</v>
          </cell>
          <cell r="F141" t="str">
            <v>3QA</v>
          </cell>
          <cell r="G141" t="str">
            <v>4QA</v>
          </cell>
          <cell r="H141" t="str">
            <v>FY00</v>
          </cell>
          <cell r="I141" t="str">
            <v>1QA</v>
          </cell>
          <cell r="J141" t="str">
            <v>2QA</v>
          </cell>
          <cell r="K141" t="str">
            <v>3QA</v>
          </cell>
          <cell r="L141" t="str">
            <v>4QA</v>
          </cell>
          <cell r="M141" t="str">
            <v>FY01</v>
          </cell>
          <cell r="N141" t="str">
            <v>1QA</v>
          </cell>
          <cell r="O141" t="str">
            <v>2QA</v>
          </cell>
          <cell r="P141" t="str">
            <v>3QA</v>
          </cell>
          <cell r="Q141" t="str">
            <v>4QA</v>
          </cell>
          <cell r="R141" t="str">
            <v>FY02</v>
          </cell>
          <cell r="S141" t="str">
            <v>1QA</v>
          </cell>
          <cell r="T141" t="str">
            <v>2QA</v>
          </cell>
          <cell r="U141" t="str">
            <v>3QA</v>
          </cell>
          <cell r="V141" t="str">
            <v>4QA</v>
          </cell>
          <cell r="W141" t="str">
            <v>FY03</v>
          </cell>
          <cell r="X141" t="str">
            <v>1QA</v>
          </cell>
          <cell r="Y141" t="str">
            <v>2QA</v>
          </cell>
          <cell r="Z141" t="str">
            <v>3QA</v>
          </cell>
          <cell r="AA141" t="str">
            <v>4QA</v>
          </cell>
          <cell r="AB141" t="str">
            <v>FY04</v>
          </cell>
          <cell r="AC141" t="str">
            <v>1QA</v>
          </cell>
          <cell r="AD141" t="str">
            <v>2QE</v>
          </cell>
          <cell r="AE141" t="str">
            <v>3QE</v>
          </cell>
          <cell r="AF141" t="str">
            <v>4QE</v>
          </cell>
          <cell r="AG141" t="str">
            <v>FY 05E</v>
          </cell>
        </row>
        <row r="143">
          <cell r="B143" t="str">
            <v>Net income</v>
          </cell>
          <cell r="D143">
            <v>6.7609999999999966</v>
          </cell>
          <cell r="E143">
            <v>7.0970000000000111</v>
          </cell>
          <cell r="F143">
            <v>7.6539999999999901</v>
          </cell>
          <cell r="G143">
            <v>6.5670000000000019</v>
          </cell>
          <cell r="H143">
            <v>28.079000000000033</v>
          </cell>
          <cell r="I143">
            <v>8.733000000000013</v>
          </cell>
          <cell r="J143">
            <v>3.0670000000000091</v>
          </cell>
          <cell r="K143">
            <v>7.7039999999999891</v>
          </cell>
          <cell r="L143">
            <v>8.2160000000000792</v>
          </cell>
          <cell r="M143">
            <v>27.72000000000001</v>
          </cell>
          <cell r="N143">
            <v>9.618999999999982</v>
          </cell>
          <cell r="O143">
            <v>10.710000000000015</v>
          </cell>
          <cell r="P143">
            <v>11.695000000000023</v>
          </cell>
          <cell r="Q143">
            <v>11.562000000000122</v>
          </cell>
          <cell r="R143">
            <v>43.586000000000041</v>
          </cell>
          <cell r="S143">
            <v>13.183999999999966</v>
          </cell>
          <cell r="T143">
            <v>11.406999999999993</v>
          </cell>
          <cell r="U143">
            <v>12.194000000000013</v>
          </cell>
          <cell r="V143">
            <v>13.814999999999863</v>
          </cell>
          <cell r="W143">
            <v>50.599999999999838</v>
          </cell>
          <cell r="X143">
            <v>12.238999999999976</v>
          </cell>
          <cell r="Y143">
            <v>12.164000000000023</v>
          </cell>
          <cell r="Z143">
            <v>12.641000000000002</v>
          </cell>
          <cell r="AA143">
            <v>7.5820000000000221</v>
          </cell>
          <cell r="AB143">
            <v>44.626000000000019</v>
          </cell>
          <cell r="AC143">
            <v>9.6229999999999798</v>
          </cell>
          <cell r="AD143">
            <v>11.836431536223449</v>
          </cell>
          <cell r="AE143">
            <v>14.246386144242056</v>
          </cell>
          <cell r="AF143">
            <v>17.438165468688851</v>
          </cell>
          <cell r="AG143">
            <v>53.143983149154337</v>
          </cell>
        </row>
        <row r="144">
          <cell r="B144" t="str">
            <v>Depreciation and amortization</v>
          </cell>
          <cell r="D144">
            <v>0.34499999999999997</v>
          </cell>
          <cell r="E144">
            <v>0.34499999999999997</v>
          </cell>
          <cell r="F144">
            <v>0.34499999999999997</v>
          </cell>
          <cell r="G144">
            <v>0.30000000000000004</v>
          </cell>
          <cell r="H144">
            <v>1.335</v>
          </cell>
          <cell r="I144">
            <v>0.52900000000000003</v>
          </cell>
          <cell r="J144">
            <v>0.92600000000000005</v>
          </cell>
          <cell r="K144">
            <v>0.95299999999999974</v>
          </cell>
          <cell r="L144">
            <v>0.99199999999999988</v>
          </cell>
          <cell r="M144">
            <v>3.4</v>
          </cell>
          <cell r="N144">
            <v>0.64600000000000002</v>
          </cell>
          <cell r="O144">
            <v>0.65699999999999992</v>
          </cell>
          <cell r="P144">
            <v>0.67699999999999994</v>
          </cell>
          <cell r="Q144">
            <v>0.77999999999999969</v>
          </cell>
          <cell r="R144">
            <v>2.76</v>
          </cell>
          <cell r="S144">
            <v>0.92700000000000005</v>
          </cell>
          <cell r="T144">
            <v>1.0829999999999997</v>
          </cell>
          <cell r="U144">
            <v>1.1270000000000002</v>
          </cell>
          <cell r="V144">
            <v>1.1359999999999997</v>
          </cell>
          <cell r="W144">
            <v>4.2729999999999997</v>
          </cell>
          <cell r="X144">
            <v>1.369</v>
          </cell>
          <cell r="Y144">
            <v>1.43</v>
          </cell>
          <cell r="Z144">
            <v>1.7780000000000002</v>
          </cell>
          <cell r="AA144">
            <v>2.0140000000000002</v>
          </cell>
          <cell r="AB144">
            <v>6.5910000000000002</v>
          </cell>
          <cell r="AC144">
            <v>2.6150000000000002</v>
          </cell>
          <cell r="AD144">
            <v>2.9217499999999998</v>
          </cell>
          <cell r="AE144">
            <v>3.3342499999999999</v>
          </cell>
          <cell r="AF144">
            <v>3.3342499999999999</v>
          </cell>
          <cell r="AG144">
            <v>12.205249999999999</v>
          </cell>
        </row>
        <row r="145">
          <cell r="B145" t="str">
            <v>Provision for losses on accounts receivable</v>
          </cell>
          <cell r="D145">
            <v>0.38400000000000001</v>
          </cell>
          <cell r="E145">
            <v>0.124</v>
          </cell>
          <cell r="F145">
            <v>0.67299999999999993</v>
          </cell>
          <cell r="G145">
            <v>4.4290000000000003</v>
          </cell>
          <cell r="H145">
            <v>5.61</v>
          </cell>
          <cell r="I145">
            <v>0.35099999999999998</v>
          </cell>
          <cell r="J145">
            <v>4.3029999999999999</v>
          </cell>
          <cell r="K145">
            <v>0.14900000000000002</v>
          </cell>
          <cell r="L145">
            <v>0.11699999999999999</v>
          </cell>
          <cell r="M145">
            <v>4.92</v>
          </cell>
          <cell r="N145">
            <v>0.46700000000000003</v>
          </cell>
          <cell r="O145">
            <v>0.88300000000000001</v>
          </cell>
          <cell r="P145">
            <v>0.39900000000000008</v>
          </cell>
          <cell r="Q145">
            <v>0.69999999999999973</v>
          </cell>
          <cell r="R145">
            <v>2.4489999999999998</v>
          </cell>
          <cell r="S145">
            <v>0.57599999999999996</v>
          </cell>
          <cell r="T145">
            <v>0.50900000000000001</v>
          </cell>
          <cell r="U145">
            <v>0.75700000000000023</v>
          </cell>
          <cell r="V145">
            <v>0.35499999999999998</v>
          </cell>
          <cell r="W145">
            <v>2.1970000000000001</v>
          </cell>
          <cell r="X145">
            <v>0.70099999999999996</v>
          </cell>
          <cell r="Y145">
            <v>0.77800000000000014</v>
          </cell>
          <cell r="Z145">
            <v>1.0840000000000001</v>
          </cell>
          <cell r="AA145">
            <v>3.5779999999999998</v>
          </cell>
          <cell r="AB145">
            <v>6.141</v>
          </cell>
          <cell r="AC145">
            <v>1.044</v>
          </cell>
          <cell r="AD145">
            <v>0</v>
          </cell>
          <cell r="AE145">
            <v>0</v>
          </cell>
          <cell r="AF145">
            <v>0</v>
          </cell>
          <cell r="AG145">
            <v>1.044</v>
          </cell>
        </row>
        <row r="146">
          <cell r="B146" t="str">
            <v>Deferred income taxes</v>
          </cell>
          <cell r="D146">
            <v>0</v>
          </cell>
          <cell r="E146">
            <v>0</v>
          </cell>
          <cell r="F146">
            <v>0</v>
          </cell>
          <cell r="G146">
            <v>-1.218</v>
          </cell>
          <cell r="H146">
            <v>-1.218</v>
          </cell>
          <cell r="I146">
            <v>0</v>
          </cell>
          <cell r="J146">
            <v>0</v>
          </cell>
          <cell r="K146">
            <v>1.466</v>
          </cell>
          <cell r="L146">
            <v>3.2000000000000028E-2</v>
          </cell>
          <cell r="M146">
            <v>1.498</v>
          </cell>
          <cell r="N146">
            <v>0</v>
          </cell>
          <cell r="O146">
            <v>0</v>
          </cell>
          <cell r="P146">
            <v>0</v>
          </cell>
          <cell r="Q146">
            <v>0.54300000000000004</v>
          </cell>
          <cell r="R146">
            <v>0.54300000000000004</v>
          </cell>
          <cell r="S146">
            <v>0</v>
          </cell>
          <cell r="T146">
            <v>0</v>
          </cell>
          <cell r="U146">
            <v>0</v>
          </cell>
          <cell r="V146">
            <v>5.0119999999999996</v>
          </cell>
          <cell r="W146">
            <v>5.0119999999999996</v>
          </cell>
          <cell r="X146">
            <v>0</v>
          </cell>
          <cell r="Y146">
            <v>0</v>
          </cell>
          <cell r="Z146">
            <v>0</v>
          </cell>
          <cell r="AA146">
            <v>2.5259999999999998</v>
          </cell>
          <cell r="AB146">
            <v>2.5259999999999998</v>
          </cell>
          <cell r="AC146">
            <v>0</v>
          </cell>
          <cell r="AD146">
            <v>-1.5374999999999694E-2</v>
          </cell>
          <cell r="AE146">
            <v>-1.5451874999999671E-2</v>
          </cell>
          <cell r="AF146">
            <v>-1.5529134374999476E-2</v>
          </cell>
          <cell r="AG146">
            <v>-4.6356009374998841E-2</v>
          </cell>
        </row>
        <row r="147">
          <cell r="B147" t="str">
            <v>Tax benefit of exercise of stock options</v>
          </cell>
          <cell r="D147">
            <v>0</v>
          </cell>
          <cell r="E147">
            <v>0</v>
          </cell>
          <cell r="F147">
            <v>12.436999999999999</v>
          </cell>
          <cell r="G147">
            <v>0.22300000000000075</v>
          </cell>
          <cell r="H147">
            <v>12.66</v>
          </cell>
          <cell r="I147">
            <v>8.8070000000000004</v>
          </cell>
          <cell r="J147">
            <v>0.54999999999999893</v>
          </cell>
          <cell r="K147">
            <v>0.10599999999999987</v>
          </cell>
          <cell r="L147">
            <v>0.13800000000000168</v>
          </cell>
          <cell r="M147">
            <v>9.6010000000000009</v>
          </cell>
          <cell r="N147">
            <v>0.35599999999999998</v>
          </cell>
          <cell r="O147">
            <v>0.16500000000000004</v>
          </cell>
          <cell r="P147">
            <v>0.371</v>
          </cell>
          <cell r="Q147">
            <v>5.1999999999999935E-2</v>
          </cell>
          <cell r="R147">
            <v>0.94399999999999995</v>
          </cell>
          <cell r="S147">
            <v>0.20300000000000001</v>
          </cell>
          <cell r="T147">
            <v>4.2999999999999983E-2</v>
          </cell>
          <cell r="U147">
            <v>0.17599999999999999</v>
          </cell>
          <cell r="V147">
            <v>0.25000000000000006</v>
          </cell>
          <cell r="W147">
            <v>0.67200000000000004</v>
          </cell>
          <cell r="X147">
            <v>0.14499999999999999</v>
          </cell>
          <cell r="Y147">
            <v>4.0000000000000036E-3</v>
          </cell>
          <cell r="Z147">
            <v>5.2000000000000018E-2</v>
          </cell>
          <cell r="AA147">
            <v>0.59799999999999998</v>
          </cell>
          <cell r="AB147">
            <v>0.79900000000000004</v>
          </cell>
          <cell r="AC147">
            <v>0.47199999999999998</v>
          </cell>
          <cell r="AD147">
            <v>0</v>
          </cell>
          <cell r="AE147">
            <v>0</v>
          </cell>
          <cell r="AF147">
            <v>0</v>
          </cell>
          <cell r="AG147">
            <v>0.47199999999999998</v>
          </cell>
        </row>
        <row r="148">
          <cell r="B148" t="str">
            <v>Compensation expense on stock grants</v>
          </cell>
          <cell r="D148">
            <v>0</v>
          </cell>
          <cell r="E148">
            <v>0</v>
          </cell>
          <cell r="G148">
            <v>0.03</v>
          </cell>
          <cell r="H148">
            <v>0.03</v>
          </cell>
          <cell r="I148">
            <v>0</v>
          </cell>
          <cell r="J148">
            <v>0</v>
          </cell>
          <cell r="K148">
            <v>0</v>
          </cell>
          <cell r="M148">
            <v>0.03</v>
          </cell>
          <cell r="N148">
            <v>0</v>
          </cell>
          <cell r="O148">
            <v>0</v>
          </cell>
          <cell r="P148">
            <v>0</v>
          </cell>
          <cell r="R148">
            <v>0.03</v>
          </cell>
          <cell r="S148">
            <v>0.26700000000000002</v>
          </cell>
          <cell r="T148">
            <v>0.19700000000000001</v>
          </cell>
          <cell r="U148">
            <v>0.15499999999999997</v>
          </cell>
          <cell r="V148">
            <v>0.31300000000000006</v>
          </cell>
          <cell r="W148">
            <v>0.93200000000000005</v>
          </cell>
          <cell r="X148">
            <v>0.249</v>
          </cell>
          <cell r="Y148">
            <v>0.31200000000000006</v>
          </cell>
          <cell r="Z148">
            <v>0.27399999999999991</v>
          </cell>
          <cell r="AA148">
            <v>0.36899999999999999</v>
          </cell>
          <cell r="AB148">
            <v>1.204</v>
          </cell>
          <cell r="AC148">
            <v>0.25800000000000001</v>
          </cell>
          <cell r="AD148">
            <v>0.25800000000000001</v>
          </cell>
          <cell r="AE148">
            <v>0.25800000000000001</v>
          </cell>
          <cell r="AF148">
            <v>0.25800000000000001</v>
          </cell>
          <cell r="AG148">
            <v>1.032</v>
          </cell>
        </row>
        <row r="149">
          <cell r="B149" t="str">
            <v>Undistributed earnings of joint ventures</v>
          </cell>
          <cell r="D149">
            <v>0</v>
          </cell>
          <cell r="E149">
            <v>0</v>
          </cell>
          <cell r="F149">
            <v>0</v>
          </cell>
          <cell r="G149">
            <v>0</v>
          </cell>
          <cell r="H149">
            <v>0</v>
          </cell>
          <cell r="I149">
            <v>0</v>
          </cell>
          <cell r="J149">
            <v>0</v>
          </cell>
          <cell r="K149">
            <v>0</v>
          </cell>
          <cell r="L149">
            <v>0</v>
          </cell>
          <cell r="M149">
            <v>0</v>
          </cell>
          <cell r="N149">
            <v>0</v>
          </cell>
          <cell r="O149">
            <v>0</v>
          </cell>
          <cell r="P149">
            <v>0</v>
          </cell>
          <cell r="Q149">
            <v>0</v>
          </cell>
          <cell r="R149">
            <v>0</v>
          </cell>
          <cell r="S149">
            <v>0</v>
          </cell>
          <cell r="T149">
            <v>0</v>
          </cell>
          <cell r="U149">
            <v>0</v>
          </cell>
          <cell r="V149">
            <v>0</v>
          </cell>
          <cell r="W149">
            <v>0</v>
          </cell>
          <cell r="X149">
            <v>0</v>
          </cell>
          <cell r="Y149">
            <v>8.5000000000000006E-2</v>
          </cell>
          <cell r="Z149">
            <v>23.091999999999999</v>
          </cell>
          <cell r="AA149">
            <v>-23.177</v>
          </cell>
          <cell r="AB149">
            <v>0</v>
          </cell>
          <cell r="AC149">
            <v>0</v>
          </cell>
          <cell r="AD149">
            <v>0</v>
          </cell>
          <cell r="AE149">
            <v>0</v>
          </cell>
          <cell r="AF149">
            <v>0</v>
          </cell>
          <cell r="AG149">
            <v>0</v>
          </cell>
        </row>
        <row r="150">
          <cell r="B150" t="str">
            <v>Minority interest income of consolidated joint venture</v>
          </cell>
          <cell r="D150">
            <v>0</v>
          </cell>
          <cell r="E150">
            <v>0</v>
          </cell>
          <cell r="F150">
            <v>0</v>
          </cell>
          <cell r="G150">
            <v>0</v>
          </cell>
          <cell r="H150">
            <v>0</v>
          </cell>
          <cell r="I150">
            <v>0</v>
          </cell>
          <cell r="J150">
            <v>0</v>
          </cell>
          <cell r="K150">
            <v>0</v>
          </cell>
          <cell r="L150">
            <v>0</v>
          </cell>
          <cell r="M150">
            <v>0</v>
          </cell>
          <cell r="N150">
            <v>0</v>
          </cell>
          <cell r="O150">
            <v>0</v>
          </cell>
          <cell r="P150">
            <v>0</v>
          </cell>
          <cell r="Q150">
            <v>0</v>
          </cell>
          <cell r="R150">
            <v>0</v>
          </cell>
          <cell r="S150">
            <v>0</v>
          </cell>
          <cell r="T150">
            <v>0</v>
          </cell>
          <cell r="U150">
            <v>0</v>
          </cell>
          <cell r="V150">
            <v>0</v>
          </cell>
          <cell r="W150">
            <v>0</v>
          </cell>
          <cell r="X150">
            <v>7.8E-2</v>
          </cell>
          <cell r="Y150">
            <v>8.5000000000000006E-2</v>
          </cell>
          <cell r="Z150">
            <v>9.1999999999999985E-2</v>
          </cell>
          <cell r="AA150">
            <v>-4.2999999999999997E-2</v>
          </cell>
          <cell r="AB150">
            <v>0.21199999999999999</v>
          </cell>
          <cell r="AC150">
            <v>-1.5</v>
          </cell>
          <cell r="AD150">
            <v>0.86357001000000055</v>
          </cell>
          <cell r="AE150">
            <v>0.20375000000000015</v>
          </cell>
          <cell r="AF150">
            <v>-0.33125000000000004</v>
          </cell>
          <cell r="AG150">
            <v>-0.76392998999999939</v>
          </cell>
        </row>
        <row r="151">
          <cell r="B151" t="str">
            <v>Changes in working capital</v>
          </cell>
        </row>
        <row r="152">
          <cell r="B152" t="str">
            <v>Patient and other receivables</v>
          </cell>
          <cell r="D152">
            <v>-2.9</v>
          </cell>
          <cell r="E152">
            <v>-7.1999999999999993</v>
          </cell>
          <cell r="F152">
            <v>0.71299999999999875</v>
          </cell>
          <cell r="G152">
            <v>-6.7349999999999977</v>
          </cell>
          <cell r="H152">
            <v>-16.122</v>
          </cell>
          <cell r="I152">
            <v>-1.4330000000000001</v>
          </cell>
          <cell r="J152">
            <v>-7.3460000000000001</v>
          </cell>
          <cell r="K152">
            <v>-1.0329999999999993</v>
          </cell>
          <cell r="L152">
            <v>-5.088000000000001</v>
          </cell>
          <cell r="M152">
            <v>-14.9</v>
          </cell>
          <cell r="N152">
            <v>-18.027999999999999</v>
          </cell>
          <cell r="O152">
            <v>-9.3520000000000003</v>
          </cell>
          <cell r="P152">
            <v>-9.4090000000000025</v>
          </cell>
          <cell r="Q152">
            <v>-8.1159999999999961</v>
          </cell>
          <cell r="R152">
            <v>-44.905000000000001</v>
          </cell>
          <cell r="S152">
            <v>-6.5170000000000003</v>
          </cell>
          <cell r="T152">
            <v>-2.617</v>
          </cell>
          <cell r="U152">
            <v>-10.998999999999999</v>
          </cell>
          <cell r="V152">
            <v>9.4179999999999993</v>
          </cell>
          <cell r="W152">
            <v>-10.715</v>
          </cell>
          <cell r="X152">
            <v>-20.672000000000001</v>
          </cell>
          <cell r="Y152">
            <v>-21.257000000000001</v>
          </cell>
          <cell r="Z152">
            <v>-11.373999999999992</v>
          </cell>
          <cell r="AA152">
            <v>-11.094000000000008</v>
          </cell>
          <cell r="AB152">
            <v>-64.397000000000006</v>
          </cell>
          <cell r="AC152">
            <v>-44.167999999999999</v>
          </cell>
          <cell r="AD152">
            <v>-26.3909576630586</v>
          </cell>
          <cell r="AE152">
            <v>-10.846085886489334</v>
          </cell>
          <cell r="AF152">
            <v>-12.910648046178949</v>
          </cell>
          <cell r="AG152">
            <v>-94.315691595726889</v>
          </cell>
        </row>
        <row r="153">
          <cell r="B153" t="str">
            <v>Due from affiliates</v>
          </cell>
          <cell r="D153">
            <v>0</v>
          </cell>
          <cell r="E153">
            <v>0</v>
          </cell>
          <cell r="F153">
            <v>0</v>
          </cell>
          <cell r="G153">
            <v>0</v>
          </cell>
          <cell r="H153">
            <v>0</v>
          </cell>
          <cell r="I153">
            <v>0</v>
          </cell>
          <cell r="J153">
            <v>0</v>
          </cell>
          <cell r="K153">
            <v>0</v>
          </cell>
          <cell r="L153">
            <v>0</v>
          </cell>
          <cell r="M153">
            <v>0</v>
          </cell>
          <cell r="N153">
            <v>0</v>
          </cell>
          <cell r="O153">
            <v>0</v>
          </cell>
          <cell r="P153">
            <v>0</v>
          </cell>
          <cell r="Q153">
            <v>0</v>
          </cell>
          <cell r="R153">
            <v>0</v>
          </cell>
          <cell r="S153">
            <v>0</v>
          </cell>
          <cell r="T153">
            <v>0</v>
          </cell>
          <cell r="U153">
            <v>0</v>
          </cell>
          <cell r="V153">
            <v>0</v>
          </cell>
          <cell r="W153">
            <v>0</v>
          </cell>
          <cell r="X153">
            <v>0</v>
          </cell>
          <cell r="Y153">
            <v>0</v>
          </cell>
          <cell r="Z153">
            <v>0</v>
          </cell>
          <cell r="AA153">
            <v>0</v>
          </cell>
          <cell r="AB153">
            <v>0</v>
          </cell>
          <cell r="AC153">
            <v>0</v>
          </cell>
          <cell r="AD153">
            <v>0</v>
          </cell>
          <cell r="AE153">
            <v>0</v>
          </cell>
          <cell r="AF153">
            <v>0</v>
          </cell>
          <cell r="AG153">
            <v>0</v>
          </cell>
        </row>
        <row r="154">
          <cell r="B154" t="str">
            <v>Inventories</v>
          </cell>
          <cell r="D154">
            <v>-0.41599999999999998</v>
          </cell>
          <cell r="E154">
            <v>6.5290000000000008</v>
          </cell>
          <cell r="F154">
            <v>-2.1310000000000007</v>
          </cell>
          <cell r="G154">
            <v>-21.901</v>
          </cell>
          <cell r="H154">
            <v>-17.919</v>
          </cell>
          <cell r="I154">
            <v>9.734</v>
          </cell>
          <cell r="J154">
            <v>-7.7669999999999995</v>
          </cell>
          <cell r="K154">
            <v>-0.57600000000000051</v>
          </cell>
          <cell r="L154">
            <v>-23.741</v>
          </cell>
          <cell r="M154">
            <v>-22.35</v>
          </cell>
          <cell r="N154">
            <v>5.3869999999999996</v>
          </cell>
          <cell r="O154">
            <v>-19.808</v>
          </cell>
          <cell r="P154">
            <v>11.204000000000001</v>
          </cell>
          <cell r="Q154">
            <v>-28.972000000000001</v>
          </cell>
          <cell r="R154">
            <v>-32.189</v>
          </cell>
          <cell r="S154">
            <v>4.6059999999999999</v>
          </cell>
          <cell r="T154">
            <v>-3.19</v>
          </cell>
          <cell r="U154">
            <v>7.8919999999999995</v>
          </cell>
          <cell r="V154">
            <v>-17.492000000000001</v>
          </cell>
          <cell r="W154">
            <v>-8.1839999999999993</v>
          </cell>
          <cell r="X154">
            <v>13.904999999999999</v>
          </cell>
          <cell r="Y154">
            <v>-1.2009999999999987</v>
          </cell>
          <cell r="Z154">
            <v>-0.70000000000000107</v>
          </cell>
          <cell r="AA154">
            <v>-4.3539999999999992</v>
          </cell>
          <cell r="AB154">
            <v>7.65</v>
          </cell>
          <cell r="AC154">
            <v>-4.8239999999999998</v>
          </cell>
          <cell r="AD154">
            <v>-16.56789421430878</v>
          </cell>
          <cell r="AE154">
            <v>-6.816199642226394</v>
          </cell>
          <cell r="AF154">
            <v>-11.522859221992292</v>
          </cell>
          <cell r="AG154">
            <v>-39.730953078527463</v>
          </cell>
        </row>
        <row r="155">
          <cell r="B155" t="str">
            <v>Prepaid expenses and other current assets</v>
          </cell>
          <cell r="D155">
            <v>0</v>
          </cell>
          <cell r="E155">
            <v>0</v>
          </cell>
          <cell r="F155">
            <v>0</v>
          </cell>
          <cell r="G155">
            <v>3.7999999999999999E-2</v>
          </cell>
          <cell r="H155">
            <v>3.7999999999999999E-2</v>
          </cell>
          <cell r="I155">
            <v>0</v>
          </cell>
          <cell r="J155">
            <v>0</v>
          </cell>
          <cell r="K155">
            <v>0</v>
          </cell>
          <cell r="L155">
            <v>0</v>
          </cell>
          <cell r="M155">
            <v>0</v>
          </cell>
          <cell r="N155">
            <v>0</v>
          </cell>
          <cell r="O155">
            <v>0</v>
          </cell>
          <cell r="P155">
            <v>0</v>
          </cell>
          <cell r="Q155">
            <v>0</v>
          </cell>
          <cell r="R155">
            <v>0</v>
          </cell>
          <cell r="T155">
            <v>0</v>
          </cell>
          <cell r="U155">
            <v>0</v>
          </cell>
          <cell r="V155">
            <v>0</v>
          </cell>
          <cell r="W155">
            <v>0</v>
          </cell>
          <cell r="X155">
            <v>4.319</v>
          </cell>
          <cell r="Y155">
            <v>2.1790000000000003</v>
          </cell>
          <cell r="Z155">
            <v>5.8790000000000004</v>
          </cell>
          <cell r="AA155">
            <v>-12.376999999999999</v>
          </cell>
          <cell r="AB155">
            <v>0</v>
          </cell>
          <cell r="AC155">
            <v>0</v>
          </cell>
          <cell r="AD155">
            <v>0</v>
          </cell>
          <cell r="AE155">
            <v>0</v>
          </cell>
          <cell r="AF155">
            <v>0</v>
          </cell>
          <cell r="AG155">
            <v>0</v>
          </cell>
        </row>
        <row r="156">
          <cell r="B156" t="str">
            <v>Income taxes payable</v>
          </cell>
          <cell r="D156">
            <v>0</v>
          </cell>
          <cell r="E156">
            <v>0</v>
          </cell>
          <cell r="F156">
            <v>0</v>
          </cell>
          <cell r="G156">
            <v>0</v>
          </cell>
          <cell r="H156">
            <v>0</v>
          </cell>
          <cell r="I156">
            <v>0</v>
          </cell>
          <cell r="J156">
            <v>0</v>
          </cell>
          <cell r="K156">
            <v>0</v>
          </cell>
          <cell r="L156">
            <v>0</v>
          </cell>
          <cell r="M156">
            <v>0</v>
          </cell>
          <cell r="N156">
            <v>0</v>
          </cell>
          <cell r="O156">
            <v>0</v>
          </cell>
          <cell r="P156">
            <v>0</v>
          </cell>
          <cell r="Q156">
            <v>0</v>
          </cell>
          <cell r="R156">
            <v>0</v>
          </cell>
          <cell r="S156">
            <v>0</v>
          </cell>
          <cell r="T156">
            <v>0</v>
          </cell>
          <cell r="U156">
            <v>0</v>
          </cell>
          <cell r="V156">
            <v>0</v>
          </cell>
          <cell r="W156">
            <v>0</v>
          </cell>
          <cell r="X156">
            <v>0</v>
          </cell>
          <cell r="Y156">
            <v>0</v>
          </cell>
          <cell r="Z156">
            <v>0</v>
          </cell>
          <cell r="AA156">
            <v>0</v>
          </cell>
          <cell r="AB156">
            <v>0</v>
          </cell>
          <cell r="AC156">
            <v>0</v>
          </cell>
          <cell r="AD156">
            <v>0</v>
          </cell>
          <cell r="AE156">
            <v>0</v>
          </cell>
          <cell r="AF156">
            <v>0</v>
          </cell>
          <cell r="AG156">
            <v>0</v>
          </cell>
        </row>
        <row r="157">
          <cell r="B157" t="str">
            <v>Income taxes receivable</v>
          </cell>
          <cell r="D157">
            <v>0</v>
          </cell>
          <cell r="E157">
            <v>0</v>
          </cell>
          <cell r="F157">
            <v>0</v>
          </cell>
          <cell r="G157">
            <v>0</v>
          </cell>
          <cell r="H157">
            <v>0</v>
          </cell>
          <cell r="I157">
            <v>0</v>
          </cell>
          <cell r="J157">
            <v>0</v>
          </cell>
          <cell r="K157">
            <v>0</v>
          </cell>
          <cell r="L157">
            <v>0</v>
          </cell>
          <cell r="M157">
            <v>0</v>
          </cell>
          <cell r="N157">
            <v>0</v>
          </cell>
          <cell r="O157">
            <v>0</v>
          </cell>
          <cell r="P157">
            <v>0</v>
          </cell>
          <cell r="Q157">
            <v>0</v>
          </cell>
          <cell r="R157">
            <v>0</v>
          </cell>
          <cell r="S157">
            <v>0</v>
          </cell>
          <cell r="T157">
            <v>0</v>
          </cell>
          <cell r="U157">
            <v>0</v>
          </cell>
          <cell r="V157">
            <v>0</v>
          </cell>
          <cell r="W157">
            <v>0</v>
          </cell>
          <cell r="X157">
            <v>0</v>
          </cell>
          <cell r="Y157">
            <v>0</v>
          </cell>
          <cell r="Z157">
            <v>0</v>
          </cell>
          <cell r="AA157">
            <v>0</v>
          </cell>
          <cell r="AB157">
            <v>0</v>
          </cell>
          <cell r="AC157">
            <v>0</v>
          </cell>
          <cell r="AD157">
            <v>0</v>
          </cell>
          <cell r="AE157">
            <v>0</v>
          </cell>
          <cell r="AF157">
            <v>0</v>
          </cell>
          <cell r="AG157">
            <v>0</v>
          </cell>
        </row>
        <row r="158">
          <cell r="B158" t="str">
            <v>Accounts payable and accrued expenses</v>
          </cell>
          <cell r="D158">
            <v>4.7720000000000002</v>
          </cell>
          <cell r="E158">
            <v>5.2240000000000002</v>
          </cell>
          <cell r="F158">
            <v>0.68899999999999828</v>
          </cell>
          <cell r="G158">
            <v>12.674999999999999</v>
          </cell>
          <cell r="H158">
            <v>23.36</v>
          </cell>
          <cell r="I158">
            <v>-3.2480000000000002</v>
          </cell>
          <cell r="J158">
            <v>5.109</v>
          </cell>
          <cell r="K158">
            <v>2.7709999999999999</v>
          </cell>
          <cell r="L158">
            <v>23.044999999999998</v>
          </cell>
          <cell r="M158">
            <v>27.677</v>
          </cell>
          <cell r="N158">
            <v>-8.8109999999999999</v>
          </cell>
          <cell r="O158">
            <v>32.222000000000001</v>
          </cell>
          <cell r="P158">
            <v>-21.898000000000003</v>
          </cell>
          <cell r="Q158">
            <v>24.129000000000005</v>
          </cell>
          <cell r="R158">
            <v>25.641999999999999</v>
          </cell>
          <cell r="S158">
            <v>8.7110000000000003</v>
          </cell>
          <cell r="T158">
            <v>2.9409999999999989</v>
          </cell>
          <cell r="U158">
            <v>0.79800000000000004</v>
          </cell>
          <cell r="V158">
            <v>-5.68</v>
          </cell>
          <cell r="W158">
            <v>6.77</v>
          </cell>
          <cell r="X158">
            <v>0.34200000000000003</v>
          </cell>
          <cell r="Y158">
            <v>12.302999999999999</v>
          </cell>
          <cell r="Z158">
            <v>-3.762</v>
          </cell>
          <cell r="AA158">
            <v>4.8939999999999992</v>
          </cell>
          <cell r="AB158">
            <v>13.776999999999999</v>
          </cell>
          <cell r="AC158">
            <v>30.599</v>
          </cell>
          <cell r="AD158">
            <v>31.615296863053516</v>
          </cell>
          <cell r="AE158">
            <v>11.76494732767847</v>
          </cell>
          <cell r="AF158">
            <v>19.888770711931841</v>
          </cell>
          <cell r="AG158">
            <v>93.86801490266383</v>
          </cell>
        </row>
        <row r="159">
          <cell r="B159" t="str">
            <v>Total change in working capital</v>
          </cell>
          <cell r="D159">
            <v>1.4560000000000004</v>
          </cell>
          <cell r="E159">
            <v>4.5530000000000017</v>
          </cell>
          <cell r="F159">
            <v>-0.72900000000000365</v>
          </cell>
          <cell r="G159">
            <v>-15.922999999999996</v>
          </cell>
          <cell r="H159">
            <v>-10.643000000000001</v>
          </cell>
          <cell r="I159">
            <v>5.0529999999999999</v>
          </cell>
          <cell r="J159">
            <v>-10.004</v>
          </cell>
          <cell r="K159">
            <v>1.1620000000000001</v>
          </cell>
          <cell r="L159">
            <v>-5.7840000000000025</v>
          </cell>
          <cell r="M159">
            <v>-9.5730000000000004</v>
          </cell>
          <cell r="N159">
            <v>-21.451999999999998</v>
          </cell>
          <cell r="O159">
            <v>3.0620000000000012</v>
          </cell>
          <cell r="P159">
            <v>-20.103000000000005</v>
          </cell>
          <cell r="Q159">
            <v>-12.958999999999989</v>
          </cell>
          <cell r="R159">
            <v>-51.451999999999998</v>
          </cell>
          <cell r="S159">
            <v>6.8</v>
          </cell>
          <cell r="T159">
            <v>-2.8660000000000014</v>
          </cell>
          <cell r="U159">
            <v>-2.3089999999999993</v>
          </cell>
          <cell r="V159">
            <v>-13.754000000000001</v>
          </cell>
          <cell r="W159">
            <v>-12.129000000000001</v>
          </cell>
          <cell r="X159">
            <v>-2.1060000000000012</v>
          </cell>
          <cell r="Y159">
            <v>-7.9759999999999973</v>
          </cell>
          <cell r="Z159">
            <v>-9.9569999999999919</v>
          </cell>
          <cell r="AA159">
            <v>-22.931000000000008</v>
          </cell>
          <cell r="AB159">
            <v>-42.970000000000006</v>
          </cell>
          <cell r="AC159">
            <v>-18.392999999999997</v>
          </cell>
          <cell r="AD159">
            <v>-11.343555014313864</v>
          </cell>
          <cell r="AE159">
            <v>-5.8973382010372575</v>
          </cell>
          <cell r="AF159">
            <v>-4.5447365562393998</v>
          </cell>
          <cell r="AG159">
            <v>-40.178629771590522</v>
          </cell>
        </row>
        <row r="160">
          <cell r="B160" t="str">
            <v>Other</v>
          </cell>
          <cell r="D160">
            <v>0</v>
          </cell>
          <cell r="E160">
            <v>0</v>
          </cell>
          <cell r="F160">
            <v>0</v>
          </cell>
          <cell r="G160">
            <v>4.1180000000000003</v>
          </cell>
          <cell r="H160">
            <v>4.1180000000000003</v>
          </cell>
          <cell r="I160">
            <v>-7.29</v>
          </cell>
          <cell r="J160">
            <v>2.8520000000000003</v>
          </cell>
          <cell r="K160">
            <v>3.5369999999999999</v>
          </cell>
          <cell r="L160">
            <v>8.7729999999999997</v>
          </cell>
          <cell r="M160">
            <v>7.8719999999999999</v>
          </cell>
          <cell r="N160">
            <v>-4.8230000000000004</v>
          </cell>
          <cell r="O160">
            <v>-1.7889999999999997</v>
          </cell>
          <cell r="P160">
            <v>15.3</v>
          </cell>
          <cell r="Q160">
            <v>12.115</v>
          </cell>
          <cell r="R160">
            <v>20.803000000000001</v>
          </cell>
          <cell r="S160">
            <v>-20.37</v>
          </cell>
          <cell r="T160">
            <v>0.90900000000000247</v>
          </cell>
          <cell r="U160">
            <v>1.9009999999999998</v>
          </cell>
          <cell r="V160">
            <v>-5.703000000000003</v>
          </cell>
          <cell r="W160">
            <v>-23.263000000000002</v>
          </cell>
          <cell r="X160">
            <v>0</v>
          </cell>
          <cell r="Y160">
            <v>0</v>
          </cell>
          <cell r="Z160">
            <v>0</v>
          </cell>
          <cell r="AA160">
            <v>5.0860000000000003</v>
          </cell>
          <cell r="AB160">
            <v>5.0860000000000003</v>
          </cell>
          <cell r="AC160">
            <v>3.8679999999999999</v>
          </cell>
          <cell r="AD160">
            <v>0</v>
          </cell>
          <cell r="AE160">
            <v>0</v>
          </cell>
          <cell r="AF160">
            <v>0</v>
          </cell>
          <cell r="AG160">
            <v>3.8679999999999999</v>
          </cell>
        </row>
        <row r="161">
          <cell r="B161" t="str">
            <v>Cash from operations</v>
          </cell>
          <cell r="D161">
            <v>8.945999999999998</v>
          </cell>
          <cell r="E161">
            <v>12.119000000000012</v>
          </cell>
          <cell r="F161">
            <v>20.379999999999985</v>
          </cell>
          <cell r="G161">
            <v>-1.4739999999999931</v>
          </cell>
          <cell r="H161">
            <v>39.971000000000039</v>
          </cell>
          <cell r="I161">
            <v>16.183000000000018</v>
          </cell>
          <cell r="J161">
            <v>1.6940000000000097</v>
          </cell>
          <cell r="K161">
            <v>15.076999999999991</v>
          </cell>
          <cell r="L161">
            <v>12.484000000000076</v>
          </cell>
          <cell r="M161">
            <v>45.468000000000004</v>
          </cell>
          <cell r="N161">
            <v>-15.187000000000015</v>
          </cell>
          <cell r="O161">
            <v>13.688000000000015</v>
          </cell>
          <cell r="P161">
            <v>8.33900000000002</v>
          </cell>
          <cell r="Q161">
            <v>12.793000000000131</v>
          </cell>
          <cell r="R161">
            <v>19.663000000000043</v>
          </cell>
          <cell r="S161">
            <v>1.5869999999999642</v>
          </cell>
          <cell r="T161">
            <v>11.281999999999993</v>
          </cell>
          <cell r="U161">
            <v>14.001000000000014</v>
          </cell>
          <cell r="V161">
            <v>1.4239999999998574</v>
          </cell>
          <cell r="W161">
            <v>28.29399999999983</v>
          </cell>
          <cell r="X161">
            <v>12.674999999999974</v>
          </cell>
          <cell r="Y161">
            <v>6.8820000000000263</v>
          </cell>
          <cell r="Z161">
            <v>29.056000000000004</v>
          </cell>
          <cell r="AA161">
            <v>-24.397999999999989</v>
          </cell>
          <cell r="AB161">
            <v>24.215000000000011</v>
          </cell>
          <cell r="AC161">
            <v>-2.0130000000000181</v>
          </cell>
          <cell r="AD161">
            <v>4.5208215319095828</v>
          </cell>
          <cell r="AE161">
            <v>12.129596068204798</v>
          </cell>
          <cell r="AF161">
            <v>16.13889977807445</v>
          </cell>
          <cell r="AG161">
            <v>30.776317378188811</v>
          </cell>
        </row>
        <row r="163">
          <cell r="B163" t="str">
            <v>Sales, net of purchases, of marketable securities</v>
          </cell>
          <cell r="D163">
            <v>7.8719999999999999</v>
          </cell>
          <cell r="E163">
            <v>-44.287999999999997</v>
          </cell>
          <cell r="F163">
            <v>24.544999999999995</v>
          </cell>
          <cell r="G163">
            <v>-9.9039999999999964</v>
          </cell>
          <cell r="H163">
            <v>-21.774999999999999</v>
          </cell>
          <cell r="I163">
            <v>7.3179999999999996</v>
          </cell>
          <cell r="J163">
            <v>-4.302999999999999</v>
          </cell>
          <cell r="K163">
            <v>-17.25</v>
          </cell>
          <cell r="L163">
            <v>-1.3610000000000007</v>
          </cell>
          <cell r="M163">
            <v>-15.596</v>
          </cell>
          <cell r="N163">
            <v>32.923000000000002</v>
          </cell>
          <cell r="O163">
            <v>-0.34700000000000131</v>
          </cell>
          <cell r="P163">
            <v>22.923999999999999</v>
          </cell>
          <cell r="R163">
            <v>47.829000000000001</v>
          </cell>
          <cell r="S163">
            <v>20.52</v>
          </cell>
          <cell r="T163">
            <v>2.2850000000000001</v>
          </cell>
          <cell r="U163">
            <v>-7.1430000000000007</v>
          </cell>
          <cell r="V163">
            <v>15.358000000000001</v>
          </cell>
          <cell r="W163">
            <v>31.02</v>
          </cell>
          <cell r="X163">
            <v>4.7290000000000001</v>
          </cell>
          <cell r="Y163">
            <v>2.2850000000000001</v>
          </cell>
          <cell r="Z163">
            <v>-1.426000000000001</v>
          </cell>
          <cell r="AA163">
            <v>-7.5599999999999987</v>
          </cell>
          <cell r="AB163">
            <v>-1.972</v>
          </cell>
          <cell r="AC163">
            <v>7.55</v>
          </cell>
        </row>
        <row r="164">
          <cell r="B164" t="str">
            <v>PP&amp;E (and capitalized software expenditures)</v>
          </cell>
          <cell r="D164">
            <v>-0.41</v>
          </cell>
          <cell r="E164">
            <v>-1.1320000000000001</v>
          </cell>
          <cell r="F164">
            <v>-0.33099999999999991</v>
          </cell>
          <cell r="G164">
            <v>-0.40299999999999975</v>
          </cell>
          <cell r="H164">
            <v>-2.2759999999999998</v>
          </cell>
          <cell r="I164">
            <v>-0.121</v>
          </cell>
          <cell r="J164">
            <v>-0.74</v>
          </cell>
          <cell r="K164">
            <v>-2.863</v>
          </cell>
          <cell r="L164">
            <v>-3.722</v>
          </cell>
          <cell r="M164">
            <v>-7.4459999999999997</v>
          </cell>
          <cell r="N164">
            <v>-1.849</v>
          </cell>
          <cell r="O164">
            <v>-1.9139999999999999</v>
          </cell>
          <cell r="P164">
            <v>-2.149</v>
          </cell>
          <cell r="Q164">
            <v>-3.0680000000000005</v>
          </cell>
          <cell r="R164">
            <v>-8.98</v>
          </cell>
          <cell r="S164">
            <v>-2.4540000000000002</v>
          </cell>
          <cell r="T164">
            <v>-6.0350000000000001</v>
          </cell>
          <cell r="U164">
            <v>-3.0989999999999989</v>
          </cell>
          <cell r="V164">
            <v>-6.5359999999999996</v>
          </cell>
          <cell r="W164">
            <v>-18.123999999999999</v>
          </cell>
          <cell r="X164">
            <v>-2.7679999999999998</v>
          </cell>
          <cell r="Y164">
            <v>-3.16</v>
          </cell>
          <cell r="Z164">
            <v>-5.319</v>
          </cell>
          <cell r="AA164">
            <v>-6.8690000000000007</v>
          </cell>
          <cell r="AB164">
            <v>-18.116</v>
          </cell>
          <cell r="AC164">
            <v>-19.856999999999999</v>
          </cell>
          <cell r="AD164">
            <v>-2.3810000000000002</v>
          </cell>
          <cell r="AE164">
            <v>-2.3810000000000002</v>
          </cell>
          <cell r="AF164">
            <v>-2.3810000000000002</v>
          </cell>
          <cell r="AG164">
            <v>-27</v>
          </cell>
        </row>
        <row r="165">
          <cell r="B165" t="str">
            <v>Acquisitions</v>
          </cell>
          <cell r="D165">
            <v>0</v>
          </cell>
          <cell r="E165">
            <v>0</v>
          </cell>
          <cell r="F165">
            <v>0</v>
          </cell>
          <cell r="G165">
            <v>0</v>
          </cell>
          <cell r="H165">
            <v>0</v>
          </cell>
          <cell r="I165">
            <v>-11.513</v>
          </cell>
          <cell r="J165">
            <v>-17.381999999999998</v>
          </cell>
          <cell r="K165">
            <v>0</v>
          </cell>
          <cell r="L165">
            <v>-7.7159999999999993</v>
          </cell>
          <cell r="M165">
            <v>-36.610999999999997</v>
          </cell>
          <cell r="N165">
            <v>-19.213000000000001</v>
          </cell>
          <cell r="O165">
            <v>-7.1140000000000008</v>
          </cell>
          <cell r="P165">
            <v>-6.5539999999999985</v>
          </cell>
          <cell r="Q165">
            <v>-1.5000000000000568E-2</v>
          </cell>
          <cell r="R165">
            <v>-32.896000000000001</v>
          </cell>
          <cell r="S165">
            <v>0</v>
          </cell>
          <cell r="T165">
            <v>-8.0280000000000005</v>
          </cell>
          <cell r="U165">
            <v>-7.1980000000000004</v>
          </cell>
          <cell r="V165">
            <v>-8.1059999999999999</v>
          </cell>
          <cell r="W165">
            <v>-23.332000000000001</v>
          </cell>
          <cell r="X165">
            <v>-5.7960000000000003</v>
          </cell>
          <cell r="Y165">
            <v>-8.870000000000001</v>
          </cell>
          <cell r="Z165">
            <v>-35.431000000000004</v>
          </cell>
          <cell r="AA165">
            <v>10.449000000000002</v>
          </cell>
          <cell r="AB165">
            <v>-39.648000000000003</v>
          </cell>
          <cell r="AC165">
            <v>-2.6</v>
          </cell>
          <cell r="AD165">
            <v>-20</v>
          </cell>
          <cell r="AE165">
            <v>-5</v>
          </cell>
          <cell r="AF165">
            <v>0</v>
          </cell>
          <cell r="AG165">
            <v>-27.6</v>
          </cell>
        </row>
        <row r="166">
          <cell r="B166" t="str">
            <v>Other</v>
          </cell>
          <cell r="D166">
            <v>0.46899999999999997</v>
          </cell>
          <cell r="E166">
            <v>-2.0190000000000001</v>
          </cell>
          <cell r="F166">
            <v>0</v>
          </cell>
          <cell r="G166">
            <v>0</v>
          </cell>
          <cell r="H166">
            <v>-1.55</v>
          </cell>
          <cell r="I166">
            <v>0</v>
          </cell>
          <cell r="J166">
            <v>-0.113</v>
          </cell>
          <cell r="K166">
            <v>-8.9999999999999941E-3</v>
          </cell>
          <cell r="L166">
            <v>-7.3779999999999992</v>
          </cell>
          <cell r="M166">
            <v>-7.5</v>
          </cell>
          <cell r="N166">
            <v>-1.2250000000000001</v>
          </cell>
          <cell r="O166">
            <v>0</v>
          </cell>
          <cell r="P166">
            <v>-7.4239999999999995</v>
          </cell>
          <cell r="Q166">
            <v>-3.2209999999999996</v>
          </cell>
          <cell r="R166">
            <v>-11.87</v>
          </cell>
          <cell r="S166">
            <v>0</v>
          </cell>
          <cell r="T166">
            <v>4.4649999999999999</v>
          </cell>
          <cell r="U166">
            <v>-1.3899999999999997</v>
          </cell>
          <cell r="V166">
            <v>-3.101</v>
          </cell>
          <cell r="W166">
            <v>-2.6000000000000023E-2</v>
          </cell>
          <cell r="X166">
            <v>0</v>
          </cell>
          <cell r="Y166">
            <v>-15</v>
          </cell>
          <cell r="Z166">
            <v>0</v>
          </cell>
          <cell r="AA166">
            <v>-2.9170000000000016</v>
          </cell>
          <cell r="AB166">
            <v>-17.917000000000002</v>
          </cell>
          <cell r="AC166">
            <v>-0.11799999999999999</v>
          </cell>
          <cell r="AD166">
            <v>0</v>
          </cell>
          <cell r="AE166">
            <v>0</v>
          </cell>
          <cell r="AF166">
            <v>0</v>
          </cell>
          <cell r="AG166">
            <v>-0.11799999999999999</v>
          </cell>
        </row>
        <row r="167">
          <cell r="B167" t="str">
            <v>Cash from investing</v>
          </cell>
          <cell r="D167">
            <v>7.931</v>
          </cell>
          <cell r="E167">
            <v>-47.438999999999993</v>
          </cell>
          <cell r="F167">
            <v>24.213999999999995</v>
          </cell>
          <cell r="G167">
            <v>-10.306999999999997</v>
          </cell>
          <cell r="H167">
            <v>-25.600999999999999</v>
          </cell>
          <cell r="I167">
            <v>-4.3160000000000007</v>
          </cell>
          <cell r="J167">
            <v>-22.537999999999997</v>
          </cell>
          <cell r="K167">
            <v>-20.122</v>
          </cell>
          <cell r="L167">
            <v>-20.177</v>
          </cell>
          <cell r="M167">
            <v>-67.152999999999992</v>
          </cell>
          <cell r="N167">
            <v>10.636000000000001</v>
          </cell>
          <cell r="O167">
            <v>-9.3750000000000018</v>
          </cell>
          <cell r="P167">
            <v>6.7970000000000006</v>
          </cell>
          <cell r="Q167">
            <v>-6.3040000000000003</v>
          </cell>
          <cell r="R167">
            <v>-5.9169999999999963</v>
          </cell>
          <cell r="S167">
            <v>18.065999999999999</v>
          </cell>
          <cell r="T167">
            <v>-7.3130000000000006</v>
          </cell>
          <cell r="U167">
            <v>-18.829999999999998</v>
          </cell>
          <cell r="V167">
            <v>-2.3849999999999989</v>
          </cell>
          <cell r="W167">
            <v>-10.462</v>
          </cell>
          <cell r="X167">
            <v>-3.835</v>
          </cell>
          <cell r="Y167">
            <v>-24.745000000000001</v>
          </cell>
          <cell r="Z167">
            <v>-42.176000000000002</v>
          </cell>
          <cell r="AA167">
            <v>-6.8969999999999985</v>
          </cell>
          <cell r="AB167">
            <v>-77.653000000000006</v>
          </cell>
          <cell r="AC167">
            <v>-15.024999999999999</v>
          </cell>
          <cell r="AD167">
            <v>-22.381</v>
          </cell>
          <cell r="AE167">
            <v>-7.3810000000000002</v>
          </cell>
          <cell r="AF167">
            <v>-2.3810000000000002</v>
          </cell>
          <cell r="AG167">
            <v>-54.718000000000004</v>
          </cell>
        </row>
        <row r="169">
          <cell r="B169" t="str">
            <v>Proceeds from stock option exercises</v>
          </cell>
          <cell r="D169">
            <v>9.0530000000000008</v>
          </cell>
          <cell r="E169">
            <v>13.753</v>
          </cell>
          <cell r="F169">
            <v>-12.226000000000001</v>
          </cell>
          <cell r="G169">
            <v>0.45899999999999963</v>
          </cell>
          <cell r="H169">
            <v>11.039</v>
          </cell>
          <cell r="I169">
            <v>6.819</v>
          </cell>
          <cell r="J169">
            <v>0.91100000000000048</v>
          </cell>
          <cell r="K169">
            <v>0.33199999999999896</v>
          </cell>
          <cell r="L169">
            <v>0.36300000000000132</v>
          </cell>
          <cell r="M169">
            <v>8.4250000000000007</v>
          </cell>
          <cell r="N169">
            <v>1.8979999999999999</v>
          </cell>
          <cell r="O169">
            <v>0.53</v>
          </cell>
          <cell r="P169">
            <v>1.0369999999999997</v>
          </cell>
          <cell r="Q169">
            <v>0.25100000000000011</v>
          </cell>
          <cell r="R169">
            <v>3.7160000000000002</v>
          </cell>
          <cell r="S169">
            <v>0.74099999999999999</v>
          </cell>
          <cell r="T169">
            <v>0.27700000000000002</v>
          </cell>
          <cell r="U169">
            <v>0.51600000000000013</v>
          </cell>
          <cell r="V169">
            <v>0.67499999999999993</v>
          </cell>
          <cell r="W169">
            <v>2.2090000000000001</v>
          </cell>
          <cell r="X169">
            <v>0.46800000000000003</v>
          </cell>
          <cell r="Y169">
            <v>1.699999999999996E-2</v>
          </cell>
          <cell r="Z169">
            <v>0.38699999999999996</v>
          </cell>
          <cell r="AA169">
            <v>0.51400000000000001</v>
          </cell>
          <cell r="AB169">
            <v>1.3859999999999999</v>
          </cell>
          <cell r="AC169">
            <v>1.9319999999999999</v>
          </cell>
          <cell r="AD169">
            <v>0</v>
          </cell>
          <cell r="AE169">
            <v>0</v>
          </cell>
          <cell r="AF169">
            <v>0</v>
          </cell>
          <cell r="AG169">
            <v>1.9319999999999999</v>
          </cell>
        </row>
        <row r="170">
          <cell r="B170" t="str">
            <v>Joint venture contribution</v>
          </cell>
          <cell r="D170">
            <v>0</v>
          </cell>
          <cell r="E170">
            <v>0</v>
          </cell>
          <cell r="F170">
            <v>0</v>
          </cell>
          <cell r="G170">
            <v>0</v>
          </cell>
          <cell r="H170">
            <v>0</v>
          </cell>
          <cell r="I170">
            <v>0</v>
          </cell>
          <cell r="J170">
            <v>0</v>
          </cell>
          <cell r="K170">
            <v>0</v>
          </cell>
          <cell r="L170">
            <v>0</v>
          </cell>
          <cell r="M170">
            <v>0</v>
          </cell>
          <cell r="N170">
            <v>0</v>
          </cell>
          <cell r="O170">
            <v>0</v>
          </cell>
          <cell r="P170">
            <v>0</v>
          </cell>
          <cell r="Q170">
            <v>0</v>
          </cell>
          <cell r="R170">
            <v>0</v>
          </cell>
          <cell r="S170">
            <v>0</v>
          </cell>
          <cell r="T170">
            <v>0</v>
          </cell>
          <cell r="U170">
            <v>0</v>
          </cell>
          <cell r="V170">
            <v>0</v>
          </cell>
          <cell r="W170">
            <v>0</v>
          </cell>
          <cell r="X170">
            <v>0</v>
          </cell>
          <cell r="Y170">
            <v>0</v>
          </cell>
          <cell r="Z170">
            <v>23</v>
          </cell>
          <cell r="AA170">
            <v>0</v>
          </cell>
          <cell r="AB170">
            <v>23</v>
          </cell>
          <cell r="AC170">
            <v>0</v>
          </cell>
          <cell r="AD170">
            <v>0</v>
          </cell>
          <cell r="AE170">
            <v>0</v>
          </cell>
          <cell r="AF170">
            <v>0</v>
          </cell>
          <cell r="AG170">
            <v>0</v>
          </cell>
        </row>
        <row r="171">
          <cell r="B171" t="str">
            <v>Proceeds from ESPP</v>
          </cell>
          <cell r="D171">
            <v>0</v>
          </cell>
          <cell r="E171">
            <v>0</v>
          </cell>
          <cell r="F171">
            <v>0</v>
          </cell>
          <cell r="G171">
            <v>0</v>
          </cell>
          <cell r="H171">
            <v>0</v>
          </cell>
          <cell r="I171">
            <v>0</v>
          </cell>
          <cell r="J171">
            <v>0</v>
          </cell>
          <cell r="K171">
            <v>0</v>
          </cell>
          <cell r="L171">
            <v>0</v>
          </cell>
          <cell r="M171">
            <v>0</v>
          </cell>
          <cell r="N171">
            <v>0</v>
          </cell>
          <cell r="O171">
            <v>0</v>
          </cell>
          <cell r="P171">
            <v>0</v>
          </cell>
          <cell r="Q171">
            <v>0</v>
          </cell>
          <cell r="R171">
            <v>0</v>
          </cell>
          <cell r="S171">
            <v>0</v>
          </cell>
          <cell r="T171">
            <v>0</v>
          </cell>
          <cell r="U171">
            <v>0</v>
          </cell>
          <cell r="V171">
            <v>0</v>
          </cell>
          <cell r="W171">
            <v>0</v>
          </cell>
          <cell r="X171">
            <v>7.4999999999999997E-2</v>
          </cell>
          <cell r="Y171">
            <v>8.1000000000000003E-2</v>
          </cell>
          <cell r="Z171">
            <v>9.6999999999999989E-2</v>
          </cell>
          <cell r="AA171">
            <v>-9.9999999999997313E-4</v>
          </cell>
          <cell r="AB171">
            <v>0.252</v>
          </cell>
          <cell r="AC171">
            <v>0.154</v>
          </cell>
          <cell r="AD171">
            <v>0</v>
          </cell>
          <cell r="AE171">
            <v>0</v>
          </cell>
          <cell r="AF171">
            <v>0</v>
          </cell>
          <cell r="AG171">
            <v>0.154</v>
          </cell>
        </row>
        <row r="172">
          <cell r="B172" t="str">
            <v>Proceeds from line of credit</v>
          </cell>
          <cell r="D172">
            <v>0</v>
          </cell>
          <cell r="E172">
            <v>0</v>
          </cell>
          <cell r="F172">
            <v>0</v>
          </cell>
          <cell r="G172">
            <v>0</v>
          </cell>
          <cell r="H172">
            <v>0</v>
          </cell>
          <cell r="I172">
            <v>0</v>
          </cell>
          <cell r="J172">
            <v>0</v>
          </cell>
          <cell r="K172">
            <v>0</v>
          </cell>
          <cell r="L172">
            <v>0</v>
          </cell>
          <cell r="M172">
            <v>0</v>
          </cell>
          <cell r="N172">
            <v>0</v>
          </cell>
          <cell r="O172">
            <v>0</v>
          </cell>
          <cell r="P172">
            <v>0</v>
          </cell>
          <cell r="Q172">
            <v>0</v>
          </cell>
          <cell r="R172">
            <v>0</v>
          </cell>
          <cell r="S172">
            <v>0</v>
          </cell>
          <cell r="T172">
            <v>0</v>
          </cell>
          <cell r="U172">
            <v>0</v>
          </cell>
          <cell r="V172">
            <v>0</v>
          </cell>
          <cell r="W172">
            <v>0</v>
          </cell>
          <cell r="X172">
            <v>0</v>
          </cell>
          <cell r="Y172">
            <v>5.0060000000000002</v>
          </cell>
          <cell r="Z172">
            <v>40.268000000000001</v>
          </cell>
          <cell r="AA172">
            <v>20.016000000000005</v>
          </cell>
          <cell r="AB172">
            <v>65.290000000000006</v>
          </cell>
          <cell r="AC172">
            <v>20.079000000000001</v>
          </cell>
          <cell r="AD172">
            <v>0</v>
          </cell>
          <cell r="AE172">
            <v>0</v>
          </cell>
          <cell r="AF172">
            <v>0</v>
          </cell>
          <cell r="AG172">
            <v>20.079000000000001</v>
          </cell>
        </row>
        <row r="173">
          <cell r="B173" t="str">
            <v>Payment of proceeds from notes payable and LOC</v>
          </cell>
          <cell r="D173">
            <v>0</v>
          </cell>
          <cell r="E173">
            <v>0</v>
          </cell>
          <cell r="F173">
            <v>0</v>
          </cell>
          <cell r="G173">
            <v>0</v>
          </cell>
          <cell r="H173">
            <v>0</v>
          </cell>
          <cell r="M173">
            <v>0</v>
          </cell>
          <cell r="R173">
            <v>0</v>
          </cell>
          <cell r="S173">
            <v>0</v>
          </cell>
          <cell r="T173">
            <v>0</v>
          </cell>
          <cell r="U173">
            <v>0</v>
          </cell>
          <cell r="V173">
            <v>0</v>
          </cell>
          <cell r="W173">
            <v>0</v>
          </cell>
          <cell r="X173">
            <v>0</v>
          </cell>
          <cell r="Y173">
            <v>0</v>
          </cell>
          <cell r="Z173">
            <v>0</v>
          </cell>
          <cell r="AA173">
            <v>-37.421999999999997</v>
          </cell>
          <cell r="AB173">
            <v>-37.421999999999997</v>
          </cell>
          <cell r="AC173">
            <v>-15</v>
          </cell>
          <cell r="AD173">
            <v>-5.0790000000000006</v>
          </cell>
          <cell r="AE173">
            <v>0</v>
          </cell>
          <cell r="AF173">
            <v>0</v>
          </cell>
          <cell r="AG173">
            <v>-20.079000000000001</v>
          </cell>
        </row>
        <row r="174">
          <cell r="B174" t="str">
            <v>Payments for purchase of treasury stock</v>
          </cell>
          <cell r="D174">
            <v>-0.39800000000000002</v>
          </cell>
          <cell r="E174">
            <v>0</v>
          </cell>
          <cell r="F174">
            <v>0</v>
          </cell>
          <cell r="G174">
            <v>-3.7999999999999978E-2</v>
          </cell>
          <cell r="H174">
            <v>-0.436</v>
          </cell>
          <cell r="I174">
            <v>-0.36499999999999999</v>
          </cell>
          <cell r="J174">
            <v>0</v>
          </cell>
          <cell r="K174">
            <v>0</v>
          </cell>
          <cell r="L174">
            <v>-3.6739999999999995</v>
          </cell>
          <cell r="M174">
            <v>-4.0389999999999997</v>
          </cell>
          <cell r="N174">
            <v>0</v>
          </cell>
          <cell r="O174">
            <v>0</v>
          </cell>
          <cell r="P174">
            <v>-13.19</v>
          </cell>
          <cell r="Q174">
            <v>9.9999999999944578E-4</v>
          </cell>
          <cell r="R174">
            <v>-13.189</v>
          </cell>
          <cell r="S174">
            <v>0</v>
          </cell>
          <cell r="T174">
            <v>-3.4340000000000002</v>
          </cell>
          <cell r="U174">
            <v>-6.8359999999999994</v>
          </cell>
          <cell r="V174">
            <v>-1.0830000000000002</v>
          </cell>
          <cell r="W174">
            <v>-11.353</v>
          </cell>
          <cell r="X174">
            <v>-1.157</v>
          </cell>
          <cell r="Y174">
            <v>0</v>
          </cell>
          <cell r="Z174">
            <v>0</v>
          </cell>
          <cell r="AA174">
            <v>-0.16500000000000004</v>
          </cell>
          <cell r="AB174">
            <v>-1.3220000000000001</v>
          </cell>
          <cell r="AC174">
            <v>0</v>
          </cell>
          <cell r="AD174">
            <v>0</v>
          </cell>
          <cell r="AE174">
            <v>0</v>
          </cell>
          <cell r="AF174">
            <v>0</v>
          </cell>
          <cell r="AG174">
            <v>0</v>
          </cell>
        </row>
        <row r="175">
          <cell r="B175" t="str">
            <v>Distributions to minority interest partner</v>
          </cell>
          <cell r="D175">
            <v>0</v>
          </cell>
          <cell r="E175">
            <v>0</v>
          </cell>
          <cell r="F175">
            <v>0</v>
          </cell>
          <cell r="G175">
            <v>0</v>
          </cell>
          <cell r="H175">
            <v>0</v>
          </cell>
          <cell r="I175">
            <v>0</v>
          </cell>
          <cell r="J175">
            <v>0</v>
          </cell>
          <cell r="K175">
            <v>0</v>
          </cell>
          <cell r="L175">
            <v>0</v>
          </cell>
          <cell r="M175">
            <v>0</v>
          </cell>
          <cell r="N175">
            <v>0</v>
          </cell>
          <cell r="O175">
            <v>0</v>
          </cell>
          <cell r="P175">
            <v>0</v>
          </cell>
          <cell r="Q175">
            <v>0</v>
          </cell>
          <cell r="R175">
            <v>0</v>
          </cell>
          <cell r="S175">
            <v>0</v>
          </cell>
          <cell r="T175">
            <v>0</v>
          </cell>
          <cell r="U175">
            <v>0</v>
          </cell>
          <cell r="V175">
            <v>0</v>
          </cell>
          <cell r="W175">
            <v>0</v>
          </cell>
          <cell r="X175">
            <v>0</v>
          </cell>
          <cell r="Y175">
            <v>0</v>
          </cell>
          <cell r="Z175">
            <v>0</v>
          </cell>
          <cell r="AA175">
            <v>0</v>
          </cell>
          <cell r="AB175">
            <v>0</v>
          </cell>
          <cell r="AC175">
            <v>0</v>
          </cell>
          <cell r="AD175">
            <v>0</v>
          </cell>
          <cell r="AE175">
            <v>0</v>
          </cell>
          <cell r="AF175">
            <v>0</v>
          </cell>
          <cell r="AG175">
            <v>0</v>
          </cell>
        </row>
        <row r="176">
          <cell r="B176" t="str">
            <v>Other</v>
          </cell>
          <cell r="D176">
            <v>0</v>
          </cell>
          <cell r="E176">
            <v>0</v>
          </cell>
          <cell r="F176">
            <v>0</v>
          </cell>
          <cell r="G176">
            <v>0</v>
          </cell>
          <cell r="H176">
            <v>0</v>
          </cell>
          <cell r="I176">
            <v>0</v>
          </cell>
          <cell r="J176">
            <v>0</v>
          </cell>
          <cell r="K176">
            <v>0</v>
          </cell>
          <cell r="L176">
            <v>0</v>
          </cell>
          <cell r="M176">
            <v>0</v>
          </cell>
          <cell r="N176">
            <v>0</v>
          </cell>
          <cell r="O176">
            <v>0</v>
          </cell>
          <cell r="P176">
            <v>0</v>
          </cell>
          <cell r="Q176">
            <v>0</v>
          </cell>
          <cell r="R176">
            <v>0</v>
          </cell>
          <cell r="S176">
            <v>0</v>
          </cell>
          <cell r="T176">
            <v>0</v>
          </cell>
          <cell r="U176">
            <v>0</v>
          </cell>
          <cell r="V176">
            <v>0</v>
          </cell>
          <cell r="W176">
            <v>0</v>
          </cell>
          <cell r="X176">
            <v>0</v>
          </cell>
          <cell r="Y176">
            <v>0</v>
          </cell>
          <cell r="Z176">
            <v>0</v>
          </cell>
          <cell r="AA176">
            <v>0</v>
          </cell>
          <cell r="AB176">
            <v>0</v>
          </cell>
          <cell r="AC176">
            <v>0</v>
          </cell>
          <cell r="AD176">
            <v>0</v>
          </cell>
          <cell r="AE176">
            <v>0</v>
          </cell>
          <cell r="AF176">
            <v>0</v>
          </cell>
          <cell r="AG176">
            <v>0</v>
          </cell>
        </row>
        <row r="177">
          <cell r="B177" t="str">
            <v>Cash from financing</v>
          </cell>
          <cell r="D177">
            <v>8.6550000000000011</v>
          </cell>
          <cell r="E177">
            <v>13.753</v>
          </cell>
          <cell r="F177">
            <v>-12.226000000000001</v>
          </cell>
          <cell r="G177">
            <v>0.42099999999999937</v>
          </cell>
          <cell r="H177">
            <v>10.603</v>
          </cell>
          <cell r="I177">
            <v>6.4539999999999997</v>
          </cell>
          <cell r="J177">
            <v>0.91100000000000048</v>
          </cell>
          <cell r="K177">
            <v>0.33199999999999896</v>
          </cell>
          <cell r="L177">
            <v>-3.3109999999999982</v>
          </cell>
          <cell r="M177">
            <v>4.386000000000001</v>
          </cell>
          <cell r="N177">
            <v>1.8979999999999999</v>
          </cell>
          <cell r="O177">
            <v>0.53</v>
          </cell>
          <cell r="P177">
            <v>-12.153</v>
          </cell>
          <cell r="Q177">
            <v>0.25199999999999956</v>
          </cell>
          <cell r="R177">
            <v>-9.472999999999999</v>
          </cell>
          <cell r="S177">
            <v>0.74099999999999999</v>
          </cell>
          <cell r="T177">
            <v>-3.157</v>
          </cell>
          <cell r="U177">
            <v>-6.3199999999999994</v>
          </cell>
          <cell r="V177">
            <v>-0.40800000000000025</v>
          </cell>
          <cell r="W177">
            <v>-9.1440000000000001</v>
          </cell>
          <cell r="X177">
            <v>-0.61399999999999999</v>
          </cell>
          <cell r="Y177">
            <v>5.1040000000000001</v>
          </cell>
          <cell r="Z177">
            <v>63.752000000000002</v>
          </cell>
          <cell r="AA177">
            <v>-17.057999999999989</v>
          </cell>
          <cell r="AB177">
            <v>51.183999999999997</v>
          </cell>
          <cell r="AC177">
            <v>7.1649999999999991</v>
          </cell>
          <cell r="AD177">
            <v>-5.0790000000000006</v>
          </cell>
          <cell r="AE177">
            <v>0</v>
          </cell>
          <cell r="AF177">
            <v>0</v>
          </cell>
          <cell r="AG177">
            <v>2.0859999999999985</v>
          </cell>
        </row>
        <row r="179">
          <cell r="B179" t="str">
            <v>Net Increase (Decrease) in Cash and Cash Equivalents</v>
          </cell>
          <cell r="D179">
            <v>25.532</v>
          </cell>
          <cell r="E179">
            <v>-21.566999999999979</v>
          </cell>
          <cell r="F179">
            <v>32.367999999999981</v>
          </cell>
          <cell r="G179">
            <v>-11.359999999999991</v>
          </cell>
          <cell r="H179">
            <v>24.973000000000042</v>
          </cell>
          <cell r="I179">
            <v>18.321000000000016</v>
          </cell>
          <cell r="J179">
            <v>-19.932999999999986</v>
          </cell>
          <cell r="K179">
            <v>-4.7130000000000098</v>
          </cell>
          <cell r="L179">
            <v>-11.003999999999921</v>
          </cell>
          <cell r="M179">
            <v>-17.298999999999985</v>
          </cell>
          <cell r="N179">
            <v>-2.6530000000000147</v>
          </cell>
          <cell r="O179">
            <v>4.8430000000000133</v>
          </cell>
          <cell r="P179">
            <v>2.9830000000000201</v>
          </cell>
          <cell r="Q179">
            <v>6.7410000000001302</v>
          </cell>
          <cell r="R179">
            <v>4.2730000000000476</v>
          </cell>
          <cell r="S179">
            <v>20.393999999999963</v>
          </cell>
          <cell r="T179">
            <v>0.81199999999999228</v>
          </cell>
          <cell r="U179">
            <v>-11.148999999999983</v>
          </cell>
          <cell r="V179">
            <v>-1.3690000000001419</v>
          </cell>
          <cell r="W179">
            <v>8.6879999999998301</v>
          </cell>
          <cell r="X179">
            <v>8.2259999999999742</v>
          </cell>
          <cell r="Y179">
            <v>-12.758999999999975</v>
          </cell>
          <cell r="Z179">
            <v>50.632000000000005</v>
          </cell>
          <cell r="AA179">
            <v>-48.35299999999998</v>
          </cell>
          <cell r="AB179">
            <v>-2.2539999999999978</v>
          </cell>
          <cell r="AC179">
            <v>-9.8730000000000189</v>
          </cell>
          <cell r="AD179">
            <v>-22.939178468090418</v>
          </cell>
          <cell r="AE179">
            <v>4.7485960682047974</v>
          </cell>
          <cell r="AF179">
            <v>13.757899778074449</v>
          </cell>
          <cell r="AG179">
            <v>-21.855682621811194</v>
          </cell>
        </row>
        <row r="180">
          <cell r="B180" t="str">
            <v>Source: Company reports and UBS</v>
          </cell>
        </row>
      </sheetData>
      <sheetData sheetId="2"/>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mportantDisclosures"/>
      <sheetName val="CircularReferenceAlert"/>
      <sheetName val="Cover"/>
      <sheetName val="IS"/>
      <sheetName val="BS and CFS"/>
      <sheetName val="Guidance"/>
      <sheetName val="PBM"/>
      <sheetName val="Retail"/>
      <sheetName val="OCR"/>
      <sheetName val="Debt"/>
      <sheetName val="Key Inputs and Scenarios"/>
      <sheetName val="MW-Cache"/>
      <sheetName val="Leases"/>
      <sheetName val="IndexInformation"/>
      <sheetName val="ModPubIndex"/>
      <sheetName val="Variance"/>
      <sheetName val="Valuations"/>
      <sheetName val="RNOA"/>
      <sheetName val="SheetVisibilityStatus"/>
      <sheetName val="CVS.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row r="1">
          <cell r="I1">
            <v>2.6198718948576971</v>
          </cell>
        </row>
        <row r="211">
          <cell r="C211" t="str">
            <v>OCR INPUTS CURRENTLY IN MODEL</v>
          </cell>
        </row>
      </sheetData>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__FDSCACHE__"/>
      <sheetName val="COVER SHEET"/>
      <sheetName val="MW-Cache"/>
      <sheetName val="consensus"/>
      <sheetName val="DCF"/>
      <sheetName val="IS-ANNUAL"/>
      <sheetName val="CFBS"/>
      <sheetName val="PIPELINE"/>
      <sheetName val="REV-ANNUAL"/>
      <sheetName val="Para IV"/>
      <sheetName val="PIPELINE_UNADJ"/>
      <sheetName val="DEBT"/>
      <sheetName val="IS-QTRLY"/>
      <sheetName val="REV-QTRLY"/>
      <sheetName val="FOOTNOTES"/>
      <sheetName val="AGREEMENTS"/>
      <sheetName val="MGMT PROJECTIONS"/>
      <sheetName val="patent expirations"/>
      <sheetName val="Var-YOY"/>
      <sheetName val="Var-Seq"/>
      <sheetName val="revenue snapshot"/>
      <sheetName val="rev contribution analysis"/>
      <sheetName val="rev change analysis"/>
      <sheetName val="2015 rev change"/>
      <sheetName val="Gaap Adj"/>
      <sheetName val="mwareDates"/>
      <sheetName val="MWA RR"/>
      <sheetName val="mwareSettings"/>
    </sheetNames>
    <sheetDataSet>
      <sheetData sheetId="0" refreshError="1">
        <row r="7">
          <cell r="J7" t="str">
            <v>Allergan</v>
          </cell>
        </row>
        <row r="8">
          <cell r="J8" t="str">
            <v>AGN</v>
          </cell>
        </row>
        <row r="12">
          <cell r="J12" t="str">
            <v>TBD</v>
          </cell>
        </row>
        <row r="14">
          <cell r="J14">
            <v>40029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ining"/>
      <sheetName val="Insurance"/>
      <sheetName val="Banks"/>
      <sheetName val="Oils"/>
      <sheetName val="General Europe"/>
      <sheetName val="General UK"/>
      <sheetName val="Latest_Chart"/>
      <sheetName val="Add4Sheet"/>
      <sheetName val="Module2"/>
      <sheetName val="Module1"/>
      <sheetName val="LINKTAB"/>
      <sheetName val="Model"/>
      <sheetName val="P"/>
      <sheetName val="Market_Share"/>
      <sheetName val="Assumptions"/>
      <sheetName val="Summary"/>
      <sheetName val="Consol_Income"/>
      <sheetName val="Rate Case"/>
      <sheetName val="Balance Sheet"/>
      <sheetName val="Sheet9"/>
      <sheetName val="Leases"/>
      <sheetName val="Graph"/>
      <sheetName val="Income"/>
      <sheetName val="Financial Summary"/>
      <sheetName val="Exclusion List"/>
      <sheetName val="CFOld"/>
      <sheetName val="PLOld"/>
      <sheetName val="Headline"/>
      <sheetName val="MTT old"/>
      <sheetName val="BizJet Deliveries"/>
      <sheetName val="DOMNETREV1002B"/>
      <sheetName val="Cash flow"/>
      <sheetName val="Profit &amp; Loss"/>
      <sheetName val="Inputs, sensitivity &amp; val"/>
      <sheetName val="c1"/>
      <sheetName val="Monthly figures"/>
      <sheetName val="Consolidated"/>
      <sheetName val="Sainsbury"/>
      <sheetName val="CENMODEL"/>
      <sheetName val="Customize Your Statement"/>
      <sheetName val="KQ"/>
    </sheetNames>
    <definedNames>
      <definedName name="Download_series"/>
      <definedName name="Update_This"/>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lcs for Sensitivy"/>
      <sheetName val="Financials"/>
      <sheetName val="Hist Inputs"/>
      <sheetName val="DCF7"/>
    </sheetNames>
    <definedNames>
      <definedName name="Print_ibt"/>
      <definedName name="Print_image"/>
      <definedName name="Print_valmat"/>
    </definedNames>
    <sheetDataSet>
      <sheetData sheetId="0" refreshError="1"/>
      <sheetData sheetId="1" refreshError="1"/>
      <sheetData sheetId="2" refreshError="1"/>
      <sheetData sheetId="3"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s"/>
      <sheetName val="HIST20"/>
      <sheetName val="Graphs"/>
      <sheetName val="14150"/>
      <sheetName val="Hist Inputs"/>
    </sheetNames>
    <definedNames>
      <definedName name="Print_Valmax"/>
    </definedNames>
    <sheetDataSet>
      <sheetData sheetId="0" refreshError="1"/>
      <sheetData sheetId="1" refreshError="1"/>
      <sheetData sheetId="2" refreshError="1"/>
      <sheetData sheetId="3" refreshError="1"/>
      <sheetData sheetId="4"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del"/>
      <sheetName val="LBO_2"/>
    </sheetNames>
    <definedNames>
      <definedName name="PrintModelReports"/>
      <definedName name="PrintPreviewModelReports"/>
    </definedNames>
    <sheetDataSet>
      <sheetData sheetId="0" refreshError="1"/>
      <sheetData sheetId="1"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up"/>
      <sheetName val="Script Metrics"/>
      <sheetName val="Synergies"/>
      <sheetName val="WAG Generic Synergies"/>
      <sheetName val="GM Build Seq"/>
      <sheetName val="GM Build"/>
      <sheetName val="Script Charts"/>
      <sheetName val="ACA Impact"/>
      <sheetName val="Part D Pref Impact"/>
      <sheetName val="ESRX Impact"/>
      <sheetName val="GWP-WLine"/>
    </sheetNames>
    <sheetDataSet>
      <sheetData sheetId="0"/>
      <sheetData sheetId="1" refreshError="1"/>
      <sheetData sheetId="2" refreshError="1"/>
      <sheetData sheetId="3" refreshError="1">
        <row r="30">
          <cell r="A30">
            <v>0.19</v>
          </cell>
        </row>
      </sheetData>
      <sheetData sheetId="4" refreshError="1"/>
      <sheetData sheetId="5" refreshError="1"/>
      <sheetData sheetId="6"/>
      <sheetData sheetId="7" refreshError="1"/>
      <sheetData sheetId="8" refreshError="1"/>
      <sheetData sheetId="9"/>
      <sheetData sheetId="10" refreshError="1"/>
    </sheetDataSet>
  </externalBook>
</externalLink>
</file>

<file path=xl/queryTables/queryTable1.xml><?xml version="1.0" encoding="utf-8"?>
<queryTable xmlns="http://schemas.openxmlformats.org/spreadsheetml/2006/main" name="d10ka.htm#tx668_8"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s>

</file>

<file path=xl/worksheets/_rels/sheet3.xml.rels><?xml version="1.0" encoding="UTF-8" standalone="yes"?>
<Relationships xmlns="http://schemas.openxmlformats.org/package/2006/relationships">
<Relationship Id="rId1" Target="../printerSettings/printerSettings2.bin" Type="http://schemas.openxmlformats.org/officeDocument/2006/relationships/printerSettings"/>
<Relationship Id="rId2" Target="../drawings/drawing2.xml" Type="http://schemas.openxmlformats.org/officeDocument/2006/relationships/drawing"/>
<Relationship Id="rId3" Target="../drawings/vmlDrawing1.vml" Type="http://schemas.openxmlformats.org/officeDocument/2006/relationships/vmlDrawing"/>
<Relationship Id="rId4" Target="../ctrlProps/ctrlProp1.xml" Type="http://schemas.openxmlformats.org/officeDocument/2006/relationships/ctrlProp"/>
<Relationship Id="rId5" Target="../ctrlProps/ctrlProp2.xml" Type="http://schemas.openxmlformats.org/officeDocument/2006/relationships/ctrlProp"/>
</Relationships>

</file>

<file path=xl/worksheets/_rels/sheet4.xml.rels><?xml version="1.0" encoding="UTF-8" standalone="yes"?>
<Relationships xmlns="http://schemas.openxmlformats.org/package/2006/relationships">
<Relationship Id="rId1" Target="mailto:Ricky.Goldwasser@morganstanley.com" TargetMode="External" Type="http://schemas.openxmlformats.org/officeDocument/2006/relationships/hyperlink"/>
<Relationship Id="rId2" Target="mailto:Liza.Garcia@morganstanley.com" TargetMode="External" Type="http://schemas.openxmlformats.org/officeDocument/2006/relationships/hyperlink"/>
<Relationship Id="rId3" Target="mailto:Saurabh.Singh1@morganstanley.com" TargetMode="External" Type="http://schemas.openxmlformats.org/officeDocument/2006/relationships/hyperlink"/>
<Relationship Id="rId4" Target="mailto:Rose.Lauricella@morganstanley.com" TargetMode="External" Type="http://schemas.openxmlformats.org/officeDocument/2006/relationships/hyperlink"/>
<Relationship Id="rId5" Target="../printerSettings/printerSettings3.bin" Type="http://schemas.openxmlformats.org/officeDocument/2006/relationships/printerSettings"/>
<Relationship Id="rId6" Target="../drawings/drawing3.xml" Type="http://schemas.openxmlformats.org/officeDocument/2006/relationships/drawing"/>
</Relationships>

</file>

<file path=xl/worksheets/_rels/sheet5.xml.rels><?xml version="1.0" encoding="UTF-8" standalone="yes"?>
<Relationships xmlns="http://schemas.openxmlformats.org/package/2006/relationships">
<Relationship Id="rId1" Target="../printerSettings/printerSettings4.bin" Type="http://schemas.openxmlformats.org/officeDocument/2006/relationships/printerSettings"/>
<Relationship Id="rId2" Target="../drawings/vmlDrawing2.vml" Type="http://schemas.openxmlformats.org/officeDocument/2006/relationships/vmlDrawing"/>
<Relationship Id="rId3" Target="../comments1.xml" Type="http://schemas.openxmlformats.org/officeDocument/2006/relationships/comments"/>
</Relationships>

</file>

<file path=xl/worksheets/_rels/sheet6.xml.rels><?xml version="1.0" encoding="UTF-8" standalone="yes"?>
<Relationships xmlns="http://schemas.openxmlformats.org/package/2006/relationships">
<Relationship Id="rId1" Target="../printerSettings/printerSettings5.bin" Type="http://schemas.openxmlformats.org/officeDocument/2006/relationships/printerSettings"/>
<Relationship Id="rId2" Target="../drawings/drawing4.xml" Type="http://schemas.openxmlformats.org/officeDocument/2006/relationships/drawing"/>
<Relationship Id="rId3" Target="../drawings/vmlDrawing3.vml" Type="http://schemas.openxmlformats.org/officeDocument/2006/relationships/vmlDrawing"/>
<Relationship Id="rId4" Target="../comments2.xml" Type="http://schemas.openxmlformats.org/officeDocument/2006/relationships/comments"/>
</Relationships>

</file>

<file path=xl/worksheets/_rels/sheet7.xml.rels><?xml version="1.0" encoding="UTF-8" standalone="yes"?>
<Relationships xmlns="http://schemas.openxmlformats.org/package/2006/relationships">
<Relationship Id="rId1" Target="../printerSettings/printerSettings6.bin" Type="http://schemas.openxmlformats.org/officeDocument/2006/relationships/printerSettings"/>
<Relationship Id="rId2" Target="../drawings/vmlDrawing4.vml" Type="http://schemas.openxmlformats.org/officeDocument/2006/relationships/vmlDrawing"/>
<Relationship Id="rId3" Target="../comments3.xml" Type="http://schemas.openxmlformats.org/officeDocument/2006/relationships/comments"/>
</Relationships>

</file>

<file path=xl/worksheets/_rels/sheet8.xml.rels><?xml version="1.0" encoding="UTF-8" standalone="yes"?>
<Relationships xmlns="http://schemas.openxmlformats.org/package/2006/relationships">
<Relationship Id="rId1" Target="../printerSettings/printerSettings7.bin" Type="http://schemas.openxmlformats.org/officeDocument/2006/relationships/printerSettings"/>
<Relationship Id="rId2" Target="../drawings/vmlDrawing5.vml" Type="http://schemas.openxmlformats.org/officeDocument/2006/relationships/vmlDrawing"/>
<Relationship Id="rId3" Target="../comments4.xml" Type="http://schemas.openxmlformats.org/officeDocument/2006/relationships/comments"/>
</Relationships>

</file>

<file path=xl/worksheets/_rels/sheet9.xml.rels><?xml version="1.0" encoding="UTF-8" standalone="yes"?>
<Relationships xmlns="http://schemas.openxmlformats.org/package/2006/relationships">
<Relationship Id="rId1" Target="../printerSettings/printerSettings8.bin" Type="http://schemas.openxmlformats.org/officeDocument/2006/relationships/printerSettings"/>
<Relationship Id="rId2" Target="../drawings/vmlDrawing6.vml" Type="http://schemas.openxmlformats.org/officeDocument/2006/relationships/vmlDrawing"/>
<Relationship Id="rId3" Target="../queryTables/queryTable1.xml" Type="http://schemas.openxmlformats.org/officeDocument/2006/relationships/queryTable"/>
<Relationship Id="rId4" Target="../comments5.xml" Type="http://schemas.openxmlformats.org/officeDocument/2006/relationships/comments"/>
</Relationships>

</file>

<file path=xl/worksheets/_rels/sheet10.xml.rels><?xml version="1.0" encoding="UTF-8" standalone="yes"?>
<Relationships xmlns="http://schemas.openxmlformats.org/package/2006/relationships">
<Relationship Id="rId1" Target="../printerSettings/printerSettings9.bin" Type="http://schemas.openxmlformats.org/officeDocument/2006/relationships/printerSettings"/>
<Relationship Id="rId2" Target="../drawings/drawing5.xml" Type="http://schemas.openxmlformats.org/officeDocument/2006/relationships/drawing"/>
<Relationship Id="rId3" Target="../drawings/vmlDrawing7.vml" Type="http://schemas.openxmlformats.org/officeDocument/2006/relationships/vmlDrawing"/>
<Relationship Id="rId4" Target="../comments6.xml" Type="http://schemas.openxmlformats.org/officeDocument/2006/relationships/comments"/>
</Relationships>

</file>

<file path=xl/worksheets/_rels/sheet11.xml.rels><?xml version="1.0" encoding="UTF-8" standalone="yes"?>
<Relationships xmlns="http://schemas.openxmlformats.org/package/2006/relationships">
<Relationship Id="rId1" Target="../printerSettings/printerSettings10.bin" Type="http://schemas.openxmlformats.org/officeDocument/2006/relationships/printerSettings"/>
<Relationship Id="rId2" Target="../drawings/vmlDrawing8.vml" Type="http://schemas.openxmlformats.org/officeDocument/2006/relationships/vmlDrawing"/>
<Relationship Id="rId3" Target="../comments7.xml" Type="http://schemas.openxmlformats.org/officeDocument/2006/relationships/comments"/>
</Relationships>

</file>

<file path=xl/worksheets/_rels/sheet12.xml.rels><?xml version="1.0" encoding="UTF-8" standalone="yes"?>
<Relationships xmlns="http://schemas.openxmlformats.org/package/2006/relationships">
<Relationship Id="rId1" Target="../printerSettings/printerSettings11.bin" Type="http://schemas.openxmlformats.org/officeDocument/2006/relationships/printerSettings"/>
</Relationships>

</file>

<file path=xl/worksheets/_rels/sheet14.xml.rels><?xml version="1.0" encoding="UTF-8" standalone="yes"?>
<Relationships xmlns="http://schemas.openxmlformats.org/package/2006/relationships">
<Relationship Id="rId1" Target="../printerSettings/printerSettings12.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385"/>
  <sheetViews>
    <sheetView showGridLines="0" tabSelected="1" workbookViewId="0">
      <selection activeCell="Z1" sqref="Z1"/>
    </sheetView>
  </sheetViews>
  <sheetFormatPr defaultRowHeight="12.75" x14ac:dyDescent="0.2"/>
  <cols>
    <col min="1" max="1" width="25.7109375" style="3248" customWidth="1"/>
    <col min="2" max="5" width="9.140625" style="3248"/>
    <col min="6" max="6" width="18.7109375" style="3248" customWidth="1"/>
    <col min="7" max="256" width="9.140625" style="3248"/>
    <col min="257" max="257" width="100.7109375" style="3248" customWidth="1"/>
    <col min="258" max="512" width="9.140625" style="3248"/>
    <col min="513" max="513" width="100.7109375" style="3248" customWidth="1"/>
    <col min="514" max="768" width="9.140625" style="3248"/>
    <col min="769" max="769" width="100.7109375" style="3248" customWidth="1"/>
    <col min="770" max="1024" width="9.140625" style="3248"/>
    <col min="1025" max="1025" width="100.7109375" style="3248" customWidth="1"/>
    <col min="1026" max="1280" width="9.140625" style="3248"/>
    <col min="1281" max="1281" width="100.7109375" style="3248" customWidth="1"/>
    <col min="1282" max="1536" width="9.140625" style="3248"/>
    <col min="1537" max="1537" width="100.7109375" style="3248" customWidth="1"/>
    <col min="1538" max="1792" width="9.140625" style="3248"/>
    <col min="1793" max="1793" width="100.7109375" style="3248" customWidth="1"/>
    <col min="1794" max="2048" width="9.140625" style="3248"/>
    <col min="2049" max="2049" width="100.7109375" style="3248" customWidth="1"/>
    <col min="2050" max="2304" width="9.140625" style="3248"/>
    <col min="2305" max="2305" width="100.7109375" style="3248" customWidth="1"/>
    <col min="2306" max="2560" width="9.140625" style="3248"/>
    <col min="2561" max="2561" width="100.7109375" style="3248" customWidth="1"/>
    <col min="2562" max="2816" width="9.140625" style="3248"/>
    <col min="2817" max="2817" width="100.7109375" style="3248" customWidth="1"/>
    <col min="2818" max="3072" width="9.140625" style="3248"/>
    <col min="3073" max="3073" width="100.7109375" style="3248" customWidth="1"/>
    <col min="3074" max="3328" width="9.140625" style="3248"/>
    <col min="3329" max="3329" width="100.7109375" style="3248" customWidth="1"/>
    <col min="3330" max="3584" width="9.140625" style="3248"/>
    <col min="3585" max="3585" width="100.7109375" style="3248" customWidth="1"/>
    <col min="3586" max="3840" width="9.140625" style="3248"/>
    <col min="3841" max="3841" width="100.7109375" style="3248" customWidth="1"/>
    <col min="3842" max="4096" width="9.140625" style="3248"/>
    <col min="4097" max="4097" width="100.7109375" style="3248" customWidth="1"/>
    <col min="4098" max="4352" width="9.140625" style="3248"/>
    <col min="4353" max="4353" width="100.7109375" style="3248" customWidth="1"/>
    <col min="4354" max="4608" width="9.140625" style="3248"/>
    <col min="4609" max="4609" width="100.7109375" style="3248" customWidth="1"/>
    <col min="4610" max="4864" width="9.140625" style="3248"/>
    <col min="4865" max="4865" width="100.7109375" style="3248" customWidth="1"/>
    <col min="4866" max="5120" width="9.140625" style="3248"/>
    <col min="5121" max="5121" width="100.7109375" style="3248" customWidth="1"/>
    <col min="5122" max="5376" width="9.140625" style="3248"/>
    <col min="5377" max="5377" width="100.7109375" style="3248" customWidth="1"/>
    <col min="5378" max="5632" width="9.140625" style="3248"/>
    <col min="5633" max="5633" width="100.7109375" style="3248" customWidth="1"/>
    <col min="5634" max="5888" width="9.140625" style="3248"/>
    <col min="5889" max="5889" width="100.7109375" style="3248" customWidth="1"/>
    <col min="5890" max="6144" width="9.140625" style="3248"/>
    <col min="6145" max="6145" width="100.7109375" style="3248" customWidth="1"/>
    <col min="6146" max="6400" width="9.140625" style="3248"/>
    <col min="6401" max="6401" width="100.7109375" style="3248" customWidth="1"/>
    <col min="6402" max="6656" width="9.140625" style="3248"/>
    <col min="6657" max="6657" width="100.7109375" style="3248" customWidth="1"/>
    <col min="6658" max="6912" width="9.140625" style="3248"/>
    <col min="6913" max="6913" width="100.7109375" style="3248" customWidth="1"/>
    <col min="6914" max="7168" width="9.140625" style="3248"/>
    <col min="7169" max="7169" width="100.7109375" style="3248" customWidth="1"/>
    <col min="7170" max="7424" width="9.140625" style="3248"/>
    <col min="7425" max="7425" width="100.7109375" style="3248" customWidth="1"/>
    <col min="7426" max="7680" width="9.140625" style="3248"/>
    <col min="7681" max="7681" width="100.7109375" style="3248" customWidth="1"/>
    <col min="7682" max="7936" width="9.140625" style="3248"/>
    <col min="7937" max="7937" width="100.7109375" style="3248" customWidth="1"/>
    <col min="7938" max="8192" width="9.140625" style="3248"/>
    <col min="8193" max="8193" width="100.7109375" style="3248" customWidth="1"/>
    <col min="8194" max="8448" width="9.140625" style="3248"/>
    <col min="8449" max="8449" width="100.7109375" style="3248" customWidth="1"/>
    <col min="8450" max="8704" width="9.140625" style="3248"/>
    <col min="8705" max="8705" width="100.7109375" style="3248" customWidth="1"/>
    <col min="8706" max="8960" width="9.140625" style="3248"/>
    <col min="8961" max="8961" width="100.7109375" style="3248" customWidth="1"/>
    <col min="8962" max="9216" width="9.140625" style="3248"/>
    <col min="9217" max="9217" width="100.7109375" style="3248" customWidth="1"/>
    <col min="9218" max="9472" width="9.140625" style="3248"/>
    <col min="9473" max="9473" width="100.7109375" style="3248" customWidth="1"/>
    <col min="9474" max="9728" width="9.140625" style="3248"/>
    <col min="9729" max="9729" width="100.7109375" style="3248" customWidth="1"/>
    <col min="9730" max="9984" width="9.140625" style="3248"/>
    <col min="9985" max="9985" width="100.7109375" style="3248" customWidth="1"/>
    <col min="9986" max="10240" width="9.140625" style="3248"/>
    <col min="10241" max="10241" width="100.7109375" style="3248" customWidth="1"/>
    <col min="10242" max="10496" width="9.140625" style="3248"/>
    <col min="10497" max="10497" width="100.7109375" style="3248" customWidth="1"/>
    <col min="10498" max="10752" width="9.140625" style="3248"/>
    <col min="10753" max="10753" width="100.7109375" style="3248" customWidth="1"/>
    <col min="10754" max="11008" width="9.140625" style="3248"/>
    <col min="11009" max="11009" width="100.7109375" style="3248" customWidth="1"/>
    <col min="11010" max="11264" width="9.140625" style="3248"/>
    <col min="11265" max="11265" width="100.7109375" style="3248" customWidth="1"/>
    <col min="11266" max="11520" width="9.140625" style="3248"/>
    <col min="11521" max="11521" width="100.7109375" style="3248" customWidth="1"/>
    <col min="11522" max="11776" width="9.140625" style="3248"/>
    <col min="11777" max="11777" width="100.7109375" style="3248" customWidth="1"/>
    <col min="11778" max="12032" width="9.140625" style="3248"/>
    <col min="12033" max="12033" width="100.7109375" style="3248" customWidth="1"/>
    <col min="12034" max="12288" width="9.140625" style="3248"/>
    <col min="12289" max="12289" width="100.7109375" style="3248" customWidth="1"/>
    <col min="12290" max="12544" width="9.140625" style="3248"/>
    <col min="12545" max="12545" width="100.7109375" style="3248" customWidth="1"/>
    <col min="12546" max="12800" width="9.140625" style="3248"/>
    <col min="12801" max="12801" width="100.7109375" style="3248" customWidth="1"/>
    <col min="12802" max="13056" width="9.140625" style="3248"/>
    <col min="13057" max="13057" width="100.7109375" style="3248" customWidth="1"/>
    <col min="13058" max="13312" width="9.140625" style="3248"/>
    <col min="13313" max="13313" width="100.7109375" style="3248" customWidth="1"/>
    <col min="13314" max="13568" width="9.140625" style="3248"/>
    <col min="13569" max="13569" width="100.7109375" style="3248" customWidth="1"/>
    <col min="13570" max="13824" width="9.140625" style="3248"/>
    <col min="13825" max="13825" width="100.7109375" style="3248" customWidth="1"/>
    <col min="13826" max="14080" width="9.140625" style="3248"/>
    <col min="14081" max="14081" width="100.7109375" style="3248" customWidth="1"/>
    <col min="14082" max="14336" width="9.140625" style="3248"/>
    <col min="14337" max="14337" width="100.7109375" style="3248" customWidth="1"/>
    <col min="14338" max="14592" width="9.140625" style="3248"/>
    <col min="14593" max="14593" width="100.7109375" style="3248" customWidth="1"/>
    <col min="14594" max="14848" width="9.140625" style="3248"/>
    <col min="14849" max="14849" width="100.7109375" style="3248" customWidth="1"/>
    <col min="14850" max="15104" width="9.140625" style="3248"/>
    <col min="15105" max="15105" width="100.7109375" style="3248" customWidth="1"/>
    <col min="15106" max="15360" width="9.140625" style="3248"/>
    <col min="15361" max="15361" width="100.7109375" style="3248" customWidth="1"/>
    <col min="15362" max="15616" width="9.140625" style="3248"/>
    <col min="15617" max="15617" width="100.7109375" style="3248" customWidth="1"/>
    <col min="15618" max="15872" width="9.140625" style="3248"/>
    <col min="15873" max="15873" width="100.7109375" style="3248" customWidth="1"/>
    <col min="15874" max="16128" width="9.140625" style="3248"/>
    <col min="16129" max="16129" width="100.7109375" style="3248" customWidth="1"/>
    <col min="16130" max="16384" width="9.140625" style="3248"/>
  </cols>
  <sheetData>
    <row r="1" spans="1:8" ht="30" customHeight="1" x14ac:dyDescent="0.2">
      <c r="A1" s="3246"/>
      <c r="B1" s="3247"/>
      <c r="C1" s="3247"/>
      <c r="D1" s="3247"/>
      <c r="E1" s="3247"/>
      <c r="F1" s="3247"/>
      <c r="G1" s="3247"/>
      <c r="H1" s="3247"/>
    </row>
    <row r="2" spans="1:8" ht="14.25" x14ac:dyDescent="0.2">
      <c r="A2" s="3249" t="s">
        <v>1674</v>
      </c>
      <c r="B2" s="3247"/>
      <c r="C2" s="3247"/>
      <c r="D2" s="3247"/>
      <c r="E2" s="3247"/>
      <c r="F2" s="3247"/>
      <c r="G2" s="3247"/>
      <c r="H2" s="3247"/>
    </row>
    <row r="3" spans="1:8" ht="14.25" x14ac:dyDescent="0.2">
      <c r="A3" s="3249" t="s">
        <v>1675</v>
      </c>
      <c r="B3" s="3247"/>
      <c r="C3" s="3247"/>
      <c r="D3" s="3247"/>
      <c r="E3" s="3247"/>
      <c r="F3" s="3247"/>
      <c r="G3" s="3247"/>
      <c r="H3" s="3247"/>
    </row>
    <row r="4" spans="1:8" ht="14.25" x14ac:dyDescent="0.2">
      <c r="A4" s="3249" t="s">
        <v>1676</v>
      </c>
      <c r="B4" s="3247"/>
      <c r="C4" s="3247"/>
      <c r="D4" s="3247"/>
      <c r="E4" s="3247"/>
      <c r="F4" s="3247"/>
      <c r="G4" s="3247"/>
      <c r="H4" s="3247"/>
    </row>
    <row r="5" spans="1:8" ht="14.25" x14ac:dyDescent="0.2">
      <c r="A5" s="3249" t="s">
        <v>1677</v>
      </c>
      <c r="B5" s="3247"/>
      <c r="C5" s="3247"/>
      <c r="D5" s="3247"/>
      <c r="E5" s="3247"/>
      <c r="F5" s="3247"/>
      <c r="G5" s="3247"/>
      <c r="H5" s="3247"/>
    </row>
    <row r="6" spans="1:8" ht="14.25" x14ac:dyDescent="0.2">
      <c r="A6" s="3249"/>
      <c r="B6" s="3247"/>
      <c r="C6" s="3247"/>
      <c r="D6" s="3247"/>
      <c r="E6" s="3247"/>
      <c r="F6" s="3247"/>
      <c r="G6" s="3247"/>
      <c r="H6" s="3247"/>
    </row>
    <row r="7" spans="1:8" x14ac:dyDescent="0.2">
      <c r="A7" s="3246" t="s">
        <v>1678</v>
      </c>
      <c r="B7" s="3247"/>
      <c r="C7" s="3247"/>
      <c r="D7" s="3247"/>
      <c r="E7" s="3247"/>
      <c r="F7" s="3247"/>
      <c r="G7" s="3247"/>
      <c r="H7" s="3247"/>
    </row>
    <row r="8" spans="1:8" x14ac:dyDescent="0.2">
      <c r="A8" s="3246" t="s">
        <v>1679</v>
      </c>
      <c r="B8" s="3247"/>
      <c r="C8" s="3247"/>
      <c r="D8" s="3247"/>
      <c r="E8" s="3247"/>
      <c r="F8" s="3247"/>
      <c r="G8" s="3247"/>
      <c r="H8" s="3247"/>
    </row>
    <row r="9" spans="1:8" x14ac:dyDescent="0.2">
      <c r="A9" s="3246"/>
      <c r="B9" s="3247"/>
      <c r="C9" s="3247"/>
      <c r="D9" s="3247"/>
      <c r="E9" s="3247"/>
      <c r="F9" s="3247"/>
      <c r="G9" s="3247"/>
      <c r="H9" s="3247"/>
    </row>
    <row r="10" spans="1:8" x14ac:dyDescent="0.2">
      <c r="A10" s="3250" t="s">
        <v>1680</v>
      </c>
      <c r="B10" s="3247"/>
      <c r="C10" s="3247"/>
      <c r="D10" s="3247"/>
      <c r="E10" s="3247"/>
      <c r="F10" s="3247"/>
      <c r="G10" s="3247"/>
      <c r="H10" s="3247"/>
    </row>
    <row r="11" spans="1:8" x14ac:dyDescent="0.2">
      <c r="A11" s="3250" t="s">
        <v>1681</v>
      </c>
      <c r="B11" s="3247"/>
      <c r="C11" s="3247"/>
      <c r="D11" s="3247"/>
      <c r="E11" s="3247"/>
      <c r="F11" s="3247"/>
      <c r="G11" s="3247"/>
      <c r="H11" s="3247"/>
    </row>
    <row r="12" spans="1:8" x14ac:dyDescent="0.2">
      <c r="A12" s="3250" t="s">
        <v>1682</v>
      </c>
      <c r="B12" s="3247"/>
      <c r="C12" s="3247"/>
      <c r="D12" s="3247"/>
      <c r="E12" s="3247"/>
      <c r="F12" s="3247"/>
      <c r="G12" s="3247"/>
      <c r="H12" s="3247"/>
    </row>
    <row r="13" spans="1:8" x14ac:dyDescent="0.2">
      <c r="A13" s="3250" t="s">
        <v>1683</v>
      </c>
      <c r="B13" s="3247"/>
      <c r="C13" s="3247"/>
      <c r="D13" s="3247"/>
      <c r="E13" s="3247"/>
      <c r="F13" s="3247"/>
      <c r="G13" s="3247"/>
      <c r="H13" s="3247"/>
    </row>
    <row r="14" spans="1:8" x14ac:dyDescent="0.2">
      <c r="A14" s="3250" t="s">
        <v>1684</v>
      </c>
      <c r="B14" s="3247"/>
      <c r="C14" s="3247"/>
      <c r="D14" s="3247"/>
      <c r="E14" s="3247"/>
      <c r="F14" s="3247"/>
      <c r="G14" s="3247"/>
      <c r="H14" s="3247"/>
    </row>
    <row r="15" spans="1:8" x14ac:dyDescent="0.2">
      <c r="A15" s="3250" t="s">
        <v>1685</v>
      </c>
      <c r="B15" s="3247"/>
      <c r="C15" s="3247"/>
      <c r="D15" s="3247"/>
      <c r="E15" s="3247"/>
      <c r="F15" s="3247"/>
      <c r="G15" s="3247"/>
      <c r="H15" s="3247"/>
    </row>
    <row r="16" spans="1:8" x14ac:dyDescent="0.2">
      <c r="A16" s="3250"/>
      <c r="B16" s="3247"/>
      <c r="C16" s="3247"/>
      <c r="D16" s="3247"/>
      <c r="E16" s="3247"/>
      <c r="F16" s="3247"/>
      <c r="G16" s="3247"/>
      <c r="H16" s="3247"/>
    </row>
    <row r="17" spans="1:8" x14ac:dyDescent="0.2">
      <c r="A17" s="3250" t="s">
        <v>1671</v>
      </c>
      <c r="B17" s="3247"/>
      <c r="C17" s="3247"/>
      <c r="D17" s="3247"/>
      <c r="E17" s="3247"/>
      <c r="F17" s="3247"/>
      <c r="G17" s="3247"/>
      <c r="H17" s="3247"/>
    </row>
    <row r="18" spans="1:8" x14ac:dyDescent="0.2">
      <c r="A18" s="3250"/>
      <c r="B18" s="3247"/>
      <c r="C18" s="3247"/>
      <c r="D18" s="3247"/>
      <c r="E18" s="3247"/>
      <c r="F18" s="3247"/>
      <c r="G18" s="3247"/>
      <c r="H18" s="3247"/>
    </row>
    <row r="19" spans="1:8" x14ac:dyDescent="0.2">
      <c r="A19" s="3250" t="s">
        <v>1672</v>
      </c>
      <c r="B19" s="3247"/>
      <c r="C19" s="3247"/>
      <c r="D19" s="3247"/>
      <c r="E19" s="3247"/>
      <c r="F19" s="3247"/>
      <c r="G19" s="3247"/>
      <c r="H19" s="3247"/>
    </row>
    <row r="20" spans="1:8" x14ac:dyDescent="0.2">
      <c r="A20" s="3246"/>
      <c r="B20" s="3247"/>
      <c r="C20" s="3247"/>
      <c r="D20" s="3247"/>
      <c r="E20" s="3247"/>
      <c r="F20" s="3247"/>
      <c r="G20" s="3247"/>
      <c r="H20" s="3247"/>
    </row>
    <row r="21" spans="1:8" x14ac:dyDescent="0.2">
      <c r="A21" s="3251" t="s">
        <v>1673</v>
      </c>
      <c r="B21" s="3247"/>
      <c r="C21" s="3247"/>
      <c r="D21" s="3247"/>
      <c r="E21" s="3247"/>
      <c r="F21" s="3247"/>
      <c r="G21" s="3247"/>
      <c r="H21" s="3247"/>
    </row>
    <row r="22" spans="1:8" x14ac:dyDescent="0.2">
      <c r="A22" s="3252"/>
      <c r="B22" s="3252"/>
      <c r="C22" s="3252"/>
      <c r="D22" s="3252"/>
      <c r="E22" s="3252"/>
      <c r="F22" s="3252"/>
      <c r="G22" s="3252"/>
      <c r="H22" s="3252"/>
    </row>
    <row r="23" spans="1:8" x14ac:dyDescent="0.2">
      <c r="A23" s="3253" t="s">
        <v>1959</v>
      </c>
      <c r="B23" s="3252"/>
      <c r="C23" s="3252"/>
      <c r="D23" s="3252"/>
      <c r="E23" s="3252"/>
      <c r="F23" s="3252"/>
      <c r="G23" s="3252"/>
      <c r="H23" s="3252"/>
    </row>
    <row r="24" spans="1:8" x14ac:dyDescent="0.2">
      <c r="A24" s="3253" t="s">
        <v>1960</v>
      </c>
      <c r="B24" s="3252"/>
      <c r="C24" s="3252"/>
      <c r="D24" s="3252"/>
      <c r="E24" s="3252"/>
      <c r="F24" s="3252"/>
      <c r="G24" s="3252"/>
      <c r="H24" s="3252"/>
    </row>
    <row r="25" spans="1:8" x14ac:dyDescent="0.2">
      <c r="A25" s="3253" t="s">
        <v>1961</v>
      </c>
      <c r="B25" s="3252"/>
      <c r="C25" s="3252"/>
      <c r="D25" s="3252"/>
      <c r="E25" s="3252"/>
      <c r="F25" s="3252"/>
      <c r="G25" s="3252"/>
      <c r="H25" s="3252"/>
    </row>
    <row r="26" spans="1:8" x14ac:dyDescent="0.2">
      <c r="A26" s="3253" t="s">
        <v>1962</v>
      </c>
      <c r="B26" s="3252"/>
      <c r="C26" s="3252"/>
      <c r="D26" s="3252"/>
      <c r="E26" s="3252"/>
      <c r="F26" s="3252"/>
      <c r="G26" s="3252"/>
      <c r="H26" s="3252"/>
    </row>
    <row r="27" spans="1:8" x14ac:dyDescent="0.2">
      <c r="A27" s="3252"/>
      <c r="B27" s="3252"/>
      <c r="C27" s="3252"/>
      <c r="D27" s="3252"/>
      <c r="E27" s="3252"/>
      <c r="F27" s="3252"/>
      <c r="G27" s="3252"/>
      <c r="H27" s="3252"/>
    </row>
    <row r="28" spans="1:8" x14ac:dyDescent="0.2">
      <c r="A28" s="3252"/>
      <c r="B28" s="3252"/>
      <c r="C28" s="3252"/>
      <c r="D28" s="3252"/>
      <c r="E28" s="3252"/>
      <c r="F28" s="3252"/>
      <c r="G28" s="3252"/>
      <c r="H28" s="3252"/>
    </row>
    <row r="29" spans="1:8" x14ac:dyDescent="0.2">
      <c r="A29" s="3253" t="s">
        <v>1954</v>
      </c>
      <c r="B29" s="3252"/>
      <c r="C29" s="3252"/>
      <c r="D29" s="3252"/>
      <c r="E29" s="3252"/>
      <c r="F29" s="3252"/>
      <c r="G29" s="3252"/>
      <c r="H29" s="3252"/>
    </row>
    <row r="30" spans="1:8" x14ac:dyDescent="0.2">
      <c r="A30" s="3253" t="s">
        <v>1955</v>
      </c>
      <c r="B30" s="3252"/>
      <c r="C30" s="3252"/>
      <c r="D30" s="3252"/>
      <c r="E30" s="3252"/>
      <c r="F30" s="3252"/>
      <c r="G30" s="3252"/>
      <c r="H30" s="3252"/>
    </row>
    <row r="31" spans="1:8" x14ac:dyDescent="0.2">
      <c r="A31" s="3253" t="s">
        <v>1956</v>
      </c>
      <c r="B31" s="3252"/>
      <c r="C31" s="3252"/>
      <c r="D31" s="3252"/>
      <c r="E31" s="3252"/>
      <c r="F31" s="3252"/>
      <c r="G31" s="3252"/>
      <c r="H31" s="3252"/>
    </row>
    <row r="32" spans="1:8" x14ac:dyDescent="0.2">
      <c r="A32" s="3253" t="s">
        <v>1957</v>
      </c>
      <c r="B32" s="3252"/>
      <c r="C32" s="3252"/>
      <c r="D32" s="3252"/>
      <c r="E32" s="3252"/>
      <c r="F32" s="3252"/>
      <c r="G32" s="3252"/>
      <c r="H32" s="3252"/>
    </row>
    <row r="33" spans="1:8" x14ac:dyDescent="0.2">
      <c r="A33" s="3253" t="s">
        <v>1958</v>
      </c>
      <c r="B33" s="3252"/>
      <c r="C33" s="3252"/>
      <c r="D33" s="3252"/>
      <c r="E33" s="3252"/>
      <c r="F33" s="3252"/>
      <c r="G33" s="3252"/>
      <c r="H33" s="3252"/>
    </row>
    <row r="34" spans="1:8" x14ac:dyDescent="0.2">
      <c r="A34" s="3252"/>
      <c r="B34" s="3252"/>
      <c r="C34" s="3252"/>
      <c r="D34" s="3252"/>
      <c r="E34" s="3252"/>
      <c r="F34" s="3252"/>
      <c r="G34" s="3252"/>
      <c r="H34" s="3252"/>
    </row>
    <row r="35" spans="1:8" x14ac:dyDescent="0.2">
      <c r="A35" s="3253" t="s">
        <v>1950</v>
      </c>
      <c r="B35" s="3252"/>
      <c r="C35" s="3252"/>
      <c r="D35" s="3252"/>
      <c r="E35" s="3252"/>
      <c r="F35" s="3252"/>
      <c r="G35" s="3252"/>
      <c r="H35" s="3252"/>
    </row>
    <row r="36" spans="1:8" x14ac:dyDescent="0.2">
      <c r="A36" s="3253" t="s">
        <v>1951</v>
      </c>
      <c r="B36" s="3252"/>
      <c r="C36" s="3252"/>
      <c r="D36" s="3252"/>
      <c r="E36" s="3252"/>
      <c r="F36" s="3252"/>
      <c r="G36" s="3252"/>
      <c r="H36" s="3252"/>
    </row>
    <row r="37" spans="1:8" x14ac:dyDescent="0.2">
      <c r="A37" s="3253" t="s">
        <v>1952</v>
      </c>
      <c r="B37" s="3252"/>
      <c r="C37" s="3252"/>
      <c r="D37" s="3252"/>
      <c r="E37" s="3252"/>
      <c r="F37" s="3252"/>
      <c r="G37" s="3252"/>
      <c r="H37" s="3252"/>
    </row>
    <row r="38" spans="1:8" x14ac:dyDescent="0.2">
      <c r="A38" s="3253" t="s">
        <v>1953</v>
      </c>
      <c r="B38" s="3252"/>
      <c r="C38" s="3252"/>
      <c r="D38" s="3252"/>
      <c r="E38" s="3252"/>
      <c r="F38" s="3252"/>
      <c r="G38" s="3252"/>
      <c r="H38" s="3252"/>
    </row>
    <row r="39" spans="1:8" x14ac:dyDescent="0.2">
      <c r="A39" s="3252"/>
      <c r="B39" s="3252"/>
      <c r="C39" s="3252"/>
      <c r="D39" s="3252"/>
      <c r="E39" s="3252"/>
      <c r="F39" s="3252"/>
      <c r="G39" s="3252"/>
      <c r="H39" s="3252"/>
    </row>
    <row r="40" spans="1:8" x14ac:dyDescent="0.2">
      <c r="A40" s="3253" t="s">
        <v>1944</v>
      </c>
      <c r="B40" s="3252"/>
      <c r="C40" s="3252"/>
      <c r="D40" s="3252"/>
      <c r="E40" s="3252"/>
      <c r="F40" s="3252"/>
      <c r="G40" s="3252"/>
      <c r="H40" s="3252"/>
    </row>
    <row r="41" spans="1:8" x14ac:dyDescent="0.2">
      <c r="A41" s="3253" t="s">
        <v>1945</v>
      </c>
      <c r="B41" s="3252"/>
      <c r="C41" s="3252"/>
      <c r="D41" s="3252"/>
      <c r="E41" s="3252"/>
      <c r="F41" s="3252"/>
      <c r="G41" s="3252"/>
      <c r="H41" s="3252"/>
    </row>
    <row r="42" spans="1:8" x14ac:dyDescent="0.2">
      <c r="A42" s="3253" t="s">
        <v>1946</v>
      </c>
      <c r="B42" s="3252"/>
      <c r="C42" s="3252"/>
      <c r="D42" s="3252"/>
      <c r="E42" s="3252"/>
      <c r="F42" s="3252"/>
      <c r="G42" s="3252"/>
      <c r="H42" s="3252"/>
    </row>
    <row r="43" spans="1:8" x14ac:dyDescent="0.2">
      <c r="A43" s="3253" t="s">
        <v>1947</v>
      </c>
      <c r="B43" s="3252"/>
      <c r="C43" s="3252"/>
      <c r="D43" s="3252"/>
      <c r="E43" s="3252"/>
      <c r="F43" s="3252"/>
      <c r="G43" s="3252"/>
      <c r="H43" s="3252"/>
    </row>
    <row r="44" spans="1:8" x14ac:dyDescent="0.2">
      <c r="A44" s="3253" t="s">
        <v>1948</v>
      </c>
      <c r="B44" s="3252"/>
      <c r="C44" s="3252"/>
      <c r="D44" s="3252"/>
      <c r="E44" s="3252"/>
      <c r="F44" s="3252"/>
      <c r="G44" s="3252"/>
      <c r="H44" s="3252"/>
    </row>
    <row r="45" spans="1:8" x14ac:dyDescent="0.2">
      <c r="A45" s="3253" t="s">
        <v>1949</v>
      </c>
      <c r="B45" s="3252"/>
      <c r="C45" s="3252"/>
      <c r="D45" s="3252"/>
      <c r="E45" s="3252"/>
      <c r="F45" s="3252"/>
      <c r="G45" s="3252"/>
      <c r="H45" s="3252"/>
    </row>
    <row r="46" spans="1:8" x14ac:dyDescent="0.2">
      <c r="A46" s="3252"/>
      <c r="B46" s="3252"/>
      <c r="C46" s="3252"/>
      <c r="D46" s="3252"/>
      <c r="E46" s="3252"/>
      <c r="F46" s="3252"/>
      <c r="G46" s="3252"/>
      <c r="H46" s="3252"/>
    </row>
    <row r="47" spans="1:8" ht="15.75" x14ac:dyDescent="0.2">
      <c r="A47" s="3254" t="s">
        <v>1686</v>
      </c>
      <c r="B47" s="3252"/>
      <c r="C47" s="3252"/>
      <c r="D47" s="3252"/>
      <c r="E47" s="3252"/>
      <c r="F47" s="3252"/>
      <c r="G47" s="3252"/>
      <c r="H47" s="3252"/>
    </row>
    <row r="48" spans="1:8" x14ac:dyDescent="0.2">
      <c r="A48" s="3252"/>
      <c r="B48" s="3252"/>
      <c r="C48" s="3252"/>
      <c r="D48" s="3252"/>
      <c r="E48" s="3252"/>
      <c r="F48" s="3252"/>
      <c r="G48" s="3252"/>
      <c r="H48" s="3252"/>
    </row>
    <row r="49" spans="1:8" x14ac:dyDescent="0.2">
      <c r="A49" s="3253" t="s">
        <v>1940</v>
      </c>
      <c r="B49" s="3252"/>
      <c r="C49" s="3252"/>
      <c r="D49" s="3252"/>
      <c r="E49" s="3252"/>
      <c r="F49" s="3252"/>
      <c r="G49" s="3252"/>
      <c r="H49" s="3252"/>
    </row>
    <row r="50" spans="1:8" x14ac:dyDescent="0.2">
      <c r="A50" s="3253" t="s">
        <v>1941</v>
      </c>
      <c r="B50" s="3252"/>
      <c r="C50" s="3252"/>
      <c r="D50" s="3252"/>
      <c r="E50" s="3252"/>
      <c r="F50" s="3252"/>
      <c r="G50" s="3252"/>
      <c r="H50" s="3252"/>
    </row>
    <row r="51" spans="1:8" x14ac:dyDescent="0.2">
      <c r="A51" s="3253" t="s">
        <v>1942</v>
      </c>
      <c r="B51" s="3252"/>
      <c r="C51" s="3252"/>
      <c r="D51" s="3252"/>
      <c r="E51" s="3252"/>
      <c r="F51" s="3252"/>
      <c r="G51" s="3252"/>
      <c r="H51" s="3252"/>
    </row>
    <row r="52" spans="1:8" x14ac:dyDescent="0.2">
      <c r="A52" s="3253" t="s">
        <v>1943</v>
      </c>
      <c r="B52" s="3252"/>
      <c r="C52" s="3252"/>
      <c r="D52" s="3252"/>
      <c r="E52" s="3252"/>
      <c r="F52" s="3252"/>
      <c r="G52" s="3252"/>
      <c r="H52" s="3252"/>
    </row>
    <row r="53" spans="1:8" x14ac:dyDescent="0.2">
      <c r="A53" s="3252"/>
      <c r="B53" s="3252"/>
      <c r="C53" s="3252"/>
      <c r="D53" s="3252"/>
      <c r="E53" s="3252"/>
      <c r="F53" s="3252"/>
      <c r="G53" s="3252"/>
      <c r="H53" s="3252"/>
    </row>
    <row r="54" spans="1:8" x14ac:dyDescent="0.2">
      <c r="A54" s="3253" t="s">
        <v>1687</v>
      </c>
      <c r="B54" s="3252"/>
      <c r="C54" s="3252"/>
      <c r="D54" s="3252"/>
      <c r="E54" s="3252"/>
      <c r="F54" s="3252"/>
      <c r="G54" s="3252"/>
      <c r="H54" s="3252"/>
    </row>
    <row r="55" spans="1:8" x14ac:dyDescent="0.2">
      <c r="A55" s="3252"/>
      <c r="B55" s="3252"/>
      <c r="C55" s="3252"/>
      <c r="D55" s="3252"/>
      <c r="E55" s="3252"/>
      <c r="F55" s="3252"/>
      <c r="G55" s="3252"/>
      <c r="H55" s="3252"/>
    </row>
    <row r="56" spans="1:8" ht="15.75" x14ac:dyDescent="0.2">
      <c r="A56" s="3254" t="s">
        <v>1688</v>
      </c>
      <c r="B56" s="3252"/>
      <c r="C56" s="3252"/>
      <c r="D56" s="3252"/>
      <c r="E56" s="3252"/>
      <c r="F56" s="3252"/>
      <c r="G56" s="3252"/>
      <c r="H56" s="3252"/>
    </row>
    <row r="57" spans="1:8" x14ac:dyDescent="0.2">
      <c r="A57" s="3252"/>
      <c r="B57" s="3252"/>
      <c r="C57" s="3252"/>
      <c r="D57" s="3252"/>
      <c r="E57" s="3252"/>
      <c r="F57" s="3252"/>
      <c r="G57" s="3252"/>
      <c r="H57" s="3252"/>
    </row>
    <row r="58" spans="1:8" x14ac:dyDescent="0.2">
      <c r="A58" s="3253" t="s">
        <v>1938</v>
      </c>
      <c r="B58" s="3252"/>
      <c r="C58" s="3252"/>
      <c r="D58" s="3252"/>
      <c r="E58" s="3252"/>
      <c r="F58" s="3252"/>
      <c r="G58" s="3252"/>
      <c r="H58" s="3252"/>
    </row>
    <row r="59" spans="1:8" x14ac:dyDescent="0.2">
      <c r="A59" s="3253" t="s">
        <v>1939</v>
      </c>
      <c r="B59" s="3252"/>
      <c r="C59" s="3252"/>
      <c r="D59" s="3252"/>
      <c r="E59" s="3252"/>
      <c r="F59" s="3252"/>
      <c r="G59" s="3252"/>
      <c r="H59" s="3252"/>
    </row>
    <row r="60" spans="1:8" x14ac:dyDescent="0.2">
      <c r="A60" s="3252"/>
      <c r="B60" s="3252"/>
      <c r="C60" s="3252"/>
      <c r="D60" s="3252"/>
      <c r="E60" s="3252"/>
      <c r="F60" s="3252"/>
      <c r="G60" s="3252"/>
      <c r="H60" s="3252"/>
    </row>
    <row r="61" spans="1:8" ht="15.75" x14ac:dyDescent="0.2">
      <c r="A61" s="3254" t="s">
        <v>1689</v>
      </c>
      <c r="B61" s="3252"/>
      <c r="C61" s="3252"/>
      <c r="D61" s="3252"/>
      <c r="E61" s="3252"/>
      <c r="F61" s="3252"/>
      <c r="G61" s="3252"/>
      <c r="H61" s="3252"/>
    </row>
    <row r="62" spans="1:8" x14ac:dyDescent="0.2">
      <c r="A62" s="3252"/>
      <c r="B62" s="3252"/>
      <c r="C62" s="3252"/>
      <c r="D62" s="3252"/>
      <c r="E62" s="3252"/>
      <c r="F62" s="3252"/>
      <c r="G62" s="3252"/>
      <c r="H62" s="3252"/>
    </row>
    <row r="63" spans="1:8" x14ac:dyDescent="0.2">
      <c r="A63" s="3253" t="s">
        <v>1936</v>
      </c>
      <c r="B63" s="3252"/>
      <c r="C63" s="3252"/>
      <c r="D63" s="3252"/>
      <c r="E63" s="3252"/>
      <c r="F63" s="3252"/>
      <c r="G63" s="3252"/>
      <c r="H63" s="3252"/>
    </row>
    <row r="64" spans="1:8" x14ac:dyDescent="0.2">
      <c r="A64" s="3253" t="s">
        <v>1937</v>
      </c>
      <c r="B64" s="3252"/>
      <c r="C64" s="3252"/>
      <c r="D64" s="3252"/>
      <c r="E64" s="3252"/>
      <c r="F64" s="3252"/>
      <c r="G64" s="3252"/>
      <c r="H64" s="3252"/>
    </row>
    <row r="65" spans="1:8" x14ac:dyDescent="0.2">
      <c r="A65" s="3252"/>
      <c r="B65" s="3252"/>
      <c r="C65" s="3252"/>
      <c r="D65" s="3252"/>
      <c r="E65" s="3252"/>
      <c r="F65" s="3252"/>
      <c r="G65" s="3252"/>
      <c r="H65" s="3252"/>
    </row>
    <row r="66" spans="1:8" x14ac:dyDescent="0.2">
      <c r="A66" s="3253" t="s">
        <v>1933</v>
      </c>
      <c r="B66" s="3252"/>
      <c r="C66" s="3252"/>
      <c r="D66" s="3252"/>
      <c r="E66" s="3252"/>
      <c r="F66" s="3252"/>
      <c r="G66" s="3252"/>
      <c r="H66" s="3252"/>
    </row>
    <row r="67" spans="1:8" x14ac:dyDescent="0.2">
      <c r="A67" s="3253" t="s">
        <v>1934</v>
      </c>
      <c r="B67" s="3252"/>
      <c r="C67" s="3252"/>
      <c r="D67" s="3252"/>
      <c r="E67" s="3252"/>
      <c r="F67" s="3252"/>
      <c r="G67" s="3252"/>
      <c r="H67" s="3252"/>
    </row>
    <row r="68" spans="1:8" x14ac:dyDescent="0.2">
      <c r="A68" s="3253" t="s">
        <v>1935</v>
      </c>
      <c r="B68" s="3252"/>
      <c r="C68" s="3252"/>
      <c r="D68" s="3252"/>
      <c r="E68" s="3252"/>
      <c r="F68" s="3252"/>
      <c r="G68" s="3252"/>
      <c r="H68" s="3252"/>
    </row>
    <row r="69" spans="1:8" x14ac:dyDescent="0.2">
      <c r="A69" s="3252"/>
      <c r="B69" s="3252"/>
      <c r="C69" s="3252"/>
      <c r="D69" s="3252"/>
      <c r="E69" s="3252"/>
      <c r="F69" s="3252"/>
      <c r="G69" s="3252"/>
      <c r="H69" s="3252"/>
    </row>
    <row r="70" spans="1:8" x14ac:dyDescent="0.2">
      <c r="A70" s="3253" t="s">
        <v>1690</v>
      </c>
      <c r="B70" s="3252"/>
      <c r="C70" s="3252"/>
      <c r="D70" s="3252"/>
      <c r="E70" s="3252"/>
      <c r="F70" s="3252"/>
      <c r="G70" s="3252"/>
      <c r="H70" s="3252"/>
    </row>
    <row r="71" spans="1:8" x14ac:dyDescent="0.2">
      <c r="A71" s="3252"/>
      <c r="B71" s="3252"/>
      <c r="C71" s="3252"/>
      <c r="D71" s="3252"/>
      <c r="E71" s="3252"/>
      <c r="F71" s="3252"/>
      <c r="G71" s="3252"/>
      <c r="H71" s="3252"/>
    </row>
    <row r="72" spans="1:8" x14ac:dyDescent="0.2">
      <c r="A72" s="3253" t="s">
        <v>1928</v>
      </c>
      <c r="B72" s="3252"/>
      <c r="C72" s="3252"/>
      <c r="D72" s="3252"/>
      <c r="E72" s="3252"/>
      <c r="F72" s="3252"/>
      <c r="G72" s="3252"/>
      <c r="H72" s="3252"/>
    </row>
    <row r="73" spans="1:8" x14ac:dyDescent="0.2">
      <c r="A73" s="3253" t="s">
        <v>1929</v>
      </c>
      <c r="B73" s="3252"/>
      <c r="C73" s="3252"/>
      <c r="D73" s="3252"/>
      <c r="E73" s="3252"/>
      <c r="F73" s="3252"/>
      <c r="G73" s="3252"/>
      <c r="H73" s="3252"/>
    </row>
    <row r="74" spans="1:8" x14ac:dyDescent="0.2">
      <c r="A74" s="3253" t="s">
        <v>1930</v>
      </c>
      <c r="B74" s="3252"/>
      <c r="C74" s="3252"/>
      <c r="D74" s="3252"/>
      <c r="E74" s="3252"/>
      <c r="F74" s="3252"/>
      <c r="G74" s="3252"/>
      <c r="H74" s="3252"/>
    </row>
    <row r="75" spans="1:8" x14ac:dyDescent="0.2">
      <c r="A75" s="3253" t="s">
        <v>1931</v>
      </c>
      <c r="B75" s="3252"/>
      <c r="C75" s="3252"/>
      <c r="D75" s="3252"/>
      <c r="E75" s="3252"/>
      <c r="F75" s="3252"/>
      <c r="G75" s="3252"/>
      <c r="H75" s="3252"/>
    </row>
    <row r="76" spans="1:8" x14ac:dyDescent="0.2">
      <c r="A76" s="3253" t="s">
        <v>1932</v>
      </c>
      <c r="B76" s="3252"/>
      <c r="C76" s="3252"/>
      <c r="D76" s="3252"/>
      <c r="E76" s="3252"/>
      <c r="F76" s="3252"/>
      <c r="G76" s="3252"/>
      <c r="H76" s="3252"/>
    </row>
    <row r="77" spans="1:8" x14ac:dyDescent="0.2">
      <c r="A77" s="3253" t="s">
        <v>1815</v>
      </c>
      <c r="B77" s="3252"/>
      <c r="C77" s="3252"/>
      <c r="D77" s="3252"/>
      <c r="E77" s="3252"/>
      <c r="F77" s="3252"/>
      <c r="G77" s="3252"/>
      <c r="H77" s="3252"/>
    </row>
    <row r="78" spans="1:8" x14ac:dyDescent="0.2">
      <c r="A78" s="3252"/>
      <c r="B78" s="3252"/>
      <c r="C78" s="3252"/>
      <c r="D78" s="3252"/>
      <c r="E78" s="3252"/>
      <c r="F78" s="3252"/>
      <c r="G78" s="3252"/>
      <c r="H78" s="3252"/>
    </row>
    <row r="79" spans="1:8" x14ac:dyDescent="0.2">
      <c r="A79" s="3253" t="s">
        <v>1921</v>
      </c>
      <c r="B79" s="3252"/>
      <c r="C79" s="3252"/>
      <c r="D79" s="3252"/>
      <c r="E79" s="3252"/>
      <c r="F79" s="3252"/>
      <c r="G79" s="3252"/>
      <c r="H79" s="3252"/>
    </row>
    <row r="80" spans="1:8" x14ac:dyDescent="0.2">
      <c r="A80" s="3253" t="s">
        <v>1922</v>
      </c>
      <c r="B80" s="3252"/>
      <c r="C80" s="3252"/>
      <c r="D80" s="3252"/>
      <c r="E80" s="3252"/>
      <c r="F80" s="3252"/>
      <c r="G80" s="3252"/>
      <c r="H80" s="3252"/>
    </row>
    <row r="81" spans="1:8" x14ac:dyDescent="0.2">
      <c r="A81" s="3253" t="s">
        <v>1923</v>
      </c>
      <c r="B81" s="3252"/>
      <c r="C81" s="3252"/>
      <c r="D81" s="3252"/>
      <c r="E81" s="3252"/>
      <c r="F81" s="3252"/>
      <c r="G81" s="3252"/>
      <c r="H81" s="3252"/>
    </row>
    <row r="82" spans="1:8" x14ac:dyDescent="0.2">
      <c r="A82" s="3253" t="s">
        <v>1924</v>
      </c>
      <c r="B82" s="3252"/>
      <c r="C82" s="3252"/>
      <c r="D82" s="3252"/>
      <c r="E82" s="3252"/>
      <c r="F82" s="3252"/>
      <c r="G82" s="3252"/>
      <c r="H82" s="3252"/>
    </row>
    <row r="83" spans="1:8" x14ac:dyDescent="0.2">
      <c r="A83" s="3253" t="s">
        <v>1925</v>
      </c>
      <c r="B83" s="3252"/>
      <c r="C83" s="3252"/>
      <c r="D83" s="3252"/>
      <c r="E83" s="3252"/>
      <c r="F83" s="3252"/>
      <c r="G83" s="3252"/>
      <c r="H83" s="3252"/>
    </row>
    <row r="84" spans="1:8" x14ac:dyDescent="0.2">
      <c r="A84" s="3253" t="s">
        <v>1926</v>
      </c>
      <c r="B84" s="3252"/>
      <c r="C84" s="3252"/>
      <c r="D84" s="3252"/>
      <c r="E84" s="3252"/>
      <c r="F84" s="3252"/>
      <c r="G84" s="3252"/>
      <c r="H84" s="3252"/>
    </row>
    <row r="85" spans="1:8" x14ac:dyDescent="0.2">
      <c r="A85" s="3253" t="s">
        <v>1927</v>
      </c>
      <c r="B85" s="3252"/>
      <c r="C85" s="3252"/>
      <c r="D85" s="3252"/>
      <c r="E85" s="3252"/>
      <c r="F85" s="3252"/>
      <c r="G85" s="3252"/>
      <c r="H85" s="3252"/>
    </row>
    <row r="86" spans="1:8" x14ac:dyDescent="0.2">
      <c r="A86" s="3252"/>
      <c r="B86" s="3252"/>
      <c r="C86" s="3252"/>
      <c r="D86" s="3252"/>
      <c r="E86" s="3252"/>
      <c r="F86" s="3252"/>
      <c r="G86" s="3252"/>
      <c r="H86" s="3252"/>
    </row>
    <row r="87" spans="1:8" x14ac:dyDescent="0.2">
      <c r="A87" s="3253" t="s">
        <v>1919</v>
      </c>
      <c r="B87" s="3252"/>
      <c r="C87" s="3252"/>
      <c r="D87" s="3252"/>
      <c r="E87" s="3252"/>
      <c r="F87" s="3252"/>
      <c r="G87" s="3252"/>
      <c r="H87" s="3252"/>
    </row>
    <row r="88" spans="1:8" x14ac:dyDescent="0.2">
      <c r="A88" s="3253" t="s">
        <v>1920</v>
      </c>
      <c r="B88" s="3252"/>
      <c r="C88" s="3252"/>
      <c r="D88" s="3252"/>
      <c r="E88" s="3252"/>
      <c r="F88" s="3252"/>
      <c r="G88" s="3252"/>
      <c r="H88" s="3252"/>
    </row>
    <row r="89" spans="1:8" x14ac:dyDescent="0.2">
      <c r="A89" s="3252"/>
      <c r="B89" s="3252"/>
      <c r="C89" s="3252"/>
      <c r="D89" s="3252"/>
      <c r="E89" s="3252"/>
      <c r="F89" s="3252"/>
      <c r="G89" s="3252"/>
      <c r="H89" s="3252"/>
    </row>
    <row r="90" spans="1:8" ht="15.75" x14ac:dyDescent="0.2">
      <c r="A90" s="3254" t="s">
        <v>1691</v>
      </c>
      <c r="B90" s="3252"/>
      <c r="C90" s="3252"/>
      <c r="D90" s="3252"/>
      <c r="E90" s="3252"/>
      <c r="F90" s="3252"/>
      <c r="G90" s="3252"/>
      <c r="H90" s="3252"/>
    </row>
    <row r="91" spans="1:8" x14ac:dyDescent="0.2">
      <c r="A91" s="3252"/>
      <c r="B91" s="3252"/>
      <c r="C91" s="3252"/>
      <c r="D91" s="3252"/>
      <c r="E91" s="3252"/>
      <c r="F91" s="3252"/>
      <c r="G91" s="3252"/>
      <c r="H91" s="3252"/>
    </row>
    <row r="92" spans="1:8" x14ac:dyDescent="0.2">
      <c r="A92" s="3253" t="s">
        <v>1910</v>
      </c>
      <c r="B92" s="3252"/>
      <c r="C92" s="3252"/>
      <c r="D92" s="3252"/>
      <c r="E92" s="3252"/>
      <c r="F92" s="3252"/>
      <c r="G92" s="3252"/>
      <c r="H92" s="3252"/>
    </row>
    <row r="93" spans="1:8" x14ac:dyDescent="0.2">
      <c r="A93" s="3253" t="s">
        <v>1911</v>
      </c>
      <c r="B93" s="3252"/>
      <c r="C93" s="3252"/>
      <c r="D93" s="3252"/>
      <c r="E93" s="3252"/>
      <c r="F93" s="3252"/>
      <c r="G93" s="3252"/>
      <c r="H93" s="3252"/>
    </row>
    <row r="94" spans="1:8" x14ac:dyDescent="0.2">
      <c r="A94" s="3253" t="s">
        <v>1912</v>
      </c>
      <c r="B94" s="3252"/>
      <c r="C94" s="3252"/>
      <c r="D94" s="3252"/>
      <c r="E94" s="3252"/>
      <c r="F94" s="3252"/>
      <c r="G94" s="3252"/>
      <c r="H94" s="3252"/>
    </row>
    <row r="95" spans="1:8" x14ac:dyDescent="0.2">
      <c r="A95" s="3253" t="s">
        <v>1913</v>
      </c>
      <c r="B95" s="3252"/>
      <c r="C95" s="3252"/>
      <c r="D95" s="3252"/>
      <c r="E95" s="3252"/>
      <c r="F95" s="3252"/>
      <c r="G95" s="3252"/>
      <c r="H95" s="3252"/>
    </row>
    <row r="96" spans="1:8" x14ac:dyDescent="0.2">
      <c r="A96" s="3253" t="s">
        <v>1914</v>
      </c>
      <c r="B96" s="3252"/>
      <c r="C96" s="3252"/>
      <c r="D96" s="3252"/>
      <c r="E96" s="3252"/>
      <c r="F96" s="3252"/>
      <c r="G96" s="3252"/>
      <c r="H96" s="3252"/>
    </row>
    <row r="97" spans="1:8" x14ac:dyDescent="0.2">
      <c r="A97" s="3253" t="s">
        <v>1915</v>
      </c>
      <c r="B97" s="3252"/>
      <c r="C97" s="3252"/>
      <c r="D97" s="3252"/>
      <c r="E97" s="3252"/>
      <c r="F97" s="3252"/>
      <c r="G97" s="3252"/>
      <c r="H97" s="3252"/>
    </row>
    <row r="98" spans="1:8" x14ac:dyDescent="0.2">
      <c r="A98" s="3253" t="s">
        <v>1916</v>
      </c>
      <c r="B98" s="3252"/>
      <c r="C98" s="3252"/>
      <c r="D98" s="3252"/>
      <c r="E98" s="3252"/>
      <c r="F98" s="3252"/>
      <c r="G98" s="3252"/>
      <c r="H98" s="3252"/>
    </row>
    <row r="99" spans="1:8" x14ac:dyDescent="0.2">
      <c r="A99" s="3253" t="s">
        <v>1917</v>
      </c>
      <c r="B99" s="3252"/>
      <c r="C99" s="3252"/>
      <c r="D99" s="3252"/>
      <c r="E99" s="3252"/>
      <c r="F99" s="3252"/>
      <c r="G99" s="3252"/>
      <c r="H99" s="3252"/>
    </row>
    <row r="100" spans="1:8" x14ac:dyDescent="0.2">
      <c r="A100" s="3253" t="s">
        <v>1918</v>
      </c>
      <c r="B100" s="3252"/>
      <c r="C100" s="3252"/>
      <c r="D100" s="3252"/>
      <c r="E100" s="3252"/>
      <c r="F100" s="3252"/>
      <c r="G100" s="3252"/>
      <c r="H100" s="3252"/>
    </row>
    <row r="101" spans="1:8" x14ac:dyDescent="0.2">
      <c r="A101" s="3252"/>
      <c r="B101" s="3252"/>
      <c r="C101" s="3252"/>
      <c r="D101" s="3252"/>
      <c r="E101" s="3252"/>
      <c r="F101" s="3252"/>
      <c r="G101" s="3252"/>
      <c r="H101" s="3252"/>
    </row>
    <row r="102" spans="1:8" ht="15.75" x14ac:dyDescent="0.2">
      <c r="A102" s="3255" t="s">
        <v>1692</v>
      </c>
      <c r="B102" s="3255"/>
      <c r="C102" s="3255"/>
      <c r="D102" s="3255"/>
      <c r="E102" s="3255"/>
      <c r="F102" s="3255"/>
      <c r="G102" s="3255"/>
      <c r="H102" s="3255"/>
    </row>
    <row r="103" spans="1:8" x14ac:dyDescent="0.2">
      <c r="A103" s="3256" t="s">
        <v>1693</v>
      </c>
      <c r="B103" s="3256"/>
      <c r="C103" s="3256"/>
      <c r="D103" s="3256"/>
      <c r="E103" s="3256"/>
      <c r="F103" s="3256"/>
      <c r="G103" s="3256"/>
      <c r="H103" s="3256"/>
    </row>
    <row r="104" spans="1:8" x14ac:dyDescent="0.2">
      <c r="A104" s="3257"/>
      <c r="B104" s="3257"/>
      <c r="C104" s="3257"/>
      <c r="D104" s="3257"/>
      <c r="E104" s="3257"/>
      <c r="F104" s="3257"/>
      <c r="G104" s="3257"/>
      <c r="H104" s="3257"/>
    </row>
    <row r="105" spans="1:8" x14ac:dyDescent="0.2">
      <c r="A105" s="3256" t="s">
        <v>1908</v>
      </c>
      <c r="B105" s="3256"/>
      <c r="C105" s="3256"/>
      <c r="D105" s="3256"/>
      <c r="E105" s="3256"/>
      <c r="F105" s="3256"/>
      <c r="G105" s="3256"/>
      <c r="H105" s="3256"/>
    </row>
    <row r="106" spans="1:8" x14ac:dyDescent="0.2">
      <c r="A106" s="3253" t="s">
        <v>1909</v>
      </c>
      <c r="B106" s="3253"/>
      <c r="C106" s="3253"/>
      <c r="D106" s="3253"/>
      <c r="E106" s="3253"/>
      <c r="F106" s="3253"/>
      <c r="G106" s="3253"/>
      <c r="H106" s="3253"/>
    </row>
    <row r="107" spans="1:8" x14ac:dyDescent="0.2">
      <c r="A107" s="3257"/>
      <c r="B107" s="3257"/>
      <c r="C107" s="3257"/>
      <c r="D107" s="3257"/>
      <c r="E107" s="3257"/>
      <c r="F107" s="3257"/>
      <c r="G107" s="3257"/>
      <c r="H107" s="3257"/>
    </row>
    <row r="108" spans="1:8" x14ac:dyDescent="0.2">
      <c r="A108" s="3256" t="s">
        <v>1901</v>
      </c>
      <c r="B108" s="3256"/>
      <c r="C108" s="3256"/>
      <c r="D108" s="3256"/>
      <c r="E108" s="3256"/>
      <c r="F108" s="3256"/>
      <c r="G108" s="3256"/>
      <c r="H108" s="3256"/>
    </row>
    <row r="109" spans="1:8" x14ac:dyDescent="0.2">
      <c r="A109" s="3253" t="s">
        <v>1902</v>
      </c>
      <c r="B109" s="3253"/>
      <c r="C109" s="3253"/>
      <c r="D109" s="3253"/>
      <c r="E109" s="3253"/>
      <c r="F109" s="3253"/>
      <c r="G109" s="3253"/>
      <c r="H109" s="3253"/>
    </row>
    <row r="110" spans="1:8" x14ac:dyDescent="0.2">
      <c r="A110" s="3253" t="s">
        <v>1903</v>
      </c>
      <c r="B110" s="3253"/>
      <c r="C110" s="3253"/>
      <c r="D110" s="3253"/>
      <c r="E110" s="3253"/>
      <c r="F110" s="3253"/>
      <c r="G110" s="3253"/>
      <c r="H110" s="3253"/>
    </row>
    <row r="111" spans="1:8" x14ac:dyDescent="0.2">
      <c r="A111" s="3253" t="s">
        <v>1904</v>
      </c>
      <c r="B111" s="3253"/>
      <c r="C111" s="3253"/>
      <c r="D111" s="3253"/>
      <c r="E111" s="3253"/>
      <c r="F111" s="3253"/>
      <c r="G111" s="3253"/>
      <c r="H111" s="3253"/>
    </row>
    <row r="112" spans="1:8" x14ac:dyDescent="0.2">
      <c r="A112" s="3253" t="s">
        <v>1905</v>
      </c>
      <c r="B112" s="3253"/>
      <c r="C112" s="3253"/>
      <c r="D112" s="3253"/>
      <c r="E112" s="3253"/>
      <c r="F112" s="3253"/>
      <c r="G112" s="3253"/>
      <c r="H112" s="3253"/>
    </row>
    <row r="113" spans="1:8" x14ac:dyDescent="0.2">
      <c r="A113" s="3253" t="s">
        <v>1906</v>
      </c>
      <c r="B113" s="3253"/>
      <c r="C113" s="3253"/>
      <c r="D113" s="3253"/>
      <c r="E113" s="3253"/>
      <c r="F113" s="3253"/>
      <c r="G113" s="3253"/>
      <c r="H113" s="3253"/>
    </row>
    <row r="114" spans="1:8" x14ac:dyDescent="0.2">
      <c r="A114" s="3253" t="s">
        <v>1907</v>
      </c>
      <c r="B114" s="3253"/>
      <c r="C114" s="3253"/>
      <c r="D114" s="3253"/>
      <c r="E114" s="3253"/>
      <c r="F114" s="3253"/>
      <c r="G114" s="3253"/>
      <c r="H114" s="3253"/>
    </row>
    <row r="115" spans="1:8" x14ac:dyDescent="0.2">
      <c r="A115" s="3258"/>
      <c r="B115" s="3258"/>
      <c r="C115" s="3258"/>
      <c r="D115" s="3258"/>
      <c r="E115" s="3258"/>
      <c r="F115" s="3258"/>
      <c r="G115" s="3258"/>
      <c r="H115" s="3258"/>
    </row>
    <row r="116" spans="1:8" x14ac:dyDescent="0.2">
      <c r="A116" s="3259"/>
      <c r="B116" s="3260" t="s">
        <v>1694</v>
      </c>
      <c r="C116" s="3261"/>
      <c r="D116" s="3260" t="s">
        <v>1695</v>
      </c>
      <c r="E116" s="3262"/>
      <c r="F116" s="3261"/>
      <c r="G116" s="3260" t="s">
        <v>1696</v>
      </c>
      <c r="H116" s="3261"/>
    </row>
    <row r="117" spans="1:8" x14ac:dyDescent="0.2">
      <c r="A117" s="3259" t="s">
        <v>1697</v>
      </c>
      <c r="B117" s="3259" t="s">
        <v>29</v>
      </c>
      <c r="C117" s="3259" t="s">
        <v>227</v>
      </c>
      <c r="D117" s="3259" t="s">
        <v>29</v>
      </c>
      <c r="E117" s="3259" t="s">
        <v>1698</v>
      </c>
      <c r="F117" s="3259" t="s">
        <v>1699</v>
      </c>
      <c r="G117" s="3259" t="s">
        <v>29</v>
      </c>
      <c r="H117" s="3259" t="s">
        <v>1700</v>
      </c>
    </row>
    <row r="118" spans="1:8" x14ac:dyDescent="0.2">
      <c r="A118" s="3259" t="s">
        <v>1701</v>
      </c>
      <c r="B118" s="3259">
        <v>1189</v>
      </c>
      <c r="C118" s="3259">
        <v>0.38</v>
      </c>
      <c r="D118" s="3259">
        <v>315</v>
      </c>
      <c r="E118" s="3259">
        <v>0.41</v>
      </c>
      <c r="F118" s="3259">
        <v>0.26</v>
      </c>
      <c r="G118" s="3259">
        <v>555</v>
      </c>
      <c r="H118" s="3259">
        <v>0.39</v>
      </c>
    </row>
    <row r="119" spans="1:8" x14ac:dyDescent="0.2">
      <c r="A119" s="3259" t="s">
        <v>1702</v>
      </c>
      <c r="B119" s="3259">
        <v>1355</v>
      </c>
      <c r="C119" s="3259">
        <v>0.43</v>
      </c>
      <c r="D119" s="3259">
        <v>364</v>
      </c>
      <c r="E119" s="3259">
        <v>0.47</v>
      </c>
      <c r="F119" s="3259">
        <v>0.27</v>
      </c>
      <c r="G119" s="3259">
        <v>644</v>
      </c>
      <c r="H119" s="3259">
        <v>0.45</v>
      </c>
    </row>
    <row r="120" spans="1:8" x14ac:dyDescent="0.2">
      <c r="A120" s="3259" t="s">
        <v>1703</v>
      </c>
      <c r="B120" s="3259">
        <v>53</v>
      </c>
      <c r="C120" s="3259">
        <v>0.02</v>
      </c>
      <c r="D120" s="3259">
        <v>4</v>
      </c>
      <c r="E120" s="3259">
        <v>0.01</v>
      </c>
      <c r="F120" s="3259">
        <v>0.08</v>
      </c>
      <c r="G120" s="3259">
        <v>7</v>
      </c>
      <c r="H120" s="3259">
        <v>0</v>
      </c>
    </row>
    <row r="121" spans="1:8" x14ac:dyDescent="0.2">
      <c r="A121" s="3259" t="s">
        <v>1704</v>
      </c>
      <c r="B121" s="3259">
        <v>545</v>
      </c>
      <c r="C121" s="3259">
        <v>0.17</v>
      </c>
      <c r="D121" s="3259">
        <v>84</v>
      </c>
      <c r="E121" s="3259">
        <v>0.11</v>
      </c>
      <c r="F121" s="3259">
        <v>0.15</v>
      </c>
      <c r="G121" s="3259">
        <v>214</v>
      </c>
      <c r="H121" s="3259">
        <v>0.15</v>
      </c>
    </row>
    <row r="122" spans="1:8" x14ac:dyDescent="0.2">
      <c r="A122" s="3259" t="s">
        <v>251</v>
      </c>
      <c r="B122" s="3259">
        <v>3142</v>
      </c>
      <c r="C122" s="3259"/>
      <c r="D122" s="3259">
        <v>767</v>
      </c>
      <c r="E122" s="3259"/>
      <c r="F122" s="3259"/>
      <c r="G122" s="3259">
        <v>1420</v>
      </c>
      <c r="H122" s="3259"/>
    </row>
    <row r="123" spans="1:8" x14ac:dyDescent="0.2">
      <c r="A123" s="3263"/>
      <c r="B123" s="3263"/>
      <c r="C123" s="3263"/>
      <c r="D123" s="3263"/>
      <c r="E123" s="3263"/>
      <c r="F123" s="3263"/>
      <c r="G123" s="3263"/>
      <c r="H123" s="3263"/>
    </row>
    <row r="124" spans="1:8" x14ac:dyDescent="0.2">
      <c r="A124" s="3256" t="s">
        <v>1897</v>
      </c>
      <c r="B124" s="3256"/>
      <c r="C124" s="3256"/>
      <c r="D124" s="3256"/>
      <c r="E124" s="3256"/>
      <c r="F124" s="3256"/>
      <c r="G124" s="3256"/>
      <c r="H124" s="3256"/>
    </row>
    <row r="125" spans="1:8" x14ac:dyDescent="0.2">
      <c r="A125" s="3253" t="s">
        <v>1898</v>
      </c>
      <c r="B125" s="3253"/>
      <c r="C125" s="3253"/>
      <c r="D125" s="3253"/>
      <c r="E125" s="3253"/>
      <c r="F125" s="3253"/>
      <c r="G125" s="3253"/>
      <c r="H125" s="3253"/>
    </row>
    <row r="126" spans="1:8" x14ac:dyDescent="0.2">
      <c r="A126" s="3253" t="s">
        <v>1899</v>
      </c>
      <c r="B126" s="3253"/>
      <c r="C126" s="3253"/>
      <c r="D126" s="3253"/>
      <c r="E126" s="3253"/>
      <c r="F126" s="3253"/>
      <c r="G126" s="3253"/>
      <c r="H126" s="3253"/>
    </row>
    <row r="127" spans="1:8" x14ac:dyDescent="0.2">
      <c r="A127" s="3253" t="s">
        <v>1900</v>
      </c>
      <c r="B127" s="3253"/>
      <c r="C127" s="3253"/>
      <c r="D127" s="3253"/>
      <c r="E127" s="3253"/>
      <c r="F127" s="3253"/>
      <c r="G127" s="3253"/>
      <c r="H127" s="3253"/>
    </row>
    <row r="128" spans="1:8" x14ac:dyDescent="0.2">
      <c r="A128" s="3252"/>
      <c r="B128" s="3252"/>
      <c r="C128" s="3252"/>
      <c r="D128" s="3252"/>
      <c r="E128" s="3252"/>
      <c r="F128" s="3252"/>
      <c r="G128" s="3252"/>
      <c r="H128" s="3252"/>
    </row>
    <row r="129" spans="1:8" ht="15.75" x14ac:dyDescent="0.2">
      <c r="A129" s="3254" t="s">
        <v>1705</v>
      </c>
      <c r="B129" s="3252"/>
      <c r="C129" s="3252"/>
      <c r="D129" s="3252"/>
      <c r="E129" s="3252"/>
      <c r="F129" s="3252"/>
      <c r="G129" s="3252"/>
      <c r="H129" s="3252"/>
    </row>
    <row r="130" spans="1:8" x14ac:dyDescent="0.2">
      <c r="A130" s="3252"/>
      <c r="B130" s="3252"/>
      <c r="C130" s="3252"/>
      <c r="D130" s="3252"/>
      <c r="E130" s="3252"/>
      <c r="F130" s="3252"/>
      <c r="G130" s="3252"/>
      <c r="H130" s="3252"/>
    </row>
    <row r="131" spans="1:8" x14ac:dyDescent="0.2">
      <c r="A131" s="3253" t="s">
        <v>1895</v>
      </c>
      <c r="B131" s="3252"/>
      <c r="C131" s="3252"/>
      <c r="D131" s="3252"/>
      <c r="E131" s="3252"/>
      <c r="F131" s="3252"/>
      <c r="G131" s="3252"/>
      <c r="H131" s="3252"/>
    </row>
    <row r="132" spans="1:8" x14ac:dyDescent="0.2">
      <c r="A132" s="3253" t="s">
        <v>1896</v>
      </c>
      <c r="B132" s="3252"/>
      <c r="C132" s="3252"/>
      <c r="D132" s="3252"/>
      <c r="E132" s="3252"/>
      <c r="F132" s="3252"/>
      <c r="G132" s="3252"/>
      <c r="H132" s="3252"/>
    </row>
    <row r="133" spans="1:8" x14ac:dyDescent="0.2">
      <c r="A133" s="3252"/>
      <c r="B133" s="3252"/>
      <c r="C133" s="3252"/>
      <c r="D133" s="3252"/>
      <c r="E133" s="3252"/>
      <c r="F133" s="3252"/>
      <c r="G133" s="3252"/>
      <c r="H133" s="3252"/>
    </row>
    <row r="134" spans="1:8" x14ac:dyDescent="0.2">
      <c r="A134" s="3253" t="s">
        <v>1892</v>
      </c>
      <c r="B134" s="3252"/>
      <c r="C134" s="3252"/>
      <c r="D134" s="3252"/>
      <c r="E134" s="3252"/>
      <c r="F134" s="3252"/>
      <c r="G134" s="3252"/>
      <c r="H134" s="3252"/>
    </row>
    <row r="135" spans="1:8" x14ac:dyDescent="0.2">
      <c r="A135" s="3253" t="s">
        <v>1893</v>
      </c>
      <c r="B135" s="3252"/>
      <c r="C135" s="3252"/>
      <c r="D135" s="3252"/>
      <c r="E135" s="3252"/>
      <c r="F135" s="3252"/>
      <c r="G135" s="3252"/>
      <c r="H135" s="3252"/>
    </row>
    <row r="136" spans="1:8" x14ac:dyDescent="0.2">
      <c r="A136" s="3253" t="s">
        <v>1894</v>
      </c>
      <c r="B136" s="3252"/>
      <c r="C136" s="3252"/>
      <c r="D136" s="3252"/>
      <c r="E136" s="3252"/>
      <c r="F136" s="3252"/>
      <c r="G136" s="3252"/>
      <c r="H136" s="3252"/>
    </row>
    <row r="137" spans="1:8" x14ac:dyDescent="0.2">
      <c r="A137" s="3252"/>
      <c r="B137" s="3252"/>
      <c r="C137" s="3252"/>
      <c r="D137" s="3252"/>
      <c r="E137" s="3252"/>
      <c r="F137" s="3252"/>
      <c r="G137" s="3252"/>
      <c r="H137" s="3252"/>
    </row>
    <row r="138" spans="1:8" x14ac:dyDescent="0.2">
      <c r="A138" s="3253" t="s">
        <v>1889</v>
      </c>
      <c r="B138" s="3252"/>
      <c r="C138" s="3252"/>
      <c r="D138" s="3252"/>
      <c r="E138" s="3252"/>
      <c r="F138" s="3252"/>
      <c r="G138" s="3252"/>
      <c r="H138" s="3252"/>
    </row>
    <row r="139" spans="1:8" x14ac:dyDescent="0.2">
      <c r="A139" s="3253" t="s">
        <v>1890</v>
      </c>
      <c r="B139" s="3252"/>
      <c r="C139" s="3252"/>
      <c r="D139" s="3252"/>
      <c r="E139" s="3252"/>
      <c r="F139" s="3252"/>
      <c r="G139" s="3252"/>
      <c r="H139" s="3252"/>
    </row>
    <row r="140" spans="1:8" x14ac:dyDescent="0.2">
      <c r="A140" s="3253" t="s">
        <v>1891</v>
      </c>
      <c r="B140" s="3252"/>
      <c r="C140" s="3252"/>
      <c r="D140" s="3252"/>
      <c r="E140" s="3252"/>
      <c r="F140" s="3252"/>
      <c r="G140" s="3252"/>
      <c r="H140" s="3252"/>
    </row>
    <row r="141" spans="1:8" x14ac:dyDescent="0.2">
      <c r="A141" s="3252"/>
      <c r="B141" s="3252"/>
      <c r="C141" s="3252"/>
      <c r="D141" s="3252"/>
      <c r="E141" s="3252"/>
      <c r="F141" s="3252"/>
      <c r="G141" s="3252"/>
      <c r="H141" s="3252"/>
    </row>
    <row r="142" spans="1:8" x14ac:dyDescent="0.2">
      <c r="A142" s="3253" t="s">
        <v>1886</v>
      </c>
      <c r="B142" s="3252"/>
      <c r="C142" s="3252"/>
      <c r="D142" s="3252"/>
      <c r="E142" s="3252"/>
      <c r="F142" s="3252"/>
      <c r="G142" s="3252"/>
      <c r="H142" s="3252"/>
    </row>
    <row r="143" spans="1:8" x14ac:dyDescent="0.2">
      <c r="A143" s="3253" t="s">
        <v>1887</v>
      </c>
      <c r="B143" s="3252"/>
      <c r="C143" s="3252"/>
      <c r="D143" s="3252"/>
      <c r="E143" s="3252"/>
      <c r="F143" s="3252"/>
      <c r="G143" s="3252"/>
      <c r="H143" s="3252"/>
    </row>
    <row r="144" spans="1:8" x14ac:dyDescent="0.2">
      <c r="A144" s="3253" t="s">
        <v>1888</v>
      </c>
      <c r="B144" s="3252"/>
      <c r="C144" s="3252"/>
      <c r="D144" s="3252"/>
      <c r="E144" s="3252"/>
      <c r="F144" s="3252"/>
      <c r="G144" s="3252"/>
      <c r="H144" s="3252"/>
    </row>
    <row r="145" spans="1:8" x14ac:dyDescent="0.2">
      <c r="A145" s="3252"/>
      <c r="B145" s="3252"/>
      <c r="C145" s="3252"/>
      <c r="D145" s="3252"/>
      <c r="E145" s="3252"/>
      <c r="F145" s="3252"/>
      <c r="G145" s="3252"/>
      <c r="H145" s="3252"/>
    </row>
    <row r="146" spans="1:8" x14ac:dyDescent="0.2">
      <c r="A146" s="3253" t="s">
        <v>1884</v>
      </c>
      <c r="B146" s="3252"/>
      <c r="C146" s="3252"/>
      <c r="D146" s="3252"/>
      <c r="E146" s="3252"/>
      <c r="F146" s="3252"/>
      <c r="G146" s="3252"/>
      <c r="H146" s="3252"/>
    </row>
    <row r="147" spans="1:8" x14ac:dyDescent="0.2">
      <c r="A147" s="3253" t="s">
        <v>1885</v>
      </c>
      <c r="B147" s="3252"/>
      <c r="C147" s="3252"/>
      <c r="D147" s="3252"/>
      <c r="E147" s="3252"/>
      <c r="F147" s="3252"/>
      <c r="G147" s="3252"/>
      <c r="H147" s="3252"/>
    </row>
    <row r="148" spans="1:8" x14ac:dyDescent="0.2">
      <c r="A148" s="3252"/>
      <c r="B148" s="3252"/>
      <c r="C148" s="3252"/>
      <c r="D148" s="3252"/>
      <c r="E148" s="3252"/>
      <c r="F148" s="3252"/>
      <c r="G148" s="3252"/>
      <c r="H148" s="3252"/>
    </row>
    <row r="149" spans="1:8" ht="15.75" x14ac:dyDescent="0.2">
      <c r="A149" s="3254" t="s">
        <v>1706</v>
      </c>
      <c r="B149" s="3252"/>
      <c r="C149" s="3252"/>
      <c r="D149" s="3252"/>
      <c r="E149" s="3252"/>
      <c r="F149" s="3252"/>
      <c r="G149" s="3252"/>
      <c r="H149" s="3252"/>
    </row>
    <row r="150" spans="1:8" x14ac:dyDescent="0.2">
      <c r="A150" s="3252"/>
      <c r="B150" s="3252"/>
      <c r="C150" s="3252"/>
      <c r="D150" s="3252"/>
      <c r="E150" s="3252"/>
      <c r="F150" s="3252"/>
      <c r="G150" s="3252"/>
      <c r="H150" s="3252"/>
    </row>
    <row r="151" spans="1:8" x14ac:dyDescent="0.2">
      <c r="A151" s="3253" t="s">
        <v>1882</v>
      </c>
      <c r="B151" s="3252"/>
      <c r="C151" s="3252"/>
      <c r="D151" s="3252"/>
      <c r="E151" s="3252"/>
      <c r="F151" s="3252"/>
      <c r="G151" s="3252"/>
      <c r="H151" s="3252"/>
    </row>
    <row r="152" spans="1:8" x14ac:dyDescent="0.2">
      <c r="A152" s="3253" t="s">
        <v>1883</v>
      </c>
      <c r="B152" s="3252"/>
      <c r="C152" s="3252"/>
      <c r="D152" s="3252"/>
      <c r="E152" s="3252"/>
      <c r="F152" s="3252"/>
      <c r="G152" s="3252"/>
      <c r="H152" s="3252"/>
    </row>
    <row r="153" spans="1:8" x14ac:dyDescent="0.2">
      <c r="A153" s="3252"/>
      <c r="B153" s="3252"/>
      <c r="C153" s="3252"/>
      <c r="D153" s="3252"/>
      <c r="E153" s="3252"/>
      <c r="F153" s="3252"/>
      <c r="G153" s="3252"/>
      <c r="H153" s="3252"/>
    </row>
    <row r="154" spans="1:8" x14ac:dyDescent="0.2">
      <c r="A154" s="3253" t="s">
        <v>1880</v>
      </c>
      <c r="B154" s="3252"/>
      <c r="C154" s="3252"/>
      <c r="D154" s="3252"/>
      <c r="E154" s="3252"/>
      <c r="F154" s="3252"/>
      <c r="G154" s="3252"/>
      <c r="H154" s="3252"/>
    </row>
    <row r="155" spans="1:8" x14ac:dyDescent="0.2">
      <c r="A155" s="3253" t="s">
        <v>1881</v>
      </c>
      <c r="B155" s="3252"/>
      <c r="C155" s="3252"/>
      <c r="D155" s="3252"/>
      <c r="E155" s="3252"/>
      <c r="F155" s="3252"/>
      <c r="G155" s="3252"/>
      <c r="H155" s="3252"/>
    </row>
    <row r="156" spans="1:8" x14ac:dyDescent="0.2">
      <c r="A156" s="3252"/>
      <c r="B156" s="3252"/>
      <c r="C156" s="3252"/>
      <c r="D156" s="3252"/>
      <c r="E156" s="3252"/>
      <c r="F156" s="3252"/>
      <c r="G156" s="3252"/>
      <c r="H156" s="3252"/>
    </row>
    <row r="157" spans="1:8" x14ac:dyDescent="0.2">
      <c r="A157" s="3253" t="s">
        <v>1878</v>
      </c>
      <c r="B157" s="3252"/>
      <c r="C157" s="3252"/>
      <c r="D157" s="3252"/>
      <c r="E157" s="3252"/>
      <c r="F157" s="3252"/>
      <c r="G157" s="3252"/>
      <c r="H157" s="3252"/>
    </row>
    <row r="158" spans="1:8" x14ac:dyDescent="0.2">
      <c r="A158" s="3253" t="s">
        <v>1879</v>
      </c>
      <c r="B158" s="3252"/>
      <c r="C158" s="3252"/>
      <c r="D158" s="3252"/>
      <c r="E158" s="3252"/>
      <c r="F158" s="3252"/>
      <c r="G158" s="3252"/>
      <c r="H158" s="3252"/>
    </row>
    <row r="159" spans="1:8" x14ac:dyDescent="0.2">
      <c r="A159" s="3252"/>
      <c r="B159" s="3252"/>
      <c r="C159" s="3252"/>
      <c r="D159" s="3252"/>
      <c r="E159" s="3252"/>
      <c r="F159" s="3252"/>
      <c r="G159" s="3252"/>
      <c r="H159" s="3252"/>
    </row>
    <row r="160" spans="1:8" x14ac:dyDescent="0.2">
      <c r="A160" s="3253" t="s">
        <v>1875</v>
      </c>
      <c r="B160" s="3252"/>
      <c r="C160" s="3252"/>
      <c r="D160" s="3252"/>
      <c r="E160" s="3252"/>
      <c r="F160" s="3252"/>
      <c r="G160" s="3252"/>
      <c r="H160" s="3252"/>
    </row>
    <row r="161" spans="1:8" x14ac:dyDescent="0.2">
      <c r="A161" s="3253" t="s">
        <v>1876</v>
      </c>
      <c r="B161" s="3252"/>
      <c r="C161" s="3252"/>
      <c r="D161" s="3252"/>
      <c r="E161" s="3252"/>
      <c r="F161" s="3252"/>
      <c r="G161" s="3252"/>
      <c r="H161" s="3252"/>
    </row>
    <row r="162" spans="1:8" x14ac:dyDescent="0.2">
      <c r="A162" s="3253" t="s">
        <v>1877</v>
      </c>
      <c r="B162" s="3252"/>
      <c r="C162" s="3252"/>
      <c r="D162" s="3252"/>
      <c r="E162" s="3252"/>
      <c r="F162" s="3252"/>
      <c r="G162" s="3252"/>
      <c r="H162" s="3252"/>
    </row>
    <row r="163" spans="1:8" x14ac:dyDescent="0.2">
      <c r="A163" s="3252"/>
      <c r="B163" s="3252"/>
      <c r="C163" s="3252"/>
      <c r="D163" s="3252"/>
      <c r="E163" s="3252"/>
      <c r="F163" s="3252"/>
      <c r="G163" s="3252"/>
      <c r="H163" s="3252"/>
    </row>
    <row r="164" spans="1:8" x14ac:dyDescent="0.2">
      <c r="A164" s="3252"/>
      <c r="B164" s="3252"/>
      <c r="C164" s="3252"/>
      <c r="D164" s="3252"/>
      <c r="E164" s="3252"/>
      <c r="F164" s="3252"/>
      <c r="G164" s="3252"/>
      <c r="H164" s="3252"/>
    </row>
    <row r="165" spans="1:8" x14ac:dyDescent="0.2">
      <c r="A165" s="3253" t="s">
        <v>1707</v>
      </c>
      <c r="B165" s="3252"/>
      <c r="C165" s="3252"/>
      <c r="D165" s="3252"/>
      <c r="E165" s="3252"/>
      <c r="F165" s="3252"/>
      <c r="G165" s="3252"/>
      <c r="H165" s="3252"/>
    </row>
    <row r="166" spans="1:8" x14ac:dyDescent="0.2">
      <c r="A166" s="3252"/>
      <c r="B166" s="3252"/>
      <c r="C166" s="3252"/>
      <c r="D166" s="3252"/>
      <c r="E166" s="3252"/>
      <c r="F166" s="3252"/>
      <c r="G166" s="3252"/>
      <c r="H166" s="3252"/>
    </row>
    <row r="167" spans="1:8" ht="15.75" x14ac:dyDescent="0.2">
      <c r="A167" s="3254" t="s">
        <v>1708</v>
      </c>
      <c r="B167" s="3252"/>
      <c r="C167" s="3252"/>
      <c r="D167" s="3252"/>
      <c r="E167" s="3252"/>
      <c r="F167" s="3252"/>
      <c r="G167" s="3252"/>
      <c r="H167" s="3252"/>
    </row>
    <row r="168" spans="1:8" x14ac:dyDescent="0.2">
      <c r="A168" s="3252"/>
      <c r="B168" s="3252"/>
      <c r="C168" s="3252"/>
      <c r="D168" s="3252"/>
      <c r="E168" s="3252"/>
      <c r="F168" s="3252"/>
      <c r="G168" s="3252"/>
      <c r="H168" s="3252"/>
    </row>
    <row r="169" spans="1:8" x14ac:dyDescent="0.2">
      <c r="A169" s="3252"/>
      <c r="B169" s="3252"/>
      <c r="C169" s="3252"/>
      <c r="D169" s="3252"/>
      <c r="E169" s="3252"/>
      <c r="F169" s="3252"/>
      <c r="G169" s="3252"/>
      <c r="H169" s="3252"/>
    </row>
    <row r="170" spans="1:8" x14ac:dyDescent="0.2">
      <c r="A170" s="3252"/>
      <c r="B170" s="3252"/>
      <c r="C170" s="3252"/>
      <c r="D170" s="3252"/>
      <c r="E170" s="3252"/>
      <c r="F170" s="3252"/>
      <c r="G170" s="3252"/>
      <c r="H170" s="3252"/>
    </row>
    <row r="171" spans="1:8" x14ac:dyDescent="0.2">
      <c r="A171" s="3252"/>
      <c r="B171" s="3252"/>
      <c r="C171" s="3252"/>
      <c r="D171" s="3252"/>
      <c r="E171" s="3252"/>
      <c r="F171" s="3252"/>
      <c r="G171" s="3252"/>
      <c r="H171" s="3252"/>
    </row>
    <row r="172" spans="1:8" x14ac:dyDescent="0.2">
      <c r="A172" s="3252"/>
      <c r="B172" s="3252"/>
      <c r="C172" s="3252"/>
      <c r="D172" s="3252"/>
      <c r="E172" s="3252"/>
      <c r="F172" s="3252"/>
      <c r="G172" s="3252"/>
      <c r="H172" s="3252"/>
    </row>
    <row r="173" spans="1:8" x14ac:dyDescent="0.2">
      <c r="A173" s="3252"/>
      <c r="B173" s="3252"/>
      <c r="C173" s="3252"/>
      <c r="D173" s="3252"/>
      <c r="E173" s="3252"/>
      <c r="F173" s="3252"/>
      <c r="G173" s="3252"/>
      <c r="H173" s="3252"/>
    </row>
    <row r="174" spans="1:8" x14ac:dyDescent="0.2">
      <c r="A174" s="3252"/>
      <c r="B174" s="3252"/>
      <c r="C174" s="3252"/>
      <c r="D174" s="3252"/>
      <c r="E174" s="3252"/>
      <c r="F174" s="3252"/>
      <c r="G174" s="3252"/>
      <c r="H174" s="3252"/>
    </row>
    <row r="175" spans="1:8" x14ac:dyDescent="0.2">
      <c r="A175" s="3252"/>
      <c r="B175" s="3252"/>
      <c r="C175" s="3252"/>
      <c r="D175" s="3252"/>
      <c r="E175" s="3252"/>
      <c r="F175" s="3252"/>
      <c r="G175" s="3252"/>
      <c r="H175" s="3252"/>
    </row>
    <row r="176" spans="1:8" x14ac:dyDescent="0.2">
      <c r="A176" s="3252"/>
      <c r="B176" s="3252"/>
      <c r="C176" s="3252"/>
      <c r="D176" s="3252"/>
      <c r="E176" s="3252"/>
      <c r="F176" s="3252"/>
      <c r="G176" s="3252"/>
      <c r="H176" s="3252"/>
    </row>
    <row r="177" spans="1:8" x14ac:dyDescent="0.2">
      <c r="A177" s="3252"/>
      <c r="B177" s="3252"/>
      <c r="C177" s="3252"/>
      <c r="D177" s="3252"/>
      <c r="E177" s="3252"/>
      <c r="F177" s="3252"/>
      <c r="G177" s="3252"/>
      <c r="H177" s="3252"/>
    </row>
    <row r="178" spans="1:8" x14ac:dyDescent="0.2">
      <c r="A178" s="3252"/>
      <c r="B178" s="3252"/>
      <c r="C178" s="3252"/>
      <c r="D178" s="3252"/>
      <c r="E178" s="3252"/>
      <c r="F178" s="3252"/>
      <c r="G178" s="3252"/>
      <c r="H178" s="3252"/>
    </row>
    <row r="179" spans="1:8" x14ac:dyDescent="0.2">
      <c r="A179" s="3252"/>
      <c r="B179" s="3252"/>
      <c r="C179" s="3252"/>
      <c r="D179" s="3252"/>
      <c r="E179" s="3252"/>
      <c r="F179" s="3252"/>
      <c r="G179" s="3252"/>
      <c r="H179" s="3252"/>
    </row>
    <row r="180" spans="1:8" x14ac:dyDescent="0.2">
      <c r="A180" s="3252"/>
      <c r="B180" s="3252"/>
      <c r="C180" s="3252"/>
      <c r="D180" s="3252"/>
      <c r="E180" s="3252"/>
      <c r="F180" s="3252"/>
      <c r="G180" s="3252"/>
      <c r="H180" s="3252"/>
    </row>
    <row r="181" spans="1:8" x14ac:dyDescent="0.2">
      <c r="A181" s="3252"/>
      <c r="B181" s="3252"/>
      <c r="C181" s="3252"/>
      <c r="D181" s="3252"/>
      <c r="E181" s="3252"/>
      <c r="F181" s="3252"/>
      <c r="G181" s="3252"/>
      <c r="H181" s="3252"/>
    </row>
    <row r="182" spans="1:8" x14ac:dyDescent="0.2">
      <c r="A182" s="3252"/>
      <c r="B182" s="3252"/>
      <c r="C182" s="3252"/>
      <c r="D182" s="3252"/>
      <c r="E182" s="3252"/>
      <c r="F182" s="3252"/>
      <c r="G182" s="3252"/>
      <c r="H182" s="3252"/>
    </row>
    <row r="183" spans="1:8" x14ac:dyDescent="0.2">
      <c r="A183" s="3252"/>
      <c r="B183" s="3252"/>
      <c r="C183" s="3252"/>
      <c r="D183" s="3252"/>
      <c r="E183" s="3252"/>
      <c r="F183" s="3252"/>
      <c r="G183" s="3252"/>
      <c r="H183" s="3252"/>
    </row>
    <row r="184" spans="1:8" x14ac:dyDescent="0.2">
      <c r="A184" s="3252"/>
      <c r="B184" s="3252"/>
      <c r="C184" s="3252"/>
      <c r="D184" s="3252"/>
      <c r="E184" s="3252"/>
      <c r="F184" s="3252"/>
      <c r="G184" s="3252"/>
      <c r="H184" s="3252"/>
    </row>
    <row r="185" spans="1:8" x14ac:dyDescent="0.2">
      <c r="A185" s="3252"/>
      <c r="B185" s="3252"/>
      <c r="C185" s="3252"/>
      <c r="D185" s="3252"/>
      <c r="E185" s="3252"/>
      <c r="F185" s="3252"/>
      <c r="G185" s="3252"/>
      <c r="H185" s="3252"/>
    </row>
    <row r="186" spans="1:8" x14ac:dyDescent="0.2">
      <c r="A186" s="3252"/>
      <c r="B186" s="3252"/>
      <c r="C186" s="3252"/>
      <c r="D186" s="3252"/>
      <c r="E186" s="3252"/>
      <c r="F186" s="3252"/>
      <c r="G186" s="3252"/>
      <c r="H186" s="3252"/>
    </row>
    <row r="187" spans="1:8" x14ac:dyDescent="0.2">
      <c r="A187" s="3252"/>
      <c r="B187" s="3252"/>
      <c r="C187" s="3252"/>
      <c r="D187" s="3252"/>
      <c r="E187" s="3252"/>
      <c r="F187" s="3252"/>
      <c r="G187" s="3252"/>
      <c r="H187" s="3252"/>
    </row>
    <row r="188" spans="1:8" x14ac:dyDescent="0.2">
      <c r="A188" s="3252"/>
      <c r="B188" s="3252"/>
      <c r="C188" s="3252"/>
      <c r="D188" s="3252"/>
      <c r="E188" s="3252"/>
      <c r="F188" s="3252"/>
      <c r="G188" s="3252"/>
      <c r="H188" s="3252"/>
    </row>
    <row r="189" spans="1:8" x14ac:dyDescent="0.2">
      <c r="A189" s="3252"/>
      <c r="B189" s="3252"/>
      <c r="C189" s="3252"/>
      <c r="D189" s="3252"/>
      <c r="E189" s="3252"/>
      <c r="F189" s="3252"/>
      <c r="G189" s="3252"/>
      <c r="H189" s="3252"/>
    </row>
    <row r="190" spans="1:8" x14ac:dyDescent="0.2">
      <c r="A190" s="3252"/>
      <c r="B190" s="3252"/>
      <c r="C190" s="3252"/>
      <c r="D190" s="3252"/>
      <c r="E190" s="3252"/>
      <c r="F190" s="3252"/>
      <c r="G190" s="3252"/>
      <c r="H190" s="3252"/>
    </row>
    <row r="191" spans="1:8" x14ac:dyDescent="0.2">
      <c r="A191" s="3252"/>
      <c r="B191" s="3252"/>
      <c r="C191" s="3252"/>
      <c r="D191" s="3252"/>
      <c r="E191" s="3252"/>
      <c r="F191" s="3252"/>
      <c r="G191" s="3252"/>
      <c r="H191" s="3252"/>
    </row>
    <row r="192" spans="1:8" x14ac:dyDescent="0.2">
      <c r="A192" s="3252"/>
      <c r="B192" s="3252"/>
      <c r="C192" s="3252"/>
      <c r="D192" s="3252"/>
      <c r="E192" s="3252"/>
      <c r="F192" s="3252"/>
      <c r="G192" s="3252"/>
      <c r="H192" s="3252"/>
    </row>
    <row r="193" spans="1:8" x14ac:dyDescent="0.2">
      <c r="A193" s="3252"/>
      <c r="B193" s="3252"/>
      <c r="C193" s="3252"/>
      <c r="D193" s="3252"/>
      <c r="E193" s="3252"/>
      <c r="F193" s="3252"/>
      <c r="G193" s="3252"/>
      <c r="H193" s="3252"/>
    </row>
    <row r="194" spans="1:8" ht="15.75" x14ac:dyDescent="0.2">
      <c r="A194" s="3254" t="s">
        <v>1709</v>
      </c>
      <c r="B194" s="3252"/>
      <c r="C194" s="3252"/>
      <c r="D194" s="3252"/>
      <c r="E194" s="3252"/>
      <c r="F194" s="3252"/>
      <c r="G194" s="3252"/>
      <c r="H194" s="3252"/>
    </row>
    <row r="195" spans="1:8" x14ac:dyDescent="0.2">
      <c r="A195" s="3252"/>
      <c r="B195" s="3252"/>
      <c r="C195" s="3252"/>
      <c r="D195" s="3252"/>
      <c r="E195" s="3252"/>
      <c r="F195" s="3252"/>
      <c r="G195" s="3252"/>
      <c r="H195" s="3252"/>
    </row>
    <row r="196" spans="1:8" x14ac:dyDescent="0.2">
      <c r="A196" s="3253" t="s">
        <v>1870</v>
      </c>
      <c r="B196" s="3252"/>
      <c r="C196" s="3252"/>
      <c r="D196" s="3252"/>
      <c r="E196" s="3252"/>
      <c r="F196" s="3252"/>
      <c r="G196" s="3252"/>
      <c r="H196" s="3252"/>
    </row>
    <row r="197" spans="1:8" x14ac:dyDescent="0.2">
      <c r="A197" s="3253" t="s">
        <v>1871</v>
      </c>
      <c r="B197" s="3252"/>
      <c r="C197" s="3252"/>
      <c r="D197" s="3252"/>
      <c r="E197" s="3252"/>
      <c r="F197" s="3252"/>
      <c r="G197" s="3252"/>
      <c r="H197" s="3252"/>
    </row>
    <row r="198" spans="1:8" x14ac:dyDescent="0.2">
      <c r="A198" s="3253" t="s">
        <v>1872</v>
      </c>
      <c r="B198" s="3252"/>
      <c r="C198" s="3252"/>
      <c r="D198" s="3252"/>
      <c r="E198" s="3252"/>
      <c r="F198" s="3252"/>
      <c r="G198" s="3252"/>
      <c r="H198" s="3252"/>
    </row>
    <row r="199" spans="1:8" x14ac:dyDescent="0.2">
      <c r="A199" s="3253" t="s">
        <v>1873</v>
      </c>
      <c r="B199" s="3252"/>
      <c r="C199" s="3252"/>
      <c r="D199" s="3252"/>
      <c r="E199" s="3252"/>
      <c r="F199" s="3252"/>
      <c r="G199" s="3252"/>
      <c r="H199" s="3252"/>
    </row>
    <row r="200" spans="1:8" x14ac:dyDescent="0.2">
      <c r="A200" s="3253" t="s">
        <v>1874</v>
      </c>
      <c r="B200" s="3252"/>
      <c r="C200" s="3252"/>
      <c r="D200" s="3252"/>
      <c r="E200" s="3252"/>
      <c r="F200" s="3252"/>
      <c r="G200" s="3252"/>
      <c r="H200" s="3252"/>
    </row>
    <row r="201" spans="1:8" x14ac:dyDescent="0.2">
      <c r="A201" s="3252"/>
      <c r="B201" s="3252"/>
      <c r="C201" s="3252"/>
      <c r="D201" s="3252"/>
      <c r="E201" s="3252"/>
      <c r="F201" s="3252"/>
      <c r="G201" s="3252"/>
      <c r="H201" s="3252"/>
    </row>
    <row r="202" spans="1:8" x14ac:dyDescent="0.2">
      <c r="A202" s="3253" t="s">
        <v>1867</v>
      </c>
      <c r="B202" s="3252"/>
      <c r="C202" s="3252"/>
      <c r="D202" s="3252"/>
      <c r="E202" s="3252"/>
      <c r="F202" s="3252"/>
      <c r="G202" s="3252"/>
      <c r="H202" s="3252"/>
    </row>
    <row r="203" spans="1:8" x14ac:dyDescent="0.2">
      <c r="A203" s="3253" t="s">
        <v>1868</v>
      </c>
      <c r="B203" s="3252"/>
      <c r="C203" s="3252"/>
      <c r="D203" s="3252"/>
      <c r="E203" s="3252"/>
      <c r="F203" s="3252"/>
      <c r="G203" s="3252"/>
      <c r="H203" s="3252"/>
    </row>
    <row r="204" spans="1:8" x14ac:dyDescent="0.2">
      <c r="A204" s="3253" t="s">
        <v>1869</v>
      </c>
      <c r="B204" s="3252"/>
      <c r="C204" s="3252"/>
      <c r="D204" s="3252"/>
      <c r="E204" s="3252"/>
      <c r="F204" s="3252"/>
      <c r="G204" s="3252"/>
      <c r="H204" s="3252"/>
    </row>
    <row r="205" spans="1:8" ht="15.75" x14ac:dyDescent="0.2">
      <c r="A205" s="3254" t="s">
        <v>1710</v>
      </c>
      <c r="B205" s="3252"/>
      <c r="C205" s="3252"/>
      <c r="D205" s="3252"/>
      <c r="E205" s="3252"/>
      <c r="F205" s="3252"/>
      <c r="G205" s="3252"/>
      <c r="H205" s="3252"/>
    </row>
    <row r="206" spans="1:8" x14ac:dyDescent="0.2">
      <c r="A206" s="3252"/>
      <c r="B206" s="3252"/>
      <c r="C206" s="3252"/>
      <c r="D206" s="3252"/>
      <c r="E206" s="3252"/>
      <c r="F206" s="3252"/>
      <c r="G206" s="3252"/>
      <c r="H206" s="3252"/>
    </row>
    <row r="207" spans="1:8" x14ac:dyDescent="0.2">
      <c r="A207" s="3253" t="s">
        <v>1865</v>
      </c>
      <c r="B207" s="3252"/>
      <c r="C207" s="3252"/>
      <c r="D207" s="3252"/>
      <c r="E207" s="3252"/>
      <c r="F207" s="3252"/>
      <c r="G207" s="3252"/>
      <c r="H207" s="3252"/>
    </row>
    <row r="208" spans="1:8" x14ac:dyDescent="0.2">
      <c r="A208" s="3253" t="s">
        <v>1866</v>
      </c>
      <c r="B208" s="3252"/>
      <c r="C208" s="3252"/>
      <c r="D208" s="3252"/>
      <c r="E208" s="3252"/>
      <c r="F208" s="3252"/>
      <c r="G208" s="3252"/>
      <c r="H208" s="3252"/>
    </row>
    <row r="209" spans="1:8" x14ac:dyDescent="0.2">
      <c r="A209" s="3252"/>
      <c r="B209" s="3252"/>
      <c r="C209" s="3252"/>
      <c r="D209" s="3252"/>
      <c r="E209" s="3252"/>
      <c r="F209" s="3252"/>
      <c r="G209" s="3252"/>
      <c r="H209" s="3252"/>
    </row>
    <row r="210" spans="1:8" x14ac:dyDescent="0.2">
      <c r="A210" s="3253" t="s">
        <v>1858</v>
      </c>
      <c r="B210" s="3252"/>
      <c r="C210" s="3252"/>
      <c r="D210" s="3252"/>
      <c r="E210" s="3252"/>
      <c r="F210" s="3252"/>
      <c r="G210" s="3252"/>
      <c r="H210" s="3252"/>
    </row>
    <row r="211" spans="1:8" x14ac:dyDescent="0.2">
      <c r="A211" s="3253" t="s">
        <v>1859</v>
      </c>
      <c r="B211" s="3252"/>
      <c r="C211" s="3252"/>
      <c r="D211" s="3252"/>
      <c r="E211" s="3252"/>
      <c r="F211" s="3252"/>
      <c r="G211" s="3252"/>
      <c r="H211" s="3252"/>
    </row>
    <row r="212" spans="1:8" x14ac:dyDescent="0.2">
      <c r="A212" s="3253" t="s">
        <v>1860</v>
      </c>
      <c r="B212" s="3252"/>
      <c r="C212" s="3252"/>
      <c r="D212" s="3252"/>
      <c r="E212" s="3252"/>
      <c r="F212" s="3252"/>
      <c r="G212" s="3252"/>
      <c r="H212" s="3252"/>
    </row>
    <row r="213" spans="1:8" x14ac:dyDescent="0.2">
      <c r="A213" s="3253" t="s">
        <v>1861</v>
      </c>
      <c r="B213" s="3252"/>
      <c r="C213" s="3252"/>
      <c r="D213" s="3252"/>
      <c r="E213" s="3252"/>
      <c r="F213" s="3252"/>
      <c r="G213" s="3252"/>
      <c r="H213" s="3252"/>
    </row>
    <row r="214" spans="1:8" x14ac:dyDescent="0.2">
      <c r="A214" s="3253" t="s">
        <v>1862</v>
      </c>
      <c r="B214" s="3252"/>
      <c r="C214" s="3252"/>
      <c r="D214" s="3252"/>
      <c r="E214" s="3252"/>
      <c r="F214" s="3252"/>
      <c r="G214" s="3252"/>
      <c r="H214" s="3252"/>
    </row>
    <row r="215" spans="1:8" x14ac:dyDescent="0.2">
      <c r="A215" s="3253" t="s">
        <v>1863</v>
      </c>
      <c r="B215" s="3252"/>
      <c r="C215" s="3252"/>
      <c r="D215" s="3252"/>
      <c r="E215" s="3252"/>
      <c r="F215" s="3252"/>
      <c r="G215" s="3252"/>
      <c r="H215" s="3252"/>
    </row>
    <row r="216" spans="1:8" x14ac:dyDescent="0.2">
      <c r="A216" s="3253" t="s">
        <v>1864</v>
      </c>
      <c r="B216" s="3252"/>
      <c r="C216" s="3252"/>
      <c r="D216" s="3252"/>
      <c r="E216" s="3252"/>
      <c r="F216" s="3252"/>
      <c r="G216" s="3252"/>
      <c r="H216" s="3252"/>
    </row>
    <row r="217" spans="1:8" x14ac:dyDescent="0.2">
      <c r="A217" s="3252"/>
      <c r="B217" s="3252"/>
      <c r="C217" s="3252"/>
      <c r="D217" s="3252"/>
      <c r="E217" s="3252"/>
      <c r="F217" s="3252"/>
      <c r="G217" s="3252"/>
      <c r="H217" s="3252"/>
    </row>
    <row r="218" spans="1:8" x14ac:dyDescent="0.2">
      <c r="A218" s="3253" t="s">
        <v>1855</v>
      </c>
      <c r="B218" s="3252"/>
      <c r="C218" s="3252"/>
      <c r="D218" s="3252"/>
      <c r="E218" s="3252"/>
      <c r="F218" s="3252"/>
      <c r="G218" s="3252"/>
      <c r="H218" s="3252"/>
    </row>
    <row r="219" spans="1:8" x14ac:dyDescent="0.2">
      <c r="A219" s="3253" t="s">
        <v>1856</v>
      </c>
      <c r="B219" s="3252"/>
      <c r="C219" s="3252"/>
      <c r="D219" s="3252"/>
      <c r="E219" s="3252"/>
      <c r="F219" s="3252"/>
      <c r="G219" s="3252"/>
      <c r="H219" s="3252"/>
    </row>
    <row r="220" spans="1:8" x14ac:dyDescent="0.2">
      <c r="A220" s="3253" t="s">
        <v>1857</v>
      </c>
      <c r="B220" s="3252"/>
      <c r="C220" s="3252"/>
      <c r="D220" s="3252"/>
      <c r="E220" s="3252"/>
      <c r="F220" s="3252"/>
      <c r="G220" s="3252"/>
      <c r="H220" s="3252"/>
    </row>
    <row r="221" spans="1:8" x14ac:dyDescent="0.2">
      <c r="A221" s="3252"/>
      <c r="B221" s="3252"/>
      <c r="C221" s="3252"/>
      <c r="D221" s="3252"/>
      <c r="E221" s="3252"/>
      <c r="F221" s="3252"/>
      <c r="G221" s="3252"/>
      <c r="H221" s="3252"/>
    </row>
    <row r="222" spans="1:8" x14ac:dyDescent="0.2">
      <c r="A222" s="3253" t="s">
        <v>1850</v>
      </c>
      <c r="B222" s="3252"/>
      <c r="C222" s="3252"/>
      <c r="D222" s="3252"/>
      <c r="E222" s="3252"/>
      <c r="F222" s="3252"/>
      <c r="G222" s="3252"/>
      <c r="H222" s="3252"/>
    </row>
    <row r="223" spans="1:8" x14ac:dyDescent="0.2">
      <c r="A223" s="3253" t="s">
        <v>1851</v>
      </c>
      <c r="B223" s="3252"/>
      <c r="C223" s="3252"/>
      <c r="D223" s="3252"/>
      <c r="E223" s="3252"/>
      <c r="F223" s="3252"/>
      <c r="G223" s="3252"/>
      <c r="H223" s="3252"/>
    </row>
    <row r="224" spans="1:8" x14ac:dyDescent="0.2">
      <c r="A224" s="3253" t="s">
        <v>1852</v>
      </c>
      <c r="B224" s="3252"/>
      <c r="C224" s="3252"/>
      <c r="D224" s="3252"/>
      <c r="E224" s="3252"/>
      <c r="F224" s="3252"/>
      <c r="G224" s="3252"/>
      <c r="H224" s="3252"/>
    </row>
    <row r="225" spans="1:8" x14ac:dyDescent="0.2">
      <c r="A225" s="3253" t="s">
        <v>1853</v>
      </c>
      <c r="B225" s="3252"/>
      <c r="C225" s="3252"/>
      <c r="D225" s="3252"/>
      <c r="E225" s="3252"/>
      <c r="F225" s="3252"/>
      <c r="G225" s="3252"/>
      <c r="H225" s="3252"/>
    </row>
    <row r="226" spans="1:8" x14ac:dyDescent="0.2">
      <c r="A226" s="3253" t="s">
        <v>1854</v>
      </c>
      <c r="B226" s="3252"/>
      <c r="C226" s="3252"/>
      <c r="D226" s="3252"/>
      <c r="E226" s="3252"/>
      <c r="F226" s="3252"/>
      <c r="G226" s="3252"/>
      <c r="H226" s="3252"/>
    </row>
    <row r="227" spans="1:8" x14ac:dyDescent="0.2">
      <c r="A227" s="3252"/>
      <c r="B227" s="3252"/>
      <c r="C227" s="3252"/>
      <c r="D227" s="3252"/>
      <c r="E227" s="3252"/>
      <c r="F227" s="3252"/>
      <c r="G227" s="3252"/>
      <c r="H227" s="3252"/>
    </row>
    <row r="228" spans="1:8" x14ac:dyDescent="0.2">
      <c r="A228" s="3253" t="s">
        <v>1844</v>
      </c>
      <c r="B228" s="3252"/>
      <c r="C228" s="3252"/>
      <c r="D228" s="3252"/>
      <c r="E228" s="3252"/>
      <c r="F228" s="3252"/>
      <c r="G228" s="3252"/>
      <c r="H228" s="3252"/>
    </row>
    <row r="229" spans="1:8" x14ac:dyDescent="0.2">
      <c r="A229" s="3253" t="s">
        <v>1845</v>
      </c>
      <c r="B229" s="3252"/>
      <c r="C229" s="3252"/>
      <c r="D229" s="3252"/>
      <c r="E229" s="3252"/>
      <c r="F229" s="3252"/>
      <c r="G229" s="3252"/>
      <c r="H229" s="3252"/>
    </row>
    <row r="230" spans="1:8" x14ac:dyDescent="0.2">
      <c r="A230" s="3253" t="s">
        <v>1846</v>
      </c>
      <c r="B230" s="3252"/>
      <c r="C230" s="3252"/>
      <c r="D230" s="3252"/>
      <c r="E230" s="3252"/>
      <c r="F230" s="3252"/>
      <c r="G230" s="3252"/>
      <c r="H230" s="3252"/>
    </row>
    <row r="231" spans="1:8" x14ac:dyDescent="0.2">
      <c r="A231" s="3253" t="s">
        <v>1847</v>
      </c>
      <c r="B231" s="3252"/>
      <c r="C231" s="3252"/>
      <c r="D231" s="3252"/>
      <c r="E231" s="3252"/>
      <c r="F231" s="3252"/>
      <c r="G231" s="3252"/>
      <c r="H231" s="3252"/>
    </row>
    <row r="232" spans="1:8" x14ac:dyDescent="0.2">
      <c r="A232" s="3253" t="s">
        <v>1848</v>
      </c>
      <c r="B232" s="3252"/>
      <c r="C232" s="3252"/>
      <c r="D232" s="3252"/>
      <c r="E232" s="3252"/>
      <c r="F232" s="3252"/>
      <c r="G232" s="3252"/>
      <c r="H232" s="3252"/>
    </row>
    <row r="233" spans="1:8" x14ac:dyDescent="0.2">
      <c r="A233" s="3253" t="s">
        <v>1849</v>
      </c>
      <c r="B233" s="3252"/>
      <c r="C233" s="3252"/>
      <c r="D233" s="3252"/>
      <c r="E233" s="3252"/>
      <c r="F233" s="3252"/>
      <c r="G233" s="3252"/>
      <c r="H233" s="3252"/>
    </row>
    <row r="234" spans="1:8" x14ac:dyDescent="0.2">
      <c r="A234" s="3252"/>
      <c r="B234" s="3252"/>
      <c r="C234" s="3252"/>
      <c r="D234" s="3252"/>
      <c r="E234" s="3252"/>
      <c r="F234" s="3252"/>
      <c r="G234" s="3252"/>
      <c r="H234" s="3252"/>
    </row>
    <row r="235" spans="1:8" x14ac:dyDescent="0.2">
      <c r="A235" s="3253" t="s">
        <v>1834</v>
      </c>
      <c r="B235" s="3252"/>
      <c r="C235" s="3252"/>
      <c r="D235" s="3252"/>
      <c r="E235" s="3252"/>
      <c r="F235" s="3252"/>
      <c r="G235" s="3252"/>
      <c r="H235" s="3252"/>
    </row>
    <row r="236" spans="1:8" x14ac:dyDescent="0.2">
      <c r="A236" s="3253" t="s">
        <v>1835</v>
      </c>
      <c r="B236" s="3252"/>
      <c r="C236" s="3252"/>
      <c r="D236" s="3252"/>
      <c r="E236" s="3252"/>
      <c r="F236" s="3252"/>
      <c r="G236" s="3252"/>
      <c r="H236" s="3252"/>
    </row>
    <row r="237" spans="1:8" x14ac:dyDescent="0.2">
      <c r="A237" s="3253" t="s">
        <v>1836</v>
      </c>
      <c r="B237" s="3252"/>
      <c r="C237" s="3252"/>
      <c r="D237" s="3252"/>
      <c r="E237" s="3252"/>
      <c r="F237" s="3252"/>
      <c r="G237" s="3252"/>
      <c r="H237" s="3252"/>
    </row>
    <row r="238" spans="1:8" x14ac:dyDescent="0.2">
      <c r="A238" s="3253" t="s">
        <v>1837</v>
      </c>
      <c r="B238" s="3252"/>
      <c r="C238" s="3252"/>
      <c r="D238" s="3252"/>
      <c r="E238" s="3252"/>
      <c r="F238" s="3252"/>
      <c r="G238" s="3252"/>
      <c r="H238" s="3252"/>
    </row>
    <row r="239" spans="1:8" x14ac:dyDescent="0.2">
      <c r="A239" s="3253" t="s">
        <v>1838</v>
      </c>
      <c r="B239" s="3252"/>
      <c r="C239" s="3252"/>
      <c r="D239" s="3252"/>
      <c r="E239" s="3252"/>
      <c r="F239" s="3252"/>
      <c r="G239" s="3252"/>
      <c r="H239" s="3252"/>
    </row>
    <row r="240" spans="1:8" x14ac:dyDescent="0.2">
      <c r="A240" s="3253" t="s">
        <v>1839</v>
      </c>
      <c r="B240" s="3252"/>
      <c r="C240" s="3252"/>
      <c r="D240" s="3252"/>
      <c r="E240" s="3252"/>
      <c r="F240" s="3252"/>
      <c r="G240" s="3252"/>
      <c r="H240" s="3252"/>
    </row>
    <row r="241" spans="1:8" x14ac:dyDescent="0.2">
      <c r="A241" s="3253" t="s">
        <v>1840</v>
      </c>
      <c r="B241" s="3252"/>
      <c r="C241" s="3252"/>
      <c r="D241" s="3252"/>
      <c r="E241" s="3252"/>
      <c r="F241" s="3252"/>
      <c r="G241" s="3252"/>
      <c r="H241" s="3252"/>
    </row>
    <row r="242" spans="1:8" x14ac:dyDescent="0.2">
      <c r="A242" s="3253" t="s">
        <v>1841</v>
      </c>
      <c r="B242" s="3252"/>
      <c r="C242" s="3252"/>
      <c r="D242" s="3252"/>
      <c r="E242" s="3252"/>
      <c r="F242" s="3252"/>
      <c r="G242" s="3252"/>
      <c r="H242" s="3252"/>
    </row>
    <row r="243" spans="1:8" x14ac:dyDescent="0.2">
      <c r="A243" s="3253" t="s">
        <v>1842</v>
      </c>
      <c r="B243" s="3252"/>
      <c r="C243" s="3252"/>
      <c r="D243" s="3252"/>
      <c r="E243" s="3252"/>
      <c r="F243" s="3252"/>
      <c r="G243" s="3252"/>
      <c r="H243" s="3252"/>
    </row>
    <row r="244" spans="1:8" x14ac:dyDescent="0.2">
      <c r="A244" s="3253" t="s">
        <v>1843</v>
      </c>
      <c r="B244" s="3252"/>
      <c r="C244" s="3252"/>
      <c r="D244" s="3252"/>
      <c r="E244" s="3252"/>
      <c r="F244" s="3252"/>
      <c r="G244" s="3252"/>
      <c r="H244" s="3252"/>
    </row>
    <row r="245" spans="1:8" x14ac:dyDescent="0.2">
      <c r="A245" s="3252"/>
      <c r="B245" s="3252"/>
      <c r="C245" s="3252"/>
      <c r="D245" s="3252"/>
      <c r="E245" s="3252"/>
      <c r="F245" s="3252"/>
      <c r="G245" s="3252"/>
      <c r="H245" s="3252"/>
    </row>
    <row r="246" spans="1:8" x14ac:dyDescent="0.2">
      <c r="A246" s="3253" t="s">
        <v>1832</v>
      </c>
      <c r="B246" s="3252"/>
      <c r="C246" s="3252"/>
      <c r="D246" s="3252"/>
      <c r="E246" s="3252"/>
      <c r="F246" s="3252"/>
      <c r="G246" s="3252"/>
      <c r="H246" s="3252"/>
    </row>
    <row r="247" spans="1:8" x14ac:dyDescent="0.2">
      <c r="A247" s="3253" t="s">
        <v>1833</v>
      </c>
      <c r="B247" s="3252"/>
      <c r="C247" s="3252"/>
      <c r="D247" s="3252"/>
      <c r="E247" s="3252"/>
      <c r="F247" s="3252"/>
      <c r="G247" s="3252"/>
      <c r="H247" s="3252"/>
    </row>
    <row r="248" spans="1:8" x14ac:dyDescent="0.2">
      <c r="A248" s="3252"/>
      <c r="B248" s="3252"/>
      <c r="C248" s="3252"/>
      <c r="D248" s="3252"/>
      <c r="E248" s="3252"/>
      <c r="F248" s="3252"/>
      <c r="G248" s="3252"/>
      <c r="H248" s="3252"/>
    </row>
    <row r="249" spans="1:8" x14ac:dyDescent="0.2">
      <c r="A249" s="3253" t="s">
        <v>1816</v>
      </c>
      <c r="B249" s="3252"/>
      <c r="C249" s="3252"/>
      <c r="D249" s="3252"/>
      <c r="E249" s="3252"/>
      <c r="F249" s="3252"/>
      <c r="G249" s="3252"/>
      <c r="H249" s="3252"/>
    </row>
    <row r="250" spans="1:8" x14ac:dyDescent="0.2">
      <c r="A250" s="3253" t="s">
        <v>1817</v>
      </c>
      <c r="B250" s="3252"/>
      <c r="C250" s="3252"/>
      <c r="D250" s="3252"/>
      <c r="E250" s="3252"/>
      <c r="F250" s="3252"/>
      <c r="G250" s="3252"/>
      <c r="H250" s="3252"/>
    </row>
    <row r="251" spans="1:8" x14ac:dyDescent="0.2">
      <c r="A251" s="3253" t="s">
        <v>1818</v>
      </c>
      <c r="B251" s="3252"/>
      <c r="C251" s="3252"/>
      <c r="D251" s="3252"/>
      <c r="E251" s="3252"/>
      <c r="F251" s="3252"/>
      <c r="G251" s="3252"/>
      <c r="H251" s="3252"/>
    </row>
    <row r="252" spans="1:8" x14ac:dyDescent="0.2">
      <c r="A252" s="3253" t="s">
        <v>1819</v>
      </c>
      <c r="B252" s="3252"/>
      <c r="C252" s="3252"/>
      <c r="D252" s="3252"/>
      <c r="E252" s="3252"/>
      <c r="F252" s="3252"/>
      <c r="G252" s="3252"/>
      <c r="H252" s="3252"/>
    </row>
    <row r="253" spans="1:8" x14ac:dyDescent="0.2">
      <c r="A253" s="3253" t="s">
        <v>1820</v>
      </c>
      <c r="B253" s="3252"/>
      <c r="C253" s="3252"/>
      <c r="D253" s="3252"/>
      <c r="E253" s="3252"/>
      <c r="F253" s="3252"/>
      <c r="G253" s="3252"/>
      <c r="H253" s="3252"/>
    </row>
    <row r="254" spans="1:8" x14ac:dyDescent="0.2">
      <c r="A254" s="3253" t="s">
        <v>1821</v>
      </c>
      <c r="B254" s="3252"/>
      <c r="C254" s="3252"/>
      <c r="D254" s="3252"/>
      <c r="E254" s="3252"/>
      <c r="F254" s="3252"/>
      <c r="G254" s="3252"/>
      <c r="H254" s="3252"/>
    </row>
    <row r="255" spans="1:8" x14ac:dyDescent="0.2">
      <c r="A255" s="3253" t="s">
        <v>1822</v>
      </c>
      <c r="B255" s="3252"/>
      <c r="C255" s="3252"/>
      <c r="D255" s="3252"/>
      <c r="E255" s="3252"/>
      <c r="F255" s="3252"/>
      <c r="G255" s="3252"/>
      <c r="H255" s="3252"/>
    </row>
    <row r="256" spans="1:8" x14ac:dyDescent="0.2">
      <c r="A256" s="3253" t="s">
        <v>1823</v>
      </c>
      <c r="B256" s="3252"/>
      <c r="C256" s="3252"/>
      <c r="D256" s="3252"/>
      <c r="E256" s="3252"/>
      <c r="F256" s="3252"/>
      <c r="G256" s="3252"/>
      <c r="H256" s="3252"/>
    </row>
    <row r="257" spans="1:8" x14ac:dyDescent="0.2">
      <c r="A257" s="3253" t="s">
        <v>1824</v>
      </c>
      <c r="B257" s="3252"/>
      <c r="C257" s="3252"/>
      <c r="D257" s="3252"/>
      <c r="E257" s="3252"/>
      <c r="F257" s="3252"/>
      <c r="G257" s="3252"/>
      <c r="H257" s="3252"/>
    </row>
    <row r="258" spans="1:8" x14ac:dyDescent="0.2">
      <c r="A258" s="3253" t="s">
        <v>1825</v>
      </c>
      <c r="B258" s="3252"/>
      <c r="C258" s="3252"/>
      <c r="D258" s="3252"/>
      <c r="E258" s="3252"/>
      <c r="F258" s="3252"/>
      <c r="G258" s="3252"/>
      <c r="H258" s="3252"/>
    </row>
    <row r="259" spans="1:8" x14ac:dyDescent="0.2">
      <c r="A259" s="3253" t="s">
        <v>1826</v>
      </c>
      <c r="B259" s="3252"/>
      <c r="C259" s="3252"/>
      <c r="D259" s="3252"/>
      <c r="E259" s="3252"/>
      <c r="F259" s="3252"/>
      <c r="G259" s="3252"/>
      <c r="H259" s="3252"/>
    </row>
    <row r="260" spans="1:8" x14ac:dyDescent="0.2">
      <c r="A260" s="3253" t="s">
        <v>1827</v>
      </c>
      <c r="B260" s="3252"/>
      <c r="C260" s="3252"/>
      <c r="D260" s="3252"/>
      <c r="E260" s="3252"/>
      <c r="F260" s="3252"/>
      <c r="G260" s="3252"/>
      <c r="H260" s="3252"/>
    </row>
    <row r="261" spans="1:8" x14ac:dyDescent="0.2">
      <c r="A261" s="3253" t="s">
        <v>1828</v>
      </c>
      <c r="B261" s="3252"/>
      <c r="C261" s="3252"/>
      <c r="D261" s="3252"/>
      <c r="E261" s="3252"/>
      <c r="F261" s="3252"/>
      <c r="G261" s="3252"/>
      <c r="H261" s="3252"/>
    </row>
    <row r="262" spans="1:8" x14ac:dyDescent="0.2">
      <c r="A262" s="3253" t="s">
        <v>1829</v>
      </c>
      <c r="B262" s="3252"/>
      <c r="C262" s="3252"/>
      <c r="D262" s="3252"/>
      <c r="E262" s="3252"/>
      <c r="F262" s="3252"/>
      <c r="G262" s="3252"/>
      <c r="H262" s="3252"/>
    </row>
    <row r="263" spans="1:8" x14ac:dyDescent="0.2">
      <c r="A263" s="3253" t="s">
        <v>1830</v>
      </c>
      <c r="B263" s="3252"/>
      <c r="C263" s="3252"/>
      <c r="D263" s="3252"/>
      <c r="E263" s="3252"/>
      <c r="F263" s="3252"/>
      <c r="G263" s="3252"/>
      <c r="H263" s="3252"/>
    </row>
    <row r="264" spans="1:8" x14ac:dyDescent="0.2">
      <c r="A264" s="3253" t="s">
        <v>1831</v>
      </c>
      <c r="B264" s="3252"/>
      <c r="C264" s="3252"/>
      <c r="D264" s="3252"/>
      <c r="E264" s="3252"/>
      <c r="F264" s="3252"/>
      <c r="G264" s="3252"/>
      <c r="H264" s="3252"/>
    </row>
    <row r="265" spans="1:8" x14ac:dyDescent="0.2">
      <c r="A265" s="3252"/>
      <c r="B265" s="3252"/>
      <c r="C265" s="3252"/>
      <c r="D265" s="3252"/>
      <c r="E265" s="3252"/>
      <c r="F265" s="3252"/>
      <c r="G265" s="3252"/>
      <c r="H265" s="3252"/>
    </row>
    <row r="266" spans="1:8" x14ac:dyDescent="0.2">
      <c r="A266" s="3253" t="s">
        <v>1809</v>
      </c>
      <c r="B266" s="3252"/>
      <c r="C266" s="3252"/>
      <c r="D266" s="3252"/>
      <c r="E266" s="3252"/>
      <c r="F266" s="3252"/>
      <c r="G266" s="3252"/>
      <c r="H266" s="3252"/>
    </row>
    <row r="267" spans="1:8" x14ac:dyDescent="0.2">
      <c r="A267" s="3253" t="s">
        <v>1810</v>
      </c>
      <c r="B267" s="3252"/>
      <c r="C267" s="3252"/>
      <c r="D267" s="3252"/>
      <c r="E267" s="3252"/>
      <c r="F267" s="3252"/>
      <c r="G267" s="3252"/>
      <c r="H267" s="3252"/>
    </row>
    <row r="268" spans="1:8" x14ac:dyDescent="0.2">
      <c r="A268" s="3253" t="s">
        <v>1811</v>
      </c>
      <c r="B268" s="3252"/>
      <c r="C268" s="3252"/>
      <c r="D268" s="3252"/>
      <c r="E268" s="3252"/>
      <c r="F268" s="3252"/>
      <c r="G268" s="3252"/>
      <c r="H268" s="3252"/>
    </row>
    <row r="269" spans="1:8" x14ac:dyDescent="0.2">
      <c r="A269" s="3253" t="s">
        <v>1812</v>
      </c>
      <c r="B269" s="3252"/>
      <c r="C269" s="3252"/>
      <c r="D269" s="3252"/>
      <c r="E269" s="3252"/>
      <c r="F269" s="3252"/>
      <c r="G269" s="3252"/>
      <c r="H269" s="3252"/>
    </row>
    <row r="270" spans="1:8" x14ac:dyDescent="0.2">
      <c r="A270" s="3253" t="s">
        <v>1813</v>
      </c>
      <c r="B270" s="3252"/>
      <c r="C270" s="3252"/>
      <c r="D270" s="3252"/>
      <c r="E270" s="3252"/>
      <c r="F270" s="3252"/>
      <c r="G270" s="3252"/>
      <c r="H270" s="3252"/>
    </row>
    <row r="271" spans="1:8" x14ac:dyDescent="0.2">
      <c r="A271" s="3253" t="s">
        <v>1814</v>
      </c>
      <c r="B271" s="3252"/>
      <c r="C271" s="3252"/>
      <c r="D271" s="3252"/>
      <c r="E271" s="3252"/>
      <c r="F271" s="3252"/>
      <c r="G271" s="3252"/>
      <c r="H271" s="3252"/>
    </row>
    <row r="272" spans="1:8" x14ac:dyDescent="0.2">
      <c r="A272" s="3253" t="s">
        <v>1815</v>
      </c>
      <c r="B272" s="3252"/>
      <c r="C272" s="3252"/>
      <c r="D272" s="3252"/>
      <c r="E272" s="3252"/>
      <c r="F272" s="3252"/>
      <c r="G272" s="3252"/>
      <c r="H272" s="3252"/>
    </row>
    <row r="273" spans="1:8" x14ac:dyDescent="0.2">
      <c r="A273" s="3252"/>
      <c r="B273" s="3252"/>
      <c r="C273" s="3252"/>
      <c r="D273" s="3252"/>
      <c r="E273" s="3252"/>
      <c r="F273" s="3252"/>
      <c r="G273" s="3252"/>
      <c r="H273" s="3252"/>
    </row>
    <row r="274" spans="1:8" x14ac:dyDescent="0.2">
      <c r="A274" s="3253" t="s">
        <v>1800</v>
      </c>
      <c r="B274" s="3252"/>
      <c r="C274" s="3252"/>
      <c r="D274" s="3252"/>
      <c r="E274" s="3252"/>
      <c r="F274" s="3252"/>
      <c r="G274" s="3252"/>
      <c r="H274" s="3252"/>
    </row>
    <row r="275" spans="1:8" x14ac:dyDescent="0.2">
      <c r="A275" s="3253" t="s">
        <v>1801</v>
      </c>
      <c r="B275" s="3252"/>
      <c r="C275" s="3252"/>
      <c r="D275" s="3252"/>
      <c r="E275" s="3252"/>
      <c r="F275" s="3252"/>
      <c r="G275" s="3252"/>
      <c r="H275" s="3252"/>
    </row>
    <row r="276" spans="1:8" x14ac:dyDescent="0.2">
      <c r="A276" s="3253" t="s">
        <v>1802</v>
      </c>
      <c r="B276" s="3252"/>
      <c r="C276" s="3252"/>
      <c r="D276" s="3252"/>
      <c r="E276" s="3252"/>
      <c r="F276" s="3252"/>
      <c r="G276" s="3252"/>
      <c r="H276" s="3252"/>
    </row>
    <row r="277" spans="1:8" x14ac:dyDescent="0.2">
      <c r="A277" s="3253" t="s">
        <v>1803</v>
      </c>
      <c r="B277" s="3252"/>
      <c r="C277" s="3252"/>
      <c r="D277" s="3252"/>
      <c r="E277" s="3252"/>
      <c r="F277" s="3252"/>
      <c r="G277" s="3252"/>
      <c r="H277" s="3252"/>
    </row>
    <row r="278" spans="1:8" x14ac:dyDescent="0.2">
      <c r="A278" s="3253" t="s">
        <v>1804</v>
      </c>
      <c r="B278" s="3252"/>
      <c r="C278" s="3252"/>
      <c r="D278" s="3252"/>
      <c r="E278" s="3252"/>
      <c r="F278" s="3252"/>
      <c r="G278" s="3252"/>
      <c r="H278" s="3252"/>
    </row>
    <row r="279" spans="1:8" x14ac:dyDescent="0.2">
      <c r="A279" s="3253" t="s">
        <v>1805</v>
      </c>
      <c r="B279" s="3252"/>
      <c r="C279" s="3252"/>
      <c r="D279" s="3252"/>
      <c r="E279" s="3252"/>
      <c r="F279" s="3252"/>
      <c r="G279" s="3252"/>
      <c r="H279" s="3252"/>
    </row>
    <row r="280" spans="1:8" x14ac:dyDescent="0.2">
      <c r="A280" s="3253" t="s">
        <v>1806</v>
      </c>
      <c r="B280" s="3252"/>
      <c r="C280" s="3252"/>
      <c r="D280" s="3252"/>
      <c r="E280" s="3252"/>
      <c r="F280" s="3252"/>
      <c r="G280" s="3252"/>
      <c r="H280" s="3252"/>
    </row>
    <row r="281" spans="1:8" x14ac:dyDescent="0.2">
      <c r="A281" s="3253" t="s">
        <v>1807</v>
      </c>
      <c r="B281" s="3252"/>
      <c r="C281" s="3252"/>
      <c r="D281" s="3252"/>
      <c r="E281" s="3252"/>
      <c r="F281" s="3252"/>
      <c r="G281" s="3252"/>
      <c r="H281" s="3252"/>
    </row>
    <row r="282" spans="1:8" x14ac:dyDescent="0.2">
      <c r="A282" s="3253" t="s">
        <v>1808</v>
      </c>
      <c r="B282" s="3252"/>
      <c r="C282" s="3252"/>
      <c r="D282" s="3252"/>
      <c r="E282" s="3252"/>
      <c r="F282" s="3252"/>
      <c r="G282" s="3252"/>
      <c r="H282" s="3252"/>
    </row>
    <row r="283" spans="1:8" x14ac:dyDescent="0.2">
      <c r="A283" s="3252"/>
      <c r="B283" s="3252"/>
      <c r="C283" s="3252"/>
      <c r="D283" s="3252"/>
      <c r="E283" s="3252"/>
      <c r="F283" s="3252"/>
      <c r="G283" s="3252"/>
      <c r="H283" s="3252"/>
    </row>
    <row r="284" spans="1:8" x14ac:dyDescent="0.2">
      <c r="A284" s="3253" t="s">
        <v>1793</v>
      </c>
      <c r="B284" s="3252"/>
      <c r="C284" s="3252"/>
      <c r="D284" s="3252"/>
      <c r="E284" s="3252"/>
      <c r="F284" s="3252"/>
      <c r="G284" s="3252"/>
      <c r="H284" s="3252"/>
    </row>
    <row r="285" spans="1:8" x14ac:dyDescent="0.2">
      <c r="A285" s="3253" t="s">
        <v>1794</v>
      </c>
      <c r="B285" s="3252"/>
      <c r="C285" s="3252"/>
      <c r="D285" s="3252"/>
      <c r="E285" s="3252"/>
      <c r="F285" s="3252"/>
      <c r="G285" s="3252"/>
      <c r="H285" s="3252"/>
    </row>
    <row r="286" spans="1:8" x14ac:dyDescent="0.2">
      <c r="A286" s="3253" t="s">
        <v>1795</v>
      </c>
      <c r="B286" s="3252"/>
      <c r="C286" s="3252"/>
      <c r="D286" s="3252"/>
      <c r="E286" s="3252"/>
      <c r="F286" s="3252"/>
      <c r="G286" s="3252"/>
      <c r="H286" s="3252"/>
    </row>
    <row r="287" spans="1:8" x14ac:dyDescent="0.2">
      <c r="A287" s="3253" t="s">
        <v>1796</v>
      </c>
      <c r="B287" s="3252"/>
      <c r="C287" s="3252"/>
      <c r="D287" s="3252"/>
      <c r="E287" s="3252"/>
      <c r="F287" s="3252"/>
      <c r="G287" s="3252"/>
      <c r="H287" s="3252"/>
    </row>
    <row r="288" spans="1:8" x14ac:dyDescent="0.2">
      <c r="A288" s="3253" t="s">
        <v>1797</v>
      </c>
      <c r="B288" s="3252"/>
      <c r="C288" s="3252"/>
      <c r="D288" s="3252"/>
      <c r="E288" s="3252"/>
      <c r="F288" s="3252"/>
      <c r="G288" s="3252"/>
      <c r="H288" s="3252"/>
    </row>
    <row r="289" spans="1:8" x14ac:dyDescent="0.2">
      <c r="A289" s="3253" t="s">
        <v>1798</v>
      </c>
      <c r="B289" s="3252"/>
      <c r="C289" s="3252"/>
      <c r="D289" s="3252"/>
      <c r="E289" s="3252"/>
      <c r="F289" s="3252"/>
      <c r="G289" s="3252"/>
      <c r="H289" s="3252"/>
    </row>
    <row r="290" spans="1:8" x14ac:dyDescent="0.2">
      <c r="A290" s="3253" t="s">
        <v>1799</v>
      </c>
      <c r="B290" s="3252"/>
      <c r="C290" s="3252"/>
      <c r="D290" s="3252"/>
      <c r="E290" s="3252"/>
      <c r="F290" s="3252"/>
      <c r="G290" s="3252"/>
      <c r="H290" s="3252"/>
    </row>
    <row r="291" spans="1:8" x14ac:dyDescent="0.2">
      <c r="A291" s="3252"/>
      <c r="B291" s="3252"/>
      <c r="C291" s="3252"/>
      <c r="D291" s="3252"/>
      <c r="E291" s="3252"/>
      <c r="F291" s="3252"/>
      <c r="G291" s="3252"/>
      <c r="H291" s="3252"/>
    </row>
    <row r="292" spans="1:8" x14ac:dyDescent="0.2">
      <c r="A292" s="3253" t="s">
        <v>1790</v>
      </c>
      <c r="B292" s="3252"/>
      <c r="C292" s="3252"/>
      <c r="D292" s="3252"/>
      <c r="E292" s="3252"/>
      <c r="F292" s="3252"/>
      <c r="G292" s="3252"/>
      <c r="H292" s="3252"/>
    </row>
    <row r="293" spans="1:8" x14ac:dyDescent="0.2">
      <c r="A293" s="3253" t="s">
        <v>1791</v>
      </c>
      <c r="B293" s="3252"/>
      <c r="C293" s="3252"/>
      <c r="D293" s="3252"/>
      <c r="E293" s="3252"/>
      <c r="F293" s="3252"/>
      <c r="G293" s="3252"/>
      <c r="H293" s="3252"/>
    </row>
    <row r="294" spans="1:8" x14ac:dyDescent="0.2">
      <c r="A294" s="3253" t="s">
        <v>1792</v>
      </c>
      <c r="B294" s="3252"/>
      <c r="C294" s="3252"/>
      <c r="D294" s="3252"/>
      <c r="E294" s="3252"/>
      <c r="F294" s="3252"/>
      <c r="G294" s="3252"/>
      <c r="H294" s="3252"/>
    </row>
    <row r="295" spans="1:8" x14ac:dyDescent="0.2">
      <c r="A295" s="3252"/>
      <c r="B295" s="3252"/>
      <c r="C295" s="3252"/>
      <c r="D295" s="3252"/>
      <c r="E295" s="3252"/>
      <c r="F295" s="3252"/>
      <c r="G295" s="3252"/>
      <c r="H295" s="3252"/>
    </row>
    <row r="296" spans="1:8" x14ac:dyDescent="0.2">
      <c r="A296" s="3253" t="s">
        <v>1788</v>
      </c>
      <c r="B296" s="3252"/>
      <c r="C296" s="3252"/>
      <c r="D296" s="3252"/>
      <c r="E296" s="3252"/>
      <c r="F296" s="3252"/>
      <c r="G296" s="3252"/>
      <c r="H296" s="3252"/>
    </row>
    <row r="297" spans="1:8" x14ac:dyDescent="0.2">
      <c r="A297" s="3253" t="s">
        <v>1789</v>
      </c>
      <c r="B297" s="3252"/>
      <c r="C297" s="3252"/>
      <c r="D297" s="3252"/>
      <c r="E297" s="3252"/>
      <c r="F297" s="3252"/>
      <c r="G297" s="3252"/>
      <c r="H297" s="3252"/>
    </row>
    <row r="298" spans="1:8" x14ac:dyDescent="0.2">
      <c r="A298" s="3252"/>
      <c r="B298" s="3252"/>
      <c r="C298" s="3252"/>
      <c r="D298" s="3252"/>
      <c r="E298" s="3252"/>
      <c r="F298" s="3252"/>
      <c r="G298" s="3252"/>
      <c r="H298" s="3252"/>
    </row>
    <row r="299" spans="1:8" x14ac:dyDescent="0.2">
      <c r="A299" s="3253" t="s">
        <v>1775</v>
      </c>
      <c r="B299" s="3252"/>
      <c r="C299" s="3252"/>
      <c r="D299" s="3252"/>
      <c r="E299" s="3252"/>
      <c r="F299" s="3252"/>
      <c r="G299" s="3252"/>
      <c r="H299" s="3252"/>
    </row>
    <row r="300" spans="1:8" x14ac:dyDescent="0.2">
      <c r="A300" s="3253" t="s">
        <v>1776</v>
      </c>
      <c r="B300" s="3252"/>
      <c r="C300" s="3252"/>
      <c r="D300" s="3252"/>
      <c r="E300" s="3252"/>
      <c r="F300" s="3252"/>
      <c r="G300" s="3252"/>
      <c r="H300" s="3252"/>
    </row>
    <row r="301" spans="1:8" x14ac:dyDescent="0.2">
      <c r="A301" s="3253" t="s">
        <v>1777</v>
      </c>
      <c r="B301" s="3252"/>
      <c r="C301" s="3252"/>
      <c r="D301" s="3252"/>
      <c r="E301" s="3252"/>
      <c r="F301" s="3252"/>
      <c r="G301" s="3252"/>
      <c r="H301" s="3252"/>
    </row>
    <row r="302" spans="1:8" x14ac:dyDescent="0.2">
      <c r="A302" s="3253" t="s">
        <v>1778</v>
      </c>
      <c r="B302" s="3252"/>
      <c r="C302" s="3252"/>
      <c r="D302" s="3252"/>
      <c r="E302" s="3252"/>
      <c r="F302" s="3252"/>
      <c r="G302" s="3252"/>
      <c r="H302" s="3252"/>
    </row>
    <row r="303" spans="1:8" x14ac:dyDescent="0.2">
      <c r="A303" s="3253" t="s">
        <v>1779</v>
      </c>
      <c r="B303" s="3252"/>
      <c r="C303" s="3252"/>
      <c r="D303" s="3252"/>
      <c r="E303" s="3252"/>
      <c r="F303" s="3252"/>
      <c r="G303" s="3252"/>
      <c r="H303" s="3252"/>
    </row>
    <row r="304" spans="1:8" x14ac:dyDescent="0.2">
      <c r="A304" s="3253" t="s">
        <v>1780</v>
      </c>
      <c r="B304" s="3252"/>
      <c r="C304" s="3252"/>
      <c r="D304" s="3252"/>
      <c r="E304" s="3252"/>
      <c r="F304" s="3252"/>
      <c r="G304" s="3252"/>
      <c r="H304" s="3252"/>
    </row>
    <row r="305" spans="1:8" x14ac:dyDescent="0.2">
      <c r="A305" s="3253" t="s">
        <v>1781</v>
      </c>
      <c r="B305" s="3252"/>
      <c r="C305" s="3252"/>
      <c r="D305" s="3252"/>
      <c r="E305" s="3252"/>
      <c r="F305" s="3252"/>
      <c r="G305" s="3252"/>
      <c r="H305" s="3252"/>
    </row>
    <row r="306" spans="1:8" x14ac:dyDescent="0.2">
      <c r="A306" s="3253" t="s">
        <v>1782</v>
      </c>
      <c r="B306" s="3252"/>
      <c r="C306" s="3252"/>
      <c r="D306" s="3252"/>
      <c r="E306" s="3252"/>
      <c r="F306" s="3252"/>
      <c r="G306" s="3252"/>
      <c r="H306" s="3252"/>
    </row>
    <row r="307" spans="1:8" x14ac:dyDescent="0.2">
      <c r="A307" s="3253" t="s">
        <v>1783</v>
      </c>
      <c r="B307" s="3252"/>
      <c r="C307" s="3252"/>
      <c r="D307" s="3252"/>
      <c r="E307" s="3252"/>
      <c r="F307" s="3252"/>
      <c r="G307" s="3252"/>
      <c r="H307" s="3252"/>
    </row>
    <row r="308" spans="1:8" x14ac:dyDescent="0.2">
      <c r="A308" s="3253" t="s">
        <v>1784</v>
      </c>
      <c r="B308" s="3252"/>
      <c r="C308" s="3252"/>
      <c r="D308" s="3252"/>
      <c r="E308" s="3252"/>
      <c r="F308" s="3252"/>
      <c r="G308" s="3252"/>
      <c r="H308" s="3252"/>
    </row>
    <row r="309" spans="1:8" x14ac:dyDescent="0.2">
      <c r="A309" s="3253" t="s">
        <v>1785</v>
      </c>
      <c r="B309" s="3252"/>
      <c r="C309" s="3252"/>
      <c r="D309" s="3252"/>
      <c r="E309" s="3252"/>
      <c r="F309" s="3252"/>
      <c r="G309" s="3252"/>
      <c r="H309" s="3252"/>
    </row>
    <row r="310" spans="1:8" x14ac:dyDescent="0.2">
      <c r="A310" s="3253" t="s">
        <v>1786</v>
      </c>
      <c r="B310" s="3252"/>
      <c r="C310" s="3252"/>
      <c r="D310" s="3252"/>
      <c r="E310" s="3252"/>
      <c r="F310" s="3252"/>
      <c r="G310" s="3252"/>
      <c r="H310" s="3252"/>
    </row>
    <row r="311" spans="1:8" x14ac:dyDescent="0.2">
      <c r="A311" s="3253" t="s">
        <v>1787</v>
      </c>
      <c r="B311" s="3252"/>
      <c r="C311" s="3252"/>
      <c r="D311" s="3252"/>
      <c r="E311" s="3252"/>
      <c r="F311" s="3252"/>
      <c r="G311" s="3252"/>
      <c r="H311" s="3252"/>
    </row>
    <row r="312" spans="1:8" x14ac:dyDescent="0.2">
      <c r="A312" s="3252"/>
      <c r="B312" s="3252"/>
      <c r="C312" s="3252"/>
      <c r="D312" s="3252"/>
      <c r="E312" s="3252"/>
      <c r="F312" s="3252"/>
      <c r="G312" s="3252"/>
      <c r="H312" s="3252"/>
    </row>
    <row r="313" spans="1:8" x14ac:dyDescent="0.2">
      <c r="A313" s="3253" t="s">
        <v>1767</v>
      </c>
      <c r="B313" s="3252"/>
      <c r="C313" s="3252"/>
      <c r="D313" s="3252"/>
      <c r="E313" s="3252"/>
      <c r="F313" s="3252"/>
      <c r="G313" s="3252"/>
      <c r="H313" s="3252"/>
    </row>
    <row r="314" spans="1:8" x14ac:dyDescent="0.2">
      <c r="A314" s="3253" t="s">
        <v>1768</v>
      </c>
      <c r="B314" s="3252"/>
      <c r="C314" s="3252"/>
      <c r="D314" s="3252"/>
      <c r="E314" s="3252"/>
      <c r="F314" s="3252"/>
      <c r="G314" s="3252"/>
      <c r="H314" s="3252"/>
    </row>
    <row r="315" spans="1:8" x14ac:dyDescent="0.2">
      <c r="A315" s="3253" t="s">
        <v>1769</v>
      </c>
      <c r="B315" s="3252"/>
      <c r="C315" s="3252"/>
      <c r="D315" s="3252"/>
      <c r="E315" s="3252"/>
      <c r="F315" s="3252"/>
      <c r="G315" s="3252"/>
      <c r="H315" s="3252"/>
    </row>
    <row r="316" spans="1:8" x14ac:dyDescent="0.2">
      <c r="A316" s="3253" t="s">
        <v>1770</v>
      </c>
      <c r="B316" s="3252"/>
      <c r="C316" s="3252"/>
      <c r="D316" s="3252"/>
      <c r="E316" s="3252"/>
      <c r="F316" s="3252"/>
      <c r="G316" s="3252"/>
      <c r="H316" s="3252"/>
    </row>
    <row r="317" spans="1:8" x14ac:dyDescent="0.2">
      <c r="A317" s="3253" t="s">
        <v>1771</v>
      </c>
      <c r="B317" s="3252"/>
      <c r="C317" s="3252"/>
      <c r="D317" s="3252"/>
      <c r="E317" s="3252"/>
      <c r="F317" s="3252"/>
      <c r="G317" s="3252"/>
      <c r="H317" s="3252"/>
    </row>
    <row r="318" spans="1:8" x14ac:dyDescent="0.2">
      <c r="A318" s="3253" t="s">
        <v>1772</v>
      </c>
      <c r="B318" s="3252"/>
      <c r="C318" s="3252"/>
      <c r="D318" s="3252"/>
      <c r="E318" s="3252"/>
      <c r="F318" s="3252"/>
      <c r="G318" s="3252"/>
      <c r="H318" s="3252"/>
    </row>
    <row r="319" spans="1:8" x14ac:dyDescent="0.2">
      <c r="A319" s="3253" t="s">
        <v>1773</v>
      </c>
      <c r="B319" s="3252"/>
      <c r="C319" s="3252"/>
      <c r="D319" s="3252"/>
      <c r="E319" s="3252"/>
      <c r="F319" s="3252"/>
      <c r="G319" s="3252"/>
      <c r="H319" s="3252"/>
    </row>
    <row r="320" spans="1:8" x14ac:dyDescent="0.2">
      <c r="A320" s="3253" t="s">
        <v>1774</v>
      </c>
      <c r="B320" s="3252"/>
      <c r="C320" s="3252"/>
      <c r="D320" s="3252"/>
      <c r="E320" s="3252"/>
      <c r="F320" s="3252"/>
      <c r="G320" s="3252"/>
      <c r="H320" s="3252"/>
    </row>
    <row r="321" spans="1:8" x14ac:dyDescent="0.2">
      <c r="A321" s="3252"/>
      <c r="B321" s="3252"/>
      <c r="C321" s="3252"/>
      <c r="D321" s="3252"/>
      <c r="E321" s="3252"/>
      <c r="F321" s="3252"/>
      <c r="G321" s="3252"/>
      <c r="H321" s="3252"/>
    </row>
    <row r="322" spans="1:8" x14ac:dyDescent="0.2">
      <c r="A322" s="3253" t="s">
        <v>1732</v>
      </c>
      <c r="B322" s="3252"/>
      <c r="C322" s="3252"/>
      <c r="D322" s="3252"/>
      <c r="E322" s="3252"/>
      <c r="F322" s="3252"/>
      <c r="G322" s="3252"/>
      <c r="H322" s="3252"/>
    </row>
    <row r="323" spans="1:8" x14ac:dyDescent="0.2">
      <c r="A323" s="3253" t="s">
        <v>1733</v>
      </c>
      <c r="B323" s="3252"/>
      <c r="C323" s="3252"/>
      <c r="D323" s="3252"/>
      <c r="E323" s="3252"/>
      <c r="F323" s="3252"/>
      <c r="G323" s="3252"/>
      <c r="H323" s="3252"/>
    </row>
    <row r="324" spans="1:8" x14ac:dyDescent="0.2">
      <c r="A324" s="3253" t="s">
        <v>1734</v>
      </c>
      <c r="B324" s="3252"/>
      <c r="C324" s="3252"/>
      <c r="D324" s="3252"/>
      <c r="E324" s="3252"/>
      <c r="F324" s="3252"/>
      <c r="G324" s="3252"/>
      <c r="H324" s="3252"/>
    </row>
    <row r="325" spans="1:8" x14ac:dyDescent="0.2">
      <c r="A325" s="3253" t="s">
        <v>1735</v>
      </c>
      <c r="B325" s="3252"/>
      <c r="C325" s="3252"/>
      <c r="D325" s="3252"/>
      <c r="E325" s="3252"/>
      <c r="F325" s="3252"/>
      <c r="G325" s="3252"/>
      <c r="H325" s="3252"/>
    </row>
    <row r="326" spans="1:8" x14ac:dyDescent="0.2">
      <c r="A326" s="3253" t="s">
        <v>1736</v>
      </c>
      <c r="B326" s="3252"/>
      <c r="C326" s="3252"/>
      <c r="D326" s="3252"/>
      <c r="E326" s="3252"/>
      <c r="F326" s="3252"/>
      <c r="G326" s="3252"/>
      <c r="H326" s="3252"/>
    </row>
    <row r="327" spans="1:8" x14ac:dyDescent="0.2">
      <c r="A327" s="3253" t="s">
        <v>1737</v>
      </c>
      <c r="B327" s="3252"/>
      <c r="C327" s="3252"/>
      <c r="D327" s="3252"/>
      <c r="E327" s="3252"/>
      <c r="F327" s="3252"/>
      <c r="G327" s="3252"/>
      <c r="H327" s="3252"/>
    </row>
    <row r="328" spans="1:8" x14ac:dyDescent="0.2">
      <c r="A328" s="3253" t="s">
        <v>1738</v>
      </c>
      <c r="B328" s="3252"/>
      <c r="C328" s="3252"/>
      <c r="D328" s="3252"/>
      <c r="E328" s="3252"/>
      <c r="F328" s="3252"/>
      <c r="G328" s="3252"/>
      <c r="H328" s="3252"/>
    </row>
    <row r="329" spans="1:8" x14ac:dyDescent="0.2">
      <c r="A329" s="3253" t="s">
        <v>1739</v>
      </c>
      <c r="B329" s="3252"/>
      <c r="C329" s="3252"/>
      <c r="D329" s="3252"/>
      <c r="E329" s="3252"/>
      <c r="F329" s="3252"/>
      <c r="G329" s="3252"/>
      <c r="H329" s="3252"/>
    </row>
    <row r="330" spans="1:8" x14ac:dyDescent="0.2">
      <c r="A330" s="3253" t="s">
        <v>1740</v>
      </c>
      <c r="B330" s="3252"/>
      <c r="C330" s="3252"/>
      <c r="D330" s="3252"/>
      <c r="E330" s="3252"/>
      <c r="F330" s="3252"/>
      <c r="G330" s="3252"/>
      <c r="H330" s="3252"/>
    </row>
    <row r="331" spans="1:8" x14ac:dyDescent="0.2">
      <c r="A331" s="3253" t="s">
        <v>1741</v>
      </c>
      <c r="B331" s="3252"/>
      <c r="C331" s="3252"/>
      <c r="D331" s="3252"/>
      <c r="E331" s="3252"/>
      <c r="F331" s="3252"/>
      <c r="G331" s="3252"/>
      <c r="H331" s="3252"/>
    </row>
    <row r="332" spans="1:8" x14ac:dyDescent="0.2">
      <c r="A332" s="3253" t="s">
        <v>1742</v>
      </c>
      <c r="B332" s="3252"/>
      <c r="C332" s="3252"/>
      <c r="D332" s="3252"/>
      <c r="E332" s="3252"/>
      <c r="F332" s="3252"/>
      <c r="G332" s="3252"/>
      <c r="H332" s="3252"/>
    </row>
    <row r="333" spans="1:8" x14ac:dyDescent="0.2">
      <c r="A333" s="3253" t="s">
        <v>1743</v>
      </c>
      <c r="B333" s="3252"/>
      <c r="C333" s="3252"/>
      <c r="D333" s="3252"/>
      <c r="E333" s="3252"/>
      <c r="F333" s="3252"/>
      <c r="G333" s="3252"/>
      <c r="H333" s="3252"/>
    </row>
    <row r="334" spans="1:8" x14ac:dyDescent="0.2">
      <c r="A334" s="3253" t="s">
        <v>1744</v>
      </c>
      <c r="B334" s="3252"/>
      <c r="C334" s="3252"/>
      <c r="D334" s="3252"/>
      <c r="E334" s="3252"/>
      <c r="F334" s="3252"/>
      <c r="G334" s="3252"/>
      <c r="H334" s="3252"/>
    </row>
    <row r="335" spans="1:8" x14ac:dyDescent="0.2">
      <c r="A335" s="3253" t="s">
        <v>1745</v>
      </c>
      <c r="B335" s="3252"/>
      <c r="C335" s="3252"/>
      <c r="D335" s="3252"/>
      <c r="E335" s="3252"/>
      <c r="F335" s="3252"/>
      <c r="G335" s="3252"/>
      <c r="H335" s="3252"/>
    </row>
    <row r="336" spans="1:8" x14ac:dyDescent="0.2">
      <c r="A336" s="3253" t="s">
        <v>1746</v>
      </c>
      <c r="B336" s="3252"/>
      <c r="C336" s="3252"/>
      <c r="D336" s="3252"/>
      <c r="E336" s="3252"/>
      <c r="F336" s="3252"/>
      <c r="G336" s="3252"/>
      <c r="H336" s="3252"/>
    </row>
    <row r="337" spans="1:8" x14ac:dyDescent="0.2">
      <c r="A337" s="3253" t="s">
        <v>1747</v>
      </c>
      <c r="B337" s="3252"/>
      <c r="C337" s="3252"/>
      <c r="D337" s="3252"/>
      <c r="E337" s="3252"/>
      <c r="F337" s="3252"/>
      <c r="G337" s="3252"/>
      <c r="H337" s="3252"/>
    </row>
    <row r="338" spans="1:8" x14ac:dyDescent="0.2">
      <c r="A338" s="3253" t="s">
        <v>1748</v>
      </c>
      <c r="B338" s="3252"/>
      <c r="C338" s="3252"/>
      <c r="D338" s="3252"/>
      <c r="E338" s="3252"/>
      <c r="F338" s="3252"/>
      <c r="G338" s="3252"/>
      <c r="H338" s="3252"/>
    </row>
    <row r="339" spans="1:8" x14ac:dyDescent="0.2">
      <c r="A339" s="3253" t="s">
        <v>1749</v>
      </c>
      <c r="B339" s="3252"/>
      <c r="C339" s="3252"/>
      <c r="D339" s="3252"/>
      <c r="E339" s="3252"/>
      <c r="F339" s="3252"/>
      <c r="G339" s="3252"/>
      <c r="H339" s="3252"/>
    </row>
    <row r="340" spans="1:8" x14ac:dyDescent="0.2">
      <c r="A340" s="3253" t="s">
        <v>1750</v>
      </c>
      <c r="B340" s="3252"/>
      <c r="C340" s="3252"/>
      <c r="D340" s="3252"/>
      <c r="E340" s="3252"/>
      <c r="F340" s="3252"/>
      <c r="G340" s="3252"/>
      <c r="H340" s="3252"/>
    </row>
    <row r="341" spans="1:8" x14ac:dyDescent="0.2">
      <c r="A341" s="3253" t="s">
        <v>1751</v>
      </c>
      <c r="B341" s="3252"/>
      <c r="C341" s="3252"/>
      <c r="D341" s="3252"/>
      <c r="E341" s="3252"/>
      <c r="F341" s="3252"/>
      <c r="G341" s="3252"/>
      <c r="H341" s="3252"/>
    </row>
    <row r="342" spans="1:8" x14ac:dyDescent="0.2">
      <c r="A342" s="3253" t="s">
        <v>1752</v>
      </c>
      <c r="B342" s="3252"/>
      <c r="C342" s="3252"/>
      <c r="D342" s="3252"/>
      <c r="E342" s="3252"/>
      <c r="F342" s="3252"/>
      <c r="G342" s="3252"/>
      <c r="H342" s="3252"/>
    </row>
    <row r="343" spans="1:8" x14ac:dyDescent="0.2">
      <c r="A343" s="3253" t="s">
        <v>1753</v>
      </c>
      <c r="B343" s="3252"/>
      <c r="C343" s="3252"/>
      <c r="D343" s="3252"/>
      <c r="E343" s="3252"/>
      <c r="F343" s="3252"/>
      <c r="G343" s="3252"/>
      <c r="H343" s="3252"/>
    </row>
    <row r="344" spans="1:8" x14ac:dyDescent="0.2">
      <c r="A344" s="3253" t="s">
        <v>1754</v>
      </c>
      <c r="B344" s="3252"/>
      <c r="C344" s="3252"/>
      <c r="D344" s="3252"/>
      <c r="E344" s="3252"/>
      <c r="F344" s="3252"/>
      <c r="G344" s="3252"/>
      <c r="H344" s="3252"/>
    </row>
    <row r="345" spans="1:8" x14ac:dyDescent="0.2">
      <c r="A345" s="3253" t="s">
        <v>1755</v>
      </c>
      <c r="B345" s="3252"/>
      <c r="C345" s="3252"/>
      <c r="D345" s="3252"/>
      <c r="E345" s="3252"/>
      <c r="F345" s="3252"/>
      <c r="G345" s="3252"/>
      <c r="H345" s="3252"/>
    </row>
    <row r="346" spans="1:8" x14ac:dyDescent="0.2">
      <c r="A346" s="3253" t="s">
        <v>1756</v>
      </c>
      <c r="B346" s="3252"/>
      <c r="C346" s="3252"/>
      <c r="D346" s="3252"/>
      <c r="E346" s="3252"/>
      <c r="F346" s="3252"/>
      <c r="G346" s="3252"/>
      <c r="H346" s="3252"/>
    </row>
    <row r="347" spans="1:8" x14ac:dyDescent="0.2">
      <c r="A347" s="3253" t="s">
        <v>1757</v>
      </c>
      <c r="B347" s="3252"/>
      <c r="C347" s="3252"/>
      <c r="D347" s="3252"/>
      <c r="E347" s="3252"/>
      <c r="F347" s="3252"/>
      <c r="G347" s="3252"/>
      <c r="H347" s="3252"/>
    </row>
    <row r="348" spans="1:8" x14ac:dyDescent="0.2">
      <c r="A348" s="3253" t="s">
        <v>1758</v>
      </c>
      <c r="B348" s="3252"/>
      <c r="C348" s="3252"/>
      <c r="D348" s="3252"/>
      <c r="E348" s="3252"/>
      <c r="F348" s="3252"/>
      <c r="G348" s="3252"/>
      <c r="H348" s="3252"/>
    </row>
    <row r="349" spans="1:8" x14ac:dyDescent="0.2">
      <c r="A349" s="3253" t="s">
        <v>1759</v>
      </c>
      <c r="B349" s="3252"/>
      <c r="C349" s="3252"/>
      <c r="D349" s="3252"/>
      <c r="E349" s="3252"/>
      <c r="F349" s="3252"/>
      <c r="G349" s="3252"/>
      <c r="H349" s="3252"/>
    </row>
    <row r="350" spans="1:8" x14ac:dyDescent="0.2">
      <c r="A350" s="3253" t="s">
        <v>1760</v>
      </c>
      <c r="B350" s="3252"/>
      <c r="C350" s="3252"/>
      <c r="D350" s="3252"/>
      <c r="E350" s="3252"/>
      <c r="F350" s="3252"/>
      <c r="G350" s="3252"/>
      <c r="H350" s="3252"/>
    </row>
    <row r="351" spans="1:8" x14ac:dyDescent="0.2">
      <c r="A351" s="3253" t="s">
        <v>1761</v>
      </c>
      <c r="B351" s="3252"/>
      <c r="C351" s="3252"/>
      <c r="D351" s="3252"/>
      <c r="E351" s="3252"/>
      <c r="F351" s="3252"/>
      <c r="G351" s="3252"/>
      <c r="H351" s="3252"/>
    </row>
    <row r="352" spans="1:8" x14ac:dyDescent="0.2">
      <c r="A352" s="3253" t="s">
        <v>1762</v>
      </c>
      <c r="B352" s="3252"/>
      <c r="C352" s="3252"/>
      <c r="D352" s="3252"/>
      <c r="E352" s="3252"/>
      <c r="F352" s="3252"/>
      <c r="G352" s="3252"/>
      <c r="H352" s="3252"/>
    </row>
    <row r="353" spans="1:8" x14ac:dyDescent="0.2">
      <c r="A353" s="3253" t="s">
        <v>1763</v>
      </c>
      <c r="B353" s="3252"/>
      <c r="C353" s="3252"/>
      <c r="D353" s="3252"/>
      <c r="E353" s="3252"/>
      <c r="F353" s="3252"/>
      <c r="G353" s="3252"/>
      <c r="H353" s="3252"/>
    </row>
    <row r="354" spans="1:8" x14ac:dyDescent="0.2">
      <c r="A354" s="3253" t="s">
        <v>1764</v>
      </c>
      <c r="B354" s="3252"/>
      <c r="C354" s="3252"/>
      <c r="D354" s="3252"/>
      <c r="E354" s="3252"/>
      <c r="F354" s="3252"/>
      <c r="G354" s="3252"/>
      <c r="H354" s="3252"/>
    </row>
    <row r="355" spans="1:8" x14ac:dyDescent="0.2">
      <c r="A355" s="3253" t="s">
        <v>1765</v>
      </c>
      <c r="B355" s="3252"/>
      <c r="C355" s="3252"/>
      <c r="D355" s="3252"/>
      <c r="E355" s="3252"/>
      <c r="F355" s="3252"/>
      <c r="G355" s="3252"/>
      <c r="H355" s="3252"/>
    </row>
    <row r="356" spans="1:8" x14ac:dyDescent="0.2">
      <c r="A356" s="3253" t="s">
        <v>1766</v>
      </c>
      <c r="B356" s="3252"/>
      <c r="C356" s="3252"/>
      <c r="D356" s="3252"/>
      <c r="E356" s="3252"/>
      <c r="F356" s="3252"/>
      <c r="G356" s="3252"/>
      <c r="H356" s="3252"/>
    </row>
    <row r="357" spans="1:8" x14ac:dyDescent="0.2">
      <c r="A357" s="3252"/>
      <c r="B357" s="3252"/>
      <c r="C357" s="3252"/>
      <c r="D357" s="3252"/>
      <c r="E357" s="3252"/>
      <c r="F357" s="3252"/>
      <c r="G357" s="3252"/>
      <c r="H357" s="3252"/>
    </row>
    <row r="358" spans="1:8" x14ac:dyDescent="0.2">
      <c r="A358" s="3253" t="s">
        <v>1724</v>
      </c>
      <c r="B358" s="3252"/>
      <c r="C358" s="3252"/>
      <c r="D358" s="3252"/>
      <c r="E358" s="3252"/>
      <c r="F358" s="3252"/>
      <c r="G358" s="3252"/>
      <c r="H358" s="3252"/>
    </row>
    <row r="359" spans="1:8" x14ac:dyDescent="0.2">
      <c r="A359" s="3253" t="s">
        <v>1728</v>
      </c>
      <c r="B359" s="3252"/>
      <c r="C359" s="3252"/>
      <c r="D359" s="3252"/>
      <c r="E359" s="3252"/>
      <c r="F359" s="3252"/>
      <c r="G359" s="3252"/>
      <c r="H359" s="3252"/>
    </row>
    <row r="360" spans="1:8" x14ac:dyDescent="0.2">
      <c r="A360" s="3253" t="s">
        <v>1729</v>
      </c>
      <c r="B360" s="3252"/>
      <c r="C360" s="3252"/>
      <c r="D360" s="3252"/>
      <c r="E360" s="3252"/>
      <c r="F360" s="3252"/>
      <c r="G360" s="3252"/>
      <c r="H360" s="3252"/>
    </row>
    <row r="361" spans="1:8" x14ac:dyDescent="0.2">
      <c r="A361" s="3253" t="s">
        <v>1730</v>
      </c>
      <c r="B361" s="3252"/>
      <c r="C361" s="3252"/>
      <c r="D361" s="3252"/>
      <c r="E361" s="3252"/>
      <c r="F361" s="3252"/>
      <c r="G361" s="3252"/>
      <c r="H361" s="3252"/>
    </row>
    <row r="362" spans="1:8" x14ac:dyDescent="0.2">
      <c r="A362" s="3253" t="s">
        <v>1731</v>
      </c>
      <c r="B362" s="3252"/>
      <c r="C362" s="3252"/>
      <c r="D362" s="3252"/>
      <c r="E362" s="3252"/>
      <c r="F362" s="3252"/>
      <c r="G362" s="3252"/>
      <c r="H362" s="3252"/>
    </row>
    <row r="363" spans="1:8" x14ac:dyDescent="0.2">
      <c r="A363" s="3252"/>
      <c r="B363" s="3252"/>
      <c r="C363" s="3252"/>
      <c r="D363" s="3252"/>
      <c r="E363" s="3252"/>
      <c r="F363" s="3252"/>
      <c r="G363" s="3252"/>
      <c r="H363" s="3252"/>
    </row>
    <row r="364" spans="1:8" x14ac:dyDescent="0.2">
      <c r="A364" s="3253" t="s">
        <v>1724</v>
      </c>
      <c r="B364" s="3252"/>
      <c r="C364" s="3252"/>
      <c r="D364" s="3252"/>
      <c r="E364" s="3252"/>
      <c r="F364" s="3252"/>
      <c r="G364" s="3252"/>
      <c r="H364" s="3252"/>
    </row>
    <row r="365" spans="1:8" x14ac:dyDescent="0.2">
      <c r="A365" s="3253" t="s">
        <v>1725</v>
      </c>
      <c r="B365" s="3252"/>
      <c r="C365" s="3252"/>
      <c r="D365" s="3252"/>
      <c r="E365" s="3252"/>
      <c r="F365" s="3252"/>
      <c r="G365" s="3252"/>
      <c r="H365" s="3252"/>
    </row>
    <row r="366" spans="1:8" x14ac:dyDescent="0.2">
      <c r="A366" s="3253" t="s">
        <v>1726</v>
      </c>
      <c r="B366" s="3252"/>
      <c r="C366" s="3252"/>
      <c r="D366" s="3252"/>
      <c r="E366" s="3252"/>
      <c r="F366" s="3252"/>
      <c r="G366" s="3252"/>
      <c r="H366" s="3252"/>
    </row>
    <row r="367" spans="1:8" x14ac:dyDescent="0.2">
      <c r="A367" s="3253" t="s">
        <v>1727</v>
      </c>
      <c r="B367" s="3252"/>
      <c r="C367" s="3252"/>
      <c r="D367" s="3252"/>
      <c r="E367" s="3252"/>
      <c r="F367" s="3252"/>
      <c r="G367" s="3252"/>
      <c r="H367" s="3252"/>
    </row>
    <row r="368" spans="1:8" x14ac:dyDescent="0.2">
      <c r="A368" s="3252"/>
      <c r="B368" s="3252"/>
      <c r="C368" s="3252"/>
      <c r="D368" s="3252"/>
      <c r="E368" s="3252"/>
      <c r="F368" s="3252"/>
      <c r="G368" s="3252"/>
      <c r="H368" s="3252"/>
    </row>
    <row r="369" spans="1:8" x14ac:dyDescent="0.2">
      <c r="A369" s="3253" t="s">
        <v>1718</v>
      </c>
      <c r="B369" s="3252"/>
      <c r="C369" s="3252"/>
      <c r="D369" s="3252"/>
      <c r="E369" s="3252"/>
      <c r="F369" s="3252"/>
      <c r="G369" s="3252"/>
      <c r="H369" s="3252"/>
    </row>
    <row r="370" spans="1:8" x14ac:dyDescent="0.2">
      <c r="A370" s="3253" t="s">
        <v>1719</v>
      </c>
      <c r="B370" s="3252"/>
      <c r="C370" s="3252"/>
      <c r="D370" s="3252"/>
      <c r="E370" s="3252"/>
      <c r="F370" s="3252"/>
      <c r="G370" s="3252"/>
      <c r="H370" s="3252"/>
    </row>
    <row r="371" spans="1:8" x14ac:dyDescent="0.2">
      <c r="A371" s="3253" t="s">
        <v>1720</v>
      </c>
      <c r="B371" s="3252"/>
      <c r="C371" s="3252"/>
      <c r="D371" s="3252"/>
      <c r="E371" s="3252"/>
      <c r="F371" s="3252"/>
      <c r="G371" s="3252"/>
      <c r="H371" s="3252"/>
    </row>
    <row r="372" spans="1:8" x14ac:dyDescent="0.2">
      <c r="A372" s="3253" t="s">
        <v>1721</v>
      </c>
      <c r="B372" s="3252"/>
      <c r="C372" s="3252"/>
      <c r="D372" s="3252"/>
      <c r="E372" s="3252"/>
      <c r="F372" s="3252"/>
      <c r="G372" s="3252"/>
      <c r="H372" s="3252"/>
    </row>
    <row r="373" spans="1:8" x14ac:dyDescent="0.2">
      <c r="A373" s="3253" t="s">
        <v>1722</v>
      </c>
      <c r="B373" s="3252"/>
      <c r="C373" s="3252"/>
      <c r="D373" s="3252"/>
      <c r="E373" s="3252"/>
      <c r="F373" s="3252"/>
      <c r="G373" s="3252"/>
      <c r="H373" s="3252"/>
    </row>
    <row r="374" spans="1:8" x14ac:dyDescent="0.2">
      <c r="A374" s="3253" t="s">
        <v>1723</v>
      </c>
      <c r="B374" s="3252"/>
      <c r="C374" s="3252"/>
      <c r="D374" s="3252"/>
      <c r="E374" s="3252"/>
      <c r="F374" s="3252"/>
      <c r="G374" s="3252"/>
      <c r="H374" s="3252"/>
    </row>
    <row r="375" spans="1:8" x14ac:dyDescent="0.2">
      <c r="A375" s="3252"/>
      <c r="B375" s="3252"/>
      <c r="C375" s="3252"/>
      <c r="D375" s="3252"/>
      <c r="E375" s="3252"/>
      <c r="F375" s="3252"/>
      <c r="G375" s="3252"/>
      <c r="H375" s="3252"/>
    </row>
    <row r="376" spans="1:8" x14ac:dyDescent="0.2">
      <c r="A376" s="3253" t="s">
        <v>1713</v>
      </c>
      <c r="B376" s="3252"/>
      <c r="C376" s="3252"/>
      <c r="D376" s="3252"/>
      <c r="E376" s="3252"/>
      <c r="F376" s="3252"/>
      <c r="G376" s="3252"/>
      <c r="H376" s="3252"/>
    </row>
    <row r="377" spans="1:8" x14ac:dyDescent="0.2">
      <c r="A377" s="3253" t="s">
        <v>1714</v>
      </c>
      <c r="B377" s="3252"/>
      <c r="C377" s="3252"/>
      <c r="D377" s="3252"/>
      <c r="E377" s="3252"/>
      <c r="F377" s="3252"/>
      <c r="G377" s="3252"/>
      <c r="H377" s="3252"/>
    </row>
    <row r="378" spans="1:8" x14ac:dyDescent="0.2">
      <c r="A378" s="3253" t="s">
        <v>1715</v>
      </c>
      <c r="B378" s="3252"/>
      <c r="C378" s="3252"/>
      <c r="D378" s="3252"/>
      <c r="E378" s="3252"/>
      <c r="F378" s="3252"/>
      <c r="G378" s="3252"/>
      <c r="H378" s="3252"/>
    </row>
    <row r="379" spans="1:8" x14ac:dyDescent="0.2">
      <c r="A379" s="3253" t="s">
        <v>1716</v>
      </c>
      <c r="B379" s="3252"/>
      <c r="C379" s="3252"/>
      <c r="D379" s="3252"/>
      <c r="E379" s="3252"/>
      <c r="F379" s="3252"/>
      <c r="G379" s="3252"/>
      <c r="H379" s="3252"/>
    </row>
    <row r="380" spans="1:8" x14ac:dyDescent="0.2">
      <c r="A380" s="3253" t="s">
        <v>1717</v>
      </c>
      <c r="B380" s="3252"/>
      <c r="C380" s="3252"/>
      <c r="D380" s="3252"/>
      <c r="E380" s="3252"/>
      <c r="F380" s="3252"/>
      <c r="G380" s="3252"/>
      <c r="H380" s="3252"/>
    </row>
    <row r="381" spans="1:8" x14ac:dyDescent="0.2">
      <c r="A381" s="3252"/>
      <c r="B381" s="3252"/>
      <c r="C381" s="3252"/>
      <c r="D381" s="3252"/>
      <c r="E381" s="3252"/>
      <c r="F381" s="3252"/>
      <c r="G381" s="3252"/>
      <c r="H381" s="3252"/>
    </row>
    <row r="382" spans="1:8" x14ac:dyDescent="0.2">
      <c r="A382" s="3253" t="s">
        <v>1711</v>
      </c>
      <c r="B382" s="3252"/>
      <c r="C382" s="3252"/>
      <c r="D382" s="3252"/>
      <c r="E382" s="3252"/>
      <c r="F382" s="3252"/>
      <c r="G382" s="3252"/>
      <c r="H382" s="3252"/>
    </row>
    <row r="383" spans="1:8" x14ac:dyDescent="0.2">
      <c r="A383" s="3253" t="s">
        <v>1712</v>
      </c>
      <c r="B383" s="3252"/>
      <c r="C383" s="3252"/>
      <c r="D383" s="3252"/>
      <c r="E383" s="3252"/>
      <c r="F383" s="3252"/>
      <c r="G383" s="3252"/>
      <c r="H383" s="3252"/>
    </row>
    <row r="385" spans="1:1" x14ac:dyDescent="0.2">
      <c r="A385" s="3248" t="s">
        <v>1963</v>
      </c>
    </row>
  </sheetData>
  <mergeCells count="12">
    <mergeCell ref="A123:H123"/>
    <mergeCell ref="A124:H124"/>
    <mergeCell ref="B116:C116"/>
    <mergeCell ref="D116:F116"/>
    <mergeCell ref="G116:H116"/>
    <mergeCell ref="A102:H102"/>
    <mergeCell ref="A103:H103"/>
    <mergeCell ref="A104:H104"/>
    <mergeCell ref="A105:H105"/>
    <mergeCell ref="A107:H107"/>
    <mergeCell ref="A108:H108"/>
    <mergeCell ref="A115:H115"/>
  </mergeCells>
  <pageMargins left="0.5" right="0.5" top="0.5" bottom="0.5" header="0.5" footer="0.5"/>
  <pageSetup orientation="portrait" horizontalDpi="300" verticalDpi="0"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B15"/>
  <sheetViews>
    <sheetView workbookViewId="0"/>
  </sheetViews>
  <sheetFormatPr defaultRowHeight="12.75" x14ac:dyDescent="0.2"/>
  <sheetData>
    <row r="1" spans="1:2" x14ac:dyDescent="0.2">
      <c r="A1" t="s">
        <v>2039</v>
      </c>
      <c r="B1" t="s">
        <v>2040</v>
      </c>
    </row>
    <row r="2" spans="1:2" x14ac:dyDescent="0.2">
      <c r="A2" s="1623" t="s">
        <v>2041</v>
      </c>
      <c r="B2">
        <v>-1</v>
      </c>
    </row>
    <row r="3" spans="1:2" x14ac:dyDescent="0.2">
      <c r="A3" s="1623" t="s">
        <v>2042</v>
      </c>
      <c r="B3">
        <v>2</v>
      </c>
    </row>
    <row r="4" spans="1:2" x14ac:dyDescent="0.2">
      <c r="A4" s="1623" t="s">
        <v>2043</v>
      </c>
      <c r="B4">
        <v>-1</v>
      </c>
    </row>
    <row r="5" spans="1:2" x14ac:dyDescent="0.2">
      <c r="A5" s="1623" t="s">
        <v>2044</v>
      </c>
      <c r="B5">
        <v>-1</v>
      </c>
    </row>
    <row r="6" spans="1:2" x14ac:dyDescent="0.2">
      <c r="A6" s="1623" t="s">
        <v>1575</v>
      </c>
      <c r="B6">
        <v>-1</v>
      </c>
    </row>
    <row r="7" spans="1:2" x14ac:dyDescent="0.2">
      <c r="A7" s="1623" t="s">
        <v>2045</v>
      </c>
      <c r="B7">
        <v>-1</v>
      </c>
    </row>
    <row r="8" spans="1:2" x14ac:dyDescent="0.2">
      <c r="A8" s="1623" t="s">
        <v>2046</v>
      </c>
      <c r="B8">
        <v>-1</v>
      </c>
    </row>
    <row r="9" spans="1:2" x14ac:dyDescent="0.2">
      <c r="A9" s="1623" t="s">
        <v>240</v>
      </c>
      <c r="B9">
        <v>-1</v>
      </c>
    </row>
    <row r="10" spans="1:2" x14ac:dyDescent="0.2">
      <c r="A10" s="1623" t="s">
        <v>241</v>
      </c>
      <c r="B10">
        <v>-1</v>
      </c>
    </row>
    <row r="11" spans="1:2" x14ac:dyDescent="0.2">
      <c r="A11" s="1623" t="s">
        <v>1138</v>
      </c>
      <c r="B11">
        <v>-1</v>
      </c>
    </row>
    <row r="12" spans="1:2" x14ac:dyDescent="0.2">
      <c r="A12" s="1623" t="s">
        <v>2047</v>
      </c>
      <c r="B12">
        <v>-1</v>
      </c>
    </row>
    <row r="13" spans="1:2" x14ac:dyDescent="0.2">
      <c r="A13" s="1623" t="s">
        <v>2048</v>
      </c>
      <c r="B13">
        <v>-1</v>
      </c>
    </row>
    <row r="14" spans="1:2" x14ac:dyDescent="0.2">
      <c r="A14" s="1623" t="s">
        <v>2049</v>
      </c>
      <c r="B14">
        <v>-1</v>
      </c>
    </row>
    <row r="15" spans="1:2" x14ac:dyDescent="0.2">
      <c r="A15" s="1623" t="s">
        <v>2050</v>
      </c>
      <c r="B15">
        <v>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1:B11"/>
  <sheetViews>
    <sheetView showGridLines="0" showRowColHeaders="0" workbookViewId="0">
      <selection activeCell="N1" sqref="N1"/>
    </sheetView>
  </sheetViews>
  <sheetFormatPr defaultRowHeight="12.75" x14ac:dyDescent="0.2"/>
  <cols>
    <col min="1" max="1" width="9.140625" style="2733"/>
    <col min="2" max="2" width="88.28515625" style="2733" customWidth="1"/>
    <col min="3" max="257" width="9.140625" style="2733"/>
    <col min="258" max="258" width="88.28515625" style="2733" customWidth="1"/>
    <col min="259" max="513" width="9.140625" style="2733"/>
    <col min="514" max="514" width="88.28515625" style="2733" customWidth="1"/>
    <col min="515" max="769" width="9.140625" style="2733"/>
    <col min="770" max="770" width="88.28515625" style="2733" customWidth="1"/>
    <col min="771" max="1025" width="9.140625" style="2733"/>
    <col min="1026" max="1026" width="88.28515625" style="2733" customWidth="1"/>
    <col min="1027" max="1281" width="9.140625" style="2733"/>
    <col min="1282" max="1282" width="88.28515625" style="2733" customWidth="1"/>
    <col min="1283" max="1537" width="9.140625" style="2733"/>
    <col min="1538" max="1538" width="88.28515625" style="2733" customWidth="1"/>
    <col min="1539" max="1793" width="9.140625" style="2733"/>
    <col min="1794" max="1794" width="88.28515625" style="2733" customWidth="1"/>
    <col min="1795" max="2049" width="9.140625" style="2733"/>
    <col min="2050" max="2050" width="88.28515625" style="2733" customWidth="1"/>
    <col min="2051" max="2305" width="9.140625" style="2733"/>
    <col min="2306" max="2306" width="88.28515625" style="2733" customWidth="1"/>
    <col min="2307" max="2561" width="9.140625" style="2733"/>
    <col min="2562" max="2562" width="88.28515625" style="2733" customWidth="1"/>
    <col min="2563" max="2817" width="9.140625" style="2733"/>
    <col min="2818" max="2818" width="88.28515625" style="2733" customWidth="1"/>
    <col min="2819" max="3073" width="9.140625" style="2733"/>
    <col min="3074" max="3074" width="88.28515625" style="2733" customWidth="1"/>
    <col min="3075" max="3329" width="9.140625" style="2733"/>
    <col min="3330" max="3330" width="88.28515625" style="2733" customWidth="1"/>
    <col min="3331" max="3585" width="9.140625" style="2733"/>
    <col min="3586" max="3586" width="88.28515625" style="2733" customWidth="1"/>
    <col min="3587" max="3841" width="9.140625" style="2733"/>
    <col min="3842" max="3842" width="88.28515625" style="2733" customWidth="1"/>
    <col min="3843" max="4097" width="9.140625" style="2733"/>
    <col min="4098" max="4098" width="88.28515625" style="2733" customWidth="1"/>
    <col min="4099" max="4353" width="9.140625" style="2733"/>
    <col min="4354" max="4354" width="88.28515625" style="2733" customWidth="1"/>
    <col min="4355" max="4609" width="9.140625" style="2733"/>
    <col min="4610" max="4610" width="88.28515625" style="2733" customWidth="1"/>
    <col min="4611" max="4865" width="9.140625" style="2733"/>
    <col min="4866" max="4866" width="88.28515625" style="2733" customWidth="1"/>
    <col min="4867" max="5121" width="9.140625" style="2733"/>
    <col min="5122" max="5122" width="88.28515625" style="2733" customWidth="1"/>
    <col min="5123" max="5377" width="9.140625" style="2733"/>
    <col min="5378" max="5378" width="88.28515625" style="2733" customWidth="1"/>
    <col min="5379" max="5633" width="9.140625" style="2733"/>
    <col min="5634" max="5634" width="88.28515625" style="2733" customWidth="1"/>
    <col min="5635" max="5889" width="9.140625" style="2733"/>
    <col min="5890" max="5890" width="88.28515625" style="2733" customWidth="1"/>
    <col min="5891" max="6145" width="9.140625" style="2733"/>
    <col min="6146" max="6146" width="88.28515625" style="2733" customWidth="1"/>
    <col min="6147" max="6401" width="9.140625" style="2733"/>
    <col min="6402" max="6402" width="88.28515625" style="2733" customWidth="1"/>
    <col min="6403" max="6657" width="9.140625" style="2733"/>
    <col min="6658" max="6658" width="88.28515625" style="2733" customWidth="1"/>
    <col min="6659" max="6913" width="9.140625" style="2733"/>
    <col min="6914" max="6914" width="88.28515625" style="2733" customWidth="1"/>
    <col min="6915" max="7169" width="9.140625" style="2733"/>
    <col min="7170" max="7170" width="88.28515625" style="2733" customWidth="1"/>
    <col min="7171" max="7425" width="9.140625" style="2733"/>
    <col min="7426" max="7426" width="88.28515625" style="2733" customWidth="1"/>
    <col min="7427" max="7681" width="9.140625" style="2733"/>
    <col min="7682" max="7682" width="88.28515625" style="2733" customWidth="1"/>
    <col min="7683" max="7937" width="9.140625" style="2733"/>
    <col min="7938" max="7938" width="88.28515625" style="2733" customWidth="1"/>
    <col min="7939" max="8193" width="9.140625" style="2733"/>
    <col min="8194" max="8194" width="88.28515625" style="2733" customWidth="1"/>
    <col min="8195" max="8449" width="9.140625" style="2733"/>
    <col min="8450" max="8450" width="88.28515625" style="2733" customWidth="1"/>
    <col min="8451" max="8705" width="9.140625" style="2733"/>
    <col min="8706" max="8706" width="88.28515625" style="2733" customWidth="1"/>
    <col min="8707" max="8961" width="9.140625" style="2733"/>
    <col min="8962" max="8962" width="88.28515625" style="2733" customWidth="1"/>
    <col min="8963" max="9217" width="9.140625" style="2733"/>
    <col min="9218" max="9218" width="88.28515625" style="2733" customWidth="1"/>
    <col min="9219" max="9473" width="9.140625" style="2733"/>
    <col min="9474" max="9474" width="88.28515625" style="2733" customWidth="1"/>
    <col min="9475" max="9729" width="9.140625" style="2733"/>
    <col min="9730" max="9730" width="88.28515625" style="2733" customWidth="1"/>
    <col min="9731" max="9985" width="9.140625" style="2733"/>
    <col min="9986" max="9986" width="88.28515625" style="2733" customWidth="1"/>
    <col min="9987" max="10241" width="9.140625" style="2733"/>
    <col min="10242" max="10242" width="88.28515625" style="2733" customWidth="1"/>
    <col min="10243" max="10497" width="9.140625" style="2733"/>
    <col min="10498" max="10498" width="88.28515625" style="2733" customWidth="1"/>
    <col min="10499" max="10753" width="9.140625" style="2733"/>
    <col min="10754" max="10754" width="88.28515625" style="2733" customWidth="1"/>
    <col min="10755" max="11009" width="9.140625" style="2733"/>
    <col min="11010" max="11010" width="88.28515625" style="2733" customWidth="1"/>
    <col min="11011" max="11265" width="9.140625" style="2733"/>
    <col min="11266" max="11266" width="88.28515625" style="2733" customWidth="1"/>
    <col min="11267" max="11521" width="9.140625" style="2733"/>
    <col min="11522" max="11522" width="88.28515625" style="2733" customWidth="1"/>
    <col min="11523" max="11777" width="9.140625" style="2733"/>
    <col min="11778" max="11778" width="88.28515625" style="2733" customWidth="1"/>
    <col min="11779" max="12033" width="9.140625" style="2733"/>
    <col min="12034" max="12034" width="88.28515625" style="2733" customWidth="1"/>
    <col min="12035" max="12289" width="9.140625" style="2733"/>
    <col min="12290" max="12290" width="88.28515625" style="2733" customWidth="1"/>
    <col min="12291" max="12545" width="9.140625" style="2733"/>
    <col min="12546" max="12546" width="88.28515625" style="2733" customWidth="1"/>
    <col min="12547" max="12801" width="9.140625" style="2733"/>
    <col min="12802" max="12802" width="88.28515625" style="2733" customWidth="1"/>
    <col min="12803" max="13057" width="9.140625" style="2733"/>
    <col min="13058" max="13058" width="88.28515625" style="2733" customWidth="1"/>
    <col min="13059" max="13313" width="9.140625" style="2733"/>
    <col min="13314" max="13314" width="88.28515625" style="2733" customWidth="1"/>
    <col min="13315" max="13569" width="9.140625" style="2733"/>
    <col min="13570" max="13570" width="88.28515625" style="2733" customWidth="1"/>
    <col min="13571" max="13825" width="9.140625" style="2733"/>
    <col min="13826" max="13826" width="88.28515625" style="2733" customWidth="1"/>
    <col min="13827" max="14081" width="9.140625" style="2733"/>
    <col min="14082" max="14082" width="88.28515625" style="2733" customWidth="1"/>
    <col min="14083" max="14337" width="9.140625" style="2733"/>
    <col min="14338" max="14338" width="88.28515625" style="2733" customWidth="1"/>
    <col min="14339" max="14593" width="9.140625" style="2733"/>
    <col min="14594" max="14594" width="88.28515625" style="2733" customWidth="1"/>
    <col min="14595" max="14849" width="9.140625" style="2733"/>
    <col min="14850" max="14850" width="88.28515625" style="2733" customWidth="1"/>
    <col min="14851" max="15105" width="9.140625" style="2733"/>
    <col min="15106" max="15106" width="88.28515625" style="2733" customWidth="1"/>
    <col min="15107" max="15361" width="9.140625" style="2733"/>
    <col min="15362" max="15362" width="88.28515625" style="2733" customWidth="1"/>
    <col min="15363" max="15617" width="9.140625" style="2733"/>
    <col min="15618" max="15618" width="88.28515625" style="2733" customWidth="1"/>
    <col min="15619" max="15873" width="9.140625" style="2733"/>
    <col min="15874" max="15874" width="88.28515625" style="2733" customWidth="1"/>
    <col min="15875" max="16129" width="9.140625" style="2733"/>
    <col min="16130" max="16130" width="88.28515625" style="2733" customWidth="1"/>
    <col min="16131" max="16384" width="9.140625" style="2733"/>
  </cols>
  <sheetData>
    <row r="1" spans="2:2" ht="32.25" customHeight="1" x14ac:dyDescent="0.2"/>
    <row r="2" spans="2:2" ht="72" x14ac:dyDescent="0.25">
      <c r="B2" s="3270" t="s">
        <v>2032</v>
      </c>
    </row>
    <row r="3" spans="2:2" ht="72" hidden="1" x14ac:dyDescent="0.25">
      <c r="B3" s="3270" t="s">
        <v>2033</v>
      </c>
    </row>
    <row r="4" spans="2:2" ht="18" x14ac:dyDescent="0.25">
      <c r="B4" s="3270"/>
    </row>
    <row r="5" spans="2:2" ht="54" x14ac:dyDescent="0.25">
      <c r="B5" s="3270" t="s">
        <v>2034</v>
      </c>
    </row>
    <row r="6" spans="2:2" ht="7.5" customHeight="1" x14ac:dyDescent="0.25">
      <c r="B6" s="3270"/>
    </row>
    <row r="7" spans="2:2" ht="18" x14ac:dyDescent="0.25">
      <c r="B7" s="3271" t="s">
        <v>2035</v>
      </c>
    </row>
    <row r="8" spans="2:2" ht="18" x14ac:dyDescent="0.25">
      <c r="B8" s="3271" t="s">
        <v>2037</v>
      </c>
    </row>
    <row r="9" spans="2:2" ht="18" x14ac:dyDescent="0.25">
      <c r="B9" s="3271" t="s">
        <v>2038</v>
      </c>
    </row>
    <row r="10" spans="2:2" ht="18" x14ac:dyDescent="0.25">
      <c r="B10" s="3272"/>
    </row>
    <row r="11" spans="2:2" ht="54" x14ac:dyDescent="0.25">
      <c r="B11" s="3273" t="s">
        <v>2036</v>
      </c>
    </row>
  </sheetData>
  <dataConsolidate/>
  <pageMargins left="0.75" right="0.75" top="1" bottom="1" header="0.5" footer="0.5"/>
  <pageSetup orientation="portrait" horizont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852865" r:id="rId4" name="Button 1">
              <controlPr defaultSize="0" print="0" autoFill="0" autoPict="0" macro="[0]!ApplyCircRefs">
                <anchor moveWithCells="1" sizeWithCells="1">
                  <from>
                    <xdr:col>1</xdr:col>
                    <xdr:colOff>0</xdr:colOff>
                    <xdr:row>11</xdr:row>
                    <xdr:rowOff>152400</xdr:rowOff>
                  </from>
                  <to>
                    <xdr:col>1</xdr:col>
                    <xdr:colOff>2819400</xdr:colOff>
                    <xdr:row>14</xdr:row>
                    <xdr:rowOff>152400</xdr:rowOff>
                  </to>
                </anchor>
              </controlPr>
            </control>
          </mc:Choice>
        </mc:AlternateContent>
        <mc:AlternateContent xmlns:mc="http://schemas.openxmlformats.org/markup-compatibility/2006">
          <mc:Choice Requires="x14">
            <control shapeId="2852866" r:id="rId5" name="Button 2">
              <controlPr defaultSize="0" print="0" autoFill="0" autoPict="0" macro="[0]!JustUnhideSheets">
                <anchor moveWithCells="1" sizeWithCells="1">
                  <from>
                    <xdr:col>1</xdr:col>
                    <xdr:colOff>3067050</xdr:colOff>
                    <xdr:row>11</xdr:row>
                    <xdr:rowOff>152400</xdr:rowOff>
                  </from>
                  <to>
                    <xdr:col>2</xdr:col>
                    <xdr:colOff>0</xdr:colOff>
                    <xdr:row>14</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tabColor indexed="55"/>
  </sheetPr>
  <dimension ref="A1:I16"/>
  <sheetViews>
    <sheetView zoomScale="85" workbookViewId="0"/>
  </sheetViews>
  <sheetFormatPr defaultColWidth="10.7109375" defaultRowHeight="11.25" x14ac:dyDescent="0.2"/>
  <cols>
    <col min="1" max="1" width="9" style="1608" customWidth="1"/>
    <col min="2" max="2" width="30.140625" style="1608" customWidth="1"/>
    <col min="3" max="3" width="7.42578125" style="1608" customWidth="1"/>
    <col min="4" max="4" width="33.140625" style="1608" customWidth="1"/>
    <col min="5" max="5" width="6.42578125" style="1608" customWidth="1"/>
    <col min="6" max="6" width="32.140625" style="1608" customWidth="1"/>
    <col min="7" max="7" width="6.5703125" style="1608" customWidth="1"/>
    <col min="8" max="8" width="32.140625" style="1608" customWidth="1"/>
    <col min="9" max="9" width="12.42578125" style="1608" customWidth="1"/>
    <col min="10" max="10" width="7.42578125" style="1608" customWidth="1"/>
    <col min="11" max="16384" width="10.7109375" style="1608"/>
  </cols>
  <sheetData>
    <row r="1" spans="1:9" ht="65.25" customHeight="1" x14ac:dyDescent="0.2">
      <c r="A1" s="2"/>
      <c r="B1" s="3"/>
      <c r="C1" s="4"/>
      <c r="D1" s="4"/>
      <c r="E1" s="4"/>
      <c r="F1" s="4"/>
      <c r="G1" s="4"/>
      <c r="H1" s="2712"/>
    </row>
    <row r="2" spans="1:9" ht="21.75" customHeight="1" x14ac:dyDescent="0.35">
      <c r="A2" s="2713" t="s">
        <v>46</v>
      </c>
      <c r="B2" s="5"/>
      <c r="C2" s="6"/>
      <c r="D2" s="6"/>
      <c r="E2" s="2714"/>
      <c r="F2" s="6"/>
      <c r="G2" s="6"/>
      <c r="H2" s="2715"/>
    </row>
    <row r="3" spans="1:9" ht="21" customHeight="1" x14ac:dyDescent="0.35">
      <c r="A3" s="2716" t="s">
        <v>47</v>
      </c>
      <c r="B3" s="7"/>
      <c r="C3" s="6"/>
      <c r="D3" s="6"/>
      <c r="E3" s="2714"/>
      <c r="F3" s="6"/>
      <c r="G3" s="6"/>
      <c r="H3" s="2715"/>
    </row>
    <row r="4" spans="1:9" ht="21" customHeight="1" x14ac:dyDescent="0.35">
      <c r="A4" s="2717" t="s">
        <v>48</v>
      </c>
      <c r="B4" s="8"/>
      <c r="C4" s="6"/>
      <c r="D4" s="8"/>
      <c r="E4" s="2718"/>
      <c r="F4" s="6"/>
      <c r="G4" s="6"/>
      <c r="H4" s="2715"/>
    </row>
    <row r="5" spans="1:9" ht="21" customHeight="1" x14ac:dyDescent="0.35">
      <c r="A5" s="2717" t="str">
        <f>"Price Target:  $"&amp;"81"</f>
        <v>Price Target:  $81</v>
      </c>
      <c r="B5" s="8"/>
      <c r="C5" s="6"/>
      <c r="D5" s="8"/>
      <c r="E5" s="2718"/>
      <c r="F5" s="6"/>
      <c r="G5" s="6"/>
      <c r="H5" s="2715"/>
    </row>
    <row r="6" spans="1:9" ht="12.75" x14ac:dyDescent="0.2">
      <c r="A6" s="2719"/>
      <c r="B6" s="2720"/>
      <c r="C6" s="9"/>
      <c r="D6" s="9"/>
      <c r="E6" s="9"/>
      <c r="F6" s="9"/>
      <c r="G6" s="9"/>
      <c r="H6" s="2721"/>
    </row>
    <row r="7" spans="1:9" ht="15.75" x14ac:dyDescent="0.25">
      <c r="A7" s="2722" t="s">
        <v>49</v>
      </c>
      <c r="B7" s="10"/>
      <c r="C7" s="9"/>
      <c r="D7" s="10" t="s">
        <v>1493</v>
      </c>
      <c r="E7" s="9"/>
      <c r="F7" s="10" t="s">
        <v>1545</v>
      </c>
      <c r="G7" s="9"/>
      <c r="H7" s="2723" t="s">
        <v>1622</v>
      </c>
    </row>
    <row r="8" spans="1:9" ht="15.75" x14ac:dyDescent="0.25">
      <c r="A8" s="2722" t="s">
        <v>50</v>
      </c>
      <c r="B8" s="10"/>
      <c r="C8" s="9"/>
      <c r="D8" s="10" t="s">
        <v>1494</v>
      </c>
      <c r="E8" s="9"/>
      <c r="F8" s="10" t="s">
        <v>1494</v>
      </c>
      <c r="G8" s="9"/>
      <c r="H8" s="2723" t="s">
        <v>1623</v>
      </c>
    </row>
    <row r="9" spans="1:9" ht="15.75" x14ac:dyDescent="0.25">
      <c r="A9" s="2722" t="s">
        <v>51</v>
      </c>
      <c r="B9" s="10"/>
      <c r="C9" s="9"/>
      <c r="D9" s="10" t="s">
        <v>1495</v>
      </c>
      <c r="E9" s="9"/>
      <c r="F9" s="10" t="s">
        <v>1546</v>
      </c>
      <c r="G9" s="9"/>
      <c r="H9" s="2723" t="s">
        <v>1624</v>
      </c>
    </row>
    <row r="10" spans="1:9" ht="12.75" x14ac:dyDescent="0.2">
      <c r="A10" s="2724" t="s">
        <v>52</v>
      </c>
      <c r="B10" s="11"/>
      <c r="C10" s="11"/>
      <c r="D10" s="1670" t="s">
        <v>1496</v>
      </c>
      <c r="E10" s="11"/>
      <c r="F10" s="1670" t="s">
        <v>1547</v>
      </c>
      <c r="G10" s="11"/>
      <c r="H10" s="2725" t="s">
        <v>1625</v>
      </c>
    </row>
    <row r="11" spans="1:9" ht="12.75" x14ac:dyDescent="0.2">
      <c r="A11" s="2611"/>
      <c r="B11" s="1827"/>
      <c r="C11" s="1827"/>
      <c r="D11" s="1827"/>
      <c r="E11" s="1827"/>
      <c r="F11" s="1827"/>
      <c r="G11" s="1827"/>
      <c r="H11" s="2706"/>
      <c r="I11" s="1653"/>
    </row>
    <row r="12" spans="1:9" x14ac:dyDescent="0.2">
      <c r="A12" s="2611"/>
      <c r="B12" s="1827"/>
      <c r="C12" s="1827"/>
      <c r="D12" s="1827"/>
      <c r="E12" s="1827"/>
      <c r="F12" s="1827"/>
      <c r="G12" s="1827"/>
      <c r="H12" s="2706"/>
    </row>
    <row r="13" spans="1:9" x14ac:dyDescent="0.2">
      <c r="A13" s="2611"/>
      <c r="B13" s="1827"/>
      <c r="C13" s="1827"/>
      <c r="D13" s="1827"/>
      <c r="E13" s="1827"/>
      <c r="F13" s="1827"/>
      <c r="G13" s="1827"/>
      <c r="H13" s="2706"/>
    </row>
    <row r="14" spans="1:9" x14ac:dyDescent="0.2">
      <c r="A14" s="2611"/>
      <c r="B14" s="1827"/>
      <c r="C14" s="1827"/>
      <c r="D14" s="1827"/>
      <c r="E14" s="1827"/>
      <c r="F14" s="1827"/>
      <c r="G14" s="1827"/>
      <c r="H14" s="2706"/>
    </row>
    <row r="15" spans="1:9" x14ac:dyDescent="0.2">
      <c r="A15" s="2611"/>
      <c r="B15" s="1827"/>
      <c r="C15" s="1827"/>
      <c r="D15" s="1827"/>
      <c r="E15" s="1827"/>
      <c r="F15" s="1827"/>
      <c r="G15" s="1827"/>
      <c r="H15" s="2706"/>
    </row>
    <row r="16" spans="1:9" ht="12" thickBot="1" x14ac:dyDescent="0.25">
      <c r="A16" s="2612"/>
      <c r="B16" s="506"/>
      <c r="C16" s="506"/>
      <c r="D16" s="506"/>
      <c r="E16" s="506"/>
      <c r="F16" s="506"/>
      <c r="G16" s="506"/>
      <c r="H16" s="2613"/>
    </row>
  </sheetData>
  <phoneticPr fontId="5" type="noConversion"/>
  <hyperlinks>
    <hyperlink ref="A10" r:id="rId1" display="mailto:Ricky.Goldwasser@morganstanley.com"/>
    <hyperlink ref="F10" r:id="rId2"/>
    <hyperlink ref="D10" r:id="rId3" display="Saurabh.Singh1@morganstanley.com"/>
    <hyperlink ref="H10" r:id="rId4"/>
  </hyperlinks>
  <pageMargins left="0.75" right="0.75" top="1" bottom="1" header="0.5" footer="0.5"/>
  <pageSetup paperSize="5" orientation="landscape" r:id="rId5"/>
  <headerFooter alignWithMargins="0"/>
  <drawing r:id="rId6"/>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indexed="55"/>
    <pageSetUpPr fitToPage="1"/>
  </sheetPr>
  <dimension ref="A1:EJ175"/>
  <sheetViews>
    <sheetView showGridLines="0" zoomScaleNormal="100" zoomScaleSheetLayoutView="100" workbookViewId="0">
      <pane xSplit="3" ySplit="6" topLeftCell="DI7" activePane="bottomRight" state="frozen"/>
      <selection activeCell="F36" sqref="F36"/>
      <selection pane="topRight" activeCell="F36" sqref="F36"/>
      <selection pane="bottomLeft" activeCell="F36" sqref="F36"/>
      <selection pane="bottomRight" activeCell="DK183" sqref="DK183"/>
    </sheetView>
  </sheetViews>
  <sheetFormatPr defaultRowHeight="11.25" outlineLevelRow="2" outlineLevelCol="3" x14ac:dyDescent="0.2"/>
  <cols>
    <col min="1" max="1" width="3.28515625" customWidth="1"/>
    <col min="2" max="2" width="42" customWidth="1"/>
    <col min="3" max="3" width="1.42578125" customWidth="1"/>
    <col min="4" max="4" width="1.85546875" hidden="1" customWidth="1"/>
    <col min="5" max="8" width="10.85546875" hidden="1" customWidth="1" outlineLevel="2"/>
    <col min="9" max="9" width="10.85546875" hidden="1" customWidth="1" outlineLevel="1"/>
    <col min="10" max="13" width="10.85546875" hidden="1" customWidth="1" outlineLevel="2"/>
    <col min="14" max="14" width="10.85546875" hidden="1" customWidth="1" outlineLevel="1"/>
    <col min="15" max="15" width="10.85546875" hidden="1" customWidth="1" outlineLevel="2" collapsed="1"/>
    <col min="16" max="18" width="10.85546875" hidden="1" customWidth="1" outlineLevel="2"/>
    <col min="19" max="19" width="10.85546875" hidden="1" customWidth="1" outlineLevel="1"/>
    <col min="20" max="23" width="10.85546875" hidden="1" customWidth="1" outlineLevel="2"/>
    <col min="24" max="24" width="10.85546875" hidden="1" customWidth="1" outlineLevel="1"/>
    <col min="25" max="28" width="10.85546875" hidden="1" customWidth="1" outlineLevel="2"/>
    <col min="29" max="29" width="10.85546875" hidden="1" customWidth="1" outlineLevel="1"/>
    <col min="30" max="33" width="10.85546875" hidden="1" customWidth="1" outlineLevel="2"/>
    <col min="34" max="34" width="10.85546875" hidden="1" customWidth="1" outlineLevel="1"/>
    <col min="35" max="38" width="10.85546875" hidden="1" customWidth="1" outlineLevel="2"/>
    <col min="39" max="39" width="10.85546875" hidden="1" customWidth="1" outlineLevel="1"/>
    <col min="40" max="43" width="10.85546875" hidden="1" customWidth="1" outlineLevel="2"/>
    <col min="44" max="44" width="10.85546875" hidden="1" customWidth="1" outlineLevel="1"/>
    <col min="45" max="48" width="10.85546875" hidden="1" customWidth="1" outlineLevel="2"/>
    <col min="49" max="49" width="10.85546875" hidden="1" customWidth="1" outlineLevel="1"/>
    <col min="50" max="53" width="10.85546875" hidden="1" customWidth="1" outlineLevel="2"/>
    <col min="54" max="54" width="10.85546875" hidden="1" customWidth="1" outlineLevel="1"/>
    <col min="55" max="58" width="10.85546875" hidden="1" customWidth="1" outlineLevel="2"/>
    <col min="59" max="59" width="10.85546875" hidden="1" customWidth="1" outlineLevel="1"/>
    <col min="60" max="63" width="10.85546875" hidden="1" customWidth="1" outlineLevel="2"/>
    <col min="64" max="64" width="10.85546875" hidden="1" customWidth="1" outlineLevel="1"/>
    <col min="65" max="68" width="10.85546875" hidden="1" customWidth="1" outlineLevel="3"/>
    <col min="69" max="73" width="10.85546875" hidden="1" customWidth="1" outlineLevel="1"/>
    <col min="74" max="74" width="10.85546875" hidden="1" customWidth="1" collapsed="1"/>
    <col min="75" max="78" width="10.85546875" hidden="1" customWidth="1" outlineLevel="1"/>
    <col min="79" max="79" width="10.85546875" hidden="1" customWidth="1" collapsed="1"/>
    <col min="80" max="83" width="10.85546875" hidden="1" customWidth="1" outlineLevel="1"/>
    <col min="84" max="84" width="10.85546875" hidden="1" customWidth="1" collapsed="1"/>
    <col min="85" max="88" width="10.85546875" hidden="1" customWidth="1" outlineLevel="1"/>
    <col min="89" max="89" width="10.85546875" hidden="1" customWidth="1" collapsed="1"/>
    <col min="90" max="93" width="10.85546875" hidden="1" customWidth="1" outlineLevel="1"/>
    <col min="94" max="94" width="10.85546875" hidden="1" customWidth="1" collapsed="1"/>
    <col min="95" max="98" width="10.85546875" hidden="1" customWidth="1" outlineLevel="1"/>
    <col min="99" max="99" width="10.85546875" hidden="1" customWidth="1" collapsed="1"/>
    <col min="100" max="103" width="10.85546875" hidden="1" customWidth="1" outlineLevel="1"/>
    <col min="104" max="104" width="10.85546875" hidden="1" customWidth="1" collapsed="1"/>
    <col min="105" max="108" width="10.85546875" hidden="1" customWidth="1" outlineLevel="1"/>
    <col min="109" max="109" width="9.85546875" hidden="1" customWidth="1" collapsed="1"/>
    <col min="110" max="113" width="10.85546875" customWidth="1" outlineLevel="1"/>
    <col min="114" max="114" width="9.85546875" customWidth="1"/>
    <col min="115" max="118" width="10.85546875" style="2559" customWidth="1" outlineLevel="1"/>
    <col min="119" max="119" width="9.85546875" style="2559" customWidth="1"/>
    <col min="120" max="123" width="10.85546875" style="2649" hidden="1" customWidth="1" outlineLevel="1"/>
    <col min="124" max="124" width="9.85546875" style="2649" customWidth="1" collapsed="1"/>
    <col min="125" max="128" width="10.85546875" style="2771" hidden="1" customWidth="1" outlineLevel="1"/>
    <col min="129" max="129" width="9.85546875" style="2771" customWidth="1" collapsed="1"/>
    <col min="130" max="130" width="10.85546875" customWidth="1"/>
    <col min="131" max="131" width="17.42578125" hidden="1" customWidth="1" outlineLevel="1"/>
    <col min="132" max="135" width="10.85546875" hidden="1" customWidth="1" outlineLevel="1"/>
    <col min="136" max="136" width="9.28515625" hidden="1" customWidth="1" outlineLevel="1"/>
    <col min="137" max="137" width="9.140625" collapsed="1"/>
  </cols>
  <sheetData>
    <row r="1" spans="1:140" ht="12" thickBot="1" x14ac:dyDescent="0.25">
      <c r="A1" s="12"/>
      <c r="B1" s="13"/>
      <c r="C1" s="13"/>
      <c r="D1" s="13"/>
      <c r="E1" s="13"/>
      <c r="F1" s="13"/>
      <c r="G1" s="13"/>
      <c r="H1" s="13"/>
      <c r="I1" s="13"/>
      <c r="J1" s="13"/>
      <c r="K1" s="13"/>
      <c r="L1" s="13"/>
      <c r="M1" s="13"/>
      <c r="N1" s="13"/>
      <c r="O1" s="13"/>
      <c r="P1" s="13"/>
      <c r="Q1" s="13"/>
      <c r="R1" s="13"/>
      <c r="S1" s="13"/>
      <c r="T1" s="13"/>
      <c r="U1" s="13"/>
      <c r="V1" s="13"/>
      <c r="W1" s="13"/>
      <c r="X1" s="13"/>
      <c r="Y1" s="13"/>
      <c r="Z1" s="13"/>
      <c r="AA1" s="13"/>
      <c r="AB1" s="13"/>
      <c r="AC1" s="13"/>
      <c r="AD1" s="13"/>
      <c r="AE1" s="13"/>
      <c r="AF1" s="13"/>
      <c r="AG1" s="13"/>
      <c r="AH1" s="13"/>
      <c r="AI1" s="13"/>
      <c r="AJ1" s="13"/>
      <c r="AK1" s="13"/>
      <c r="AL1" s="13"/>
      <c r="AM1" s="13"/>
      <c r="AN1" s="13"/>
      <c r="AO1" s="13"/>
      <c r="AP1" s="13"/>
      <c r="AQ1" s="13"/>
      <c r="AR1" s="14"/>
      <c r="AS1" s="13"/>
      <c r="AT1" s="15"/>
      <c r="AU1" s="13"/>
      <c r="AV1" s="13"/>
      <c r="AW1" s="14"/>
      <c r="AX1" s="13"/>
      <c r="AY1" s="13"/>
      <c r="AZ1" s="13"/>
      <c r="BA1" s="13"/>
      <c r="BB1" s="14"/>
      <c r="BC1" s="13"/>
      <c r="BD1" s="13"/>
      <c r="BE1" s="13"/>
      <c r="BF1" s="13"/>
      <c r="BG1" s="14"/>
      <c r="BH1" s="13"/>
      <c r="BI1" s="13"/>
      <c r="BJ1" s="13"/>
      <c r="BK1" s="13"/>
      <c r="BL1" s="14"/>
      <c r="BM1" s="13"/>
      <c r="BN1" s="13"/>
      <c r="BO1" s="13"/>
      <c r="BP1" s="13"/>
      <c r="BQ1" s="14"/>
      <c r="BR1" s="13"/>
      <c r="BS1" s="13"/>
      <c r="BT1" s="13"/>
      <c r="BU1" s="13"/>
      <c r="BV1" s="14"/>
      <c r="BW1" s="13"/>
      <c r="BX1" s="13"/>
      <c r="BY1" s="13"/>
      <c r="BZ1" s="13"/>
      <c r="CA1" s="14"/>
      <c r="CB1" s="13"/>
      <c r="CC1" s="13"/>
      <c r="CD1" s="13"/>
      <c r="CE1" s="13"/>
      <c r="CF1" s="14"/>
      <c r="CG1" s="13"/>
      <c r="CH1" s="13"/>
      <c r="CI1" s="13"/>
      <c r="CJ1" s="1625"/>
      <c r="CK1" s="14"/>
      <c r="CL1" s="13"/>
      <c r="CM1" s="13"/>
      <c r="CN1" s="13"/>
      <c r="CO1" s="13"/>
      <c r="CP1" s="14"/>
      <c r="CQ1" s="13"/>
      <c r="CR1" s="13"/>
      <c r="CS1" s="231">
        <f>800/CS10</f>
        <v>2.2843371567426496E-2</v>
      </c>
      <c r="CT1" s="13">
        <v>370</v>
      </c>
      <c r="CU1" s="2579"/>
      <c r="CV1" s="13"/>
      <c r="CW1" s="13"/>
      <c r="CX1" s="212"/>
      <c r="CY1" s="13"/>
      <c r="CZ1" s="212"/>
      <c r="DA1" s="232"/>
      <c r="DB1" s="232"/>
      <c r="DC1" s="232"/>
      <c r="DD1" s="232"/>
      <c r="DE1" s="2622"/>
      <c r="DF1" s="13"/>
      <c r="DG1" s="13"/>
      <c r="DH1" s="13"/>
      <c r="DI1" s="13"/>
      <c r="DJ1" s="14"/>
      <c r="DK1" s="289">
        <f ca="1">DK10-DI10</f>
        <v>-2532.4522605432867</v>
      </c>
      <c r="DL1" s="13"/>
      <c r="DM1" s="13"/>
      <c r="DN1" s="13"/>
      <c r="DO1" s="14"/>
      <c r="DP1" s="13"/>
      <c r="DQ1" s="13"/>
      <c r="DR1" s="13"/>
      <c r="DS1" s="13"/>
      <c r="DT1" s="14"/>
      <c r="DU1" s="13"/>
      <c r="DV1" s="13"/>
      <c r="DW1" s="13"/>
      <c r="DX1" s="13"/>
      <c r="DY1" s="14"/>
      <c r="DZ1" s="16"/>
      <c r="EH1" s="2517"/>
      <c r="EI1" s="2517"/>
      <c r="EJ1" s="2517"/>
    </row>
    <row r="2" spans="1:140" ht="18.75" x14ac:dyDescent="0.3">
      <c r="A2" s="18"/>
      <c r="B2" s="19" t="s">
        <v>46</v>
      </c>
      <c r="C2" s="20"/>
      <c r="D2" s="21"/>
      <c r="E2" s="22"/>
      <c r="F2" s="22"/>
      <c r="G2" s="22"/>
      <c r="H2" s="22"/>
      <c r="I2" s="22"/>
      <c r="J2" s="22"/>
      <c r="K2" s="22"/>
      <c r="L2" s="22"/>
      <c r="M2" s="22"/>
      <c r="N2" s="22"/>
      <c r="O2" s="22"/>
      <c r="P2" s="22"/>
      <c r="Q2" s="22"/>
      <c r="R2" s="23"/>
      <c r="S2" s="22"/>
      <c r="T2" s="22"/>
      <c r="U2" s="24"/>
      <c r="V2" s="22"/>
      <c r="W2" s="22"/>
      <c r="X2" s="22"/>
      <c r="Y2" s="22"/>
      <c r="Z2" s="24"/>
      <c r="AA2" s="22"/>
      <c r="AB2" s="22"/>
      <c r="AC2" s="22"/>
      <c r="AD2" s="22"/>
      <c r="AE2" s="25"/>
      <c r="AF2" s="26"/>
      <c r="AG2" s="22"/>
      <c r="AH2" s="22"/>
      <c r="AI2" s="22"/>
      <c r="AJ2" s="27"/>
      <c r="AK2" s="22"/>
      <c r="AL2" s="22"/>
      <c r="AM2" s="22"/>
      <c r="AN2" s="22"/>
      <c r="AO2" s="22"/>
      <c r="AP2" s="22"/>
      <c r="AQ2" s="27"/>
      <c r="AR2" s="27"/>
      <c r="AS2" s="28"/>
      <c r="AT2" s="29"/>
      <c r="AU2" s="28"/>
      <c r="AV2" s="28"/>
      <c r="AW2" s="27"/>
      <c r="AX2" s="22"/>
      <c r="AY2" s="22"/>
      <c r="AZ2" s="22"/>
      <c r="BA2" s="22"/>
      <c r="BB2" s="27"/>
      <c r="BC2" s="22"/>
      <c r="BD2" s="22"/>
      <c r="BE2" s="22"/>
      <c r="BF2" s="22"/>
      <c r="BG2" s="27"/>
      <c r="BH2" s="22"/>
      <c r="BI2" s="22"/>
      <c r="BJ2" s="22"/>
      <c r="BK2" s="22"/>
      <c r="BL2" s="27"/>
      <c r="BM2" s="22"/>
      <c r="BN2" s="22"/>
      <c r="BO2" s="22"/>
      <c r="BP2" s="22"/>
      <c r="BQ2" s="22"/>
      <c r="BR2" s="22"/>
      <c r="BS2" s="22"/>
      <c r="BT2" s="22"/>
      <c r="BU2" s="22"/>
      <c r="BV2" s="30"/>
      <c r="BW2" s="31"/>
      <c r="BX2" s="22"/>
      <c r="BY2" s="22"/>
      <c r="BZ2" s="22"/>
      <c r="CA2" s="30"/>
      <c r="CB2" s="22"/>
      <c r="CC2" s="22"/>
      <c r="CD2" s="22"/>
      <c r="CE2" s="22"/>
      <c r="CF2" s="27"/>
      <c r="CG2" s="22"/>
      <c r="CH2" s="22"/>
      <c r="CI2" s="22"/>
      <c r="CJ2" s="22"/>
      <c r="CK2" s="27"/>
      <c r="CL2" s="22"/>
      <c r="CM2" s="22"/>
      <c r="CN2" s="22"/>
      <c r="CO2" s="22"/>
      <c r="CP2" s="22"/>
      <c r="CQ2" s="22"/>
      <c r="CR2" s="22"/>
      <c r="CS2" s="22"/>
      <c r="CT2" s="22"/>
      <c r="CU2" s="22"/>
      <c r="CV2" s="22"/>
      <c r="CW2" s="22"/>
      <c r="CX2" s="22"/>
      <c r="CY2" s="22"/>
      <c r="CZ2" s="27"/>
      <c r="DA2" s="22"/>
      <c r="DB2" s="22"/>
      <c r="DC2" s="22"/>
      <c r="DD2" s="22"/>
      <c r="DE2" s="27"/>
      <c r="DF2" s="22"/>
      <c r="DG2" s="22"/>
      <c r="DH2" s="22"/>
      <c r="DI2" s="22"/>
      <c r="DJ2" s="27"/>
      <c r="DK2" s="22"/>
      <c r="DL2" s="22"/>
      <c r="DM2" s="22"/>
      <c r="DN2" s="22"/>
      <c r="DO2" s="27"/>
      <c r="DP2" s="22"/>
      <c r="DQ2" s="22"/>
      <c r="DR2" s="22"/>
      <c r="DS2" s="22"/>
      <c r="DT2" s="27"/>
      <c r="DU2" s="22"/>
      <c r="DV2" s="22"/>
      <c r="DW2" s="22"/>
      <c r="DX2" s="22"/>
      <c r="DY2" s="27"/>
      <c r="DZ2" s="18"/>
      <c r="EH2" s="2775"/>
      <c r="EI2" s="2517"/>
      <c r="EJ2" s="2517"/>
    </row>
    <row r="3" spans="1:140" ht="12" thickBot="1" x14ac:dyDescent="0.25">
      <c r="A3" s="16"/>
      <c r="B3" s="32" t="str">
        <f>"Quarterly Income Statement"</f>
        <v>Quarterly Income Statement</v>
      </c>
      <c r="C3" s="33"/>
      <c r="D3" s="33"/>
      <c r="E3" s="34"/>
      <c r="F3" s="34"/>
      <c r="G3" s="35"/>
      <c r="H3" s="34"/>
      <c r="I3" s="36"/>
      <c r="J3" s="34"/>
      <c r="K3" s="34"/>
      <c r="L3" s="35"/>
      <c r="M3" s="34"/>
      <c r="N3" s="36"/>
      <c r="O3" s="34"/>
      <c r="P3" s="34"/>
      <c r="Q3" s="35"/>
      <c r="R3" s="34"/>
      <c r="S3" s="36"/>
      <c r="T3" s="34"/>
      <c r="U3" s="34"/>
      <c r="V3" s="35"/>
      <c r="W3" s="37"/>
      <c r="X3" s="36"/>
      <c r="Y3" s="34"/>
      <c r="Z3" s="34"/>
      <c r="AA3" s="35"/>
      <c r="AB3" s="34"/>
      <c r="AC3" s="36"/>
      <c r="AD3" s="34"/>
      <c r="AE3" s="34"/>
      <c r="AF3" s="35"/>
      <c r="AG3" s="34"/>
      <c r="AH3" s="36"/>
      <c r="AI3" s="34"/>
      <c r="AJ3" s="34"/>
      <c r="AK3" s="35"/>
      <c r="AL3" s="34"/>
      <c r="AM3" s="36"/>
      <c r="AN3" s="34"/>
      <c r="AO3" s="34"/>
      <c r="AP3" s="35"/>
      <c r="AQ3" s="34"/>
      <c r="AR3" s="36"/>
      <c r="AS3" s="38"/>
      <c r="AT3" s="39"/>
      <c r="AU3" s="39"/>
      <c r="AV3" s="38"/>
      <c r="AW3" s="36"/>
      <c r="AX3" s="40"/>
      <c r="AY3" s="40"/>
      <c r="AZ3" s="41"/>
      <c r="BA3" s="40"/>
      <c r="BB3" s="36"/>
      <c r="BC3" s="34"/>
      <c r="BD3" s="34"/>
      <c r="BE3" s="35"/>
      <c r="BF3" s="35"/>
      <c r="BG3" s="36"/>
      <c r="BH3" s="35"/>
      <c r="BI3" s="35"/>
      <c r="BJ3" s="35"/>
      <c r="BK3" s="34"/>
      <c r="BL3" s="36"/>
      <c r="BM3" s="34"/>
      <c r="BN3" s="34"/>
      <c r="BO3" s="34"/>
      <c r="BP3" s="34"/>
      <c r="BQ3" s="36"/>
      <c r="BR3" s="34"/>
      <c r="BS3" s="34"/>
      <c r="BT3" s="34"/>
      <c r="BU3" s="34"/>
      <c r="BV3" s="36"/>
      <c r="BW3" s="34"/>
      <c r="BX3" s="34"/>
      <c r="BY3" s="34"/>
      <c r="BZ3" s="34"/>
      <c r="CA3" s="36"/>
      <c r="CB3" s="34"/>
      <c r="CC3" s="34"/>
      <c r="CD3" s="34"/>
      <c r="CE3" s="34"/>
      <c r="CF3" s="36"/>
      <c r="CG3" s="34"/>
      <c r="CH3" s="34"/>
      <c r="CI3" s="34"/>
      <c r="CJ3" s="34"/>
      <c r="CK3" s="36"/>
      <c r="CL3" s="34"/>
      <c r="CM3" s="34"/>
      <c r="CN3" s="34"/>
      <c r="CO3" s="34"/>
      <c r="CP3" s="36"/>
      <c r="CQ3" s="34"/>
      <c r="CR3" s="34"/>
      <c r="CS3" s="34"/>
      <c r="CT3" s="34"/>
      <c r="CU3" s="36"/>
      <c r="CV3" s="34"/>
      <c r="CW3" s="34"/>
      <c r="CX3" s="34"/>
      <c r="CY3" s="34"/>
      <c r="CZ3" s="36"/>
      <c r="DA3" s="34"/>
      <c r="DB3" s="34"/>
      <c r="DC3" s="34"/>
      <c r="DD3" s="34"/>
      <c r="DE3" s="36"/>
      <c r="DF3" s="34"/>
      <c r="DG3" s="34"/>
      <c r="DH3" s="34"/>
      <c r="DI3" s="34"/>
      <c r="DJ3" s="36"/>
      <c r="DK3" s="34"/>
      <c r="DL3" s="34"/>
      <c r="DM3" s="34"/>
      <c r="DN3" s="34"/>
      <c r="DO3" s="36"/>
      <c r="DP3" s="34"/>
      <c r="DQ3" s="34"/>
      <c r="DR3" s="34"/>
      <c r="DS3" s="34"/>
      <c r="DT3" s="36"/>
      <c r="DU3" s="34"/>
      <c r="DV3" s="34"/>
      <c r="DW3" s="34"/>
      <c r="DX3" s="34"/>
      <c r="DY3" s="36"/>
      <c r="DZ3" s="16"/>
      <c r="EI3" s="2517"/>
      <c r="EJ3" s="2517"/>
    </row>
    <row r="4" spans="1:140" ht="12" hidden="1" outlineLevel="1" thickBot="1" x14ac:dyDescent="0.25">
      <c r="A4" s="16"/>
      <c r="B4" s="42"/>
      <c r="C4" s="43"/>
      <c r="D4" s="43"/>
      <c r="E4" s="44">
        <v>35155</v>
      </c>
      <c r="F4" s="44">
        <v>35246</v>
      </c>
      <c r="G4" s="44">
        <v>35338</v>
      </c>
      <c r="H4" s="44">
        <v>35430</v>
      </c>
      <c r="I4" s="44">
        <v>35430</v>
      </c>
      <c r="J4" s="44">
        <v>35520</v>
      </c>
      <c r="K4" s="44">
        <v>35611</v>
      </c>
      <c r="L4" s="44">
        <v>35703</v>
      </c>
      <c r="M4" s="44">
        <v>35795</v>
      </c>
      <c r="N4" s="44">
        <v>35795</v>
      </c>
      <c r="O4" s="44">
        <v>35885</v>
      </c>
      <c r="P4" s="44">
        <v>35976</v>
      </c>
      <c r="Q4" s="44">
        <v>36068</v>
      </c>
      <c r="R4" s="44">
        <v>36160</v>
      </c>
      <c r="S4" s="44">
        <v>36160</v>
      </c>
      <c r="T4" s="44">
        <v>36250</v>
      </c>
      <c r="U4" s="44">
        <v>36341</v>
      </c>
      <c r="V4" s="44">
        <v>36433</v>
      </c>
      <c r="W4" s="44">
        <v>36525</v>
      </c>
      <c r="X4" s="44">
        <v>36525</v>
      </c>
      <c r="Y4" s="44">
        <v>36616</v>
      </c>
      <c r="Z4" s="44">
        <v>36707</v>
      </c>
      <c r="AA4" s="44">
        <v>36799</v>
      </c>
      <c r="AB4" s="44">
        <v>36891</v>
      </c>
      <c r="AC4" s="44">
        <v>36891</v>
      </c>
      <c r="AD4" s="44">
        <v>36981</v>
      </c>
      <c r="AE4" s="44">
        <v>37072</v>
      </c>
      <c r="AF4" s="44">
        <v>37164</v>
      </c>
      <c r="AG4" s="44">
        <v>37256</v>
      </c>
      <c r="AH4" s="44">
        <f>AG4</f>
        <v>37256</v>
      </c>
      <c r="AI4" s="44">
        <v>37346</v>
      </c>
      <c r="AJ4" s="44">
        <v>37437</v>
      </c>
      <c r="AK4" s="44">
        <v>37529</v>
      </c>
      <c r="AL4" s="44">
        <v>37621</v>
      </c>
      <c r="AM4" s="44">
        <f>AL4</f>
        <v>37621</v>
      </c>
      <c r="AN4" s="44">
        <v>37711</v>
      </c>
      <c r="AO4" s="44">
        <v>37802</v>
      </c>
      <c r="AP4" s="44">
        <v>37894</v>
      </c>
      <c r="AQ4" s="44">
        <v>37986</v>
      </c>
      <c r="AR4" s="44">
        <f>AQ4</f>
        <v>37986</v>
      </c>
      <c r="AS4" s="44">
        <v>38077</v>
      </c>
      <c r="AT4" s="44">
        <v>38168</v>
      </c>
      <c r="AU4" s="44">
        <v>38260</v>
      </c>
      <c r="AV4" s="44">
        <v>38352</v>
      </c>
      <c r="AW4" s="44">
        <f>AV4</f>
        <v>38352</v>
      </c>
      <c r="AX4" s="44">
        <v>38442</v>
      </c>
      <c r="AY4" s="44">
        <v>38533</v>
      </c>
      <c r="AZ4" s="44">
        <v>38625</v>
      </c>
      <c r="BA4" s="44">
        <v>38717</v>
      </c>
      <c r="BB4" s="44">
        <f>BA4</f>
        <v>38717</v>
      </c>
      <c r="BC4" s="44">
        <v>38807</v>
      </c>
      <c r="BD4" s="44">
        <v>38898</v>
      </c>
      <c r="BE4" s="44">
        <v>38990</v>
      </c>
      <c r="BF4" s="44">
        <v>39082</v>
      </c>
      <c r="BG4" s="44">
        <f>BF4</f>
        <v>39082</v>
      </c>
      <c r="BH4" s="44">
        <v>39172</v>
      </c>
      <c r="BI4" s="44">
        <v>39263</v>
      </c>
      <c r="BJ4" s="44">
        <v>39355</v>
      </c>
      <c r="BK4" s="44">
        <v>39447</v>
      </c>
      <c r="BL4" s="44">
        <f>BK4</f>
        <v>39447</v>
      </c>
      <c r="BM4" s="44">
        <v>39538</v>
      </c>
      <c r="BN4" s="44">
        <v>39629</v>
      </c>
      <c r="BO4" s="44">
        <v>39721</v>
      </c>
      <c r="BP4" s="44">
        <v>39813</v>
      </c>
      <c r="BQ4" s="44">
        <f>BP4</f>
        <v>39813</v>
      </c>
      <c r="BR4" s="44">
        <v>39903</v>
      </c>
      <c r="BS4" s="44">
        <v>39994</v>
      </c>
      <c r="BT4" s="44">
        <v>40086</v>
      </c>
      <c r="BU4" s="44">
        <v>40178</v>
      </c>
      <c r="BV4" s="44">
        <f>BU4</f>
        <v>40178</v>
      </c>
      <c r="BW4" s="44">
        <v>40268</v>
      </c>
      <c r="BX4" s="44">
        <v>40359</v>
      </c>
      <c r="BY4" s="44">
        <v>40451</v>
      </c>
      <c r="BZ4" s="44">
        <v>40543</v>
      </c>
      <c r="CA4" s="44">
        <f>BZ4</f>
        <v>40543</v>
      </c>
      <c r="CB4" s="44">
        <v>40633</v>
      </c>
      <c r="CC4" s="44">
        <v>40724</v>
      </c>
      <c r="CD4" s="44">
        <v>40816</v>
      </c>
      <c r="CE4" s="44">
        <v>40908</v>
      </c>
      <c r="CF4" s="44">
        <f>CE4</f>
        <v>40908</v>
      </c>
      <c r="CG4" s="44">
        <v>40999</v>
      </c>
      <c r="CH4" s="44">
        <v>41090</v>
      </c>
      <c r="CI4" s="44">
        <v>41182</v>
      </c>
      <c r="CJ4" s="44">
        <v>41274</v>
      </c>
      <c r="CK4" s="44">
        <f>CJ4</f>
        <v>41274</v>
      </c>
      <c r="CL4" s="44">
        <v>41364</v>
      </c>
      <c r="CM4" s="44">
        <v>41455</v>
      </c>
      <c r="CN4" s="44">
        <v>41547</v>
      </c>
      <c r="CO4" s="44">
        <v>41639</v>
      </c>
      <c r="CP4" s="44">
        <f>CO4</f>
        <v>41639</v>
      </c>
      <c r="CQ4" s="44">
        <v>41729</v>
      </c>
      <c r="CR4" s="44">
        <v>41820</v>
      </c>
      <c r="CS4" s="44">
        <v>41912</v>
      </c>
      <c r="CT4" s="44">
        <v>42004</v>
      </c>
      <c r="CU4" s="44">
        <f>CT4</f>
        <v>42004</v>
      </c>
      <c r="CV4" s="44">
        <v>42094</v>
      </c>
      <c r="CW4" s="44">
        <v>42185</v>
      </c>
      <c r="CX4" s="44">
        <v>42277</v>
      </c>
      <c r="CY4" s="44">
        <v>42369</v>
      </c>
      <c r="CZ4" s="44">
        <f>CY4</f>
        <v>42369</v>
      </c>
      <c r="DA4" s="44">
        <v>42460</v>
      </c>
      <c r="DB4" s="44">
        <v>42551</v>
      </c>
      <c r="DC4" s="44">
        <v>42643</v>
      </c>
      <c r="DD4" s="44">
        <v>42735</v>
      </c>
      <c r="DE4" s="44">
        <f>DD4</f>
        <v>42735</v>
      </c>
      <c r="DF4" s="44">
        <v>42460</v>
      </c>
      <c r="DG4" s="44">
        <v>42551</v>
      </c>
      <c r="DH4" s="44">
        <v>42643</v>
      </c>
      <c r="DI4" s="44">
        <v>42735</v>
      </c>
      <c r="DJ4" s="44">
        <f>DI4</f>
        <v>42735</v>
      </c>
      <c r="DK4" s="44">
        <v>42460</v>
      </c>
      <c r="DL4" s="44">
        <v>42551</v>
      </c>
      <c r="DM4" s="44">
        <v>42643</v>
      </c>
      <c r="DN4" s="44">
        <v>42735</v>
      </c>
      <c r="DO4" s="44">
        <f>DN4</f>
        <v>42735</v>
      </c>
      <c r="DP4" s="44">
        <v>42460</v>
      </c>
      <c r="DQ4" s="44">
        <v>42551</v>
      </c>
      <c r="DR4" s="44">
        <v>42643</v>
      </c>
      <c r="DS4" s="44">
        <v>42735</v>
      </c>
      <c r="DT4" s="44">
        <f>DS4</f>
        <v>42735</v>
      </c>
      <c r="DU4" s="44">
        <v>42460</v>
      </c>
      <c r="DV4" s="44">
        <v>42551</v>
      </c>
      <c r="DW4" s="44">
        <v>42643</v>
      </c>
      <c r="DX4" s="44">
        <v>42735</v>
      </c>
      <c r="DY4" s="44">
        <f>DX4</f>
        <v>42735</v>
      </c>
      <c r="DZ4" s="16"/>
    </row>
    <row r="5" spans="1:140" ht="12.75" collapsed="1" thickBot="1" x14ac:dyDescent="0.25">
      <c r="A5" s="16"/>
      <c r="B5" s="45" t="s">
        <v>53</v>
      </c>
      <c r="C5" s="46"/>
      <c r="D5" s="46"/>
      <c r="E5" s="47" t="s">
        <v>54</v>
      </c>
      <c r="F5" s="48"/>
      <c r="G5" s="48"/>
      <c r="H5" s="48"/>
      <c r="I5" s="49"/>
      <c r="J5" s="48" t="s">
        <v>55</v>
      </c>
      <c r="K5" s="48"/>
      <c r="L5" s="48"/>
      <c r="M5" s="48"/>
      <c r="N5" s="49"/>
      <c r="O5" s="48" t="s">
        <v>56</v>
      </c>
      <c r="P5" s="48"/>
      <c r="Q5" s="48"/>
      <c r="R5" s="48"/>
      <c r="S5" s="49"/>
      <c r="T5" s="48" t="s">
        <v>57</v>
      </c>
      <c r="U5" s="48"/>
      <c r="V5" s="48"/>
      <c r="W5" s="48"/>
      <c r="X5" s="49"/>
      <c r="Y5" s="48" t="s">
        <v>58</v>
      </c>
      <c r="Z5" s="48"/>
      <c r="AA5" s="48"/>
      <c r="AB5" s="48"/>
      <c r="AC5" s="49"/>
      <c r="AD5" s="48" t="s">
        <v>59</v>
      </c>
      <c r="AE5" s="48"/>
      <c r="AF5" s="48"/>
      <c r="AG5" s="48"/>
      <c r="AH5" s="49"/>
      <c r="AI5" s="48" t="s">
        <v>60</v>
      </c>
      <c r="AJ5" s="48"/>
      <c r="AK5" s="48"/>
      <c r="AL5" s="48"/>
      <c r="AM5" s="49"/>
      <c r="AN5" s="48" t="s">
        <v>61</v>
      </c>
      <c r="AO5" s="48"/>
      <c r="AP5" s="48"/>
      <c r="AQ5" s="48"/>
      <c r="AR5" s="49"/>
      <c r="AS5" s="48" t="s">
        <v>62</v>
      </c>
      <c r="AT5" s="48"/>
      <c r="AU5" s="48"/>
      <c r="AV5" s="48"/>
      <c r="AW5" s="49"/>
      <c r="AX5" s="48" t="s">
        <v>63</v>
      </c>
      <c r="AY5" s="48"/>
      <c r="AZ5" s="48"/>
      <c r="BA5" s="48"/>
      <c r="BB5" s="49"/>
      <c r="BC5" s="48" t="s">
        <v>64</v>
      </c>
      <c r="BD5" s="48"/>
      <c r="BE5" s="48"/>
      <c r="BF5" s="48"/>
      <c r="BG5" s="49"/>
      <c r="BH5" s="48" t="s">
        <v>65</v>
      </c>
      <c r="BI5" s="48"/>
      <c r="BJ5" s="48"/>
      <c r="BK5" s="48"/>
      <c r="BL5" s="49"/>
      <c r="BM5" s="48" t="s">
        <v>66</v>
      </c>
      <c r="BN5" s="48"/>
      <c r="BO5" s="48"/>
      <c r="BP5" s="48"/>
      <c r="BQ5" s="49"/>
      <c r="BR5" s="48" t="s">
        <v>67</v>
      </c>
      <c r="BS5" s="48"/>
      <c r="BT5" s="48"/>
      <c r="BU5" s="48"/>
      <c r="BV5" s="49"/>
      <c r="BW5" s="48" t="s">
        <v>68</v>
      </c>
      <c r="BX5" s="48"/>
      <c r="BY5" s="48"/>
      <c r="BZ5" s="48"/>
      <c r="CA5" s="49"/>
      <c r="CB5" s="48" t="s">
        <v>69</v>
      </c>
      <c r="CC5" s="48"/>
      <c r="CD5" s="48"/>
      <c r="CE5" s="48"/>
      <c r="CF5" s="49"/>
      <c r="CG5" s="48" t="s">
        <v>70</v>
      </c>
      <c r="CH5" s="48"/>
      <c r="CI5" s="48"/>
      <c r="CJ5" s="48"/>
      <c r="CK5" s="49"/>
      <c r="CL5" s="48" t="s">
        <v>71</v>
      </c>
      <c r="CM5" s="48"/>
      <c r="CN5" s="48"/>
      <c r="CO5" s="48"/>
      <c r="CP5" s="49"/>
      <c r="CQ5" s="48" t="s">
        <v>72</v>
      </c>
      <c r="CR5" s="48"/>
      <c r="CS5" s="48"/>
      <c r="CT5" s="48"/>
      <c r="CU5" s="49"/>
      <c r="CV5" s="48" t="s">
        <v>73</v>
      </c>
      <c r="CW5" s="48"/>
      <c r="CX5" s="48"/>
      <c r="CY5" s="48"/>
      <c r="CZ5" s="49"/>
      <c r="DA5" s="48" t="s">
        <v>674</v>
      </c>
      <c r="DB5" s="48"/>
      <c r="DC5" s="48"/>
      <c r="DD5" s="48"/>
      <c r="DE5" s="49"/>
      <c r="DF5" s="48" t="s">
        <v>1322</v>
      </c>
      <c r="DG5" s="48"/>
      <c r="DH5" s="48"/>
      <c r="DI5" s="48"/>
      <c r="DJ5" s="49"/>
      <c r="DK5" s="48" t="s">
        <v>1458</v>
      </c>
      <c r="DL5" s="48"/>
      <c r="DM5" s="48"/>
      <c r="DN5" s="48"/>
      <c r="DO5" s="49"/>
      <c r="DP5" s="48" t="s">
        <v>1566</v>
      </c>
      <c r="DQ5" s="48"/>
      <c r="DR5" s="48"/>
      <c r="DS5" s="48"/>
      <c r="DT5" s="49"/>
      <c r="DU5" s="48" t="s">
        <v>1636</v>
      </c>
      <c r="DV5" s="48"/>
      <c r="DW5" s="48"/>
      <c r="DX5" s="48"/>
      <c r="DY5" s="49"/>
      <c r="DZ5" s="16"/>
    </row>
    <row r="6" spans="1:140" ht="10.5" customHeight="1" thickBot="1" x14ac:dyDescent="0.25">
      <c r="A6" s="16"/>
      <c r="B6" s="2463" t="s">
        <v>74</v>
      </c>
      <c r="C6" s="2464"/>
      <c r="D6" s="52"/>
      <c r="E6" s="2465" t="s">
        <v>75</v>
      </c>
      <c r="F6" s="2466" t="s">
        <v>76</v>
      </c>
      <c r="G6" s="2466" t="s">
        <v>77</v>
      </c>
      <c r="H6" s="2466" t="s">
        <v>78</v>
      </c>
      <c r="I6" s="535" t="s">
        <v>79</v>
      </c>
      <c r="J6" s="2466" t="s">
        <v>80</v>
      </c>
      <c r="K6" s="2466" t="s">
        <v>81</v>
      </c>
      <c r="L6" s="2466" t="s">
        <v>116</v>
      </c>
      <c r="M6" s="2466" t="s">
        <v>117</v>
      </c>
      <c r="N6" s="535" t="s">
        <v>118</v>
      </c>
      <c r="O6" s="2466" t="s">
        <v>119</v>
      </c>
      <c r="P6" s="2466" t="s">
        <v>120</v>
      </c>
      <c r="Q6" s="2466" t="s">
        <v>121</v>
      </c>
      <c r="R6" s="2466" t="s">
        <v>122</v>
      </c>
      <c r="S6" s="535" t="s">
        <v>123</v>
      </c>
      <c r="T6" s="2466" t="s">
        <v>124</v>
      </c>
      <c r="U6" s="2466" t="s">
        <v>125</v>
      </c>
      <c r="V6" s="2466" t="s">
        <v>126</v>
      </c>
      <c r="W6" s="2466" t="s">
        <v>127</v>
      </c>
      <c r="X6" s="535" t="s">
        <v>128</v>
      </c>
      <c r="Y6" s="2466" t="s">
        <v>129</v>
      </c>
      <c r="Z6" s="2466" t="s">
        <v>130</v>
      </c>
      <c r="AA6" s="2466" t="s">
        <v>131</v>
      </c>
      <c r="AB6" s="2466" t="s">
        <v>132</v>
      </c>
      <c r="AC6" s="535" t="s">
        <v>133</v>
      </c>
      <c r="AD6" s="2466" t="s">
        <v>134</v>
      </c>
      <c r="AE6" s="2466" t="s">
        <v>135</v>
      </c>
      <c r="AF6" s="2466" t="s">
        <v>136</v>
      </c>
      <c r="AG6" s="2466" t="s">
        <v>137</v>
      </c>
      <c r="AH6" s="535" t="s">
        <v>138</v>
      </c>
      <c r="AI6" s="2466" t="s">
        <v>139</v>
      </c>
      <c r="AJ6" s="2466" t="s">
        <v>140</v>
      </c>
      <c r="AK6" s="2466" t="s">
        <v>141</v>
      </c>
      <c r="AL6" s="2466" t="s">
        <v>142</v>
      </c>
      <c r="AM6" s="535" t="s">
        <v>143</v>
      </c>
      <c r="AN6" s="2466" t="s">
        <v>144</v>
      </c>
      <c r="AO6" s="2466" t="s">
        <v>145</v>
      </c>
      <c r="AP6" s="2466" t="s">
        <v>146</v>
      </c>
      <c r="AQ6" s="2466" t="s">
        <v>147</v>
      </c>
      <c r="AR6" s="535" t="s">
        <v>148</v>
      </c>
      <c r="AS6" s="2466" t="s">
        <v>149</v>
      </c>
      <c r="AT6" s="2466" t="s">
        <v>150</v>
      </c>
      <c r="AU6" s="2466" t="s">
        <v>151</v>
      </c>
      <c r="AV6" s="2466" t="s">
        <v>152</v>
      </c>
      <c r="AW6" s="535" t="s">
        <v>153</v>
      </c>
      <c r="AX6" s="2466" t="s">
        <v>149</v>
      </c>
      <c r="AY6" s="2466" t="s">
        <v>150</v>
      </c>
      <c r="AZ6" s="2466" t="s">
        <v>151</v>
      </c>
      <c r="BA6" s="2466" t="s">
        <v>152</v>
      </c>
      <c r="BB6" s="2467" t="s">
        <v>154</v>
      </c>
      <c r="BC6" s="2466" t="s">
        <v>149</v>
      </c>
      <c r="BD6" s="2466" t="s">
        <v>150</v>
      </c>
      <c r="BE6" s="2466" t="s">
        <v>151</v>
      </c>
      <c r="BF6" s="2466" t="s">
        <v>152</v>
      </c>
      <c r="BG6" s="2467" t="s">
        <v>155</v>
      </c>
      <c r="BH6" s="2466" t="s">
        <v>149</v>
      </c>
      <c r="BI6" s="2466" t="s">
        <v>150</v>
      </c>
      <c r="BJ6" s="2466" t="s">
        <v>151</v>
      </c>
      <c r="BK6" s="2466" t="s">
        <v>152</v>
      </c>
      <c r="BL6" s="2467" t="s">
        <v>156</v>
      </c>
      <c r="BM6" s="2466" t="s">
        <v>149</v>
      </c>
      <c r="BN6" s="2466" t="s">
        <v>150</v>
      </c>
      <c r="BO6" s="2466" t="s">
        <v>151</v>
      </c>
      <c r="BP6" s="2466" t="s">
        <v>152</v>
      </c>
      <c r="BQ6" s="535" t="s">
        <v>157</v>
      </c>
      <c r="BR6" s="2466" t="s">
        <v>149</v>
      </c>
      <c r="BS6" s="2466" t="s">
        <v>150</v>
      </c>
      <c r="BT6" s="2466" t="s">
        <v>151</v>
      </c>
      <c r="BU6" s="2466" t="s">
        <v>152</v>
      </c>
      <c r="BV6" s="535" t="s">
        <v>158</v>
      </c>
      <c r="BW6" s="2466" t="s">
        <v>149</v>
      </c>
      <c r="BX6" s="2466" t="s">
        <v>150</v>
      </c>
      <c r="BY6" s="2466" t="s">
        <v>151</v>
      </c>
      <c r="BZ6" s="2466" t="s">
        <v>152</v>
      </c>
      <c r="CA6" s="535" t="s">
        <v>159</v>
      </c>
      <c r="CB6" s="2466" t="s">
        <v>149</v>
      </c>
      <c r="CC6" s="2466" t="s">
        <v>150</v>
      </c>
      <c r="CD6" s="2466" t="s">
        <v>151</v>
      </c>
      <c r="CE6" s="2466" t="s">
        <v>152</v>
      </c>
      <c r="CF6" s="535" t="s">
        <v>160</v>
      </c>
      <c r="CG6" s="2466" t="s">
        <v>149</v>
      </c>
      <c r="CH6" s="2466" t="s">
        <v>150</v>
      </c>
      <c r="CI6" s="2466" t="s">
        <v>151</v>
      </c>
      <c r="CJ6" s="2466" t="s">
        <v>152</v>
      </c>
      <c r="CK6" s="535" t="s">
        <v>322</v>
      </c>
      <c r="CL6" s="2466" t="s">
        <v>149</v>
      </c>
      <c r="CM6" s="2466" t="s">
        <v>150</v>
      </c>
      <c r="CN6" s="2466" t="s">
        <v>151</v>
      </c>
      <c r="CO6" s="2466" t="s">
        <v>152</v>
      </c>
      <c r="CP6" s="535" t="s">
        <v>1246</v>
      </c>
      <c r="CQ6" s="2466" t="s">
        <v>149</v>
      </c>
      <c r="CR6" s="2466" t="s">
        <v>150</v>
      </c>
      <c r="CS6" s="2466" t="s">
        <v>151</v>
      </c>
      <c r="CT6" s="2466" t="s">
        <v>152</v>
      </c>
      <c r="CU6" s="535" t="s">
        <v>1316</v>
      </c>
      <c r="CV6" s="2466" t="s">
        <v>149</v>
      </c>
      <c r="CW6" s="2466" t="s">
        <v>150</v>
      </c>
      <c r="CX6" s="2466" t="s">
        <v>151</v>
      </c>
      <c r="CY6" s="2466" t="s">
        <v>152</v>
      </c>
      <c r="CZ6" s="535" t="s">
        <v>1469</v>
      </c>
      <c r="DA6" s="2466" t="s">
        <v>149</v>
      </c>
      <c r="DB6" s="2466" t="s">
        <v>150</v>
      </c>
      <c r="DC6" s="2466" t="s">
        <v>151</v>
      </c>
      <c r="DD6" s="2466" t="s">
        <v>152</v>
      </c>
      <c r="DE6" s="535" t="s">
        <v>1565</v>
      </c>
      <c r="DF6" s="2466" t="s">
        <v>149</v>
      </c>
      <c r="DG6" s="2466" t="s">
        <v>150</v>
      </c>
      <c r="DH6" s="2466" t="s">
        <v>151</v>
      </c>
      <c r="DI6" s="2466" t="s">
        <v>152</v>
      </c>
      <c r="DJ6" s="535" t="s">
        <v>1662</v>
      </c>
      <c r="DK6" s="2466" t="s">
        <v>163</v>
      </c>
      <c r="DL6" s="2466" t="s">
        <v>164</v>
      </c>
      <c r="DM6" s="2466" t="s">
        <v>165</v>
      </c>
      <c r="DN6" s="2466" t="s">
        <v>161</v>
      </c>
      <c r="DO6" s="535" t="s">
        <v>1439</v>
      </c>
      <c r="DP6" s="2466" t="s">
        <v>163</v>
      </c>
      <c r="DQ6" s="2466" t="s">
        <v>164</v>
      </c>
      <c r="DR6" s="2466" t="s">
        <v>165</v>
      </c>
      <c r="DS6" s="2466" t="s">
        <v>161</v>
      </c>
      <c r="DT6" s="535" t="s">
        <v>1567</v>
      </c>
      <c r="DU6" s="2466" t="s">
        <v>163</v>
      </c>
      <c r="DV6" s="2466" t="s">
        <v>164</v>
      </c>
      <c r="DW6" s="2466" t="s">
        <v>165</v>
      </c>
      <c r="DX6" s="2466" t="s">
        <v>161</v>
      </c>
      <c r="DY6" s="535" t="s">
        <v>1637</v>
      </c>
      <c r="DZ6" s="16"/>
    </row>
    <row r="7" spans="1:140" x14ac:dyDescent="0.2">
      <c r="A7" s="16"/>
      <c r="B7" s="2468"/>
      <c r="C7" s="2469"/>
      <c r="D7" s="2470"/>
      <c r="E7" s="2471"/>
      <c r="F7" s="2471"/>
      <c r="G7" s="2471"/>
      <c r="H7" s="2471"/>
      <c r="J7" s="2471"/>
      <c r="K7" s="2471"/>
      <c r="L7" s="2471"/>
      <c r="M7" s="2471"/>
      <c r="O7" s="2471"/>
      <c r="P7" s="2471"/>
      <c r="Q7" s="2471"/>
      <c r="R7" s="2471"/>
      <c r="T7" s="2471"/>
      <c r="U7" s="2471"/>
      <c r="V7" s="2471"/>
      <c r="W7" s="2471"/>
      <c r="Y7" s="2471"/>
      <c r="Z7" s="2471"/>
      <c r="AA7" s="2471"/>
      <c r="AB7" s="2471"/>
      <c r="AD7" s="2471"/>
      <c r="AE7" s="2471"/>
      <c r="AF7" s="2471"/>
      <c r="AG7" s="2471"/>
      <c r="AI7" s="2471"/>
      <c r="AJ7" s="2471"/>
      <c r="AK7" s="2471"/>
      <c r="AL7" s="2471"/>
      <c r="AN7" s="2471"/>
      <c r="AO7" s="2471"/>
      <c r="AP7" s="2471"/>
      <c r="AQ7" s="2471"/>
      <c r="AS7" s="2471"/>
      <c r="AT7" s="2471"/>
      <c r="AU7" s="2471"/>
      <c r="AV7" s="2471"/>
      <c r="AX7" s="2471"/>
      <c r="AY7" s="2471"/>
      <c r="AZ7" s="2471"/>
      <c r="BA7" s="2471"/>
      <c r="BC7" s="2471"/>
      <c r="BD7" s="2471"/>
      <c r="BE7" s="2471"/>
      <c r="BF7" s="2471"/>
      <c r="BH7" s="2471"/>
      <c r="BI7" s="2471"/>
      <c r="BJ7" s="2471"/>
      <c r="BK7" s="2471"/>
      <c r="BM7" s="2471"/>
      <c r="BN7" s="2471"/>
      <c r="BO7" s="2471"/>
      <c r="BP7" s="2471"/>
      <c r="BQ7" s="2517"/>
      <c r="BR7" s="2471"/>
      <c r="BS7" s="2471"/>
      <c r="BT7" s="2471"/>
      <c r="BU7" s="2471"/>
      <c r="BW7" s="2471"/>
      <c r="BX7" s="2471"/>
      <c r="BY7" s="2471"/>
      <c r="BZ7" s="2471"/>
      <c r="CB7" s="2471"/>
      <c r="CC7" s="2471"/>
      <c r="CD7" s="2471"/>
      <c r="CE7" s="2471"/>
      <c r="CG7" s="2471"/>
      <c r="CH7" s="2471"/>
      <c r="CI7" s="2471"/>
      <c r="CJ7" s="2471"/>
      <c r="CL7" s="2471"/>
      <c r="CM7" s="2471"/>
      <c r="CN7" s="2471"/>
      <c r="CO7" s="2471"/>
      <c r="CQ7" s="2471"/>
      <c r="CR7" s="2471"/>
      <c r="CS7" s="2471"/>
      <c r="CT7" s="2471"/>
      <c r="CV7" s="2471"/>
      <c r="CW7" s="2471"/>
      <c r="CX7" s="2471"/>
      <c r="CY7" s="2471"/>
      <c r="CZ7" s="1824"/>
      <c r="DA7" s="2471"/>
      <c r="DB7" s="2471"/>
      <c r="DC7" s="2471"/>
      <c r="DD7" s="2471"/>
      <c r="DE7" s="2623"/>
      <c r="DF7" s="2471"/>
      <c r="DG7" s="2471"/>
      <c r="DH7" s="2471"/>
      <c r="DI7" s="2471"/>
      <c r="DJ7" s="2623"/>
      <c r="DK7" s="2471"/>
      <c r="DL7" s="2471"/>
      <c r="DM7" s="2471"/>
      <c r="DN7" s="2471"/>
      <c r="DO7" s="2623"/>
      <c r="DP7" s="2471"/>
      <c r="DQ7" s="2471"/>
      <c r="DR7" s="2471"/>
      <c r="DS7" s="2471"/>
      <c r="DT7" s="2623"/>
      <c r="DU7" s="2471"/>
      <c r="DV7" s="2471"/>
      <c r="DW7" s="2471"/>
      <c r="DX7" s="2471"/>
      <c r="DY7" s="2623"/>
      <c r="DZ7" s="16"/>
    </row>
    <row r="8" spans="1:140" x14ac:dyDescent="0.2">
      <c r="A8" s="57"/>
      <c r="B8" s="58" t="s">
        <v>169</v>
      </c>
      <c r="I8" s="61"/>
      <c r="J8" s="1867">
        <f>Retail!J17</f>
        <v>3397.848</v>
      </c>
      <c r="K8" s="1867">
        <f>Retail!K17</f>
        <v>3406.7539999999999</v>
      </c>
      <c r="L8" s="1867">
        <f>Retail!L17</f>
        <v>3328.665</v>
      </c>
      <c r="M8" s="1867">
        <f>Retail!M17</f>
        <v>3616.36</v>
      </c>
      <c r="N8" s="61">
        <f>SUM(J8:M8)</f>
        <v>13749.627</v>
      </c>
      <c r="O8" s="1867">
        <f>Retail!O17</f>
        <v>3565.8</v>
      </c>
      <c r="P8" s="1867">
        <f>Retail!P17</f>
        <v>3705.4</v>
      </c>
      <c r="Q8" s="1867">
        <f>Retail!Q17</f>
        <v>3670.6</v>
      </c>
      <c r="R8" s="1867">
        <f>Retail!R17</f>
        <v>4139.3</v>
      </c>
      <c r="S8" s="61">
        <f>SUM(O8:R8)</f>
        <v>15081.100000000002</v>
      </c>
      <c r="T8" s="1867">
        <f>Retail!T17</f>
        <v>4152.8</v>
      </c>
      <c r="U8" s="1867">
        <f>Retail!U17</f>
        <v>4258.8</v>
      </c>
      <c r="V8" s="1867">
        <f>Retail!V17</f>
        <v>4208.2</v>
      </c>
      <c r="W8" s="1867">
        <f>Retail!W17</f>
        <v>5005.8999999999996</v>
      </c>
      <c r="X8" s="61">
        <f>SUM(T8:W8)</f>
        <v>17625.699999999997</v>
      </c>
      <c r="Y8" s="1867">
        <f>Retail!Y17</f>
        <v>4585.8999999999996</v>
      </c>
      <c r="Z8" s="1867">
        <f>Retail!Z17</f>
        <v>4806.5</v>
      </c>
      <c r="AA8" s="1867">
        <f>Retail!AA17</f>
        <v>4764.6000000000004</v>
      </c>
      <c r="AB8" s="1867">
        <f>Retail!AB17</f>
        <v>5215.3999999999996</v>
      </c>
      <c r="AC8" s="61">
        <f>SUM(Y8:AB8)</f>
        <v>19372.400000000001</v>
      </c>
      <c r="AD8" s="1867">
        <f>Retail!AD17</f>
        <v>5164.1000000000004</v>
      </c>
      <c r="AE8" s="1867">
        <f>Retail!AE17</f>
        <v>5280.4</v>
      </c>
      <c r="AF8" s="1867">
        <f>Retail!AF17</f>
        <v>5188.7</v>
      </c>
      <c r="AG8" s="1867">
        <f>Retail!AG17</f>
        <v>5695.5</v>
      </c>
      <c r="AH8" s="61">
        <f>SUM(AD8:AG8)</f>
        <v>21328.7</v>
      </c>
      <c r="AI8" s="1867">
        <f>Retail!AI17</f>
        <v>5693</v>
      </c>
      <c r="AJ8" s="1867">
        <f>Retail!AJ17</f>
        <v>5715.1</v>
      </c>
      <c r="AK8" s="1867">
        <f>Retail!AK17</f>
        <v>5605.4</v>
      </c>
      <c r="AL8" s="1867">
        <f>Retail!AL17</f>
        <v>6046.7</v>
      </c>
      <c r="AM8" s="61">
        <f>SUM(AI8:AL8)</f>
        <v>23060.2</v>
      </c>
      <c r="AN8" s="1867">
        <f>Retail!AN17</f>
        <v>5977.4</v>
      </c>
      <c r="AO8" s="1867">
        <f>Retail!AO17</f>
        <v>6129.3</v>
      </c>
      <c r="AP8" s="1867">
        <f>Retail!AP17</f>
        <v>6072.6</v>
      </c>
      <c r="AQ8" s="1867">
        <f>Retail!AQ17</f>
        <v>7101.4</v>
      </c>
      <c r="AR8" s="61">
        <f>SUM(AN8:AQ8)</f>
        <v>25280.700000000004</v>
      </c>
      <c r="AS8" s="1867">
        <f>Retail!AS17</f>
        <v>6479.9</v>
      </c>
      <c r="AT8" s="1867">
        <f>Retail!AT17</f>
        <v>6619.6</v>
      </c>
      <c r="AU8" s="1867">
        <f>Retail!AU17</f>
        <v>7371.8</v>
      </c>
      <c r="AV8" s="1867">
        <f>Retail!AV17</f>
        <v>8257.4</v>
      </c>
      <c r="AW8" s="63">
        <v>28728.7</v>
      </c>
      <c r="AX8" s="1867">
        <f>Retail!AX17</f>
        <v>8489.7000000000007</v>
      </c>
      <c r="AY8" s="1867">
        <f>Retail!AY17</f>
        <v>8431.7000000000007</v>
      </c>
      <c r="AZ8" s="1867">
        <f>Retail!AZ17</f>
        <v>8241.9</v>
      </c>
      <c r="BA8" s="1867">
        <f>Retail!BA17</f>
        <v>8931.2999999999993</v>
      </c>
      <c r="BB8" s="61">
        <f>SUM(AX8:BA8)</f>
        <v>34094.600000000006</v>
      </c>
      <c r="BC8" s="1867">
        <f>Retail!BC17</f>
        <v>9131.5</v>
      </c>
      <c r="BD8" s="1867">
        <f>Retail!BD17</f>
        <v>9740.5</v>
      </c>
      <c r="BE8" s="1867">
        <f>Retail!BE17</f>
        <v>10316.6</v>
      </c>
      <c r="BF8" s="1867">
        <f>Retail!BF17</f>
        <v>11097</v>
      </c>
      <c r="BG8" s="61">
        <f>SUM(BC8:BF8)</f>
        <v>40285.599999999999</v>
      </c>
      <c r="BH8" s="1867">
        <f>Retail!BH17</f>
        <v>11239.2</v>
      </c>
      <c r="BI8" s="1867">
        <f>Retail!BI17</f>
        <v>11249.7</v>
      </c>
      <c r="BJ8" s="1867">
        <f>Retail!BJ17</f>
        <v>10959.1</v>
      </c>
      <c r="BK8" s="1867">
        <f>Retail!BK17</f>
        <v>11638.5</v>
      </c>
      <c r="BL8" s="63">
        <v>45086.5</v>
      </c>
      <c r="BM8" s="1867">
        <f>Retail!BM17</f>
        <v>11845.6</v>
      </c>
      <c r="BN8" s="1867">
        <f>Retail!BN17</f>
        <v>11770.8</v>
      </c>
      <c r="BO8" s="1867">
        <f>Retail!BO17</f>
        <v>11542</v>
      </c>
      <c r="BP8" s="1867">
        <f>Retail!BP17</f>
        <v>13831.5</v>
      </c>
      <c r="BQ8" s="61">
        <f>SUM(BM8:BP8)</f>
        <v>48989.9</v>
      </c>
      <c r="BR8" s="1867">
        <f>Retail!BR17</f>
        <v>13496.9</v>
      </c>
      <c r="BS8" s="1867">
        <f>Retail!BS17</f>
        <v>13797.2</v>
      </c>
      <c r="BT8" s="1867">
        <f>Retail!BT17</f>
        <v>13605.4</v>
      </c>
      <c r="BU8" s="1867">
        <f>Retail!BU17</f>
        <v>14455</v>
      </c>
      <c r="BV8" s="61">
        <f>SUM(BR8:BU8)</f>
        <v>55354.5</v>
      </c>
      <c r="BW8" s="1867">
        <f>Retail!BW17</f>
        <v>13978</v>
      </c>
      <c r="BX8" s="1867">
        <f>Retail!BX17</f>
        <v>14311</v>
      </c>
      <c r="BY8" s="1867">
        <f>Retail!BY17</f>
        <v>14159</v>
      </c>
      <c r="BZ8" s="1867">
        <f>Retail!BZ17</f>
        <v>14897</v>
      </c>
      <c r="CA8" s="61">
        <f>SUM(BW8:BZ8)</f>
        <v>57345</v>
      </c>
      <c r="CB8" s="1867">
        <f>Retail!CB17</f>
        <v>14587</v>
      </c>
      <c r="CC8" s="1867">
        <f>Retail!CC17</f>
        <v>14826</v>
      </c>
      <c r="CD8" s="1867">
        <f>Retail!CD17</f>
        <v>14693</v>
      </c>
      <c r="CE8" s="1867">
        <f>Retail!CE17</f>
        <v>15492.7</v>
      </c>
      <c r="CF8" s="61">
        <f>SUM(CB8:CE8)</f>
        <v>59598.7</v>
      </c>
      <c r="CG8" s="1867">
        <f>Retail!CG17</f>
        <v>16024</v>
      </c>
      <c r="CH8" s="1867">
        <f>Retail!CH17</f>
        <v>15846</v>
      </c>
      <c r="CI8" s="1867">
        <f>Retail!CI17</f>
        <v>15503.9</v>
      </c>
      <c r="CJ8" s="1867">
        <f>Retail!CJ17</f>
        <v>16280</v>
      </c>
      <c r="CK8" s="61">
        <f>SUM(CG8:CJ8)</f>
        <v>63653.9</v>
      </c>
      <c r="CL8" s="1867">
        <f>Retail!CL17</f>
        <v>16051</v>
      </c>
      <c r="CM8" s="1867">
        <f>Retail!CM17</f>
        <v>16139.5</v>
      </c>
      <c r="CN8" s="1867">
        <f>Retail!CN17</f>
        <v>16284</v>
      </c>
      <c r="CO8" s="1867">
        <f>Retail!CO17</f>
        <v>17192</v>
      </c>
      <c r="CP8" s="61">
        <f>SUM(CL8:CO8)</f>
        <v>65666.5</v>
      </c>
      <c r="CQ8" s="1867">
        <f>Retail!CQ17</f>
        <v>16479.8</v>
      </c>
      <c r="CR8" s="1867">
        <f>Retail!CR17</f>
        <v>16870</v>
      </c>
      <c r="CS8" s="1867">
        <f>Retail!CS17</f>
        <v>16749.5</v>
      </c>
      <c r="CT8" s="1867">
        <f>Retail!CT17</f>
        <v>17698</v>
      </c>
      <c r="CU8" s="61">
        <f>SUM(CQ8:CT8)</f>
        <v>67797.3</v>
      </c>
      <c r="CV8" s="1867">
        <f>Retail!CV17</f>
        <v>16950.8</v>
      </c>
      <c r="CW8" s="1867">
        <f>Retail!CW17</f>
        <v>17242.099999999999</v>
      </c>
      <c r="CX8" s="1867">
        <f>Retail!CX17</f>
        <v>17911.723916759998</v>
      </c>
      <c r="CY8" s="1867">
        <f>Retail!CY17</f>
        <v>19902.668552799998</v>
      </c>
      <c r="CZ8" s="61">
        <f>SUM(CV8:CY8)</f>
        <v>72007.292469559994</v>
      </c>
      <c r="DA8" s="1867">
        <f>Retail!DA17</f>
        <v>20112</v>
      </c>
      <c r="DB8" s="1867">
        <f>Retail!DB17</f>
        <v>19998.7</v>
      </c>
      <c r="DC8" s="1867">
        <f>Retail!DC17</f>
        <v>20142.7</v>
      </c>
      <c r="DD8" s="1867">
        <f>Retail!DD17</f>
        <v>20847.400000000001</v>
      </c>
      <c r="DE8" s="2624">
        <f>SUM(DA8:DD8)</f>
        <v>81100.799999999988</v>
      </c>
      <c r="DF8" s="1867">
        <f>Retail!DF17</f>
        <v>19340.5</v>
      </c>
      <c r="DG8" s="1867">
        <f>Retail!DG17</f>
        <v>19554.400000000001</v>
      </c>
      <c r="DH8" s="1867">
        <f>Retail!DH17</f>
        <v>19593.44369557</v>
      </c>
      <c r="DI8" s="1867">
        <f>Retail!DI17</f>
        <v>20909.449948519996</v>
      </c>
      <c r="DJ8" s="2624">
        <f>SUM(DF8:DI8)</f>
        <v>79397.793644089994</v>
      </c>
      <c r="DK8" s="1867">
        <f>Retail!DK17</f>
        <v>20428.489994113261</v>
      </c>
      <c r="DL8" s="1867">
        <f>Retail!DL17</f>
        <v>20603.100014845157</v>
      </c>
      <c r="DM8" s="1867">
        <f>Retail!DM17</f>
        <v>20162.779956761718</v>
      </c>
      <c r="DN8" s="1867">
        <f>Retail!DN17</f>
        <v>20959.726910341928</v>
      </c>
      <c r="DO8" s="2624">
        <f>SUM(DK8:DN8)</f>
        <v>82154.09687606206</v>
      </c>
      <c r="DP8" s="1867">
        <f>Retail!DP17</f>
        <v>21011.537874301986</v>
      </c>
      <c r="DQ8" s="1867">
        <f>Retail!DQ17</f>
        <v>21173.586699948501</v>
      </c>
      <c r="DR8" s="1867">
        <f>Retail!DR17</f>
        <v>20710.663529640507</v>
      </c>
      <c r="DS8" s="1867">
        <f>Retail!DS17</f>
        <v>21489.973877929835</v>
      </c>
      <c r="DT8" s="2624">
        <f>SUM(DP8:DS8)</f>
        <v>84385.761981820833</v>
      </c>
      <c r="DU8" s="1867">
        <f>Retail!DU17</f>
        <v>21548.777599208475</v>
      </c>
      <c r="DV8" s="1867">
        <f>Retail!DV17</f>
        <v>21693.450458033785</v>
      </c>
      <c r="DW8" s="1867">
        <f>Retail!DW17</f>
        <v>21206.255028303727</v>
      </c>
      <c r="DX8" s="1867">
        <f>Retail!DX17</f>
        <v>21963.833014583393</v>
      </c>
      <c r="DY8" s="2624">
        <f>SUM(DU8:DX8)</f>
        <v>86412.316100129377</v>
      </c>
      <c r="DZ8" s="64"/>
    </row>
    <row r="9" spans="1:140" x14ac:dyDescent="0.2">
      <c r="A9" s="57"/>
      <c r="B9" s="65" t="s">
        <v>170</v>
      </c>
      <c r="C9" s="66"/>
      <c r="D9" s="66"/>
      <c r="E9" s="67"/>
      <c r="F9" s="67"/>
      <c r="G9" s="67"/>
      <c r="H9" s="67"/>
      <c r="I9" s="68"/>
      <c r="J9" s="67">
        <v>0</v>
      </c>
      <c r="K9" s="67">
        <v>0</v>
      </c>
      <c r="L9" s="67">
        <v>0</v>
      </c>
      <c r="M9" s="67">
        <v>0</v>
      </c>
      <c r="N9" s="68">
        <f>SUM(J9:M9)</f>
        <v>0</v>
      </c>
      <c r="O9" s="69">
        <f>PBM!O14</f>
        <v>111.9</v>
      </c>
      <c r="P9" s="69">
        <f>PBM!P14</f>
        <v>120.1</v>
      </c>
      <c r="Q9" s="69">
        <f>PBM!Q14</f>
        <v>123.7</v>
      </c>
      <c r="R9" s="69">
        <f>PBM!R14</f>
        <v>132.69999999999999</v>
      </c>
      <c r="S9" s="68">
        <f>SUM(O9:R9)</f>
        <v>488.4</v>
      </c>
      <c r="T9" s="69">
        <f>PBM!T14</f>
        <v>189.5</v>
      </c>
      <c r="U9" s="69">
        <f>PBM!U14</f>
        <v>205.6</v>
      </c>
      <c r="V9" s="69">
        <f>PBM!V14</f>
        <v>204</v>
      </c>
      <c r="W9" s="69">
        <f>PBM!W14</f>
        <v>289.3</v>
      </c>
      <c r="X9" s="68">
        <f>SUM(T9:W9)</f>
        <v>888.40000000000009</v>
      </c>
      <c r="Y9" s="69">
        <f>PBM!Y14</f>
        <v>249.9</v>
      </c>
      <c r="Z9" s="69">
        <f>PBM!Z14</f>
        <v>192</v>
      </c>
      <c r="AA9" s="69">
        <f>PBM!AA14</f>
        <v>203</v>
      </c>
      <c r="AB9" s="69">
        <f>PBM!AB14</f>
        <v>330.9</v>
      </c>
      <c r="AC9" s="68">
        <f>SUM(Y9:AB9)</f>
        <v>975.8</v>
      </c>
      <c r="AD9" s="69">
        <f>PBM!AD14</f>
        <v>221.8</v>
      </c>
      <c r="AE9" s="69">
        <f>PBM!AE14</f>
        <v>213.8</v>
      </c>
      <c r="AF9" s="69">
        <f>PBM!AF14</f>
        <v>222.1</v>
      </c>
      <c r="AG9" s="69">
        <f>PBM!AG14</f>
        <v>255</v>
      </c>
      <c r="AH9" s="68">
        <f>SUM(AD9:AG9)</f>
        <v>912.7</v>
      </c>
      <c r="AI9" s="69">
        <f>PBM!AI14</f>
        <v>277.7</v>
      </c>
      <c r="AJ9" s="69">
        <f>PBM!AJ14</f>
        <v>274.39999999999998</v>
      </c>
      <c r="AK9" s="69">
        <f>PBM!AK14</f>
        <v>271</v>
      </c>
      <c r="AL9" s="69">
        <f>PBM!AL14</f>
        <v>298.2</v>
      </c>
      <c r="AM9" s="68">
        <f>SUM(AI9:AL9)</f>
        <v>1121.3</v>
      </c>
      <c r="AN9" s="69">
        <f>PBM!AN14</f>
        <v>335.4</v>
      </c>
      <c r="AO9" s="69">
        <f>PBM!AO14</f>
        <v>315.60000000000002</v>
      </c>
      <c r="AP9" s="69">
        <f>PBM!AP14</f>
        <v>305.5</v>
      </c>
      <c r="AQ9" s="69">
        <f>PBM!AQ14</f>
        <v>350.8</v>
      </c>
      <c r="AR9" s="68">
        <f>SUM(AN9:AQ9)</f>
        <v>1307.3</v>
      </c>
      <c r="AS9" s="69">
        <f>PBM!AS14</f>
        <v>338.7</v>
      </c>
      <c r="AT9" s="69">
        <f>PBM!AT14</f>
        <v>323.5</v>
      </c>
      <c r="AU9" s="69">
        <f>PBM!AU14</f>
        <v>537.6</v>
      </c>
      <c r="AV9" s="69">
        <f>PBM!AV14</f>
        <v>665.8</v>
      </c>
      <c r="AW9" s="70">
        <v>1865.6</v>
      </c>
      <c r="AX9" s="69">
        <f>PBM!AX14</f>
        <v>692.5</v>
      </c>
      <c r="AY9" s="69">
        <f>PBM!AY14</f>
        <v>689.9</v>
      </c>
      <c r="AZ9" s="69">
        <f>PBM!AZ14</f>
        <v>750.6</v>
      </c>
      <c r="BA9" s="69">
        <f>PBM!BA14</f>
        <v>823.2</v>
      </c>
      <c r="BB9" s="70">
        <v>2956.7</v>
      </c>
      <c r="BC9" s="69">
        <f>PBM!BC55</f>
        <v>848.4</v>
      </c>
      <c r="BD9" s="69">
        <f>PBM!BD55</f>
        <v>823.9</v>
      </c>
      <c r="BE9" s="69">
        <f>PBM!BE55</f>
        <v>892.2</v>
      </c>
      <c r="BF9" s="69">
        <f>PBM!BF55</f>
        <v>971.3</v>
      </c>
      <c r="BG9" s="68">
        <f>SUM(BC9:BF9)</f>
        <v>3535.8</v>
      </c>
      <c r="BH9" s="69">
        <f>PBM!BH55</f>
        <v>1945.4</v>
      </c>
      <c r="BI9" s="69">
        <f>PBM!BI55</f>
        <v>9453.6</v>
      </c>
      <c r="BJ9" s="69">
        <f>PBM!BJ55</f>
        <v>9536.1</v>
      </c>
      <c r="BK9" s="69">
        <f>PBM!BK55</f>
        <v>10303.899999999998</v>
      </c>
      <c r="BL9" s="70">
        <v>34938.400000000001</v>
      </c>
      <c r="BM9" s="69">
        <f>PBM!BM55</f>
        <v>9480.4</v>
      </c>
      <c r="BN9" s="69">
        <f>PBM!BN55</f>
        <v>9369.5000000000018</v>
      </c>
      <c r="BO9" s="69">
        <f>PBM!BO55</f>
        <v>9321.3999999999978</v>
      </c>
      <c r="BP9" s="69">
        <f>PBM!BP55</f>
        <v>10310.700000000001</v>
      </c>
      <c r="BQ9" s="68">
        <f>SUM(BM9:BP9)</f>
        <v>38482</v>
      </c>
      <c r="BR9" s="69">
        <f>PBM!BR55</f>
        <v>9897.0000000000018</v>
      </c>
      <c r="BS9" s="69">
        <f>PBM!BS55</f>
        <v>11073.899999999998</v>
      </c>
      <c r="BT9" s="69">
        <f>PBM!BT55</f>
        <v>11036.500000000002</v>
      </c>
      <c r="BU9" s="69">
        <f>PBM!BU55</f>
        <v>11367</v>
      </c>
      <c r="BV9" s="68">
        <f>SUM(BR9:BU9)</f>
        <v>43374.400000000001</v>
      </c>
      <c r="BW9" s="69">
        <f>PBM!BW55</f>
        <v>9782</v>
      </c>
      <c r="BX9" s="69">
        <f>PBM!BX55</f>
        <v>9696</v>
      </c>
      <c r="BY9" s="69">
        <f>PBM!BY55</f>
        <v>9716</v>
      </c>
      <c r="BZ9" s="69">
        <f>PBM!BZ55</f>
        <v>9874</v>
      </c>
      <c r="CA9" s="68">
        <f>SUM(BW9:BZ9)</f>
        <v>39068</v>
      </c>
      <c r="CB9" s="69">
        <f>PBM!CB55</f>
        <v>11293</v>
      </c>
      <c r="CC9" s="69">
        <f>PBM!CC55</f>
        <v>11803</v>
      </c>
      <c r="CD9" s="69">
        <f>PBM!CD55</f>
        <v>11981</v>
      </c>
      <c r="CE9" s="69">
        <f>PBM!CE55</f>
        <v>12824.3</v>
      </c>
      <c r="CF9" s="68">
        <f>SUM(CB9:CE9)</f>
        <v>47901.3</v>
      </c>
      <c r="CG9" s="69">
        <f>PBM!CG55</f>
        <v>14774</v>
      </c>
      <c r="CH9" s="69">
        <f>PBM!CH55</f>
        <v>14868.400000000001</v>
      </c>
      <c r="CI9" s="69">
        <f>PBM!CI55</f>
        <v>14723.399999999998</v>
      </c>
      <c r="CJ9" s="69">
        <f>PBM!CJ55</f>
        <v>15114</v>
      </c>
      <c r="CK9" s="68">
        <f>SUM(CG9:CJ9)</f>
        <v>59479.8</v>
      </c>
      <c r="CL9" s="69">
        <f>PBM!CL55</f>
        <v>14712</v>
      </c>
      <c r="CM9" s="69">
        <f>PBM!CM55</f>
        <v>15108.8</v>
      </c>
      <c r="CN9" s="69">
        <f>PBM!CN55</f>
        <v>15684.100000000002</v>
      </c>
      <c r="CO9" s="69">
        <f>PBM!CO55</f>
        <v>15637.9</v>
      </c>
      <c r="CP9" s="68">
        <f>SUM(CL9:CO9)</f>
        <v>61142.8</v>
      </c>
      <c r="CQ9" s="69">
        <f>PBM!CQ55</f>
        <v>16209.099999999999</v>
      </c>
      <c r="CR9" s="69">
        <f>PBM!CR14+PBM!CR40</f>
        <v>17731.200000000004</v>
      </c>
      <c r="CS9" s="69">
        <f>PBM!CS55</f>
        <v>18271.599999999999</v>
      </c>
      <c r="CT9" s="69">
        <f>PBM!CT55</f>
        <v>19357.300000000003</v>
      </c>
      <c r="CU9" s="68">
        <f>SUM(CQ9:CT9)</f>
        <v>71569.200000000012</v>
      </c>
      <c r="CV9" s="69">
        <f>PBM!CV55</f>
        <v>19380.800000000003</v>
      </c>
      <c r="CW9" s="69">
        <f>PBM!CW55</f>
        <v>19926.8</v>
      </c>
      <c r="CX9" s="69">
        <f>PBM!CX55</f>
        <v>20731.865561990002</v>
      </c>
      <c r="CY9" s="69">
        <f>PBM!CY55</f>
        <v>21242.93617506</v>
      </c>
      <c r="CZ9" s="68">
        <f>SUM(CV9:CY9)</f>
        <v>81282.401737050008</v>
      </c>
      <c r="DA9" s="69">
        <f>PBM!DA55</f>
        <v>23103</v>
      </c>
      <c r="DB9" s="69">
        <f>PBM!DB55</f>
        <v>23726.6</v>
      </c>
      <c r="DC9" s="69">
        <f>PBM!DC55</f>
        <v>24472.3</v>
      </c>
      <c r="DD9" s="69">
        <f>PBM!DD55</f>
        <v>25123.8</v>
      </c>
      <c r="DE9" s="68">
        <f>SUM(DA9:DD9)</f>
        <v>96425.7</v>
      </c>
      <c r="DF9" s="69">
        <f>PBM!DF55</f>
        <v>25173.1</v>
      </c>
      <c r="DG9" s="69">
        <f>PBM!DG55</f>
        <v>26130.718834959152</v>
      </c>
      <c r="DH9" s="69">
        <f>PBM!DH55</f>
        <v>26587.967342737858</v>
      </c>
      <c r="DI9" s="69">
        <f>PBM!DI55</f>
        <v>27475.699447350002</v>
      </c>
      <c r="DJ9" s="2588">
        <f>SUM(DF9:DI9)</f>
        <v>105367.485625047</v>
      </c>
      <c r="DK9" s="69">
        <f ca="1">PBM!DK55</f>
        <v>25424.207141213454</v>
      </c>
      <c r="DL9" s="69">
        <f ca="1">PBM!DL55</f>
        <v>27548.32383514996</v>
      </c>
      <c r="DM9" s="69">
        <f ca="1">PBM!DM55</f>
        <v>27625.473019839294</v>
      </c>
      <c r="DN9" s="69">
        <f ca="1">PBM!DN55</f>
        <v>28121.024693911786</v>
      </c>
      <c r="DO9" s="2588">
        <f ca="1">SUM(DK9:DN9)</f>
        <v>108719.0286901145</v>
      </c>
      <c r="DP9" s="69">
        <f ca="1">PBM!DP55</f>
        <v>27549.087802241356</v>
      </c>
      <c r="DQ9" s="69">
        <f ca="1">PBM!DQ55</f>
        <v>29815.844727686712</v>
      </c>
      <c r="DR9" s="69">
        <f ca="1">PBM!DR55</f>
        <v>29867.531601186765</v>
      </c>
      <c r="DS9" s="69">
        <f ca="1">PBM!DS55</f>
        <v>30365.739614544105</v>
      </c>
      <c r="DT9" s="2588">
        <f ca="1">SUM(DP9:DS9)</f>
        <v>117598.20374565893</v>
      </c>
      <c r="DU9" s="69">
        <f ca="1">PBM!DU55</f>
        <v>28792.697387358523</v>
      </c>
      <c r="DV9" s="69">
        <f ca="1">PBM!DV55</f>
        <v>31107.08295361566</v>
      </c>
      <c r="DW9" s="69">
        <f ca="1">PBM!DW55</f>
        <v>31122.276557739569</v>
      </c>
      <c r="DX9" s="69">
        <f ca="1">PBM!DX55</f>
        <v>31597.500486792695</v>
      </c>
      <c r="DY9" s="2588">
        <f ca="1">SUM(DU9:DX9)</f>
        <v>122619.55738550644</v>
      </c>
      <c r="DZ9" s="64"/>
      <c r="EI9" s="2517"/>
    </row>
    <row r="10" spans="1:140" x14ac:dyDescent="0.2">
      <c r="A10" s="71"/>
      <c r="B10" s="72" t="s">
        <v>171</v>
      </c>
      <c r="E10">
        <v>2765.5070000000001</v>
      </c>
      <c r="F10">
        <v>2674.7</v>
      </c>
      <c r="G10">
        <v>2853.2890000000002</v>
      </c>
      <c r="H10">
        <v>3324.9389999999999</v>
      </c>
      <c r="I10" s="74">
        <v>11831.6</v>
      </c>
      <c r="J10">
        <f>J8+J9+PBM!J40</f>
        <v>3397.848</v>
      </c>
      <c r="K10">
        <f>K8+K9+PBM!K40</f>
        <v>3406.7539999999999</v>
      </c>
      <c r="L10">
        <f>L8+L9+PBM!L40</f>
        <v>3328.665</v>
      </c>
      <c r="M10">
        <f>M8+M9+PBM!M40</f>
        <v>3616.36</v>
      </c>
      <c r="N10" s="76">
        <f>N8+N9+PBM!N40</f>
        <v>13749.627</v>
      </c>
      <c r="O10">
        <f>O8+O9+PBM!O40</f>
        <v>3601.5000000000005</v>
      </c>
      <c r="P10">
        <f>P8+P9+PBM!P40</f>
        <v>3755.9</v>
      </c>
      <c r="Q10">
        <f>Q8+Q9+PBM!Q40</f>
        <v>3725.1</v>
      </c>
      <c r="R10">
        <f>R8+R9+PBM!R40</f>
        <v>4191.1000000000004</v>
      </c>
      <c r="S10" s="76">
        <f>S8+S9+PBM!S40</f>
        <v>15273.600000000002</v>
      </c>
      <c r="T10">
        <f>T8+T9+PBM!T40</f>
        <v>4240.9000000000005</v>
      </c>
      <c r="U10">
        <f>U8+U9+PBM!U40</f>
        <v>4362.4000000000005</v>
      </c>
      <c r="V10">
        <f>V8+V9+PBM!V40</f>
        <v>4311.8</v>
      </c>
      <c r="W10">
        <f>W8+W9+PBM!W40</f>
        <v>5183.2</v>
      </c>
      <c r="X10" s="76">
        <f>X8+X9+PBM!X40</f>
        <v>18098.3</v>
      </c>
      <c r="Y10">
        <f>Y8+Y9+PBM!Y40</f>
        <v>4739.4999999999991</v>
      </c>
      <c r="Z10">
        <f>Z8+Z9+PBM!Z40</f>
        <v>4942.8</v>
      </c>
      <c r="AA10">
        <f>AA8+AA9+PBM!AA40</f>
        <v>4916.4000000000005</v>
      </c>
      <c r="AB10">
        <f>AB8+AB9+PBM!AB40</f>
        <v>5488.7999999999993</v>
      </c>
      <c r="AC10" s="76">
        <f>AC8+AC9+PBM!AC40</f>
        <v>20087.5</v>
      </c>
      <c r="AD10">
        <f>AD8+AD9+PBM!AD40</f>
        <v>5385.9000000000005</v>
      </c>
      <c r="AE10">
        <f>AE8+AE9+PBM!AE40</f>
        <v>5494.2</v>
      </c>
      <c r="AF10">
        <f>AF8+AF9+PBM!AF40</f>
        <v>5410.8</v>
      </c>
      <c r="AG10">
        <f>AG8+AG9+PBM!AG40</f>
        <v>5950.5</v>
      </c>
      <c r="AH10" s="76">
        <f>AH8+AH9+PBM!AH40</f>
        <v>22241.4</v>
      </c>
      <c r="AI10">
        <f>AI8+AI9+PBM!AI40</f>
        <v>5970.7</v>
      </c>
      <c r="AJ10">
        <f>AJ8+AJ9+PBM!AJ40</f>
        <v>5989.5</v>
      </c>
      <c r="AK10">
        <f>AK8+AK9+PBM!AK40</f>
        <v>5876.4</v>
      </c>
      <c r="AL10">
        <f>AL8+AL9+PBM!AL40</f>
        <v>6344.9</v>
      </c>
      <c r="AM10" s="76">
        <f>AM8+AM9+PBM!AM40</f>
        <v>24181.5</v>
      </c>
      <c r="AN10">
        <f>AN8+AN9+PBM!AN40</f>
        <v>6312.7999999999993</v>
      </c>
      <c r="AO10">
        <f>AO8+AO9+PBM!AO40</f>
        <v>6444.9000000000005</v>
      </c>
      <c r="AP10">
        <f>AP8+AP9+PBM!AP40</f>
        <v>6378.1</v>
      </c>
      <c r="AQ10">
        <f>AQ8+AQ9+PBM!AQ40</f>
        <v>7452.2</v>
      </c>
      <c r="AR10" s="76">
        <f>AR8+AR9+PBM!AR40</f>
        <v>26588.000000000004</v>
      </c>
      <c r="AS10">
        <f>AS8+AS9+PBM!AS40</f>
        <v>6818.5999999999995</v>
      </c>
      <c r="AT10">
        <f>AT8+AT9+PBM!AT40</f>
        <v>6943.1</v>
      </c>
      <c r="AU10">
        <f>AU8+AU9+PBM!AU40</f>
        <v>7909.4000000000005</v>
      </c>
      <c r="AV10">
        <f>AV8+AV9+PBM!AV40</f>
        <v>8923.1999999999989</v>
      </c>
      <c r="AW10" s="76">
        <f>AW8+AW9+PBM!AW40</f>
        <v>30594.3</v>
      </c>
      <c r="AX10">
        <f>AX8+AX9+PBM!AX40</f>
        <v>9182.2000000000007</v>
      </c>
      <c r="AY10">
        <f>AY8+AY9+PBM!AY40</f>
        <v>9121.6</v>
      </c>
      <c r="AZ10">
        <f>AZ8+AZ9+PBM!AZ40</f>
        <v>8970.4</v>
      </c>
      <c r="BA10">
        <f>BA8+BA9+PBM!BA40</f>
        <v>9732</v>
      </c>
      <c r="BB10" s="76">
        <f>BB8+BB9+PBM!BB40</f>
        <v>37006.700000000004</v>
      </c>
      <c r="BC10">
        <f>SUM(BC8:BC9)</f>
        <v>9979.9</v>
      </c>
      <c r="BD10">
        <f>SUM(BD8:BD9)</f>
        <v>10564.4</v>
      </c>
      <c r="BE10">
        <f>SUM(BE8:BE9)</f>
        <v>11208.800000000001</v>
      </c>
      <c r="BF10">
        <f>SUM(BF8:BF9)</f>
        <v>12068.3</v>
      </c>
      <c r="BG10" s="76">
        <f>BG8+BG9+PBM!BG40</f>
        <v>43665.9</v>
      </c>
      <c r="BH10">
        <f>SUM(BH8:BH9)</f>
        <v>13184.6</v>
      </c>
      <c r="BI10">
        <f>SUM(BI8:BI9)</f>
        <v>20703.300000000003</v>
      </c>
      <c r="BJ10">
        <f>SUM(BJ8:BJ9)</f>
        <v>20495.2</v>
      </c>
      <c r="BK10">
        <f>SUM(BK8:BK9)</f>
        <v>21942.399999999998</v>
      </c>
      <c r="BL10" s="76">
        <f>BL8+BL9+PBM!BL40</f>
        <v>76329.5</v>
      </c>
      <c r="BM10">
        <f>SUM(BM8:BM9)</f>
        <v>21326</v>
      </c>
      <c r="BN10">
        <f>SUM(BN8:BN9)</f>
        <v>21140.300000000003</v>
      </c>
      <c r="BO10">
        <f>SUM(BO8:BO9)</f>
        <v>20863.399999999998</v>
      </c>
      <c r="BP10">
        <f>SUM(BP8:BP9)</f>
        <v>24142.2</v>
      </c>
      <c r="BQ10" s="76">
        <f>BQ8+BQ9</f>
        <v>87471.9</v>
      </c>
      <c r="BR10">
        <f>SUM(BR8:BR9)</f>
        <v>23393.9</v>
      </c>
      <c r="BS10">
        <f>SUM(BS8:BS9)</f>
        <v>24871.1</v>
      </c>
      <c r="BT10">
        <f>SUM(BT8:BT9)</f>
        <v>24641.9</v>
      </c>
      <c r="BU10">
        <f>SUM(BU8:BU9)</f>
        <v>25822</v>
      </c>
      <c r="BV10" s="76">
        <f>BV8+BV9</f>
        <v>98728.9</v>
      </c>
      <c r="BW10">
        <f>SUM(BW8:BW9)</f>
        <v>23760</v>
      </c>
      <c r="BX10">
        <f>SUM(BX8:BX9)</f>
        <v>24007</v>
      </c>
      <c r="BY10">
        <f>SUM(BY8:BY9)</f>
        <v>23875</v>
      </c>
      <c r="BZ10">
        <f>SUM(BZ8:BZ9)</f>
        <v>24771</v>
      </c>
      <c r="CA10" s="76">
        <f>CA8+CA9</f>
        <v>96413</v>
      </c>
      <c r="CB10">
        <f>SUM(CB8:CB9)</f>
        <v>25880</v>
      </c>
      <c r="CC10">
        <f>SUM(CC8:CC9)</f>
        <v>26629</v>
      </c>
      <c r="CD10">
        <f>SUM(CD8:CD9)</f>
        <v>26674</v>
      </c>
      <c r="CE10">
        <f>SUM(CE8:CE9)</f>
        <v>28317</v>
      </c>
      <c r="CF10" s="76">
        <f>CF8+CF9</f>
        <v>107500</v>
      </c>
      <c r="CG10">
        <f>SUM(CG8:CG9)</f>
        <v>30798</v>
      </c>
      <c r="CH10">
        <f>SUM(CH8:CH9)</f>
        <v>30714.400000000001</v>
      </c>
      <c r="CI10">
        <f>SUM(CI8:CI9)</f>
        <v>30227.299999999996</v>
      </c>
      <c r="CJ10">
        <f>SUM(CJ8:CJ9)</f>
        <v>31394</v>
      </c>
      <c r="CK10" s="76">
        <f>CK8+CK9</f>
        <v>123133.70000000001</v>
      </c>
      <c r="CL10">
        <f>SUM(CL8:CL9)</f>
        <v>30763</v>
      </c>
      <c r="CM10">
        <f>SUM(CM8:CM9)</f>
        <v>31248.3</v>
      </c>
      <c r="CN10">
        <f>SUM(CN8:CN9)</f>
        <v>31968.100000000002</v>
      </c>
      <c r="CO10">
        <f>SUM(CO8:CO9)</f>
        <v>32829.9</v>
      </c>
      <c r="CP10" s="76">
        <f>CP8+CP9</f>
        <v>126809.3</v>
      </c>
      <c r="CQ10">
        <f>SUM(CQ8:CQ9)</f>
        <v>32688.899999999998</v>
      </c>
      <c r="CR10">
        <f>SUM(CR8:CR9)</f>
        <v>34601.200000000004</v>
      </c>
      <c r="CS10">
        <f>SUM(CS8:CS9)</f>
        <v>35021.1</v>
      </c>
      <c r="CT10">
        <f>SUM(CT8:CT9)</f>
        <v>37055.300000000003</v>
      </c>
      <c r="CU10" s="76">
        <f>CU8+CU9</f>
        <v>139366.5</v>
      </c>
      <c r="CV10">
        <f>SUM(CV8:CV9)</f>
        <v>36331.600000000006</v>
      </c>
      <c r="CW10">
        <f>SUM(CW8:CW9)</f>
        <v>37168.899999999994</v>
      </c>
      <c r="CX10">
        <f>SUM(CX8:CX9)</f>
        <v>38643.58947875</v>
      </c>
      <c r="CY10" s="2575">
        <f>SUM(CY8:CY9)</f>
        <v>41145.604727860002</v>
      </c>
      <c r="CZ10" s="76">
        <f>CZ8+CZ9</f>
        <v>153289.69420661</v>
      </c>
      <c r="DA10" s="550">
        <f>SUM(DA8:DA9)</f>
        <v>43215</v>
      </c>
      <c r="DB10" s="550">
        <f>SUM(DB8:DB9)</f>
        <v>43725.3</v>
      </c>
      <c r="DC10" s="550">
        <f>SUM(DC8:DC9)</f>
        <v>44615</v>
      </c>
      <c r="DD10" s="550">
        <f>SUM(DD8:DD9)</f>
        <v>45971.199999999997</v>
      </c>
      <c r="DE10" s="2626">
        <f>DE8+DE9</f>
        <v>177526.5</v>
      </c>
      <c r="DF10" s="550">
        <f>SUM(DF8:DF9)</f>
        <v>44513.599999999999</v>
      </c>
      <c r="DG10" s="550">
        <f>SUM(DG8:DG9)</f>
        <v>45685.118834959154</v>
      </c>
      <c r="DH10" s="550">
        <f>SUM(DH8:DH9)</f>
        <v>46181.411038307859</v>
      </c>
      <c r="DI10" s="550">
        <f>SUM(DI8:DI9)</f>
        <v>48385.149395870001</v>
      </c>
      <c r="DJ10" s="2588">
        <f>DJ8+DJ9</f>
        <v>184765.27926913701</v>
      </c>
      <c r="DK10" s="2559">
        <f ca="1">SUM(DK8:DK9)</f>
        <v>45852.697135326714</v>
      </c>
      <c r="DL10" s="2559">
        <f ca="1">SUM(DL8:DL9)</f>
        <v>48151.423849995117</v>
      </c>
      <c r="DM10" s="2559">
        <f ca="1">SUM(DM8:DM9)</f>
        <v>47788.252976601012</v>
      </c>
      <c r="DN10" s="2559">
        <f ca="1">SUM(DN8:DN9)</f>
        <v>49080.751604253717</v>
      </c>
      <c r="DO10" s="2588">
        <f ca="1">DO8+DO9</f>
        <v>190873.12556617655</v>
      </c>
      <c r="DP10" s="2649">
        <f ca="1">SUM(DP8:DP9)</f>
        <v>48560.625676543343</v>
      </c>
      <c r="DQ10" s="2649">
        <f ca="1">SUM(DQ8:DQ9)</f>
        <v>50989.431427635209</v>
      </c>
      <c r="DR10" s="2649">
        <f ca="1">SUM(DR8:DR9)</f>
        <v>50578.195130827269</v>
      </c>
      <c r="DS10" s="2649">
        <f ca="1">SUM(DS8:DS9)</f>
        <v>51855.713492473937</v>
      </c>
      <c r="DT10" s="2588">
        <f ca="1">DT8+DT9</f>
        <v>201983.96572747978</v>
      </c>
      <c r="DU10" s="2771">
        <f ca="1">SUM(DU8:DU9)</f>
        <v>50341.474986567002</v>
      </c>
      <c r="DV10" s="2771">
        <f ca="1">SUM(DV8:DV9)</f>
        <v>52800.533411649449</v>
      </c>
      <c r="DW10" s="2771">
        <f ca="1">SUM(DW8:DW9)</f>
        <v>52328.531586043297</v>
      </c>
      <c r="DX10" s="2771">
        <f ca="1">SUM(DX8:DX9)</f>
        <v>53561.333501376088</v>
      </c>
      <c r="DY10" s="2588">
        <f ca="1">DY8+DY9</f>
        <v>209031.87348563582</v>
      </c>
      <c r="DZ10" s="77"/>
    </row>
    <row r="11" spans="1:140" x14ac:dyDescent="0.2">
      <c r="A11" s="78"/>
      <c r="B11" s="58" t="s">
        <v>172</v>
      </c>
      <c r="E11">
        <v>1969.4449999999999</v>
      </c>
      <c r="F11">
        <v>1919.7</v>
      </c>
      <c r="G11">
        <v>2067.54</v>
      </c>
      <c r="H11">
        <v>2420.0320000000002</v>
      </c>
      <c r="I11" s="61">
        <f>SUM(E11:H11)</f>
        <v>8376.7170000000006</v>
      </c>
      <c r="J11">
        <v>2429.9720000000002</v>
      </c>
      <c r="K11">
        <v>2458.7739999999999</v>
      </c>
      <c r="L11">
        <v>2423.0549999999998</v>
      </c>
      <c r="M11">
        <v>2644.5419999999999</v>
      </c>
      <c r="N11" s="61">
        <f>SUM(J11:M11)</f>
        <v>9956.3429999999989</v>
      </c>
      <c r="O11">
        <v>2594.598</v>
      </c>
      <c r="P11">
        <v>2735.4319999999998</v>
      </c>
      <c r="Q11">
        <v>2729.8</v>
      </c>
      <c r="R11">
        <v>3084.6</v>
      </c>
      <c r="S11" s="63">
        <v>11144.4</v>
      </c>
      <c r="T11">
        <v>3071.1</v>
      </c>
      <c r="U11">
        <v>3172</v>
      </c>
      <c r="V11">
        <v>3170.7</v>
      </c>
      <c r="W11">
        <v>3823.1</v>
      </c>
      <c r="X11" s="61">
        <f>SUM(T11:W11)</f>
        <v>13236.9</v>
      </c>
      <c r="Y11">
        <v>3439.5</v>
      </c>
      <c r="Z11">
        <v>3607</v>
      </c>
      <c r="AA11">
        <v>3619</v>
      </c>
      <c r="AB11">
        <v>4060.3</v>
      </c>
      <c r="AC11" s="61">
        <f>SUM(Y11:AB11)</f>
        <v>14725.8</v>
      </c>
      <c r="AD11">
        <v>3932.5</v>
      </c>
      <c r="AE11">
        <v>4035.8</v>
      </c>
      <c r="AF11">
        <v>4039</v>
      </c>
      <c r="AG11">
        <v>4543.1000000000004</v>
      </c>
      <c r="AH11" s="61">
        <f>SUM(AD11:AG11)</f>
        <v>16550.400000000001</v>
      </c>
      <c r="AI11">
        <v>4477</v>
      </c>
      <c r="AJ11">
        <v>4508.3999999999996</v>
      </c>
      <c r="AK11">
        <v>4395.1000000000004</v>
      </c>
      <c r="AL11">
        <v>4732.2</v>
      </c>
      <c r="AM11" s="61">
        <f>SUM(AI11:AL11)</f>
        <v>18112.7</v>
      </c>
      <c r="AN11">
        <v>4707.3</v>
      </c>
      <c r="AO11">
        <v>4811.1000000000004</v>
      </c>
      <c r="AP11">
        <v>4719.5</v>
      </c>
      <c r="AQ11">
        <v>5487.1</v>
      </c>
      <c r="AR11" s="61">
        <f>SUM(AN11:AQ11)</f>
        <v>19725</v>
      </c>
      <c r="AS11">
        <v>5046.8999999999996</v>
      </c>
      <c r="AT11">
        <v>5116.6000000000004</v>
      </c>
      <c r="AU11">
        <v>5838.6</v>
      </c>
      <c r="AV11">
        <v>6561</v>
      </c>
      <c r="AW11" s="61">
        <f>SUM(AS11:AV11)</f>
        <v>22563.1</v>
      </c>
      <c r="AX11">
        <v>6801.4</v>
      </c>
      <c r="AY11">
        <v>6704.2</v>
      </c>
      <c r="AZ11">
        <v>6569.4</v>
      </c>
      <c r="BA11">
        <v>7030</v>
      </c>
      <c r="BB11" s="63">
        <v>27312.1</v>
      </c>
      <c r="BC11">
        <v>7330.2</v>
      </c>
      <c r="BD11">
        <v>7717</v>
      </c>
      <c r="BE11">
        <v>8126.6</v>
      </c>
      <c r="BF11">
        <v>8701</v>
      </c>
      <c r="BG11" s="63">
        <v>32079.200000000001</v>
      </c>
      <c r="BH11">
        <v>9835.5</v>
      </c>
      <c r="BI11">
        <v>16544.8</v>
      </c>
      <c r="BJ11">
        <v>16300</v>
      </c>
      <c r="BK11">
        <v>17491.599999999999</v>
      </c>
      <c r="BL11" s="63">
        <v>60221.8</v>
      </c>
      <c r="BM11">
        <v>17033</v>
      </c>
      <c r="BN11">
        <v>16767.099999999999</v>
      </c>
      <c r="BO11">
        <v>16462.8</v>
      </c>
      <c r="BP11">
        <v>18918.599999999999</v>
      </c>
      <c r="BQ11" s="63">
        <v>69181.5</v>
      </c>
      <c r="BR11">
        <v>18645.900000000001</v>
      </c>
      <c r="BS11">
        <v>19818.900000000001</v>
      </c>
      <c r="BT11">
        <v>19630.2</v>
      </c>
      <c r="BU11">
        <v>20253.599999999999</v>
      </c>
      <c r="BV11" s="61">
        <f>SUM(BR11:BU11)</f>
        <v>78348.600000000006</v>
      </c>
      <c r="BW11">
        <v>19014</v>
      </c>
      <c r="BX11">
        <v>18987</v>
      </c>
      <c r="BY11">
        <v>18851</v>
      </c>
      <c r="BZ11">
        <v>19304</v>
      </c>
      <c r="CA11" s="61">
        <f>SUM(BW11:BZ11)</f>
        <v>76156</v>
      </c>
      <c r="CB11">
        <v>21129</v>
      </c>
      <c r="CC11">
        <v>21534</v>
      </c>
      <c r="CD11">
        <v>21496</v>
      </c>
      <c r="CE11">
        <v>22761.599999999999</v>
      </c>
      <c r="CF11" s="61">
        <f>SUM(CB11:CE11)</f>
        <v>86920.6</v>
      </c>
      <c r="CG11">
        <v>25685</v>
      </c>
      <c r="CH11">
        <v>25265.200000000001</v>
      </c>
      <c r="CI11">
        <v>24580.254999999997</v>
      </c>
      <c r="CJ11">
        <v>25097</v>
      </c>
      <c r="CK11" s="61">
        <f>SUM(CG11:CJ11)</f>
        <v>100627.45499999999</v>
      </c>
      <c r="CL11">
        <v>25181</v>
      </c>
      <c r="CM11">
        <v>25412</v>
      </c>
      <c r="CN11">
        <v>25932.7</v>
      </c>
      <c r="CO11">
        <v>26492</v>
      </c>
      <c r="CP11" s="61">
        <f>SUM(CL11:CO11)</f>
        <v>103017.7</v>
      </c>
      <c r="CQ11">
        <v>26746.5</v>
      </c>
      <c r="CR11">
        <v>28278.2</v>
      </c>
      <c r="CS11">
        <v>28553.55</v>
      </c>
      <c r="CT11">
        <v>30421.5</v>
      </c>
      <c r="CU11" s="61">
        <f>SUM(CQ11:CT11)</f>
        <v>113999.75</v>
      </c>
      <c r="CV11">
        <v>30167.7</v>
      </c>
      <c r="CW11">
        <v>30766.6</v>
      </c>
      <c r="CX11">
        <v>31982.778964543773</v>
      </c>
      <c r="CY11" s="2575">
        <v>33844.800000000003</v>
      </c>
      <c r="CZ11" s="61">
        <f>SUM(CV11:CY11)</f>
        <v>126761.87896454378</v>
      </c>
      <c r="DA11" s="2585">
        <v>36466.9</v>
      </c>
      <c r="DB11" s="2614">
        <v>36703.800000000003</v>
      </c>
      <c r="DC11" s="2631">
        <v>37117.800000000003</v>
      </c>
      <c r="DD11" s="2649">
        <v>38335.599999999999</v>
      </c>
      <c r="DE11" s="2624">
        <f>SUM(DA11:DD11)</f>
        <v>148624.1</v>
      </c>
      <c r="DF11" s="2844">
        <v>37933</v>
      </c>
      <c r="DG11" s="2844">
        <v>38745</v>
      </c>
      <c r="DH11" s="2844">
        <v>39052.758027810545</v>
      </c>
      <c r="DI11" s="2844">
        <v>40485.928587071015</v>
      </c>
      <c r="DJ11" s="2624">
        <f>SUM(DF11:DI11)</f>
        <v>156216.68661488156</v>
      </c>
      <c r="DK11" s="1867">
        <f ca="1">DK10-DK12</f>
        <v>39142.182768945589</v>
      </c>
      <c r="DL11" s="1867">
        <f ca="1">DL10-DL12</f>
        <v>41133.474407669601</v>
      </c>
      <c r="DM11" s="1867">
        <f ca="1">DM10-DM12</f>
        <v>40621.282161645286</v>
      </c>
      <c r="DN11" s="1867">
        <f ca="1">DN10-DN12</f>
        <v>41410.803566531213</v>
      </c>
      <c r="DO11" s="2624">
        <f ca="1">SUM(DK11:DN11)</f>
        <v>162307.7429047917</v>
      </c>
      <c r="DP11" s="1867">
        <f ca="1">DP10-DP12</f>
        <v>41698.436987863184</v>
      </c>
      <c r="DQ11" s="1867">
        <f ca="1">DQ10-DQ12</f>
        <v>43833.839975136107</v>
      </c>
      <c r="DR11" s="1867">
        <f ca="1">DR10-DR12</f>
        <v>43261.856125159065</v>
      </c>
      <c r="DS11" s="1867">
        <f ca="1">DS10-DS12</f>
        <v>44031.173568358587</v>
      </c>
      <c r="DT11" s="2624">
        <f ca="1">SUM(DP11:DS11)</f>
        <v>172825.30665651694</v>
      </c>
      <c r="DU11" s="1867">
        <f ca="1">DU10-DU12</f>
        <v>43337.286316991987</v>
      </c>
      <c r="DV11" s="1867">
        <f ca="1">DV10-DV12</f>
        <v>45484.449055739155</v>
      </c>
      <c r="DW11" s="1867">
        <f ca="1">DW10-DW12</f>
        <v>44838.197944930216</v>
      </c>
      <c r="DX11" s="1867">
        <f ca="1">DX10-DX12</f>
        <v>45558.17187533206</v>
      </c>
      <c r="DY11" s="2624">
        <f ca="1">SUM(DU11:DX11)</f>
        <v>179218.10519299342</v>
      </c>
      <c r="DZ11" s="78"/>
    </row>
    <row r="12" spans="1:140" x14ac:dyDescent="0.2">
      <c r="A12" s="80"/>
      <c r="B12" s="81" t="s">
        <v>173</v>
      </c>
      <c r="C12" s="82"/>
      <c r="D12" s="82"/>
      <c r="E12" s="83">
        <f t="shared" ref="E12:AJ12" si="0">E10-E11</f>
        <v>796.06200000000013</v>
      </c>
      <c r="F12" s="83">
        <f t="shared" si="0"/>
        <v>754.99999999999977</v>
      </c>
      <c r="G12" s="83">
        <f t="shared" si="0"/>
        <v>785.74900000000025</v>
      </c>
      <c r="H12" s="83">
        <f t="shared" si="0"/>
        <v>904.9069999999997</v>
      </c>
      <c r="I12" s="84">
        <f t="shared" si="0"/>
        <v>3454.8829999999998</v>
      </c>
      <c r="J12" s="83">
        <f t="shared" si="0"/>
        <v>967.87599999999975</v>
      </c>
      <c r="K12" s="83">
        <f t="shared" si="0"/>
        <v>947.98</v>
      </c>
      <c r="L12" s="83">
        <f t="shared" si="0"/>
        <v>905.61000000000013</v>
      </c>
      <c r="M12" s="83">
        <f t="shared" si="0"/>
        <v>971.81800000000021</v>
      </c>
      <c r="N12" s="84">
        <f t="shared" si="0"/>
        <v>3793.2840000000015</v>
      </c>
      <c r="O12" s="83">
        <f t="shared" si="0"/>
        <v>1006.9020000000005</v>
      </c>
      <c r="P12" s="83">
        <f t="shared" si="0"/>
        <v>1020.4680000000003</v>
      </c>
      <c r="Q12" s="83">
        <f t="shared" si="0"/>
        <v>995.29999999999973</v>
      </c>
      <c r="R12" s="83">
        <f t="shared" si="0"/>
        <v>1106.5000000000005</v>
      </c>
      <c r="S12" s="84">
        <f t="shared" si="0"/>
        <v>4129.2000000000025</v>
      </c>
      <c r="T12" s="83">
        <f t="shared" si="0"/>
        <v>1169.8000000000006</v>
      </c>
      <c r="U12" s="83">
        <f t="shared" si="0"/>
        <v>1190.4000000000005</v>
      </c>
      <c r="V12" s="83">
        <f t="shared" si="0"/>
        <v>1141.1000000000004</v>
      </c>
      <c r="W12" s="83">
        <f t="shared" si="0"/>
        <v>1360.1</v>
      </c>
      <c r="X12" s="84">
        <f t="shared" si="0"/>
        <v>4861.3999999999996</v>
      </c>
      <c r="Y12" s="83">
        <f t="shared" si="0"/>
        <v>1299.9999999999991</v>
      </c>
      <c r="Z12" s="83">
        <f t="shared" si="0"/>
        <v>1335.8000000000002</v>
      </c>
      <c r="AA12" s="83">
        <f t="shared" si="0"/>
        <v>1297.4000000000005</v>
      </c>
      <c r="AB12" s="83">
        <f t="shared" si="0"/>
        <v>1428.4999999999991</v>
      </c>
      <c r="AC12" s="84">
        <f t="shared" si="0"/>
        <v>5361.7000000000007</v>
      </c>
      <c r="AD12" s="83">
        <f t="shared" si="0"/>
        <v>1453.4000000000005</v>
      </c>
      <c r="AE12" s="83">
        <f t="shared" si="0"/>
        <v>1458.3999999999996</v>
      </c>
      <c r="AF12" s="83">
        <f t="shared" si="0"/>
        <v>1371.8000000000002</v>
      </c>
      <c r="AG12" s="83">
        <f t="shared" si="0"/>
        <v>1407.3999999999996</v>
      </c>
      <c r="AH12" s="84">
        <f t="shared" si="0"/>
        <v>5691</v>
      </c>
      <c r="AI12" s="83">
        <f t="shared" si="0"/>
        <v>1493.6999999999998</v>
      </c>
      <c r="AJ12" s="83">
        <f t="shared" si="0"/>
        <v>1481.1000000000004</v>
      </c>
      <c r="AK12" s="83">
        <f t="shared" ref="AK12:BP12" si="1">AK10-AK11</f>
        <v>1481.2999999999993</v>
      </c>
      <c r="AL12" s="83">
        <f t="shared" si="1"/>
        <v>1612.6999999999998</v>
      </c>
      <c r="AM12" s="84">
        <f t="shared" si="1"/>
        <v>6068.7999999999993</v>
      </c>
      <c r="AN12" s="83">
        <f t="shared" si="1"/>
        <v>1605.4999999999991</v>
      </c>
      <c r="AO12" s="83">
        <f t="shared" si="1"/>
        <v>1633.8000000000002</v>
      </c>
      <c r="AP12" s="83">
        <f t="shared" si="1"/>
        <v>1658.6000000000004</v>
      </c>
      <c r="AQ12" s="83">
        <f t="shared" si="1"/>
        <v>1965.0999999999995</v>
      </c>
      <c r="AR12" s="84">
        <f t="shared" si="1"/>
        <v>6863.0000000000036</v>
      </c>
      <c r="AS12" s="83">
        <f t="shared" si="1"/>
        <v>1771.6999999999998</v>
      </c>
      <c r="AT12" s="83">
        <f t="shared" si="1"/>
        <v>1826.5</v>
      </c>
      <c r="AU12" s="83">
        <f t="shared" si="1"/>
        <v>2070.8000000000002</v>
      </c>
      <c r="AV12" s="83">
        <f t="shared" si="1"/>
        <v>2362.1999999999989</v>
      </c>
      <c r="AW12" s="84">
        <f t="shared" si="1"/>
        <v>8031.2000000000007</v>
      </c>
      <c r="AX12" s="83">
        <f t="shared" si="1"/>
        <v>2380.8000000000011</v>
      </c>
      <c r="AY12" s="83">
        <f t="shared" si="1"/>
        <v>2417.4000000000005</v>
      </c>
      <c r="AZ12" s="83">
        <f t="shared" si="1"/>
        <v>2401</v>
      </c>
      <c r="BA12" s="83">
        <f t="shared" si="1"/>
        <v>2702</v>
      </c>
      <c r="BB12" s="84">
        <f t="shared" si="1"/>
        <v>9694.6000000000058</v>
      </c>
      <c r="BC12" s="83">
        <f t="shared" si="1"/>
        <v>2649.7</v>
      </c>
      <c r="BD12" s="83">
        <f t="shared" si="1"/>
        <v>2847.3999999999996</v>
      </c>
      <c r="BE12" s="83">
        <f t="shared" si="1"/>
        <v>3082.2000000000007</v>
      </c>
      <c r="BF12" s="83">
        <f t="shared" si="1"/>
        <v>3367.2999999999993</v>
      </c>
      <c r="BG12" s="84">
        <f t="shared" si="1"/>
        <v>11586.7</v>
      </c>
      <c r="BH12" s="83">
        <f t="shared" si="1"/>
        <v>3349.1000000000004</v>
      </c>
      <c r="BI12" s="83">
        <f t="shared" si="1"/>
        <v>4158.5000000000036</v>
      </c>
      <c r="BJ12" s="83">
        <f t="shared" si="1"/>
        <v>4195.2000000000007</v>
      </c>
      <c r="BK12" s="83">
        <f t="shared" si="1"/>
        <v>4450.7999999999993</v>
      </c>
      <c r="BL12" s="84">
        <f t="shared" si="1"/>
        <v>16107.699999999997</v>
      </c>
      <c r="BM12" s="83">
        <f t="shared" si="1"/>
        <v>4293</v>
      </c>
      <c r="BN12" s="83">
        <f t="shared" si="1"/>
        <v>4373.2000000000044</v>
      </c>
      <c r="BO12" s="83">
        <f t="shared" si="1"/>
        <v>4400.5999999999985</v>
      </c>
      <c r="BP12" s="83">
        <f t="shared" si="1"/>
        <v>5223.6000000000022</v>
      </c>
      <c r="BQ12" s="84">
        <f t="shared" ref="BQ12:CT12" si="2">BQ10-BQ11</f>
        <v>18290.399999999994</v>
      </c>
      <c r="BR12" s="83">
        <f t="shared" si="2"/>
        <v>4748</v>
      </c>
      <c r="BS12" s="83">
        <f t="shared" si="2"/>
        <v>5052.1999999999971</v>
      </c>
      <c r="BT12" s="83">
        <f t="shared" si="2"/>
        <v>5011.7000000000007</v>
      </c>
      <c r="BU12" s="83">
        <f t="shared" si="2"/>
        <v>5568.4000000000015</v>
      </c>
      <c r="BV12" s="84">
        <f t="shared" si="2"/>
        <v>20380.299999999988</v>
      </c>
      <c r="BW12" s="83">
        <f t="shared" si="2"/>
        <v>4746</v>
      </c>
      <c r="BX12" s="83">
        <f t="shared" si="2"/>
        <v>5020</v>
      </c>
      <c r="BY12" s="83">
        <f t="shared" si="2"/>
        <v>5024</v>
      </c>
      <c r="BZ12" s="83">
        <f t="shared" si="2"/>
        <v>5467</v>
      </c>
      <c r="CA12" s="84">
        <f t="shared" si="2"/>
        <v>20257</v>
      </c>
      <c r="CB12" s="83">
        <f t="shared" si="2"/>
        <v>4751</v>
      </c>
      <c r="CC12" s="83">
        <f t="shared" si="2"/>
        <v>5095</v>
      </c>
      <c r="CD12" s="83">
        <f t="shared" si="2"/>
        <v>5178</v>
      </c>
      <c r="CE12" s="83">
        <f t="shared" si="2"/>
        <v>5555.4000000000015</v>
      </c>
      <c r="CF12" s="84">
        <f t="shared" si="2"/>
        <v>20579.399999999994</v>
      </c>
      <c r="CG12" s="83">
        <f t="shared" si="2"/>
        <v>5113</v>
      </c>
      <c r="CH12" s="83">
        <f t="shared" si="2"/>
        <v>5449.2000000000007</v>
      </c>
      <c r="CI12" s="83">
        <f t="shared" si="2"/>
        <v>5647.0449999999983</v>
      </c>
      <c r="CJ12" s="83">
        <f t="shared" si="2"/>
        <v>6297</v>
      </c>
      <c r="CK12" s="84">
        <f>CK10-CK11</f>
        <v>22506.245000000024</v>
      </c>
      <c r="CL12" s="83">
        <f t="shared" si="2"/>
        <v>5582</v>
      </c>
      <c r="CM12" s="83">
        <f t="shared" si="2"/>
        <v>5836.2999999999993</v>
      </c>
      <c r="CN12" s="83">
        <f t="shared" si="2"/>
        <v>6035.4000000000015</v>
      </c>
      <c r="CO12" s="83">
        <f t="shared" si="2"/>
        <v>6337.9000000000015</v>
      </c>
      <c r="CP12" s="84">
        <f>CP10-CP11</f>
        <v>23791.600000000006</v>
      </c>
      <c r="CQ12" s="83">
        <f t="shared" si="2"/>
        <v>5942.3999999999978</v>
      </c>
      <c r="CR12" s="83">
        <f t="shared" si="2"/>
        <v>6323.0000000000036</v>
      </c>
      <c r="CS12" s="83">
        <f t="shared" si="2"/>
        <v>6467.5499999999993</v>
      </c>
      <c r="CT12" s="83">
        <f t="shared" si="2"/>
        <v>6633.8000000000029</v>
      </c>
      <c r="CU12" s="84">
        <f>CU10-CU11</f>
        <v>25366.75</v>
      </c>
      <c r="CV12" s="83">
        <f>CV10-CV11</f>
        <v>6163.9000000000051</v>
      </c>
      <c r="CW12" s="83">
        <f>CW10-CW11</f>
        <v>6402.2999999999956</v>
      </c>
      <c r="CX12" s="83">
        <f>CX10-CX11</f>
        <v>6660.8105142062268</v>
      </c>
      <c r="CY12" s="83">
        <f>CY10-CY11</f>
        <v>7300.8047278599988</v>
      </c>
      <c r="CZ12" s="84">
        <f>SUM(CV12:CY12)</f>
        <v>26527.815242066226</v>
      </c>
      <c r="DA12" s="83">
        <f>DA10-DA11</f>
        <v>6748.0999999999985</v>
      </c>
      <c r="DB12" s="83">
        <f>DB10-DB11</f>
        <v>7021.5</v>
      </c>
      <c r="DC12" s="83">
        <f>DC10-DC11</f>
        <v>7497.1999999999971</v>
      </c>
      <c r="DD12" s="83">
        <f>DD10-DD11</f>
        <v>7635.5999999999985</v>
      </c>
      <c r="DE12" s="84">
        <f>SUM(DA12:DD12)</f>
        <v>28902.399999999994</v>
      </c>
      <c r="DF12" s="83">
        <f>DF10-DF11</f>
        <v>6580.5999999999985</v>
      </c>
      <c r="DG12" s="83">
        <f>DG10-DG11</f>
        <v>6940.1188349591539</v>
      </c>
      <c r="DH12" s="83">
        <f>DH10-DH11</f>
        <v>7128.6530104973135</v>
      </c>
      <c r="DI12" s="83">
        <f>DI10-DI11</f>
        <v>7899.2208087989857</v>
      </c>
      <c r="DJ12" s="84">
        <f>SUM(DF12:DI12)</f>
        <v>28548.592654255452</v>
      </c>
      <c r="DK12" s="83">
        <f ca="1">Retail!DK21+PBM!DK60</f>
        <v>6710.5143663811223</v>
      </c>
      <c r="DL12" s="83">
        <f ca="1">Retail!DL21+PBM!DL60</f>
        <v>7017.9494423255164</v>
      </c>
      <c r="DM12" s="83">
        <f ca="1">Retail!DM21+PBM!DM60</f>
        <v>7166.97081495573</v>
      </c>
      <c r="DN12" s="83">
        <f ca="1">Retail!DN21+PBM!DN60</f>
        <v>7669.9480377225045</v>
      </c>
      <c r="DO12" s="84">
        <f ca="1">SUM(DK12:DN12)</f>
        <v>28565.382661384872</v>
      </c>
      <c r="DP12" s="83">
        <f ca="1">Retail!DP21+PBM!DP60</f>
        <v>6862.1886886801567</v>
      </c>
      <c r="DQ12" s="83">
        <f ca="1">Retail!DQ21+PBM!DQ60</f>
        <v>7155.591452499104</v>
      </c>
      <c r="DR12" s="83">
        <f ca="1">Retail!DR21+PBM!DR60</f>
        <v>7316.339005668201</v>
      </c>
      <c r="DS12" s="83">
        <f ca="1">Retail!DS21+PBM!DS60</f>
        <v>7824.5399241153482</v>
      </c>
      <c r="DT12" s="84">
        <f ca="1">SUM(DP12:DS12)</f>
        <v>29158.659070962807</v>
      </c>
      <c r="DU12" s="83">
        <f ca="1">Retail!DU21+PBM!DU60</f>
        <v>7004.1886695750172</v>
      </c>
      <c r="DV12" s="83">
        <f ca="1">Retail!DV21+PBM!DV60</f>
        <v>7316.0843559102941</v>
      </c>
      <c r="DW12" s="83">
        <f ca="1">Retail!DW21+PBM!DW60</f>
        <v>7490.3336411130831</v>
      </c>
      <c r="DX12" s="83">
        <f ca="1">Retail!DX21+PBM!DX60</f>
        <v>8003.1616260440251</v>
      </c>
      <c r="DY12" s="84">
        <f ca="1">SUM(DU12:DX12)</f>
        <v>29813.76829264242</v>
      </c>
      <c r="DZ12" s="80"/>
    </row>
    <row r="13" spans="1:140" x14ac:dyDescent="0.2">
      <c r="A13" s="78"/>
      <c r="B13" s="58" t="s">
        <v>174</v>
      </c>
      <c r="E13">
        <v>588.5</v>
      </c>
      <c r="F13">
        <v>553.6</v>
      </c>
      <c r="G13">
        <v>629.26800000000003</v>
      </c>
      <c r="H13">
        <v>677.27300000000002</v>
      </c>
      <c r="I13" s="61">
        <f>SUM(E13:H13)</f>
        <v>2448.6410000000001</v>
      </c>
      <c r="J13">
        <v>703.25800000000004</v>
      </c>
      <c r="K13">
        <v>693.70399999999995</v>
      </c>
      <c r="L13">
        <v>688.70600000000002</v>
      </c>
      <c r="M13">
        <v>690.44399999999996</v>
      </c>
      <c r="N13" s="61">
        <f>SUM(J13:M13)</f>
        <v>2776.1120000000001</v>
      </c>
      <c r="O13">
        <v>704.178</v>
      </c>
      <c r="P13">
        <v>726.37800000000004</v>
      </c>
      <c r="Q13">
        <v>742.9</v>
      </c>
      <c r="R13">
        <v>775.5</v>
      </c>
      <c r="S13" s="61">
        <f>SUM(O13:R13)</f>
        <v>2948.9560000000001</v>
      </c>
      <c r="T13">
        <v>808.2</v>
      </c>
      <c r="U13">
        <v>831.5</v>
      </c>
      <c r="V13">
        <v>851.3</v>
      </c>
      <c r="W13">
        <v>957</v>
      </c>
      <c r="X13" s="61">
        <f>SUM(T13:W13)</f>
        <v>3448</v>
      </c>
      <c r="Y13">
        <v>893.3</v>
      </c>
      <c r="Z13">
        <v>928.5</v>
      </c>
      <c r="AA13">
        <f>937.7+19.2</f>
        <v>956.90000000000009</v>
      </c>
      <c r="AB13">
        <v>982.9</v>
      </c>
      <c r="AC13" s="61">
        <f>SUM(Y13:AB13)</f>
        <v>3761.6</v>
      </c>
      <c r="AD13">
        <v>993.4</v>
      </c>
      <c r="AE13">
        <v>1036.2</v>
      </c>
      <c r="AF13">
        <v>1070.9000000000001</v>
      </c>
      <c r="AG13">
        <f>1155.6+343</f>
        <v>1498.6</v>
      </c>
      <c r="AH13" s="61">
        <f>SUM(AD13:AG13)</f>
        <v>4599.1000000000004</v>
      </c>
      <c r="AI13">
        <v>1122.2</v>
      </c>
      <c r="AJ13">
        <v>1104</v>
      </c>
      <c r="AK13">
        <v>1127.7</v>
      </c>
      <c r="AL13">
        <v>1198.4000000000001</v>
      </c>
      <c r="AM13" s="61">
        <f>SUM(AI13:AL13)</f>
        <v>4552.2999999999993</v>
      </c>
      <c r="AN13">
        <v>1191.5999999999999</v>
      </c>
      <c r="AO13">
        <v>1211.4000000000001</v>
      </c>
      <c r="AP13">
        <v>1256.0999999999999</v>
      </c>
      <c r="AQ13">
        <v>1438.6</v>
      </c>
      <c r="AR13" s="61">
        <f>SUM(AN13:AQ13)</f>
        <v>5097.7</v>
      </c>
      <c r="AS13">
        <v>1272.7</v>
      </c>
      <c r="AT13">
        <v>1343.2</v>
      </c>
      <c r="AU13">
        <v>1636.2</v>
      </c>
      <c r="AV13">
        <v>1827.6</v>
      </c>
      <c r="AW13" s="61">
        <f>SUM(AS13:AV13)</f>
        <v>6079.7000000000007</v>
      </c>
      <c r="AX13">
        <v>1743.1</v>
      </c>
      <c r="AY13">
        <v>1792.1</v>
      </c>
      <c r="AZ13">
        <v>1814.4</v>
      </c>
      <c r="BA13">
        <v>1943</v>
      </c>
      <c r="BB13" s="63">
        <v>7675.1</v>
      </c>
      <c r="BC13">
        <v>1933.1</v>
      </c>
      <c r="BD13">
        <v>2066.3000000000002</v>
      </c>
      <c r="BE13">
        <v>2350.1</v>
      </c>
      <c r="BF13">
        <v>2414.6</v>
      </c>
      <c r="BG13" s="63">
        <v>9300.6</v>
      </c>
      <c r="BH13">
        <v>2403.9</v>
      </c>
      <c r="BI13">
        <v>2848.7</v>
      </c>
      <c r="BJ13">
        <v>2924.1</v>
      </c>
      <c r="BK13">
        <v>2974.9</v>
      </c>
      <c r="BL13" s="63">
        <v>11314.4</v>
      </c>
      <c r="BM13">
        <v>2922.9</v>
      </c>
      <c r="BN13">
        <v>2895.1</v>
      </c>
      <c r="BO13">
        <v>2934.4</v>
      </c>
      <c r="BP13">
        <v>3491.8</v>
      </c>
      <c r="BQ13" s="63">
        <v>12244.2</v>
      </c>
      <c r="BR13">
        <v>3370.8</v>
      </c>
      <c r="BS13">
        <v>3452.4</v>
      </c>
      <c r="BT13">
        <v>3445.8</v>
      </c>
      <c r="BU13">
        <v>3673</v>
      </c>
      <c r="BV13" s="63">
        <v>13942</v>
      </c>
      <c r="BW13">
        <v>3336</v>
      </c>
      <c r="BX13">
        <v>3519</v>
      </c>
      <c r="BY13">
        <v>3540</v>
      </c>
      <c r="BZ13">
        <v>3697</v>
      </c>
      <c r="CA13" s="61">
        <f>CA14+CA16</f>
        <v>14092</v>
      </c>
      <c r="CB13">
        <v>3440</v>
      </c>
      <c r="CC13">
        <v>3605</v>
      </c>
      <c r="CD13">
        <v>3594</v>
      </c>
      <c r="CE13">
        <v>3598.3</v>
      </c>
      <c r="CF13" s="61">
        <f>SUM(CB13:CE13)</f>
        <v>14237.3</v>
      </c>
      <c r="CG13">
        <v>3709</v>
      </c>
      <c r="CH13">
        <v>3741.5</v>
      </c>
      <c r="CI13">
        <v>3833.27</v>
      </c>
      <c r="CJ13">
        <v>3995</v>
      </c>
      <c r="CK13" s="61">
        <f>CK14+CK16</f>
        <v>15278.77</v>
      </c>
      <c r="CL13">
        <v>3883</v>
      </c>
      <c r="CM13">
        <v>3868</v>
      </c>
      <c r="CN13">
        <v>3944.8</v>
      </c>
      <c r="CO13">
        <v>4121.5</v>
      </c>
      <c r="CP13" s="61">
        <f>CP14+CP16</f>
        <v>15817.300000000003</v>
      </c>
      <c r="CQ13">
        <v>3917.7</v>
      </c>
      <c r="CR13">
        <v>4115.8999999999996</v>
      </c>
      <c r="CS13">
        <v>4221.75</v>
      </c>
      <c r="CT13">
        <v>4312.8999999999996</v>
      </c>
      <c r="CU13" s="61">
        <f>CU14+CU16</f>
        <v>16568.25</v>
      </c>
      <c r="CV13">
        <v>4031.8</v>
      </c>
      <c r="CW13">
        <v>4140.2</v>
      </c>
      <c r="CX13">
        <v>4203.18</v>
      </c>
      <c r="CY13" s="2575">
        <v>4409.5</v>
      </c>
      <c r="CZ13" s="61">
        <f>CZ14+CZ16</f>
        <v>16784.68</v>
      </c>
      <c r="DA13" s="2585">
        <v>4508.2</v>
      </c>
      <c r="DB13" s="2614">
        <v>4591.1000000000004</v>
      </c>
      <c r="DC13" s="2631">
        <v>4614.8999999999996</v>
      </c>
      <c r="DD13" s="2649">
        <v>4610.6000000000004</v>
      </c>
      <c r="DE13" s="2624">
        <f>DE14+DE16</f>
        <v>18324.8</v>
      </c>
      <c r="DF13" s="2683">
        <v>4574.3</v>
      </c>
      <c r="DG13" s="2705">
        <v>4672</v>
      </c>
      <c r="DH13" s="2735">
        <v>4617.6704930573151</v>
      </c>
      <c r="DI13" s="2795">
        <v>4698.325788578969</v>
      </c>
      <c r="DJ13" s="2624">
        <f t="shared" ref="DJ13:DO13" si="3">DJ14+DJ16</f>
        <v>18562.296281636285</v>
      </c>
      <c r="DK13" s="1867">
        <f t="shared" ca="1" si="3"/>
        <v>4626.1400168215778</v>
      </c>
      <c r="DL13" s="1867">
        <f t="shared" ca="1" si="3"/>
        <v>4654.7032388703501</v>
      </c>
      <c r="DM13" s="1867">
        <f t="shared" ca="1" si="3"/>
        <v>4647.4940508521722</v>
      </c>
      <c r="DN13" s="1867">
        <f t="shared" ca="1" si="3"/>
        <v>4684.930391734556</v>
      </c>
      <c r="DO13" s="2624">
        <f t="shared" ca="1" si="3"/>
        <v>18613.267698278658</v>
      </c>
      <c r="DP13" s="1867">
        <f t="shared" ref="DP13:DY13" ca="1" si="4">DP14+DP16</f>
        <v>4692.3491390550607</v>
      </c>
      <c r="DQ13" s="1867">
        <f t="shared" ca="1" si="4"/>
        <v>4728.8355528976081</v>
      </c>
      <c r="DR13" s="1867">
        <f t="shared" ca="1" si="4"/>
        <v>4729.1609203009639</v>
      </c>
      <c r="DS13" s="1867">
        <f t="shared" ca="1" si="4"/>
        <v>4750.1385026287899</v>
      </c>
      <c r="DT13" s="2624">
        <f t="shared" ca="1" si="4"/>
        <v>18900.484114882423</v>
      </c>
      <c r="DU13" s="1867">
        <f t="shared" ca="1" si="4"/>
        <v>4745.3556003179756</v>
      </c>
      <c r="DV13" s="1867">
        <f t="shared" ca="1" si="4"/>
        <v>4782.5249986163863</v>
      </c>
      <c r="DW13" s="1867">
        <f t="shared" ca="1" si="4"/>
        <v>4782.6115135688233</v>
      </c>
      <c r="DX13" s="1867">
        <f t="shared" ca="1" si="4"/>
        <v>4803.4273095552144</v>
      </c>
      <c r="DY13" s="2624">
        <f t="shared" ca="1" si="4"/>
        <v>19113.919422058396</v>
      </c>
      <c r="DZ13" s="85"/>
    </row>
    <row r="14" spans="1:140" hidden="1" outlineLevel="1" x14ac:dyDescent="0.2">
      <c r="A14" s="57"/>
      <c r="B14" s="58" t="s">
        <v>175</v>
      </c>
      <c r="I14" s="86"/>
      <c r="J14" s="1867">
        <f>J13-J16</f>
        <v>645.58800000000008</v>
      </c>
      <c r="K14" s="1867">
        <f>K13-K16</f>
        <v>634.99099999999999</v>
      </c>
      <c r="L14" s="1867">
        <f>L13-L16</f>
        <v>625.20100000000002</v>
      </c>
      <c r="M14" s="1867">
        <f>M13-M16</f>
        <v>632.14699999999993</v>
      </c>
      <c r="N14" s="86"/>
      <c r="O14" s="1867">
        <f>O13-O16</f>
        <v>640.31899999999996</v>
      </c>
      <c r="P14" s="1867">
        <f>P13-P16</f>
        <v>665.17000000000007</v>
      </c>
      <c r="Q14" s="1867">
        <f>Q13-Q16</f>
        <v>682.19999999999993</v>
      </c>
      <c r="R14" s="1867">
        <f>R13-R16</f>
        <v>711.5</v>
      </c>
      <c r="S14" s="86"/>
      <c r="T14" s="1867">
        <f>T13-T16</f>
        <v>740.2</v>
      </c>
      <c r="U14" s="1867">
        <f>U13-U16</f>
        <v>762.8</v>
      </c>
      <c r="V14" s="1867">
        <f>V13-V16</f>
        <v>781.19999999999993</v>
      </c>
      <c r="W14" s="1867">
        <f>W13-W16</f>
        <v>885.9</v>
      </c>
      <c r="X14" s="86"/>
      <c r="Y14" s="1867">
        <f>Y13-Y16</f>
        <v>821.5</v>
      </c>
      <c r="Z14" s="1867">
        <f>Z13-Z16</f>
        <v>855.1</v>
      </c>
      <c r="AA14" s="1867">
        <f>AA13-AA16</f>
        <v>881.89300000000003</v>
      </c>
      <c r="AB14" s="1867">
        <f>AB13-AB16</f>
        <v>906.5</v>
      </c>
      <c r="AC14" s="86"/>
      <c r="AD14" s="1867">
        <f>AD13-AD16</f>
        <v>914.8</v>
      </c>
      <c r="AE14" s="1867">
        <f>AE13-AE16</f>
        <v>956</v>
      </c>
      <c r="AF14" s="1867">
        <f>AF13-AF16</f>
        <v>990.2</v>
      </c>
      <c r="AG14" s="1867">
        <f>AG13-AG16</f>
        <v>1417.3</v>
      </c>
      <c r="AH14" s="86"/>
      <c r="AI14" s="1867">
        <f>AI13-AI16</f>
        <v>1047.2</v>
      </c>
      <c r="AJ14" s="1867">
        <f>AJ13-AJ16</f>
        <v>1025.2</v>
      </c>
      <c r="AK14" s="1867">
        <f>AK13-AK16</f>
        <v>1050.6000000000001</v>
      </c>
      <c r="AL14" s="1867">
        <f>AL13-AL16</f>
        <v>1119</v>
      </c>
      <c r="AM14" s="86"/>
      <c r="AN14" s="1867">
        <f>AN13-AN16</f>
        <v>1109</v>
      </c>
      <c r="AO14" s="1867">
        <f>AO13-AO16</f>
        <v>1126</v>
      </c>
      <c r="AP14" s="1867">
        <f>AP13-AP16</f>
        <v>1170.3</v>
      </c>
      <c r="AQ14" s="1867">
        <f>AQ13-AQ16</f>
        <v>1350.6999999999998</v>
      </c>
      <c r="AR14" s="86"/>
      <c r="AS14" s="1867">
        <f>AS13-AS16</f>
        <v>1179.3</v>
      </c>
      <c r="AT14" s="1867">
        <f>AT13-AT16</f>
        <v>1247.1000000000001</v>
      </c>
      <c r="AU14" s="1867">
        <f>AU13-AU16</f>
        <v>1517.6000000000001</v>
      </c>
      <c r="AV14" s="1867">
        <f>AV13-AV16</f>
        <v>1638.8999999999999</v>
      </c>
      <c r="AW14" s="61">
        <f>AW13</f>
        <v>6079.7000000000007</v>
      </c>
      <c r="AX14" s="1867">
        <f t="shared" ref="AX14:BU14" si="5">AX13-AX16</f>
        <v>1605.1999999999998</v>
      </c>
      <c r="AY14" s="1867">
        <f t="shared" si="5"/>
        <v>1644.5</v>
      </c>
      <c r="AZ14" s="1867">
        <f t="shared" si="5"/>
        <v>1666.7</v>
      </c>
      <c r="BA14" s="1867">
        <f t="shared" si="5"/>
        <v>1787.1</v>
      </c>
      <c r="BB14" s="61">
        <f t="shared" si="5"/>
        <v>7086</v>
      </c>
      <c r="BC14" s="1867">
        <f t="shared" si="5"/>
        <v>1777.6999999999998</v>
      </c>
      <c r="BD14" s="1867">
        <f t="shared" si="5"/>
        <v>1883.2000000000003</v>
      </c>
      <c r="BE14" s="1867">
        <f t="shared" si="5"/>
        <v>2156.6999999999998</v>
      </c>
      <c r="BF14" s="1867">
        <f t="shared" si="5"/>
        <v>2213.1999999999998</v>
      </c>
      <c r="BG14" s="61">
        <f t="shared" si="5"/>
        <v>8567.3000000000011</v>
      </c>
      <c r="BH14" s="1867">
        <f t="shared" si="5"/>
        <v>2195.1</v>
      </c>
      <c r="BI14" s="1867">
        <f t="shared" si="5"/>
        <v>2540.6999999999998</v>
      </c>
      <c r="BJ14" s="1867">
        <f t="shared" si="5"/>
        <v>2622.4</v>
      </c>
      <c r="BK14" s="1867">
        <f t="shared" si="5"/>
        <v>2698.8</v>
      </c>
      <c r="BL14" s="61">
        <f t="shared" si="5"/>
        <v>10219.799999999999</v>
      </c>
      <c r="BM14" s="1867">
        <f t="shared" si="5"/>
        <v>2623.6</v>
      </c>
      <c r="BN14" s="1867">
        <f t="shared" si="5"/>
        <v>2585.1</v>
      </c>
      <c r="BO14" s="1867">
        <f t="shared" si="5"/>
        <v>2623.5</v>
      </c>
      <c r="BP14" s="1867">
        <f t="shared" si="5"/>
        <v>3137.8</v>
      </c>
      <c r="BQ14" s="61">
        <f t="shared" si="5"/>
        <v>10970</v>
      </c>
      <c r="BR14" s="1867">
        <f t="shared" si="5"/>
        <v>3016.9</v>
      </c>
      <c r="BS14" s="1867">
        <f t="shared" si="5"/>
        <v>3070.1</v>
      </c>
      <c r="BT14" s="1867">
        <f t="shared" si="5"/>
        <v>3145.5</v>
      </c>
      <c r="BU14" s="1867">
        <f t="shared" si="5"/>
        <v>3320.5</v>
      </c>
      <c r="BV14" s="61">
        <f>SUM(BR14:BU14)</f>
        <v>12553</v>
      </c>
      <c r="BW14" s="1867">
        <f>BW13-BW16</f>
        <v>2978</v>
      </c>
      <c r="BX14" s="1867">
        <f>BX13-BX16</f>
        <v>3151</v>
      </c>
      <c r="BY14" s="1867">
        <f>BY13-BY16</f>
        <v>3170</v>
      </c>
      <c r="BZ14" s="1867">
        <f>BZ13-BZ16</f>
        <v>3324</v>
      </c>
      <c r="CA14" s="61">
        <f>SUM(BW14:BZ14)</f>
        <v>12623</v>
      </c>
      <c r="CB14" s="1867">
        <f>CB13-CB16</f>
        <v>3066</v>
      </c>
      <c r="CC14" s="1867">
        <f>CC13-CC16</f>
        <v>3214</v>
      </c>
      <c r="CD14" s="1867">
        <f>CD13-CD16</f>
        <v>3187</v>
      </c>
      <c r="CE14" s="1867">
        <f>CE13-CE16</f>
        <v>3202.6000000000004</v>
      </c>
      <c r="CF14" s="61">
        <f>SUM(CB14:CE14)</f>
        <v>12669.6</v>
      </c>
      <c r="CG14" s="1867">
        <f>CG13-CG16</f>
        <v>3286</v>
      </c>
      <c r="CH14" s="1867">
        <f>CH13-CH16</f>
        <v>3310.5</v>
      </c>
      <c r="CI14" s="1867">
        <f>CI13-CI16</f>
        <v>3390.97</v>
      </c>
      <c r="CJ14" s="1867">
        <f>CJ13-CJ16</f>
        <v>3538.3</v>
      </c>
      <c r="CK14" s="61">
        <f>SUM(CG14:CJ14)</f>
        <v>13525.77</v>
      </c>
      <c r="CL14" s="1867">
        <f>CL13-CL16</f>
        <v>3381</v>
      </c>
      <c r="CM14" s="1867">
        <f>CM13-CM16</f>
        <v>3418.6</v>
      </c>
      <c r="CN14" s="1867">
        <f>CN13-CN16</f>
        <v>3484.3</v>
      </c>
      <c r="CO14" s="1867">
        <f>CO13-CO16</f>
        <v>3663.7</v>
      </c>
      <c r="CP14" s="61">
        <f>SUM(CL14:CO14)</f>
        <v>13947.600000000002</v>
      </c>
      <c r="CQ14" s="1867">
        <f>CQ13-CQ16</f>
        <v>3440.2999999999997</v>
      </c>
      <c r="CR14" s="1867">
        <f>CR13-CR16</f>
        <v>3628.2</v>
      </c>
      <c r="CS14" s="1867">
        <f>CS13-CS16</f>
        <v>3744.65</v>
      </c>
      <c r="CT14" s="1867">
        <f>CT13-CT16</f>
        <v>3824.2</v>
      </c>
      <c r="CU14" s="61">
        <f>SUM(CQ14:CT14)</f>
        <v>14637.349999999999</v>
      </c>
      <c r="CV14" s="1867">
        <f>CV13-CV16</f>
        <v>3541.4</v>
      </c>
      <c r="CW14" s="1867">
        <f>CW13-CW16</f>
        <v>3652.7999999999997</v>
      </c>
      <c r="CX14" s="1867">
        <f>CX13-CX16</f>
        <v>3670.5404964690565</v>
      </c>
      <c r="CY14" s="1867">
        <f>CY13-CY16</f>
        <v>3838.9</v>
      </c>
      <c r="CZ14" s="61">
        <f>SUM(CV14:CY14)</f>
        <v>14703.640496469056</v>
      </c>
      <c r="DA14" s="1867">
        <f>DA13-DA16</f>
        <v>3898.7999999999997</v>
      </c>
      <c r="DB14" s="1867">
        <f>DB13-DB16</f>
        <v>3979.4000000000005</v>
      </c>
      <c r="DC14" s="1867">
        <f>DC13-DC16</f>
        <v>4010.5999999999995</v>
      </c>
      <c r="DD14" s="1867">
        <f>DD13-DD16</f>
        <v>3990.5000000000005</v>
      </c>
      <c r="DE14" s="2624">
        <f>SUM(DA14:DD14)</f>
        <v>15879.3</v>
      </c>
      <c r="DF14" s="1867">
        <f>DF13-DF16</f>
        <v>3954.7000000000003</v>
      </c>
      <c r="DG14" s="1867">
        <f>DG13-DG16</f>
        <v>4049.5</v>
      </c>
      <c r="DH14" s="1867">
        <f>DH13-DH16</f>
        <v>4003.4091466673149</v>
      </c>
      <c r="DI14" s="1867">
        <f>DI13-DI16</f>
        <v>4075.8639214589689</v>
      </c>
      <c r="DJ14" s="2624">
        <f>SUM(DF14:DI14)</f>
        <v>16083.473068126284</v>
      </c>
      <c r="DK14" s="1867">
        <f ca="1">DK115</f>
        <v>3985.1621352215775</v>
      </c>
      <c r="DL14" s="1867">
        <f ca="1">DL115</f>
        <v>4022.9233572703497</v>
      </c>
      <c r="DM14" s="1867">
        <f ca="1">DM115</f>
        <v>4022.3921692521726</v>
      </c>
      <c r="DN14" s="1867">
        <f ca="1">DN115</f>
        <v>4043.9525101345562</v>
      </c>
      <c r="DO14" s="2624">
        <f ca="1">SUM(DK14:DN14)</f>
        <v>16074.430171878656</v>
      </c>
      <c r="DP14" s="1867">
        <f ca="1">DP115</f>
        <v>4053.4823454550606</v>
      </c>
      <c r="DQ14" s="1867">
        <f ca="1">DQ115</f>
        <v>4092.7855312976085</v>
      </c>
      <c r="DR14" s="1867">
        <f ca="1">DR115</f>
        <v>4091.7411947009641</v>
      </c>
      <c r="DS14" s="1867">
        <f ca="1">DS115</f>
        <v>4112.7718650287898</v>
      </c>
      <c r="DT14" s="2624">
        <f ca="1">SUM(DP14:DS14)</f>
        <v>16350.780936482422</v>
      </c>
      <c r="DU14" s="1867">
        <f ca="1">DU115</f>
        <v>4109.4355650219759</v>
      </c>
      <c r="DV14" s="1867">
        <f ca="1">DV115</f>
        <v>4149.0580212003861</v>
      </c>
      <c r="DW14" s="1867">
        <f ca="1">DW115</f>
        <v>4147.6319416008237</v>
      </c>
      <c r="DX14" s="1867">
        <f ca="1">DX115</f>
        <v>4167.7115933392142</v>
      </c>
      <c r="DY14" s="2624">
        <f ca="1">SUM(DU14:DX14)</f>
        <v>16573.837121162396</v>
      </c>
      <c r="DZ14" s="57"/>
    </row>
    <row r="15" spans="1:140" collapsed="1" x14ac:dyDescent="0.2">
      <c r="A15" s="87"/>
      <c r="B15" s="88" t="s">
        <v>176</v>
      </c>
      <c r="E15">
        <f t="shared" ref="E15:AJ15" si="6">E17+E16</f>
        <v>207.56200000000013</v>
      </c>
      <c r="F15">
        <f t="shared" si="6"/>
        <v>201.39999999999975</v>
      </c>
      <c r="G15">
        <f t="shared" si="6"/>
        <v>156.48100000000022</v>
      </c>
      <c r="H15">
        <f t="shared" si="6"/>
        <v>227.63399999999967</v>
      </c>
      <c r="I15" s="89">
        <f t="shared" si="6"/>
        <v>1006.2419999999997</v>
      </c>
      <c r="J15">
        <f t="shared" si="6"/>
        <v>264.61799999999971</v>
      </c>
      <c r="K15">
        <f t="shared" si="6"/>
        <v>254.27600000000007</v>
      </c>
      <c r="L15">
        <f t="shared" si="6"/>
        <v>216.90400000000011</v>
      </c>
      <c r="M15">
        <f t="shared" si="6"/>
        <v>281.37400000000025</v>
      </c>
      <c r="N15" s="89">
        <f t="shared" si="6"/>
        <v>1017.1720000000014</v>
      </c>
      <c r="O15">
        <f t="shared" si="6"/>
        <v>302.7240000000005</v>
      </c>
      <c r="P15">
        <f t="shared" si="6"/>
        <v>294.09000000000026</v>
      </c>
      <c r="Q15">
        <f t="shared" si="6"/>
        <v>252.39999999999975</v>
      </c>
      <c r="R15">
        <f t="shared" si="6"/>
        <v>331.00000000000045</v>
      </c>
      <c r="S15" s="89">
        <f t="shared" si="6"/>
        <v>1180.2440000000024</v>
      </c>
      <c r="T15">
        <f t="shared" si="6"/>
        <v>361.60000000000059</v>
      </c>
      <c r="U15">
        <f t="shared" si="6"/>
        <v>358.90000000000055</v>
      </c>
      <c r="V15">
        <f t="shared" si="6"/>
        <v>289.80000000000041</v>
      </c>
      <c r="W15">
        <f t="shared" si="6"/>
        <v>403.09999999999991</v>
      </c>
      <c r="X15" s="89">
        <f t="shared" si="6"/>
        <v>1413.3999999999996</v>
      </c>
      <c r="Y15">
        <f t="shared" si="6"/>
        <v>406.69999999999914</v>
      </c>
      <c r="Z15">
        <f t="shared" si="6"/>
        <v>407.30000000000018</v>
      </c>
      <c r="AA15">
        <f t="shared" si="6"/>
        <v>340.50000000000045</v>
      </c>
      <c r="AB15">
        <f t="shared" si="6"/>
        <v>445.59999999999911</v>
      </c>
      <c r="AC15" s="89">
        <f t="shared" si="6"/>
        <v>1600.1000000000008</v>
      </c>
      <c r="AD15">
        <f t="shared" si="6"/>
        <v>460.00000000000057</v>
      </c>
      <c r="AE15">
        <f t="shared" si="6"/>
        <v>422.19999999999959</v>
      </c>
      <c r="AF15">
        <f t="shared" si="6"/>
        <v>300.90000000000009</v>
      </c>
      <c r="AG15">
        <f t="shared" si="6"/>
        <v>-91.200000000000287</v>
      </c>
      <c r="AH15" s="89">
        <f t="shared" si="6"/>
        <v>1091.8999999999996</v>
      </c>
      <c r="AI15">
        <f t="shared" si="6"/>
        <v>371.49999999999977</v>
      </c>
      <c r="AJ15">
        <f t="shared" si="6"/>
        <v>377.10000000000036</v>
      </c>
      <c r="AK15">
        <f t="shared" ref="AK15:BP15" si="7">AK17+AK16</f>
        <v>353.59999999999923</v>
      </c>
      <c r="AL15">
        <f t="shared" si="7"/>
        <v>414.29999999999973</v>
      </c>
      <c r="AM15" s="89">
        <f t="shared" si="7"/>
        <v>1516.5</v>
      </c>
      <c r="AN15">
        <f t="shared" si="7"/>
        <v>413.89999999999918</v>
      </c>
      <c r="AO15">
        <f t="shared" si="7"/>
        <v>422.40000000000009</v>
      </c>
      <c r="AP15">
        <f t="shared" si="7"/>
        <v>402.50000000000045</v>
      </c>
      <c r="AQ15">
        <f t="shared" si="7"/>
        <v>526.49999999999955</v>
      </c>
      <c r="AR15" s="89">
        <f t="shared" si="7"/>
        <v>1765.3000000000038</v>
      </c>
      <c r="AS15">
        <f t="shared" si="7"/>
        <v>498.99999999999977</v>
      </c>
      <c r="AT15">
        <f t="shared" si="7"/>
        <v>483.29999999999995</v>
      </c>
      <c r="AU15">
        <f t="shared" si="7"/>
        <v>434.60000000000014</v>
      </c>
      <c r="AV15">
        <f t="shared" si="7"/>
        <v>534.599999999999</v>
      </c>
      <c r="AW15" s="89">
        <f t="shared" si="7"/>
        <v>1951.5</v>
      </c>
      <c r="AX15">
        <f t="shared" si="7"/>
        <v>637.70000000000118</v>
      </c>
      <c r="AY15">
        <f t="shared" si="7"/>
        <v>625.30000000000064</v>
      </c>
      <c r="AZ15">
        <f t="shared" si="7"/>
        <v>586.59999999999991</v>
      </c>
      <c r="BA15">
        <f t="shared" si="7"/>
        <v>759</v>
      </c>
      <c r="BB15" s="89">
        <f t="shared" si="7"/>
        <v>2608.6000000000054</v>
      </c>
      <c r="BC15">
        <f t="shared" si="7"/>
        <v>716.59999999999991</v>
      </c>
      <c r="BD15">
        <f t="shared" si="7"/>
        <v>781.09999999999945</v>
      </c>
      <c r="BE15">
        <f t="shared" si="7"/>
        <v>732.10000000000082</v>
      </c>
      <c r="BF15">
        <f t="shared" si="7"/>
        <v>952.69999999999936</v>
      </c>
      <c r="BG15" s="89">
        <f t="shared" si="7"/>
        <v>3019.4000000000005</v>
      </c>
      <c r="BH15">
        <f t="shared" si="7"/>
        <v>945.20000000000027</v>
      </c>
      <c r="BI15">
        <f t="shared" si="7"/>
        <v>1617.8000000000038</v>
      </c>
      <c r="BJ15">
        <f t="shared" si="7"/>
        <v>1572.8000000000009</v>
      </c>
      <c r="BK15">
        <f t="shared" si="7"/>
        <v>1751.9999999999991</v>
      </c>
      <c r="BL15" s="89">
        <f t="shared" si="7"/>
        <v>5887.8999999999978</v>
      </c>
      <c r="BM15">
        <f t="shared" si="7"/>
        <v>1669.3999999999999</v>
      </c>
      <c r="BN15">
        <f t="shared" si="7"/>
        <v>1788.1000000000045</v>
      </c>
      <c r="BO15">
        <f t="shared" si="7"/>
        <v>1777.0999999999985</v>
      </c>
      <c r="BP15">
        <f t="shared" si="7"/>
        <v>2085.800000000002</v>
      </c>
      <c r="BQ15" s="89">
        <f t="shared" ref="BQ15:CT15" si="8">BQ17+BQ16</f>
        <v>7320.3999999999933</v>
      </c>
      <c r="BR15">
        <f t="shared" si="8"/>
        <v>1731.1</v>
      </c>
      <c r="BS15">
        <f t="shared" si="8"/>
        <v>1982.0999999999972</v>
      </c>
      <c r="BT15">
        <f t="shared" si="8"/>
        <v>1866.2000000000005</v>
      </c>
      <c r="BU15">
        <f t="shared" si="8"/>
        <v>2247.9000000000015</v>
      </c>
      <c r="BV15" s="89">
        <f t="shared" si="8"/>
        <v>7827.2999999999884</v>
      </c>
      <c r="BW15">
        <f t="shared" si="8"/>
        <v>1768</v>
      </c>
      <c r="BX15">
        <f t="shared" si="8"/>
        <v>1869</v>
      </c>
      <c r="BY15">
        <f t="shared" si="8"/>
        <v>1854</v>
      </c>
      <c r="BZ15">
        <f t="shared" si="8"/>
        <v>2143</v>
      </c>
      <c r="CA15" s="89">
        <f t="shared" si="8"/>
        <v>7634</v>
      </c>
      <c r="CB15">
        <f t="shared" si="8"/>
        <v>1685</v>
      </c>
      <c r="CC15">
        <f t="shared" si="8"/>
        <v>1881</v>
      </c>
      <c r="CD15">
        <f t="shared" si="8"/>
        <v>1991</v>
      </c>
      <c r="CE15">
        <f t="shared" si="8"/>
        <v>2352.8000000000011</v>
      </c>
      <c r="CF15" s="89">
        <f t="shared" si="8"/>
        <v>7909.7999999999947</v>
      </c>
      <c r="CG15">
        <f t="shared" si="8"/>
        <v>1827</v>
      </c>
      <c r="CH15">
        <f t="shared" si="8"/>
        <v>2138.7000000000007</v>
      </c>
      <c r="CI15">
        <f t="shared" si="8"/>
        <v>2256.0749999999985</v>
      </c>
      <c r="CJ15">
        <f t="shared" si="8"/>
        <v>2758.7</v>
      </c>
      <c r="CK15" s="89">
        <f t="shared" si="8"/>
        <v>8980.475000000024</v>
      </c>
      <c r="CL15">
        <f t="shared" si="8"/>
        <v>2201</v>
      </c>
      <c r="CM15">
        <f>CM17+CM16</f>
        <v>2417.6999999999994</v>
      </c>
      <c r="CN15">
        <f>CN17+CN16</f>
        <v>2551.1000000000013</v>
      </c>
      <c r="CO15">
        <f>CO17+CO16</f>
        <v>2674.2000000000016</v>
      </c>
      <c r="CP15" s="89">
        <f t="shared" si="8"/>
        <v>9844.0000000000036</v>
      </c>
      <c r="CQ15">
        <f>CQ17+CQ16</f>
        <v>2502.0999999999981</v>
      </c>
      <c r="CR15">
        <f t="shared" si="8"/>
        <v>2694.8000000000038</v>
      </c>
      <c r="CS15">
        <f t="shared" si="8"/>
        <v>2722.8999999999992</v>
      </c>
      <c r="CT15">
        <f t="shared" si="8"/>
        <v>2809.6000000000031</v>
      </c>
      <c r="CU15" s="89">
        <f t="shared" ref="CU15:DF15" si="9">CU17+CU16</f>
        <v>10729.4</v>
      </c>
      <c r="CV15">
        <f t="shared" si="9"/>
        <v>2622.500000000005</v>
      </c>
      <c r="CW15">
        <f t="shared" si="9"/>
        <v>2749.4999999999959</v>
      </c>
      <c r="CX15">
        <f t="shared" si="9"/>
        <v>2990.2700177371703</v>
      </c>
      <c r="CY15" s="2575">
        <f t="shared" si="9"/>
        <v>3461.9047278599987</v>
      </c>
      <c r="CZ15" s="89">
        <f t="shared" si="9"/>
        <v>11824.174745597169</v>
      </c>
      <c r="DA15" s="2585">
        <f t="shared" si="9"/>
        <v>2849.2999999999988</v>
      </c>
      <c r="DB15" s="2614">
        <f t="shared" si="9"/>
        <v>3042.0999999999995</v>
      </c>
      <c r="DC15" s="2631">
        <f t="shared" si="9"/>
        <v>3486.5999999999976</v>
      </c>
      <c r="DD15" s="2649">
        <f t="shared" si="9"/>
        <v>3645.0999999999981</v>
      </c>
      <c r="DE15" s="2625">
        <f t="shared" si="9"/>
        <v>13023.099999999995</v>
      </c>
      <c r="DF15" s="2683">
        <f t="shared" si="9"/>
        <v>2625.8999999999983</v>
      </c>
      <c r="DG15" s="1671">
        <f>DG17+DG16+DG21</f>
        <v>2890.6188349591539</v>
      </c>
      <c r="DH15" s="1671">
        <f>DH17+DH16+DH21</f>
        <v>3125.2438638299986</v>
      </c>
      <c r="DI15" s="1671">
        <f>DI17+DI16+DI21</f>
        <v>3823.3568873400168</v>
      </c>
      <c r="DJ15" s="2625">
        <f t="shared" ref="DJ15:DO15" si="10">DJ17+DJ16</f>
        <v>12465.119586129167</v>
      </c>
      <c r="DK15" s="2559">
        <f t="shared" ca="1" si="10"/>
        <v>2725.3522311595443</v>
      </c>
      <c r="DL15" s="2559">
        <f t="shared" ca="1" si="10"/>
        <v>2995.0260850551663</v>
      </c>
      <c r="DM15" s="2559">
        <f t="shared" ca="1" si="10"/>
        <v>3144.5786457035579</v>
      </c>
      <c r="DN15" s="2559">
        <f t="shared" ca="1" si="10"/>
        <v>3625.9955275879483</v>
      </c>
      <c r="DO15" s="2625">
        <f t="shared" ca="1" si="10"/>
        <v>12490.952489506215</v>
      </c>
      <c r="DP15" s="2649">
        <f t="shared" ref="DP15:DY15" ca="1" si="11">DP17+DP16</f>
        <v>2808.7063432250961</v>
      </c>
      <c r="DQ15" s="2649">
        <f t="shared" ca="1" si="11"/>
        <v>3062.8059212014959</v>
      </c>
      <c r="DR15" s="2649">
        <f t="shared" ca="1" si="11"/>
        <v>3224.5978109672369</v>
      </c>
      <c r="DS15" s="2649">
        <f t="shared" ca="1" si="11"/>
        <v>3711.7680590865584</v>
      </c>
      <c r="DT15" s="2625">
        <f t="shared" ca="1" si="11"/>
        <v>12807.878134480383</v>
      </c>
      <c r="DU15" s="2771">
        <f t="shared" ca="1" si="11"/>
        <v>2894.7531045530418</v>
      </c>
      <c r="DV15" s="2771">
        <f t="shared" ca="1" si="11"/>
        <v>3167.026334709908</v>
      </c>
      <c r="DW15" s="2771">
        <f t="shared" ca="1" si="11"/>
        <v>3342.7016995122599</v>
      </c>
      <c r="DX15" s="2771">
        <f t="shared" ca="1" si="11"/>
        <v>3835.4500327048108</v>
      </c>
      <c r="DY15" s="2625">
        <f t="shared" ca="1" si="11"/>
        <v>13239.931171480024</v>
      </c>
      <c r="DZ15" s="87"/>
    </row>
    <row r="16" spans="1:140" x14ac:dyDescent="0.2">
      <c r="A16" s="78"/>
      <c r="B16" s="65" t="s">
        <v>177</v>
      </c>
      <c r="C16" s="66"/>
      <c r="D16" s="66"/>
      <c r="E16" s="67">
        <v>50.557000000000002</v>
      </c>
      <c r="F16" s="67">
        <v>47.2</v>
      </c>
      <c r="G16" s="67">
        <v>51.81</v>
      </c>
      <c r="H16" s="67">
        <v>51.728000000000002</v>
      </c>
      <c r="I16" s="68">
        <f>SUM(E16:H16)</f>
        <v>201.29500000000002</v>
      </c>
      <c r="J16" s="67">
        <v>57.67</v>
      </c>
      <c r="K16" s="67">
        <v>58.713000000000001</v>
      </c>
      <c r="L16" s="67">
        <v>63.505000000000003</v>
      </c>
      <c r="M16" s="67">
        <v>58.296999999999997</v>
      </c>
      <c r="N16" s="68">
        <f>SUM(J16:M16)</f>
        <v>238.185</v>
      </c>
      <c r="O16" s="67">
        <v>63.859000000000002</v>
      </c>
      <c r="P16" s="67">
        <v>61.207999999999998</v>
      </c>
      <c r="Q16" s="67">
        <v>60.7</v>
      </c>
      <c r="R16" s="67">
        <v>64</v>
      </c>
      <c r="S16" s="68">
        <f>'BS and CFS'!S14</f>
        <v>249.7</v>
      </c>
      <c r="T16" s="67">
        <v>68</v>
      </c>
      <c r="U16" s="67">
        <v>68.7</v>
      </c>
      <c r="V16" s="67">
        <v>70.099999999999994</v>
      </c>
      <c r="W16" s="67">
        <v>71.099999999999994</v>
      </c>
      <c r="X16" s="68">
        <f>'BS and CFS'!X14</f>
        <v>277.89999999999998</v>
      </c>
      <c r="Y16" s="67">
        <v>71.8</v>
      </c>
      <c r="Z16" s="67">
        <v>73.400000000000006</v>
      </c>
      <c r="AA16" s="67">
        <f>+V16*1.07</f>
        <v>75.007000000000005</v>
      </c>
      <c r="AB16" s="67">
        <v>76.400000000000006</v>
      </c>
      <c r="AC16" s="68">
        <f>'BS and CFS'!AC14</f>
        <v>296.60699999999997</v>
      </c>
      <c r="AD16" s="67">
        <v>78.599999999999994</v>
      </c>
      <c r="AE16" s="67">
        <v>80.2</v>
      </c>
      <c r="AF16" s="67">
        <v>80.7</v>
      </c>
      <c r="AG16" s="67">
        <v>81.3</v>
      </c>
      <c r="AH16" s="68">
        <f>'BS and CFS'!AH14</f>
        <v>320.8</v>
      </c>
      <c r="AI16" s="67">
        <v>75</v>
      </c>
      <c r="AJ16" s="67">
        <v>78.8</v>
      </c>
      <c r="AK16" s="67">
        <v>77.099999999999994</v>
      </c>
      <c r="AL16" s="67">
        <v>79.400000000000006</v>
      </c>
      <c r="AM16" s="68">
        <f>'BS and CFS'!AM14</f>
        <v>310.3</v>
      </c>
      <c r="AN16" s="67">
        <v>82.6</v>
      </c>
      <c r="AO16" s="67">
        <v>85.4</v>
      </c>
      <c r="AP16" s="67">
        <v>85.8</v>
      </c>
      <c r="AQ16" s="67">
        <v>87.9</v>
      </c>
      <c r="AR16" s="68">
        <f>'BS and CFS'!AR14</f>
        <v>341.7</v>
      </c>
      <c r="AS16" s="67">
        <v>93.4</v>
      </c>
      <c r="AT16" s="67">
        <v>96.1</v>
      </c>
      <c r="AU16" s="67">
        <v>118.6</v>
      </c>
      <c r="AV16" s="67">
        <v>188.7</v>
      </c>
      <c r="AW16" s="68">
        <f>'BS and CFS'!AW14</f>
        <v>496.8</v>
      </c>
      <c r="AX16" s="67">
        <v>137.9</v>
      </c>
      <c r="AY16" s="67">
        <v>147.6</v>
      </c>
      <c r="AZ16" s="67">
        <v>147.69999999999999</v>
      </c>
      <c r="BA16" s="67">
        <v>155.9</v>
      </c>
      <c r="BB16" s="68">
        <f>'BS and CFS'!BB14</f>
        <v>589.1</v>
      </c>
      <c r="BC16" s="67">
        <v>155.4</v>
      </c>
      <c r="BD16" s="67">
        <v>183.1</v>
      </c>
      <c r="BE16" s="67">
        <v>193.4</v>
      </c>
      <c r="BF16" s="67">
        <v>201.4</v>
      </c>
      <c r="BG16" s="68">
        <f>'BS and CFS'!BG14</f>
        <v>733.3</v>
      </c>
      <c r="BH16" s="67">
        <v>208.8</v>
      </c>
      <c r="BI16" s="67">
        <v>308</v>
      </c>
      <c r="BJ16" s="67">
        <v>301.7</v>
      </c>
      <c r="BK16" s="67">
        <v>276.10000000000002</v>
      </c>
      <c r="BL16" s="68">
        <f>'BS and CFS'!BL14</f>
        <v>1094.5999999999999</v>
      </c>
      <c r="BM16" s="69">
        <f>'BS and CFS'!BM78</f>
        <v>299.3</v>
      </c>
      <c r="BN16" s="69">
        <f>'BS and CFS'!BN78-'BS and CFS'!BM78</f>
        <v>309.99999999999994</v>
      </c>
      <c r="BO16" s="69">
        <f>'BS and CFS'!BO78-'BS and CFS'!BN78</f>
        <v>310.90000000000009</v>
      </c>
      <c r="BP16" s="69">
        <f>'BS and CFS'!BP78-'BS and CFS'!BO78</f>
        <v>354</v>
      </c>
      <c r="BQ16" s="68">
        <f>'BS and CFS'!BQ14</f>
        <v>1274.2</v>
      </c>
      <c r="BR16" s="69">
        <f>'BS and CFS'!BR78</f>
        <v>353.9</v>
      </c>
      <c r="BS16" s="69">
        <f>'BS and CFS'!BS78-'BS and CFS'!BR78</f>
        <v>382.30000000000007</v>
      </c>
      <c r="BT16" s="69">
        <f>'BS and CFS'!BT78-'BS and CFS'!BS78</f>
        <v>300.29999999999995</v>
      </c>
      <c r="BU16" s="69">
        <f>'BS and CFS'!BU78-'BS and CFS'!BT78</f>
        <v>352.5</v>
      </c>
      <c r="BV16" s="68">
        <f>'BS and CFS'!BV14</f>
        <v>1389</v>
      </c>
      <c r="BW16" s="69">
        <f>'BS and CFS'!BW78</f>
        <v>358</v>
      </c>
      <c r="BX16" s="69">
        <f>'BS and CFS'!BX78-'BS and CFS'!BW78</f>
        <v>368</v>
      </c>
      <c r="BY16" s="69">
        <f>'BS and CFS'!BY78-'BS and CFS'!BX78</f>
        <v>370</v>
      </c>
      <c r="BZ16" s="69">
        <f>'BS and CFS'!BZ78-'BS and CFS'!BY78</f>
        <v>373</v>
      </c>
      <c r="CA16" s="68">
        <f>SUM(BW16:BZ16)</f>
        <v>1469</v>
      </c>
      <c r="CB16" s="69">
        <f>'BS and CFS'!CB78</f>
        <v>374</v>
      </c>
      <c r="CC16" s="69">
        <f>'BS and CFS'!CC78-'BS and CFS'!CB78</f>
        <v>391</v>
      </c>
      <c r="CD16" s="69">
        <f>'BS and CFS'!CD78-'BS and CFS'!CC78</f>
        <v>407</v>
      </c>
      <c r="CE16" s="69">
        <f>'BS and CFS'!CE78-'BS and CFS'!CD78</f>
        <v>395.70000000000005</v>
      </c>
      <c r="CF16" s="68">
        <f>SUM(CB16:CE16)</f>
        <v>1567.7</v>
      </c>
      <c r="CG16" s="67">
        <f>'BS and CFS'!CG78-'BS and CFS'!CF78</f>
        <v>423</v>
      </c>
      <c r="CH16" s="67">
        <f>'BS and CFS'!CH78-'BS and CFS'!CG78</f>
        <v>431</v>
      </c>
      <c r="CI16" s="67">
        <v>442.3</v>
      </c>
      <c r="CJ16" s="67">
        <f>1753-SUM(CG16:CI16)</f>
        <v>456.70000000000005</v>
      </c>
      <c r="CK16" s="90">
        <f>SUM(CG16:CJ16)</f>
        <v>1753</v>
      </c>
      <c r="CL16" s="67">
        <v>502</v>
      </c>
      <c r="CM16" s="67">
        <v>449.4</v>
      </c>
      <c r="CN16" s="67">
        <v>460.5</v>
      </c>
      <c r="CO16" s="67">
        <v>457.8</v>
      </c>
      <c r="CP16" s="90">
        <f>SUM(CL16:CO16)</f>
        <v>1869.7</v>
      </c>
      <c r="CQ16" s="67">
        <v>477.4</v>
      </c>
      <c r="CR16" s="67">
        <v>487.7</v>
      </c>
      <c r="CS16" s="67">
        <v>477.1</v>
      </c>
      <c r="CT16" s="67">
        <v>488.7</v>
      </c>
      <c r="CU16" s="90">
        <f>SUM(CQ16:CT16)</f>
        <v>1930.8999999999999</v>
      </c>
      <c r="CV16" s="67">
        <v>490.4</v>
      </c>
      <c r="CW16" s="67">
        <v>487.4</v>
      </c>
      <c r="CX16" s="67">
        <v>532.63950353094367</v>
      </c>
      <c r="CY16" s="67">
        <v>570.6</v>
      </c>
      <c r="CZ16" s="68">
        <f>SUM(CV16:CY16)</f>
        <v>2081.0395035309434</v>
      </c>
      <c r="DA16" s="67">
        <v>609.4</v>
      </c>
      <c r="DB16" s="67">
        <v>611.70000000000005</v>
      </c>
      <c r="DC16" s="67">
        <v>604.29999999999995</v>
      </c>
      <c r="DD16" s="67">
        <v>620.1</v>
      </c>
      <c r="DE16" s="68">
        <f>SUM(DA16:DD16)</f>
        <v>2445.5</v>
      </c>
      <c r="DF16" s="67">
        <v>619.6</v>
      </c>
      <c r="DG16" s="67">
        <v>622.5</v>
      </c>
      <c r="DH16" s="67">
        <v>614.26134639000009</v>
      </c>
      <c r="DI16" s="67">
        <v>622.46186711999997</v>
      </c>
      <c r="DJ16" s="68">
        <f>SUM(DF16:DI16)</f>
        <v>2478.8232135100002</v>
      </c>
      <c r="DK16" s="66">
        <f>'BS and CFS'!DK14</f>
        <v>640.97788160000005</v>
      </c>
      <c r="DL16" s="66">
        <f>'BS and CFS'!DL14</f>
        <v>631.77988160000007</v>
      </c>
      <c r="DM16" s="66">
        <f>'BS and CFS'!DM14</f>
        <v>625.10188160000007</v>
      </c>
      <c r="DN16" s="66">
        <f>'BS and CFS'!DN14</f>
        <v>640.97788160000005</v>
      </c>
      <c r="DO16" s="68">
        <f>SUM(DK16:DN16)</f>
        <v>2538.8375264000006</v>
      </c>
      <c r="DP16" s="66">
        <f>'BS and CFS'!DP14</f>
        <v>638.86679360000005</v>
      </c>
      <c r="DQ16" s="66">
        <f>'BS and CFS'!DQ14</f>
        <v>636.05002160000004</v>
      </c>
      <c r="DR16" s="66">
        <f>'BS and CFS'!DR14</f>
        <v>637.41972559999999</v>
      </c>
      <c r="DS16" s="66">
        <f>'BS and CFS'!DS14</f>
        <v>637.36663759999999</v>
      </c>
      <c r="DT16" s="68">
        <f>SUM(DP16:DS16)</f>
        <v>2549.7031784000001</v>
      </c>
      <c r="DU16" s="66">
        <f>'BS and CFS'!DU14</f>
        <v>635.92003529600004</v>
      </c>
      <c r="DV16" s="66">
        <f>'BS and CFS'!DV14</f>
        <v>633.46697741600008</v>
      </c>
      <c r="DW16" s="66">
        <f>'BS and CFS'!DW14</f>
        <v>634.97957196800007</v>
      </c>
      <c r="DX16" s="66">
        <f>'BS and CFS'!DX14</f>
        <v>635.71571621600015</v>
      </c>
      <c r="DY16" s="68">
        <f>SUM(DU16:DX16)</f>
        <v>2540.0823008960006</v>
      </c>
      <c r="DZ16" s="78"/>
    </row>
    <row r="17" spans="1:130" x14ac:dyDescent="0.2">
      <c r="A17" s="80"/>
      <c r="B17" s="72" t="s">
        <v>178</v>
      </c>
      <c r="E17">
        <f t="shared" ref="E17:AJ17" si="12">E12-E13-E16</f>
        <v>157.00500000000011</v>
      </c>
      <c r="F17">
        <f t="shared" si="12"/>
        <v>154.19999999999976</v>
      </c>
      <c r="G17">
        <f t="shared" si="12"/>
        <v>104.67100000000022</v>
      </c>
      <c r="H17">
        <f t="shared" si="12"/>
        <v>175.90599999999966</v>
      </c>
      <c r="I17" s="76">
        <f t="shared" si="12"/>
        <v>804.94699999999966</v>
      </c>
      <c r="J17">
        <f t="shared" si="12"/>
        <v>206.94799999999969</v>
      </c>
      <c r="K17">
        <f t="shared" si="12"/>
        <v>195.56300000000007</v>
      </c>
      <c r="L17">
        <f t="shared" si="12"/>
        <v>153.39900000000011</v>
      </c>
      <c r="M17">
        <f t="shared" si="12"/>
        <v>223.07700000000025</v>
      </c>
      <c r="N17" s="76">
        <f t="shared" si="12"/>
        <v>778.98700000000144</v>
      </c>
      <c r="O17">
        <f t="shared" si="12"/>
        <v>238.86500000000049</v>
      </c>
      <c r="P17">
        <f t="shared" si="12"/>
        <v>232.88200000000026</v>
      </c>
      <c r="Q17">
        <f t="shared" si="12"/>
        <v>191.69999999999976</v>
      </c>
      <c r="R17">
        <f t="shared" si="12"/>
        <v>267.00000000000045</v>
      </c>
      <c r="S17" s="76">
        <f t="shared" si="12"/>
        <v>930.54400000000237</v>
      </c>
      <c r="T17">
        <f t="shared" si="12"/>
        <v>293.60000000000059</v>
      </c>
      <c r="U17">
        <f t="shared" si="12"/>
        <v>290.20000000000056</v>
      </c>
      <c r="V17">
        <f t="shared" si="12"/>
        <v>219.70000000000041</v>
      </c>
      <c r="W17">
        <f t="shared" si="12"/>
        <v>331.99999999999989</v>
      </c>
      <c r="X17" s="76">
        <f t="shared" si="12"/>
        <v>1135.4999999999995</v>
      </c>
      <c r="Y17">
        <f t="shared" si="12"/>
        <v>334.89999999999912</v>
      </c>
      <c r="Z17">
        <f t="shared" si="12"/>
        <v>333.9000000000002</v>
      </c>
      <c r="AA17">
        <f t="shared" si="12"/>
        <v>265.49300000000045</v>
      </c>
      <c r="AB17">
        <f t="shared" si="12"/>
        <v>369.19999999999914</v>
      </c>
      <c r="AC17" s="76">
        <f t="shared" si="12"/>
        <v>1303.4930000000008</v>
      </c>
      <c r="AD17">
        <f t="shared" si="12"/>
        <v>381.40000000000055</v>
      </c>
      <c r="AE17">
        <f t="shared" si="12"/>
        <v>341.9999999999996</v>
      </c>
      <c r="AF17">
        <f t="shared" si="12"/>
        <v>220.2000000000001</v>
      </c>
      <c r="AG17">
        <f t="shared" si="12"/>
        <v>-172.50000000000028</v>
      </c>
      <c r="AH17" s="76">
        <f t="shared" si="12"/>
        <v>771.09999999999968</v>
      </c>
      <c r="AI17">
        <f t="shared" si="12"/>
        <v>296.49999999999977</v>
      </c>
      <c r="AJ17">
        <f t="shared" si="12"/>
        <v>298.30000000000035</v>
      </c>
      <c r="AK17">
        <f t="shared" ref="AK17:BA17" si="13">AK12-AK13-AK16</f>
        <v>276.4999999999992</v>
      </c>
      <c r="AL17">
        <f t="shared" si="13"/>
        <v>334.89999999999975</v>
      </c>
      <c r="AM17" s="76">
        <f t="shared" si="13"/>
        <v>1206.2</v>
      </c>
      <c r="AN17">
        <f t="shared" si="13"/>
        <v>331.29999999999916</v>
      </c>
      <c r="AO17">
        <f t="shared" si="13"/>
        <v>337.00000000000011</v>
      </c>
      <c r="AP17">
        <f t="shared" si="13"/>
        <v>316.70000000000044</v>
      </c>
      <c r="AQ17">
        <f t="shared" si="13"/>
        <v>438.59999999999957</v>
      </c>
      <c r="AR17" s="76">
        <f t="shared" si="13"/>
        <v>1423.6000000000038</v>
      </c>
      <c r="AS17">
        <f t="shared" si="13"/>
        <v>405.5999999999998</v>
      </c>
      <c r="AT17">
        <f t="shared" si="13"/>
        <v>387.19999999999993</v>
      </c>
      <c r="AU17">
        <f t="shared" si="13"/>
        <v>316.00000000000011</v>
      </c>
      <c r="AV17">
        <f t="shared" si="13"/>
        <v>345.89999999999901</v>
      </c>
      <c r="AW17" s="76">
        <f t="shared" si="13"/>
        <v>1454.7</v>
      </c>
      <c r="AX17">
        <f t="shared" si="13"/>
        <v>499.80000000000121</v>
      </c>
      <c r="AY17">
        <f t="shared" si="13"/>
        <v>477.70000000000061</v>
      </c>
      <c r="AZ17">
        <f t="shared" si="13"/>
        <v>438.89999999999992</v>
      </c>
      <c r="BA17">
        <f t="shared" si="13"/>
        <v>603.1</v>
      </c>
      <c r="BB17" s="76">
        <f>BB12-BB13</f>
        <v>2019.5000000000055</v>
      </c>
      <c r="BC17">
        <f>BC12-BC13-BC16</f>
        <v>561.19999999999993</v>
      </c>
      <c r="BD17">
        <f>BD12-BD13-BD16</f>
        <v>597.99999999999943</v>
      </c>
      <c r="BE17">
        <f>BE12-BE13-BE16</f>
        <v>538.70000000000084</v>
      </c>
      <c r="BF17">
        <f>BF12-BF13-BF16</f>
        <v>751.29999999999939</v>
      </c>
      <c r="BG17" s="76">
        <f>BG12-BG13</f>
        <v>2286.1000000000004</v>
      </c>
      <c r="BH17">
        <f>BH12-BH13-BH16</f>
        <v>736.40000000000032</v>
      </c>
      <c r="BI17">
        <f t="shared" ref="BI17:CZ17" si="14">BI12-BI13</f>
        <v>1309.8000000000038</v>
      </c>
      <c r="BJ17">
        <f t="shared" si="14"/>
        <v>1271.1000000000008</v>
      </c>
      <c r="BK17">
        <f t="shared" si="14"/>
        <v>1475.8999999999992</v>
      </c>
      <c r="BL17" s="76">
        <f t="shared" si="14"/>
        <v>4793.2999999999975</v>
      </c>
      <c r="BM17">
        <f t="shared" si="14"/>
        <v>1370.1</v>
      </c>
      <c r="BN17">
        <f t="shared" si="14"/>
        <v>1478.1000000000045</v>
      </c>
      <c r="BO17">
        <f t="shared" si="14"/>
        <v>1466.1999999999985</v>
      </c>
      <c r="BP17">
        <f t="shared" si="14"/>
        <v>1731.800000000002</v>
      </c>
      <c r="BQ17" s="76">
        <f t="shared" si="14"/>
        <v>6046.1999999999935</v>
      </c>
      <c r="BR17">
        <f t="shared" si="14"/>
        <v>1377.1999999999998</v>
      </c>
      <c r="BS17">
        <f t="shared" si="14"/>
        <v>1599.799999999997</v>
      </c>
      <c r="BT17">
        <f t="shared" si="14"/>
        <v>1565.9000000000005</v>
      </c>
      <c r="BU17">
        <f t="shared" si="14"/>
        <v>1895.4000000000015</v>
      </c>
      <c r="BV17" s="76">
        <f t="shared" si="14"/>
        <v>6438.2999999999884</v>
      </c>
      <c r="BW17">
        <f t="shared" si="14"/>
        <v>1410</v>
      </c>
      <c r="BX17">
        <f t="shared" si="14"/>
        <v>1501</v>
      </c>
      <c r="BY17">
        <f t="shared" si="14"/>
        <v>1484</v>
      </c>
      <c r="BZ17">
        <f t="shared" si="14"/>
        <v>1770</v>
      </c>
      <c r="CA17" s="76">
        <f t="shared" si="14"/>
        <v>6165</v>
      </c>
      <c r="CB17">
        <f t="shared" si="14"/>
        <v>1311</v>
      </c>
      <c r="CC17">
        <f t="shared" si="14"/>
        <v>1490</v>
      </c>
      <c r="CD17">
        <f t="shared" si="14"/>
        <v>1584</v>
      </c>
      <c r="CE17">
        <f t="shared" si="14"/>
        <v>1957.1000000000013</v>
      </c>
      <c r="CF17" s="76">
        <f t="shared" si="14"/>
        <v>6342.0999999999949</v>
      </c>
      <c r="CG17">
        <f t="shared" si="14"/>
        <v>1404</v>
      </c>
      <c r="CH17">
        <f t="shared" si="14"/>
        <v>1707.7000000000007</v>
      </c>
      <c r="CI17">
        <f t="shared" si="14"/>
        <v>1813.7749999999983</v>
      </c>
      <c r="CJ17">
        <f t="shared" si="14"/>
        <v>2302</v>
      </c>
      <c r="CK17" s="76">
        <f t="shared" si="14"/>
        <v>7227.475000000024</v>
      </c>
      <c r="CL17">
        <f t="shared" si="14"/>
        <v>1699</v>
      </c>
      <c r="CM17">
        <f t="shared" si="14"/>
        <v>1968.2999999999993</v>
      </c>
      <c r="CN17">
        <f>CN12-CN13</f>
        <v>2090.6000000000013</v>
      </c>
      <c r="CO17">
        <f>CO12-CO13</f>
        <v>2216.4000000000015</v>
      </c>
      <c r="CP17" s="76">
        <f t="shared" si="14"/>
        <v>7974.3000000000029</v>
      </c>
      <c r="CQ17">
        <f>CQ12-CQ13</f>
        <v>2024.699999999998</v>
      </c>
      <c r="CR17">
        <f t="shared" si="14"/>
        <v>2207.100000000004</v>
      </c>
      <c r="CS17">
        <f>CS12-CS13</f>
        <v>2245.7999999999993</v>
      </c>
      <c r="CT17">
        <f t="shared" si="14"/>
        <v>2320.9000000000033</v>
      </c>
      <c r="CU17" s="76">
        <f>CU12-CU13</f>
        <v>8798.5</v>
      </c>
      <c r="CV17">
        <f>CV12-CV13</f>
        <v>2132.1000000000049</v>
      </c>
      <c r="CW17">
        <f>CW12-CW13</f>
        <v>2262.0999999999958</v>
      </c>
      <c r="CX17">
        <f>CX12-CX13</f>
        <v>2457.6305142062265</v>
      </c>
      <c r="CY17" s="2575">
        <f>CY12-CY13</f>
        <v>2891.3047278599988</v>
      </c>
      <c r="CZ17" s="76">
        <f t="shared" si="14"/>
        <v>9743.1352420662261</v>
      </c>
      <c r="DA17" s="2585">
        <f>DA12-DA13</f>
        <v>2239.8999999999987</v>
      </c>
      <c r="DB17" s="2614">
        <f>DB12-DB13</f>
        <v>2430.3999999999996</v>
      </c>
      <c r="DC17" s="2631">
        <f>DC12-DC13</f>
        <v>2882.2999999999975</v>
      </c>
      <c r="DD17" s="2649">
        <f>DD12-DD13</f>
        <v>3024.9999999999982</v>
      </c>
      <c r="DE17" s="2626">
        <f t="shared" ref="DE17:DJ17" si="15">DE12-DE13</f>
        <v>10577.599999999995</v>
      </c>
      <c r="DF17" s="2683">
        <f>DF12-DF13</f>
        <v>2006.2999999999984</v>
      </c>
      <c r="DG17" s="2705">
        <f>DG12-DG13</f>
        <v>2268.1188349591539</v>
      </c>
      <c r="DH17" s="2735">
        <f>DH12-DH13</f>
        <v>2510.9825174399984</v>
      </c>
      <c r="DI17" s="2795">
        <f>DI12-DI13</f>
        <v>3200.8950202200167</v>
      </c>
      <c r="DJ17" s="2626">
        <f t="shared" si="15"/>
        <v>9986.2963726191665</v>
      </c>
      <c r="DK17" s="2559">
        <f t="shared" ref="DK17:DT17" ca="1" si="16">DK12-DK13</f>
        <v>2084.3743495595445</v>
      </c>
      <c r="DL17" s="2559">
        <f t="shared" ca="1" si="16"/>
        <v>2363.2462034551663</v>
      </c>
      <c r="DM17" s="2559">
        <f t="shared" ca="1" si="16"/>
        <v>2519.4767641035578</v>
      </c>
      <c r="DN17" s="2559">
        <f t="shared" ca="1" si="16"/>
        <v>2985.0176459879485</v>
      </c>
      <c r="DO17" s="2626">
        <f t="shared" ca="1" si="16"/>
        <v>9952.1149631062144</v>
      </c>
      <c r="DP17" s="2649">
        <f t="shared" ca="1" si="16"/>
        <v>2169.839549625096</v>
      </c>
      <c r="DQ17" s="2649">
        <f t="shared" ca="1" si="16"/>
        <v>2426.7558996014959</v>
      </c>
      <c r="DR17" s="2649">
        <f t="shared" ca="1" si="16"/>
        <v>2587.1780853672371</v>
      </c>
      <c r="DS17" s="2649">
        <f t="shared" ca="1" si="16"/>
        <v>3074.4014214865583</v>
      </c>
      <c r="DT17" s="2626">
        <f t="shared" ca="1" si="16"/>
        <v>10258.174956080384</v>
      </c>
      <c r="DU17" s="2771">
        <f t="shared" ref="DU17:DY17" ca="1" si="17">DU12-DU13</f>
        <v>2258.8330692570416</v>
      </c>
      <c r="DV17" s="2771">
        <f t="shared" ca="1" si="17"/>
        <v>2533.5593572939079</v>
      </c>
      <c r="DW17" s="2771">
        <f t="shared" ca="1" si="17"/>
        <v>2707.7221275442598</v>
      </c>
      <c r="DX17" s="2771">
        <f t="shared" ca="1" si="17"/>
        <v>3199.7343164888107</v>
      </c>
      <c r="DY17" s="2626">
        <f t="shared" ca="1" si="17"/>
        <v>10699.848870584025</v>
      </c>
      <c r="DZ17" s="80"/>
    </row>
    <row r="18" spans="1:130" x14ac:dyDescent="0.2">
      <c r="A18" s="78"/>
      <c r="B18" s="58" t="s">
        <v>179</v>
      </c>
      <c r="E18">
        <v>16.899999999999999</v>
      </c>
      <c r="F18">
        <v>24.7</v>
      </c>
      <c r="G18">
        <v>16.2</v>
      </c>
      <c r="H18">
        <v>15</v>
      </c>
      <c r="I18" s="61">
        <f>SUM(E18:H18)</f>
        <v>72.8</v>
      </c>
      <c r="J18">
        <f>29.1-K18</f>
        <v>12.900000000000002</v>
      </c>
      <c r="K18">
        <v>16.2</v>
      </c>
      <c r="L18">
        <v>9.1999999999999993</v>
      </c>
      <c r="M18">
        <v>5.9</v>
      </c>
      <c r="N18" s="61">
        <f>SUM(J18:M18)</f>
        <v>44.199999999999996</v>
      </c>
      <c r="O18">
        <f>30.1-P18</f>
        <v>11.200000000000003</v>
      </c>
      <c r="P18">
        <v>18.899999999999999</v>
      </c>
      <c r="Q18">
        <v>15.1</v>
      </c>
      <c r="R18">
        <v>15.7</v>
      </c>
      <c r="S18" s="61">
        <f>SUM(O18:R18)</f>
        <v>60.900000000000006</v>
      </c>
      <c r="T18">
        <v>14.3</v>
      </c>
      <c r="U18">
        <v>14.5</v>
      </c>
      <c r="V18">
        <v>13.7</v>
      </c>
      <c r="W18">
        <v>16.600000000000001</v>
      </c>
      <c r="X18" s="61">
        <f>SUM(T18:W18)</f>
        <v>59.1</v>
      </c>
      <c r="Y18">
        <v>16.100000000000001</v>
      </c>
      <c r="Z18">
        <v>23</v>
      </c>
      <c r="AA18">
        <v>20.100000000000001</v>
      </c>
      <c r="AB18">
        <v>20.100000000000001</v>
      </c>
      <c r="AC18" s="61">
        <f>SUM(Y18:AB18)</f>
        <v>79.300000000000011</v>
      </c>
      <c r="AD18">
        <v>15.7</v>
      </c>
      <c r="AE18">
        <v>15.1</v>
      </c>
      <c r="AF18">
        <v>16.100000000000001</v>
      </c>
      <c r="AG18">
        <v>14.1</v>
      </c>
      <c r="AH18" s="61">
        <f>SUM(AD18:AG18)</f>
        <v>61</v>
      </c>
      <c r="AI18">
        <v>13.1</v>
      </c>
      <c r="AJ18">
        <v>13.8</v>
      </c>
      <c r="AK18">
        <v>11.4</v>
      </c>
      <c r="AL18">
        <v>12.1</v>
      </c>
      <c r="AM18" s="61">
        <f>AI18+AJ18+AK18+AL18</f>
        <v>50.4</v>
      </c>
      <c r="AN18">
        <v>12.6</v>
      </c>
      <c r="AO18">
        <v>12.7</v>
      </c>
      <c r="AP18">
        <v>11.8</v>
      </c>
      <c r="AQ18">
        <v>11</v>
      </c>
      <c r="AR18" s="61">
        <f>SUM(AN18:AQ18)</f>
        <v>48.099999999999994</v>
      </c>
      <c r="AS18">
        <v>7.8</v>
      </c>
      <c r="AT18">
        <v>6</v>
      </c>
      <c r="AU18">
        <v>15.8</v>
      </c>
      <c r="AV18">
        <v>28.7</v>
      </c>
      <c r="AW18" s="61">
        <f>SUM(AS18:AV18)</f>
        <v>58.3</v>
      </c>
      <c r="AX18">
        <v>28</v>
      </c>
      <c r="AY18">
        <v>28.3</v>
      </c>
      <c r="AZ18">
        <v>27.3</v>
      </c>
      <c r="BA18">
        <v>26.9</v>
      </c>
      <c r="BB18" s="63">
        <v>110.5</v>
      </c>
      <c r="BC18">
        <v>21.1</v>
      </c>
      <c r="BD18">
        <v>38.4</v>
      </c>
      <c r="BE18">
        <v>75.2</v>
      </c>
      <c r="BF18">
        <v>81.099999999999994</v>
      </c>
      <c r="BG18" s="63">
        <v>215.8</v>
      </c>
      <c r="BH18">
        <v>63.9</v>
      </c>
      <c r="BI18">
        <v>105.9</v>
      </c>
      <c r="BJ18">
        <v>127.5</v>
      </c>
      <c r="BK18">
        <v>137.30000000000001</v>
      </c>
      <c r="BL18" s="63">
        <v>434.6</v>
      </c>
      <c r="BM18">
        <v>130.9</v>
      </c>
      <c r="BN18">
        <v>114.7</v>
      </c>
      <c r="BO18">
        <v>112.7</v>
      </c>
      <c r="BP18">
        <v>151.19999999999999</v>
      </c>
      <c r="BQ18" s="63">
        <v>509.5</v>
      </c>
      <c r="BR18">
        <v>142.1</v>
      </c>
      <c r="BS18">
        <v>127.9</v>
      </c>
      <c r="BT18">
        <v>122.8</v>
      </c>
      <c r="BU18">
        <v>133</v>
      </c>
      <c r="BV18" s="63">
        <v>525</v>
      </c>
      <c r="BW18">
        <v>128</v>
      </c>
      <c r="BX18">
        <v>135</v>
      </c>
      <c r="BY18">
        <v>137</v>
      </c>
      <c r="BZ18">
        <v>136</v>
      </c>
      <c r="CA18" s="61">
        <f>SUM(BW18:BZ18)</f>
        <v>536</v>
      </c>
      <c r="CB18">
        <v>134</v>
      </c>
      <c r="CC18">
        <v>148</v>
      </c>
      <c r="CD18">
        <v>155</v>
      </c>
      <c r="CE18">
        <v>147.30000000000001</v>
      </c>
      <c r="CF18" s="61">
        <f>SUM(CB18:CE18)</f>
        <v>584.29999999999995</v>
      </c>
      <c r="CG18">
        <v>132</v>
      </c>
      <c r="CH18">
        <v>131.5</v>
      </c>
      <c r="CI18">
        <v>133.80000000000001</v>
      </c>
      <c r="CJ18">
        <v>159</v>
      </c>
      <c r="CK18" s="61">
        <f>SUM(CG18:CJ18)</f>
        <v>556.29999999999995</v>
      </c>
      <c r="CL18">
        <v>126</v>
      </c>
      <c r="CM18">
        <v>126</v>
      </c>
      <c r="CN18">
        <v>122</v>
      </c>
      <c r="CO18">
        <v>135.19999999999999</v>
      </c>
      <c r="CP18" s="61">
        <f>SUM(CL18:CO18)</f>
        <v>509.2</v>
      </c>
      <c r="CQ18">
        <v>158.4</v>
      </c>
      <c r="CR18">
        <v>157.5</v>
      </c>
      <c r="CS18">
        <v>153.5</v>
      </c>
      <c r="CT18">
        <v>131.30000000000001</v>
      </c>
      <c r="CU18" s="61">
        <f>SUM(CQ18:CT18)</f>
        <v>600.70000000000005</v>
      </c>
      <c r="CV18">
        <v>134.1</v>
      </c>
      <c r="CW18">
        <f>166.2</f>
        <v>166.2</v>
      </c>
      <c r="CX18">
        <v>245.62230647999999</v>
      </c>
      <c r="CY18" s="2575">
        <v>276.39999999999998</v>
      </c>
      <c r="CZ18" s="61">
        <f>SUM(CV18:CY18)</f>
        <v>822.32230647999995</v>
      </c>
      <c r="DA18" s="2585">
        <v>276.39999999999998</v>
      </c>
      <c r="DB18" s="2614">
        <v>279.7</v>
      </c>
      <c r="DC18" s="2631">
        <v>252.6</v>
      </c>
      <c r="DD18" s="2649">
        <v>242</v>
      </c>
      <c r="DE18" s="2624">
        <f>SUM(DA18:DD18)</f>
        <v>1050.6999999999998</v>
      </c>
      <c r="DF18" s="2700">
        <v>252.3</v>
      </c>
      <c r="DG18" s="2700">
        <v>246.9</v>
      </c>
      <c r="DH18" s="2700">
        <v>245.06940599999999</v>
      </c>
      <c r="DI18" s="2700">
        <f>240.480867+2.5</f>
        <v>242.98086699999999</v>
      </c>
      <c r="DJ18" s="2624">
        <f>SUM(DF18:DI18)</f>
        <v>987.25027299999999</v>
      </c>
      <c r="DK18" s="1867">
        <f>DK20-DK19</f>
        <v>337.11818260069481</v>
      </c>
      <c r="DL18" s="1867">
        <f>DL20-DL19</f>
        <v>605.36453301574261</v>
      </c>
      <c r="DM18" s="1867">
        <f>DM20-DM19</f>
        <v>559.06085868179468</v>
      </c>
      <c r="DN18" s="1867">
        <f>DN20-DN19</f>
        <v>556.59866907897731</v>
      </c>
      <c r="DO18" s="2624">
        <f>SUM(DK18:DN18)</f>
        <v>2058.1422433772095</v>
      </c>
      <c r="DP18" s="1867">
        <f>DP20-DP19</f>
        <v>556.09646170445205</v>
      </c>
      <c r="DQ18" s="1867">
        <f>DQ20-DQ19</f>
        <v>547.71675261054577</v>
      </c>
      <c r="DR18" s="1867">
        <f>DR20-DR19</f>
        <v>537.4804920209516</v>
      </c>
      <c r="DS18" s="1867">
        <f>DS20-DS19</f>
        <v>535.18403350357767</v>
      </c>
      <c r="DT18" s="2624">
        <f>SUM(DP18:DS18)</f>
        <v>2176.4777398395272</v>
      </c>
      <c r="DU18" s="1867">
        <f>DU20-DU19</f>
        <v>534.56776439058126</v>
      </c>
      <c r="DV18" s="1867">
        <f>DV20-DV19</f>
        <v>526.08581951483177</v>
      </c>
      <c r="DW18" s="1867">
        <f>DW20-DW19</f>
        <v>516.04259980243489</v>
      </c>
      <c r="DX18" s="1867">
        <f>DX20-DX19</f>
        <v>513.94741493846288</v>
      </c>
      <c r="DY18" s="2624">
        <f>SUM(DU18:DX18)</f>
        <v>2090.6435986463107</v>
      </c>
      <c r="DZ18" s="78"/>
    </row>
    <row r="19" spans="1:130" hidden="1" outlineLevel="1" x14ac:dyDescent="0.2">
      <c r="A19" s="92"/>
      <c r="B19" s="88" t="s">
        <v>180</v>
      </c>
      <c r="I19" s="93">
        <v>4.2</v>
      </c>
      <c r="N19" s="93">
        <v>4.2</v>
      </c>
      <c r="S19" s="93">
        <v>4.2</v>
      </c>
      <c r="X19" s="93">
        <v>4.2</v>
      </c>
      <c r="AC19" s="93">
        <v>4.2</v>
      </c>
      <c r="AH19" s="93">
        <v>4.2</v>
      </c>
      <c r="AM19" s="93">
        <v>4.0999999999999996</v>
      </c>
      <c r="AR19" s="89">
        <f>AM19</f>
        <v>4.0999999999999996</v>
      </c>
      <c r="AW19" s="93">
        <v>0</v>
      </c>
      <c r="BB19" s="89">
        <f>AW19</f>
        <v>0</v>
      </c>
      <c r="BG19" s="89">
        <f>BB19</f>
        <v>0</v>
      </c>
      <c r="BI19">
        <f>(74+176+13+(((7.5*428)+(10.4*35))*0.064*0.75))/4</f>
        <v>108.63800000000001</v>
      </c>
      <c r="BL19" s="89">
        <f>BG19</f>
        <v>0</v>
      </c>
      <c r="BQ19" s="89">
        <f>BL19</f>
        <v>0</v>
      </c>
      <c r="BV19" s="89">
        <f>BQ19</f>
        <v>0</v>
      </c>
      <c r="CA19" s="89">
        <f>BV19</f>
        <v>0</v>
      </c>
      <c r="CF19" s="61">
        <f>SUM(CB19:CE19)</f>
        <v>0</v>
      </c>
      <c r="CK19" s="61">
        <f>SUM(CG19:CJ19)</f>
        <v>0</v>
      </c>
      <c r="CP19" s="61">
        <f>SUM(CL19:CO19)</f>
        <v>0</v>
      </c>
      <c r="CU19" s="61">
        <f>SUM(CQ19:CT19)</f>
        <v>0</v>
      </c>
      <c r="CV19">
        <f>Debt!CV13</f>
        <v>3.7490625</v>
      </c>
      <c r="CW19" s="1827">
        <f>Debt!CW13</f>
        <v>2.589375</v>
      </c>
      <c r="CX19">
        <f>Debt!CX13</f>
        <v>3.8756249999999999</v>
      </c>
      <c r="CY19" s="2575">
        <f>Debt!CY13</f>
        <v>5.0146875</v>
      </c>
      <c r="CZ19" s="61">
        <f>SUM(CV19:CY19)</f>
        <v>15.228749999999998</v>
      </c>
      <c r="DA19" s="2585">
        <v>5</v>
      </c>
      <c r="DB19" s="2614">
        <v>5</v>
      </c>
      <c r="DC19" s="2631">
        <v>5</v>
      </c>
      <c r="DD19" s="2649">
        <v>5</v>
      </c>
      <c r="DE19" s="2624">
        <f>SUM(DA19:DD19)</f>
        <v>20</v>
      </c>
      <c r="DF19" s="2683">
        <v>6</v>
      </c>
      <c r="DG19" s="2705">
        <v>6</v>
      </c>
      <c r="DH19" s="2735">
        <v>6</v>
      </c>
      <c r="DI19" s="2795">
        <v>6</v>
      </c>
      <c r="DJ19" s="2624">
        <f>SUM(DF19:DI19)</f>
        <v>24</v>
      </c>
      <c r="DK19" s="2559">
        <f>Debt!DK13</f>
        <v>2.349852399305203</v>
      </c>
      <c r="DL19" s="2559">
        <f>Debt!DL13</f>
        <v>39.083001984257365</v>
      </c>
      <c r="DM19" s="2559">
        <f>Debt!DM13</f>
        <v>77.624176318205329</v>
      </c>
      <c r="DN19" s="2559">
        <f>Debt!DN13</f>
        <v>80.086365921022647</v>
      </c>
      <c r="DO19" s="2624">
        <f>SUM(DK19:DN19)</f>
        <v>199.14339662279053</v>
      </c>
      <c r="DP19" s="2649">
        <f>Debt!DP13</f>
        <v>80.58857329554796</v>
      </c>
      <c r="DQ19" s="2649">
        <f>Debt!DQ13</f>
        <v>81.205782389454299</v>
      </c>
      <c r="DR19" s="2649">
        <f>Debt!DR13</f>
        <v>83.679542979048392</v>
      </c>
      <c r="DS19" s="2649">
        <f>Debt!DS13</f>
        <v>85.976001496422299</v>
      </c>
      <c r="DT19" s="2624">
        <f>SUM(DP19:DS19)</f>
        <v>331.44990016047291</v>
      </c>
      <c r="DU19" s="2771">
        <f>Debt!DU13</f>
        <v>86.592270609418776</v>
      </c>
      <c r="DV19" s="2771">
        <f>Debt!DV13</f>
        <v>87.311715485168293</v>
      </c>
      <c r="DW19" s="2771">
        <f>Debt!DW13</f>
        <v>89.592435197565081</v>
      </c>
      <c r="DX19" s="2771">
        <f>Debt!DX13</f>
        <v>91.68762006153716</v>
      </c>
      <c r="DY19" s="2624">
        <f>SUM(DU19:DX19)</f>
        <v>355.18404135368928</v>
      </c>
      <c r="DZ19" s="92"/>
    </row>
    <row r="20" spans="1:130" hidden="1" outlineLevel="1" x14ac:dyDescent="0.2">
      <c r="A20" s="92"/>
      <c r="B20" s="88" t="s">
        <v>181</v>
      </c>
      <c r="I20" s="89">
        <f>I18+I19</f>
        <v>77</v>
      </c>
      <c r="N20" s="89">
        <f>N18+N19</f>
        <v>48.4</v>
      </c>
      <c r="S20" s="89">
        <f>S18+S19</f>
        <v>65.100000000000009</v>
      </c>
      <c r="X20" s="89">
        <f>X18+X19</f>
        <v>63.300000000000004</v>
      </c>
      <c r="AC20" s="89">
        <f>AC18+AC19</f>
        <v>83.500000000000014</v>
      </c>
      <c r="AH20" s="93">
        <v>65.2</v>
      </c>
      <c r="AM20" s="93">
        <v>54.5</v>
      </c>
      <c r="AR20" s="89">
        <f>AR18+AR19</f>
        <v>52.199999999999996</v>
      </c>
      <c r="AS20">
        <f t="shared" ref="AS20:BH20" si="18">AS18</f>
        <v>7.8</v>
      </c>
      <c r="AT20">
        <f t="shared" si="18"/>
        <v>6</v>
      </c>
      <c r="AU20">
        <f t="shared" si="18"/>
        <v>15.8</v>
      </c>
      <c r="AV20">
        <f t="shared" si="18"/>
        <v>28.7</v>
      </c>
      <c r="AW20" s="89">
        <f t="shared" si="18"/>
        <v>58.3</v>
      </c>
      <c r="AX20">
        <f t="shared" si="18"/>
        <v>28</v>
      </c>
      <c r="AY20">
        <f t="shared" si="18"/>
        <v>28.3</v>
      </c>
      <c r="AZ20">
        <f t="shared" si="18"/>
        <v>27.3</v>
      </c>
      <c r="BA20">
        <f t="shared" si="18"/>
        <v>26.9</v>
      </c>
      <c r="BB20" s="89">
        <f t="shared" si="18"/>
        <v>110.5</v>
      </c>
      <c r="BC20">
        <f t="shared" si="18"/>
        <v>21.1</v>
      </c>
      <c r="BD20">
        <f t="shared" si="18"/>
        <v>38.4</v>
      </c>
      <c r="BE20">
        <f t="shared" si="18"/>
        <v>75.2</v>
      </c>
      <c r="BF20">
        <f t="shared" si="18"/>
        <v>81.099999999999994</v>
      </c>
      <c r="BG20" s="89">
        <f t="shared" si="18"/>
        <v>215.8</v>
      </c>
      <c r="BH20">
        <f t="shared" si="18"/>
        <v>63.9</v>
      </c>
      <c r="BI20">
        <f>(74+176+13+(((7.5*428)+(10.4*35))*0.064*0.75))/4</f>
        <v>108.63800000000001</v>
      </c>
      <c r="BJ20">
        <f t="shared" ref="BJ20:CE20" si="19">BJ18</f>
        <v>127.5</v>
      </c>
      <c r="BK20">
        <f t="shared" si="19"/>
        <v>137.30000000000001</v>
      </c>
      <c r="BL20" s="89">
        <f t="shared" si="19"/>
        <v>434.6</v>
      </c>
      <c r="BM20">
        <f t="shared" si="19"/>
        <v>130.9</v>
      </c>
      <c r="BN20">
        <f t="shared" si="19"/>
        <v>114.7</v>
      </c>
      <c r="BO20">
        <f t="shared" si="19"/>
        <v>112.7</v>
      </c>
      <c r="BP20">
        <f t="shared" si="19"/>
        <v>151.19999999999999</v>
      </c>
      <c r="BQ20" s="89">
        <f t="shared" si="19"/>
        <v>509.5</v>
      </c>
      <c r="BR20">
        <f t="shared" si="19"/>
        <v>142.1</v>
      </c>
      <c r="BS20">
        <f t="shared" si="19"/>
        <v>127.9</v>
      </c>
      <c r="BT20">
        <f t="shared" si="19"/>
        <v>122.8</v>
      </c>
      <c r="BU20">
        <f t="shared" si="19"/>
        <v>133</v>
      </c>
      <c r="BV20" s="89">
        <f t="shared" si="19"/>
        <v>525</v>
      </c>
      <c r="BW20">
        <f t="shared" si="19"/>
        <v>128</v>
      </c>
      <c r="BX20">
        <f t="shared" si="19"/>
        <v>135</v>
      </c>
      <c r="BY20">
        <f t="shared" si="19"/>
        <v>137</v>
      </c>
      <c r="BZ20">
        <f t="shared" si="19"/>
        <v>136</v>
      </c>
      <c r="CA20" s="89">
        <f t="shared" si="19"/>
        <v>536</v>
      </c>
      <c r="CB20">
        <f t="shared" si="19"/>
        <v>134</v>
      </c>
      <c r="CC20">
        <f t="shared" si="19"/>
        <v>148</v>
      </c>
      <c r="CD20">
        <f t="shared" si="19"/>
        <v>155</v>
      </c>
      <c r="CE20">
        <f t="shared" si="19"/>
        <v>147.30000000000001</v>
      </c>
      <c r="CF20" s="61">
        <f>SUM(CB20:CE20)</f>
        <v>584.29999999999995</v>
      </c>
      <c r="CG20">
        <f>CG18</f>
        <v>132</v>
      </c>
      <c r="CH20">
        <f>CH18</f>
        <v>131.5</v>
      </c>
      <c r="CI20">
        <f>CI18</f>
        <v>133.80000000000001</v>
      </c>
      <c r="CJ20">
        <f>CJ18</f>
        <v>159</v>
      </c>
      <c r="CK20" s="61">
        <f>SUM(CG20:CJ20)</f>
        <v>556.29999999999995</v>
      </c>
      <c r="CL20">
        <f>CL18</f>
        <v>126</v>
      </c>
      <c r="CM20">
        <f>CM18</f>
        <v>126</v>
      </c>
      <c r="CN20">
        <f>CN18</f>
        <v>122</v>
      </c>
      <c r="CO20">
        <f>CO18</f>
        <v>135.19999999999999</v>
      </c>
      <c r="CP20" s="61">
        <f>SUM(CL20:CO20)</f>
        <v>509.2</v>
      </c>
      <c r="CQ20">
        <f>CQ18</f>
        <v>158.4</v>
      </c>
      <c r="CR20">
        <f>-Debt!CR19</f>
        <v>164.92364750000002</v>
      </c>
      <c r="CS20">
        <f>-Debt!CS19</f>
        <v>155.69802250000001</v>
      </c>
      <c r="CT20">
        <f>-Debt!CT19</f>
        <v>149.37310499999998</v>
      </c>
      <c r="CU20" s="61">
        <f>SUM(CQ20:CT20)</f>
        <v>628.39477499999998</v>
      </c>
      <c r="CV20">
        <f>-Debt!CV19</f>
        <v>126.47427249999998</v>
      </c>
      <c r="CW20" s="1827">
        <f>-Debt!CW19</f>
        <v>124.23989749999998</v>
      </c>
      <c r="CX20">
        <f>-Debt!CX19</f>
        <v>263.34927249999998</v>
      </c>
      <c r="CY20" s="2575">
        <f>-Debt!CY19</f>
        <v>263.34927249999998</v>
      </c>
      <c r="CZ20" s="61">
        <f>SUM(CV20:CY20)</f>
        <v>777.41271499999993</v>
      </c>
      <c r="DA20" s="2585">
        <v>288</v>
      </c>
      <c r="DB20" s="2614">
        <v>288</v>
      </c>
      <c r="DC20" s="2631">
        <v>288</v>
      </c>
      <c r="DD20" s="2649">
        <v>288</v>
      </c>
      <c r="DE20" s="2624">
        <f>SUM(DA20:DD20)</f>
        <v>1152</v>
      </c>
      <c r="DF20" s="2683">
        <f>+DF18+DF19</f>
        <v>258.3</v>
      </c>
      <c r="DG20" s="2705">
        <f>+DG18+DG19</f>
        <v>252.9</v>
      </c>
      <c r="DH20" s="2735">
        <f>+DH18+DH19</f>
        <v>251.06940599999999</v>
      </c>
      <c r="DI20" s="2795">
        <f>+DI18+DI19</f>
        <v>248.98086699999999</v>
      </c>
      <c r="DJ20" s="2624">
        <f>SUM(DF20:DI20)</f>
        <v>1011.250273</v>
      </c>
      <c r="DK20" s="2559">
        <f>-Debt!DK19</f>
        <v>339.46803499999999</v>
      </c>
      <c r="DL20" s="2559">
        <f>-Debt!DL19</f>
        <v>644.44753500000002</v>
      </c>
      <c r="DM20" s="2559">
        <f>-Debt!DM19</f>
        <v>636.68503499999997</v>
      </c>
      <c r="DN20" s="2559">
        <f>-Debt!DN19</f>
        <v>636.68503499999997</v>
      </c>
      <c r="DO20" s="2624">
        <f>SUM(DK20:DN20)</f>
        <v>2257.2856400000001</v>
      </c>
      <c r="DP20" s="2649">
        <f>-Debt!DP19</f>
        <v>636.68503499999997</v>
      </c>
      <c r="DQ20" s="2649">
        <f>-Debt!DQ19</f>
        <v>628.92253500000004</v>
      </c>
      <c r="DR20" s="2649">
        <f>-Debt!DR19</f>
        <v>621.16003499999999</v>
      </c>
      <c r="DS20" s="2649">
        <f>-Debt!DS19</f>
        <v>621.16003499999999</v>
      </c>
      <c r="DT20" s="2624">
        <f>SUM(DP20:DS20)</f>
        <v>2507.9276399999999</v>
      </c>
      <c r="DU20" s="2771">
        <f>-Debt!DU19</f>
        <v>621.16003499999999</v>
      </c>
      <c r="DV20" s="2771">
        <f>-Debt!DV19</f>
        <v>613.39753500000006</v>
      </c>
      <c r="DW20" s="2771">
        <f>-Debt!DW19</f>
        <v>605.63503500000002</v>
      </c>
      <c r="DX20" s="2771">
        <f>-Debt!DX19</f>
        <v>605.63503500000002</v>
      </c>
      <c r="DY20" s="2624">
        <f>SUM(DU20:DX20)</f>
        <v>2445.82764</v>
      </c>
      <c r="DZ20" s="92"/>
    </row>
    <row r="21" spans="1:130" collapsed="1" x14ac:dyDescent="0.2">
      <c r="A21" s="94"/>
      <c r="B21" s="58" t="s">
        <v>323</v>
      </c>
      <c r="F21">
        <v>76.599999999999994</v>
      </c>
      <c r="I21" s="63">
        <v>121.4</v>
      </c>
      <c r="N21" s="86"/>
      <c r="S21" s="86"/>
      <c r="X21" s="86"/>
      <c r="AC21" s="86"/>
      <c r="AH21" s="86"/>
      <c r="AM21" s="86"/>
      <c r="AR21" s="86"/>
      <c r="AW21" s="86"/>
      <c r="BB21" s="86"/>
      <c r="BG21" s="86"/>
      <c r="BL21" s="86"/>
      <c r="BQ21" s="86"/>
      <c r="BV21" s="86"/>
      <c r="CA21" s="86"/>
      <c r="CF21" s="86"/>
      <c r="CG21" s="1867"/>
      <c r="CH21" s="1867"/>
      <c r="CI21" s="1867"/>
      <c r="CJ21">
        <v>-348</v>
      </c>
      <c r="CK21" s="86"/>
      <c r="CL21" s="1867"/>
      <c r="CM21" s="1867"/>
      <c r="CN21" s="1867"/>
      <c r="CO21" s="1867"/>
      <c r="CP21" s="86"/>
      <c r="CQ21" s="1867"/>
      <c r="CR21" s="1867"/>
      <c r="CS21" s="1867"/>
      <c r="CT21" s="1867"/>
      <c r="CU21" s="86"/>
      <c r="CV21" s="2599"/>
      <c r="CW21" s="2599"/>
      <c r="CX21" s="2599"/>
      <c r="CY21" s="2599"/>
      <c r="CZ21" s="2462"/>
      <c r="DA21" s="2600"/>
      <c r="DB21" s="2600"/>
      <c r="DC21" s="2600"/>
      <c r="DD21" s="2600"/>
      <c r="DE21" s="2628"/>
      <c r="DF21" s="2600"/>
      <c r="DG21" s="2600"/>
      <c r="DH21" s="2600"/>
      <c r="DI21" s="2600"/>
      <c r="DJ21" s="2627"/>
      <c r="DO21" s="2627"/>
      <c r="DT21" s="2627"/>
      <c r="DY21" s="2627"/>
      <c r="DZ21" s="94"/>
    </row>
    <row r="22" spans="1:130" x14ac:dyDescent="0.2">
      <c r="A22" s="78"/>
      <c r="B22" s="58" t="s">
        <v>182</v>
      </c>
      <c r="E22" s="1867">
        <f t="shared" ref="E22:AJ22" si="20">E17-E18+E21</f>
        <v>140.1050000000001</v>
      </c>
      <c r="F22" s="1867">
        <f t="shared" si="20"/>
        <v>206.09999999999977</v>
      </c>
      <c r="G22" s="1867">
        <f t="shared" si="20"/>
        <v>88.471000000000217</v>
      </c>
      <c r="H22" s="1867">
        <f t="shared" si="20"/>
        <v>160.90599999999966</v>
      </c>
      <c r="I22" s="61">
        <f t="shared" si="20"/>
        <v>853.54699999999968</v>
      </c>
      <c r="J22" s="1867">
        <f t="shared" si="20"/>
        <v>194.04799999999969</v>
      </c>
      <c r="K22" s="1867">
        <f t="shared" si="20"/>
        <v>179.36300000000008</v>
      </c>
      <c r="L22" s="1867">
        <f t="shared" si="20"/>
        <v>144.19900000000013</v>
      </c>
      <c r="M22" s="1867">
        <f t="shared" si="20"/>
        <v>217.17700000000025</v>
      </c>
      <c r="N22" s="61">
        <f t="shared" si="20"/>
        <v>734.7870000000014</v>
      </c>
      <c r="O22" s="1867">
        <f t="shared" si="20"/>
        <v>227.66500000000048</v>
      </c>
      <c r="P22" s="1867">
        <f t="shared" si="20"/>
        <v>213.98200000000026</v>
      </c>
      <c r="Q22" s="1867">
        <f t="shared" si="20"/>
        <v>176.59999999999977</v>
      </c>
      <c r="R22" s="1867">
        <f t="shared" si="20"/>
        <v>251.30000000000047</v>
      </c>
      <c r="S22" s="61">
        <f t="shared" si="20"/>
        <v>869.64400000000239</v>
      </c>
      <c r="T22" s="1867">
        <f t="shared" si="20"/>
        <v>279.30000000000058</v>
      </c>
      <c r="U22" s="1867">
        <f t="shared" si="20"/>
        <v>275.70000000000056</v>
      </c>
      <c r="V22" s="1867">
        <f t="shared" si="20"/>
        <v>206.00000000000043</v>
      </c>
      <c r="W22" s="1867">
        <f t="shared" si="20"/>
        <v>315.39999999999986</v>
      </c>
      <c r="X22" s="61">
        <f t="shared" si="20"/>
        <v>1076.3999999999996</v>
      </c>
      <c r="Y22" s="1867">
        <f t="shared" si="20"/>
        <v>318.7999999999991</v>
      </c>
      <c r="Z22" s="1867">
        <f t="shared" si="20"/>
        <v>310.9000000000002</v>
      </c>
      <c r="AA22" s="1867">
        <f t="shared" si="20"/>
        <v>245.39300000000046</v>
      </c>
      <c r="AB22" s="1867">
        <f t="shared" si="20"/>
        <v>349.09999999999911</v>
      </c>
      <c r="AC22" s="61">
        <f t="shared" si="20"/>
        <v>1224.1930000000009</v>
      </c>
      <c r="AD22" s="1867">
        <f t="shared" si="20"/>
        <v>365.70000000000056</v>
      </c>
      <c r="AE22" s="1867">
        <f t="shared" si="20"/>
        <v>326.89999999999958</v>
      </c>
      <c r="AF22" s="1867">
        <f t="shared" si="20"/>
        <v>204.10000000000011</v>
      </c>
      <c r="AG22" s="1867">
        <f t="shared" si="20"/>
        <v>-186.60000000000028</v>
      </c>
      <c r="AH22" s="61">
        <f t="shared" si="20"/>
        <v>710.09999999999968</v>
      </c>
      <c r="AI22" s="1867">
        <f t="shared" si="20"/>
        <v>283.39999999999975</v>
      </c>
      <c r="AJ22" s="1867">
        <f t="shared" si="20"/>
        <v>284.50000000000034</v>
      </c>
      <c r="AK22" s="1867">
        <f t="shared" ref="AK22:BP22" si="21">AK17-AK18+AK21</f>
        <v>265.09999999999923</v>
      </c>
      <c r="AL22" s="1867">
        <f t="shared" si="21"/>
        <v>322.79999999999973</v>
      </c>
      <c r="AM22" s="61">
        <f t="shared" si="21"/>
        <v>1155.8</v>
      </c>
      <c r="AN22" s="1867">
        <f t="shared" si="21"/>
        <v>318.69999999999914</v>
      </c>
      <c r="AO22" s="1867">
        <f t="shared" si="21"/>
        <v>324.30000000000013</v>
      </c>
      <c r="AP22" s="1867">
        <f t="shared" si="21"/>
        <v>304.90000000000043</v>
      </c>
      <c r="AQ22" s="1867">
        <f t="shared" si="21"/>
        <v>427.59999999999957</v>
      </c>
      <c r="AR22" s="61">
        <f t="shared" si="21"/>
        <v>1375.5000000000039</v>
      </c>
      <c r="AS22" s="1867">
        <f t="shared" si="21"/>
        <v>397.79999999999978</v>
      </c>
      <c r="AT22" s="1867">
        <f t="shared" si="21"/>
        <v>381.19999999999993</v>
      </c>
      <c r="AU22" s="1867">
        <f t="shared" si="21"/>
        <v>300.2000000000001</v>
      </c>
      <c r="AV22" s="1867">
        <f t="shared" si="21"/>
        <v>317.19999999999902</v>
      </c>
      <c r="AW22" s="61">
        <f t="shared" si="21"/>
        <v>1396.4</v>
      </c>
      <c r="AX22" s="1867">
        <f t="shared" si="21"/>
        <v>471.80000000000121</v>
      </c>
      <c r="AY22" s="1867">
        <f t="shared" si="21"/>
        <v>449.4000000000006</v>
      </c>
      <c r="AZ22" s="1867">
        <f t="shared" si="21"/>
        <v>411.59999999999991</v>
      </c>
      <c r="BA22" s="1867">
        <f t="shared" si="21"/>
        <v>576.20000000000005</v>
      </c>
      <c r="BB22" s="61">
        <f t="shared" si="21"/>
        <v>1909.0000000000055</v>
      </c>
      <c r="BC22" s="1867">
        <f t="shared" si="21"/>
        <v>540.09999999999991</v>
      </c>
      <c r="BD22" s="1867">
        <f t="shared" si="21"/>
        <v>559.59999999999945</v>
      </c>
      <c r="BE22" s="1867">
        <f t="shared" si="21"/>
        <v>463.50000000000085</v>
      </c>
      <c r="BF22" s="1867">
        <f t="shared" si="21"/>
        <v>670.19999999999936</v>
      </c>
      <c r="BG22" s="61">
        <f t="shared" si="21"/>
        <v>2070.3000000000002</v>
      </c>
      <c r="BH22" s="1867">
        <f t="shared" si="21"/>
        <v>672.50000000000034</v>
      </c>
      <c r="BI22" s="1867">
        <f t="shared" si="21"/>
        <v>1203.9000000000037</v>
      </c>
      <c r="BJ22" s="1867">
        <f t="shared" si="21"/>
        <v>1143.6000000000008</v>
      </c>
      <c r="BK22" s="1867">
        <f t="shared" si="21"/>
        <v>1338.5999999999992</v>
      </c>
      <c r="BL22" s="61">
        <f t="shared" si="21"/>
        <v>4358.6999999999971</v>
      </c>
      <c r="BM22" s="1867">
        <f t="shared" si="21"/>
        <v>1239.1999999999998</v>
      </c>
      <c r="BN22" s="1867">
        <f t="shared" si="21"/>
        <v>1363.4000000000044</v>
      </c>
      <c r="BO22" s="1867">
        <f t="shared" si="21"/>
        <v>1353.4999999999984</v>
      </c>
      <c r="BP22" s="1867">
        <f t="shared" si="21"/>
        <v>1580.600000000002</v>
      </c>
      <c r="BQ22" s="61">
        <f t="shared" ref="BQ22:CV22" si="22">BQ17-BQ18+BQ21</f>
        <v>5536.6999999999935</v>
      </c>
      <c r="BR22" s="1867">
        <f t="shared" si="22"/>
        <v>1235.0999999999999</v>
      </c>
      <c r="BS22" s="1867">
        <f t="shared" si="22"/>
        <v>1471.8999999999969</v>
      </c>
      <c r="BT22" s="1867">
        <f t="shared" si="22"/>
        <v>1443.1000000000006</v>
      </c>
      <c r="BU22" s="1867">
        <f t="shared" si="22"/>
        <v>1762.4000000000015</v>
      </c>
      <c r="BV22" s="61">
        <f t="shared" si="22"/>
        <v>5913.2999999999884</v>
      </c>
      <c r="BW22" s="1867">
        <f t="shared" si="22"/>
        <v>1282</v>
      </c>
      <c r="BX22" s="1867">
        <f t="shared" si="22"/>
        <v>1366</v>
      </c>
      <c r="BY22" s="1867">
        <f t="shared" si="22"/>
        <v>1347</v>
      </c>
      <c r="BZ22" s="1867">
        <f t="shared" si="22"/>
        <v>1634</v>
      </c>
      <c r="CA22" s="61">
        <f t="shared" si="22"/>
        <v>5629</v>
      </c>
      <c r="CB22" s="1867">
        <f t="shared" si="22"/>
        <v>1177</v>
      </c>
      <c r="CC22" s="1867">
        <f t="shared" si="22"/>
        <v>1342</v>
      </c>
      <c r="CD22" s="1867">
        <f t="shared" si="22"/>
        <v>1429</v>
      </c>
      <c r="CE22" s="1867">
        <f t="shared" si="22"/>
        <v>1809.8000000000013</v>
      </c>
      <c r="CF22" s="61">
        <f t="shared" si="22"/>
        <v>5757.7999999999947</v>
      </c>
      <c r="CG22" s="1867">
        <f t="shared" si="22"/>
        <v>1272</v>
      </c>
      <c r="CH22" s="1867">
        <f t="shared" si="22"/>
        <v>1576.2000000000007</v>
      </c>
      <c r="CI22" s="1867">
        <f t="shared" si="22"/>
        <v>1679.9749999999983</v>
      </c>
      <c r="CJ22" s="1867">
        <f t="shared" si="22"/>
        <v>1795</v>
      </c>
      <c r="CK22" s="61">
        <f t="shared" si="22"/>
        <v>6671.1750000000238</v>
      </c>
      <c r="CL22" s="1867">
        <f t="shared" si="22"/>
        <v>1573</v>
      </c>
      <c r="CM22" s="1867">
        <f t="shared" si="22"/>
        <v>1842.2999999999993</v>
      </c>
      <c r="CN22" s="1867">
        <f t="shared" si="22"/>
        <v>1968.6000000000013</v>
      </c>
      <c r="CO22" s="1867">
        <f>CO17-CO18+CO21</f>
        <v>2081.2000000000016</v>
      </c>
      <c r="CP22" s="61">
        <f t="shared" si="22"/>
        <v>7465.1000000000031</v>
      </c>
      <c r="CQ22" s="1867">
        <f>CQ17-CQ18+CQ21</f>
        <v>1866.2999999999979</v>
      </c>
      <c r="CR22" s="1867">
        <f t="shared" si="22"/>
        <v>2049.600000000004</v>
      </c>
      <c r="CS22" s="1867">
        <f t="shared" si="22"/>
        <v>2092.2999999999993</v>
      </c>
      <c r="CT22" s="1867">
        <f t="shared" si="22"/>
        <v>2189.6000000000031</v>
      </c>
      <c r="CU22" s="61">
        <f t="shared" si="22"/>
        <v>8197.7999999999993</v>
      </c>
      <c r="CV22" s="1867">
        <f t="shared" si="22"/>
        <v>1998.000000000005</v>
      </c>
      <c r="CW22" s="1867">
        <f t="shared" ref="CW22:DF22" si="23">CW17-CW18+CW21</f>
        <v>2095.899999999996</v>
      </c>
      <c r="CX22" s="1867">
        <f t="shared" si="23"/>
        <v>2212.0082077262264</v>
      </c>
      <c r="CY22" s="1867">
        <f t="shared" si="23"/>
        <v>2614.9047278599987</v>
      </c>
      <c r="CZ22" s="61">
        <f t="shared" si="23"/>
        <v>8920.8129355862256</v>
      </c>
      <c r="DA22" s="1867">
        <f t="shared" si="23"/>
        <v>1963.4999999999986</v>
      </c>
      <c r="DB22" s="1867">
        <f t="shared" si="23"/>
        <v>2150.6999999999998</v>
      </c>
      <c r="DC22" s="1867">
        <f t="shared" si="23"/>
        <v>2629.6999999999975</v>
      </c>
      <c r="DD22" s="1867">
        <f t="shared" si="23"/>
        <v>2782.9999999999982</v>
      </c>
      <c r="DE22" s="2624">
        <f t="shared" si="23"/>
        <v>9526.8999999999942</v>
      </c>
      <c r="DF22" s="1867">
        <f t="shared" si="23"/>
        <v>1753.9999999999984</v>
      </c>
      <c r="DG22" s="1867">
        <f>DG17-DG18+DG21</f>
        <v>2021.2188349591538</v>
      </c>
      <c r="DH22" s="1867">
        <f>DH17-DH18+DH21</f>
        <v>2265.9131114399984</v>
      </c>
      <c r="DI22" s="1867">
        <f>DI17-DI18+DI21</f>
        <v>2957.9141532200165</v>
      </c>
      <c r="DJ22" s="2624">
        <f t="shared" ref="DJ22:DO22" si="24">DJ17-DJ18+DJ21</f>
        <v>8999.0460996191669</v>
      </c>
      <c r="DK22" s="1867">
        <f t="shared" ca="1" si="24"/>
        <v>1747.2561669588497</v>
      </c>
      <c r="DL22" s="1867">
        <f t="shared" ca="1" si="24"/>
        <v>1757.8816704394237</v>
      </c>
      <c r="DM22" s="1867">
        <f t="shared" ca="1" si="24"/>
        <v>1960.415905421763</v>
      </c>
      <c r="DN22" s="1867">
        <f t="shared" ca="1" si="24"/>
        <v>2428.4189769089712</v>
      </c>
      <c r="DO22" s="2624">
        <f t="shared" ca="1" si="24"/>
        <v>7893.9727197290049</v>
      </c>
      <c r="DP22" s="1867">
        <f t="shared" ref="DP22:DY22" ca="1" si="25">DP17-DP18+DP21</f>
        <v>1613.743087920644</v>
      </c>
      <c r="DQ22" s="1867">
        <f t="shared" ca="1" si="25"/>
        <v>1879.03914699095</v>
      </c>
      <c r="DR22" s="1867">
        <f t="shared" ca="1" si="25"/>
        <v>2049.6975933462854</v>
      </c>
      <c r="DS22" s="1867">
        <f t="shared" ca="1" si="25"/>
        <v>2539.2173879829807</v>
      </c>
      <c r="DT22" s="2624">
        <f t="shared" ca="1" si="25"/>
        <v>8081.6972162408565</v>
      </c>
      <c r="DU22" s="1867">
        <f t="shared" ca="1" si="25"/>
        <v>1724.2653048664604</v>
      </c>
      <c r="DV22" s="1867">
        <f t="shared" ca="1" si="25"/>
        <v>2007.4735377790762</v>
      </c>
      <c r="DW22" s="1867">
        <f t="shared" ca="1" si="25"/>
        <v>2191.679527741825</v>
      </c>
      <c r="DX22" s="1867">
        <f t="shared" ca="1" si="25"/>
        <v>2685.7869015503479</v>
      </c>
      <c r="DY22" s="2624">
        <f t="shared" ca="1" si="25"/>
        <v>8609.2052719377134</v>
      </c>
      <c r="DZ22" s="78"/>
    </row>
    <row r="23" spans="1:130" x14ac:dyDescent="0.2">
      <c r="A23" s="78"/>
      <c r="B23" s="65" t="s">
        <v>183</v>
      </c>
      <c r="C23" s="66"/>
      <c r="D23" s="66"/>
      <c r="E23" s="67">
        <v>60.5</v>
      </c>
      <c r="F23" s="67">
        <v>62</v>
      </c>
      <c r="G23" s="67">
        <v>37.4</v>
      </c>
      <c r="H23" s="67">
        <v>68</v>
      </c>
      <c r="I23" s="68">
        <f>SUM(E23:H23)</f>
        <v>227.9</v>
      </c>
      <c r="J23" s="67">
        <v>82.8</v>
      </c>
      <c r="K23" s="67">
        <v>77.2</v>
      </c>
      <c r="L23" s="67">
        <v>62.1</v>
      </c>
      <c r="M23" s="67">
        <v>93.7</v>
      </c>
      <c r="N23" s="68">
        <f>SUM(J23:M23)</f>
        <v>315.8</v>
      </c>
      <c r="O23" s="67">
        <v>95.7</v>
      </c>
      <c r="P23" s="67">
        <v>39.5</v>
      </c>
      <c r="Q23" s="67">
        <v>69.8</v>
      </c>
      <c r="R23" s="67">
        <v>105.5</v>
      </c>
      <c r="S23" s="70">
        <v>306.5</v>
      </c>
      <c r="T23" s="67">
        <v>114.3</v>
      </c>
      <c r="U23" s="67">
        <v>113.1</v>
      </c>
      <c r="V23" s="67">
        <v>84.4</v>
      </c>
      <c r="W23" s="67">
        <v>129.5</v>
      </c>
      <c r="X23" s="68">
        <f>SUM(T23:W23)</f>
        <v>441.29999999999995</v>
      </c>
      <c r="Y23" s="67">
        <v>127.5</v>
      </c>
      <c r="Z23" s="67">
        <v>124.4</v>
      </c>
      <c r="AA23" s="67">
        <v>105.9</v>
      </c>
      <c r="AB23" s="67">
        <v>139.6</v>
      </c>
      <c r="AC23" s="68">
        <f>SUM(Y23:AB23)</f>
        <v>497.4</v>
      </c>
      <c r="AD23" s="67">
        <v>144</v>
      </c>
      <c r="AE23" s="67">
        <v>128.9</v>
      </c>
      <c r="AF23" s="67">
        <v>80.400000000000006</v>
      </c>
      <c r="AG23" s="67">
        <v>-56.9</v>
      </c>
      <c r="AH23" s="68">
        <f>SUM(AD23:AG23)</f>
        <v>296.39999999999998</v>
      </c>
      <c r="AI23" s="67">
        <v>107.7</v>
      </c>
      <c r="AJ23" s="67">
        <v>108.1</v>
      </c>
      <c r="AK23" s="67">
        <v>100.7</v>
      </c>
      <c r="AL23" s="67">
        <v>122.7</v>
      </c>
      <c r="AM23" s="68">
        <f>SUM(AI23:AL23)</f>
        <v>439.2</v>
      </c>
      <c r="AN23" s="67">
        <v>122.4</v>
      </c>
      <c r="AO23" s="67">
        <v>124.5</v>
      </c>
      <c r="AP23" s="67">
        <v>117.1</v>
      </c>
      <c r="AQ23" s="67">
        <v>164.2</v>
      </c>
      <c r="AR23" s="68">
        <f>SUM(AN23:AQ23)</f>
        <v>528.20000000000005</v>
      </c>
      <c r="AS23" s="67">
        <v>153.19999999999999</v>
      </c>
      <c r="AT23" s="67">
        <v>146.69999999999999</v>
      </c>
      <c r="AU23" s="67">
        <v>115.6</v>
      </c>
      <c r="AV23" s="67">
        <v>62.1</v>
      </c>
      <c r="AW23" s="68">
        <f>SUM(AS23:AV23)</f>
        <v>477.6</v>
      </c>
      <c r="AX23" s="67">
        <v>182.1</v>
      </c>
      <c r="AY23" s="67">
        <v>173.5</v>
      </c>
      <c r="AZ23" s="67">
        <v>158.9</v>
      </c>
      <c r="BA23" s="67">
        <v>169.8</v>
      </c>
      <c r="BB23" s="70">
        <v>684.3</v>
      </c>
      <c r="BC23" s="67">
        <v>209.8</v>
      </c>
      <c r="BD23" s="67">
        <v>218.7</v>
      </c>
      <c r="BE23" s="67">
        <v>177.4</v>
      </c>
      <c r="BF23" s="67">
        <v>251</v>
      </c>
      <c r="BG23" s="70">
        <v>856.9</v>
      </c>
      <c r="BH23" s="67">
        <v>263.7</v>
      </c>
      <c r="BI23" s="67">
        <v>480.3</v>
      </c>
      <c r="BJ23" s="67">
        <v>454.1</v>
      </c>
      <c r="BK23" s="67">
        <v>523.6</v>
      </c>
      <c r="BL23" s="70">
        <v>1721.7</v>
      </c>
      <c r="BM23" s="67">
        <v>490.7</v>
      </c>
      <c r="BN23" s="67">
        <v>539.9</v>
      </c>
      <c r="BO23" s="67">
        <v>534.70000000000005</v>
      </c>
      <c r="BP23" s="67">
        <v>627.29999999999995</v>
      </c>
      <c r="BQ23" s="70">
        <v>2192.6</v>
      </c>
      <c r="BR23" s="67">
        <v>491.6</v>
      </c>
      <c r="BS23" s="67">
        <v>582.79999999999995</v>
      </c>
      <c r="BT23" s="67">
        <f>420+155.7</f>
        <v>575.70000000000005</v>
      </c>
      <c r="BU23" s="67">
        <f>711+7</f>
        <v>718</v>
      </c>
      <c r="BV23" s="70">
        <f>2205+167</f>
        <v>2372</v>
      </c>
      <c r="BW23" s="67">
        <v>510</v>
      </c>
      <c r="BX23" s="67">
        <v>544</v>
      </c>
      <c r="BY23" s="67">
        <v>528</v>
      </c>
      <c r="BZ23" s="67">
        <v>608</v>
      </c>
      <c r="CA23" s="68">
        <f>SUM(BW23:BZ23)</f>
        <v>2190</v>
      </c>
      <c r="CB23" s="67">
        <v>464</v>
      </c>
      <c r="CC23" s="67">
        <v>526</v>
      </c>
      <c r="CD23" s="67">
        <v>562</v>
      </c>
      <c r="CE23">
        <v>711</v>
      </c>
      <c r="CF23" s="61">
        <f>SUM(CB23:CE23)</f>
        <v>2263</v>
      </c>
      <c r="CG23">
        <v>496</v>
      </c>
      <c r="CH23">
        <v>610</v>
      </c>
      <c r="CI23">
        <v>669</v>
      </c>
      <c r="CJ23">
        <v>666</v>
      </c>
      <c r="CK23" s="61">
        <f>SUM(CG23:CJ23)</f>
        <v>2441</v>
      </c>
      <c r="CL23">
        <v>617</v>
      </c>
      <c r="CM23">
        <v>720</v>
      </c>
      <c r="CN23">
        <v>799.4</v>
      </c>
      <c r="CO23">
        <v>816</v>
      </c>
      <c r="CP23" s="95">
        <f>SUM(CL23:CO23)</f>
        <v>2952.4</v>
      </c>
      <c r="CQ23">
        <v>788.8</v>
      </c>
      <c r="CR23">
        <v>856.1</v>
      </c>
      <c r="CS23">
        <v>880.9</v>
      </c>
      <c r="CT23">
        <v>918.6</v>
      </c>
      <c r="CU23" s="68">
        <f>SUM(CQ23:CT23)</f>
        <v>3444.4</v>
      </c>
      <c r="CV23">
        <v>827.5</v>
      </c>
      <c r="CW23">
        <v>875.1</v>
      </c>
      <c r="CX23">
        <v>932.03246708789572</v>
      </c>
      <c r="CY23" s="2575">
        <v>1092.2</v>
      </c>
      <c r="CZ23" s="68">
        <f>SUM(CV23:CY23)</f>
        <v>3726.8324670878956</v>
      </c>
      <c r="DA23" s="2585">
        <v>847.3</v>
      </c>
      <c r="DB23" s="2614">
        <v>922.7</v>
      </c>
      <c r="DC23" s="2631">
        <v>1062.5</v>
      </c>
      <c r="DD23" s="2649">
        <v>1149.2</v>
      </c>
      <c r="DE23" s="68">
        <f>SUM(DA23:DD23)</f>
        <v>3981.7</v>
      </c>
      <c r="DF23" s="1611">
        <v>734.3</v>
      </c>
      <c r="DG23" s="1611">
        <v>851.5</v>
      </c>
      <c r="DH23" s="1611">
        <v>934.63510378120088</v>
      </c>
      <c r="DI23" s="1611">
        <v>1212.351706111918</v>
      </c>
      <c r="DJ23" s="68">
        <f>SUM(DF23:DI23)</f>
        <v>3732.7868098931185</v>
      </c>
      <c r="DK23" s="69">
        <f ca="1">DK22*DK72</f>
        <v>471.75916507888945</v>
      </c>
      <c r="DL23" s="69">
        <f ca="1">DL22*DL72</f>
        <v>474.62805101864444</v>
      </c>
      <c r="DM23" s="69">
        <f ca="1">DM22*DM72</f>
        <v>529.31229446387601</v>
      </c>
      <c r="DN23" s="69">
        <f ca="1">DN22*DN72</f>
        <v>655.67312376542225</v>
      </c>
      <c r="DO23" s="68">
        <f ca="1">SUM(DK23:DN23)</f>
        <v>2131.3726343268322</v>
      </c>
      <c r="DP23" s="69">
        <f ca="1">DP22*DP72</f>
        <v>435.7106337385739</v>
      </c>
      <c r="DQ23" s="69">
        <f ca="1">DQ22*DQ72</f>
        <v>507.34056968755652</v>
      </c>
      <c r="DR23" s="69">
        <f ca="1">DR22*DR72</f>
        <v>553.41835020349708</v>
      </c>
      <c r="DS23" s="69">
        <f ca="1">DS22*DS72</f>
        <v>685.58869475540484</v>
      </c>
      <c r="DT23" s="68">
        <f ca="1">SUM(DP23:DS23)</f>
        <v>2182.0582483850326</v>
      </c>
      <c r="DU23" s="69">
        <f ca="1">DU22*DU72</f>
        <v>465.55163231394431</v>
      </c>
      <c r="DV23" s="69">
        <f ca="1">DV22*DV72</f>
        <v>542.0178552003506</v>
      </c>
      <c r="DW23" s="69">
        <f ca="1">DW22*DW72</f>
        <v>591.75347249029278</v>
      </c>
      <c r="DX23" s="69">
        <f ca="1">DX22*DX72</f>
        <v>725.16246341859403</v>
      </c>
      <c r="DY23" s="68">
        <f ca="1">SUM(DU23:DX23)</f>
        <v>2324.4854234231816</v>
      </c>
      <c r="DZ23" s="78"/>
    </row>
    <row r="24" spans="1:130" x14ac:dyDescent="0.2">
      <c r="A24" s="80"/>
      <c r="B24" s="72" t="s">
        <v>184</v>
      </c>
      <c r="E24">
        <f t="shared" ref="E24:AJ24" si="26">E22-E23</f>
        <v>79.605000000000103</v>
      </c>
      <c r="F24">
        <f t="shared" si="26"/>
        <v>144.09999999999977</v>
      </c>
      <c r="G24">
        <f t="shared" si="26"/>
        <v>51.071000000000218</v>
      </c>
      <c r="H24">
        <f t="shared" si="26"/>
        <v>92.905999999999665</v>
      </c>
      <c r="I24" s="76">
        <f t="shared" si="26"/>
        <v>625.64699999999971</v>
      </c>
      <c r="J24">
        <f t="shared" si="26"/>
        <v>111.24799999999969</v>
      </c>
      <c r="K24">
        <f t="shared" si="26"/>
        <v>102.16300000000008</v>
      </c>
      <c r="L24">
        <f t="shared" si="26"/>
        <v>82.099000000000132</v>
      </c>
      <c r="M24">
        <f t="shared" si="26"/>
        <v>123.47700000000025</v>
      </c>
      <c r="N24" s="76">
        <f t="shared" si="26"/>
        <v>418.98700000000139</v>
      </c>
      <c r="O24">
        <f t="shared" si="26"/>
        <v>131.96500000000049</v>
      </c>
      <c r="P24">
        <f t="shared" si="26"/>
        <v>174.48200000000026</v>
      </c>
      <c r="Q24">
        <f t="shared" si="26"/>
        <v>106.79999999999977</v>
      </c>
      <c r="R24">
        <f t="shared" si="26"/>
        <v>145.80000000000047</v>
      </c>
      <c r="S24" s="76">
        <f t="shared" si="26"/>
        <v>563.14400000000239</v>
      </c>
      <c r="T24">
        <f t="shared" si="26"/>
        <v>165.00000000000057</v>
      </c>
      <c r="U24">
        <f t="shared" si="26"/>
        <v>162.60000000000056</v>
      </c>
      <c r="V24">
        <f t="shared" si="26"/>
        <v>121.60000000000042</v>
      </c>
      <c r="W24">
        <f t="shared" si="26"/>
        <v>185.89999999999986</v>
      </c>
      <c r="X24" s="76">
        <f t="shared" si="26"/>
        <v>635.09999999999968</v>
      </c>
      <c r="Y24">
        <f t="shared" si="26"/>
        <v>191.2999999999991</v>
      </c>
      <c r="Z24">
        <f t="shared" si="26"/>
        <v>186.5000000000002</v>
      </c>
      <c r="AA24">
        <f t="shared" si="26"/>
        <v>139.49300000000045</v>
      </c>
      <c r="AB24">
        <f t="shared" si="26"/>
        <v>209.49999999999912</v>
      </c>
      <c r="AC24" s="76">
        <f t="shared" si="26"/>
        <v>726.79300000000092</v>
      </c>
      <c r="AD24">
        <f t="shared" si="26"/>
        <v>221.70000000000056</v>
      </c>
      <c r="AE24">
        <f t="shared" si="26"/>
        <v>197.99999999999957</v>
      </c>
      <c r="AF24">
        <f t="shared" si="26"/>
        <v>123.7000000000001</v>
      </c>
      <c r="AG24">
        <f t="shared" si="26"/>
        <v>-129.70000000000027</v>
      </c>
      <c r="AH24" s="76">
        <f t="shared" si="26"/>
        <v>413.6999999999997</v>
      </c>
      <c r="AI24">
        <f t="shared" si="26"/>
        <v>175.69999999999976</v>
      </c>
      <c r="AJ24">
        <f t="shared" si="26"/>
        <v>176.40000000000035</v>
      </c>
      <c r="AK24">
        <f t="shared" ref="AK24:BP24" si="27">AK22-AK23</f>
        <v>164.39999999999924</v>
      </c>
      <c r="AL24">
        <f t="shared" si="27"/>
        <v>200.09999999999974</v>
      </c>
      <c r="AM24" s="76">
        <f t="shared" si="27"/>
        <v>716.59999999999991</v>
      </c>
      <c r="AN24">
        <f t="shared" si="27"/>
        <v>196.29999999999913</v>
      </c>
      <c r="AO24">
        <f t="shared" si="27"/>
        <v>199.80000000000013</v>
      </c>
      <c r="AP24">
        <f t="shared" si="27"/>
        <v>187.80000000000044</v>
      </c>
      <c r="AQ24">
        <f t="shared" si="27"/>
        <v>263.39999999999958</v>
      </c>
      <c r="AR24" s="76">
        <f t="shared" si="27"/>
        <v>847.30000000000382</v>
      </c>
      <c r="AS24">
        <f t="shared" si="27"/>
        <v>244.5999999999998</v>
      </c>
      <c r="AT24">
        <f t="shared" si="27"/>
        <v>234.49999999999994</v>
      </c>
      <c r="AU24">
        <f t="shared" si="27"/>
        <v>184.60000000000011</v>
      </c>
      <c r="AV24">
        <f t="shared" si="27"/>
        <v>255.09999999999903</v>
      </c>
      <c r="AW24" s="76">
        <f t="shared" si="27"/>
        <v>918.80000000000007</v>
      </c>
      <c r="AX24">
        <f t="shared" si="27"/>
        <v>289.70000000000118</v>
      </c>
      <c r="AY24">
        <f t="shared" si="27"/>
        <v>275.9000000000006</v>
      </c>
      <c r="AZ24">
        <f t="shared" si="27"/>
        <v>252.6999999999999</v>
      </c>
      <c r="BA24">
        <f t="shared" si="27"/>
        <v>406.40000000000003</v>
      </c>
      <c r="BB24" s="76">
        <f t="shared" si="27"/>
        <v>1224.7000000000055</v>
      </c>
      <c r="BC24">
        <f t="shared" si="27"/>
        <v>330.2999999999999</v>
      </c>
      <c r="BD24">
        <f t="shared" si="27"/>
        <v>340.89999999999947</v>
      </c>
      <c r="BE24">
        <f t="shared" si="27"/>
        <v>286.10000000000082</v>
      </c>
      <c r="BF24">
        <f t="shared" si="27"/>
        <v>419.19999999999936</v>
      </c>
      <c r="BG24" s="76">
        <f t="shared" si="27"/>
        <v>1213.4000000000001</v>
      </c>
      <c r="BH24">
        <f t="shared" si="27"/>
        <v>408.80000000000035</v>
      </c>
      <c r="BI24">
        <f t="shared" si="27"/>
        <v>723.60000000000377</v>
      </c>
      <c r="BJ24">
        <f t="shared" si="27"/>
        <v>689.5000000000008</v>
      </c>
      <c r="BK24">
        <f t="shared" si="27"/>
        <v>814.9999999999992</v>
      </c>
      <c r="BL24" s="76">
        <f t="shared" si="27"/>
        <v>2636.9999999999973</v>
      </c>
      <c r="BM24">
        <f t="shared" si="27"/>
        <v>748.49999999999977</v>
      </c>
      <c r="BN24">
        <f t="shared" si="27"/>
        <v>823.50000000000443</v>
      </c>
      <c r="BO24">
        <f t="shared" si="27"/>
        <v>818.79999999999836</v>
      </c>
      <c r="BP24">
        <f t="shared" si="27"/>
        <v>953.300000000002</v>
      </c>
      <c r="BQ24" s="76">
        <f t="shared" ref="BQ24:CV24" si="28">BQ22-BQ23</f>
        <v>3344.0999999999935</v>
      </c>
      <c r="BR24">
        <f t="shared" si="28"/>
        <v>743.49999999999989</v>
      </c>
      <c r="BS24">
        <f t="shared" si="28"/>
        <v>889.09999999999695</v>
      </c>
      <c r="BT24">
        <f t="shared" si="28"/>
        <v>867.40000000000055</v>
      </c>
      <c r="BU24">
        <f t="shared" si="28"/>
        <v>1044.4000000000015</v>
      </c>
      <c r="BV24" s="76">
        <f t="shared" si="28"/>
        <v>3541.2999999999884</v>
      </c>
      <c r="BW24">
        <f t="shared" si="28"/>
        <v>772</v>
      </c>
      <c r="BX24">
        <f t="shared" si="28"/>
        <v>822</v>
      </c>
      <c r="BY24">
        <f t="shared" si="28"/>
        <v>819</v>
      </c>
      <c r="BZ24">
        <f t="shared" si="28"/>
        <v>1026</v>
      </c>
      <c r="CA24" s="76">
        <f t="shared" si="28"/>
        <v>3439</v>
      </c>
      <c r="CB24">
        <f t="shared" si="28"/>
        <v>713</v>
      </c>
      <c r="CC24">
        <f t="shared" si="28"/>
        <v>816</v>
      </c>
      <c r="CD24">
        <f t="shared" si="28"/>
        <v>867</v>
      </c>
      <c r="CE24" s="96">
        <f t="shared" si="28"/>
        <v>1098.8000000000013</v>
      </c>
      <c r="CF24" s="97">
        <f t="shared" si="28"/>
        <v>3494.7999999999947</v>
      </c>
      <c r="CG24" s="96">
        <f t="shared" si="28"/>
        <v>776</v>
      </c>
      <c r="CH24" s="96">
        <f t="shared" si="28"/>
        <v>966.20000000000073</v>
      </c>
      <c r="CI24" s="96">
        <f t="shared" si="28"/>
        <v>1010.9749999999983</v>
      </c>
      <c r="CJ24" s="96">
        <f t="shared" si="28"/>
        <v>1129</v>
      </c>
      <c r="CK24" s="97">
        <f t="shared" si="28"/>
        <v>4230.1750000000238</v>
      </c>
      <c r="CL24" s="96">
        <f t="shared" si="28"/>
        <v>956</v>
      </c>
      <c r="CM24" s="96">
        <f>CM22-CM23</f>
        <v>1122.2999999999993</v>
      </c>
      <c r="CN24" s="96">
        <f>CN22-CN23</f>
        <v>1169.2000000000012</v>
      </c>
      <c r="CO24" s="96">
        <f>CO22-CO23</f>
        <v>1265.2000000000016</v>
      </c>
      <c r="CP24" s="76">
        <f t="shared" si="28"/>
        <v>4512.7000000000025</v>
      </c>
      <c r="CQ24" s="96">
        <f>CQ22-CQ23</f>
        <v>1077.499999999998</v>
      </c>
      <c r="CR24" s="96">
        <f>CR22-CR23</f>
        <v>1193.5000000000041</v>
      </c>
      <c r="CS24" s="96">
        <f>CS22-CS23</f>
        <v>1211.3999999999992</v>
      </c>
      <c r="CT24" s="96">
        <f>CT22-CT23</f>
        <v>1271.0000000000032</v>
      </c>
      <c r="CU24" s="76">
        <f t="shared" si="28"/>
        <v>4753.3999999999996</v>
      </c>
      <c r="CV24" s="96">
        <f t="shared" si="28"/>
        <v>1170.500000000005</v>
      </c>
      <c r="CW24" s="96">
        <f t="shared" ref="CW24:DF24" si="29">CW22-CW23</f>
        <v>1220.7999999999961</v>
      </c>
      <c r="CX24" s="96">
        <f t="shared" si="29"/>
        <v>1279.9757406383305</v>
      </c>
      <c r="CY24" s="96">
        <f t="shared" si="29"/>
        <v>1522.7047278599987</v>
      </c>
      <c r="CZ24" s="76">
        <f t="shared" si="29"/>
        <v>5193.9804684983301</v>
      </c>
      <c r="DA24" s="96">
        <f t="shared" si="29"/>
        <v>1116.1999999999987</v>
      </c>
      <c r="DB24" s="96">
        <f t="shared" si="29"/>
        <v>1227.9999999999998</v>
      </c>
      <c r="DC24" s="96">
        <f t="shared" si="29"/>
        <v>1567.1999999999975</v>
      </c>
      <c r="DD24" s="96">
        <f t="shared" si="29"/>
        <v>1633.7999999999981</v>
      </c>
      <c r="DE24" s="2626">
        <f t="shared" si="29"/>
        <v>5545.1999999999944</v>
      </c>
      <c r="DF24" s="96">
        <f t="shared" si="29"/>
        <v>1019.6999999999985</v>
      </c>
      <c r="DG24" s="96">
        <f>DG22-DG23</f>
        <v>1169.7188349591538</v>
      </c>
      <c r="DH24" s="96">
        <f>DH22-DH23</f>
        <v>1331.2780076587974</v>
      </c>
      <c r="DI24" s="96">
        <f>DI22-DI23</f>
        <v>1745.5624471080985</v>
      </c>
      <c r="DJ24" s="2626">
        <f t="shared" ref="DJ24:DO24" si="30">DJ22-DJ23</f>
        <v>5266.2592897260483</v>
      </c>
      <c r="DK24" s="2559">
        <f t="shared" ca="1" si="30"/>
        <v>1275.4970018799602</v>
      </c>
      <c r="DL24" s="2559">
        <f t="shared" ca="1" si="30"/>
        <v>1283.2536194207792</v>
      </c>
      <c r="DM24" s="2559">
        <f t="shared" ca="1" si="30"/>
        <v>1431.103610957887</v>
      </c>
      <c r="DN24" s="2559">
        <f t="shared" ca="1" si="30"/>
        <v>1772.7458531435491</v>
      </c>
      <c r="DO24" s="2626">
        <f t="shared" ca="1" si="30"/>
        <v>5762.6000854021731</v>
      </c>
      <c r="DP24" s="2649">
        <f t="shared" ref="DP24:DY24" ca="1" si="31">DP22-DP23</f>
        <v>1178.0324541820701</v>
      </c>
      <c r="DQ24" s="2649">
        <f t="shared" ca="1" si="31"/>
        <v>1371.6985773033934</v>
      </c>
      <c r="DR24" s="2649">
        <f t="shared" ca="1" si="31"/>
        <v>1496.2792431427883</v>
      </c>
      <c r="DS24" s="2649">
        <f t="shared" ca="1" si="31"/>
        <v>1853.6286932275757</v>
      </c>
      <c r="DT24" s="2626">
        <f t="shared" ca="1" si="31"/>
        <v>5899.6389678558244</v>
      </c>
      <c r="DU24" s="2771">
        <f t="shared" ca="1" si="31"/>
        <v>1258.7136725525161</v>
      </c>
      <c r="DV24" s="2771">
        <f t="shared" ca="1" si="31"/>
        <v>1465.4556825787256</v>
      </c>
      <c r="DW24" s="2771">
        <f t="shared" ca="1" si="31"/>
        <v>1599.9260552515323</v>
      </c>
      <c r="DX24" s="2771">
        <f t="shared" ca="1" si="31"/>
        <v>1960.6244381317538</v>
      </c>
      <c r="DY24" s="2626">
        <f t="shared" ca="1" si="31"/>
        <v>6284.7198485145318</v>
      </c>
      <c r="DZ24" s="80"/>
    </row>
    <row r="25" spans="1:130" x14ac:dyDescent="0.2">
      <c r="A25" s="78"/>
      <c r="B25" s="58" t="s">
        <v>185</v>
      </c>
      <c r="I25" s="61">
        <f>SUM(E25:H25)</f>
        <v>0</v>
      </c>
      <c r="J25">
        <v>0</v>
      </c>
      <c r="K25">
        <v>0</v>
      </c>
      <c r="L25">
        <v>0</v>
      </c>
      <c r="M25">
        <v>0</v>
      </c>
      <c r="N25" s="61">
        <f>SUM(J25:M25)</f>
        <v>0</v>
      </c>
      <c r="O25">
        <v>0</v>
      </c>
      <c r="P25">
        <v>0</v>
      </c>
      <c r="Q25">
        <v>0</v>
      </c>
      <c r="R25">
        <v>0</v>
      </c>
      <c r="S25" s="61">
        <f>SUM(O25:R25)</f>
        <v>0</v>
      </c>
      <c r="T25">
        <v>0</v>
      </c>
      <c r="U25">
        <v>0</v>
      </c>
      <c r="V25">
        <v>0</v>
      </c>
      <c r="W25">
        <v>0</v>
      </c>
      <c r="X25" s="61">
        <f>SUM(T25:W25)</f>
        <v>0</v>
      </c>
      <c r="Y25">
        <v>0</v>
      </c>
      <c r="Z25">
        <v>0</v>
      </c>
      <c r="AA25">
        <v>0</v>
      </c>
      <c r="AB25">
        <v>0</v>
      </c>
      <c r="AC25" s="61">
        <f>SUM(Y25:AB25)</f>
        <v>0</v>
      </c>
      <c r="AD25">
        <v>0</v>
      </c>
      <c r="AE25">
        <v>0</v>
      </c>
      <c r="AF25">
        <v>0</v>
      </c>
      <c r="AG25">
        <v>0</v>
      </c>
      <c r="AH25" s="61">
        <f>SUM(AD25:AG25)</f>
        <v>0</v>
      </c>
      <c r="AI25">
        <v>0</v>
      </c>
      <c r="AJ25">
        <v>0</v>
      </c>
      <c r="AK25">
        <v>0</v>
      </c>
      <c r="AL25">
        <v>0</v>
      </c>
      <c r="AM25" s="61">
        <f>SUM(AI25:AL25)</f>
        <v>0</v>
      </c>
      <c r="AN25">
        <v>0</v>
      </c>
      <c r="AO25">
        <v>0</v>
      </c>
      <c r="AP25">
        <v>0</v>
      </c>
      <c r="AQ25">
        <v>0</v>
      </c>
      <c r="AR25" s="61">
        <f>SUM(AN25:AQ25)</f>
        <v>0</v>
      </c>
      <c r="AS25">
        <v>0</v>
      </c>
      <c r="AT25">
        <v>0</v>
      </c>
      <c r="AU25">
        <v>0</v>
      </c>
      <c r="AV25">
        <v>0</v>
      </c>
      <c r="AW25" s="61">
        <f>SUM(AS25:AV25)</f>
        <v>0</v>
      </c>
      <c r="AX25">
        <v>0</v>
      </c>
      <c r="AY25">
        <v>0</v>
      </c>
      <c r="AZ25">
        <v>0</v>
      </c>
      <c r="BA25">
        <v>0</v>
      </c>
      <c r="BB25" s="61">
        <f>SUM(AX25:BA25)</f>
        <v>0</v>
      </c>
      <c r="BC25">
        <v>0</v>
      </c>
      <c r="BD25">
        <v>0</v>
      </c>
      <c r="BE25">
        <v>0</v>
      </c>
      <c r="BF25">
        <v>0</v>
      </c>
      <c r="BG25" s="63">
        <v>0</v>
      </c>
      <c r="BH25">
        <v>0</v>
      </c>
      <c r="BI25">
        <v>0</v>
      </c>
      <c r="BJ25">
        <v>0</v>
      </c>
      <c r="BK25">
        <v>0</v>
      </c>
      <c r="BL25" s="63">
        <v>0</v>
      </c>
      <c r="BM25">
        <v>0</v>
      </c>
      <c r="BN25">
        <v>-48.7</v>
      </c>
      <c r="BO25">
        <v>-82.8</v>
      </c>
      <c r="BP25">
        <v>-0.5</v>
      </c>
      <c r="BQ25" s="63">
        <v>-132</v>
      </c>
      <c r="BR25">
        <v>-5.0999999999999996</v>
      </c>
      <c r="BS25">
        <v>-2.6</v>
      </c>
      <c r="BT25">
        <v>-1.8</v>
      </c>
      <c r="BU25">
        <v>-2</v>
      </c>
      <c r="BV25" s="61">
        <f>SUM(BR25:BU25)</f>
        <v>-11.5</v>
      </c>
      <c r="BW25">
        <v>-2</v>
      </c>
      <c r="BX25">
        <v>-1</v>
      </c>
      <c r="BY25">
        <v>-11</v>
      </c>
      <c r="BZ25">
        <v>0</v>
      </c>
      <c r="CA25" s="61">
        <f>SUM(BW25:BZ25)</f>
        <v>-14</v>
      </c>
      <c r="CB25">
        <v>-1</v>
      </c>
      <c r="CC25">
        <v>-1</v>
      </c>
      <c r="CD25">
        <v>0</v>
      </c>
      <c r="CE25">
        <v>-36</v>
      </c>
      <c r="CF25" s="61">
        <f>SUM(CB25:CE25)</f>
        <v>-38</v>
      </c>
      <c r="CG25">
        <v>-1</v>
      </c>
      <c r="CH25">
        <v>-0.8</v>
      </c>
      <c r="CI25">
        <v>-5</v>
      </c>
      <c r="CJ25">
        <v>0</v>
      </c>
      <c r="CK25" s="61">
        <f>SUM(CG25:CJ25)</f>
        <v>-6.8</v>
      </c>
      <c r="CL25">
        <v>0</v>
      </c>
      <c r="CM25">
        <v>-1</v>
      </c>
      <c r="CN25">
        <v>-6</v>
      </c>
      <c r="CO25">
        <v>-1</v>
      </c>
      <c r="CP25" s="61">
        <f>SUM(CL25:CO25)</f>
        <v>-8</v>
      </c>
      <c r="CQ25">
        <v>-0.1</v>
      </c>
      <c r="CR25">
        <v>0</v>
      </c>
      <c r="CS25">
        <v>0</v>
      </c>
      <c r="CT25">
        <v>0</v>
      </c>
      <c r="CU25" s="61">
        <f>SUM(CQ25:CT25)</f>
        <v>-0.1</v>
      </c>
      <c r="CV25">
        <v>0</v>
      </c>
      <c r="CW25">
        <v>0</v>
      </c>
      <c r="CX25">
        <v>0</v>
      </c>
      <c r="CY25" s="2575">
        <v>0</v>
      </c>
      <c r="CZ25" s="61">
        <f>SUM(CV25:CY25)</f>
        <v>0</v>
      </c>
      <c r="DA25" s="2585">
        <v>0</v>
      </c>
      <c r="DB25" s="2614">
        <v>0</v>
      </c>
      <c r="DC25" s="2631">
        <v>-1.1000000000000001</v>
      </c>
      <c r="DD25" s="2649">
        <v>-0.4</v>
      </c>
      <c r="DE25" s="2624">
        <f>SUM(DA25:DD25)</f>
        <v>-1.5</v>
      </c>
      <c r="DF25" s="1611">
        <v>0</v>
      </c>
      <c r="DG25" s="1611">
        <v>0</v>
      </c>
      <c r="DH25" s="1611">
        <v>0</v>
      </c>
      <c r="DI25" s="1611">
        <v>0</v>
      </c>
      <c r="DJ25" s="2624">
        <f>SUM(DF25:DI25)</f>
        <v>0</v>
      </c>
      <c r="DK25" s="2559">
        <v>0</v>
      </c>
      <c r="DL25" s="2559">
        <v>0</v>
      </c>
      <c r="DM25" s="2559">
        <v>0</v>
      </c>
      <c r="DN25" s="2559">
        <v>0</v>
      </c>
      <c r="DO25" s="2624">
        <f>SUM(DK25:DN25)</f>
        <v>0</v>
      </c>
      <c r="DP25" s="2649">
        <v>0</v>
      </c>
      <c r="DQ25" s="2649">
        <v>0</v>
      </c>
      <c r="DR25" s="2649">
        <v>0</v>
      </c>
      <c r="DS25" s="2649">
        <v>0</v>
      </c>
      <c r="DT25" s="2624">
        <f>SUM(DP25:DS25)</f>
        <v>0</v>
      </c>
      <c r="DU25" s="2771">
        <v>0</v>
      </c>
      <c r="DV25" s="2771">
        <v>0</v>
      </c>
      <c r="DW25" s="2771">
        <v>0</v>
      </c>
      <c r="DX25" s="2771">
        <v>0</v>
      </c>
      <c r="DY25" s="2624">
        <f>SUM(DU25:DX25)</f>
        <v>0</v>
      </c>
      <c r="DZ25" s="78"/>
    </row>
    <row r="26" spans="1:130" x14ac:dyDescent="0.2">
      <c r="A26" s="78"/>
      <c r="B26" s="58" t="s">
        <v>186</v>
      </c>
      <c r="F26">
        <v>-12.8</v>
      </c>
      <c r="I26" s="63">
        <v>-12.8</v>
      </c>
      <c r="J26">
        <v>0</v>
      </c>
      <c r="K26">
        <v>0</v>
      </c>
      <c r="L26">
        <v>0</v>
      </c>
      <c r="M26">
        <v>0</v>
      </c>
      <c r="N26" s="61">
        <f>SUM(J26:M26)</f>
        <v>0</v>
      </c>
      <c r="O26">
        <v>0</v>
      </c>
      <c r="P26">
        <v>0</v>
      </c>
      <c r="Q26">
        <v>0</v>
      </c>
      <c r="R26">
        <v>0</v>
      </c>
      <c r="S26" s="61">
        <f>SUM(O26:R26)</f>
        <v>0</v>
      </c>
      <c r="T26">
        <v>0</v>
      </c>
      <c r="U26">
        <v>0</v>
      </c>
      <c r="V26">
        <v>0</v>
      </c>
      <c r="W26">
        <v>0</v>
      </c>
      <c r="X26" s="61">
        <f>SUM(T26:W26)</f>
        <v>0</v>
      </c>
      <c r="Y26">
        <v>0</v>
      </c>
      <c r="Z26">
        <v>0</v>
      </c>
      <c r="AA26">
        <v>0</v>
      </c>
      <c r="AB26">
        <v>0</v>
      </c>
      <c r="AC26" s="61">
        <f>SUM(Y26:AB26)</f>
        <v>0</v>
      </c>
      <c r="AD26">
        <v>0</v>
      </c>
      <c r="AE26">
        <v>0</v>
      </c>
      <c r="AF26">
        <v>0</v>
      </c>
      <c r="AG26">
        <v>0</v>
      </c>
      <c r="AH26" s="61">
        <f>SUM(AD26:AG26)</f>
        <v>0</v>
      </c>
      <c r="AI26">
        <v>0</v>
      </c>
      <c r="AJ26">
        <v>0</v>
      </c>
      <c r="AK26">
        <v>0</v>
      </c>
      <c r="AL26">
        <v>0</v>
      </c>
      <c r="AM26" s="61">
        <f>SUM(AI26:AL26)</f>
        <v>0</v>
      </c>
      <c r="AN26">
        <v>0</v>
      </c>
      <c r="AO26">
        <v>0</v>
      </c>
      <c r="AP26">
        <v>0</v>
      </c>
      <c r="AQ26">
        <v>0</v>
      </c>
      <c r="AR26" s="61">
        <f>SUM(AN26:AQ26)</f>
        <v>0</v>
      </c>
      <c r="AS26">
        <v>0</v>
      </c>
      <c r="AT26">
        <v>0</v>
      </c>
      <c r="AU26">
        <v>0</v>
      </c>
      <c r="AV26">
        <v>0</v>
      </c>
      <c r="AW26" s="61">
        <f>SUM(AS26:AV26)</f>
        <v>0</v>
      </c>
      <c r="AX26">
        <v>0</v>
      </c>
      <c r="AY26">
        <v>0</v>
      </c>
      <c r="AZ26">
        <v>0</v>
      </c>
      <c r="BA26">
        <v>0</v>
      </c>
      <c r="BB26" s="61">
        <f>SUM(AX26:BA26)</f>
        <v>0</v>
      </c>
      <c r="BC26">
        <v>0</v>
      </c>
      <c r="BD26">
        <v>0</v>
      </c>
      <c r="BE26">
        <v>0</v>
      </c>
      <c r="BF26">
        <v>0</v>
      </c>
      <c r="BG26" s="63">
        <v>0</v>
      </c>
      <c r="BH26">
        <v>0</v>
      </c>
      <c r="BI26">
        <v>0</v>
      </c>
      <c r="BJ26">
        <v>0</v>
      </c>
      <c r="BK26">
        <v>0</v>
      </c>
      <c r="BL26" s="63">
        <v>0</v>
      </c>
      <c r="BM26">
        <v>0</v>
      </c>
      <c r="BN26">
        <v>0</v>
      </c>
      <c r="BO26">
        <v>0</v>
      </c>
      <c r="BP26">
        <v>0</v>
      </c>
      <c r="BQ26" s="63">
        <v>0</v>
      </c>
      <c r="BR26">
        <v>0</v>
      </c>
      <c r="BS26">
        <v>0</v>
      </c>
      <c r="BT26">
        <v>155.69999999999999</v>
      </c>
      <c r="BU26">
        <v>7</v>
      </c>
      <c r="BV26" s="63">
        <v>167</v>
      </c>
      <c r="BW26">
        <v>0</v>
      </c>
      <c r="BX26">
        <v>0</v>
      </c>
      <c r="BY26">
        <v>0</v>
      </c>
      <c r="BZ26">
        <v>-1</v>
      </c>
      <c r="CA26" s="61">
        <f>SUM(BW26:BZ26)</f>
        <v>-1</v>
      </c>
      <c r="CB26">
        <v>0</v>
      </c>
      <c r="CC26">
        <v>-1</v>
      </c>
      <c r="CD26">
        <v>0</v>
      </c>
      <c r="CE26">
        <v>1</v>
      </c>
      <c r="CF26" s="61">
        <f>SUM(CB26:CE26)</f>
        <v>0</v>
      </c>
      <c r="CG26">
        <v>0</v>
      </c>
      <c r="CH26">
        <v>0</v>
      </c>
      <c r="CI26">
        <v>0</v>
      </c>
      <c r="CJ26">
        <v>0</v>
      </c>
      <c r="CK26" s="61">
        <f>SUM(CG26:CJ26)</f>
        <v>0</v>
      </c>
      <c r="CL26">
        <v>0</v>
      </c>
      <c r="CM26">
        <v>0</v>
      </c>
      <c r="CN26">
        <f>72*0.6</f>
        <v>43.199999999999996</v>
      </c>
      <c r="CO26">
        <v>0</v>
      </c>
      <c r="CP26" s="61">
        <f>SUM(CL26:CO26)</f>
        <v>43.199999999999996</v>
      </c>
      <c r="CQ26">
        <v>0</v>
      </c>
      <c r="CR26">
        <v>-0.4</v>
      </c>
      <c r="CS26">
        <v>0</v>
      </c>
      <c r="CT26">
        <v>-0.3</v>
      </c>
      <c r="CU26" s="61">
        <f>SUM(CQ26:CT26)</f>
        <v>-0.7</v>
      </c>
      <c r="CV26">
        <v>5.5</v>
      </c>
      <c r="CW26">
        <f>-6.5-0.3</f>
        <v>-6.8</v>
      </c>
      <c r="CX26">
        <f>-6.9-1</f>
        <v>-7.9</v>
      </c>
      <c r="CY26" s="2575">
        <f>-8.5-1.4</f>
        <v>-9.9</v>
      </c>
      <c r="CZ26" s="61">
        <f>SUM(CV26:CY26)</f>
        <v>-19.100000000000001</v>
      </c>
      <c r="DA26" s="2585">
        <f>-6.9-0.5</f>
        <v>-7.4</v>
      </c>
      <c r="DB26" s="2614">
        <f>-5.8+0.3</f>
        <v>-5.5</v>
      </c>
      <c r="DC26" s="2631">
        <v>-7.6</v>
      </c>
      <c r="DD26" s="2649">
        <v>-9.1</v>
      </c>
      <c r="DE26" s="2624">
        <f>SUM(DA26:DD26)</f>
        <v>-29.6</v>
      </c>
      <c r="DF26" s="1611">
        <f>-5.1-0.4</f>
        <v>-5.5</v>
      </c>
      <c r="DG26" s="1611">
        <v>-4.3</v>
      </c>
      <c r="DH26" s="1611">
        <v>-3.3</v>
      </c>
      <c r="DI26" s="1611">
        <v>-3.3</v>
      </c>
      <c r="DJ26" s="2624">
        <f>SUM(DF26:DI26)</f>
        <v>-16.400000000000002</v>
      </c>
      <c r="DK26" s="2559">
        <v>0</v>
      </c>
      <c r="DL26" s="2559">
        <v>0</v>
      </c>
      <c r="DM26" s="2559">
        <v>0</v>
      </c>
      <c r="DN26" s="2559">
        <v>0</v>
      </c>
      <c r="DO26" s="2624">
        <f>SUM(DK26:DN26)</f>
        <v>0</v>
      </c>
      <c r="DP26" s="2649">
        <v>0</v>
      </c>
      <c r="DQ26" s="2649">
        <v>0</v>
      </c>
      <c r="DR26" s="2649">
        <v>0</v>
      </c>
      <c r="DS26" s="2649">
        <v>0</v>
      </c>
      <c r="DT26" s="2624">
        <f>SUM(DP26:DS26)</f>
        <v>0</v>
      </c>
      <c r="DU26" s="2771">
        <v>0</v>
      </c>
      <c r="DV26" s="2771">
        <v>0</v>
      </c>
      <c r="DW26" s="2771">
        <v>0</v>
      </c>
      <c r="DX26" s="2771">
        <v>0</v>
      </c>
      <c r="DY26" s="2624">
        <f>SUM(DU26:DX26)</f>
        <v>0</v>
      </c>
      <c r="DZ26" s="78"/>
    </row>
    <row r="27" spans="1:130" x14ac:dyDescent="0.2">
      <c r="A27" s="78"/>
      <c r="B27" s="58" t="s">
        <v>187</v>
      </c>
      <c r="E27" s="1867">
        <f t="shared" ref="E27:AJ27" si="32">E24+SUM(E25:E26)</f>
        <v>79.605000000000103</v>
      </c>
      <c r="F27" s="1867">
        <f t="shared" si="32"/>
        <v>131.29999999999976</v>
      </c>
      <c r="G27" s="1867">
        <f t="shared" si="32"/>
        <v>51.071000000000218</v>
      </c>
      <c r="H27" s="1867">
        <f t="shared" si="32"/>
        <v>92.905999999999665</v>
      </c>
      <c r="I27" s="61">
        <f t="shared" si="32"/>
        <v>612.84699999999975</v>
      </c>
      <c r="J27" s="1867">
        <f t="shared" si="32"/>
        <v>111.24799999999969</v>
      </c>
      <c r="K27" s="1867">
        <f t="shared" si="32"/>
        <v>102.16300000000008</v>
      </c>
      <c r="L27" s="1867">
        <f t="shared" si="32"/>
        <v>82.099000000000132</v>
      </c>
      <c r="M27" s="1867">
        <f t="shared" si="32"/>
        <v>123.47700000000025</v>
      </c>
      <c r="N27" s="61">
        <f t="shared" si="32"/>
        <v>418.98700000000139</v>
      </c>
      <c r="O27" s="1867">
        <f t="shared" si="32"/>
        <v>131.96500000000049</v>
      </c>
      <c r="P27" s="1867">
        <f t="shared" si="32"/>
        <v>174.48200000000026</v>
      </c>
      <c r="Q27" s="1867">
        <f t="shared" si="32"/>
        <v>106.79999999999977</v>
      </c>
      <c r="R27" s="1867">
        <f t="shared" si="32"/>
        <v>145.80000000000047</v>
      </c>
      <c r="S27" s="61">
        <f t="shared" si="32"/>
        <v>563.14400000000239</v>
      </c>
      <c r="T27" s="1867">
        <f t="shared" si="32"/>
        <v>165.00000000000057</v>
      </c>
      <c r="U27" s="1867">
        <f t="shared" si="32"/>
        <v>162.60000000000056</v>
      </c>
      <c r="V27" s="1867">
        <f t="shared" si="32"/>
        <v>121.60000000000042</v>
      </c>
      <c r="W27" s="1867">
        <f t="shared" si="32"/>
        <v>185.89999999999986</v>
      </c>
      <c r="X27" s="61">
        <f t="shared" si="32"/>
        <v>635.09999999999968</v>
      </c>
      <c r="Y27" s="1867">
        <f t="shared" si="32"/>
        <v>191.2999999999991</v>
      </c>
      <c r="Z27" s="1867">
        <f t="shared" si="32"/>
        <v>186.5000000000002</v>
      </c>
      <c r="AA27" s="1867">
        <f t="shared" si="32"/>
        <v>139.49300000000045</v>
      </c>
      <c r="AB27" s="1867">
        <f t="shared" si="32"/>
        <v>209.49999999999912</v>
      </c>
      <c r="AC27" s="61">
        <f t="shared" si="32"/>
        <v>726.79300000000092</v>
      </c>
      <c r="AD27" s="1867">
        <f t="shared" si="32"/>
        <v>221.70000000000056</v>
      </c>
      <c r="AE27" s="1867">
        <f t="shared" si="32"/>
        <v>197.99999999999957</v>
      </c>
      <c r="AF27" s="1867">
        <f t="shared" si="32"/>
        <v>123.7000000000001</v>
      </c>
      <c r="AG27" s="1867">
        <f t="shared" si="32"/>
        <v>-129.70000000000027</v>
      </c>
      <c r="AH27" s="61">
        <f t="shared" si="32"/>
        <v>413.6999999999997</v>
      </c>
      <c r="AI27" s="1867">
        <f t="shared" si="32"/>
        <v>175.69999999999976</v>
      </c>
      <c r="AJ27" s="1867">
        <f t="shared" si="32"/>
        <v>176.40000000000035</v>
      </c>
      <c r="AK27" s="1867">
        <f t="shared" ref="AK27:BP27" si="33">AK24+SUM(AK25:AK26)</f>
        <v>164.39999999999924</v>
      </c>
      <c r="AL27" s="1867">
        <f t="shared" si="33"/>
        <v>200.09999999999974</v>
      </c>
      <c r="AM27" s="61">
        <f t="shared" si="33"/>
        <v>716.59999999999991</v>
      </c>
      <c r="AN27" s="1867">
        <f t="shared" si="33"/>
        <v>196.29999999999913</v>
      </c>
      <c r="AO27" s="1867">
        <f t="shared" si="33"/>
        <v>199.80000000000013</v>
      </c>
      <c r="AP27" s="1867">
        <f t="shared" si="33"/>
        <v>187.80000000000044</v>
      </c>
      <c r="AQ27" s="1867">
        <f t="shared" si="33"/>
        <v>263.39999999999958</v>
      </c>
      <c r="AR27" s="61">
        <f t="shared" si="33"/>
        <v>847.30000000000382</v>
      </c>
      <c r="AS27" s="1867">
        <f t="shared" si="33"/>
        <v>244.5999999999998</v>
      </c>
      <c r="AT27" s="1867">
        <f t="shared" si="33"/>
        <v>234.49999999999994</v>
      </c>
      <c r="AU27" s="1867">
        <f t="shared" si="33"/>
        <v>184.60000000000011</v>
      </c>
      <c r="AV27" s="1867">
        <f t="shared" si="33"/>
        <v>255.09999999999903</v>
      </c>
      <c r="AW27" s="61">
        <f t="shared" si="33"/>
        <v>918.80000000000007</v>
      </c>
      <c r="AX27" s="1867">
        <f t="shared" si="33"/>
        <v>289.70000000000118</v>
      </c>
      <c r="AY27" s="1867">
        <f t="shared" si="33"/>
        <v>275.9000000000006</v>
      </c>
      <c r="AZ27" s="1867">
        <f t="shared" si="33"/>
        <v>252.6999999999999</v>
      </c>
      <c r="BA27" s="1867">
        <f t="shared" si="33"/>
        <v>406.40000000000003</v>
      </c>
      <c r="BB27" s="61">
        <f t="shared" si="33"/>
        <v>1224.7000000000055</v>
      </c>
      <c r="BC27" s="1867">
        <f t="shared" si="33"/>
        <v>330.2999999999999</v>
      </c>
      <c r="BD27" s="1867">
        <f t="shared" si="33"/>
        <v>340.89999999999947</v>
      </c>
      <c r="BE27" s="1867">
        <f t="shared" si="33"/>
        <v>286.10000000000082</v>
      </c>
      <c r="BF27" s="1867">
        <f t="shared" si="33"/>
        <v>419.19999999999936</v>
      </c>
      <c r="BG27" s="61">
        <f t="shared" si="33"/>
        <v>1213.4000000000001</v>
      </c>
      <c r="BH27" s="1867">
        <f t="shared" si="33"/>
        <v>408.80000000000035</v>
      </c>
      <c r="BI27" s="1867">
        <f t="shared" si="33"/>
        <v>723.60000000000377</v>
      </c>
      <c r="BJ27" s="1867">
        <f t="shared" si="33"/>
        <v>689.5000000000008</v>
      </c>
      <c r="BK27" s="1867">
        <f t="shared" si="33"/>
        <v>814.9999999999992</v>
      </c>
      <c r="BL27" s="61">
        <f t="shared" si="33"/>
        <v>2636.9999999999973</v>
      </c>
      <c r="BM27" s="1867">
        <f t="shared" si="33"/>
        <v>748.49999999999977</v>
      </c>
      <c r="BN27" s="1867">
        <f t="shared" si="33"/>
        <v>774.80000000000439</v>
      </c>
      <c r="BO27" s="1867">
        <f t="shared" si="33"/>
        <v>735.99999999999841</v>
      </c>
      <c r="BP27" s="1867">
        <f t="shared" si="33"/>
        <v>952.800000000002</v>
      </c>
      <c r="BQ27" s="61">
        <f t="shared" ref="BQ27:CT27" si="34">BQ24+SUM(BQ25:BQ26)</f>
        <v>3212.0999999999935</v>
      </c>
      <c r="BR27" s="1867">
        <f t="shared" si="34"/>
        <v>738.39999999999986</v>
      </c>
      <c r="BS27" s="1867">
        <f t="shared" si="34"/>
        <v>886.49999999999693</v>
      </c>
      <c r="BT27" s="1867">
        <f t="shared" si="34"/>
        <v>1021.3000000000005</v>
      </c>
      <c r="BU27" s="1867">
        <f t="shared" si="34"/>
        <v>1049.4000000000015</v>
      </c>
      <c r="BV27" s="61">
        <f t="shared" si="34"/>
        <v>3696.7999999999884</v>
      </c>
      <c r="BW27" s="1867">
        <f t="shared" si="34"/>
        <v>770</v>
      </c>
      <c r="BX27" s="1867">
        <f t="shared" si="34"/>
        <v>821</v>
      </c>
      <c r="BY27" s="1867">
        <f t="shared" si="34"/>
        <v>808</v>
      </c>
      <c r="BZ27" s="1867">
        <f t="shared" si="34"/>
        <v>1025</v>
      </c>
      <c r="CA27" s="61">
        <f t="shared" si="34"/>
        <v>3424</v>
      </c>
      <c r="CB27" s="1867">
        <f t="shared" si="34"/>
        <v>712</v>
      </c>
      <c r="CC27" s="1867">
        <f t="shared" si="34"/>
        <v>814</v>
      </c>
      <c r="CD27" s="1867">
        <f t="shared" si="34"/>
        <v>867</v>
      </c>
      <c r="CE27" s="1867">
        <f t="shared" si="34"/>
        <v>1063.8000000000013</v>
      </c>
      <c r="CF27" s="61">
        <f t="shared" si="34"/>
        <v>3456.7999999999947</v>
      </c>
      <c r="CG27" s="1867">
        <f t="shared" si="34"/>
        <v>775</v>
      </c>
      <c r="CH27" s="1867">
        <f t="shared" si="34"/>
        <v>965.40000000000077</v>
      </c>
      <c r="CI27" s="1867">
        <f t="shared" si="34"/>
        <v>1005.9749999999983</v>
      </c>
      <c r="CJ27" s="1867">
        <f t="shared" si="34"/>
        <v>1129</v>
      </c>
      <c r="CK27" s="61">
        <f t="shared" si="34"/>
        <v>4223.3750000000236</v>
      </c>
      <c r="CL27" s="1867">
        <f t="shared" si="34"/>
        <v>956</v>
      </c>
      <c r="CM27" s="1867">
        <f t="shared" si="34"/>
        <v>1121.2999999999993</v>
      </c>
      <c r="CN27" s="1867">
        <f>CN24+SUM(CN25:CN26)</f>
        <v>1206.4000000000012</v>
      </c>
      <c r="CO27" s="1867">
        <f>CO24+SUM(CO25:CO26)</f>
        <v>1264.2000000000016</v>
      </c>
      <c r="CP27" s="61">
        <f>SUM(CL27:CO27)</f>
        <v>4547.9000000000024</v>
      </c>
      <c r="CQ27" s="1867">
        <f>CQ24+SUM(CQ25:CQ26)</f>
        <v>1077.399999999998</v>
      </c>
      <c r="CR27" s="1867">
        <f t="shared" si="34"/>
        <v>1193.100000000004</v>
      </c>
      <c r="CS27" s="1867">
        <f t="shared" si="34"/>
        <v>1211.3999999999992</v>
      </c>
      <c r="CT27" s="1867">
        <f t="shared" si="34"/>
        <v>1270.7000000000032</v>
      </c>
      <c r="CU27" s="61">
        <f>SUM(CQ27:CT27)</f>
        <v>4752.600000000004</v>
      </c>
      <c r="CV27" s="1867">
        <f t="shared" ref="CV27:DF27" si="35">CV24+SUM(CV25:CV26)</f>
        <v>1176.000000000005</v>
      </c>
      <c r="CW27" s="1867">
        <f t="shared" si="35"/>
        <v>1213.9999999999961</v>
      </c>
      <c r="CX27" s="1867">
        <f t="shared" si="35"/>
        <v>1272.0757406383304</v>
      </c>
      <c r="CY27" s="1867">
        <f t="shared" si="35"/>
        <v>1512.8047278599986</v>
      </c>
      <c r="CZ27" s="61">
        <f t="shared" si="35"/>
        <v>5174.8804684983297</v>
      </c>
      <c r="DA27" s="1867">
        <f t="shared" si="35"/>
        <v>1108.7999999999986</v>
      </c>
      <c r="DB27" s="1867">
        <f t="shared" si="35"/>
        <v>1222.4999999999998</v>
      </c>
      <c r="DC27" s="1867">
        <f t="shared" si="35"/>
        <v>1558.4999999999975</v>
      </c>
      <c r="DD27" s="1867">
        <f t="shared" si="35"/>
        <v>1624.2999999999981</v>
      </c>
      <c r="DE27" s="2624">
        <f t="shared" si="35"/>
        <v>5514.099999999994</v>
      </c>
      <c r="DF27" s="1867">
        <f t="shared" si="35"/>
        <v>1014.1999999999985</v>
      </c>
      <c r="DG27" s="1867">
        <f>DG24+SUM(DG25:DG26)</f>
        <v>1165.4188349591539</v>
      </c>
      <c r="DH27" s="1867">
        <f>DH24+SUM(DH25:DH26)</f>
        <v>1327.9780076587974</v>
      </c>
      <c r="DI27" s="1867">
        <f>DI24+SUM(DI25:DI26)</f>
        <v>1742.2624471080985</v>
      </c>
      <c r="DJ27" s="2588">
        <f t="shared" ref="DJ27:DO27" si="36">DJ24+SUM(DJ25:DJ26)</f>
        <v>5249.8592897260487</v>
      </c>
      <c r="DK27" s="1867">
        <f t="shared" ca="1" si="36"/>
        <v>1275.4970018799602</v>
      </c>
      <c r="DL27" s="1867">
        <f t="shared" ca="1" si="36"/>
        <v>1283.2536194207792</v>
      </c>
      <c r="DM27" s="1867">
        <f t="shared" ca="1" si="36"/>
        <v>1431.103610957887</v>
      </c>
      <c r="DN27" s="1867">
        <f t="shared" ca="1" si="36"/>
        <v>1772.7458531435491</v>
      </c>
      <c r="DO27" s="2588">
        <f t="shared" ca="1" si="36"/>
        <v>5762.6000854021731</v>
      </c>
      <c r="DP27" s="1867">
        <f t="shared" ref="DP27:DY27" ca="1" si="37">DP24+SUM(DP25:DP26)</f>
        <v>1178.0324541820701</v>
      </c>
      <c r="DQ27" s="1867">
        <f t="shared" ca="1" si="37"/>
        <v>1371.6985773033934</v>
      </c>
      <c r="DR27" s="1867">
        <f t="shared" ca="1" si="37"/>
        <v>1496.2792431427883</v>
      </c>
      <c r="DS27" s="1867">
        <f t="shared" ca="1" si="37"/>
        <v>1853.6286932275757</v>
      </c>
      <c r="DT27" s="2588">
        <f t="shared" ca="1" si="37"/>
        <v>5899.6389678558244</v>
      </c>
      <c r="DU27" s="1867">
        <f t="shared" ca="1" si="37"/>
        <v>1258.7136725525161</v>
      </c>
      <c r="DV27" s="1867">
        <f t="shared" ca="1" si="37"/>
        <v>1465.4556825787256</v>
      </c>
      <c r="DW27" s="1867">
        <f t="shared" ca="1" si="37"/>
        <v>1599.9260552515323</v>
      </c>
      <c r="DX27" s="1867">
        <f t="shared" ca="1" si="37"/>
        <v>1960.6244381317538</v>
      </c>
      <c r="DY27" s="2588">
        <f t="shared" ca="1" si="37"/>
        <v>6284.7198485145318</v>
      </c>
      <c r="DZ27" s="78"/>
    </row>
    <row r="28" spans="1:130" x14ac:dyDescent="0.2">
      <c r="A28" s="78"/>
      <c r="B28" s="65" t="s">
        <v>188</v>
      </c>
      <c r="C28" s="66"/>
      <c r="D28" s="66"/>
      <c r="E28" s="67">
        <v>3.5760000000000001</v>
      </c>
      <c r="F28" s="67">
        <v>3.5760000000000001</v>
      </c>
      <c r="G28" s="67">
        <v>3.6</v>
      </c>
      <c r="H28" s="67">
        <v>3.7</v>
      </c>
      <c r="I28" s="68">
        <f>SUM(E28:H28)</f>
        <v>14.452000000000002</v>
      </c>
      <c r="J28" s="67">
        <v>3.4</v>
      </c>
      <c r="K28" s="67">
        <v>3.4</v>
      </c>
      <c r="L28" s="67">
        <v>3.4</v>
      </c>
      <c r="M28" s="67">
        <v>3.4</v>
      </c>
      <c r="N28" s="68">
        <f>SUM(J28:M28)</f>
        <v>13.6</v>
      </c>
      <c r="O28" s="67">
        <v>3.4</v>
      </c>
      <c r="P28" s="67">
        <v>3.4</v>
      </c>
      <c r="Q28" s="67">
        <v>3.4</v>
      </c>
      <c r="R28" s="67">
        <v>3.4</v>
      </c>
      <c r="S28" s="68">
        <f>SUM(O28:R28)</f>
        <v>13.6</v>
      </c>
      <c r="T28" s="67">
        <v>3.6</v>
      </c>
      <c r="U28" s="67">
        <v>3.6</v>
      </c>
      <c r="V28" s="67">
        <v>3.6</v>
      </c>
      <c r="W28" s="67">
        <v>3.9</v>
      </c>
      <c r="X28" s="68">
        <f>SUM(T28:W28)</f>
        <v>14.700000000000001</v>
      </c>
      <c r="Y28" s="67">
        <v>3.8</v>
      </c>
      <c r="Z28" s="67">
        <v>3.7</v>
      </c>
      <c r="AA28" s="67">
        <v>3.8</v>
      </c>
      <c r="AB28" s="67">
        <v>3.3</v>
      </c>
      <c r="AC28" s="68">
        <f>SUM(Y28:AB28)</f>
        <v>14.600000000000001</v>
      </c>
      <c r="AD28" s="67">
        <v>3.7</v>
      </c>
      <c r="AE28" s="67">
        <v>3.7</v>
      </c>
      <c r="AF28" s="67">
        <v>3.7</v>
      </c>
      <c r="AG28" s="67">
        <v>3.6</v>
      </c>
      <c r="AH28" s="68">
        <f>SUM(AD28:AG28)</f>
        <v>14.700000000000001</v>
      </c>
      <c r="AI28" s="67">
        <v>3.7</v>
      </c>
      <c r="AJ28" s="67">
        <v>3.7</v>
      </c>
      <c r="AK28" s="67">
        <v>3.7</v>
      </c>
      <c r="AL28" s="67">
        <v>3.7</v>
      </c>
      <c r="AM28" s="68">
        <f>SUM(AI28:AL28)</f>
        <v>14.8</v>
      </c>
      <c r="AN28" s="67">
        <v>3.6</v>
      </c>
      <c r="AO28" s="67">
        <v>3.7</v>
      </c>
      <c r="AP28" s="67">
        <v>3.7</v>
      </c>
      <c r="AQ28" s="67">
        <v>3.6</v>
      </c>
      <c r="AR28" s="68">
        <f>SUM(AN28:AQ28)</f>
        <v>14.6</v>
      </c>
      <c r="AS28" s="67">
        <v>3.6</v>
      </c>
      <c r="AT28" s="67">
        <v>3.7</v>
      </c>
      <c r="AU28" s="67">
        <v>3.6</v>
      </c>
      <c r="AV28" s="67">
        <v>3.3</v>
      </c>
      <c r="AW28" s="68">
        <f>SUM(AS28:AV28)</f>
        <v>14.2</v>
      </c>
      <c r="AX28" s="67">
        <v>3.5</v>
      </c>
      <c r="AY28" s="67">
        <v>3.5</v>
      </c>
      <c r="AZ28" s="67">
        <v>3.5</v>
      </c>
      <c r="BA28" s="67">
        <v>3.6</v>
      </c>
      <c r="BB28" s="68">
        <f>SUM(AX28:BA28)</f>
        <v>14.1</v>
      </c>
      <c r="BC28" s="67">
        <v>3.5</v>
      </c>
      <c r="BD28" s="67">
        <v>3.5</v>
      </c>
      <c r="BE28" s="67">
        <v>3.5</v>
      </c>
      <c r="BF28" s="67">
        <v>3.4</v>
      </c>
      <c r="BG28" s="68">
        <f>SUM(BC28:BF28)</f>
        <v>13.9</v>
      </c>
      <c r="BH28" s="67">
        <v>3.5</v>
      </c>
      <c r="BI28" s="67">
        <v>3.5</v>
      </c>
      <c r="BJ28" s="67">
        <v>3.4</v>
      </c>
      <c r="BK28" s="67">
        <v>3.8</v>
      </c>
      <c r="BL28" s="68">
        <f>SUM(BH28:BK28)</f>
        <v>14.2</v>
      </c>
      <c r="BM28" s="67">
        <v>3.5</v>
      </c>
      <c r="BN28" s="67">
        <v>3.6</v>
      </c>
      <c r="BO28" s="67">
        <v>3.7</v>
      </c>
      <c r="BP28" s="67">
        <v>3.7</v>
      </c>
      <c r="BQ28" s="68">
        <f>SUM(BM28:BP28)</f>
        <v>14.5</v>
      </c>
      <c r="BR28" s="67">
        <v>0</v>
      </c>
      <c r="BS28" s="67">
        <v>0</v>
      </c>
      <c r="BT28" s="67">
        <v>0</v>
      </c>
      <c r="BU28" s="67">
        <v>0</v>
      </c>
      <c r="BV28" s="68">
        <f>SUM(BR28:BU28)</f>
        <v>0</v>
      </c>
      <c r="BW28" s="67">
        <v>0</v>
      </c>
      <c r="BX28" s="67">
        <v>0</v>
      </c>
      <c r="BY28" s="67">
        <v>0</v>
      </c>
      <c r="BZ28" s="67">
        <v>0</v>
      </c>
      <c r="CA28" s="68">
        <f>SUM(BW28:BZ28)</f>
        <v>0</v>
      </c>
      <c r="CB28" s="67">
        <v>0</v>
      </c>
      <c r="CC28" s="67">
        <v>0</v>
      </c>
      <c r="CD28" s="67">
        <v>0</v>
      </c>
      <c r="CE28" s="67">
        <v>0</v>
      </c>
      <c r="CF28" s="68">
        <f>SUM(CB28:CE28)</f>
        <v>0</v>
      </c>
      <c r="CG28" s="67">
        <v>0</v>
      </c>
      <c r="CH28" s="67">
        <v>0</v>
      </c>
      <c r="CI28" s="67">
        <v>0</v>
      </c>
      <c r="CJ28" s="67">
        <v>0</v>
      </c>
      <c r="CK28" s="68">
        <f>SUM(CG28:CJ28)</f>
        <v>0</v>
      </c>
      <c r="CL28" s="67">
        <v>0</v>
      </c>
      <c r="CM28" s="67">
        <v>0</v>
      </c>
      <c r="CN28" s="67">
        <v>0</v>
      </c>
      <c r="CO28" s="67">
        <v>0</v>
      </c>
      <c r="CP28" s="68">
        <f>SUM(CL28:CO28)</f>
        <v>0</v>
      </c>
      <c r="CQ28" s="67">
        <v>0</v>
      </c>
      <c r="CR28" s="67">
        <v>0</v>
      </c>
      <c r="CS28" s="67">
        <v>0</v>
      </c>
      <c r="CT28" s="67">
        <v>0</v>
      </c>
      <c r="CU28" s="68">
        <f>SUM(CQ28:CT28)</f>
        <v>0</v>
      </c>
      <c r="CV28" s="67">
        <v>0</v>
      </c>
      <c r="CW28" s="67">
        <v>0</v>
      </c>
      <c r="CX28" s="67">
        <v>0</v>
      </c>
      <c r="CY28" s="67">
        <v>0</v>
      </c>
      <c r="CZ28" s="68">
        <f>SUM(CV28:CY28)</f>
        <v>0</v>
      </c>
      <c r="DA28" s="67">
        <v>0</v>
      </c>
      <c r="DB28" s="67">
        <v>0</v>
      </c>
      <c r="DC28" s="67">
        <v>0</v>
      </c>
      <c r="DD28" s="67">
        <v>0</v>
      </c>
      <c r="DE28" s="68">
        <f>SUM(DA28:DD28)</f>
        <v>0</v>
      </c>
      <c r="DF28" s="67">
        <v>0</v>
      </c>
      <c r="DG28" s="67">
        <v>0</v>
      </c>
      <c r="DH28" s="67">
        <v>0</v>
      </c>
      <c r="DI28" s="67">
        <v>0</v>
      </c>
      <c r="DJ28" s="68">
        <f>SUM(DF28:DI28)</f>
        <v>0</v>
      </c>
      <c r="DK28" s="67">
        <v>0</v>
      </c>
      <c r="DL28" s="67">
        <v>0</v>
      </c>
      <c r="DM28" s="67">
        <v>0</v>
      </c>
      <c r="DN28" s="67">
        <v>0</v>
      </c>
      <c r="DO28" s="68">
        <f>SUM(DK28:DN28)</f>
        <v>0</v>
      </c>
      <c r="DP28" s="67">
        <v>0</v>
      </c>
      <c r="DQ28" s="67">
        <v>0</v>
      </c>
      <c r="DR28" s="67">
        <v>0</v>
      </c>
      <c r="DS28" s="67">
        <v>0</v>
      </c>
      <c r="DT28" s="68">
        <f>SUM(DP28:DS28)</f>
        <v>0</v>
      </c>
      <c r="DU28" s="67">
        <v>0</v>
      </c>
      <c r="DV28" s="67">
        <v>0</v>
      </c>
      <c r="DW28" s="67">
        <v>0</v>
      </c>
      <c r="DX28" s="67">
        <v>0</v>
      </c>
      <c r="DY28" s="68">
        <f>SUM(DU28:DX28)</f>
        <v>0</v>
      </c>
      <c r="DZ28" s="78"/>
    </row>
    <row r="29" spans="1:130" x14ac:dyDescent="0.2">
      <c r="A29" s="80"/>
      <c r="B29" s="72" t="s">
        <v>189</v>
      </c>
      <c r="E29">
        <f t="shared" ref="E29:AJ29" si="38">E27-E28</f>
        <v>76.02900000000011</v>
      </c>
      <c r="F29">
        <f t="shared" si="38"/>
        <v>127.72399999999976</v>
      </c>
      <c r="G29">
        <f t="shared" si="38"/>
        <v>47.471000000000217</v>
      </c>
      <c r="H29">
        <f t="shared" si="38"/>
        <v>89.205999999999662</v>
      </c>
      <c r="I29" s="76">
        <f t="shared" si="38"/>
        <v>598.39499999999975</v>
      </c>
      <c r="J29">
        <f t="shared" si="38"/>
        <v>107.84799999999969</v>
      </c>
      <c r="K29">
        <f t="shared" si="38"/>
        <v>98.763000000000076</v>
      </c>
      <c r="L29">
        <f t="shared" si="38"/>
        <v>78.699000000000126</v>
      </c>
      <c r="M29">
        <f t="shared" si="38"/>
        <v>120.07700000000024</v>
      </c>
      <c r="N29" s="76">
        <f t="shared" si="38"/>
        <v>405.38700000000136</v>
      </c>
      <c r="O29">
        <f t="shared" si="38"/>
        <v>128.56500000000048</v>
      </c>
      <c r="P29">
        <f t="shared" si="38"/>
        <v>171.08200000000025</v>
      </c>
      <c r="Q29">
        <f t="shared" si="38"/>
        <v>103.39999999999976</v>
      </c>
      <c r="R29">
        <f t="shared" si="38"/>
        <v>142.40000000000046</v>
      </c>
      <c r="S29" s="76">
        <f t="shared" si="38"/>
        <v>549.54400000000237</v>
      </c>
      <c r="T29">
        <f t="shared" si="38"/>
        <v>161.40000000000057</v>
      </c>
      <c r="U29">
        <f t="shared" si="38"/>
        <v>159.00000000000057</v>
      </c>
      <c r="V29">
        <f t="shared" si="38"/>
        <v>118.00000000000043</v>
      </c>
      <c r="W29">
        <f t="shared" si="38"/>
        <v>181.99999999999986</v>
      </c>
      <c r="X29" s="76">
        <f t="shared" si="38"/>
        <v>620.39999999999964</v>
      </c>
      <c r="Y29">
        <f t="shared" si="38"/>
        <v>187.49999999999909</v>
      </c>
      <c r="Z29">
        <f t="shared" si="38"/>
        <v>182.80000000000021</v>
      </c>
      <c r="AA29">
        <f t="shared" si="38"/>
        <v>135.69300000000044</v>
      </c>
      <c r="AB29">
        <f t="shared" si="38"/>
        <v>206.19999999999911</v>
      </c>
      <c r="AC29" s="76">
        <f t="shared" si="38"/>
        <v>712.19300000000089</v>
      </c>
      <c r="AD29">
        <f t="shared" si="38"/>
        <v>218.00000000000057</v>
      </c>
      <c r="AE29">
        <f t="shared" si="38"/>
        <v>194.29999999999959</v>
      </c>
      <c r="AF29">
        <f t="shared" si="38"/>
        <v>120.0000000000001</v>
      </c>
      <c r="AG29">
        <f t="shared" si="38"/>
        <v>-133.30000000000027</v>
      </c>
      <c r="AH29" s="76">
        <f t="shared" si="38"/>
        <v>398.99999999999972</v>
      </c>
      <c r="AI29">
        <f t="shared" si="38"/>
        <v>171.99999999999977</v>
      </c>
      <c r="AJ29">
        <f t="shared" si="38"/>
        <v>172.70000000000036</v>
      </c>
      <c r="AK29">
        <f t="shared" ref="AK29:BP29" si="39">AK27-AK28</f>
        <v>160.69999999999925</v>
      </c>
      <c r="AL29">
        <f t="shared" si="39"/>
        <v>196.39999999999975</v>
      </c>
      <c r="AM29" s="76">
        <f t="shared" si="39"/>
        <v>701.8</v>
      </c>
      <c r="AN29">
        <f t="shared" si="39"/>
        <v>192.69999999999914</v>
      </c>
      <c r="AO29">
        <f t="shared" si="39"/>
        <v>196.10000000000014</v>
      </c>
      <c r="AP29">
        <f t="shared" si="39"/>
        <v>184.10000000000045</v>
      </c>
      <c r="AQ29">
        <f t="shared" si="39"/>
        <v>259.79999999999956</v>
      </c>
      <c r="AR29" s="76">
        <f t="shared" si="39"/>
        <v>832.7000000000038</v>
      </c>
      <c r="AS29">
        <f t="shared" si="39"/>
        <v>240.9999999999998</v>
      </c>
      <c r="AT29">
        <f t="shared" si="39"/>
        <v>230.79999999999995</v>
      </c>
      <c r="AU29">
        <f t="shared" si="39"/>
        <v>181.00000000000011</v>
      </c>
      <c r="AV29">
        <f t="shared" si="39"/>
        <v>251.79999999999902</v>
      </c>
      <c r="AW29" s="76">
        <f t="shared" si="39"/>
        <v>904.6</v>
      </c>
      <c r="AX29">
        <f t="shared" si="39"/>
        <v>286.20000000000118</v>
      </c>
      <c r="AY29">
        <f t="shared" si="39"/>
        <v>272.4000000000006</v>
      </c>
      <c r="AZ29">
        <f t="shared" si="39"/>
        <v>249.1999999999999</v>
      </c>
      <c r="BA29">
        <f t="shared" si="39"/>
        <v>402.8</v>
      </c>
      <c r="BB29" s="76">
        <f t="shared" si="39"/>
        <v>1210.6000000000056</v>
      </c>
      <c r="BC29">
        <f t="shared" si="39"/>
        <v>326.7999999999999</v>
      </c>
      <c r="BD29">
        <f t="shared" si="39"/>
        <v>337.39999999999947</v>
      </c>
      <c r="BE29">
        <f t="shared" si="39"/>
        <v>282.60000000000082</v>
      </c>
      <c r="BF29">
        <f t="shared" si="39"/>
        <v>415.79999999999939</v>
      </c>
      <c r="BG29" s="76">
        <f t="shared" si="39"/>
        <v>1199.5</v>
      </c>
      <c r="BH29">
        <f t="shared" si="39"/>
        <v>405.30000000000035</v>
      </c>
      <c r="BI29">
        <f t="shared" si="39"/>
        <v>720.10000000000377</v>
      </c>
      <c r="BJ29">
        <f t="shared" si="39"/>
        <v>686.10000000000082</v>
      </c>
      <c r="BK29">
        <f t="shared" si="39"/>
        <v>811.19999999999925</v>
      </c>
      <c r="BL29" s="76">
        <f t="shared" si="39"/>
        <v>2622.7999999999975</v>
      </c>
      <c r="BM29">
        <f t="shared" si="39"/>
        <v>744.99999999999977</v>
      </c>
      <c r="BN29">
        <f t="shared" si="39"/>
        <v>771.20000000000437</v>
      </c>
      <c r="BO29">
        <f t="shared" si="39"/>
        <v>732.29999999999836</v>
      </c>
      <c r="BP29">
        <f t="shared" si="39"/>
        <v>949.10000000000196</v>
      </c>
      <c r="BQ29" s="76">
        <f t="shared" ref="BQ29:CV29" si="40">BQ27-BQ28</f>
        <v>3197.5999999999935</v>
      </c>
      <c r="BR29">
        <f t="shared" si="40"/>
        <v>738.39999999999986</v>
      </c>
      <c r="BS29">
        <f t="shared" si="40"/>
        <v>886.49999999999693</v>
      </c>
      <c r="BT29">
        <f t="shared" si="40"/>
        <v>1021.3000000000005</v>
      </c>
      <c r="BU29">
        <f t="shared" si="40"/>
        <v>1049.4000000000015</v>
      </c>
      <c r="BV29" s="76">
        <f t="shared" si="40"/>
        <v>3696.7999999999884</v>
      </c>
      <c r="BW29">
        <f t="shared" si="40"/>
        <v>770</v>
      </c>
      <c r="BX29">
        <f t="shared" si="40"/>
        <v>821</v>
      </c>
      <c r="BY29">
        <f t="shared" si="40"/>
        <v>808</v>
      </c>
      <c r="BZ29">
        <f t="shared" si="40"/>
        <v>1025</v>
      </c>
      <c r="CA29" s="76">
        <f t="shared" si="40"/>
        <v>3424</v>
      </c>
      <c r="CB29">
        <f t="shared" si="40"/>
        <v>712</v>
      </c>
      <c r="CC29">
        <f t="shared" si="40"/>
        <v>814</v>
      </c>
      <c r="CD29">
        <f t="shared" si="40"/>
        <v>867</v>
      </c>
      <c r="CE29">
        <f t="shared" si="40"/>
        <v>1063.8000000000013</v>
      </c>
      <c r="CF29" s="76">
        <f t="shared" si="40"/>
        <v>3456.7999999999947</v>
      </c>
      <c r="CG29">
        <f t="shared" si="40"/>
        <v>775</v>
      </c>
      <c r="CH29">
        <f t="shared" si="40"/>
        <v>965.40000000000077</v>
      </c>
      <c r="CI29">
        <f t="shared" si="40"/>
        <v>1005.9749999999983</v>
      </c>
      <c r="CJ29">
        <f t="shared" si="40"/>
        <v>1129</v>
      </c>
      <c r="CK29" s="76">
        <f t="shared" si="40"/>
        <v>4223.3750000000236</v>
      </c>
      <c r="CL29">
        <f t="shared" si="40"/>
        <v>956</v>
      </c>
      <c r="CM29">
        <f t="shared" si="40"/>
        <v>1121.2999999999993</v>
      </c>
      <c r="CN29">
        <f t="shared" si="40"/>
        <v>1206.4000000000012</v>
      </c>
      <c r="CO29">
        <f>CO27-CO28</f>
        <v>1264.2000000000016</v>
      </c>
      <c r="CP29" s="76">
        <f t="shared" si="40"/>
        <v>4547.9000000000024</v>
      </c>
      <c r="CQ29">
        <f>CQ27-CQ28</f>
        <v>1077.399999999998</v>
      </c>
      <c r="CR29">
        <f t="shared" si="40"/>
        <v>1193.100000000004</v>
      </c>
      <c r="CS29">
        <f t="shared" si="40"/>
        <v>1211.3999999999992</v>
      </c>
      <c r="CT29">
        <f t="shared" si="40"/>
        <v>1270.7000000000032</v>
      </c>
      <c r="CU29" s="76">
        <f t="shared" si="40"/>
        <v>4752.600000000004</v>
      </c>
      <c r="CV29">
        <f t="shared" si="40"/>
        <v>1176.000000000005</v>
      </c>
      <c r="CW29">
        <f t="shared" ref="CW29:DF29" si="41">CW27-CW28</f>
        <v>1213.9999999999961</v>
      </c>
      <c r="CX29">
        <f t="shared" si="41"/>
        <v>1272.0757406383304</v>
      </c>
      <c r="CY29" s="2575">
        <f t="shared" si="41"/>
        <v>1512.8047278599986</v>
      </c>
      <c r="CZ29" s="76">
        <f t="shared" si="41"/>
        <v>5174.8804684983297</v>
      </c>
      <c r="DA29" s="2585">
        <f t="shared" si="41"/>
        <v>1108.7999999999986</v>
      </c>
      <c r="DB29" s="2614">
        <f t="shared" si="41"/>
        <v>1222.4999999999998</v>
      </c>
      <c r="DC29" s="2631">
        <f t="shared" si="41"/>
        <v>1558.4999999999975</v>
      </c>
      <c r="DD29" s="2649">
        <f t="shared" si="41"/>
        <v>1624.2999999999981</v>
      </c>
      <c r="DE29" s="2626">
        <f t="shared" si="41"/>
        <v>5514.099999999994</v>
      </c>
      <c r="DF29" s="2683">
        <f t="shared" si="41"/>
        <v>1014.1999999999985</v>
      </c>
      <c r="DG29" s="2705">
        <f>DG27-DG28</f>
        <v>1165.4188349591539</v>
      </c>
      <c r="DH29" s="2735">
        <f>DH27-DH28</f>
        <v>1327.9780076587974</v>
      </c>
      <c r="DI29" s="2795">
        <f>DI27-DI28</f>
        <v>1742.2624471080985</v>
      </c>
      <c r="DJ29" s="2626">
        <f t="shared" ref="DJ29:DO29" si="42">DJ27-DJ28</f>
        <v>5249.8592897260487</v>
      </c>
      <c r="DK29" s="2559">
        <f t="shared" ca="1" si="42"/>
        <v>1275.4970018799602</v>
      </c>
      <c r="DL29" s="2559">
        <f t="shared" ca="1" si="42"/>
        <v>1283.2536194207792</v>
      </c>
      <c r="DM29" s="2559">
        <f t="shared" ca="1" si="42"/>
        <v>1431.103610957887</v>
      </c>
      <c r="DN29" s="2559">
        <f t="shared" ca="1" si="42"/>
        <v>1772.7458531435491</v>
      </c>
      <c r="DO29" s="2626">
        <f t="shared" ca="1" si="42"/>
        <v>5762.6000854021731</v>
      </c>
      <c r="DP29" s="2649">
        <f t="shared" ref="DP29:DY29" ca="1" si="43">DP27-DP28</f>
        <v>1178.0324541820701</v>
      </c>
      <c r="DQ29" s="2649">
        <f t="shared" ca="1" si="43"/>
        <v>1371.6985773033934</v>
      </c>
      <c r="DR29" s="2649">
        <f t="shared" ca="1" si="43"/>
        <v>1496.2792431427883</v>
      </c>
      <c r="DS29" s="2649">
        <f t="shared" ca="1" si="43"/>
        <v>1853.6286932275757</v>
      </c>
      <c r="DT29" s="2626">
        <f t="shared" ca="1" si="43"/>
        <v>5899.6389678558244</v>
      </c>
      <c r="DU29" s="2771">
        <f t="shared" ca="1" si="43"/>
        <v>1258.7136725525161</v>
      </c>
      <c r="DV29" s="2771">
        <f t="shared" ca="1" si="43"/>
        <v>1465.4556825787256</v>
      </c>
      <c r="DW29" s="2771">
        <f t="shared" ca="1" si="43"/>
        <v>1599.9260552515323</v>
      </c>
      <c r="DX29" s="2771">
        <f t="shared" ca="1" si="43"/>
        <v>1960.6244381317538</v>
      </c>
      <c r="DY29" s="2626">
        <f t="shared" ca="1" si="43"/>
        <v>6284.7198485145318</v>
      </c>
      <c r="DZ29" s="80"/>
    </row>
    <row r="30" spans="1:130" ht="6.75" customHeight="1" thickBot="1" x14ac:dyDescent="0.25">
      <c r="A30" s="16"/>
      <c r="B30" s="223"/>
      <c r="C30" s="129"/>
      <c r="D30" s="129"/>
      <c r="BU30" s="129"/>
      <c r="BW30" s="129"/>
      <c r="BX30" s="129"/>
      <c r="BY30" s="129"/>
      <c r="BZ30" s="129"/>
      <c r="CB30" s="129"/>
      <c r="CC30" s="129"/>
      <c r="CD30" s="129"/>
      <c r="CE30" s="129"/>
      <c r="CG30" s="129"/>
      <c r="CH30" s="129"/>
      <c r="CI30" s="129"/>
      <c r="CJ30" s="129"/>
      <c r="CL30" s="129"/>
      <c r="CM30" s="129"/>
      <c r="CN30" s="129"/>
      <c r="CO30" s="129"/>
      <c r="CQ30" s="129"/>
      <c r="CR30" s="129"/>
      <c r="CS30" s="129"/>
      <c r="CT30" s="129"/>
      <c r="CV30" s="129"/>
      <c r="CW30" s="129"/>
      <c r="CX30" s="129"/>
      <c r="CY30" s="129"/>
      <c r="CZ30" s="1823"/>
      <c r="DA30" s="129"/>
      <c r="DB30" s="129"/>
      <c r="DC30" s="129"/>
      <c r="DD30" s="129"/>
      <c r="DE30" s="1823"/>
      <c r="DF30" s="129"/>
      <c r="DG30" s="129"/>
      <c r="DH30" s="129"/>
      <c r="DI30" s="129"/>
      <c r="DJ30" s="1823"/>
      <c r="DK30" s="129"/>
      <c r="DL30" s="129"/>
      <c r="DM30" s="129"/>
      <c r="DN30" s="129"/>
      <c r="DO30" s="1823"/>
      <c r="DP30" s="129"/>
      <c r="DQ30" s="129"/>
      <c r="DR30" s="129"/>
      <c r="DS30" s="129"/>
      <c r="DT30" s="1823"/>
      <c r="DU30" s="129"/>
      <c r="DV30" s="129"/>
      <c r="DW30" s="129"/>
      <c r="DX30" s="129"/>
      <c r="DY30" s="1823"/>
      <c r="DZ30" s="16"/>
    </row>
    <row r="31" spans="1:130" hidden="1" outlineLevel="1" x14ac:dyDescent="0.2">
      <c r="A31" s="103"/>
      <c r="B31" s="104" t="s">
        <v>190</v>
      </c>
      <c r="C31" s="105"/>
      <c r="D31" s="105"/>
      <c r="E31" s="106" t="str">
        <f>IF(ISERROR(E29/E46),"NM",E29/E46)</f>
        <v>NM</v>
      </c>
      <c r="F31" s="106" t="str">
        <f>IF(ISERROR(F29/F46),"NM",F29/F46)</f>
        <v>NM</v>
      </c>
      <c r="G31" s="106" t="str">
        <f>IF(ISERROR(G29/G46),"NM",G29/G46)</f>
        <v>NM</v>
      </c>
      <c r="H31" s="106" t="str">
        <f>IF(ISERROR(H29/H46),"NM",H29/H46)</f>
        <v>NM</v>
      </c>
      <c r="I31" s="107">
        <f>I29/I46</f>
        <v>0.81747950819672099</v>
      </c>
      <c r="J31" s="106" t="str">
        <f>IF(ISERROR(J29/J46),"NM",J29/J46)</f>
        <v>NM</v>
      </c>
      <c r="K31" s="106" t="str">
        <f>IF(ISERROR(K29/K46),"NM",K29/K46)</f>
        <v>NM</v>
      </c>
      <c r="L31" s="106" t="str">
        <f>IF(ISERROR(L29/L46),"NM",L29/L46)</f>
        <v>NM</v>
      </c>
      <c r="M31" s="106" t="str">
        <f>IF(ISERROR(M29/M46),"NM",M29/M46)</f>
        <v>NM</v>
      </c>
      <c r="N31" s="107">
        <f t="shared" ref="N31:AS31" si="44">N29/N46</f>
        <v>0.58090850469298749</v>
      </c>
      <c r="O31" s="108">
        <f t="shared" si="44"/>
        <v>0.16788325933664205</v>
      </c>
      <c r="P31" s="108">
        <f t="shared" si="44"/>
        <v>0.22172369103162293</v>
      </c>
      <c r="Q31" s="108">
        <f t="shared" si="44"/>
        <v>0.13273427471116786</v>
      </c>
      <c r="R31" s="108">
        <f t="shared" si="44"/>
        <v>0.18251730325557608</v>
      </c>
      <c r="S31" s="107">
        <f t="shared" si="44"/>
        <v>0.70982175148540727</v>
      </c>
      <c r="T31" s="108">
        <f t="shared" si="44"/>
        <v>0.20665813060179331</v>
      </c>
      <c r="U31" s="108">
        <f t="shared" si="44"/>
        <v>0.20327282025057603</v>
      </c>
      <c r="V31" s="108">
        <f t="shared" si="44"/>
        <v>0.15058703420112357</v>
      </c>
      <c r="W31" s="108">
        <f t="shared" si="44"/>
        <v>0.23220209237050252</v>
      </c>
      <c r="X31" s="107">
        <f t="shared" si="44"/>
        <v>0.79269149683766649</v>
      </c>
      <c r="Y31" s="108">
        <f t="shared" si="44"/>
        <v>0.23970851444643196</v>
      </c>
      <c r="Z31" s="108">
        <f t="shared" si="44"/>
        <v>0.23417883679221138</v>
      </c>
      <c r="AA31" s="108">
        <f t="shared" si="44"/>
        <v>0.17352046035805682</v>
      </c>
      <c r="AB31" s="108">
        <f t="shared" si="44"/>
        <v>0.26327885597548406</v>
      </c>
      <c r="AC31" s="107">
        <f t="shared" si="44"/>
        <v>0.91073273657289122</v>
      </c>
      <c r="AD31" s="108">
        <f t="shared" si="44"/>
        <v>0.27749490835030621</v>
      </c>
      <c r="AE31" s="108">
        <f t="shared" si="44"/>
        <v>0.24688691232528537</v>
      </c>
      <c r="AF31" s="108">
        <f t="shared" si="44"/>
        <v>0.15325670498084304</v>
      </c>
      <c r="AG31" s="108">
        <f t="shared" si="44"/>
        <v>-0.17054759467758479</v>
      </c>
      <c r="AH31" s="107">
        <f t="shared" si="44"/>
        <v>0.50866904640489508</v>
      </c>
      <c r="AI31" s="108">
        <f t="shared" si="44"/>
        <v>0.21961184882533166</v>
      </c>
      <c r="AJ31" s="108">
        <f t="shared" si="44"/>
        <v>0.22028061224489842</v>
      </c>
      <c r="AK31" s="108">
        <f t="shared" si="44"/>
        <v>0.20460911637382131</v>
      </c>
      <c r="AL31" s="108">
        <f t="shared" si="44"/>
        <v>0.24993637057775486</v>
      </c>
      <c r="AM31" s="107">
        <f t="shared" si="44"/>
        <v>0.89446851899056834</v>
      </c>
      <c r="AN31" s="108">
        <f t="shared" si="44"/>
        <v>0.2449161159125561</v>
      </c>
      <c r="AO31" s="108">
        <f t="shared" si="44"/>
        <v>0.24885786802030474</v>
      </c>
      <c r="AP31" s="108">
        <f t="shared" si="44"/>
        <v>0.2331560283687949</v>
      </c>
      <c r="AQ31" s="108">
        <f t="shared" si="44"/>
        <v>0.3286943319838051</v>
      </c>
      <c r="AR31" s="107">
        <f t="shared" si="44"/>
        <v>1.0557880055788054</v>
      </c>
      <c r="AS31" s="108">
        <f t="shared" si="44"/>
        <v>0.30406257885440297</v>
      </c>
      <c r="AT31" s="108">
        <f t="shared" ref="AT31:BY31" si="45">AT29/AT46</f>
        <v>0.28994974874371854</v>
      </c>
      <c r="AU31" s="108">
        <f t="shared" si="45"/>
        <v>0.22647647647647662</v>
      </c>
      <c r="AV31" s="108">
        <f t="shared" si="45"/>
        <v>0.31427858212680854</v>
      </c>
      <c r="AW31" s="107">
        <f t="shared" si="45"/>
        <v>1.1346503606146128</v>
      </c>
      <c r="AX31" s="108">
        <f t="shared" si="45"/>
        <v>0.35473475458602033</v>
      </c>
      <c r="AY31" s="108">
        <f t="shared" si="45"/>
        <v>0.33592304846466964</v>
      </c>
      <c r="AZ31" s="108">
        <f t="shared" si="45"/>
        <v>0.30633066994468333</v>
      </c>
      <c r="BA31" s="108">
        <f t="shared" si="45"/>
        <v>0.4946579884563429</v>
      </c>
      <c r="BB31" s="107">
        <f t="shared" si="45"/>
        <v>1.4919891545477022</v>
      </c>
      <c r="BC31" s="108">
        <f t="shared" si="45"/>
        <v>0.400097943192948</v>
      </c>
      <c r="BD31" s="108">
        <f t="shared" si="45"/>
        <v>0.41201611918427095</v>
      </c>
      <c r="BE31" s="108">
        <f t="shared" si="45"/>
        <v>0.34367019336008858</v>
      </c>
      <c r="BF31" s="108">
        <f t="shared" si="45"/>
        <v>0.50442799951473904</v>
      </c>
      <c r="BG31" s="107">
        <f t="shared" si="45"/>
        <v>1.4617353156227151</v>
      </c>
      <c r="BH31" s="108">
        <f t="shared" si="45"/>
        <v>0.44730162233749071</v>
      </c>
      <c r="BI31" s="108">
        <f t="shared" si="45"/>
        <v>0.48251139104797891</v>
      </c>
      <c r="BJ31" s="108">
        <f t="shared" si="45"/>
        <v>0.46556286896926158</v>
      </c>
      <c r="BK31" s="108">
        <f t="shared" si="45"/>
        <v>0.56313779937521646</v>
      </c>
      <c r="BL31" s="107">
        <f t="shared" si="45"/>
        <v>1.974702605029361</v>
      </c>
      <c r="BM31" s="108">
        <f t="shared" si="45"/>
        <v>0.52105189536998164</v>
      </c>
      <c r="BN31" s="108">
        <f t="shared" si="45"/>
        <v>0.53862271266937034</v>
      </c>
      <c r="BO31" s="108">
        <f t="shared" si="45"/>
        <v>0.51013584117032273</v>
      </c>
      <c r="BP31" s="108">
        <f t="shared" si="45"/>
        <v>0.66065710705833358</v>
      </c>
      <c r="BQ31" s="107">
        <f t="shared" si="45"/>
        <v>2.2258109425031281</v>
      </c>
      <c r="BR31" s="108">
        <f t="shared" si="45"/>
        <v>0.50924137931034474</v>
      </c>
      <c r="BS31" s="108">
        <f t="shared" si="45"/>
        <v>0.60848376690232475</v>
      </c>
      <c r="BT31" s="108">
        <f t="shared" si="45"/>
        <v>0.71449559255631767</v>
      </c>
      <c r="BU31" s="108">
        <f t="shared" si="45"/>
        <v>0.74957142857142967</v>
      </c>
      <c r="BV31" s="107">
        <f t="shared" si="45"/>
        <v>2.5779637377963658</v>
      </c>
      <c r="BW31" s="108">
        <f t="shared" si="45"/>
        <v>0.55878084179970977</v>
      </c>
      <c r="BX31" s="108">
        <f t="shared" si="45"/>
        <v>0.60412067696835914</v>
      </c>
      <c r="BY31" s="108">
        <f t="shared" si="45"/>
        <v>0.59411764705882353</v>
      </c>
      <c r="BZ31" s="108">
        <f t="shared" ref="BZ31:DJ31" si="46">BZ29/BZ46</f>
        <v>0.75518120287150892</v>
      </c>
      <c r="CA31" s="107">
        <f t="shared" si="46"/>
        <v>2.5110508701134284</v>
      </c>
      <c r="CB31" s="108">
        <f t="shared" si="46"/>
        <v>0.52276064610866368</v>
      </c>
      <c r="CC31" s="108">
        <f t="shared" si="46"/>
        <v>0.60073800738007377</v>
      </c>
      <c r="CD31" s="108">
        <f t="shared" si="46"/>
        <v>0.65090090090090091</v>
      </c>
      <c r="CE31" s="108">
        <f t="shared" si="46"/>
        <v>0.81705069124424068</v>
      </c>
      <c r="CF31" s="107">
        <f t="shared" si="46"/>
        <v>2.5840403662866716</v>
      </c>
      <c r="CG31" s="108">
        <f t="shared" si="46"/>
        <v>0.596612779060816</v>
      </c>
      <c r="CH31" s="108">
        <f t="shared" si="46"/>
        <v>0.75539906103286447</v>
      </c>
      <c r="CI31" s="108">
        <f t="shared" si="46"/>
        <v>0.79523715415019625</v>
      </c>
      <c r="CJ31" s="108">
        <f t="shared" si="46"/>
        <v>0.90975020145044316</v>
      </c>
      <c r="CK31" s="107">
        <f t="shared" si="46"/>
        <v>3.3235294117647243</v>
      </c>
      <c r="CL31" s="108">
        <f t="shared" si="46"/>
        <v>0.77755185034566898</v>
      </c>
      <c r="CM31" s="108">
        <f t="shared" si="46"/>
        <v>0.91348268839103808</v>
      </c>
      <c r="CN31" s="108">
        <f t="shared" si="46"/>
        <v>0.99251336898395826</v>
      </c>
      <c r="CO31" s="108">
        <f t="shared" si="46"/>
        <v>1.0605704697986591</v>
      </c>
      <c r="CP31" s="107">
        <f t="shared" si="46"/>
        <v>3.7396649193133951</v>
      </c>
      <c r="CQ31" s="108">
        <f t="shared" si="46"/>
        <v>0.91305084745762544</v>
      </c>
      <c r="CR31" s="108">
        <f t="shared" ca="1" si="46"/>
        <v>1.0139772231248376</v>
      </c>
      <c r="CS31" s="108">
        <f t="shared" ca="1" si="46"/>
        <v>1.0346706936642467</v>
      </c>
      <c r="CT31" s="108">
        <f t="shared" si="46"/>
        <v>1.1117235345581831</v>
      </c>
      <c r="CU31" s="107">
        <f t="shared" ca="1" si="46"/>
        <v>4.0703477046106853</v>
      </c>
      <c r="CV31" s="108">
        <f t="shared" si="46"/>
        <v>1.0425531914893662</v>
      </c>
      <c r="CW31" s="108">
        <f t="shared" si="46"/>
        <v>1.0800711743772207</v>
      </c>
      <c r="CX31" s="108">
        <f>CX29/CX46</f>
        <v>1.1317399827743153</v>
      </c>
      <c r="CY31" s="108">
        <f>CY29/CY46</f>
        <v>1.3665806033062318</v>
      </c>
      <c r="CZ31" s="107">
        <f t="shared" si="46"/>
        <v>4.6173370229741959</v>
      </c>
      <c r="DA31" s="108">
        <f>DA29/DA46</f>
        <v>1.015384615384614</v>
      </c>
      <c r="DB31" s="108">
        <f>DB29/DB46</f>
        <v>1.1425233644859811</v>
      </c>
      <c r="DC31" s="108">
        <f>DC29/DC46</f>
        <v>1.459269662921346</v>
      </c>
      <c r="DD31" s="108">
        <f>DD29/DD46</f>
        <v>1.5208801498127322</v>
      </c>
      <c r="DE31" s="107">
        <f t="shared" si="46"/>
        <v>5.1317822242903617</v>
      </c>
      <c r="DF31" s="108">
        <f t="shared" si="46"/>
        <v>0.98466019417475581</v>
      </c>
      <c r="DG31" s="108">
        <f>DG29/DG46</f>
        <v>1.1436887487332226</v>
      </c>
      <c r="DH31" s="108">
        <f>DH29/DH46</f>
        <v>1.3070649681681077</v>
      </c>
      <c r="DI31" s="108">
        <f>DI29/DI46</f>
        <v>1.7148252432166324</v>
      </c>
      <c r="DJ31" s="107">
        <f t="shared" si="46"/>
        <v>5.1456596811821109</v>
      </c>
      <c r="DK31" s="108">
        <f t="shared" ref="DK31:DT31" ca="1" si="47">DK29/DK46</f>
        <v>1.25913774910998</v>
      </c>
      <c r="DL31" s="108">
        <f t="shared" ca="1" si="47"/>
        <v>1.2667948819269592</v>
      </c>
      <c r="DM31" s="108">
        <f t="shared" ca="1" si="47"/>
        <v>1.4127485809757037</v>
      </c>
      <c r="DN31" s="108">
        <f t="shared" ca="1" si="47"/>
        <v>1.7500089925584084</v>
      </c>
      <c r="DO31" s="107">
        <f t="shared" ca="1" si="47"/>
        <v>5.6886902045710492</v>
      </c>
      <c r="DP31" s="108">
        <f t="shared" ca="1" si="47"/>
        <v>1.1629232609336344</v>
      </c>
      <c r="DQ31" s="108">
        <f t="shared" ca="1" si="47"/>
        <v>1.3541054636251533</v>
      </c>
      <c r="DR31" s="108">
        <f t="shared" ca="1" si="47"/>
        <v>1.4770882843894793</v>
      </c>
      <c r="DS31" s="108">
        <f t="shared" ca="1" si="47"/>
        <v>1.8298544465696036</v>
      </c>
      <c r="DT31" s="107">
        <f t="shared" ca="1" si="47"/>
        <v>5.8239714555178672</v>
      </c>
      <c r="DU31" s="108">
        <f t="shared" ref="DU31:DY31" ca="1" si="48">DU29/DU46</f>
        <v>1.2425696791883869</v>
      </c>
      <c r="DV31" s="108">
        <f t="shared" ca="1" si="48"/>
        <v>1.4466600602454907</v>
      </c>
      <c r="DW31" s="108">
        <f t="shared" ca="1" si="48"/>
        <v>1.5794057445706291</v>
      </c>
      <c r="DX31" s="108">
        <f t="shared" ca="1" si="48"/>
        <v>1.9354778868477263</v>
      </c>
      <c r="DY31" s="107">
        <f t="shared" ca="1" si="48"/>
        <v>6.2041133708522365</v>
      </c>
      <c r="DZ31" s="103"/>
    </row>
    <row r="32" spans="1:130" hidden="1" outlineLevel="1" x14ac:dyDescent="0.2">
      <c r="A32" s="109"/>
      <c r="B32" s="110" t="s">
        <v>191</v>
      </c>
      <c r="C32" s="111"/>
      <c r="D32" s="111"/>
      <c r="E32" s="106" t="str">
        <f>IF(ISERROR(E29/E47),"NM",E29/E47)</f>
        <v>NM</v>
      </c>
      <c r="F32" s="106" t="str">
        <f>IF(ISERROR(F29/F47),"NM",F29/F47)</f>
        <v>NM</v>
      </c>
      <c r="G32" s="106" t="str">
        <f>IF(ISERROR(G29/G47),"NM",G29/G47)</f>
        <v>NM</v>
      </c>
      <c r="H32" s="106" t="str">
        <f>IF(ISERROR(H29/H47),"NM",H29/H47)</f>
        <v>NM</v>
      </c>
      <c r="I32" s="112">
        <f>I29/I47</f>
        <v>0.77997262773722587</v>
      </c>
      <c r="J32" s="106" t="str">
        <f>IF(ISERROR(J29/J47),"NM",J29/J47)</f>
        <v>NM</v>
      </c>
      <c r="K32" s="106" t="str">
        <f>IF(ISERROR(K29/K47),"NM",K29/K47)</f>
        <v>NM</v>
      </c>
      <c r="L32" s="106" t="str">
        <f>IF(ISERROR(L29/L47),"NM",L29/L47)</f>
        <v>NM</v>
      </c>
      <c r="M32" s="106" t="str">
        <f>IF(ISERROR(M29/M47),"NM",M29/M47)</f>
        <v>NM</v>
      </c>
      <c r="N32" s="112">
        <f t="shared" ref="N32:AS32" si="49">N29/N47</f>
        <v>0.50727272727272898</v>
      </c>
      <c r="O32" s="113">
        <f t="shared" si="49"/>
        <v>0.16034547268645608</v>
      </c>
      <c r="P32" s="113">
        <f t="shared" si="49"/>
        <v>0.21677901672579858</v>
      </c>
      <c r="Q32" s="113">
        <f t="shared" si="49"/>
        <v>0.13052259530421581</v>
      </c>
      <c r="R32" s="113">
        <f t="shared" si="49"/>
        <v>0.17472392638036865</v>
      </c>
      <c r="S32" s="112">
        <f t="shared" si="49"/>
        <v>0.67811451135242151</v>
      </c>
      <c r="T32" s="113">
        <f t="shared" si="49"/>
        <v>0.19769720725134809</v>
      </c>
      <c r="U32" s="113">
        <f t="shared" si="49"/>
        <v>0.19451920724247684</v>
      </c>
      <c r="V32" s="113">
        <f t="shared" si="49"/>
        <v>0.14820396885204776</v>
      </c>
      <c r="W32" s="113">
        <f t="shared" si="49"/>
        <v>0.22287533676218449</v>
      </c>
      <c r="X32" s="112">
        <f t="shared" si="49"/>
        <v>0.76436887821105115</v>
      </c>
      <c r="Y32" s="113">
        <f t="shared" si="49"/>
        <v>0.23028739867354345</v>
      </c>
      <c r="Z32" s="113">
        <f t="shared" si="49"/>
        <v>0.22401960784313751</v>
      </c>
      <c r="AA32" s="113">
        <f t="shared" si="49"/>
        <v>0.1664944785276079</v>
      </c>
      <c r="AB32" s="113">
        <f t="shared" si="49"/>
        <v>0.25158613958028198</v>
      </c>
      <c r="AC32" s="112">
        <f t="shared" si="49"/>
        <v>0.87278553921568736</v>
      </c>
      <c r="AD32" s="113">
        <f t="shared" si="49"/>
        <v>0.26501337223437949</v>
      </c>
      <c r="AE32" s="113">
        <f t="shared" si="49"/>
        <v>0.23631719776210117</v>
      </c>
      <c r="AF32" s="113">
        <f t="shared" si="49"/>
        <v>0.14778325123152722</v>
      </c>
      <c r="AG32" s="113">
        <f t="shared" si="49"/>
        <v>-0.16894803548795978</v>
      </c>
      <c r="AH32" s="112">
        <f t="shared" si="49"/>
        <v>0.48861131520940448</v>
      </c>
      <c r="AI32" s="113">
        <f t="shared" si="49"/>
        <v>0.21250308870768442</v>
      </c>
      <c r="AJ32" s="113">
        <f t="shared" si="49"/>
        <v>0.21263235656242349</v>
      </c>
      <c r="AK32" s="113">
        <f t="shared" si="49"/>
        <v>0.19819930932412341</v>
      </c>
      <c r="AL32" s="113">
        <f t="shared" si="49"/>
        <v>0.24187192118226569</v>
      </c>
      <c r="AM32" s="112">
        <f t="shared" si="49"/>
        <v>0.86577843572662216</v>
      </c>
      <c r="AN32" s="113">
        <f t="shared" si="49"/>
        <v>0.23749075671678474</v>
      </c>
      <c r="AO32" s="113">
        <f t="shared" si="49"/>
        <v>0.24114608952287275</v>
      </c>
      <c r="AP32" s="113">
        <f t="shared" si="49"/>
        <v>0.22544697526328733</v>
      </c>
      <c r="AQ32" s="113">
        <f t="shared" si="49"/>
        <v>0.31621226874391378</v>
      </c>
      <c r="AR32" s="112">
        <f t="shared" si="49"/>
        <v>1.0208409954640232</v>
      </c>
      <c r="AS32" s="113">
        <f t="shared" si="49"/>
        <v>0.29233381853469165</v>
      </c>
      <c r="AT32" s="113">
        <f t="shared" ref="AT32:BY32" si="50">AT29/AT47</f>
        <v>0.27807228915662646</v>
      </c>
      <c r="AU32" s="113">
        <f t="shared" si="50"/>
        <v>0.21754807692307707</v>
      </c>
      <c r="AV32" s="113">
        <f t="shared" si="50"/>
        <v>0.30112413298253887</v>
      </c>
      <c r="AW32" s="112">
        <f t="shared" si="50"/>
        <v>1.089354527938343</v>
      </c>
      <c r="AX32" s="113">
        <f t="shared" si="50"/>
        <v>0.34185379837553892</v>
      </c>
      <c r="AY32" s="113">
        <f t="shared" si="50"/>
        <v>0.32355386625490035</v>
      </c>
      <c r="AZ32" s="113">
        <f t="shared" si="50"/>
        <v>0.29491124260355017</v>
      </c>
      <c r="BA32" s="113">
        <f t="shared" si="50"/>
        <v>0.47764733783944036</v>
      </c>
      <c r="BB32" s="112">
        <f t="shared" si="50"/>
        <v>1.4384505703422119</v>
      </c>
      <c r="BC32" s="113">
        <f t="shared" si="50"/>
        <v>0.38515026517383605</v>
      </c>
      <c r="BD32" s="113">
        <f t="shared" si="50"/>
        <v>0.39666118034328646</v>
      </c>
      <c r="BE32" s="113">
        <f t="shared" si="50"/>
        <v>0.33037175590367174</v>
      </c>
      <c r="BF32" s="113">
        <f t="shared" si="50"/>
        <v>0.48631578947368348</v>
      </c>
      <c r="BG32" s="112">
        <f t="shared" si="50"/>
        <v>1.4058837318330988</v>
      </c>
      <c r="BH32" s="113">
        <f t="shared" si="50"/>
        <v>0.43126197063204974</v>
      </c>
      <c r="BI32" s="113">
        <f t="shared" si="50"/>
        <v>0.4668395461912504</v>
      </c>
      <c r="BJ32" s="113">
        <f t="shared" si="50"/>
        <v>0.45102550617933262</v>
      </c>
      <c r="BK32" s="113">
        <f t="shared" si="50"/>
        <v>0.54699932569116605</v>
      </c>
      <c r="BL32" s="112">
        <f t="shared" si="50"/>
        <v>1.9119405161102183</v>
      </c>
      <c r="BM32" s="113">
        <f t="shared" si="50"/>
        <v>0.50759692035157034</v>
      </c>
      <c r="BN32" s="113">
        <f t="shared" si="50"/>
        <v>0.52509021583713789</v>
      </c>
      <c r="BO32" s="113">
        <f t="shared" si="50"/>
        <v>0.49826495203102561</v>
      </c>
      <c r="BP32" s="113">
        <f t="shared" si="50"/>
        <v>0.64701070284273088</v>
      </c>
      <c r="BQ32" s="112">
        <f t="shared" si="50"/>
        <v>2.1798350262458199</v>
      </c>
      <c r="BR32" s="113">
        <f t="shared" si="50"/>
        <v>0.50268908707195847</v>
      </c>
      <c r="BS32" s="113">
        <f t="shared" si="50"/>
        <v>0.60232368528332447</v>
      </c>
      <c r="BT32" s="113">
        <f t="shared" si="50"/>
        <v>0.70683092255519442</v>
      </c>
      <c r="BU32" s="113">
        <f t="shared" si="50"/>
        <v>0.74267515923566985</v>
      </c>
      <c r="BV32" s="112">
        <f t="shared" si="50"/>
        <v>2.5495172413793021</v>
      </c>
      <c r="BW32" s="113">
        <f t="shared" si="50"/>
        <v>0.55555555555555558</v>
      </c>
      <c r="BX32" s="113">
        <f t="shared" si="50"/>
        <v>0.59970781592403211</v>
      </c>
      <c r="BY32" s="113">
        <f t="shared" si="50"/>
        <v>0.59064327485380119</v>
      </c>
      <c r="BZ32" s="113">
        <f t="shared" ref="BZ32:DJ32" si="51">BZ29/BZ47</f>
        <v>0.74708454810495628</v>
      </c>
      <c r="CA32" s="112">
        <f t="shared" si="51"/>
        <v>2.4924476797088264</v>
      </c>
      <c r="CB32" s="113">
        <f t="shared" si="51"/>
        <v>0.51932895696571846</v>
      </c>
      <c r="CC32" s="113">
        <f t="shared" si="51"/>
        <v>0.59677419354838712</v>
      </c>
      <c r="CD32" s="113">
        <f t="shared" si="51"/>
        <v>0.64701492537313432</v>
      </c>
      <c r="CE32" s="113">
        <f t="shared" si="51"/>
        <v>0.81218506642235555</v>
      </c>
      <c r="CF32" s="112">
        <f t="shared" si="51"/>
        <v>2.5678205318674747</v>
      </c>
      <c r="CG32" s="113">
        <f t="shared" si="51"/>
        <v>0.59205500381970966</v>
      </c>
      <c r="CH32" s="113">
        <f t="shared" si="51"/>
        <v>0.75000000000000056</v>
      </c>
      <c r="CI32" s="113">
        <f t="shared" si="51"/>
        <v>0.78968129366512152</v>
      </c>
      <c r="CJ32" s="113">
        <f t="shared" si="51"/>
        <v>0.90392313851080863</v>
      </c>
      <c r="CK32" s="112">
        <f t="shared" si="51"/>
        <v>3.3000918130140247</v>
      </c>
      <c r="CL32" s="113">
        <f t="shared" si="51"/>
        <v>0.77034649476228845</v>
      </c>
      <c r="CM32" s="113">
        <f t="shared" si="51"/>
        <v>0.90749433473616004</v>
      </c>
      <c r="CN32" s="113">
        <f t="shared" si="51"/>
        <v>0.98401305057096344</v>
      </c>
      <c r="CO32" s="113">
        <f t="shared" si="51"/>
        <v>1.0526228143214003</v>
      </c>
      <c r="CP32" s="112">
        <f t="shared" si="51"/>
        <v>3.709845827555267</v>
      </c>
      <c r="CQ32" s="113">
        <f t="shared" si="51"/>
        <v>0.90553034123381915</v>
      </c>
      <c r="CR32" s="113">
        <f t="shared" si="51"/>
        <v>1.0162691652470222</v>
      </c>
      <c r="CS32" s="113">
        <f t="shared" si="51"/>
        <v>1.0390256454241351</v>
      </c>
      <c r="CT32" s="113">
        <f t="shared" si="51"/>
        <v>1.1034213268496034</v>
      </c>
      <c r="CU32" s="112">
        <f t="shared" si="51"/>
        <v>4.0609232478157811</v>
      </c>
      <c r="CV32" s="113">
        <f t="shared" si="51"/>
        <v>1.0347558293004884</v>
      </c>
      <c r="CW32" s="106">
        <f t="shared" si="51"/>
        <v>1.0723434325589578</v>
      </c>
      <c r="CX32" s="113">
        <f>CX29/CX47</f>
        <v>1.1347802194850203</v>
      </c>
      <c r="CY32" s="113">
        <f>CY29/CY47</f>
        <v>1.3583592779563605</v>
      </c>
      <c r="CZ32" s="112">
        <f t="shared" si="51"/>
        <v>4.5965345563346611</v>
      </c>
      <c r="DA32" s="113">
        <f>DA29/DA47</f>
        <v>1.0091008372770283</v>
      </c>
      <c r="DB32" s="113">
        <f>DB29/DB47</f>
        <v>1.1367863120699271</v>
      </c>
      <c r="DC32" s="113">
        <f>DC29/DC47</f>
        <v>1.4530113742308388</v>
      </c>
      <c r="DD32" s="113">
        <f>DD29/DD47</f>
        <v>1.5198839711799363</v>
      </c>
      <c r="DE32" s="112">
        <f t="shared" si="51"/>
        <v>5.1109720773954299</v>
      </c>
      <c r="DF32" s="113">
        <f t="shared" si="51"/>
        <v>0.98018749395960025</v>
      </c>
      <c r="DG32" s="113">
        <f>DG29/DG47</f>
        <v>1.1383266604406661</v>
      </c>
      <c r="DH32" s="113">
        <f>DH29/DH47</f>
        <v>1.3017056130224525</v>
      </c>
      <c r="DI32" s="113">
        <f>DI29/DI47</f>
        <v>1.7121850446239082</v>
      </c>
      <c r="DJ32" s="112">
        <f t="shared" si="51"/>
        <v>5.1265031518062152</v>
      </c>
      <c r="DK32" s="113">
        <f t="shared" ref="DK32:DT32" ca="1" si="52">DK29/DK47</f>
        <v>1.2571991412393551</v>
      </c>
      <c r="DL32" s="113">
        <f t="shared" ca="1" si="52"/>
        <v>1.2648444848950962</v>
      </c>
      <c r="DM32" s="113">
        <f t="shared" ca="1" si="52"/>
        <v>1.410573469062627</v>
      </c>
      <c r="DN32" s="113">
        <f t="shared" ca="1" si="52"/>
        <v>1.7473146239644748</v>
      </c>
      <c r="DO32" s="112">
        <f t="shared" ca="1" si="52"/>
        <v>5.6799317191615506</v>
      </c>
      <c r="DP32" s="113">
        <f t="shared" ca="1" si="52"/>
        <v>1.1611327878990738</v>
      </c>
      <c r="DQ32" s="113">
        <f t="shared" ca="1" si="52"/>
        <v>1.3520206404901982</v>
      </c>
      <c r="DR32" s="113">
        <f t="shared" ca="1" si="52"/>
        <v>1.4748141130561607</v>
      </c>
      <c r="DS32" s="113">
        <f t="shared" ca="1" si="52"/>
        <v>1.8270371454167111</v>
      </c>
      <c r="DT32" s="112">
        <f t="shared" ca="1" si="52"/>
        <v>5.8150046868621406</v>
      </c>
      <c r="DU32" s="113">
        <f t="shared" ref="DU32:DY32" ca="1" si="53">DU29/DU47</f>
        <v>1.2406565800365448</v>
      </c>
      <c r="DV32" s="113">
        <f t="shared" ca="1" si="53"/>
        <v>1.4444327371580101</v>
      </c>
      <c r="DW32" s="113">
        <f t="shared" ca="1" si="53"/>
        <v>1.5769740420746161</v>
      </c>
      <c r="DX32" s="113">
        <f t="shared" ca="1" si="53"/>
        <v>1.9324979645417546</v>
      </c>
      <c r="DY32" s="112">
        <f t="shared" ca="1" si="53"/>
        <v>6.1945613238109303</v>
      </c>
      <c r="DZ32" s="109"/>
    </row>
    <row r="33" spans="1:140" ht="5.25" hidden="1" customHeight="1" outlineLevel="1" x14ac:dyDescent="0.2">
      <c r="A33" s="114"/>
      <c r="B33" s="115"/>
      <c r="C33" s="116"/>
      <c r="D33" s="116"/>
      <c r="E33" s="116"/>
      <c r="F33" s="116"/>
      <c r="G33" s="116"/>
      <c r="H33" s="116"/>
      <c r="I33" s="117"/>
      <c r="J33" s="116"/>
      <c r="K33" s="116"/>
      <c r="L33" s="116"/>
      <c r="M33" s="116"/>
      <c r="N33" s="117"/>
      <c r="O33" s="116"/>
      <c r="P33" s="116"/>
      <c r="Q33" s="116"/>
      <c r="R33" s="116"/>
      <c r="S33" s="117"/>
      <c r="T33" s="116"/>
      <c r="U33" s="116"/>
      <c r="V33" s="116"/>
      <c r="W33" s="116"/>
      <c r="X33" s="117"/>
      <c r="Y33" s="116"/>
      <c r="Z33" s="116"/>
      <c r="AA33" s="116"/>
      <c r="AB33" s="116"/>
      <c r="AC33" s="117"/>
      <c r="AD33" s="116"/>
      <c r="AE33" s="116"/>
      <c r="AF33" s="116"/>
      <c r="AG33" s="116"/>
      <c r="AH33" s="117"/>
      <c r="AI33" s="116"/>
      <c r="AJ33" s="116"/>
      <c r="AK33" s="116"/>
      <c r="AL33" s="116"/>
      <c r="AM33" s="117"/>
      <c r="AN33" s="116"/>
      <c r="AO33" s="116"/>
      <c r="AP33" s="116"/>
      <c r="AQ33" s="116"/>
      <c r="AR33" s="117"/>
      <c r="AS33" s="116"/>
      <c r="AT33" s="116"/>
      <c r="AU33" s="116"/>
      <c r="AV33" s="116"/>
      <c r="AW33" s="117"/>
      <c r="AX33" s="116"/>
      <c r="AY33" s="116"/>
      <c r="AZ33" s="116"/>
      <c r="BA33" s="116"/>
      <c r="BB33" s="117"/>
      <c r="BC33" s="116"/>
      <c r="BD33" s="116"/>
      <c r="BE33" s="116"/>
      <c r="BF33" s="116"/>
      <c r="BG33" s="117"/>
      <c r="BH33" s="118"/>
      <c r="BI33" s="118"/>
      <c r="BJ33" s="118"/>
      <c r="BK33" s="118"/>
      <c r="BL33" s="117"/>
      <c r="BM33" s="118"/>
      <c r="BN33" s="118"/>
      <c r="BO33" s="118"/>
      <c r="BP33" s="118"/>
      <c r="BQ33" s="117"/>
      <c r="BR33" s="118"/>
      <c r="BS33" s="118"/>
      <c r="BT33" s="118"/>
      <c r="BU33" s="118"/>
      <c r="BV33" s="117"/>
      <c r="BW33" s="118"/>
      <c r="BX33" s="118"/>
      <c r="BY33" s="118"/>
      <c r="BZ33" s="118"/>
      <c r="CA33" s="117"/>
      <c r="CB33" s="118"/>
      <c r="CC33" s="118"/>
      <c r="CD33" s="118"/>
      <c r="CE33" s="118"/>
      <c r="CF33" s="117"/>
      <c r="CG33" s="118"/>
      <c r="CH33" s="118"/>
      <c r="CI33" s="118"/>
      <c r="CJ33" s="118"/>
      <c r="CK33" s="117"/>
      <c r="CL33" s="118"/>
      <c r="CM33" s="118"/>
      <c r="CN33" s="118"/>
      <c r="CO33" s="118"/>
      <c r="CP33" s="117"/>
      <c r="CQ33" s="118"/>
      <c r="CR33" s="118"/>
      <c r="CS33" s="118"/>
      <c r="CT33" s="118"/>
      <c r="CU33" s="117"/>
      <c r="CV33" s="118"/>
      <c r="CW33" s="118"/>
      <c r="CX33" s="118"/>
      <c r="CY33" s="118"/>
      <c r="CZ33" s="117"/>
      <c r="DA33" s="118"/>
      <c r="DB33" s="118"/>
      <c r="DC33" s="118"/>
      <c r="DD33" s="118"/>
      <c r="DE33" s="117"/>
      <c r="DF33" s="118"/>
      <c r="DG33" s="118"/>
      <c r="DH33" s="118"/>
      <c r="DI33" s="118"/>
      <c r="DJ33" s="117"/>
      <c r="DK33" s="118"/>
      <c r="DL33" s="118"/>
      <c r="DM33" s="118"/>
      <c r="DN33" s="118"/>
      <c r="DO33" s="117"/>
      <c r="DP33" s="118"/>
      <c r="DQ33" s="118"/>
      <c r="DR33" s="118"/>
      <c r="DS33" s="118"/>
      <c r="DT33" s="117"/>
      <c r="DU33" s="118"/>
      <c r="DV33" s="118"/>
      <c r="DW33" s="118"/>
      <c r="DX33" s="118"/>
      <c r="DY33" s="117"/>
      <c r="DZ33" s="114"/>
    </row>
    <row r="34" spans="1:140" hidden="1" outlineLevel="1" x14ac:dyDescent="0.2">
      <c r="A34" s="109"/>
      <c r="B34" s="110" t="s">
        <v>192</v>
      </c>
      <c r="C34" s="111"/>
      <c r="D34" s="111"/>
      <c r="E34" s="119" t="str">
        <f t="shared" ref="E34:H35" si="54">IF(ISERROR((E$29-E$25-E$26)/E46),"NM",(E$29-E$25-E$26)/E46)</f>
        <v>NM</v>
      </c>
      <c r="F34" s="119" t="str">
        <f t="shared" si="54"/>
        <v>NM</v>
      </c>
      <c r="G34" s="119" t="str">
        <f t="shared" si="54"/>
        <v>NM</v>
      </c>
      <c r="H34" s="119" t="str">
        <f t="shared" si="54"/>
        <v>NM</v>
      </c>
      <c r="I34" s="107">
        <f>(I$29-I$25-I$26)/I46</f>
        <v>0.83496584699453513</v>
      </c>
      <c r="J34" s="119" t="str">
        <f t="shared" ref="J34:M35" si="55">IF(ISERROR((J$29-J$25-J$26)/J46),"NM",(J$29-J$25-J$26)/J46)</f>
        <v>NM</v>
      </c>
      <c r="K34" s="119" t="str">
        <f t="shared" si="55"/>
        <v>NM</v>
      </c>
      <c r="L34" s="119" t="str">
        <f t="shared" si="55"/>
        <v>NM</v>
      </c>
      <c r="M34" s="119" t="str">
        <f t="shared" si="55"/>
        <v>NM</v>
      </c>
      <c r="N34" s="107">
        <f t="shared" ref="N34:AS34" si="56">(N$29-N$25-N$26)/N46</f>
        <v>0.58090850469298749</v>
      </c>
      <c r="O34" s="120">
        <f t="shared" si="56"/>
        <v>0.16788325933664205</v>
      </c>
      <c r="P34" s="120">
        <f t="shared" si="56"/>
        <v>0.22172369103162293</v>
      </c>
      <c r="Q34" s="120">
        <f t="shared" si="56"/>
        <v>0.13273427471116786</v>
      </c>
      <c r="R34" s="120">
        <f t="shared" si="56"/>
        <v>0.18251730325557608</v>
      </c>
      <c r="S34" s="107">
        <f t="shared" si="56"/>
        <v>0.70982175148540727</v>
      </c>
      <c r="T34" s="120">
        <f t="shared" si="56"/>
        <v>0.20665813060179331</v>
      </c>
      <c r="U34" s="120">
        <f t="shared" si="56"/>
        <v>0.20327282025057603</v>
      </c>
      <c r="V34" s="120">
        <f t="shared" si="56"/>
        <v>0.15058703420112357</v>
      </c>
      <c r="W34" s="120">
        <f t="shared" si="56"/>
        <v>0.23220209237050252</v>
      </c>
      <c r="X34" s="107">
        <f t="shared" si="56"/>
        <v>0.79269149683766649</v>
      </c>
      <c r="Y34" s="120">
        <f t="shared" si="56"/>
        <v>0.23970851444643196</v>
      </c>
      <c r="Z34" s="120">
        <f t="shared" si="56"/>
        <v>0.23417883679221138</v>
      </c>
      <c r="AA34" s="120">
        <f t="shared" si="56"/>
        <v>0.17352046035805682</v>
      </c>
      <c r="AB34" s="120">
        <f t="shared" si="56"/>
        <v>0.26327885597548406</v>
      </c>
      <c r="AC34" s="107">
        <f t="shared" si="56"/>
        <v>0.91073273657289122</v>
      </c>
      <c r="AD34" s="120">
        <f t="shared" si="56"/>
        <v>0.27749490835030621</v>
      </c>
      <c r="AE34" s="120">
        <f t="shared" si="56"/>
        <v>0.24688691232528537</v>
      </c>
      <c r="AF34" s="120">
        <f t="shared" si="56"/>
        <v>0.15325670498084304</v>
      </c>
      <c r="AG34" s="120">
        <f t="shared" si="56"/>
        <v>-0.17054759467758479</v>
      </c>
      <c r="AH34" s="107">
        <f t="shared" si="56"/>
        <v>0.50866904640489508</v>
      </c>
      <c r="AI34" s="120">
        <f t="shared" si="56"/>
        <v>0.21961184882533166</v>
      </c>
      <c r="AJ34" s="120">
        <f t="shared" si="56"/>
        <v>0.22028061224489842</v>
      </c>
      <c r="AK34" s="120">
        <f t="shared" si="56"/>
        <v>0.20460911637382131</v>
      </c>
      <c r="AL34" s="120">
        <f t="shared" si="56"/>
        <v>0.24993637057775486</v>
      </c>
      <c r="AM34" s="107">
        <f t="shared" si="56"/>
        <v>0.89446851899056834</v>
      </c>
      <c r="AN34" s="120">
        <f t="shared" si="56"/>
        <v>0.2449161159125561</v>
      </c>
      <c r="AO34" s="120">
        <f t="shared" si="56"/>
        <v>0.24885786802030474</v>
      </c>
      <c r="AP34" s="120">
        <f t="shared" si="56"/>
        <v>0.2331560283687949</v>
      </c>
      <c r="AQ34" s="120">
        <f t="shared" si="56"/>
        <v>0.3286943319838051</v>
      </c>
      <c r="AR34" s="107">
        <f t="shared" si="56"/>
        <v>1.0557880055788054</v>
      </c>
      <c r="AS34" s="120">
        <f t="shared" si="56"/>
        <v>0.30406257885440297</v>
      </c>
      <c r="AT34" s="120">
        <f t="shared" ref="AT34:BR34" si="57">(AT$29-AT$25-AT$26)/AT46</f>
        <v>0.28994974874371854</v>
      </c>
      <c r="AU34" s="120">
        <f t="shared" si="57"/>
        <v>0.22647647647647662</v>
      </c>
      <c r="AV34" s="120">
        <f t="shared" si="57"/>
        <v>0.31427858212680854</v>
      </c>
      <c r="AW34" s="107">
        <f t="shared" si="57"/>
        <v>1.1346503606146128</v>
      </c>
      <c r="AX34" s="120">
        <f t="shared" si="57"/>
        <v>0.35473475458602033</v>
      </c>
      <c r="AY34" s="120">
        <f t="shared" si="57"/>
        <v>0.33592304846466964</v>
      </c>
      <c r="AZ34" s="120">
        <f t="shared" si="57"/>
        <v>0.30633066994468333</v>
      </c>
      <c r="BA34" s="120">
        <f t="shared" si="57"/>
        <v>0.4946579884563429</v>
      </c>
      <c r="BB34" s="107">
        <f t="shared" si="57"/>
        <v>1.4919891545477022</v>
      </c>
      <c r="BC34" s="120">
        <f t="shared" si="57"/>
        <v>0.400097943192948</v>
      </c>
      <c r="BD34" s="120">
        <f t="shared" si="57"/>
        <v>0.41201611918427095</v>
      </c>
      <c r="BE34" s="120">
        <f t="shared" si="57"/>
        <v>0.34367019336008858</v>
      </c>
      <c r="BF34" s="120">
        <f t="shared" si="57"/>
        <v>0.50442799951473904</v>
      </c>
      <c r="BG34" s="107">
        <f t="shared" si="57"/>
        <v>1.4617353156227151</v>
      </c>
      <c r="BH34" s="108">
        <f t="shared" si="57"/>
        <v>0.44730162233749071</v>
      </c>
      <c r="BI34" s="108">
        <f t="shared" si="57"/>
        <v>0.48251139104797891</v>
      </c>
      <c r="BJ34" s="108">
        <f t="shared" si="57"/>
        <v>0.46556286896926158</v>
      </c>
      <c r="BK34" s="108">
        <f t="shared" si="57"/>
        <v>0.56313779937521646</v>
      </c>
      <c r="BL34" s="107">
        <f t="shared" si="57"/>
        <v>1.974702605029361</v>
      </c>
      <c r="BM34" s="108">
        <f t="shared" si="57"/>
        <v>0.52105189536998164</v>
      </c>
      <c r="BN34" s="108">
        <f t="shared" si="57"/>
        <v>0.57263584299483483</v>
      </c>
      <c r="BO34" s="108">
        <f t="shared" si="57"/>
        <v>0.56781609195402183</v>
      </c>
      <c r="BP34" s="108">
        <f t="shared" si="57"/>
        <v>0.66100515105109425</v>
      </c>
      <c r="BQ34" s="107">
        <f t="shared" si="57"/>
        <v>2.3176945565919489</v>
      </c>
      <c r="BR34" s="108">
        <f t="shared" si="57"/>
        <v>0.51275862068965505</v>
      </c>
      <c r="BS34" s="108">
        <f t="shared" ref="BS34:BU35" si="58">+BS$24/BS46</f>
        <v>0.61026837806300838</v>
      </c>
      <c r="BT34" s="108">
        <f t="shared" si="58"/>
        <v>0.60682803973695287</v>
      </c>
      <c r="BU34" s="108">
        <f t="shared" si="58"/>
        <v>0.746000000000001</v>
      </c>
      <c r="BV34" s="107">
        <f>(BV$29-BV$25-BV$26)/BV46</f>
        <v>2.4695258019525719</v>
      </c>
      <c r="BW34" s="108">
        <f t="shared" ref="BW34:BZ35" si="59">+BW$24/BW46</f>
        <v>0.56023222060957911</v>
      </c>
      <c r="BX34" s="108">
        <f t="shared" si="59"/>
        <v>0.60485651214128033</v>
      </c>
      <c r="BY34" s="108">
        <f t="shared" si="59"/>
        <v>0.60220588235294115</v>
      </c>
      <c r="BZ34" s="108">
        <f t="shared" si="59"/>
        <v>0.75591796502065189</v>
      </c>
      <c r="CA34" s="107">
        <f>(CA$29-CA$25-CA$26)/CA46</f>
        <v>2.5220513850233881</v>
      </c>
      <c r="CB34" s="108">
        <f t="shared" ref="CB34:CE35" si="60">+CB$24/CB46</f>
        <v>0.52349486049926575</v>
      </c>
      <c r="CC34" s="108">
        <f t="shared" si="60"/>
        <v>0.60221402214022135</v>
      </c>
      <c r="CD34" s="108">
        <f t="shared" si="60"/>
        <v>0.65090090090090091</v>
      </c>
      <c r="CE34" s="108">
        <f t="shared" si="60"/>
        <v>0.84393241167434818</v>
      </c>
      <c r="CF34" s="107">
        <f>(CF$29-CF$25-CF$26)/CF46</f>
        <v>2.6124462717249073</v>
      </c>
      <c r="CG34" s="108">
        <f t="shared" ref="CG34:CJ35" si="61">+CG$24/CG46</f>
        <v>0.5973826020015397</v>
      </c>
      <c r="CH34" s="108">
        <f t="shared" si="61"/>
        <v>0.75602503912363128</v>
      </c>
      <c r="CI34" s="108">
        <f t="shared" si="61"/>
        <v>0.79918972332015681</v>
      </c>
      <c r="CJ34" s="108">
        <f t="shared" si="61"/>
        <v>0.90975020145044316</v>
      </c>
      <c r="CK34" s="107">
        <f>(CK$29-CK$25-CK$26)/CK46</f>
        <v>3.3288805823332863</v>
      </c>
      <c r="CL34" s="108">
        <f t="shared" ref="CL34:CO35" si="62">+CL$24/CL46</f>
        <v>0.77755185034566898</v>
      </c>
      <c r="CM34" s="108">
        <f t="shared" si="62"/>
        <v>0.91429735234215825</v>
      </c>
      <c r="CN34" s="108">
        <f t="shared" si="62"/>
        <v>0.96190867955573933</v>
      </c>
      <c r="CO34" s="108">
        <f t="shared" si="62"/>
        <v>1.0614093959731556</v>
      </c>
      <c r="CP34" s="107">
        <f>(CP$29-CP$25-CP$26)/CP46</f>
        <v>3.710720526261694</v>
      </c>
      <c r="CQ34" s="108">
        <f t="shared" ref="CQ34:CT35" si="63">+CQ$24/CQ46</f>
        <v>0.91313559322033722</v>
      </c>
      <c r="CR34" s="108">
        <f t="shared" ca="1" si="63"/>
        <v>1.0143171702283915</v>
      </c>
      <c r="CS34" s="108">
        <f t="shared" ca="1" si="63"/>
        <v>1.0346706936642467</v>
      </c>
      <c r="CT34" s="108">
        <f t="shared" si="63"/>
        <v>1.111986001749784</v>
      </c>
      <c r="CU34" s="107">
        <f ca="1">(CU$29-CU$25-CU$26)/CU46</f>
        <v>4.0710328618222515</v>
      </c>
      <c r="CV34" s="108">
        <f t="shared" ref="CV34:CY35" si="64">+CV$24/CV46</f>
        <v>1.0376773049645434</v>
      </c>
      <c r="CW34" s="108">
        <f t="shared" si="64"/>
        <v>1.0861209964412777</v>
      </c>
      <c r="CX34" s="108">
        <f t="shared" si="64"/>
        <v>1.1387684525252051</v>
      </c>
      <c r="CY34" s="108">
        <f t="shared" si="64"/>
        <v>1.3755236927371262</v>
      </c>
      <c r="CZ34" s="107">
        <f>(CZ$29-CZ$25-CZ$26)/CZ46</f>
        <v>4.6343791822425429</v>
      </c>
      <c r="DA34" s="108">
        <f t="shared" ref="DA34:DC35" si="65">+DA$24/DA46</f>
        <v>1.022161172161171</v>
      </c>
      <c r="DB34" s="108">
        <f t="shared" si="65"/>
        <v>1.1476635514018689</v>
      </c>
      <c r="DC34" s="108">
        <f t="shared" si="65"/>
        <v>1.4674157303370763</v>
      </c>
      <c r="DD34" s="108">
        <f>+DD$24/DD46</f>
        <v>1.5297752808988747</v>
      </c>
      <c r="DE34" s="107">
        <f>(DE$29-DE$25-DE$26)/DE46</f>
        <v>5.1607259190321031</v>
      </c>
      <c r="DF34" s="108">
        <f t="shared" ref="DF34:DF35" si="66">+DF$24/DF46</f>
        <v>0.98999999999999855</v>
      </c>
      <c r="DG34" s="108">
        <f t="shared" ref="DG34:DI35" si="67">+DG$24/DG46</f>
        <v>1.1479085720894542</v>
      </c>
      <c r="DH34" s="108">
        <f t="shared" si="67"/>
        <v>1.3103129996641707</v>
      </c>
      <c r="DI34" s="108">
        <f t="shared" si="67"/>
        <v>1.7180732747126954</v>
      </c>
      <c r="DJ34" s="107">
        <f>(DJ$29-DJ$25-DJ$26)/DJ46</f>
        <v>5.1617341727283002</v>
      </c>
      <c r="DK34" s="108">
        <f t="shared" ref="DK34:DN35" ca="1" si="68">+DK$24/DK46</f>
        <v>1.25913774910998</v>
      </c>
      <c r="DL34" s="108">
        <f t="shared" ca="1" si="68"/>
        <v>1.2667948819269592</v>
      </c>
      <c r="DM34" s="108">
        <f t="shared" ca="1" si="68"/>
        <v>1.4127485809757037</v>
      </c>
      <c r="DN34" s="108">
        <f t="shared" ca="1" si="68"/>
        <v>1.7500089925584084</v>
      </c>
      <c r="DO34" s="107">
        <f ca="1">(DO$29-DO$25-DO$26)/DO46</f>
        <v>5.6886902045710492</v>
      </c>
      <c r="DP34" s="108">
        <f t="shared" ref="DP34:DS35" ca="1" si="69">+DP$24/DP46</f>
        <v>1.1629232609336344</v>
      </c>
      <c r="DQ34" s="108">
        <f t="shared" ca="1" si="69"/>
        <v>1.3541054636251533</v>
      </c>
      <c r="DR34" s="108">
        <f t="shared" ca="1" si="69"/>
        <v>1.4770882843894793</v>
      </c>
      <c r="DS34" s="108">
        <f t="shared" ca="1" si="69"/>
        <v>1.8298544465696036</v>
      </c>
      <c r="DT34" s="107">
        <f ca="1">(DT$29-DT$25-DT$26)/DT46</f>
        <v>5.8239714555178672</v>
      </c>
      <c r="DU34" s="108">
        <f t="shared" ref="DU34:DX34" ca="1" si="70">+DU$24/DU46</f>
        <v>1.2425696791883869</v>
      </c>
      <c r="DV34" s="108">
        <f t="shared" ca="1" si="70"/>
        <v>1.4466600602454907</v>
      </c>
      <c r="DW34" s="108">
        <f t="shared" ca="1" si="70"/>
        <v>1.5794057445706291</v>
      </c>
      <c r="DX34" s="108">
        <f t="shared" ca="1" si="70"/>
        <v>1.9354778868477263</v>
      </c>
      <c r="DY34" s="107">
        <f ca="1">(DY$29-DY$25-DY$26)/DY46</f>
        <v>6.2041133708522365</v>
      </c>
      <c r="DZ34" s="109"/>
    </row>
    <row r="35" spans="1:140" hidden="1" outlineLevel="1" x14ac:dyDescent="0.2">
      <c r="A35" s="109"/>
      <c r="B35" s="110" t="s">
        <v>193</v>
      </c>
      <c r="C35" s="111"/>
      <c r="D35" s="111"/>
      <c r="E35" s="119" t="str">
        <f t="shared" si="54"/>
        <v>NM</v>
      </c>
      <c r="F35" s="119" t="str">
        <f t="shared" si="54"/>
        <v>NM</v>
      </c>
      <c r="G35" s="119" t="str">
        <f t="shared" si="54"/>
        <v>NM</v>
      </c>
      <c r="H35" s="119" t="str">
        <f t="shared" si="54"/>
        <v>NM</v>
      </c>
      <c r="I35" s="112">
        <f>(I$29-I$25-I$26)/I47</f>
        <v>0.79665667361835202</v>
      </c>
      <c r="J35" s="119" t="str">
        <f t="shared" si="55"/>
        <v>NM</v>
      </c>
      <c r="K35" s="119" t="str">
        <f t="shared" si="55"/>
        <v>NM</v>
      </c>
      <c r="L35" s="119" t="str">
        <f t="shared" si="55"/>
        <v>NM</v>
      </c>
      <c r="M35" s="119" t="str">
        <f t="shared" si="55"/>
        <v>NM</v>
      </c>
      <c r="N35" s="112">
        <f t="shared" ref="N35:AS35" si="71">(N$29-N$25-N$26)/N47</f>
        <v>0.50727272727272898</v>
      </c>
      <c r="O35" s="120">
        <f t="shared" si="71"/>
        <v>0.16034547268645608</v>
      </c>
      <c r="P35" s="120">
        <f t="shared" si="71"/>
        <v>0.21677901672579858</v>
      </c>
      <c r="Q35" s="120">
        <f t="shared" si="71"/>
        <v>0.13052259530421581</v>
      </c>
      <c r="R35" s="120">
        <f t="shared" si="71"/>
        <v>0.17472392638036865</v>
      </c>
      <c r="S35" s="112">
        <f t="shared" si="71"/>
        <v>0.67811451135242151</v>
      </c>
      <c r="T35" s="120">
        <f t="shared" si="71"/>
        <v>0.19769720725134809</v>
      </c>
      <c r="U35" s="120">
        <f t="shared" si="71"/>
        <v>0.19451920724247684</v>
      </c>
      <c r="V35" s="120">
        <f t="shared" si="71"/>
        <v>0.14820396885204776</v>
      </c>
      <c r="W35" s="120">
        <f t="shared" si="71"/>
        <v>0.22287533676218449</v>
      </c>
      <c r="X35" s="112">
        <f t="shared" si="71"/>
        <v>0.76436887821105115</v>
      </c>
      <c r="Y35" s="120">
        <f t="shared" si="71"/>
        <v>0.23028739867354345</v>
      </c>
      <c r="Z35" s="120">
        <f t="shared" si="71"/>
        <v>0.22401960784313751</v>
      </c>
      <c r="AA35" s="120">
        <f t="shared" si="71"/>
        <v>0.1664944785276079</v>
      </c>
      <c r="AB35" s="120">
        <f t="shared" si="71"/>
        <v>0.25158613958028198</v>
      </c>
      <c r="AC35" s="112">
        <f t="shared" si="71"/>
        <v>0.87278553921568736</v>
      </c>
      <c r="AD35" s="120">
        <f t="shared" si="71"/>
        <v>0.26501337223437949</v>
      </c>
      <c r="AE35" s="120">
        <f t="shared" si="71"/>
        <v>0.23631719776210117</v>
      </c>
      <c r="AF35" s="120">
        <f t="shared" si="71"/>
        <v>0.14778325123152722</v>
      </c>
      <c r="AG35" s="120">
        <f t="shared" si="71"/>
        <v>-0.16894803548795978</v>
      </c>
      <c r="AH35" s="112">
        <f t="shared" si="71"/>
        <v>0.48861131520940448</v>
      </c>
      <c r="AI35" s="120">
        <f t="shared" si="71"/>
        <v>0.21250308870768442</v>
      </c>
      <c r="AJ35" s="120">
        <f t="shared" si="71"/>
        <v>0.21263235656242349</v>
      </c>
      <c r="AK35" s="120">
        <f t="shared" si="71"/>
        <v>0.19819930932412341</v>
      </c>
      <c r="AL35" s="120">
        <f t="shared" si="71"/>
        <v>0.24187192118226569</v>
      </c>
      <c r="AM35" s="112">
        <f t="shared" si="71"/>
        <v>0.86577843572662216</v>
      </c>
      <c r="AN35" s="120">
        <f t="shared" si="71"/>
        <v>0.23749075671678474</v>
      </c>
      <c r="AO35" s="120">
        <f t="shared" si="71"/>
        <v>0.24114608952287275</v>
      </c>
      <c r="AP35" s="120">
        <f t="shared" si="71"/>
        <v>0.22544697526328733</v>
      </c>
      <c r="AQ35" s="120">
        <f t="shared" si="71"/>
        <v>0.31621226874391378</v>
      </c>
      <c r="AR35" s="112">
        <f t="shared" si="71"/>
        <v>1.0208409954640232</v>
      </c>
      <c r="AS35" s="120">
        <f t="shared" si="71"/>
        <v>0.29233381853469165</v>
      </c>
      <c r="AT35" s="120">
        <f t="shared" ref="AT35:BR35" si="72">(AT$29-AT$25-AT$26)/AT47</f>
        <v>0.27807228915662646</v>
      </c>
      <c r="AU35" s="120">
        <f t="shared" si="72"/>
        <v>0.21754807692307707</v>
      </c>
      <c r="AV35" s="120">
        <f t="shared" si="72"/>
        <v>0.30112413298253887</v>
      </c>
      <c r="AW35" s="112">
        <f t="shared" si="72"/>
        <v>1.089354527938343</v>
      </c>
      <c r="AX35" s="120">
        <f t="shared" si="72"/>
        <v>0.34185379837553892</v>
      </c>
      <c r="AY35" s="120">
        <f t="shared" si="72"/>
        <v>0.32355386625490035</v>
      </c>
      <c r="AZ35" s="120">
        <f t="shared" si="72"/>
        <v>0.29491124260355017</v>
      </c>
      <c r="BA35" s="120">
        <f t="shared" si="72"/>
        <v>0.47764733783944036</v>
      </c>
      <c r="BB35" s="112">
        <f t="shared" si="72"/>
        <v>1.4384505703422119</v>
      </c>
      <c r="BC35" s="120">
        <f t="shared" si="72"/>
        <v>0.38515026517383605</v>
      </c>
      <c r="BD35" s="120">
        <f t="shared" si="72"/>
        <v>0.39666118034328646</v>
      </c>
      <c r="BE35" s="120">
        <f t="shared" si="72"/>
        <v>0.33037175590367174</v>
      </c>
      <c r="BF35" s="120">
        <f t="shared" si="72"/>
        <v>0.48631578947368348</v>
      </c>
      <c r="BG35" s="112">
        <f t="shared" si="72"/>
        <v>1.4058837318330988</v>
      </c>
      <c r="BH35" s="108">
        <f t="shared" si="72"/>
        <v>0.43126197063204974</v>
      </c>
      <c r="BI35" s="108">
        <f t="shared" si="72"/>
        <v>0.4668395461912504</v>
      </c>
      <c r="BJ35" s="108">
        <f t="shared" si="72"/>
        <v>0.45102550617933262</v>
      </c>
      <c r="BK35" s="108">
        <f t="shared" si="72"/>
        <v>0.54699932569116605</v>
      </c>
      <c r="BL35" s="112">
        <f t="shared" si="72"/>
        <v>1.9119405161102183</v>
      </c>
      <c r="BM35" s="108">
        <f t="shared" si="72"/>
        <v>0.50759692035157034</v>
      </c>
      <c r="BN35" s="108">
        <f t="shared" si="72"/>
        <v>0.55824879144822248</v>
      </c>
      <c r="BO35" s="108">
        <f t="shared" si="72"/>
        <v>0.55460298020003962</v>
      </c>
      <c r="BP35" s="108">
        <f t="shared" si="72"/>
        <v>0.64735155770672981</v>
      </c>
      <c r="BQ35" s="112">
        <f t="shared" si="72"/>
        <v>2.269820710341532</v>
      </c>
      <c r="BR35" s="108">
        <f t="shared" si="72"/>
        <v>0.50616107291170254</v>
      </c>
      <c r="BS35" s="108">
        <f t="shared" si="58"/>
        <v>0.60409022965076575</v>
      </c>
      <c r="BT35" s="108">
        <f t="shared" si="58"/>
        <v>0.60031836113225867</v>
      </c>
      <c r="BU35" s="108">
        <f t="shared" si="58"/>
        <v>0.7391365888181185</v>
      </c>
      <c r="BV35" s="112">
        <f>(BV$29-BV$25-BV$26)/BV47</f>
        <v>2.4422758620689575</v>
      </c>
      <c r="BW35" s="108">
        <f t="shared" si="59"/>
        <v>0.55699855699855705</v>
      </c>
      <c r="BX35" s="108">
        <f t="shared" si="59"/>
        <v>0.60043827611395184</v>
      </c>
      <c r="BY35" s="108">
        <f t="shared" si="59"/>
        <v>0.59868421052631582</v>
      </c>
      <c r="BZ35" s="108">
        <f t="shared" si="59"/>
        <v>0.74781341107871724</v>
      </c>
      <c r="CA35" s="112">
        <f>(CA$29-CA$25-CA$26)/CA47</f>
        <v>2.5033666969972703</v>
      </c>
      <c r="CB35" s="108">
        <f t="shared" si="60"/>
        <v>0.52005835156819835</v>
      </c>
      <c r="CC35" s="108">
        <f t="shared" si="60"/>
        <v>0.59824046920821117</v>
      </c>
      <c r="CD35" s="108">
        <f t="shared" si="60"/>
        <v>0.64701492537313432</v>
      </c>
      <c r="CE35" s="108">
        <f t="shared" si="60"/>
        <v>0.83890670331348405</v>
      </c>
      <c r="CF35" s="112">
        <f>(CF$29-CF$25-CF$26)/CF47</f>
        <v>2.5960481354924934</v>
      </c>
      <c r="CG35" s="108">
        <f t="shared" si="61"/>
        <v>0.59281894576012228</v>
      </c>
      <c r="CH35" s="108">
        <f t="shared" si="61"/>
        <v>0.75062150403977679</v>
      </c>
      <c r="CI35" s="108">
        <f t="shared" si="61"/>
        <v>0.79360624852814055</v>
      </c>
      <c r="CJ35" s="108">
        <f t="shared" si="61"/>
        <v>0.90392313851080863</v>
      </c>
      <c r="CK35" s="112">
        <f>(CK$29-CK$25-CK$26)/CK47</f>
        <v>3.3054052470160955</v>
      </c>
      <c r="CL35" s="108">
        <f t="shared" si="62"/>
        <v>0.77034649476228845</v>
      </c>
      <c r="CM35" s="108">
        <f t="shared" si="62"/>
        <v>0.90830365814179292</v>
      </c>
      <c r="CN35" s="108">
        <f t="shared" si="62"/>
        <v>0.9536704730831983</v>
      </c>
      <c r="CO35" s="108">
        <f t="shared" si="62"/>
        <v>1.053455453788511</v>
      </c>
      <c r="CP35" s="112">
        <f>(CP$29-CP$25-CP$26)/CP47</f>
        <v>3.6811322293824964</v>
      </c>
      <c r="CQ35" s="108">
        <f t="shared" si="63"/>
        <v>0.90561438897293489</v>
      </c>
      <c r="CR35" s="108">
        <f t="shared" si="63"/>
        <v>1.0166098807495776</v>
      </c>
      <c r="CS35" s="108">
        <f t="shared" si="63"/>
        <v>1.0390256454241351</v>
      </c>
      <c r="CT35" s="108">
        <f t="shared" si="63"/>
        <v>1.1036818339701313</v>
      </c>
      <c r="CU35" s="112">
        <f>(CU$29-CU$25-CU$26)/CU47</f>
        <v>4.0616068186187633</v>
      </c>
      <c r="CV35" s="108">
        <f t="shared" si="64"/>
        <v>1.0299164100308007</v>
      </c>
      <c r="CW35" s="108">
        <f t="shared" si="64"/>
        <v>1.0783499690839997</v>
      </c>
      <c r="CX35" s="108">
        <f t="shared" si="64"/>
        <v>1.1418275700849407</v>
      </c>
      <c r="CY35" s="108">
        <f t="shared" si="64"/>
        <v>1.3672485659154159</v>
      </c>
      <c r="CZ35" s="112">
        <f>(CZ$29-CZ$25-CZ$26)/CZ47</f>
        <v>4.613499935643504</v>
      </c>
      <c r="DA35" s="108">
        <f t="shared" si="65"/>
        <v>1.0158354568620303</v>
      </c>
      <c r="DB35" s="108">
        <f t="shared" si="65"/>
        <v>1.1419006881160496</v>
      </c>
      <c r="DC35" s="108">
        <f t="shared" si="65"/>
        <v>1.4611225060600388</v>
      </c>
      <c r="DD35" s="108">
        <f>+DD$24/DD47</f>
        <v>1.5287732759427324</v>
      </c>
      <c r="DE35" s="112">
        <f>(DE$29-DE$25-DE$26)/DE47</f>
        <v>5.1397984011122642</v>
      </c>
      <c r="DF35" s="108">
        <f t="shared" si="66"/>
        <v>0.9855030443606827</v>
      </c>
      <c r="DG35" s="108">
        <f t="shared" si="67"/>
        <v>1.142526699510797</v>
      </c>
      <c r="DH35" s="108">
        <f t="shared" si="67"/>
        <v>1.3049403266232802</v>
      </c>
      <c r="DI35" s="108">
        <f t="shared" si="67"/>
        <v>1.7154280753490652</v>
      </c>
      <c r="DJ35" s="112">
        <f>(DJ$29-DJ$25-DJ$26)/DJ47</f>
        <v>5.1425178003995882</v>
      </c>
      <c r="DK35" s="108">
        <f t="shared" ca="1" si="68"/>
        <v>1.2571991412393551</v>
      </c>
      <c r="DL35" s="108">
        <f t="shared" ca="1" si="68"/>
        <v>1.2648444848950962</v>
      </c>
      <c r="DM35" s="108">
        <f t="shared" ca="1" si="68"/>
        <v>1.410573469062627</v>
      </c>
      <c r="DN35" s="108">
        <f t="shared" ca="1" si="68"/>
        <v>1.7473146239644748</v>
      </c>
      <c r="DO35" s="112">
        <f ca="1">(DO$29-DO$25-DO$26)/DO47</f>
        <v>5.6799317191615506</v>
      </c>
      <c r="DP35" s="108">
        <f t="shared" ca="1" si="69"/>
        <v>1.1611327878990738</v>
      </c>
      <c r="DQ35" s="108">
        <f t="shared" ca="1" si="69"/>
        <v>1.3520206404901982</v>
      </c>
      <c r="DR35" s="108">
        <f t="shared" ca="1" si="69"/>
        <v>1.4748141130561607</v>
      </c>
      <c r="DS35" s="108">
        <f t="shared" ca="1" si="69"/>
        <v>1.8270371454167111</v>
      </c>
      <c r="DT35" s="112">
        <f ca="1">(DT$29-DT$25-DT$26)/DT47</f>
        <v>5.8150046868621406</v>
      </c>
      <c r="DU35" s="108">
        <f t="shared" ref="DU35:DX35" ca="1" si="73">+DU$24/DU47</f>
        <v>1.2406565800365448</v>
      </c>
      <c r="DV35" s="108">
        <f t="shared" ca="1" si="73"/>
        <v>1.4444327371580101</v>
      </c>
      <c r="DW35" s="108">
        <f t="shared" ca="1" si="73"/>
        <v>1.5769740420746161</v>
      </c>
      <c r="DX35" s="108">
        <f t="shared" ca="1" si="73"/>
        <v>1.9324979645417546</v>
      </c>
      <c r="DY35" s="112">
        <f ca="1">(DY$29-DY$25-DY$26)/DY47</f>
        <v>6.1945613238109303</v>
      </c>
      <c r="DZ35" s="109"/>
    </row>
    <row r="36" spans="1:140" ht="12" hidden="1" outlineLevel="1" thickBot="1" x14ac:dyDescent="0.25">
      <c r="A36" s="121"/>
      <c r="B36" s="122" t="s">
        <v>194</v>
      </c>
      <c r="C36" s="123"/>
      <c r="D36" s="124"/>
      <c r="E36" s="125" t="str">
        <f>IF(ISERROR(+E35/CF35-1),"NM",+E35/CF35-1)</f>
        <v>NM</v>
      </c>
      <c r="F36" s="125" t="str">
        <f>IF(ISERROR(+F35/CK35-1),"NM",+F35/CK35-1)</f>
        <v>NM</v>
      </c>
      <c r="G36" s="125" t="str">
        <f>IF(ISERROR(+G35/#REF!-1),"NM",+G35/#REF!-1)</f>
        <v>NM</v>
      </c>
      <c r="H36" s="125" t="str">
        <f ca="1">IF(ISERROR(+H35/DO35-1),"NM",+H35/DO35-1)</f>
        <v>NM</v>
      </c>
      <c r="I36" s="126"/>
      <c r="J36" s="125" t="str">
        <f>IF(ISERROR(+J35/E35-1),"NM",+J35/E35-1)</f>
        <v>NM</v>
      </c>
      <c r="K36" s="125" t="str">
        <f>IF(ISERROR(+K35/F35-1),"NM",+K35/F35-1)</f>
        <v>NM</v>
      </c>
      <c r="L36" s="125" t="str">
        <f>IF(ISERROR(+L35/G35-1),"NM",+L35/G35-1)</f>
        <v>NM</v>
      </c>
      <c r="M36" s="125" t="str">
        <f>IF(ISERROR(+M35/H35-1),"NM",+M35/H35-1)</f>
        <v>NM</v>
      </c>
      <c r="N36" s="127">
        <f>N35/I35-1</f>
        <v>-0.36324800372444488</v>
      </c>
      <c r="O36" s="125" t="str">
        <f>IF(ISERROR(+O35/J35-1),"NM",+O35/J35-1)</f>
        <v>NM</v>
      </c>
      <c r="P36" s="125" t="str">
        <f>IF(ISERROR(+P35/K35-1),"NM",+P35/K35-1)</f>
        <v>NM</v>
      </c>
      <c r="Q36" s="125" t="str">
        <f>IF(ISERROR(+Q35/L35-1),"NM",+Q35/L35-1)</f>
        <v>NM</v>
      </c>
      <c r="R36" s="125" t="str">
        <f>IF(ISERROR(+R35/M35-1),"NM",+R35/M35-1)</f>
        <v>NM</v>
      </c>
      <c r="S36" s="127">
        <f>S35/N35-1</f>
        <v>0.33678487901014553</v>
      </c>
      <c r="T36" s="128">
        <f>+T35/O35-1</f>
        <v>0.23294536440034475</v>
      </c>
      <c r="U36" s="128">
        <f>+U35/P35-1</f>
        <v>-0.10268433642485764</v>
      </c>
      <c r="V36" s="128">
        <f>+V35/Q35-1</f>
        <v>0.13546599733648446</v>
      </c>
      <c r="W36" s="128">
        <f>+W35/R35-1</f>
        <v>0.27558567037345361</v>
      </c>
      <c r="X36" s="127">
        <f>X35/S35-1</f>
        <v>0.12719734707727337</v>
      </c>
      <c r="Y36" s="128">
        <f>+Y35/T35-1</f>
        <v>0.1648490227824051</v>
      </c>
      <c r="Z36" s="128">
        <f>+Z35/U35-1</f>
        <v>0.15165803428289282</v>
      </c>
      <c r="AA36" s="128">
        <f>+AA35/V35-1</f>
        <v>0.12341443901424531</v>
      </c>
      <c r="AB36" s="128">
        <f>+AB35/W35-1</f>
        <v>0.12882000868823318</v>
      </c>
      <c r="AC36" s="127">
        <f>AC35/X35-1</f>
        <v>0.14183814136752582</v>
      </c>
      <c r="AD36" s="128">
        <f>+AD35/Y35-1</f>
        <v>0.15079406759057523</v>
      </c>
      <c r="AE36" s="128">
        <f>+AE35/Z35-1</f>
        <v>5.489514974767129E-2</v>
      </c>
      <c r="AF36" s="128">
        <f>+AF35/AA35-1</f>
        <v>-0.11238347038023855</v>
      </c>
      <c r="AG36" s="128">
        <f>+AG35/AB35-1</f>
        <v>-1.6715315707368208</v>
      </c>
      <c r="AH36" s="127">
        <f>AH35/AC35-1</f>
        <v>-0.44017024428648754</v>
      </c>
      <c r="AI36" s="128">
        <f>+AI35/AD35-1</f>
        <v>-0.1981420148121984</v>
      </c>
      <c r="AJ36" s="128">
        <f>+AJ35/AE35-1</f>
        <v>-0.10022478864835316</v>
      </c>
      <c r="AK36" s="128">
        <f>+AK35/AF35-1</f>
        <v>0.34114865975990072</v>
      </c>
      <c r="AL36" s="128">
        <f>+AL35/AG35-1</f>
        <v>-2.4316350023466411</v>
      </c>
      <c r="AM36" s="127">
        <f>AM35/AH35-1</f>
        <v>0.77191646770516331</v>
      </c>
      <c r="AN36" s="128">
        <f>+AN35/AI35-1</f>
        <v>0.11758731678235956</v>
      </c>
      <c r="AO36" s="128">
        <f>+AO35/AJ35-1</f>
        <v>0.13409874875782779</v>
      </c>
      <c r="AP36" s="128">
        <f>+AP35/AK35-1</f>
        <v>0.1374760892562179</v>
      </c>
      <c r="AQ36" s="128">
        <f>+AQ35/AL35-1</f>
        <v>0.3073541864565088</v>
      </c>
      <c r="AR36" s="127">
        <f>AR35/AM35-1</f>
        <v>0.17910189644220198</v>
      </c>
      <c r="AS36" s="128">
        <f>+AS35/AN35-1</f>
        <v>0.23092714249636681</v>
      </c>
      <c r="AT36" s="128">
        <f>+AT35/AO35-1</f>
        <v>0.15312792219361815</v>
      </c>
      <c r="AU36" s="128">
        <f>+AU35/AP35-1</f>
        <v>-3.5036612626918484E-2</v>
      </c>
      <c r="AV36" s="128">
        <f>+AV35/AQ35-1</f>
        <v>-4.7715213015957048E-2</v>
      </c>
      <c r="AW36" s="127">
        <f>AW35/AR35-1</f>
        <v>6.7114793370124159E-2</v>
      </c>
      <c r="AX36" s="128">
        <f>+AX35/AS35-1</f>
        <v>0.16939531693275733</v>
      </c>
      <c r="AY36" s="128">
        <f>+AY35/AT35-1</f>
        <v>0.16356026426155679</v>
      </c>
      <c r="AZ36" s="128">
        <f>+AZ35/AU35-1</f>
        <v>0.35561410964725737</v>
      </c>
      <c r="BA36" s="128">
        <f>+BA35/AV35-1</f>
        <v>0.58621407427061789</v>
      </c>
      <c r="BB36" s="127">
        <f>BB35/AW35-1</f>
        <v>0.32046136813196191</v>
      </c>
      <c r="BC36" s="128">
        <f>+BC35/AX35-1</f>
        <v>0.12665199861472476</v>
      </c>
      <c r="BD36" s="128">
        <f>+BD35/AY35-1</f>
        <v>0.22595098285980963</v>
      </c>
      <c r="BE36" s="128">
        <f>+BE35/AZ35-1</f>
        <v>0.12024130713725012</v>
      </c>
      <c r="BF36" s="128">
        <f>+BF35/BA35-1</f>
        <v>1.8148225578841215E-2</v>
      </c>
      <c r="BG36" s="127">
        <f>BG35/BB35-1</f>
        <v>-2.2640220790739685E-2</v>
      </c>
      <c r="BH36" s="128">
        <f>+BH35/BC35-1</f>
        <v>0.11972393537727766</v>
      </c>
      <c r="BI36" s="128">
        <f>+BI35/BD35-1</f>
        <v>0.17692269706662178</v>
      </c>
      <c r="BJ36" s="128">
        <f>+BJ35/BE35-1</f>
        <v>0.36520600844232143</v>
      </c>
      <c r="BK36" s="128">
        <f>+BK35/BF35-1</f>
        <v>0.12478216321776747</v>
      </c>
      <c r="BL36" s="127">
        <f>BL35/BG35-1</f>
        <v>0.35995635543579696</v>
      </c>
      <c r="BM36" s="128">
        <f>+BM35/BH35-1</f>
        <v>0.17700366579423976</v>
      </c>
      <c r="BN36" s="128">
        <f>+BN35/BI35-1</f>
        <v>0.19580441717661246</v>
      </c>
      <c r="BO36" s="128">
        <f>+BO35/BJ35-1</f>
        <v>0.22964881719909536</v>
      </c>
      <c r="BP36" s="128">
        <f>+BP35/BK35-1</f>
        <v>0.18345951686277262</v>
      </c>
      <c r="BQ36" s="127">
        <f>BQ35/BL35-1</f>
        <v>0.18718165717802226</v>
      </c>
      <c r="BR36" s="128">
        <f>+BR35/BM35-1</f>
        <v>-2.8287158221395048E-3</v>
      </c>
      <c r="BS36" s="128">
        <f>+BS35/BN35-1</f>
        <v>8.2116502363794197E-2</v>
      </c>
      <c r="BT36" s="128">
        <f>+BT35/BO35-1</f>
        <v>8.242902141587849E-2</v>
      </c>
      <c r="BU36" s="128">
        <f>+BU35/BP35-1</f>
        <v>0.14178544875452381</v>
      </c>
      <c r="BV36" s="127">
        <f>BV35/BQ35-1</f>
        <v>7.5977433346035905E-2</v>
      </c>
      <c r="BW36" s="128">
        <f>+BW35/BR35-1</f>
        <v>0.10043736432438544</v>
      </c>
      <c r="BX36" s="128">
        <f>+BX35/BS35-1</f>
        <v>-6.045377590240375E-3</v>
      </c>
      <c r="BY36" s="128">
        <f>+BY35/BT35-1</f>
        <v>-2.7221399706327531E-3</v>
      </c>
      <c r="BZ36" s="128">
        <f>+BZ35/BU35-1</f>
        <v>1.1739132376700434E-2</v>
      </c>
      <c r="CA36" s="127">
        <f>CA35/BV35-1</f>
        <v>2.5013896209316933E-2</v>
      </c>
      <c r="CB36" s="128">
        <f>+CB35/BW35-1</f>
        <v>-6.6320109749322786E-2</v>
      </c>
      <c r="CC36" s="128">
        <f>+CC35/BX35-1</f>
        <v>-3.6603377785389135E-3</v>
      </c>
      <c r="CD36" s="128">
        <f>+CD35/BY35-1</f>
        <v>8.0728226996883645E-2</v>
      </c>
      <c r="CE36" s="128">
        <f>+CE35/BZ35-1</f>
        <v>0.12181286252056545</v>
      </c>
      <c r="CF36" s="127">
        <f>CF35/CA35-1</f>
        <v>3.7022717689099371E-2</v>
      </c>
      <c r="CG36" s="128">
        <f>+CG35/CB35-1</f>
        <v>0.13990851982766861</v>
      </c>
      <c r="CH36" s="128">
        <f>+CH35/CC35-1</f>
        <v>0.25471535724296013</v>
      </c>
      <c r="CI36" s="128">
        <f>+CI35/CD35-1</f>
        <v>0.22656559749447336</v>
      </c>
      <c r="CJ36" s="128">
        <f>+CJ35/CE35-1</f>
        <v>7.7501389535361787E-2</v>
      </c>
      <c r="CK36" s="127">
        <f>CK35/CF35-1</f>
        <v>0.27324497640296297</v>
      </c>
      <c r="CL36" s="128">
        <f>+CL35/CG35-1</f>
        <v>0.29946335263380863</v>
      </c>
      <c r="CM36" s="128">
        <f>+CM35/CH35-1</f>
        <v>0.210068793997221</v>
      </c>
      <c r="CN36" s="128">
        <f>+CN35/CI35-1</f>
        <v>0.20169224329057434</v>
      </c>
      <c r="CO36" s="128">
        <f>+CO35/CJ35-1</f>
        <v>0.16542591831873366</v>
      </c>
      <c r="CP36" s="127">
        <f>CP35/CK35-1</f>
        <v>0.11367047435577904</v>
      </c>
      <c r="CQ36" s="128">
        <f>CQ32/CL32-1</f>
        <v>0.17548447015812729</v>
      </c>
      <c r="CR36" s="128">
        <f t="shared" ref="CR36:DJ36" si="74">CR32/CM32-1</f>
        <v>0.11986282045770214</v>
      </c>
      <c r="CS36" s="128">
        <f t="shared" si="74"/>
        <v>5.5906367117032785E-2</v>
      </c>
      <c r="CT36" s="128">
        <f t="shared" si="74"/>
        <v>4.8258988725179419E-2</v>
      </c>
      <c r="CU36" s="127">
        <f t="shared" si="74"/>
        <v>9.4633965016241328E-2</v>
      </c>
      <c r="CV36" s="128">
        <f t="shared" si="74"/>
        <v>0.14270696649500958</v>
      </c>
      <c r="CW36" s="128">
        <f t="shared" si="74"/>
        <v>5.5176590247433044E-2</v>
      </c>
      <c r="CX36" s="128">
        <f t="shared" si="74"/>
        <v>9.2158046803356486E-2</v>
      </c>
      <c r="CY36" s="128">
        <f t="shared" si="74"/>
        <v>0.23104316085192478</v>
      </c>
      <c r="CZ36" s="127">
        <f t="shared" si="74"/>
        <v>0.13189397480165765</v>
      </c>
      <c r="DA36" s="128">
        <f t="shared" si="74"/>
        <v>-2.4793280981855736E-2</v>
      </c>
      <c r="DB36" s="128">
        <f t="shared" si="74"/>
        <v>6.0095373883334968E-2</v>
      </c>
      <c r="DC36" s="128">
        <f t="shared" si="74"/>
        <v>0.28043417507774016</v>
      </c>
      <c r="DD36" s="128">
        <f t="shared" si="74"/>
        <v>0.1189116133300081</v>
      </c>
      <c r="DE36" s="127">
        <f t="shared" si="74"/>
        <v>0.11191855837389553</v>
      </c>
      <c r="DF36" s="128">
        <f t="shared" si="74"/>
        <v>-2.8652580841621478E-2</v>
      </c>
      <c r="DG36" s="128">
        <f t="shared" si="74"/>
        <v>1.3550025667834475E-3</v>
      </c>
      <c r="DH36" s="128">
        <f t="shared" si="74"/>
        <v>-0.10413253735778982</v>
      </c>
      <c r="DI36" s="128">
        <f t="shared" si="74"/>
        <v>0.12652352224932151</v>
      </c>
      <c r="DJ36" s="127">
        <f t="shared" si="74"/>
        <v>3.0387711330834843E-3</v>
      </c>
      <c r="DK36" s="128">
        <f t="shared" ref="DK36:DT36" ca="1" si="75">DK32/DF32-1</f>
        <v>0.28261087698714538</v>
      </c>
      <c r="DL36" s="128">
        <f t="shared" ca="1" si="75"/>
        <v>0.11114368911069228</v>
      </c>
      <c r="DM36" s="128">
        <f t="shared" ca="1" si="75"/>
        <v>8.3634774983717186E-2</v>
      </c>
      <c r="DN36" s="128">
        <f t="shared" ca="1" si="75"/>
        <v>2.0517396440805191E-2</v>
      </c>
      <c r="DO36" s="127">
        <f t="shared" ca="1" si="75"/>
        <v>0.10795439912298632</v>
      </c>
      <c r="DP36" s="128">
        <f t="shared" ca="1" si="75"/>
        <v>-7.6412996309859427E-2</v>
      </c>
      <c r="DQ36" s="128">
        <f t="shared" ca="1" si="75"/>
        <v>6.8922430098062426E-2</v>
      </c>
      <c r="DR36" s="128">
        <f t="shared" ca="1" si="75"/>
        <v>4.5542217688401498E-2</v>
      </c>
      <c r="DS36" s="128">
        <f t="shared" ca="1" si="75"/>
        <v>4.5625739268039922E-2</v>
      </c>
      <c r="DT36" s="127">
        <f t="shared" ca="1" si="75"/>
        <v>2.3780737934738561E-2</v>
      </c>
      <c r="DU36" s="128">
        <f t="shared" ref="DU36" ca="1" si="76">DU32/DP32-1</f>
        <v>6.8488111752799119E-2</v>
      </c>
      <c r="DV36" s="128">
        <f t="shared" ref="DV36" ca="1" si="77">DV32/DQ32-1</f>
        <v>6.835109901451375E-2</v>
      </c>
      <c r="DW36" s="128">
        <f t="shared" ref="DW36" ca="1" si="78">DW32/DR32-1</f>
        <v>6.9269698543063196E-2</v>
      </c>
      <c r="DX36" s="128">
        <f t="shared" ref="DX36" ca="1" si="79">DX32/DS32-1</f>
        <v>5.7722318010666296E-2</v>
      </c>
      <c r="DY36" s="127">
        <f t="shared" ref="DY36" ca="1" si="80">DY32/DT32-1</f>
        <v>6.5271939987653571E-2</v>
      </c>
      <c r="DZ36" s="121"/>
    </row>
    <row r="37" spans="1:140" ht="12" collapsed="1" thickBot="1" x14ac:dyDescent="0.25">
      <c r="A37" s="16"/>
      <c r="B37" s="129"/>
      <c r="C37" s="129"/>
      <c r="D37" s="129"/>
      <c r="E37" s="130"/>
      <c r="F37" s="130"/>
      <c r="G37" s="130"/>
      <c r="H37" s="130"/>
      <c r="I37" s="130"/>
      <c r="J37" s="130"/>
      <c r="K37" s="130"/>
      <c r="L37" s="130"/>
      <c r="M37" s="130"/>
      <c r="N37" s="130"/>
      <c r="O37" s="130"/>
      <c r="P37" s="130"/>
      <c r="Q37" s="130"/>
      <c r="R37" s="130"/>
      <c r="S37" s="130"/>
      <c r="T37" s="130"/>
      <c r="U37" s="130"/>
      <c r="V37" s="130"/>
      <c r="W37" s="130"/>
      <c r="X37" s="130"/>
      <c r="Y37" s="130"/>
      <c r="Z37" s="130"/>
      <c r="AA37" s="130"/>
      <c r="AB37" s="130"/>
      <c r="AC37" s="130"/>
      <c r="AD37" s="130"/>
      <c r="AE37" s="130"/>
      <c r="AF37" s="130"/>
      <c r="AG37" s="130"/>
      <c r="AH37" s="130"/>
      <c r="AI37" s="130"/>
      <c r="AJ37" s="130"/>
      <c r="AK37" s="130"/>
      <c r="AL37" s="130"/>
      <c r="AM37" s="130"/>
      <c r="AN37" s="130"/>
      <c r="AO37" s="130"/>
      <c r="AP37" s="130"/>
      <c r="AQ37" s="130"/>
      <c r="AR37" s="130"/>
      <c r="AS37" s="130"/>
      <c r="AT37" s="130"/>
      <c r="AU37" s="130"/>
      <c r="AV37" s="130"/>
      <c r="AW37" s="130"/>
      <c r="AX37" s="130"/>
      <c r="AY37" s="130"/>
      <c r="AZ37" s="130"/>
      <c r="BA37" s="130"/>
      <c r="BB37" s="130"/>
      <c r="BC37" s="130"/>
      <c r="BD37" s="130"/>
      <c r="BE37" s="130"/>
      <c r="BF37" s="130"/>
      <c r="BG37" s="130"/>
      <c r="BH37" s="130"/>
      <c r="BI37" s="130"/>
      <c r="BJ37" s="130"/>
      <c r="BK37" s="130"/>
      <c r="BL37" s="130"/>
      <c r="BM37" s="130"/>
      <c r="BN37" s="130"/>
      <c r="BO37" s="130"/>
      <c r="BP37" s="130"/>
      <c r="BQ37" s="130"/>
      <c r="BR37" s="130"/>
      <c r="BS37" s="130"/>
      <c r="BT37" s="130"/>
      <c r="BU37" s="130"/>
      <c r="BV37" s="130"/>
      <c r="BW37" s="130"/>
      <c r="BX37" s="130"/>
      <c r="BY37" s="130"/>
      <c r="BZ37" s="130"/>
      <c r="CA37" s="130"/>
      <c r="CB37" s="130"/>
      <c r="CC37" s="130"/>
      <c r="CD37" s="130"/>
      <c r="CE37" s="130"/>
      <c r="CF37" s="130"/>
      <c r="CG37" s="130"/>
      <c r="CH37" s="130"/>
      <c r="CI37" s="130"/>
      <c r="CJ37" s="130"/>
      <c r="CK37" s="130"/>
      <c r="CL37" s="130"/>
      <c r="CM37" s="130"/>
      <c r="CN37" s="130">
        <f>SUM(CL39:CM39)/CP39</f>
        <v>0.45374468184444716</v>
      </c>
      <c r="CO37" s="130"/>
      <c r="CP37" s="130"/>
      <c r="CQ37" s="130"/>
      <c r="CR37" s="130"/>
      <c r="CS37" s="130">
        <f>SUM(CQ39:CR39)/CU39</f>
        <v>0.47686451393294321</v>
      </c>
      <c r="CT37" s="130"/>
      <c r="CU37" s="130"/>
      <c r="CV37" s="130"/>
      <c r="CW37" s="2580">
        <v>1.31</v>
      </c>
      <c r="CX37" s="130">
        <f>CW37/CW39-1</f>
        <v>7.5638815372910173E-2</v>
      </c>
      <c r="CY37" s="130"/>
      <c r="CZ37" s="130"/>
      <c r="DA37" s="130"/>
      <c r="DB37" s="130"/>
      <c r="DC37" s="130"/>
      <c r="DD37" s="130"/>
      <c r="DE37" s="130"/>
      <c r="DF37" s="130"/>
      <c r="DG37" s="130"/>
      <c r="DH37" s="130"/>
      <c r="DI37" s="130"/>
      <c r="DJ37" s="130"/>
      <c r="DK37" s="130"/>
      <c r="DL37" s="130"/>
      <c r="DM37" s="130"/>
      <c r="DN37" s="130"/>
      <c r="DO37" s="2774"/>
      <c r="DP37" s="130"/>
      <c r="DQ37" s="130"/>
      <c r="DR37" s="130"/>
      <c r="DS37" s="130"/>
      <c r="DT37" s="130"/>
      <c r="DU37" s="130"/>
      <c r="DV37" s="130"/>
      <c r="DW37" s="130"/>
      <c r="DX37" s="130"/>
      <c r="DY37" s="130"/>
      <c r="DZ37" s="16"/>
    </row>
    <row r="38" spans="1:140" ht="12" hidden="1" outlineLevel="1" thickBot="1" x14ac:dyDescent="0.25">
      <c r="A38" s="131"/>
      <c r="B38" s="132" t="s">
        <v>195</v>
      </c>
      <c r="C38" s="133"/>
      <c r="D38" s="134"/>
      <c r="E38" s="135" t="str">
        <f t="shared" ref="E38:H39" si="81">IF(ISERROR(E$43/E46),"NM",E$43/E46)</f>
        <v>NM</v>
      </c>
      <c r="F38" s="135" t="str">
        <f t="shared" si="81"/>
        <v>NM</v>
      </c>
      <c r="G38" s="135" t="str">
        <f t="shared" si="81"/>
        <v>NM</v>
      </c>
      <c r="H38" s="135" t="str">
        <f t="shared" si="81"/>
        <v>NM</v>
      </c>
      <c r="I38" s="136">
        <f>I$43/I46</f>
        <v>0.85470901639344221</v>
      </c>
      <c r="J38" s="135" t="str">
        <f t="shared" ref="J38:M39" si="82">IF(ISERROR(J$43/J46),"NM",J$43/J46)</f>
        <v>NM</v>
      </c>
      <c r="K38" s="135" t="str">
        <f t="shared" si="82"/>
        <v>NM</v>
      </c>
      <c r="L38" s="135" t="str">
        <f t="shared" si="82"/>
        <v>NM</v>
      </c>
      <c r="M38" s="135" t="str">
        <f t="shared" si="82"/>
        <v>NM</v>
      </c>
      <c r="N38" s="136">
        <f t="shared" ref="N38:R39" si="83">N$43/N46</f>
        <v>0.60039693343841993</v>
      </c>
      <c r="O38" s="137">
        <f t="shared" si="83"/>
        <v>0.16788325933664205</v>
      </c>
      <c r="P38" s="137">
        <f t="shared" si="83"/>
        <v>0.22172369103162293</v>
      </c>
      <c r="Q38" s="137">
        <f t="shared" si="83"/>
        <v>0.13273427471116786</v>
      </c>
      <c r="R38" s="137">
        <f t="shared" si="83"/>
        <v>0.18251730325557608</v>
      </c>
      <c r="S38" s="136">
        <f t="shared" ref="S38:AX38" si="84">S$45/S47</f>
        <v>0.69489634748272755</v>
      </c>
      <c r="T38" s="137">
        <f t="shared" si="84"/>
        <v>0.19769720725134809</v>
      </c>
      <c r="U38" s="137">
        <f t="shared" si="84"/>
        <v>0.19451920724247684</v>
      </c>
      <c r="V38" s="137">
        <f t="shared" si="84"/>
        <v>0.14820396885204776</v>
      </c>
      <c r="W38" s="137">
        <f t="shared" si="84"/>
        <v>0.22287533676218449</v>
      </c>
      <c r="X38" s="136">
        <f t="shared" si="84"/>
        <v>0.78248013306228015</v>
      </c>
      <c r="Y38" s="137">
        <f t="shared" si="84"/>
        <v>0.23028739867354345</v>
      </c>
      <c r="Z38" s="137">
        <f t="shared" si="84"/>
        <v>0.22401960784313751</v>
      </c>
      <c r="AA38" s="137">
        <f t="shared" si="84"/>
        <v>0.1664944785276079</v>
      </c>
      <c r="AB38" s="137">
        <f t="shared" si="84"/>
        <v>0.25158613958028198</v>
      </c>
      <c r="AC38" s="136">
        <f t="shared" si="84"/>
        <v>0.92574623915209853</v>
      </c>
      <c r="AD38" s="137">
        <f t="shared" si="84"/>
        <v>0.26501337223437949</v>
      </c>
      <c r="AE38" s="137">
        <f t="shared" si="84"/>
        <v>0.23631719776210117</v>
      </c>
      <c r="AF38" s="137">
        <f t="shared" si="84"/>
        <v>0.14778325123152722</v>
      </c>
      <c r="AG38" s="137">
        <f t="shared" si="84"/>
        <v>-0.16894803548795978</v>
      </c>
      <c r="AH38" s="136">
        <f t="shared" si="84"/>
        <v>0.54421100152403701</v>
      </c>
      <c r="AI38" s="137">
        <f t="shared" si="84"/>
        <v>0.21250308870768442</v>
      </c>
      <c r="AJ38" s="137">
        <f t="shared" si="84"/>
        <v>0.21263235656242349</v>
      </c>
      <c r="AK38" s="137">
        <f t="shared" si="84"/>
        <v>0.19819930932412341</v>
      </c>
      <c r="AL38" s="137">
        <f t="shared" si="84"/>
        <v>0.24187192118226569</v>
      </c>
      <c r="AM38" s="136">
        <f t="shared" si="84"/>
        <v>0.92480407656178043</v>
      </c>
      <c r="AN38" s="137">
        <f t="shared" si="84"/>
        <v>0.23749075671678474</v>
      </c>
      <c r="AO38" s="137">
        <f t="shared" si="84"/>
        <v>0.24114608952287275</v>
      </c>
      <c r="AP38" s="137">
        <f t="shared" si="84"/>
        <v>0.22544697526328733</v>
      </c>
      <c r="AQ38" s="137">
        <f t="shared" si="84"/>
        <v>0.31621226874391378</v>
      </c>
      <c r="AR38" s="138">
        <f t="shared" si="84"/>
        <v>1.0864666328608272</v>
      </c>
      <c r="AS38" s="137">
        <f t="shared" si="84"/>
        <v>0.29233381853469165</v>
      </c>
      <c r="AT38" s="137">
        <f t="shared" si="84"/>
        <v>0.27807228915662646</v>
      </c>
      <c r="AU38" s="137">
        <f t="shared" si="84"/>
        <v>0.21754807692307707</v>
      </c>
      <c r="AV38" s="137">
        <f t="shared" si="84"/>
        <v>0.30112413298253887</v>
      </c>
      <c r="AW38" s="136">
        <f t="shared" si="84"/>
        <v>1.1824422655228501</v>
      </c>
      <c r="AX38" s="137">
        <f t="shared" si="84"/>
        <v>0.34185379837553892</v>
      </c>
      <c r="AY38" s="137">
        <f t="shared" ref="AY38:CD38" si="85">AY$45/AY47</f>
        <v>0.32355386625490035</v>
      </c>
      <c r="AZ38" s="137">
        <f t="shared" si="85"/>
        <v>0.29491124260355017</v>
      </c>
      <c r="BA38" s="137">
        <f t="shared" si="85"/>
        <v>0.47764733783944036</v>
      </c>
      <c r="BB38" s="136">
        <f t="shared" si="85"/>
        <v>1.5532343790769028</v>
      </c>
      <c r="BC38" s="137">
        <f t="shared" si="85"/>
        <v>0.38515026517383605</v>
      </c>
      <c r="BD38" s="137">
        <f t="shared" si="85"/>
        <v>0.39666118034328646</v>
      </c>
      <c r="BE38" s="137">
        <f t="shared" si="85"/>
        <v>0.33037175590367174</v>
      </c>
      <c r="BF38" s="137">
        <f t="shared" si="85"/>
        <v>0.48631578947368348</v>
      </c>
      <c r="BG38" s="136">
        <f t="shared" si="85"/>
        <v>1.5329103371394681</v>
      </c>
      <c r="BH38" s="137">
        <f t="shared" si="85"/>
        <v>0.46192121870428848</v>
      </c>
      <c r="BI38" s="137">
        <f t="shared" si="85"/>
        <v>0.51075393948597625</v>
      </c>
      <c r="BJ38" s="137">
        <f t="shared" si="85"/>
        <v>0.49410824966795569</v>
      </c>
      <c r="BK38" s="137">
        <f t="shared" si="85"/>
        <v>0.57816004059756221</v>
      </c>
      <c r="BL38" s="136">
        <f t="shared" si="85"/>
        <v>2.0743128971982965</v>
      </c>
      <c r="BM38" s="137">
        <f t="shared" si="85"/>
        <v>0.55027146750692191</v>
      </c>
      <c r="BN38" s="137">
        <f t="shared" si="85"/>
        <v>0.60092030985741107</v>
      </c>
      <c r="BO38" s="137">
        <f t="shared" si="85"/>
        <v>0.59754106463680379</v>
      </c>
      <c r="BP38" s="137">
        <f t="shared" si="85"/>
        <v>0.69555336521310518</v>
      </c>
      <c r="BQ38" s="136">
        <f t="shared" si="85"/>
        <v>2.4464620040192768</v>
      </c>
      <c r="BR38" s="137">
        <f t="shared" si="85"/>
        <v>0.55021606063577999</v>
      </c>
      <c r="BS38" s="137">
        <f t="shared" si="85"/>
        <v>0.64812778766525536</v>
      </c>
      <c r="BT38" s="137">
        <f t="shared" si="85"/>
        <v>0.64524552002788882</v>
      </c>
      <c r="BU38" s="137">
        <f t="shared" si="85"/>
        <v>0.78443093266307806</v>
      </c>
      <c r="BV38" s="136">
        <f t="shared" si="85"/>
        <v>2.6198718948576971</v>
      </c>
      <c r="BW38" s="137">
        <f t="shared" si="85"/>
        <v>0.6026185636170035</v>
      </c>
      <c r="BX38" s="137">
        <f t="shared" si="85"/>
        <v>0.64703158304519548</v>
      </c>
      <c r="BY38" s="137">
        <f t="shared" si="85"/>
        <v>0.64668561716094253</v>
      </c>
      <c r="BZ38" s="137">
        <f t="shared" si="85"/>
        <v>0.79724049088073767</v>
      </c>
      <c r="CA38" s="136">
        <f t="shared" si="85"/>
        <v>2.6932650056875942</v>
      </c>
      <c r="CB38" s="137">
        <f t="shared" si="85"/>
        <v>0.56689453276295543</v>
      </c>
      <c r="CC38" s="137">
        <f t="shared" si="85"/>
        <v>0.6490597042974332</v>
      </c>
      <c r="CD38" s="137">
        <f t="shared" si="85"/>
        <v>0.70044232998757094</v>
      </c>
      <c r="CE38" s="137">
        <f t="shared" ref="CE38:CZ38" si="86">CE$45/CE47</f>
        <v>0.89217492364951256</v>
      </c>
      <c r="CF38" s="136">
        <f t="shared" si="86"/>
        <v>2.8002475696472944</v>
      </c>
      <c r="CG38" s="137">
        <f t="shared" si="86"/>
        <v>0.63406220120981494</v>
      </c>
      <c r="CH38" s="137">
        <f>CH$43/CH47</f>
        <v>0.80977072210473211</v>
      </c>
      <c r="CI38" s="137">
        <f>CI$43/CI47</f>
        <v>0.85093021430253546</v>
      </c>
      <c r="CJ38" s="137">
        <f>CJ$43/CJ47</f>
        <v>0.96557245796637314</v>
      </c>
      <c r="CK38" s="136">
        <f>CK$43/CK47</f>
        <v>3.2664525364824741</v>
      </c>
      <c r="CL38" s="137">
        <f t="shared" si="86"/>
        <v>0.83078162771958097</v>
      </c>
      <c r="CM38" s="137">
        <f t="shared" si="86"/>
        <v>0.96835545483975405</v>
      </c>
      <c r="CN38" s="137">
        <f>CN$45/CN47</f>
        <v>1.0548939641109298</v>
      </c>
      <c r="CO38" s="137">
        <f t="shared" si="86"/>
        <v>1.1157368859283929</v>
      </c>
      <c r="CP38" s="136">
        <f t="shared" si="86"/>
        <v>3.9650868749490167</v>
      </c>
      <c r="CQ38" s="137">
        <f>CQ$45/CQ47</f>
        <v>1.0235333669524289</v>
      </c>
      <c r="CR38" s="137">
        <f t="shared" ca="1" si="86"/>
        <v>1.1280633310036947</v>
      </c>
      <c r="CS38" s="137">
        <f t="shared" ca="1" si="86"/>
        <v>1.1432307240729693</v>
      </c>
      <c r="CT38" s="137">
        <f t="shared" si="86"/>
        <v>1.2170892671066342</v>
      </c>
      <c r="CU38" s="136">
        <f t="shared" si="86"/>
        <v>4.4994339179287808</v>
      </c>
      <c r="CV38" s="137">
        <f t="shared" si="86"/>
        <v>1.1388473383194015</v>
      </c>
      <c r="CW38" s="137">
        <f t="shared" si="86"/>
        <v>1.1878809292465331</v>
      </c>
      <c r="CX38" s="137">
        <f>CX$45/CX47</f>
        <v>1.284180196672404</v>
      </c>
      <c r="CY38" s="137">
        <f>CY$45/CY47</f>
        <v>1.5302145999820418</v>
      </c>
      <c r="CZ38" s="136">
        <f t="shared" si="86"/>
        <v>5.1365585237573708</v>
      </c>
      <c r="DA38" s="137">
        <f>DA$45/DA47</f>
        <v>1.1842009464870769</v>
      </c>
      <c r="DB38" s="137">
        <f>DB$45/DB47</f>
        <v>1.319509019899572</v>
      </c>
      <c r="DC38" s="137">
        <f>DC$45/DC47</f>
        <v>1.6343464478836474</v>
      </c>
      <c r="DD38" s="137">
        <f>DD$45/DD47</f>
        <v>1.7100215214746888</v>
      </c>
      <c r="DE38" s="136">
        <f t="shared" ref="DE38:DJ38" si="87">DE$45/DE47</f>
        <v>5.5921095613406706</v>
      </c>
      <c r="DF38" s="137">
        <f t="shared" si="87"/>
        <v>1.1674881608195611</v>
      </c>
      <c r="DG38" s="137">
        <f>DG$45/DG47</f>
        <v>1.3300449306505178</v>
      </c>
      <c r="DH38" s="137">
        <f>DH$45/DH47</f>
        <v>1.4977543239392239</v>
      </c>
      <c r="DI38" s="137">
        <f>DI$45/DI47</f>
        <v>1.9205729894147003</v>
      </c>
      <c r="DJ38" s="136">
        <f t="shared" si="87"/>
        <v>5.6374430216659599</v>
      </c>
      <c r="DK38" s="137">
        <f t="shared" ref="DK38:DT38" ca="1" si="88">DK$45/DK47</f>
        <v>1.4073745520773424</v>
      </c>
      <c r="DL38" s="137">
        <f t="shared" ca="1" si="88"/>
        <v>1.4150198957330835</v>
      </c>
      <c r="DM38" s="137">
        <f t="shared" ca="1" si="88"/>
        <v>1.5607488799006144</v>
      </c>
      <c r="DN38" s="137">
        <f t="shared" ca="1" si="88"/>
        <v>1.8974900348024621</v>
      </c>
      <c r="DO38" s="136">
        <f t="shared" ca="1" si="88"/>
        <v>6.2806333625135</v>
      </c>
      <c r="DP38" s="137">
        <f t="shared" ca="1" si="88"/>
        <v>1.3113081987370612</v>
      </c>
      <c r="DQ38" s="137">
        <f t="shared" ca="1" si="88"/>
        <v>1.5021960513281856</v>
      </c>
      <c r="DR38" s="137">
        <f t="shared" ca="1" si="88"/>
        <v>1.6249895238941481</v>
      </c>
      <c r="DS38" s="137">
        <f t="shared" ca="1" si="88"/>
        <v>1.9772125562546987</v>
      </c>
      <c r="DT38" s="136">
        <f t="shared" ca="1" si="88"/>
        <v>6.41570633021409</v>
      </c>
      <c r="DU38" s="137">
        <f t="shared" ref="DU38:DY38" ca="1" si="89">DU$45/DU47</f>
        <v>1.3908319908745324</v>
      </c>
      <c r="DV38" s="137">
        <f t="shared" ca="1" si="89"/>
        <v>1.5946081479959977</v>
      </c>
      <c r="DW38" s="137">
        <f t="shared" ca="1" si="89"/>
        <v>1.7271494529126037</v>
      </c>
      <c r="DX38" s="137">
        <f t="shared" ca="1" si="89"/>
        <v>2.0826733753797417</v>
      </c>
      <c r="DY38" s="136">
        <f t="shared" ca="1" si="89"/>
        <v>6.7952629671628797</v>
      </c>
      <c r="DZ38" s="131"/>
    </row>
    <row r="39" spans="1:140" ht="12" collapsed="1" thickBot="1" x14ac:dyDescent="0.25">
      <c r="A39" s="131"/>
      <c r="B39" s="139" t="s">
        <v>196</v>
      </c>
      <c r="C39" s="140"/>
      <c r="D39" s="141"/>
      <c r="E39" s="142" t="str">
        <f t="shared" si="81"/>
        <v>NM</v>
      </c>
      <c r="F39" s="142" t="str">
        <f t="shared" si="81"/>
        <v>NM</v>
      </c>
      <c r="G39" s="142" t="str">
        <f t="shared" si="81"/>
        <v>NM</v>
      </c>
      <c r="H39" s="142" t="str">
        <f t="shared" si="81"/>
        <v>NM</v>
      </c>
      <c r="I39" s="143">
        <f>I$43/I47</f>
        <v>0.81549400417101103</v>
      </c>
      <c r="J39" s="142" t="str">
        <f t="shared" si="82"/>
        <v>NM</v>
      </c>
      <c r="K39" s="142" t="str">
        <f t="shared" si="82"/>
        <v>NM</v>
      </c>
      <c r="L39" s="142" t="str">
        <f t="shared" si="82"/>
        <v>NM</v>
      </c>
      <c r="M39" s="142" t="str">
        <f t="shared" si="82"/>
        <v>NM</v>
      </c>
      <c r="N39" s="143">
        <f t="shared" si="83"/>
        <v>0.52429080898454783</v>
      </c>
      <c r="O39" s="144">
        <f t="shared" si="83"/>
        <v>0.16034547268645608</v>
      </c>
      <c r="P39" s="144">
        <f t="shared" si="83"/>
        <v>0.21677901672579858</v>
      </c>
      <c r="Q39" s="144">
        <f t="shared" si="83"/>
        <v>0.13052259530421581</v>
      </c>
      <c r="R39" s="144">
        <f t="shared" si="83"/>
        <v>0.17472392638036865</v>
      </c>
      <c r="S39" s="143">
        <f t="shared" ref="S39:AX39" si="90">S$43/S47</f>
        <v>0.69489634748272755</v>
      </c>
      <c r="T39" s="144">
        <f t="shared" si="90"/>
        <v>0.19769720725134809</v>
      </c>
      <c r="U39" s="144">
        <f t="shared" si="90"/>
        <v>0.19451920724247684</v>
      </c>
      <c r="V39" s="144">
        <f t="shared" si="90"/>
        <v>0.14820396885204776</v>
      </c>
      <c r="W39" s="144">
        <f t="shared" si="90"/>
        <v>0.22287533676218449</v>
      </c>
      <c r="X39" s="143">
        <f t="shared" si="90"/>
        <v>0.78248013306228015</v>
      </c>
      <c r="Y39" s="144">
        <f t="shared" si="90"/>
        <v>0.23028739867354345</v>
      </c>
      <c r="Z39" s="144">
        <f t="shared" si="90"/>
        <v>0.22401960784313751</v>
      </c>
      <c r="AA39" s="144">
        <f t="shared" si="90"/>
        <v>0.1664944785276079</v>
      </c>
      <c r="AB39" s="144">
        <f t="shared" si="90"/>
        <v>0.25158613958028198</v>
      </c>
      <c r="AC39" s="143">
        <f t="shared" si="90"/>
        <v>0.92574623915209853</v>
      </c>
      <c r="AD39" s="144">
        <f t="shared" si="90"/>
        <v>0.26501337223437949</v>
      </c>
      <c r="AE39" s="144">
        <f t="shared" si="90"/>
        <v>0.23631719776210117</v>
      </c>
      <c r="AF39" s="144">
        <f t="shared" si="90"/>
        <v>0.14778325123152722</v>
      </c>
      <c r="AG39" s="144">
        <f t="shared" si="90"/>
        <v>-0.16894803548795978</v>
      </c>
      <c r="AH39" s="143">
        <f t="shared" si="90"/>
        <v>0.54421100152403701</v>
      </c>
      <c r="AI39" s="144">
        <f t="shared" si="90"/>
        <v>0.21250308870768442</v>
      </c>
      <c r="AJ39" s="144">
        <f t="shared" si="90"/>
        <v>0.21263235656242349</v>
      </c>
      <c r="AK39" s="144">
        <f t="shared" si="90"/>
        <v>0.19819930932412341</v>
      </c>
      <c r="AL39" s="144">
        <f t="shared" si="90"/>
        <v>0.24187192118226569</v>
      </c>
      <c r="AM39" s="143">
        <f t="shared" si="90"/>
        <v>0.92480407656178043</v>
      </c>
      <c r="AN39" s="144">
        <f t="shared" si="90"/>
        <v>0.23749075671678474</v>
      </c>
      <c r="AO39" s="144">
        <f t="shared" si="90"/>
        <v>0.24114608952287275</v>
      </c>
      <c r="AP39" s="144">
        <f t="shared" si="90"/>
        <v>0.22544697526328733</v>
      </c>
      <c r="AQ39" s="144">
        <f t="shared" si="90"/>
        <v>0.31621226874391378</v>
      </c>
      <c r="AR39" s="138">
        <f t="shared" si="90"/>
        <v>1.0864666328608272</v>
      </c>
      <c r="AS39" s="144">
        <f t="shared" si="90"/>
        <v>0.29233381853469165</v>
      </c>
      <c r="AT39" s="144">
        <f t="shared" si="90"/>
        <v>0.27807228915662646</v>
      </c>
      <c r="AU39" s="144">
        <f t="shared" si="90"/>
        <v>0.21754807692307707</v>
      </c>
      <c r="AV39" s="144">
        <f t="shared" si="90"/>
        <v>0.30112413298253887</v>
      </c>
      <c r="AW39" s="143">
        <f t="shared" si="90"/>
        <v>1.1824422655228501</v>
      </c>
      <c r="AX39" s="144">
        <f t="shared" si="90"/>
        <v>0.34185379837553892</v>
      </c>
      <c r="AY39" s="144">
        <f t="shared" ref="AY39:CD39" si="91">AY$43/AY47</f>
        <v>0.32355386625490035</v>
      </c>
      <c r="AZ39" s="144">
        <f t="shared" si="91"/>
        <v>0.29491124260355017</v>
      </c>
      <c r="BA39" s="144">
        <f t="shared" si="91"/>
        <v>0.47764733783944036</v>
      </c>
      <c r="BB39" s="143">
        <f t="shared" si="91"/>
        <v>1.5532343790769028</v>
      </c>
      <c r="BC39" s="144">
        <f t="shared" si="91"/>
        <v>0.38515026517383605</v>
      </c>
      <c r="BD39" s="144">
        <f t="shared" si="91"/>
        <v>0.39666118034328646</v>
      </c>
      <c r="BE39" s="144">
        <f t="shared" si="91"/>
        <v>0.33037175590367174</v>
      </c>
      <c r="BF39" s="144">
        <f t="shared" si="91"/>
        <v>0.48631578947368348</v>
      </c>
      <c r="BG39" s="143">
        <f t="shared" si="91"/>
        <v>1.5329103371394681</v>
      </c>
      <c r="BH39" s="144">
        <f t="shared" si="91"/>
        <v>0.46192121870428848</v>
      </c>
      <c r="BI39" s="144">
        <f t="shared" si="91"/>
        <v>0.51075393948597625</v>
      </c>
      <c r="BJ39" s="144">
        <f t="shared" si="91"/>
        <v>0.49410824966795569</v>
      </c>
      <c r="BK39" s="144">
        <f t="shared" si="91"/>
        <v>0.57816004059756221</v>
      </c>
      <c r="BL39" s="143">
        <f t="shared" si="91"/>
        <v>2.0743128971982965</v>
      </c>
      <c r="BM39" s="144">
        <f t="shared" si="91"/>
        <v>0.55027146750692191</v>
      </c>
      <c r="BN39" s="144">
        <f t="shared" si="91"/>
        <v>0.60092030985741107</v>
      </c>
      <c r="BO39" s="144">
        <f t="shared" si="91"/>
        <v>0.59754106463680379</v>
      </c>
      <c r="BP39" s="144">
        <f t="shared" si="91"/>
        <v>0.69555336521310518</v>
      </c>
      <c r="BQ39" s="143">
        <f t="shared" si="91"/>
        <v>2.4464620040192768</v>
      </c>
      <c r="BR39" s="144">
        <f t="shared" si="91"/>
        <v>0.55021606063577999</v>
      </c>
      <c r="BS39" s="144">
        <f t="shared" si="91"/>
        <v>0.64812778766525536</v>
      </c>
      <c r="BT39" s="144">
        <f t="shared" si="91"/>
        <v>0.64524552002788882</v>
      </c>
      <c r="BU39" s="144">
        <f t="shared" si="91"/>
        <v>0.78443093266307806</v>
      </c>
      <c r="BV39" s="143">
        <f t="shared" si="91"/>
        <v>2.6198718948576971</v>
      </c>
      <c r="BW39" s="144">
        <f t="shared" si="91"/>
        <v>0.6026185636170035</v>
      </c>
      <c r="BX39" s="144">
        <f t="shared" si="91"/>
        <v>0.64703158304519548</v>
      </c>
      <c r="BY39" s="144">
        <f t="shared" si="91"/>
        <v>0.64668561716094253</v>
      </c>
      <c r="BZ39" s="144">
        <f t="shared" si="91"/>
        <v>0.79724049088073767</v>
      </c>
      <c r="CA39" s="143">
        <f t="shared" si="91"/>
        <v>2.6932650056875942</v>
      </c>
      <c r="CB39" s="144">
        <f t="shared" si="91"/>
        <v>0.56689453276295543</v>
      </c>
      <c r="CC39" s="144">
        <f t="shared" si="91"/>
        <v>0.6490597042974332</v>
      </c>
      <c r="CD39" s="144">
        <f t="shared" si="91"/>
        <v>0.70044232998757094</v>
      </c>
      <c r="CE39" s="144">
        <f t="shared" ref="CE39:CY39" si="92">CE$43/CE47</f>
        <v>0.89217492364951256</v>
      </c>
      <c r="CF39" s="143">
        <f t="shared" si="92"/>
        <v>2.8002475696472944</v>
      </c>
      <c r="CG39" s="144">
        <f>CG$43/CG47</f>
        <v>0.64781315613724044</v>
      </c>
      <c r="CH39" s="144">
        <f>CH$45/CH47</f>
        <v>0.80977072210473211</v>
      </c>
      <c r="CI39" s="144">
        <f>CI$45/CI47</f>
        <v>0.85093021430253546</v>
      </c>
      <c r="CJ39" s="144">
        <f>CJ$45/CJ47</f>
        <v>1.1366469175340272</v>
      </c>
      <c r="CK39" s="143">
        <f>(SUM(CG45:CJ45)-CG44)/CK47</f>
        <v>3.4334131350251869</v>
      </c>
      <c r="CL39" s="144">
        <f t="shared" si="92"/>
        <v>0.83078162771958097</v>
      </c>
      <c r="CM39" s="144">
        <f t="shared" si="92"/>
        <v>0.96835545483975405</v>
      </c>
      <c r="CN39" s="144">
        <f>CN$43/CN47</f>
        <v>1.0548939641109298</v>
      </c>
      <c r="CO39" s="144">
        <f t="shared" si="92"/>
        <v>1.1157368859283929</v>
      </c>
      <c r="CP39" s="143">
        <f t="shared" si="92"/>
        <v>3.9650868749490167</v>
      </c>
      <c r="CQ39" s="144">
        <f>CQ$43/CQ47</f>
        <v>1.0152966885190788</v>
      </c>
      <c r="CR39" s="144">
        <f t="shared" si="92"/>
        <v>1.1303236797274276</v>
      </c>
      <c r="CS39" s="144">
        <f t="shared" si="92"/>
        <v>1.1474397461188779</v>
      </c>
      <c r="CT39" s="144">
        <f t="shared" si="92"/>
        <v>1.2096213963181661</v>
      </c>
      <c r="CU39" s="143">
        <f t="shared" si="92"/>
        <v>4.4994339179287808</v>
      </c>
      <c r="CV39" s="144">
        <f t="shared" si="92"/>
        <v>1.1388473383194015</v>
      </c>
      <c r="CW39" s="144">
        <f>CW$43/CW47+0.03</f>
        <v>1.2178809292465331</v>
      </c>
      <c r="CX39" s="144">
        <f>CX$43/CX47</f>
        <v>1.284180196672404</v>
      </c>
      <c r="CY39" s="144">
        <f t="shared" si="92"/>
        <v>1.5302145999820418</v>
      </c>
      <c r="CZ39" s="143">
        <f>SUM(CV39:CY39)</f>
        <v>5.1711230642203807</v>
      </c>
      <c r="DA39" s="144">
        <f>DA$43/DA47</f>
        <v>1.1842009464870769</v>
      </c>
      <c r="DB39" s="144">
        <f>DB$43/DB47</f>
        <v>1.319509019899572</v>
      </c>
      <c r="DC39" s="144">
        <f>DC$43/DC47</f>
        <v>1.6343464478836474</v>
      </c>
      <c r="DD39" s="144">
        <f>DD$43/DD47</f>
        <v>1.7100215214746888</v>
      </c>
      <c r="DE39" s="143">
        <f>SUM(DA39:DD39)</f>
        <v>5.8480779357449846</v>
      </c>
      <c r="DF39" s="144">
        <f>DF$43/DF47</f>
        <v>1.1674881608195611</v>
      </c>
      <c r="DG39" s="144">
        <f>DG$43/DG47</f>
        <v>1.3300449306505178</v>
      </c>
      <c r="DH39" s="144">
        <f>DH$43/DH47</f>
        <v>1.4977543239392239</v>
      </c>
      <c r="DI39" s="144">
        <f>DI$43/DI47</f>
        <v>1.9205729894147003</v>
      </c>
      <c r="DJ39" s="143">
        <f>SUM(DF39:DI39)</f>
        <v>5.9158604048240031</v>
      </c>
      <c r="DK39" s="144">
        <f ca="1">DK$43/DK47</f>
        <v>1.4073745520773424</v>
      </c>
      <c r="DL39" s="144">
        <f ca="1">DL$43/DL47</f>
        <v>1.4150198957330835</v>
      </c>
      <c r="DM39" s="144">
        <f t="shared" ref="DM39:DN39" ca="1" si="93">DM$43/DM47</f>
        <v>1.5607488799006144</v>
      </c>
      <c r="DN39" s="144">
        <f t="shared" ca="1" si="93"/>
        <v>1.8974900348024621</v>
      </c>
      <c r="DO39" s="143">
        <f ca="1">SUM(DK39:DN39)</f>
        <v>6.2806333625135036</v>
      </c>
      <c r="DP39" s="144">
        <f ca="1">DP$43/DP47</f>
        <v>1.3113081987370612</v>
      </c>
      <c r="DQ39" s="144">
        <f ca="1">DQ$43/DQ47</f>
        <v>1.5021960513281856</v>
      </c>
      <c r="DR39" s="144">
        <f ca="1">DR$43/DR47</f>
        <v>1.6249895238941481</v>
      </c>
      <c r="DS39" s="144">
        <f ca="1">DS$43/DS47</f>
        <v>1.9772125562546987</v>
      </c>
      <c r="DT39" s="143">
        <f ca="1">SUM(DP39:DS39)</f>
        <v>6.4157063302140935</v>
      </c>
      <c r="DU39" s="144">
        <f ca="1">DU$43/DU47</f>
        <v>1.3908319908745324</v>
      </c>
      <c r="DV39" s="144">
        <f ca="1">DV$43/DV47</f>
        <v>1.5946081479959977</v>
      </c>
      <c r="DW39" s="144">
        <f ca="1">DW$43/DW47</f>
        <v>1.7271494529126037</v>
      </c>
      <c r="DX39" s="144">
        <f ca="1">DX$43/DX47</f>
        <v>2.0826733753797417</v>
      </c>
      <c r="DY39" s="143">
        <f ca="1">SUM(DU39:DX39)</f>
        <v>6.7952629671628753</v>
      </c>
      <c r="DZ39" s="2731"/>
      <c r="EG39" s="794"/>
      <c r="EH39" s="2792"/>
      <c r="EI39" s="2792"/>
      <c r="EJ39" s="2792"/>
    </row>
    <row r="40" spans="1:140" ht="12" thickBot="1" x14ac:dyDescent="0.25">
      <c r="A40" s="121"/>
      <c r="B40" s="145" t="s">
        <v>194</v>
      </c>
      <c r="C40" s="146"/>
      <c r="D40" s="146"/>
      <c r="E40" s="147"/>
      <c r="F40" s="147" t="str">
        <f>IF(ISERROR(F39/E39-1),"NM",F39/E39-1)</f>
        <v>NM</v>
      </c>
      <c r="G40" s="147" t="str">
        <f>IF(ISERROR(G39/F39-1),"NM",G39/F39-1)</f>
        <v>NM</v>
      </c>
      <c r="H40" s="147" t="str">
        <f>IF(ISERROR(H39/G39-1),"NM",H39/G39-1)</f>
        <v>NM</v>
      </c>
      <c r="I40" s="148"/>
      <c r="J40" s="147" t="str">
        <f>IF(ISERROR(J39/E39-1),"NM",J39/E39-1)</f>
        <v>NM</v>
      </c>
      <c r="K40" s="147" t="str">
        <f>IF(ISERROR(K39/F39-1),"NM",K39/F39-1)</f>
        <v>NM</v>
      </c>
      <c r="L40" s="147" t="str">
        <f>IF(ISERROR(L39/G39-1),"NM",L39/G39-1)</f>
        <v>NM</v>
      </c>
      <c r="M40" s="147" t="str">
        <f>IF(ISERROR(M39/H39-1),"NM",M39/H39-1)</f>
        <v>NM</v>
      </c>
      <c r="N40" s="148">
        <f>N39/I39-1</f>
        <v>-0.35708808856600394</v>
      </c>
      <c r="O40" s="147" t="str">
        <f>IF(ISERROR(O39/J39-1),"NM",O39/J39-1)</f>
        <v>NM</v>
      </c>
      <c r="P40" s="147" t="str">
        <f>IF(ISERROR(P39/K39-1),"NM",P39/K39-1)</f>
        <v>NM</v>
      </c>
      <c r="Q40" s="147" t="str">
        <f>IF(ISERROR(Q39/L39-1),"NM",Q39/L39-1)</f>
        <v>NM</v>
      </c>
      <c r="R40" s="147" t="str">
        <f>IF(ISERROR(R39/M39-1),"NM",R39/M39-1)</f>
        <v>NM</v>
      </c>
      <c r="S40" s="148">
        <f t="shared" ref="S40:AX40" si="94">S39/N39-1</f>
        <v>0.32540249719160697</v>
      </c>
      <c r="T40" s="146">
        <f t="shared" si="94"/>
        <v>0.23294536440034475</v>
      </c>
      <c r="U40" s="146">
        <f t="shared" si="94"/>
        <v>-0.10268433642485764</v>
      </c>
      <c r="V40" s="146">
        <f t="shared" si="94"/>
        <v>0.13546599733648446</v>
      </c>
      <c r="W40" s="146">
        <f t="shared" si="94"/>
        <v>0.27558567037345361</v>
      </c>
      <c r="X40" s="148">
        <f t="shared" si="94"/>
        <v>0.12603863280736216</v>
      </c>
      <c r="Y40" s="146">
        <f t="shared" si="94"/>
        <v>0.1648490227824051</v>
      </c>
      <c r="Z40" s="146">
        <f t="shared" si="94"/>
        <v>0.15165803428289282</v>
      </c>
      <c r="AA40" s="146">
        <f t="shared" si="94"/>
        <v>0.12341443901424531</v>
      </c>
      <c r="AB40" s="146">
        <f t="shared" si="94"/>
        <v>0.12882000868823318</v>
      </c>
      <c r="AC40" s="148">
        <f t="shared" si="94"/>
        <v>0.18309232405574116</v>
      </c>
      <c r="AD40" s="146">
        <f t="shared" si="94"/>
        <v>0.15079406759057523</v>
      </c>
      <c r="AE40" s="146">
        <f t="shared" si="94"/>
        <v>5.489514974767129E-2</v>
      </c>
      <c r="AF40" s="146">
        <f t="shared" si="94"/>
        <v>-0.11238347038023855</v>
      </c>
      <c r="AG40" s="146">
        <f t="shared" si="94"/>
        <v>-1.6715315707368208</v>
      </c>
      <c r="AH40" s="148">
        <f t="shared" si="94"/>
        <v>-0.41213803685285721</v>
      </c>
      <c r="AI40" s="146">
        <f t="shared" si="94"/>
        <v>-0.1981420148121984</v>
      </c>
      <c r="AJ40" s="146">
        <f t="shared" si="94"/>
        <v>-0.10022478864835316</v>
      </c>
      <c r="AK40" s="146">
        <f t="shared" si="94"/>
        <v>0.34114865975990072</v>
      </c>
      <c r="AL40" s="146">
        <f t="shared" si="94"/>
        <v>-2.4316350023466411</v>
      </c>
      <c r="AM40" s="148">
        <f t="shared" si="94"/>
        <v>0.69934836666644129</v>
      </c>
      <c r="AN40" s="146">
        <f t="shared" si="94"/>
        <v>0.11758731678235956</v>
      </c>
      <c r="AO40" s="146">
        <f t="shared" si="94"/>
        <v>0.13409874875782779</v>
      </c>
      <c r="AP40" s="146">
        <f t="shared" si="94"/>
        <v>0.1374760892562179</v>
      </c>
      <c r="AQ40" s="146">
        <f t="shared" si="94"/>
        <v>0.3073541864565088</v>
      </c>
      <c r="AR40" s="148">
        <f t="shared" si="94"/>
        <v>0.17480735692696436</v>
      </c>
      <c r="AS40" s="146">
        <f t="shared" si="94"/>
        <v>0.23092714249636681</v>
      </c>
      <c r="AT40" s="146">
        <f t="shared" si="94"/>
        <v>0.15312792219361815</v>
      </c>
      <c r="AU40" s="146">
        <f t="shared" si="94"/>
        <v>-3.5036612626918484E-2</v>
      </c>
      <c r="AV40" s="146">
        <f t="shared" si="94"/>
        <v>-4.7715213015957048E-2</v>
      </c>
      <c r="AW40" s="148">
        <f t="shared" si="94"/>
        <v>8.8337395516054462E-2</v>
      </c>
      <c r="AX40" s="146">
        <f t="shared" si="94"/>
        <v>0.16939531693275733</v>
      </c>
      <c r="AY40" s="146">
        <f t="shared" ref="AY40:CD40" si="95">AY39/AT39-1</f>
        <v>0.16356026426155679</v>
      </c>
      <c r="AZ40" s="146">
        <f t="shared" si="95"/>
        <v>0.35561410964725737</v>
      </c>
      <c r="BA40" s="146">
        <f t="shared" si="95"/>
        <v>0.58621407427061789</v>
      </c>
      <c r="BB40" s="148">
        <f t="shared" si="95"/>
        <v>0.3135815797231305</v>
      </c>
      <c r="BC40" s="146">
        <f t="shared" si="95"/>
        <v>0.12665199861472476</v>
      </c>
      <c r="BD40" s="146">
        <f t="shared" si="95"/>
        <v>0.22595098285980963</v>
      </c>
      <c r="BE40" s="146">
        <f t="shared" si="95"/>
        <v>0.12024130713725012</v>
      </c>
      <c r="BF40" s="146">
        <f t="shared" si="95"/>
        <v>1.8148225578841215E-2</v>
      </c>
      <c r="BG40" s="148">
        <f t="shared" si="95"/>
        <v>-1.3084980741614349E-2</v>
      </c>
      <c r="BH40" s="146">
        <f t="shared" si="95"/>
        <v>0.19932727683778739</v>
      </c>
      <c r="BI40" s="146">
        <f t="shared" si="95"/>
        <v>0.28763278282979288</v>
      </c>
      <c r="BJ40" s="146">
        <f t="shared" si="95"/>
        <v>0.49561286895247036</v>
      </c>
      <c r="BK40" s="146">
        <f t="shared" si="95"/>
        <v>0.18885722633698032</v>
      </c>
      <c r="BL40" s="148">
        <f t="shared" si="95"/>
        <v>0.35318605853303087</v>
      </c>
      <c r="BM40" s="146">
        <f t="shared" si="95"/>
        <v>0.19126692003987222</v>
      </c>
      <c r="BN40" s="146">
        <f t="shared" si="95"/>
        <v>0.17653582948802793</v>
      </c>
      <c r="BO40" s="146">
        <f t="shared" si="95"/>
        <v>0.20933229720077673</v>
      </c>
      <c r="BP40" s="146">
        <f t="shared" si="95"/>
        <v>0.203046416860996</v>
      </c>
      <c r="BQ40" s="148">
        <f t="shared" si="95"/>
        <v>0.1794083753341309</v>
      </c>
      <c r="BR40" s="146">
        <f t="shared" si="95"/>
        <v>-1.0069006738244735E-4</v>
      </c>
      <c r="BS40" s="146">
        <f t="shared" si="95"/>
        <v>7.8558632539888595E-2</v>
      </c>
      <c r="BT40" s="146">
        <f t="shared" si="95"/>
        <v>7.9834605877808107E-2</v>
      </c>
      <c r="BU40" s="146">
        <f t="shared" si="95"/>
        <v>0.12777965271254543</v>
      </c>
      <c r="BV40" s="148">
        <f t="shared" si="95"/>
        <v>7.0881906423858831E-2</v>
      </c>
      <c r="BW40" s="146">
        <f t="shared" si="95"/>
        <v>9.5239864355598725E-2</v>
      </c>
      <c r="BX40" s="146">
        <f t="shared" si="95"/>
        <v>-1.6913402586992143E-3</v>
      </c>
      <c r="BY40" s="146">
        <f t="shared" si="95"/>
        <v>2.231859173530415E-3</v>
      </c>
      <c r="BZ40" s="146">
        <f t="shared" si="95"/>
        <v>1.6329746424165403E-2</v>
      </c>
      <c r="CA40" s="148">
        <f t="shared" si="95"/>
        <v>2.8014007468820656E-2</v>
      </c>
      <c r="CB40" s="146">
        <f t="shared" si="95"/>
        <v>-5.9281331526906955E-2</v>
      </c>
      <c r="CC40" s="146">
        <f t="shared" si="95"/>
        <v>3.1345011671495282E-3</v>
      </c>
      <c r="CD40" s="146">
        <f t="shared" si="95"/>
        <v>8.3126501347949189E-2</v>
      </c>
      <c r="CE40" s="146">
        <f t="shared" ref="CE40:DD40" si="96">CE39/BZ39-1</f>
        <v>0.11907878971864272</v>
      </c>
      <c r="CF40" s="148">
        <f t="shared" si="96"/>
        <v>3.9722256715835957E-2</v>
      </c>
      <c r="CG40" s="146">
        <f t="shared" si="96"/>
        <v>0.14274017246188686</v>
      </c>
      <c r="CH40" s="146">
        <f t="shared" si="96"/>
        <v>0.24760590858318432</v>
      </c>
      <c r="CI40" s="146">
        <f t="shared" si="96"/>
        <v>0.21484693010720068</v>
      </c>
      <c r="CJ40" s="146">
        <f t="shared" si="96"/>
        <v>0.27401800633947726</v>
      </c>
      <c r="CK40" s="148">
        <f t="shared" si="96"/>
        <v>0.22611056688021436</v>
      </c>
      <c r="CL40" s="146">
        <f t="shared" si="96"/>
        <v>0.28244019104727514</v>
      </c>
      <c r="CM40" s="146">
        <f t="shared" si="96"/>
        <v>0.19583905469295448</v>
      </c>
      <c r="CN40" s="146">
        <f t="shared" si="96"/>
        <v>0.23969503771302003</v>
      </c>
      <c r="CO40" s="146">
        <f t="shared" si="96"/>
        <v>-1.8396241861104001E-2</v>
      </c>
      <c r="CP40" s="148">
        <f t="shared" si="96"/>
        <v>0.15485282982699644</v>
      </c>
      <c r="CQ40" s="146">
        <f t="shared" si="96"/>
        <v>0.22209814786826088</v>
      </c>
      <c r="CR40" s="146">
        <f t="shared" si="96"/>
        <v>0.16726112718028374</v>
      </c>
      <c r="CS40" s="146">
        <f t="shared" si="96"/>
        <v>8.7729937943048286E-2</v>
      </c>
      <c r="CT40" s="146">
        <f t="shared" si="96"/>
        <v>8.4145744013520707E-2</v>
      </c>
      <c r="CU40" s="148">
        <f t="shared" si="96"/>
        <v>0.13476301020179648</v>
      </c>
      <c r="CV40" s="146">
        <f t="shared" si="96"/>
        <v>0.1216892078910794</v>
      </c>
      <c r="CW40" s="146">
        <f t="shared" si="96"/>
        <v>7.7462103191733078E-2</v>
      </c>
      <c r="CX40" s="146">
        <f t="shared" si="96"/>
        <v>0.11917004881174775</v>
      </c>
      <c r="CY40" s="146">
        <f t="shared" si="96"/>
        <v>0.26503598947546236</v>
      </c>
      <c r="CZ40" s="148">
        <f t="shared" si="96"/>
        <v>0.14928303394236719</v>
      </c>
      <c r="DA40" s="146">
        <f t="shared" si="96"/>
        <v>3.9824133263202555E-2</v>
      </c>
      <c r="DB40" s="146">
        <f t="shared" si="96"/>
        <v>8.3446655754691124E-2</v>
      </c>
      <c r="DC40" s="146">
        <f t="shared" si="96"/>
        <v>0.27267688142100455</v>
      </c>
      <c r="DD40" s="146">
        <f t="shared" si="96"/>
        <v>0.1175043823884292</v>
      </c>
      <c r="DE40" s="148">
        <f t="shared" ref="DE40:DJ40" si="97">DE39/CZ39-1</f>
        <v>0.13091060938165167</v>
      </c>
      <c r="DF40" s="146">
        <f t="shared" si="97"/>
        <v>-1.4113133178194182E-2</v>
      </c>
      <c r="DG40" s="146">
        <f t="shared" si="97"/>
        <v>7.9847205225982432E-3</v>
      </c>
      <c r="DH40" s="146">
        <f t="shared" si="97"/>
        <v>-8.3575990954243284E-2</v>
      </c>
      <c r="DI40" s="146">
        <f t="shared" si="97"/>
        <v>0.12312796376880453</v>
      </c>
      <c r="DJ40" s="148">
        <f t="shared" si="97"/>
        <v>1.1590555020601689E-2</v>
      </c>
      <c r="DK40" s="146">
        <f t="shared" ref="DK40:DT40" ca="1" si="98">DK39/DF39-1</f>
        <v>0.2054722260218762</v>
      </c>
      <c r="DL40" s="146">
        <f t="shared" ca="1" si="98"/>
        <v>6.3888792870331779E-2</v>
      </c>
      <c r="DM40" s="146">
        <f t="shared" ca="1" si="98"/>
        <v>4.2059338407189006E-2</v>
      </c>
      <c r="DN40" s="146">
        <f t="shared" ca="1" si="98"/>
        <v>-1.2018785403866805E-2</v>
      </c>
      <c r="DO40" s="148">
        <f t="shared" ca="1" si="98"/>
        <v>6.166016990395029E-2</v>
      </c>
      <c r="DP40" s="146">
        <f t="shared" ca="1" si="98"/>
        <v>-6.8259265593855867E-2</v>
      </c>
      <c r="DQ40" s="146">
        <f t="shared" ca="1" si="98"/>
        <v>6.1607724285698717E-2</v>
      </c>
      <c r="DR40" s="146">
        <f t="shared" ca="1" si="98"/>
        <v>4.1160141020011087E-2</v>
      </c>
      <c r="DS40" s="146">
        <f t="shared" ca="1" si="98"/>
        <v>4.2014724710022655E-2</v>
      </c>
      <c r="DT40" s="148">
        <f t="shared" ca="1" si="98"/>
        <v>2.1506265356418419E-2</v>
      </c>
      <c r="DU40" s="146">
        <f t="shared" ref="DU40" ca="1" si="99">DU39/DP39-1</f>
        <v>6.0644623601119552E-2</v>
      </c>
      <c r="DV40" s="146">
        <f t="shared" ref="DV40" ca="1" si="100">DV39/DQ39-1</f>
        <v>6.1517999988153882E-2</v>
      </c>
      <c r="DW40" s="146">
        <f t="shared" ref="DW40" ca="1" si="101">DW39/DR39-1</f>
        <v>6.2868053926672829E-2</v>
      </c>
      <c r="DX40" s="146">
        <f t="shared" ref="DX40" ca="1" si="102">DX39/DS39-1</f>
        <v>5.3338129373814214E-2</v>
      </c>
      <c r="DY40" s="148">
        <f t="shared" ref="DY40" ca="1" si="103">DY39/DT39-1</f>
        <v>5.9160537813474967E-2</v>
      </c>
      <c r="DZ40" s="149"/>
      <c r="EG40" s="794"/>
    </row>
    <row r="41" spans="1:140" ht="12" thickBot="1" x14ac:dyDescent="0.25">
      <c r="A41" s="121"/>
      <c r="CG41" s="2517">
        <f>SUM(CG39:CH39)/CK39</f>
        <v>0.4245291262425604</v>
      </c>
      <c r="CL41" s="2517"/>
      <c r="CQ41" s="2517"/>
      <c r="CV41" s="2517"/>
      <c r="CY41" s="2575"/>
      <c r="DA41" s="2517"/>
      <c r="DB41" s="2614"/>
      <c r="DC41" s="2631"/>
      <c r="DD41" s="2649"/>
      <c r="DE41" s="2508"/>
      <c r="DG41" s="2705"/>
      <c r="DH41" s="2735"/>
      <c r="DI41" s="2795"/>
      <c r="DZ41" s="149"/>
    </row>
    <row r="42" spans="1:140" ht="10.5" customHeight="1" x14ac:dyDescent="0.2">
      <c r="A42" s="57"/>
      <c r="B42" s="155" t="s">
        <v>197</v>
      </c>
      <c r="C42" s="156"/>
      <c r="D42" s="156"/>
      <c r="E42" s="156"/>
      <c r="F42" s="156"/>
      <c r="G42" s="156"/>
      <c r="H42" s="156"/>
      <c r="I42" s="157"/>
      <c r="J42" s="156"/>
      <c r="K42" s="156"/>
      <c r="L42" s="156"/>
      <c r="M42" s="156"/>
      <c r="N42" s="157">
        <v>0</v>
      </c>
      <c r="O42" s="156"/>
      <c r="P42" s="156"/>
      <c r="Q42" s="156"/>
      <c r="R42" s="156"/>
      <c r="S42" s="157">
        <v>0</v>
      </c>
      <c r="T42" s="156"/>
      <c r="U42" s="156"/>
      <c r="V42" s="156"/>
      <c r="W42" s="156"/>
      <c r="X42" s="157">
        <v>0</v>
      </c>
      <c r="Y42" s="156"/>
      <c r="Z42" s="156"/>
      <c r="AA42" s="156"/>
      <c r="AB42" s="156"/>
      <c r="AC42" s="157">
        <v>48.2</v>
      </c>
      <c r="AD42" s="156"/>
      <c r="AE42" s="156"/>
      <c r="AF42" s="156"/>
      <c r="AG42" s="156"/>
      <c r="AH42" s="157">
        <v>52.7</v>
      </c>
      <c r="AI42" s="156"/>
      <c r="AJ42" s="156"/>
      <c r="AK42" s="156"/>
      <c r="AL42" s="156"/>
      <c r="AM42" s="157">
        <v>53.3</v>
      </c>
      <c r="AN42" s="156"/>
      <c r="AO42" s="156"/>
      <c r="AP42" s="156"/>
      <c r="AQ42" s="156"/>
      <c r="AR42" s="157">
        <v>63.2</v>
      </c>
      <c r="AS42" s="156"/>
      <c r="AT42" s="156"/>
      <c r="AU42" s="156"/>
      <c r="AV42" s="156"/>
      <c r="AW42" s="157">
        <v>95.9</v>
      </c>
      <c r="AX42" s="156"/>
      <c r="AY42" s="156"/>
      <c r="AZ42" s="156"/>
      <c r="BA42" s="156"/>
      <c r="BB42" s="157">
        <v>128.6</v>
      </c>
      <c r="BC42" s="156"/>
      <c r="BD42" s="156"/>
      <c r="BE42" s="156"/>
      <c r="BF42" s="156"/>
      <c r="BG42" s="157">
        <v>161.19999999999999</v>
      </c>
      <c r="BH42" s="156">
        <v>47.4</v>
      </c>
      <c r="BI42" s="156">
        <v>112.7</v>
      </c>
      <c r="BJ42" s="156">
        <v>108.7</v>
      </c>
      <c r="BK42" s="156">
        <v>75.900000000000006</v>
      </c>
      <c r="BL42" s="157">
        <v>344.7</v>
      </c>
      <c r="BM42" s="156">
        <v>97.9</v>
      </c>
      <c r="BN42" s="156">
        <v>97.8</v>
      </c>
      <c r="BO42" s="156">
        <v>98.2</v>
      </c>
      <c r="BP42" s="156">
        <v>111.1</v>
      </c>
      <c r="BQ42" s="157">
        <v>405</v>
      </c>
      <c r="BR42" s="156">
        <v>107.5</v>
      </c>
      <c r="BS42" s="156">
        <v>107.3</v>
      </c>
      <c r="BT42" s="156">
        <v>108</v>
      </c>
      <c r="BU42" s="156">
        <v>108</v>
      </c>
      <c r="BV42" s="157">
        <v>430</v>
      </c>
      <c r="BW42" s="156">
        <v>105</v>
      </c>
      <c r="BX42" s="156">
        <v>106</v>
      </c>
      <c r="BY42" s="156">
        <v>108</v>
      </c>
      <c r="BZ42" s="156">
        <v>108</v>
      </c>
      <c r="CA42" s="157">
        <v>427</v>
      </c>
      <c r="CB42" s="158">
        <v>106</v>
      </c>
      <c r="CC42" s="158">
        <v>114</v>
      </c>
      <c r="CD42" s="158">
        <v>118</v>
      </c>
      <c r="CE42" s="158">
        <v>114.3</v>
      </c>
      <c r="CF42" s="157">
        <f>SUM(CB42:CE42)</f>
        <v>452.3</v>
      </c>
      <c r="CG42" s="158">
        <v>118</v>
      </c>
      <c r="CH42" s="158">
        <v>122.9</v>
      </c>
      <c r="CI42" s="158">
        <v>121.3</v>
      </c>
      <c r="CJ42" s="158">
        <v>124</v>
      </c>
      <c r="CK42" s="157">
        <f>SUM(CG42:CJ42)</f>
        <v>486.2</v>
      </c>
      <c r="CL42" s="158">
        <v>122</v>
      </c>
      <c r="CM42" s="158">
        <v>123.9</v>
      </c>
      <c r="CN42" s="158">
        <v>124.5</v>
      </c>
      <c r="CO42" s="158">
        <v>123.7</v>
      </c>
      <c r="CP42" s="157">
        <f>SUM(CL42:CO42)</f>
        <v>494.09999999999997</v>
      </c>
      <c r="CQ42" s="158">
        <v>130.6</v>
      </c>
      <c r="CR42" s="158">
        <v>133</v>
      </c>
      <c r="CS42" s="158">
        <v>126.4</v>
      </c>
      <c r="CT42" s="158">
        <v>127.9</v>
      </c>
      <c r="CU42" s="157">
        <f>SUM(CQ42:CT42)</f>
        <v>517.9</v>
      </c>
      <c r="CV42" s="158">
        <v>129.19999999999999</v>
      </c>
      <c r="CW42" s="158">
        <v>130.69999999999999</v>
      </c>
      <c r="CX42" s="158">
        <v>159.55187807361267</v>
      </c>
      <c r="CY42" s="158">
        <v>191.5</v>
      </c>
      <c r="CZ42" s="157">
        <f>SUM(CV42:CY42)</f>
        <v>610.95187807361265</v>
      </c>
      <c r="DA42" s="158">
        <v>199.5</v>
      </c>
      <c r="DB42" s="158">
        <v>197.1</v>
      </c>
      <c r="DC42" s="158">
        <v>196.1</v>
      </c>
      <c r="DD42" s="158">
        <v>202.6</v>
      </c>
      <c r="DE42" s="157">
        <f>SUM(DA42:DD42)</f>
        <v>795.30000000000007</v>
      </c>
      <c r="DF42" s="158">
        <v>200.4</v>
      </c>
      <c r="DG42" s="158">
        <v>202.9</v>
      </c>
      <c r="DH42" s="158">
        <v>205.33582996999999</v>
      </c>
      <c r="DI42" s="158">
        <v>208.71388160000001</v>
      </c>
      <c r="DJ42" s="157">
        <f>SUM(DF42:DI42)</f>
        <v>817.34971157000007</v>
      </c>
      <c r="DK42" s="156">
        <f>DI42</f>
        <v>208.71388160000001</v>
      </c>
      <c r="DL42" s="156">
        <f>DK42</f>
        <v>208.71388160000001</v>
      </c>
      <c r="DM42" s="156">
        <f>DL42</f>
        <v>208.71388160000001</v>
      </c>
      <c r="DN42" s="156">
        <f>DM42</f>
        <v>208.71388160000001</v>
      </c>
      <c r="DO42" s="157">
        <f>SUM(DK42:DN42)</f>
        <v>834.85552640000003</v>
      </c>
      <c r="DP42" s="156">
        <f>DN42</f>
        <v>208.71388160000001</v>
      </c>
      <c r="DQ42" s="156">
        <f>DP42</f>
        <v>208.71388160000001</v>
      </c>
      <c r="DR42" s="156">
        <f>DQ42</f>
        <v>208.71388160000001</v>
      </c>
      <c r="DS42" s="156">
        <f>DR42</f>
        <v>208.71388160000001</v>
      </c>
      <c r="DT42" s="157">
        <f>SUM(DP42:DS42)</f>
        <v>834.85552640000003</v>
      </c>
      <c r="DU42" s="156">
        <f>DS42</f>
        <v>208.71388160000001</v>
      </c>
      <c r="DV42" s="156">
        <f>DU42</f>
        <v>208.71388160000001</v>
      </c>
      <c r="DW42" s="156">
        <f>DV42</f>
        <v>208.71388160000001</v>
      </c>
      <c r="DX42" s="156">
        <f>DW42</f>
        <v>208.71388160000001</v>
      </c>
      <c r="DY42" s="157">
        <f>SUM(DU42:DX42)</f>
        <v>834.85552640000003</v>
      </c>
      <c r="DZ42" s="64"/>
    </row>
    <row r="43" spans="1:140" ht="12" thickBot="1" x14ac:dyDescent="0.25">
      <c r="A43" s="57"/>
      <c r="B43" s="159" t="s">
        <v>198</v>
      </c>
      <c r="C43" s="160"/>
      <c r="D43" s="160"/>
      <c r="E43" s="160">
        <f>E29+E42</f>
        <v>76.02900000000011</v>
      </c>
      <c r="F43" s="160">
        <f>F29+F42</f>
        <v>127.72399999999976</v>
      </c>
      <c r="G43" s="160">
        <f>G29+G42</f>
        <v>47.471000000000217</v>
      </c>
      <c r="H43" s="160">
        <f>H29+H42</f>
        <v>89.205999999999662</v>
      </c>
      <c r="I43" s="161">
        <f>I24+(I42*(1-I72))</f>
        <v>625.64699999999971</v>
      </c>
      <c r="J43" s="160">
        <f>J29+J42</f>
        <v>107.84799999999969</v>
      </c>
      <c r="K43" s="160">
        <f>K29+K42</f>
        <v>98.763000000000076</v>
      </c>
      <c r="L43" s="160">
        <f>L29+L42</f>
        <v>78.699000000000126</v>
      </c>
      <c r="M43" s="160">
        <f>M29+M42</f>
        <v>120.07700000000024</v>
      </c>
      <c r="N43" s="161">
        <f>N24+(N42*(1-N72))</f>
        <v>418.98700000000139</v>
      </c>
      <c r="O43" s="160">
        <f>O29+O42</f>
        <v>128.56500000000048</v>
      </c>
      <c r="P43" s="160">
        <f>P29+P42</f>
        <v>171.08200000000025</v>
      </c>
      <c r="Q43" s="160">
        <f>Q29+Q42</f>
        <v>103.39999999999976</v>
      </c>
      <c r="R43" s="160">
        <f>R29+R42</f>
        <v>142.40000000000046</v>
      </c>
      <c r="S43" s="161">
        <f>S24+(S42*(1-S72))</f>
        <v>563.14400000000239</v>
      </c>
      <c r="T43" s="160">
        <f>T29+T42</f>
        <v>161.40000000000057</v>
      </c>
      <c r="U43" s="160">
        <f>U29+U42</f>
        <v>159.00000000000057</v>
      </c>
      <c r="V43" s="160">
        <f>V29+V42</f>
        <v>118.00000000000043</v>
      </c>
      <c r="W43" s="160">
        <f>W29+W42</f>
        <v>181.99999999999986</v>
      </c>
      <c r="X43" s="161">
        <f>X24+(X42*(1-X72))</f>
        <v>635.09999999999968</v>
      </c>
      <c r="Y43" s="160">
        <f>Y29+Y42</f>
        <v>187.49999999999909</v>
      </c>
      <c r="Z43" s="160">
        <f>Z29+Z42</f>
        <v>182.80000000000021</v>
      </c>
      <c r="AA43" s="160">
        <f>AA29+AA42</f>
        <v>135.69300000000044</v>
      </c>
      <c r="AB43" s="160">
        <f>AB29+AB42</f>
        <v>206.19999999999911</v>
      </c>
      <c r="AC43" s="161">
        <f>AC24+(AC42*(1-AC72))</f>
        <v>755.4089311481124</v>
      </c>
      <c r="AD43" s="160">
        <f>AD29+AD42</f>
        <v>218.00000000000057</v>
      </c>
      <c r="AE43" s="160">
        <f>AE29+AE42</f>
        <v>194.29999999999959</v>
      </c>
      <c r="AF43" s="160">
        <f>AF29+AF42</f>
        <v>120.0000000000001</v>
      </c>
      <c r="AG43" s="160">
        <f>AG29+AG42</f>
        <v>-133.30000000000027</v>
      </c>
      <c r="AH43" s="161">
        <f>AH24+(AH42*(1-AH72))</f>
        <v>444.40270384452862</v>
      </c>
      <c r="AI43" s="160">
        <f>AI29+AI42</f>
        <v>171.99999999999977</v>
      </c>
      <c r="AJ43" s="160">
        <f>AJ29+AJ42</f>
        <v>172.70000000000036</v>
      </c>
      <c r="AK43" s="160">
        <f>AK29+AK42</f>
        <v>160.69999999999925</v>
      </c>
      <c r="AL43" s="160">
        <f>AL29+AL42</f>
        <v>196.39999999999975</v>
      </c>
      <c r="AM43" s="161">
        <f>AM24+(AM42*(1-AM72))</f>
        <v>749.64618446097927</v>
      </c>
      <c r="AN43" s="160">
        <f>AN29+AN42</f>
        <v>192.69999999999914</v>
      </c>
      <c r="AO43" s="160">
        <f>AO29+AO42</f>
        <v>196.10000000000014</v>
      </c>
      <c r="AP43" s="160">
        <f>AP29+AP42</f>
        <v>184.10000000000045</v>
      </c>
      <c r="AQ43" s="160">
        <f>AQ29+AQ42</f>
        <v>259.79999999999956</v>
      </c>
      <c r="AR43" s="161">
        <f>AR24+(AR42*(1-AR72))</f>
        <v>886.23083242457676</v>
      </c>
      <c r="AS43" s="160">
        <f>AS29+AS42</f>
        <v>240.9999999999998</v>
      </c>
      <c r="AT43" s="160">
        <f>AT29+AT42</f>
        <v>230.79999999999995</v>
      </c>
      <c r="AU43" s="160">
        <f>AU29+AU42</f>
        <v>181.00000000000011</v>
      </c>
      <c r="AV43" s="160">
        <f>AV29+AV42</f>
        <v>251.79999999999902</v>
      </c>
      <c r="AW43" s="161">
        <f>AW24+(AW42*(1-AW72))</f>
        <v>981.9000572901748</v>
      </c>
      <c r="AX43" s="160">
        <f>AX29+AX42</f>
        <v>286.20000000000118</v>
      </c>
      <c r="AY43" s="160">
        <f>AY29+AY42</f>
        <v>272.4000000000006</v>
      </c>
      <c r="AZ43" s="160">
        <f>AZ29+AZ42</f>
        <v>249.1999999999999</v>
      </c>
      <c r="BA43" s="160">
        <f>BA29+BA42</f>
        <v>402.8</v>
      </c>
      <c r="BB43" s="161">
        <f>BB24+(BB42*(1-BB72))</f>
        <v>1307.2020534311214</v>
      </c>
      <c r="BC43" s="160">
        <f>BC29+BC42</f>
        <v>326.7999999999999</v>
      </c>
      <c r="BD43" s="160">
        <f>BD29+BD42</f>
        <v>337.39999999999947</v>
      </c>
      <c r="BE43" s="160">
        <f>BE29+BE42</f>
        <v>282.60000000000082</v>
      </c>
      <c r="BF43" s="160">
        <f>BF29+BF42</f>
        <v>415.79999999999939</v>
      </c>
      <c r="BG43" s="161">
        <f>BG24+(BG42*(1-BG72))</f>
        <v>1307.8790996473942</v>
      </c>
      <c r="BH43" s="160">
        <f>BH29+(BH42*(1-BH72))</f>
        <v>434.11356133829031</v>
      </c>
      <c r="BI43" s="160">
        <f>BI29+(BI42*(1-BI72))</f>
        <v>787.83795165711831</v>
      </c>
      <c r="BJ43" s="160">
        <f>BJ29+(BJ42*(1-BJ72))</f>
        <v>751.6374693948942</v>
      </c>
      <c r="BK43" s="160">
        <f>BK29+(BK42*(1-BK72))</f>
        <v>857.41134020618483</v>
      </c>
      <c r="BL43" s="161">
        <f t="shared" ref="BL43:CD43" si="104">BL24+(BL42*(1-BL72))</f>
        <v>2845.5424323766233</v>
      </c>
      <c r="BM43" s="160">
        <f t="shared" si="104"/>
        <v>807.63343285990936</v>
      </c>
      <c r="BN43" s="160">
        <f t="shared" si="104"/>
        <v>882.57165908757975</v>
      </c>
      <c r="BO43" s="160">
        <f t="shared" si="104"/>
        <v>878.20610269671056</v>
      </c>
      <c r="BP43" s="160">
        <f t="shared" si="104"/>
        <v>1020.3072314311041</v>
      </c>
      <c r="BQ43" s="161">
        <f t="shared" si="104"/>
        <v>3588.7151136958773</v>
      </c>
      <c r="BR43" s="160">
        <f t="shared" si="104"/>
        <v>808.21237146789724</v>
      </c>
      <c r="BS43" s="160">
        <f t="shared" si="104"/>
        <v>953.91447788572282</v>
      </c>
      <c r="BT43" s="160">
        <f t="shared" si="104"/>
        <v>932.31525188829664</v>
      </c>
      <c r="BU43" s="160">
        <f t="shared" si="104"/>
        <v>1108.4009078529293</v>
      </c>
      <c r="BV43" s="161">
        <f t="shared" si="104"/>
        <v>3798.8142475436607</v>
      </c>
      <c r="BW43" s="160">
        <f t="shared" si="104"/>
        <v>835.22932917316689</v>
      </c>
      <c r="BX43" s="160">
        <f t="shared" si="104"/>
        <v>885.78623718887263</v>
      </c>
      <c r="BY43" s="160">
        <f t="shared" si="104"/>
        <v>884.66592427616933</v>
      </c>
      <c r="BZ43" s="160">
        <f t="shared" si="104"/>
        <v>1093.8139534883721</v>
      </c>
      <c r="CA43" s="161">
        <f t="shared" si="104"/>
        <v>3699.8728015633328</v>
      </c>
      <c r="CB43" s="160">
        <f t="shared" si="104"/>
        <v>777.21240441801194</v>
      </c>
      <c r="CC43" s="160">
        <f t="shared" si="104"/>
        <v>885.31743666169893</v>
      </c>
      <c r="CD43" s="160">
        <f t="shared" si="104"/>
        <v>938.59272218334502</v>
      </c>
      <c r="CE43" s="162">
        <v>1168.5707149961315</v>
      </c>
      <c r="CF43" s="161">
        <f>SUM(CB43:CE43)</f>
        <v>3769.6932782591875</v>
      </c>
      <c r="CG43" s="160">
        <f>CG24+(CG42*(1-CG72))</f>
        <v>847.98742138364776</v>
      </c>
      <c r="CH43" s="162">
        <v>1042.3368734932112</v>
      </c>
      <c r="CI43" s="162">
        <v>1084</v>
      </c>
      <c r="CJ43" s="162">
        <v>1206</v>
      </c>
      <c r="CK43" s="161">
        <f>SUM(CG43:CJ43)</f>
        <v>4180.3242948768584</v>
      </c>
      <c r="CL43" s="162">
        <v>1031</v>
      </c>
      <c r="CM43" s="162">
        <v>1196.5</v>
      </c>
      <c r="CN43" s="162">
        <v>1293.3</v>
      </c>
      <c r="CO43" s="162">
        <v>1340</v>
      </c>
      <c r="CP43" s="161">
        <f>SUM(CL43:CO43)</f>
        <v>4860.8</v>
      </c>
      <c r="CQ43" s="162">
        <v>1208</v>
      </c>
      <c r="CR43" s="162">
        <v>1327</v>
      </c>
      <c r="CS43" s="162">
        <v>1337.8</v>
      </c>
      <c r="CT43" s="162">
        <v>1393</v>
      </c>
      <c r="CU43" s="161">
        <f>SUM(CQ43:CT43)</f>
        <v>5265.8</v>
      </c>
      <c r="CV43" s="162">
        <v>1294.3</v>
      </c>
      <c r="CW43" s="162">
        <f>1344.8</f>
        <v>1344.8</v>
      </c>
      <c r="CX43" s="162">
        <f>1439.55141863194</f>
        <v>1439.5514186319399</v>
      </c>
      <c r="CY43" s="162">
        <v>1704.2</v>
      </c>
      <c r="CZ43" s="161">
        <f>SUM(CV43:CY43)</f>
        <v>5782.8514186319399</v>
      </c>
      <c r="DA43" s="162">
        <v>1301.2</v>
      </c>
      <c r="DB43" s="162">
        <v>1419</v>
      </c>
      <c r="DC43" s="162">
        <v>1753</v>
      </c>
      <c r="DD43" s="162">
        <v>1827.5</v>
      </c>
      <c r="DE43" s="161">
        <f t="shared" ref="DE43:DJ43" si="105">DE24+(DE42*(1-DE72))</f>
        <v>6033.1872029914157</v>
      </c>
      <c r="DF43" s="162">
        <v>1208</v>
      </c>
      <c r="DG43" s="162">
        <v>1361.7</v>
      </c>
      <c r="DH43" s="162">
        <v>1527.9835802880975</v>
      </c>
      <c r="DI43" s="162">
        <v>1954.3110757180877</v>
      </c>
      <c r="DJ43" s="161">
        <f t="shared" si="105"/>
        <v>5773.0936159020748</v>
      </c>
      <c r="DK43" s="160">
        <f t="shared" ref="DK43:DT43" ca="1" si="106">DK24+(DK42*(1-DK72))</f>
        <v>1427.8581354479602</v>
      </c>
      <c r="DL43" s="160">
        <f t="shared" ca="1" si="106"/>
        <v>1435.6147529887792</v>
      </c>
      <c r="DM43" s="160">
        <f t="shared" ca="1" si="106"/>
        <v>1583.464744525887</v>
      </c>
      <c r="DN43" s="160">
        <f t="shared" ca="1" si="106"/>
        <v>1925.1069867115491</v>
      </c>
      <c r="DO43" s="161">
        <f t="shared" ca="1" si="106"/>
        <v>6372.0446196741732</v>
      </c>
      <c r="DP43" s="160">
        <f t="shared" ca="1" si="106"/>
        <v>1330.3935877500701</v>
      </c>
      <c r="DQ43" s="160">
        <f t="shared" ca="1" si="106"/>
        <v>1524.0597108713935</v>
      </c>
      <c r="DR43" s="160">
        <f t="shared" ca="1" si="106"/>
        <v>1648.6403767107884</v>
      </c>
      <c r="DS43" s="160">
        <f t="shared" ca="1" si="106"/>
        <v>2005.9898267955757</v>
      </c>
      <c r="DT43" s="161">
        <f t="shared" ca="1" si="106"/>
        <v>6509.0835021278244</v>
      </c>
      <c r="DU43" s="160">
        <f t="shared" ref="DU43:DY43" ca="1" si="107">DU24+(DU42*(1-DU72))</f>
        <v>1411.0748061205161</v>
      </c>
      <c r="DV43" s="160">
        <f t="shared" ca="1" si="107"/>
        <v>1617.8168161467256</v>
      </c>
      <c r="DW43" s="160">
        <f t="shared" ca="1" si="107"/>
        <v>1752.2871888195323</v>
      </c>
      <c r="DX43" s="160">
        <f t="shared" ca="1" si="107"/>
        <v>2112.9855716997536</v>
      </c>
      <c r="DY43" s="161">
        <f t="shared" ca="1" si="107"/>
        <v>6894.1643827865319</v>
      </c>
      <c r="DZ43" s="64"/>
    </row>
    <row r="44" spans="1:140" x14ac:dyDescent="0.2">
      <c r="A44" s="57"/>
      <c r="B44" s="163" t="s">
        <v>329</v>
      </c>
      <c r="C44" s="164"/>
      <c r="D44" s="164"/>
      <c r="E44" s="164"/>
      <c r="F44" s="164"/>
      <c r="G44" s="164"/>
      <c r="H44" s="164"/>
      <c r="I44" s="165"/>
      <c r="J44" s="164"/>
      <c r="K44" s="164"/>
      <c r="L44" s="164"/>
      <c r="M44" s="164"/>
      <c r="N44" s="165"/>
      <c r="O44" s="164"/>
      <c r="P44" s="164"/>
      <c r="Q44" s="164"/>
      <c r="R44" s="164"/>
      <c r="S44" s="165"/>
      <c r="T44" s="164"/>
      <c r="U44" s="164"/>
      <c r="V44" s="164"/>
      <c r="W44" s="164"/>
      <c r="X44" s="165"/>
      <c r="Y44" s="164"/>
      <c r="Z44" s="164"/>
      <c r="AA44" s="164"/>
      <c r="AB44" s="164"/>
      <c r="AC44" s="165"/>
      <c r="AD44" s="164"/>
      <c r="AE44" s="164"/>
      <c r="AF44" s="164"/>
      <c r="AG44" s="164"/>
      <c r="AH44" s="165"/>
      <c r="AI44" s="164"/>
      <c r="AJ44" s="164"/>
      <c r="AK44" s="164"/>
      <c r="AL44" s="164"/>
      <c r="AM44" s="165"/>
      <c r="AN44" s="164"/>
      <c r="AO44" s="164"/>
      <c r="AP44" s="164"/>
      <c r="AQ44" s="164"/>
      <c r="AR44" s="165"/>
      <c r="AS44" s="164"/>
      <c r="AT44" s="164"/>
      <c r="AU44" s="164"/>
      <c r="AV44" s="164"/>
      <c r="AW44" s="165"/>
      <c r="AX44" s="164"/>
      <c r="AY44" s="164"/>
      <c r="AZ44" s="164"/>
      <c r="BA44" s="164"/>
      <c r="BB44" s="165"/>
      <c r="BC44" s="164"/>
      <c r="BD44" s="164"/>
      <c r="BE44" s="164"/>
      <c r="BF44" s="164"/>
      <c r="BG44" s="165"/>
      <c r="BH44" s="164"/>
      <c r="BI44" s="164"/>
      <c r="BJ44" s="164"/>
      <c r="BK44" s="164"/>
      <c r="BL44" s="165"/>
      <c r="BM44" s="164"/>
      <c r="BN44" s="164"/>
      <c r="BO44" s="164"/>
      <c r="BP44" s="164"/>
      <c r="BQ44" s="165"/>
      <c r="BR44" s="164"/>
      <c r="BS44" s="164"/>
      <c r="BT44" s="164"/>
      <c r="BU44" s="164"/>
      <c r="BV44" s="165"/>
      <c r="BW44" s="164"/>
      <c r="BX44" s="164"/>
      <c r="BY44" s="164"/>
      <c r="BZ44" s="164"/>
      <c r="CA44" s="165"/>
      <c r="CB44" s="164"/>
      <c r="CC44" s="164"/>
      <c r="CD44" s="164"/>
      <c r="CE44" s="164"/>
      <c r="CF44" s="165"/>
      <c r="CG44" s="166">
        <v>-18</v>
      </c>
      <c r="CH44" s="164"/>
      <c r="CI44" s="164"/>
      <c r="CJ44" s="164">
        <f>-CJ21*(1-0.386)</f>
        <v>213.672</v>
      </c>
      <c r="CK44" s="165">
        <f>SUM(CG44:CJ44)</f>
        <v>195.672</v>
      </c>
      <c r="CL44" s="164"/>
      <c r="CM44" s="164"/>
      <c r="CN44" s="164"/>
      <c r="CO44" s="164"/>
      <c r="CP44" s="165"/>
      <c r="CQ44" s="164">
        <f>CQ47-CQ46</f>
        <v>9.7999999999999545</v>
      </c>
      <c r="CR44" s="164">
        <f ca="1">CR47-CR46</f>
        <v>-2.6536494016625056</v>
      </c>
      <c r="CS44" s="164">
        <f ca="1">CS47-CS46</f>
        <v>-4.9072988033249203</v>
      </c>
      <c r="CT44" s="164">
        <f>CT47-CT46</f>
        <v>8.5999999999999091</v>
      </c>
      <c r="CU44" s="165"/>
      <c r="CV44" s="164"/>
      <c r="CW44" s="164"/>
      <c r="CX44" s="164"/>
      <c r="CY44" s="164"/>
      <c r="CZ44" s="165"/>
      <c r="DA44" s="164"/>
      <c r="DB44" s="164"/>
      <c r="DC44" s="164"/>
      <c r="DD44" s="164"/>
      <c r="DE44" s="165"/>
      <c r="DF44" s="164"/>
      <c r="DG44" s="164"/>
      <c r="DH44" s="164"/>
      <c r="DI44" s="164"/>
      <c r="DJ44" s="165"/>
      <c r="DK44" s="164"/>
      <c r="DL44" s="164"/>
      <c r="DM44" s="164"/>
      <c r="DN44" s="164"/>
      <c r="DO44" s="165"/>
      <c r="DP44" s="164"/>
      <c r="DQ44" s="164"/>
      <c r="DR44" s="164"/>
      <c r="DS44" s="164"/>
      <c r="DT44" s="165"/>
      <c r="DU44" s="164"/>
      <c r="DV44" s="164"/>
      <c r="DW44" s="164"/>
      <c r="DX44" s="164"/>
      <c r="DY44" s="165"/>
      <c r="DZ44" s="57"/>
    </row>
    <row r="45" spans="1:140" ht="12" thickBot="1" x14ac:dyDescent="0.25">
      <c r="A45" s="57"/>
      <c r="B45" s="159" t="s">
        <v>199</v>
      </c>
      <c r="C45" s="160"/>
      <c r="D45" s="160"/>
      <c r="E45" s="160">
        <f t="shared" ref="E45:AJ45" si="108">E43+E44</f>
        <v>76.02900000000011</v>
      </c>
      <c r="F45" s="160">
        <f t="shared" si="108"/>
        <v>127.72399999999976</v>
      </c>
      <c r="G45" s="160">
        <f t="shared" si="108"/>
        <v>47.471000000000217</v>
      </c>
      <c r="H45" s="160">
        <f t="shared" si="108"/>
        <v>89.205999999999662</v>
      </c>
      <c r="I45" s="161">
        <f t="shared" si="108"/>
        <v>625.64699999999971</v>
      </c>
      <c r="J45" s="160">
        <f t="shared" si="108"/>
        <v>107.84799999999969</v>
      </c>
      <c r="K45" s="160">
        <f t="shared" si="108"/>
        <v>98.763000000000076</v>
      </c>
      <c r="L45" s="160">
        <f t="shared" si="108"/>
        <v>78.699000000000126</v>
      </c>
      <c r="M45" s="160">
        <f t="shared" si="108"/>
        <v>120.07700000000024</v>
      </c>
      <c r="N45" s="161">
        <f t="shared" si="108"/>
        <v>418.98700000000139</v>
      </c>
      <c r="O45" s="160">
        <f t="shared" si="108"/>
        <v>128.56500000000048</v>
      </c>
      <c r="P45" s="160">
        <f t="shared" si="108"/>
        <v>171.08200000000025</v>
      </c>
      <c r="Q45" s="160">
        <f t="shared" si="108"/>
        <v>103.39999999999976</v>
      </c>
      <c r="R45" s="160">
        <f t="shared" si="108"/>
        <v>142.40000000000046</v>
      </c>
      <c r="S45" s="161">
        <f t="shared" si="108"/>
        <v>563.14400000000239</v>
      </c>
      <c r="T45" s="160">
        <f t="shared" si="108"/>
        <v>161.40000000000057</v>
      </c>
      <c r="U45" s="160">
        <f t="shared" si="108"/>
        <v>159.00000000000057</v>
      </c>
      <c r="V45" s="160">
        <f t="shared" si="108"/>
        <v>118.00000000000043</v>
      </c>
      <c r="W45" s="160">
        <f t="shared" si="108"/>
        <v>181.99999999999986</v>
      </c>
      <c r="X45" s="161">
        <f t="shared" si="108"/>
        <v>635.09999999999968</v>
      </c>
      <c r="Y45" s="160">
        <f t="shared" si="108"/>
        <v>187.49999999999909</v>
      </c>
      <c r="Z45" s="160">
        <f t="shared" si="108"/>
        <v>182.80000000000021</v>
      </c>
      <c r="AA45" s="160">
        <f t="shared" si="108"/>
        <v>135.69300000000044</v>
      </c>
      <c r="AB45" s="160">
        <f t="shared" si="108"/>
        <v>206.19999999999911</v>
      </c>
      <c r="AC45" s="161">
        <f t="shared" si="108"/>
        <v>755.4089311481124</v>
      </c>
      <c r="AD45" s="160">
        <f t="shared" si="108"/>
        <v>218.00000000000057</v>
      </c>
      <c r="AE45" s="160">
        <f t="shared" si="108"/>
        <v>194.29999999999959</v>
      </c>
      <c r="AF45" s="160">
        <f t="shared" si="108"/>
        <v>120.0000000000001</v>
      </c>
      <c r="AG45" s="160">
        <f t="shared" si="108"/>
        <v>-133.30000000000027</v>
      </c>
      <c r="AH45" s="161">
        <f t="shared" si="108"/>
        <v>444.40270384452862</v>
      </c>
      <c r="AI45" s="160">
        <f t="shared" si="108"/>
        <v>171.99999999999977</v>
      </c>
      <c r="AJ45" s="160">
        <f t="shared" si="108"/>
        <v>172.70000000000036</v>
      </c>
      <c r="AK45" s="160">
        <f t="shared" ref="AK45:BP45" si="109">AK43+AK44</f>
        <v>160.69999999999925</v>
      </c>
      <c r="AL45" s="160">
        <f t="shared" si="109"/>
        <v>196.39999999999975</v>
      </c>
      <c r="AM45" s="161">
        <f t="shared" si="109"/>
        <v>749.64618446097927</v>
      </c>
      <c r="AN45" s="160">
        <f t="shared" si="109"/>
        <v>192.69999999999914</v>
      </c>
      <c r="AO45" s="160">
        <f t="shared" si="109"/>
        <v>196.10000000000014</v>
      </c>
      <c r="AP45" s="160">
        <f t="shared" si="109"/>
        <v>184.10000000000045</v>
      </c>
      <c r="AQ45" s="160">
        <f t="shared" si="109"/>
        <v>259.79999999999956</v>
      </c>
      <c r="AR45" s="161">
        <f t="shared" si="109"/>
        <v>886.23083242457676</v>
      </c>
      <c r="AS45" s="160">
        <f t="shared" si="109"/>
        <v>240.9999999999998</v>
      </c>
      <c r="AT45" s="160">
        <f t="shared" si="109"/>
        <v>230.79999999999995</v>
      </c>
      <c r="AU45" s="160">
        <f t="shared" si="109"/>
        <v>181.00000000000011</v>
      </c>
      <c r="AV45" s="160">
        <f t="shared" si="109"/>
        <v>251.79999999999902</v>
      </c>
      <c r="AW45" s="161">
        <f t="shared" si="109"/>
        <v>981.9000572901748</v>
      </c>
      <c r="AX45" s="160">
        <f t="shared" si="109"/>
        <v>286.20000000000118</v>
      </c>
      <c r="AY45" s="160">
        <f t="shared" si="109"/>
        <v>272.4000000000006</v>
      </c>
      <c r="AZ45" s="160">
        <f t="shared" si="109"/>
        <v>249.1999999999999</v>
      </c>
      <c r="BA45" s="160">
        <f t="shared" si="109"/>
        <v>402.8</v>
      </c>
      <c r="BB45" s="161">
        <f t="shared" si="109"/>
        <v>1307.2020534311214</v>
      </c>
      <c r="BC45" s="160">
        <f t="shared" si="109"/>
        <v>326.7999999999999</v>
      </c>
      <c r="BD45" s="160">
        <f t="shared" si="109"/>
        <v>337.39999999999947</v>
      </c>
      <c r="BE45" s="160">
        <f t="shared" si="109"/>
        <v>282.60000000000082</v>
      </c>
      <c r="BF45" s="160">
        <f t="shared" si="109"/>
        <v>415.79999999999939</v>
      </c>
      <c r="BG45" s="161">
        <f t="shared" si="109"/>
        <v>1307.8790996473942</v>
      </c>
      <c r="BH45" s="160">
        <f t="shared" si="109"/>
        <v>434.11356133829031</v>
      </c>
      <c r="BI45" s="160">
        <f t="shared" si="109"/>
        <v>787.83795165711831</v>
      </c>
      <c r="BJ45" s="160">
        <f t="shared" si="109"/>
        <v>751.6374693948942</v>
      </c>
      <c r="BK45" s="160">
        <f t="shared" si="109"/>
        <v>857.41134020618483</v>
      </c>
      <c r="BL45" s="161">
        <f t="shared" si="109"/>
        <v>2845.5424323766233</v>
      </c>
      <c r="BM45" s="160">
        <f t="shared" si="109"/>
        <v>807.63343285990936</v>
      </c>
      <c r="BN45" s="160">
        <f t="shared" si="109"/>
        <v>882.57165908757975</v>
      </c>
      <c r="BO45" s="160">
        <f t="shared" si="109"/>
        <v>878.20610269671056</v>
      </c>
      <c r="BP45" s="160">
        <f t="shared" si="109"/>
        <v>1020.3072314311041</v>
      </c>
      <c r="BQ45" s="161">
        <f t="shared" ref="BQ45:CJ45" si="110">BQ43+BQ44</f>
        <v>3588.7151136958773</v>
      </c>
      <c r="BR45" s="160">
        <f t="shared" si="110"/>
        <v>808.21237146789724</v>
      </c>
      <c r="BS45" s="160">
        <f t="shared" si="110"/>
        <v>953.91447788572282</v>
      </c>
      <c r="BT45" s="160">
        <f t="shared" si="110"/>
        <v>932.31525188829664</v>
      </c>
      <c r="BU45" s="160">
        <f t="shared" si="110"/>
        <v>1108.4009078529293</v>
      </c>
      <c r="BV45" s="161">
        <f t="shared" si="110"/>
        <v>3798.8142475436607</v>
      </c>
      <c r="BW45" s="160">
        <f t="shared" si="110"/>
        <v>835.22932917316689</v>
      </c>
      <c r="BX45" s="160">
        <f t="shared" si="110"/>
        <v>885.78623718887263</v>
      </c>
      <c r="BY45" s="160">
        <f t="shared" si="110"/>
        <v>884.66592427616933</v>
      </c>
      <c r="BZ45" s="160">
        <f t="shared" si="110"/>
        <v>1093.8139534883721</v>
      </c>
      <c r="CA45" s="161">
        <f t="shared" si="110"/>
        <v>3699.8728015633328</v>
      </c>
      <c r="CB45" s="160">
        <f t="shared" si="110"/>
        <v>777.21240441801194</v>
      </c>
      <c r="CC45" s="160">
        <f t="shared" si="110"/>
        <v>885.31743666169893</v>
      </c>
      <c r="CD45" s="160">
        <f t="shared" si="110"/>
        <v>938.59272218334502</v>
      </c>
      <c r="CE45" s="162">
        <f t="shared" si="110"/>
        <v>1168.5707149961315</v>
      </c>
      <c r="CF45" s="161">
        <f t="shared" si="110"/>
        <v>3769.6932782591875</v>
      </c>
      <c r="CG45" s="160">
        <f t="shared" si="110"/>
        <v>829.98742138364776</v>
      </c>
      <c r="CH45" s="160">
        <f t="shared" si="110"/>
        <v>1042.3368734932112</v>
      </c>
      <c r="CI45" s="160">
        <f t="shared" si="110"/>
        <v>1084</v>
      </c>
      <c r="CJ45" s="160">
        <f t="shared" si="110"/>
        <v>1419.672</v>
      </c>
      <c r="CK45" s="161">
        <f>SUM(CG45:CJ45)</f>
        <v>4375.9962948768589</v>
      </c>
      <c r="CL45" s="160">
        <f t="shared" ref="CL45:CZ45" si="111">CL43+CL44</f>
        <v>1031</v>
      </c>
      <c r="CM45" s="160">
        <f t="shared" si="111"/>
        <v>1196.5</v>
      </c>
      <c r="CN45" s="160">
        <f t="shared" si="111"/>
        <v>1293.3</v>
      </c>
      <c r="CO45" s="160">
        <f>CO43+CO44</f>
        <v>1340</v>
      </c>
      <c r="CP45" s="161">
        <f t="shared" si="111"/>
        <v>4860.8</v>
      </c>
      <c r="CQ45" s="160">
        <f>CQ43+CQ44</f>
        <v>1217.8</v>
      </c>
      <c r="CR45" s="160">
        <f t="shared" ca="1" si="111"/>
        <v>1324.3463505983375</v>
      </c>
      <c r="CS45" s="160">
        <f t="shared" ca="1" si="111"/>
        <v>1332.892701196675</v>
      </c>
      <c r="CT45" s="160">
        <f t="shared" si="111"/>
        <v>1401.6</v>
      </c>
      <c r="CU45" s="161">
        <f t="shared" si="111"/>
        <v>5265.8</v>
      </c>
      <c r="CV45" s="160">
        <f t="shared" si="111"/>
        <v>1294.3</v>
      </c>
      <c r="CW45" s="160">
        <f t="shared" si="111"/>
        <v>1344.8</v>
      </c>
      <c r="CX45" s="160">
        <f>CX43+CX44</f>
        <v>1439.5514186319399</v>
      </c>
      <c r="CY45" s="160">
        <f>CY43+CY44</f>
        <v>1704.2</v>
      </c>
      <c r="CZ45" s="161">
        <f t="shared" si="111"/>
        <v>5782.8514186319399</v>
      </c>
      <c r="DA45" s="160">
        <f>DA43+DA44</f>
        <v>1301.2</v>
      </c>
      <c r="DB45" s="160">
        <f>DB43+DB44</f>
        <v>1419</v>
      </c>
      <c r="DC45" s="160">
        <f>DC43+DC44</f>
        <v>1753</v>
      </c>
      <c r="DD45" s="160">
        <f>DD43+DD44</f>
        <v>1827.5</v>
      </c>
      <c r="DE45" s="161">
        <f t="shared" ref="DE45:DJ45" si="112">DE43+DE44</f>
        <v>6033.1872029914157</v>
      </c>
      <c r="DF45" s="160">
        <f>DF43+DF44</f>
        <v>1208</v>
      </c>
      <c r="DG45" s="160">
        <f>DG43+DG44</f>
        <v>1361.7</v>
      </c>
      <c r="DH45" s="160">
        <f>DH43+DH44</f>
        <v>1527.9835802880975</v>
      </c>
      <c r="DI45" s="160">
        <f>DI43+DI44</f>
        <v>1954.3110757180877</v>
      </c>
      <c r="DJ45" s="161">
        <f t="shared" si="112"/>
        <v>5773.0936159020748</v>
      </c>
      <c r="DK45" s="160">
        <f t="shared" ref="DK45:DT45" ca="1" si="113">DK43+DK44</f>
        <v>1427.8581354479602</v>
      </c>
      <c r="DL45" s="160">
        <f t="shared" ca="1" si="113"/>
        <v>1435.6147529887792</v>
      </c>
      <c r="DM45" s="160">
        <f t="shared" ca="1" si="113"/>
        <v>1583.464744525887</v>
      </c>
      <c r="DN45" s="160">
        <f t="shared" ca="1" si="113"/>
        <v>1925.1069867115491</v>
      </c>
      <c r="DO45" s="161">
        <f t="shared" ca="1" si="113"/>
        <v>6372.0446196741732</v>
      </c>
      <c r="DP45" s="160">
        <f t="shared" ca="1" si="113"/>
        <v>1330.3935877500701</v>
      </c>
      <c r="DQ45" s="160">
        <f t="shared" ca="1" si="113"/>
        <v>1524.0597108713935</v>
      </c>
      <c r="DR45" s="160">
        <f t="shared" ca="1" si="113"/>
        <v>1648.6403767107884</v>
      </c>
      <c r="DS45" s="160">
        <f t="shared" ca="1" si="113"/>
        <v>2005.9898267955757</v>
      </c>
      <c r="DT45" s="161">
        <f t="shared" ca="1" si="113"/>
        <v>6509.0835021278244</v>
      </c>
      <c r="DU45" s="160">
        <f t="shared" ref="DU45:DY45" ca="1" si="114">DU43+DU44</f>
        <v>1411.0748061205161</v>
      </c>
      <c r="DV45" s="160">
        <f t="shared" ca="1" si="114"/>
        <v>1617.8168161467256</v>
      </c>
      <c r="DW45" s="160">
        <f t="shared" ca="1" si="114"/>
        <v>1752.2871888195323</v>
      </c>
      <c r="DX45" s="160">
        <f t="shared" ca="1" si="114"/>
        <v>2112.9855716997536</v>
      </c>
      <c r="DY45" s="161">
        <f t="shared" ca="1" si="114"/>
        <v>6894.1643827865319</v>
      </c>
      <c r="DZ45" s="64"/>
      <c r="EH45" s="2640"/>
    </row>
    <row r="46" spans="1:140" hidden="1" outlineLevel="1" x14ac:dyDescent="0.2">
      <c r="A46" s="57"/>
      <c r="B46" s="163" t="s">
        <v>200</v>
      </c>
      <c r="C46" s="167"/>
      <c r="D46" s="167"/>
      <c r="E46" s="167"/>
      <c r="F46" s="167"/>
      <c r="G46" s="167"/>
      <c r="H46" s="167"/>
      <c r="I46" s="165">
        <f>366*2</f>
        <v>732</v>
      </c>
      <c r="J46" s="167"/>
      <c r="K46" s="167"/>
      <c r="L46" s="167"/>
      <c r="M46" s="167"/>
      <c r="N46" s="165">
        <v>697.85</v>
      </c>
      <c r="O46" s="167">
        <f>382.9*2</f>
        <v>765.8</v>
      </c>
      <c r="P46" s="167">
        <f>385.8*2</f>
        <v>771.6</v>
      </c>
      <c r="Q46" s="167">
        <v>779</v>
      </c>
      <c r="R46" s="167">
        <v>780.2</v>
      </c>
      <c r="S46" s="165">
        <v>774.2</v>
      </c>
      <c r="T46" s="167">
        <v>781</v>
      </c>
      <c r="U46" s="167">
        <v>782.2</v>
      </c>
      <c r="V46" s="167">
        <f>391.8*2</f>
        <v>783.6</v>
      </c>
      <c r="W46" s="167">
        <v>783.8</v>
      </c>
      <c r="X46" s="165">
        <v>782.65</v>
      </c>
      <c r="Y46" s="167">
        <v>782.2</v>
      </c>
      <c r="Z46" s="167">
        <v>780.6</v>
      </c>
      <c r="AA46" s="167">
        <v>782</v>
      </c>
      <c r="AB46" s="167">
        <v>783.2</v>
      </c>
      <c r="AC46" s="165">
        <v>782</v>
      </c>
      <c r="AD46" s="167">
        <f>392.8*2</f>
        <v>785.6</v>
      </c>
      <c r="AE46" s="167">
        <f>393.5*2</f>
        <v>787</v>
      </c>
      <c r="AF46" s="167">
        <v>783</v>
      </c>
      <c r="AG46" s="167">
        <v>781.6</v>
      </c>
      <c r="AH46" s="165">
        <v>784.4</v>
      </c>
      <c r="AI46" s="167">
        <v>783.2</v>
      </c>
      <c r="AJ46" s="167">
        <v>784</v>
      </c>
      <c r="AK46" s="167">
        <v>785.4</v>
      </c>
      <c r="AL46" s="167">
        <v>785.8</v>
      </c>
      <c r="AM46" s="165">
        <v>784.6</v>
      </c>
      <c r="AN46" s="167">
        <v>786.8</v>
      </c>
      <c r="AO46" s="167">
        <v>788</v>
      </c>
      <c r="AP46" s="167">
        <v>789.6</v>
      </c>
      <c r="AQ46" s="167">
        <v>790.4</v>
      </c>
      <c r="AR46" s="165">
        <v>788.7</v>
      </c>
      <c r="AS46" s="167">
        <v>792.6</v>
      </c>
      <c r="AT46" s="167">
        <v>796</v>
      </c>
      <c r="AU46" s="167">
        <v>799.2</v>
      </c>
      <c r="AV46" s="167">
        <v>801.2</v>
      </c>
      <c r="AW46" s="165">
        <v>797.25</v>
      </c>
      <c r="AX46" s="167">
        <v>806.8</v>
      </c>
      <c r="AY46" s="167">
        <v>810.9</v>
      </c>
      <c r="AZ46" s="167">
        <v>813.5</v>
      </c>
      <c r="BA46" s="167">
        <v>814.3</v>
      </c>
      <c r="BB46" s="165">
        <v>811.4</v>
      </c>
      <c r="BC46" s="167">
        <v>816.8</v>
      </c>
      <c r="BD46" s="167">
        <v>818.9</v>
      </c>
      <c r="BE46" s="167">
        <v>822.3</v>
      </c>
      <c r="BF46" s="167">
        <v>824.3</v>
      </c>
      <c r="BG46" s="165">
        <v>820.6</v>
      </c>
      <c r="BH46" s="167">
        <v>906.1</v>
      </c>
      <c r="BI46" s="167">
        <v>1492.4</v>
      </c>
      <c r="BJ46" s="167">
        <v>1473.7</v>
      </c>
      <c r="BK46" s="167">
        <v>1440.5</v>
      </c>
      <c r="BL46" s="165">
        <v>1328.2</v>
      </c>
      <c r="BM46" s="167">
        <v>1429.8</v>
      </c>
      <c r="BN46" s="167">
        <v>1431.8</v>
      </c>
      <c r="BO46" s="167">
        <v>1435.5</v>
      </c>
      <c r="BP46" s="167">
        <v>1436.6</v>
      </c>
      <c r="BQ46" s="165">
        <v>1436.6</v>
      </c>
      <c r="BR46" s="167">
        <v>1450</v>
      </c>
      <c r="BS46" s="167">
        <v>1456.9</v>
      </c>
      <c r="BT46" s="167">
        <v>1429.4</v>
      </c>
      <c r="BU46" s="167">
        <v>1400</v>
      </c>
      <c r="BV46" s="165">
        <v>1434</v>
      </c>
      <c r="BW46" s="167">
        <f>AVERAGE(BW50,BU50)</f>
        <v>1378</v>
      </c>
      <c r="BX46" s="167">
        <v>1359</v>
      </c>
      <c r="BY46" s="167">
        <v>1360</v>
      </c>
      <c r="BZ46" s="167">
        <f>AVERAGE(BZ50,BY50)</f>
        <v>1357.2901392441036</v>
      </c>
      <c r="CA46" s="165">
        <f>AVERAGE(BW46:BZ46)</f>
        <v>1363.5725348110259</v>
      </c>
      <c r="CB46" s="166">
        <v>1362</v>
      </c>
      <c r="CC46" s="166">
        <v>1355</v>
      </c>
      <c r="CD46" s="166">
        <v>1332</v>
      </c>
      <c r="CE46" s="166">
        <v>1302</v>
      </c>
      <c r="CF46" s="165">
        <f>AVERAGE(CB46:CE46)</f>
        <v>1337.75</v>
      </c>
      <c r="CG46" s="166">
        <v>1299</v>
      </c>
      <c r="CH46" s="166">
        <v>1278</v>
      </c>
      <c r="CI46" s="166">
        <v>1265</v>
      </c>
      <c r="CJ46" s="166">
        <v>1241</v>
      </c>
      <c r="CK46" s="165">
        <f>AVERAGE(CG46:CJ46)</f>
        <v>1270.75</v>
      </c>
      <c r="CL46" s="167">
        <f>AVERAGE(CL50,CJ50)</f>
        <v>1229.5</v>
      </c>
      <c r="CM46" s="167">
        <f>AVERAGE(CM50,CL50)</f>
        <v>1227.5</v>
      </c>
      <c r="CN46" s="167">
        <f>AVERAGE(CN50,CM50)</f>
        <v>1215.5</v>
      </c>
      <c r="CO46" s="167">
        <f>AVERAGE(CO50,CN50)</f>
        <v>1192</v>
      </c>
      <c r="CP46" s="165">
        <f>AVERAGE(CL46:CO46)</f>
        <v>1216.125</v>
      </c>
      <c r="CQ46" s="167">
        <f>AVERAGE(CQ50,CP50)</f>
        <v>1180</v>
      </c>
      <c r="CR46" s="167">
        <f ca="1">AVERAGE(CR50,CQ50)</f>
        <v>1176.6536494016625</v>
      </c>
      <c r="CS46" s="167">
        <f ca="1">AVERAGE(CS50,CR50)</f>
        <v>1170.807298803325</v>
      </c>
      <c r="CT46" s="2583">
        <v>1143</v>
      </c>
      <c r="CU46" s="165">
        <f ca="1">AVERAGE(CQ46:CT46)</f>
        <v>1167.6152370512468</v>
      </c>
      <c r="CV46" s="2475">
        <v>1128</v>
      </c>
      <c r="CW46" s="2475">
        <v>1124</v>
      </c>
      <c r="CX46" s="2583">
        <v>1124</v>
      </c>
      <c r="CY46" s="2583">
        <v>1107</v>
      </c>
      <c r="CZ46" s="165">
        <f>AVERAGE(CV46:CY46)</f>
        <v>1120.75</v>
      </c>
      <c r="DA46" s="2583">
        <v>1092</v>
      </c>
      <c r="DB46" s="2583">
        <v>1070</v>
      </c>
      <c r="DC46" s="2583">
        <v>1068</v>
      </c>
      <c r="DD46" s="2583">
        <v>1068</v>
      </c>
      <c r="DE46" s="165">
        <f>AVERAGE(DA46:DD46)</f>
        <v>1074.5</v>
      </c>
      <c r="DF46" s="2583">
        <v>1030</v>
      </c>
      <c r="DG46" s="2583">
        <v>1019</v>
      </c>
      <c r="DH46" s="2583">
        <v>1016</v>
      </c>
      <c r="DI46" s="2583">
        <v>1016</v>
      </c>
      <c r="DJ46" s="165">
        <f>AVERAGE(DF46:DI46)</f>
        <v>1020.25</v>
      </c>
      <c r="DK46" s="167">
        <f>AVERAGE(DK50,DI50)</f>
        <v>1012.992425</v>
      </c>
      <c r="DL46" s="167">
        <f>AVERAGE(DL50,DK50)</f>
        <v>1012.992425</v>
      </c>
      <c r="DM46" s="167">
        <f>AVERAGE(DM50,DL50)</f>
        <v>1012.992425</v>
      </c>
      <c r="DN46" s="167">
        <f>AVERAGE(DN50,DM50)</f>
        <v>1012.992425</v>
      </c>
      <c r="DO46" s="165">
        <f>AVERAGE(DK46:DN46)</f>
        <v>1012.992425</v>
      </c>
      <c r="DP46" s="167">
        <f>AVERAGE(DP50,DN50)</f>
        <v>1012.992425</v>
      </c>
      <c r="DQ46" s="167">
        <f>AVERAGE(DQ50,DP50)</f>
        <v>1012.992425</v>
      </c>
      <c r="DR46" s="167">
        <f>AVERAGE(DR50,DQ50)</f>
        <v>1012.992425</v>
      </c>
      <c r="DS46" s="167">
        <f>AVERAGE(DS50,DR50)</f>
        <v>1012.992425</v>
      </c>
      <c r="DT46" s="165">
        <f>AVERAGE(DP46:DS46)</f>
        <v>1012.992425</v>
      </c>
      <c r="DU46" s="167">
        <f>AVERAGE(DU50,DS50)</f>
        <v>1012.992425</v>
      </c>
      <c r="DV46" s="167">
        <f>AVERAGE(DV50,DU50)</f>
        <v>1012.992425</v>
      </c>
      <c r="DW46" s="167">
        <f>AVERAGE(DW50,DV50)</f>
        <v>1012.992425</v>
      </c>
      <c r="DX46" s="167">
        <f>AVERAGE(DX50,DW50)</f>
        <v>1012.992425</v>
      </c>
      <c r="DY46" s="165">
        <f>AVERAGE(DU46:DX46)</f>
        <v>1012.992425</v>
      </c>
      <c r="DZ46" s="2730"/>
    </row>
    <row r="47" spans="1:140" ht="12" collapsed="1" thickBot="1" x14ac:dyDescent="0.25">
      <c r="A47" s="57"/>
      <c r="B47" s="168" t="s">
        <v>201</v>
      </c>
      <c r="C47" s="169"/>
      <c r="D47" s="169"/>
      <c r="E47" s="169"/>
      <c r="F47" s="169"/>
      <c r="G47" s="169"/>
      <c r="H47" s="169"/>
      <c r="I47" s="170">
        <f>383.6*2</f>
        <v>767.2</v>
      </c>
      <c r="J47" s="169"/>
      <c r="K47" s="169"/>
      <c r="L47" s="169"/>
      <c r="M47" s="169"/>
      <c r="N47" s="170">
        <v>799.15</v>
      </c>
      <c r="O47" s="169">
        <f>400.9*2</f>
        <v>801.8</v>
      </c>
      <c r="P47" s="169">
        <f>394.6*2</f>
        <v>789.2</v>
      </c>
      <c r="Q47" s="169">
        <f>396.1*2</f>
        <v>792.2</v>
      </c>
      <c r="R47" s="169">
        <v>815</v>
      </c>
      <c r="S47" s="170">
        <v>810.4</v>
      </c>
      <c r="T47" s="169">
        <f>408.2*2</f>
        <v>816.4</v>
      </c>
      <c r="U47" s="169">
        <f>408.7*2</f>
        <v>817.4</v>
      </c>
      <c r="V47" s="169">
        <f>398.1*2</f>
        <v>796.2</v>
      </c>
      <c r="W47" s="169">
        <v>816.6</v>
      </c>
      <c r="X47" s="170">
        <v>811.65</v>
      </c>
      <c r="Y47" s="169">
        <v>814.2</v>
      </c>
      <c r="Z47" s="169">
        <v>816</v>
      </c>
      <c r="AA47" s="169">
        <v>815</v>
      </c>
      <c r="AB47" s="169">
        <v>819.6</v>
      </c>
      <c r="AC47" s="170">
        <f>408*2</f>
        <v>816</v>
      </c>
      <c r="AD47" s="169">
        <f>411.3*2</f>
        <v>822.6</v>
      </c>
      <c r="AE47" s="169">
        <f>411.1*2</f>
        <v>822.2</v>
      </c>
      <c r="AF47" s="169">
        <f>406*2</f>
        <v>812</v>
      </c>
      <c r="AG47" s="169">
        <v>789</v>
      </c>
      <c r="AH47" s="170">
        <f>408.3*2</f>
        <v>816.6</v>
      </c>
      <c r="AI47" s="169">
        <f>404.7*2</f>
        <v>809.4</v>
      </c>
      <c r="AJ47" s="169">
        <f>406.1*2</f>
        <v>812.2</v>
      </c>
      <c r="AK47" s="169">
        <f>405.4*2</f>
        <v>810.8</v>
      </c>
      <c r="AL47" s="169">
        <v>812</v>
      </c>
      <c r="AM47" s="170">
        <f>405.3*2</f>
        <v>810.6</v>
      </c>
      <c r="AN47" s="169">
        <f>405.7*2</f>
        <v>811.4</v>
      </c>
      <c r="AO47" s="169">
        <v>813.2</v>
      </c>
      <c r="AP47" s="169">
        <f>408.3*2</f>
        <v>816.6</v>
      </c>
      <c r="AQ47" s="169">
        <v>821.6</v>
      </c>
      <c r="AR47" s="170">
        <v>815.7</v>
      </c>
      <c r="AS47" s="169">
        <f>412.2*2</f>
        <v>824.4</v>
      </c>
      <c r="AT47" s="169">
        <f>415*2</f>
        <v>830</v>
      </c>
      <c r="AU47" s="169">
        <v>832</v>
      </c>
      <c r="AV47" s="169">
        <v>836.2</v>
      </c>
      <c r="AW47" s="170">
        <v>830.4</v>
      </c>
      <c r="AX47" s="169">
        <f>418.6*2</f>
        <v>837.2</v>
      </c>
      <c r="AY47" s="169">
        <v>841.9</v>
      </c>
      <c r="AZ47" s="169">
        <v>845</v>
      </c>
      <c r="BA47" s="169">
        <v>843.3</v>
      </c>
      <c r="BB47" s="170">
        <v>841.6</v>
      </c>
      <c r="BC47" s="169">
        <v>848.5</v>
      </c>
      <c r="BD47" s="169">
        <v>850.6</v>
      </c>
      <c r="BE47" s="169">
        <v>855.4</v>
      </c>
      <c r="BF47" s="169">
        <v>855</v>
      </c>
      <c r="BG47" s="170">
        <v>853.2</v>
      </c>
      <c r="BH47" s="169">
        <v>939.8</v>
      </c>
      <c r="BI47" s="169">
        <v>1542.5</v>
      </c>
      <c r="BJ47" s="169">
        <v>1521.2</v>
      </c>
      <c r="BK47" s="169">
        <v>1483</v>
      </c>
      <c r="BL47" s="170">
        <v>1371.8</v>
      </c>
      <c r="BM47" s="169">
        <v>1467.7</v>
      </c>
      <c r="BN47" s="169">
        <v>1468.7</v>
      </c>
      <c r="BO47" s="169">
        <v>1469.7</v>
      </c>
      <c r="BP47" s="169">
        <v>1466.9</v>
      </c>
      <c r="BQ47" s="170">
        <v>1466.9</v>
      </c>
      <c r="BR47" s="169">
        <v>1468.9</v>
      </c>
      <c r="BS47" s="169">
        <v>1471.8</v>
      </c>
      <c r="BT47" s="169">
        <v>1444.9</v>
      </c>
      <c r="BU47" s="169">
        <v>1413</v>
      </c>
      <c r="BV47" s="170">
        <v>1450</v>
      </c>
      <c r="BW47" s="169">
        <v>1386</v>
      </c>
      <c r="BX47" s="169">
        <v>1369</v>
      </c>
      <c r="BY47" s="169">
        <v>1368</v>
      </c>
      <c r="BZ47" s="169">
        <v>1372</v>
      </c>
      <c r="CA47" s="170">
        <f>AVERAGE(BW47:BZ47)</f>
        <v>1373.75</v>
      </c>
      <c r="CB47" s="171">
        <v>1371</v>
      </c>
      <c r="CC47" s="171">
        <v>1364</v>
      </c>
      <c r="CD47" s="171">
        <v>1340</v>
      </c>
      <c r="CE47" s="171">
        <v>1309.8</v>
      </c>
      <c r="CF47" s="170">
        <f>AVERAGE(CB47:CE47)</f>
        <v>1346.2</v>
      </c>
      <c r="CG47" s="171">
        <v>1309</v>
      </c>
      <c r="CH47" s="171">
        <v>1287.2</v>
      </c>
      <c r="CI47" s="171">
        <v>1273.9000000000001</v>
      </c>
      <c r="CJ47" s="171">
        <v>1249</v>
      </c>
      <c r="CK47" s="170">
        <f>AVERAGE(CG47:CJ47)</f>
        <v>1279.7750000000001</v>
      </c>
      <c r="CL47" s="171">
        <v>1241</v>
      </c>
      <c r="CM47" s="171">
        <v>1235.5999999999999</v>
      </c>
      <c r="CN47" s="171">
        <v>1226</v>
      </c>
      <c r="CO47" s="171">
        <v>1201</v>
      </c>
      <c r="CP47" s="170">
        <f>AVERAGE(CL47:CO47)</f>
        <v>1225.9000000000001</v>
      </c>
      <c r="CQ47" s="171">
        <v>1189.8</v>
      </c>
      <c r="CR47" s="171">
        <v>1174</v>
      </c>
      <c r="CS47" s="171">
        <v>1165.9000000000001</v>
      </c>
      <c r="CT47" s="171">
        <v>1151.5999999999999</v>
      </c>
      <c r="CU47" s="170">
        <f>AVERAGE(CQ47:CT47)</f>
        <v>1170.325</v>
      </c>
      <c r="CV47" s="2476">
        <v>1136.5</v>
      </c>
      <c r="CW47" s="171">
        <v>1132.0999999999999</v>
      </c>
      <c r="CX47" s="171">
        <v>1120.9886450220438</v>
      </c>
      <c r="CY47" s="171">
        <v>1113.7</v>
      </c>
      <c r="CZ47" s="170">
        <f>AVERAGE(CV47:CY47)</f>
        <v>1125.822161255511</v>
      </c>
      <c r="DA47" s="171">
        <v>1098.8</v>
      </c>
      <c r="DB47" s="171">
        <v>1075.4000000000001</v>
      </c>
      <c r="DC47" s="171">
        <v>1072.5999999999999</v>
      </c>
      <c r="DD47" s="171">
        <v>1068.7</v>
      </c>
      <c r="DE47" s="170">
        <f>AVERAGE(DA47:DD47)</f>
        <v>1078.875</v>
      </c>
      <c r="DF47" s="171">
        <v>1034.7</v>
      </c>
      <c r="DG47" s="171">
        <v>1023.8</v>
      </c>
      <c r="DH47" s="171">
        <v>1020.1830539666665</v>
      </c>
      <c r="DI47" s="171">
        <v>1017.5666774912154</v>
      </c>
      <c r="DJ47" s="170">
        <f>AVERAGE(DF47:DI47)</f>
        <v>1024.0624328644706</v>
      </c>
      <c r="DK47" s="169">
        <f>DI47/DI46*DK46</f>
        <v>1014.5544647943102</v>
      </c>
      <c r="DL47" s="169">
        <f>DK47/DK46*DL46</f>
        <v>1014.5544647943102</v>
      </c>
      <c r="DM47" s="169">
        <f>DL47/DL46*DM46</f>
        <v>1014.5544647943102</v>
      </c>
      <c r="DN47" s="169">
        <f>DM47/DM46*DN46</f>
        <v>1014.5544647943102</v>
      </c>
      <c r="DO47" s="170">
        <f>AVERAGE(DK47:DN47)</f>
        <v>1014.5544647943102</v>
      </c>
      <c r="DP47" s="169">
        <f>DN47/DN46*DP46</f>
        <v>1014.5544647943102</v>
      </c>
      <c r="DQ47" s="169">
        <f>DP47/DP46*DQ46</f>
        <v>1014.5544647943102</v>
      </c>
      <c r="DR47" s="169">
        <f>DQ47/DQ46*DR46</f>
        <v>1014.5544647943102</v>
      </c>
      <c r="DS47" s="169">
        <f>DR47/DR46*DS46</f>
        <v>1014.5544647943102</v>
      </c>
      <c r="DT47" s="170">
        <f>AVERAGE(DP47:DS47)</f>
        <v>1014.5544647943102</v>
      </c>
      <c r="DU47" s="169">
        <f>DS47/DS46*DU46</f>
        <v>1014.5544647943102</v>
      </c>
      <c r="DV47" s="169">
        <f>DU47/DU46*DV46</f>
        <v>1014.5544647943102</v>
      </c>
      <c r="DW47" s="169">
        <f>DV47/DV46*DW46</f>
        <v>1014.5544647943102</v>
      </c>
      <c r="DX47" s="169">
        <f>DW47/DW46*DX46</f>
        <v>1014.5544647943102</v>
      </c>
      <c r="DY47" s="170">
        <f>AVERAGE(DU47:DX47)</f>
        <v>1014.5544647943102</v>
      </c>
      <c r="DZ47" s="57"/>
      <c r="EH47" s="2640"/>
    </row>
    <row r="48" spans="1:140" ht="6" hidden="1" customHeight="1" outlineLevel="1" x14ac:dyDescent="0.2">
      <c r="A48" s="18"/>
      <c r="B48" s="98"/>
      <c r="C48" s="102"/>
      <c r="D48" s="150"/>
      <c r="E48" s="172"/>
      <c r="F48" s="172"/>
      <c r="G48" s="172"/>
      <c r="H48" s="172"/>
      <c r="I48" s="173"/>
      <c r="J48" s="172"/>
      <c r="K48" s="172"/>
      <c r="L48" s="172"/>
      <c r="M48" s="172"/>
      <c r="N48" s="173"/>
      <c r="O48" s="172"/>
      <c r="P48" s="172"/>
      <c r="Q48" s="172"/>
      <c r="R48" s="172"/>
      <c r="S48" s="173"/>
      <c r="T48" s="172"/>
      <c r="U48" s="172"/>
      <c r="V48" s="172"/>
      <c r="W48" s="172"/>
      <c r="X48" s="173"/>
      <c r="Y48" s="172"/>
      <c r="Z48" s="172"/>
      <c r="AA48" s="172"/>
      <c r="AB48" s="172"/>
      <c r="AC48" s="173"/>
      <c r="AD48" s="172"/>
      <c r="AE48" s="172"/>
      <c r="AF48" s="172"/>
      <c r="AG48" s="172"/>
      <c r="AH48" s="173"/>
      <c r="AI48" s="172"/>
      <c r="AJ48" s="172"/>
      <c r="AK48" s="172"/>
      <c r="AL48" s="172"/>
      <c r="AM48" s="173"/>
      <c r="AN48" s="172"/>
      <c r="AO48" s="172"/>
      <c r="AP48" s="172"/>
      <c r="AQ48" s="172"/>
      <c r="AR48" s="173"/>
      <c r="AS48" s="172"/>
      <c r="AT48" s="172"/>
      <c r="AU48" s="172"/>
      <c r="AV48" s="172"/>
      <c r="AW48" s="173"/>
      <c r="AX48" s="172"/>
      <c r="AY48" s="172"/>
      <c r="AZ48" s="172"/>
      <c r="BA48" s="172"/>
      <c r="BB48" s="173"/>
      <c r="BC48" s="172"/>
      <c r="BD48" s="172"/>
      <c r="BE48" s="172"/>
      <c r="BF48" s="172"/>
      <c r="BG48" s="173"/>
      <c r="BH48" s="172"/>
      <c r="BI48" s="172"/>
      <c r="BJ48" s="172"/>
      <c r="BK48" s="154"/>
      <c r="BL48" s="173"/>
      <c r="BM48" s="151"/>
      <c r="BN48" s="151"/>
      <c r="BO48" s="151"/>
      <c r="BP48" s="151"/>
      <c r="BQ48" s="173"/>
      <c r="BR48" s="172"/>
      <c r="BS48" s="172"/>
      <c r="BT48" s="172"/>
      <c r="BU48" s="172"/>
      <c r="BV48" s="173"/>
      <c r="BW48" s="151"/>
      <c r="BX48" s="151"/>
      <c r="BY48" s="151"/>
      <c r="BZ48" s="151"/>
      <c r="CA48" s="173"/>
      <c r="CB48" s="151"/>
      <c r="CC48" s="151"/>
      <c r="CD48" s="151"/>
      <c r="CE48" s="151"/>
      <c r="CF48" s="173"/>
      <c r="CG48" s="153"/>
      <c r="CH48" s="153"/>
      <c r="CI48" s="153"/>
      <c r="CJ48" s="153"/>
      <c r="CK48" s="173"/>
      <c r="CL48" s="153"/>
      <c r="CM48" s="153"/>
      <c r="CN48" s="153"/>
      <c r="CO48" s="153"/>
      <c r="CP48" s="173"/>
      <c r="CQ48" s="153"/>
      <c r="CR48" s="153"/>
      <c r="CS48" s="153"/>
      <c r="CT48" s="153"/>
      <c r="CU48" s="173"/>
      <c r="CV48" s="153"/>
      <c r="CW48" s="153"/>
      <c r="CX48" s="153"/>
      <c r="CY48" s="153"/>
      <c r="CZ48" s="173"/>
      <c r="DA48" s="153"/>
      <c r="DB48" s="153"/>
      <c r="DC48" s="153"/>
      <c r="DD48" s="153"/>
      <c r="DE48" s="173"/>
      <c r="DF48" s="151"/>
      <c r="DG48" s="151"/>
      <c r="DH48" s="151"/>
      <c r="DI48" s="151"/>
      <c r="DJ48" s="173"/>
      <c r="DK48" s="151"/>
      <c r="DL48" s="151"/>
      <c r="DM48" s="151"/>
      <c r="DN48" s="151"/>
      <c r="DO48" s="173"/>
      <c r="DP48" s="151"/>
      <c r="DQ48" s="151"/>
      <c r="DR48" s="151"/>
      <c r="DS48" s="151"/>
      <c r="DT48" s="173"/>
      <c r="DU48" s="151"/>
      <c r="DV48" s="151"/>
      <c r="DW48" s="151"/>
      <c r="DX48" s="151"/>
      <c r="DY48" s="173"/>
      <c r="DZ48" s="18"/>
    </row>
    <row r="49" spans="1:130" ht="12" hidden="1" customHeight="1" outlineLevel="1" x14ac:dyDescent="0.2">
      <c r="A49" s="57"/>
      <c r="B49" s="58" t="s">
        <v>202</v>
      </c>
      <c r="C49" s="59"/>
      <c r="D49" s="59"/>
      <c r="E49" s="59"/>
      <c r="F49" s="59"/>
      <c r="G49" s="59"/>
      <c r="H49" s="59"/>
      <c r="I49" s="86"/>
      <c r="J49" s="59"/>
      <c r="K49" s="59"/>
      <c r="L49" s="59"/>
      <c r="M49" s="59"/>
      <c r="N49" s="86"/>
      <c r="O49" s="59"/>
      <c r="P49" s="59"/>
      <c r="Q49" s="59"/>
      <c r="R49" s="59"/>
      <c r="S49" s="86"/>
      <c r="T49" s="59"/>
      <c r="U49" s="59"/>
      <c r="V49" s="59"/>
      <c r="W49" s="59"/>
      <c r="X49" s="86"/>
      <c r="Y49" s="59"/>
      <c r="Z49" s="59"/>
      <c r="AA49" s="59"/>
      <c r="AB49" s="59"/>
      <c r="AC49" s="86"/>
      <c r="AD49" s="59"/>
      <c r="AE49" s="59"/>
      <c r="AF49" s="59"/>
      <c r="AG49" s="59"/>
      <c r="AH49" s="86"/>
      <c r="AI49" s="59"/>
      <c r="AJ49" s="59"/>
      <c r="AK49" s="59"/>
      <c r="AL49" s="59"/>
      <c r="AM49" s="86"/>
      <c r="AN49" s="59"/>
      <c r="AO49" s="59"/>
      <c r="AP49" s="59"/>
      <c r="AQ49" s="59"/>
      <c r="AR49" s="86"/>
      <c r="AS49" s="59"/>
      <c r="AT49" s="59"/>
      <c r="AU49" s="59"/>
      <c r="AV49" s="59"/>
      <c r="AW49" s="86"/>
      <c r="AX49" s="59"/>
      <c r="AY49" s="59"/>
      <c r="AZ49" s="59"/>
      <c r="BA49" s="59"/>
      <c r="BB49" s="86"/>
      <c r="BC49" s="59"/>
      <c r="BD49" s="59"/>
      <c r="BE49" s="59"/>
      <c r="BF49" s="59"/>
      <c r="BG49" s="86"/>
      <c r="BH49" s="59"/>
      <c r="BI49" s="59"/>
      <c r="BJ49" s="59"/>
      <c r="BK49" s="59"/>
      <c r="BL49" s="86">
        <f>BL50-BG50</f>
        <v>738.20658800000012</v>
      </c>
      <c r="BM49" s="59">
        <f>BM50-BK50</f>
        <v>-177.62358800000015</v>
      </c>
      <c r="BN49" s="59">
        <f>BN50-BM50</f>
        <v>5.80600000000004</v>
      </c>
      <c r="BO49" s="59">
        <f>BO50-BN50</f>
        <v>1.8810000000000855</v>
      </c>
      <c r="BP49" s="59">
        <f>BP50-BO50</f>
        <v>0.93499999999994543</v>
      </c>
      <c r="BQ49" s="86">
        <f>BQ50-BL50</f>
        <v>-169.00158800000008</v>
      </c>
      <c r="BR49" s="59">
        <f>BR50-BP50</f>
        <v>17.881000000000085</v>
      </c>
      <c r="BS49" s="59">
        <f>BS50-BR50</f>
        <v>-12.649000000000115</v>
      </c>
      <c r="BT49" s="59">
        <f>BT50-BS50</f>
        <v>-24.469000000000051</v>
      </c>
      <c r="BU49" s="59">
        <f>BU50-BT50</f>
        <v>-25.76299999999992</v>
      </c>
      <c r="BV49" s="86">
        <f>BV50-BQ50</f>
        <v>-45</v>
      </c>
      <c r="BW49" s="59">
        <f>'BS and CFS'!BW202</f>
        <v>-22.710144927536231</v>
      </c>
      <c r="BX49" s="59">
        <f>'BS and CFS'!BX202</f>
        <v>-14.419721511793124</v>
      </c>
      <c r="BY49" s="59">
        <f>'BS and CFS'!BY202</f>
        <v>3</v>
      </c>
      <c r="BZ49" s="59">
        <f>'BS and CFS'!BZ202</f>
        <v>3</v>
      </c>
      <c r="CA49" s="86">
        <f>CA50-BV50</f>
        <v>-30</v>
      </c>
      <c r="CB49" s="59">
        <f>CB50-BZ50</f>
        <v>-9</v>
      </c>
      <c r="CC49" s="59">
        <f>CC50-CB50</f>
        <v>-8</v>
      </c>
      <c r="CD49" s="59">
        <f>CD50-CC50</f>
        <v>-38</v>
      </c>
      <c r="CE49" s="59">
        <f>CE50-CD50</f>
        <v>-10</v>
      </c>
      <c r="CF49" s="86">
        <f>CF50-CA50</f>
        <v>-65</v>
      </c>
      <c r="CG49" s="59">
        <f>CG50-CE50</f>
        <v>-8</v>
      </c>
      <c r="CH49" s="59">
        <f>CH50-CG50</f>
        <v>-19</v>
      </c>
      <c r="CI49" s="59">
        <f>CI50-CH50</f>
        <v>-25</v>
      </c>
      <c r="CJ49" s="59">
        <f>CJ50-CI50</f>
        <v>-15</v>
      </c>
      <c r="CK49" s="86">
        <f>CK50-CF50</f>
        <v>-67</v>
      </c>
      <c r="CL49" s="59">
        <f>CL50-CJ50</f>
        <v>-3</v>
      </c>
      <c r="CM49" s="59">
        <f>CM50-CL50</f>
        <v>-1</v>
      </c>
      <c r="CN49" s="59">
        <f>CN50-CM50</f>
        <v>-23</v>
      </c>
      <c r="CO49" s="59">
        <f>CO50-CN50</f>
        <v>-24</v>
      </c>
      <c r="CP49" s="86">
        <f>CP50-CK50</f>
        <v>-51</v>
      </c>
      <c r="CQ49" s="59">
        <f>CQ50-CP50</f>
        <v>0</v>
      </c>
      <c r="CR49" s="59">
        <f ca="1">CR50-CQ50</f>
        <v>-6.6927011966749888</v>
      </c>
      <c r="CS49" s="59">
        <f ca="1">'BS and CFS'!CS202</f>
        <v>-5</v>
      </c>
      <c r="CT49" s="59">
        <f>'BS and CFS'!CT202</f>
        <v>-9.1</v>
      </c>
      <c r="CU49" s="86">
        <f ca="1">CU50-CP50</f>
        <v>-20.792701196674898</v>
      </c>
      <c r="CV49" s="59">
        <f>'BS and CFS'!CV202</f>
        <v>-14.900000000000002</v>
      </c>
      <c r="CW49" s="59">
        <f>'BS and CFS'!CW202</f>
        <v>-4.0677883204538787</v>
      </c>
      <c r="CX49" s="59">
        <f>'BS and CFS'!CX202</f>
        <v>-3.9497944050347549</v>
      </c>
      <c r="CY49" s="59">
        <f>'BS and CFS'!CY202</f>
        <v>-5.5297785704614473</v>
      </c>
      <c r="CZ49" s="86">
        <f ca="1">CZ50-CU50</f>
        <v>-60.717298803325093</v>
      </c>
      <c r="DA49" s="59">
        <f>'BS and CFS'!DA202</f>
        <v>-19.899999999999999</v>
      </c>
      <c r="DB49" s="59">
        <f>'BS and CFS'!DB202</f>
        <v>-15.888349514563107</v>
      </c>
      <c r="DC49" s="59">
        <f>'BS and CFS'!DC202</f>
        <v>0.76219512195121952</v>
      </c>
      <c r="DD49" s="59">
        <f>'BS and CFS'!DD202</f>
        <v>-23.945121951219512</v>
      </c>
      <c r="DE49" s="86">
        <f>DE50-CZ50</f>
        <v>-32.050825999999915</v>
      </c>
      <c r="DF49" s="59">
        <f>'BS and CFS'!DF202</f>
        <v>-40.099016066757997</v>
      </c>
      <c r="DG49" s="59">
        <f>'BS and CFS'!DG202</f>
        <v>0.82659057200550468</v>
      </c>
      <c r="DH49" s="59">
        <f>'BS and CFS'!DH202</f>
        <v>0.16111165845179176</v>
      </c>
      <c r="DI49" s="59">
        <f>'BS and CFS'!DI202</f>
        <v>5</v>
      </c>
      <c r="DJ49" s="86">
        <f>DJ50-DE50</f>
        <v>-53.446749000000068</v>
      </c>
      <c r="DK49" s="59">
        <f>'BS and CFS'!DK202</f>
        <v>0</v>
      </c>
      <c r="DL49" s="59">
        <f>'BS and CFS'!DL202</f>
        <v>0</v>
      </c>
      <c r="DM49" s="59">
        <f>'BS and CFS'!DM202</f>
        <v>0</v>
      </c>
      <c r="DN49" s="59">
        <f>'BS and CFS'!DN202</f>
        <v>0</v>
      </c>
      <c r="DO49" s="86">
        <f>DO50-DJ50</f>
        <v>0</v>
      </c>
      <c r="DP49" s="59">
        <f>'BS and CFS'!DP202</f>
        <v>0</v>
      </c>
      <c r="DQ49" s="59">
        <f>'BS and CFS'!DQ202</f>
        <v>0</v>
      </c>
      <c r="DR49" s="59">
        <f>'BS and CFS'!DR202</f>
        <v>0</v>
      </c>
      <c r="DS49" s="59">
        <f>'BS and CFS'!DS202</f>
        <v>0</v>
      </c>
      <c r="DT49" s="86">
        <f>DT50-DO50</f>
        <v>0</v>
      </c>
      <c r="DU49" s="59">
        <f>'BS and CFS'!DU202</f>
        <v>0</v>
      </c>
      <c r="DV49" s="59">
        <f>'BS and CFS'!DV202</f>
        <v>0</v>
      </c>
      <c r="DW49" s="59">
        <f>'BS and CFS'!DW202</f>
        <v>0</v>
      </c>
      <c r="DX49" s="59">
        <f>'BS and CFS'!DX202</f>
        <v>0</v>
      </c>
      <c r="DY49" s="86">
        <f>DY50-DT50</f>
        <v>0</v>
      </c>
      <c r="DZ49" s="64"/>
    </row>
    <row r="50" spans="1:130" hidden="1" outlineLevel="1" x14ac:dyDescent="0.2">
      <c r="A50" s="174"/>
      <c r="B50" s="163" t="s">
        <v>203</v>
      </c>
      <c r="C50" s="164"/>
      <c r="D50" s="164"/>
      <c r="E50" s="164"/>
      <c r="F50" s="164"/>
      <c r="G50" s="164"/>
      <c r="H50" s="164"/>
      <c r="I50" s="165"/>
      <c r="J50" s="164"/>
      <c r="K50" s="164"/>
      <c r="L50" s="164"/>
      <c r="M50" s="164"/>
      <c r="N50" s="165"/>
      <c r="O50" s="164"/>
      <c r="P50" s="164"/>
      <c r="Q50" s="164"/>
      <c r="R50" s="164"/>
      <c r="S50" s="165">
        <v>814</v>
      </c>
      <c r="T50" s="167">
        <v>814.7</v>
      </c>
      <c r="U50" s="167">
        <v>816.577</v>
      </c>
      <c r="V50" s="167">
        <v>816.72299999999996</v>
      </c>
      <c r="W50" s="167">
        <v>817.14499999999998</v>
      </c>
      <c r="X50" s="165">
        <f>W50</f>
        <v>817.14499999999998</v>
      </c>
      <c r="Y50" s="167">
        <v>820.94799999999998</v>
      </c>
      <c r="Z50" s="167">
        <v>826.69399999999996</v>
      </c>
      <c r="AA50" s="167">
        <v>827.62399999999991</v>
      </c>
      <c r="AB50" s="167">
        <v>829.86299999999994</v>
      </c>
      <c r="AC50" s="165">
        <f>AB50</f>
        <v>829.86299999999994</v>
      </c>
      <c r="AD50" s="167">
        <v>830.63</v>
      </c>
      <c r="AE50" s="167">
        <v>831.29599999999994</v>
      </c>
      <c r="AF50" s="167">
        <v>834.43700000000001</v>
      </c>
      <c r="AG50" s="167">
        <v>834.70899999999995</v>
      </c>
      <c r="AH50" s="165">
        <f>AG50</f>
        <v>834.70899999999995</v>
      </c>
      <c r="AI50" s="167">
        <v>834.68100000000004</v>
      </c>
      <c r="AJ50" s="167">
        <v>834.62800000000004</v>
      </c>
      <c r="AK50" s="167">
        <v>834.50900000000001</v>
      </c>
      <c r="AL50" s="167">
        <v>834.78700000000003</v>
      </c>
      <c r="AM50" s="165">
        <f>AL50</f>
        <v>834.78700000000003</v>
      </c>
      <c r="AN50" s="167">
        <v>834.03300000000002</v>
      </c>
      <c r="AO50" s="167">
        <v>834.62200000000007</v>
      </c>
      <c r="AP50" s="167">
        <v>834.30600000000004</v>
      </c>
      <c r="AQ50" s="167">
        <v>834.43499999999995</v>
      </c>
      <c r="AR50" s="165">
        <f>AQ50</f>
        <v>834.43499999999995</v>
      </c>
      <c r="AS50" s="167">
        <v>836.07100000000003</v>
      </c>
      <c r="AT50" s="167">
        <v>839.25900000000001</v>
      </c>
      <c r="AU50" s="167">
        <v>840.4319999999999</v>
      </c>
      <c r="AV50" s="167">
        <v>841.86900000000003</v>
      </c>
      <c r="AW50" s="165">
        <f>AV50</f>
        <v>841.86900000000003</v>
      </c>
      <c r="AX50" s="167">
        <v>861.17399999999998</v>
      </c>
      <c r="AY50" s="167">
        <v>862.9</v>
      </c>
      <c r="AZ50" s="167">
        <v>863.44</v>
      </c>
      <c r="BA50" s="167">
        <v>863.37400000000002</v>
      </c>
      <c r="BB50" s="165">
        <f>BA50</f>
        <v>863.37400000000002</v>
      </c>
      <c r="BC50" s="167">
        <v>864.53800000000001</v>
      </c>
      <c r="BD50" s="167">
        <v>865.65499999999997</v>
      </c>
      <c r="BE50" s="167">
        <v>867.02499999999998</v>
      </c>
      <c r="BF50" s="167">
        <v>868.79499999999996</v>
      </c>
      <c r="BG50" s="165">
        <f>BF50</f>
        <v>868.79499999999996</v>
      </c>
      <c r="BH50" s="167">
        <v>1573.3220000000001</v>
      </c>
      <c r="BI50" s="167">
        <v>1654.758</v>
      </c>
      <c r="BJ50" s="167">
        <v>1662.2249999999999</v>
      </c>
      <c r="BK50" s="167">
        <v>1607.0015880000001</v>
      </c>
      <c r="BL50" s="165">
        <f>BK50</f>
        <v>1607.0015880000001</v>
      </c>
      <c r="BM50" s="167">
        <v>1429.3779999999999</v>
      </c>
      <c r="BN50" s="167">
        <v>1435.184</v>
      </c>
      <c r="BO50" s="167">
        <v>1437.0650000000001</v>
      </c>
      <c r="BP50" s="167">
        <v>1438</v>
      </c>
      <c r="BQ50" s="165">
        <f>BP50</f>
        <v>1438</v>
      </c>
      <c r="BR50" s="167">
        <v>1455.8810000000001</v>
      </c>
      <c r="BS50" s="167">
        <v>1443.232</v>
      </c>
      <c r="BT50" s="167">
        <v>1418.7629999999999</v>
      </c>
      <c r="BU50" s="167">
        <v>1393</v>
      </c>
      <c r="BV50" s="165">
        <f>BU50</f>
        <v>1393</v>
      </c>
      <c r="BW50" s="167">
        <v>1363</v>
      </c>
      <c r="BX50" s="167">
        <f>BW50+BX49</f>
        <v>1348.5802784882069</v>
      </c>
      <c r="BY50" s="167">
        <f>BX50+BY49</f>
        <v>1351.5802784882069</v>
      </c>
      <c r="BZ50" s="167">
        <v>1363</v>
      </c>
      <c r="CA50" s="165">
        <f>BZ50</f>
        <v>1363</v>
      </c>
      <c r="CB50" s="166">
        <v>1354</v>
      </c>
      <c r="CC50" s="175">
        <v>1346</v>
      </c>
      <c r="CD50" s="166">
        <v>1308</v>
      </c>
      <c r="CE50" s="175">
        <f>1298</f>
        <v>1298</v>
      </c>
      <c r="CF50" s="165">
        <f>CE50</f>
        <v>1298</v>
      </c>
      <c r="CG50" s="166">
        <v>1290</v>
      </c>
      <c r="CH50" s="166">
        <v>1271</v>
      </c>
      <c r="CI50" s="166">
        <v>1246</v>
      </c>
      <c r="CJ50" s="166">
        <v>1231</v>
      </c>
      <c r="CK50" s="165">
        <f>CJ50</f>
        <v>1231</v>
      </c>
      <c r="CL50" s="166">
        <v>1228</v>
      </c>
      <c r="CM50" s="166">
        <v>1227</v>
      </c>
      <c r="CN50" s="1704">
        <v>1204</v>
      </c>
      <c r="CO50" s="1704">
        <v>1180</v>
      </c>
      <c r="CP50" s="165">
        <f>CO50</f>
        <v>1180</v>
      </c>
      <c r="CQ50" s="1704">
        <v>1180</v>
      </c>
      <c r="CR50" s="1704">
        <f ca="1">CQ50+CR49</f>
        <v>1173.307298803325</v>
      </c>
      <c r="CS50" s="1704">
        <f ca="1">CR50+CS49</f>
        <v>1168.307298803325</v>
      </c>
      <c r="CT50" s="1704">
        <f ca="1">CS50+CT49</f>
        <v>1159.2072988033251</v>
      </c>
      <c r="CU50" s="165">
        <f ca="1">CT50</f>
        <v>1159.2072988033251</v>
      </c>
      <c r="CV50" s="1704">
        <v>1128.33</v>
      </c>
      <c r="CW50" s="1704">
        <v>1114.4860000000001</v>
      </c>
      <c r="CX50" s="1704">
        <v>1107.317</v>
      </c>
      <c r="CY50" s="1704">
        <v>1098.49</v>
      </c>
      <c r="CZ50" s="165">
        <f>CY50</f>
        <v>1098.49</v>
      </c>
      <c r="DA50" s="1704">
        <v>1074.0220919999999</v>
      </c>
      <c r="DB50" s="1704">
        <v>1066.2</v>
      </c>
      <c r="DC50" s="1704">
        <v>1066.4391740000001</v>
      </c>
      <c r="DD50" s="1704">
        <v>1066.4391740000001</v>
      </c>
      <c r="DE50" s="165">
        <f>DD50</f>
        <v>1066.4391740000001</v>
      </c>
      <c r="DF50" s="1704">
        <v>1018.795398</v>
      </c>
      <c r="DG50" s="1704">
        <v>1016.5647279999999</v>
      </c>
      <c r="DH50" s="1704">
        <v>1012.992425</v>
      </c>
      <c r="DI50" s="1704">
        <v>1012.992425</v>
      </c>
      <c r="DJ50" s="165">
        <f>DI50</f>
        <v>1012.992425</v>
      </c>
      <c r="DK50" s="167">
        <f>DI50+DK49</f>
        <v>1012.992425</v>
      </c>
      <c r="DL50" s="167">
        <f>DK50+DL49</f>
        <v>1012.992425</v>
      </c>
      <c r="DM50" s="167">
        <f>DL50+DM49</f>
        <v>1012.992425</v>
      </c>
      <c r="DN50" s="167">
        <f>DM50+DN49</f>
        <v>1012.992425</v>
      </c>
      <c r="DO50" s="165">
        <f>DN50</f>
        <v>1012.992425</v>
      </c>
      <c r="DP50" s="167">
        <f>DN50+DP49</f>
        <v>1012.992425</v>
      </c>
      <c r="DQ50" s="167">
        <f>DP50+DQ49</f>
        <v>1012.992425</v>
      </c>
      <c r="DR50" s="167">
        <f>DQ50+DR49</f>
        <v>1012.992425</v>
      </c>
      <c r="DS50" s="167">
        <f>DR50+DS49</f>
        <v>1012.992425</v>
      </c>
      <c r="DT50" s="165">
        <f>DS50</f>
        <v>1012.992425</v>
      </c>
      <c r="DU50" s="167">
        <f>DS50+DU49</f>
        <v>1012.992425</v>
      </c>
      <c r="DV50" s="167">
        <f>DU50+DV49</f>
        <v>1012.992425</v>
      </c>
      <c r="DW50" s="167">
        <f>DV50+DW49</f>
        <v>1012.992425</v>
      </c>
      <c r="DX50" s="167">
        <f>DW50+DX49</f>
        <v>1012.992425</v>
      </c>
      <c r="DY50" s="165">
        <f>DX50</f>
        <v>1012.992425</v>
      </c>
      <c r="DZ50" s="174"/>
    </row>
    <row r="51" spans="1:130" ht="12" hidden="1" outlineLevel="1" thickBot="1" x14ac:dyDescent="0.25">
      <c r="A51" s="18"/>
      <c r="B51" s="176" t="s">
        <v>204</v>
      </c>
      <c r="C51" s="177"/>
      <c r="D51" s="130"/>
      <c r="E51" s="130"/>
      <c r="F51" s="130"/>
      <c r="G51" s="130"/>
      <c r="H51" s="130"/>
      <c r="I51" s="178"/>
      <c r="J51" s="130"/>
      <c r="K51" s="130"/>
      <c r="L51" s="130"/>
      <c r="M51" s="130"/>
      <c r="N51" s="178"/>
      <c r="O51" s="130"/>
      <c r="P51" s="130"/>
      <c r="Q51" s="130"/>
      <c r="R51" s="130"/>
      <c r="S51" s="178"/>
      <c r="T51" s="130"/>
      <c r="U51" s="130"/>
      <c r="V51" s="130"/>
      <c r="W51" s="130"/>
      <c r="X51" s="178">
        <f>X50/S50-1</f>
        <v>3.8636363636364024E-3</v>
      </c>
      <c r="Y51" s="130"/>
      <c r="Z51" s="130"/>
      <c r="AA51" s="130"/>
      <c r="AB51" s="130"/>
      <c r="AC51" s="178">
        <f>AC50/X50-1</f>
        <v>1.5563945199444262E-2</v>
      </c>
      <c r="AD51" s="130"/>
      <c r="AE51" s="130"/>
      <c r="AF51" s="130"/>
      <c r="AG51" s="130"/>
      <c r="AH51" s="178">
        <f>AH50/AC50-1</f>
        <v>5.8395180891304133E-3</v>
      </c>
      <c r="AI51" s="130"/>
      <c r="AJ51" s="130"/>
      <c r="AK51" s="130"/>
      <c r="AL51" s="130"/>
      <c r="AM51" s="178">
        <f>AM50/AH50-1</f>
        <v>9.3445739772990422E-5</v>
      </c>
      <c r="AN51" s="130"/>
      <c r="AO51" s="130"/>
      <c r="AP51" s="130"/>
      <c r="AQ51" s="130"/>
      <c r="AR51" s="178">
        <f>AR50/AM50-1</f>
        <v>-4.2166444853608542E-4</v>
      </c>
      <c r="AS51" s="130"/>
      <c r="AT51" s="130"/>
      <c r="AU51" s="130"/>
      <c r="AV51" s="130"/>
      <c r="AW51" s="178">
        <f>AW50/AR50-1</f>
        <v>8.9090222725558554E-3</v>
      </c>
      <c r="AX51" s="130">
        <v>3.0024961994854493E-2</v>
      </c>
      <c r="AY51" s="130">
        <v>2.8168896609985561E-2</v>
      </c>
      <c r="AZ51" s="130">
        <v>2.7376396900641753E-2</v>
      </c>
      <c r="BA51" s="130">
        <v>2.5544354287899917E-2</v>
      </c>
      <c r="BB51" s="178">
        <f>BB50/AW50-1</f>
        <v>2.5544354287899917E-2</v>
      </c>
      <c r="BC51" s="130">
        <v>3.9062953595905281E-3</v>
      </c>
      <c r="BD51" s="130">
        <v>3.1927222157841495E-3</v>
      </c>
      <c r="BE51" s="130">
        <v>4.1519966645047202E-3</v>
      </c>
      <c r="BF51" s="130">
        <v>6.2788548184216086E-3</v>
      </c>
      <c r="BG51" s="178">
        <f>BG50/BB50-1</f>
        <v>6.2788548184216086E-3</v>
      </c>
      <c r="BH51" s="130">
        <v>0.81984134878975845</v>
      </c>
      <c r="BI51" s="130">
        <v>0.9115675413415274</v>
      </c>
      <c r="BJ51" s="130">
        <v>0.91715925146333754</v>
      </c>
      <c r="BK51" s="130">
        <v>0.8496901892851596</v>
      </c>
      <c r="BL51" s="178">
        <f t="shared" ref="BL51:DI51" si="115">BL50/BG50-1</f>
        <v>0.8496901892851596</v>
      </c>
      <c r="BM51" s="130">
        <f t="shared" si="115"/>
        <v>-9.1490489550136722E-2</v>
      </c>
      <c r="BN51" s="130">
        <f t="shared" si="115"/>
        <v>-0.13269251455499842</v>
      </c>
      <c r="BO51" s="130">
        <f t="shared" si="115"/>
        <v>-0.13545699288604118</v>
      </c>
      <c r="BP51" s="130">
        <f t="shared" si="115"/>
        <v>-0.10516578780132491</v>
      </c>
      <c r="BQ51" s="178">
        <f t="shared" si="115"/>
        <v>-0.10516578780132491</v>
      </c>
      <c r="BR51" s="130">
        <f t="shared" si="115"/>
        <v>1.8541631394914493E-2</v>
      </c>
      <c r="BS51" s="130">
        <f t="shared" si="115"/>
        <v>5.6076433405054527E-3</v>
      </c>
      <c r="BT51" s="130">
        <f t="shared" si="115"/>
        <v>-1.2735680014474005E-2</v>
      </c>
      <c r="BU51" s="130">
        <f t="shared" si="115"/>
        <v>-3.1293463143254541E-2</v>
      </c>
      <c r="BV51" s="178">
        <f t="shared" si="115"/>
        <v>-3.1293463143254541E-2</v>
      </c>
      <c r="BW51" s="130">
        <f t="shared" si="115"/>
        <v>-6.3797109791253637E-2</v>
      </c>
      <c r="BX51" s="130">
        <f t="shared" si="115"/>
        <v>-6.5583164391998738E-2</v>
      </c>
      <c r="BY51" s="130">
        <f t="shared" si="115"/>
        <v>-4.735302620084747E-2</v>
      </c>
      <c r="BZ51" s="130">
        <f t="shared" si="115"/>
        <v>-2.1536252692031632E-2</v>
      </c>
      <c r="CA51" s="178">
        <f t="shared" si="115"/>
        <v>-2.1536252692031632E-2</v>
      </c>
      <c r="CB51" s="130">
        <f t="shared" si="115"/>
        <v>-6.6030814380043656E-3</v>
      </c>
      <c r="CC51" s="130">
        <f t="shared" si="115"/>
        <v>-1.9133295431988939E-3</v>
      </c>
      <c r="CD51" s="130">
        <f t="shared" si="115"/>
        <v>-3.2243943761115723E-2</v>
      </c>
      <c r="CE51" s="130">
        <f t="shared" si="115"/>
        <v>-4.7688921496698455E-2</v>
      </c>
      <c r="CF51" s="178">
        <f t="shared" si="115"/>
        <v>-4.7688921496698455E-2</v>
      </c>
      <c r="CG51" s="130">
        <f t="shared" si="115"/>
        <v>-4.7267355982274717E-2</v>
      </c>
      <c r="CH51" s="130">
        <f t="shared" si="115"/>
        <v>-5.5720653789004482E-2</v>
      </c>
      <c r="CI51" s="130">
        <f t="shared" si="115"/>
        <v>-4.7400611620795119E-2</v>
      </c>
      <c r="CJ51" s="130">
        <f t="shared" si="115"/>
        <v>-5.1617873651771951E-2</v>
      </c>
      <c r="CK51" s="178">
        <f t="shared" si="115"/>
        <v>-5.1617873651771951E-2</v>
      </c>
      <c r="CL51" s="130">
        <f t="shared" si="115"/>
        <v>-4.806201550387601E-2</v>
      </c>
      <c r="CM51" s="130">
        <f t="shared" si="115"/>
        <v>-3.461841070023608E-2</v>
      </c>
      <c r="CN51" s="130">
        <f t="shared" si="115"/>
        <v>-3.3707865168539297E-2</v>
      </c>
      <c r="CO51" s="130">
        <f t="shared" si="115"/>
        <v>-4.1429731925264002E-2</v>
      </c>
      <c r="CP51" s="178">
        <f t="shared" si="115"/>
        <v>-4.1429731925264002E-2</v>
      </c>
      <c r="CQ51" s="130">
        <f t="shared" si="115"/>
        <v>-3.9087947882736174E-2</v>
      </c>
      <c r="CR51" s="130">
        <f t="shared" ca="1" si="115"/>
        <v>-4.375933267862675E-2</v>
      </c>
      <c r="CS51" s="130">
        <f t="shared" ca="1" si="115"/>
        <v>-2.9645100661690238E-2</v>
      </c>
      <c r="CT51" s="130">
        <f t="shared" ca="1" si="115"/>
        <v>-1.7620933217521118E-2</v>
      </c>
      <c r="CU51" s="178">
        <f t="shared" ca="1" si="115"/>
        <v>-1.7620933217521118E-2</v>
      </c>
      <c r="CV51" s="130">
        <f t="shared" si="115"/>
        <v>-4.3788135593220368E-2</v>
      </c>
      <c r="CW51" s="130">
        <f t="shared" ca="1" si="115"/>
        <v>-5.0132901127707741E-2</v>
      </c>
      <c r="CX51" s="130">
        <f t="shared" ca="1" si="115"/>
        <v>-5.2203986798504354E-2</v>
      </c>
      <c r="CY51" s="130">
        <f t="shared" ca="1" si="115"/>
        <v>-5.2378292360654499E-2</v>
      </c>
      <c r="CZ51" s="178">
        <f t="shared" ca="1" si="115"/>
        <v>-5.2378292360654499E-2</v>
      </c>
      <c r="DA51" s="130">
        <f t="shared" si="115"/>
        <v>-4.8131227566403423E-2</v>
      </c>
      <c r="DB51" s="130">
        <f t="shared" si="115"/>
        <v>-4.3325802208372344E-2</v>
      </c>
      <c r="DC51" s="130">
        <f t="shared" si="115"/>
        <v>-3.6916100809433861E-2</v>
      </c>
      <c r="DD51" s="130">
        <f t="shared" si="115"/>
        <v>-2.917716683811411E-2</v>
      </c>
      <c r="DE51" s="178">
        <f t="shared" ref="DE51:DJ51" si="116">DE50/CZ50-1</f>
        <v>-2.917716683811411E-2</v>
      </c>
      <c r="DF51" s="130">
        <f t="shared" si="115"/>
        <v>-5.1420445083358635E-2</v>
      </c>
      <c r="DG51" s="130">
        <f t="shared" si="115"/>
        <v>-4.6553434627649715E-2</v>
      </c>
      <c r="DH51" s="130">
        <f t="shared" si="115"/>
        <v>-5.0117015862735093E-2</v>
      </c>
      <c r="DI51" s="130">
        <f t="shared" si="115"/>
        <v>-5.0117015862735093E-2</v>
      </c>
      <c r="DJ51" s="178">
        <f t="shared" si="116"/>
        <v>-5.0117015862735093E-2</v>
      </c>
      <c r="DK51" s="130">
        <f t="shared" ref="DK51:DT51" si="117">DK50/DF50-1</f>
        <v>-5.6959159919565128E-3</v>
      </c>
      <c r="DL51" s="130">
        <f t="shared" si="117"/>
        <v>-3.5140930052020014E-3</v>
      </c>
      <c r="DM51" s="130">
        <f t="shared" si="117"/>
        <v>0</v>
      </c>
      <c r="DN51" s="130">
        <f t="shared" si="117"/>
        <v>0</v>
      </c>
      <c r="DO51" s="178">
        <f t="shared" si="117"/>
        <v>0</v>
      </c>
      <c r="DP51" s="130">
        <f t="shared" si="117"/>
        <v>0</v>
      </c>
      <c r="DQ51" s="130">
        <f t="shared" si="117"/>
        <v>0</v>
      </c>
      <c r="DR51" s="130">
        <f t="shared" si="117"/>
        <v>0</v>
      </c>
      <c r="DS51" s="130">
        <f t="shared" si="117"/>
        <v>0</v>
      </c>
      <c r="DT51" s="178">
        <f t="shared" si="117"/>
        <v>0</v>
      </c>
      <c r="DU51" s="130">
        <f t="shared" ref="DU51" si="118">DU50/DP50-1</f>
        <v>0</v>
      </c>
      <c r="DV51" s="130">
        <f t="shared" ref="DV51" si="119">DV50/DQ50-1</f>
        <v>0</v>
      </c>
      <c r="DW51" s="130">
        <f t="shared" ref="DW51" si="120">DW50/DR50-1</f>
        <v>0</v>
      </c>
      <c r="DX51" s="130">
        <f t="shared" ref="DX51" si="121">DX50/DS50-1</f>
        <v>0</v>
      </c>
      <c r="DY51" s="178">
        <f t="shared" ref="DY51" si="122">DY50/DT50-1</f>
        <v>0</v>
      </c>
      <c r="DZ51" s="18"/>
    </row>
    <row r="52" spans="1:130" ht="11.25" customHeight="1" collapsed="1" thickBot="1" x14ac:dyDescent="0.25">
      <c r="A52" s="18"/>
      <c r="B52" s="179"/>
      <c r="C52" s="180"/>
      <c r="D52" s="180"/>
      <c r="E52" s="181"/>
      <c r="F52" s="181"/>
      <c r="G52" s="181"/>
      <c r="H52" s="181"/>
      <c r="I52" s="182"/>
      <c r="J52" s="183"/>
      <c r="K52" s="183"/>
      <c r="L52" s="183"/>
      <c r="M52" s="181"/>
      <c r="N52" s="181"/>
      <c r="O52" s="181"/>
      <c r="P52" s="181"/>
      <c r="Q52" s="181"/>
      <c r="R52" s="181"/>
      <c r="S52" s="181"/>
      <c r="T52" s="181"/>
      <c r="U52" s="181"/>
      <c r="V52" s="181"/>
      <c r="W52" s="181"/>
      <c r="X52" s="181"/>
      <c r="Y52" s="181"/>
      <c r="Z52" s="181"/>
      <c r="AA52" s="181"/>
      <c r="AB52" s="181"/>
      <c r="AC52" s="181"/>
      <c r="AD52" s="183"/>
      <c r="AE52" s="183"/>
      <c r="AF52" s="183"/>
      <c r="AG52" s="181"/>
      <c r="AH52" s="181"/>
      <c r="AI52" s="183"/>
      <c r="AJ52" s="183"/>
      <c r="AK52" s="183"/>
      <c r="AL52" s="181"/>
      <c r="AM52" s="181"/>
      <c r="AN52" s="181"/>
      <c r="AO52" s="181"/>
      <c r="AP52" s="181"/>
      <c r="AQ52" s="181"/>
      <c r="AR52" s="181"/>
      <c r="AS52" s="184"/>
      <c r="AT52" s="184"/>
      <c r="AU52" s="185"/>
      <c r="AV52" s="181"/>
      <c r="AW52" s="181"/>
      <c r="AX52" s="186"/>
      <c r="AY52" s="186"/>
      <c r="AZ52" s="185"/>
      <c r="BA52" s="181"/>
      <c r="BB52" s="181"/>
      <c r="BC52" s="186"/>
      <c r="BD52" s="186"/>
      <c r="BE52" s="186"/>
      <c r="BF52" s="186"/>
      <c r="BG52" s="181"/>
      <c r="BH52" s="186"/>
      <c r="BI52" s="186"/>
      <c r="BJ52" s="186"/>
      <c r="BK52" s="184"/>
      <c r="BL52" s="181"/>
      <c r="BM52" s="184"/>
      <c r="BN52" s="184"/>
      <c r="BO52" s="184"/>
      <c r="BP52" s="184"/>
      <c r="BQ52" s="181"/>
      <c r="BR52" s="184"/>
      <c r="BS52" s="184"/>
      <c r="BT52" s="187"/>
      <c r="BU52" s="184"/>
      <c r="BV52" s="181"/>
      <c r="BW52" s="184"/>
      <c r="BX52" s="184"/>
      <c r="BY52" s="184"/>
      <c r="BZ52" s="184"/>
      <c r="CA52" s="181"/>
      <c r="CB52" s="184"/>
      <c r="CC52" s="184"/>
      <c r="CD52" s="184"/>
      <c r="CE52" s="184"/>
      <c r="CF52" s="181"/>
      <c r="CG52" s="184"/>
      <c r="CH52" s="184"/>
      <c r="CI52" s="184"/>
      <c r="CJ52" s="184"/>
      <c r="CK52" s="181"/>
      <c r="CL52" s="184"/>
      <c r="CM52" s="184"/>
      <c r="CN52" s="184"/>
      <c r="CO52" s="184"/>
      <c r="CP52" s="181"/>
      <c r="CQ52" s="184"/>
      <c r="CR52" s="184"/>
      <c r="CS52" s="184"/>
      <c r="CT52" s="2699"/>
      <c r="CU52" s="181"/>
      <c r="CV52" s="184"/>
      <c r="CW52" s="184"/>
      <c r="CX52" s="184"/>
      <c r="CY52" s="184"/>
      <c r="DA52" s="184"/>
      <c r="DB52" s="184"/>
      <c r="DC52" s="184"/>
      <c r="DD52" s="2707"/>
      <c r="DE52" s="184"/>
      <c r="DF52" s="184"/>
      <c r="DG52" s="184"/>
      <c r="DH52" s="184"/>
      <c r="DI52" s="184"/>
      <c r="DJ52" s="181"/>
      <c r="DK52" s="184"/>
      <c r="DL52" s="184"/>
      <c r="DM52" s="184"/>
      <c r="DN52" s="184"/>
      <c r="DO52" s="181"/>
      <c r="DP52" s="184"/>
      <c r="DQ52" s="184"/>
      <c r="DR52" s="184"/>
      <c r="DS52" s="184"/>
      <c r="DT52" s="181"/>
      <c r="DU52" s="184"/>
      <c r="DV52" s="184"/>
      <c r="DW52" s="184"/>
      <c r="DX52" s="184"/>
      <c r="DY52" s="181"/>
      <c r="DZ52" s="18"/>
    </row>
    <row r="53" spans="1:130" ht="19.5" hidden="1" outlineLevel="1" thickBot="1" x14ac:dyDescent="0.35">
      <c r="A53" s="18"/>
      <c r="B53" s="19" t="s">
        <v>46</v>
      </c>
      <c r="C53" s="20"/>
      <c r="D53" s="21"/>
      <c r="E53" s="188"/>
      <c r="F53" s="188"/>
      <c r="G53" s="188"/>
      <c r="H53" s="188"/>
      <c r="I53" s="188"/>
      <c r="J53" s="188"/>
      <c r="K53" s="188"/>
      <c r="L53" s="188"/>
      <c r="M53" s="188"/>
      <c r="N53" s="188"/>
      <c r="O53" s="188"/>
      <c r="P53" s="188"/>
      <c r="Q53" s="188"/>
      <c r="R53" s="189"/>
      <c r="S53" s="188"/>
      <c r="T53" s="188"/>
      <c r="U53" s="190"/>
      <c r="V53" s="188"/>
      <c r="W53" s="188"/>
      <c r="X53" s="188"/>
      <c r="Y53" s="188"/>
      <c r="Z53" s="190"/>
      <c r="AA53" s="188"/>
      <c r="AB53" s="188"/>
      <c r="AC53" s="188"/>
      <c r="AD53" s="188"/>
      <c r="AE53" s="191"/>
      <c r="AF53" s="192"/>
      <c r="AG53" s="188"/>
      <c r="AH53" s="188"/>
      <c r="AI53" s="188"/>
      <c r="AJ53" s="193"/>
      <c r="AK53" s="188"/>
      <c r="AL53" s="188"/>
      <c r="AM53" s="188"/>
      <c r="AN53" s="188"/>
      <c r="AO53" s="188"/>
      <c r="AP53" s="188"/>
      <c r="AQ53" s="193"/>
      <c r="AR53" s="193"/>
      <c r="AS53" s="194"/>
      <c r="AT53" s="195"/>
      <c r="AU53" s="194"/>
      <c r="AV53" s="194"/>
      <c r="AW53" s="193"/>
      <c r="AX53" s="188"/>
      <c r="AY53" s="188"/>
      <c r="AZ53" s="188"/>
      <c r="BA53" s="188"/>
      <c r="BB53" s="193"/>
      <c r="BC53" s="188"/>
      <c r="BD53" s="188"/>
      <c r="BE53" s="188"/>
      <c r="BF53" s="188"/>
      <c r="BG53" s="193"/>
      <c r="BH53" s="188"/>
      <c r="BI53" s="188"/>
      <c r="BJ53" s="188"/>
      <c r="BK53" s="188"/>
      <c r="BL53" s="193"/>
      <c r="BM53" s="188"/>
      <c r="BN53" s="188"/>
      <c r="BO53" s="188"/>
      <c r="BP53" s="188"/>
      <c r="BQ53" s="188"/>
      <c r="BR53" s="188"/>
      <c r="BS53" s="188"/>
      <c r="BT53" s="188"/>
      <c r="BU53" s="188"/>
      <c r="BV53" s="196"/>
      <c r="BW53" s="197"/>
      <c r="BX53" s="188"/>
      <c r="BY53" s="188"/>
      <c r="BZ53" s="188"/>
      <c r="CA53" s="196"/>
      <c r="CB53" s="188"/>
      <c r="CC53" s="188"/>
      <c r="CD53" s="188"/>
      <c r="CE53" s="188"/>
      <c r="CF53" s="193"/>
      <c r="CG53" s="188"/>
      <c r="CH53" s="188"/>
      <c r="CI53" s="188"/>
      <c r="CJ53" s="188"/>
      <c r="CK53" s="193"/>
      <c r="CL53" s="188"/>
      <c r="CM53" s="188"/>
      <c r="CN53" s="188"/>
      <c r="CO53" s="188"/>
      <c r="CP53" s="188"/>
      <c r="CQ53" s="188"/>
      <c r="CR53" s="188"/>
      <c r="CS53" s="188"/>
      <c r="CT53" s="188"/>
      <c r="CU53" s="188"/>
      <c r="CV53" s="188"/>
      <c r="CW53" s="188"/>
      <c r="CX53" s="188"/>
      <c r="CY53" s="188"/>
      <c r="CZ53" s="193"/>
      <c r="DA53" s="188"/>
      <c r="DB53" s="188"/>
      <c r="DC53" s="188"/>
      <c r="DD53" s="188"/>
      <c r="DE53" s="193"/>
      <c r="DF53" s="188"/>
      <c r="DG53" s="188"/>
      <c r="DH53" s="188"/>
      <c r="DI53" s="188"/>
      <c r="DJ53" s="193"/>
      <c r="DK53" s="188"/>
      <c r="DL53" s="188"/>
      <c r="DM53" s="188"/>
      <c r="DN53" s="188"/>
      <c r="DO53" s="193"/>
      <c r="DP53" s="188"/>
      <c r="DQ53" s="188"/>
      <c r="DR53" s="188"/>
      <c r="DS53" s="188"/>
      <c r="DT53" s="193"/>
      <c r="DU53" s="188"/>
      <c r="DV53" s="188"/>
      <c r="DW53" s="188"/>
      <c r="DX53" s="188"/>
      <c r="DY53" s="193"/>
      <c r="DZ53" s="18"/>
    </row>
    <row r="54" spans="1:130" ht="12" hidden="1" outlineLevel="1" thickBot="1" x14ac:dyDescent="0.25">
      <c r="A54" s="16"/>
      <c r="B54" s="42"/>
      <c r="C54" s="43"/>
      <c r="D54" s="43"/>
      <c r="E54" s="44">
        <v>35155</v>
      </c>
      <c r="F54" s="44">
        <v>35246</v>
      </c>
      <c r="G54" s="44">
        <v>35338</v>
      </c>
      <c r="H54" s="44">
        <v>35430</v>
      </c>
      <c r="I54" s="44">
        <v>35430</v>
      </c>
      <c r="J54" s="44">
        <v>35520</v>
      </c>
      <c r="K54" s="44">
        <v>35611</v>
      </c>
      <c r="L54" s="44">
        <v>35703</v>
      </c>
      <c r="M54" s="44">
        <v>35795</v>
      </c>
      <c r="N54" s="44">
        <v>35795</v>
      </c>
      <c r="O54" s="44">
        <v>35885</v>
      </c>
      <c r="P54" s="44">
        <v>35976</v>
      </c>
      <c r="Q54" s="44">
        <v>36068</v>
      </c>
      <c r="R54" s="44">
        <v>36160</v>
      </c>
      <c r="S54" s="44">
        <v>36160</v>
      </c>
      <c r="T54" s="44">
        <v>36250</v>
      </c>
      <c r="U54" s="44">
        <v>36341</v>
      </c>
      <c r="V54" s="44">
        <v>36433</v>
      </c>
      <c r="W54" s="44">
        <v>36525</v>
      </c>
      <c r="X54" s="44">
        <v>36525</v>
      </c>
      <c r="Y54" s="44">
        <v>36616</v>
      </c>
      <c r="Z54" s="44">
        <v>36707</v>
      </c>
      <c r="AA54" s="44">
        <v>36799</v>
      </c>
      <c r="AB54" s="44">
        <v>36891</v>
      </c>
      <c r="AC54" s="44">
        <v>36891</v>
      </c>
      <c r="AD54" s="44">
        <v>36981</v>
      </c>
      <c r="AE54" s="44">
        <v>37072</v>
      </c>
      <c r="AF54" s="44">
        <v>37164</v>
      </c>
      <c r="AG54" s="44">
        <v>37256</v>
      </c>
      <c r="AH54" s="44">
        <f>AG54</f>
        <v>37256</v>
      </c>
      <c r="AI54" s="44">
        <v>37346</v>
      </c>
      <c r="AJ54" s="44">
        <v>37437</v>
      </c>
      <c r="AK54" s="44">
        <v>37529</v>
      </c>
      <c r="AL54" s="44">
        <v>37621</v>
      </c>
      <c r="AM54" s="44">
        <f>AL54</f>
        <v>37621</v>
      </c>
      <c r="AN54" s="44">
        <v>37711</v>
      </c>
      <c r="AO54" s="44">
        <v>37802</v>
      </c>
      <c r="AP54" s="44">
        <v>37894</v>
      </c>
      <c r="AQ54" s="44">
        <v>37986</v>
      </c>
      <c r="AR54" s="44">
        <f>AQ54</f>
        <v>37986</v>
      </c>
      <c r="AS54" s="44">
        <v>38077</v>
      </c>
      <c r="AT54" s="44">
        <v>38168</v>
      </c>
      <c r="AU54" s="44">
        <v>38260</v>
      </c>
      <c r="AV54" s="44">
        <v>38352</v>
      </c>
      <c r="AW54" s="44">
        <f>AV54</f>
        <v>38352</v>
      </c>
      <c r="AX54" s="44">
        <v>38442</v>
      </c>
      <c r="AY54" s="44">
        <v>38533</v>
      </c>
      <c r="AZ54" s="44">
        <v>38625</v>
      </c>
      <c r="BA54" s="44">
        <v>38717</v>
      </c>
      <c r="BB54" s="44">
        <f>BA54</f>
        <v>38717</v>
      </c>
      <c r="BC54" s="44">
        <v>38807</v>
      </c>
      <c r="BD54" s="44">
        <v>38898</v>
      </c>
      <c r="BE54" s="44">
        <v>38990</v>
      </c>
      <c r="BF54" s="44">
        <v>39082</v>
      </c>
      <c r="BG54" s="44">
        <f>BF54</f>
        <v>39082</v>
      </c>
      <c r="BH54" s="44">
        <v>39172</v>
      </c>
      <c r="BI54" s="44">
        <v>39263</v>
      </c>
      <c r="BJ54" s="44">
        <v>39355</v>
      </c>
      <c r="BK54" s="44">
        <v>39447</v>
      </c>
      <c r="BL54" s="44">
        <f>BK54</f>
        <v>39447</v>
      </c>
      <c r="BM54" s="44">
        <v>39538</v>
      </c>
      <c r="BN54" s="44">
        <v>39629</v>
      </c>
      <c r="BO54" s="44">
        <v>39721</v>
      </c>
      <c r="BP54" s="44">
        <v>39813</v>
      </c>
      <c r="BQ54" s="44">
        <f>BP54</f>
        <v>39813</v>
      </c>
      <c r="BR54" s="44">
        <v>39903</v>
      </c>
      <c r="BS54" s="44">
        <v>39994</v>
      </c>
      <c r="BT54" s="44">
        <v>40086</v>
      </c>
      <c r="BU54" s="44">
        <v>40178</v>
      </c>
      <c r="BV54" s="44">
        <f>BU54</f>
        <v>40178</v>
      </c>
      <c r="BW54" s="44">
        <v>40268</v>
      </c>
      <c r="BX54" s="44">
        <v>40359</v>
      </c>
      <c r="BY54" s="44">
        <v>40451</v>
      </c>
      <c r="BZ54" s="44">
        <v>40543</v>
      </c>
      <c r="CA54" s="44">
        <f>BZ54</f>
        <v>40543</v>
      </c>
      <c r="CB54" s="44">
        <v>40633</v>
      </c>
      <c r="CC54" s="44">
        <v>40724</v>
      </c>
      <c r="CD54" s="44">
        <v>40816</v>
      </c>
      <c r="CE54" s="44">
        <v>40908</v>
      </c>
      <c r="CF54" s="44">
        <f>CE54</f>
        <v>40908</v>
      </c>
      <c r="CG54" s="44">
        <v>40999</v>
      </c>
      <c r="CH54" s="44">
        <v>41090</v>
      </c>
      <c r="CI54" s="44">
        <v>41182</v>
      </c>
      <c r="CJ54" s="44">
        <v>41274</v>
      </c>
      <c r="CK54" s="44">
        <f>CJ54</f>
        <v>41274</v>
      </c>
      <c r="CL54" s="44">
        <v>41364</v>
      </c>
      <c r="CM54" s="44">
        <v>41455</v>
      </c>
      <c r="CN54" s="44">
        <v>41547</v>
      </c>
      <c r="CO54" s="44">
        <v>41639</v>
      </c>
      <c r="CP54" s="44">
        <f>CO54</f>
        <v>41639</v>
      </c>
      <c r="CQ54" s="44">
        <v>41639</v>
      </c>
      <c r="CR54" s="44">
        <v>41820</v>
      </c>
      <c r="CS54" s="44">
        <v>41912</v>
      </c>
      <c r="CT54" s="44">
        <v>42004</v>
      </c>
      <c r="CU54" s="44">
        <f>CT54</f>
        <v>42004</v>
      </c>
      <c r="CV54" s="44">
        <v>42094</v>
      </c>
      <c r="CW54" s="44">
        <v>42185</v>
      </c>
      <c r="CX54" s="44">
        <v>42185</v>
      </c>
      <c r="CY54" s="44">
        <v>42185</v>
      </c>
      <c r="CZ54" s="44">
        <f>CY54</f>
        <v>42185</v>
      </c>
      <c r="DA54" s="44">
        <v>42185</v>
      </c>
      <c r="DB54" s="44">
        <v>42185</v>
      </c>
      <c r="DC54" s="44">
        <v>42185</v>
      </c>
      <c r="DD54" s="44">
        <v>42185</v>
      </c>
      <c r="DE54" s="44">
        <f>DD54</f>
        <v>42185</v>
      </c>
      <c r="DF54" s="44">
        <v>42094</v>
      </c>
      <c r="DG54" s="44">
        <v>42094</v>
      </c>
      <c r="DH54" s="44">
        <v>42094</v>
      </c>
      <c r="DI54" s="44">
        <v>42094</v>
      </c>
      <c r="DJ54" s="44">
        <f>DI54</f>
        <v>42094</v>
      </c>
      <c r="DK54" s="44">
        <v>42094</v>
      </c>
      <c r="DL54" s="44">
        <v>42185</v>
      </c>
      <c r="DM54" s="44">
        <v>42277</v>
      </c>
      <c r="DN54" s="44">
        <v>42369</v>
      </c>
      <c r="DO54" s="44">
        <f>DN54</f>
        <v>42369</v>
      </c>
      <c r="DP54" s="44">
        <v>42094</v>
      </c>
      <c r="DQ54" s="44">
        <v>42185</v>
      </c>
      <c r="DR54" s="44">
        <v>42277</v>
      </c>
      <c r="DS54" s="44">
        <v>42369</v>
      </c>
      <c r="DT54" s="44">
        <f>DS54</f>
        <v>42369</v>
      </c>
      <c r="DU54" s="44">
        <v>42094</v>
      </c>
      <c r="DV54" s="44">
        <v>42185</v>
      </c>
      <c r="DW54" s="44">
        <v>42277</v>
      </c>
      <c r="DX54" s="44">
        <v>42369</v>
      </c>
      <c r="DY54" s="44">
        <f>DX54</f>
        <v>42369</v>
      </c>
      <c r="DZ54" s="16"/>
    </row>
    <row r="55" spans="1:130" ht="12.75" hidden="1" outlineLevel="1" thickBot="1" x14ac:dyDescent="0.25">
      <c r="A55" s="16"/>
      <c r="B55" s="45"/>
      <c r="C55" s="46"/>
      <c r="D55" s="46"/>
      <c r="E55" s="47" t="s">
        <v>54</v>
      </c>
      <c r="F55" s="48"/>
      <c r="G55" s="48"/>
      <c r="H55" s="48"/>
      <c r="I55" s="49"/>
      <c r="J55" s="48" t="s">
        <v>55</v>
      </c>
      <c r="K55" s="48"/>
      <c r="L55" s="48"/>
      <c r="M55" s="48"/>
      <c r="N55" s="49"/>
      <c r="O55" s="48" t="s">
        <v>56</v>
      </c>
      <c r="P55" s="48"/>
      <c r="Q55" s="48"/>
      <c r="R55" s="48"/>
      <c r="S55" s="49"/>
      <c r="T55" s="48" t="s">
        <v>57</v>
      </c>
      <c r="U55" s="48"/>
      <c r="V55" s="48"/>
      <c r="W55" s="48"/>
      <c r="X55" s="49"/>
      <c r="Y55" s="48" t="s">
        <v>58</v>
      </c>
      <c r="Z55" s="48"/>
      <c r="AA55" s="48"/>
      <c r="AB55" s="48"/>
      <c r="AC55" s="49"/>
      <c r="AD55" s="48" t="s">
        <v>59</v>
      </c>
      <c r="AE55" s="48"/>
      <c r="AF55" s="48"/>
      <c r="AG55" s="48"/>
      <c r="AH55" s="49"/>
      <c r="AI55" s="48" t="s">
        <v>60</v>
      </c>
      <c r="AJ55" s="48"/>
      <c r="AK55" s="48"/>
      <c r="AL55" s="48"/>
      <c r="AM55" s="49"/>
      <c r="AN55" s="48" t="s">
        <v>61</v>
      </c>
      <c r="AO55" s="48"/>
      <c r="AP55" s="48"/>
      <c r="AQ55" s="48"/>
      <c r="AR55" s="49"/>
      <c r="AS55" s="48" t="s">
        <v>62</v>
      </c>
      <c r="AT55" s="48"/>
      <c r="AU55" s="48"/>
      <c r="AV55" s="48"/>
      <c r="AW55" s="49"/>
      <c r="AX55" s="48" t="s">
        <v>63</v>
      </c>
      <c r="AY55" s="48"/>
      <c r="AZ55" s="48"/>
      <c r="BA55" s="48"/>
      <c r="BB55" s="49"/>
      <c r="BC55" s="48" t="s">
        <v>64</v>
      </c>
      <c r="BD55" s="48"/>
      <c r="BE55" s="48"/>
      <c r="BF55" s="48"/>
      <c r="BG55" s="49"/>
      <c r="BH55" s="48" t="s">
        <v>65</v>
      </c>
      <c r="BI55" s="48"/>
      <c r="BJ55" s="48"/>
      <c r="BK55" s="48"/>
      <c r="BL55" s="49"/>
      <c r="BM55" s="48" t="s">
        <v>66</v>
      </c>
      <c r="BN55" s="48"/>
      <c r="BO55" s="48"/>
      <c r="BP55" s="48"/>
      <c r="BQ55" s="49"/>
      <c r="BR55" s="48" t="s">
        <v>67</v>
      </c>
      <c r="BS55" s="48"/>
      <c r="BT55" s="48"/>
      <c r="BU55" s="48"/>
      <c r="BV55" s="49"/>
      <c r="BW55" s="48" t="s">
        <v>68</v>
      </c>
      <c r="BX55" s="48"/>
      <c r="BY55" s="48"/>
      <c r="BZ55" s="48"/>
      <c r="CA55" s="49"/>
      <c r="CB55" s="48" t="s">
        <v>69</v>
      </c>
      <c r="CC55" s="48"/>
      <c r="CD55" s="48"/>
      <c r="CE55" s="48"/>
      <c r="CF55" s="49"/>
      <c r="CG55" s="48" t="s">
        <v>70</v>
      </c>
      <c r="CH55" s="48"/>
      <c r="CI55" s="48"/>
      <c r="CJ55" s="48"/>
      <c r="CK55" s="49"/>
      <c r="CL55" s="48" t="s">
        <v>71</v>
      </c>
      <c r="CM55" s="48"/>
      <c r="CN55" s="48"/>
      <c r="CO55" s="48"/>
      <c r="CP55" s="49"/>
      <c r="CQ55" s="48"/>
      <c r="CR55" s="48"/>
      <c r="CS55" s="48"/>
      <c r="CT55" s="48"/>
      <c r="CU55" s="49"/>
      <c r="CV55" s="48" t="s">
        <v>73</v>
      </c>
      <c r="CW55" s="48"/>
      <c r="CX55" s="48"/>
      <c r="CY55" s="48"/>
      <c r="CZ55" s="49"/>
      <c r="DA55" s="48"/>
      <c r="DB55" s="48"/>
      <c r="DC55" s="48"/>
      <c r="DD55" s="48"/>
      <c r="DE55" s="49"/>
      <c r="DF55" s="48" t="s">
        <v>73</v>
      </c>
      <c r="DG55" s="48" t="s">
        <v>73</v>
      </c>
      <c r="DH55" s="48" t="s">
        <v>73</v>
      </c>
      <c r="DI55" s="48" t="s">
        <v>73</v>
      </c>
      <c r="DJ55" s="49"/>
      <c r="DK55" s="48" t="s">
        <v>73</v>
      </c>
      <c r="DL55" s="48"/>
      <c r="DM55" s="48"/>
      <c r="DN55" s="48"/>
      <c r="DO55" s="49"/>
      <c r="DP55" s="48" t="s">
        <v>73</v>
      </c>
      <c r="DQ55" s="48"/>
      <c r="DR55" s="48"/>
      <c r="DS55" s="48"/>
      <c r="DT55" s="49"/>
      <c r="DU55" s="48" t="s">
        <v>73</v>
      </c>
      <c r="DV55" s="48"/>
      <c r="DW55" s="48"/>
      <c r="DX55" s="48"/>
      <c r="DY55" s="49"/>
      <c r="DZ55" s="16"/>
    </row>
    <row r="56" spans="1:130" ht="10.5" hidden="1" customHeight="1" outlineLevel="1" thickBot="1" x14ac:dyDescent="0.25">
      <c r="A56" s="16"/>
      <c r="B56" s="198"/>
      <c r="C56" s="51"/>
      <c r="D56" s="52"/>
      <c r="E56" s="53" t="s">
        <v>75</v>
      </c>
      <c r="F56" s="54" t="s">
        <v>76</v>
      </c>
      <c r="G56" s="54" t="s">
        <v>77</v>
      </c>
      <c r="H56" s="54" t="s">
        <v>78</v>
      </c>
      <c r="I56" s="55" t="s">
        <v>79</v>
      </c>
      <c r="J56" s="54" t="s">
        <v>80</v>
      </c>
      <c r="K56" s="54" t="s">
        <v>81</v>
      </c>
      <c r="L56" s="54" t="s">
        <v>116</v>
      </c>
      <c r="M56" s="54" t="s">
        <v>117</v>
      </c>
      <c r="N56" s="55" t="s">
        <v>118</v>
      </c>
      <c r="O56" s="54" t="s">
        <v>119</v>
      </c>
      <c r="P56" s="54" t="s">
        <v>120</v>
      </c>
      <c r="Q56" s="54" t="s">
        <v>121</v>
      </c>
      <c r="R56" s="54" t="s">
        <v>122</v>
      </c>
      <c r="S56" s="55" t="s">
        <v>123</v>
      </c>
      <c r="T56" s="54" t="s">
        <v>124</v>
      </c>
      <c r="U56" s="54" t="s">
        <v>125</v>
      </c>
      <c r="V56" s="54" t="s">
        <v>126</v>
      </c>
      <c r="W56" s="54" t="s">
        <v>127</v>
      </c>
      <c r="X56" s="55" t="s">
        <v>128</v>
      </c>
      <c r="Y56" s="54" t="s">
        <v>129</v>
      </c>
      <c r="Z56" s="54" t="s">
        <v>130</v>
      </c>
      <c r="AA56" s="54" t="s">
        <v>131</v>
      </c>
      <c r="AB56" s="54" t="s">
        <v>132</v>
      </c>
      <c r="AC56" s="55" t="s">
        <v>133</v>
      </c>
      <c r="AD56" s="54" t="s">
        <v>134</v>
      </c>
      <c r="AE56" s="54" t="s">
        <v>135</v>
      </c>
      <c r="AF56" s="54" t="s">
        <v>136</v>
      </c>
      <c r="AG56" s="54" t="s">
        <v>137</v>
      </c>
      <c r="AH56" s="55" t="s">
        <v>138</v>
      </c>
      <c r="AI56" s="54" t="s">
        <v>139</v>
      </c>
      <c r="AJ56" s="54" t="s">
        <v>140</v>
      </c>
      <c r="AK56" s="54" t="s">
        <v>141</v>
      </c>
      <c r="AL56" s="54" t="s">
        <v>142</v>
      </c>
      <c r="AM56" s="55" t="s">
        <v>143</v>
      </c>
      <c r="AN56" s="54" t="s">
        <v>144</v>
      </c>
      <c r="AO56" s="54" t="s">
        <v>145</v>
      </c>
      <c r="AP56" s="54" t="s">
        <v>146</v>
      </c>
      <c r="AQ56" s="54" t="s">
        <v>147</v>
      </c>
      <c r="AR56" s="55" t="s">
        <v>148</v>
      </c>
      <c r="AS56" s="54" t="s">
        <v>149</v>
      </c>
      <c r="AT56" s="54" t="s">
        <v>150</v>
      </c>
      <c r="AU56" s="54" t="s">
        <v>151</v>
      </c>
      <c r="AV56" s="54" t="s">
        <v>152</v>
      </c>
      <c r="AW56" s="55" t="s">
        <v>153</v>
      </c>
      <c r="AX56" s="54" t="s">
        <v>149</v>
      </c>
      <c r="AY56" s="54" t="s">
        <v>150</v>
      </c>
      <c r="AZ56" s="54" t="s">
        <v>151</v>
      </c>
      <c r="BA56" s="54" t="s">
        <v>152</v>
      </c>
      <c r="BB56" s="56" t="s">
        <v>154</v>
      </c>
      <c r="BC56" s="54" t="s">
        <v>149</v>
      </c>
      <c r="BD56" s="54" t="s">
        <v>150</v>
      </c>
      <c r="BE56" s="54" t="s">
        <v>151</v>
      </c>
      <c r="BF56" s="54" t="s">
        <v>152</v>
      </c>
      <c r="BG56" s="56" t="s">
        <v>155</v>
      </c>
      <c r="BH56" s="54" t="s">
        <v>149</v>
      </c>
      <c r="BI56" s="54" t="s">
        <v>150</v>
      </c>
      <c r="BJ56" s="54" t="s">
        <v>151</v>
      </c>
      <c r="BK56" s="54" t="s">
        <v>152</v>
      </c>
      <c r="BL56" s="56" t="s">
        <v>156</v>
      </c>
      <c r="BM56" s="54" t="s">
        <v>149</v>
      </c>
      <c r="BN56" s="54" t="s">
        <v>150</v>
      </c>
      <c r="BO56" s="54" t="s">
        <v>151</v>
      </c>
      <c r="BP56" s="54" t="s">
        <v>152</v>
      </c>
      <c r="BQ56" s="55" t="s">
        <v>157</v>
      </c>
      <c r="BR56" s="54" t="s">
        <v>149</v>
      </c>
      <c r="BS56" s="54" t="s">
        <v>150</v>
      </c>
      <c r="BT56" s="54" t="s">
        <v>151</v>
      </c>
      <c r="BU56" s="54" t="s">
        <v>152</v>
      </c>
      <c r="BV56" s="55" t="s">
        <v>158</v>
      </c>
      <c r="BW56" s="54" t="s">
        <v>149</v>
      </c>
      <c r="BX56" s="54" t="s">
        <v>150</v>
      </c>
      <c r="BY56" s="54" t="s">
        <v>151</v>
      </c>
      <c r="BZ56" s="54" t="s">
        <v>152</v>
      </c>
      <c r="CA56" s="55" t="s">
        <v>159</v>
      </c>
      <c r="CB56" s="54" t="s">
        <v>149</v>
      </c>
      <c r="CC56" s="54" t="s">
        <v>150</v>
      </c>
      <c r="CD56" s="54" t="s">
        <v>151</v>
      </c>
      <c r="CE56" s="54" t="s">
        <v>161</v>
      </c>
      <c r="CF56" s="55" t="s">
        <v>205</v>
      </c>
      <c r="CG56" s="54" t="s">
        <v>163</v>
      </c>
      <c r="CH56" s="54" t="s">
        <v>164</v>
      </c>
      <c r="CI56" s="54" t="s">
        <v>165</v>
      </c>
      <c r="CJ56" s="54" t="s">
        <v>161</v>
      </c>
      <c r="CK56" s="55" t="s">
        <v>162</v>
      </c>
      <c r="CL56" s="54" t="s">
        <v>163</v>
      </c>
      <c r="CM56" s="54" t="s">
        <v>164</v>
      </c>
      <c r="CN56" s="54" t="s">
        <v>165</v>
      </c>
      <c r="CO56" s="54" t="s">
        <v>161</v>
      </c>
      <c r="CP56" s="55" t="s">
        <v>166</v>
      </c>
      <c r="CQ56" s="54" t="s">
        <v>161</v>
      </c>
      <c r="CR56" s="54" t="s">
        <v>164</v>
      </c>
      <c r="CS56" s="54" t="s">
        <v>165</v>
      </c>
      <c r="CT56" s="54" t="s">
        <v>161</v>
      </c>
      <c r="CU56" s="55" t="s">
        <v>167</v>
      </c>
      <c r="CV56" s="54" t="s">
        <v>163</v>
      </c>
      <c r="CW56" s="54" t="s">
        <v>164</v>
      </c>
      <c r="CX56" s="54" t="s">
        <v>164</v>
      </c>
      <c r="CY56" s="54" t="s">
        <v>164</v>
      </c>
      <c r="CZ56" s="55" t="s">
        <v>168</v>
      </c>
      <c r="DA56" s="54" t="s">
        <v>149</v>
      </c>
      <c r="DB56" s="54" t="s">
        <v>149</v>
      </c>
      <c r="DC56" s="54" t="s">
        <v>149</v>
      </c>
      <c r="DD56" s="54" t="s">
        <v>149</v>
      </c>
      <c r="DE56" s="55" t="s">
        <v>675</v>
      </c>
      <c r="DF56" s="54" t="s">
        <v>163</v>
      </c>
      <c r="DG56" s="54" t="s">
        <v>163</v>
      </c>
      <c r="DH56" s="54" t="s">
        <v>163</v>
      </c>
      <c r="DI56" s="54" t="s">
        <v>163</v>
      </c>
      <c r="DJ56" s="55" t="s">
        <v>1323</v>
      </c>
      <c r="DK56" s="54" t="s">
        <v>163</v>
      </c>
      <c r="DL56" s="54" t="s">
        <v>164</v>
      </c>
      <c r="DM56" s="54" t="s">
        <v>165</v>
      </c>
      <c r="DN56" s="54" t="s">
        <v>161</v>
      </c>
      <c r="DO56" s="55" t="s">
        <v>1323</v>
      </c>
      <c r="DP56" s="54" t="s">
        <v>163</v>
      </c>
      <c r="DQ56" s="54" t="s">
        <v>164</v>
      </c>
      <c r="DR56" s="54" t="s">
        <v>165</v>
      </c>
      <c r="DS56" s="54" t="s">
        <v>161</v>
      </c>
      <c r="DT56" s="55" t="s">
        <v>1323</v>
      </c>
      <c r="DU56" s="54" t="s">
        <v>163</v>
      </c>
      <c r="DV56" s="54" t="s">
        <v>164</v>
      </c>
      <c r="DW56" s="54" t="s">
        <v>165</v>
      </c>
      <c r="DX56" s="54" t="s">
        <v>161</v>
      </c>
      <c r="DY56" s="55" t="s">
        <v>1323</v>
      </c>
      <c r="DZ56" s="16"/>
    </row>
    <row r="57" spans="1:130" ht="11.25" hidden="1" customHeight="1" outlineLevel="1" thickBot="1" x14ac:dyDescent="0.25">
      <c r="A57" s="18"/>
      <c r="B57" s="199" t="s">
        <v>206</v>
      </c>
      <c r="C57" s="17"/>
      <c r="D57" s="200"/>
      <c r="E57" s="200"/>
      <c r="F57" s="200"/>
      <c r="G57" s="200"/>
      <c r="H57" s="200"/>
      <c r="I57" s="201"/>
      <c r="J57" s="202"/>
      <c r="K57" s="202"/>
      <c r="L57" s="202"/>
      <c r="M57" s="200"/>
      <c r="N57" s="200"/>
      <c r="O57" s="200"/>
      <c r="P57" s="200"/>
      <c r="Q57" s="200"/>
      <c r="R57" s="200"/>
      <c r="S57" s="200"/>
      <c r="T57" s="200"/>
      <c r="U57" s="200"/>
      <c r="V57" s="200"/>
      <c r="W57" s="200"/>
      <c r="X57" s="200"/>
      <c r="Y57" s="200"/>
      <c r="Z57" s="200"/>
      <c r="AA57" s="200"/>
      <c r="AB57" s="200"/>
      <c r="AC57" s="200"/>
      <c r="AD57" s="202"/>
      <c r="AE57" s="202"/>
      <c r="AF57" s="202"/>
      <c r="AG57" s="200"/>
      <c r="AH57" s="200"/>
      <c r="AI57" s="202"/>
      <c r="AJ57" s="202"/>
      <c r="AK57" s="202"/>
      <c r="AL57" s="200"/>
      <c r="AM57" s="200"/>
      <c r="AN57" s="200"/>
      <c r="AO57" s="200"/>
      <c r="AP57" s="200"/>
      <c r="AQ57" s="200"/>
      <c r="AR57" s="200"/>
      <c r="AS57" s="203"/>
      <c r="AT57" s="203"/>
      <c r="AU57" s="204"/>
      <c r="AV57" s="200"/>
      <c r="AW57" s="200"/>
      <c r="AX57" s="203"/>
      <c r="AY57" s="203"/>
      <c r="AZ57" s="204"/>
      <c r="BA57" s="200"/>
      <c r="BB57" s="200"/>
      <c r="BC57" s="203"/>
      <c r="BD57" s="203"/>
      <c r="BE57" s="203"/>
      <c r="BF57" s="203"/>
      <c r="BG57" s="200"/>
      <c r="BH57" s="203"/>
      <c r="BI57" s="203"/>
      <c r="BJ57" s="203"/>
      <c r="BK57" s="203"/>
      <c r="BL57" s="200"/>
      <c r="BM57" s="203"/>
      <c r="BN57" s="203"/>
      <c r="BO57" s="203"/>
      <c r="BP57" s="203"/>
      <c r="BQ57" s="200"/>
      <c r="BR57" s="203"/>
      <c r="BS57" s="203"/>
      <c r="BT57" s="203"/>
      <c r="BU57" s="203"/>
      <c r="BV57" s="200"/>
      <c r="BW57" s="203"/>
      <c r="BX57" s="203"/>
      <c r="BY57" s="203"/>
      <c r="BZ57" s="203"/>
      <c r="CA57" s="200"/>
      <c r="CB57" s="203"/>
      <c r="CC57" s="203"/>
      <c r="CD57" s="203"/>
      <c r="CE57" s="203"/>
      <c r="CF57" s="200"/>
      <c r="CG57" s="203"/>
      <c r="CH57" s="203"/>
      <c r="CI57" s="203"/>
      <c r="CJ57" s="203"/>
      <c r="CK57" s="200"/>
      <c r="CL57" s="203"/>
      <c r="CM57" s="203"/>
      <c r="CN57" s="203"/>
      <c r="CO57" s="203"/>
      <c r="CP57" s="200"/>
      <c r="CQ57" s="203"/>
      <c r="CR57" s="203"/>
      <c r="CS57" s="203"/>
      <c r="CT57" s="203"/>
      <c r="CU57" s="200"/>
      <c r="CV57" s="203"/>
      <c r="CW57" s="203"/>
      <c r="CX57" s="203"/>
      <c r="CY57" s="203"/>
      <c r="CZ57" s="200"/>
      <c r="DA57" s="203"/>
      <c r="DB57" s="203"/>
      <c r="DC57" s="203"/>
      <c r="DD57" s="203"/>
      <c r="DE57" s="200"/>
      <c r="DF57" s="203"/>
      <c r="DG57" s="203"/>
      <c r="DH57" s="203"/>
      <c r="DI57" s="203"/>
      <c r="DJ57" s="200"/>
      <c r="DK57" s="203"/>
      <c r="DL57" s="203"/>
      <c r="DM57" s="203"/>
      <c r="DN57" s="203"/>
      <c r="DO57" s="200"/>
      <c r="DP57" s="203"/>
      <c r="DQ57" s="203"/>
      <c r="DR57" s="203"/>
      <c r="DS57" s="203"/>
      <c r="DT57" s="200"/>
      <c r="DU57" s="203"/>
      <c r="DV57" s="203"/>
      <c r="DW57" s="203"/>
      <c r="DX57" s="203"/>
      <c r="DY57" s="200"/>
      <c r="DZ57" s="18"/>
    </row>
    <row r="58" spans="1:130" collapsed="1" x14ac:dyDescent="0.2">
      <c r="A58" s="205"/>
      <c r="B58" s="1672" t="s">
        <v>207</v>
      </c>
      <c r="C58" s="207"/>
      <c r="D58" s="207"/>
      <c r="E58" s="1673"/>
      <c r="F58" s="1673"/>
      <c r="G58" s="1673"/>
      <c r="H58" s="1673"/>
      <c r="I58" s="1674"/>
      <c r="J58" s="1673"/>
      <c r="K58" s="1673"/>
      <c r="L58" s="1673"/>
      <c r="M58" s="1673"/>
      <c r="N58" s="1674">
        <f>N10/I10-1</f>
        <v>0.16211053450082824</v>
      </c>
      <c r="O58" s="1673"/>
      <c r="P58" s="1673"/>
      <c r="Q58" s="1673"/>
      <c r="R58" s="1673"/>
      <c r="S58" s="1674">
        <f>S10/N10-1</f>
        <v>0.1108374067165605</v>
      </c>
      <c r="T58" s="1673"/>
      <c r="U58" s="1673"/>
      <c r="V58" s="1673"/>
      <c r="W58" s="1673"/>
      <c r="X58" s="1674">
        <f>X10/S10-1</f>
        <v>0.18494002723653868</v>
      </c>
      <c r="Y58" s="1673"/>
      <c r="Z58" s="1673"/>
      <c r="AA58" s="1673"/>
      <c r="AB58" s="1673"/>
      <c r="AC58" s="1674">
        <f>AC10/X10-1</f>
        <v>0.10991087560710122</v>
      </c>
      <c r="AD58" s="1673"/>
      <c r="AE58" s="1673"/>
      <c r="AF58" s="1673"/>
      <c r="AG58" s="1673"/>
      <c r="AH58" s="1674">
        <f>AH10/AC10-1</f>
        <v>0.1072258867454885</v>
      </c>
      <c r="AI58" s="1673"/>
      <c r="AJ58" s="1673"/>
      <c r="AK58" s="1673"/>
      <c r="AL58" s="1673"/>
      <c r="AM58" s="1674">
        <f>AM10/AH10-1</f>
        <v>8.7229221182119732E-2</v>
      </c>
      <c r="AN58" s="1673"/>
      <c r="AO58" s="1673"/>
      <c r="AP58" s="1673"/>
      <c r="AQ58" s="1673"/>
      <c r="AR58" s="1674">
        <f>AR10/AM10-1</f>
        <v>9.9518226743585014E-2</v>
      </c>
      <c r="AS58" s="1673"/>
      <c r="AT58" s="1673"/>
      <c r="AU58" s="1675"/>
      <c r="AV58" s="1673"/>
      <c r="AW58" s="1674">
        <f>AW10/AR10-1</f>
        <v>0.15068075823679838</v>
      </c>
      <c r="AX58" s="1676"/>
      <c r="AY58" s="1676"/>
      <c r="AZ58" s="1675"/>
      <c r="BA58" s="1673"/>
      <c r="BB58" s="1674">
        <f>BB10/AW10-1</f>
        <v>0.20959459768649724</v>
      </c>
      <c r="BC58" s="1676"/>
      <c r="BD58" s="1676"/>
      <c r="BE58" s="1676"/>
      <c r="BF58" s="1676"/>
      <c r="BG58" s="1674">
        <f t="shared" ref="BG58:CL58" si="123">BG10/BB10-1</f>
        <v>0.17994579359953722</v>
      </c>
      <c r="BH58" s="207">
        <f t="shared" si="123"/>
        <v>0.3211154420384974</v>
      </c>
      <c r="BI58" s="207">
        <f t="shared" si="123"/>
        <v>0.9597232213850293</v>
      </c>
      <c r="BJ58" s="207">
        <f t="shared" si="123"/>
        <v>0.82849189922203981</v>
      </c>
      <c r="BK58" s="207">
        <f t="shared" si="123"/>
        <v>0.81818483133498487</v>
      </c>
      <c r="BL58" s="1674">
        <f t="shared" si="123"/>
        <v>0.74803450747608546</v>
      </c>
      <c r="BM58" s="207">
        <f t="shared" si="123"/>
        <v>0.61749313593131383</v>
      </c>
      <c r="BN58" s="207">
        <f t="shared" si="123"/>
        <v>2.1107746108108394E-2</v>
      </c>
      <c r="BO58" s="207">
        <f t="shared" si="123"/>
        <v>1.7965182091416398E-2</v>
      </c>
      <c r="BP58" s="207">
        <f t="shared" si="123"/>
        <v>0.10025339069563954</v>
      </c>
      <c r="BQ58" s="1674">
        <f t="shared" si="123"/>
        <v>0.14597763643152373</v>
      </c>
      <c r="BR58" s="207">
        <f t="shared" si="123"/>
        <v>9.6966144612210536E-2</v>
      </c>
      <c r="BS58" s="207">
        <f t="shared" si="123"/>
        <v>0.17647810106762885</v>
      </c>
      <c r="BT58" s="207">
        <f t="shared" si="123"/>
        <v>0.18110662691603507</v>
      </c>
      <c r="BU58" s="207">
        <f t="shared" si="123"/>
        <v>6.9579408670295217E-2</v>
      </c>
      <c r="BV58" s="1674">
        <f t="shared" si="123"/>
        <v>0.12869275733121155</v>
      </c>
      <c r="BW58" s="207">
        <f t="shared" si="123"/>
        <v>1.5649378684186921E-2</v>
      </c>
      <c r="BX58" s="207">
        <f t="shared" si="123"/>
        <v>-3.4743135607190667E-2</v>
      </c>
      <c r="BY58" s="207">
        <f t="shared" si="123"/>
        <v>-3.112178849845193E-2</v>
      </c>
      <c r="BZ58" s="207">
        <f t="shared" si="123"/>
        <v>-4.0701727209356386E-2</v>
      </c>
      <c r="CA58" s="1674">
        <f t="shared" si="123"/>
        <v>-2.3457164011753351E-2</v>
      </c>
      <c r="CB58" s="207">
        <f t="shared" si="123"/>
        <v>8.9225589225589319E-2</v>
      </c>
      <c r="CC58" s="207">
        <f t="shared" si="123"/>
        <v>0.10921814470779356</v>
      </c>
      <c r="CD58" s="207">
        <f t="shared" si="123"/>
        <v>0.11723560209424089</v>
      </c>
      <c r="CE58" s="207">
        <f t="shared" si="123"/>
        <v>0.14315126559283042</v>
      </c>
      <c r="CF58" s="1674">
        <f t="shared" si="123"/>
        <v>0.11499486583759455</v>
      </c>
      <c r="CG58" s="1676">
        <f t="shared" si="123"/>
        <v>0.1900309119010819</v>
      </c>
      <c r="CH58" s="1676">
        <f t="shared" si="123"/>
        <v>0.15341920462653502</v>
      </c>
      <c r="CI58" s="1676">
        <f t="shared" si="123"/>
        <v>0.1332121166679161</v>
      </c>
      <c r="CJ58" s="1676">
        <f t="shared" si="123"/>
        <v>0.10866264081647059</v>
      </c>
      <c r="CK58" s="1674">
        <f t="shared" si="123"/>
        <v>0.14542976744186054</v>
      </c>
      <c r="CL58" s="1676">
        <f t="shared" si="123"/>
        <v>-1.136437431002002E-3</v>
      </c>
      <c r="CM58" s="1676">
        <f t="shared" ref="CM58:DJ58" si="124">CM10/CH10-1</f>
        <v>1.7382726017763472E-2</v>
      </c>
      <c r="CN58" s="1676">
        <f t="shared" si="124"/>
        <v>5.7590323978655267E-2</v>
      </c>
      <c r="CO58" s="1676">
        <f t="shared" si="124"/>
        <v>4.5738039115754692E-2</v>
      </c>
      <c r="CP58" s="1674">
        <f t="shared" si="124"/>
        <v>2.9850479600629143E-2</v>
      </c>
      <c r="CQ58" s="1676">
        <f t="shared" si="124"/>
        <v>6.2604427396547813E-2</v>
      </c>
      <c r="CR58" s="1676">
        <f t="shared" si="124"/>
        <v>0.10729863704585552</v>
      </c>
      <c r="CS58" s="1676">
        <f t="shared" si="124"/>
        <v>9.5501453010970128E-2</v>
      </c>
      <c r="CT58" s="1676">
        <f t="shared" si="124"/>
        <v>0.12870584436748223</v>
      </c>
      <c r="CU58" s="1674">
        <f t="shared" si="124"/>
        <v>9.9024282919312645E-2</v>
      </c>
      <c r="CV58" s="1676">
        <f t="shared" si="124"/>
        <v>0.11143538020551347</v>
      </c>
      <c r="CW58" s="1676">
        <f t="shared" si="124"/>
        <v>7.4208408956914385E-2</v>
      </c>
      <c r="CX58" s="1676">
        <f t="shared" si="124"/>
        <v>0.10343734145272432</v>
      </c>
      <c r="CY58" s="1676">
        <f t="shared" si="124"/>
        <v>0.11038379740172122</v>
      </c>
      <c r="CZ58" s="1674">
        <f t="shared" si="124"/>
        <v>9.990345030269121E-2</v>
      </c>
      <c r="DA58" s="1676">
        <f t="shared" si="124"/>
        <v>0.18946041462528473</v>
      </c>
      <c r="DB58" s="1676">
        <f t="shared" si="124"/>
        <v>0.17639478165886024</v>
      </c>
      <c r="DC58" s="1676">
        <f t="shared" si="124"/>
        <v>0.15452525507584292</v>
      </c>
      <c r="DD58" s="1676">
        <f t="shared" si="124"/>
        <v>0.11728094176903769</v>
      </c>
      <c r="DE58" s="1674">
        <f t="shared" si="124"/>
        <v>0.15811112363967972</v>
      </c>
      <c r="DF58" s="1676">
        <f t="shared" si="124"/>
        <v>3.0049751243780953E-2</v>
      </c>
      <c r="DG58" s="1676">
        <f t="shared" si="124"/>
        <v>4.4821163833276279E-2</v>
      </c>
      <c r="DH58" s="1676">
        <f t="shared" si="124"/>
        <v>3.5109515595827867E-2</v>
      </c>
      <c r="DI58" s="1676">
        <f t="shared" si="124"/>
        <v>5.2510036628802492E-2</v>
      </c>
      <c r="DJ58" s="1674">
        <f t="shared" si="124"/>
        <v>4.0775767387612571E-2</v>
      </c>
      <c r="DK58" s="1676">
        <f t="shared" ref="DK58:DT58" ca="1" si="125">DK10/DF10-1</f>
        <v>3.008287658887876E-2</v>
      </c>
      <c r="DL58" s="1676">
        <f t="shared" ca="1" si="125"/>
        <v>5.3984865924190162E-2</v>
      </c>
      <c r="DM58" s="1676">
        <f t="shared" ca="1" si="125"/>
        <v>3.4794128246975031E-2</v>
      </c>
      <c r="DN58" s="1676">
        <f t="shared" ca="1" si="125"/>
        <v>1.4376357561543207E-2</v>
      </c>
      <c r="DO58" s="1674">
        <f t="shared" ca="1" si="125"/>
        <v>3.3057327227279387E-2</v>
      </c>
      <c r="DP58" s="1676">
        <f t="shared" ca="1" si="125"/>
        <v>5.9057126633677015E-2</v>
      </c>
      <c r="DQ58" s="1676">
        <f t="shared" ca="1" si="125"/>
        <v>5.8939224444977123E-2</v>
      </c>
      <c r="DR58" s="1676">
        <f t="shared" ca="1" si="125"/>
        <v>5.8381338099811275E-2</v>
      </c>
      <c r="DS58" s="1676">
        <f t="shared" ca="1" si="125"/>
        <v>5.6538699948916804E-2</v>
      </c>
      <c r="DT58" s="1674">
        <f t="shared" ca="1" si="125"/>
        <v>5.8210605229760626E-2</v>
      </c>
      <c r="DU58" s="1676">
        <f t="shared" ref="DU58" ca="1" si="126">DU10/DP10-1</f>
        <v>3.6672701086795989E-2</v>
      </c>
      <c r="DV58" s="1676">
        <f t="shared" ref="DV58" ca="1" si="127">DV10/DQ10-1</f>
        <v>3.5519164134720338E-2</v>
      </c>
      <c r="DW58" s="1676">
        <f t="shared" ref="DW58" ca="1" si="128">DW10/DR10-1</f>
        <v>3.4606542417904507E-2</v>
      </c>
      <c r="DX58" s="1676">
        <f t="shared" ref="DX58" ca="1" si="129">DX10/DS10-1</f>
        <v>3.2891650582528298E-2</v>
      </c>
      <c r="DY58" s="1674">
        <f t="shared" ref="DY58" ca="1" si="130">DY10/DT10-1</f>
        <v>3.4893402220180114E-2</v>
      </c>
      <c r="DZ58" s="205"/>
    </row>
    <row r="59" spans="1:130" x14ac:dyDescent="0.2">
      <c r="A59" s="205"/>
      <c r="B59" s="206" t="s">
        <v>173</v>
      </c>
      <c r="C59" s="213"/>
      <c r="D59" s="213"/>
      <c r="E59" s="209"/>
      <c r="F59" s="209"/>
      <c r="G59" s="209"/>
      <c r="H59" s="209"/>
      <c r="I59" s="210"/>
      <c r="J59" s="209"/>
      <c r="K59" s="209"/>
      <c r="L59" s="209"/>
      <c r="M59" s="209"/>
      <c r="N59" s="210">
        <f>N12/I12-1</f>
        <v>9.7948613599940115E-2</v>
      </c>
      <c r="O59" s="209"/>
      <c r="P59" s="209"/>
      <c r="Q59" s="209"/>
      <c r="R59" s="209"/>
      <c r="S59" s="210">
        <f>S12/N12-1</f>
        <v>8.8555457487496492E-2</v>
      </c>
      <c r="T59" s="209"/>
      <c r="U59" s="209"/>
      <c r="V59" s="209"/>
      <c r="W59" s="209"/>
      <c r="X59" s="210">
        <f>X12/S12-1</f>
        <v>0.17732248377409587</v>
      </c>
      <c r="Y59" s="209"/>
      <c r="Z59" s="209"/>
      <c r="AA59" s="209"/>
      <c r="AB59" s="209"/>
      <c r="AC59" s="210">
        <f>AC12/X12-1</f>
        <v>0.10291274118566696</v>
      </c>
      <c r="AD59" s="209"/>
      <c r="AE59" s="209"/>
      <c r="AF59" s="209"/>
      <c r="AG59" s="209"/>
      <c r="AH59" s="210">
        <f>AH12/AC12-1</f>
        <v>6.1417087863923525E-2</v>
      </c>
      <c r="AI59" s="209"/>
      <c r="AJ59" s="209"/>
      <c r="AK59" s="209"/>
      <c r="AL59" s="209"/>
      <c r="AM59" s="210">
        <f>AM12/AH12-1</f>
        <v>6.6385520998067049E-2</v>
      </c>
      <c r="AN59" s="209"/>
      <c r="AO59" s="209"/>
      <c r="AP59" s="209"/>
      <c r="AQ59" s="209"/>
      <c r="AR59" s="210">
        <f>AR12/AM12-1</f>
        <v>0.13086606907461196</v>
      </c>
      <c r="AS59" s="209"/>
      <c r="AT59" s="209"/>
      <c r="AU59" s="1677"/>
      <c r="AV59" s="209"/>
      <c r="AW59" s="210">
        <f>AW12/AR12-1</f>
        <v>0.17021710622176833</v>
      </c>
      <c r="AX59" s="211"/>
      <c r="AY59" s="211"/>
      <c r="AZ59" s="1677"/>
      <c r="BA59" s="209"/>
      <c r="BB59" s="210">
        <f>BB12/AW12-1</f>
        <v>0.20711724275326282</v>
      </c>
      <c r="BC59" s="211"/>
      <c r="BD59" s="211"/>
      <c r="BE59" s="211"/>
      <c r="BF59" s="211"/>
      <c r="BG59" s="210">
        <f t="shared" ref="BG59:BP60" si="131">BG12/BB12-1</f>
        <v>0.19517050729271901</v>
      </c>
      <c r="BH59" s="213">
        <f t="shared" si="131"/>
        <v>0.2639544099332003</v>
      </c>
      <c r="BI59" s="213">
        <f t="shared" si="131"/>
        <v>0.46045515206855514</v>
      </c>
      <c r="BJ59" s="213">
        <f t="shared" si="131"/>
        <v>0.36110570371812334</v>
      </c>
      <c r="BK59" s="213">
        <f t="shared" si="131"/>
        <v>0.32177115196151229</v>
      </c>
      <c r="BL59" s="210">
        <f t="shared" si="131"/>
        <v>0.39018875089542293</v>
      </c>
      <c r="BM59" s="213">
        <f t="shared" si="131"/>
        <v>0.28183691140903511</v>
      </c>
      <c r="BN59" s="213">
        <f t="shared" si="131"/>
        <v>5.1629193218708735E-2</v>
      </c>
      <c r="BO59" s="213">
        <f t="shared" si="131"/>
        <v>4.8960717009915555E-2</v>
      </c>
      <c r="BP59" s="213">
        <f t="shared" si="131"/>
        <v>0.17363170665947769</v>
      </c>
      <c r="BQ59" s="210">
        <f t="shared" ref="BQ59:BZ60" si="132">BQ12/BL12-1</f>
        <v>0.13550662105700995</v>
      </c>
      <c r="BR59" s="213">
        <f t="shared" si="132"/>
        <v>0.10598648963428836</v>
      </c>
      <c r="BS59" s="213">
        <f t="shared" si="132"/>
        <v>0.1552638799963395</v>
      </c>
      <c r="BT59" s="213">
        <f t="shared" si="132"/>
        <v>0.13886742716902289</v>
      </c>
      <c r="BU59" s="213">
        <f t="shared" si="132"/>
        <v>6.6008117007427591E-2</v>
      </c>
      <c r="BV59" s="210">
        <f t="shared" si="132"/>
        <v>0.11426212658006363</v>
      </c>
      <c r="BW59" s="213">
        <f t="shared" si="132"/>
        <v>-4.212299915753448E-4</v>
      </c>
      <c r="BX59" s="213">
        <f t="shared" si="132"/>
        <v>-6.3734610664655245E-3</v>
      </c>
      <c r="BY59" s="213">
        <f t="shared" si="132"/>
        <v>2.4542570385297502E-3</v>
      </c>
      <c r="BZ59" s="213">
        <f t="shared" si="132"/>
        <v>-1.8209898714173112E-2</v>
      </c>
      <c r="CA59" s="210">
        <f t="shared" ref="CA59:CJ60" si="133">CA12/BV12-1</f>
        <v>-6.0499600104015894E-3</v>
      </c>
      <c r="CB59" s="213">
        <f t="shared" si="133"/>
        <v>1.0535187526337086E-3</v>
      </c>
      <c r="CC59" s="213">
        <f t="shared" si="133"/>
        <v>1.4940239043824688E-2</v>
      </c>
      <c r="CD59" s="213">
        <f t="shared" si="133"/>
        <v>3.0652866242038224E-2</v>
      </c>
      <c r="CE59" s="213">
        <f t="shared" si="133"/>
        <v>1.6169745747210751E-2</v>
      </c>
      <c r="CF59" s="210">
        <f t="shared" si="133"/>
        <v>1.5915486004837609E-2</v>
      </c>
      <c r="CG59" s="211">
        <f t="shared" si="133"/>
        <v>7.6194485371500642E-2</v>
      </c>
      <c r="CH59" s="211">
        <f t="shared" si="133"/>
        <v>6.9519136408243476E-2</v>
      </c>
      <c r="CI59" s="211">
        <f t="shared" si="133"/>
        <v>9.0584202394746738E-2</v>
      </c>
      <c r="CJ59" s="211">
        <f t="shared" si="133"/>
        <v>0.1334917377686573</v>
      </c>
      <c r="CK59" s="210">
        <f t="shared" ref="CK59:CT60" si="134">CK12/CF12-1</f>
        <v>9.3629794843388625E-2</v>
      </c>
      <c r="CL59" s="211">
        <f t="shared" si="134"/>
        <v>9.1726970467435942E-2</v>
      </c>
      <c r="CM59" s="211">
        <f t="shared" si="134"/>
        <v>7.1037950524847515E-2</v>
      </c>
      <c r="CN59" s="211">
        <f t="shared" si="134"/>
        <v>6.8771366263240985E-2</v>
      </c>
      <c r="CO59" s="211">
        <f t="shared" si="134"/>
        <v>6.4951564236941373E-3</v>
      </c>
      <c r="CP59" s="210">
        <f t="shared" si="134"/>
        <v>5.7111037403173137E-2</v>
      </c>
      <c r="CQ59" s="211">
        <f t="shared" si="134"/>
        <v>6.4564672160515535E-2</v>
      </c>
      <c r="CR59" s="211">
        <f t="shared" si="134"/>
        <v>8.3391874989291903E-2</v>
      </c>
      <c r="CS59" s="211">
        <f t="shared" si="134"/>
        <v>7.160254498459051E-2</v>
      </c>
      <c r="CT59" s="211">
        <f t="shared" si="134"/>
        <v>4.6687388567191235E-2</v>
      </c>
      <c r="CU59" s="210">
        <f t="shared" ref="CU59:DI60" si="135">CU12/CP12-1</f>
        <v>6.620613998217828E-2</v>
      </c>
      <c r="CV59" s="211">
        <f t="shared" si="135"/>
        <v>3.7274501884761557E-2</v>
      </c>
      <c r="CW59" s="211">
        <f t="shared" si="135"/>
        <v>1.2541515103588807E-2</v>
      </c>
      <c r="CX59" s="211">
        <f t="shared" si="135"/>
        <v>2.9881564766600643E-2</v>
      </c>
      <c r="CY59" s="211">
        <f t="shared" si="135"/>
        <v>0.10054640294552075</v>
      </c>
      <c r="CZ59" s="210">
        <f t="shared" si="135"/>
        <v>4.5771146956792963E-2</v>
      </c>
      <c r="DA59" s="211">
        <f t="shared" si="135"/>
        <v>9.4777657002870441E-2</v>
      </c>
      <c r="DB59" s="211">
        <f t="shared" si="135"/>
        <v>9.6715242959562131E-2</v>
      </c>
      <c r="DC59" s="211">
        <f t="shared" si="135"/>
        <v>0.12556872530901653</v>
      </c>
      <c r="DD59" s="211">
        <f t="shared" si="135"/>
        <v>4.5857310888266278E-2</v>
      </c>
      <c r="DE59" s="210">
        <f t="shared" ref="DE59:DJ60" si="136">DE12/CZ12-1</f>
        <v>8.951301629122832E-2</v>
      </c>
      <c r="DF59" s="211">
        <f t="shared" si="135"/>
        <v>-2.4821801692328171E-2</v>
      </c>
      <c r="DG59" s="211">
        <f t="shared" si="135"/>
        <v>-1.1590281996844864E-2</v>
      </c>
      <c r="DH59" s="211">
        <f t="shared" si="135"/>
        <v>-4.9157950902027903E-2</v>
      </c>
      <c r="DI59" s="211">
        <f t="shared" si="135"/>
        <v>3.4525225103330115E-2</v>
      </c>
      <c r="DJ59" s="210">
        <f t="shared" si="136"/>
        <v>-1.2241452119704288E-2</v>
      </c>
      <c r="DK59" s="211">
        <f t="shared" ref="DK59:DT60" ca="1" si="137">DK12/DF12-1</f>
        <v>1.9742024493378141E-2</v>
      </c>
      <c r="DL59" s="211">
        <f t="shared" ca="1" si="137"/>
        <v>1.1214592893468822E-2</v>
      </c>
      <c r="DM59" s="211">
        <f t="shared" ca="1" si="137"/>
        <v>5.3751815948948067E-3</v>
      </c>
      <c r="DN59" s="211">
        <f t="shared" ca="1" si="137"/>
        <v>-2.9024732518059593E-2</v>
      </c>
      <c r="DO59" s="210">
        <f t="shared" ca="1" si="137"/>
        <v>5.8812030886290501E-4</v>
      </c>
      <c r="DP59" s="211">
        <f t="shared" ca="1" si="137"/>
        <v>2.2602488277039479E-2</v>
      </c>
      <c r="DQ59" s="211">
        <f t="shared" ca="1" si="137"/>
        <v>1.9612852914480117E-2</v>
      </c>
      <c r="DR59" s="211">
        <f t="shared" ca="1" si="137"/>
        <v>2.0841188637293673E-2</v>
      </c>
      <c r="DS59" s="211">
        <f t="shared" ca="1" si="137"/>
        <v>2.0155532427667877E-2</v>
      </c>
      <c r="DT59" s="210">
        <f t="shared" ca="1" si="137"/>
        <v>2.0769069212573044E-2</v>
      </c>
      <c r="DU59" s="211">
        <f t="shared" ref="DU59:DU60" ca="1" si="138">DU12/DP12-1</f>
        <v>2.0693103517993139E-2</v>
      </c>
      <c r="DV59" s="211">
        <f t="shared" ref="DV59:DV60" ca="1" si="139">DV12/DQ12-1</f>
        <v>2.2429019945673145E-2</v>
      </c>
      <c r="DW59" s="211">
        <f t="shared" ref="DW59:DW60" ca="1" si="140">DW12/DR12-1</f>
        <v>2.3781652997501013E-2</v>
      </c>
      <c r="DX59" s="211">
        <f t="shared" ref="DX59:DX60" ca="1" si="141">DX12/DS12-1</f>
        <v>2.2828396769778436E-2</v>
      </c>
      <c r="DY59" s="210">
        <f t="shared" ref="DY59:DY60" ca="1" si="142">DY12/DT12-1</f>
        <v>2.2467055843867545E-2</v>
      </c>
      <c r="DZ59" s="205"/>
    </row>
    <row r="60" spans="1:130" x14ac:dyDescent="0.2">
      <c r="A60" s="205"/>
      <c r="B60" s="206" t="s">
        <v>208</v>
      </c>
      <c r="C60" s="213"/>
      <c r="D60" s="213"/>
      <c r="E60" s="209"/>
      <c r="F60" s="209"/>
      <c r="G60" s="209"/>
      <c r="H60" s="209"/>
      <c r="I60" s="210"/>
      <c r="J60" s="209"/>
      <c r="K60" s="209"/>
      <c r="L60" s="209"/>
      <c r="M60" s="209"/>
      <c r="N60" s="210">
        <f>N13/I13-1</f>
        <v>0.13373581509090138</v>
      </c>
      <c r="O60" s="209"/>
      <c r="P60" s="209"/>
      <c r="Q60" s="209"/>
      <c r="R60" s="209"/>
      <c r="S60" s="210">
        <f>S13/N13-1</f>
        <v>6.2261176782492988E-2</v>
      </c>
      <c r="T60" s="209"/>
      <c r="U60" s="209"/>
      <c r="V60" s="209"/>
      <c r="W60" s="209"/>
      <c r="X60" s="210">
        <f>X13/S13-1</f>
        <v>0.16922734689835983</v>
      </c>
      <c r="Y60" s="209"/>
      <c r="Z60" s="209"/>
      <c r="AA60" s="209"/>
      <c r="AB60" s="209"/>
      <c r="AC60" s="210">
        <f>AC13/X13-1</f>
        <v>9.0951276102088086E-2</v>
      </c>
      <c r="AD60" s="209"/>
      <c r="AE60" s="209"/>
      <c r="AF60" s="209"/>
      <c r="AG60" s="209"/>
      <c r="AH60" s="210">
        <f>AH13/AC13-1</f>
        <v>0.22264461931093171</v>
      </c>
      <c r="AI60" s="209"/>
      <c r="AJ60" s="209"/>
      <c r="AK60" s="209"/>
      <c r="AL60" s="209"/>
      <c r="AM60" s="210">
        <f>AM13/AH13-1</f>
        <v>-1.017590398121393E-2</v>
      </c>
      <c r="AN60" s="209"/>
      <c r="AO60" s="209"/>
      <c r="AP60" s="209"/>
      <c r="AQ60" s="209"/>
      <c r="AR60" s="210">
        <f>AR13/AM13-1</f>
        <v>0.1198075697998815</v>
      </c>
      <c r="AS60" s="209"/>
      <c r="AT60" s="209"/>
      <c r="AU60" s="1677"/>
      <c r="AV60" s="209"/>
      <c r="AW60" s="210">
        <f>AW13/AR13-1</f>
        <v>0.19263589461914221</v>
      </c>
      <c r="AX60" s="211"/>
      <c r="AY60" s="211"/>
      <c r="AZ60" s="1677"/>
      <c r="BA60" s="209"/>
      <c r="BB60" s="210">
        <f>BB13/AW13-1</f>
        <v>0.26241426386170352</v>
      </c>
      <c r="BC60" s="211"/>
      <c r="BD60" s="211"/>
      <c r="BE60" s="211"/>
      <c r="BF60" s="211"/>
      <c r="BG60" s="210">
        <f t="shared" si="131"/>
        <v>0.21178877148180475</v>
      </c>
      <c r="BH60" s="213">
        <f t="shared" si="131"/>
        <v>0.24354663493869966</v>
      </c>
      <c r="BI60" s="213">
        <f t="shared" si="131"/>
        <v>0.37864782461404412</v>
      </c>
      <c r="BJ60" s="213">
        <f t="shared" si="131"/>
        <v>0.24424492574784051</v>
      </c>
      <c r="BK60" s="213">
        <f t="shared" si="131"/>
        <v>0.23204671581214287</v>
      </c>
      <c r="BL60" s="210">
        <f t="shared" si="131"/>
        <v>0.21652366513988341</v>
      </c>
      <c r="BM60" s="213">
        <f t="shared" si="131"/>
        <v>0.21589916385872954</v>
      </c>
      <c r="BN60" s="213">
        <f t="shared" si="131"/>
        <v>1.6288131428370933E-2</v>
      </c>
      <c r="BO60" s="213">
        <f t="shared" si="131"/>
        <v>3.5224513525529133E-3</v>
      </c>
      <c r="BP60" s="213">
        <f t="shared" si="131"/>
        <v>0.17375373962149987</v>
      </c>
      <c r="BQ60" s="210">
        <f t="shared" si="132"/>
        <v>8.2178462843809807E-2</v>
      </c>
      <c r="BR60" s="213">
        <f t="shared" si="132"/>
        <v>0.15323822231345585</v>
      </c>
      <c r="BS60" s="213">
        <f t="shared" si="132"/>
        <v>0.19249766847431871</v>
      </c>
      <c r="BT60" s="213">
        <f t="shared" si="132"/>
        <v>0.17427753544165769</v>
      </c>
      <c r="BU60" s="213">
        <f t="shared" si="132"/>
        <v>5.1893006472306435E-2</v>
      </c>
      <c r="BV60" s="210">
        <f t="shared" si="132"/>
        <v>0.13866157037617799</v>
      </c>
      <c r="BW60" s="213">
        <f t="shared" si="132"/>
        <v>-1.0323958704165248E-2</v>
      </c>
      <c r="BX60" s="213">
        <f t="shared" si="132"/>
        <v>1.929092805005217E-2</v>
      </c>
      <c r="BY60" s="213">
        <f t="shared" si="132"/>
        <v>2.7337628417203552E-2</v>
      </c>
      <c r="BZ60" s="213">
        <f t="shared" si="132"/>
        <v>6.5341682548325508E-3</v>
      </c>
      <c r="CA60" s="210">
        <f t="shared" si="133"/>
        <v>1.0758858126524107E-2</v>
      </c>
      <c r="CB60" s="213">
        <f t="shared" si="133"/>
        <v>3.1175059952038398E-2</v>
      </c>
      <c r="CC60" s="213">
        <f t="shared" si="133"/>
        <v>2.4438761011650989E-2</v>
      </c>
      <c r="CD60" s="213">
        <f t="shared" si="133"/>
        <v>1.5254237288135686E-2</v>
      </c>
      <c r="CE60" s="213">
        <f t="shared" si="133"/>
        <v>-2.6697322153097058E-2</v>
      </c>
      <c r="CF60" s="210">
        <f t="shared" si="133"/>
        <v>1.0310814646607991E-2</v>
      </c>
      <c r="CG60" s="211">
        <f t="shared" si="133"/>
        <v>7.819767441860459E-2</v>
      </c>
      <c r="CH60" s="211">
        <f t="shared" si="133"/>
        <v>3.7864077669902851E-2</v>
      </c>
      <c r="CI60" s="211">
        <f t="shared" si="133"/>
        <v>6.6574846967167423E-2</v>
      </c>
      <c r="CJ60" s="211">
        <f t="shared" si="133"/>
        <v>0.11024650529416657</v>
      </c>
      <c r="CK60" s="210">
        <f t="shared" si="134"/>
        <v>7.3150808088612296E-2</v>
      </c>
      <c r="CL60" s="211">
        <f t="shared" si="134"/>
        <v>4.6912914532218908E-2</v>
      </c>
      <c r="CM60" s="211">
        <f t="shared" si="134"/>
        <v>3.3809969263664197E-2</v>
      </c>
      <c r="CN60" s="211">
        <f t="shared" si="134"/>
        <v>2.9095263313046127E-2</v>
      </c>
      <c r="CO60" s="211">
        <f t="shared" si="134"/>
        <v>3.1664580725907276E-2</v>
      </c>
      <c r="CP60" s="210">
        <f t="shared" si="134"/>
        <v>3.5246947234627068E-2</v>
      </c>
      <c r="CQ60" s="211">
        <f t="shared" si="134"/>
        <v>8.9363893896470259E-3</v>
      </c>
      <c r="CR60" s="211">
        <f t="shared" si="134"/>
        <v>6.4089968976215106E-2</v>
      </c>
      <c r="CS60" s="211">
        <f t="shared" si="134"/>
        <v>7.0206347596836194E-2</v>
      </c>
      <c r="CT60" s="211">
        <f t="shared" si="134"/>
        <v>4.6439403129928225E-2</v>
      </c>
      <c r="CU60" s="210">
        <f t="shared" si="135"/>
        <v>4.747649725300751E-2</v>
      </c>
      <c r="CV60" s="211">
        <f t="shared" si="135"/>
        <v>2.9124231053934801E-2</v>
      </c>
      <c r="CW60" s="211">
        <f t="shared" si="135"/>
        <v>5.9039335260817616E-3</v>
      </c>
      <c r="CX60" s="211">
        <f t="shared" si="135"/>
        <v>-4.3986498489961834E-3</v>
      </c>
      <c r="CY60" s="211">
        <f t="shared" si="135"/>
        <v>2.2397922511535162E-2</v>
      </c>
      <c r="CZ60" s="210">
        <f t="shared" si="135"/>
        <v>1.3062936640864331E-2</v>
      </c>
      <c r="DA60" s="211">
        <f t="shared" si="135"/>
        <v>0.11816062304677799</v>
      </c>
      <c r="DB60" s="211">
        <f t="shared" si="135"/>
        <v>0.10890778223274244</v>
      </c>
      <c r="DC60" s="211">
        <f t="shared" si="135"/>
        <v>9.7954405949780776E-2</v>
      </c>
      <c r="DD60" s="211">
        <f t="shared" si="135"/>
        <v>4.5606077786597199E-2</v>
      </c>
      <c r="DE60" s="210">
        <f t="shared" si="136"/>
        <v>9.1757483610053869E-2</v>
      </c>
      <c r="DF60" s="211">
        <f t="shared" si="135"/>
        <v>1.4662171154784742E-2</v>
      </c>
      <c r="DG60" s="211">
        <f t="shared" si="135"/>
        <v>1.7621049421707058E-2</v>
      </c>
      <c r="DH60" s="211">
        <f t="shared" si="135"/>
        <v>6.0033653108737539E-4</v>
      </c>
      <c r="DI60" s="211">
        <f t="shared" si="135"/>
        <v>1.9026978826826912E-2</v>
      </c>
      <c r="DJ60" s="210">
        <f t="shared" si="136"/>
        <v>1.2960375100207644E-2</v>
      </c>
      <c r="DK60" s="211">
        <f t="shared" ca="1" si="137"/>
        <v>1.1332885211196908E-2</v>
      </c>
      <c r="DL60" s="211">
        <f t="shared" ca="1" si="137"/>
        <v>-3.7022177075449747E-3</v>
      </c>
      <c r="DM60" s="211">
        <f t="shared" ca="1" si="137"/>
        <v>6.4585720959728921E-3</v>
      </c>
      <c r="DN60" s="211">
        <f t="shared" ca="1" si="137"/>
        <v>-2.8511000401409969E-3</v>
      </c>
      <c r="DO60" s="210">
        <f t="shared" ca="1" si="137"/>
        <v>2.7459650395085244E-3</v>
      </c>
      <c r="DP60" s="211">
        <f t="shared" ca="1" si="137"/>
        <v>1.4311958131991931E-2</v>
      </c>
      <c r="DQ60" s="211">
        <f t="shared" ca="1" si="137"/>
        <v>1.5926324455702412E-2</v>
      </c>
      <c r="DR60" s="211">
        <f t="shared" ca="1" si="137"/>
        <v>1.7572237544621894E-2</v>
      </c>
      <c r="DS60" s="211">
        <f t="shared" ca="1" si="137"/>
        <v>1.3918693650022629E-2</v>
      </c>
      <c r="DT60" s="210">
        <f t="shared" ca="1" si="137"/>
        <v>1.5430735820251895E-2</v>
      </c>
      <c r="DU60" s="211">
        <f t="shared" ca="1" si="138"/>
        <v>1.1296359177908277E-2</v>
      </c>
      <c r="DV60" s="211">
        <f t="shared" ca="1" si="139"/>
        <v>1.1353629264159837E-2</v>
      </c>
      <c r="DW60" s="211">
        <f t="shared" ca="1" si="140"/>
        <v>1.1302341825250917E-2</v>
      </c>
      <c r="DX60" s="211">
        <f t="shared" ca="1" si="141"/>
        <v>1.1218369084803337E-2</v>
      </c>
      <c r="DY60" s="210">
        <f t="shared" ca="1" si="142"/>
        <v>1.1292584141160189E-2</v>
      </c>
      <c r="DZ60" s="205"/>
    </row>
    <row r="61" spans="1:130" x14ac:dyDescent="0.2">
      <c r="A61" s="205"/>
      <c r="B61" s="206" t="s">
        <v>176</v>
      </c>
      <c r="C61" s="213"/>
      <c r="D61" s="213"/>
      <c r="E61" s="209"/>
      <c r="F61" s="209"/>
      <c r="G61" s="209"/>
      <c r="H61" s="209"/>
      <c r="I61" s="210"/>
      <c r="J61" s="209"/>
      <c r="K61" s="209"/>
      <c r="L61" s="209"/>
      <c r="M61" s="209"/>
      <c r="N61" s="210">
        <f>N15/I15-1</f>
        <v>1.0862198159092618E-2</v>
      </c>
      <c r="O61" s="209"/>
      <c r="P61" s="209"/>
      <c r="Q61" s="209"/>
      <c r="R61" s="209"/>
      <c r="S61" s="210">
        <f>S15/N15-1</f>
        <v>0.16031900209600813</v>
      </c>
      <c r="T61" s="209"/>
      <c r="U61" s="209"/>
      <c r="V61" s="209"/>
      <c r="W61" s="209"/>
      <c r="X61" s="210">
        <f>X15/S15-1</f>
        <v>0.19754898139706434</v>
      </c>
      <c r="Y61" s="209"/>
      <c r="Z61" s="209"/>
      <c r="AA61" s="209"/>
      <c r="AB61" s="209"/>
      <c r="AC61" s="210">
        <f>AC15/X15-1</f>
        <v>0.13209282581010418</v>
      </c>
      <c r="AD61" s="209"/>
      <c r="AE61" s="209"/>
      <c r="AF61" s="209"/>
      <c r="AG61" s="209"/>
      <c r="AH61" s="210">
        <f>AH15/AC15-1</f>
        <v>-0.31760514967814568</v>
      </c>
      <c r="AI61" s="209"/>
      <c r="AJ61" s="209"/>
      <c r="AK61" s="209"/>
      <c r="AL61" s="209"/>
      <c r="AM61" s="210">
        <f>AM15/AH15-1</f>
        <v>0.38886344903379477</v>
      </c>
      <c r="AN61" s="209"/>
      <c r="AO61" s="209"/>
      <c r="AP61" s="209"/>
      <c r="AQ61" s="209"/>
      <c r="AR61" s="210">
        <f>AR15/AM15-1</f>
        <v>0.16406198483350076</v>
      </c>
      <c r="AS61" s="209"/>
      <c r="AT61" s="209"/>
      <c r="AU61" s="1677"/>
      <c r="AV61" s="209"/>
      <c r="AW61" s="210">
        <f>AW15/AR15-1</f>
        <v>0.10547782246643389</v>
      </c>
      <c r="AX61" s="211"/>
      <c r="AY61" s="211"/>
      <c r="AZ61" s="1677"/>
      <c r="BA61" s="209"/>
      <c r="BB61" s="210">
        <f>BB15/AW15-1</f>
        <v>0.33671534716884732</v>
      </c>
      <c r="BC61" s="211"/>
      <c r="BD61" s="211"/>
      <c r="BE61" s="211"/>
      <c r="BF61" s="211"/>
      <c r="BG61" s="210">
        <f t="shared" ref="BG61:CL61" si="143">BG15/BB15-1</f>
        <v>0.15747910756727523</v>
      </c>
      <c r="BH61" s="213">
        <f t="shared" si="143"/>
        <v>0.31900641920178674</v>
      </c>
      <c r="BI61" s="213">
        <f t="shared" si="143"/>
        <v>1.0711816668800473</v>
      </c>
      <c r="BJ61" s="213">
        <f t="shared" si="143"/>
        <v>1.1483403906570127</v>
      </c>
      <c r="BK61" s="213">
        <f t="shared" si="143"/>
        <v>0.83898394037997304</v>
      </c>
      <c r="BL61" s="210">
        <f t="shared" si="143"/>
        <v>0.95002318341392211</v>
      </c>
      <c r="BM61" s="213">
        <f t="shared" si="143"/>
        <v>0.76618705035971169</v>
      </c>
      <c r="BN61" s="213">
        <f t="shared" si="143"/>
        <v>0.1052664111756707</v>
      </c>
      <c r="BO61" s="213">
        <f t="shared" si="143"/>
        <v>0.12989572736520705</v>
      </c>
      <c r="BP61" s="213">
        <f t="shared" si="143"/>
        <v>0.19052511415525286</v>
      </c>
      <c r="BQ61" s="210">
        <f t="shared" si="143"/>
        <v>0.2432955722753436</v>
      </c>
      <c r="BR61" s="213">
        <f t="shared" si="143"/>
        <v>3.6959386605966316E-2</v>
      </c>
      <c r="BS61" s="213">
        <f t="shared" si="143"/>
        <v>0.10849505061237741</v>
      </c>
      <c r="BT61" s="213">
        <f t="shared" si="143"/>
        <v>5.0137865061055775E-2</v>
      </c>
      <c r="BU61" s="213">
        <f t="shared" si="143"/>
        <v>7.7715984274618455E-2</v>
      </c>
      <c r="BV61" s="210">
        <f t="shared" si="143"/>
        <v>6.9244850008195691E-2</v>
      </c>
      <c r="BW61" s="213">
        <f t="shared" si="143"/>
        <v>2.1315926289642517E-2</v>
      </c>
      <c r="BX61" s="213">
        <f t="shared" si="143"/>
        <v>-5.7060693204176061E-2</v>
      </c>
      <c r="BY61" s="213">
        <f t="shared" si="143"/>
        <v>-6.5373486228702538E-3</v>
      </c>
      <c r="BZ61" s="213">
        <f t="shared" si="143"/>
        <v>-4.6665776947373727E-2</v>
      </c>
      <c r="CA61" s="210">
        <f t="shared" si="143"/>
        <v>-2.4695616623866323E-2</v>
      </c>
      <c r="CB61" s="213">
        <f t="shared" si="143"/>
        <v>-4.6945701357466119E-2</v>
      </c>
      <c r="CC61" s="213">
        <f t="shared" si="143"/>
        <v>6.4205457463883953E-3</v>
      </c>
      <c r="CD61" s="213">
        <f t="shared" si="143"/>
        <v>7.3894282632146702E-2</v>
      </c>
      <c r="CE61" s="213">
        <f t="shared" si="143"/>
        <v>9.7900139990667823E-2</v>
      </c>
      <c r="CF61" s="210">
        <f t="shared" si="143"/>
        <v>3.6127849096148079E-2</v>
      </c>
      <c r="CG61" s="211">
        <f t="shared" si="143"/>
        <v>8.4272997032641017E-2</v>
      </c>
      <c r="CH61" s="211">
        <f t="shared" si="143"/>
        <v>0.13700159489633212</v>
      </c>
      <c r="CI61" s="211">
        <f t="shared" si="143"/>
        <v>0.13313661476644834</v>
      </c>
      <c r="CJ61" s="211">
        <f t="shared" si="143"/>
        <v>0.17251785107106365</v>
      </c>
      <c r="CK61" s="210">
        <f t="shared" si="143"/>
        <v>0.13536056537460239</v>
      </c>
      <c r="CL61" s="211">
        <f t="shared" si="143"/>
        <v>0.20470717022441165</v>
      </c>
      <c r="CM61" s="211">
        <f t="shared" ref="CM61:DJ61" si="144">CM15/CH15-1</f>
        <v>0.13045307897320724</v>
      </c>
      <c r="CN61" s="211">
        <f t="shared" si="144"/>
        <v>0.13076914552929453</v>
      </c>
      <c r="CO61" s="211">
        <f t="shared" si="144"/>
        <v>-3.0630369376879796E-2</v>
      </c>
      <c r="CP61" s="210">
        <f t="shared" si="144"/>
        <v>9.6155826946790368E-2</v>
      </c>
      <c r="CQ61" s="211">
        <f t="shared" si="144"/>
        <v>0.13680145388459697</v>
      </c>
      <c r="CR61" s="211">
        <f t="shared" si="144"/>
        <v>0.11461306200107724</v>
      </c>
      <c r="CS61" s="211">
        <f t="shared" si="144"/>
        <v>6.7343498882834085E-2</v>
      </c>
      <c r="CT61" s="211">
        <f t="shared" si="144"/>
        <v>5.0631964699723753E-2</v>
      </c>
      <c r="CU61" s="210">
        <f t="shared" si="144"/>
        <v>8.9943112555871174E-2</v>
      </c>
      <c r="CV61" s="211">
        <f t="shared" si="144"/>
        <v>4.8119579553178138E-2</v>
      </c>
      <c r="CW61" s="211">
        <f t="shared" si="144"/>
        <v>2.0298352382362994E-2</v>
      </c>
      <c r="CX61" s="211">
        <f t="shared" si="144"/>
        <v>9.8193109455790184E-2</v>
      </c>
      <c r="CY61" s="211">
        <f t="shared" si="144"/>
        <v>0.23216996293422376</v>
      </c>
      <c r="CZ61" s="210">
        <f t="shared" si="144"/>
        <v>0.10203503882762965</v>
      </c>
      <c r="DA61" s="211">
        <f t="shared" si="144"/>
        <v>8.6482364156336811E-2</v>
      </c>
      <c r="DB61" s="211">
        <f t="shared" si="144"/>
        <v>0.10641934897254202</v>
      </c>
      <c r="DC61" s="211">
        <f t="shared" si="144"/>
        <v>0.16598166029113837</v>
      </c>
      <c r="DD61" s="211">
        <f t="shared" si="144"/>
        <v>5.2917479405403256E-2</v>
      </c>
      <c r="DE61" s="210">
        <f t="shared" si="144"/>
        <v>0.10139610418471334</v>
      </c>
      <c r="DF61" s="211">
        <f t="shared" si="144"/>
        <v>-7.8405222335310665E-2</v>
      </c>
      <c r="DG61" s="211">
        <f t="shared" si="144"/>
        <v>-4.9794932790127033E-2</v>
      </c>
      <c r="DH61" s="211">
        <f t="shared" si="144"/>
        <v>-0.10364140887110629</v>
      </c>
      <c r="DI61" s="211">
        <f t="shared" si="144"/>
        <v>4.8903154190562237E-2</v>
      </c>
      <c r="DJ61" s="210">
        <f t="shared" si="144"/>
        <v>-4.2845437251562868E-2</v>
      </c>
      <c r="DK61" s="211">
        <f t="shared" ref="DK61:DT61" ca="1" si="145">DK15/DF15-1</f>
        <v>3.7873579024161552E-2</v>
      </c>
      <c r="DL61" s="211">
        <f t="shared" ca="1" si="145"/>
        <v>3.6119341932360882E-2</v>
      </c>
      <c r="DM61" s="211">
        <f t="shared" ca="1" si="145"/>
        <v>6.1866474156881957E-3</v>
      </c>
      <c r="DN61" s="211">
        <f t="shared" ca="1" si="145"/>
        <v>-5.1619915578787756E-2</v>
      </c>
      <c r="DO61" s="210">
        <f t="shared" ca="1" si="145"/>
        <v>2.0724152061721846E-3</v>
      </c>
      <c r="DP61" s="211">
        <f t="shared" ca="1" si="145"/>
        <v>3.058471162462828E-2</v>
      </c>
      <c r="DQ61" s="211">
        <f t="shared" ca="1" si="145"/>
        <v>2.2630799940121848E-2</v>
      </c>
      <c r="DR61" s="211">
        <f t="shared" ca="1" si="145"/>
        <v>2.544670503725821E-2</v>
      </c>
      <c r="DS61" s="211">
        <f t="shared" ca="1" si="145"/>
        <v>2.3654891696920144E-2</v>
      </c>
      <c r="DT61" s="210">
        <f t="shared" ca="1" si="145"/>
        <v>2.5372416174060497E-2</v>
      </c>
      <c r="DU61" s="211">
        <f t="shared" ref="DU61" ca="1" si="146">DU15/DP15-1</f>
        <v>3.0635727204269658E-2</v>
      </c>
      <c r="DV61" s="211">
        <f t="shared" ref="DV61" ca="1" si="147">DV15/DQ15-1</f>
        <v>3.4027756309001678E-2</v>
      </c>
      <c r="DW61" s="211">
        <f t="shared" ref="DW61" ca="1" si="148">DW15/DR15-1</f>
        <v>3.6625928400539687E-2</v>
      </c>
      <c r="DX61" s="211">
        <f t="shared" ref="DX61" ca="1" si="149">DX15/DS15-1</f>
        <v>3.332157927149404E-2</v>
      </c>
      <c r="DY61" s="210">
        <f t="shared" ref="DY61" ca="1" si="150">DY15/DT15-1</f>
        <v>3.3733381319150935E-2</v>
      </c>
      <c r="DZ61" s="205"/>
    </row>
    <row r="62" spans="1:130" x14ac:dyDescent="0.2">
      <c r="A62" s="205"/>
      <c r="B62" s="206" t="s">
        <v>178</v>
      </c>
      <c r="C62" s="213"/>
      <c r="D62" s="213"/>
      <c r="E62" s="209"/>
      <c r="F62" s="209"/>
      <c r="G62" s="209"/>
      <c r="H62" s="209"/>
      <c r="I62" s="210"/>
      <c r="J62" s="209"/>
      <c r="K62" s="209"/>
      <c r="L62" s="209"/>
      <c r="M62" s="209"/>
      <c r="N62" s="210">
        <f>N17/I17-1</f>
        <v>-3.2250570534455347E-2</v>
      </c>
      <c r="O62" s="209"/>
      <c r="P62" s="209"/>
      <c r="Q62" s="209"/>
      <c r="R62" s="209"/>
      <c r="S62" s="210">
        <f>S17/N17-1</f>
        <v>0.1945565201986692</v>
      </c>
      <c r="T62" s="209"/>
      <c r="U62" s="209"/>
      <c r="V62" s="209"/>
      <c r="W62" s="209"/>
      <c r="X62" s="210">
        <f>X17/S17-1</f>
        <v>0.22025395897453182</v>
      </c>
      <c r="Y62" s="209"/>
      <c r="Z62" s="209"/>
      <c r="AA62" s="209"/>
      <c r="AB62" s="209"/>
      <c r="AC62" s="210">
        <f>AC17/X17-1</f>
        <v>0.14794627917217196</v>
      </c>
      <c r="AD62" s="209"/>
      <c r="AE62" s="209"/>
      <c r="AF62" s="209"/>
      <c r="AG62" s="209"/>
      <c r="AH62" s="210">
        <f>AH17/AC17-1</f>
        <v>-0.40843564177176317</v>
      </c>
      <c r="AI62" s="209"/>
      <c r="AJ62" s="209"/>
      <c r="AK62" s="209"/>
      <c r="AL62" s="209"/>
      <c r="AM62" s="210">
        <f>AM17/AH17-1</f>
        <v>0.56425885099208983</v>
      </c>
      <c r="AN62" s="209"/>
      <c r="AO62" s="209"/>
      <c r="AP62" s="209"/>
      <c r="AQ62" s="209"/>
      <c r="AR62" s="210">
        <f>AR17/AM17-1</f>
        <v>0.18023545017410347</v>
      </c>
      <c r="AS62" s="209"/>
      <c r="AT62" s="209"/>
      <c r="AU62" s="1677"/>
      <c r="AV62" s="209"/>
      <c r="AW62" s="210">
        <f>AW17/AR17-1</f>
        <v>2.1846024164088318E-2</v>
      </c>
      <c r="AX62" s="211"/>
      <c r="AY62" s="211"/>
      <c r="AZ62" s="1677"/>
      <c r="BA62" s="209"/>
      <c r="BB62" s="210">
        <f>BB17/AW17-1</f>
        <v>0.38825874750808098</v>
      </c>
      <c r="BC62" s="211"/>
      <c r="BD62" s="211"/>
      <c r="BE62" s="211"/>
      <c r="BF62" s="211"/>
      <c r="BG62" s="210">
        <f t="shared" ref="BG62:CL62" si="151">BG17/BB17-1</f>
        <v>0.13201287447387688</v>
      </c>
      <c r="BH62" s="213">
        <f t="shared" si="151"/>
        <v>0.31218816821097728</v>
      </c>
      <c r="BI62" s="213">
        <f t="shared" si="151"/>
        <v>1.1903010033444903</v>
      </c>
      <c r="BJ62" s="213">
        <f t="shared" si="151"/>
        <v>1.3595693335808408</v>
      </c>
      <c r="BK62" s="213">
        <f t="shared" si="151"/>
        <v>0.96446159989351843</v>
      </c>
      <c r="BL62" s="210">
        <f t="shared" si="151"/>
        <v>1.0967149293556697</v>
      </c>
      <c r="BM62" s="213">
        <f t="shared" si="151"/>
        <v>0.86053775122216103</v>
      </c>
      <c r="BN62" s="213">
        <f t="shared" si="151"/>
        <v>0.12849289967934041</v>
      </c>
      <c r="BO62" s="213">
        <f t="shared" si="151"/>
        <v>0.15348910392573156</v>
      </c>
      <c r="BP62" s="213">
        <f t="shared" si="151"/>
        <v>0.17338573074056707</v>
      </c>
      <c r="BQ62" s="210">
        <f t="shared" si="151"/>
        <v>0.26138568418417307</v>
      </c>
      <c r="BR62" s="213">
        <f t="shared" si="151"/>
        <v>5.1821034960950474E-3</v>
      </c>
      <c r="BS62" s="213">
        <f t="shared" si="151"/>
        <v>8.2335430620385841E-2</v>
      </c>
      <c r="BT62" s="213">
        <f t="shared" si="151"/>
        <v>6.7998908743692743E-2</v>
      </c>
      <c r="BU62" s="213">
        <f t="shared" si="151"/>
        <v>9.4468183393001004E-2</v>
      </c>
      <c r="BV62" s="210">
        <f t="shared" si="151"/>
        <v>6.4850649995037424E-2</v>
      </c>
      <c r="BW62" s="213">
        <f t="shared" si="151"/>
        <v>2.3816439151902458E-2</v>
      </c>
      <c r="BX62" s="213">
        <f t="shared" si="151"/>
        <v>-6.1757719714962578E-2</v>
      </c>
      <c r="BY62" s="213">
        <f t="shared" si="151"/>
        <v>-5.2302190433616835E-2</v>
      </c>
      <c r="BZ62" s="213">
        <f t="shared" si="151"/>
        <v>-6.6160177271289089E-2</v>
      </c>
      <c r="CA62" s="210">
        <f t="shared" si="151"/>
        <v>-4.2449093704858276E-2</v>
      </c>
      <c r="CB62" s="213">
        <f t="shared" si="151"/>
        <v>-7.0212765957446854E-2</v>
      </c>
      <c r="CC62" s="213">
        <f t="shared" si="151"/>
        <v>-7.3284477015322924E-3</v>
      </c>
      <c r="CD62" s="213">
        <f t="shared" si="151"/>
        <v>6.7385444743935263E-2</v>
      </c>
      <c r="CE62" s="213">
        <f t="shared" si="151"/>
        <v>0.10570621468926622</v>
      </c>
      <c r="CF62" s="210">
        <f t="shared" si="151"/>
        <v>2.8726682887266097E-2</v>
      </c>
      <c r="CG62" s="211">
        <f t="shared" si="151"/>
        <v>7.0938215102974933E-2</v>
      </c>
      <c r="CH62" s="211">
        <f t="shared" si="151"/>
        <v>0.14610738255033606</v>
      </c>
      <c r="CI62" s="211">
        <f t="shared" si="151"/>
        <v>0.14505997474747367</v>
      </c>
      <c r="CJ62" s="211">
        <f t="shared" si="151"/>
        <v>0.17623013642634433</v>
      </c>
      <c r="CK62" s="210">
        <f t="shared" si="151"/>
        <v>0.13960281294839727</v>
      </c>
      <c r="CL62" s="211">
        <f t="shared" si="151"/>
        <v>0.21011396011396011</v>
      </c>
      <c r="CM62" s="211">
        <f t="shared" ref="CM62:DJ62" si="152">CM17/CH17-1</f>
        <v>0.15260291620307931</v>
      </c>
      <c r="CN62" s="211">
        <f t="shared" si="152"/>
        <v>0.15262367162410073</v>
      </c>
      <c r="CO62" s="211">
        <f t="shared" si="152"/>
        <v>-3.7185056472631817E-2</v>
      </c>
      <c r="CP62" s="210">
        <f t="shared" si="152"/>
        <v>0.10333138475054926</v>
      </c>
      <c r="CQ62" s="211">
        <f t="shared" si="152"/>
        <v>0.19170100058858042</v>
      </c>
      <c r="CR62" s="211">
        <f t="shared" si="152"/>
        <v>0.12132296905959694</v>
      </c>
      <c r="CS62" s="211">
        <f t="shared" si="152"/>
        <v>7.4237061130774773E-2</v>
      </c>
      <c r="CT62" s="211">
        <f t="shared" si="152"/>
        <v>4.7148529146364249E-2</v>
      </c>
      <c r="CU62" s="210">
        <f t="shared" si="152"/>
        <v>0.10335703447324485</v>
      </c>
      <c r="CV62" s="211">
        <f t="shared" si="152"/>
        <v>5.3044895540083514E-2</v>
      </c>
      <c r="CW62" s="211">
        <f t="shared" si="152"/>
        <v>2.4919577726424613E-2</v>
      </c>
      <c r="CX62" s="211">
        <f t="shared" si="152"/>
        <v>9.4322964736943238E-2</v>
      </c>
      <c r="CY62" s="211">
        <f t="shared" si="152"/>
        <v>0.2457687655047589</v>
      </c>
      <c r="CZ62" s="210">
        <f t="shared" si="152"/>
        <v>0.10736321441907437</v>
      </c>
      <c r="DA62" s="211">
        <f t="shared" si="152"/>
        <v>5.0560480277657582E-2</v>
      </c>
      <c r="DB62" s="211">
        <f t="shared" si="152"/>
        <v>7.4399893903896341E-2</v>
      </c>
      <c r="DC62" s="211">
        <f t="shared" si="152"/>
        <v>0.17279631064921586</v>
      </c>
      <c r="DD62" s="211">
        <f t="shared" si="152"/>
        <v>4.6240463985598002E-2</v>
      </c>
      <c r="DE62" s="210">
        <f t="shared" si="152"/>
        <v>8.564643076398526E-2</v>
      </c>
      <c r="DF62" s="211">
        <f t="shared" si="152"/>
        <v>-0.10429037010580855</v>
      </c>
      <c r="DG62" s="211">
        <f t="shared" si="152"/>
        <v>-6.6771381270920749E-2</v>
      </c>
      <c r="DH62" s="211">
        <f t="shared" si="152"/>
        <v>-0.12882679893140869</v>
      </c>
      <c r="DI62" s="211">
        <f t="shared" si="152"/>
        <v>5.8147114122320209E-2</v>
      </c>
      <c r="DJ62" s="210">
        <f t="shared" si="152"/>
        <v>-5.5901492529574659E-2</v>
      </c>
      <c r="DK62" s="211">
        <f t="shared" ref="DK62:DT62" ca="1" si="153">DK17/DF17-1</f>
        <v>3.8914593809273867E-2</v>
      </c>
      <c r="DL62" s="211">
        <f t="shared" ca="1" si="153"/>
        <v>4.1941086608773492E-2</v>
      </c>
      <c r="DM62" s="211">
        <f t="shared" ca="1" si="153"/>
        <v>3.3828378352149802E-3</v>
      </c>
      <c r="DN62" s="211">
        <f t="shared" ca="1" si="153"/>
        <v>-6.7442816108736259E-2</v>
      </c>
      <c r="DO62" s="210">
        <f t="shared" ca="1" si="153"/>
        <v>-3.4228314720031738E-3</v>
      </c>
      <c r="DP62" s="211">
        <f t="shared" ca="1" si="153"/>
        <v>4.1002807429294741E-2</v>
      </c>
      <c r="DQ62" s="211">
        <f t="shared" ca="1" si="153"/>
        <v>2.6873922849627752E-2</v>
      </c>
      <c r="DR62" s="211">
        <f t="shared" ca="1" si="153"/>
        <v>2.6871183028261747E-2</v>
      </c>
      <c r="DS62" s="211">
        <f t="shared" ca="1" si="153"/>
        <v>2.9944136383497577E-2</v>
      </c>
      <c r="DT62" s="210">
        <f t="shared" ca="1" si="153"/>
        <v>3.075326140310608E-2</v>
      </c>
      <c r="DU62" s="211">
        <f t="shared" ref="DU62" ca="1" si="154">DU17/DP17-1</f>
        <v>4.1013871116563516E-2</v>
      </c>
      <c r="DV62" s="211">
        <f t="shared" ref="DV62" ca="1" si="155">DV17/DQ17-1</f>
        <v>4.4010795527457125E-2</v>
      </c>
      <c r="DW62" s="211">
        <f t="shared" ref="DW62" ca="1" si="156">DW17/DR17-1</f>
        <v>4.6592866126535792E-2</v>
      </c>
      <c r="DX62" s="211">
        <f t="shared" ref="DX62" ca="1" si="157">DX17/DS17-1</f>
        <v>4.07666006547871E-2</v>
      </c>
      <c r="DY62" s="210">
        <f t="shared" ref="DY62" ca="1" si="158">DY17/DT17-1</f>
        <v>4.3055798560137193E-2</v>
      </c>
      <c r="DZ62" s="205"/>
    </row>
    <row r="63" spans="1:130" x14ac:dyDescent="0.2">
      <c r="A63" s="205"/>
      <c r="B63" s="206" t="s">
        <v>209</v>
      </c>
      <c r="C63" s="213"/>
      <c r="D63" s="213"/>
      <c r="E63" s="209"/>
      <c r="F63" s="209"/>
      <c r="G63" s="209"/>
      <c r="H63" s="209"/>
      <c r="I63" s="210"/>
      <c r="J63" s="209"/>
      <c r="K63" s="209"/>
      <c r="L63" s="209"/>
      <c r="M63" s="209"/>
      <c r="N63" s="210">
        <f>N29/I29-1</f>
        <v>-0.32254280199533492</v>
      </c>
      <c r="O63" s="209"/>
      <c r="P63" s="209"/>
      <c r="Q63" s="209"/>
      <c r="R63" s="209"/>
      <c r="S63" s="210">
        <f>S29/N29-1</f>
        <v>0.35560341106153004</v>
      </c>
      <c r="T63" s="209"/>
      <c r="U63" s="209"/>
      <c r="V63" s="209"/>
      <c r="W63" s="209"/>
      <c r="X63" s="210">
        <f>X29/S29-1</f>
        <v>0.12893599056671889</v>
      </c>
      <c r="Y63" s="209"/>
      <c r="Z63" s="209"/>
      <c r="AA63" s="209"/>
      <c r="AB63" s="209"/>
      <c r="AC63" s="210">
        <f>AC29/X29-1</f>
        <v>0.14795776918117554</v>
      </c>
      <c r="AD63" s="209"/>
      <c r="AE63" s="209"/>
      <c r="AF63" s="209"/>
      <c r="AG63" s="209"/>
      <c r="AH63" s="210">
        <f>AH29/AC29-1</f>
        <v>-0.43975860476022766</v>
      </c>
      <c r="AI63" s="209"/>
      <c r="AJ63" s="209"/>
      <c r="AK63" s="209"/>
      <c r="AL63" s="209"/>
      <c r="AM63" s="210">
        <f>AM29/AH29-1</f>
        <v>0.75889724310777051</v>
      </c>
      <c r="AN63" s="209"/>
      <c r="AO63" s="209"/>
      <c r="AP63" s="209"/>
      <c r="AQ63" s="209"/>
      <c r="AR63" s="210">
        <f>AR29/AM29-1</f>
        <v>0.18652037617555406</v>
      </c>
      <c r="AS63" s="209"/>
      <c r="AT63" s="209"/>
      <c r="AU63" s="1677"/>
      <c r="AV63" s="209"/>
      <c r="AW63" s="210">
        <f>AW29/AR29-1</f>
        <v>8.6345622673226652E-2</v>
      </c>
      <c r="AX63" s="211"/>
      <c r="AY63" s="211"/>
      <c r="AZ63" s="1677"/>
      <c r="BA63" s="209"/>
      <c r="BB63" s="210">
        <f>BB29/AW29-1</f>
        <v>0.33827105903162225</v>
      </c>
      <c r="BC63" s="211"/>
      <c r="BD63" s="211"/>
      <c r="BE63" s="211"/>
      <c r="BF63" s="211"/>
      <c r="BG63" s="210">
        <f t="shared" ref="BG63:CL63" si="159">BG29/BB29-1</f>
        <v>-9.1690071039199905E-3</v>
      </c>
      <c r="BH63" s="213">
        <f t="shared" si="159"/>
        <v>0.24020807833537483</v>
      </c>
      <c r="BI63" s="213">
        <f t="shared" si="159"/>
        <v>1.134262003556624</v>
      </c>
      <c r="BJ63" s="213">
        <f t="shared" si="159"/>
        <v>1.4278131634819493</v>
      </c>
      <c r="BK63" s="213">
        <f t="shared" si="159"/>
        <v>0.95093795093795208</v>
      </c>
      <c r="BL63" s="210">
        <f t="shared" si="159"/>
        <v>1.1865777407253</v>
      </c>
      <c r="BM63" s="213">
        <f t="shared" si="159"/>
        <v>0.83814458425857175</v>
      </c>
      <c r="BN63" s="213">
        <f t="shared" si="159"/>
        <v>7.0962366338009009E-2</v>
      </c>
      <c r="BO63" s="213">
        <f t="shared" si="159"/>
        <v>6.7337122868382782E-2</v>
      </c>
      <c r="BP63" s="213">
        <f t="shared" si="159"/>
        <v>0.16999506903353412</v>
      </c>
      <c r="BQ63" s="210">
        <f t="shared" si="159"/>
        <v>0.21915510141833017</v>
      </c>
      <c r="BR63" s="213">
        <f t="shared" si="159"/>
        <v>-8.859060402684471E-3</v>
      </c>
      <c r="BS63" s="213">
        <f t="shared" si="159"/>
        <v>0.14950726141077797</v>
      </c>
      <c r="BT63" s="213">
        <f t="shared" si="159"/>
        <v>0.39464700259456897</v>
      </c>
      <c r="BU63" s="213">
        <f t="shared" si="159"/>
        <v>0.10567906437677732</v>
      </c>
      <c r="BV63" s="210">
        <f t="shared" si="159"/>
        <v>0.15611708781586064</v>
      </c>
      <c r="BW63" s="213">
        <f t="shared" si="159"/>
        <v>4.279523293607812E-2</v>
      </c>
      <c r="BX63" s="213">
        <f t="shared" si="159"/>
        <v>-7.3886068809923433E-2</v>
      </c>
      <c r="BY63" s="213">
        <f t="shared" si="159"/>
        <v>-0.20885146382062114</v>
      </c>
      <c r="BZ63" s="213">
        <f t="shared" si="159"/>
        <v>-2.3251381741949184E-2</v>
      </c>
      <c r="CA63" s="210">
        <f t="shared" si="159"/>
        <v>-7.3793551179395456E-2</v>
      </c>
      <c r="CB63" s="213">
        <f t="shared" si="159"/>
        <v>-7.532467532467535E-2</v>
      </c>
      <c r="CC63" s="213">
        <f t="shared" si="159"/>
        <v>-8.5261875761266648E-3</v>
      </c>
      <c r="CD63" s="213">
        <f t="shared" si="159"/>
        <v>7.3019801980197974E-2</v>
      </c>
      <c r="CE63" s="213">
        <f t="shared" si="159"/>
        <v>3.7853658536586732E-2</v>
      </c>
      <c r="CF63" s="210">
        <f t="shared" si="159"/>
        <v>9.5794392523349536E-3</v>
      </c>
      <c r="CG63" s="211">
        <f t="shared" si="159"/>
        <v>8.8483146067415808E-2</v>
      </c>
      <c r="CH63" s="211">
        <f t="shared" si="159"/>
        <v>0.18599508599508696</v>
      </c>
      <c r="CI63" s="211">
        <f t="shared" si="159"/>
        <v>0.16029411764705692</v>
      </c>
      <c r="CJ63" s="211">
        <f t="shared" si="159"/>
        <v>6.1289716112049808E-2</v>
      </c>
      <c r="CK63" s="210">
        <f t="shared" si="159"/>
        <v>0.22175856283268636</v>
      </c>
      <c r="CL63" s="211">
        <f t="shared" si="159"/>
        <v>0.23354838709677428</v>
      </c>
      <c r="CM63" s="211">
        <f t="shared" ref="CM63:DJ63" si="160">CM29/CH29-1</f>
        <v>0.16148746633519617</v>
      </c>
      <c r="CN63" s="211">
        <f t="shared" si="160"/>
        <v>0.19923457342379614</v>
      </c>
      <c r="CO63" s="211">
        <f t="shared" si="160"/>
        <v>0.11975199291408467</v>
      </c>
      <c r="CP63" s="210">
        <f t="shared" si="160"/>
        <v>7.6840204812496316E-2</v>
      </c>
      <c r="CQ63" s="211">
        <f t="shared" si="160"/>
        <v>0.12698744769874271</v>
      </c>
      <c r="CR63" s="211">
        <f t="shared" si="160"/>
        <v>6.403281904932201E-2</v>
      </c>
      <c r="CS63" s="211">
        <f t="shared" si="160"/>
        <v>4.1445623342157845E-3</v>
      </c>
      <c r="CT63" s="211">
        <f t="shared" si="160"/>
        <v>5.1415915203303353E-3</v>
      </c>
      <c r="CU63" s="210">
        <f t="shared" si="160"/>
        <v>4.5009784735812408E-2</v>
      </c>
      <c r="CV63" s="211">
        <f t="shared" si="160"/>
        <v>9.1516614070918045E-2</v>
      </c>
      <c r="CW63" s="211">
        <f t="shared" si="160"/>
        <v>1.7517391668755433E-2</v>
      </c>
      <c r="CX63" s="211">
        <f t="shared" si="160"/>
        <v>5.0087287962961247E-2</v>
      </c>
      <c r="CY63" s="211">
        <f t="shared" si="160"/>
        <v>0.19052862820492233</v>
      </c>
      <c r="CZ63" s="210">
        <f t="shared" si="160"/>
        <v>8.8852516201305631E-2</v>
      </c>
      <c r="DA63" s="211">
        <f t="shared" si="160"/>
        <v>-5.714285714286238E-2</v>
      </c>
      <c r="DB63" s="211">
        <f t="shared" si="160"/>
        <v>7.0016474464609235E-3</v>
      </c>
      <c r="DC63" s="211">
        <f t="shared" si="160"/>
        <v>0.2251628973113966</v>
      </c>
      <c r="DD63" s="211">
        <f t="shared" si="160"/>
        <v>7.3701033640818814E-2</v>
      </c>
      <c r="DE63" s="210">
        <f t="shared" si="160"/>
        <v>6.555118201601684E-2</v>
      </c>
      <c r="DF63" s="211">
        <f t="shared" si="160"/>
        <v>-8.5317460317460569E-2</v>
      </c>
      <c r="DG63" s="211">
        <f t="shared" si="160"/>
        <v>-4.6692159542614298E-2</v>
      </c>
      <c r="DH63" s="211">
        <f t="shared" si="160"/>
        <v>-0.14791273169149854</v>
      </c>
      <c r="DI63" s="211">
        <f t="shared" si="160"/>
        <v>7.2623559138152105E-2</v>
      </c>
      <c r="DJ63" s="210">
        <f t="shared" si="160"/>
        <v>-4.7920913707394819E-2</v>
      </c>
      <c r="DK63" s="211">
        <f t="shared" ref="DK63:DT63" ca="1" si="161">DK29/DF29-1</f>
        <v>0.25763853468740106</v>
      </c>
      <c r="DL63" s="211">
        <f t="shared" ca="1" si="161"/>
        <v>0.10110938739526665</v>
      </c>
      <c r="DM63" s="211">
        <f t="shared" ca="1" si="161"/>
        <v>7.7656107785172068E-2</v>
      </c>
      <c r="DN63" s="211">
        <f t="shared" ca="1" si="161"/>
        <v>1.7496448991395352E-2</v>
      </c>
      <c r="DO63" s="210">
        <f t="shared" ca="1" si="161"/>
        <v>9.7667531143083464E-2</v>
      </c>
      <c r="DP63" s="211">
        <f t="shared" ca="1" si="161"/>
        <v>-7.6412996309859427E-2</v>
      </c>
      <c r="DQ63" s="211">
        <f t="shared" ca="1" si="161"/>
        <v>6.8922430098062426E-2</v>
      </c>
      <c r="DR63" s="211">
        <f t="shared" ca="1" si="161"/>
        <v>4.5542217688401276E-2</v>
      </c>
      <c r="DS63" s="211">
        <f t="shared" ca="1" si="161"/>
        <v>4.5625739268039922E-2</v>
      </c>
      <c r="DT63" s="210">
        <f t="shared" ca="1" si="161"/>
        <v>2.3780737934738561E-2</v>
      </c>
      <c r="DU63" s="211">
        <f t="shared" ref="DU63" ca="1" si="162">DU29/DP29-1</f>
        <v>6.8488111752799341E-2</v>
      </c>
      <c r="DV63" s="211">
        <f t="shared" ref="DV63" ca="1" si="163">DV29/DQ29-1</f>
        <v>6.8351099014513972E-2</v>
      </c>
      <c r="DW63" s="211">
        <f t="shared" ref="DW63" ca="1" si="164">DW29/DR29-1</f>
        <v>6.9269698543063418E-2</v>
      </c>
      <c r="DX63" s="211">
        <f t="shared" ref="DX63" ca="1" si="165">DX29/DS29-1</f>
        <v>5.7722318010666296E-2</v>
      </c>
      <c r="DY63" s="210">
        <f t="shared" ref="DY63" ca="1" si="166">DY29/DT29-1</f>
        <v>6.5271939987653571E-2</v>
      </c>
      <c r="DZ63" s="205"/>
    </row>
    <row r="64" spans="1:130" ht="12" thickBot="1" x14ac:dyDescent="0.25">
      <c r="A64" s="214"/>
      <c r="B64" s="215" t="s">
        <v>210</v>
      </c>
      <c r="C64" s="216"/>
      <c r="D64" s="216"/>
      <c r="E64" s="217"/>
      <c r="F64" s="217"/>
      <c r="G64" s="217"/>
      <c r="H64" s="217"/>
      <c r="I64" s="218"/>
      <c r="J64" s="217"/>
      <c r="K64" s="217"/>
      <c r="L64" s="217"/>
      <c r="M64" s="217"/>
      <c r="N64" s="218">
        <f>N35/I35-1</f>
        <v>-0.36324800372444488</v>
      </c>
      <c r="O64" s="217"/>
      <c r="P64" s="217"/>
      <c r="Q64" s="217"/>
      <c r="R64" s="217"/>
      <c r="S64" s="218">
        <f>S35/N35-1</f>
        <v>0.33678487901014553</v>
      </c>
      <c r="T64" s="217"/>
      <c r="U64" s="217"/>
      <c r="V64" s="217"/>
      <c r="W64" s="217"/>
      <c r="X64" s="218">
        <f>X35/S35-1</f>
        <v>0.12719734707727337</v>
      </c>
      <c r="Y64" s="217"/>
      <c r="Z64" s="217"/>
      <c r="AA64" s="217"/>
      <c r="AB64" s="217"/>
      <c r="AC64" s="218">
        <f>AC35/X35-1</f>
        <v>0.14183814136752582</v>
      </c>
      <c r="AD64" s="217"/>
      <c r="AE64" s="217"/>
      <c r="AF64" s="219"/>
      <c r="AG64" s="217"/>
      <c r="AH64" s="218">
        <f>AH35/AC35-1</f>
        <v>-0.44017024428648754</v>
      </c>
      <c r="AI64" s="217"/>
      <c r="AJ64" s="217"/>
      <c r="AK64" s="217"/>
      <c r="AL64" s="217"/>
      <c r="AM64" s="218">
        <f>AM35/AH35-1</f>
        <v>0.77191646770516331</v>
      </c>
      <c r="AN64" s="217"/>
      <c r="AO64" s="217"/>
      <c r="AP64" s="217"/>
      <c r="AQ64" s="217"/>
      <c r="AR64" s="218">
        <f>AR35/AM35-1</f>
        <v>0.17910189644220198</v>
      </c>
      <c r="AS64" s="220"/>
      <c r="AT64" s="217"/>
      <c r="AU64" s="217"/>
      <c r="AV64" s="217"/>
      <c r="AW64" s="218">
        <f>AW35/AR35-1</f>
        <v>6.7114793370124159E-2</v>
      </c>
      <c r="AX64" s="217"/>
      <c r="AY64" s="217"/>
      <c r="AZ64" s="217"/>
      <c r="BA64" s="217"/>
      <c r="BB64" s="218">
        <f>BB35/AW35-1</f>
        <v>0.32046136813196191</v>
      </c>
      <c r="BC64" s="217"/>
      <c r="BD64" s="217"/>
      <c r="BE64" s="217"/>
      <c r="BF64" s="217"/>
      <c r="BG64" s="218">
        <f t="shared" ref="BG64:BZ64" si="167">BG35/BB35-1</f>
        <v>-2.2640220790739685E-2</v>
      </c>
      <c r="BH64" s="216">
        <f t="shared" si="167"/>
        <v>0.11972393537727766</v>
      </c>
      <c r="BI64" s="216">
        <f t="shared" si="167"/>
        <v>0.17692269706662178</v>
      </c>
      <c r="BJ64" s="216">
        <f t="shared" si="167"/>
        <v>0.36520600844232143</v>
      </c>
      <c r="BK64" s="216">
        <f t="shared" si="167"/>
        <v>0.12478216321776747</v>
      </c>
      <c r="BL64" s="218">
        <f t="shared" si="167"/>
        <v>0.35995635543579696</v>
      </c>
      <c r="BM64" s="216">
        <f t="shared" si="167"/>
        <v>0.17700366579423976</v>
      </c>
      <c r="BN64" s="216">
        <f t="shared" si="167"/>
        <v>0.19580441717661246</v>
      </c>
      <c r="BO64" s="216">
        <f t="shared" si="167"/>
        <v>0.22964881719909536</v>
      </c>
      <c r="BP64" s="216">
        <f t="shared" si="167"/>
        <v>0.18345951686277262</v>
      </c>
      <c r="BQ64" s="218">
        <f t="shared" si="167"/>
        <v>0.18718165717802226</v>
      </c>
      <c r="BR64" s="216">
        <f t="shared" si="167"/>
        <v>-2.8287158221395048E-3</v>
      </c>
      <c r="BS64" s="216">
        <f t="shared" si="167"/>
        <v>8.2116502363794197E-2</v>
      </c>
      <c r="BT64" s="216">
        <f t="shared" si="167"/>
        <v>8.242902141587849E-2</v>
      </c>
      <c r="BU64" s="216">
        <f t="shared" si="167"/>
        <v>0.14178544875452381</v>
      </c>
      <c r="BV64" s="218">
        <f t="shared" si="167"/>
        <v>7.5977433346035905E-2</v>
      </c>
      <c r="BW64" s="216">
        <f t="shared" si="167"/>
        <v>0.10043736432438544</v>
      </c>
      <c r="BX64" s="216">
        <f t="shared" si="167"/>
        <v>-6.045377590240375E-3</v>
      </c>
      <c r="BY64" s="216">
        <f t="shared" si="167"/>
        <v>-2.7221399706327531E-3</v>
      </c>
      <c r="BZ64" s="216">
        <f t="shared" si="167"/>
        <v>1.1739132376700434E-2</v>
      </c>
      <c r="CA64" s="218">
        <f t="shared" ref="CA64:CO64" si="168">CA39/BV39-1</f>
        <v>2.8014007468820656E-2</v>
      </c>
      <c r="CB64" s="218">
        <f t="shared" si="168"/>
        <v>-5.9281331526906955E-2</v>
      </c>
      <c r="CC64" s="218">
        <f t="shared" si="168"/>
        <v>3.1345011671495282E-3</v>
      </c>
      <c r="CD64" s="218">
        <f t="shared" si="168"/>
        <v>8.3126501347949189E-2</v>
      </c>
      <c r="CE64" s="218">
        <f t="shared" si="168"/>
        <v>0.11907878971864272</v>
      </c>
      <c r="CF64" s="218">
        <f t="shared" si="168"/>
        <v>3.9722256715835957E-2</v>
      </c>
      <c r="CG64" s="217">
        <f t="shared" si="168"/>
        <v>0.14274017246188686</v>
      </c>
      <c r="CH64" s="217">
        <f t="shared" si="168"/>
        <v>0.24760590858318432</v>
      </c>
      <c r="CI64" s="217">
        <f t="shared" si="168"/>
        <v>0.21484693010720068</v>
      </c>
      <c r="CJ64" s="217">
        <f t="shared" si="168"/>
        <v>0.27401800633947726</v>
      </c>
      <c r="CK64" s="218">
        <f t="shared" si="168"/>
        <v>0.22611056688021436</v>
      </c>
      <c r="CL64" s="217">
        <f t="shared" si="168"/>
        <v>0.28244019104727514</v>
      </c>
      <c r="CM64" s="217">
        <f t="shared" si="168"/>
        <v>0.19583905469295448</v>
      </c>
      <c r="CN64" s="217">
        <f t="shared" si="168"/>
        <v>0.23969503771302003</v>
      </c>
      <c r="CO64" s="217">
        <f t="shared" si="168"/>
        <v>-1.8396241861104001E-2</v>
      </c>
      <c r="CP64" s="218">
        <f>CP35/CK35-1</f>
        <v>0.11367047435577904</v>
      </c>
      <c r="CQ64" s="217">
        <f>CQ39/CL39-1</f>
        <v>0.22209814786826088</v>
      </c>
      <c r="CR64" s="217">
        <f>CR35/CM35-1</f>
        <v>0.1192401039420643</v>
      </c>
      <c r="CS64" s="217">
        <f>CS35/CN35-1</f>
        <v>8.9501745886066075E-2</v>
      </c>
      <c r="CT64" s="217">
        <f>CT35/CO35-1</f>
        <v>4.7677744702913305E-2</v>
      </c>
      <c r="CU64" s="218">
        <f>CU35/CP35-1</f>
        <v>0.1033580337591109</v>
      </c>
      <c r="CV64" s="217">
        <f t="shared" ref="CV64:DJ64" si="169">CV39/CQ39-1</f>
        <v>0.1216892078910794</v>
      </c>
      <c r="CW64" s="217">
        <f t="shared" si="169"/>
        <v>7.7462103191733078E-2</v>
      </c>
      <c r="CX64" s="217">
        <f t="shared" si="169"/>
        <v>0.11917004881174775</v>
      </c>
      <c r="CY64" s="217">
        <f t="shared" si="169"/>
        <v>0.26503598947546236</v>
      </c>
      <c r="CZ64" s="218">
        <f t="shared" si="169"/>
        <v>0.14928303394236719</v>
      </c>
      <c r="DA64" s="217">
        <f t="shared" si="169"/>
        <v>3.9824133263202555E-2</v>
      </c>
      <c r="DB64" s="217">
        <f t="shared" si="169"/>
        <v>8.3446655754691124E-2</v>
      </c>
      <c r="DC64" s="217">
        <f t="shared" si="169"/>
        <v>0.27267688142100455</v>
      </c>
      <c r="DD64" s="217">
        <f t="shared" si="169"/>
        <v>0.1175043823884292</v>
      </c>
      <c r="DE64" s="218">
        <f t="shared" si="169"/>
        <v>0.13091060938165167</v>
      </c>
      <c r="DF64" s="217">
        <f t="shared" si="169"/>
        <v>-1.4113133178194182E-2</v>
      </c>
      <c r="DG64" s="217">
        <f t="shared" si="169"/>
        <v>7.9847205225982432E-3</v>
      </c>
      <c r="DH64" s="217">
        <f t="shared" si="169"/>
        <v>-8.3575990954243284E-2</v>
      </c>
      <c r="DI64" s="217">
        <f t="shared" si="169"/>
        <v>0.12312796376880453</v>
      </c>
      <c r="DJ64" s="218">
        <f t="shared" si="169"/>
        <v>1.1590555020601689E-2</v>
      </c>
      <c r="DK64" s="217">
        <f t="shared" ref="DK64:DT64" ca="1" si="170">DK39/DF39-1</f>
        <v>0.2054722260218762</v>
      </c>
      <c r="DL64" s="217">
        <f t="shared" ca="1" si="170"/>
        <v>6.3888792870331779E-2</v>
      </c>
      <c r="DM64" s="217">
        <f t="shared" ca="1" si="170"/>
        <v>4.2059338407189006E-2</v>
      </c>
      <c r="DN64" s="217">
        <f t="shared" ca="1" si="170"/>
        <v>-1.2018785403866805E-2</v>
      </c>
      <c r="DO64" s="218">
        <f t="shared" ca="1" si="170"/>
        <v>6.166016990395029E-2</v>
      </c>
      <c r="DP64" s="217">
        <f t="shared" ca="1" si="170"/>
        <v>-6.8259265593855867E-2</v>
      </c>
      <c r="DQ64" s="217">
        <f t="shared" ca="1" si="170"/>
        <v>6.1607724285698717E-2</v>
      </c>
      <c r="DR64" s="217">
        <f t="shared" ca="1" si="170"/>
        <v>4.1160141020011087E-2</v>
      </c>
      <c r="DS64" s="217">
        <f t="shared" ca="1" si="170"/>
        <v>4.2014724710022655E-2</v>
      </c>
      <c r="DT64" s="218">
        <f t="shared" ca="1" si="170"/>
        <v>2.1506265356418419E-2</v>
      </c>
      <c r="DU64" s="217">
        <f t="shared" ref="DU64" ca="1" si="171">DU39/DP39-1</f>
        <v>6.0644623601119552E-2</v>
      </c>
      <c r="DV64" s="217">
        <f t="shared" ref="DV64" ca="1" si="172">DV39/DQ39-1</f>
        <v>6.1517999988153882E-2</v>
      </c>
      <c r="DW64" s="217">
        <f t="shared" ref="DW64" ca="1" si="173">DW39/DR39-1</f>
        <v>6.2868053926672829E-2</v>
      </c>
      <c r="DX64" s="217">
        <f t="shared" ref="DX64" ca="1" si="174">DX39/DS39-1</f>
        <v>5.3338129373814214E-2</v>
      </c>
      <c r="DY64" s="218">
        <f t="shared" ref="DY64" ca="1" si="175">DY39/DT39-1</f>
        <v>5.9160537813474967E-2</v>
      </c>
      <c r="DZ64" s="214"/>
    </row>
    <row r="65" spans="1:130" ht="11.25" customHeight="1" thickBot="1" x14ac:dyDescent="0.25">
      <c r="A65" s="18"/>
      <c r="B65" s="179"/>
      <c r="C65" s="180"/>
      <c r="D65" s="180"/>
      <c r="E65" s="181"/>
      <c r="F65" s="181"/>
      <c r="G65" s="181"/>
      <c r="H65" s="181"/>
      <c r="I65" s="182"/>
      <c r="J65" s="183"/>
      <c r="K65" s="183"/>
      <c r="L65" s="183"/>
      <c r="M65" s="181"/>
      <c r="N65" s="181"/>
      <c r="O65" s="181"/>
      <c r="P65" s="181"/>
      <c r="Q65" s="181"/>
      <c r="R65" s="181"/>
      <c r="S65" s="181"/>
      <c r="T65" s="181"/>
      <c r="U65" s="181"/>
      <c r="V65" s="181"/>
      <c r="W65" s="181"/>
      <c r="X65" s="181"/>
      <c r="Y65" s="181"/>
      <c r="Z65" s="181"/>
      <c r="AA65" s="181"/>
      <c r="AB65" s="181"/>
      <c r="AC65" s="181"/>
      <c r="AD65" s="183"/>
      <c r="AE65" s="183"/>
      <c r="AF65" s="183"/>
      <c r="AG65" s="181"/>
      <c r="AH65" s="181"/>
      <c r="AI65" s="183"/>
      <c r="AJ65" s="183"/>
      <c r="AK65" s="183"/>
      <c r="AL65" s="181"/>
      <c r="AM65" s="181"/>
      <c r="AN65" s="181"/>
      <c r="AO65" s="181"/>
      <c r="AP65" s="181"/>
      <c r="AQ65" s="181"/>
      <c r="AR65" s="181"/>
      <c r="AS65" s="184"/>
      <c r="AT65" s="184"/>
      <c r="AU65" s="185"/>
      <c r="AV65" s="181"/>
      <c r="AW65" s="181"/>
      <c r="AX65" s="186"/>
      <c r="AY65" s="186"/>
      <c r="AZ65" s="185"/>
      <c r="BA65" s="181"/>
      <c r="BB65" s="181"/>
      <c r="BC65" s="186"/>
      <c r="BD65" s="186"/>
      <c r="BE65" s="186"/>
      <c r="BF65" s="186"/>
      <c r="BG65" s="181"/>
      <c r="BH65" s="186"/>
      <c r="BI65" s="186"/>
      <c r="BJ65" s="186"/>
      <c r="BK65" s="184"/>
      <c r="BL65" s="181"/>
      <c r="BM65" s="184"/>
      <c r="BN65" s="184"/>
      <c r="BO65" s="184"/>
      <c r="BP65" s="184"/>
      <c r="BQ65" s="181"/>
      <c r="BR65" s="184"/>
      <c r="BS65" s="184"/>
      <c r="BT65" s="187"/>
      <c r="BU65" s="184"/>
      <c r="BV65" s="181"/>
      <c r="BW65" s="184"/>
      <c r="BX65" s="184"/>
      <c r="BY65" s="184"/>
      <c r="BZ65" s="184"/>
      <c r="CA65" s="181"/>
      <c r="CB65" s="184"/>
      <c r="CC65" s="184"/>
      <c r="CD65" s="184"/>
      <c r="CE65" s="184"/>
      <c r="CF65" s="181"/>
      <c r="CG65" s="184"/>
      <c r="CH65" s="184"/>
      <c r="CI65" s="184"/>
      <c r="CJ65" s="184"/>
      <c r="CK65" s="181"/>
      <c r="CL65" s="184"/>
      <c r="CM65" s="184"/>
      <c r="CN65" s="184"/>
      <c r="CO65" s="184"/>
      <c r="CP65" s="181"/>
      <c r="CQ65" s="184"/>
      <c r="CR65" s="184"/>
      <c r="CS65" s="184"/>
      <c r="CT65" s="184"/>
      <c r="CU65" s="181"/>
      <c r="CV65" s="184"/>
      <c r="CW65" s="184"/>
      <c r="CX65" s="184"/>
      <c r="CY65" s="184"/>
      <c r="CZ65" s="181"/>
      <c r="DA65" s="184"/>
      <c r="DB65" s="184"/>
      <c r="DC65" s="184"/>
      <c r="DD65" s="184"/>
      <c r="DE65" s="181"/>
      <c r="DF65" s="184"/>
      <c r="DG65" s="184"/>
      <c r="DH65" s="187"/>
      <c r="DI65" s="187"/>
      <c r="DJ65" s="187"/>
      <c r="DK65" s="187"/>
      <c r="DL65" s="187"/>
      <c r="DM65" s="187"/>
      <c r="DN65" s="184"/>
      <c r="DO65" s="1"/>
      <c r="DP65" s="184"/>
      <c r="DQ65" s="184"/>
      <c r="DR65" s="184"/>
      <c r="DS65" s="184"/>
      <c r="DT65" s="181"/>
      <c r="DU65" s="184"/>
      <c r="DV65" s="184"/>
      <c r="DW65" s="184"/>
      <c r="DX65" s="184"/>
      <c r="DY65" s="181"/>
      <c r="DZ65" s="18"/>
    </row>
    <row r="66" spans="1:130" ht="11.25" customHeight="1" thickBot="1" x14ac:dyDescent="0.25">
      <c r="A66" s="18"/>
      <c r="B66" s="221" t="s">
        <v>211</v>
      </c>
      <c r="C66" s="17"/>
      <c r="D66" s="200"/>
      <c r="E66" s="200"/>
      <c r="F66" s="200"/>
      <c r="G66" s="200"/>
      <c r="H66" s="200"/>
      <c r="I66" s="201"/>
      <c r="J66" s="202"/>
      <c r="K66" s="202"/>
      <c r="L66" s="202"/>
      <c r="M66" s="200"/>
      <c r="N66" s="200"/>
      <c r="O66" s="200"/>
      <c r="P66" s="200"/>
      <c r="Q66" s="200"/>
      <c r="R66" s="200"/>
      <c r="S66" s="200"/>
      <c r="T66" s="200"/>
      <c r="U66" s="200"/>
      <c r="V66" s="200"/>
      <c r="W66" s="200"/>
      <c r="X66" s="200"/>
      <c r="Y66" s="200"/>
      <c r="Z66" s="200"/>
      <c r="AA66" s="200"/>
      <c r="AB66" s="200"/>
      <c r="AC66" s="200"/>
      <c r="AD66" s="202"/>
      <c r="AE66" s="202"/>
      <c r="AF66" s="202"/>
      <c r="AG66" s="200"/>
      <c r="AH66" s="200"/>
      <c r="AI66" s="202"/>
      <c r="AJ66" s="202"/>
      <c r="AK66" s="202"/>
      <c r="AL66" s="200"/>
      <c r="AM66" s="200"/>
      <c r="AN66" s="200"/>
      <c r="AO66" s="200"/>
      <c r="AP66" s="200"/>
      <c r="AQ66" s="200"/>
      <c r="AR66" s="200"/>
      <c r="AS66" s="203"/>
      <c r="AT66" s="203"/>
      <c r="AU66" s="204"/>
      <c r="AV66" s="200"/>
      <c r="AW66" s="200"/>
      <c r="AX66" s="203"/>
      <c r="AY66" s="203"/>
      <c r="AZ66" s="204"/>
      <c r="BA66" s="200"/>
      <c r="BB66" s="200"/>
      <c r="BC66" s="203"/>
      <c r="BD66" s="203"/>
      <c r="BE66" s="203"/>
      <c r="BF66" s="203"/>
      <c r="BG66" s="200"/>
      <c r="BH66" s="203"/>
      <c r="BI66" s="203"/>
      <c r="BJ66" s="203"/>
      <c r="BK66" s="203"/>
      <c r="BL66" s="200"/>
      <c r="BM66" s="203"/>
      <c r="BN66" s="203"/>
      <c r="BO66" s="203"/>
      <c r="BP66" s="203"/>
      <c r="BQ66" s="200"/>
      <c r="BR66" s="203"/>
      <c r="BS66" s="203"/>
      <c r="BT66" s="203"/>
      <c r="BU66" s="203"/>
      <c r="BV66" s="200"/>
      <c r="BW66" s="203"/>
      <c r="BX66" s="203"/>
      <c r="BY66" s="203"/>
      <c r="BZ66" s="203"/>
      <c r="CA66" s="200"/>
      <c r="CB66" s="203"/>
      <c r="CC66" s="203"/>
      <c r="CD66" s="203"/>
      <c r="CE66" s="203"/>
      <c r="CF66" s="200"/>
      <c r="CG66" s="203"/>
      <c r="CH66" s="203"/>
      <c r="CI66" s="203"/>
      <c r="CJ66" s="203"/>
      <c r="CK66" s="200"/>
      <c r="CL66" s="203"/>
      <c r="CM66" s="203"/>
      <c r="CN66" s="203"/>
      <c r="CO66" s="203"/>
      <c r="CP66" s="200"/>
      <c r="CQ66" s="203"/>
      <c r="CR66" s="203"/>
      <c r="CS66" s="203"/>
      <c r="CT66" s="203"/>
      <c r="CU66" s="200"/>
      <c r="CV66" s="203"/>
      <c r="CW66" s="203"/>
      <c r="CX66" s="203"/>
      <c r="CY66" s="203"/>
      <c r="CZ66" s="200"/>
      <c r="DA66" s="203"/>
      <c r="DB66" s="203"/>
      <c r="DC66" s="203"/>
      <c r="DD66" s="203"/>
      <c r="DE66" s="200"/>
      <c r="DF66" s="203"/>
      <c r="DG66" s="203"/>
      <c r="DH66" s="203"/>
      <c r="DI66" s="203"/>
      <c r="DJ66" s="200"/>
      <c r="DK66" s="203"/>
      <c r="DL66" s="203"/>
      <c r="DM66" s="203"/>
      <c r="DN66" s="203"/>
      <c r="DO66" s="200"/>
      <c r="DP66" s="203"/>
      <c r="DQ66" s="203"/>
      <c r="DR66" s="203"/>
      <c r="DS66" s="203"/>
      <c r="DT66" s="200"/>
      <c r="DU66" s="203"/>
      <c r="DV66" s="203"/>
      <c r="DW66" s="203"/>
      <c r="DX66" s="203"/>
      <c r="DY66" s="200"/>
      <c r="DZ66" s="18"/>
    </row>
    <row r="67" spans="1:130" x14ac:dyDescent="0.2">
      <c r="A67" s="214"/>
      <c r="B67" s="206" t="s">
        <v>173</v>
      </c>
      <c r="C67" s="207"/>
      <c r="D67" s="208"/>
      <c r="E67" s="211"/>
      <c r="F67" s="211"/>
      <c r="G67" s="211"/>
      <c r="H67" s="211"/>
      <c r="I67" s="210">
        <f>(I12+PBM!I46)/I$10</f>
        <v>0.29200471618377899</v>
      </c>
      <c r="J67" s="211"/>
      <c r="K67" s="211"/>
      <c r="L67" s="211"/>
      <c r="M67" s="211"/>
      <c r="N67" s="210">
        <f>(N12+PBM!N46)/N$10</f>
        <v>0.27588268394480819</v>
      </c>
      <c r="O67" s="211"/>
      <c r="P67" s="211"/>
      <c r="Q67" s="211"/>
      <c r="R67" s="211"/>
      <c r="S67" s="210">
        <f>(S12+PBM!S46)/S$10</f>
        <v>0.27034883720930247</v>
      </c>
      <c r="T67" s="211"/>
      <c r="U67" s="211"/>
      <c r="V67" s="211"/>
      <c r="W67" s="211"/>
      <c r="X67" s="210">
        <f>(X12+PBM!X46)/X$10</f>
        <v>0.26861086400380146</v>
      </c>
      <c r="Y67" s="211"/>
      <c r="Z67" s="211"/>
      <c r="AA67" s="211"/>
      <c r="AB67" s="211"/>
      <c r="AC67" s="210">
        <f>(AC12+PBM!AC46)/AC$10</f>
        <v>0.26787305538270073</v>
      </c>
      <c r="AD67" s="211"/>
      <c r="AE67" s="211"/>
      <c r="AF67" s="211"/>
      <c r="AG67" s="211"/>
      <c r="AH67" s="210">
        <f>(AH12+PBM!AH46)/AH$10</f>
        <v>0.24018272231064589</v>
      </c>
      <c r="AI67" s="211"/>
      <c r="AJ67" s="211"/>
      <c r="AK67" s="211"/>
      <c r="AL67" s="211"/>
      <c r="AM67" s="210">
        <f>(AM12+PBM!AM46)/AM$10</f>
        <v>0.25096871575377866</v>
      </c>
      <c r="AN67" s="211"/>
      <c r="AO67" s="211"/>
      <c r="AP67" s="211"/>
      <c r="AQ67" s="211"/>
      <c r="AR67" s="210">
        <f>(AR12+PBM!AR46)/AR$10</f>
        <v>0.25812396569881157</v>
      </c>
      <c r="AS67" s="222"/>
      <c r="AT67" s="211"/>
      <c r="AU67" s="211"/>
      <c r="AV67" s="211"/>
      <c r="AW67" s="210">
        <f>(AW12+PBM!AW46)/AW$10</f>
        <v>0.2625064145935681</v>
      </c>
      <c r="AX67" s="211"/>
      <c r="AY67" s="211"/>
      <c r="AZ67" s="211"/>
      <c r="BA67" s="211"/>
      <c r="BB67" s="210">
        <f>(BB12+PBM!BB46)/BB$10</f>
        <v>0.26196877862657314</v>
      </c>
      <c r="BC67" s="211"/>
      <c r="BD67" s="211"/>
      <c r="BE67" s="211"/>
      <c r="BF67" s="211"/>
      <c r="BG67" s="210">
        <f>(BG12+PBM!BG46)/BG$10</f>
        <v>0.26534893360723127</v>
      </c>
      <c r="BH67" s="208">
        <f t="shared" ref="BH67:BK68" si="176">BH12/BH$10</f>
        <v>0.25401604902689501</v>
      </c>
      <c r="BI67" s="208">
        <f t="shared" si="176"/>
        <v>0.20086169837658746</v>
      </c>
      <c r="BJ67" s="208">
        <f t="shared" si="176"/>
        <v>0.20469183028221244</v>
      </c>
      <c r="BK67" s="208">
        <f t="shared" si="176"/>
        <v>0.20284016333673616</v>
      </c>
      <c r="BL67" s="210">
        <f>(BL12+PBM!BL46)/BL$10</f>
        <v>0.21102850143129454</v>
      </c>
      <c r="BM67" s="208">
        <f t="shared" ref="BM67:BP68" si="177">BM12/BM$10</f>
        <v>0.20130357310325425</v>
      </c>
      <c r="BN67" s="208">
        <f t="shared" si="177"/>
        <v>0.20686556009138962</v>
      </c>
      <c r="BO67" s="208">
        <f t="shared" si="177"/>
        <v>0.21092439391470225</v>
      </c>
      <c r="BP67" s="208">
        <f t="shared" si="177"/>
        <v>0.21636801948455411</v>
      </c>
      <c r="BQ67" s="210">
        <f>(BQ12+PBM!BQ46)/BQ$10</f>
        <v>0.2090945778015568</v>
      </c>
      <c r="BR67" s="208">
        <f t="shared" ref="BR67:BU68" si="178">BR12/BR$10</f>
        <v>0.20295889099295114</v>
      </c>
      <c r="BS67" s="208">
        <f t="shared" si="178"/>
        <v>0.20313536594682172</v>
      </c>
      <c r="BT67" s="208">
        <f t="shared" si="178"/>
        <v>0.20338123277831663</v>
      </c>
      <c r="BU67" s="208">
        <f t="shared" si="178"/>
        <v>0.21564557354194103</v>
      </c>
      <c r="BV67" s="210">
        <f>(BV12+PBM!BV46)/BV$10</f>
        <v>0.20594273814455535</v>
      </c>
      <c r="BW67" s="208">
        <f t="shared" ref="BW67:BZ68" si="179">BW12/BW$10</f>
        <v>0.19974747474747476</v>
      </c>
      <c r="BX67" s="208">
        <f t="shared" si="179"/>
        <v>0.20910567751072603</v>
      </c>
      <c r="BY67" s="208">
        <f t="shared" si="179"/>
        <v>0.21042931937172774</v>
      </c>
      <c r="BZ67" s="208">
        <f t="shared" si="179"/>
        <v>0.22070162690242623</v>
      </c>
      <c r="CA67" s="210">
        <f>(CA12+PBM!CA46)/CA$10</f>
        <v>0.20870629479427047</v>
      </c>
      <c r="CB67" s="208">
        <f t="shared" ref="CB67:CE68" si="180">CB12/CB$10</f>
        <v>0.18357805255023185</v>
      </c>
      <c r="CC67" s="208">
        <f t="shared" si="180"/>
        <v>0.19133275751999698</v>
      </c>
      <c r="CD67" s="208">
        <f t="shared" si="180"/>
        <v>0.19412161655544724</v>
      </c>
      <c r="CE67" s="208">
        <f t="shared" si="180"/>
        <v>0.19618603665642553</v>
      </c>
      <c r="CF67" s="210">
        <f>(CF12+PBM!CF46)/CF$10</f>
        <v>0.18969767441860458</v>
      </c>
      <c r="CG67" s="212">
        <f t="shared" ref="CG67:CJ68" si="181">CG12/CG$10</f>
        <v>0.16601727384895124</v>
      </c>
      <c r="CH67" s="212">
        <f t="shared" si="181"/>
        <v>0.17741515380407888</v>
      </c>
      <c r="CI67" s="212">
        <f t="shared" si="181"/>
        <v>0.18681936527576062</v>
      </c>
      <c r="CJ67" s="212">
        <f t="shared" si="181"/>
        <v>0.20057972861056253</v>
      </c>
      <c r="CK67" s="210">
        <f>(CK12+PBM!CK46)/CK$10</f>
        <v>0.17944677208595228</v>
      </c>
      <c r="CL67" s="212">
        <f t="shared" ref="CL67:CO68" si="182">CL12/CL$10</f>
        <v>0.18145174397815558</v>
      </c>
      <c r="CM67" s="212">
        <f t="shared" si="182"/>
        <v>0.18677176038376486</v>
      </c>
      <c r="CN67" s="212">
        <f t="shared" si="182"/>
        <v>0.1887944544718016</v>
      </c>
      <c r="CO67" s="212">
        <f t="shared" si="182"/>
        <v>0.19305267454363251</v>
      </c>
      <c r="CP67" s="210">
        <f>(CP12+PBM!CP46)/CP$10</f>
        <v>0.18314981629896235</v>
      </c>
      <c r="CQ67" s="212">
        <f t="shared" ref="CQ67:CT68" si="183">CQ12/CQ$10</f>
        <v>0.18178647797876338</v>
      </c>
      <c r="CR67" s="212">
        <f t="shared" si="183"/>
        <v>0.1827393269597587</v>
      </c>
      <c r="CS67" s="212">
        <f t="shared" si="183"/>
        <v>0.18467580972613651</v>
      </c>
      <c r="CT67" s="212">
        <f t="shared" si="183"/>
        <v>0.17902432310627636</v>
      </c>
      <c r="CU67" s="210">
        <f>(CU12+PBM!CU46)/CU$10</f>
        <v>0.17713259642740542</v>
      </c>
      <c r="CV67" s="212">
        <f t="shared" ref="CV67:CY68" si="184">CV12/CV$10</f>
        <v>0.16965671756817768</v>
      </c>
      <c r="CW67" s="212">
        <f t="shared" si="184"/>
        <v>0.17224884244623856</v>
      </c>
      <c r="CX67" s="212">
        <f t="shared" si="184"/>
        <v>0.17236521255016923</v>
      </c>
      <c r="CY67" s="212">
        <f t="shared" si="184"/>
        <v>0.17743826530556661</v>
      </c>
      <c r="CZ67" s="210">
        <f>(CZ12+PBM!CZ46)/CZ$10</f>
        <v>0.16854698142487476</v>
      </c>
      <c r="DA67" s="212">
        <f t="shared" ref="DA67:DC68" si="185">DA12/DA$10</f>
        <v>0.15615179914381577</v>
      </c>
      <c r="DB67" s="212">
        <f t="shared" si="185"/>
        <v>0.16058208863060972</v>
      </c>
      <c r="DC67" s="212">
        <f t="shared" si="185"/>
        <v>0.16804213829429557</v>
      </c>
      <c r="DD67" s="212">
        <f t="shared" ref="DD67:DF68" si="186">DD12/DD$10</f>
        <v>0.16609529444521787</v>
      </c>
      <c r="DE67" s="210">
        <f t="shared" si="186"/>
        <v>0.1628061162699653</v>
      </c>
      <c r="DF67" s="212">
        <f t="shared" si="186"/>
        <v>0.14783347111893891</v>
      </c>
      <c r="DG67" s="212">
        <f t="shared" ref="DG67:DI68" si="187">DG12/DG$10</f>
        <v>0.15191202325708822</v>
      </c>
      <c r="DH67" s="212">
        <f t="shared" si="187"/>
        <v>0.15436195755439427</v>
      </c>
      <c r="DI67" s="212">
        <f t="shared" si="187"/>
        <v>0.16325713379885187</v>
      </c>
      <c r="DJ67" s="210">
        <f t="shared" ref="DJ67" si="188">DJ12/DJ$10</f>
        <v>0.15451275676459941</v>
      </c>
      <c r="DK67" s="212">
        <f t="shared" ref="DK67:DT67" ca="1" si="189">DK12/DK$10</f>
        <v>0.14634939241580794</v>
      </c>
      <c r="DL67" s="212">
        <f t="shared" ca="1" si="189"/>
        <v>0.1457474957373712</v>
      </c>
      <c r="DM67" s="212">
        <f t="shared" ca="1" si="189"/>
        <v>0.14997348445579206</v>
      </c>
      <c r="DN67" s="212">
        <f t="shared" ca="1" si="189"/>
        <v>0.15627201676874417</v>
      </c>
      <c r="DO67" s="210">
        <f t="shared" ca="1" si="189"/>
        <v>0.1496563886437807</v>
      </c>
      <c r="DP67" s="212">
        <f t="shared" ca="1" si="189"/>
        <v>0.14131178486843218</v>
      </c>
      <c r="DQ67" s="212">
        <f t="shared" ca="1" si="189"/>
        <v>0.14033479590088002</v>
      </c>
      <c r="DR67" s="212">
        <f t="shared" ca="1" si="189"/>
        <v>0.14465401516885906</v>
      </c>
      <c r="DS67" s="212">
        <f t="shared" ca="1" si="189"/>
        <v>0.15089060389171891</v>
      </c>
      <c r="DT67" s="210">
        <f t="shared" ca="1" si="189"/>
        <v>0.1443612564291572</v>
      </c>
      <c r="DU67" s="212">
        <f t="shared" ref="DU67:DY67" ca="1" si="190">DU12/DU$10</f>
        <v>0.13913356077556324</v>
      </c>
      <c r="DV67" s="212">
        <f t="shared" ca="1" si="190"/>
        <v>0.13856080390082076</v>
      </c>
      <c r="DW67" s="212">
        <f t="shared" ca="1" si="190"/>
        <v>0.14314052800806765</v>
      </c>
      <c r="DX67" s="212">
        <f t="shared" ca="1" si="190"/>
        <v>0.14942050734861576</v>
      </c>
      <c r="DY67" s="210">
        <f t="shared" ca="1" si="190"/>
        <v>0.14262785763478866</v>
      </c>
      <c r="DZ67" s="214"/>
    </row>
    <row r="68" spans="1:130" x14ac:dyDescent="0.2">
      <c r="A68" s="214"/>
      <c r="B68" s="206" t="s">
        <v>208</v>
      </c>
      <c r="C68" s="213"/>
      <c r="D68" s="213"/>
      <c r="E68" s="211"/>
      <c r="F68" s="211"/>
      <c r="G68" s="211"/>
      <c r="H68" s="211"/>
      <c r="I68" s="210">
        <f>I13/I$10</f>
        <v>0.20695772338483384</v>
      </c>
      <c r="J68" s="211"/>
      <c r="K68" s="211"/>
      <c r="L68" s="211"/>
      <c r="M68" s="211"/>
      <c r="N68" s="210">
        <f>N13/N$10</f>
        <v>0.20190453166474989</v>
      </c>
      <c r="O68" s="211"/>
      <c r="P68" s="211"/>
      <c r="Q68" s="211"/>
      <c r="R68" s="211"/>
      <c r="S68" s="210">
        <f>S13/S$10</f>
        <v>0.1930753718835114</v>
      </c>
      <c r="T68" s="211"/>
      <c r="U68" s="211"/>
      <c r="V68" s="211"/>
      <c r="W68" s="211"/>
      <c r="X68" s="210">
        <f>X13/X$10</f>
        <v>0.1905151312554218</v>
      </c>
      <c r="Y68" s="211"/>
      <c r="Z68" s="211"/>
      <c r="AA68" s="211"/>
      <c r="AB68" s="211"/>
      <c r="AC68" s="210">
        <f>AC13/AC$10</f>
        <v>0.18726073428749221</v>
      </c>
      <c r="AD68" s="211"/>
      <c r="AE68" s="211"/>
      <c r="AF68" s="211"/>
      <c r="AG68" s="211"/>
      <c r="AH68" s="210">
        <f>AH13/AH$10</f>
        <v>0.20678104795561431</v>
      </c>
      <c r="AI68" s="211"/>
      <c r="AJ68" s="211"/>
      <c r="AK68" s="211"/>
      <c r="AL68" s="211"/>
      <c r="AM68" s="210">
        <f>AM13/AM$10</f>
        <v>0.1882554845646465</v>
      </c>
      <c r="AN68" s="211"/>
      <c r="AO68" s="211"/>
      <c r="AP68" s="211"/>
      <c r="AQ68" s="211"/>
      <c r="AR68" s="210">
        <f>AR13/AR$10</f>
        <v>0.19172935158718216</v>
      </c>
      <c r="AS68" s="222"/>
      <c r="AT68" s="211"/>
      <c r="AU68" s="211"/>
      <c r="AV68" s="211"/>
      <c r="AW68" s="210">
        <f>AW13/AW$10</f>
        <v>0.19872002301082231</v>
      </c>
      <c r="AX68" s="211"/>
      <c r="AY68" s="211"/>
      <c r="AZ68" s="211"/>
      <c r="BA68" s="211"/>
      <c r="BB68" s="210">
        <f>BB13/BB$10</f>
        <v>0.2073975793572515</v>
      </c>
      <c r="BC68" s="211"/>
      <c r="BD68" s="211"/>
      <c r="BE68" s="211"/>
      <c r="BF68" s="211"/>
      <c r="BG68" s="210">
        <f>BG13/BG$10</f>
        <v>0.21299457929414028</v>
      </c>
      <c r="BH68" s="208">
        <f t="shared" si="176"/>
        <v>0.18232635043914872</v>
      </c>
      <c r="BI68" s="208">
        <f t="shared" si="176"/>
        <v>0.13759642182647208</v>
      </c>
      <c r="BJ68" s="208">
        <f t="shared" si="176"/>
        <v>0.14267243061790078</v>
      </c>
      <c r="BK68" s="208">
        <f t="shared" si="176"/>
        <v>0.13557769432696518</v>
      </c>
      <c r="BL68" s="210">
        <f>BL13/BL$10</f>
        <v>0.14823102470211386</v>
      </c>
      <c r="BM68" s="208">
        <f t="shared" si="177"/>
        <v>0.13705805120510176</v>
      </c>
      <c r="BN68" s="208">
        <f t="shared" si="177"/>
        <v>0.13694696858606545</v>
      </c>
      <c r="BO68" s="208">
        <f t="shared" si="177"/>
        <v>0.14064821649395595</v>
      </c>
      <c r="BP68" s="208">
        <f t="shared" si="177"/>
        <v>0.14463470603341866</v>
      </c>
      <c r="BQ68" s="210">
        <f>BQ13/BQ$10</f>
        <v>0.13997866743491341</v>
      </c>
      <c r="BR68" s="208">
        <f t="shared" si="178"/>
        <v>0.14408884367292329</v>
      </c>
      <c r="BS68" s="208">
        <f t="shared" si="178"/>
        <v>0.13881171319322427</v>
      </c>
      <c r="BT68" s="208">
        <f t="shared" si="178"/>
        <v>0.13983499648971873</v>
      </c>
      <c r="BU68" s="208">
        <f t="shared" si="178"/>
        <v>0.14224304856324066</v>
      </c>
      <c r="BV68" s="210">
        <f>BV13/BV$10</f>
        <v>0.14121498365726753</v>
      </c>
      <c r="BW68" s="208">
        <f t="shared" si="179"/>
        <v>0.14040404040404039</v>
      </c>
      <c r="BX68" s="208">
        <f t="shared" si="179"/>
        <v>0.14658224684467031</v>
      </c>
      <c r="BY68" s="208">
        <f t="shared" si="179"/>
        <v>0.14827225130890051</v>
      </c>
      <c r="BZ68" s="208">
        <f t="shared" si="179"/>
        <v>0.14924710346776474</v>
      </c>
      <c r="CA68" s="210">
        <f>CA13/CA$10</f>
        <v>0.14616286185472913</v>
      </c>
      <c r="CB68" s="208">
        <f t="shared" si="180"/>
        <v>0.13292117465224113</v>
      </c>
      <c r="CC68" s="208">
        <f t="shared" si="180"/>
        <v>0.13537872244545421</v>
      </c>
      <c r="CD68" s="208">
        <f t="shared" si="180"/>
        <v>0.13473794706455725</v>
      </c>
      <c r="CE68" s="208">
        <f t="shared" si="180"/>
        <v>0.12707207684429847</v>
      </c>
      <c r="CF68" s="210">
        <f>CF13/CF$10</f>
        <v>0.13244</v>
      </c>
      <c r="CG68" s="212">
        <f t="shared" si="181"/>
        <v>0.12042989804532762</v>
      </c>
      <c r="CH68" s="212">
        <f t="shared" si="181"/>
        <v>0.1218158258015784</v>
      </c>
      <c r="CI68" s="212">
        <f t="shared" si="181"/>
        <v>0.12681483294902293</v>
      </c>
      <c r="CJ68" s="212">
        <f t="shared" si="181"/>
        <v>0.12725361534051094</v>
      </c>
      <c r="CK68" s="210">
        <f>CK13/CK$10</f>
        <v>0.12408276531932362</v>
      </c>
      <c r="CL68" s="212">
        <f t="shared" si="182"/>
        <v>0.12622306016968435</v>
      </c>
      <c r="CM68" s="212">
        <f t="shared" si="182"/>
        <v>0.12378273378071768</v>
      </c>
      <c r="CN68" s="212">
        <f t="shared" si="182"/>
        <v>0.12339801239360487</v>
      </c>
      <c r="CO68" s="212">
        <f t="shared" si="182"/>
        <v>0.12554104642414385</v>
      </c>
      <c r="CP68" s="210">
        <f>CP13/CP$10</f>
        <v>0.12473296516895845</v>
      </c>
      <c r="CQ68" s="212">
        <f t="shared" si="183"/>
        <v>0.11984802180556703</v>
      </c>
      <c r="CR68" s="212">
        <f t="shared" si="183"/>
        <v>0.11895252187785392</v>
      </c>
      <c r="CS68" s="212">
        <f t="shared" si="183"/>
        <v>0.12054875489347851</v>
      </c>
      <c r="CT68" s="212">
        <f t="shared" si="183"/>
        <v>0.116390907643441</v>
      </c>
      <c r="CU68" s="210">
        <f>CU13/CU$10</f>
        <v>0.1188825865613329</v>
      </c>
      <c r="CV68" s="212">
        <f t="shared" si="184"/>
        <v>0.11097226656684538</v>
      </c>
      <c r="CW68" s="212">
        <f t="shared" si="184"/>
        <v>0.11138882237569582</v>
      </c>
      <c r="CX68" s="212">
        <f t="shared" si="184"/>
        <v>0.10876784627658145</v>
      </c>
      <c r="CY68" s="212">
        <f t="shared" si="184"/>
        <v>0.10716819036115161</v>
      </c>
      <c r="CZ68" s="210">
        <f>CZ13/CZ$10</f>
        <v>0.10949646737096973</v>
      </c>
      <c r="DA68" s="212">
        <f t="shared" si="185"/>
        <v>0.10432025916926993</v>
      </c>
      <c r="DB68" s="212">
        <f t="shared" si="185"/>
        <v>0.10499870784191304</v>
      </c>
      <c r="DC68" s="212">
        <f t="shared" si="185"/>
        <v>0.10343830550263364</v>
      </c>
      <c r="DD68" s="212">
        <f t="shared" si="186"/>
        <v>0.1002932270639009</v>
      </c>
      <c r="DE68" s="210">
        <f t="shared" si="186"/>
        <v>0.10322289911646994</v>
      </c>
      <c r="DF68" s="212">
        <f t="shared" si="186"/>
        <v>0.10276185255742067</v>
      </c>
      <c r="DG68" s="212">
        <f t="shared" si="187"/>
        <v>0.10226524783437563</v>
      </c>
      <c r="DH68" s="212">
        <f t="shared" si="187"/>
        <v>9.9989809519395581E-2</v>
      </c>
      <c r="DI68" s="212">
        <f t="shared" si="187"/>
        <v>9.7102640939246587E-2</v>
      </c>
      <c r="DJ68" s="210">
        <f>DJ13/DJ$10</f>
        <v>0.1004642016890936</v>
      </c>
      <c r="DK68" s="212">
        <f t="shared" ref="DK68:DT68" ca="1" si="191">DK13/DK$10</f>
        <v>0.10089133913253313</v>
      </c>
      <c r="DL68" s="212">
        <f t="shared" ca="1" si="191"/>
        <v>9.6668029036296552E-2</v>
      </c>
      <c r="DM68" s="212">
        <f t="shared" ca="1" si="191"/>
        <v>9.7251808998495212E-2</v>
      </c>
      <c r="DN68" s="212">
        <f t="shared" ca="1" si="191"/>
        <v>9.545351769487824E-2</v>
      </c>
      <c r="DO68" s="210">
        <f t="shared" ca="1" si="191"/>
        <v>9.7516440007293523E-2</v>
      </c>
      <c r="DP68" s="212">
        <f t="shared" ca="1" si="191"/>
        <v>9.6628679587249355E-2</v>
      </c>
      <c r="DQ68" s="212">
        <f t="shared" ca="1" si="191"/>
        <v>9.2741484274223102E-2</v>
      </c>
      <c r="DR68" s="212">
        <f t="shared" ca="1" si="191"/>
        <v>9.3501970722133454E-2</v>
      </c>
      <c r="DS68" s="212">
        <f t="shared" ca="1" si="191"/>
        <v>9.1602991892459448E-2</v>
      </c>
      <c r="DT68" s="210">
        <f t="shared" ca="1" si="191"/>
        <v>9.3574180736619855E-2</v>
      </c>
      <c r="DU68" s="212">
        <f t="shared" ref="DU68:DY68" ca="1" si="192">DU13/DU$10</f>
        <v>9.4263340547415725E-2</v>
      </c>
      <c r="DV68" s="212">
        <f t="shared" ca="1" si="192"/>
        <v>9.0577209918133353E-2</v>
      </c>
      <c r="DW68" s="212">
        <f t="shared" ca="1" si="192"/>
        <v>9.1395867008131529E-2</v>
      </c>
      <c r="DX68" s="212">
        <f t="shared" ca="1" si="192"/>
        <v>8.9680876026579995E-2</v>
      </c>
      <c r="DY68" s="210">
        <f t="shared" ca="1" si="192"/>
        <v>9.1440214850161877E-2</v>
      </c>
      <c r="DZ68" s="214"/>
    </row>
    <row r="69" spans="1:130" x14ac:dyDescent="0.2">
      <c r="A69" s="214"/>
      <c r="B69" s="206" t="s">
        <v>176</v>
      </c>
      <c r="C69" s="213"/>
      <c r="D69" s="213"/>
      <c r="E69" s="211"/>
      <c r="F69" s="211"/>
      <c r="G69" s="211"/>
      <c r="H69" s="211"/>
      <c r="I69" s="210">
        <f>I15/I$10</f>
        <v>8.5046992798945176E-2</v>
      </c>
      <c r="J69" s="211"/>
      <c r="K69" s="211"/>
      <c r="L69" s="211"/>
      <c r="M69" s="211"/>
      <c r="N69" s="210">
        <f>N15/N$10</f>
        <v>7.3978152280058315E-2</v>
      </c>
      <c r="O69" s="211"/>
      <c r="P69" s="211"/>
      <c r="Q69" s="211"/>
      <c r="R69" s="211"/>
      <c r="S69" s="210">
        <f>S15/S$10</f>
        <v>7.727346532579106E-2</v>
      </c>
      <c r="T69" s="211"/>
      <c r="U69" s="211"/>
      <c r="V69" s="211"/>
      <c r="W69" s="211"/>
      <c r="X69" s="210">
        <f>X15/X$10</f>
        <v>7.8095732748379665E-2</v>
      </c>
      <c r="Y69" s="211"/>
      <c r="Z69" s="211"/>
      <c r="AA69" s="211"/>
      <c r="AB69" s="211"/>
      <c r="AC69" s="210">
        <f>AC15/AC$10</f>
        <v>7.9656502800248954E-2</v>
      </c>
      <c r="AD69" s="211"/>
      <c r="AE69" s="211"/>
      <c r="AF69" s="211"/>
      <c r="AG69" s="211"/>
      <c r="AH69" s="210">
        <f>AH15/AH$10</f>
        <v>4.9093132626543273E-2</v>
      </c>
      <c r="AI69" s="211"/>
      <c r="AJ69" s="211"/>
      <c r="AK69" s="211"/>
      <c r="AL69" s="211"/>
      <c r="AM69" s="210">
        <f>AM15/AM$10</f>
        <v>6.271323118913219E-2</v>
      </c>
      <c r="AN69" s="211"/>
      <c r="AO69" s="211"/>
      <c r="AP69" s="211"/>
      <c r="AQ69" s="211"/>
      <c r="AR69" s="210">
        <f>AR15/AR$10</f>
        <v>6.6394614111629446E-2</v>
      </c>
      <c r="AS69" s="222"/>
      <c r="AT69" s="211"/>
      <c r="AU69" s="211"/>
      <c r="AV69" s="211"/>
      <c r="AW69" s="210">
        <f>AW15/AW$10</f>
        <v>6.3786391582745808E-2</v>
      </c>
      <c r="AX69" s="211"/>
      <c r="AY69" s="211"/>
      <c r="AZ69" s="211"/>
      <c r="BA69" s="211"/>
      <c r="BB69" s="210">
        <f>BB15/BB$10</f>
        <v>7.04899383084686E-2</v>
      </c>
      <c r="BC69" s="211"/>
      <c r="BD69" s="211"/>
      <c r="BE69" s="211"/>
      <c r="BF69" s="211"/>
      <c r="BG69" s="210">
        <f t="shared" ref="BG69:CL69" si="193">BG15/BG$10</f>
        <v>6.9147778930469778E-2</v>
      </c>
      <c r="BH69" s="208">
        <f t="shared" si="193"/>
        <v>7.1689698587746334E-2</v>
      </c>
      <c r="BI69" s="208">
        <f t="shared" si="193"/>
        <v>7.8142131930658568E-2</v>
      </c>
      <c r="BJ69" s="208">
        <f t="shared" si="193"/>
        <v>7.6739919590928643E-2</v>
      </c>
      <c r="BK69" s="208">
        <f t="shared" si="193"/>
        <v>7.9845413446113428E-2</v>
      </c>
      <c r="BL69" s="210">
        <f t="shared" si="193"/>
        <v>7.7137934874458733E-2</v>
      </c>
      <c r="BM69" s="208">
        <f t="shared" si="193"/>
        <v>7.8280033761605541E-2</v>
      </c>
      <c r="BN69" s="208">
        <f t="shared" si="193"/>
        <v>8.4582527211061534E-2</v>
      </c>
      <c r="BO69" s="208">
        <f t="shared" si="193"/>
        <v>8.5177871296145347E-2</v>
      </c>
      <c r="BP69" s="208">
        <f t="shared" si="193"/>
        <v>8.6396434459162869E-2</v>
      </c>
      <c r="BQ69" s="210">
        <f t="shared" si="193"/>
        <v>8.3688590278706579E-2</v>
      </c>
      <c r="BR69" s="208">
        <f t="shared" si="193"/>
        <v>7.3997922535361776E-2</v>
      </c>
      <c r="BS69" s="208">
        <f t="shared" si="193"/>
        <v>7.9694906940183483E-2</v>
      </c>
      <c r="BT69" s="208">
        <f t="shared" si="193"/>
        <v>7.5732796578185949E-2</v>
      </c>
      <c r="BU69" s="208">
        <f t="shared" si="193"/>
        <v>8.7053675160715729E-2</v>
      </c>
      <c r="BV69" s="210">
        <f t="shared" si="193"/>
        <v>7.9280737453774813E-2</v>
      </c>
      <c r="BW69" s="208">
        <f t="shared" si="193"/>
        <v>7.4410774410774413E-2</v>
      </c>
      <c r="BX69" s="208">
        <f t="shared" si="193"/>
        <v>7.7852293081184659E-2</v>
      </c>
      <c r="BY69" s="208">
        <f t="shared" si="193"/>
        <v>7.7654450261780111E-2</v>
      </c>
      <c r="BZ69" s="208">
        <f t="shared" si="193"/>
        <v>8.6512454079367002E-2</v>
      </c>
      <c r="CA69" s="210">
        <f t="shared" si="193"/>
        <v>7.9180193542364621E-2</v>
      </c>
      <c r="CB69" s="208">
        <f t="shared" si="193"/>
        <v>6.5108191653786701E-2</v>
      </c>
      <c r="CC69" s="208">
        <f t="shared" si="193"/>
        <v>7.0637275151150994E-2</v>
      </c>
      <c r="CD69" s="208">
        <f t="shared" si="193"/>
        <v>7.464197345729924E-2</v>
      </c>
      <c r="CE69" s="208">
        <f t="shared" si="193"/>
        <v>8.308789772927927E-2</v>
      </c>
      <c r="CF69" s="210">
        <f t="shared" si="193"/>
        <v>7.3579534883720876E-2</v>
      </c>
      <c r="CG69" s="212">
        <f t="shared" si="193"/>
        <v>5.9322033898305086E-2</v>
      </c>
      <c r="CH69" s="212">
        <f t="shared" si="193"/>
        <v>6.9631833928059828E-2</v>
      </c>
      <c r="CI69" s="212">
        <f t="shared" si="193"/>
        <v>7.4637000327518466E-2</v>
      </c>
      <c r="CJ69" s="212">
        <f t="shared" si="193"/>
        <v>8.7873479008727773E-2</v>
      </c>
      <c r="CK69" s="210">
        <f t="shared" si="193"/>
        <v>7.2932714602095314E-2</v>
      </c>
      <c r="CL69" s="212">
        <f t="shared" si="193"/>
        <v>7.1546988265123693E-2</v>
      </c>
      <c r="CM69" s="212">
        <f t="shared" ref="CM69:DJ69" si="194">CM15/CM$10</f>
        <v>7.7370608961127463E-2</v>
      </c>
      <c r="CN69" s="212">
        <f t="shared" si="194"/>
        <v>7.9801427047588094E-2</v>
      </c>
      <c r="CO69" s="212">
        <f t="shared" si="194"/>
        <v>8.1456233494466984E-2</v>
      </c>
      <c r="CP69" s="210">
        <f t="shared" si="194"/>
        <v>7.7628375836788027E-2</v>
      </c>
      <c r="CQ69" s="212">
        <f t="shared" si="194"/>
        <v>7.6542801990889822E-2</v>
      </c>
      <c r="CR69" s="212">
        <f t="shared" si="194"/>
        <v>7.7881691964440641E-2</v>
      </c>
      <c r="CS69" s="212">
        <f t="shared" si="194"/>
        <v>7.7750270551181985E-2</v>
      </c>
      <c r="CT69" s="212">
        <f t="shared" si="194"/>
        <v>7.5821812264372512E-2</v>
      </c>
      <c r="CU69" s="210">
        <f t="shared" si="194"/>
        <v>7.6986937319944174E-2</v>
      </c>
      <c r="CV69" s="212">
        <f t="shared" si="194"/>
        <v>7.2182342643869371E-2</v>
      </c>
      <c r="CW69" s="212">
        <f t="shared" si="194"/>
        <v>7.3973133452967299E-2</v>
      </c>
      <c r="CX69" s="212">
        <f>CX15/CX$10</f>
        <v>7.7380752100720651E-2</v>
      </c>
      <c r="CY69" s="212">
        <f>CY15/CY$10</f>
        <v>8.4137898829225774E-2</v>
      </c>
      <c r="CZ69" s="210">
        <f t="shared" si="194"/>
        <v>7.7136136299287492E-2</v>
      </c>
      <c r="DA69" s="212">
        <f>DA15/DA$10</f>
        <v>6.5933125072312831E-2</v>
      </c>
      <c r="DB69" s="212">
        <f>DB15/DB$10</f>
        <v>6.9572993209880765E-2</v>
      </c>
      <c r="DC69" s="212">
        <f>DC15/DC$10</f>
        <v>7.8148604729351062E-2</v>
      </c>
      <c r="DD69" s="212">
        <f>DD15/DD$10</f>
        <v>7.9290947375748252E-2</v>
      </c>
      <c r="DE69" s="210">
        <f t="shared" si="194"/>
        <v>7.3358625331992666E-2</v>
      </c>
      <c r="DF69" s="212">
        <f>DF15/DF$10</f>
        <v>5.8990960066137056E-2</v>
      </c>
      <c r="DG69" s="212">
        <f>DG15/DG$10</f>
        <v>6.3272656582151546E-2</v>
      </c>
      <c r="DH69" s="212">
        <f>DH15/DH$10</f>
        <v>6.7673199964322944E-2</v>
      </c>
      <c r="DI69" s="212">
        <f>DI15/DI$10</f>
        <v>7.9019222531663116E-2</v>
      </c>
      <c r="DJ69" s="210">
        <f t="shared" si="194"/>
        <v>6.7464621250467413E-2</v>
      </c>
      <c r="DK69" s="212">
        <f t="shared" ref="DK69:DT69" ca="1" si="195">DK15/DK$10</f>
        <v>5.9437119328359558E-2</v>
      </c>
      <c r="DL69" s="212">
        <f t="shared" ca="1" si="195"/>
        <v>6.2200156206917025E-2</v>
      </c>
      <c r="DM69" s="212">
        <f t="shared" ca="1" si="195"/>
        <v>6.5802335298661488E-2</v>
      </c>
      <c r="DN69" s="212">
        <f t="shared" ca="1" si="195"/>
        <v>7.3878158118379167E-2</v>
      </c>
      <c r="DO69" s="210">
        <f t="shared" ca="1" si="195"/>
        <v>6.5441127201406601E-2</v>
      </c>
      <c r="DP69" s="212">
        <f t="shared" ca="1" si="195"/>
        <v>5.7839171223483837E-2</v>
      </c>
      <c r="DQ69" s="212">
        <f t="shared" ca="1" si="195"/>
        <v>6.0067465658021027E-2</v>
      </c>
      <c r="DR69" s="212">
        <f t="shared" ca="1" si="195"/>
        <v>6.375470304202005E-2</v>
      </c>
      <c r="DS69" s="212">
        <f t="shared" ca="1" si="195"/>
        <v>7.157876748962802E-2</v>
      </c>
      <c r="DT69" s="210">
        <f t="shared" ca="1" si="195"/>
        <v>6.3410370661604848E-2</v>
      </c>
      <c r="DU69" s="212">
        <f t="shared" ref="DU69:DY69" ca="1" si="196">DU15/DU$10</f>
        <v>5.7502349808492316E-2</v>
      </c>
      <c r="DV69" s="212">
        <f t="shared" ca="1" si="196"/>
        <v>5.9980953412322215E-2</v>
      </c>
      <c r="DW69" s="212">
        <f t="shared" ca="1" si="196"/>
        <v>6.3879141993806718E-2</v>
      </c>
      <c r="DX69" s="212">
        <f t="shared" ca="1" si="196"/>
        <v>7.1608561288084266E-2</v>
      </c>
      <c r="DY69" s="210">
        <f t="shared" ca="1" si="196"/>
        <v>6.333929343263453E-2</v>
      </c>
      <c r="DZ69" s="214"/>
    </row>
    <row r="70" spans="1:130" x14ac:dyDescent="0.2">
      <c r="A70" s="214"/>
      <c r="B70" s="206" t="s">
        <v>178</v>
      </c>
      <c r="C70" s="213"/>
      <c r="D70" s="213"/>
      <c r="E70" s="211"/>
      <c r="F70" s="211"/>
      <c r="G70" s="211"/>
      <c r="H70" s="211"/>
      <c r="I70" s="210">
        <f>(I17+PBM!I49)/I$10</f>
        <v>6.8033655634064674E-2</v>
      </c>
      <c r="J70" s="211"/>
      <c r="K70" s="211"/>
      <c r="L70" s="211"/>
      <c r="M70" s="211"/>
      <c r="N70" s="210">
        <f>(N17+PBM!N49)/N$10</f>
        <v>5.6655136899350172E-2</v>
      </c>
      <c r="O70" s="211"/>
      <c r="P70" s="211"/>
      <c r="Q70" s="211"/>
      <c r="R70" s="211"/>
      <c r="S70" s="210">
        <f>(S17+PBM!S49)/S$10</f>
        <v>6.0924994762204213E-2</v>
      </c>
      <c r="T70" s="211"/>
      <c r="U70" s="211"/>
      <c r="V70" s="211"/>
      <c r="W70" s="211"/>
      <c r="X70" s="210">
        <f>(X17+PBM!X49)/X$10</f>
        <v>6.274069940270631E-2</v>
      </c>
      <c r="Y70" s="211"/>
      <c r="Z70" s="211"/>
      <c r="AA70" s="211"/>
      <c r="AB70" s="211"/>
      <c r="AC70" s="210">
        <f>(AC17+PBM!AC49)/AC$10</f>
        <v>6.4890752955818337E-2</v>
      </c>
      <c r="AD70" s="211"/>
      <c r="AE70" s="211"/>
      <c r="AF70" s="211"/>
      <c r="AG70" s="211"/>
      <c r="AH70" s="210">
        <f>(AH17+PBM!AH49)/AH$10</f>
        <v>3.4669580152328523E-2</v>
      </c>
      <c r="AI70" s="211"/>
      <c r="AJ70" s="211"/>
      <c r="AK70" s="211"/>
      <c r="AL70" s="211"/>
      <c r="AM70" s="210">
        <f>(AM17+PBM!AM49)/AM$10</f>
        <v>4.9881107458180841E-2</v>
      </c>
      <c r="AN70" s="211"/>
      <c r="AO70" s="211"/>
      <c r="AP70" s="211"/>
      <c r="AQ70" s="211"/>
      <c r="AR70" s="210">
        <f>(AR17+PBM!AR49)/AR$10</f>
        <v>5.3542951707537367E-2</v>
      </c>
      <c r="AS70" s="222"/>
      <c r="AT70" s="211"/>
      <c r="AU70" s="211"/>
      <c r="AV70" s="211"/>
      <c r="AW70" s="210">
        <f>(AW17+PBM!AW49)/AW$10</f>
        <v>4.7548072680205139E-2</v>
      </c>
      <c r="AX70" s="211"/>
      <c r="AY70" s="211"/>
      <c r="AZ70" s="211"/>
      <c r="BA70" s="211"/>
      <c r="BB70" s="210">
        <f>(BB17+PBM!BB49)/BB$10</f>
        <v>5.4571199269321642E-2</v>
      </c>
      <c r="BC70" s="211"/>
      <c r="BD70" s="211"/>
      <c r="BE70" s="211"/>
      <c r="BF70" s="211"/>
      <c r="BG70" s="210">
        <f>(BG17+PBM!BG49)/BG$10</f>
        <v>5.2354354313090996E-2</v>
      </c>
      <c r="BH70" s="208">
        <f>BH17/BH$10</f>
        <v>5.5853040668658913E-2</v>
      </c>
      <c r="BI70" s="208">
        <f>BI17/BI$10</f>
        <v>6.3265276550115379E-2</v>
      </c>
      <c r="BJ70" s="208">
        <f>BJ17/BJ$10</f>
        <v>6.2019399664311685E-2</v>
      </c>
      <c r="BK70" s="208">
        <f>BK17/BK$10</f>
        <v>6.7262469009771009E-2</v>
      </c>
      <c r="BL70" s="210">
        <f>(BL17+PBM!BL49)/BL$10</f>
        <v>6.2797476729180693E-2</v>
      </c>
      <c r="BM70" s="208">
        <f>BM17/BM$10</f>
        <v>6.4245521898152483E-2</v>
      </c>
      <c r="BN70" s="208">
        <f>BN17/BN$10</f>
        <v>6.991859150532416E-2</v>
      </c>
      <c r="BO70" s="208">
        <f>BO17/BO$10</f>
        <v>7.0276177420746308E-2</v>
      </c>
      <c r="BP70" s="208">
        <f>BP17/BP$10</f>
        <v>7.1733313451135441E-2</v>
      </c>
      <c r="BQ70" s="210">
        <f>(BQ17+PBM!BQ49)/BQ$10</f>
        <v>6.9115910366643385E-2</v>
      </c>
      <c r="BR70" s="208">
        <f>BR17/BR$10</f>
        <v>5.887004732002786E-2</v>
      </c>
      <c r="BS70" s="208">
        <f>BS17/BS$10</f>
        <v>6.432365275359743E-2</v>
      </c>
      <c r="BT70" s="208">
        <f>BT17/BT$10</f>
        <v>6.3546236288597888E-2</v>
      </c>
      <c r="BU70" s="208">
        <f>BU17/BU$10</f>
        <v>7.3402524978700395E-2</v>
      </c>
      <c r="BV70" s="210">
        <f>(BV17+PBM!BV49)/BV$10</f>
        <v>6.4727754487287806E-2</v>
      </c>
      <c r="BW70" s="208">
        <f>BW17/BW$10</f>
        <v>5.9343434343434344E-2</v>
      </c>
      <c r="BX70" s="208">
        <f>BX17/BX$10</f>
        <v>6.2523430666055729E-2</v>
      </c>
      <c r="BY70" s="208">
        <f>BY17/BY$10</f>
        <v>6.2157068062827225E-2</v>
      </c>
      <c r="BZ70" s="208">
        <f>BZ17/BZ$10</f>
        <v>7.1454523434661493E-2</v>
      </c>
      <c r="CA70" s="210">
        <f>(CA17+PBM!CA49)/CA$10</f>
        <v>6.2543432939541344E-2</v>
      </c>
      <c r="CB70" s="208">
        <f>CB17/CB$10</f>
        <v>5.0656877897990726E-2</v>
      </c>
      <c r="CC70" s="208">
        <f>CC17/CC$10</f>
        <v>5.5954035074542795E-2</v>
      </c>
      <c r="CD70" s="208">
        <f>CD17/CD$10</f>
        <v>5.9383669490890002E-2</v>
      </c>
      <c r="CE70" s="208">
        <f>CE17/CE$10</f>
        <v>6.9113959812127035E-2</v>
      </c>
      <c r="CF70" s="210">
        <f>(CF17+PBM!CF49)/CF$10</f>
        <v>5.7257674418604604E-2</v>
      </c>
      <c r="CG70" s="212">
        <f>CG17/CG$10</f>
        <v>4.5587375803623612E-2</v>
      </c>
      <c r="CH70" s="212">
        <f>CH17/CH$10</f>
        <v>5.5599328002500475E-2</v>
      </c>
      <c r="CI70" s="212">
        <f>CI17/CI$10</f>
        <v>6.0004532326737699E-2</v>
      </c>
      <c r="CJ70" s="212">
        <f>CJ17/CJ$10</f>
        <v>7.3326113270051604E-2</v>
      </c>
      <c r="CK70" s="210">
        <f>(CK17+PBM!CK49)/CK$10</f>
        <v>5.5364006766628657E-2</v>
      </c>
      <c r="CL70" s="212">
        <f>CL17/CL$10</f>
        <v>5.5228683808471214E-2</v>
      </c>
      <c r="CM70" s="212">
        <f>CM17/CM$10</f>
        <v>6.2989026603047185E-2</v>
      </c>
      <c r="CN70" s="212">
        <f>CN17/CN$10</f>
        <v>6.539644207819674E-2</v>
      </c>
      <c r="CO70" s="212">
        <f>CO17/CO$10</f>
        <v>6.7511628119488673E-2</v>
      </c>
      <c r="CP70" s="210">
        <f>(CP17+PBM!CP49)/CP$10</f>
        <v>5.8416851130003895E-2</v>
      </c>
      <c r="CQ70" s="212">
        <f t="shared" ref="CQ70:DJ70" si="197">CQ17/CQ$10</f>
        <v>6.1938456173196349E-2</v>
      </c>
      <c r="CR70" s="212">
        <f t="shared" si="197"/>
        <v>6.3786805081904777E-2</v>
      </c>
      <c r="CS70" s="212">
        <f t="shared" si="197"/>
        <v>6.4127054832658015E-2</v>
      </c>
      <c r="CT70" s="212">
        <f t="shared" si="197"/>
        <v>6.2633415462835365E-2</v>
      </c>
      <c r="CU70" s="210">
        <f t="shared" si="197"/>
        <v>6.313210132994658E-2</v>
      </c>
      <c r="CV70" s="212">
        <f t="shared" si="197"/>
        <v>5.8684451001332301E-2</v>
      </c>
      <c r="CW70" s="212">
        <f t="shared" si="197"/>
        <v>6.0860020070542746E-2</v>
      </c>
      <c r="CX70" s="212">
        <f>CX17/CX$10</f>
        <v>6.3597366273587766E-2</v>
      </c>
      <c r="CY70" s="212">
        <f>CY17/CY$10</f>
        <v>7.0270074944415006E-2</v>
      </c>
      <c r="CZ70" s="210">
        <f t="shared" si="197"/>
        <v>6.3560275806500324E-2</v>
      </c>
      <c r="DA70" s="212">
        <f>DA17/DA$10</f>
        <v>5.1831539974545843E-2</v>
      </c>
      <c r="DB70" s="212">
        <f>DB17/DB$10</f>
        <v>5.5583380788696693E-2</v>
      </c>
      <c r="DC70" s="212">
        <f>DC17/DC$10</f>
        <v>6.4603832791661944E-2</v>
      </c>
      <c r="DD70" s="212">
        <f>DD17/DD$10</f>
        <v>6.580206738131697E-2</v>
      </c>
      <c r="DE70" s="210">
        <f t="shared" si="197"/>
        <v>5.9583217153495363E-2</v>
      </c>
      <c r="DF70" s="212">
        <f>DF17/DF$10</f>
        <v>4.5071618561518242E-2</v>
      </c>
      <c r="DG70" s="212">
        <f>DG17/DG$10</f>
        <v>4.9646775422712584E-2</v>
      </c>
      <c r="DH70" s="212">
        <f>DH17/DH$10</f>
        <v>5.4372148034998714E-2</v>
      </c>
      <c r="DI70" s="212">
        <f>DI17/DI$10</f>
        <v>6.6154492859605285E-2</v>
      </c>
      <c r="DJ70" s="210">
        <f t="shared" si="197"/>
        <v>5.4048555075505822E-2</v>
      </c>
      <c r="DK70" s="212">
        <f t="shared" ref="DK70:DT70" ca="1" si="198">DK17/DK$10</f>
        <v>4.5458053283274819E-2</v>
      </c>
      <c r="DL70" s="212">
        <f t="shared" ca="1" si="198"/>
        <v>4.9079466701074631E-2</v>
      </c>
      <c r="DM70" s="212">
        <f t="shared" ca="1" si="198"/>
        <v>5.2721675457296828E-2</v>
      </c>
      <c r="DN70" s="212">
        <f t="shared" ca="1" si="198"/>
        <v>6.0818499073865932E-2</v>
      </c>
      <c r="DO70" s="210">
        <f t="shared" ca="1" si="198"/>
        <v>5.2139948636487188E-2</v>
      </c>
      <c r="DP70" s="212">
        <f t="shared" ca="1" si="198"/>
        <v>4.4683105281182821E-2</v>
      </c>
      <c r="DQ70" s="212">
        <f t="shared" ca="1" si="198"/>
        <v>4.7593311626656906E-2</v>
      </c>
      <c r="DR70" s="212">
        <f t="shared" ca="1" si="198"/>
        <v>5.1152044446725609E-2</v>
      </c>
      <c r="DS70" s="212">
        <f t="shared" ca="1" si="198"/>
        <v>5.9287611999259457E-2</v>
      </c>
      <c r="DT70" s="210">
        <f t="shared" ca="1" si="198"/>
        <v>5.0787075692537341E-2</v>
      </c>
      <c r="DU70" s="212">
        <f t="shared" ref="DU70:DY70" ca="1" si="199">DU17/DU$10</f>
        <v>4.4870220228147531E-2</v>
      </c>
      <c r="DV70" s="212">
        <f t="shared" ca="1" si="199"/>
        <v>4.7983593982687409E-2</v>
      </c>
      <c r="DW70" s="212">
        <f t="shared" ca="1" si="199"/>
        <v>5.1744660999936118E-2</v>
      </c>
      <c r="DX70" s="212">
        <f t="shared" ca="1" si="199"/>
        <v>5.9739631322035767E-2</v>
      </c>
      <c r="DY70" s="210">
        <f t="shared" ca="1" si="199"/>
        <v>5.1187642784626779E-2</v>
      </c>
      <c r="DZ70" s="214"/>
    </row>
    <row r="71" spans="1:130" x14ac:dyDescent="0.2">
      <c r="A71" s="214"/>
      <c r="B71" s="206" t="s">
        <v>209</v>
      </c>
      <c r="C71" s="213"/>
      <c r="D71" s="213"/>
      <c r="E71" s="211"/>
      <c r="F71" s="211"/>
      <c r="G71" s="211"/>
      <c r="H71" s="211"/>
      <c r="I71" s="210">
        <f>I24/I$10</f>
        <v>5.2879323168464089E-2</v>
      </c>
      <c r="J71" s="211"/>
      <c r="K71" s="211"/>
      <c r="L71" s="211"/>
      <c r="M71" s="211"/>
      <c r="N71" s="210">
        <f>N24/N$10</f>
        <v>3.0472608456942243E-2</v>
      </c>
      <c r="O71" s="211"/>
      <c r="P71" s="211"/>
      <c r="Q71" s="211"/>
      <c r="R71" s="211"/>
      <c r="S71" s="210">
        <f>S24/S$10</f>
        <v>3.6870416928556617E-2</v>
      </c>
      <c r="T71" s="211"/>
      <c r="U71" s="211"/>
      <c r="V71" s="211"/>
      <c r="W71" s="211"/>
      <c r="X71" s="210">
        <f>X24/X$10</f>
        <v>3.5091693694987908E-2</v>
      </c>
      <c r="Y71" s="211"/>
      <c r="Z71" s="211"/>
      <c r="AA71" s="211"/>
      <c r="AB71" s="211"/>
      <c r="AC71" s="210">
        <f>AC24/AC$10</f>
        <v>3.618135656502805E-2</v>
      </c>
      <c r="AD71" s="211"/>
      <c r="AE71" s="211"/>
      <c r="AF71" s="211"/>
      <c r="AG71" s="211"/>
      <c r="AH71" s="210">
        <f>AH24/AH$10</f>
        <v>1.8600447813536904E-2</v>
      </c>
      <c r="AI71" s="211"/>
      <c r="AJ71" s="211"/>
      <c r="AK71" s="211"/>
      <c r="AL71" s="211"/>
      <c r="AM71" s="210">
        <f>AM24/AM$10</f>
        <v>2.963422451047288E-2</v>
      </c>
      <c r="AN71" s="211"/>
      <c r="AO71" s="211"/>
      <c r="AP71" s="211"/>
      <c r="AQ71" s="211"/>
      <c r="AR71" s="210">
        <f>AR24/AR$10</f>
        <v>3.18677598916806E-2</v>
      </c>
      <c r="AS71" s="222"/>
      <c r="AT71" s="211"/>
      <c r="AU71" s="211"/>
      <c r="AV71" s="211"/>
      <c r="AW71" s="210">
        <f>AW24/AW$10</f>
        <v>3.0031737938112656E-2</v>
      </c>
      <c r="AX71" s="211"/>
      <c r="AY71" s="211"/>
      <c r="AZ71" s="211"/>
      <c r="BA71" s="211"/>
      <c r="BB71" s="210">
        <f>BB24/BB$10</f>
        <v>3.3094007301380707E-2</v>
      </c>
      <c r="BC71" s="211"/>
      <c r="BD71" s="211"/>
      <c r="BE71" s="211"/>
      <c r="BF71" s="211"/>
      <c r="BG71" s="210">
        <f>BG24/BG$10</f>
        <v>2.7788274145271255E-2</v>
      </c>
      <c r="BH71" s="208">
        <f>BH17/BH$10</f>
        <v>5.5853040668658913E-2</v>
      </c>
      <c r="BI71" s="208">
        <f>BI17/BI$10</f>
        <v>6.3265276550115379E-2</v>
      </c>
      <c r="BJ71" s="208">
        <f>BJ17/BJ$10</f>
        <v>6.2019399664311685E-2</v>
      </c>
      <c r="BK71" s="208">
        <f>BK17/BK$10</f>
        <v>6.7262469009771009E-2</v>
      </c>
      <c r="BL71" s="210">
        <f>BL24/BL$10</f>
        <v>3.4547586450847934E-2</v>
      </c>
      <c r="BM71" s="208">
        <f>BM17/BM$10</f>
        <v>6.4245521898152483E-2</v>
      </c>
      <c r="BN71" s="208">
        <f>BN17/BN$10</f>
        <v>6.991859150532416E-2</v>
      </c>
      <c r="BO71" s="208">
        <f>BO17/BO$10</f>
        <v>7.0276177420746308E-2</v>
      </c>
      <c r="BP71" s="208">
        <f>BP17/BP$10</f>
        <v>7.1733313451135441E-2</v>
      </c>
      <c r="BQ71" s="210">
        <f>BQ24/BQ$10</f>
        <v>3.8230563186577561E-2</v>
      </c>
      <c r="BR71" s="208">
        <f>BR17/BR$10</f>
        <v>5.887004732002786E-2</v>
      </c>
      <c r="BS71" s="208">
        <f>BS17/BS$10</f>
        <v>6.432365275359743E-2</v>
      </c>
      <c r="BT71" s="208">
        <f>BT17/BT$10</f>
        <v>6.3546236288597888E-2</v>
      </c>
      <c r="BU71" s="208">
        <f>BU17/BU$10</f>
        <v>7.3402524978700395E-2</v>
      </c>
      <c r="BV71" s="210">
        <f>BV24/BV$10</f>
        <v>3.5868929968833729E-2</v>
      </c>
      <c r="BW71" s="208">
        <f>BW17/BW$10</f>
        <v>5.9343434343434344E-2</v>
      </c>
      <c r="BX71" s="208">
        <f>BX17/BX$10</f>
        <v>6.2523430666055729E-2</v>
      </c>
      <c r="BY71" s="208">
        <f>BY17/BY$10</f>
        <v>6.2157068062827225E-2</v>
      </c>
      <c r="BZ71" s="208">
        <f>BZ17/BZ$10</f>
        <v>7.1454523434661493E-2</v>
      </c>
      <c r="CA71" s="210">
        <f t="shared" ref="CA71:DJ71" si="200">CA24/CA$10</f>
        <v>3.5669463661539419E-2</v>
      </c>
      <c r="CB71" s="208">
        <f t="shared" si="200"/>
        <v>2.7550231839258116E-2</v>
      </c>
      <c r="CC71" s="208">
        <f t="shared" si="200"/>
        <v>3.0643283638138872E-2</v>
      </c>
      <c r="CD71" s="208">
        <f t="shared" si="200"/>
        <v>3.2503561520581842E-2</v>
      </c>
      <c r="CE71" s="208">
        <f t="shared" si="200"/>
        <v>3.8803545573330551E-2</v>
      </c>
      <c r="CF71" s="210">
        <f t="shared" si="200"/>
        <v>3.2509767441860418E-2</v>
      </c>
      <c r="CG71" s="212">
        <f t="shared" si="200"/>
        <v>2.5196441327358918E-2</v>
      </c>
      <c r="CH71" s="212">
        <f t="shared" si="200"/>
        <v>3.1457557367228425E-2</v>
      </c>
      <c r="CI71" s="212">
        <f t="shared" si="200"/>
        <v>3.344575929705923E-2</v>
      </c>
      <c r="CJ71" s="212">
        <f t="shared" si="200"/>
        <v>3.5962285787093075E-2</v>
      </c>
      <c r="CK71" s="210">
        <f t="shared" si="200"/>
        <v>3.4354323796004047E-2</v>
      </c>
      <c r="CL71" s="212">
        <f t="shared" si="200"/>
        <v>3.1076292949322237E-2</v>
      </c>
      <c r="CM71" s="212">
        <f t="shared" si="200"/>
        <v>3.5915553806127029E-2</v>
      </c>
      <c r="CN71" s="212">
        <f t="shared" si="200"/>
        <v>3.657395966604212E-2</v>
      </c>
      <c r="CO71" s="212">
        <f t="shared" si="200"/>
        <v>3.8538040018397911E-2</v>
      </c>
      <c r="CP71" s="210">
        <f t="shared" si="200"/>
        <v>3.5586506667886368E-2</v>
      </c>
      <c r="CQ71" s="212">
        <f t="shared" si="200"/>
        <v>3.2962259360210897E-2</v>
      </c>
      <c r="CR71" s="212">
        <f t="shared" si="200"/>
        <v>3.4493023363351673E-2</v>
      </c>
      <c r="CS71" s="212">
        <f t="shared" si="200"/>
        <v>3.4590575395975549E-2</v>
      </c>
      <c r="CT71" s="212">
        <f t="shared" si="200"/>
        <v>3.430008662728417E-2</v>
      </c>
      <c r="CU71" s="210">
        <f t="shared" si="200"/>
        <v>3.4107192187505603E-2</v>
      </c>
      <c r="CV71" s="212">
        <f t="shared" si="200"/>
        <v>3.2217133294432529E-2</v>
      </c>
      <c r="CW71" s="212">
        <f t="shared" si="200"/>
        <v>3.2844663145801901E-2</v>
      </c>
      <c r="CX71" s="212">
        <f>CX24/CX$10</f>
        <v>3.3122589228989342E-2</v>
      </c>
      <c r="CY71" s="212">
        <f>CY24/CY$10</f>
        <v>3.7007712924169607E-2</v>
      </c>
      <c r="CZ71" s="210">
        <f t="shared" si="200"/>
        <v>3.3883428989672816E-2</v>
      </c>
      <c r="DA71" s="212">
        <f>DA24/DA$10</f>
        <v>2.5828994562073323E-2</v>
      </c>
      <c r="DB71" s="212">
        <f>DB24/DB$10</f>
        <v>2.808442709369632E-2</v>
      </c>
      <c r="DC71" s="212">
        <f>DC24/DC$10</f>
        <v>3.5127199372408331E-2</v>
      </c>
      <c r="DD71" s="212">
        <f>DD24/DD$10</f>
        <v>3.55396422107754E-2</v>
      </c>
      <c r="DE71" s="210">
        <f t="shared" si="200"/>
        <v>3.1235899992395469E-2</v>
      </c>
      <c r="DF71" s="212">
        <f>DF24/DF$10</f>
        <v>2.2907605765428957E-2</v>
      </c>
      <c r="DG71" s="212">
        <f>DG24/DG$10</f>
        <v>2.560393547808968E-2</v>
      </c>
      <c r="DH71" s="212">
        <f>DH24/DH$10</f>
        <v>2.8827140135551325E-2</v>
      </c>
      <c r="DI71" s="212">
        <f>DI24/DI$10</f>
        <v>3.6076409164856146E-2</v>
      </c>
      <c r="DJ71" s="210">
        <f t="shared" si="200"/>
        <v>2.8502429193176439E-2</v>
      </c>
      <c r="DK71" s="212">
        <f t="shared" ref="DK71:DT71" ca="1" si="201">DK24/DK$10</f>
        <v>2.7817273171860318E-2</v>
      </c>
      <c r="DL71" s="212">
        <f t="shared" ca="1" si="201"/>
        <v>2.6650377430550463E-2</v>
      </c>
      <c r="DM71" s="212">
        <f t="shared" ca="1" si="201"/>
        <v>2.9946765613269248E-2</v>
      </c>
      <c r="DN71" s="212">
        <f t="shared" ca="1" si="201"/>
        <v>3.6118963039472061E-2</v>
      </c>
      <c r="DO71" s="210">
        <f t="shared" ca="1" si="201"/>
        <v>3.0190735695813053E-2</v>
      </c>
      <c r="DP71" s="212">
        <f t="shared" ca="1" si="201"/>
        <v>2.4259004857738173E-2</v>
      </c>
      <c r="DQ71" s="212">
        <f t="shared" ca="1" si="201"/>
        <v>2.6901625276016736E-2</v>
      </c>
      <c r="DR71" s="212">
        <f t="shared" ca="1" si="201"/>
        <v>2.9583484330994055E-2</v>
      </c>
      <c r="DS71" s="212">
        <f t="shared" ca="1" si="201"/>
        <v>3.5745891212095683E-2</v>
      </c>
      <c r="DT71" s="210">
        <f t="shared" ca="1" si="201"/>
        <v>2.9208452000668798E-2</v>
      </c>
      <c r="DU71" s="212">
        <f t="shared" ref="DU71:DY71" ca="1" si="202">DU24/DU$10</f>
        <v>2.5003511972749869E-2</v>
      </c>
      <c r="DV71" s="212">
        <f t="shared" ca="1" si="202"/>
        <v>2.7754562082802751E-2</v>
      </c>
      <c r="DW71" s="212">
        <f t="shared" ca="1" si="202"/>
        <v>3.0574640769745073E-2</v>
      </c>
      <c r="DX71" s="212">
        <f t="shared" ca="1" si="202"/>
        <v>3.6605220780796685E-2</v>
      </c>
      <c r="DY71" s="210">
        <f t="shared" ca="1" si="202"/>
        <v>3.0065844714090472E-2</v>
      </c>
      <c r="DZ71" s="214"/>
    </row>
    <row r="72" spans="1:130" ht="12" thickBot="1" x14ac:dyDescent="0.25">
      <c r="A72" s="16"/>
      <c r="B72" s="223" t="s">
        <v>212</v>
      </c>
      <c r="C72" s="129"/>
      <c r="D72" s="129"/>
      <c r="E72" s="186"/>
      <c r="F72" s="186"/>
      <c r="G72" s="186"/>
      <c r="H72" s="33"/>
      <c r="I72" s="178">
        <f>I23/I22</f>
        <v>0.26700345733744024</v>
      </c>
      <c r="J72" s="186"/>
      <c r="K72" s="186"/>
      <c r="L72" s="186"/>
      <c r="M72" s="33"/>
      <c r="N72" s="178">
        <f>N23/N22</f>
        <v>0.42978441371444975</v>
      </c>
      <c r="O72" s="224"/>
      <c r="P72" s="33"/>
      <c r="Q72" s="224"/>
      <c r="R72" s="33"/>
      <c r="S72" s="178">
        <f>S23/S22</f>
        <v>0.35244306865797864</v>
      </c>
      <c r="T72" s="186"/>
      <c r="U72" s="186"/>
      <c r="V72" s="186"/>
      <c r="W72" s="33"/>
      <c r="X72" s="178">
        <f>X23/X22</f>
        <v>0.4099777034559644</v>
      </c>
      <c r="Y72" s="186"/>
      <c r="Z72" s="225"/>
      <c r="AA72" s="186"/>
      <c r="AB72" s="33"/>
      <c r="AC72" s="178">
        <f>AC23/AC22</f>
        <v>0.40630848240432643</v>
      </c>
      <c r="AD72" s="186"/>
      <c r="AE72" s="186"/>
      <c r="AF72" s="186"/>
      <c r="AG72" s="33"/>
      <c r="AH72" s="178">
        <f>AH23/AH22</f>
        <v>0.41740599915504872</v>
      </c>
      <c r="AI72" s="186"/>
      <c r="AJ72" s="186"/>
      <c r="AK72" s="186"/>
      <c r="AL72" s="33"/>
      <c r="AM72" s="178">
        <f>AM23/AM22</f>
        <v>0.37999653919363213</v>
      </c>
      <c r="AN72" s="33"/>
      <c r="AO72" s="33"/>
      <c r="AP72" s="33"/>
      <c r="AQ72" s="33"/>
      <c r="AR72" s="178">
        <f>AR23/AR22</f>
        <v>0.38400581606688372</v>
      </c>
      <c r="AS72" s="226"/>
      <c r="AT72" s="225"/>
      <c r="AU72" s="33"/>
      <c r="AV72" s="33"/>
      <c r="AW72" s="178">
        <f>AW23/AW22</f>
        <v>0.34202234316814667</v>
      </c>
      <c r="AX72" s="33"/>
      <c r="AY72" s="33"/>
      <c r="AZ72" s="33"/>
      <c r="BA72" s="33"/>
      <c r="BB72" s="178">
        <f>BB23/BB22</f>
        <v>0.35845992666317339</v>
      </c>
      <c r="BC72" s="33"/>
      <c r="BD72" s="33"/>
      <c r="BE72" s="33"/>
      <c r="BF72" s="33"/>
      <c r="BG72" s="178">
        <f t="shared" ref="BG72:CO72" si="203">BG23/BG22</f>
        <v>0.41390136695164947</v>
      </c>
      <c r="BH72" s="130">
        <f t="shared" si="203"/>
        <v>0.39211895910780648</v>
      </c>
      <c r="BI72" s="130">
        <f t="shared" si="203"/>
        <v>0.39895340144530156</v>
      </c>
      <c r="BJ72" s="130">
        <f t="shared" si="203"/>
        <v>0.39707939839104556</v>
      </c>
      <c r="BK72" s="130">
        <f t="shared" si="203"/>
        <v>0.39115493799492029</v>
      </c>
      <c r="BL72" s="178">
        <f t="shared" si="203"/>
        <v>0.39500309725376859</v>
      </c>
      <c r="BM72" s="216">
        <f t="shared" si="203"/>
        <v>0.39598127824402846</v>
      </c>
      <c r="BN72" s="227">
        <f t="shared" si="203"/>
        <v>0.39599530585301324</v>
      </c>
      <c r="BO72" s="227">
        <f t="shared" si="203"/>
        <v>0.39504987070557862</v>
      </c>
      <c r="BP72" s="227">
        <f t="shared" si="203"/>
        <v>0.39687460458053853</v>
      </c>
      <c r="BQ72" s="178">
        <f t="shared" si="203"/>
        <v>0.39601206494843544</v>
      </c>
      <c r="BR72" s="216">
        <f t="shared" si="203"/>
        <v>0.39802445146142018</v>
      </c>
      <c r="BS72" s="227">
        <f t="shared" si="203"/>
        <v>0.39595081187580761</v>
      </c>
      <c r="BT72" s="227">
        <f t="shared" si="203"/>
        <v>0.39893285288614777</v>
      </c>
      <c r="BU72" s="227">
        <f t="shared" si="203"/>
        <v>0.40739900136177903</v>
      </c>
      <c r="BV72" s="178">
        <f t="shared" si="203"/>
        <v>0.40112965687518048</v>
      </c>
      <c r="BW72" s="227">
        <f t="shared" si="203"/>
        <v>0.39781591263650545</v>
      </c>
      <c r="BX72" s="227">
        <f t="shared" si="203"/>
        <v>0.39824304538799415</v>
      </c>
      <c r="BY72" s="227">
        <f t="shared" si="203"/>
        <v>0.39198218262806234</v>
      </c>
      <c r="BZ72" s="227">
        <f t="shared" si="203"/>
        <v>0.37209302325581395</v>
      </c>
      <c r="CA72" s="178">
        <f t="shared" si="203"/>
        <v>0.38905667081186712</v>
      </c>
      <c r="CB72" s="227">
        <f t="shared" si="203"/>
        <v>0.39422259983007646</v>
      </c>
      <c r="CC72" s="227">
        <f t="shared" si="203"/>
        <v>0.39195230998509689</v>
      </c>
      <c r="CD72" s="227">
        <f t="shared" si="203"/>
        <v>0.39328201539538138</v>
      </c>
      <c r="CE72" s="227">
        <f t="shared" si="203"/>
        <v>0.39286108962316252</v>
      </c>
      <c r="CF72" s="178">
        <f t="shared" si="203"/>
        <v>0.39303206085657755</v>
      </c>
      <c r="CG72" s="227">
        <f t="shared" si="203"/>
        <v>0.38993710691823902</v>
      </c>
      <c r="CH72" s="227">
        <f t="shared" si="203"/>
        <v>0.38700672503489386</v>
      </c>
      <c r="CI72" s="227">
        <f t="shared" si="203"/>
        <v>0.3982202116102922</v>
      </c>
      <c r="CJ72" s="227">
        <f t="shared" si="203"/>
        <v>0.3710306406685237</v>
      </c>
      <c r="CK72" s="178">
        <f t="shared" si="203"/>
        <v>0.36590255839488417</v>
      </c>
      <c r="CL72" s="1667">
        <f t="shared" si="203"/>
        <v>0.39224411951684679</v>
      </c>
      <c r="CM72" s="1667">
        <f t="shared" si="203"/>
        <v>0.39081582804103582</v>
      </c>
      <c r="CN72" s="1667">
        <f t="shared" si="203"/>
        <v>0.40607538352128386</v>
      </c>
      <c r="CO72" s="1667">
        <f t="shared" si="203"/>
        <v>0.39208149144724169</v>
      </c>
      <c r="CP72" s="178">
        <f>AVERAGE(CL72:CO72)</f>
        <v>0.39530420563160201</v>
      </c>
      <c r="CQ72" s="1667">
        <f>CQ23/CQ22</f>
        <v>0.42265444998124674</v>
      </c>
      <c r="CR72" s="1667">
        <f>CR23/CR22</f>
        <v>0.41769125683060027</v>
      </c>
      <c r="CS72" s="1667">
        <f>CS23/CS22</f>
        <v>0.42101993022033185</v>
      </c>
      <c r="CT72" s="1667">
        <f>CT23/CT22</f>
        <v>0.41952868103763186</v>
      </c>
      <c r="CU72" s="178">
        <f>AVERAGE(CQ72:CT72)</f>
        <v>0.42022357951745271</v>
      </c>
      <c r="CV72" s="1667">
        <f>CV23/CV22</f>
        <v>0.41416416416416313</v>
      </c>
      <c r="CW72" s="1667">
        <f>CW23/CW22</f>
        <v>0.41752946228350668</v>
      </c>
      <c r="CX72" s="1667">
        <f>CX23/CX22</f>
        <v>0.42135126977939796</v>
      </c>
      <c r="CY72" s="1667">
        <f>CY23/CY22</f>
        <v>0.41768252141784196</v>
      </c>
      <c r="CZ72" s="178">
        <f>AVERAGE(CV72:CY72)</f>
        <v>0.4176818544112274</v>
      </c>
      <c r="DA72" s="1667">
        <f>DA23/(DA22+DA42)</f>
        <v>0.39172445677300066</v>
      </c>
      <c r="DB72" s="1667">
        <f>DB23/(DB22+DB42)</f>
        <v>0.39300621858761398</v>
      </c>
      <c r="DC72" s="1667">
        <f>DC23/(DC22+DC42)</f>
        <v>0.37599971689433115</v>
      </c>
      <c r="DD72" s="1667">
        <f>DD23/(DD22+DD42)</f>
        <v>0.38491425509110422</v>
      </c>
      <c r="DE72" s="178">
        <f>AVERAGE(DA72:DD72)</f>
        <v>0.38641116183651253</v>
      </c>
      <c r="DF72" s="1667">
        <f>DF23/(DF22+DF42)</f>
        <v>0.37571633237822377</v>
      </c>
      <c r="DG72" s="1667">
        <f>DG23/(DG22+DG42)</f>
        <v>0.38284824831117348</v>
      </c>
      <c r="DH72" s="1667">
        <f>DH23/(DH22+DH42)</f>
        <v>0.37820354239501852</v>
      </c>
      <c r="DI72" s="1667">
        <f>DI23/(DI22+DI42)</f>
        <v>0.38285257781494542</v>
      </c>
      <c r="DJ72" s="178">
        <f>AVERAGE(DF72:DI72)</f>
        <v>0.3799051752248403</v>
      </c>
      <c r="DK72" s="228">
        <v>0.27</v>
      </c>
      <c r="DL72" s="228">
        <v>0.27</v>
      </c>
      <c r="DM72" s="228">
        <v>0.27</v>
      </c>
      <c r="DN72" s="228">
        <v>0.27</v>
      </c>
      <c r="DO72" s="178">
        <f>AVERAGE(DK72:DN72)</f>
        <v>0.27</v>
      </c>
      <c r="DP72" s="228">
        <v>0.27</v>
      </c>
      <c r="DQ72" s="228">
        <v>0.27</v>
      </c>
      <c r="DR72" s="228">
        <v>0.27</v>
      </c>
      <c r="DS72" s="228">
        <v>0.27</v>
      </c>
      <c r="DT72" s="178">
        <f>AVERAGE(DP72:DS72)</f>
        <v>0.27</v>
      </c>
      <c r="DU72" s="228">
        <v>0.27</v>
      </c>
      <c r="DV72" s="228">
        <v>0.27</v>
      </c>
      <c r="DW72" s="228">
        <v>0.27</v>
      </c>
      <c r="DX72" s="228">
        <v>0.27</v>
      </c>
      <c r="DY72" s="178">
        <f>AVERAGE(DU72:DX72)</f>
        <v>0.27</v>
      </c>
      <c r="DZ72" s="16"/>
    </row>
    <row r="73" spans="1:130" ht="11.25" customHeight="1" thickBot="1" x14ac:dyDescent="0.25">
      <c r="A73" s="18"/>
      <c r="B73" s="180"/>
      <c r="C73" s="180"/>
      <c r="D73" s="180"/>
      <c r="E73" s="181"/>
      <c r="F73" s="181"/>
      <c r="G73" s="181"/>
      <c r="H73" s="181"/>
      <c r="I73" s="182"/>
      <c r="J73" s="183"/>
      <c r="K73" s="183"/>
      <c r="L73" s="183"/>
      <c r="M73" s="181"/>
      <c r="N73" s="181"/>
      <c r="O73" s="181"/>
      <c r="P73" s="181"/>
      <c r="Q73" s="181"/>
      <c r="R73" s="181"/>
      <c r="S73" s="181"/>
      <c r="T73" s="181"/>
      <c r="U73" s="181"/>
      <c r="V73" s="181"/>
      <c r="W73" s="181"/>
      <c r="X73" s="181"/>
      <c r="Y73" s="181"/>
      <c r="Z73" s="181"/>
      <c r="AA73" s="181"/>
      <c r="AB73" s="181"/>
      <c r="AC73" s="181"/>
      <c r="AD73" s="183"/>
      <c r="AE73" s="183"/>
      <c r="AF73" s="183"/>
      <c r="AG73" s="181"/>
      <c r="AH73" s="181"/>
      <c r="AI73" s="183"/>
      <c r="AJ73" s="183"/>
      <c r="AK73" s="183"/>
      <c r="AL73" s="181"/>
      <c r="AM73" s="181"/>
      <c r="AN73" s="181"/>
      <c r="AO73" s="181"/>
      <c r="AP73" s="181"/>
      <c r="AQ73" s="181"/>
      <c r="AR73" s="181"/>
      <c r="AS73" s="184"/>
      <c r="AT73" s="184"/>
      <c r="AU73" s="185"/>
      <c r="AV73" s="181"/>
      <c r="AW73" s="181"/>
      <c r="AX73" s="186"/>
      <c r="AY73" s="186"/>
      <c r="AZ73" s="185"/>
      <c r="BA73" s="181"/>
      <c r="BB73" s="181"/>
      <c r="BC73" s="186"/>
      <c r="BD73" s="186"/>
      <c r="BE73" s="186"/>
      <c r="BF73" s="186"/>
      <c r="BG73" s="181"/>
      <c r="BH73" s="186"/>
      <c r="BI73" s="186"/>
      <c r="BJ73" s="186"/>
      <c r="BK73" s="184"/>
      <c r="BL73" s="181"/>
      <c r="BM73" s="184"/>
      <c r="BN73" s="184"/>
      <c r="BO73" s="184"/>
      <c r="BP73" s="184"/>
      <c r="BQ73" s="181"/>
      <c r="BR73" s="184"/>
      <c r="BS73" s="184"/>
      <c r="BT73" s="187"/>
      <c r="BU73" s="184"/>
      <c r="BV73" s="181"/>
      <c r="BW73" s="184"/>
      <c r="BX73" s="184"/>
      <c r="BY73" s="184"/>
      <c r="BZ73" s="184"/>
      <c r="CA73" s="181"/>
      <c r="CB73" s="184"/>
      <c r="CC73" s="184"/>
      <c r="CD73" s="184"/>
      <c r="CE73" s="184"/>
      <c r="CF73" s="181"/>
      <c r="CG73" s="184"/>
      <c r="CH73" s="184"/>
      <c r="CI73" s="184"/>
      <c r="CJ73" s="184"/>
      <c r="CK73" s="181"/>
      <c r="CL73" s="184"/>
      <c r="CM73" s="184"/>
      <c r="CN73" s="184"/>
      <c r="CO73" s="184"/>
      <c r="CP73" s="181"/>
      <c r="CQ73" s="184"/>
      <c r="CR73" s="184"/>
      <c r="CS73" s="184"/>
      <c r="CT73" s="184"/>
      <c r="CU73" s="181"/>
      <c r="CV73" s="184"/>
      <c r="CW73" s="184"/>
      <c r="CX73" s="184"/>
      <c r="CY73" s="184"/>
      <c r="CZ73" s="181"/>
      <c r="DA73" s="184"/>
      <c r="DB73" s="184"/>
      <c r="DC73" s="184"/>
      <c r="DD73" s="184"/>
      <c r="DE73" s="181"/>
      <c r="DF73" s="184"/>
      <c r="DG73" s="184"/>
      <c r="DH73" s="184"/>
      <c r="DI73" s="184"/>
      <c r="DJ73" s="181"/>
      <c r="DK73" s="184">
        <f ca="1">DK68-DI68</f>
        <v>3.7886981932865466E-3</v>
      </c>
      <c r="DL73" s="3245">
        <f ca="1">DK73*DI10</f>
        <v>183.31672809803231</v>
      </c>
      <c r="DM73" s="184"/>
      <c r="DN73" s="184"/>
      <c r="DO73" s="2773"/>
      <c r="DP73" s="2707"/>
      <c r="DQ73" s="2707"/>
      <c r="DR73" s="184"/>
      <c r="DS73" s="184"/>
      <c r="DT73" s="181"/>
      <c r="DU73" s="184"/>
      <c r="DV73" s="184"/>
      <c r="DW73" s="184"/>
      <c r="DX73" s="184"/>
      <c r="DY73" s="181"/>
      <c r="DZ73" s="18"/>
    </row>
    <row r="74" spans="1:130" ht="11.25" customHeight="1" thickBot="1" x14ac:dyDescent="0.25">
      <c r="A74" s="18"/>
      <c r="B74" s="221" t="s">
        <v>213</v>
      </c>
      <c r="C74" s="17"/>
      <c r="D74" s="200"/>
      <c r="E74" s="200"/>
      <c r="F74" s="200"/>
      <c r="G74" s="200"/>
      <c r="H74" s="200"/>
      <c r="I74" s="201"/>
      <c r="J74" s="202"/>
      <c r="K74" s="202"/>
      <c r="L74" s="202"/>
      <c r="M74" s="200"/>
      <c r="N74" s="200"/>
      <c r="O74" s="200"/>
      <c r="P74" s="200"/>
      <c r="Q74" s="200"/>
      <c r="R74" s="200"/>
      <c r="S74" s="200"/>
      <c r="T74" s="200"/>
      <c r="U74" s="200"/>
      <c r="V74" s="200"/>
      <c r="W74" s="200"/>
      <c r="X74" s="200"/>
      <c r="Y74" s="200"/>
      <c r="Z74" s="200"/>
      <c r="AA74" s="200"/>
      <c r="AB74" s="200"/>
      <c r="AC74" s="200"/>
      <c r="AD74" s="202"/>
      <c r="AE74" s="202"/>
      <c r="AF74" s="202"/>
      <c r="AG74" s="200"/>
      <c r="AH74" s="200"/>
      <c r="AI74" s="202"/>
      <c r="AJ74" s="202"/>
      <c r="AK74" s="202"/>
      <c r="AL74" s="200"/>
      <c r="AM74" s="200"/>
      <c r="AN74" s="200"/>
      <c r="AO74" s="200"/>
      <c r="AP74" s="200"/>
      <c r="AQ74" s="200"/>
      <c r="AR74" s="200"/>
      <c r="AS74" s="203"/>
      <c r="AT74" s="203"/>
      <c r="AU74" s="204"/>
      <c r="AV74" s="200"/>
      <c r="AW74" s="200"/>
      <c r="AX74" s="203"/>
      <c r="AY74" s="203"/>
      <c r="AZ74" s="204"/>
      <c r="BA74" s="200"/>
      <c r="BB74" s="200"/>
      <c r="BC74" s="203"/>
      <c r="BD74" s="203"/>
      <c r="BE74" s="203"/>
      <c r="BF74" s="203"/>
      <c r="BG74" s="200"/>
      <c r="BH74" s="203"/>
      <c r="BI74" s="203"/>
      <c r="BJ74" s="203"/>
      <c r="BK74" s="203"/>
      <c r="BL74" s="200"/>
      <c r="BM74" s="203"/>
      <c r="BN74" s="203"/>
      <c r="BO74" s="203"/>
      <c r="BP74" s="203"/>
      <c r="BQ74" s="200"/>
      <c r="BR74" s="203"/>
      <c r="BS74" s="203"/>
      <c r="BT74" s="203"/>
      <c r="BU74" s="203"/>
      <c r="BV74" s="200"/>
      <c r="BW74" s="203"/>
      <c r="BX74" s="203"/>
      <c r="BY74" s="203"/>
      <c r="BZ74" s="203"/>
      <c r="CA74" s="200"/>
      <c r="CB74" s="203"/>
      <c r="CC74" s="203"/>
      <c r="CD74" s="203"/>
      <c r="CE74" s="203"/>
      <c r="CF74" s="200"/>
      <c r="CG74" s="203"/>
      <c r="CH74" s="203"/>
      <c r="CI74" s="203"/>
      <c r="CJ74" s="203"/>
      <c r="CK74" s="200"/>
      <c r="CL74" s="203"/>
      <c r="CM74" s="203"/>
      <c r="CN74" s="203"/>
      <c r="CO74" s="203"/>
      <c r="CP74" s="200"/>
      <c r="CQ74" s="203"/>
      <c r="CR74" s="203"/>
      <c r="CS74" s="203"/>
      <c r="CT74" s="203"/>
      <c r="CU74" s="200"/>
      <c r="CV74" s="203"/>
      <c r="CW74" s="203"/>
      <c r="CX74" s="203"/>
      <c r="CY74" s="203"/>
      <c r="CZ74" s="200"/>
      <c r="DA74" s="203"/>
      <c r="DB74" s="203"/>
      <c r="DC74" s="203"/>
      <c r="DD74" s="203"/>
      <c r="DE74" s="428"/>
      <c r="DF74" s="203"/>
      <c r="DG74" s="203"/>
      <c r="DH74" s="203"/>
      <c r="DI74" s="203"/>
      <c r="DJ74" s="200"/>
      <c r="DK74" s="203"/>
      <c r="DL74" s="203"/>
      <c r="DM74" s="203"/>
      <c r="DN74" s="203"/>
      <c r="DO74" s="200"/>
      <c r="DP74" s="203"/>
      <c r="DQ74" s="203"/>
      <c r="DR74" s="203"/>
      <c r="DS74" s="203"/>
      <c r="DT74" s="200"/>
      <c r="DU74" s="203"/>
      <c r="DV74" s="203"/>
      <c r="DW74" s="203"/>
      <c r="DX74" s="203"/>
      <c r="DY74" s="200"/>
      <c r="DZ74" s="18"/>
    </row>
    <row r="75" spans="1:130" x14ac:dyDescent="0.2">
      <c r="A75" s="16"/>
      <c r="B75" s="98" t="s">
        <v>173</v>
      </c>
      <c r="C75" s="213"/>
      <c r="D75" s="213"/>
      <c r="E75" s="229"/>
      <c r="F75" s="229"/>
      <c r="G75" s="229"/>
      <c r="H75" s="13"/>
      <c r="I75" s="210"/>
      <c r="J75" s="229"/>
      <c r="K75" s="229"/>
      <c r="L75" s="229"/>
      <c r="M75" s="13"/>
      <c r="N75" s="210">
        <f>N67-I67</f>
        <v>-1.6122032238970796E-2</v>
      </c>
      <c r="O75" s="230"/>
      <c r="P75" s="13"/>
      <c r="Q75" s="230"/>
      <c r="R75" s="13"/>
      <c r="S75" s="210">
        <f>S67-N67</f>
        <v>-5.5338467355057208E-3</v>
      </c>
      <c r="T75" s="229"/>
      <c r="U75" s="229"/>
      <c r="V75" s="229"/>
      <c r="W75" s="13"/>
      <c r="X75" s="210">
        <f>X67-S67</f>
        <v>-1.7379732055010089E-3</v>
      </c>
      <c r="Y75" s="231"/>
      <c r="Z75" s="232"/>
      <c r="AA75" s="231"/>
      <c r="AB75" s="13"/>
      <c r="AC75" s="210">
        <f>AC67-X67</f>
        <v>-7.3780862110073286E-4</v>
      </c>
      <c r="AD75" s="229"/>
      <c r="AE75" s="229"/>
      <c r="AF75" s="229"/>
      <c r="AG75" s="13"/>
      <c r="AH75" s="210">
        <f>AH67-AC67</f>
        <v>-2.7690333072054846E-2</v>
      </c>
      <c r="AI75" s="229"/>
      <c r="AJ75" s="229"/>
      <c r="AK75" s="229"/>
      <c r="AL75" s="13"/>
      <c r="AM75" s="210">
        <f>AM67-AH67</f>
        <v>1.0785993443132774E-2</v>
      </c>
      <c r="AN75" s="233"/>
      <c r="AO75" s="233"/>
      <c r="AP75" s="233"/>
      <c r="AQ75" s="233"/>
      <c r="AR75" s="210">
        <f>AR67-AM67</f>
        <v>7.1552499450329154E-3</v>
      </c>
      <c r="AS75" s="15"/>
      <c r="AT75" s="232"/>
      <c r="AU75" s="233"/>
      <c r="AV75" s="233"/>
      <c r="AW75" s="210">
        <f>AW67-AR67</f>
        <v>4.3824488947565299E-3</v>
      </c>
      <c r="AX75" s="233"/>
      <c r="AY75" s="233"/>
      <c r="AZ75" s="233"/>
      <c r="BA75" s="233"/>
      <c r="BB75" s="210">
        <f>BB67-AW67</f>
        <v>-5.3763596699496485E-4</v>
      </c>
      <c r="BC75" s="233"/>
      <c r="BD75" s="233"/>
      <c r="BE75" s="233"/>
      <c r="BF75" s="233"/>
      <c r="BG75" s="210">
        <f t="shared" ref="BG75:BP79" si="204">BG67-BB67</f>
        <v>3.3801549806581344E-3</v>
      </c>
      <c r="BH75" s="152">
        <f t="shared" si="204"/>
        <v>0.25401604902689501</v>
      </c>
      <c r="BI75" s="152">
        <f t="shared" si="204"/>
        <v>0.20086169837658746</v>
      </c>
      <c r="BJ75" s="152">
        <f t="shared" si="204"/>
        <v>0.20469183028221244</v>
      </c>
      <c r="BK75" s="152">
        <f t="shared" si="204"/>
        <v>0.20284016333673616</v>
      </c>
      <c r="BL75" s="210">
        <f t="shared" si="204"/>
        <v>-5.4320432175936739E-2</v>
      </c>
      <c r="BM75" s="208">
        <f t="shared" si="204"/>
        <v>-5.2712475923640756E-2</v>
      </c>
      <c r="BN75" s="208">
        <f t="shared" si="204"/>
        <v>6.0038617148021611E-3</v>
      </c>
      <c r="BO75" s="208">
        <f t="shared" si="204"/>
        <v>6.232563632489807E-3</v>
      </c>
      <c r="BP75" s="208">
        <f t="shared" si="204"/>
        <v>1.3527856147817957E-2</v>
      </c>
      <c r="BQ75" s="210">
        <f t="shared" ref="BQ75:BZ79" si="205">BQ67-BL67</f>
        <v>-1.9339236297377382E-3</v>
      </c>
      <c r="BR75" s="208">
        <f t="shared" si="205"/>
        <v>1.655317889696889E-3</v>
      </c>
      <c r="BS75" s="208">
        <f t="shared" si="205"/>
        <v>-3.7301941445679054E-3</v>
      </c>
      <c r="BT75" s="208">
        <f t="shared" si="205"/>
        <v>-7.5431611363856177E-3</v>
      </c>
      <c r="BU75" s="208">
        <f t="shared" si="205"/>
        <v>-7.2244594261308692E-4</v>
      </c>
      <c r="BV75" s="210">
        <f t="shared" si="205"/>
        <v>-3.1518396570014429E-3</v>
      </c>
      <c r="BW75" s="208">
        <f t="shared" si="205"/>
        <v>-3.2114162454763839E-3</v>
      </c>
      <c r="BX75" s="208">
        <f t="shared" si="205"/>
        <v>5.9703115639043181E-3</v>
      </c>
      <c r="BY75" s="208">
        <f t="shared" si="205"/>
        <v>7.048086593411107E-3</v>
      </c>
      <c r="BZ75" s="208">
        <f t="shared" si="205"/>
        <v>5.056053360485202E-3</v>
      </c>
      <c r="CA75" s="210">
        <f t="shared" ref="CA75:CJ79" si="206">CA67-BV67</f>
        <v>2.7635566497151154E-3</v>
      </c>
      <c r="CB75" s="208">
        <f t="shared" si="206"/>
        <v>-1.6169422197242905E-2</v>
      </c>
      <c r="CC75" s="208">
        <f t="shared" si="206"/>
        <v>-1.7772919990729052E-2</v>
      </c>
      <c r="CD75" s="208">
        <f t="shared" si="206"/>
        <v>-1.6307702816280495E-2</v>
      </c>
      <c r="CE75" s="208">
        <f t="shared" si="206"/>
        <v>-2.4515590246000696E-2</v>
      </c>
      <c r="CF75" s="210">
        <f t="shared" si="206"/>
        <v>-1.9008620375665891E-2</v>
      </c>
      <c r="CG75" s="231">
        <f t="shared" si="206"/>
        <v>-1.7560778701280616E-2</v>
      </c>
      <c r="CH75" s="231">
        <f t="shared" si="206"/>
        <v>-1.3917603715918103E-2</v>
      </c>
      <c r="CI75" s="231">
        <f t="shared" si="206"/>
        <v>-7.3022512796866168E-3</v>
      </c>
      <c r="CJ75" s="231">
        <f t="shared" si="206"/>
        <v>4.3936919541369968E-3</v>
      </c>
      <c r="CK75" s="210">
        <f t="shared" ref="CK75:CT79" si="207">CK67-CF67</f>
        <v>-1.0250902332652301E-2</v>
      </c>
      <c r="CL75" s="231">
        <f t="shared" si="207"/>
        <v>1.5434470129204347E-2</v>
      </c>
      <c r="CM75" s="231">
        <f t="shared" si="207"/>
        <v>9.3566065796859832E-3</v>
      </c>
      <c r="CN75" s="231">
        <f t="shared" si="207"/>
        <v>1.9750891960409744E-3</v>
      </c>
      <c r="CO75" s="231">
        <f t="shared" si="207"/>
        <v>-7.5270540669300223E-3</v>
      </c>
      <c r="CP75" s="210">
        <f t="shared" si="207"/>
        <v>3.7030442130100705E-3</v>
      </c>
      <c r="CQ75" s="231">
        <f t="shared" si="207"/>
        <v>3.3473400060779479E-4</v>
      </c>
      <c r="CR75" s="231">
        <f t="shared" si="207"/>
        <v>-4.0324334240061654E-3</v>
      </c>
      <c r="CS75" s="231">
        <f t="shared" si="207"/>
        <v>-4.1186447456650899E-3</v>
      </c>
      <c r="CT75" s="231">
        <f t="shared" si="207"/>
        <v>-1.4028351437356146E-2</v>
      </c>
      <c r="CU75" s="210">
        <f t="shared" ref="CU75:DI79" si="208">CU67-CP67</f>
        <v>-6.0172198715569281E-3</v>
      </c>
      <c r="CV75" s="231">
        <f t="shared" si="208"/>
        <v>-1.2129760410585694E-2</v>
      </c>
      <c r="CW75" s="231">
        <f t="shared" si="208"/>
        <v>-1.0490484513520137E-2</v>
      </c>
      <c r="CX75" s="231">
        <f t="shared" si="208"/>
        <v>-1.2310597175967275E-2</v>
      </c>
      <c r="CY75" s="231">
        <f t="shared" si="208"/>
        <v>-1.5860578007097503E-3</v>
      </c>
      <c r="CZ75" s="206">
        <f t="shared" si="208"/>
        <v>-8.585615002530661E-3</v>
      </c>
      <c r="DA75" s="231">
        <f t="shared" si="208"/>
        <v>-1.3504918424361911E-2</v>
      </c>
      <c r="DB75" s="231">
        <f t="shared" si="208"/>
        <v>-1.1666753815628844E-2</v>
      </c>
      <c r="DC75" s="231">
        <f t="shared" si="208"/>
        <v>-4.3230742558736657E-3</v>
      </c>
      <c r="DD75" s="231">
        <f t="shared" si="208"/>
        <v>-1.1342970860348744E-2</v>
      </c>
      <c r="DE75" s="2701">
        <f>DE67-CZ67</f>
        <v>-5.740865154909458E-3</v>
      </c>
      <c r="DF75" s="231">
        <f t="shared" si="208"/>
        <v>-8.3183280248768643E-3</v>
      </c>
      <c r="DG75" s="231">
        <f t="shared" si="208"/>
        <v>-8.6700653735214961E-3</v>
      </c>
      <c r="DH75" s="231">
        <f t="shared" si="208"/>
        <v>-1.3680180739901293E-2</v>
      </c>
      <c r="DI75" s="231">
        <f t="shared" si="208"/>
        <v>-2.8381606463659947E-3</v>
      </c>
      <c r="DJ75" s="2729">
        <f t="shared" ref="DJ75:DJ79" si="209">DJ67-DE67</f>
        <v>-8.2933595053658882E-3</v>
      </c>
      <c r="DK75" s="231">
        <f t="shared" ref="DK75:DT79" ca="1" si="210">DK67-DF67</f>
        <v>-1.4840787031309699E-3</v>
      </c>
      <c r="DL75" s="231">
        <f t="shared" ca="1" si="210"/>
        <v>-6.1645275197170224E-3</v>
      </c>
      <c r="DM75" s="231">
        <f t="shared" ca="1" si="210"/>
        <v>-4.3884730986022136E-3</v>
      </c>
      <c r="DN75" s="231">
        <f t="shared" ca="1" si="210"/>
        <v>-6.985117030107707E-3</v>
      </c>
      <c r="DO75" s="206">
        <f t="shared" ca="1" si="210"/>
        <v>-4.8563681208187159E-3</v>
      </c>
      <c r="DP75" s="231">
        <f t="shared" ca="1" si="210"/>
        <v>-5.0376075473757553E-3</v>
      </c>
      <c r="DQ75" s="231">
        <f t="shared" ca="1" si="210"/>
        <v>-5.4126998364911749E-3</v>
      </c>
      <c r="DR75" s="231">
        <f t="shared" ca="1" si="210"/>
        <v>-5.3194692869329985E-3</v>
      </c>
      <c r="DS75" s="231">
        <f t="shared" ca="1" si="210"/>
        <v>-5.3814128770252601E-3</v>
      </c>
      <c r="DT75" s="206">
        <f t="shared" ca="1" si="210"/>
        <v>-5.2951322146234936E-3</v>
      </c>
      <c r="DU75" s="231">
        <f t="shared" ref="DU75:DU79" ca="1" si="211">DU67-DP67</f>
        <v>-2.1782240928689411E-3</v>
      </c>
      <c r="DV75" s="231">
        <f t="shared" ref="DV75:DV79" ca="1" si="212">DV67-DQ67</f>
        <v>-1.7739920000592602E-3</v>
      </c>
      <c r="DW75" s="231">
        <f t="shared" ref="DW75:DW79" ca="1" si="213">DW67-DR67</f>
        <v>-1.5134871607914158E-3</v>
      </c>
      <c r="DX75" s="231">
        <f t="shared" ref="DX75:DX79" ca="1" si="214">DX67-DS67</f>
        <v>-1.4700965431031499E-3</v>
      </c>
      <c r="DY75" s="206">
        <f t="shared" ref="DY75:DY79" ca="1" si="215">DY67-DT67</f>
        <v>-1.7333987943685403E-3</v>
      </c>
      <c r="DZ75" s="16"/>
    </row>
    <row r="76" spans="1:130" x14ac:dyDescent="0.2">
      <c r="A76" s="16"/>
      <c r="B76" s="98" t="s">
        <v>208</v>
      </c>
      <c r="C76" s="213"/>
      <c r="D76" s="213"/>
      <c r="E76" s="229"/>
      <c r="F76" s="229"/>
      <c r="G76" s="229"/>
      <c r="H76" s="13"/>
      <c r="I76" s="210"/>
      <c r="J76" s="229"/>
      <c r="K76" s="229"/>
      <c r="L76" s="229"/>
      <c r="M76" s="13"/>
      <c r="N76" s="210">
        <f>N68-I68</f>
        <v>-5.0531917200839493E-3</v>
      </c>
      <c r="O76" s="230"/>
      <c r="P76" s="13"/>
      <c r="Q76" s="230"/>
      <c r="R76" s="13"/>
      <c r="S76" s="210">
        <f>S68-N68</f>
        <v>-8.8291597812384937E-3</v>
      </c>
      <c r="T76" s="229"/>
      <c r="U76" s="229"/>
      <c r="V76" s="229"/>
      <c r="W76" s="13"/>
      <c r="X76" s="210">
        <f>X68-S68</f>
        <v>-2.5602406280895995E-3</v>
      </c>
      <c r="Y76" s="231"/>
      <c r="Z76" s="232"/>
      <c r="AA76" s="231"/>
      <c r="AB76" s="13"/>
      <c r="AC76" s="210">
        <f>AC68-X68</f>
        <v>-3.2543969679295903E-3</v>
      </c>
      <c r="AD76" s="229"/>
      <c r="AE76" s="229"/>
      <c r="AF76" s="229"/>
      <c r="AG76" s="13"/>
      <c r="AH76" s="210">
        <f>AH68-AC68</f>
        <v>1.9520313668122097E-2</v>
      </c>
      <c r="AI76" s="229"/>
      <c r="AJ76" s="229"/>
      <c r="AK76" s="229"/>
      <c r="AL76" s="13"/>
      <c r="AM76" s="210">
        <f>AM68-AH68</f>
        <v>-1.8525563390967809E-2</v>
      </c>
      <c r="AN76" s="233"/>
      <c r="AO76" s="233"/>
      <c r="AP76" s="233"/>
      <c r="AQ76" s="233"/>
      <c r="AR76" s="210">
        <f>AR68-AM68</f>
        <v>3.4738670225356594E-3</v>
      </c>
      <c r="AS76" s="15"/>
      <c r="AT76" s="232"/>
      <c r="AU76" s="233"/>
      <c r="AV76" s="233"/>
      <c r="AW76" s="210">
        <f>AW68-AR68</f>
        <v>6.9906714236401546E-3</v>
      </c>
      <c r="AX76" s="233"/>
      <c r="AY76" s="233"/>
      <c r="AZ76" s="233"/>
      <c r="BA76" s="233"/>
      <c r="BB76" s="210">
        <f>BB68-AW68</f>
        <v>8.6775563464291938E-3</v>
      </c>
      <c r="BC76" s="233"/>
      <c r="BD76" s="233"/>
      <c r="BE76" s="233"/>
      <c r="BF76" s="233"/>
      <c r="BG76" s="210">
        <f t="shared" si="204"/>
        <v>5.5969999368887802E-3</v>
      </c>
      <c r="BH76" s="152">
        <f t="shared" si="204"/>
        <v>0.18232635043914872</v>
      </c>
      <c r="BI76" s="152">
        <f t="shared" si="204"/>
        <v>0.13759642182647208</v>
      </c>
      <c r="BJ76" s="152">
        <f t="shared" si="204"/>
        <v>0.14267243061790078</v>
      </c>
      <c r="BK76" s="152">
        <f t="shared" si="204"/>
        <v>0.13557769432696518</v>
      </c>
      <c r="BL76" s="210">
        <f t="shared" si="204"/>
        <v>-6.4763554592026429E-2</v>
      </c>
      <c r="BM76" s="208">
        <f t="shared" si="204"/>
        <v>-4.526829923404696E-2</v>
      </c>
      <c r="BN76" s="208">
        <f t="shared" si="204"/>
        <v>-6.4945324040663333E-4</v>
      </c>
      <c r="BO76" s="208">
        <f t="shared" si="204"/>
        <v>-2.024214123944823E-3</v>
      </c>
      <c r="BP76" s="208">
        <f t="shared" si="204"/>
        <v>9.0570117064534827E-3</v>
      </c>
      <c r="BQ76" s="210">
        <f t="shared" si="205"/>
        <v>-8.2523572672004442E-3</v>
      </c>
      <c r="BR76" s="208">
        <f t="shared" si="205"/>
        <v>7.0307924678215394E-3</v>
      </c>
      <c r="BS76" s="208">
        <f t="shared" si="205"/>
        <v>1.8647446071588247E-3</v>
      </c>
      <c r="BT76" s="208">
        <f t="shared" si="205"/>
        <v>-8.1322000423722507E-4</v>
      </c>
      <c r="BU76" s="208">
        <f t="shared" si="205"/>
        <v>-2.3916574701779991E-3</v>
      </c>
      <c r="BV76" s="210">
        <f t="shared" si="205"/>
        <v>1.2363162223541224E-3</v>
      </c>
      <c r="BW76" s="208">
        <f t="shared" si="205"/>
        <v>-3.6848032688829024E-3</v>
      </c>
      <c r="BX76" s="208">
        <f t="shared" si="205"/>
        <v>7.7705336514460321E-3</v>
      </c>
      <c r="BY76" s="208">
        <f t="shared" si="205"/>
        <v>8.4372548191817831E-3</v>
      </c>
      <c r="BZ76" s="208">
        <f t="shared" si="205"/>
        <v>7.0040549045240763E-3</v>
      </c>
      <c r="CA76" s="210">
        <f t="shared" si="206"/>
        <v>4.9478781974615915E-3</v>
      </c>
      <c r="CB76" s="208">
        <f t="shared" si="206"/>
        <v>-7.4828657517992669E-3</v>
      </c>
      <c r="CC76" s="208">
        <f t="shared" si="206"/>
        <v>-1.1203524399216097E-2</v>
      </c>
      <c r="CD76" s="208">
        <f t="shared" si="206"/>
        <v>-1.3534304244343265E-2</v>
      </c>
      <c r="CE76" s="208">
        <f t="shared" si="206"/>
        <v>-2.2175026623466265E-2</v>
      </c>
      <c r="CF76" s="210">
        <f t="shared" si="206"/>
        <v>-1.3722861854729124E-2</v>
      </c>
      <c r="CG76" s="231">
        <f t="shared" si="206"/>
        <v>-1.2491276606913501E-2</v>
      </c>
      <c r="CH76" s="231">
        <f t="shared" si="206"/>
        <v>-1.3562896643875805E-2</v>
      </c>
      <c r="CI76" s="231">
        <f t="shared" si="206"/>
        <v>-7.9231141155343132E-3</v>
      </c>
      <c r="CJ76" s="231">
        <f t="shared" si="206"/>
        <v>1.8153849621246887E-4</v>
      </c>
      <c r="CK76" s="210">
        <f t="shared" si="207"/>
        <v>-8.3572346806763814E-3</v>
      </c>
      <c r="CL76" s="231">
        <f t="shared" si="207"/>
        <v>5.7931621243567238E-3</v>
      </c>
      <c r="CM76" s="231">
        <f t="shared" si="207"/>
        <v>1.9669079791392735E-3</v>
      </c>
      <c r="CN76" s="231">
        <f t="shared" si="207"/>
        <v>-3.4168205554180597E-3</v>
      </c>
      <c r="CO76" s="231">
        <f t="shared" si="207"/>
        <v>-1.712568916367091E-3</v>
      </c>
      <c r="CP76" s="210">
        <f t="shared" si="207"/>
        <v>6.5019984963482491E-4</v>
      </c>
      <c r="CQ76" s="231">
        <f t="shared" si="207"/>
        <v>-6.3750383641173192E-3</v>
      </c>
      <c r="CR76" s="231">
        <f t="shared" si="207"/>
        <v>-4.8302119028637569E-3</v>
      </c>
      <c r="CS76" s="231">
        <f t="shared" si="207"/>
        <v>-2.8492575001263648E-3</v>
      </c>
      <c r="CT76" s="231">
        <f t="shared" si="207"/>
        <v>-9.1501387807028517E-3</v>
      </c>
      <c r="CU76" s="210">
        <f t="shared" si="208"/>
        <v>-5.8503786076255504E-3</v>
      </c>
      <c r="CV76" s="231">
        <f t="shared" si="208"/>
        <v>-8.8757552387216526E-3</v>
      </c>
      <c r="CW76" s="231">
        <f t="shared" si="208"/>
        <v>-7.5636995021580999E-3</v>
      </c>
      <c r="CX76" s="231">
        <f t="shared" si="208"/>
        <v>-1.1780908616897054E-2</v>
      </c>
      <c r="CY76" s="231">
        <f t="shared" si="208"/>
        <v>-9.2227172822893916E-3</v>
      </c>
      <c r="CZ76" s="206">
        <f t="shared" si="208"/>
        <v>-9.386119190363168E-3</v>
      </c>
      <c r="DA76" s="231">
        <f t="shared" si="208"/>
        <v>-6.6520073975754462E-3</v>
      </c>
      <c r="DB76" s="231">
        <f t="shared" si="208"/>
        <v>-6.3901145337827842E-3</v>
      </c>
      <c r="DC76" s="231">
        <f t="shared" si="208"/>
        <v>-5.3295407739478162E-3</v>
      </c>
      <c r="DD76" s="231">
        <f t="shared" si="208"/>
        <v>-6.874963297250708E-3</v>
      </c>
      <c r="DE76" s="2701">
        <f>DE68-CZ68</f>
        <v>-6.2735682544997895E-3</v>
      </c>
      <c r="DF76" s="231">
        <f t="shared" si="208"/>
        <v>-1.558406611849264E-3</v>
      </c>
      <c r="DG76" s="231">
        <f t="shared" si="208"/>
        <v>-2.7334600075374083E-3</v>
      </c>
      <c r="DH76" s="231">
        <f t="shared" si="208"/>
        <v>-3.4484959832380563E-3</v>
      </c>
      <c r="DI76" s="231">
        <f t="shared" si="208"/>
        <v>-3.1905861246543099E-3</v>
      </c>
      <c r="DJ76" s="2701">
        <f t="shared" si="209"/>
        <v>-2.7586974273763332E-3</v>
      </c>
      <c r="DK76" s="231">
        <f t="shared" ca="1" si="210"/>
        <v>-1.8705134248875321E-3</v>
      </c>
      <c r="DL76" s="231">
        <f t="shared" ca="1" si="210"/>
        <v>-5.5972187980790761E-3</v>
      </c>
      <c r="DM76" s="231">
        <f t="shared" ca="1" si="210"/>
        <v>-2.7380005209003688E-3</v>
      </c>
      <c r="DN76" s="231">
        <f t="shared" ca="1" si="210"/>
        <v>-1.6491232443683473E-3</v>
      </c>
      <c r="DO76" s="206">
        <f t="shared" ca="1" si="210"/>
        <v>-2.9477616818000818E-3</v>
      </c>
      <c r="DP76" s="231">
        <f t="shared" ca="1" si="210"/>
        <v>-4.2626595452837784E-3</v>
      </c>
      <c r="DQ76" s="231">
        <f t="shared" ca="1" si="210"/>
        <v>-3.92654476207345E-3</v>
      </c>
      <c r="DR76" s="231">
        <f t="shared" ca="1" si="210"/>
        <v>-3.7498382763617583E-3</v>
      </c>
      <c r="DS76" s="231">
        <f t="shared" ca="1" si="210"/>
        <v>-3.8505258024187916E-3</v>
      </c>
      <c r="DT76" s="206">
        <f t="shared" ca="1" si="210"/>
        <v>-3.9422592706736675E-3</v>
      </c>
      <c r="DU76" s="231">
        <f t="shared" ca="1" si="211"/>
        <v>-2.3653390398336305E-3</v>
      </c>
      <c r="DV76" s="231">
        <f t="shared" ca="1" si="212"/>
        <v>-2.1642743560897487E-3</v>
      </c>
      <c r="DW76" s="231">
        <f t="shared" ca="1" si="213"/>
        <v>-2.1061037140019251E-3</v>
      </c>
      <c r="DX76" s="231">
        <f t="shared" ca="1" si="214"/>
        <v>-1.9221158658794535E-3</v>
      </c>
      <c r="DY76" s="206">
        <f t="shared" ca="1" si="215"/>
        <v>-2.133965886457978E-3</v>
      </c>
      <c r="DZ76" s="16"/>
    </row>
    <row r="77" spans="1:130" x14ac:dyDescent="0.2">
      <c r="A77" s="16"/>
      <c r="B77" s="98" t="s">
        <v>176</v>
      </c>
      <c r="C77" s="213"/>
      <c r="D77" s="213"/>
      <c r="E77" s="229"/>
      <c r="F77" s="229"/>
      <c r="G77" s="229"/>
      <c r="H77" s="13"/>
      <c r="I77" s="210"/>
      <c r="J77" s="229"/>
      <c r="K77" s="229"/>
      <c r="L77" s="229"/>
      <c r="M77" s="13"/>
      <c r="N77" s="210">
        <f>N69-I69</f>
        <v>-1.106884051888686E-2</v>
      </c>
      <c r="O77" s="230"/>
      <c r="P77" s="13"/>
      <c r="Q77" s="230"/>
      <c r="R77" s="13"/>
      <c r="S77" s="210">
        <f>S69-N69</f>
        <v>3.2953130457327451E-3</v>
      </c>
      <c r="T77" s="229"/>
      <c r="U77" s="229"/>
      <c r="V77" s="229"/>
      <c r="W77" s="13"/>
      <c r="X77" s="210">
        <f>X69-S69</f>
        <v>8.2226742258860452E-4</v>
      </c>
      <c r="Y77" s="231"/>
      <c r="Z77" s="232"/>
      <c r="AA77" s="231"/>
      <c r="AB77" s="13"/>
      <c r="AC77" s="210">
        <f>AC69-X69</f>
        <v>1.5607700518692896E-3</v>
      </c>
      <c r="AD77" s="229"/>
      <c r="AE77" s="229"/>
      <c r="AF77" s="229"/>
      <c r="AG77" s="13"/>
      <c r="AH77" s="210">
        <f>AH69-AC69</f>
        <v>-3.0563370173705681E-2</v>
      </c>
      <c r="AI77" s="229"/>
      <c r="AJ77" s="229"/>
      <c r="AK77" s="229"/>
      <c r="AL77" s="13"/>
      <c r="AM77" s="210">
        <f>AM69-AH69</f>
        <v>1.3620098562588917E-2</v>
      </c>
      <c r="AN77" s="233"/>
      <c r="AO77" s="233"/>
      <c r="AP77" s="233"/>
      <c r="AQ77" s="233"/>
      <c r="AR77" s="210">
        <f>AR69-AM69</f>
        <v>3.6813829224972561E-3</v>
      </c>
      <c r="AS77" s="15"/>
      <c r="AT77" s="232"/>
      <c r="AU77" s="233"/>
      <c r="AV77" s="233"/>
      <c r="AW77" s="210">
        <f>AW69-AR69</f>
        <v>-2.6082225288836386E-3</v>
      </c>
      <c r="AX77" s="233"/>
      <c r="AY77" s="233"/>
      <c r="AZ77" s="233"/>
      <c r="BA77" s="233"/>
      <c r="BB77" s="210">
        <f>BB69-AW69</f>
        <v>6.7035467257227921E-3</v>
      </c>
      <c r="BC77" s="233"/>
      <c r="BD77" s="233"/>
      <c r="BE77" s="233"/>
      <c r="BF77" s="233"/>
      <c r="BG77" s="210">
        <f t="shared" si="204"/>
        <v>-1.3421593779988222E-3</v>
      </c>
      <c r="BH77" s="152">
        <f t="shared" si="204"/>
        <v>7.1689698587746334E-2</v>
      </c>
      <c r="BI77" s="152">
        <f t="shared" si="204"/>
        <v>7.8142131930658568E-2</v>
      </c>
      <c r="BJ77" s="152">
        <f t="shared" si="204"/>
        <v>7.6739919590928643E-2</v>
      </c>
      <c r="BK77" s="152">
        <f t="shared" si="204"/>
        <v>7.9845413446113428E-2</v>
      </c>
      <c r="BL77" s="210">
        <f t="shared" si="204"/>
        <v>7.9901559439889552E-3</v>
      </c>
      <c r="BM77" s="208">
        <f t="shared" si="204"/>
        <v>6.5903351738592075E-3</v>
      </c>
      <c r="BN77" s="208">
        <f t="shared" si="204"/>
        <v>6.4403952804029663E-3</v>
      </c>
      <c r="BO77" s="208">
        <f t="shared" si="204"/>
        <v>8.4379517052167036E-3</v>
      </c>
      <c r="BP77" s="208">
        <f t="shared" si="204"/>
        <v>6.5510210130494406E-3</v>
      </c>
      <c r="BQ77" s="210">
        <f t="shared" si="205"/>
        <v>6.550655404247846E-3</v>
      </c>
      <c r="BR77" s="208">
        <f t="shared" si="205"/>
        <v>-4.2821112262437649E-3</v>
      </c>
      <c r="BS77" s="208">
        <f t="shared" si="205"/>
        <v>-4.8876202708780514E-3</v>
      </c>
      <c r="BT77" s="208">
        <f t="shared" si="205"/>
        <v>-9.445074717959398E-3</v>
      </c>
      <c r="BU77" s="208">
        <f t="shared" si="205"/>
        <v>6.5724070155286085E-4</v>
      </c>
      <c r="BV77" s="210">
        <f t="shared" si="205"/>
        <v>-4.4078528249317656E-3</v>
      </c>
      <c r="BW77" s="208">
        <f t="shared" si="205"/>
        <v>4.1285187541263701E-4</v>
      </c>
      <c r="BX77" s="208">
        <f t="shared" si="205"/>
        <v>-1.8426138589988234E-3</v>
      </c>
      <c r="BY77" s="208">
        <f t="shared" si="205"/>
        <v>1.9216536835941628E-3</v>
      </c>
      <c r="BZ77" s="208">
        <f t="shared" si="205"/>
        <v>-5.4122108134872782E-4</v>
      </c>
      <c r="CA77" s="210">
        <f t="shared" si="206"/>
        <v>-1.0054391141019192E-4</v>
      </c>
      <c r="CB77" s="208">
        <f t="shared" si="206"/>
        <v>-9.3025827569877123E-3</v>
      </c>
      <c r="CC77" s="208">
        <f t="shared" si="206"/>
        <v>-7.2150179300336653E-3</v>
      </c>
      <c r="CD77" s="208">
        <f t="shared" si="206"/>
        <v>-3.0124768044808709E-3</v>
      </c>
      <c r="CE77" s="208">
        <f t="shared" si="206"/>
        <v>-3.4245563500877318E-3</v>
      </c>
      <c r="CF77" s="210">
        <f t="shared" si="206"/>
        <v>-5.6006586586437451E-3</v>
      </c>
      <c r="CG77" s="231">
        <f t="shared" si="206"/>
        <v>-5.7861577554816149E-3</v>
      </c>
      <c r="CH77" s="231">
        <f t="shared" si="206"/>
        <v>-1.0054412230911663E-3</v>
      </c>
      <c r="CI77" s="231">
        <f t="shared" si="206"/>
        <v>-4.9731297807747987E-6</v>
      </c>
      <c r="CJ77" s="231">
        <f t="shared" si="206"/>
        <v>4.7855812794485031E-3</v>
      </c>
      <c r="CK77" s="210">
        <f t="shared" si="207"/>
        <v>-6.4682028162556249E-4</v>
      </c>
      <c r="CL77" s="231">
        <f t="shared" si="207"/>
        <v>1.2224954366818606E-2</v>
      </c>
      <c r="CM77" s="231">
        <f t="shared" si="207"/>
        <v>7.7387750330676353E-3</v>
      </c>
      <c r="CN77" s="231">
        <f t="shared" si="207"/>
        <v>5.1644267200696287E-3</v>
      </c>
      <c r="CO77" s="231">
        <f t="shared" si="207"/>
        <v>-6.4172455142607887E-3</v>
      </c>
      <c r="CP77" s="210">
        <f t="shared" si="207"/>
        <v>4.6956612346927135E-3</v>
      </c>
      <c r="CQ77" s="231">
        <f t="shared" si="207"/>
        <v>4.9958137257661295E-3</v>
      </c>
      <c r="CR77" s="231">
        <f t="shared" si="207"/>
        <v>5.1108300331317857E-4</v>
      </c>
      <c r="CS77" s="231">
        <f t="shared" si="207"/>
        <v>-2.0511564964061091E-3</v>
      </c>
      <c r="CT77" s="231">
        <f t="shared" si="207"/>
        <v>-5.6344212300944718E-3</v>
      </c>
      <c r="CU77" s="210">
        <f t="shared" si="208"/>
        <v>-6.4143851684385356E-4</v>
      </c>
      <c r="CV77" s="231">
        <f t="shared" si="208"/>
        <v>-4.3604593470204511E-3</v>
      </c>
      <c r="CW77" s="231">
        <f t="shared" si="208"/>
        <v>-3.9085585114733423E-3</v>
      </c>
      <c r="CX77" s="231">
        <f t="shared" si="208"/>
        <v>-3.6951845046133414E-4</v>
      </c>
      <c r="CY77" s="231">
        <f t="shared" si="208"/>
        <v>8.3160865648532617E-3</v>
      </c>
      <c r="CZ77" s="206">
        <f t="shared" si="208"/>
        <v>1.4919897934331794E-4</v>
      </c>
      <c r="DA77" s="231">
        <f t="shared" si="208"/>
        <v>-6.2492175715565396E-3</v>
      </c>
      <c r="DB77" s="231">
        <f t="shared" si="208"/>
        <v>-4.4001402430865338E-3</v>
      </c>
      <c r="DC77" s="231">
        <f t="shared" si="208"/>
        <v>7.6785262863041104E-4</v>
      </c>
      <c r="DD77" s="231">
        <f t="shared" si="208"/>
        <v>-4.8469514534775215E-3</v>
      </c>
      <c r="DE77" s="2701">
        <f>DE69-CZ69</f>
        <v>-3.7775109672948254E-3</v>
      </c>
      <c r="DF77" s="231">
        <f t="shared" si="208"/>
        <v>-6.9421650061757753E-3</v>
      </c>
      <c r="DG77" s="231">
        <f t="shared" si="208"/>
        <v>-6.3003366277292194E-3</v>
      </c>
      <c r="DH77" s="231">
        <f t="shared" si="208"/>
        <v>-1.0475404765028118E-2</v>
      </c>
      <c r="DI77" s="231">
        <f t="shared" si="208"/>
        <v>-2.7172484408513609E-4</v>
      </c>
      <c r="DJ77" s="2701">
        <f t="shared" si="209"/>
        <v>-5.8940040815252531E-3</v>
      </c>
      <c r="DK77" s="231">
        <f t="shared" ca="1" si="210"/>
        <v>4.4615926222250218E-4</v>
      </c>
      <c r="DL77" s="231">
        <f t="shared" ca="1" si="210"/>
        <v>-1.0725003752345211E-3</v>
      </c>
      <c r="DM77" s="231">
        <f t="shared" ca="1" si="210"/>
        <v>-1.8708646656614564E-3</v>
      </c>
      <c r="DN77" s="231">
        <f t="shared" ca="1" si="210"/>
        <v>-5.1410644132839495E-3</v>
      </c>
      <c r="DO77" s="206">
        <f t="shared" ca="1" si="210"/>
        <v>-2.0234940490608117E-3</v>
      </c>
      <c r="DP77" s="231">
        <f t="shared" ca="1" si="210"/>
        <v>-1.597948104875721E-3</v>
      </c>
      <c r="DQ77" s="231">
        <f t="shared" ca="1" si="210"/>
        <v>-2.1326905488959977E-3</v>
      </c>
      <c r="DR77" s="231">
        <f t="shared" ca="1" si="210"/>
        <v>-2.0476322566414379E-3</v>
      </c>
      <c r="DS77" s="231">
        <f t="shared" ca="1" si="210"/>
        <v>-2.2993906287511467E-3</v>
      </c>
      <c r="DT77" s="206">
        <f t="shared" ca="1" si="210"/>
        <v>-2.0307565398017535E-3</v>
      </c>
      <c r="DU77" s="231">
        <f t="shared" ca="1" si="211"/>
        <v>-3.3682141499152135E-4</v>
      </c>
      <c r="DV77" s="231">
        <f t="shared" ca="1" si="212"/>
        <v>-8.6512245698812384E-5</v>
      </c>
      <c r="DW77" s="231">
        <f t="shared" ca="1" si="213"/>
        <v>1.2443895178666786E-4</v>
      </c>
      <c r="DX77" s="231">
        <f t="shared" ca="1" si="214"/>
        <v>2.9793798456245746E-5</v>
      </c>
      <c r="DY77" s="206">
        <f t="shared" ca="1" si="215"/>
        <v>-7.1077228970317652E-5</v>
      </c>
      <c r="DZ77" s="16"/>
    </row>
    <row r="78" spans="1:130" x14ac:dyDescent="0.2">
      <c r="A78" s="16"/>
      <c r="B78" s="98" t="s">
        <v>178</v>
      </c>
      <c r="C78" s="213"/>
      <c r="D78" s="213"/>
      <c r="E78" s="229"/>
      <c r="F78" s="229"/>
      <c r="G78" s="229"/>
      <c r="H78" s="13"/>
      <c r="I78" s="210"/>
      <c r="J78" s="229"/>
      <c r="K78" s="229"/>
      <c r="L78" s="229"/>
      <c r="M78" s="13"/>
      <c r="N78" s="210">
        <f>N70-I70</f>
        <v>-1.1378518734714502E-2</v>
      </c>
      <c r="O78" s="230"/>
      <c r="P78" s="13"/>
      <c r="Q78" s="230"/>
      <c r="R78" s="13"/>
      <c r="S78" s="210">
        <f>S70-N70</f>
        <v>4.2698578628540401E-3</v>
      </c>
      <c r="T78" s="229"/>
      <c r="U78" s="229"/>
      <c r="V78" s="229"/>
      <c r="W78" s="13"/>
      <c r="X78" s="210">
        <f>X70-S70</f>
        <v>1.8157046405020971E-3</v>
      </c>
      <c r="Y78" s="231"/>
      <c r="Z78" s="232"/>
      <c r="AA78" s="231"/>
      <c r="AB78" s="13"/>
      <c r="AC78" s="210">
        <f>AC70-X70</f>
        <v>2.1500535531120274E-3</v>
      </c>
      <c r="AD78" s="229"/>
      <c r="AE78" s="229"/>
      <c r="AF78" s="229"/>
      <c r="AG78" s="13"/>
      <c r="AH78" s="210">
        <f>AH70-AC70</f>
        <v>-3.0221172803489814E-2</v>
      </c>
      <c r="AI78" s="229"/>
      <c r="AJ78" s="229"/>
      <c r="AK78" s="229"/>
      <c r="AL78" s="13"/>
      <c r="AM78" s="210">
        <f>AM70-AH70</f>
        <v>1.5211527305852318E-2</v>
      </c>
      <c r="AN78" s="233"/>
      <c r="AO78" s="233"/>
      <c r="AP78" s="233"/>
      <c r="AQ78" s="233"/>
      <c r="AR78" s="210">
        <f>AR70-AM70</f>
        <v>3.6618442493565259E-3</v>
      </c>
      <c r="AS78" s="15"/>
      <c r="AT78" s="232"/>
      <c r="AU78" s="233"/>
      <c r="AV78" s="233"/>
      <c r="AW78" s="210">
        <f>AW70-AR70</f>
        <v>-5.9948790273322283E-3</v>
      </c>
      <c r="AX78" s="233"/>
      <c r="AY78" s="233"/>
      <c r="AZ78" s="233"/>
      <c r="BA78" s="233"/>
      <c r="BB78" s="210">
        <f>BB70-AW70</f>
        <v>7.0231265891165032E-3</v>
      </c>
      <c r="BC78" s="233"/>
      <c r="BD78" s="233"/>
      <c r="BE78" s="233"/>
      <c r="BF78" s="233"/>
      <c r="BG78" s="210">
        <f t="shared" si="204"/>
        <v>-2.2168449562306458E-3</v>
      </c>
      <c r="BH78" s="152">
        <f t="shared" si="204"/>
        <v>5.5853040668658913E-2</v>
      </c>
      <c r="BI78" s="152">
        <f t="shared" si="204"/>
        <v>6.3265276550115379E-2</v>
      </c>
      <c r="BJ78" s="152">
        <f t="shared" si="204"/>
        <v>6.2019399664311685E-2</v>
      </c>
      <c r="BK78" s="152">
        <f t="shared" si="204"/>
        <v>6.7262469009771009E-2</v>
      </c>
      <c r="BL78" s="210">
        <f t="shared" si="204"/>
        <v>1.0443122416089697E-2</v>
      </c>
      <c r="BM78" s="208">
        <f t="shared" si="204"/>
        <v>8.3924812294935702E-3</v>
      </c>
      <c r="BN78" s="208">
        <f t="shared" si="204"/>
        <v>6.6533149552087806E-3</v>
      </c>
      <c r="BO78" s="208">
        <f t="shared" si="204"/>
        <v>8.2567777564346231E-3</v>
      </c>
      <c r="BP78" s="208">
        <f t="shared" si="204"/>
        <v>4.4708444413644327E-3</v>
      </c>
      <c r="BQ78" s="210">
        <f t="shared" si="205"/>
        <v>6.318433637462692E-3</v>
      </c>
      <c r="BR78" s="208">
        <f t="shared" si="205"/>
        <v>-5.3754745781246227E-3</v>
      </c>
      <c r="BS78" s="208">
        <f t="shared" si="205"/>
        <v>-5.5949387517267302E-3</v>
      </c>
      <c r="BT78" s="208">
        <f t="shared" si="205"/>
        <v>-6.7299411321484204E-3</v>
      </c>
      <c r="BU78" s="208">
        <f t="shared" si="205"/>
        <v>1.6692115275649538E-3</v>
      </c>
      <c r="BV78" s="210">
        <f t="shared" si="205"/>
        <v>-4.3881558793555792E-3</v>
      </c>
      <c r="BW78" s="208">
        <f t="shared" si="205"/>
        <v>4.7338702340648381E-4</v>
      </c>
      <c r="BX78" s="208">
        <f t="shared" si="205"/>
        <v>-1.8002220875417002E-3</v>
      </c>
      <c r="BY78" s="208">
        <f t="shared" si="205"/>
        <v>-1.3891682257706622E-3</v>
      </c>
      <c r="BZ78" s="208">
        <f t="shared" si="205"/>
        <v>-1.948001544038902E-3</v>
      </c>
      <c r="CA78" s="210">
        <f t="shared" si="206"/>
        <v>-2.1843215477464623E-3</v>
      </c>
      <c r="CB78" s="208">
        <f t="shared" si="206"/>
        <v>-8.6865564454436175E-3</v>
      </c>
      <c r="CC78" s="208">
        <f t="shared" si="206"/>
        <v>-6.5693955915129346E-3</v>
      </c>
      <c r="CD78" s="208">
        <f t="shared" si="206"/>
        <v>-2.7733985719372231E-3</v>
      </c>
      <c r="CE78" s="208">
        <f t="shared" si="206"/>
        <v>-2.3405636225344584E-3</v>
      </c>
      <c r="CF78" s="210">
        <f t="shared" si="206"/>
        <v>-5.2857585209367397E-3</v>
      </c>
      <c r="CG78" s="231">
        <f t="shared" si="206"/>
        <v>-5.0695020943671149E-3</v>
      </c>
      <c r="CH78" s="231">
        <f t="shared" si="206"/>
        <v>-3.5470707204231927E-4</v>
      </c>
      <c r="CI78" s="231">
        <f t="shared" si="206"/>
        <v>6.2086283584769641E-4</v>
      </c>
      <c r="CJ78" s="231">
        <f t="shared" si="206"/>
        <v>4.2121534579245695E-3</v>
      </c>
      <c r="CK78" s="210">
        <f t="shared" si="207"/>
        <v>-1.8936676519759471E-3</v>
      </c>
      <c r="CL78" s="231">
        <f t="shared" si="207"/>
        <v>9.6413080048476027E-3</v>
      </c>
      <c r="CM78" s="231">
        <f t="shared" si="207"/>
        <v>7.3896986005467097E-3</v>
      </c>
      <c r="CN78" s="231">
        <f t="shared" si="207"/>
        <v>5.3919097514590411E-3</v>
      </c>
      <c r="CO78" s="231">
        <f t="shared" si="207"/>
        <v>-5.8144851505629314E-3</v>
      </c>
      <c r="CP78" s="210">
        <f t="shared" si="207"/>
        <v>3.0528443633752386E-3</v>
      </c>
      <c r="CQ78" s="231">
        <f t="shared" si="207"/>
        <v>6.7097723647251348E-3</v>
      </c>
      <c r="CR78" s="231">
        <f t="shared" si="207"/>
        <v>7.9777847885759146E-4</v>
      </c>
      <c r="CS78" s="231">
        <f t="shared" si="207"/>
        <v>-1.2693872455387251E-3</v>
      </c>
      <c r="CT78" s="231">
        <f t="shared" si="207"/>
        <v>-4.8782126566533079E-3</v>
      </c>
      <c r="CU78" s="210">
        <f t="shared" si="208"/>
        <v>4.7152501999426846E-3</v>
      </c>
      <c r="CV78" s="231">
        <f t="shared" si="208"/>
        <v>-3.2540051718640481E-3</v>
      </c>
      <c r="CW78" s="231">
        <f t="shared" si="208"/>
        <v>-2.9267850113620306E-3</v>
      </c>
      <c r="CX78" s="231">
        <f t="shared" si="208"/>
        <v>-5.2968855907024881E-4</v>
      </c>
      <c r="CY78" s="231">
        <f t="shared" si="208"/>
        <v>7.6366594815796413E-3</v>
      </c>
      <c r="CZ78" s="206">
        <f t="shared" si="208"/>
        <v>4.281744765537443E-4</v>
      </c>
      <c r="DA78" s="231">
        <f t="shared" si="208"/>
        <v>-6.8529110267864582E-3</v>
      </c>
      <c r="DB78" s="231">
        <f t="shared" si="208"/>
        <v>-5.2766392818460531E-3</v>
      </c>
      <c r="DC78" s="231">
        <f t="shared" si="208"/>
        <v>1.0064665180741783E-3</v>
      </c>
      <c r="DD78" s="231">
        <f t="shared" si="208"/>
        <v>-4.4680075630980365E-3</v>
      </c>
      <c r="DE78" s="2701">
        <f>DE70-CZ70</f>
        <v>-3.9770586530049612E-3</v>
      </c>
      <c r="DF78" s="231">
        <f t="shared" si="208"/>
        <v>-6.7599214130276003E-3</v>
      </c>
      <c r="DG78" s="231">
        <f t="shared" si="208"/>
        <v>-5.9366053659841087E-3</v>
      </c>
      <c r="DH78" s="231">
        <f t="shared" si="208"/>
        <v>-1.023168475666323E-2</v>
      </c>
      <c r="DI78" s="231">
        <f t="shared" si="208"/>
        <v>3.5242547828831516E-4</v>
      </c>
      <c r="DJ78" s="2701">
        <f t="shared" si="209"/>
        <v>-5.5346620779895411E-3</v>
      </c>
      <c r="DK78" s="231">
        <f t="shared" ca="1" si="210"/>
        <v>3.8643472175657612E-4</v>
      </c>
      <c r="DL78" s="231">
        <f t="shared" ca="1" si="210"/>
        <v>-5.6730872163795326E-4</v>
      </c>
      <c r="DM78" s="231">
        <f t="shared" ca="1" si="210"/>
        <v>-1.6504725777018864E-3</v>
      </c>
      <c r="DN78" s="231">
        <f t="shared" ca="1" si="210"/>
        <v>-5.3359937857393527E-3</v>
      </c>
      <c r="DO78" s="206">
        <f t="shared" ca="1" si="210"/>
        <v>-1.9086064390186341E-3</v>
      </c>
      <c r="DP78" s="231">
        <f t="shared" ca="1" si="210"/>
        <v>-7.7494800209199771E-4</v>
      </c>
      <c r="DQ78" s="231">
        <f t="shared" ca="1" si="210"/>
        <v>-1.4861550744177249E-3</v>
      </c>
      <c r="DR78" s="231">
        <f t="shared" ca="1" si="210"/>
        <v>-1.5696310105712194E-3</v>
      </c>
      <c r="DS78" s="231">
        <f t="shared" ca="1" si="210"/>
        <v>-1.5308870746064754E-3</v>
      </c>
      <c r="DT78" s="206">
        <f t="shared" ca="1" si="210"/>
        <v>-1.3528729439498469E-3</v>
      </c>
      <c r="DU78" s="231">
        <f t="shared" ca="1" si="211"/>
        <v>1.8711494696471015E-4</v>
      </c>
      <c r="DV78" s="231">
        <f t="shared" ca="1" si="212"/>
        <v>3.9028235603050243E-4</v>
      </c>
      <c r="DW78" s="231">
        <f t="shared" ca="1" si="213"/>
        <v>5.9261655321050932E-4</v>
      </c>
      <c r="DX78" s="231">
        <f t="shared" ca="1" si="214"/>
        <v>4.5201932277631057E-4</v>
      </c>
      <c r="DY78" s="206">
        <f t="shared" ca="1" si="215"/>
        <v>4.0056709208943775E-4</v>
      </c>
      <c r="DZ78" s="16"/>
    </row>
    <row r="79" spans="1:130" ht="12" thickBot="1" x14ac:dyDescent="0.25">
      <c r="A79" s="16"/>
      <c r="B79" s="223" t="s">
        <v>209</v>
      </c>
      <c r="C79" s="216"/>
      <c r="D79" s="216"/>
      <c r="E79" s="186"/>
      <c r="F79" s="186"/>
      <c r="G79" s="186"/>
      <c r="H79" s="33"/>
      <c r="I79" s="218"/>
      <c r="J79" s="186"/>
      <c r="K79" s="186"/>
      <c r="L79" s="186"/>
      <c r="M79" s="33"/>
      <c r="N79" s="218">
        <f>N71-I71</f>
        <v>-2.2406714711521846E-2</v>
      </c>
      <c r="O79" s="224"/>
      <c r="P79" s="33"/>
      <c r="Q79" s="224"/>
      <c r="R79" s="33"/>
      <c r="S79" s="218">
        <f>S71-N71</f>
        <v>6.3978084716143739E-3</v>
      </c>
      <c r="T79" s="186"/>
      <c r="U79" s="186"/>
      <c r="V79" s="186"/>
      <c r="W79" s="33"/>
      <c r="X79" s="218">
        <f>X71-S71</f>
        <v>-1.7787232335687089E-3</v>
      </c>
      <c r="Y79" s="186"/>
      <c r="Z79" s="225"/>
      <c r="AA79" s="186"/>
      <c r="AB79" s="33"/>
      <c r="AC79" s="218">
        <f>AC71-X71</f>
        <v>1.0896628700401423E-3</v>
      </c>
      <c r="AD79" s="186"/>
      <c r="AE79" s="186"/>
      <c r="AF79" s="186"/>
      <c r="AG79" s="33"/>
      <c r="AH79" s="218">
        <f>AH71-AC71</f>
        <v>-1.7580908751491146E-2</v>
      </c>
      <c r="AI79" s="186"/>
      <c r="AJ79" s="186"/>
      <c r="AK79" s="186"/>
      <c r="AL79" s="33"/>
      <c r="AM79" s="218">
        <f>AM71-AH71</f>
        <v>1.1033776696935976E-2</v>
      </c>
      <c r="AN79" s="33"/>
      <c r="AO79" s="33"/>
      <c r="AP79" s="33"/>
      <c r="AQ79" s="33"/>
      <c r="AR79" s="218">
        <f>AR71-AM71</f>
        <v>2.2335353812077199E-3</v>
      </c>
      <c r="AS79" s="226"/>
      <c r="AT79" s="225"/>
      <c r="AU79" s="33"/>
      <c r="AV79" s="33"/>
      <c r="AW79" s="218">
        <f>AW71-AR71</f>
        <v>-1.8360219535679435E-3</v>
      </c>
      <c r="AX79" s="33"/>
      <c r="AY79" s="33"/>
      <c r="AZ79" s="33"/>
      <c r="BA79" s="33"/>
      <c r="BB79" s="218">
        <f>BB71-AW71</f>
        <v>3.0622693632680505E-3</v>
      </c>
      <c r="BC79" s="33"/>
      <c r="BD79" s="33"/>
      <c r="BE79" s="33"/>
      <c r="BF79" s="33"/>
      <c r="BG79" s="218">
        <f t="shared" si="204"/>
        <v>-5.3057331561094517E-3</v>
      </c>
      <c r="BH79" s="130">
        <f t="shared" si="204"/>
        <v>5.5853040668658913E-2</v>
      </c>
      <c r="BI79" s="130">
        <f t="shared" si="204"/>
        <v>6.3265276550115379E-2</v>
      </c>
      <c r="BJ79" s="130">
        <f t="shared" si="204"/>
        <v>6.2019399664311685E-2</v>
      </c>
      <c r="BK79" s="130">
        <f t="shared" si="204"/>
        <v>6.7262469009771009E-2</v>
      </c>
      <c r="BL79" s="218">
        <f t="shared" si="204"/>
        <v>6.7593123055766785E-3</v>
      </c>
      <c r="BM79" s="216">
        <f t="shared" si="204"/>
        <v>8.3924812294935702E-3</v>
      </c>
      <c r="BN79" s="216">
        <f t="shared" si="204"/>
        <v>6.6533149552087806E-3</v>
      </c>
      <c r="BO79" s="216">
        <f t="shared" si="204"/>
        <v>8.2567777564346231E-3</v>
      </c>
      <c r="BP79" s="216">
        <f t="shared" si="204"/>
        <v>4.4708444413644327E-3</v>
      </c>
      <c r="BQ79" s="218">
        <f t="shared" si="205"/>
        <v>3.6829767357296275E-3</v>
      </c>
      <c r="BR79" s="216">
        <f t="shared" si="205"/>
        <v>-5.3754745781246227E-3</v>
      </c>
      <c r="BS79" s="216">
        <f t="shared" si="205"/>
        <v>-5.5949387517267302E-3</v>
      </c>
      <c r="BT79" s="216">
        <f t="shared" si="205"/>
        <v>-6.7299411321484204E-3</v>
      </c>
      <c r="BU79" s="216">
        <f t="shared" si="205"/>
        <v>1.6692115275649538E-3</v>
      </c>
      <c r="BV79" s="218">
        <f t="shared" si="205"/>
        <v>-2.3616332177438318E-3</v>
      </c>
      <c r="BW79" s="216">
        <f t="shared" si="205"/>
        <v>4.7338702340648381E-4</v>
      </c>
      <c r="BX79" s="216">
        <f t="shared" si="205"/>
        <v>-1.8002220875417002E-3</v>
      </c>
      <c r="BY79" s="216">
        <f t="shared" si="205"/>
        <v>-1.3891682257706622E-3</v>
      </c>
      <c r="BZ79" s="216">
        <f t="shared" si="205"/>
        <v>-1.948001544038902E-3</v>
      </c>
      <c r="CA79" s="218">
        <f t="shared" si="206"/>
        <v>-1.9946630729431036E-4</v>
      </c>
      <c r="CB79" s="216">
        <f t="shared" si="206"/>
        <v>-3.1793202504176228E-2</v>
      </c>
      <c r="CC79" s="216">
        <f t="shared" si="206"/>
        <v>-3.1880147027916861E-2</v>
      </c>
      <c r="CD79" s="216">
        <f t="shared" si="206"/>
        <v>-2.9653506542245384E-2</v>
      </c>
      <c r="CE79" s="216">
        <f t="shared" si="206"/>
        <v>-3.2650977861330942E-2</v>
      </c>
      <c r="CF79" s="218">
        <f t="shared" si="206"/>
        <v>-3.1596962196790007E-3</v>
      </c>
      <c r="CG79" s="186">
        <f t="shared" si="206"/>
        <v>-2.3537905118991981E-3</v>
      </c>
      <c r="CH79" s="186">
        <f t="shared" si="206"/>
        <v>8.1427372908955339E-4</v>
      </c>
      <c r="CI79" s="186">
        <f t="shared" si="206"/>
        <v>9.4219777647738812E-4</v>
      </c>
      <c r="CJ79" s="186">
        <f t="shared" si="206"/>
        <v>-2.8412597862374767E-3</v>
      </c>
      <c r="CK79" s="218">
        <f t="shared" si="207"/>
        <v>1.8445563541436283E-3</v>
      </c>
      <c r="CL79" s="186">
        <f t="shared" si="207"/>
        <v>5.8798516219633196E-3</v>
      </c>
      <c r="CM79" s="186">
        <f t="shared" si="207"/>
        <v>4.4579964388986038E-3</v>
      </c>
      <c r="CN79" s="186">
        <f t="shared" si="207"/>
        <v>3.1282003689828905E-3</v>
      </c>
      <c r="CO79" s="186">
        <f t="shared" si="207"/>
        <v>2.5757542313048359E-3</v>
      </c>
      <c r="CP79" s="218">
        <f t="shared" si="207"/>
        <v>1.2321828718823216E-3</v>
      </c>
      <c r="CQ79" s="186">
        <f t="shared" si="207"/>
        <v>1.8859664108886592E-3</v>
      </c>
      <c r="CR79" s="186">
        <f t="shared" si="207"/>
        <v>-1.4225304427753563E-3</v>
      </c>
      <c r="CS79" s="186">
        <f t="shared" si="207"/>
        <v>-1.983384270066571E-3</v>
      </c>
      <c r="CT79" s="186">
        <f t="shared" si="207"/>
        <v>-4.2379533911137413E-3</v>
      </c>
      <c r="CU79" s="218">
        <f t="shared" si="208"/>
        <v>-1.4793144803807654E-3</v>
      </c>
      <c r="CV79" s="186">
        <f t="shared" si="208"/>
        <v>-7.451260657783676E-4</v>
      </c>
      <c r="CW79" s="186">
        <f t="shared" si="208"/>
        <v>-1.6483602175497714E-3</v>
      </c>
      <c r="CX79" s="186">
        <f t="shared" si="208"/>
        <v>-1.4679861669862071E-3</v>
      </c>
      <c r="CY79" s="186">
        <f t="shared" si="208"/>
        <v>2.7076262968854375E-3</v>
      </c>
      <c r="CZ79" s="215">
        <f t="shared" si="208"/>
        <v>-2.237631978327867E-4</v>
      </c>
      <c r="DA79" s="186">
        <f t="shared" si="208"/>
        <v>-6.3881387323592061E-3</v>
      </c>
      <c r="DB79" s="186">
        <f t="shared" si="208"/>
        <v>-4.7602360521055813E-3</v>
      </c>
      <c r="DC79" s="186">
        <f t="shared" si="208"/>
        <v>2.0046101434189889E-3</v>
      </c>
      <c r="DD79" s="186">
        <f t="shared" si="208"/>
        <v>-1.4680707133942067E-3</v>
      </c>
      <c r="DE79" s="218">
        <f>DE71-CZ71</f>
        <v>-2.6475289972773472E-3</v>
      </c>
      <c r="DF79" s="186">
        <f t="shared" si="208"/>
        <v>-2.9213887966443655E-3</v>
      </c>
      <c r="DG79" s="186">
        <f t="shared" si="208"/>
        <v>-2.4804916156066399E-3</v>
      </c>
      <c r="DH79" s="186">
        <f t="shared" si="208"/>
        <v>-6.3000592368570064E-3</v>
      </c>
      <c r="DI79" s="186">
        <f t="shared" si="208"/>
        <v>5.3676695408074598E-4</v>
      </c>
      <c r="DJ79" s="218">
        <f t="shared" si="209"/>
        <v>-2.7334707992190295E-3</v>
      </c>
      <c r="DK79" s="186">
        <f t="shared" ca="1" si="210"/>
        <v>4.9096674064313603E-3</v>
      </c>
      <c r="DL79" s="186">
        <f t="shared" ca="1" si="210"/>
        <v>1.0464419524607825E-3</v>
      </c>
      <c r="DM79" s="186">
        <f t="shared" ca="1" si="210"/>
        <v>1.1196254777179233E-3</v>
      </c>
      <c r="DN79" s="186">
        <f t="shared" ca="1" si="210"/>
        <v>4.2553874615915144E-5</v>
      </c>
      <c r="DO79" s="215">
        <f t="shared" ca="1" si="210"/>
        <v>1.6883065026366134E-3</v>
      </c>
      <c r="DP79" s="186">
        <f t="shared" ca="1" si="210"/>
        <v>-3.5582683141221448E-3</v>
      </c>
      <c r="DQ79" s="186">
        <f t="shared" ca="1" si="210"/>
        <v>2.5124784546627296E-4</v>
      </c>
      <c r="DR79" s="186">
        <f t="shared" ca="1" si="210"/>
        <v>-3.6328128227519282E-4</v>
      </c>
      <c r="DS79" s="186">
        <f t="shared" ca="1" si="210"/>
        <v>-3.7307182737637834E-4</v>
      </c>
      <c r="DT79" s="215">
        <f t="shared" ca="1" si="210"/>
        <v>-9.8228369514425512E-4</v>
      </c>
      <c r="DU79" s="186">
        <f t="shared" ca="1" si="211"/>
        <v>7.445071150116965E-4</v>
      </c>
      <c r="DV79" s="186">
        <f t="shared" ca="1" si="212"/>
        <v>8.5293680678601505E-4</v>
      </c>
      <c r="DW79" s="186">
        <f t="shared" ca="1" si="213"/>
        <v>9.9115643875101814E-4</v>
      </c>
      <c r="DX79" s="186">
        <f t="shared" ca="1" si="214"/>
        <v>8.5932956870100191E-4</v>
      </c>
      <c r="DY79" s="215">
        <f t="shared" ca="1" si="215"/>
        <v>8.5739271342167439E-4</v>
      </c>
      <c r="DZ79" s="16"/>
    </row>
    <row r="80" spans="1:130" ht="5.25" customHeight="1" thickBot="1" x14ac:dyDescent="0.25">
      <c r="A80" s="16"/>
      <c r="B80" s="233"/>
      <c r="C80" s="233"/>
      <c r="D80" s="233"/>
      <c r="E80" s="186"/>
      <c r="F80" s="186"/>
      <c r="G80" s="186"/>
      <c r="H80" s="33"/>
      <c r="I80" s="186"/>
      <c r="J80" s="186"/>
      <c r="K80" s="186"/>
      <c r="L80" s="186"/>
      <c r="M80" s="33"/>
      <c r="N80" s="186"/>
      <c r="O80" s="224"/>
      <c r="P80" s="33"/>
      <c r="Q80" s="224"/>
      <c r="R80" s="33"/>
      <c r="S80" s="186"/>
      <c r="T80" s="186"/>
      <c r="U80" s="186"/>
      <c r="V80" s="186"/>
      <c r="W80" s="33"/>
      <c r="X80" s="186"/>
      <c r="Y80" s="186"/>
      <c r="Z80" s="225"/>
      <c r="AA80" s="186"/>
      <c r="AB80" s="33"/>
      <c r="AC80" s="186"/>
      <c r="AD80" s="186"/>
      <c r="AE80" s="186"/>
      <c r="AF80" s="186"/>
      <c r="AG80" s="33"/>
      <c r="AH80" s="186"/>
      <c r="AI80" s="186"/>
      <c r="AJ80" s="186"/>
      <c r="AK80" s="186"/>
      <c r="AL80" s="33"/>
      <c r="AM80" s="186"/>
      <c r="AN80" s="33"/>
      <c r="AO80" s="33"/>
      <c r="AP80" s="33"/>
      <c r="AQ80" s="33"/>
      <c r="AR80" s="186"/>
      <c r="AS80" s="226"/>
      <c r="AT80" s="225"/>
      <c r="AU80" s="33"/>
      <c r="AV80" s="33"/>
      <c r="AW80" s="186"/>
      <c r="AX80" s="33"/>
      <c r="AY80" s="33"/>
      <c r="AZ80" s="33"/>
      <c r="BA80" s="33"/>
      <c r="BB80" s="186"/>
      <c r="BC80" s="33"/>
      <c r="BD80" s="33"/>
      <c r="BE80" s="33"/>
      <c r="BF80" s="33"/>
      <c r="BG80" s="186"/>
      <c r="BH80" s="33"/>
      <c r="BI80" s="33"/>
      <c r="BJ80" s="33"/>
      <c r="BK80" s="33"/>
      <c r="BL80" s="186"/>
      <c r="BM80" s="33"/>
      <c r="BN80" s="33"/>
      <c r="BO80" s="33"/>
      <c r="BP80" s="33"/>
      <c r="BQ80" s="186"/>
      <c r="BR80" s="33"/>
      <c r="BS80" s="33"/>
      <c r="BT80" s="33"/>
      <c r="BU80" s="33"/>
      <c r="BV80" s="186"/>
      <c r="BW80" s="33"/>
      <c r="BX80" s="33"/>
      <c r="BY80" s="33"/>
      <c r="BZ80" s="33"/>
      <c r="CA80" s="186"/>
      <c r="CB80" s="33"/>
      <c r="CC80" s="33"/>
      <c r="CD80" s="33"/>
      <c r="CE80" s="33"/>
      <c r="CF80" s="186"/>
      <c r="CG80" s="33"/>
      <c r="CH80" s="33"/>
      <c r="CI80" s="33"/>
      <c r="CJ80" s="33"/>
      <c r="CK80" s="186"/>
      <c r="CL80" s="33"/>
      <c r="CM80" s="33"/>
      <c r="CN80" s="33"/>
      <c r="CO80" s="33"/>
      <c r="CP80" s="186"/>
      <c r="CQ80" s="33"/>
      <c r="CR80" s="33"/>
      <c r="CS80" s="33"/>
      <c r="CT80" s="33"/>
      <c r="CU80" s="186"/>
      <c r="CV80" s="33"/>
      <c r="CW80" s="33"/>
      <c r="CX80" s="33"/>
      <c r="CY80" s="33"/>
      <c r="CZ80" s="186"/>
      <c r="DA80" s="33"/>
      <c r="DB80" s="33"/>
      <c r="DC80" s="33"/>
      <c r="DD80" s="33"/>
      <c r="DE80" s="186"/>
      <c r="DF80" s="33"/>
      <c r="DG80" s="33"/>
      <c r="DH80" s="33"/>
      <c r="DI80" s="33"/>
      <c r="DJ80" s="186"/>
      <c r="DK80" s="33"/>
      <c r="DL80" s="33"/>
      <c r="DM80" s="33"/>
      <c r="DN80" s="33"/>
      <c r="DO80" s="186"/>
      <c r="DP80" s="33"/>
      <c r="DQ80" s="33"/>
      <c r="DR80" s="33"/>
      <c r="DS80" s="33"/>
      <c r="DT80" s="186"/>
      <c r="DU80" s="33"/>
      <c r="DV80" s="33"/>
      <c r="DW80" s="33"/>
      <c r="DX80" s="33"/>
      <c r="DY80" s="186"/>
      <c r="DZ80" s="16"/>
    </row>
    <row r="81" spans="1:130" ht="19.5" thickBot="1" x14ac:dyDescent="0.35">
      <c r="A81" s="18"/>
      <c r="B81" s="19" t="s">
        <v>46</v>
      </c>
      <c r="C81" s="20"/>
      <c r="D81" s="21"/>
      <c r="E81" s="188"/>
      <c r="F81" s="188"/>
      <c r="G81" s="188"/>
      <c r="H81" s="188"/>
      <c r="I81" s="188"/>
      <c r="J81" s="188"/>
      <c r="K81" s="188"/>
      <c r="L81" s="188"/>
      <c r="M81" s="188"/>
      <c r="N81" s="188"/>
      <c r="O81" s="188"/>
      <c r="P81" s="188"/>
      <c r="Q81" s="188"/>
      <c r="R81" s="189"/>
      <c r="S81" s="188"/>
      <c r="T81" s="188"/>
      <c r="U81" s="190"/>
      <c r="V81" s="188"/>
      <c r="W81" s="188"/>
      <c r="X81" s="188"/>
      <c r="Y81" s="188"/>
      <c r="Z81" s="190"/>
      <c r="AA81" s="188"/>
      <c r="AB81" s="188"/>
      <c r="AC81" s="188"/>
      <c r="AD81" s="188"/>
      <c r="AE81" s="191"/>
      <c r="AF81" s="192"/>
      <c r="AG81" s="188"/>
      <c r="AH81" s="188"/>
      <c r="AI81" s="188"/>
      <c r="AJ81" s="193"/>
      <c r="AK81" s="188"/>
      <c r="AL81" s="188"/>
      <c r="AM81" s="188"/>
      <c r="AN81" s="188"/>
      <c r="AO81" s="188"/>
      <c r="AP81" s="188"/>
      <c r="AQ81" s="193"/>
      <c r="AR81" s="193"/>
      <c r="AS81" s="194"/>
      <c r="AT81" s="195"/>
      <c r="AU81" s="194"/>
      <c r="AV81" s="194"/>
      <c r="AW81" s="193"/>
      <c r="AX81" s="188"/>
      <c r="AY81" s="188"/>
      <c r="AZ81" s="188"/>
      <c r="BA81" s="188"/>
      <c r="BB81" s="193"/>
      <c r="BC81" s="188"/>
      <c r="BD81" s="188"/>
      <c r="BE81" s="188"/>
      <c r="BF81" s="188"/>
      <c r="BG81" s="193"/>
      <c r="BH81" s="188"/>
      <c r="BI81" s="188"/>
      <c r="BJ81" s="188"/>
      <c r="BK81" s="188"/>
      <c r="BL81" s="193"/>
      <c r="BM81" s="188"/>
      <c r="BN81" s="188"/>
      <c r="BO81" s="188"/>
      <c r="BP81" s="188"/>
      <c r="BQ81" s="188"/>
      <c r="BR81" s="188"/>
      <c r="BS81" s="188"/>
      <c r="BT81" s="188"/>
      <c r="BU81" s="188"/>
      <c r="BV81" s="196"/>
      <c r="BW81" s="197"/>
      <c r="BX81" s="188"/>
      <c r="BY81" s="188"/>
      <c r="BZ81" s="188"/>
      <c r="CA81" s="196"/>
      <c r="CB81" s="188"/>
      <c r="CC81" s="188"/>
      <c r="CD81" s="188"/>
      <c r="CE81" s="188"/>
      <c r="CF81" s="193"/>
      <c r="CG81" s="188"/>
      <c r="CH81" s="188"/>
      <c r="CI81" s="188"/>
      <c r="CJ81" s="188"/>
      <c r="CK81" s="193"/>
      <c r="CL81" s="188"/>
      <c r="CM81" s="188"/>
      <c r="CN81" s="188"/>
      <c r="CO81" s="188"/>
      <c r="CP81" s="188"/>
      <c r="CQ81" s="188"/>
      <c r="CR81" s="188"/>
      <c r="CS81" s="188"/>
      <c r="CT81" s="188"/>
      <c r="CU81" s="188"/>
      <c r="CV81" s="188"/>
      <c r="CW81" s="188"/>
      <c r="CX81" s="188"/>
      <c r="CY81" s="188"/>
      <c r="CZ81" s="193"/>
      <c r="DA81" s="188"/>
      <c r="DB81" s="188"/>
      <c r="DC81" s="188"/>
      <c r="DD81" s="188"/>
      <c r="DE81" s="193"/>
      <c r="DF81" s="188"/>
      <c r="DG81" s="188"/>
      <c r="DH81" s="188"/>
      <c r="DI81" s="188"/>
      <c r="DJ81" s="193"/>
      <c r="DK81" s="188"/>
      <c r="DL81" s="188"/>
      <c r="DM81" s="188"/>
      <c r="DN81" s="188"/>
      <c r="DO81" s="193"/>
      <c r="DP81" s="188"/>
      <c r="DQ81" s="188"/>
      <c r="DR81" s="188"/>
      <c r="DS81" s="188"/>
      <c r="DT81" s="193"/>
      <c r="DU81" s="188"/>
      <c r="DV81" s="188"/>
      <c r="DW81" s="188"/>
      <c r="DX81" s="188"/>
      <c r="DY81" s="193"/>
      <c r="DZ81" s="18"/>
    </row>
    <row r="82" spans="1:130" ht="12" hidden="1" outlineLevel="1" thickBot="1" x14ac:dyDescent="0.25">
      <c r="A82" s="16"/>
      <c r="B82" s="42"/>
      <c r="C82" s="43"/>
      <c r="D82" s="43"/>
      <c r="E82" s="44">
        <v>35155</v>
      </c>
      <c r="F82" s="44">
        <v>35246</v>
      </c>
      <c r="G82" s="44">
        <v>35338</v>
      </c>
      <c r="H82" s="44">
        <v>35430</v>
      </c>
      <c r="I82" s="44">
        <v>35430</v>
      </c>
      <c r="J82" s="44">
        <v>35520</v>
      </c>
      <c r="K82" s="44">
        <v>35611</v>
      </c>
      <c r="L82" s="44">
        <v>35703</v>
      </c>
      <c r="M82" s="44">
        <v>35795</v>
      </c>
      <c r="N82" s="44">
        <v>35795</v>
      </c>
      <c r="O82" s="44">
        <v>35885</v>
      </c>
      <c r="P82" s="44">
        <v>35976</v>
      </c>
      <c r="Q82" s="44">
        <v>36068</v>
      </c>
      <c r="R82" s="44">
        <v>36160</v>
      </c>
      <c r="S82" s="44">
        <v>36160</v>
      </c>
      <c r="T82" s="44">
        <v>36250</v>
      </c>
      <c r="U82" s="44">
        <v>36341</v>
      </c>
      <c r="V82" s="44">
        <v>36433</v>
      </c>
      <c r="W82" s="44">
        <v>36525</v>
      </c>
      <c r="X82" s="44">
        <v>36525</v>
      </c>
      <c r="Y82" s="44">
        <v>36616</v>
      </c>
      <c r="Z82" s="44">
        <v>36707</v>
      </c>
      <c r="AA82" s="44">
        <v>36799</v>
      </c>
      <c r="AB82" s="44">
        <v>36891</v>
      </c>
      <c r="AC82" s="44">
        <v>36891</v>
      </c>
      <c r="AD82" s="44">
        <v>36981</v>
      </c>
      <c r="AE82" s="44">
        <v>37072</v>
      </c>
      <c r="AF82" s="44">
        <v>37164</v>
      </c>
      <c r="AG82" s="44">
        <v>37256</v>
      </c>
      <c r="AH82" s="44">
        <f>AG82</f>
        <v>37256</v>
      </c>
      <c r="AI82" s="44">
        <v>37346</v>
      </c>
      <c r="AJ82" s="44">
        <v>37437</v>
      </c>
      <c r="AK82" s="44">
        <v>37529</v>
      </c>
      <c r="AL82" s="44">
        <v>37621</v>
      </c>
      <c r="AM82" s="44">
        <f>AL82</f>
        <v>37621</v>
      </c>
      <c r="AN82" s="44">
        <v>37711</v>
      </c>
      <c r="AO82" s="44">
        <v>37802</v>
      </c>
      <c r="AP82" s="44">
        <v>37894</v>
      </c>
      <c r="AQ82" s="44">
        <v>37986</v>
      </c>
      <c r="AR82" s="44">
        <f>AQ82</f>
        <v>37986</v>
      </c>
      <c r="AS82" s="44">
        <v>38077</v>
      </c>
      <c r="AT82" s="44">
        <v>38168</v>
      </c>
      <c r="AU82" s="44">
        <v>38260</v>
      </c>
      <c r="AV82" s="44">
        <v>38352</v>
      </c>
      <c r="AW82" s="44">
        <f>AV82</f>
        <v>38352</v>
      </c>
      <c r="AX82" s="44">
        <v>38442</v>
      </c>
      <c r="AY82" s="44">
        <v>38533</v>
      </c>
      <c r="AZ82" s="44">
        <v>38625</v>
      </c>
      <c r="BA82" s="44">
        <v>38717</v>
      </c>
      <c r="BB82" s="44">
        <f>BA82</f>
        <v>38717</v>
      </c>
      <c r="BC82" s="44">
        <v>38807</v>
      </c>
      <c r="BD82" s="44">
        <v>38898</v>
      </c>
      <c r="BE82" s="44">
        <v>38990</v>
      </c>
      <c r="BF82" s="44">
        <v>39082</v>
      </c>
      <c r="BG82" s="44">
        <f>BF82</f>
        <v>39082</v>
      </c>
      <c r="BH82" s="44">
        <v>39172</v>
      </c>
      <c r="BI82" s="44">
        <v>39263</v>
      </c>
      <c r="BJ82" s="44">
        <v>39355</v>
      </c>
      <c r="BK82" s="44">
        <v>39447</v>
      </c>
      <c r="BL82" s="44">
        <f>BK82</f>
        <v>39447</v>
      </c>
      <c r="BM82" s="44">
        <v>39538</v>
      </c>
      <c r="BN82" s="44">
        <v>39629</v>
      </c>
      <c r="BO82" s="44">
        <v>39721</v>
      </c>
      <c r="BP82" s="44">
        <v>39813</v>
      </c>
      <c r="BQ82" s="44">
        <f>BP82</f>
        <v>39813</v>
      </c>
      <c r="BR82" s="44">
        <v>39903</v>
      </c>
      <c r="BS82" s="44">
        <v>39994</v>
      </c>
      <c r="BT82" s="44">
        <v>40086</v>
      </c>
      <c r="BU82" s="44">
        <v>40178</v>
      </c>
      <c r="BV82" s="44">
        <f>BU82</f>
        <v>40178</v>
      </c>
      <c r="BW82" s="44">
        <v>40268</v>
      </c>
      <c r="BX82" s="44">
        <v>40359</v>
      </c>
      <c r="BY82" s="44">
        <v>40451</v>
      </c>
      <c r="BZ82" s="44">
        <v>40543</v>
      </c>
      <c r="CA82" s="44">
        <f>BZ82</f>
        <v>40543</v>
      </c>
      <c r="CB82" s="44">
        <v>40633</v>
      </c>
      <c r="CC82" s="44">
        <v>40724</v>
      </c>
      <c r="CD82" s="44">
        <v>40816</v>
      </c>
      <c r="CE82" s="44">
        <v>40908</v>
      </c>
      <c r="CF82" s="44">
        <f>CE82</f>
        <v>40908</v>
      </c>
      <c r="CG82" s="44">
        <v>40999</v>
      </c>
      <c r="CH82" s="44">
        <v>41090</v>
      </c>
      <c r="CI82" s="44">
        <v>41182</v>
      </c>
      <c r="CJ82" s="44">
        <v>41274</v>
      </c>
      <c r="CK82" s="44">
        <f>CJ82</f>
        <v>41274</v>
      </c>
      <c r="CL82" s="44">
        <v>41364</v>
      </c>
      <c r="CM82" s="44">
        <v>41455</v>
      </c>
      <c r="CN82" s="44">
        <v>41547</v>
      </c>
      <c r="CO82" s="44">
        <v>41639</v>
      </c>
      <c r="CP82" s="44">
        <f>CO82</f>
        <v>41639</v>
      </c>
      <c r="CQ82" s="44">
        <v>41639</v>
      </c>
      <c r="CR82" s="44">
        <v>41820</v>
      </c>
      <c r="CS82" s="44">
        <v>41912</v>
      </c>
      <c r="CT82" s="44">
        <v>42004</v>
      </c>
      <c r="CU82" s="44">
        <f>CT82</f>
        <v>42004</v>
      </c>
      <c r="CV82" s="44">
        <v>42094</v>
      </c>
      <c r="CW82" s="44">
        <v>42185</v>
      </c>
      <c r="CX82" s="44">
        <v>42277</v>
      </c>
      <c r="CY82" s="44">
        <v>42277</v>
      </c>
      <c r="CZ82" s="44">
        <f>CY82</f>
        <v>42277</v>
      </c>
      <c r="DA82" s="44">
        <v>42094</v>
      </c>
      <c r="DB82" s="44">
        <v>42185</v>
      </c>
      <c r="DC82" s="44">
        <v>42277</v>
      </c>
      <c r="DD82" s="44">
        <v>42369</v>
      </c>
      <c r="DE82" s="44">
        <f>DD82</f>
        <v>42369</v>
      </c>
      <c r="DF82" s="44">
        <v>42094</v>
      </c>
      <c r="DG82" s="44">
        <v>42185</v>
      </c>
      <c r="DH82" s="44">
        <v>42185</v>
      </c>
      <c r="DI82" s="44">
        <v>42185</v>
      </c>
      <c r="DJ82" s="44">
        <f>DI82</f>
        <v>42185</v>
      </c>
      <c r="DK82" s="44">
        <v>42094</v>
      </c>
      <c r="DL82" s="44">
        <v>42185</v>
      </c>
      <c r="DM82" s="44">
        <v>42277</v>
      </c>
      <c r="DN82" s="44">
        <v>42369</v>
      </c>
      <c r="DO82" s="44">
        <f>DN82</f>
        <v>42369</v>
      </c>
      <c r="DP82" s="44">
        <v>42094</v>
      </c>
      <c r="DQ82" s="44">
        <v>42185</v>
      </c>
      <c r="DR82" s="44">
        <v>42277</v>
      </c>
      <c r="DS82" s="44">
        <v>42369</v>
      </c>
      <c r="DT82" s="44">
        <f>DS82</f>
        <v>42369</v>
      </c>
      <c r="DU82" s="44">
        <v>42094</v>
      </c>
      <c r="DV82" s="44">
        <v>42185</v>
      </c>
      <c r="DW82" s="44">
        <v>42277</v>
      </c>
      <c r="DX82" s="44">
        <v>42369</v>
      </c>
      <c r="DY82" s="44">
        <f>DX82</f>
        <v>42369</v>
      </c>
      <c r="DZ82" s="16"/>
    </row>
    <row r="83" spans="1:130" ht="12.75" collapsed="1" thickBot="1" x14ac:dyDescent="0.25">
      <c r="A83" s="16"/>
      <c r="B83" s="45"/>
      <c r="C83" s="46"/>
      <c r="D83" s="46"/>
      <c r="E83" s="47" t="s">
        <v>54</v>
      </c>
      <c r="F83" s="48"/>
      <c r="G83" s="48"/>
      <c r="H83" s="48"/>
      <c r="I83" s="49"/>
      <c r="J83" s="48" t="s">
        <v>55</v>
      </c>
      <c r="K83" s="48"/>
      <c r="L83" s="48"/>
      <c r="M83" s="48"/>
      <c r="N83" s="49"/>
      <c r="O83" s="48" t="s">
        <v>56</v>
      </c>
      <c r="P83" s="48"/>
      <c r="Q83" s="48"/>
      <c r="R83" s="48"/>
      <c r="S83" s="49"/>
      <c r="T83" s="48" t="s">
        <v>57</v>
      </c>
      <c r="U83" s="48"/>
      <c r="V83" s="48"/>
      <c r="W83" s="48"/>
      <c r="X83" s="49"/>
      <c r="Y83" s="48" t="s">
        <v>58</v>
      </c>
      <c r="Z83" s="48"/>
      <c r="AA83" s="48"/>
      <c r="AB83" s="48"/>
      <c r="AC83" s="49"/>
      <c r="AD83" s="48" t="s">
        <v>59</v>
      </c>
      <c r="AE83" s="48"/>
      <c r="AF83" s="48"/>
      <c r="AG83" s="48"/>
      <c r="AH83" s="49"/>
      <c r="AI83" s="48" t="s">
        <v>60</v>
      </c>
      <c r="AJ83" s="48"/>
      <c r="AK83" s="48"/>
      <c r="AL83" s="48"/>
      <c r="AM83" s="49"/>
      <c r="AN83" s="48" t="s">
        <v>61</v>
      </c>
      <c r="AO83" s="48"/>
      <c r="AP83" s="48"/>
      <c r="AQ83" s="48"/>
      <c r="AR83" s="49"/>
      <c r="AS83" s="48" t="s">
        <v>62</v>
      </c>
      <c r="AT83" s="48"/>
      <c r="AU83" s="48"/>
      <c r="AV83" s="48"/>
      <c r="AW83" s="49"/>
      <c r="AX83" s="48" t="s">
        <v>63</v>
      </c>
      <c r="AY83" s="48"/>
      <c r="AZ83" s="48"/>
      <c r="BA83" s="48"/>
      <c r="BB83" s="49"/>
      <c r="BC83" s="48" t="s">
        <v>64</v>
      </c>
      <c r="BD83" s="48"/>
      <c r="BE83" s="48"/>
      <c r="BF83" s="48"/>
      <c r="BG83" s="49"/>
      <c r="BH83" s="48" t="s">
        <v>65</v>
      </c>
      <c r="BI83" s="48"/>
      <c r="BJ83" s="48"/>
      <c r="BK83" s="48"/>
      <c r="BL83" s="49"/>
      <c r="BM83" s="48" t="s">
        <v>66</v>
      </c>
      <c r="BN83" s="48"/>
      <c r="BO83" s="48"/>
      <c r="BP83" s="48"/>
      <c r="BQ83" s="49"/>
      <c r="BR83" s="48" t="s">
        <v>67</v>
      </c>
      <c r="BS83" s="48"/>
      <c r="BT83" s="48"/>
      <c r="BU83" s="48"/>
      <c r="BV83" s="49"/>
      <c r="BW83" s="48" t="s">
        <v>68</v>
      </c>
      <c r="BX83" s="48"/>
      <c r="BY83" s="48"/>
      <c r="BZ83" s="48"/>
      <c r="CA83" s="49"/>
      <c r="CB83" s="48" t="s">
        <v>69</v>
      </c>
      <c r="CC83" s="48"/>
      <c r="CD83" s="48"/>
      <c r="CE83" s="48"/>
      <c r="CF83" s="49"/>
      <c r="CG83" s="48" t="s">
        <v>70</v>
      </c>
      <c r="CH83" s="48"/>
      <c r="CI83" s="48"/>
      <c r="CJ83" s="48"/>
      <c r="CK83" s="49"/>
      <c r="CL83" s="48" t="s">
        <v>71</v>
      </c>
      <c r="CM83" s="48"/>
      <c r="CN83" s="48"/>
      <c r="CO83" s="48"/>
      <c r="CP83" s="49"/>
      <c r="CQ83" s="48"/>
      <c r="CR83" s="48"/>
      <c r="CS83" s="48"/>
      <c r="CT83" s="48"/>
      <c r="CU83" s="49"/>
      <c r="CV83" s="48" t="s">
        <v>73</v>
      </c>
      <c r="CW83" s="48"/>
      <c r="CX83" s="48"/>
      <c r="CY83" s="48"/>
      <c r="CZ83" s="49"/>
      <c r="DA83" s="48" t="str">
        <f>DA5</f>
        <v>Fiscal Year End, Dec 31 2016</v>
      </c>
      <c r="DB83" s="48"/>
      <c r="DC83" s="48"/>
      <c r="DD83" s="48"/>
      <c r="DE83" s="49"/>
      <c r="DF83" s="48" t="str">
        <f>DF5</f>
        <v>Fiscal Year End, Dec 31 2017</v>
      </c>
      <c r="DG83" s="48"/>
      <c r="DH83" s="48"/>
      <c r="DI83" s="48"/>
      <c r="DJ83" s="49"/>
      <c r="DK83" s="48" t="str">
        <f>DK5</f>
        <v>Fiscal Year End, Dec 31 2018</v>
      </c>
      <c r="DL83" s="48"/>
      <c r="DM83" s="48"/>
      <c r="DN83" s="48"/>
      <c r="DO83" s="49"/>
      <c r="DP83" s="48" t="str">
        <f>DP5</f>
        <v>Fiscal Year End, Dec 31 2019</v>
      </c>
      <c r="DQ83" s="48"/>
      <c r="DR83" s="48"/>
      <c r="DS83" s="48"/>
      <c r="DT83" s="49"/>
      <c r="DU83" s="48" t="str">
        <f>DU5</f>
        <v>Fiscal Year End, Dec 31 2020</v>
      </c>
      <c r="DV83" s="48"/>
      <c r="DW83" s="48"/>
      <c r="DX83" s="48"/>
      <c r="DY83" s="49"/>
      <c r="DZ83" s="16"/>
    </row>
    <row r="84" spans="1:130" ht="10.5" customHeight="1" thickBot="1" x14ac:dyDescent="0.25">
      <c r="A84" s="16"/>
      <c r="B84" s="198"/>
      <c r="C84" s="51"/>
      <c r="D84" s="52"/>
      <c r="E84" s="53" t="s">
        <v>75</v>
      </c>
      <c r="F84" s="54" t="s">
        <v>76</v>
      </c>
      <c r="G84" s="54" t="s">
        <v>77</v>
      </c>
      <c r="H84" s="54" t="s">
        <v>78</v>
      </c>
      <c r="I84" s="55" t="s">
        <v>79</v>
      </c>
      <c r="J84" s="54" t="s">
        <v>80</v>
      </c>
      <c r="K84" s="54" t="s">
        <v>81</v>
      </c>
      <c r="L84" s="54" t="s">
        <v>116</v>
      </c>
      <c r="M84" s="54" t="s">
        <v>117</v>
      </c>
      <c r="N84" s="55" t="s">
        <v>118</v>
      </c>
      <c r="O84" s="54" t="s">
        <v>119</v>
      </c>
      <c r="P84" s="54" t="s">
        <v>120</v>
      </c>
      <c r="Q84" s="54" t="s">
        <v>121</v>
      </c>
      <c r="R84" s="54" t="s">
        <v>122</v>
      </c>
      <c r="S84" s="55" t="s">
        <v>123</v>
      </c>
      <c r="T84" s="54" t="s">
        <v>124</v>
      </c>
      <c r="U84" s="54" t="s">
        <v>125</v>
      </c>
      <c r="V84" s="54" t="s">
        <v>126</v>
      </c>
      <c r="W84" s="54" t="s">
        <v>127</v>
      </c>
      <c r="X84" s="55" t="s">
        <v>128</v>
      </c>
      <c r="Y84" s="54" t="s">
        <v>129</v>
      </c>
      <c r="Z84" s="54" t="s">
        <v>130</v>
      </c>
      <c r="AA84" s="54" t="s">
        <v>131</v>
      </c>
      <c r="AB84" s="54" t="s">
        <v>132</v>
      </c>
      <c r="AC84" s="55" t="s">
        <v>133</v>
      </c>
      <c r="AD84" s="54" t="s">
        <v>134</v>
      </c>
      <c r="AE84" s="54" t="s">
        <v>135</v>
      </c>
      <c r="AF84" s="54" t="s">
        <v>136</v>
      </c>
      <c r="AG84" s="54" t="s">
        <v>137</v>
      </c>
      <c r="AH84" s="55" t="s">
        <v>138</v>
      </c>
      <c r="AI84" s="54" t="s">
        <v>139</v>
      </c>
      <c r="AJ84" s="54" t="s">
        <v>140</v>
      </c>
      <c r="AK84" s="54" t="s">
        <v>141</v>
      </c>
      <c r="AL84" s="54" t="s">
        <v>142</v>
      </c>
      <c r="AM84" s="55" t="s">
        <v>143</v>
      </c>
      <c r="AN84" s="54" t="s">
        <v>144</v>
      </c>
      <c r="AO84" s="54" t="s">
        <v>145</v>
      </c>
      <c r="AP84" s="54" t="s">
        <v>146</v>
      </c>
      <c r="AQ84" s="54" t="s">
        <v>147</v>
      </c>
      <c r="AR84" s="55" t="s">
        <v>148</v>
      </c>
      <c r="AS84" s="54" t="s">
        <v>149</v>
      </c>
      <c r="AT84" s="54" t="s">
        <v>150</v>
      </c>
      <c r="AU84" s="54" t="s">
        <v>151</v>
      </c>
      <c r="AV84" s="54" t="s">
        <v>152</v>
      </c>
      <c r="AW84" s="55" t="s">
        <v>153</v>
      </c>
      <c r="AX84" s="54" t="s">
        <v>149</v>
      </c>
      <c r="AY84" s="54" t="s">
        <v>150</v>
      </c>
      <c r="AZ84" s="54" t="s">
        <v>151</v>
      </c>
      <c r="BA84" s="54" t="s">
        <v>152</v>
      </c>
      <c r="BB84" s="56" t="s">
        <v>154</v>
      </c>
      <c r="BC84" s="54" t="s">
        <v>149</v>
      </c>
      <c r="BD84" s="54" t="s">
        <v>150</v>
      </c>
      <c r="BE84" s="54" t="s">
        <v>151</v>
      </c>
      <c r="BF84" s="54" t="s">
        <v>152</v>
      </c>
      <c r="BG84" s="56" t="s">
        <v>155</v>
      </c>
      <c r="BH84" s="54" t="s">
        <v>149</v>
      </c>
      <c r="BI84" s="54" t="s">
        <v>150</v>
      </c>
      <c r="BJ84" s="54" t="s">
        <v>151</v>
      </c>
      <c r="BK84" s="54" t="s">
        <v>152</v>
      </c>
      <c r="BL84" s="56" t="s">
        <v>156</v>
      </c>
      <c r="BM84" s="54" t="s">
        <v>149</v>
      </c>
      <c r="BN84" s="54" t="s">
        <v>150</v>
      </c>
      <c r="BO84" s="54" t="s">
        <v>151</v>
      </c>
      <c r="BP84" s="54" t="s">
        <v>152</v>
      </c>
      <c r="BQ84" s="55" t="s">
        <v>157</v>
      </c>
      <c r="BR84" s="54" t="s">
        <v>149</v>
      </c>
      <c r="BS84" s="54" t="s">
        <v>150</v>
      </c>
      <c r="BT84" s="54" t="s">
        <v>151</v>
      </c>
      <c r="BU84" s="54" t="s">
        <v>152</v>
      </c>
      <c r="BV84" s="55" t="s">
        <v>158</v>
      </c>
      <c r="BW84" s="54" t="s">
        <v>149</v>
      </c>
      <c r="BX84" s="54" t="s">
        <v>150</v>
      </c>
      <c r="BY84" s="54" t="s">
        <v>151</v>
      </c>
      <c r="BZ84" s="54" t="s">
        <v>152</v>
      </c>
      <c r="CA84" s="55" t="s">
        <v>159</v>
      </c>
      <c r="CB84" s="54" t="s">
        <v>149</v>
      </c>
      <c r="CC84" s="54" t="s">
        <v>150</v>
      </c>
      <c r="CD84" s="54" t="s">
        <v>151</v>
      </c>
      <c r="CE84" s="54" t="s">
        <v>161</v>
      </c>
      <c r="CF84" s="55" t="s">
        <v>205</v>
      </c>
      <c r="CG84" s="54" t="s">
        <v>163</v>
      </c>
      <c r="CH84" s="54" t="s">
        <v>164</v>
      </c>
      <c r="CI84" s="54" t="s">
        <v>165</v>
      </c>
      <c r="CJ84" s="54" t="s">
        <v>161</v>
      </c>
      <c r="CK84" s="55" t="s">
        <v>162</v>
      </c>
      <c r="CL84" s="54" t="s">
        <v>163</v>
      </c>
      <c r="CM84" s="54" t="s">
        <v>164</v>
      </c>
      <c r="CN84" s="54" t="s">
        <v>165</v>
      </c>
      <c r="CO84" s="54" t="s">
        <v>161</v>
      </c>
      <c r="CP84" s="55" t="s">
        <v>166</v>
      </c>
      <c r="CQ84" s="54" t="s">
        <v>161</v>
      </c>
      <c r="CR84" s="54" t="s">
        <v>164</v>
      </c>
      <c r="CS84" s="54" t="s">
        <v>165</v>
      </c>
      <c r="CT84" s="54" t="s">
        <v>161</v>
      </c>
      <c r="CU84" s="55" t="s">
        <v>167</v>
      </c>
      <c r="CV84" s="54" t="s">
        <v>163</v>
      </c>
      <c r="CW84" s="54" t="s">
        <v>164</v>
      </c>
      <c r="CX84" s="2466" t="s">
        <v>151</v>
      </c>
      <c r="CY84" s="2466" t="s">
        <v>151</v>
      </c>
      <c r="CZ84" s="55" t="s">
        <v>168</v>
      </c>
      <c r="DA84" s="54" t="str">
        <f>DA6</f>
        <v>1QA</v>
      </c>
      <c r="DB84" s="54" t="str">
        <f>DB6</f>
        <v>2QA</v>
      </c>
      <c r="DC84" s="54" t="str">
        <f>DC6</f>
        <v>3QA</v>
      </c>
      <c r="DD84" s="54" t="str">
        <f>DD6</f>
        <v>4QA</v>
      </c>
      <c r="DE84" s="55" t="str">
        <f>DE6</f>
        <v>2016A</v>
      </c>
      <c r="DF84" s="54" t="str">
        <f>DF6</f>
        <v>1QA</v>
      </c>
      <c r="DG84" s="54" t="str">
        <f>DG6</f>
        <v>2QA</v>
      </c>
      <c r="DH84" s="54" t="str">
        <f>DH6</f>
        <v>3QA</v>
      </c>
      <c r="DI84" s="54" t="str">
        <f>DI6</f>
        <v>4QA</v>
      </c>
      <c r="DJ84" s="55" t="str">
        <f>DJ6</f>
        <v>2017A</v>
      </c>
      <c r="DK84" s="54" t="str">
        <f>DK6</f>
        <v>1QE</v>
      </c>
      <c r="DL84" s="54" t="str">
        <f>DL6</f>
        <v>2QE</v>
      </c>
      <c r="DM84" s="54" t="str">
        <f>DM6</f>
        <v>3QE</v>
      </c>
      <c r="DN84" s="54" t="str">
        <f>DN6</f>
        <v>4QE</v>
      </c>
      <c r="DO84" s="55" t="str">
        <f>DO6</f>
        <v>2018E</v>
      </c>
      <c r="DP84" s="54" t="str">
        <f>DP6</f>
        <v>1QE</v>
      </c>
      <c r="DQ84" s="54" t="str">
        <f>DQ6</f>
        <v>2QE</v>
      </c>
      <c r="DR84" s="54" t="str">
        <f>DR6</f>
        <v>3QE</v>
      </c>
      <c r="DS84" s="54" t="str">
        <f>DS6</f>
        <v>4QE</v>
      </c>
      <c r="DT84" s="55" t="str">
        <f>DT6</f>
        <v>2019E</v>
      </c>
      <c r="DU84" s="54" t="str">
        <f>DU6</f>
        <v>1QE</v>
      </c>
      <c r="DV84" s="54" t="str">
        <f>DV6</f>
        <v>2QE</v>
      </c>
      <c r="DW84" s="54" t="str">
        <f>DW6</f>
        <v>3QE</v>
      </c>
      <c r="DX84" s="54" t="str">
        <f>DX6</f>
        <v>4QE</v>
      </c>
      <c r="DY84" s="55" t="str">
        <f>DY6</f>
        <v>2020E</v>
      </c>
      <c r="DZ84" s="16"/>
    </row>
    <row r="85" spans="1:130" ht="11.25" customHeight="1" thickBot="1" x14ac:dyDescent="0.25">
      <c r="A85" s="18"/>
      <c r="B85" s="199" t="s">
        <v>214</v>
      </c>
      <c r="C85" s="17"/>
      <c r="D85" s="200"/>
      <c r="E85" s="200"/>
      <c r="F85" s="200"/>
      <c r="G85" s="200"/>
      <c r="H85" s="200"/>
      <c r="I85" s="201"/>
      <c r="J85" s="202"/>
      <c r="K85" s="202"/>
      <c r="L85" s="202"/>
      <c r="M85" s="200"/>
      <c r="N85" s="200"/>
      <c r="O85" s="200"/>
      <c r="P85" s="200"/>
      <c r="Q85" s="200"/>
      <c r="R85" s="200"/>
      <c r="S85" s="200"/>
      <c r="T85" s="200"/>
      <c r="U85" s="200"/>
      <c r="V85" s="200"/>
      <c r="W85" s="200"/>
      <c r="X85" s="200"/>
      <c r="Y85" s="200"/>
      <c r="Z85" s="200"/>
      <c r="AA85" s="200"/>
      <c r="AB85" s="200"/>
      <c r="AC85" s="200"/>
      <c r="AD85" s="202"/>
      <c r="AE85" s="202"/>
      <c r="AF85" s="202"/>
      <c r="AG85" s="200"/>
      <c r="AH85" s="200"/>
      <c r="AI85" s="202"/>
      <c r="AJ85" s="202"/>
      <c r="AK85" s="202"/>
      <c r="AL85" s="200"/>
      <c r="AM85" s="200"/>
      <c r="AN85" s="200"/>
      <c r="AO85" s="200"/>
      <c r="AP85" s="200"/>
      <c r="AQ85" s="200"/>
      <c r="AR85" s="200"/>
      <c r="AS85" s="203"/>
      <c r="AT85" s="203"/>
      <c r="AU85" s="204"/>
      <c r="AV85" s="200"/>
      <c r="AW85" s="200"/>
      <c r="AX85" s="203"/>
      <c r="AY85" s="203"/>
      <c r="AZ85" s="204"/>
      <c r="BA85" s="200"/>
      <c r="BB85" s="200"/>
      <c r="BC85" s="203"/>
      <c r="BD85" s="203"/>
      <c r="BE85" s="203"/>
      <c r="BF85" s="203"/>
      <c r="BG85" s="200"/>
      <c r="BH85" s="203"/>
      <c r="BI85" s="203"/>
      <c r="BJ85" s="203"/>
      <c r="BK85" s="203"/>
      <c r="BL85" s="200"/>
      <c r="BM85" s="203"/>
      <c r="BN85" s="203"/>
      <c r="BO85" s="203"/>
      <c r="BP85" s="203"/>
      <c r="BQ85" s="200"/>
      <c r="BR85" s="203"/>
      <c r="BS85" s="203"/>
      <c r="BT85" s="203"/>
      <c r="BU85" s="203"/>
      <c r="BV85" s="200"/>
      <c r="BW85" s="203"/>
      <c r="BX85" s="203"/>
      <c r="BY85" s="203"/>
      <c r="BZ85" s="203"/>
      <c r="CA85" s="200"/>
      <c r="CB85" s="203"/>
      <c r="CC85" s="203"/>
      <c r="CD85" s="203"/>
      <c r="CE85" s="203"/>
      <c r="CF85" s="200"/>
      <c r="CG85" s="203"/>
      <c r="CH85" s="203"/>
      <c r="CI85" s="203"/>
      <c r="CJ85" s="203"/>
      <c r="CK85" s="200"/>
      <c r="CL85" s="203"/>
      <c r="CM85" s="203"/>
      <c r="CN85" s="203"/>
      <c r="CO85" s="203"/>
      <c r="CP85" s="200"/>
      <c r="CQ85" s="203"/>
      <c r="CR85" s="203"/>
      <c r="CS85" s="203"/>
      <c r="CT85" s="203"/>
      <c r="CU85" s="200"/>
      <c r="CV85" s="203"/>
      <c r="CW85" s="203"/>
      <c r="CX85" s="203"/>
      <c r="CY85" s="203"/>
      <c r="CZ85" s="200"/>
      <c r="DA85" s="203"/>
      <c r="DB85" s="203"/>
      <c r="DC85" s="203"/>
      <c r="DD85" s="203"/>
      <c r="DE85" s="200"/>
      <c r="DF85" s="203"/>
      <c r="DG85" s="203"/>
      <c r="DH85" s="203"/>
      <c r="DI85" s="203"/>
      <c r="DJ85" s="200"/>
      <c r="DK85" s="203"/>
      <c r="DL85" s="203"/>
      <c r="DM85" s="203"/>
      <c r="DN85" s="203"/>
      <c r="DO85" s="200"/>
      <c r="DP85" s="203"/>
      <c r="DQ85" s="203"/>
      <c r="DR85" s="203"/>
      <c r="DS85" s="203"/>
      <c r="DT85" s="200"/>
      <c r="DU85" s="203"/>
      <c r="DV85" s="203"/>
      <c r="DW85" s="203"/>
      <c r="DX85" s="203"/>
      <c r="DY85" s="200"/>
      <c r="DZ85" s="18"/>
    </row>
    <row r="86" spans="1:130" ht="9.75" customHeight="1" x14ac:dyDescent="0.2">
      <c r="A86" s="16"/>
      <c r="B86" s="206"/>
      <c r="C86" s="207"/>
      <c r="D86" s="102"/>
      <c r="E86" s="164"/>
      <c r="F86" s="164"/>
      <c r="G86" s="164"/>
      <c r="H86" s="102"/>
      <c r="I86" s="210"/>
      <c r="J86" s="59"/>
      <c r="K86" s="59"/>
      <c r="L86" s="59"/>
      <c r="M86" s="59"/>
      <c r="N86" s="210"/>
      <c r="O86" s="59"/>
      <c r="P86" s="59"/>
      <c r="Q86" s="59"/>
      <c r="R86" s="59"/>
      <c r="S86" s="210"/>
      <c r="T86" s="59"/>
      <c r="U86" s="78"/>
      <c r="V86" s="59"/>
      <c r="W86" s="59"/>
      <c r="X86" s="210"/>
      <c r="Y86" s="59"/>
      <c r="Z86" s="59"/>
      <c r="AA86" s="59"/>
      <c r="AB86" s="59"/>
      <c r="AC86" s="210"/>
      <c r="AD86" s="59"/>
      <c r="AE86" s="59"/>
      <c r="AF86" s="60"/>
      <c r="AG86" s="59"/>
      <c r="AH86" s="210"/>
      <c r="AI86" s="60"/>
      <c r="AJ86" s="60"/>
      <c r="AK86" s="60"/>
      <c r="AL86" s="59"/>
      <c r="AM86" s="210"/>
      <c r="AN86" s="60"/>
      <c r="AO86" s="60"/>
      <c r="AP86" s="60"/>
      <c r="AQ86" s="59"/>
      <c r="AR86" s="210"/>
      <c r="AS86" s="234"/>
      <c r="AT86" s="59"/>
      <c r="AU86" s="59"/>
      <c r="AV86" s="59"/>
      <c r="AW86" s="210"/>
      <c r="AX86" s="235"/>
      <c r="AY86" s="235"/>
      <c r="AZ86" s="235"/>
      <c r="BA86" s="59"/>
      <c r="BB86" s="210"/>
      <c r="BC86" s="59"/>
      <c r="BD86" s="59"/>
      <c r="BE86" s="59"/>
      <c r="BF86" s="59"/>
      <c r="BG86" s="210"/>
      <c r="BH86" s="59"/>
      <c r="BI86" s="59"/>
      <c r="BJ86" s="59"/>
      <c r="BK86" s="59"/>
      <c r="BL86" s="210"/>
      <c r="BM86" s="59"/>
      <c r="BN86" s="59"/>
      <c r="BO86" s="59"/>
      <c r="BP86" s="59"/>
      <c r="BQ86" s="210"/>
      <c r="BR86" s="59"/>
      <c r="BS86" s="59"/>
      <c r="BT86" s="59"/>
      <c r="BU86" s="59"/>
      <c r="BV86" s="210"/>
      <c r="BW86" s="59"/>
      <c r="BX86" s="59"/>
      <c r="BY86" s="59"/>
      <c r="BZ86" s="59"/>
      <c r="CA86" s="210"/>
      <c r="CB86" s="59"/>
      <c r="CC86" s="59"/>
      <c r="CD86" s="59"/>
      <c r="CE86" s="59"/>
      <c r="CF86" s="210"/>
      <c r="CG86" s="236"/>
      <c r="CH86" s="236"/>
      <c r="CI86" s="236"/>
      <c r="CJ86" s="236"/>
      <c r="CK86" s="210"/>
      <c r="CL86" s="236"/>
      <c r="CM86" s="236"/>
      <c r="CN86" s="236"/>
      <c r="CO86" s="236"/>
      <c r="CP86" s="210"/>
      <c r="CQ86" s="236"/>
      <c r="CR86" s="236"/>
      <c r="CS86" s="236"/>
      <c r="CT86" s="236"/>
      <c r="CU86" s="210"/>
      <c r="CV86" s="236"/>
      <c r="CW86" s="236"/>
      <c r="CX86" s="236"/>
      <c r="CY86" s="236"/>
      <c r="CZ86" s="1674"/>
      <c r="DA86" s="236"/>
      <c r="DB86" s="236"/>
      <c r="DC86" s="236"/>
      <c r="DD86" s="236"/>
      <c r="DE86" s="1674"/>
      <c r="DF86" s="236"/>
      <c r="DG86" s="236"/>
      <c r="DH86" s="236"/>
      <c r="DI86" s="236"/>
      <c r="DJ86" s="210"/>
      <c r="DK86" s="236"/>
      <c r="DL86" s="236"/>
      <c r="DM86" s="236"/>
      <c r="DN86" s="236"/>
      <c r="DO86" s="210"/>
      <c r="DP86" s="236"/>
      <c r="DQ86" s="236"/>
      <c r="DR86" s="236"/>
      <c r="DS86" s="236"/>
      <c r="DT86" s="210"/>
      <c r="DU86" s="236"/>
      <c r="DV86" s="236"/>
      <c r="DW86" s="236"/>
      <c r="DX86" s="236"/>
      <c r="DY86" s="210"/>
      <c r="DZ86" s="16"/>
    </row>
    <row r="87" spans="1:130" ht="12.75" customHeight="1" x14ac:dyDescent="0.2">
      <c r="A87" s="16"/>
      <c r="B87" s="237" t="s">
        <v>215</v>
      </c>
      <c r="C87" s="208"/>
      <c r="D87" s="102"/>
      <c r="E87" s="164"/>
      <c r="F87" s="164"/>
      <c r="G87" s="164"/>
      <c r="H87" s="102"/>
      <c r="I87" s="210"/>
      <c r="J87" s="59"/>
      <c r="K87" s="59"/>
      <c r="L87" s="59"/>
      <c r="M87" s="59"/>
      <c r="N87" s="210"/>
      <c r="O87" s="59"/>
      <c r="P87" s="59"/>
      <c r="Q87" s="59"/>
      <c r="R87" s="59"/>
      <c r="S87" s="210"/>
      <c r="T87" s="59"/>
      <c r="U87" s="78"/>
      <c r="V87" s="59"/>
      <c r="W87" s="59"/>
      <c r="X87" s="210"/>
      <c r="Y87" s="59"/>
      <c r="Z87" s="59"/>
      <c r="AA87" s="59"/>
      <c r="AB87" s="59"/>
      <c r="AC87" s="210"/>
      <c r="AD87" s="59"/>
      <c r="AE87" s="59"/>
      <c r="AF87" s="60"/>
      <c r="AG87" s="59"/>
      <c r="AH87" s="210"/>
      <c r="AI87" s="60"/>
      <c r="AJ87" s="60"/>
      <c r="AK87" s="60"/>
      <c r="AL87" s="59"/>
      <c r="AM87" s="210"/>
      <c r="AN87" s="60"/>
      <c r="AO87" s="60"/>
      <c r="AP87" s="60"/>
      <c r="AQ87" s="59"/>
      <c r="AR87" s="210"/>
      <c r="AS87" s="234"/>
      <c r="AT87" s="59"/>
      <c r="AU87" s="59"/>
      <c r="AV87" s="59"/>
      <c r="AW87" s="210"/>
      <c r="AX87" s="235"/>
      <c r="AY87" s="235"/>
      <c r="AZ87" s="235"/>
      <c r="BA87" s="59"/>
      <c r="BB87" s="210"/>
      <c r="BC87" s="59"/>
      <c r="BD87" s="59"/>
      <c r="BE87" s="59"/>
      <c r="BF87" s="59"/>
      <c r="BG87" s="210"/>
      <c r="BH87" s="59"/>
      <c r="BI87" s="59"/>
      <c r="BJ87" s="59"/>
      <c r="BK87" s="59"/>
      <c r="BL87" s="210"/>
      <c r="BM87" s="59"/>
      <c r="BN87" s="59"/>
      <c r="BO87" s="59"/>
      <c r="BP87" s="59"/>
      <c r="BQ87" s="210"/>
      <c r="BR87" s="59"/>
      <c r="BS87" s="59"/>
      <c r="BT87" s="59"/>
      <c r="BU87" s="59"/>
      <c r="BV87" s="210"/>
      <c r="BW87" s="59"/>
      <c r="BX87" s="59"/>
      <c r="BY87" s="59"/>
      <c r="BZ87" s="59"/>
      <c r="CA87" s="210"/>
      <c r="CB87" s="59"/>
      <c r="CC87" s="59"/>
      <c r="CD87" s="59"/>
      <c r="CE87" s="59"/>
      <c r="CF87" s="210"/>
      <c r="CG87" s="236"/>
      <c r="CH87" s="236"/>
      <c r="CI87" s="236"/>
      <c r="CJ87" s="236"/>
      <c r="CK87" s="210"/>
      <c r="CL87" s="236"/>
      <c r="CM87" s="236"/>
      <c r="CN87" s="236"/>
      <c r="CO87" s="236"/>
      <c r="CP87" s="210"/>
      <c r="CQ87" s="236"/>
      <c r="CR87" s="236"/>
      <c r="CS87" s="236"/>
      <c r="CT87" s="236"/>
      <c r="CU87" s="210"/>
      <c r="CV87" s="236"/>
      <c r="CW87" s="236"/>
      <c r="CX87" s="236"/>
      <c r="CY87" s="236"/>
      <c r="CZ87" s="210"/>
      <c r="DA87" s="236"/>
      <c r="DB87" s="236"/>
      <c r="DC87" s="236"/>
      <c r="DD87" s="236"/>
      <c r="DE87" s="210"/>
      <c r="DF87" s="236"/>
      <c r="DG87" s="236"/>
      <c r="DH87" s="236"/>
      <c r="DI87" s="236"/>
      <c r="DJ87" s="210"/>
      <c r="DK87" s="236"/>
      <c r="DL87" s="236"/>
      <c r="DM87" s="236"/>
      <c r="DN87" s="236"/>
      <c r="DO87" s="210"/>
      <c r="DP87" s="236"/>
      <c r="DQ87" s="236"/>
      <c r="DR87" s="236"/>
      <c r="DS87" s="236"/>
      <c r="DT87" s="210"/>
      <c r="DU87" s="236"/>
      <c r="DV87" s="236"/>
      <c r="DW87" s="236"/>
      <c r="DX87" s="236"/>
      <c r="DY87" s="210"/>
      <c r="DZ87" s="16"/>
    </row>
    <row r="88" spans="1:130" x14ac:dyDescent="0.2">
      <c r="A88" s="16"/>
      <c r="B88" s="206"/>
      <c r="C88" s="208"/>
      <c r="D88" s="102"/>
      <c r="E88" s="164"/>
      <c r="F88" s="164"/>
      <c r="G88" s="164"/>
      <c r="H88" s="102"/>
      <c r="I88" s="210"/>
      <c r="J88" s="59"/>
      <c r="K88" s="59"/>
      <c r="L88" s="59"/>
      <c r="M88" s="59"/>
      <c r="N88" s="210"/>
      <c r="O88" s="59"/>
      <c r="P88" s="59"/>
      <c r="Q88" s="59"/>
      <c r="R88" s="59"/>
      <c r="S88" s="210"/>
      <c r="T88" s="59"/>
      <c r="U88" s="78"/>
      <c r="V88" s="59"/>
      <c r="W88" s="59"/>
      <c r="X88" s="210"/>
      <c r="Y88" s="59"/>
      <c r="Z88" s="59"/>
      <c r="AA88" s="59"/>
      <c r="AB88" s="59"/>
      <c r="AC88" s="210"/>
      <c r="AD88" s="59"/>
      <c r="AE88" s="59"/>
      <c r="AF88" s="60"/>
      <c r="AG88" s="59"/>
      <c r="AH88" s="210"/>
      <c r="AI88" s="60"/>
      <c r="AJ88" s="60"/>
      <c r="AK88" s="60"/>
      <c r="AL88" s="59"/>
      <c r="AM88" s="210"/>
      <c r="AN88" s="60"/>
      <c r="AO88" s="60"/>
      <c r="AP88" s="60"/>
      <c r="AQ88" s="59"/>
      <c r="AR88" s="210"/>
      <c r="AS88" s="234"/>
      <c r="AT88" s="59"/>
      <c r="AU88" s="59"/>
      <c r="AV88" s="59"/>
      <c r="AW88" s="210"/>
      <c r="AX88" s="235"/>
      <c r="AY88" s="235"/>
      <c r="AZ88" s="235"/>
      <c r="BA88" s="59"/>
      <c r="BB88" s="210"/>
      <c r="BC88" s="59"/>
      <c r="BD88" s="59"/>
      <c r="BE88" s="59"/>
      <c r="BF88" s="59"/>
      <c r="BG88" s="210"/>
      <c r="BH88" s="59"/>
      <c r="BI88" s="59"/>
      <c r="BJ88" s="59"/>
      <c r="BK88" s="59"/>
      <c r="BL88" s="210"/>
      <c r="BM88" s="59"/>
      <c r="BN88" s="59"/>
      <c r="BO88" s="59"/>
      <c r="BP88" s="59"/>
      <c r="BQ88" s="210"/>
      <c r="BR88" s="59"/>
      <c r="BS88" s="59"/>
      <c r="BT88" s="59"/>
      <c r="BU88" s="59"/>
      <c r="BV88" s="210"/>
      <c r="BW88" s="59"/>
      <c r="BX88" s="59"/>
      <c r="BY88" s="59"/>
      <c r="BZ88" s="59"/>
      <c r="CA88" s="210"/>
      <c r="CB88" s="59"/>
      <c r="CC88" s="59"/>
      <c r="CD88" s="59"/>
      <c r="CE88" s="59"/>
      <c r="CF88" s="210"/>
      <c r="CG88" s="236"/>
      <c r="CH88" s="236"/>
      <c r="CI88" s="236"/>
      <c r="CJ88" s="236"/>
      <c r="CK88" s="210"/>
      <c r="CL88" s="236"/>
      <c r="CM88" s="236"/>
      <c r="CN88" s="236"/>
      <c r="CO88" s="236"/>
      <c r="CP88" s="210"/>
      <c r="CQ88" s="236"/>
      <c r="CR88" s="236"/>
      <c r="CS88" s="236"/>
      <c r="CT88" s="236"/>
      <c r="CU88" s="210"/>
      <c r="CV88" s="236"/>
      <c r="CW88" s="236"/>
      <c r="CX88" s="236"/>
      <c r="CY88" s="236"/>
      <c r="CZ88" s="210"/>
      <c r="DA88" s="236"/>
      <c r="DB88" s="236"/>
      <c r="DC88" s="236"/>
      <c r="DD88" s="236"/>
      <c r="DE88" s="210"/>
      <c r="DF88" s="236"/>
      <c r="DG88" s="236"/>
      <c r="DH88" s="236"/>
      <c r="DI88" s="236"/>
      <c r="DJ88" s="210"/>
      <c r="DK88" s="236"/>
      <c r="DL88" s="236"/>
      <c r="DM88" s="236"/>
      <c r="DN88" s="236"/>
      <c r="DO88" s="210"/>
      <c r="DP88" s="236"/>
      <c r="DQ88" s="236"/>
      <c r="DR88" s="236"/>
      <c r="DS88" s="236"/>
      <c r="DT88" s="210"/>
      <c r="DU88" s="236"/>
      <c r="DV88" s="236"/>
      <c r="DW88" s="236"/>
      <c r="DX88" s="236"/>
      <c r="DY88" s="210"/>
      <c r="DZ88" s="16"/>
    </row>
    <row r="89" spans="1:130" x14ac:dyDescent="0.2">
      <c r="A89" s="16"/>
      <c r="B89" s="206" t="s">
        <v>216</v>
      </c>
      <c r="C89" s="208"/>
      <c r="D89" s="238"/>
      <c r="E89" s="238"/>
      <c r="F89" s="238"/>
      <c r="G89" s="238"/>
      <c r="H89" s="238"/>
      <c r="I89" s="239">
        <f>I13</f>
        <v>2448.6410000000001</v>
      </c>
      <c r="J89" s="238"/>
      <c r="K89" s="238"/>
      <c r="L89" s="238"/>
      <c r="M89" s="238"/>
      <c r="N89" s="239">
        <f>N13</f>
        <v>2776.1120000000001</v>
      </c>
      <c r="O89" s="238"/>
      <c r="P89" s="238"/>
      <c r="Q89" s="238"/>
      <c r="R89" s="238"/>
      <c r="S89" s="239">
        <f>S13</f>
        <v>2948.9560000000001</v>
      </c>
      <c r="T89" s="238"/>
      <c r="U89" s="240"/>
      <c r="V89" s="238"/>
      <c r="W89" s="238"/>
      <c r="X89" s="239">
        <f>X13</f>
        <v>3448</v>
      </c>
      <c r="Y89" s="238"/>
      <c r="Z89" s="238"/>
      <c r="AA89" s="238"/>
      <c r="AB89" s="238"/>
      <c r="AC89" s="239">
        <f>AC13</f>
        <v>3761.6</v>
      </c>
      <c r="AD89" s="238"/>
      <c r="AE89" s="238"/>
      <c r="AF89" s="238"/>
      <c r="AG89" s="238"/>
      <c r="AH89" s="239">
        <f>AH13</f>
        <v>4599.1000000000004</v>
      </c>
      <c r="AI89" s="238"/>
      <c r="AJ89" s="238"/>
      <c r="AK89" s="238"/>
      <c r="AL89" s="238"/>
      <c r="AM89" s="239">
        <f>AM13</f>
        <v>4552.2999999999993</v>
      </c>
      <c r="AN89" s="238"/>
      <c r="AO89" s="238"/>
      <c r="AP89" s="238"/>
      <c r="AQ89" s="238"/>
      <c r="AR89" s="239">
        <f>AR13</f>
        <v>5097.7</v>
      </c>
      <c r="AS89" s="238"/>
      <c r="AT89" s="238"/>
      <c r="AU89" s="238"/>
      <c r="AV89" s="238"/>
      <c r="AW89" s="239">
        <f t="shared" ref="AW89:CB89" si="216">AW13</f>
        <v>6079.7000000000007</v>
      </c>
      <c r="AX89" s="238">
        <f t="shared" si="216"/>
        <v>1743.1</v>
      </c>
      <c r="AY89" s="238">
        <f t="shared" si="216"/>
        <v>1792.1</v>
      </c>
      <c r="AZ89" s="238">
        <f t="shared" si="216"/>
        <v>1814.4</v>
      </c>
      <c r="BA89" s="238">
        <f t="shared" si="216"/>
        <v>1943</v>
      </c>
      <c r="BB89" s="239">
        <f t="shared" si="216"/>
        <v>7675.1</v>
      </c>
      <c r="BC89" s="238">
        <f t="shared" si="216"/>
        <v>1933.1</v>
      </c>
      <c r="BD89" s="238">
        <f t="shared" si="216"/>
        <v>2066.3000000000002</v>
      </c>
      <c r="BE89" s="238">
        <f t="shared" si="216"/>
        <v>2350.1</v>
      </c>
      <c r="BF89" s="238">
        <f t="shared" si="216"/>
        <v>2414.6</v>
      </c>
      <c r="BG89" s="239">
        <f t="shared" si="216"/>
        <v>9300.6</v>
      </c>
      <c r="BH89" s="238">
        <f t="shared" si="216"/>
        <v>2403.9</v>
      </c>
      <c r="BI89" s="238">
        <f t="shared" si="216"/>
        <v>2848.7</v>
      </c>
      <c r="BJ89" s="238">
        <f t="shared" si="216"/>
        <v>2924.1</v>
      </c>
      <c r="BK89" s="238">
        <f t="shared" si="216"/>
        <v>2974.9</v>
      </c>
      <c r="BL89" s="239">
        <f t="shared" si="216"/>
        <v>11314.4</v>
      </c>
      <c r="BM89" s="238">
        <f t="shared" si="216"/>
        <v>2922.9</v>
      </c>
      <c r="BN89" s="238">
        <f t="shared" si="216"/>
        <v>2895.1</v>
      </c>
      <c r="BO89" s="238">
        <f t="shared" si="216"/>
        <v>2934.4</v>
      </c>
      <c r="BP89" s="238">
        <f t="shared" si="216"/>
        <v>3491.8</v>
      </c>
      <c r="BQ89" s="239">
        <f t="shared" si="216"/>
        <v>12244.2</v>
      </c>
      <c r="BR89" s="238">
        <f t="shared" si="216"/>
        <v>3370.8</v>
      </c>
      <c r="BS89" s="238">
        <f t="shared" si="216"/>
        <v>3452.4</v>
      </c>
      <c r="BT89" s="238">
        <f t="shared" si="216"/>
        <v>3445.8</v>
      </c>
      <c r="BU89" s="238">
        <f t="shared" si="216"/>
        <v>3673</v>
      </c>
      <c r="BV89" s="239">
        <f t="shared" si="216"/>
        <v>13942</v>
      </c>
      <c r="BW89" s="238">
        <f t="shared" si="216"/>
        <v>3336</v>
      </c>
      <c r="BX89" s="238">
        <f t="shared" si="216"/>
        <v>3519</v>
      </c>
      <c r="BY89" s="238">
        <f t="shared" si="216"/>
        <v>3540</v>
      </c>
      <c r="BZ89" s="238">
        <f t="shared" si="216"/>
        <v>3697</v>
      </c>
      <c r="CA89" s="239">
        <f t="shared" si="216"/>
        <v>14092</v>
      </c>
      <c r="CB89" s="238">
        <f t="shared" si="216"/>
        <v>3440</v>
      </c>
      <c r="CC89" s="238">
        <f t="shared" ref="CC89:CX89" si="217">CC13</f>
        <v>3605</v>
      </c>
      <c r="CD89" s="238">
        <f t="shared" si="217"/>
        <v>3594</v>
      </c>
      <c r="CE89" s="238">
        <f t="shared" si="217"/>
        <v>3598.3</v>
      </c>
      <c r="CF89" s="239">
        <f t="shared" si="217"/>
        <v>14237.3</v>
      </c>
      <c r="CG89" s="241">
        <f t="shared" si="217"/>
        <v>3709</v>
      </c>
      <c r="CH89" s="241">
        <f t="shared" si="217"/>
        <v>3741.5</v>
      </c>
      <c r="CI89" s="241">
        <f t="shared" si="217"/>
        <v>3833.27</v>
      </c>
      <c r="CJ89" s="241">
        <f t="shared" si="217"/>
        <v>3995</v>
      </c>
      <c r="CK89" s="239">
        <f t="shared" si="217"/>
        <v>15278.77</v>
      </c>
      <c r="CL89" s="241">
        <f t="shared" si="217"/>
        <v>3883</v>
      </c>
      <c r="CM89" s="241">
        <f t="shared" si="217"/>
        <v>3868</v>
      </c>
      <c r="CN89" s="241">
        <f t="shared" si="217"/>
        <v>3944.8</v>
      </c>
      <c r="CO89" s="241">
        <f t="shared" si="217"/>
        <v>4121.5</v>
      </c>
      <c r="CP89" s="239">
        <f t="shared" si="217"/>
        <v>15817.300000000003</v>
      </c>
      <c r="CQ89" s="241">
        <f t="shared" si="217"/>
        <v>3917.7</v>
      </c>
      <c r="CR89" s="241">
        <f t="shared" si="217"/>
        <v>4115.8999999999996</v>
      </c>
      <c r="CS89" s="241">
        <f t="shared" si="217"/>
        <v>4221.75</v>
      </c>
      <c r="CT89" s="241">
        <f t="shared" si="217"/>
        <v>4312.8999999999996</v>
      </c>
      <c r="CU89" s="239">
        <f t="shared" si="217"/>
        <v>16568.25</v>
      </c>
      <c r="CV89" s="241">
        <f t="shared" si="217"/>
        <v>4031.8</v>
      </c>
      <c r="CW89" s="241">
        <f t="shared" si="217"/>
        <v>4140.2</v>
      </c>
      <c r="CX89" s="241">
        <f t="shared" si="217"/>
        <v>4203.18</v>
      </c>
      <c r="CY89" s="241">
        <f>CY13</f>
        <v>4409.5</v>
      </c>
      <c r="CZ89" s="239">
        <f>SUM(CV89:CY89)</f>
        <v>16784.68</v>
      </c>
      <c r="DA89" s="241">
        <f>DA13</f>
        <v>4508.2</v>
      </c>
      <c r="DB89" s="241">
        <f>DB13</f>
        <v>4591.1000000000004</v>
      </c>
      <c r="DC89" s="241">
        <f>DC13</f>
        <v>4614.8999999999996</v>
      </c>
      <c r="DD89" s="241">
        <f>DD13</f>
        <v>4610.6000000000004</v>
      </c>
      <c r="DE89" s="239">
        <f t="shared" ref="DE89:DJ89" si="218">DE13</f>
        <v>18324.8</v>
      </c>
      <c r="DF89" s="241">
        <f t="shared" si="218"/>
        <v>4574.3</v>
      </c>
      <c r="DG89" s="241">
        <f>DG13</f>
        <v>4672</v>
      </c>
      <c r="DH89" s="241">
        <f>DH13</f>
        <v>4617.6704930573151</v>
      </c>
      <c r="DI89" s="241">
        <f>DI13</f>
        <v>4698.325788578969</v>
      </c>
      <c r="DJ89" s="239">
        <f t="shared" si="218"/>
        <v>18562.296281636285</v>
      </c>
      <c r="DK89" s="241">
        <f t="shared" ref="DK89:DT89" ca="1" si="219">DK13</f>
        <v>4626.1400168215778</v>
      </c>
      <c r="DL89" s="241">
        <f t="shared" ca="1" si="219"/>
        <v>4654.7032388703501</v>
      </c>
      <c r="DM89" s="241">
        <f t="shared" ca="1" si="219"/>
        <v>4647.4940508521722</v>
      </c>
      <c r="DN89" s="241">
        <f t="shared" ca="1" si="219"/>
        <v>4684.930391734556</v>
      </c>
      <c r="DO89" s="239">
        <f t="shared" ca="1" si="219"/>
        <v>18613.267698278658</v>
      </c>
      <c r="DP89" s="241">
        <f t="shared" ca="1" si="219"/>
        <v>4692.3491390550607</v>
      </c>
      <c r="DQ89" s="241">
        <f t="shared" ca="1" si="219"/>
        <v>4728.8355528976081</v>
      </c>
      <c r="DR89" s="241">
        <f t="shared" ca="1" si="219"/>
        <v>4729.1609203009639</v>
      </c>
      <c r="DS89" s="241">
        <f t="shared" ca="1" si="219"/>
        <v>4750.1385026287899</v>
      </c>
      <c r="DT89" s="239">
        <f t="shared" ca="1" si="219"/>
        <v>18900.484114882423</v>
      </c>
      <c r="DU89" s="241">
        <f t="shared" ref="DU89:DY89" ca="1" si="220">DU13</f>
        <v>4745.3556003179756</v>
      </c>
      <c r="DV89" s="241">
        <f t="shared" ca="1" si="220"/>
        <v>4782.5249986163863</v>
      </c>
      <c r="DW89" s="241">
        <f t="shared" ca="1" si="220"/>
        <v>4782.6115135688233</v>
      </c>
      <c r="DX89" s="241">
        <f t="shared" ca="1" si="220"/>
        <v>4803.4273095552144</v>
      </c>
      <c r="DY89" s="239">
        <f t="shared" ca="1" si="220"/>
        <v>19113.919422058396</v>
      </c>
      <c r="DZ89" s="64"/>
    </row>
    <row r="90" spans="1:130" x14ac:dyDescent="0.2">
      <c r="A90" s="243"/>
      <c r="B90" s="244" t="s">
        <v>217</v>
      </c>
      <c r="C90" s="245"/>
      <c r="D90" s="245"/>
      <c r="E90" s="245"/>
      <c r="F90" s="245"/>
      <c r="G90" s="245"/>
      <c r="H90" s="245"/>
      <c r="I90" s="246">
        <f>I89/I10</f>
        <v>0.20695772338483384</v>
      </c>
      <c r="J90" s="245"/>
      <c r="K90" s="245"/>
      <c r="L90" s="245"/>
      <c r="M90" s="245"/>
      <c r="N90" s="246">
        <f>N89/N10</f>
        <v>0.20190453166474989</v>
      </c>
      <c r="O90" s="245"/>
      <c r="P90" s="245"/>
      <c r="Q90" s="245"/>
      <c r="R90" s="245"/>
      <c r="S90" s="246">
        <f>S89/S10</f>
        <v>0.1930753718835114</v>
      </c>
      <c r="T90" s="247"/>
      <c r="U90" s="248"/>
      <c r="V90" s="245"/>
      <c r="W90" s="245"/>
      <c r="X90" s="246">
        <f>X89/X10</f>
        <v>0.1905151312554218</v>
      </c>
      <c r="Y90" s="245"/>
      <c r="Z90" s="245"/>
      <c r="AA90" s="245"/>
      <c r="AB90" s="245"/>
      <c r="AC90" s="246">
        <f>AC89/AC10</f>
        <v>0.18726073428749221</v>
      </c>
      <c r="AD90" s="245"/>
      <c r="AE90" s="245"/>
      <c r="AF90" s="245"/>
      <c r="AG90" s="245"/>
      <c r="AH90" s="246">
        <f>AH89/AH10</f>
        <v>0.20678104795561431</v>
      </c>
      <c r="AI90" s="245"/>
      <c r="AJ90" s="245"/>
      <c r="AK90" s="245"/>
      <c r="AL90" s="245"/>
      <c r="AM90" s="246">
        <f>AM89/AM10</f>
        <v>0.1882554845646465</v>
      </c>
      <c r="AN90" s="245"/>
      <c r="AO90" s="245"/>
      <c r="AP90" s="245"/>
      <c r="AQ90" s="245"/>
      <c r="AR90" s="246">
        <f>AR89/AR10</f>
        <v>0.19172935158718216</v>
      </c>
      <c r="AS90" s="245"/>
      <c r="AT90" s="245"/>
      <c r="AU90" s="245"/>
      <c r="AV90" s="245"/>
      <c r="AW90" s="246">
        <f t="shared" ref="AW90:CB90" si="221">AW89/AW10</f>
        <v>0.19872002301082231</v>
      </c>
      <c r="AX90" s="247">
        <f t="shared" si="221"/>
        <v>0.18983468014201388</v>
      </c>
      <c r="AY90" s="247">
        <f t="shared" si="221"/>
        <v>0.19646772496053322</v>
      </c>
      <c r="AZ90" s="247">
        <f t="shared" si="221"/>
        <v>0.20226522786051906</v>
      </c>
      <c r="BA90" s="247">
        <f t="shared" si="221"/>
        <v>0.19965063707357172</v>
      </c>
      <c r="BB90" s="246">
        <f t="shared" si="221"/>
        <v>0.2073975793572515</v>
      </c>
      <c r="BC90" s="247">
        <f t="shared" si="221"/>
        <v>0.19369933566468603</v>
      </c>
      <c r="BD90" s="247">
        <f t="shared" si="221"/>
        <v>0.19559085229639167</v>
      </c>
      <c r="BE90" s="247">
        <f t="shared" si="221"/>
        <v>0.20966561987010204</v>
      </c>
      <c r="BF90" s="247">
        <f t="shared" si="221"/>
        <v>0.20007789000936338</v>
      </c>
      <c r="BG90" s="246">
        <f t="shared" si="221"/>
        <v>0.21299457929414028</v>
      </c>
      <c r="BH90" s="247">
        <f t="shared" si="221"/>
        <v>0.18232635043914872</v>
      </c>
      <c r="BI90" s="247">
        <f t="shared" si="221"/>
        <v>0.13759642182647208</v>
      </c>
      <c r="BJ90" s="247">
        <f t="shared" si="221"/>
        <v>0.14267243061790078</v>
      </c>
      <c r="BK90" s="247">
        <f t="shared" si="221"/>
        <v>0.13557769432696518</v>
      </c>
      <c r="BL90" s="246">
        <f t="shared" si="221"/>
        <v>0.14823102470211386</v>
      </c>
      <c r="BM90" s="247">
        <f t="shared" si="221"/>
        <v>0.13705805120510176</v>
      </c>
      <c r="BN90" s="247">
        <f t="shared" si="221"/>
        <v>0.13694696858606545</v>
      </c>
      <c r="BO90" s="247">
        <f t="shared" si="221"/>
        <v>0.14064821649395595</v>
      </c>
      <c r="BP90" s="247">
        <f t="shared" si="221"/>
        <v>0.14463470603341866</v>
      </c>
      <c r="BQ90" s="246">
        <f t="shared" si="221"/>
        <v>0.13997866743491341</v>
      </c>
      <c r="BR90" s="247">
        <f t="shared" si="221"/>
        <v>0.14408884367292329</v>
      </c>
      <c r="BS90" s="247">
        <f t="shared" si="221"/>
        <v>0.13881171319322427</v>
      </c>
      <c r="BT90" s="247">
        <f t="shared" si="221"/>
        <v>0.13983499648971873</v>
      </c>
      <c r="BU90" s="247">
        <f t="shared" si="221"/>
        <v>0.14224304856324066</v>
      </c>
      <c r="BV90" s="246">
        <f t="shared" si="221"/>
        <v>0.14121498365726753</v>
      </c>
      <c r="BW90" s="247">
        <f t="shared" si="221"/>
        <v>0.14040404040404039</v>
      </c>
      <c r="BX90" s="247">
        <f t="shared" si="221"/>
        <v>0.14658224684467031</v>
      </c>
      <c r="BY90" s="247">
        <f t="shared" si="221"/>
        <v>0.14827225130890051</v>
      </c>
      <c r="BZ90" s="247">
        <f t="shared" si="221"/>
        <v>0.14924710346776474</v>
      </c>
      <c r="CA90" s="246">
        <f t="shared" si="221"/>
        <v>0.14616286185472913</v>
      </c>
      <c r="CB90" s="247">
        <f t="shared" si="221"/>
        <v>0.13292117465224113</v>
      </c>
      <c r="CC90" s="247">
        <f t="shared" ref="CC90:DF90" si="222">CC89/CC10</f>
        <v>0.13537872244545421</v>
      </c>
      <c r="CD90" s="247">
        <f t="shared" si="222"/>
        <v>0.13473794706455725</v>
      </c>
      <c r="CE90" s="247">
        <f t="shared" si="222"/>
        <v>0.12707207684429847</v>
      </c>
      <c r="CF90" s="246">
        <f t="shared" si="222"/>
        <v>0.13244</v>
      </c>
      <c r="CG90" s="249">
        <f t="shared" si="222"/>
        <v>0.12042989804532762</v>
      </c>
      <c r="CH90" s="249">
        <f t="shared" si="222"/>
        <v>0.1218158258015784</v>
      </c>
      <c r="CI90" s="249">
        <f t="shared" si="222"/>
        <v>0.12681483294902293</v>
      </c>
      <c r="CJ90" s="249">
        <f t="shared" si="222"/>
        <v>0.12725361534051094</v>
      </c>
      <c r="CK90" s="246">
        <f t="shared" si="222"/>
        <v>0.12408276531932362</v>
      </c>
      <c r="CL90" s="249">
        <f t="shared" si="222"/>
        <v>0.12622306016968435</v>
      </c>
      <c r="CM90" s="249">
        <f t="shared" si="222"/>
        <v>0.12378273378071768</v>
      </c>
      <c r="CN90" s="249">
        <f t="shared" si="222"/>
        <v>0.12339801239360487</v>
      </c>
      <c r="CO90" s="249">
        <f t="shared" si="222"/>
        <v>0.12554104642414385</v>
      </c>
      <c r="CP90" s="246">
        <f t="shared" si="222"/>
        <v>0.12473296516895845</v>
      </c>
      <c r="CQ90" s="249">
        <f t="shared" si="222"/>
        <v>0.11984802180556703</v>
      </c>
      <c r="CR90" s="249">
        <f t="shared" si="222"/>
        <v>0.11895252187785392</v>
      </c>
      <c r="CS90" s="249">
        <f t="shared" si="222"/>
        <v>0.12054875489347851</v>
      </c>
      <c r="CT90" s="249">
        <f t="shared" si="222"/>
        <v>0.116390907643441</v>
      </c>
      <c r="CU90" s="246">
        <f t="shared" si="222"/>
        <v>0.1188825865613329</v>
      </c>
      <c r="CV90" s="249">
        <f t="shared" si="222"/>
        <v>0.11097226656684538</v>
      </c>
      <c r="CW90" s="249">
        <f t="shared" si="222"/>
        <v>0.11138882237569582</v>
      </c>
      <c r="CX90" s="249">
        <f t="shared" si="222"/>
        <v>0.10876784627658145</v>
      </c>
      <c r="CY90" s="249">
        <f>CY89/CY10</f>
        <v>0.10716819036115161</v>
      </c>
      <c r="CZ90" s="246">
        <f t="shared" si="222"/>
        <v>0.10949646737096973</v>
      </c>
      <c r="DA90" s="249">
        <f>DA89/DA10</f>
        <v>0.10432025916926993</v>
      </c>
      <c r="DB90" s="249">
        <f>DB89/DB10</f>
        <v>0.10499870784191304</v>
      </c>
      <c r="DC90" s="249">
        <f>DC89/DC10</f>
        <v>0.10343830550263364</v>
      </c>
      <c r="DD90" s="249">
        <f>DD89/DD10</f>
        <v>0.1002932270639009</v>
      </c>
      <c r="DE90" s="246">
        <f t="shared" si="222"/>
        <v>0.10322289911646994</v>
      </c>
      <c r="DF90" s="249">
        <f t="shared" si="222"/>
        <v>0.10276185255742067</v>
      </c>
      <c r="DG90" s="249">
        <f>DG89/DG10</f>
        <v>0.10226524783437563</v>
      </c>
      <c r="DH90" s="249">
        <f>DH89/DH10</f>
        <v>9.9989809519395581E-2</v>
      </c>
      <c r="DI90" s="249">
        <f>DI89/DI10</f>
        <v>9.7102640939246587E-2</v>
      </c>
      <c r="DJ90" s="246">
        <f t="shared" ref="DJ90:DT90" si="223">DJ89/DJ10</f>
        <v>0.1004642016890936</v>
      </c>
      <c r="DK90" s="249">
        <f t="shared" ca="1" si="223"/>
        <v>0.10089133913253313</v>
      </c>
      <c r="DL90" s="249">
        <f t="shared" ca="1" si="223"/>
        <v>9.6668029036296552E-2</v>
      </c>
      <c r="DM90" s="249">
        <f t="shared" ca="1" si="223"/>
        <v>9.7251808998495212E-2</v>
      </c>
      <c r="DN90" s="249">
        <f t="shared" ca="1" si="223"/>
        <v>9.545351769487824E-2</v>
      </c>
      <c r="DO90" s="246">
        <f t="shared" ca="1" si="223"/>
        <v>9.7516440007293523E-2</v>
      </c>
      <c r="DP90" s="249">
        <f t="shared" ca="1" si="223"/>
        <v>9.6628679587249355E-2</v>
      </c>
      <c r="DQ90" s="249">
        <f t="shared" ca="1" si="223"/>
        <v>9.2741484274223102E-2</v>
      </c>
      <c r="DR90" s="249">
        <f t="shared" ca="1" si="223"/>
        <v>9.3501970722133454E-2</v>
      </c>
      <c r="DS90" s="249">
        <f t="shared" ca="1" si="223"/>
        <v>9.1602991892459448E-2</v>
      </c>
      <c r="DT90" s="246">
        <f t="shared" ca="1" si="223"/>
        <v>9.3574180736619855E-2</v>
      </c>
      <c r="DU90" s="249">
        <f t="shared" ref="DU90:DY90" ca="1" si="224">DU89/DU10</f>
        <v>9.4263340547415725E-2</v>
      </c>
      <c r="DV90" s="249">
        <f t="shared" ca="1" si="224"/>
        <v>9.0577209918133353E-2</v>
      </c>
      <c r="DW90" s="249">
        <f t="shared" ca="1" si="224"/>
        <v>9.1395867008131529E-2</v>
      </c>
      <c r="DX90" s="249">
        <f t="shared" ca="1" si="224"/>
        <v>8.9680876026579995E-2</v>
      </c>
      <c r="DY90" s="246">
        <f t="shared" ca="1" si="224"/>
        <v>9.1440214850161877E-2</v>
      </c>
      <c r="DZ90" s="250"/>
    </row>
    <row r="91" spans="1:130" x14ac:dyDescent="0.2">
      <c r="A91" s="243"/>
      <c r="B91" s="244" t="s">
        <v>218</v>
      </c>
      <c r="C91" s="245"/>
      <c r="D91" s="245"/>
      <c r="E91" s="245"/>
      <c r="F91" s="245"/>
      <c r="G91" s="245"/>
      <c r="H91" s="245"/>
      <c r="I91" s="246"/>
      <c r="J91" s="245"/>
      <c r="K91" s="245"/>
      <c r="L91" s="245"/>
      <c r="M91" s="245"/>
      <c r="N91" s="246">
        <f>N90-I90</f>
        <v>-5.0531917200839493E-3</v>
      </c>
      <c r="O91" s="245"/>
      <c r="P91" s="245"/>
      <c r="Q91" s="245"/>
      <c r="R91" s="245"/>
      <c r="S91" s="246">
        <f>S90-N90</f>
        <v>-8.8291597812384937E-3</v>
      </c>
      <c r="T91" s="247"/>
      <c r="U91" s="248"/>
      <c r="V91" s="245"/>
      <c r="W91" s="245"/>
      <c r="X91" s="246">
        <f>X90-S90</f>
        <v>-2.5602406280895995E-3</v>
      </c>
      <c r="Y91" s="245"/>
      <c r="Z91" s="245"/>
      <c r="AA91" s="245"/>
      <c r="AB91" s="245"/>
      <c r="AC91" s="246">
        <f>AC90-X90</f>
        <v>-3.2543969679295903E-3</v>
      </c>
      <c r="AD91" s="245"/>
      <c r="AE91" s="245"/>
      <c r="AF91" s="245"/>
      <c r="AG91" s="245"/>
      <c r="AH91" s="246">
        <f>AH90-AC90</f>
        <v>1.9520313668122097E-2</v>
      </c>
      <c r="AI91" s="245"/>
      <c r="AJ91" s="245"/>
      <c r="AK91" s="245"/>
      <c r="AL91" s="245"/>
      <c r="AM91" s="246">
        <f>AM90-AH90</f>
        <v>-1.8525563390967809E-2</v>
      </c>
      <c r="AN91" s="245"/>
      <c r="AO91" s="245"/>
      <c r="AP91" s="245"/>
      <c r="AQ91" s="245"/>
      <c r="AR91" s="246">
        <f>AR90-AM90</f>
        <v>3.4738670225356594E-3</v>
      </c>
      <c r="AS91" s="245"/>
      <c r="AT91" s="245"/>
      <c r="AU91" s="245"/>
      <c r="AV91" s="245"/>
      <c r="AW91" s="246">
        <f t="shared" ref="AW91:CB91" si="225">AW90-AR90</f>
        <v>6.9906714236401546E-3</v>
      </c>
      <c r="AX91" s="247">
        <f t="shared" si="225"/>
        <v>0.18983468014201388</v>
      </c>
      <c r="AY91" s="247">
        <f t="shared" si="225"/>
        <v>0.19646772496053322</v>
      </c>
      <c r="AZ91" s="247">
        <f t="shared" si="225"/>
        <v>0.20226522786051906</v>
      </c>
      <c r="BA91" s="247">
        <f t="shared" si="225"/>
        <v>0.19965063707357172</v>
      </c>
      <c r="BB91" s="246">
        <f t="shared" si="225"/>
        <v>8.6775563464291938E-3</v>
      </c>
      <c r="BC91" s="247">
        <f t="shared" si="225"/>
        <v>3.8646555226721502E-3</v>
      </c>
      <c r="BD91" s="247">
        <f t="shared" si="225"/>
        <v>-8.7687266414154807E-4</v>
      </c>
      <c r="BE91" s="247">
        <f t="shared" si="225"/>
        <v>7.4003920095829789E-3</v>
      </c>
      <c r="BF91" s="247">
        <f t="shared" si="225"/>
        <v>4.2725293579165546E-4</v>
      </c>
      <c r="BG91" s="246">
        <f t="shared" si="225"/>
        <v>5.5969999368887802E-3</v>
      </c>
      <c r="BH91" s="247">
        <f t="shared" si="225"/>
        <v>-1.1372985225537313E-2</v>
      </c>
      <c r="BI91" s="247">
        <f t="shared" si="225"/>
        <v>-5.7994430469919589E-2</v>
      </c>
      <c r="BJ91" s="247">
        <f t="shared" si="225"/>
        <v>-6.6993189252201268E-2</v>
      </c>
      <c r="BK91" s="247">
        <f t="shared" si="225"/>
        <v>-6.4500195682398204E-2</v>
      </c>
      <c r="BL91" s="246">
        <f t="shared" si="225"/>
        <v>-6.4763554592026429E-2</v>
      </c>
      <c r="BM91" s="247">
        <f t="shared" si="225"/>
        <v>-4.526829923404696E-2</v>
      </c>
      <c r="BN91" s="247">
        <f t="shared" si="225"/>
        <v>-6.4945324040663333E-4</v>
      </c>
      <c r="BO91" s="247">
        <f t="shared" si="225"/>
        <v>-2.024214123944823E-3</v>
      </c>
      <c r="BP91" s="247">
        <f t="shared" si="225"/>
        <v>9.0570117064534827E-3</v>
      </c>
      <c r="BQ91" s="246">
        <f t="shared" si="225"/>
        <v>-8.2523572672004442E-3</v>
      </c>
      <c r="BR91" s="247">
        <f t="shared" si="225"/>
        <v>7.0307924678215394E-3</v>
      </c>
      <c r="BS91" s="247">
        <f t="shared" si="225"/>
        <v>1.8647446071588247E-3</v>
      </c>
      <c r="BT91" s="247">
        <f t="shared" si="225"/>
        <v>-8.1322000423722507E-4</v>
      </c>
      <c r="BU91" s="247">
        <f t="shared" si="225"/>
        <v>-2.3916574701779991E-3</v>
      </c>
      <c r="BV91" s="246">
        <f t="shared" si="225"/>
        <v>1.2363162223541224E-3</v>
      </c>
      <c r="BW91" s="247">
        <f t="shared" si="225"/>
        <v>-3.6848032688829024E-3</v>
      </c>
      <c r="BX91" s="247">
        <f t="shared" si="225"/>
        <v>7.7705336514460321E-3</v>
      </c>
      <c r="BY91" s="247">
        <f t="shared" si="225"/>
        <v>8.4372548191817831E-3</v>
      </c>
      <c r="BZ91" s="247">
        <f t="shared" si="225"/>
        <v>7.0040549045240763E-3</v>
      </c>
      <c r="CA91" s="246">
        <f t="shared" si="225"/>
        <v>4.9478781974615915E-3</v>
      </c>
      <c r="CB91" s="247">
        <f t="shared" si="225"/>
        <v>-7.4828657517992669E-3</v>
      </c>
      <c r="CC91" s="247">
        <f t="shared" ref="CC91:DI91" si="226">CC90-BX90</f>
        <v>-1.1203524399216097E-2</v>
      </c>
      <c r="CD91" s="247">
        <f t="shared" si="226"/>
        <v>-1.3534304244343265E-2</v>
      </c>
      <c r="CE91" s="247">
        <f t="shared" si="226"/>
        <v>-2.2175026623466265E-2</v>
      </c>
      <c r="CF91" s="246">
        <f t="shared" si="226"/>
        <v>-1.3722861854729124E-2</v>
      </c>
      <c r="CG91" s="249">
        <f t="shared" si="226"/>
        <v>-1.2491276606913501E-2</v>
      </c>
      <c r="CH91" s="249">
        <f t="shared" si="226"/>
        <v>-1.3562896643875805E-2</v>
      </c>
      <c r="CI91" s="249">
        <f t="shared" si="226"/>
        <v>-7.9231141155343132E-3</v>
      </c>
      <c r="CJ91" s="249">
        <f t="shared" si="226"/>
        <v>1.8153849621246887E-4</v>
      </c>
      <c r="CK91" s="246">
        <f t="shared" si="226"/>
        <v>-8.3572346806763814E-3</v>
      </c>
      <c r="CL91" s="249">
        <f t="shared" si="226"/>
        <v>5.7931621243567238E-3</v>
      </c>
      <c r="CM91" s="249">
        <f t="shared" si="226"/>
        <v>1.9669079791392735E-3</v>
      </c>
      <c r="CN91" s="249">
        <f t="shared" si="226"/>
        <v>-3.4168205554180597E-3</v>
      </c>
      <c r="CO91" s="249">
        <f t="shared" si="226"/>
        <v>-1.712568916367091E-3</v>
      </c>
      <c r="CP91" s="246">
        <f t="shared" si="226"/>
        <v>6.5019984963482491E-4</v>
      </c>
      <c r="CQ91" s="249">
        <f t="shared" si="226"/>
        <v>-6.3750383641173192E-3</v>
      </c>
      <c r="CR91" s="249">
        <f t="shared" si="226"/>
        <v>-4.8302119028637569E-3</v>
      </c>
      <c r="CS91" s="249">
        <f t="shared" si="226"/>
        <v>-2.8492575001263648E-3</v>
      </c>
      <c r="CT91" s="249">
        <f t="shared" si="226"/>
        <v>-9.1501387807028517E-3</v>
      </c>
      <c r="CU91" s="246">
        <f t="shared" si="226"/>
        <v>-5.8503786076255504E-3</v>
      </c>
      <c r="CV91" s="249">
        <f t="shared" si="226"/>
        <v>-8.8757552387216526E-3</v>
      </c>
      <c r="CW91" s="249">
        <f t="shared" si="226"/>
        <v>-7.5636995021580999E-3</v>
      </c>
      <c r="CX91" s="249">
        <f t="shared" si="226"/>
        <v>-1.1780908616897054E-2</v>
      </c>
      <c r="CY91" s="249">
        <f t="shared" si="226"/>
        <v>-9.2227172822893916E-3</v>
      </c>
      <c r="CZ91" s="246">
        <f t="shared" si="226"/>
        <v>-9.386119190363168E-3</v>
      </c>
      <c r="DA91" s="249">
        <f t="shared" si="226"/>
        <v>-6.6520073975754462E-3</v>
      </c>
      <c r="DB91" s="249">
        <f t="shared" si="226"/>
        <v>-6.3901145337827842E-3</v>
      </c>
      <c r="DC91" s="249">
        <f t="shared" si="226"/>
        <v>-5.3295407739478162E-3</v>
      </c>
      <c r="DD91" s="249">
        <f t="shared" si="226"/>
        <v>-6.874963297250708E-3</v>
      </c>
      <c r="DE91" s="246">
        <f t="shared" ref="DE91:DJ91" si="227">DE90-CZ90</f>
        <v>-6.2735682544997895E-3</v>
      </c>
      <c r="DF91" s="249">
        <f t="shared" si="226"/>
        <v>-1.558406611849264E-3</v>
      </c>
      <c r="DG91" s="249">
        <f t="shared" si="226"/>
        <v>-2.7334600075374083E-3</v>
      </c>
      <c r="DH91" s="249">
        <f t="shared" si="226"/>
        <v>-3.4484959832380563E-3</v>
      </c>
      <c r="DI91" s="249">
        <f t="shared" si="226"/>
        <v>-3.1905861246543099E-3</v>
      </c>
      <c r="DJ91" s="246">
        <f t="shared" si="227"/>
        <v>-2.7586974273763332E-3</v>
      </c>
      <c r="DK91" s="249">
        <f t="shared" ref="DK91:DT91" ca="1" si="228">DK90-DF90</f>
        <v>-1.8705134248875321E-3</v>
      </c>
      <c r="DL91" s="249">
        <f t="shared" ca="1" si="228"/>
        <v>-5.5972187980790761E-3</v>
      </c>
      <c r="DM91" s="249">
        <f t="shared" ca="1" si="228"/>
        <v>-2.7380005209003688E-3</v>
      </c>
      <c r="DN91" s="249">
        <f t="shared" ca="1" si="228"/>
        <v>-1.6491232443683473E-3</v>
      </c>
      <c r="DO91" s="246">
        <f t="shared" ca="1" si="228"/>
        <v>-2.9477616818000818E-3</v>
      </c>
      <c r="DP91" s="249">
        <f t="shared" ca="1" si="228"/>
        <v>-4.2626595452837784E-3</v>
      </c>
      <c r="DQ91" s="249">
        <f t="shared" ca="1" si="228"/>
        <v>-3.92654476207345E-3</v>
      </c>
      <c r="DR91" s="249">
        <f t="shared" ca="1" si="228"/>
        <v>-3.7498382763617583E-3</v>
      </c>
      <c r="DS91" s="249">
        <f t="shared" ca="1" si="228"/>
        <v>-3.8505258024187916E-3</v>
      </c>
      <c r="DT91" s="246">
        <f t="shared" ca="1" si="228"/>
        <v>-3.9422592706736675E-3</v>
      </c>
      <c r="DU91" s="249">
        <f t="shared" ref="DU91" ca="1" si="229">DU90-DP90</f>
        <v>-2.3653390398336305E-3</v>
      </c>
      <c r="DV91" s="249">
        <f t="shared" ref="DV91" ca="1" si="230">DV90-DQ90</f>
        <v>-2.1642743560897487E-3</v>
      </c>
      <c r="DW91" s="249">
        <f t="shared" ref="DW91" ca="1" si="231">DW90-DR90</f>
        <v>-2.1061037140019251E-3</v>
      </c>
      <c r="DX91" s="249">
        <f t="shared" ref="DX91" ca="1" si="232">DX90-DS90</f>
        <v>-1.9221158658794535E-3</v>
      </c>
      <c r="DY91" s="246">
        <f t="shared" ref="DY91" ca="1" si="233">DY90-DT90</f>
        <v>-2.133965886457978E-3</v>
      </c>
      <c r="DZ91" s="250"/>
    </row>
    <row r="92" spans="1:130" x14ac:dyDescent="0.2">
      <c r="A92" s="243"/>
      <c r="B92" s="244" t="s">
        <v>219</v>
      </c>
      <c r="C92" s="245"/>
      <c r="D92" s="245"/>
      <c r="E92" s="245"/>
      <c r="F92" s="245"/>
      <c r="G92" s="245"/>
      <c r="H92" s="245"/>
      <c r="I92" s="246"/>
      <c r="J92" s="245"/>
      <c r="K92" s="245"/>
      <c r="L92" s="245"/>
      <c r="M92" s="245"/>
      <c r="N92" s="246">
        <f>N89/I89-1</f>
        <v>0.13373581509090138</v>
      </c>
      <c r="O92" s="245"/>
      <c r="P92" s="245"/>
      <c r="Q92" s="245"/>
      <c r="R92" s="245"/>
      <c r="S92" s="246">
        <f>S89/N89-1</f>
        <v>6.2261176782492988E-2</v>
      </c>
      <c r="T92" s="247"/>
      <c r="U92" s="248"/>
      <c r="V92" s="245"/>
      <c r="W92" s="245"/>
      <c r="X92" s="246">
        <f>X89/S89-1</f>
        <v>0.16922734689835983</v>
      </c>
      <c r="Y92" s="245"/>
      <c r="Z92" s="245"/>
      <c r="AA92" s="245"/>
      <c r="AB92" s="245"/>
      <c r="AC92" s="246">
        <f>AC89/X89-1</f>
        <v>9.0951276102088086E-2</v>
      </c>
      <c r="AD92" s="245"/>
      <c r="AE92" s="245"/>
      <c r="AF92" s="245"/>
      <c r="AG92" s="245"/>
      <c r="AH92" s="246">
        <f>AH89/AC89-1</f>
        <v>0.22264461931093171</v>
      </c>
      <c r="AI92" s="245"/>
      <c r="AJ92" s="245"/>
      <c r="AK92" s="245"/>
      <c r="AL92" s="245"/>
      <c r="AM92" s="246">
        <f>AM89/AH89-1</f>
        <v>-1.017590398121393E-2</v>
      </c>
      <c r="AN92" s="245"/>
      <c r="AO92" s="245"/>
      <c r="AP92" s="245"/>
      <c r="AQ92" s="245"/>
      <c r="AR92" s="246">
        <f>AR89/AM89-1</f>
        <v>0.1198075697998815</v>
      </c>
      <c r="AS92" s="245"/>
      <c r="AT92" s="245"/>
      <c r="AU92" s="245"/>
      <c r="AV92" s="245"/>
      <c r="AW92" s="246">
        <f>AW89/AR89-1</f>
        <v>0.19263589461914221</v>
      </c>
      <c r="AX92" s="245"/>
      <c r="AY92" s="245"/>
      <c r="AZ92" s="245"/>
      <c r="BA92" s="245"/>
      <c r="BB92" s="246">
        <f>BB89/AW89-1</f>
        <v>0.26241426386170352</v>
      </c>
      <c r="BC92" s="245"/>
      <c r="BD92" s="245"/>
      <c r="BE92" s="245"/>
      <c r="BF92" s="245"/>
      <c r="BG92" s="246">
        <f>BG89/BB89-1</f>
        <v>0.21178877148180475</v>
      </c>
      <c r="BH92" s="245"/>
      <c r="BI92" s="245"/>
      <c r="BJ92" s="245"/>
      <c r="BK92" s="245"/>
      <c r="BL92" s="246">
        <f>BL89/BG89-1</f>
        <v>0.21652366513988341</v>
      </c>
      <c r="BM92" s="245"/>
      <c r="BN92" s="245"/>
      <c r="BO92" s="245"/>
      <c r="BP92" s="245"/>
      <c r="BQ92" s="246">
        <f t="shared" ref="BQ92:DI92" si="234">BQ89/BL89-1</f>
        <v>8.2178462843809807E-2</v>
      </c>
      <c r="BR92" s="247">
        <f t="shared" si="234"/>
        <v>0.15323822231345585</v>
      </c>
      <c r="BS92" s="247">
        <f t="shared" si="234"/>
        <v>0.19249766847431871</v>
      </c>
      <c r="BT92" s="247">
        <f t="shared" si="234"/>
        <v>0.17427753544165769</v>
      </c>
      <c r="BU92" s="247">
        <f t="shared" si="234"/>
        <v>5.1893006472306435E-2</v>
      </c>
      <c r="BV92" s="246">
        <f t="shared" si="234"/>
        <v>0.13866157037617799</v>
      </c>
      <c r="BW92" s="247">
        <f t="shared" si="234"/>
        <v>-1.0323958704165248E-2</v>
      </c>
      <c r="BX92" s="247">
        <f t="shared" si="234"/>
        <v>1.929092805005217E-2</v>
      </c>
      <c r="BY92" s="247">
        <f t="shared" si="234"/>
        <v>2.7337628417203552E-2</v>
      </c>
      <c r="BZ92" s="247">
        <f t="shared" si="234"/>
        <v>6.5341682548325508E-3</v>
      </c>
      <c r="CA92" s="246">
        <f t="shared" si="234"/>
        <v>1.0758858126524107E-2</v>
      </c>
      <c r="CB92" s="247">
        <f t="shared" si="234"/>
        <v>3.1175059952038398E-2</v>
      </c>
      <c r="CC92" s="247">
        <f t="shared" si="234"/>
        <v>2.4438761011650989E-2</v>
      </c>
      <c r="CD92" s="247">
        <f t="shared" si="234"/>
        <v>1.5254237288135686E-2</v>
      </c>
      <c r="CE92" s="247">
        <f t="shared" si="234"/>
        <v>-2.6697322153097058E-2</v>
      </c>
      <c r="CF92" s="246">
        <f t="shared" si="234"/>
        <v>1.0310814646607991E-2</v>
      </c>
      <c r="CG92" s="249">
        <f t="shared" si="234"/>
        <v>7.819767441860459E-2</v>
      </c>
      <c r="CH92" s="249">
        <f t="shared" si="234"/>
        <v>3.7864077669902851E-2</v>
      </c>
      <c r="CI92" s="249">
        <f t="shared" si="234"/>
        <v>6.6574846967167423E-2</v>
      </c>
      <c r="CJ92" s="249">
        <f t="shared" si="234"/>
        <v>0.11024650529416657</v>
      </c>
      <c r="CK92" s="246">
        <f t="shared" si="234"/>
        <v>7.3150808088612296E-2</v>
      </c>
      <c r="CL92" s="249">
        <f t="shared" si="234"/>
        <v>4.6912914532218908E-2</v>
      </c>
      <c r="CM92" s="249">
        <f t="shared" si="234"/>
        <v>3.3809969263664197E-2</v>
      </c>
      <c r="CN92" s="249">
        <f t="shared" si="234"/>
        <v>2.9095263313046127E-2</v>
      </c>
      <c r="CO92" s="249">
        <f t="shared" si="234"/>
        <v>3.1664580725907276E-2</v>
      </c>
      <c r="CP92" s="246">
        <f t="shared" si="234"/>
        <v>3.5246947234627068E-2</v>
      </c>
      <c r="CQ92" s="249">
        <f t="shared" si="234"/>
        <v>8.9363893896470259E-3</v>
      </c>
      <c r="CR92" s="249">
        <f t="shared" si="234"/>
        <v>6.4089968976215106E-2</v>
      </c>
      <c r="CS92" s="249">
        <f t="shared" si="234"/>
        <v>7.0206347596836194E-2</v>
      </c>
      <c r="CT92" s="249">
        <f t="shared" si="234"/>
        <v>4.6439403129928225E-2</v>
      </c>
      <c r="CU92" s="246">
        <f t="shared" si="234"/>
        <v>4.747649725300751E-2</v>
      </c>
      <c r="CV92" s="249">
        <f t="shared" si="234"/>
        <v>2.9124231053934801E-2</v>
      </c>
      <c r="CW92" s="249">
        <f t="shared" si="234"/>
        <v>5.9039335260817616E-3</v>
      </c>
      <c r="CX92" s="249">
        <f t="shared" si="234"/>
        <v>-4.3986498489961834E-3</v>
      </c>
      <c r="CY92" s="249">
        <f t="shared" si="234"/>
        <v>2.2397922511535162E-2</v>
      </c>
      <c r="CZ92" s="246">
        <f t="shared" si="234"/>
        <v>1.3062936640864331E-2</v>
      </c>
      <c r="DA92" s="249">
        <f t="shared" si="234"/>
        <v>0.11816062304677799</v>
      </c>
      <c r="DB92" s="249">
        <f t="shared" si="234"/>
        <v>0.10890778223274244</v>
      </c>
      <c r="DC92" s="249">
        <f t="shared" si="234"/>
        <v>9.7954405949780776E-2</v>
      </c>
      <c r="DD92" s="249">
        <f t="shared" si="234"/>
        <v>4.5606077786597199E-2</v>
      </c>
      <c r="DE92" s="246">
        <f t="shared" ref="DE92:DJ92" si="235">DE89/CZ89-1</f>
        <v>9.1757483610053869E-2</v>
      </c>
      <c r="DF92" s="249">
        <f t="shared" si="234"/>
        <v>1.4662171154784742E-2</v>
      </c>
      <c r="DG92" s="249">
        <f t="shared" si="234"/>
        <v>1.7621049421707058E-2</v>
      </c>
      <c r="DH92" s="249">
        <f t="shared" si="234"/>
        <v>6.0033653108737539E-4</v>
      </c>
      <c r="DI92" s="249">
        <f t="shared" si="234"/>
        <v>1.9026978826826912E-2</v>
      </c>
      <c r="DJ92" s="246">
        <f t="shared" si="235"/>
        <v>1.2960375100207644E-2</v>
      </c>
      <c r="DK92" s="249">
        <f t="shared" ref="DK92:DT92" ca="1" si="236">DK89/DF89-1</f>
        <v>1.1332885211196908E-2</v>
      </c>
      <c r="DL92" s="249">
        <f t="shared" ca="1" si="236"/>
        <v>-3.7022177075449747E-3</v>
      </c>
      <c r="DM92" s="249">
        <f t="shared" ca="1" si="236"/>
        <v>6.4585720959728921E-3</v>
      </c>
      <c r="DN92" s="249">
        <f t="shared" ca="1" si="236"/>
        <v>-2.8511000401409969E-3</v>
      </c>
      <c r="DO92" s="246">
        <f t="shared" ca="1" si="236"/>
        <v>2.7459650395085244E-3</v>
      </c>
      <c r="DP92" s="249">
        <f t="shared" ca="1" si="236"/>
        <v>1.4311958131991931E-2</v>
      </c>
      <c r="DQ92" s="249">
        <f t="shared" ca="1" si="236"/>
        <v>1.5926324455702412E-2</v>
      </c>
      <c r="DR92" s="249">
        <f t="shared" ca="1" si="236"/>
        <v>1.7572237544621894E-2</v>
      </c>
      <c r="DS92" s="249">
        <f t="shared" ca="1" si="236"/>
        <v>1.3918693650022629E-2</v>
      </c>
      <c r="DT92" s="246">
        <f t="shared" ca="1" si="236"/>
        <v>1.5430735820251895E-2</v>
      </c>
      <c r="DU92" s="249">
        <f t="shared" ref="DU92" ca="1" si="237">DU89/DP89-1</f>
        <v>1.1296359177908277E-2</v>
      </c>
      <c r="DV92" s="249">
        <f t="shared" ref="DV92" ca="1" si="238">DV89/DQ89-1</f>
        <v>1.1353629264159837E-2</v>
      </c>
      <c r="DW92" s="249">
        <f t="shared" ref="DW92" ca="1" si="239">DW89/DR89-1</f>
        <v>1.1302341825250917E-2</v>
      </c>
      <c r="DX92" s="249">
        <f t="shared" ref="DX92" ca="1" si="240">DX89/DS89-1</f>
        <v>1.1218369084803337E-2</v>
      </c>
      <c r="DY92" s="246">
        <f t="shared" ref="DY92" ca="1" si="241">DY89/DT89-1</f>
        <v>1.1292584141160189E-2</v>
      </c>
      <c r="DZ92" s="250"/>
    </row>
    <row r="93" spans="1:130" ht="6" customHeight="1" x14ac:dyDescent="0.2">
      <c r="A93" s="16"/>
      <c r="B93" s="251"/>
      <c r="C93" s="252"/>
      <c r="D93" s="102"/>
      <c r="E93" s="164"/>
      <c r="F93" s="164"/>
      <c r="G93" s="164"/>
      <c r="H93" s="102"/>
      <c r="I93" s="165"/>
      <c r="J93" s="59"/>
      <c r="K93" s="59"/>
      <c r="L93" s="59"/>
      <c r="M93" s="59"/>
      <c r="N93" s="253"/>
      <c r="O93" s="59"/>
      <c r="P93" s="59"/>
      <c r="Q93" s="59"/>
      <c r="R93" s="59"/>
      <c r="S93" s="253"/>
      <c r="T93" s="59"/>
      <c r="U93" s="78"/>
      <c r="V93" s="59"/>
      <c r="W93" s="59"/>
      <c r="X93" s="253"/>
      <c r="Y93" s="59"/>
      <c r="Z93" s="59"/>
      <c r="AA93" s="59"/>
      <c r="AB93" s="59"/>
      <c r="AC93" s="253"/>
      <c r="AD93" s="59"/>
      <c r="AE93" s="59"/>
      <c r="AF93" s="60"/>
      <c r="AG93" s="59"/>
      <c r="AH93" s="253"/>
      <c r="AI93" s="60"/>
      <c r="AJ93" s="60"/>
      <c r="AK93" s="60"/>
      <c r="AL93" s="59"/>
      <c r="AM93" s="253"/>
      <c r="AN93" s="60"/>
      <c r="AO93" s="60"/>
      <c r="AP93" s="60"/>
      <c r="AQ93" s="59"/>
      <c r="AR93" s="253"/>
      <c r="AS93" s="234"/>
      <c r="AT93" s="59"/>
      <c r="AU93" s="59"/>
      <c r="AV93" s="59"/>
      <c r="AW93" s="253"/>
      <c r="AX93" s="59"/>
      <c r="AY93" s="59"/>
      <c r="AZ93" s="59"/>
      <c r="BA93" s="59"/>
      <c r="BB93" s="253"/>
      <c r="BC93" s="59"/>
      <c r="BD93" s="59"/>
      <c r="BE93" s="59"/>
      <c r="BF93" s="59"/>
      <c r="BG93" s="253"/>
      <c r="BH93" s="59"/>
      <c r="BI93" s="59"/>
      <c r="BJ93" s="59"/>
      <c r="BK93" s="59"/>
      <c r="BL93" s="253"/>
      <c r="BM93" s="59"/>
      <c r="BN93" s="59"/>
      <c r="BO93" s="59"/>
      <c r="BP93" s="59"/>
      <c r="BQ93" s="253"/>
      <c r="BR93" s="59"/>
      <c r="BS93" s="59"/>
      <c r="BT93" s="59"/>
      <c r="BU93" s="59"/>
      <c r="BV93" s="253"/>
      <c r="BW93" s="59"/>
      <c r="BX93" s="59"/>
      <c r="BY93" s="59"/>
      <c r="BZ93" s="59"/>
      <c r="CA93" s="253"/>
      <c r="CB93" s="59"/>
      <c r="CC93" s="59"/>
      <c r="CD93" s="59"/>
      <c r="CE93" s="59"/>
      <c r="CF93" s="253"/>
      <c r="CG93" s="236"/>
      <c r="CH93" s="236"/>
      <c r="CI93" s="236"/>
      <c r="CJ93" s="236"/>
      <c r="CK93" s="253"/>
      <c r="CL93" s="236"/>
      <c r="CM93" s="236"/>
      <c r="CN93" s="236"/>
      <c r="CO93" s="236"/>
      <c r="CP93" s="253"/>
      <c r="CQ93" s="236"/>
      <c r="CR93" s="236"/>
      <c r="CS93" s="236"/>
      <c r="CT93" s="236"/>
      <c r="CU93" s="253"/>
      <c r="CV93" s="236"/>
      <c r="CW93" s="236"/>
      <c r="CX93" s="236"/>
      <c r="CY93" s="236"/>
      <c r="CZ93" s="253"/>
      <c r="DA93" s="236"/>
      <c r="DB93" s="236"/>
      <c r="DC93" s="236"/>
      <c r="DD93" s="236"/>
      <c r="DE93" s="253"/>
      <c r="DF93" s="236"/>
      <c r="DG93" s="236"/>
      <c r="DH93" s="236"/>
      <c r="DI93" s="236"/>
      <c r="DJ93" s="253"/>
      <c r="DK93" s="236"/>
      <c r="DL93" s="236"/>
      <c r="DM93" s="236"/>
      <c r="DN93" s="236"/>
      <c r="DO93" s="253"/>
      <c r="DP93" s="236"/>
      <c r="DQ93" s="236"/>
      <c r="DR93" s="236"/>
      <c r="DS93" s="236"/>
      <c r="DT93" s="253"/>
      <c r="DU93" s="236"/>
      <c r="DV93" s="236"/>
      <c r="DW93" s="236"/>
      <c r="DX93" s="236"/>
      <c r="DY93" s="253"/>
      <c r="DZ93" s="16"/>
    </row>
    <row r="94" spans="1:130" x14ac:dyDescent="0.2">
      <c r="A94" s="57"/>
      <c r="B94" s="254" t="s">
        <v>175</v>
      </c>
      <c r="C94" s="238">
        <f>C13-C16</f>
        <v>0</v>
      </c>
      <c r="D94" s="238">
        <f>D13-D16</f>
        <v>0</v>
      </c>
      <c r="E94" s="238"/>
      <c r="F94" s="238"/>
      <c r="G94" s="238"/>
      <c r="H94" s="238"/>
      <c r="I94" s="239">
        <f>I13-I16</f>
        <v>2247.346</v>
      </c>
      <c r="J94" s="238"/>
      <c r="K94" s="238"/>
      <c r="L94" s="238"/>
      <c r="M94" s="238"/>
      <c r="N94" s="239">
        <f>N13-N16</f>
        <v>2537.9270000000001</v>
      </c>
      <c r="O94" s="238"/>
      <c r="P94" s="238"/>
      <c r="Q94" s="238"/>
      <c r="R94" s="238"/>
      <c r="S94" s="239">
        <f>S13-S16</f>
        <v>2699.2560000000003</v>
      </c>
      <c r="T94" s="238"/>
      <c r="U94" s="240"/>
      <c r="V94" s="238"/>
      <c r="W94" s="238"/>
      <c r="X94" s="239">
        <f>X13-X16</f>
        <v>3170.1</v>
      </c>
      <c r="Y94" s="238"/>
      <c r="Z94" s="238"/>
      <c r="AA94" s="238"/>
      <c r="AB94" s="238"/>
      <c r="AC94" s="239">
        <f>AC13-AC16</f>
        <v>3464.9929999999999</v>
      </c>
      <c r="AD94" s="238"/>
      <c r="AE94" s="238"/>
      <c r="AF94" s="238"/>
      <c r="AG94" s="238"/>
      <c r="AH94" s="239">
        <f>AH13-AH16</f>
        <v>4278.3</v>
      </c>
      <c r="AI94" s="238"/>
      <c r="AJ94" s="238"/>
      <c r="AK94" s="238"/>
      <c r="AL94" s="238"/>
      <c r="AM94" s="239">
        <f>AM13-AM16</f>
        <v>4241.9999999999991</v>
      </c>
      <c r="AN94" s="238"/>
      <c r="AO94" s="238"/>
      <c r="AP94" s="238"/>
      <c r="AQ94" s="238"/>
      <c r="AR94" s="239">
        <f>AR13-AR16</f>
        <v>4756</v>
      </c>
      <c r="AS94" s="238"/>
      <c r="AT94" s="238"/>
      <c r="AU94" s="238"/>
      <c r="AV94" s="238"/>
      <c r="AW94" s="239">
        <f>AW13-AW16</f>
        <v>5582.9000000000005</v>
      </c>
      <c r="AX94" s="238">
        <f>AX89-AX132</f>
        <v>1743.1</v>
      </c>
      <c r="AY94" s="238">
        <f>AY89-AY132</f>
        <v>1792.1</v>
      </c>
      <c r="AZ94" s="238">
        <f>AZ89-AZ132</f>
        <v>1814.4</v>
      </c>
      <c r="BA94" s="238">
        <f>BA89-BA132</f>
        <v>1943</v>
      </c>
      <c r="BB94" s="239">
        <f>BB13-BB16</f>
        <v>7086</v>
      </c>
      <c r="BC94" s="238">
        <f>BC89-BC132</f>
        <v>1777.6999999999998</v>
      </c>
      <c r="BD94" s="238">
        <f>BD89-BD132</f>
        <v>1883.2000000000003</v>
      </c>
      <c r="BE94" s="238">
        <f>BE89-BE132</f>
        <v>2156.6999999999998</v>
      </c>
      <c r="BF94" s="238">
        <f>BF89-BF132</f>
        <v>2213.1999999999998</v>
      </c>
      <c r="BG94" s="239">
        <f>BG13-BG16</f>
        <v>8567.3000000000011</v>
      </c>
      <c r="BH94" s="238">
        <f>BH89-BH132</f>
        <v>2195.1</v>
      </c>
      <c r="BI94" s="238">
        <f>BI89-BI132</f>
        <v>2540.6999999999998</v>
      </c>
      <c r="BJ94" s="238">
        <f>BJ89-BJ132</f>
        <v>2622.4</v>
      </c>
      <c r="BK94" s="238">
        <f>BK89-BK132</f>
        <v>2698.8</v>
      </c>
      <c r="BL94" s="239">
        <f t="shared" ref="BL94:CQ94" si="242">BL13-BL16</f>
        <v>10219.799999999999</v>
      </c>
      <c r="BM94" s="238">
        <f t="shared" si="242"/>
        <v>2623.6</v>
      </c>
      <c r="BN94" s="238">
        <f t="shared" si="242"/>
        <v>2585.1</v>
      </c>
      <c r="BO94" s="238">
        <f t="shared" si="242"/>
        <v>2623.5</v>
      </c>
      <c r="BP94" s="238">
        <f t="shared" si="242"/>
        <v>3137.8</v>
      </c>
      <c r="BQ94" s="239">
        <f t="shared" si="242"/>
        <v>10970</v>
      </c>
      <c r="BR94" s="238">
        <f t="shared" si="242"/>
        <v>3016.9</v>
      </c>
      <c r="BS94" s="238">
        <f t="shared" si="242"/>
        <v>3070.1</v>
      </c>
      <c r="BT94" s="238">
        <f t="shared" si="242"/>
        <v>3145.5</v>
      </c>
      <c r="BU94" s="238">
        <f t="shared" si="242"/>
        <v>3320.5</v>
      </c>
      <c r="BV94" s="239">
        <f t="shared" si="242"/>
        <v>12553</v>
      </c>
      <c r="BW94" s="238">
        <f t="shared" si="242"/>
        <v>2978</v>
      </c>
      <c r="BX94" s="238">
        <f t="shared" si="242"/>
        <v>3151</v>
      </c>
      <c r="BY94" s="238">
        <f t="shared" si="242"/>
        <v>3170</v>
      </c>
      <c r="BZ94" s="238">
        <f t="shared" si="242"/>
        <v>3324</v>
      </c>
      <c r="CA94" s="239">
        <f t="shared" si="242"/>
        <v>12623</v>
      </c>
      <c r="CB94" s="238">
        <f t="shared" si="242"/>
        <v>3066</v>
      </c>
      <c r="CC94" s="238">
        <f t="shared" si="242"/>
        <v>3214</v>
      </c>
      <c r="CD94" s="238">
        <f t="shared" si="242"/>
        <v>3187</v>
      </c>
      <c r="CE94" s="238">
        <f t="shared" si="242"/>
        <v>3202.6000000000004</v>
      </c>
      <c r="CF94" s="239">
        <f t="shared" si="242"/>
        <v>12669.599999999999</v>
      </c>
      <c r="CG94" s="238">
        <f t="shared" si="242"/>
        <v>3286</v>
      </c>
      <c r="CH94" s="238">
        <f t="shared" si="242"/>
        <v>3310.5</v>
      </c>
      <c r="CI94" s="238">
        <f t="shared" si="242"/>
        <v>3390.97</v>
      </c>
      <c r="CJ94" s="238">
        <f t="shared" si="242"/>
        <v>3538.3</v>
      </c>
      <c r="CK94" s="239">
        <f t="shared" si="242"/>
        <v>13525.77</v>
      </c>
      <c r="CL94" s="238">
        <f t="shared" si="242"/>
        <v>3381</v>
      </c>
      <c r="CM94" s="238">
        <f t="shared" si="242"/>
        <v>3418.6</v>
      </c>
      <c r="CN94" s="238">
        <f t="shared" si="242"/>
        <v>3484.3</v>
      </c>
      <c r="CO94" s="238">
        <f t="shared" si="242"/>
        <v>3663.7</v>
      </c>
      <c r="CP94" s="239">
        <f t="shared" si="242"/>
        <v>13947.600000000002</v>
      </c>
      <c r="CQ94" s="238">
        <f t="shared" si="242"/>
        <v>3440.2999999999997</v>
      </c>
      <c r="CR94" s="238">
        <f t="shared" ref="CR94:DJ94" si="243">CR13-CR16</f>
        <v>3628.2</v>
      </c>
      <c r="CS94" s="238">
        <f t="shared" si="243"/>
        <v>3744.65</v>
      </c>
      <c r="CT94" s="238">
        <f t="shared" si="243"/>
        <v>3824.2</v>
      </c>
      <c r="CU94" s="239">
        <f t="shared" si="243"/>
        <v>14637.35</v>
      </c>
      <c r="CV94" s="238">
        <f t="shared" si="243"/>
        <v>3541.4</v>
      </c>
      <c r="CW94" s="238">
        <f t="shared" si="243"/>
        <v>3652.7999999999997</v>
      </c>
      <c r="CX94" s="238">
        <f t="shared" si="243"/>
        <v>3670.5404964690565</v>
      </c>
      <c r="CY94" s="238">
        <f>CY13-CY16</f>
        <v>3838.9</v>
      </c>
      <c r="CZ94" s="239">
        <f t="shared" si="243"/>
        <v>14703.640496469057</v>
      </c>
      <c r="DA94" s="238">
        <f>DA13-DA16</f>
        <v>3898.7999999999997</v>
      </c>
      <c r="DB94" s="238">
        <f>DB13-DB16</f>
        <v>3979.4000000000005</v>
      </c>
      <c r="DC94" s="238">
        <f>DC13-DC16</f>
        <v>4010.5999999999995</v>
      </c>
      <c r="DD94" s="238">
        <f>DD13-DD16</f>
        <v>3990.5000000000005</v>
      </c>
      <c r="DE94" s="239">
        <f t="shared" si="243"/>
        <v>15879.3</v>
      </c>
      <c r="DF94" s="238">
        <f t="shared" si="243"/>
        <v>3954.7000000000003</v>
      </c>
      <c r="DG94" s="238">
        <f>DG13-DG16</f>
        <v>4049.5</v>
      </c>
      <c r="DH94" s="238">
        <f>DH13-DH16</f>
        <v>4003.4091466673149</v>
      </c>
      <c r="DI94" s="238">
        <f>DI13-DI16</f>
        <v>4075.8639214589689</v>
      </c>
      <c r="DJ94" s="239">
        <f t="shared" si="243"/>
        <v>16083.473068126284</v>
      </c>
      <c r="DK94" s="238">
        <f t="shared" ref="DK94:DT94" ca="1" si="244">DK13-DK16</f>
        <v>3985.162135221578</v>
      </c>
      <c r="DL94" s="238">
        <f t="shared" ca="1" si="244"/>
        <v>4022.9233572703502</v>
      </c>
      <c r="DM94" s="238">
        <f t="shared" ca="1" si="244"/>
        <v>4022.3921692521722</v>
      </c>
      <c r="DN94" s="238">
        <f t="shared" ca="1" si="244"/>
        <v>4043.9525101345562</v>
      </c>
      <c r="DO94" s="239">
        <f t="shared" ca="1" si="244"/>
        <v>16074.430171878657</v>
      </c>
      <c r="DP94" s="238">
        <f t="shared" ca="1" si="244"/>
        <v>4053.4823454550606</v>
      </c>
      <c r="DQ94" s="238">
        <f t="shared" ca="1" si="244"/>
        <v>4092.785531297608</v>
      </c>
      <c r="DR94" s="238">
        <f t="shared" ca="1" si="244"/>
        <v>4091.7411947009641</v>
      </c>
      <c r="DS94" s="238">
        <f t="shared" ca="1" si="244"/>
        <v>4112.7718650287898</v>
      </c>
      <c r="DT94" s="239">
        <f t="shared" ca="1" si="244"/>
        <v>16350.780936482424</v>
      </c>
      <c r="DU94" s="238">
        <f t="shared" ref="DU94:DY94" ca="1" si="245">DU13-DU16</f>
        <v>4109.4355650219759</v>
      </c>
      <c r="DV94" s="238">
        <f t="shared" ca="1" si="245"/>
        <v>4149.0580212003861</v>
      </c>
      <c r="DW94" s="238">
        <f t="shared" ca="1" si="245"/>
        <v>4147.6319416008228</v>
      </c>
      <c r="DX94" s="238">
        <f t="shared" ca="1" si="245"/>
        <v>4167.7115933392142</v>
      </c>
      <c r="DY94" s="239">
        <f t="shared" ca="1" si="245"/>
        <v>16573.837121162396</v>
      </c>
      <c r="DZ94" s="64"/>
    </row>
    <row r="95" spans="1:130" x14ac:dyDescent="0.2">
      <c r="A95" s="243"/>
      <c r="B95" s="244" t="s">
        <v>217</v>
      </c>
      <c r="C95" s="245"/>
      <c r="D95" s="245"/>
      <c r="E95" s="245"/>
      <c r="F95" s="245"/>
      <c r="G95" s="245"/>
      <c r="H95" s="245"/>
      <c r="I95" s="246">
        <f>I94/I10</f>
        <v>0.18994438621995333</v>
      </c>
      <c r="J95" s="245"/>
      <c r="K95" s="245"/>
      <c r="L95" s="245"/>
      <c r="M95" s="245"/>
      <c r="N95" s="246">
        <f>N94/N10</f>
        <v>0.18458151628404174</v>
      </c>
      <c r="O95" s="245"/>
      <c r="P95" s="245"/>
      <c r="Q95" s="245"/>
      <c r="R95" s="245"/>
      <c r="S95" s="246">
        <f>S94/S10</f>
        <v>0.17672690131992458</v>
      </c>
      <c r="T95" s="247"/>
      <c r="U95" s="248"/>
      <c r="V95" s="245"/>
      <c r="W95" s="245"/>
      <c r="X95" s="246">
        <f>X94/X10</f>
        <v>0.17516009790974843</v>
      </c>
      <c r="Y95" s="245"/>
      <c r="Z95" s="245"/>
      <c r="AA95" s="245"/>
      <c r="AB95" s="245"/>
      <c r="AC95" s="246">
        <f>AC94/AC10</f>
        <v>0.17249498444306161</v>
      </c>
      <c r="AD95" s="245"/>
      <c r="AE95" s="245"/>
      <c r="AF95" s="245"/>
      <c r="AG95" s="245"/>
      <c r="AH95" s="246">
        <f>AH94/AH10</f>
        <v>0.19235749548139955</v>
      </c>
      <c r="AI95" s="245"/>
      <c r="AJ95" s="245"/>
      <c r="AK95" s="245"/>
      <c r="AL95" s="245"/>
      <c r="AM95" s="246">
        <f>AM94/AM10</f>
        <v>0.17542336083369514</v>
      </c>
      <c r="AN95" s="245"/>
      <c r="AO95" s="245"/>
      <c r="AP95" s="245"/>
      <c r="AQ95" s="245"/>
      <c r="AR95" s="246">
        <f>AR94/AR10</f>
        <v>0.17887768918309011</v>
      </c>
      <c r="AS95" s="245"/>
      <c r="AT95" s="245"/>
      <c r="AU95" s="245"/>
      <c r="AV95" s="245"/>
      <c r="AW95" s="246">
        <f t="shared" ref="AW95:CB95" si="246">AW94/AW10</f>
        <v>0.18248170410828163</v>
      </c>
      <c r="AX95" s="247">
        <f t="shared" si="246"/>
        <v>0.18983468014201388</v>
      </c>
      <c r="AY95" s="247">
        <f t="shared" si="246"/>
        <v>0.19646772496053322</v>
      </c>
      <c r="AZ95" s="247">
        <f t="shared" si="246"/>
        <v>0.20226522786051906</v>
      </c>
      <c r="BA95" s="247">
        <f t="shared" si="246"/>
        <v>0.19965063707357172</v>
      </c>
      <c r="BB95" s="246">
        <f t="shared" si="246"/>
        <v>0.19147884031810453</v>
      </c>
      <c r="BC95" s="247">
        <f t="shared" si="246"/>
        <v>0.1781280373550837</v>
      </c>
      <c r="BD95" s="247">
        <f t="shared" si="246"/>
        <v>0.17825905872553105</v>
      </c>
      <c r="BE95" s="247">
        <f t="shared" si="246"/>
        <v>0.1924113196773963</v>
      </c>
      <c r="BF95" s="247">
        <f t="shared" si="246"/>
        <v>0.18338954119470016</v>
      </c>
      <c r="BG95" s="246">
        <f t="shared" si="246"/>
        <v>0.19620115467676152</v>
      </c>
      <c r="BH95" s="247">
        <f t="shared" si="246"/>
        <v>0.16648969252006127</v>
      </c>
      <c r="BI95" s="247">
        <f t="shared" si="246"/>
        <v>0.12271956644592888</v>
      </c>
      <c r="BJ95" s="247">
        <f t="shared" si="246"/>
        <v>0.12795191069128381</v>
      </c>
      <c r="BK95" s="247">
        <f t="shared" si="246"/>
        <v>0.12299474989062274</v>
      </c>
      <c r="BL95" s="246">
        <f t="shared" si="246"/>
        <v>0.13389056655683582</v>
      </c>
      <c r="BM95" s="247">
        <f t="shared" si="246"/>
        <v>0.12302353934164868</v>
      </c>
      <c r="BN95" s="247">
        <f t="shared" si="246"/>
        <v>0.12228303288032807</v>
      </c>
      <c r="BO95" s="247">
        <f t="shared" si="246"/>
        <v>0.1257465226185569</v>
      </c>
      <c r="BP95" s="247">
        <f t="shared" si="246"/>
        <v>0.12997158502539122</v>
      </c>
      <c r="BQ95" s="246">
        <f t="shared" si="246"/>
        <v>0.12541170364425605</v>
      </c>
      <c r="BR95" s="247">
        <f t="shared" si="246"/>
        <v>0.12896096845758936</v>
      </c>
      <c r="BS95" s="247">
        <f t="shared" si="246"/>
        <v>0.12344045900663823</v>
      </c>
      <c r="BT95" s="247">
        <f t="shared" si="246"/>
        <v>0.12764843620013067</v>
      </c>
      <c r="BU95" s="247">
        <f t="shared" si="246"/>
        <v>0.12859189838122531</v>
      </c>
      <c r="BV95" s="246">
        <f t="shared" si="246"/>
        <v>0.12714615477332372</v>
      </c>
      <c r="BW95" s="247">
        <f t="shared" si="246"/>
        <v>0.12533670033670033</v>
      </c>
      <c r="BX95" s="247">
        <f t="shared" si="246"/>
        <v>0.13125338442954138</v>
      </c>
      <c r="BY95" s="247">
        <f t="shared" si="246"/>
        <v>0.13277486910994765</v>
      </c>
      <c r="BZ95" s="247">
        <f t="shared" si="246"/>
        <v>0.13418917282305923</v>
      </c>
      <c r="CA95" s="246">
        <f t="shared" si="246"/>
        <v>0.1309263273624926</v>
      </c>
      <c r="CB95" s="247">
        <f t="shared" si="246"/>
        <v>0.11846986089644514</v>
      </c>
      <c r="CC95" s="247">
        <f t="shared" ref="CC95:DF95" si="247">CC94/CC10</f>
        <v>0.12069548236884599</v>
      </c>
      <c r="CD95" s="247">
        <f t="shared" si="247"/>
        <v>0.11947964309814801</v>
      </c>
      <c r="CE95" s="247">
        <f t="shared" si="247"/>
        <v>0.11309813892714625</v>
      </c>
      <c r="CF95" s="246">
        <f t="shared" si="247"/>
        <v>0.1178567441860465</v>
      </c>
      <c r="CG95" s="249">
        <f t="shared" si="247"/>
        <v>0.10669523995064614</v>
      </c>
      <c r="CH95" s="249">
        <f t="shared" si="247"/>
        <v>0.10778331987601907</v>
      </c>
      <c r="CI95" s="249">
        <f t="shared" si="247"/>
        <v>0.11218236494824216</v>
      </c>
      <c r="CJ95" s="249">
        <f t="shared" si="247"/>
        <v>0.11270624960183476</v>
      </c>
      <c r="CK95" s="246">
        <f t="shared" si="247"/>
        <v>0.10984620782125445</v>
      </c>
      <c r="CL95" s="249">
        <f t="shared" si="247"/>
        <v>0.10990475571303189</v>
      </c>
      <c r="CM95" s="249">
        <f t="shared" si="247"/>
        <v>0.10940115142263739</v>
      </c>
      <c r="CN95" s="249">
        <f t="shared" si="247"/>
        <v>0.10899302742421352</v>
      </c>
      <c r="CO95" s="249">
        <f t="shared" si="247"/>
        <v>0.11159644104916554</v>
      </c>
      <c r="CP95" s="246">
        <f t="shared" si="247"/>
        <v>0.10998877842555713</v>
      </c>
      <c r="CQ95" s="249">
        <f t="shared" si="247"/>
        <v>0.10524367598787356</v>
      </c>
      <c r="CR95" s="249">
        <f t="shared" si="247"/>
        <v>0.10485763499531807</v>
      </c>
      <c r="CS95" s="249">
        <f t="shared" si="247"/>
        <v>0.10692553917495454</v>
      </c>
      <c r="CT95" s="249">
        <f t="shared" si="247"/>
        <v>0.10320251084190385</v>
      </c>
      <c r="CU95" s="246">
        <f t="shared" si="247"/>
        <v>0.1050277505713353</v>
      </c>
      <c r="CV95" s="249">
        <f t="shared" si="247"/>
        <v>9.7474374924308299E-2</v>
      </c>
      <c r="CW95" s="249">
        <f t="shared" si="247"/>
        <v>9.827570899327126E-2</v>
      </c>
      <c r="CX95" s="249">
        <f t="shared" si="247"/>
        <v>9.4984460449448582E-2</v>
      </c>
      <c r="CY95" s="249">
        <f>CY94/CY10</f>
        <v>9.3300366476340837E-2</v>
      </c>
      <c r="CZ95" s="246">
        <f t="shared" si="247"/>
        <v>9.592060687818256E-2</v>
      </c>
      <c r="DA95" s="249">
        <f>DA94/DA10</f>
        <v>9.0218674071502941E-2</v>
      </c>
      <c r="DB95" s="249">
        <f>DB94/DB10</f>
        <v>9.1009095420728964E-2</v>
      </c>
      <c r="DC95" s="249">
        <f>DC94/DC10</f>
        <v>8.9893533564944519E-2</v>
      </c>
      <c r="DD95" s="249">
        <f>DD94/DD10</f>
        <v>8.6804347069469601E-2</v>
      </c>
      <c r="DE95" s="246">
        <f t="shared" si="247"/>
        <v>8.9447490937972635E-2</v>
      </c>
      <c r="DF95" s="249">
        <f t="shared" si="247"/>
        <v>8.8842511052801845E-2</v>
      </c>
      <c r="DG95" s="249">
        <f>DG94/DG10</f>
        <v>8.8639366674936673E-2</v>
      </c>
      <c r="DH95" s="249">
        <f>DH94/DH10</f>
        <v>8.6688757590071344E-2</v>
      </c>
      <c r="DI95" s="249">
        <f>DI94/DI10</f>
        <v>8.4237911267188756E-2</v>
      </c>
      <c r="DJ95" s="246">
        <f t="shared" ref="DJ95:DT95" si="248">DJ94/DJ10</f>
        <v>8.7048135514132013E-2</v>
      </c>
      <c r="DK95" s="249">
        <f t="shared" ca="1" si="248"/>
        <v>8.6912273087448394E-2</v>
      </c>
      <c r="DL95" s="249">
        <f t="shared" ca="1" si="248"/>
        <v>8.3547339530454151E-2</v>
      </c>
      <c r="DM95" s="249">
        <f t="shared" ca="1" si="248"/>
        <v>8.4171149157130559E-2</v>
      </c>
      <c r="DN95" s="249">
        <f t="shared" ca="1" si="248"/>
        <v>8.2393858650364998E-2</v>
      </c>
      <c r="DO95" s="246">
        <f t="shared" ca="1" si="248"/>
        <v>8.4215261442374095E-2</v>
      </c>
      <c r="DP95" s="249">
        <f t="shared" ca="1" si="248"/>
        <v>8.3472613644948346E-2</v>
      </c>
      <c r="DQ95" s="249">
        <f t="shared" ca="1" si="248"/>
        <v>8.0267330242858981E-2</v>
      </c>
      <c r="DR95" s="249">
        <f t="shared" ca="1" si="248"/>
        <v>8.0899312126839013E-2</v>
      </c>
      <c r="DS95" s="249">
        <f t="shared" ca="1" si="248"/>
        <v>7.9311836402090885E-2</v>
      </c>
      <c r="DT95" s="246">
        <f t="shared" ca="1" si="248"/>
        <v>8.0950885767552355E-2</v>
      </c>
      <c r="DU95" s="249">
        <f t="shared" ref="DU95:DY95" ca="1" si="249">DU94/DU10</f>
        <v>8.1631210967070947E-2</v>
      </c>
      <c r="DV95" s="249">
        <f t="shared" ca="1" si="249"/>
        <v>7.8579850488498554E-2</v>
      </c>
      <c r="DW95" s="249">
        <f t="shared" ca="1" si="249"/>
        <v>7.9261386014260915E-2</v>
      </c>
      <c r="DX95" s="249">
        <f t="shared" ca="1" si="249"/>
        <v>7.7811946060531489E-2</v>
      </c>
      <c r="DY95" s="246">
        <f t="shared" ca="1" si="249"/>
        <v>7.9288564202154133E-2</v>
      </c>
      <c r="DZ95" s="250"/>
    </row>
    <row r="96" spans="1:130" x14ac:dyDescent="0.2">
      <c r="A96" s="243"/>
      <c r="B96" s="244" t="s">
        <v>218</v>
      </c>
      <c r="C96" s="245"/>
      <c r="D96" s="245"/>
      <c r="E96" s="245"/>
      <c r="F96" s="245"/>
      <c r="G96" s="245"/>
      <c r="H96" s="245"/>
      <c r="I96" s="246"/>
      <c r="J96" s="245"/>
      <c r="K96" s="245"/>
      <c r="L96" s="245"/>
      <c r="M96" s="245"/>
      <c r="N96" s="246">
        <f>N95-I95</f>
        <v>-5.3628699359115906E-3</v>
      </c>
      <c r="O96" s="245"/>
      <c r="P96" s="245"/>
      <c r="Q96" s="245"/>
      <c r="R96" s="245"/>
      <c r="S96" s="246">
        <f>S95-N95</f>
        <v>-7.854614964117157E-3</v>
      </c>
      <c r="T96" s="247"/>
      <c r="U96" s="248"/>
      <c r="V96" s="245"/>
      <c r="W96" s="245"/>
      <c r="X96" s="246">
        <f>X95-S95</f>
        <v>-1.5668034101761485E-3</v>
      </c>
      <c r="Y96" s="245"/>
      <c r="Z96" s="245"/>
      <c r="AA96" s="245"/>
      <c r="AB96" s="245"/>
      <c r="AC96" s="246">
        <f>AC95-X95</f>
        <v>-2.6651134666868248E-3</v>
      </c>
      <c r="AD96" s="245"/>
      <c r="AE96" s="245"/>
      <c r="AF96" s="245"/>
      <c r="AG96" s="245"/>
      <c r="AH96" s="246">
        <f>AH95-AC95</f>
        <v>1.9862511038337943E-2</v>
      </c>
      <c r="AI96" s="245"/>
      <c r="AJ96" s="245"/>
      <c r="AK96" s="245"/>
      <c r="AL96" s="245"/>
      <c r="AM96" s="246">
        <f>AM95-AH95</f>
        <v>-1.6934134647704407E-2</v>
      </c>
      <c r="AN96" s="245"/>
      <c r="AO96" s="245"/>
      <c r="AP96" s="245"/>
      <c r="AQ96" s="245"/>
      <c r="AR96" s="246">
        <f>AR95-AM95</f>
        <v>3.4543283493949639E-3</v>
      </c>
      <c r="AS96" s="245"/>
      <c r="AT96" s="245"/>
      <c r="AU96" s="245"/>
      <c r="AV96" s="245"/>
      <c r="AW96" s="246">
        <f t="shared" ref="AW96:CB96" si="250">AW95-AR95</f>
        <v>3.6040149251915232E-3</v>
      </c>
      <c r="AX96" s="247">
        <f t="shared" si="250"/>
        <v>0.18983468014201388</v>
      </c>
      <c r="AY96" s="247">
        <f t="shared" si="250"/>
        <v>0.19646772496053322</v>
      </c>
      <c r="AZ96" s="247">
        <f t="shared" si="250"/>
        <v>0.20226522786051906</v>
      </c>
      <c r="BA96" s="247">
        <f t="shared" si="250"/>
        <v>0.19965063707357172</v>
      </c>
      <c r="BB96" s="246">
        <f t="shared" si="250"/>
        <v>8.997136209822898E-3</v>
      </c>
      <c r="BC96" s="247">
        <f t="shared" si="250"/>
        <v>-1.1706642786930177E-2</v>
      </c>
      <c r="BD96" s="247">
        <f t="shared" si="250"/>
        <v>-1.8208666235002169E-2</v>
      </c>
      <c r="BE96" s="247">
        <f t="shared" si="250"/>
        <v>-9.8539081831227615E-3</v>
      </c>
      <c r="BF96" s="247">
        <f t="shared" si="250"/>
        <v>-1.6261095878871562E-2</v>
      </c>
      <c r="BG96" s="246">
        <f t="shared" si="250"/>
        <v>4.7223143586569982E-3</v>
      </c>
      <c r="BH96" s="247">
        <f t="shared" si="250"/>
        <v>-1.1638344835022435E-2</v>
      </c>
      <c r="BI96" s="247">
        <f t="shared" si="250"/>
        <v>-5.5539492279602171E-2</v>
      </c>
      <c r="BJ96" s="247">
        <f t="shared" si="250"/>
        <v>-6.4459408986112493E-2</v>
      </c>
      <c r="BK96" s="247">
        <f t="shared" si="250"/>
        <v>-6.0394791304077419E-2</v>
      </c>
      <c r="BL96" s="246">
        <f t="shared" si="250"/>
        <v>-6.2310588119925708E-2</v>
      </c>
      <c r="BM96" s="247">
        <f t="shared" si="250"/>
        <v>-4.3466153178412584E-2</v>
      </c>
      <c r="BN96" s="247">
        <f t="shared" si="250"/>
        <v>-4.3653356560080514E-4</v>
      </c>
      <c r="BO96" s="247">
        <f t="shared" si="250"/>
        <v>-2.2053880727269104E-3</v>
      </c>
      <c r="BP96" s="247">
        <f t="shared" si="250"/>
        <v>6.9768351347684748E-3</v>
      </c>
      <c r="BQ96" s="246">
        <f t="shared" si="250"/>
        <v>-8.4788629125797654E-3</v>
      </c>
      <c r="BR96" s="247">
        <f t="shared" si="250"/>
        <v>5.9374291159406817E-3</v>
      </c>
      <c r="BS96" s="247">
        <f t="shared" si="250"/>
        <v>1.1574261263101598E-3</v>
      </c>
      <c r="BT96" s="247">
        <f t="shared" si="250"/>
        <v>1.9019135815737664E-3</v>
      </c>
      <c r="BU96" s="247">
        <f t="shared" si="250"/>
        <v>-1.3796866441659061E-3</v>
      </c>
      <c r="BV96" s="246">
        <f t="shared" si="250"/>
        <v>1.7344511290676712E-3</v>
      </c>
      <c r="BW96" s="247">
        <f t="shared" si="250"/>
        <v>-3.6242681208890348E-3</v>
      </c>
      <c r="BX96" s="247">
        <f t="shared" si="250"/>
        <v>7.8129254229031414E-3</v>
      </c>
      <c r="BY96" s="247">
        <f t="shared" si="250"/>
        <v>5.1264329098169859E-3</v>
      </c>
      <c r="BZ96" s="247">
        <f t="shared" si="250"/>
        <v>5.597274441833916E-3</v>
      </c>
      <c r="CA96" s="246">
        <f t="shared" si="250"/>
        <v>3.7801725891688787E-3</v>
      </c>
      <c r="CB96" s="247">
        <f t="shared" si="250"/>
        <v>-6.866839440255193E-3</v>
      </c>
      <c r="CC96" s="247">
        <f t="shared" ref="CC96:DI96" si="251">CC95-BX95</f>
        <v>-1.0557902060695387E-2</v>
      </c>
      <c r="CD96" s="247">
        <f t="shared" si="251"/>
        <v>-1.3295226011799638E-2</v>
      </c>
      <c r="CE96" s="247">
        <f t="shared" si="251"/>
        <v>-2.1091033895912978E-2</v>
      </c>
      <c r="CF96" s="246">
        <f t="shared" si="251"/>
        <v>-1.3069583176446103E-2</v>
      </c>
      <c r="CG96" s="249">
        <f t="shared" si="251"/>
        <v>-1.1774620945798994E-2</v>
      </c>
      <c r="CH96" s="249">
        <f t="shared" si="251"/>
        <v>-1.2912162492826923E-2</v>
      </c>
      <c r="CI96" s="249">
        <f t="shared" si="251"/>
        <v>-7.2972781499058559E-3</v>
      </c>
      <c r="CJ96" s="249">
        <f t="shared" si="251"/>
        <v>-3.9188932531149245E-4</v>
      </c>
      <c r="CK96" s="246">
        <f t="shared" si="251"/>
        <v>-8.0105363647920425E-3</v>
      </c>
      <c r="CL96" s="249">
        <f t="shared" si="251"/>
        <v>3.2095157623857479E-3</v>
      </c>
      <c r="CM96" s="249">
        <f t="shared" si="251"/>
        <v>1.6178315466183202E-3</v>
      </c>
      <c r="CN96" s="249">
        <f t="shared" si="251"/>
        <v>-3.1893375240286403E-3</v>
      </c>
      <c r="CO96" s="249">
        <f t="shared" si="251"/>
        <v>-1.1098085526692197E-3</v>
      </c>
      <c r="CP96" s="246">
        <f t="shared" si="251"/>
        <v>1.4257060430267199E-4</v>
      </c>
      <c r="CQ96" s="249">
        <f t="shared" si="251"/>
        <v>-4.6610797251583347E-3</v>
      </c>
      <c r="CR96" s="249">
        <f t="shared" si="251"/>
        <v>-4.5435164273193163E-3</v>
      </c>
      <c r="CS96" s="249">
        <f t="shared" si="251"/>
        <v>-2.0674882492589808E-3</v>
      </c>
      <c r="CT96" s="249">
        <f t="shared" si="251"/>
        <v>-8.3939302072616878E-3</v>
      </c>
      <c r="CU96" s="246">
        <f t="shared" si="251"/>
        <v>-4.961027854221825E-3</v>
      </c>
      <c r="CV96" s="249">
        <f t="shared" si="251"/>
        <v>-7.7693010635652565E-3</v>
      </c>
      <c r="CW96" s="249">
        <f t="shared" si="251"/>
        <v>-6.581926002046809E-3</v>
      </c>
      <c r="CX96" s="249">
        <f t="shared" si="251"/>
        <v>-1.1941078725505955E-2</v>
      </c>
      <c r="CY96" s="249">
        <f t="shared" si="251"/>
        <v>-9.902144365563012E-3</v>
      </c>
      <c r="CZ96" s="246">
        <f t="shared" si="251"/>
        <v>-9.1071436931527416E-3</v>
      </c>
      <c r="DA96" s="249">
        <f t="shared" si="251"/>
        <v>-7.2557008528053579E-3</v>
      </c>
      <c r="DB96" s="249">
        <f t="shared" si="251"/>
        <v>-7.2666135725422965E-3</v>
      </c>
      <c r="DC96" s="249">
        <f t="shared" si="251"/>
        <v>-5.0909268845040628E-3</v>
      </c>
      <c r="DD96" s="249">
        <f t="shared" si="251"/>
        <v>-6.4960194068712368E-3</v>
      </c>
      <c r="DE96" s="246">
        <f t="shared" ref="DE96:DJ96" si="252">DE95-CZ95</f>
        <v>-6.4731159402099253E-3</v>
      </c>
      <c r="DF96" s="249">
        <f t="shared" si="251"/>
        <v>-1.3761630187010959E-3</v>
      </c>
      <c r="DG96" s="249">
        <f t="shared" si="251"/>
        <v>-2.3697287457922905E-3</v>
      </c>
      <c r="DH96" s="249">
        <f t="shared" si="251"/>
        <v>-3.2047759748731752E-3</v>
      </c>
      <c r="DI96" s="249">
        <f t="shared" si="251"/>
        <v>-2.5664358022808448E-3</v>
      </c>
      <c r="DJ96" s="246">
        <f t="shared" si="252"/>
        <v>-2.3993554238406212E-3</v>
      </c>
      <c r="DK96" s="249">
        <f t="shared" ref="DK96:DT96" ca="1" si="253">DK95-DF95</f>
        <v>-1.9302379653534513E-3</v>
      </c>
      <c r="DL96" s="249">
        <f t="shared" ca="1" si="253"/>
        <v>-5.0920271444825221E-3</v>
      </c>
      <c r="DM96" s="249">
        <f t="shared" ca="1" si="253"/>
        <v>-2.517608432940785E-3</v>
      </c>
      <c r="DN96" s="249">
        <f t="shared" ca="1" si="253"/>
        <v>-1.8440526168237575E-3</v>
      </c>
      <c r="DO96" s="246">
        <f t="shared" ca="1" si="253"/>
        <v>-2.8328740717579182E-3</v>
      </c>
      <c r="DP96" s="249">
        <f t="shared" ca="1" si="253"/>
        <v>-3.4396594425000482E-3</v>
      </c>
      <c r="DQ96" s="249">
        <f t="shared" ca="1" si="253"/>
        <v>-3.2800092875951703E-3</v>
      </c>
      <c r="DR96" s="249">
        <f t="shared" ca="1" si="253"/>
        <v>-3.2718370302915467E-3</v>
      </c>
      <c r="DS96" s="249">
        <f t="shared" ca="1" si="253"/>
        <v>-3.0820222482741133E-3</v>
      </c>
      <c r="DT96" s="246">
        <f t="shared" ca="1" si="253"/>
        <v>-3.2643756748217401E-3</v>
      </c>
      <c r="DU96" s="249">
        <f t="shared" ref="DU96" ca="1" si="254">DU95-DP95</f>
        <v>-1.841402677877399E-3</v>
      </c>
      <c r="DV96" s="249">
        <f t="shared" ref="DV96" ca="1" si="255">DV95-DQ95</f>
        <v>-1.687479754360427E-3</v>
      </c>
      <c r="DW96" s="249">
        <f t="shared" ref="DW96" ca="1" si="256">DW95-DR95</f>
        <v>-1.6379261125780975E-3</v>
      </c>
      <c r="DX96" s="249">
        <f t="shared" ref="DX96" ca="1" si="257">DX95-DS95</f>
        <v>-1.4998903415593956E-3</v>
      </c>
      <c r="DY96" s="246">
        <f t="shared" ref="DY96" ca="1" si="258">DY95-DT95</f>
        <v>-1.6623215653982226E-3</v>
      </c>
      <c r="DZ96" s="250"/>
    </row>
    <row r="97" spans="1:130" x14ac:dyDescent="0.2">
      <c r="A97" s="243"/>
      <c r="B97" s="244" t="s">
        <v>219</v>
      </c>
      <c r="C97" s="245"/>
      <c r="D97" s="245"/>
      <c r="E97" s="245"/>
      <c r="F97" s="245"/>
      <c r="G97" s="245"/>
      <c r="H97" s="245"/>
      <c r="I97" s="246"/>
      <c r="J97" s="245"/>
      <c r="K97" s="245"/>
      <c r="L97" s="245"/>
      <c r="M97" s="245"/>
      <c r="N97" s="246">
        <f>N94/I94-1</f>
        <v>0.12929962720471178</v>
      </c>
      <c r="O97" s="245"/>
      <c r="P97" s="245"/>
      <c r="Q97" s="245"/>
      <c r="R97" s="245"/>
      <c r="S97" s="246">
        <f>S94/N94-1</f>
        <v>6.3567234203347978E-2</v>
      </c>
      <c r="T97" s="247"/>
      <c r="U97" s="248"/>
      <c r="V97" s="245"/>
      <c r="W97" s="245"/>
      <c r="X97" s="246">
        <f>X94/S94-1</f>
        <v>0.17443473312646129</v>
      </c>
      <c r="Y97" s="245"/>
      <c r="Z97" s="245"/>
      <c r="AA97" s="245"/>
      <c r="AB97" s="245"/>
      <c r="AC97" s="246">
        <f>AC94/X94-1</f>
        <v>9.3023248477966058E-2</v>
      </c>
      <c r="AD97" s="245"/>
      <c r="AE97" s="245"/>
      <c r="AF97" s="245"/>
      <c r="AG97" s="245"/>
      <c r="AH97" s="246">
        <f>AH94/AC94-1</f>
        <v>0.23472110910469368</v>
      </c>
      <c r="AI97" s="245"/>
      <c r="AJ97" s="245"/>
      <c r="AK97" s="245"/>
      <c r="AL97" s="245"/>
      <c r="AM97" s="246">
        <f>AM94/AH94-1</f>
        <v>-8.4846784937945285E-3</v>
      </c>
      <c r="AN97" s="245"/>
      <c r="AO97" s="245"/>
      <c r="AP97" s="245"/>
      <c r="AQ97" s="245"/>
      <c r="AR97" s="246">
        <f>AR94/AM94-1</f>
        <v>0.12116925978312132</v>
      </c>
      <c r="AS97" s="245"/>
      <c r="AT97" s="245"/>
      <c r="AU97" s="245"/>
      <c r="AV97" s="245"/>
      <c r="AW97" s="246">
        <f>AW94/AR94-1</f>
        <v>0.17386459209419702</v>
      </c>
      <c r="AX97" s="245"/>
      <c r="AY97" s="245"/>
      <c r="AZ97" s="245"/>
      <c r="BA97" s="245"/>
      <c r="BB97" s="246">
        <f>BB94/AW94-1</f>
        <v>0.26923283598129988</v>
      </c>
      <c r="BC97" s="245"/>
      <c r="BD97" s="245"/>
      <c r="BE97" s="245"/>
      <c r="BF97" s="245"/>
      <c r="BG97" s="246">
        <f>BG94/BB94-1</f>
        <v>0.20904600620942726</v>
      </c>
      <c r="BH97" s="245"/>
      <c r="BI97" s="245"/>
      <c r="BJ97" s="245"/>
      <c r="BK97" s="245"/>
      <c r="BL97" s="246">
        <f>BL94/BG94-1</f>
        <v>0.19288457273586745</v>
      </c>
      <c r="BM97" s="245"/>
      <c r="BN97" s="245"/>
      <c r="BO97" s="245"/>
      <c r="BP97" s="245"/>
      <c r="BQ97" s="246">
        <f t="shared" ref="BQ97:DI97" si="259">BQ94/BL94-1</f>
        <v>7.3406524589522348E-2</v>
      </c>
      <c r="BR97" s="247">
        <f t="shared" si="259"/>
        <v>0.14990852264064647</v>
      </c>
      <c r="BS97" s="247">
        <f t="shared" si="259"/>
        <v>0.18761363196781566</v>
      </c>
      <c r="BT97" s="247">
        <f t="shared" si="259"/>
        <v>0.19897084048027436</v>
      </c>
      <c r="BU97" s="247">
        <f t="shared" si="259"/>
        <v>5.8225508317929719E-2</v>
      </c>
      <c r="BV97" s="246">
        <f t="shared" si="259"/>
        <v>0.14430264357338185</v>
      </c>
      <c r="BW97" s="247">
        <f t="shared" si="259"/>
        <v>-1.2894030295999226E-2</v>
      </c>
      <c r="BX97" s="247">
        <f t="shared" si="259"/>
        <v>2.635093319435855E-2</v>
      </c>
      <c r="BY97" s="247">
        <f t="shared" si="259"/>
        <v>7.7889047846129156E-3</v>
      </c>
      <c r="BZ97" s="247">
        <f t="shared" si="259"/>
        <v>1.0540581237765689E-3</v>
      </c>
      <c r="CA97" s="246">
        <f t="shared" si="259"/>
        <v>5.5763562495021457E-3</v>
      </c>
      <c r="CB97" s="247">
        <f t="shared" si="259"/>
        <v>2.9550033579583523E-2</v>
      </c>
      <c r="CC97" s="247">
        <f t="shared" si="259"/>
        <v>1.999365280863219E-2</v>
      </c>
      <c r="CD97" s="247">
        <f t="shared" si="259"/>
        <v>5.3627760252366041E-3</v>
      </c>
      <c r="CE97" s="247">
        <f t="shared" si="259"/>
        <v>-3.6522262334536593E-2</v>
      </c>
      <c r="CF97" s="246">
        <f t="shared" si="259"/>
        <v>3.6916739285430822E-3</v>
      </c>
      <c r="CG97" s="249">
        <f t="shared" si="259"/>
        <v>7.1754729288975971E-2</v>
      </c>
      <c r="CH97" s="249">
        <f t="shared" si="259"/>
        <v>3.0024891101431139E-2</v>
      </c>
      <c r="CI97" s="249">
        <f t="shared" si="259"/>
        <v>6.4000627549419375E-2</v>
      </c>
      <c r="CJ97" s="249">
        <f t="shared" si="259"/>
        <v>0.10482108287016789</v>
      </c>
      <c r="CK97" s="246">
        <f t="shared" si="259"/>
        <v>6.7576719075582714E-2</v>
      </c>
      <c r="CL97" s="249">
        <f t="shared" si="259"/>
        <v>2.8910529519172279E-2</v>
      </c>
      <c r="CM97" s="249">
        <f t="shared" si="259"/>
        <v>3.2653677692191518E-2</v>
      </c>
      <c r="CN97" s="249">
        <f t="shared" si="259"/>
        <v>2.7523098110570299E-2</v>
      </c>
      <c r="CO97" s="249">
        <f t="shared" si="259"/>
        <v>3.5440748381991183E-2</v>
      </c>
      <c r="CP97" s="246">
        <f t="shared" si="259"/>
        <v>3.1187133893301633E-2</v>
      </c>
      <c r="CQ97" s="249">
        <f t="shared" si="259"/>
        <v>1.7539189588879012E-2</v>
      </c>
      <c r="CR97" s="249">
        <f t="shared" si="259"/>
        <v>6.1311648043058442E-2</v>
      </c>
      <c r="CS97" s="249">
        <f t="shared" si="259"/>
        <v>7.472089085325595E-2</v>
      </c>
      <c r="CT97" s="249">
        <f t="shared" si="259"/>
        <v>4.3808172066490236E-2</v>
      </c>
      <c r="CU97" s="246">
        <f t="shared" si="259"/>
        <v>4.9452952479279499E-2</v>
      </c>
      <c r="CV97" s="249">
        <f t="shared" si="259"/>
        <v>2.9386972066389738E-2</v>
      </c>
      <c r="CW97" s="249">
        <f t="shared" si="259"/>
        <v>6.7802215974863689E-3</v>
      </c>
      <c r="CX97" s="249">
        <f t="shared" si="259"/>
        <v>-1.979076910550881E-2</v>
      </c>
      <c r="CY97" s="249">
        <f t="shared" si="259"/>
        <v>3.8439412164636977E-3</v>
      </c>
      <c r="CZ97" s="246">
        <f t="shared" si="259"/>
        <v>4.5288591493035657E-3</v>
      </c>
      <c r="DA97" s="249">
        <f t="shared" si="259"/>
        <v>0.10092053989947458</v>
      </c>
      <c r="DB97" s="249">
        <f t="shared" si="259"/>
        <v>8.9410862899693688E-2</v>
      </c>
      <c r="DC97" s="249">
        <f t="shared" si="259"/>
        <v>9.2645620953663244E-2</v>
      </c>
      <c r="DD97" s="249">
        <f t="shared" si="259"/>
        <v>3.9490479043476023E-2</v>
      </c>
      <c r="DE97" s="246">
        <f t="shared" ref="DE97:DJ97" si="260">DE94/CZ94-1</f>
        <v>7.9957035389519149E-2</v>
      </c>
      <c r="DF97" s="249">
        <f t="shared" si="259"/>
        <v>1.4337744947163333E-2</v>
      </c>
      <c r="DG97" s="249">
        <f t="shared" si="259"/>
        <v>1.7615720962959047E-2</v>
      </c>
      <c r="DH97" s="249">
        <f t="shared" si="259"/>
        <v>-1.7929619839137656E-3</v>
      </c>
      <c r="DI97" s="249">
        <f t="shared" si="259"/>
        <v>2.1391785856150536E-2</v>
      </c>
      <c r="DJ97" s="246">
        <f t="shared" si="260"/>
        <v>1.2857812883835251E-2</v>
      </c>
      <c r="DK97" s="249">
        <f t="shared" ref="DK97:DT97" ca="1" si="261">DK94/DF94-1</f>
        <v>7.7027676490195596E-3</v>
      </c>
      <c r="DL97" s="249">
        <f t="shared" ca="1" si="261"/>
        <v>-6.5629442473514876E-3</v>
      </c>
      <c r="DM97" s="249">
        <f t="shared" ca="1" si="261"/>
        <v>4.7417143462991085E-3</v>
      </c>
      <c r="DN97" s="249">
        <f t="shared" ca="1" si="261"/>
        <v>-7.8293613180761001E-3</v>
      </c>
      <c r="DO97" s="246">
        <f t="shared" ca="1" si="261"/>
        <v>-5.622477315267993E-4</v>
      </c>
      <c r="DP97" s="249">
        <f t="shared" ca="1" si="261"/>
        <v>1.7143646334902174E-2</v>
      </c>
      <c r="DQ97" s="249">
        <f t="shared" ca="1" si="261"/>
        <v>1.7366021627282846E-2</v>
      </c>
      <c r="DR97" s="249">
        <f t="shared" ca="1" si="261"/>
        <v>1.7240741959202222E-2</v>
      </c>
      <c r="DS97" s="249">
        <f t="shared" ca="1" si="261"/>
        <v>1.701784447808552E-2</v>
      </c>
      <c r="DT97" s="246">
        <f t="shared" ca="1" si="261"/>
        <v>1.7191947810829777E-2</v>
      </c>
      <c r="DU97" s="249">
        <f t="shared" ref="DU97" ca="1" si="262">DU94/DP94-1</f>
        <v>1.3803740783440821E-2</v>
      </c>
      <c r="DV97" s="249">
        <f t="shared" ref="DV97" ca="1" si="263">DV94/DQ94-1</f>
        <v>1.3749190978237458E-2</v>
      </c>
      <c r="DW97" s="249">
        <f t="shared" ref="DW97" ca="1" si="264">DW94/DR94-1</f>
        <v>1.3659404209689585E-2</v>
      </c>
      <c r="DX97" s="249">
        <f t="shared" ref="DX97" ca="1" si="265">DX94/DS94-1</f>
        <v>1.3358321373860171E-2</v>
      </c>
      <c r="DY97" s="246">
        <f t="shared" ref="DY97" ca="1" si="266">DY94/DT94-1</f>
        <v>1.3641928513780099E-2</v>
      </c>
      <c r="DZ97" s="250"/>
    </row>
    <row r="98" spans="1:130" ht="7.5" customHeight="1" x14ac:dyDescent="0.2">
      <c r="A98" s="16"/>
      <c r="B98" s="251"/>
      <c r="C98" s="252"/>
      <c r="D98" s="102"/>
      <c r="E98" s="164"/>
      <c r="F98" s="164"/>
      <c r="G98" s="164"/>
      <c r="H98" s="102"/>
      <c r="I98" s="165"/>
      <c r="J98" s="59"/>
      <c r="K98" s="59"/>
      <c r="L98" s="59"/>
      <c r="M98" s="59"/>
      <c r="N98" s="165"/>
      <c r="O98" s="59"/>
      <c r="P98" s="59"/>
      <c r="Q98" s="59"/>
      <c r="R98" s="59"/>
      <c r="S98" s="165"/>
      <c r="T98" s="59"/>
      <c r="U98" s="78"/>
      <c r="V98" s="59"/>
      <c r="W98" s="59"/>
      <c r="X98" s="165"/>
      <c r="Y98" s="59"/>
      <c r="Z98" s="59"/>
      <c r="AA98" s="59"/>
      <c r="AB98" s="59"/>
      <c r="AC98" s="165"/>
      <c r="AD98" s="59"/>
      <c r="AE98" s="59"/>
      <c r="AF98" s="60"/>
      <c r="AG98" s="59"/>
      <c r="AH98" s="165"/>
      <c r="AI98" s="60"/>
      <c r="AJ98" s="60"/>
      <c r="AK98" s="60"/>
      <c r="AL98" s="59"/>
      <c r="AM98" s="165"/>
      <c r="AN98" s="60"/>
      <c r="AO98" s="60"/>
      <c r="AP98" s="60"/>
      <c r="AQ98" s="59"/>
      <c r="AR98" s="165"/>
      <c r="AS98" s="234"/>
      <c r="AT98" s="59"/>
      <c r="AU98" s="59"/>
      <c r="AV98" s="59"/>
      <c r="AW98" s="165"/>
      <c r="AX98" s="235"/>
      <c r="AY98" s="235"/>
      <c r="AZ98" s="235"/>
      <c r="BA98" s="59"/>
      <c r="BB98" s="165"/>
      <c r="BC98" s="59"/>
      <c r="BD98" s="59"/>
      <c r="BE98" s="59"/>
      <c r="BF98" s="59"/>
      <c r="BG98" s="165"/>
      <c r="BH98" s="59"/>
      <c r="BI98" s="59"/>
      <c r="BJ98" s="59"/>
      <c r="BK98" s="59"/>
      <c r="BL98" s="165"/>
      <c r="BM98" s="59"/>
      <c r="BN98" s="59"/>
      <c r="BO98" s="59"/>
      <c r="BP98" s="59"/>
      <c r="BQ98" s="165"/>
      <c r="BR98" s="59"/>
      <c r="BS98" s="59"/>
      <c r="BT98" s="59"/>
      <c r="BU98" s="59"/>
      <c r="BV98" s="165"/>
      <c r="BW98" s="59"/>
      <c r="BX98" s="59"/>
      <c r="BY98" s="59"/>
      <c r="BZ98" s="59"/>
      <c r="CA98" s="165"/>
      <c r="CB98" s="59"/>
      <c r="CC98" s="59"/>
      <c r="CD98" s="59"/>
      <c r="CE98" s="59"/>
      <c r="CF98" s="165"/>
      <c r="CG98" s="236"/>
      <c r="CH98" s="236"/>
      <c r="CI98" s="236"/>
      <c r="CJ98" s="236"/>
      <c r="CK98" s="165"/>
      <c r="CL98" s="236"/>
      <c r="CM98" s="236"/>
      <c r="CN98" s="236"/>
      <c r="CO98" s="236"/>
      <c r="CP98" s="165"/>
      <c r="CQ98" s="236"/>
      <c r="CR98" s="236"/>
      <c r="CS98" s="236"/>
      <c r="CT98" s="236"/>
      <c r="CU98" s="165"/>
      <c r="CV98" s="236"/>
      <c r="CW98" s="236"/>
      <c r="CX98" s="236"/>
      <c r="CY98" s="236"/>
      <c r="CZ98" s="165"/>
      <c r="DA98" s="236"/>
      <c r="DB98" s="236"/>
      <c r="DC98" s="236"/>
      <c r="DD98" s="236"/>
      <c r="DE98" s="165"/>
      <c r="DF98" s="236"/>
      <c r="DG98" s="236"/>
      <c r="DH98" s="236"/>
      <c r="DI98" s="236"/>
      <c r="DJ98" s="165"/>
      <c r="DK98" s="236"/>
      <c r="DL98" s="236"/>
      <c r="DM98" s="236"/>
      <c r="DN98" s="236"/>
      <c r="DO98" s="165"/>
      <c r="DP98" s="236"/>
      <c r="DQ98" s="236"/>
      <c r="DR98" s="236"/>
      <c r="DS98" s="236"/>
      <c r="DT98" s="165"/>
      <c r="DU98" s="236"/>
      <c r="DV98" s="236"/>
      <c r="DW98" s="236"/>
      <c r="DX98" s="236"/>
      <c r="DY98" s="165"/>
      <c r="DZ98" s="16"/>
    </row>
    <row r="99" spans="1:130" x14ac:dyDescent="0.2">
      <c r="A99" s="16"/>
      <c r="B99" s="104" t="s">
        <v>220</v>
      </c>
      <c r="C99" s="252"/>
      <c r="D99" s="102"/>
      <c r="E99" s="164"/>
      <c r="F99" s="164"/>
      <c r="G99" s="164"/>
      <c r="H99" s="102"/>
      <c r="I99" s="165"/>
      <c r="J99" s="59"/>
      <c r="K99" s="59"/>
      <c r="L99" s="59"/>
      <c r="M99" s="59"/>
      <c r="N99" s="165"/>
      <c r="O99" s="59"/>
      <c r="P99" s="59"/>
      <c r="Q99" s="59"/>
      <c r="R99" s="59"/>
      <c r="S99" s="165"/>
      <c r="T99" s="59"/>
      <c r="U99" s="78"/>
      <c r="V99" s="59"/>
      <c r="W99" s="59"/>
      <c r="X99" s="165"/>
      <c r="Y99" s="59"/>
      <c r="Z99" s="59"/>
      <c r="AA99" s="59"/>
      <c r="AB99" s="59"/>
      <c r="AC99" s="165"/>
      <c r="AD99" s="59"/>
      <c r="AE99" s="59"/>
      <c r="AF99" s="60"/>
      <c r="AG99" s="59"/>
      <c r="AH99" s="165"/>
      <c r="AI99" s="60"/>
      <c r="AJ99" s="60"/>
      <c r="AK99" s="60"/>
      <c r="AL99" s="59"/>
      <c r="AM99" s="165"/>
      <c r="AN99" s="60"/>
      <c r="AO99" s="60"/>
      <c r="AP99" s="60"/>
      <c r="AQ99" s="59"/>
      <c r="AR99" s="165"/>
      <c r="AS99" s="234"/>
      <c r="AT99" s="59"/>
      <c r="AU99" s="59"/>
      <c r="AV99" s="59"/>
      <c r="AW99" s="165"/>
      <c r="AX99" s="235"/>
      <c r="AY99" s="235"/>
      <c r="AZ99" s="235"/>
      <c r="BA99" s="59"/>
      <c r="BB99" s="165"/>
      <c r="BC99" s="59"/>
      <c r="BD99" s="59"/>
      <c r="BE99" s="59"/>
      <c r="BF99" s="59"/>
      <c r="BG99" s="165"/>
      <c r="BH99" s="59"/>
      <c r="BI99" s="59"/>
      <c r="BJ99" s="59"/>
      <c r="BK99" s="59"/>
      <c r="BL99" s="165"/>
      <c r="BM99" s="59"/>
      <c r="BN99" s="59"/>
      <c r="BO99" s="59"/>
      <c r="BP99" s="59"/>
      <c r="BQ99" s="165"/>
      <c r="BR99" s="59"/>
      <c r="BS99" s="59"/>
      <c r="BT99" s="59"/>
      <c r="BU99" s="59"/>
      <c r="BV99" s="165"/>
      <c r="BW99" s="59"/>
      <c r="BX99" s="59"/>
      <c r="BY99" s="59"/>
      <c r="BZ99" s="59"/>
      <c r="CA99" s="165"/>
      <c r="CB99" s="59"/>
      <c r="CC99" s="59"/>
      <c r="CD99" s="59"/>
      <c r="CE99" s="59"/>
      <c r="CF99" s="165"/>
      <c r="CG99" s="236"/>
      <c r="CH99" s="236"/>
      <c r="CI99" s="236"/>
      <c r="CJ99" s="236"/>
      <c r="CK99" s="165"/>
      <c r="CL99" s="236"/>
      <c r="CM99" s="236"/>
      <c r="CN99" s="236"/>
      <c r="CO99" s="236"/>
      <c r="CP99" s="165"/>
      <c r="CQ99" s="236"/>
      <c r="CR99" s="236"/>
      <c r="CS99" s="236"/>
      <c r="CT99" s="236"/>
      <c r="CU99" s="165"/>
      <c r="CV99" s="236"/>
      <c r="CW99" s="236"/>
      <c r="CX99" s="236"/>
      <c r="CY99" s="236"/>
      <c r="CZ99" s="165"/>
      <c r="DA99" s="236"/>
      <c r="DB99" s="236"/>
      <c r="DC99" s="236"/>
      <c r="DD99" s="236"/>
      <c r="DE99" s="165"/>
      <c r="DF99" s="236"/>
      <c r="DG99" s="236"/>
      <c r="DH99" s="236"/>
      <c r="DI99" s="236"/>
      <c r="DJ99" s="165"/>
      <c r="DK99" s="236"/>
      <c r="DL99" s="236"/>
      <c r="DM99" s="236"/>
      <c r="DN99" s="236"/>
      <c r="DO99" s="165"/>
      <c r="DP99" s="236"/>
      <c r="DQ99" s="236"/>
      <c r="DR99" s="236"/>
      <c r="DS99" s="236"/>
      <c r="DT99" s="165"/>
      <c r="DU99" s="236"/>
      <c r="DV99" s="236"/>
      <c r="DW99" s="236"/>
      <c r="DX99" s="236"/>
      <c r="DY99" s="165"/>
      <c r="DZ99" s="16"/>
    </row>
    <row r="100" spans="1:130" x14ac:dyDescent="0.2">
      <c r="A100" s="240"/>
      <c r="B100" s="254" t="s">
        <v>221</v>
      </c>
      <c r="C100" s="238"/>
      <c r="D100" s="238"/>
      <c r="E100" s="238"/>
      <c r="F100" s="238"/>
      <c r="G100" s="238"/>
      <c r="H100" s="238"/>
      <c r="I100" s="239"/>
      <c r="J100" s="238"/>
      <c r="K100" s="238"/>
      <c r="L100" s="238"/>
      <c r="M100" s="238"/>
      <c r="N100" s="239"/>
      <c r="O100" s="238"/>
      <c r="P100" s="238"/>
      <c r="Q100" s="238"/>
      <c r="R100" s="238"/>
      <c r="S100" s="239"/>
      <c r="T100" s="238"/>
      <c r="U100" s="238"/>
      <c r="V100" s="238"/>
      <c r="W100" s="238"/>
      <c r="X100" s="239"/>
      <c r="Y100" s="238"/>
      <c r="Z100" s="238"/>
      <c r="AA100" s="238"/>
      <c r="AB100" s="238"/>
      <c r="AC100" s="239"/>
      <c r="AD100" s="238"/>
      <c r="AE100" s="238"/>
      <c r="AF100" s="255"/>
      <c r="AG100" s="238"/>
      <c r="AH100" s="239"/>
      <c r="AI100" s="255"/>
      <c r="AJ100" s="255"/>
      <c r="AK100" s="255"/>
      <c r="AL100" s="238"/>
      <c r="AM100" s="239"/>
      <c r="AN100" s="255"/>
      <c r="AO100" s="255"/>
      <c r="AP100" s="255"/>
      <c r="AQ100" s="238"/>
      <c r="AR100" s="239"/>
      <c r="AS100" s="238"/>
      <c r="AT100" s="238"/>
      <c r="AU100" s="238"/>
      <c r="AV100" s="238"/>
      <c r="AW100" s="239"/>
      <c r="AX100" s="238">
        <f>Retail!AX26</f>
        <v>1102.3999999999999</v>
      </c>
      <c r="AY100" s="238">
        <f>Retail!AY26</f>
        <v>1157.9000000000001</v>
      </c>
      <c r="AZ100" s="238">
        <f>Retail!AZ26</f>
        <v>1141.0999999999999</v>
      </c>
      <c r="BA100" s="238">
        <f>Retail!BA26</f>
        <v>1202</v>
      </c>
      <c r="BB100" s="239">
        <f>Retail!BB26</f>
        <v>7003.5</v>
      </c>
      <c r="BC100" s="238">
        <f>Retail!BC26</f>
        <v>1841.9</v>
      </c>
      <c r="BD100" s="238">
        <f>Retail!BD26</f>
        <v>1981.7999999999997</v>
      </c>
      <c r="BE100" s="238">
        <f>Retail!BE26</f>
        <v>2272.1999999999998</v>
      </c>
      <c r="BF100" s="238">
        <f>Retail!BF26</f>
        <v>2330.6999999999998</v>
      </c>
      <c r="BG100" s="239">
        <f>Retail!BG26</f>
        <v>8468</v>
      </c>
      <c r="BH100" s="238">
        <f>Retail!BH26</f>
        <v>2350.2999999999997</v>
      </c>
      <c r="BI100" s="238">
        <f>Retail!BI26</f>
        <v>2351.8999999999996</v>
      </c>
      <c r="BJ100" s="238">
        <f>Retail!BJ26</f>
        <v>2430.1999999999998</v>
      </c>
      <c r="BK100" s="238">
        <f>Retail!BK26</f>
        <v>2542.2000000000003</v>
      </c>
      <c r="BL100" s="239">
        <f>Retail!BL26</f>
        <v>9614</v>
      </c>
      <c r="BM100" s="238">
        <f>Retail!BM26</f>
        <v>2394.8999999999996</v>
      </c>
      <c r="BN100" s="238">
        <f>Retail!BN26</f>
        <v>2362.9</v>
      </c>
      <c r="BO100" s="238">
        <f>Retail!BO26</f>
        <v>2419.6999999999994</v>
      </c>
      <c r="BP100" s="238">
        <f>Retail!BP26</f>
        <v>2891.2999999999997</v>
      </c>
      <c r="BQ100" s="239">
        <f>Retail!BQ26</f>
        <v>10068.799999999999</v>
      </c>
      <c r="BR100" s="238">
        <f>Retail!BR26</f>
        <v>2724.2</v>
      </c>
      <c r="BS100" s="238">
        <f>Retail!BS26</f>
        <v>2785.3</v>
      </c>
      <c r="BT100" s="238">
        <f>Retail!BT26</f>
        <v>2875.4</v>
      </c>
      <c r="BU100" s="238">
        <f>Retail!BU26</f>
        <v>3038.5</v>
      </c>
      <c r="BV100" s="239">
        <f>Retail!BV26</f>
        <v>11423.4</v>
      </c>
      <c r="BW100" s="238">
        <f>Retail!BW26</f>
        <v>2697</v>
      </c>
      <c r="BX100" s="238">
        <f>Retail!BX26</f>
        <v>2861</v>
      </c>
      <c r="BY100" s="238">
        <f>Retail!BY26</f>
        <v>2870</v>
      </c>
      <c r="BZ100" s="238">
        <f>Retail!BZ26</f>
        <v>2995</v>
      </c>
      <c r="CA100" s="239">
        <f>Retail!CA26</f>
        <v>11423</v>
      </c>
      <c r="CB100" s="238">
        <f>Retail!CB26</f>
        <v>2776</v>
      </c>
      <c r="CC100" s="238">
        <f>Retail!CC26</f>
        <v>2884</v>
      </c>
      <c r="CD100" s="238">
        <f>Retail!CD26</f>
        <v>2888</v>
      </c>
      <c r="CE100" s="238">
        <f>Retail!CE26</f>
        <v>2857.3</v>
      </c>
      <c r="CF100" s="239">
        <f>Retail!CF26</f>
        <v>11405.3</v>
      </c>
      <c r="CG100" s="238">
        <f>Retail!CG26</f>
        <v>2994</v>
      </c>
      <c r="CH100" s="238">
        <f>Retail!CH26</f>
        <v>3019</v>
      </c>
      <c r="CI100" s="238">
        <f>Retail!CI26</f>
        <v>3075</v>
      </c>
      <c r="CJ100" s="238">
        <f>Retail!CJ26</f>
        <v>3215.9</v>
      </c>
      <c r="CK100" s="239">
        <f>Retail!CK26</f>
        <v>12303.9</v>
      </c>
      <c r="CL100" s="238">
        <f>Retail!CL26</f>
        <v>3072.6</v>
      </c>
      <c r="CM100" s="238">
        <f>Retail!CM26</f>
        <v>3116.4</v>
      </c>
      <c r="CN100" s="238">
        <f>Retail!CN26</f>
        <v>3118</v>
      </c>
      <c r="CO100" s="238">
        <f>Retail!CO26</f>
        <v>3321.1</v>
      </c>
      <c r="CP100" s="239">
        <f>Retail!CP26</f>
        <v>12628.1</v>
      </c>
      <c r="CQ100" s="238">
        <f>Retail!CQ26</f>
        <v>3135.2</v>
      </c>
      <c r="CR100" s="238">
        <f>Retail!CR26</f>
        <v>3287</v>
      </c>
      <c r="CS100" s="238">
        <f>Retail!CS26</f>
        <v>3412.8</v>
      </c>
      <c r="CT100" s="238">
        <f>Retail!CT26</f>
        <v>3475.3</v>
      </c>
      <c r="CU100" s="239">
        <f>Retail!CU26</f>
        <v>13310.3</v>
      </c>
      <c r="CV100" s="238">
        <f>Retail!CV26</f>
        <v>3263.1</v>
      </c>
      <c r="CW100" s="238">
        <f>Retail!CW26</f>
        <v>3337.6</v>
      </c>
      <c r="CX100" s="238">
        <f>Retail!CX26</f>
        <v>3387.9180138551278</v>
      </c>
      <c r="CY100" s="238">
        <f>Retail!CY26</f>
        <v>3497.4880986899993</v>
      </c>
      <c r="CZ100" s="239">
        <f>Retail!CZ26</f>
        <v>13486.106112545127</v>
      </c>
      <c r="DA100" s="238">
        <f>Retail!DA26</f>
        <v>3652.1</v>
      </c>
      <c r="DB100" s="238">
        <f>Retail!DB26</f>
        <v>3653.9</v>
      </c>
      <c r="DC100" s="238">
        <f>Retail!DC26</f>
        <v>3678.3999999999996</v>
      </c>
      <c r="DD100" s="238">
        <f>Retail!DD26</f>
        <v>3649</v>
      </c>
      <c r="DE100" s="239">
        <f>Retail!DE26</f>
        <v>14633.4</v>
      </c>
      <c r="DF100" s="238">
        <f>Retail!DF26</f>
        <v>3640.6000000000004</v>
      </c>
      <c r="DG100" s="238">
        <f>Retail!DG26</f>
        <v>3702.2</v>
      </c>
      <c r="DH100" s="238">
        <f>Retail!DH26</f>
        <v>3711.5117854399991</v>
      </c>
      <c r="DI100" s="238">
        <f>Retail!DI26</f>
        <v>3716.6304479100004</v>
      </c>
      <c r="DJ100" s="239">
        <f>Retail!DJ26</f>
        <v>14770.942233349999</v>
      </c>
      <c r="DK100" s="238">
        <f>Retail!DK26</f>
        <v>3604.1940000000004</v>
      </c>
      <c r="DL100" s="238">
        <f>Retail!DL26</f>
        <v>3665.1779999999999</v>
      </c>
      <c r="DM100" s="238">
        <f>Retail!DM26</f>
        <v>3674.3966675855991</v>
      </c>
      <c r="DN100" s="238">
        <f>Retail!DN26</f>
        <v>3679.4641434309005</v>
      </c>
      <c r="DO100" s="239">
        <f>Retail!DO26</f>
        <v>14623.2328110165</v>
      </c>
      <c r="DP100" s="238">
        <f>Retail!DP26</f>
        <v>3672.6736860000001</v>
      </c>
      <c r="DQ100" s="238">
        <f>Retail!DQ26</f>
        <v>3734.8163819999995</v>
      </c>
      <c r="DR100" s="238">
        <f>Retail!DR26</f>
        <v>3744.2102042697252</v>
      </c>
      <c r="DS100" s="238">
        <f>Retail!DS26</f>
        <v>3749.3739621560871</v>
      </c>
      <c r="DT100" s="239">
        <f>Retail!DT26</f>
        <v>14901.074234425812</v>
      </c>
      <c r="DU100" s="238">
        <f>Retail!DU26</f>
        <v>3742.4544860339997</v>
      </c>
      <c r="DV100" s="238">
        <f>Retail!DV26</f>
        <v>3805.777893257999</v>
      </c>
      <c r="DW100" s="238">
        <f>Retail!DW26</f>
        <v>3815.3501981508498</v>
      </c>
      <c r="DX100" s="238">
        <f>Retail!DX26</f>
        <v>3820.6120674370522</v>
      </c>
      <c r="DY100" s="239">
        <f>Retail!DY26</f>
        <v>15184.194644879901</v>
      </c>
      <c r="DZ100" s="240"/>
    </row>
    <row r="101" spans="1:130" x14ac:dyDescent="0.2">
      <c r="A101" s="243"/>
      <c r="B101" s="244" t="s">
        <v>222</v>
      </c>
      <c r="C101" s="245"/>
      <c r="D101" s="245"/>
      <c r="E101" s="245"/>
      <c r="F101" s="245"/>
      <c r="G101" s="245"/>
      <c r="H101" s="245"/>
      <c r="I101" s="246"/>
      <c r="J101" s="245"/>
      <c r="K101" s="245"/>
      <c r="L101" s="245"/>
      <c r="M101" s="245"/>
      <c r="N101" s="246"/>
      <c r="O101" s="245"/>
      <c r="P101" s="245"/>
      <c r="Q101" s="245"/>
      <c r="R101" s="245"/>
      <c r="S101" s="246"/>
      <c r="T101" s="245"/>
      <c r="U101" s="245"/>
      <c r="V101" s="245"/>
      <c r="W101" s="245"/>
      <c r="X101" s="246"/>
      <c r="Y101" s="245"/>
      <c r="Z101" s="245"/>
      <c r="AA101" s="245"/>
      <c r="AB101" s="245"/>
      <c r="AC101" s="246"/>
      <c r="AD101" s="245"/>
      <c r="AE101" s="245"/>
      <c r="AF101" s="245"/>
      <c r="AG101" s="245"/>
      <c r="AH101" s="246"/>
      <c r="AI101" s="245"/>
      <c r="AJ101" s="245"/>
      <c r="AK101" s="245"/>
      <c r="AL101" s="245"/>
      <c r="AM101" s="246"/>
      <c r="AN101" s="245"/>
      <c r="AO101" s="245"/>
      <c r="AP101" s="245"/>
      <c r="AQ101" s="245"/>
      <c r="AR101" s="246"/>
      <c r="AS101" s="245"/>
      <c r="AT101" s="245"/>
      <c r="AU101" s="245"/>
      <c r="AV101" s="245"/>
      <c r="AW101" s="246"/>
      <c r="AX101" s="247">
        <f t="shared" ref="AX101:CC101" si="267">AX100/AX115</f>
        <v>1</v>
      </c>
      <c r="AY101" s="247">
        <f t="shared" si="267"/>
        <v>1</v>
      </c>
      <c r="AZ101" s="247">
        <f t="shared" si="267"/>
        <v>1</v>
      </c>
      <c r="BA101" s="247">
        <f t="shared" si="267"/>
        <v>1</v>
      </c>
      <c r="BB101" s="246">
        <f t="shared" si="267"/>
        <v>0.98835732430143941</v>
      </c>
      <c r="BC101" s="247">
        <f t="shared" si="267"/>
        <v>0.98573760402451094</v>
      </c>
      <c r="BD101" s="247">
        <f t="shared" si="267"/>
        <v>0.98781308411214952</v>
      </c>
      <c r="BE101" s="247">
        <f t="shared" si="267"/>
        <v>0.99004378989564501</v>
      </c>
      <c r="BF101" s="247">
        <f t="shared" si="267"/>
        <v>0.98924046603425231</v>
      </c>
      <c r="BG101" s="246">
        <f t="shared" si="267"/>
        <v>0.98840941720261932</v>
      </c>
      <c r="BH101" s="247">
        <f t="shared" si="267"/>
        <v>0.97770289945505229</v>
      </c>
      <c r="BI101" s="247">
        <f t="shared" si="267"/>
        <v>0.92568977053567902</v>
      </c>
      <c r="BJ101" s="247">
        <f t="shared" si="267"/>
        <v>0.92670835875533863</v>
      </c>
      <c r="BK101" s="247">
        <f t="shared" si="267"/>
        <v>0.94197421076033794</v>
      </c>
      <c r="BL101" s="246">
        <f t="shared" si="267"/>
        <v>0.94072291042877554</v>
      </c>
      <c r="BM101" s="247">
        <f t="shared" si="267"/>
        <v>0.95243587194273216</v>
      </c>
      <c r="BN101" s="247">
        <f t="shared" si="267"/>
        <v>0.95788065509972431</v>
      </c>
      <c r="BO101" s="247">
        <f t="shared" si="267"/>
        <v>0.96077029978161599</v>
      </c>
      <c r="BP101" s="247">
        <f t="shared" si="267"/>
        <v>0.96072437281940515</v>
      </c>
      <c r="BQ101" s="246">
        <f t="shared" si="267"/>
        <v>0.91804952769977033</v>
      </c>
      <c r="BR101" s="247">
        <f t="shared" si="267"/>
        <v>0.90297988000928109</v>
      </c>
      <c r="BS101" s="247">
        <f t="shared" si="267"/>
        <v>0.90723429204260442</v>
      </c>
      <c r="BT101" s="247">
        <f t="shared" si="267"/>
        <v>0.9141312986806549</v>
      </c>
      <c r="BU101" s="247">
        <f t="shared" si="267"/>
        <v>0.91507303117000449</v>
      </c>
      <c r="BV101" s="246">
        <f t="shared" si="267"/>
        <v>0.90995555130717398</v>
      </c>
      <c r="BW101" s="247">
        <f t="shared" si="267"/>
        <v>0.9056413700470114</v>
      </c>
      <c r="BX101" s="247">
        <f t="shared" si="267"/>
        <v>0.90796572516661378</v>
      </c>
      <c r="BY101" s="247">
        <f t="shared" si="267"/>
        <v>0.90536277602523663</v>
      </c>
      <c r="BZ101" s="247">
        <f t="shared" si="267"/>
        <v>0.90102286401925391</v>
      </c>
      <c r="CA101" s="246">
        <f t="shared" si="267"/>
        <v>0.90493543531648579</v>
      </c>
      <c r="CB101" s="247">
        <f t="shared" si="267"/>
        <v>0.90541422048271358</v>
      </c>
      <c r="CC101" s="247">
        <f t="shared" si="267"/>
        <v>0.89732420659614187</v>
      </c>
      <c r="CD101" s="247">
        <f t="shared" ref="CD101:DA101" si="268">CD100/CD115</f>
        <v>0.9061813617822404</v>
      </c>
      <c r="CE101" s="247">
        <f t="shared" si="268"/>
        <v>0.89719596822306669</v>
      </c>
      <c r="CF101" s="246">
        <f t="shared" si="268"/>
        <v>0.90148359508998777</v>
      </c>
      <c r="CG101" s="247">
        <f t="shared" si="268"/>
        <v>0.90535228303598425</v>
      </c>
      <c r="CH101" s="249">
        <f t="shared" si="268"/>
        <v>0.90622561085429543</v>
      </c>
      <c r="CI101" s="249">
        <f t="shared" si="268"/>
        <v>0.90149516270888308</v>
      </c>
      <c r="CJ101" s="249">
        <f t="shared" si="268"/>
        <v>0.90336807213685777</v>
      </c>
      <c r="CK101" s="246">
        <f t="shared" si="268"/>
        <v>0.90408029803149315</v>
      </c>
      <c r="CL101" s="249">
        <f t="shared" ca="1" si="268"/>
        <v>0.90481957419708225</v>
      </c>
      <c r="CM101" s="249">
        <f t="shared" si="268"/>
        <v>0.90564063816802765</v>
      </c>
      <c r="CN101" s="249">
        <f t="shared" si="268"/>
        <v>0.9042398932776522</v>
      </c>
      <c r="CO101" s="249">
        <f>CO100/CO115</f>
        <v>0.90046635215010029</v>
      </c>
      <c r="CP101" s="246">
        <f t="shared" ca="1" si="268"/>
        <v>0.90372970783910433</v>
      </c>
      <c r="CQ101" s="249">
        <f>CQ100/CQ115</f>
        <v>0.90510696036259708</v>
      </c>
      <c r="CR101" s="249">
        <f t="shared" si="268"/>
        <v>0.88081056824334858</v>
      </c>
      <c r="CS101" s="249">
        <f t="shared" si="268"/>
        <v>0.88877647813257765</v>
      </c>
      <c r="CT101" s="249">
        <f t="shared" si="268"/>
        <v>0.88896192191245926</v>
      </c>
      <c r="CU101" s="246">
        <f t="shared" si="268"/>
        <v>0.8867055407876363</v>
      </c>
      <c r="CV101" s="249">
        <f t="shared" si="268"/>
        <v>0.91480235492010098</v>
      </c>
      <c r="CW101" s="249">
        <f t="shared" si="268"/>
        <v>0.90781993744050049</v>
      </c>
      <c r="CX101" s="249">
        <f>CX100/CX115</f>
        <v>0.91360090633464486</v>
      </c>
      <c r="CY101" s="249">
        <f>CY100/CY115</f>
        <v>0.90468112031683012</v>
      </c>
      <c r="CZ101" s="246">
        <f t="shared" si="268"/>
        <v>0.91012859882848485</v>
      </c>
      <c r="DA101" s="249">
        <f t="shared" si="268"/>
        <v>0.91611023022784976</v>
      </c>
      <c r="DB101" s="249">
        <f>DB100/DB115</f>
        <v>0.91135609707430221</v>
      </c>
      <c r="DC101" s="249">
        <f>DC100/DC115</f>
        <v>0.91047251305660748</v>
      </c>
      <c r="DD101" s="249">
        <f>DD100/DD115</f>
        <v>0.90775660480620923</v>
      </c>
      <c r="DE101" s="246">
        <f t="shared" ref="DE101:DJ101" si="269">DE100/DE115</f>
        <v>0.91141299158699041</v>
      </c>
      <c r="DF101" s="249">
        <f t="shared" si="269"/>
        <v>0.91408054634930203</v>
      </c>
      <c r="DG101" s="249">
        <f>DG100/DG115</f>
        <v>0.90796286886530342</v>
      </c>
      <c r="DH101" s="249">
        <f>DH100/DH115</f>
        <v>0.92016134737743016</v>
      </c>
      <c r="DI101" s="249">
        <f>DI100/DI115</f>
        <v>0.94474988701291218</v>
      </c>
      <c r="DJ101" s="246">
        <f t="shared" si="269"/>
        <v>0.92158220597243456</v>
      </c>
      <c r="DK101" s="249">
        <f t="shared" ref="DK101:DT101" ca="1" si="270">DK100/DK115</f>
        <v>0.90440335366671476</v>
      </c>
      <c r="DL101" s="249">
        <f t="shared" ca="1" si="270"/>
        <v>0.91107328539485555</v>
      </c>
      <c r="DM101" s="249">
        <f t="shared" ca="1" si="270"/>
        <v>0.91348543676901806</v>
      </c>
      <c r="DN101" s="249">
        <f t="shared" ca="1" si="270"/>
        <v>0.90986828708047118</v>
      </c>
      <c r="DO101" s="246">
        <f t="shared" ca="1" si="270"/>
        <v>0.90972013655569905</v>
      </c>
      <c r="DP101" s="249">
        <f t="shared" ca="1" si="270"/>
        <v>0.90605394892565905</v>
      </c>
      <c r="DQ101" s="249">
        <f t="shared" ca="1" si="270"/>
        <v>0.91253654838246179</v>
      </c>
      <c r="DR101" s="249">
        <f t="shared" ca="1" si="270"/>
        <v>0.91506525611118539</v>
      </c>
      <c r="DS101" s="249">
        <f t="shared" ca="1" si="270"/>
        <v>0.91164160940637085</v>
      </c>
      <c r="DT101" s="246">
        <f t="shared" ca="1" si="270"/>
        <v>0.91133715828691853</v>
      </c>
      <c r="DU101" s="249">
        <f t="shared" ref="DU101:DY101" ca="1" si="271">DU100/DU115</f>
        <v>0.91069793571857272</v>
      </c>
      <c r="DV101" s="249">
        <f t="shared" ca="1" si="271"/>
        <v>0.91726311702841146</v>
      </c>
      <c r="DW101" s="249">
        <f t="shared" ca="1" si="271"/>
        <v>0.91988639586912668</v>
      </c>
      <c r="DX101" s="249">
        <f t="shared" ca="1" si="271"/>
        <v>0.91671699969429454</v>
      </c>
      <c r="DY101" s="246">
        <f t="shared" ca="1" si="271"/>
        <v>0.91615445076939206</v>
      </c>
      <c r="DZ101" s="250"/>
    </row>
    <row r="102" spans="1:130" x14ac:dyDescent="0.2">
      <c r="A102" s="243"/>
      <c r="B102" s="244" t="s">
        <v>223</v>
      </c>
      <c r="C102" s="245"/>
      <c r="D102" s="245"/>
      <c r="E102" s="245"/>
      <c r="F102" s="245"/>
      <c r="G102" s="245"/>
      <c r="H102" s="245"/>
      <c r="I102" s="246"/>
      <c r="J102" s="245"/>
      <c r="K102" s="245"/>
      <c r="L102" s="245"/>
      <c r="M102" s="245"/>
      <c r="N102" s="246"/>
      <c r="O102" s="245"/>
      <c r="P102" s="245"/>
      <c r="Q102" s="245"/>
      <c r="R102" s="245"/>
      <c r="S102" s="246"/>
      <c r="T102" s="245"/>
      <c r="U102" s="245"/>
      <c r="V102" s="245"/>
      <c r="W102" s="245"/>
      <c r="X102" s="246"/>
      <c r="Y102" s="245"/>
      <c r="Z102" s="245"/>
      <c r="AA102" s="245"/>
      <c r="AB102" s="245"/>
      <c r="AC102" s="246"/>
      <c r="AD102" s="245"/>
      <c r="AE102" s="245"/>
      <c r="AF102" s="245"/>
      <c r="AG102" s="245"/>
      <c r="AH102" s="246"/>
      <c r="AI102" s="245"/>
      <c r="AJ102" s="245"/>
      <c r="AK102" s="245"/>
      <c r="AL102" s="245"/>
      <c r="AM102" s="246"/>
      <c r="AN102" s="245"/>
      <c r="AO102" s="245"/>
      <c r="AP102" s="245"/>
      <c r="AQ102" s="245"/>
      <c r="AR102" s="246"/>
      <c r="AS102" s="245"/>
      <c r="AT102" s="245"/>
      <c r="AU102" s="245"/>
      <c r="AV102" s="245"/>
      <c r="AW102" s="246"/>
      <c r="AX102" s="245"/>
      <c r="AY102" s="245"/>
      <c r="AZ102" s="245"/>
      <c r="BA102" s="245"/>
      <c r="BB102" s="246"/>
      <c r="BC102" s="245"/>
      <c r="BD102" s="245"/>
      <c r="BE102" s="245"/>
      <c r="BF102" s="245"/>
      <c r="BG102" s="246"/>
      <c r="BH102" s="245"/>
      <c r="BI102" s="245"/>
      <c r="BJ102" s="245"/>
      <c r="BK102" s="245"/>
      <c r="BL102" s="246">
        <f t="shared" ref="BL102:DA102" si="272">BL100/BL$10</f>
        <v>0.12595392345030426</v>
      </c>
      <c r="BM102" s="247">
        <f t="shared" si="272"/>
        <v>0.11229954046703552</v>
      </c>
      <c r="BN102" s="247">
        <f t="shared" si="272"/>
        <v>0.11177230219060277</v>
      </c>
      <c r="BO102" s="247">
        <f t="shared" si="272"/>
        <v>0.11597822023256035</v>
      </c>
      <c r="BP102" s="247">
        <f t="shared" si="272"/>
        <v>0.11976124793929301</v>
      </c>
      <c r="BQ102" s="246">
        <f t="shared" si="272"/>
        <v>0.11510896642235964</v>
      </c>
      <c r="BR102" s="247">
        <f t="shared" si="272"/>
        <v>0.11644915982371472</v>
      </c>
      <c r="BS102" s="247">
        <f t="shared" si="272"/>
        <v>0.11198941743630159</v>
      </c>
      <c r="BT102" s="247">
        <f t="shared" si="272"/>
        <v>0.11668743075818017</v>
      </c>
      <c r="BU102" s="247">
        <f t="shared" si="272"/>
        <v>0.11767097823561304</v>
      </c>
      <c r="BV102" s="246">
        <f t="shared" si="272"/>
        <v>0.11570472273062903</v>
      </c>
      <c r="BW102" s="247">
        <f t="shared" si="272"/>
        <v>0.11351010101010101</v>
      </c>
      <c r="BX102" s="247">
        <f t="shared" si="272"/>
        <v>0.11917357437414088</v>
      </c>
      <c r="BY102" s="247">
        <f t="shared" si="272"/>
        <v>0.12020942408376964</v>
      </c>
      <c r="BZ102" s="247">
        <f t="shared" si="272"/>
        <v>0.12090751281740746</v>
      </c>
      <c r="CA102" s="246">
        <f t="shared" si="272"/>
        <v>0.11847987304616597</v>
      </c>
      <c r="CB102" s="247">
        <f t="shared" si="272"/>
        <v>0.10726429675425039</v>
      </c>
      <c r="CC102" s="247">
        <f t="shared" si="272"/>
        <v>0.10830297795636336</v>
      </c>
      <c r="CD102" s="247">
        <f t="shared" si="272"/>
        <v>0.10827022568793582</v>
      </c>
      <c r="CE102" s="247">
        <f t="shared" si="272"/>
        <v>0.10090405057032878</v>
      </c>
      <c r="CF102" s="246">
        <f t="shared" si="272"/>
        <v>0.10609581395348837</v>
      </c>
      <c r="CG102" s="247">
        <f t="shared" si="272"/>
        <v>9.7214104812000782E-2</v>
      </c>
      <c r="CH102" s="247">
        <f t="shared" si="272"/>
        <v>9.8292657515692966E-2</v>
      </c>
      <c r="CI102" s="247">
        <f t="shared" si="272"/>
        <v>0.1017292315224979</v>
      </c>
      <c r="CJ102" s="247">
        <f t="shared" si="272"/>
        <v>0.10243677135758425</v>
      </c>
      <c r="CK102" s="246">
        <f t="shared" si="272"/>
        <v>9.9923091728746874E-2</v>
      </c>
      <c r="CL102" s="247">
        <f t="shared" si="272"/>
        <v>9.9879725644443001E-2</v>
      </c>
      <c r="CM102" s="247">
        <f t="shared" si="272"/>
        <v>9.973022532425764E-2</v>
      </c>
      <c r="CN102" s="247">
        <f>CN100/CN$10</f>
        <v>9.7534729933902858E-2</v>
      </c>
      <c r="CO102" s="247">
        <f>CO100/CO$10</f>
        <v>0.10116083204639673</v>
      </c>
      <c r="CP102" s="246">
        <f t="shared" si="272"/>
        <v>9.9583390177218858E-2</v>
      </c>
      <c r="CQ102" s="247">
        <f>CQ100/CQ$10</f>
        <v>9.5910232525413822E-2</v>
      </c>
      <c r="CR102" s="247">
        <f t="shared" si="272"/>
        <v>9.4996705316578597E-2</v>
      </c>
      <c r="CS102" s="247">
        <f t="shared" si="272"/>
        <v>9.7449823106641437E-2</v>
      </c>
      <c r="CT102" s="247">
        <f t="shared" si="272"/>
        <v>9.3786853702439318E-2</v>
      </c>
      <c r="CU102" s="246">
        <f t="shared" si="272"/>
        <v>9.5505734878898435E-2</v>
      </c>
      <c r="CV102" s="247">
        <f t="shared" si="272"/>
        <v>8.9814376465666229E-2</v>
      </c>
      <c r="CW102" s="247">
        <f t="shared" si="272"/>
        <v>8.9795501077513745E-2</v>
      </c>
      <c r="CX102" s="247">
        <f>CX100/CX$10</f>
        <v>8.7670893401818537E-2</v>
      </c>
      <c r="CY102" s="247">
        <f>CY100/CY$10</f>
        <v>8.5002714672019961E-2</v>
      </c>
      <c r="CZ102" s="246">
        <f t="shared" si="272"/>
        <v>8.7977904727032805E-2</v>
      </c>
      <c r="DA102" s="247">
        <f t="shared" si="272"/>
        <v>8.4510008099039677E-2</v>
      </c>
      <c r="DB102" s="247">
        <f>DB100/DB$10</f>
        <v>8.3564892636528498E-2</v>
      </c>
      <c r="DC102" s="247">
        <f>DC100/DC$10</f>
        <v>8.2447607306959533E-2</v>
      </c>
      <c r="DD102" s="247">
        <f>DD100/DD$10</f>
        <v>7.9375783098983715E-2</v>
      </c>
      <c r="DE102" s="246">
        <f t="shared" ref="DE102:DJ102" si="273">DE100/DE$10</f>
        <v>8.242938378213957E-2</v>
      </c>
      <c r="DF102" s="247">
        <f t="shared" si="273"/>
        <v>8.1786240609611455E-2</v>
      </c>
      <c r="DG102" s="247">
        <f>DG100/DG$10</f>
        <v>8.1037328881084211E-2</v>
      </c>
      <c r="DH102" s="247">
        <f>DH100/DH$10</f>
        <v>8.0368089713873617E-2</v>
      </c>
      <c r="DI102" s="247">
        <f>DI100/DI$10</f>
        <v>7.6813454010482812E-2</v>
      </c>
      <c r="DJ102" s="246">
        <f t="shared" si="273"/>
        <v>7.994436125541754E-2</v>
      </c>
      <c r="DK102" s="247">
        <f t="shared" ref="DK102:DT102" ca="1" si="274">DK100/DK$10</f>
        <v>7.8603751255085674E-2</v>
      </c>
      <c r="DL102" s="247">
        <f t="shared" ca="1" si="274"/>
        <v>7.6117749112010358E-2</v>
      </c>
      <c r="DM102" s="247">
        <f t="shared" ca="1" si="274"/>
        <v>7.688911895115158E-2</v>
      </c>
      <c r="DN102" s="247">
        <f t="shared" ca="1" si="274"/>
        <v>7.4967559036158066E-2</v>
      </c>
      <c r="DO102" s="246">
        <f t="shared" ca="1" si="274"/>
        <v>7.6612319139430451E-2</v>
      </c>
      <c r="DP102" s="247">
        <f t="shared" ca="1" si="274"/>
        <v>7.56306912201513E-2</v>
      </c>
      <c r="DQ102" s="247">
        <f t="shared" ca="1" si="274"/>
        <v>7.3246872487693737E-2</v>
      </c>
      <c r="DR102" s="247">
        <f t="shared" ca="1" si="274"/>
        <v>7.4028149770564655E-2</v>
      </c>
      <c r="DS102" s="247">
        <f t="shared" ca="1" si="274"/>
        <v>7.2303970182576921E-2</v>
      </c>
      <c r="DT102" s="246">
        <f t="shared" ca="1" si="274"/>
        <v>7.3773550196210111E-2</v>
      </c>
      <c r="DU102" s="247">
        <f t="shared" ref="DU102:DY102" ca="1" si="275">DU100/DU$10</f>
        <v>7.4341375317918817E-2</v>
      </c>
      <c r="DV102" s="247">
        <f t="shared" ca="1" si="275"/>
        <v>7.207839859470673E-2</v>
      </c>
      <c r="DW102" s="247">
        <f t="shared" ca="1" si="275"/>
        <v>7.2911470712250098E-2</v>
      </c>
      <c r="DX102" s="247">
        <f t="shared" ca="1" si="275"/>
        <v>7.1331533732984703E-2</v>
      </c>
      <c r="DY102" s="246">
        <f t="shared" ca="1" si="275"/>
        <v>7.2640570988918213E-2</v>
      </c>
      <c r="DZ102" s="250"/>
    </row>
    <row r="103" spans="1:130" x14ac:dyDescent="0.2">
      <c r="A103" s="243"/>
      <c r="B103" s="244" t="s">
        <v>224</v>
      </c>
      <c r="C103" s="245"/>
      <c r="D103" s="245"/>
      <c r="E103" s="245"/>
      <c r="F103" s="245"/>
      <c r="G103" s="245"/>
      <c r="H103" s="245"/>
      <c r="I103" s="246"/>
      <c r="J103" s="245"/>
      <c r="K103" s="245"/>
      <c r="L103" s="245"/>
      <c r="M103" s="245"/>
      <c r="N103" s="246"/>
      <c r="O103" s="245"/>
      <c r="P103" s="245"/>
      <c r="Q103" s="245"/>
      <c r="R103" s="245"/>
      <c r="S103" s="246"/>
      <c r="T103" s="245"/>
      <c r="U103" s="245"/>
      <c r="V103" s="245"/>
      <c r="W103" s="245"/>
      <c r="X103" s="246"/>
      <c r="Y103" s="245"/>
      <c r="Z103" s="245"/>
      <c r="AA103" s="245"/>
      <c r="AB103" s="245"/>
      <c r="AC103" s="246"/>
      <c r="AD103" s="245"/>
      <c r="AE103" s="245"/>
      <c r="AF103" s="245"/>
      <c r="AG103" s="245"/>
      <c r="AH103" s="246"/>
      <c r="AI103" s="245"/>
      <c r="AJ103" s="245"/>
      <c r="AK103" s="245"/>
      <c r="AL103" s="245"/>
      <c r="AM103" s="246"/>
      <c r="AN103" s="245"/>
      <c r="AO103" s="245"/>
      <c r="AP103" s="245"/>
      <c r="AQ103" s="245"/>
      <c r="AR103" s="246"/>
      <c r="AS103" s="245"/>
      <c r="AT103" s="245"/>
      <c r="AU103" s="245"/>
      <c r="AV103" s="245"/>
      <c r="AW103" s="246"/>
      <c r="AX103" s="245"/>
      <c r="AY103" s="245"/>
      <c r="AZ103" s="245"/>
      <c r="BA103" s="245"/>
      <c r="BB103" s="246"/>
      <c r="BC103" s="245"/>
      <c r="BD103" s="245"/>
      <c r="BE103" s="245"/>
      <c r="BF103" s="245"/>
      <c r="BG103" s="246"/>
      <c r="BH103" s="245"/>
      <c r="BI103" s="245"/>
      <c r="BJ103" s="245"/>
      <c r="BK103" s="245"/>
      <c r="BL103" s="246"/>
      <c r="BM103" s="247">
        <f t="shared" ref="BM103:DI103" si="276">BM102-BH102</f>
        <v>0.11229954046703552</v>
      </c>
      <c r="BN103" s="247">
        <f t="shared" si="276"/>
        <v>0.11177230219060277</v>
      </c>
      <c r="BO103" s="247">
        <f t="shared" si="276"/>
        <v>0.11597822023256035</v>
      </c>
      <c r="BP103" s="247">
        <f t="shared" si="276"/>
        <v>0.11976124793929301</v>
      </c>
      <c r="BQ103" s="246">
        <f t="shared" si="276"/>
        <v>-1.0844957027944621E-2</v>
      </c>
      <c r="BR103" s="247">
        <f t="shared" si="276"/>
        <v>4.1496193566791933E-3</v>
      </c>
      <c r="BS103" s="247">
        <f t="shared" si="276"/>
        <v>2.1711524569881235E-4</v>
      </c>
      <c r="BT103" s="247">
        <f t="shared" si="276"/>
        <v>7.0921052561981335E-4</v>
      </c>
      <c r="BU103" s="247">
        <f t="shared" si="276"/>
        <v>-2.0902697036799672E-3</v>
      </c>
      <c r="BV103" s="246">
        <f t="shared" si="276"/>
        <v>5.9575630826938508E-4</v>
      </c>
      <c r="BW103" s="247">
        <f t="shared" si="276"/>
        <v>-2.9390588136137125E-3</v>
      </c>
      <c r="BX103" s="247">
        <f t="shared" si="276"/>
        <v>7.1841569378392894E-3</v>
      </c>
      <c r="BY103" s="247">
        <f t="shared" si="276"/>
        <v>3.5219933255894731E-3</v>
      </c>
      <c r="BZ103" s="247">
        <f t="shared" si="276"/>
        <v>3.2365345817944174E-3</v>
      </c>
      <c r="CA103" s="246">
        <f t="shared" si="276"/>
        <v>2.7751503155369478E-3</v>
      </c>
      <c r="CB103" s="247">
        <f t="shared" si="276"/>
        <v>-6.2458042558506122E-3</v>
      </c>
      <c r="CC103" s="247">
        <f t="shared" si="276"/>
        <v>-1.0870596417777517E-2</v>
      </c>
      <c r="CD103" s="247">
        <f t="shared" si="276"/>
        <v>-1.1939198395833822E-2</v>
      </c>
      <c r="CE103" s="247">
        <f t="shared" si="276"/>
        <v>-2.0003462247078677E-2</v>
      </c>
      <c r="CF103" s="246">
        <f t="shared" si="276"/>
        <v>-1.2384059092677605E-2</v>
      </c>
      <c r="CG103" s="247">
        <f t="shared" si="276"/>
        <v>-1.0050191942249612E-2</v>
      </c>
      <c r="CH103" s="247">
        <f t="shared" si="276"/>
        <v>-1.0010320440670392E-2</v>
      </c>
      <c r="CI103" s="247">
        <f t="shared" si="276"/>
        <v>-6.5409941654379217E-3</v>
      </c>
      <c r="CJ103" s="247">
        <f t="shared" si="276"/>
        <v>1.5327207872554705E-3</v>
      </c>
      <c r="CK103" s="246">
        <f t="shared" si="276"/>
        <v>-6.1727222247414948E-3</v>
      </c>
      <c r="CL103" s="247">
        <f t="shared" si="276"/>
        <v>2.6656208324422198E-3</v>
      </c>
      <c r="CM103" s="247">
        <f t="shared" si="276"/>
        <v>1.4375678085646743E-3</v>
      </c>
      <c r="CN103" s="247">
        <f t="shared" si="276"/>
        <v>-4.1945015885950371E-3</v>
      </c>
      <c r="CO103" s="247">
        <f t="shared" si="276"/>
        <v>-1.2759393111875239E-3</v>
      </c>
      <c r="CP103" s="246">
        <f t="shared" si="276"/>
        <v>-3.3970155152801551E-4</v>
      </c>
      <c r="CQ103" s="247">
        <f t="shared" si="276"/>
        <v>-3.9694931190291799E-3</v>
      </c>
      <c r="CR103" s="247">
        <f t="shared" si="276"/>
        <v>-4.7335200076790429E-3</v>
      </c>
      <c r="CS103" s="247">
        <f t="shared" si="276"/>
        <v>-8.4906827261421736E-5</v>
      </c>
      <c r="CT103" s="247">
        <f t="shared" si="276"/>
        <v>-7.3739783439574075E-3</v>
      </c>
      <c r="CU103" s="246">
        <f t="shared" si="276"/>
        <v>-4.0776552983204234E-3</v>
      </c>
      <c r="CV103" s="247">
        <f t="shared" si="276"/>
        <v>-6.0958560597475925E-3</v>
      </c>
      <c r="CW103" s="247">
        <f t="shared" si="276"/>
        <v>-5.2012042390648522E-3</v>
      </c>
      <c r="CX103" s="247">
        <f t="shared" si="276"/>
        <v>-9.7789297048229001E-3</v>
      </c>
      <c r="CY103" s="247">
        <f t="shared" si="276"/>
        <v>-8.7841390304193578E-3</v>
      </c>
      <c r="CZ103" s="246">
        <f t="shared" si="276"/>
        <v>-7.5278301518656304E-3</v>
      </c>
      <c r="DA103" s="247">
        <f t="shared" si="276"/>
        <v>-5.3043683666265523E-3</v>
      </c>
      <c r="DB103" s="247">
        <f t="shared" si="276"/>
        <v>-6.2306084409852469E-3</v>
      </c>
      <c r="DC103" s="247">
        <f t="shared" si="276"/>
        <v>-5.2232860948590032E-3</v>
      </c>
      <c r="DD103" s="247">
        <f t="shared" si="276"/>
        <v>-5.6269315730362451E-3</v>
      </c>
      <c r="DE103" s="246">
        <f t="shared" ref="DE103:DJ103" si="277">DE102-CZ102</f>
        <v>-5.5485209448932343E-3</v>
      </c>
      <c r="DF103" s="247">
        <f t="shared" si="276"/>
        <v>-2.7237674894282221E-3</v>
      </c>
      <c r="DG103" s="247">
        <f t="shared" si="276"/>
        <v>-2.527563755444287E-3</v>
      </c>
      <c r="DH103" s="247">
        <f t="shared" si="276"/>
        <v>-2.0795175930859167E-3</v>
      </c>
      <c r="DI103" s="247">
        <f t="shared" si="276"/>
        <v>-2.5623290885009031E-3</v>
      </c>
      <c r="DJ103" s="246">
        <f t="shared" si="277"/>
        <v>-2.4850225267220305E-3</v>
      </c>
      <c r="DK103" s="247">
        <f t="shared" ref="DK103:DT103" ca="1" si="278">DK102-DF102</f>
        <v>-3.1824893545257804E-3</v>
      </c>
      <c r="DL103" s="247">
        <f t="shared" ca="1" si="278"/>
        <v>-4.9195797690738535E-3</v>
      </c>
      <c r="DM103" s="247">
        <f t="shared" ca="1" si="278"/>
        <v>-3.4789707627220362E-3</v>
      </c>
      <c r="DN103" s="247">
        <f t="shared" ca="1" si="278"/>
        <v>-1.8458949743247466E-3</v>
      </c>
      <c r="DO103" s="246">
        <f t="shared" ca="1" si="278"/>
        <v>-3.3320421159870883E-3</v>
      </c>
      <c r="DP103" s="247">
        <f t="shared" ca="1" si="278"/>
        <v>-2.9730600349343744E-3</v>
      </c>
      <c r="DQ103" s="247">
        <f t="shared" ca="1" si="278"/>
        <v>-2.8708766243166206E-3</v>
      </c>
      <c r="DR103" s="247">
        <f t="shared" ca="1" si="278"/>
        <v>-2.8609691805869253E-3</v>
      </c>
      <c r="DS103" s="247">
        <f t="shared" ca="1" si="278"/>
        <v>-2.6635888535811447E-3</v>
      </c>
      <c r="DT103" s="246">
        <f t="shared" ca="1" si="278"/>
        <v>-2.8387689432203406E-3</v>
      </c>
      <c r="DU103" s="247">
        <f t="shared" ref="DU103" ca="1" si="279">DU102-DP102</f>
        <v>-1.2893159022324824E-3</v>
      </c>
      <c r="DV103" s="247">
        <f t="shared" ref="DV103" ca="1" si="280">DV102-DQ102</f>
        <v>-1.168473892987007E-3</v>
      </c>
      <c r="DW103" s="247">
        <f t="shared" ref="DW103" ca="1" si="281">DW102-DR102</f>
        <v>-1.1166790583145569E-3</v>
      </c>
      <c r="DX103" s="247">
        <f t="shared" ref="DX103" ca="1" si="282">DX102-DS102</f>
        <v>-9.7243644959221776E-4</v>
      </c>
      <c r="DY103" s="246">
        <f t="shared" ref="DY103" ca="1" si="283">DY102-DT102</f>
        <v>-1.1329792072918982E-3</v>
      </c>
      <c r="DZ103" s="250"/>
    </row>
    <row r="104" spans="1:130" ht="6.75" customHeight="1" x14ac:dyDescent="0.2">
      <c r="A104" s="243"/>
      <c r="B104" s="244"/>
      <c r="C104" s="245"/>
      <c r="D104" s="245"/>
      <c r="E104" s="245"/>
      <c r="F104" s="245"/>
      <c r="G104" s="245"/>
      <c r="H104" s="245"/>
      <c r="I104" s="246"/>
      <c r="J104" s="245"/>
      <c r="K104" s="245"/>
      <c r="L104" s="245"/>
      <c r="M104" s="245"/>
      <c r="N104" s="246"/>
      <c r="O104" s="245"/>
      <c r="P104" s="245"/>
      <c r="Q104" s="245"/>
      <c r="R104" s="245"/>
      <c r="S104" s="246"/>
      <c r="T104" s="245"/>
      <c r="U104" s="245"/>
      <c r="V104" s="245"/>
      <c r="W104" s="245"/>
      <c r="X104" s="246"/>
      <c r="Y104" s="245"/>
      <c r="Z104" s="245"/>
      <c r="AA104" s="245"/>
      <c r="AB104" s="245"/>
      <c r="AC104" s="246"/>
      <c r="AD104" s="245"/>
      <c r="AE104" s="245"/>
      <c r="AF104" s="245"/>
      <c r="AG104" s="245"/>
      <c r="AH104" s="246"/>
      <c r="AI104" s="245"/>
      <c r="AJ104" s="245"/>
      <c r="AK104" s="245"/>
      <c r="AL104" s="245"/>
      <c r="AM104" s="246"/>
      <c r="AN104" s="245"/>
      <c r="AO104" s="245"/>
      <c r="AP104" s="245"/>
      <c r="AQ104" s="245"/>
      <c r="AR104" s="246"/>
      <c r="AS104" s="245"/>
      <c r="AT104" s="245"/>
      <c r="AU104" s="245"/>
      <c r="AV104" s="245"/>
      <c r="AW104" s="246"/>
      <c r="AX104" s="245"/>
      <c r="AY104" s="245"/>
      <c r="AZ104" s="245"/>
      <c r="BA104" s="245"/>
      <c r="BB104" s="246"/>
      <c r="BC104" s="245"/>
      <c r="BD104" s="245"/>
      <c r="BE104" s="245"/>
      <c r="BF104" s="245"/>
      <c r="BG104" s="246"/>
      <c r="BH104" s="245"/>
      <c r="BI104" s="245"/>
      <c r="BJ104" s="245"/>
      <c r="BK104" s="245"/>
      <c r="BL104" s="246"/>
      <c r="BM104" s="245"/>
      <c r="BN104" s="245"/>
      <c r="BO104" s="245"/>
      <c r="BP104" s="245"/>
      <c r="BQ104" s="246"/>
      <c r="BR104" s="245"/>
      <c r="BS104" s="245"/>
      <c r="BT104" s="245"/>
      <c r="BU104" s="245"/>
      <c r="BV104" s="246"/>
      <c r="BW104" s="245"/>
      <c r="BX104" s="245"/>
      <c r="BY104" s="245"/>
      <c r="BZ104" s="245"/>
      <c r="CA104" s="246"/>
      <c r="CB104" s="245"/>
      <c r="CC104" s="245"/>
      <c r="CD104" s="245"/>
      <c r="CE104" s="245"/>
      <c r="CF104" s="246"/>
      <c r="CG104" s="247"/>
      <c r="CH104" s="256"/>
      <c r="CI104" s="256"/>
      <c r="CJ104" s="256"/>
      <c r="CK104" s="246"/>
      <c r="CL104" s="256"/>
      <c r="CM104" s="256"/>
      <c r="CN104" s="256"/>
      <c r="CO104" s="256"/>
      <c r="CP104" s="246"/>
      <c r="CQ104" s="256"/>
      <c r="CR104" s="256"/>
      <c r="CS104" s="256"/>
      <c r="CT104" s="256"/>
      <c r="CU104" s="246"/>
      <c r="CV104" s="256"/>
      <c r="CW104" s="256"/>
      <c r="CX104" s="256"/>
      <c r="CY104" s="256"/>
      <c r="CZ104" s="246"/>
      <c r="DA104" s="256"/>
      <c r="DB104" s="256"/>
      <c r="DC104" s="256"/>
      <c r="DD104" s="256"/>
      <c r="DE104" s="246"/>
      <c r="DF104" s="256"/>
      <c r="DG104" s="256"/>
      <c r="DH104" s="256"/>
      <c r="DI104" s="256"/>
      <c r="DJ104" s="246"/>
      <c r="DK104" s="256"/>
      <c r="DL104" s="256"/>
      <c r="DM104" s="256"/>
      <c r="DN104" s="256"/>
      <c r="DO104" s="246"/>
      <c r="DP104" s="256"/>
      <c r="DQ104" s="256"/>
      <c r="DR104" s="256"/>
      <c r="DS104" s="256"/>
      <c r="DT104" s="246"/>
      <c r="DU104" s="256"/>
      <c r="DV104" s="256"/>
      <c r="DW104" s="256"/>
      <c r="DX104" s="256"/>
      <c r="DY104" s="246"/>
      <c r="DZ104" s="250"/>
    </row>
    <row r="105" spans="1:130" x14ac:dyDescent="0.2">
      <c r="A105" s="240"/>
      <c r="B105" s="254" t="s">
        <v>225</v>
      </c>
      <c r="C105" s="238"/>
      <c r="D105" s="238"/>
      <c r="E105" s="238"/>
      <c r="F105" s="238"/>
      <c r="G105" s="238"/>
      <c r="H105" s="238"/>
      <c r="I105" s="239"/>
      <c r="J105" s="238"/>
      <c r="K105" s="238"/>
      <c r="L105" s="238"/>
      <c r="M105" s="238"/>
      <c r="N105" s="239"/>
      <c r="O105" s="238"/>
      <c r="P105" s="238"/>
      <c r="Q105" s="238"/>
      <c r="R105" s="238"/>
      <c r="S105" s="239"/>
      <c r="T105" s="238"/>
      <c r="U105" s="238"/>
      <c r="V105" s="238"/>
      <c r="W105" s="238"/>
      <c r="X105" s="239"/>
      <c r="Y105" s="238"/>
      <c r="Z105" s="238"/>
      <c r="AA105" s="238"/>
      <c r="AB105" s="238"/>
      <c r="AC105" s="239"/>
      <c r="AD105" s="238"/>
      <c r="AE105" s="238"/>
      <c r="AF105" s="255"/>
      <c r="AG105" s="238"/>
      <c r="AH105" s="239"/>
      <c r="AI105" s="255"/>
      <c r="AJ105" s="255"/>
      <c r="AK105" s="255"/>
      <c r="AL105" s="238"/>
      <c r="AM105" s="239"/>
      <c r="AN105" s="255"/>
      <c r="AO105" s="255"/>
      <c r="AP105" s="255"/>
      <c r="AQ105" s="238"/>
      <c r="AR105" s="239"/>
      <c r="AS105" s="238"/>
      <c r="AT105" s="238"/>
      <c r="AU105" s="238"/>
      <c r="AV105" s="238"/>
      <c r="AW105" s="239"/>
      <c r="AX105" s="238">
        <f>PBM!AX26</f>
        <v>0</v>
      </c>
      <c r="AY105" s="238">
        <f>PBM!AY26</f>
        <v>0</v>
      </c>
      <c r="AZ105" s="238">
        <f>PBM!AZ26</f>
        <v>0</v>
      </c>
      <c r="BA105" s="238">
        <f>PBM!BA26</f>
        <v>0</v>
      </c>
      <c r="BB105" s="239">
        <f>PBM!BB26</f>
        <v>82.5</v>
      </c>
      <c r="BC105" s="238">
        <f>PBM!BC26</f>
        <v>26.650000000000006</v>
      </c>
      <c r="BD105" s="238">
        <f>PBM!BD26</f>
        <v>24.449999999999996</v>
      </c>
      <c r="BE105" s="238">
        <f>PBM!BE26</f>
        <v>22.85</v>
      </c>
      <c r="BF105" s="238">
        <f>PBM!BF26</f>
        <v>25.35</v>
      </c>
      <c r="BG105" s="239">
        <f>PBM!BG26</f>
        <v>99.299999999999244</v>
      </c>
      <c r="BH105" s="238">
        <f>PBM!BH26</f>
        <v>53.600000000000009</v>
      </c>
      <c r="BI105" s="238">
        <f>PBM!BI26</f>
        <v>188.79999999999995</v>
      </c>
      <c r="BJ105" s="238">
        <f>PBM!BJ26</f>
        <v>192.1999999999999</v>
      </c>
      <c r="BK105" s="238">
        <f>PBM!BK26</f>
        <v>156.59999999999997</v>
      </c>
      <c r="BL105" s="239">
        <f>PBM!BL26</f>
        <v>605.79999999999995</v>
      </c>
      <c r="BM105" s="238">
        <f>PBM!BM26</f>
        <v>119.60000000000002</v>
      </c>
      <c r="BN105" s="238">
        <f>PBM!BN26</f>
        <v>103.9</v>
      </c>
      <c r="BO105" s="238">
        <f>PBM!BO26</f>
        <v>98.8</v>
      </c>
      <c r="BP105" s="238">
        <f>PBM!BP26</f>
        <v>118.20000000000009</v>
      </c>
      <c r="BQ105" s="239">
        <f>PBM!BQ26</f>
        <v>438</v>
      </c>
      <c r="BR105" s="238">
        <f>PBM!BR26</f>
        <v>166.49999999999997</v>
      </c>
      <c r="BS105" s="238">
        <f>PBM!BS26</f>
        <v>142.00000000000006</v>
      </c>
      <c r="BT105" s="238">
        <f>PBM!BT26</f>
        <v>140.69999999999987</v>
      </c>
      <c r="BU105" s="238">
        <f>PBM!BU26</f>
        <v>142</v>
      </c>
      <c r="BV105" s="239">
        <f>PBM!BV26</f>
        <v>592</v>
      </c>
      <c r="BW105" s="238">
        <f>PBM!BW26</f>
        <v>146</v>
      </c>
      <c r="BX105" s="238">
        <f>PBM!BX26</f>
        <v>134</v>
      </c>
      <c r="BY105" s="238">
        <f>PBM!BY26</f>
        <v>132</v>
      </c>
      <c r="BZ105" s="238">
        <f>PBM!BZ26</f>
        <v>162</v>
      </c>
      <c r="CA105" s="239">
        <f>PBM!CA26</f>
        <v>574</v>
      </c>
      <c r="CB105" s="238">
        <f>PBM!CB26</f>
        <v>143</v>
      </c>
      <c r="CC105" s="238">
        <f>PBM!CC26</f>
        <v>168</v>
      </c>
      <c r="CD105" s="238">
        <f>PBM!CD26</f>
        <v>145</v>
      </c>
      <c r="CE105" s="238">
        <f>PBM!CE26</f>
        <v>175.20000000000002</v>
      </c>
      <c r="CF105" s="239">
        <f>PBM!CF26</f>
        <v>631.20000000000005</v>
      </c>
      <c r="CG105" s="238">
        <f>PBM!CG26</f>
        <v>145</v>
      </c>
      <c r="CH105" s="238">
        <f>PBM!CH26</f>
        <v>136.89999999999998</v>
      </c>
      <c r="CI105" s="238">
        <f>PBM!CI26</f>
        <v>167.2</v>
      </c>
      <c r="CJ105" s="238">
        <f>PBM!CJ26</f>
        <v>162</v>
      </c>
      <c r="CK105" s="239">
        <f>PBM!CK26</f>
        <v>611.09999999999991</v>
      </c>
      <c r="CL105" s="238">
        <f ca="1">PBM!CL26</f>
        <v>124.21513002364065</v>
      </c>
      <c r="CM105" s="238">
        <f>PBM!CM26</f>
        <v>148.80000000000001</v>
      </c>
      <c r="CN105" s="238">
        <f>PBM!CN26</f>
        <v>151.5</v>
      </c>
      <c r="CO105" s="238">
        <f>PBM!CO26</f>
        <v>169.1</v>
      </c>
      <c r="CP105" s="239">
        <f ca="1">PBM!CP26</f>
        <v>593.61513002364063</v>
      </c>
      <c r="CQ105" s="238">
        <f>PBM!CQ26</f>
        <v>138.60000000000002</v>
      </c>
      <c r="CR105" s="238">
        <f>PBM!CR26+(PBM!CR321-PBM!CR324-PBM!CR327)</f>
        <v>239.18992000000003</v>
      </c>
      <c r="CS105" s="238">
        <f>PBM!CS26+(PBM!CS321-PBM!CS324-PBM!CS327)</f>
        <v>231.28559999999999</v>
      </c>
      <c r="CT105" s="238">
        <f>PBM!CT26+(PBM!CT321-PBM!CT324-PBM!CT327)</f>
        <v>229.09129599999997</v>
      </c>
      <c r="CU105" s="238">
        <f>PBM!CU26+(PBM!CU321-PBM!CU324-PBM!CU327)</f>
        <v>904.15841599999987</v>
      </c>
      <c r="CV105" s="238">
        <f>PBM!CV63-PBM!CV32</f>
        <v>115.19999999999996</v>
      </c>
      <c r="CW105" s="238">
        <f>PBM!CW63-PBM!CW32</f>
        <v>123.90000000000012</v>
      </c>
      <c r="CX105" s="238">
        <f>PBM!CX63-PBM!CX32</f>
        <v>126.83558596999995</v>
      </c>
      <c r="CY105" s="238">
        <f>PBM!CY63-PBM!CY32</f>
        <v>153.22961639999983</v>
      </c>
      <c r="CZ105" s="239">
        <f>SUM(CV105:CY105)</f>
        <v>519.16520236999986</v>
      </c>
      <c r="DA105" s="238">
        <f>PBM!DA63-PBM!DA32</f>
        <v>126.029</v>
      </c>
      <c r="DB105" s="238">
        <f>PBM!DB63-PBM!DB32</f>
        <v>135.4</v>
      </c>
      <c r="DC105" s="238">
        <f>PBM!DC63-PBM!DC32</f>
        <v>146.80000000000018</v>
      </c>
      <c r="DD105" s="238">
        <f>PBM!DD63-PBM!DD32</f>
        <v>134.50000000000009</v>
      </c>
      <c r="DE105" s="239">
        <f>SUM(DA105:DD105)</f>
        <v>542.72900000000027</v>
      </c>
      <c r="DF105" s="238">
        <f>PBM!DF63-PBM!DF32</f>
        <v>115.60000000000008</v>
      </c>
      <c r="DG105" s="238">
        <f>PBM!DG63-PBM!DG32</f>
        <v>135.87951700569209</v>
      </c>
      <c r="DH105" s="238">
        <f>PBM!DH63-PBM!DH32</f>
        <v>98.82288715731471</v>
      </c>
      <c r="DI105" s="238">
        <f>PBM!DI63-PBM!DI32</f>
        <v>-19.116878330000276</v>
      </c>
      <c r="DJ105" s="238">
        <f>SUM(DF105:DI105)</f>
        <v>331.18552583300664</v>
      </c>
      <c r="DK105" s="238">
        <f ca="1">PBM!DK63-PBM!DK32</f>
        <v>160.875188972009</v>
      </c>
      <c r="DL105" s="238">
        <f ca="1">PBM!DL63-PBM!DL32</f>
        <v>126.61852279037328</v>
      </c>
      <c r="DM105" s="238">
        <f ca="1">PBM!DM63-PBM!DM32</f>
        <v>118.6118873788885</v>
      </c>
      <c r="DN105" s="238">
        <f ca="1">PBM!DN63-PBM!DN32</f>
        <v>128.90075900323797</v>
      </c>
      <c r="DO105" s="238">
        <f ca="1">SUM(DK105:DN105)</f>
        <v>535.00635814450879</v>
      </c>
      <c r="DP105" s="238">
        <f ca="1">PBM!DP63-PBM!DP32</f>
        <v>138.0055310723437</v>
      </c>
      <c r="DQ105" s="238">
        <f ca="1">PBM!DQ63-PBM!DQ32</f>
        <v>103.02199215943295</v>
      </c>
      <c r="DR105" s="238">
        <f ca="1">PBM!DR63-PBM!DR32</f>
        <v>94.640014777103005</v>
      </c>
      <c r="DS105" s="238">
        <f ca="1">PBM!DS63-PBM!DS32</f>
        <v>104.11933541033346</v>
      </c>
      <c r="DT105" s="238">
        <f ca="1">SUM(DP105:DS105)</f>
        <v>439.78687341921312</v>
      </c>
      <c r="DU105" s="238">
        <f ca="1">PBM!DU63-PBM!DU32</f>
        <v>115.27370405514128</v>
      </c>
      <c r="DV105" s="238">
        <f ca="1">PBM!DV63-PBM!DV32</f>
        <v>79.277460884140254</v>
      </c>
      <c r="DW105" s="238">
        <f ca="1">PBM!DW63-PBM!DW32</f>
        <v>70.639085519757316</v>
      </c>
      <c r="DX105" s="238">
        <f ca="1">PBM!DX63-PBM!DX32</f>
        <v>79.292858395281115</v>
      </c>
      <c r="DY105" s="238">
        <f ca="1">SUM(DU105:DX105)</f>
        <v>344.48310885431999</v>
      </c>
      <c r="DZ105" s="240"/>
    </row>
    <row r="106" spans="1:130" x14ac:dyDescent="0.2">
      <c r="A106" s="243"/>
      <c r="B106" s="244" t="s">
        <v>222</v>
      </c>
      <c r="C106" s="245"/>
      <c r="D106" s="245"/>
      <c r="E106" s="245"/>
      <c r="F106" s="245"/>
      <c r="G106" s="245"/>
      <c r="H106" s="245"/>
      <c r="I106" s="246"/>
      <c r="J106" s="245"/>
      <c r="K106" s="245"/>
      <c r="L106" s="245"/>
      <c r="M106" s="245"/>
      <c r="N106" s="246"/>
      <c r="O106" s="245"/>
      <c r="P106" s="245"/>
      <c r="Q106" s="245"/>
      <c r="R106" s="245"/>
      <c r="S106" s="246"/>
      <c r="T106" s="245"/>
      <c r="U106" s="245"/>
      <c r="V106" s="245"/>
      <c r="W106" s="245"/>
      <c r="X106" s="246"/>
      <c r="Y106" s="245"/>
      <c r="Z106" s="245"/>
      <c r="AA106" s="245"/>
      <c r="AB106" s="245"/>
      <c r="AC106" s="246"/>
      <c r="AD106" s="245"/>
      <c r="AE106" s="245"/>
      <c r="AF106" s="245"/>
      <c r="AG106" s="245"/>
      <c r="AH106" s="246"/>
      <c r="AI106" s="245"/>
      <c r="AJ106" s="245"/>
      <c r="AK106" s="245"/>
      <c r="AL106" s="245"/>
      <c r="AM106" s="246"/>
      <c r="AN106" s="245"/>
      <c r="AO106" s="245"/>
      <c r="AP106" s="245"/>
      <c r="AQ106" s="245"/>
      <c r="AR106" s="246"/>
      <c r="AS106" s="245"/>
      <c r="AT106" s="245"/>
      <c r="AU106" s="245"/>
      <c r="AV106" s="245"/>
      <c r="AW106" s="246"/>
      <c r="AX106" s="247">
        <f t="shared" ref="AX106:CC106" si="284">AX105/AX115</f>
        <v>0</v>
      </c>
      <c r="AY106" s="247">
        <f t="shared" si="284"/>
        <v>0</v>
      </c>
      <c r="AZ106" s="247">
        <f t="shared" si="284"/>
        <v>0</v>
      </c>
      <c r="BA106" s="247">
        <f t="shared" si="284"/>
        <v>0</v>
      </c>
      <c r="BB106" s="246">
        <f t="shared" si="284"/>
        <v>1.1642675698560543E-2</v>
      </c>
      <c r="BC106" s="247">
        <f t="shared" si="284"/>
        <v>1.4262395975489017E-2</v>
      </c>
      <c r="BD106" s="247">
        <f t="shared" si="284"/>
        <v>1.2186915887850466E-2</v>
      </c>
      <c r="BE106" s="247">
        <f t="shared" si="284"/>
        <v>9.9562101043550264E-3</v>
      </c>
      <c r="BF106" s="247">
        <f t="shared" si="284"/>
        <v>1.0759533965747758E-2</v>
      </c>
      <c r="BG106" s="246">
        <f t="shared" si="284"/>
        <v>1.1590582797380651E-2</v>
      </c>
      <c r="BH106" s="247">
        <f t="shared" si="284"/>
        <v>2.2297100544947799E-2</v>
      </c>
      <c r="BI106" s="247">
        <f t="shared" si="284"/>
        <v>7.4310229464320837E-2</v>
      </c>
      <c r="BJ106" s="247">
        <f t="shared" si="284"/>
        <v>7.3291641244661351E-2</v>
      </c>
      <c r="BK106" s="247">
        <f t="shared" si="284"/>
        <v>5.8025789239662055E-2</v>
      </c>
      <c r="BL106" s="246">
        <f t="shared" si="284"/>
        <v>5.9277089571224482E-2</v>
      </c>
      <c r="BM106" s="247">
        <f t="shared" si="284"/>
        <v>4.7564128057267861E-2</v>
      </c>
      <c r="BN106" s="247">
        <f t="shared" si="284"/>
        <v>4.2119344900275663E-2</v>
      </c>
      <c r="BO106" s="247">
        <f t="shared" si="284"/>
        <v>3.9229700218383963E-2</v>
      </c>
      <c r="BP106" s="247">
        <f t="shared" si="284"/>
        <v>3.927562718059481E-2</v>
      </c>
      <c r="BQ106" s="246">
        <f t="shared" si="284"/>
        <v>3.993581093402386E-2</v>
      </c>
      <c r="BR106" s="247">
        <f t="shared" si="284"/>
        <v>5.5189101395472173E-2</v>
      </c>
      <c r="BS106" s="247">
        <f t="shared" si="284"/>
        <v>4.6252565063027273E-2</v>
      </c>
      <c r="BT106" s="247">
        <f t="shared" si="284"/>
        <v>4.4730567477348555E-2</v>
      </c>
      <c r="BU106" s="247">
        <f t="shared" si="284"/>
        <v>4.2764643878933896E-2</v>
      </c>
      <c r="BV106" s="246">
        <f t="shared" si="284"/>
        <v>4.7157036116554356E-2</v>
      </c>
      <c r="BW106" s="247">
        <f t="shared" si="284"/>
        <v>4.9026192075218265E-2</v>
      </c>
      <c r="BX106" s="247">
        <f t="shared" si="284"/>
        <v>4.2526182164392259E-2</v>
      </c>
      <c r="BY106" s="247">
        <f t="shared" si="284"/>
        <v>4.16403785488959E-2</v>
      </c>
      <c r="BZ106" s="247">
        <f t="shared" si="284"/>
        <v>4.8736462093862815E-2</v>
      </c>
      <c r="CA106" s="246">
        <f t="shared" si="284"/>
        <v>4.5472550106947639E-2</v>
      </c>
      <c r="CB106" s="247">
        <f t="shared" si="284"/>
        <v>4.6640574037834309E-2</v>
      </c>
      <c r="CC106" s="247">
        <f t="shared" si="284"/>
        <v>5.2271313005600499E-2</v>
      </c>
      <c r="CD106" s="247">
        <f t="shared" ref="CD106:DA106" si="285">CD105/CD115</f>
        <v>4.5497332914967055E-2</v>
      </c>
      <c r="CE106" s="247">
        <f t="shared" si="285"/>
        <v>5.5013031054730439E-2</v>
      </c>
      <c r="CF106" s="246">
        <f t="shared" si="285"/>
        <v>4.9890528545570953E-2</v>
      </c>
      <c r="CG106" s="247">
        <f t="shared" si="285"/>
        <v>4.3846386452978531E-2</v>
      </c>
      <c r="CH106" s="249">
        <f t="shared" si="285"/>
        <v>4.1093834423965893E-2</v>
      </c>
      <c r="CI106" s="249">
        <f t="shared" si="285"/>
        <v>4.9017883318674869E-2</v>
      </c>
      <c r="CJ106" s="249">
        <f t="shared" si="285"/>
        <v>4.5506896261130927E-2</v>
      </c>
      <c r="CK106" s="246">
        <f t="shared" si="285"/>
        <v>4.4903117720970213E-2</v>
      </c>
      <c r="CL106" s="249">
        <f t="shared" ca="1" si="285"/>
        <v>3.6578884676438765E-2</v>
      </c>
      <c r="CM106" s="249">
        <f t="shared" si="285"/>
        <v>4.3241986574060622E-2</v>
      </c>
      <c r="CN106" s="249">
        <f t="shared" si="285"/>
        <v>4.3935966591265009E-2</v>
      </c>
      <c r="CO106" s="249">
        <f>CO105/CO115</f>
        <v>4.5848923594165175E-2</v>
      </c>
      <c r="CP106" s="246">
        <f t="shared" ca="1" si="285"/>
        <v>4.2482054151070758E-2</v>
      </c>
      <c r="CQ106" s="249">
        <f>CQ105/CQ115</f>
        <v>4.0012702445220719E-2</v>
      </c>
      <c r="CR106" s="249">
        <f t="shared" si="285"/>
        <v>6.4095226453690632E-2</v>
      </c>
      <c r="CS106" s="249">
        <f t="shared" si="285"/>
        <v>6.0232419424162E-2</v>
      </c>
      <c r="CT106" s="249">
        <f t="shared" si="285"/>
        <v>5.8600247111206531E-2</v>
      </c>
      <c r="CU106" s="246">
        <f t="shared" si="285"/>
        <v>6.0233223685189102E-2</v>
      </c>
      <c r="CV106" s="249">
        <f t="shared" si="285"/>
        <v>3.229604709840201E-2</v>
      </c>
      <c r="CW106" s="249">
        <f t="shared" si="285"/>
        <v>3.3700530395756864E-2</v>
      </c>
      <c r="CX106" s="249">
        <f>CX105/CX115</f>
        <v>3.4203043232979721E-2</v>
      </c>
      <c r="CY106" s="249">
        <f>CY105/CY115</f>
        <v>3.9635285987789988E-2</v>
      </c>
      <c r="CZ106" s="246">
        <f t="shared" si="285"/>
        <v>3.503658463386821E-2</v>
      </c>
      <c r="DA106" s="249">
        <f t="shared" si="285"/>
        <v>3.1613717095749207E-2</v>
      </c>
      <c r="DB106" s="249">
        <f>DB105/DB115</f>
        <v>3.3771481305963635E-2</v>
      </c>
      <c r="DC106" s="249">
        <f>DC105/DC115</f>
        <v>3.6335734264003411E-2</v>
      </c>
      <c r="DD106" s="249">
        <f>DD105/DD115</f>
        <v>3.3459376088362622E-2</v>
      </c>
      <c r="DE106" s="246">
        <f t="shared" ref="DE106:DJ106" si="286">DE105/DE115</f>
        <v>3.3802825147335271E-2</v>
      </c>
      <c r="DF106" s="249">
        <f t="shared" si="286"/>
        <v>2.9024806668675324E-2</v>
      </c>
      <c r="DG106" s="249">
        <f>DG105/DG115</f>
        <v>3.3324389844017067E-2</v>
      </c>
      <c r="DH106" s="249">
        <f>DH105/DH115</f>
        <v>2.4500259262310909E-2</v>
      </c>
      <c r="DI106" s="249">
        <f>DI105/DI115</f>
        <v>-4.8594200837114533E-3</v>
      </c>
      <c r="DJ106" s="246">
        <f t="shared" si="286"/>
        <v>2.0663183340748962E-2</v>
      </c>
      <c r="DK106" s="249">
        <f t="shared" ref="DK106:DT106" ca="1" si="287">DK105/DK115</f>
        <v>4.0368542988543733E-2</v>
      </c>
      <c r="DL106" s="249">
        <f t="shared" ca="1" si="287"/>
        <v>3.1474256789293394E-2</v>
      </c>
      <c r="DM106" s="249">
        <f t="shared" ca="1" si="287"/>
        <v>2.9487897347647323E-2</v>
      </c>
      <c r="DN106" s="249">
        <f t="shared" ca="1" si="287"/>
        <v>3.1874943803172649E-2</v>
      </c>
      <c r="DO106" s="246">
        <f t="shared" ca="1" si="287"/>
        <v>3.3283068352897099E-2</v>
      </c>
      <c r="DP106" s="249">
        <f t="shared" ca="1" si="287"/>
        <v>3.40461655709643E-2</v>
      </c>
      <c r="DQ106" s="249">
        <f t="shared" ca="1" si="287"/>
        <v>2.517160778927257E-2</v>
      </c>
      <c r="DR106" s="249">
        <f t="shared" ca="1" si="287"/>
        <v>2.3129521216949687E-2</v>
      </c>
      <c r="DS106" s="249">
        <f t="shared" ca="1" si="287"/>
        <v>2.5316097957114529E-2</v>
      </c>
      <c r="DT106" s="246">
        <f t="shared" ca="1" si="287"/>
        <v>2.6896995019849206E-2</v>
      </c>
      <c r="DU106" s="249">
        <f t="shared" ref="DU106:DY106" ca="1" si="288">DU105/DU115</f>
        <v>2.8050982241042837E-2</v>
      </c>
      <c r="DV106" s="249">
        <f t="shared" ca="1" si="288"/>
        <v>1.910733966096817E-2</v>
      </c>
      <c r="DW106" s="249">
        <f t="shared" ca="1" si="288"/>
        <v>1.7031184664976176E-2</v>
      </c>
      <c r="DX106" s="249">
        <f t="shared" ca="1" si="288"/>
        <v>1.9025514750590226E-2</v>
      </c>
      <c r="DY106" s="246">
        <f t="shared" ca="1" si="288"/>
        <v>2.0784752881061245E-2</v>
      </c>
      <c r="DZ106" s="250"/>
    </row>
    <row r="107" spans="1:130" x14ac:dyDescent="0.2">
      <c r="A107" s="243"/>
      <c r="B107" s="244" t="s">
        <v>223</v>
      </c>
      <c r="C107" s="245"/>
      <c r="D107" s="245"/>
      <c r="E107" s="245"/>
      <c r="F107" s="245"/>
      <c r="G107" s="245"/>
      <c r="H107" s="245"/>
      <c r="I107" s="246"/>
      <c r="J107" s="245"/>
      <c r="K107" s="245"/>
      <c r="L107" s="245"/>
      <c r="M107" s="245"/>
      <c r="N107" s="246"/>
      <c r="O107" s="245"/>
      <c r="P107" s="245"/>
      <c r="Q107" s="245"/>
      <c r="R107" s="245"/>
      <c r="S107" s="246"/>
      <c r="T107" s="245"/>
      <c r="U107" s="245"/>
      <c r="V107" s="245"/>
      <c r="W107" s="245"/>
      <c r="X107" s="246"/>
      <c r="Y107" s="245"/>
      <c r="Z107" s="245"/>
      <c r="AA107" s="245"/>
      <c r="AB107" s="245"/>
      <c r="AC107" s="246"/>
      <c r="AD107" s="245"/>
      <c r="AE107" s="245"/>
      <c r="AF107" s="245"/>
      <c r="AG107" s="245"/>
      <c r="AH107" s="246"/>
      <c r="AI107" s="245"/>
      <c r="AJ107" s="245"/>
      <c r="AK107" s="245"/>
      <c r="AL107" s="245"/>
      <c r="AM107" s="246"/>
      <c r="AN107" s="245"/>
      <c r="AO107" s="245"/>
      <c r="AP107" s="245"/>
      <c r="AQ107" s="245"/>
      <c r="AR107" s="246"/>
      <c r="AS107" s="245"/>
      <c r="AT107" s="245"/>
      <c r="AU107" s="245"/>
      <c r="AV107" s="245"/>
      <c r="AW107" s="246"/>
      <c r="AX107" s="245"/>
      <c r="AY107" s="245"/>
      <c r="AZ107" s="245"/>
      <c r="BA107" s="245"/>
      <c r="BB107" s="246"/>
      <c r="BC107" s="245"/>
      <c r="BD107" s="245"/>
      <c r="BE107" s="245"/>
      <c r="BF107" s="245"/>
      <c r="BG107" s="246"/>
      <c r="BH107" s="245"/>
      <c r="BI107" s="245"/>
      <c r="BJ107" s="245"/>
      <c r="BK107" s="245"/>
      <c r="BL107" s="246">
        <f t="shared" ref="BL107:DA107" si="289">BL105/BL$10</f>
        <v>7.9366431065315494E-3</v>
      </c>
      <c r="BM107" s="247">
        <f t="shared" si="289"/>
        <v>5.6081778111225743E-3</v>
      </c>
      <c r="BN107" s="247">
        <f t="shared" si="289"/>
        <v>4.9147836123423034E-3</v>
      </c>
      <c r="BO107" s="247">
        <f t="shared" si="289"/>
        <v>4.7355656316803597E-3</v>
      </c>
      <c r="BP107" s="247">
        <f t="shared" si="289"/>
        <v>4.8959912518328937E-3</v>
      </c>
      <c r="BQ107" s="246">
        <f t="shared" si="289"/>
        <v>5.0073223515208886E-3</v>
      </c>
      <c r="BR107" s="247">
        <f t="shared" si="289"/>
        <v>7.1172399642641868E-3</v>
      </c>
      <c r="BS107" s="247">
        <f t="shared" si="289"/>
        <v>5.7094378616144867E-3</v>
      </c>
      <c r="BT107" s="247">
        <f t="shared" si="289"/>
        <v>5.7097869888279662E-3</v>
      </c>
      <c r="BU107" s="247">
        <f t="shared" si="289"/>
        <v>5.4991867399891564E-3</v>
      </c>
      <c r="BV107" s="246">
        <f t="shared" si="289"/>
        <v>5.996217926058125E-3</v>
      </c>
      <c r="BW107" s="247">
        <f t="shared" si="289"/>
        <v>6.1447811447811447E-3</v>
      </c>
      <c r="BX107" s="247">
        <f t="shared" si="289"/>
        <v>5.5817053359436828E-3</v>
      </c>
      <c r="BY107" s="247">
        <f t="shared" si="289"/>
        <v>5.5287958115183243E-3</v>
      </c>
      <c r="BZ107" s="247">
        <f t="shared" si="289"/>
        <v>6.5399055346978324E-3</v>
      </c>
      <c r="CA107" s="246">
        <f t="shared" si="289"/>
        <v>5.9535539813095747E-3</v>
      </c>
      <c r="CB107" s="247">
        <f t="shared" si="289"/>
        <v>5.5255023183925812E-3</v>
      </c>
      <c r="CC107" s="247">
        <f t="shared" si="289"/>
        <v>6.3089113372638856E-3</v>
      </c>
      <c r="CD107" s="247">
        <f t="shared" si="289"/>
        <v>5.4360050985978858E-3</v>
      </c>
      <c r="CE107" s="247">
        <f t="shared" si="289"/>
        <v>6.1870960906875733E-3</v>
      </c>
      <c r="CF107" s="246">
        <f t="shared" si="289"/>
        <v>5.8716279069767445E-3</v>
      </c>
      <c r="CG107" s="247">
        <f t="shared" si="289"/>
        <v>4.7080979284369112E-3</v>
      </c>
      <c r="CH107" s="247">
        <f t="shared" si="289"/>
        <v>4.4571927174224457E-3</v>
      </c>
      <c r="CI107" s="247">
        <f t="shared" si="289"/>
        <v>5.5314235806704542E-3</v>
      </c>
      <c r="CJ107" s="247">
        <f t="shared" si="289"/>
        <v>5.1602216984137092E-3</v>
      </c>
      <c r="CK107" s="246">
        <f t="shared" si="289"/>
        <v>4.9628980530918819E-3</v>
      </c>
      <c r="CL107" s="247">
        <f t="shared" ca="1" si="289"/>
        <v>4.0378093821682101E-3</v>
      </c>
      <c r="CM107" s="247">
        <f t="shared" si="289"/>
        <v>4.7618590451320554E-3</v>
      </c>
      <c r="CN107" s="247">
        <f>CN105/CN$10</f>
        <v>4.7390992896043241E-3</v>
      </c>
      <c r="CO107" s="247">
        <f>CO105/CO$10</f>
        <v>5.1507924178873527E-3</v>
      </c>
      <c r="CP107" s="246">
        <f t="shared" ca="1" si="289"/>
        <v>4.6811639999877032E-3</v>
      </c>
      <c r="CQ107" s="247">
        <f>CQ105/CQ$10</f>
        <v>4.2399713664271364E-3</v>
      </c>
      <c r="CR107" s="247">
        <f t="shared" si="289"/>
        <v>6.9127637191773693E-3</v>
      </c>
      <c r="CS107" s="247">
        <f t="shared" si="289"/>
        <v>6.604178623743971E-3</v>
      </c>
      <c r="CT107" s="247">
        <f t="shared" si="289"/>
        <v>6.1824164424522255E-3</v>
      </c>
      <c r="CU107" s="246">
        <f t="shared" si="289"/>
        <v>6.4876309299580597E-3</v>
      </c>
      <c r="CV107" s="247">
        <f t="shared" si="289"/>
        <v>3.1707934690462279E-3</v>
      </c>
      <c r="CW107" s="247">
        <f t="shared" si="289"/>
        <v>3.3334319821140832E-3</v>
      </c>
      <c r="CX107" s="247">
        <f>CX105/CX$10</f>
        <v>3.2821895605672576E-3</v>
      </c>
      <c r="CY107" s="247">
        <f>CY105/CY$10</f>
        <v>3.724082254069944E-3</v>
      </c>
      <c r="CZ107" s="246">
        <f t="shared" si="289"/>
        <v>3.3868239157046538E-3</v>
      </c>
      <c r="DA107" s="247">
        <f t="shared" si="289"/>
        <v>2.916325349994215E-3</v>
      </c>
      <c r="DB107" s="247">
        <f>DB105/DB$10</f>
        <v>3.0966053977902952E-3</v>
      </c>
      <c r="DC107" s="247">
        <f>DC105/DC$10</f>
        <v>3.2903731928723566E-3</v>
      </c>
      <c r="DD107" s="247">
        <f>DD105/DD$10</f>
        <v>2.9257448141445097E-3</v>
      </c>
      <c r="DE107" s="246">
        <f t="shared" ref="DE107:DJ107" si="290">DE105/DE$10</f>
        <v>3.0571717461900069E-3</v>
      </c>
      <c r="DF107" s="247">
        <f t="shared" si="290"/>
        <v>2.596959131591246E-3</v>
      </c>
      <c r="DG107" s="247">
        <f>DG105/DG$10</f>
        <v>2.9742620895124917E-3</v>
      </c>
      <c r="DH107" s="247">
        <f>DH105/DH$10</f>
        <v>2.1398845322274868E-3</v>
      </c>
      <c r="DI107" s="247">
        <f>DI105/DI$10</f>
        <v>-3.950980531979515E-4</v>
      </c>
      <c r="DJ107" s="246">
        <f t="shared" si="290"/>
        <v>1.792466242267237E-3</v>
      </c>
      <c r="DK107" s="247">
        <f t="shared" ref="DK107:DT107" ca="1" si="291">DK105/DK$10</f>
        <v>3.5085218323627127E-3</v>
      </c>
      <c r="DL107" s="247">
        <f t="shared" ca="1" si="291"/>
        <v>2.6295904184437968E-3</v>
      </c>
      <c r="DM107" s="247">
        <f t="shared" ca="1" si="291"/>
        <v>2.4820302059789775E-3</v>
      </c>
      <c r="DN107" s="247">
        <f t="shared" ca="1" si="291"/>
        <v>2.6262996142069357E-3</v>
      </c>
      <c r="DO107" s="246">
        <f t="shared" ca="1" si="291"/>
        <v>2.8029423029436364E-3</v>
      </c>
      <c r="DP107" s="247">
        <f t="shared" ca="1" si="291"/>
        <v>2.841922424797045E-3</v>
      </c>
      <c r="DQ107" s="247">
        <f t="shared" ca="1" si="291"/>
        <v>2.020457755165263E-3</v>
      </c>
      <c r="DR107" s="247">
        <f t="shared" ca="1" si="291"/>
        <v>1.8711623562743579E-3</v>
      </c>
      <c r="DS107" s="247">
        <f t="shared" ca="1" si="291"/>
        <v>2.0078662195139748E-3</v>
      </c>
      <c r="DT107" s="246">
        <f t="shared" ca="1" si="291"/>
        <v>2.1773355713422377E-3</v>
      </c>
      <c r="DU107" s="247">
        <f t="shared" ref="DU107:DY107" ca="1" si="292">DU105/DU$10</f>
        <v>2.2898356491521284E-3</v>
      </c>
      <c r="DV107" s="247">
        <f t="shared" ca="1" si="292"/>
        <v>1.5014518937918374E-3</v>
      </c>
      <c r="DW107" s="247">
        <f t="shared" ca="1" si="292"/>
        <v>1.3499153020108381E-3</v>
      </c>
      <c r="DX107" s="247">
        <f t="shared" ca="1" si="292"/>
        <v>1.4804123275467729E-3</v>
      </c>
      <c r="DY107" s="246">
        <f t="shared" ca="1" si="292"/>
        <v>1.647993213235933E-3</v>
      </c>
      <c r="DZ107" s="250"/>
    </row>
    <row r="108" spans="1:130" x14ac:dyDescent="0.2">
      <c r="A108" s="243"/>
      <c r="B108" s="244" t="s">
        <v>224</v>
      </c>
      <c r="C108" s="245"/>
      <c r="D108" s="245"/>
      <c r="E108" s="245"/>
      <c r="F108" s="245"/>
      <c r="G108" s="245"/>
      <c r="H108" s="245"/>
      <c r="I108" s="246"/>
      <c r="J108" s="245"/>
      <c r="K108" s="245"/>
      <c r="L108" s="245"/>
      <c r="M108" s="245"/>
      <c r="N108" s="246"/>
      <c r="O108" s="245"/>
      <c r="P108" s="245"/>
      <c r="Q108" s="245"/>
      <c r="R108" s="245"/>
      <c r="S108" s="246"/>
      <c r="T108" s="245"/>
      <c r="U108" s="245"/>
      <c r="V108" s="245"/>
      <c r="W108" s="245"/>
      <c r="X108" s="246"/>
      <c r="Y108" s="245"/>
      <c r="Z108" s="245"/>
      <c r="AA108" s="245"/>
      <c r="AB108" s="245"/>
      <c r="AC108" s="246"/>
      <c r="AD108" s="245"/>
      <c r="AE108" s="245"/>
      <c r="AF108" s="245"/>
      <c r="AG108" s="245"/>
      <c r="AH108" s="246"/>
      <c r="AI108" s="245"/>
      <c r="AJ108" s="245"/>
      <c r="AK108" s="245"/>
      <c r="AL108" s="245"/>
      <c r="AM108" s="246"/>
      <c r="AN108" s="245"/>
      <c r="AO108" s="245"/>
      <c r="AP108" s="245"/>
      <c r="AQ108" s="245"/>
      <c r="AR108" s="246"/>
      <c r="AS108" s="245"/>
      <c r="AT108" s="245"/>
      <c r="AU108" s="245"/>
      <c r="AV108" s="245"/>
      <c r="AW108" s="246"/>
      <c r="AX108" s="245"/>
      <c r="AY108" s="245"/>
      <c r="AZ108" s="245"/>
      <c r="BA108" s="245"/>
      <c r="BB108" s="246"/>
      <c r="BC108" s="245"/>
      <c r="BD108" s="245"/>
      <c r="BE108" s="245"/>
      <c r="BF108" s="245"/>
      <c r="BG108" s="246"/>
      <c r="BH108" s="245"/>
      <c r="BI108" s="245"/>
      <c r="BJ108" s="245"/>
      <c r="BK108" s="245"/>
      <c r="BL108" s="246"/>
      <c r="BM108" s="247">
        <f t="shared" ref="BM108:DI108" si="293">BM107-BH107</f>
        <v>5.6081778111225743E-3</v>
      </c>
      <c r="BN108" s="247">
        <f t="shared" si="293"/>
        <v>4.9147836123423034E-3</v>
      </c>
      <c r="BO108" s="247">
        <f t="shared" si="293"/>
        <v>4.7355656316803597E-3</v>
      </c>
      <c r="BP108" s="247">
        <f t="shared" si="293"/>
        <v>4.8959912518328937E-3</v>
      </c>
      <c r="BQ108" s="246">
        <f t="shared" si="293"/>
        <v>-2.9293207550106608E-3</v>
      </c>
      <c r="BR108" s="247">
        <f t="shared" si="293"/>
        <v>1.5090621531416125E-3</v>
      </c>
      <c r="BS108" s="247">
        <f t="shared" si="293"/>
        <v>7.946542492721833E-4</v>
      </c>
      <c r="BT108" s="247">
        <f t="shared" si="293"/>
        <v>9.7422135714760657E-4</v>
      </c>
      <c r="BU108" s="247">
        <f t="shared" si="293"/>
        <v>6.0319548815626275E-4</v>
      </c>
      <c r="BV108" s="246">
        <f t="shared" si="293"/>
        <v>9.8889557453723641E-4</v>
      </c>
      <c r="BW108" s="247">
        <f t="shared" si="293"/>
        <v>-9.7245881948304202E-4</v>
      </c>
      <c r="BX108" s="247">
        <f t="shared" si="293"/>
        <v>-1.2773252567080395E-4</v>
      </c>
      <c r="BY108" s="247">
        <f t="shared" si="293"/>
        <v>-1.8099117730964193E-4</v>
      </c>
      <c r="BZ108" s="247">
        <f t="shared" si="293"/>
        <v>1.040718794708676E-3</v>
      </c>
      <c r="CA108" s="246">
        <f t="shared" si="293"/>
        <v>-4.26639447485503E-5</v>
      </c>
      <c r="CB108" s="247">
        <f t="shared" si="293"/>
        <v>-6.192788263885635E-4</v>
      </c>
      <c r="CC108" s="247">
        <f t="shared" si="293"/>
        <v>7.2720600132020283E-4</v>
      </c>
      <c r="CD108" s="247">
        <f t="shared" si="293"/>
        <v>-9.2790712920438542E-5</v>
      </c>
      <c r="CE108" s="247">
        <f t="shared" si="293"/>
        <v>-3.5280944401025905E-4</v>
      </c>
      <c r="CF108" s="246">
        <f t="shared" si="293"/>
        <v>-8.1926074332830216E-5</v>
      </c>
      <c r="CG108" s="247">
        <f t="shared" si="293"/>
        <v>-8.1740438995567006E-4</v>
      </c>
      <c r="CH108" s="247">
        <f t="shared" si="293"/>
        <v>-1.8517186198414399E-3</v>
      </c>
      <c r="CI108" s="247">
        <f t="shared" si="293"/>
        <v>9.5418482072568388E-5</v>
      </c>
      <c r="CJ108" s="247">
        <f t="shared" si="293"/>
        <v>-1.0268743922738641E-3</v>
      </c>
      <c r="CK108" s="246">
        <f t="shared" si="293"/>
        <v>-9.087298538848626E-4</v>
      </c>
      <c r="CL108" s="247">
        <f t="shared" ca="1" si="293"/>
        <v>-6.7028854626870107E-4</v>
      </c>
      <c r="CM108" s="247">
        <f t="shared" si="293"/>
        <v>3.0466632770960976E-4</v>
      </c>
      <c r="CN108" s="247">
        <f t="shared" si="293"/>
        <v>-7.9232429106613003E-4</v>
      </c>
      <c r="CO108" s="247">
        <f t="shared" si="293"/>
        <v>-9.4292805263565191E-6</v>
      </c>
      <c r="CP108" s="246">
        <f t="shared" ca="1" si="293"/>
        <v>-2.8173405310417867E-4</v>
      </c>
      <c r="CQ108" s="247">
        <f t="shared" ca="1" si="293"/>
        <v>2.0216198425892628E-4</v>
      </c>
      <c r="CR108" s="247">
        <f t="shared" si="293"/>
        <v>2.1509046740453138E-3</v>
      </c>
      <c r="CS108" s="247">
        <f t="shared" si="293"/>
        <v>1.8650793341396469E-3</v>
      </c>
      <c r="CT108" s="247">
        <f t="shared" si="293"/>
        <v>1.0316240245648728E-3</v>
      </c>
      <c r="CU108" s="246">
        <f t="shared" ca="1" si="293"/>
        <v>1.8064669299703564E-3</v>
      </c>
      <c r="CV108" s="247">
        <f t="shared" si="293"/>
        <v>-1.0691778973809084E-3</v>
      </c>
      <c r="CW108" s="247">
        <f t="shared" si="293"/>
        <v>-3.5793317370632861E-3</v>
      </c>
      <c r="CX108" s="247">
        <f t="shared" si="293"/>
        <v>-3.3219890631767134E-3</v>
      </c>
      <c r="CY108" s="247">
        <f t="shared" si="293"/>
        <v>-2.4583341883822815E-3</v>
      </c>
      <c r="CZ108" s="246">
        <f t="shared" si="293"/>
        <v>-3.1008070142534059E-3</v>
      </c>
      <c r="DA108" s="247">
        <f t="shared" si="293"/>
        <v>-2.5446811905201292E-4</v>
      </c>
      <c r="DB108" s="247">
        <f t="shared" si="293"/>
        <v>-2.3682658432378802E-4</v>
      </c>
      <c r="DC108" s="247">
        <f t="shared" si="293"/>
        <v>8.1836323050990534E-6</v>
      </c>
      <c r="DD108" s="247">
        <f t="shared" si="293"/>
        <v>-7.9833743992543428E-4</v>
      </c>
      <c r="DE108" s="246">
        <f t="shared" ref="DE108:DJ108" si="294">DE107-CZ107</f>
        <v>-3.2965216951464683E-4</v>
      </c>
      <c r="DF108" s="247">
        <f t="shared" si="293"/>
        <v>-3.1936621840296907E-4</v>
      </c>
      <c r="DG108" s="247">
        <f t="shared" si="293"/>
        <v>-1.2234330827780348E-4</v>
      </c>
      <c r="DH108" s="247">
        <f t="shared" si="293"/>
        <v>-1.1504886606448698E-3</v>
      </c>
      <c r="DI108" s="247">
        <f t="shared" si="293"/>
        <v>-3.3208428673424614E-3</v>
      </c>
      <c r="DJ108" s="246">
        <f t="shared" si="294"/>
        <v>-1.2647055039227699E-3</v>
      </c>
      <c r="DK108" s="247">
        <f t="shared" ref="DK108:DT108" ca="1" si="295">DK107-DF107</f>
        <v>9.1156270077146677E-4</v>
      </c>
      <c r="DL108" s="247">
        <f t="shared" ca="1" si="295"/>
        <v>-3.4467167106869492E-4</v>
      </c>
      <c r="DM108" s="247">
        <f t="shared" ca="1" si="295"/>
        <v>3.4214567375149066E-4</v>
      </c>
      <c r="DN108" s="247">
        <f t="shared" ca="1" si="295"/>
        <v>3.0213976674048873E-3</v>
      </c>
      <c r="DO108" s="246">
        <f t="shared" ca="1" si="295"/>
        <v>1.0104760606763994E-3</v>
      </c>
      <c r="DP108" s="247">
        <f t="shared" ca="1" si="295"/>
        <v>-6.6659940756566777E-4</v>
      </c>
      <c r="DQ108" s="247">
        <f t="shared" ca="1" si="295"/>
        <v>-6.0913266327853374E-4</v>
      </c>
      <c r="DR108" s="247">
        <f t="shared" ca="1" si="295"/>
        <v>-6.1086784970461956E-4</v>
      </c>
      <c r="DS108" s="247">
        <f t="shared" ca="1" si="295"/>
        <v>-6.1843339469296087E-4</v>
      </c>
      <c r="DT108" s="246">
        <f t="shared" ca="1" si="295"/>
        <v>-6.2560673160139873E-4</v>
      </c>
      <c r="DU108" s="247">
        <f t="shared" ref="DU108" ca="1" si="296">DU107-DP107</f>
        <v>-5.5208677564491659E-4</v>
      </c>
      <c r="DV108" s="247">
        <f t="shared" ref="DV108" ca="1" si="297">DV107-DQ107</f>
        <v>-5.1900586137342561E-4</v>
      </c>
      <c r="DW108" s="247">
        <f t="shared" ref="DW108" ca="1" si="298">DW107-DR107</f>
        <v>-5.2124705426351975E-4</v>
      </c>
      <c r="DX108" s="247">
        <f t="shared" ref="DX108" ca="1" si="299">DX107-DS107</f>
        <v>-5.2745389196720192E-4</v>
      </c>
      <c r="DY108" s="246">
        <f t="shared" ref="DY108" ca="1" si="300">DY107-DT107</f>
        <v>-5.2934235810630473E-4</v>
      </c>
      <c r="DZ108" s="250"/>
    </row>
    <row r="109" spans="1:130" ht="8.25" customHeight="1" x14ac:dyDescent="0.2">
      <c r="A109" s="243"/>
      <c r="B109" s="244"/>
      <c r="C109" s="245"/>
      <c r="D109" s="245"/>
      <c r="E109" s="245"/>
      <c r="F109" s="245"/>
      <c r="G109" s="245"/>
      <c r="H109" s="245"/>
      <c r="I109" s="246"/>
      <c r="J109" s="245"/>
      <c r="K109" s="245"/>
      <c r="L109" s="245"/>
      <c r="M109" s="245"/>
      <c r="N109" s="246"/>
      <c r="O109" s="245"/>
      <c r="P109" s="245"/>
      <c r="Q109" s="245"/>
      <c r="R109" s="245"/>
      <c r="S109" s="246"/>
      <c r="T109" s="245"/>
      <c r="U109" s="245"/>
      <c r="V109" s="245"/>
      <c r="W109" s="245"/>
      <c r="X109" s="246"/>
      <c r="Y109" s="245"/>
      <c r="Z109" s="245"/>
      <c r="AA109" s="245"/>
      <c r="AB109" s="245"/>
      <c r="AC109" s="246"/>
      <c r="AD109" s="245"/>
      <c r="AE109" s="245"/>
      <c r="AF109" s="245"/>
      <c r="AG109" s="245"/>
      <c r="AH109" s="246"/>
      <c r="AI109" s="245"/>
      <c r="AJ109" s="245"/>
      <c r="AK109" s="245"/>
      <c r="AL109" s="245"/>
      <c r="AM109" s="246"/>
      <c r="AN109" s="245"/>
      <c r="AO109" s="245"/>
      <c r="AP109" s="245"/>
      <c r="AQ109" s="245"/>
      <c r="AR109" s="246"/>
      <c r="AS109" s="245"/>
      <c r="AT109" s="245"/>
      <c r="AU109" s="245"/>
      <c r="AV109" s="245"/>
      <c r="AW109" s="246"/>
      <c r="AX109" s="245"/>
      <c r="AY109" s="245"/>
      <c r="AZ109" s="245"/>
      <c r="BA109" s="245"/>
      <c r="BB109" s="246"/>
      <c r="BC109" s="245"/>
      <c r="BD109" s="245"/>
      <c r="BE109" s="245"/>
      <c r="BF109" s="245"/>
      <c r="BG109" s="246"/>
      <c r="BH109" s="245"/>
      <c r="BI109" s="245"/>
      <c r="BJ109" s="245"/>
      <c r="BK109" s="245"/>
      <c r="BL109" s="246"/>
      <c r="BM109" s="245"/>
      <c r="BN109" s="245"/>
      <c r="BO109" s="245"/>
      <c r="BP109" s="245"/>
      <c r="BQ109" s="246"/>
      <c r="BR109" s="245"/>
      <c r="BS109" s="245"/>
      <c r="BT109" s="245"/>
      <c r="BU109" s="245"/>
      <c r="BV109" s="246"/>
      <c r="BW109" s="245"/>
      <c r="BX109" s="245"/>
      <c r="BY109" s="245"/>
      <c r="BZ109" s="245"/>
      <c r="CA109" s="246"/>
      <c r="CB109" s="245"/>
      <c r="CC109" s="245"/>
      <c r="CD109" s="245"/>
      <c r="CE109" s="245"/>
      <c r="CF109" s="246"/>
      <c r="CG109" s="247"/>
      <c r="CH109" s="256"/>
      <c r="CI109" s="256"/>
      <c r="CJ109" s="256"/>
      <c r="CK109" s="246"/>
      <c r="CL109" s="256"/>
      <c r="CM109" s="256"/>
      <c r="CN109" s="256"/>
      <c r="CO109" s="256"/>
      <c r="CP109" s="246"/>
      <c r="CQ109" s="256"/>
      <c r="CR109" s="256"/>
      <c r="CS109" s="256"/>
      <c r="CT109" s="256"/>
      <c r="CU109" s="246"/>
      <c r="CV109" s="256"/>
      <c r="CW109" s="256"/>
      <c r="CX109" s="256"/>
      <c r="CY109" s="256"/>
      <c r="CZ109" s="246"/>
      <c r="DA109" s="256"/>
      <c r="DB109" s="256"/>
      <c r="DC109" s="256"/>
      <c r="DD109" s="256"/>
      <c r="DE109" s="246"/>
      <c r="DF109" s="256"/>
      <c r="DG109" s="256"/>
      <c r="DH109" s="256"/>
      <c r="DI109" s="256"/>
      <c r="DJ109" s="246"/>
      <c r="DK109" s="256"/>
      <c r="DL109" s="256"/>
      <c r="DM109" s="256"/>
      <c r="DN109" s="256"/>
      <c r="DO109" s="246"/>
      <c r="DP109" s="256"/>
      <c r="DQ109" s="256"/>
      <c r="DR109" s="256"/>
      <c r="DS109" s="256"/>
      <c r="DT109" s="246"/>
      <c r="DU109" s="256"/>
      <c r="DV109" s="256"/>
      <c r="DW109" s="256"/>
      <c r="DX109" s="256"/>
      <c r="DY109" s="246"/>
      <c r="DZ109" s="250"/>
    </row>
    <row r="110" spans="1:130" x14ac:dyDescent="0.2">
      <c r="A110" s="240"/>
      <c r="B110" s="254" t="s">
        <v>226</v>
      </c>
      <c r="C110" s="238"/>
      <c r="D110" s="238"/>
      <c r="E110" s="238"/>
      <c r="F110" s="238"/>
      <c r="G110" s="238"/>
      <c r="H110" s="238"/>
      <c r="I110" s="239"/>
      <c r="J110" s="238"/>
      <c r="K110" s="238"/>
      <c r="L110" s="238"/>
      <c r="M110" s="238"/>
      <c r="N110" s="239"/>
      <c r="O110" s="238"/>
      <c r="P110" s="238"/>
      <c r="Q110" s="238"/>
      <c r="R110" s="238"/>
      <c r="S110" s="239"/>
      <c r="T110" s="238"/>
      <c r="U110" s="238"/>
      <c r="V110" s="238"/>
      <c r="W110" s="238"/>
      <c r="X110" s="239"/>
      <c r="Y110" s="238"/>
      <c r="Z110" s="238"/>
      <c r="AA110" s="238"/>
      <c r="AB110" s="238"/>
      <c r="AC110" s="239"/>
      <c r="AD110" s="238"/>
      <c r="AE110" s="238"/>
      <c r="AF110" s="255"/>
      <c r="AG110" s="238"/>
      <c r="AH110" s="239"/>
      <c r="AI110" s="255"/>
      <c r="AJ110" s="255"/>
      <c r="AK110" s="255"/>
      <c r="AL110" s="238"/>
      <c r="AM110" s="239"/>
      <c r="AN110" s="255"/>
      <c r="AO110" s="255"/>
      <c r="AP110" s="255"/>
      <c r="AQ110" s="238"/>
      <c r="AR110" s="239"/>
      <c r="AS110" s="238"/>
      <c r="AT110" s="238"/>
      <c r="AU110" s="238"/>
      <c r="AV110" s="238"/>
      <c r="AW110" s="239"/>
      <c r="AX110" s="238">
        <f>AX123</f>
        <v>0</v>
      </c>
      <c r="AY110" s="238"/>
      <c r="AZ110" s="238"/>
      <c r="BA110" s="238"/>
      <c r="BB110" s="239">
        <v>0</v>
      </c>
      <c r="BC110" s="238"/>
      <c r="BD110" s="238"/>
      <c r="BE110" s="238"/>
      <c r="BF110" s="238"/>
      <c r="BG110" s="239">
        <v>0</v>
      </c>
      <c r="BH110" s="238"/>
      <c r="BI110" s="238"/>
      <c r="BJ110" s="238"/>
      <c r="BK110" s="238"/>
      <c r="BL110" s="239">
        <v>0</v>
      </c>
      <c r="BM110" s="238">
        <f>BM123</f>
        <v>109.1</v>
      </c>
      <c r="BN110" s="238">
        <f>BN123</f>
        <v>118.3</v>
      </c>
      <c r="BO110" s="238">
        <f>BO123</f>
        <v>105.1</v>
      </c>
      <c r="BP110" s="238">
        <f>BP123</f>
        <v>128.30000000000001</v>
      </c>
      <c r="BQ110" s="239">
        <f>SUM(BM110:BP110)</f>
        <v>460.8</v>
      </c>
      <c r="BR110" s="238">
        <f>BR123</f>
        <v>126.19999999999999</v>
      </c>
      <c r="BS110" s="238">
        <f>BS123</f>
        <v>142.80000000000001</v>
      </c>
      <c r="BT110" s="238">
        <f>BT123</f>
        <v>129.4</v>
      </c>
      <c r="BU110" s="238">
        <f>BU123</f>
        <v>140</v>
      </c>
      <c r="BV110" s="239">
        <f>SUM(BR110:BU110)</f>
        <v>538.4</v>
      </c>
      <c r="BW110" s="238">
        <f>BW123</f>
        <v>135</v>
      </c>
      <c r="BX110" s="238">
        <f>BX123</f>
        <v>156</v>
      </c>
      <c r="BY110" s="238">
        <f>BY123</f>
        <v>168</v>
      </c>
      <c r="BZ110" s="238">
        <f>BZ123</f>
        <v>167</v>
      </c>
      <c r="CA110" s="239">
        <f>SUM(BW110:BZ110)</f>
        <v>626</v>
      </c>
      <c r="CB110" s="238">
        <f>CB123</f>
        <v>147</v>
      </c>
      <c r="CC110" s="238">
        <f>CC123</f>
        <v>162</v>
      </c>
      <c r="CD110" s="238">
        <f>CD123</f>
        <v>154</v>
      </c>
      <c r="CE110" s="238">
        <f>CE123</f>
        <v>152.19999999999999</v>
      </c>
      <c r="CF110" s="239">
        <f>SUM(CB110:CE110)</f>
        <v>615.20000000000005</v>
      </c>
      <c r="CG110" s="238">
        <f>CG123</f>
        <v>168</v>
      </c>
      <c r="CH110" s="238">
        <f>CH123</f>
        <v>175.5</v>
      </c>
      <c r="CI110" s="238">
        <f>CI123</f>
        <v>168.8</v>
      </c>
      <c r="CJ110" s="238">
        <f>CJ123</f>
        <v>182</v>
      </c>
      <c r="CK110" s="239">
        <f>SUM(CG110:CJ110)</f>
        <v>694.3</v>
      </c>
      <c r="CL110" s="238">
        <f>CL123</f>
        <v>199</v>
      </c>
      <c r="CM110" s="238">
        <f>CM123</f>
        <v>175.9</v>
      </c>
      <c r="CN110" s="238">
        <f>CN123</f>
        <v>178.7</v>
      </c>
      <c r="CO110" s="238">
        <f>CO123</f>
        <v>198</v>
      </c>
      <c r="CP110" s="239">
        <f>SUM(CL110:CO110)</f>
        <v>751.59999999999991</v>
      </c>
      <c r="CQ110" s="238">
        <f>CQ123</f>
        <v>190.1</v>
      </c>
      <c r="CR110" s="238">
        <f>CR123</f>
        <v>205.6</v>
      </c>
      <c r="CS110" s="238">
        <f>CS123</f>
        <v>195.8</v>
      </c>
      <c r="CT110" s="238">
        <f>CT123</f>
        <v>205</v>
      </c>
      <c r="CU110" s="239">
        <f>SUM(CQ110:CT110)</f>
        <v>796.5</v>
      </c>
      <c r="CV110" s="238">
        <f>CV123</f>
        <v>188.7</v>
      </c>
      <c r="CW110" s="238">
        <f>CW123</f>
        <v>215</v>
      </c>
      <c r="CX110" s="238">
        <f>CX123</f>
        <v>193.55928642999999</v>
      </c>
      <c r="CY110" s="238">
        <f>CY123</f>
        <v>215.2722123499999</v>
      </c>
      <c r="CZ110" s="239">
        <f>SUM(CV110:CY110)</f>
        <v>812.53149877999988</v>
      </c>
      <c r="DA110" s="238">
        <f>DA123</f>
        <v>208.4</v>
      </c>
      <c r="DB110" s="238">
        <f>DB123</f>
        <v>220</v>
      </c>
      <c r="DC110" s="238">
        <f>DC123</f>
        <v>214.9</v>
      </c>
      <c r="DD110" s="238">
        <f>DD123</f>
        <v>236.3</v>
      </c>
      <c r="DE110" s="239">
        <f>SUM(DA110:DD110)</f>
        <v>879.59999999999991</v>
      </c>
      <c r="DF110" s="238">
        <f>DF123</f>
        <v>226.6</v>
      </c>
      <c r="DG110" s="238">
        <f>DG123</f>
        <v>239.4</v>
      </c>
      <c r="DH110" s="238">
        <f>DH123</f>
        <v>223.20987480000008</v>
      </c>
      <c r="DI110" s="238">
        <f>DI123</f>
        <v>236.46991007</v>
      </c>
      <c r="DJ110" s="239">
        <f>SUM(DF110:DI110)</f>
        <v>925.67978487000005</v>
      </c>
      <c r="DK110" s="238">
        <f ca="1">DK123</f>
        <v>220.0929462495682</v>
      </c>
      <c r="DL110" s="238">
        <f ca="1">DL123</f>
        <v>231.12683447997654</v>
      </c>
      <c r="DM110" s="238">
        <f ca="1">DM123</f>
        <v>229.38361428768485</v>
      </c>
      <c r="DN110" s="238">
        <f ca="1">DN123</f>
        <v>235.58760770041783</v>
      </c>
      <c r="DO110" s="239">
        <f ca="1">SUM(DK110:DN110)</f>
        <v>916.19100271764739</v>
      </c>
      <c r="DP110" s="238">
        <f ca="1">DP123</f>
        <v>242.80312838271672</v>
      </c>
      <c r="DQ110" s="238">
        <f ca="1">DQ123</f>
        <v>254.94715713817604</v>
      </c>
      <c r="DR110" s="238">
        <f ca="1">DR123</f>
        <v>252.89097565413635</v>
      </c>
      <c r="DS110" s="238">
        <f ca="1">DS123</f>
        <v>259.27856746236967</v>
      </c>
      <c r="DT110" s="239">
        <f ca="1">SUM(DP110:DS110)</f>
        <v>1009.9198286373987</v>
      </c>
      <c r="DU110" s="238">
        <f ca="1">DU123</f>
        <v>251.70737493283502</v>
      </c>
      <c r="DV110" s="238">
        <f ca="1">DV123</f>
        <v>264.00266705824725</v>
      </c>
      <c r="DW110" s="238">
        <f ca="1">DW123</f>
        <v>261.6426579302165</v>
      </c>
      <c r="DX110" s="238">
        <f ca="1">DX123</f>
        <v>267.80666750688044</v>
      </c>
      <c r="DY110" s="239">
        <f ca="1">SUM(DU110:DX110)</f>
        <v>1045.1593674281794</v>
      </c>
      <c r="DZ110" s="240"/>
    </row>
    <row r="111" spans="1:130" x14ac:dyDescent="0.2">
      <c r="A111" s="243"/>
      <c r="B111" s="244" t="s">
        <v>227</v>
      </c>
      <c r="C111" s="245"/>
      <c r="D111" s="245"/>
      <c r="E111" s="245"/>
      <c r="F111" s="245"/>
      <c r="G111" s="245"/>
      <c r="H111" s="245"/>
      <c r="I111" s="246"/>
      <c r="J111" s="245"/>
      <c r="K111" s="245"/>
      <c r="L111" s="245"/>
      <c r="M111" s="245"/>
      <c r="N111" s="246"/>
      <c r="O111" s="245"/>
      <c r="P111" s="245"/>
      <c r="Q111" s="245"/>
      <c r="R111" s="245"/>
      <c r="S111" s="246"/>
      <c r="T111" s="245"/>
      <c r="U111" s="245"/>
      <c r="V111" s="245"/>
      <c r="W111" s="245"/>
      <c r="X111" s="246"/>
      <c r="Y111" s="245"/>
      <c r="Z111" s="245"/>
      <c r="AA111" s="245"/>
      <c r="AB111" s="245"/>
      <c r="AC111" s="246"/>
      <c r="AD111" s="245"/>
      <c r="AE111" s="245"/>
      <c r="AF111" s="245"/>
      <c r="AG111" s="245"/>
      <c r="AH111" s="246"/>
      <c r="AI111" s="245"/>
      <c r="AJ111" s="245"/>
      <c r="AK111" s="245"/>
      <c r="AL111" s="245"/>
      <c r="AM111" s="246"/>
      <c r="AN111" s="245"/>
      <c r="AO111" s="245"/>
      <c r="AP111" s="245"/>
      <c r="AQ111" s="245"/>
      <c r="AR111" s="246"/>
      <c r="AS111" s="245"/>
      <c r="AT111" s="245"/>
      <c r="AU111" s="245"/>
      <c r="AV111" s="245"/>
      <c r="AW111" s="246"/>
      <c r="AX111" s="245"/>
      <c r="AY111" s="245"/>
      <c r="AZ111" s="245"/>
      <c r="BA111" s="245"/>
      <c r="BB111" s="246">
        <f>BB110/BB115</f>
        <v>0</v>
      </c>
      <c r="BC111" s="245"/>
      <c r="BD111" s="245"/>
      <c r="BE111" s="245"/>
      <c r="BF111" s="245"/>
      <c r="BG111" s="246">
        <f>BG110/BG115</f>
        <v>0</v>
      </c>
      <c r="BH111" s="245"/>
      <c r="BI111" s="245"/>
      <c r="BJ111" s="245"/>
      <c r="BK111" s="245"/>
      <c r="BL111" s="246">
        <f t="shared" ref="BL111:DA111" si="301">BL110/BL115</f>
        <v>0</v>
      </c>
      <c r="BM111" s="247">
        <f t="shared" si="301"/>
        <v>4.3388347584012735E-2</v>
      </c>
      <c r="BN111" s="247">
        <f t="shared" si="301"/>
        <v>4.7956867196367763E-2</v>
      </c>
      <c r="BO111" s="247">
        <f t="shared" si="301"/>
        <v>4.1731189199920596E-2</v>
      </c>
      <c r="BP111" s="247">
        <f t="shared" si="301"/>
        <v>4.2631666389765746E-2</v>
      </c>
      <c r="BQ111" s="246">
        <f t="shared" si="301"/>
        <v>4.2014661366205922E-2</v>
      </c>
      <c r="BR111" s="247">
        <f t="shared" si="301"/>
        <v>4.183101859524678E-2</v>
      </c>
      <c r="BS111" s="247">
        <f t="shared" si="301"/>
        <v>4.651314289436826E-2</v>
      </c>
      <c r="BT111" s="247">
        <f t="shared" si="301"/>
        <v>4.1138133841996508E-2</v>
      </c>
      <c r="BU111" s="247">
        <f t="shared" si="301"/>
        <v>4.2162324951061585E-2</v>
      </c>
      <c r="BV111" s="246">
        <f t="shared" si="301"/>
        <v>4.2887412576271725E-2</v>
      </c>
      <c r="BW111" s="247">
        <f t="shared" si="301"/>
        <v>4.5332437877770318E-2</v>
      </c>
      <c r="BX111" s="247">
        <f t="shared" si="301"/>
        <v>4.9508092668993968E-2</v>
      </c>
      <c r="BY111" s="247">
        <f t="shared" si="301"/>
        <v>5.2996845425867509E-2</v>
      </c>
      <c r="BZ111" s="247">
        <f t="shared" si="301"/>
        <v>5.0240673886883275E-2</v>
      </c>
      <c r="CA111" s="246">
        <f t="shared" si="301"/>
        <v>4.9592014576566583E-2</v>
      </c>
      <c r="CB111" s="247">
        <f t="shared" si="301"/>
        <v>4.7945205479452052E-2</v>
      </c>
      <c r="CC111" s="247">
        <f t="shared" si="301"/>
        <v>5.0404480398257623E-2</v>
      </c>
      <c r="CD111" s="247">
        <f t="shared" si="301"/>
        <v>4.8321305302792592E-2</v>
      </c>
      <c r="CE111" s="247">
        <f t="shared" si="301"/>
        <v>4.7791000722203034E-2</v>
      </c>
      <c r="CF111" s="246">
        <f t="shared" si="301"/>
        <v>4.8625876364441142E-2</v>
      </c>
      <c r="CG111" s="247">
        <f t="shared" si="301"/>
        <v>5.080133051103719E-2</v>
      </c>
      <c r="CH111" s="249">
        <f t="shared" si="301"/>
        <v>5.2680554721738604E-2</v>
      </c>
      <c r="CI111" s="249">
        <f t="shared" si="301"/>
        <v>4.9486953972442099E-2</v>
      </c>
      <c r="CJ111" s="249">
        <f t="shared" si="301"/>
        <v>5.1125031602011289E-2</v>
      </c>
      <c r="CK111" s="246">
        <f t="shared" si="301"/>
        <v>5.1016584247536613E-2</v>
      </c>
      <c r="CL111" s="249">
        <f t="shared" ca="1" si="301"/>
        <v>5.8601541126479001E-2</v>
      </c>
      <c r="CM111" s="249">
        <f t="shared" si="301"/>
        <v>5.1117375257911712E-2</v>
      </c>
      <c r="CN111" s="249">
        <f t="shared" si="301"/>
        <v>5.1824140131082885E-2</v>
      </c>
      <c r="CO111" s="249">
        <f>CO110/CO115</f>
        <v>5.3684724255734506E-2</v>
      </c>
      <c r="CP111" s="246">
        <f t="shared" ca="1" si="301"/>
        <v>5.3788238009824969E-2</v>
      </c>
      <c r="CQ111" s="249">
        <f>CQ110/CQ115</f>
        <v>5.488033719218223E-2</v>
      </c>
      <c r="CR111" s="249">
        <f t="shared" si="301"/>
        <v>5.5094205302960893E-2</v>
      </c>
      <c r="CS111" s="249">
        <f t="shared" si="301"/>
        <v>5.0991102443260286E-2</v>
      </c>
      <c r="CT111" s="249">
        <f t="shared" si="301"/>
        <v>5.2437830976334171E-2</v>
      </c>
      <c r="CU111" s="246">
        <f t="shared" si="301"/>
        <v>5.3061235527174615E-2</v>
      </c>
      <c r="CV111" s="249">
        <f t="shared" si="301"/>
        <v>5.2901597981497059E-2</v>
      </c>
      <c r="CW111" s="249">
        <f t="shared" si="301"/>
        <v>5.8479532163742687E-2</v>
      </c>
      <c r="CX111" s="249">
        <f>CX110/CX115</f>
        <v>5.2196050432375331E-2</v>
      </c>
      <c r="CY111" s="249">
        <f>CY110/CY115</f>
        <v>5.568359369537984E-2</v>
      </c>
      <c r="CZ111" s="246">
        <f t="shared" si="301"/>
        <v>5.4834816537646873E-2</v>
      </c>
      <c r="DA111" s="249">
        <f t="shared" si="301"/>
        <v>5.2276052676400953E-2</v>
      </c>
      <c r="DB111" s="249">
        <f>DB110/DB115</f>
        <v>5.4872421619734116E-2</v>
      </c>
      <c r="DC111" s="249">
        <f>DC110/DC115</f>
        <v>5.3191752679389123E-2</v>
      </c>
      <c r="DD111" s="249">
        <f>DD110/DD115</f>
        <v>5.8784019105428131E-2</v>
      </c>
      <c r="DE111" s="246">
        <f t="shared" ref="DE111:DJ111" si="302">DE110/DE115</f>
        <v>5.4784183265674191E-2</v>
      </c>
      <c r="DF111" s="249">
        <f t="shared" si="302"/>
        <v>5.6894646982022692E-2</v>
      </c>
      <c r="DG111" s="249">
        <f>DG110/DG115</f>
        <v>5.8712741290679507E-2</v>
      </c>
      <c r="DH111" s="249">
        <f>DH110/DH115</f>
        <v>5.5338393360258913E-2</v>
      </c>
      <c r="DI111" s="249">
        <f>DI110/DI115</f>
        <v>6.0109533070799359E-2</v>
      </c>
      <c r="DJ111" s="246">
        <f t="shared" si="302"/>
        <v>5.7754610686816386E-2</v>
      </c>
      <c r="DK111" s="249">
        <f t="shared" ref="DK111:DT111" ca="1" si="303">DK110/DK115</f>
        <v>5.5228103344741555E-2</v>
      </c>
      <c r="DL111" s="249">
        <f t="shared" ca="1" si="303"/>
        <v>5.7452457815851024E-2</v>
      </c>
      <c r="DM111" s="249">
        <f t="shared" ca="1" si="303"/>
        <v>5.7026665883334535E-2</v>
      </c>
      <c r="DN111" s="249">
        <f t="shared" ca="1" si="303"/>
        <v>5.8256769116356175E-2</v>
      </c>
      <c r="DO111" s="246">
        <f t="shared" ca="1" si="303"/>
        <v>5.6996795091403853E-2</v>
      </c>
      <c r="DP111" s="249">
        <f t="shared" ca="1" si="303"/>
        <v>5.9899885503376639E-2</v>
      </c>
      <c r="DQ111" s="249">
        <f t="shared" ca="1" si="303"/>
        <v>6.2291843828265685E-2</v>
      </c>
      <c r="DR111" s="249">
        <f t="shared" ca="1" si="303"/>
        <v>6.1805222671865084E-2</v>
      </c>
      <c r="DS111" s="249">
        <f t="shared" ca="1" si="303"/>
        <v>6.3042292636514785E-2</v>
      </c>
      <c r="DT111" s="246">
        <f t="shared" ca="1" si="303"/>
        <v>6.1765846693232304E-2</v>
      </c>
      <c r="DU111" s="249">
        <f t="shared" ref="DU111:DY111" ca="1" si="304">DU110/DU115</f>
        <v>6.1251082040384534E-2</v>
      </c>
      <c r="DV111" s="249">
        <f t="shared" ca="1" si="304"/>
        <v>6.3629543310620471E-2</v>
      </c>
      <c r="DW111" s="249">
        <f t="shared" ca="1" si="304"/>
        <v>6.3082419465897127E-2</v>
      </c>
      <c r="DX111" s="249">
        <f t="shared" ca="1" si="304"/>
        <v>6.4257485555115137E-2</v>
      </c>
      <c r="DY111" s="246">
        <f t="shared" ca="1" si="304"/>
        <v>6.3060796349546699E-2</v>
      </c>
      <c r="DZ111" s="250"/>
    </row>
    <row r="112" spans="1:130" x14ac:dyDescent="0.2">
      <c r="A112" s="243"/>
      <c r="B112" s="244" t="s">
        <v>223</v>
      </c>
      <c r="C112" s="245"/>
      <c r="D112" s="245"/>
      <c r="E112" s="245"/>
      <c r="F112" s="245"/>
      <c r="G112" s="245"/>
      <c r="H112" s="245"/>
      <c r="I112" s="246"/>
      <c r="J112" s="245"/>
      <c r="K112" s="245"/>
      <c r="L112" s="245"/>
      <c r="M112" s="245"/>
      <c r="N112" s="246"/>
      <c r="O112" s="245"/>
      <c r="P112" s="245"/>
      <c r="Q112" s="245"/>
      <c r="R112" s="245"/>
      <c r="S112" s="246"/>
      <c r="T112" s="245"/>
      <c r="U112" s="245"/>
      <c r="V112" s="245"/>
      <c r="W112" s="245"/>
      <c r="X112" s="246"/>
      <c r="Y112" s="245"/>
      <c r="Z112" s="245"/>
      <c r="AA112" s="245"/>
      <c r="AB112" s="245"/>
      <c r="AC112" s="246"/>
      <c r="AD112" s="245"/>
      <c r="AE112" s="245"/>
      <c r="AF112" s="245"/>
      <c r="AG112" s="245"/>
      <c r="AH112" s="246"/>
      <c r="AI112" s="245"/>
      <c r="AJ112" s="245"/>
      <c r="AK112" s="245"/>
      <c r="AL112" s="245"/>
      <c r="AM112" s="246"/>
      <c r="AN112" s="245"/>
      <c r="AO112" s="245"/>
      <c r="AP112" s="245"/>
      <c r="AQ112" s="245"/>
      <c r="AR112" s="246"/>
      <c r="AS112" s="245"/>
      <c r="AT112" s="245"/>
      <c r="AU112" s="245"/>
      <c r="AV112" s="245"/>
      <c r="AW112" s="246"/>
      <c r="AX112" s="245"/>
      <c r="AY112" s="245"/>
      <c r="AZ112" s="245"/>
      <c r="BA112" s="245"/>
      <c r="BB112" s="246"/>
      <c r="BC112" s="245"/>
      <c r="BD112" s="245"/>
      <c r="BE112" s="245"/>
      <c r="BF112" s="245"/>
      <c r="BG112" s="246"/>
      <c r="BH112" s="245"/>
      <c r="BI112" s="245"/>
      <c r="BJ112" s="245"/>
      <c r="BK112" s="245"/>
      <c r="BL112" s="246">
        <f t="shared" ref="BL112:DA112" si="305">BL110/BL$10</f>
        <v>0</v>
      </c>
      <c r="BM112" s="247">
        <f t="shared" si="305"/>
        <v>5.1158210634905743E-3</v>
      </c>
      <c r="BN112" s="247">
        <f t="shared" si="305"/>
        <v>5.5959470773830067E-3</v>
      </c>
      <c r="BO112" s="247">
        <f t="shared" si="305"/>
        <v>5.0375298369393293E-3</v>
      </c>
      <c r="BP112" s="247">
        <f t="shared" si="305"/>
        <v>5.314345834265312E-3</v>
      </c>
      <c r="BQ112" s="246">
        <f t="shared" si="305"/>
        <v>5.2679774876274559E-3</v>
      </c>
      <c r="BR112" s="247">
        <f t="shared" si="305"/>
        <v>5.3945686696104528E-3</v>
      </c>
      <c r="BS112" s="247">
        <f t="shared" si="305"/>
        <v>5.7416037087221726E-3</v>
      </c>
      <c r="BT112" s="247">
        <f t="shared" si="305"/>
        <v>5.2512184531225267E-3</v>
      </c>
      <c r="BU112" s="247">
        <f t="shared" si="305"/>
        <v>5.4217334056231121E-3</v>
      </c>
      <c r="BV112" s="246">
        <f t="shared" si="305"/>
        <v>5.4533171138339432E-3</v>
      </c>
      <c r="BW112" s="247">
        <f t="shared" si="305"/>
        <v>5.681818181818182E-3</v>
      </c>
      <c r="BX112" s="247">
        <f t="shared" si="305"/>
        <v>6.4981047194568251E-3</v>
      </c>
      <c r="BY112" s="247">
        <f t="shared" si="305"/>
        <v>7.0366492146596857E-3</v>
      </c>
      <c r="BZ112" s="247">
        <f t="shared" si="305"/>
        <v>6.7417544709539381E-3</v>
      </c>
      <c r="CA112" s="246">
        <f t="shared" si="305"/>
        <v>6.4929003350170621E-3</v>
      </c>
      <c r="CB112" s="247">
        <f t="shared" si="305"/>
        <v>5.6800618238021638E-3</v>
      </c>
      <c r="CC112" s="247">
        <f t="shared" si="305"/>
        <v>6.0835930752187461E-3</v>
      </c>
      <c r="CD112" s="247">
        <f t="shared" si="305"/>
        <v>5.7734123116143059E-3</v>
      </c>
      <c r="CE112" s="247">
        <f t="shared" si="305"/>
        <v>5.3748631564078109E-3</v>
      </c>
      <c r="CF112" s="246">
        <f t="shared" si="305"/>
        <v>5.7227906976744193E-3</v>
      </c>
      <c r="CG112" s="247">
        <f t="shared" si="305"/>
        <v>5.4548996688096631E-3</v>
      </c>
      <c r="CH112" s="247">
        <f t="shared" si="305"/>
        <v>5.713932227228922E-3</v>
      </c>
      <c r="CI112" s="247">
        <f t="shared" si="305"/>
        <v>5.5843558637390716E-3</v>
      </c>
      <c r="CJ112" s="247">
        <f t="shared" si="305"/>
        <v>5.7972861056252789E-3</v>
      </c>
      <c r="CK112" s="246">
        <f t="shared" si="305"/>
        <v>5.6385863496345836E-3</v>
      </c>
      <c r="CL112" s="247">
        <f t="shared" si="305"/>
        <v>6.468809934011637E-3</v>
      </c>
      <c r="CM112" s="247">
        <f t="shared" si="305"/>
        <v>5.6291062233785518E-3</v>
      </c>
      <c r="CN112" s="247">
        <f>CN110/CN$10</f>
        <v>5.5899474788930203E-3</v>
      </c>
      <c r="CO112" s="247">
        <f>CO110/CO$10</f>
        <v>6.0310875147350429E-3</v>
      </c>
      <c r="CP112" s="246">
        <f t="shared" si="305"/>
        <v>5.9270100852224549E-3</v>
      </c>
      <c r="CQ112" s="247">
        <f>CQ110/CQ$10</f>
        <v>5.8154297024372191E-3</v>
      </c>
      <c r="CR112" s="247">
        <f t="shared" si="305"/>
        <v>5.9419904511982232E-3</v>
      </c>
      <c r="CS112" s="247">
        <f t="shared" si="305"/>
        <v>5.5909151911276347E-3</v>
      </c>
      <c r="CT112" s="247">
        <f t="shared" si="305"/>
        <v>5.5322720366587233E-3</v>
      </c>
      <c r="CU112" s="246">
        <f t="shared" si="305"/>
        <v>5.7151467533445985E-3</v>
      </c>
      <c r="CV112" s="247">
        <f t="shared" si="305"/>
        <v>5.1938257604949951E-3</v>
      </c>
      <c r="CW112" s="247">
        <f t="shared" si="305"/>
        <v>5.7844057801011073E-3</v>
      </c>
      <c r="CX112" s="247">
        <f>CX110/CX$10</f>
        <v>5.0088330054442196E-3</v>
      </c>
      <c r="CY112" s="247">
        <f>CY110/CY$10</f>
        <v>5.2319613181973108E-3</v>
      </c>
      <c r="CZ112" s="246">
        <f t="shared" si="305"/>
        <v>5.3006270446650985E-3</v>
      </c>
      <c r="DA112" s="247">
        <f t="shared" si="305"/>
        <v>4.8223996297581864E-3</v>
      </c>
      <c r="DB112" s="247">
        <f>DB110/DB$10</f>
        <v>5.0314120200433158E-3</v>
      </c>
      <c r="DC112" s="247">
        <f>DC110/DC$10</f>
        <v>4.8167656617729461E-3</v>
      </c>
      <c r="DD112" s="247">
        <f>DD110/DD$10</f>
        <v>5.1401747180843662E-3</v>
      </c>
      <c r="DE112" s="246">
        <f t="shared" ref="DE112:DJ112" si="306">DE110/DE$10</f>
        <v>4.9547532340242159E-3</v>
      </c>
      <c r="DF112" s="247">
        <f t="shared" si="306"/>
        <v>5.0905790589842207E-3</v>
      </c>
      <c r="DG112" s="247">
        <f>DG110/DG$10</f>
        <v>5.2402183928830321E-3</v>
      </c>
      <c r="DH112" s="247">
        <f>DH110/DH$10</f>
        <v>4.8333273016462333E-3</v>
      </c>
      <c r="DI112" s="247">
        <f>DI110/DI$10</f>
        <v>4.8872414991485858E-3</v>
      </c>
      <c r="DJ112" s="246">
        <f t="shared" si="306"/>
        <v>5.010031043341294E-3</v>
      </c>
      <c r="DK112" s="247">
        <f t="shared" ref="DK112:DT112" ca="1" si="307">DK110/DK$10</f>
        <v>4.7999999999999996E-3</v>
      </c>
      <c r="DL112" s="247">
        <f t="shared" ca="1" si="307"/>
        <v>4.7999999999999996E-3</v>
      </c>
      <c r="DM112" s="247">
        <f t="shared" ca="1" si="307"/>
        <v>4.7999999999999996E-3</v>
      </c>
      <c r="DN112" s="247">
        <f t="shared" ca="1" si="307"/>
        <v>4.7999999999999996E-3</v>
      </c>
      <c r="DO112" s="246">
        <f t="shared" ca="1" si="307"/>
        <v>4.7999999999999996E-3</v>
      </c>
      <c r="DP112" s="247">
        <f t="shared" ca="1" si="307"/>
        <v>5.0000000000000001E-3</v>
      </c>
      <c r="DQ112" s="247">
        <f t="shared" ca="1" si="307"/>
        <v>5.0000000000000001E-3</v>
      </c>
      <c r="DR112" s="247">
        <f t="shared" ca="1" si="307"/>
        <v>5.0000000000000001E-3</v>
      </c>
      <c r="DS112" s="247">
        <f t="shared" ca="1" si="307"/>
        <v>4.9999999999999992E-3</v>
      </c>
      <c r="DT112" s="246">
        <f t="shared" ca="1" si="307"/>
        <v>4.9999999999999992E-3</v>
      </c>
      <c r="DU112" s="247">
        <f t="shared" ref="DU112:DY112" ca="1" si="308">DU110/DU$10</f>
        <v>5.0000000000000001E-3</v>
      </c>
      <c r="DV112" s="247">
        <f t="shared" ca="1" si="308"/>
        <v>5.0000000000000001E-3</v>
      </c>
      <c r="DW112" s="247">
        <f t="shared" ca="1" si="308"/>
        <v>5.0000000000000001E-3</v>
      </c>
      <c r="DX112" s="247">
        <f t="shared" ca="1" si="308"/>
        <v>5.0000000000000001E-3</v>
      </c>
      <c r="DY112" s="246">
        <f t="shared" ca="1" si="308"/>
        <v>5.000000000000001E-3</v>
      </c>
      <c r="DZ112" s="250"/>
    </row>
    <row r="113" spans="1:130" x14ac:dyDescent="0.2">
      <c r="A113" s="243"/>
      <c r="B113" s="244" t="s">
        <v>224</v>
      </c>
      <c r="C113" s="245"/>
      <c r="D113" s="245"/>
      <c r="E113" s="245"/>
      <c r="F113" s="245"/>
      <c r="G113" s="245"/>
      <c r="H113" s="245"/>
      <c r="I113" s="246"/>
      <c r="J113" s="245"/>
      <c r="K113" s="245"/>
      <c r="L113" s="245"/>
      <c r="M113" s="245"/>
      <c r="N113" s="246"/>
      <c r="O113" s="245"/>
      <c r="P113" s="245"/>
      <c r="Q113" s="245"/>
      <c r="R113" s="245"/>
      <c r="S113" s="246"/>
      <c r="T113" s="245"/>
      <c r="U113" s="245"/>
      <c r="V113" s="245"/>
      <c r="W113" s="245"/>
      <c r="X113" s="246"/>
      <c r="Y113" s="245"/>
      <c r="Z113" s="245"/>
      <c r="AA113" s="245"/>
      <c r="AB113" s="245"/>
      <c r="AC113" s="246"/>
      <c r="AD113" s="245"/>
      <c r="AE113" s="245"/>
      <c r="AF113" s="245"/>
      <c r="AG113" s="245"/>
      <c r="AH113" s="246"/>
      <c r="AI113" s="245"/>
      <c r="AJ113" s="245"/>
      <c r="AK113" s="245"/>
      <c r="AL113" s="245"/>
      <c r="AM113" s="246"/>
      <c r="AN113" s="245"/>
      <c r="AO113" s="245"/>
      <c r="AP113" s="245"/>
      <c r="AQ113" s="245"/>
      <c r="AR113" s="246"/>
      <c r="AS113" s="245"/>
      <c r="AT113" s="245"/>
      <c r="AU113" s="245"/>
      <c r="AV113" s="245"/>
      <c r="AW113" s="246"/>
      <c r="AX113" s="245"/>
      <c r="AY113" s="245"/>
      <c r="AZ113" s="245"/>
      <c r="BA113" s="245"/>
      <c r="BB113" s="246"/>
      <c r="BC113" s="245"/>
      <c r="BD113" s="245"/>
      <c r="BE113" s="245"/>
      <c r="BF113" s="245"/>
      <c r="BG113" s="246"/>
      <c r="BH113" s="245"/>
      <c r="BI113" s="245"/>
      <c r="BJ113" s="245"/>
      <c r="BK113" s="245"/>
      <c r="BL113" s="246"/>
      <c r="BM113" s="247">
        <f t="shared" ref="BM113:DI113" si="309">BM112-BH112</f>
        <v>5.1158210634905743E-3</v>
      </c>
      <c r="BN113" s="247">
        <f t="shared" si="309"/>
        <v>5.5959470773830067E-3</v>
      </c>
      <c r="BO113" s="247">
        <f t="shared" si="309"/>
        <v>5.0375298369393293E-3</v>
      </c>
      <c r="BP113" s="247">
        <f t="shared" si="309"/>
        <v>5.314345834265312E-3</v>
      </c>
      <c r="BQ113" s="246">
        <f t="shared" si="309"/>
        <v>5.2679774876274559E-3</v>
      </c>
      <c r="BR113" s="247">
        <f t="shared" si="309"/>
        <v>2.7874760611987844E-4</v>
      </c>
      <c r="BS113" s="247">
        <f t="shared" si="309"/>
        <v>1.4565663133916593E-4</v>
      </c>
      <c r="BT113" s="247">
        <f t="shared" si="309"/>
        <v>2.1368861618319742E-4</v>
      </c>
      <c r="BU113" s="247">
        <f t="shared" si="309"/>
        <v>1.0738757135780007E-4</v>
      </c>
      <c r="BV113" s="246">
        <f t="shared" si="309"/>
        <v>1.8533962620648735E-4</v>
      </c>
      <c r="BW113" s="247">
        <f t="shared" si="309"/>
        <v>2.8724951220772919E-4</v>
      </c>
      <c r="BX113" s="247">
        <f t="shared" si="309"/>
        <v>7.5650101073465245E-4</v>
      </c>
      <c r="BY113" s="247">
        <f t="shared" si="309"/>
        <v>1.785430761537159E-3</v>
      </c>
      <c r="BZ113" s="247">
        <f t="shared" si="309"/>
        <v>1.320021065330826E-3</v>
      </c>
      <c r="CA113" s="246">
        <f t="shared" si="309"/>
        <v>1.0395832211831189E-3</v>
      </c>
      <c r="CB113" s="247">
        <f t="shared" si="309"/>
        <v>-1.7563580160182002E-6</v>
      </c>
      <c r="CC113" s="247">
        <f t="shared" si="309"/>
        <v>-4.145116442380789E-4</v>
      </c>
      <c r="CD113" s="247">
        <f t="shared" si="309"/>
        <v>-1.2632369030453798E-3</v>
      </c>
      <c r="CE113" s="247">
        <f t="shared" si="309"/>
        <v>-1.3668913145461273E-3</v>
      </c>
      <c r="CF113" s="246">
        <f t="shared" si="309"/>
        <v>-7.701096373426428E-4</v>
      </c>
      <c r="CG113" s="247">
        <f t="shared" si="309"/>
        <v>-2.2516215499250071E-4</v>
      </c>
      <c r="CH113" s="247">
        <f t="shared" si="309"/>
        <v>-3.6966084798982415E-4</v>
      </c>
      <c r="CI113" s="247">
        <f t="shared" si="309"/>
        <v>-1.8905644787523424E-4</v>
      </c>
      <c r="CJ113" s="247">
        <f t="shared" si="309"/>
        <v>4.2242294921746807E-4</v>
      </c>
      <c r="CK113" s="246">
        <f t="shared" si="309"/>
        <v>-8.4204348039835716E-5</v>
      </c>
      <c r="CL113" s="247">
        <f t="shared" si="309"/>
        <v>1.0139102652019739E-3</v>
      </c>
      <c r="CM113" s="247">
        <f t="shared" si="309"/>
        <v>-8.4826003850370195E-5</v>
      </c>
      <c r="CN113" s="247">
        <f t="shared" si="309"/>
        <v>5.5916151539487161E-6</v>
      </c>
      <c r="CO113" s="247">
        <f t="shared" si="309"/>
        <v>2.3380140910976392E-4</v>
      </c>
      <c r="CP113" s="246">
        <f t="shared" si="309"/>
        <v>2.8842373558787132E-4</v>
      </c>
      <c r="CQ113" s="247">
        <f t="shared" si="309"/>
        <v>-6.5338023157441791E-4</v>
      </c>
      <c r="CR113" s="247">
        <f t="shared" si="309"/>
        <v>3.1288422781967137E-4</v>
      </c>
      <c r="CS113" s="247">
        <f t="shared" si="309"/>
        <v>9.6771223461432354E-7</v>
      </c>
      <c r="CT113" s="247">
        <f t="shared" si="309"/>
        <v>-4.9881547807631953E-4</v>
      </c>
      <c r="CU113" s="246">
        <f t="shared" si="309"/>
        <v>-2.1186333187785643E-4</v>
      </c>
      <c r="CV113" s="247">
        <f t="shared" si="309"/>
        <v>-6.2160394194222396E-4</v>
      </c>
      <c r="CW113" s="247">
        <f t="shared" si="309"/>
        <v>-1.5758467109711592E-4</v>
      </c>
      <c r="CX113" s="247">
        <f t="shared" si="309"/>
        <v>-5.8208218568341508E-4</v>
      </c>
      <c r="CY113" s="247">
        <f t="shared" si="309"/>
        <v>-3.0031071846141257E-4</v>
      </c>
      <c r="CZ113" s="246">
        <f t="shared" si="309"/>
        <v>-4.1451970867949998E-4</v>
      </c>
      <c r="DA113" s="247">
        <f t="shared" si="309"/>
        <v>-3.7142613073680875E-4</v>
      </c>
      <c r="DB113" s="247">
        <f t="shared" si="309"/>
        <v>-7.5299376005779142E-4</v>
      </c>
      <c r="DC113" s="247">
        <f t="shared" si="309"/>
        <v>-1.9206734367127349E-4</v>
      </c>
      <c r="DD113" s="247">
        <f t="shared" si="309"/>
        <v>-9.1786600112944532E-5</v>
      </c>
      <c r="DE113" s="246">
        <f t="shared" ref="DE113:DJ113" si="310">DE112-CZ112</f>
        <v>-3.4587381064088256E-4</v>
      </c>
      <c r="DF113" s="247">
        <f t="shared" si="309"/>
        <v>2.6817942922603439E-4</v>
      </c>
      <c r="DG113" s="247">
        <f t="shared" si="309"/>
        <v>2.0880637283971631E-4</v>
      </c>
      <c r="DH113" s="247">
        <f t="shared" si="309"/>
        <v>1.6561639873287175E-5</v>
      </c>
      <c r="DI113" s="247">
        <f t="shared" si="309"/>
        <v>-2.5293321893578042E-4</v>
      </c>
      <c r="DJ113" s="246">
        <f t="shared" si="310"/>
        <v>5.5277809317078042E-5</v>
      </c>
      <c r="DK113" s="247">
        <f t="shared" ref="DK113:DT113" ca="1" si="311">DK112-DF112</f>
        <v>-2.9057905898422116E-4</v>
      </c>
      <c r="DL113" s="247">
        <f t="shared" ca="1" si="311"/>
        <v>-4.4021839288303256E-4</v>
      </c>
      <c r="DM113" s="247">
        <f t="shared" ca="1" si="311"/>
        <v>-3.3327301646233695E-5</v>
      </c>
      <c r="DN113" s="247">
        <f t="shared" ca="1" si="311"/>
        <v>-8.7241499148586234E-5</v>
      </c>
      <c r="DO113" s="246">
        <f t="shared" ca="1" si="311"/>
        <v>-2.1003104334129438E-4</v>
      </c>
      <c r="DP113" s="247">
        <f t="shared" ca="1" si="311"/>
        <v>2.0000000000000052E-4</v>
      </c>
      <c r="DQ113" s="247">
        <f t="shared" ca="1" si="311"/>
        <v>2.0000000000000052E-4</v>
      </c>
      <c r="DR113" s="247">
        <f t="shared" ca="1" si="311"/>
        <v>2.0000000000000052E-4</v>
      </c>
      <c r="DS113" s="247">
        <f t="shared" ca="1" si="311"/>
        <v>1.9999999999999966E-4</v>
      </c>
      <c r="DT113" s="246">
        <f t="shared" ca="1" si="311"/>
        <v>1.9999999999999966E-4</v>
      </c>
      <c r="DU113" s="247">
        <f t="shared" ref="DU113" ca="1" si="312">DU112-DP112</f>
        <v>0</v>
      </c>
      <c r="DV113" s="247">
        <f t="shared" ref="DV113" ca="1" si="313">DV112-DQ112</f>
        <v>0</v>
      </c>
      <c r="DW113" s="247">
        <f t="shared" ref="DW113" ca="1" si="314">DW112-DR112</f>
        <v>0</v>
      </c>
      <c r="DX113" s="247">
        <f t="shared" ref="DX113" ca="1" si="315">DX112-DS112</f>
        <v>0</v>
      </c>
      <c r="DY113" s="246">
        <f t="shared" ref="DY113" ca="1" si="316">DY112-DT112</f>
        <v>0</v>
      </c>
      <c r="DZ113" s="250"/>
    </row>
    <row r="114" spans="1:130" ht="8.25" customHeight="1" x14ac:dyDescent="0.2">
      <c r="A114" s="243"/>
      <c r="B114" s="244"/>
      <c r="C114" s="245"/>
      <c r="D114" s="245"/>
      <c r="E114" s="245"/>
      <c r="F114" s="245"/>
      <c r="G114" s="245"/>
      <c r="H114" s="245"/>
      <c r="I114" s="246"/>
      <c r="J114" s="245"/>
      <c r="K114" s="245"/>
      <c r="L114" s="245"/>
      <c r="M114" s="245"/>
      <c r="N114" s="246"/>
      <c r="O114" s="245"/>
      <c r="P114" s="245"/>
      <c r="Q114" s="245"/>
      <c r="R114" s="245"/>
      <c r="S114" s="246"/>
      <c r="T114" s="245"/>
      <c r="U114" s="245"/>
      <c r="V114" s="245"/>
      <c r="W114" s="245"/>
      <c r="X114" s="246"/>
      <c r="Y114" s="245"/>
      <c r="Z114" s="245"/>
      <c r="AA114" s="245"/>
      <c r="AB114" s="245"/>
      <c r="AC114" s="246"/>
      <c r="AD114" s="245"/>
      <c r="AE114" s="245"/>
      <c r="AF114" s="245"/>
      <c r="AG114" s="245"/>
      <c r="AH114" s="246"/>
      <c r="AI114" s="245"/>
      <c r="AJ114" s="245"/>
      <c r="AK114" s="245"/>
      <c r="AL114" s="245"/>
      <c r="AM114" s="246"/>
      <c r="AN114" s="245"/>
      <c r="AO114" s="245"/>
      <c r="AP114" s="245"/>
      <c r="AQ114" s="245"/>
      <c r="AR114" s="246"/>
      <c r="AS114" s="245"/>
      <c r="AT114" s="245"/>
      <c r="AU114" s="245"/>
      <c r="AV114" s="245"/>
      <c r="AW114" s="246"/>
      <c r="AX114" s="245"/>
      <c r="AY114" s="245"/>
      <c r="AZ114" s="245"/>
      <c r="BA114" s="245"/>
      <c r="BB114" s="246"/>
      <c r="BC114" s="245"/>
      <c r="BD114" s="245"/>
      <c r="BE114" s="245"/>
      <c r="BF114" s="245"/>
      <c r="BG114" s="246"/>
      <c r="BH114" s="245"/>
      <c r="BI114" s="245"/>
      <c r="BJ114" s="245"/>
      <c r="BK114" s="245"/>
      <c r="BL114" s="246"/>
      <c r="BM114" s="245"/>
      <c r="BN114" s="245"/>
      <c r="BO114" s="245"/>
      <c r="BP114" s="245"/>
      <c r="BQ114" s="246"/>
      <c r="BR114" s="245"/>
      <c r="BS114" s="245"/>
      <c r="BT114" s="245"/>
      <c r="BU114" s="245"/>
      <c r="BV114" s="246"/>
      <c r="BW114" s="245"/>
      <c r="BX114" s="245"/>
      <c r="BY114" s="245"/>
      <c r="BZ114" s="245"/>
      <c r="CA114" s="246"/>
      <c r="CB114" s="245"/>
      <c r="CC114" s="245"/>
      <c r="CD114" s="245"/>
      <c r="CE114" s="245"/>
      <c r="CF114" s="246"/>
      <c r="CG114" s="247"/>
      <c r="CH114" s="256"/>
      <c r="CI114" s="256"/>
      <c r="CJ114" s="256"/>
      <c r="CK114" s="246"/>
      <c r="CL114" s="256"/>
      <c r="CM114" s="256"/>
      <c r="CN114" s="256"/>
      <c r="CO114" s="256"/>
      <c r="CP114" s="246"/>
      <c r="CQ114" s="256"/>
      <c r="CR114" s="256"/>
      <c r="CS114" s="256"/>
      <c r="CT114" s="256"/>
      <c r="CU114" s="246"/>
      <c r="CV114" s="256"/>
      <c r="CW114" s="256"/>
      <c r="CX114" s="256"/>
      <c r="CY114" s="256"/>
      <c r="CZ114" s="246"/>
      <c r="DA114" s="256"/>
      <c r="DB114" s="256"/>
      <c r="DC114" s="256"/>
      <c r="DD114" s="256"/>
      <c r="DE114" s="246"/>
      <c r="DF114" s="256"/>
      <c r="DG114" s="256"/>
      <c r="DH114" s="256"/>
      <c r="DI114" s="256"/>
      <c r="DJ114" s="246"/>
      <c r="DK114" s="256"/>
      <c r="DL114" s="256"/>
      <c r="DM114" s="256"/>
      <c r="DN114" s="256"/>
      <c r="DO114" s="246"/>
      <c r="DP114" s="256"/>
      <c r="DQ114" s="256"/>
      <c r="DR114" s="256"/>
      <c r="DS114" s="256"/>
      <c r="DT114" s="246"/>
      <c r="DU114" s="256"/>
      <c r="DV114" s="256"/>
      <c r="DW114" s="256"/>
      <c r="DX114" s="256"/>
      <c r="DY114" s="246"/>
      <c r="DZ114" s="250"/>
    </row>
    <row r="115" spans="1:130" x14ac:dyDescent="0.2">
      <c r="A115" s="240"/>
      <c r="B115" s="254" t="s">
        <v>228</v>
      </c>
      <c r="C115" s="238"/>
      <c r="D115" s="238"/>
      <c r="E115" s="238"/>
      <c r="F115" s="238"/>
      <c r="G115" s="238"/>
      <c r="H115" s="238"/>
      <c r="I115" s="239"/>
      <c r="J115" s="238"/>
      <c r="K115" s="238"/>
      <c r="L115" s="238"/>
      <c r="M115" s="238"/>
      <c r="N115" s="239"/>
      <c r="O115" s="238"/>
      <c r="P115" s="238"/>
      <c r="Q115" s="238"/>
      <c r="R115" s="238"/>
      <c r="S115" s="239"/>
      <c r="T115" s="238"/>
      <c r="U115" s="238"/>
      <c r="V115" s="238"/>
      <c r="W115" s="238"/>
      <c r="X115" s="239"/>
      <c r="Y115" s="238"/>
      <c r="Z115" s="238"/>
      <c r="AA115" s="238"/>
      <c r="AB115" s="238"/>
      <c r="AC115" s="239"/>
      <c r="AD115" s="238"/>
      <c r="AE115" s="238"/>
      <c r="AF115" s="255"/>
      <c r="AG115" s="238"/>
      <c r="AH115" s="239"/>
      <c r="AI115" s="255"/>
      <c r="AJ115" s="255"/>
      <c r="AK115" s="255"/>
      <c r="AL115" s="238"/>
      <c r="AM115" s="239"/>
      <c r="AN115" s="255"/>
      <c r="AO115" s="255"/>
      <c r="AP115" s="255"/>
      <c r="AQ115" s="238"/>
      <c r="AR115" s="239"/>
      <c r="AS115" s="238"/>
      <c r="AT115" s="238"/>
      <c r="AU115" s="238"/>
      <c r="AV115" s="238"/>
      <c r="AW115" s="239"/>
      <c r="AX115" s="238">
        <f t="shared" ref="AX115:BG115" si="317">AX100+AX105+AX110</f>
        <v>1102.3999999999999</v>
      </c>
      <c r="AY115" s="238">
        <f t="shared" si="317"/>
        <v>1157.9000000000001</v>
      </c>
      <c r="AZ115" s="238">
        <f t="shared" si="317"/>
        <v>1141.0999999999999</v>
      </c>
      <c r="BA115" s="238">
        <f t="shared" si="317"/>
        <v>1202</v>
      </c>
      <c r="BB115" s="239">
        <f t="shared" si="317"/>
        <v>7086</v>
      </c>
      <c r="BC115" s="238">
        <f t="shared" si="317"/>
        <v>1868.5500000000002</v>
      </c>
      <c r="BD115" s="238">
        <f t="shared" si="317"/>
        <v>2006.2499999999998</v>
      </c>
      <c r="BE115" s="238">
        <f t="shared" si="317"/>
        <v>2295.0499999999997</v>
      </c>
      <c r="BF115" s="238">
        <f t="shared" si="317"/>
        <v>2356.0499999999997</v>
      </c>
      <c r="BG115" s="239">
        <f t="shared" si="317"/>
        <v>8567.2999999999993</v>
      </c>
      <c r="BH115" s="238">
        <f>BH100+BH105</f>
        <v>2403.8999999999996</v>
      </c>
      <c r="BI115" s="238">
        <f>BI100+BI105</f>
        <v>2540.6999999999998</v>
      </c>
      <c r="BJ115" s="238">
        <f>BJ100+BJ105</f>
        <v>2622.3999999999996</v>
      </c>
      <c r="BK115" s="238">
        <f>BK100+BK105</f>
        <v>2698.8</v>
      </c>
      <c r="BL115" s="239">
        <f>BL100+BL105+BL110</f>
        <v>10219.799999999999</v>
      </c>
      <c r="BM115" s="238">
        <f>BM100+BM105</f>
        <v>2514.4999999999995</v>
      </c>
      <c r="BN115" s="238">
        <f>BN100+BN105</f>
        <v>2466.8000000000002</v>
      </c>
      <c r="BO115" s="238">
        <f>BO100+BO105</f>
        <v>2518.4999999999995</v>
      </c>
      <c r="BP115" s="238">
        <f>BP100+BP105</f>
        <v>3009.5</v>
      </c>
      <c r="BQ115" s="239">
        <f t="shared" ref="BQ115:CZ115" si="318">BQ100+BQ105+BQ110</f>
        <v>10967.599999999999</v>
      </c>
      <c r="BR115" s="238">
        <f t="shared" si="318"/>
        <v>3016.8999999999996</v>
      </c>
      <c r="BS115" s="238">
        <f t="shared" si="318"/>
        <v>3070.1000000000004</v>
      </c>
      <c r="BT115" s="238">
        <f t="shared" si="318"/>
        <v>3145.5</v>
      </c>
      <c r="BU115" s="238">
        <f t="shared" si="318"/>
        <v>3320.5</v>
      </c>
      <c r="BV115" s="239">
        <f t="shared" si="318"/>
        <v>12553.8</v>
      </c>
      <c r="BW115" s="238">
        <f t="shared" si="318"/>
        <v>2978</v>
      </c>
      <c r="BX115" s="238">
        <f t="shared" si="318"/>
        <v>3151</v>
      </c>
      <c r="BY115" s="238">
        <f t="shared" si="318"/>
        <v>3170</v>
      </c>
      <c r="BZ115" s="238">
        <f t="shared" si="318"/>
        <v>3324</v>
      </c>
      <c r="CA115" s="239">
        <f t="shared" si="318"/>
        <v>12623</v>
      </c>
      <c r="CB115" s="238">
        <f t="shared" si="318"/>
        <v>3066</v>
      </c>
      <c r="CC115" s="238">
        <f t="shared" si="318"/>
        <v>3214</v>
      </c>
      <c r="CD115" s="238">
        <f t="shared" si="318"/>
        <v>3187</v>
      </c>
      <c r="CE115" s="238">
        <f t="shared" si="318"/>
        <v>3184.7</v>
      </c>
      <c r="CF115" s="239">
        <f t="shared" si="318"/>
        <v>12651.7</v>
      </c>
      <c r="CG115" s="238">
        <f t="shared" si="318"/>
        <v>3307</v>
      </c>
      <c r="CH115" s="238">
        <f t="shared" si="318"/>
        <v>3331.4</v>
      </c>
      <c r="CI115" s="238">
        <f t="shared" si="318"/>
        <v>3411</v>
      </c>
      <c r="CJ115" s="238">
        <f t="shared" si="318"/>
        <v>3559.9</v>
      </c>
      <c r="CK115" s="239">
        <f t="shared" si="318"/>
        <v>13609.3</v>
      </c>
      <c r="CL115" s="238">
        <f t="shared" ca="1" si="318"/>
        <v>3395.8151300236404</v>
      </c>
      <c r="CM115" s="238">
        <f t="shared" si="318"/>
        <v>3441.1000000000004</v>
      </c>
      <c r="CN115" s="238">
        <f>CN100+CN105+CN110</f>
        <v>3448.2</v>
      </c>
      <c r="CO115" s="238">
        <f>CO100+CO105+CO110</f>
        <v>3688.2</v>
      </c>
      <c r="CP115" s="239">
        <f t="shared" ca="1" si="318"/>
        <v>13973.31513002364</v>
      </c>
      <c r="CQ115" s="238">
        <f>CQ100+CQ105+CQ110</f>
        <v>3463.8999999999996</v>
      </c>
      <c r="CR115" s="238">
        <f t="shared" si="318"/>
        <v>3731.7899199999997</v>
      </c>
      <c r="CS115" s="238">
        <f t="shared" si="318"/>
        <v>3839.8856000000005</v>
      </c>
      <c r="CT115" s="238">
        <f t="shared" si="318"/>
        <v>3909.3912960000002</v>
      </c>
      <c r="CU115" s="239">
        <f t="shared" si="318"/>
        <v>15010.958415999999</v>
      </c>
      <c r="CV115" s="238">
        <f>CV100+CV105+CV110</f>
        <v>3566.9999999999995</v>
      </c>
      <c r="CW115" s="238">
        <f>CW100+CW105+CW110</f>
        <v>3676.5</v>
      </c>
      <c r="CX115" s="238">
        <f>CX100+CX105+CX110</f>
        <v>3708.312886255128</v>
      </c>
      <c r="CY115" s="238">
        <f>CY100+CY105+CY110</f>
        <v>3865.9899274399991</v>
      </c>
      <c r="CZ115" s="239">
        <f t="shared" si="318"/>
        <v>14817.802813695127</v>
      </c>
      <c r="DA115" s="238">
        <f>DA100+DA105+DA110</f>
        <v>3986.529</v>
      </c>
      <c r="DB115" s="238">
        <f>DB100+DB105+DB110</f>
        <v>4009.3</v>
      </c>
      <c r="DC115" s="238">
        <f>DC100+DC105+DC110</f>
        <v>4040.1</v>
      </c>
      <c r="DD115" s="238">
        <f>DD100+DD105+DD110</f>
        <v>4019.8</v>
      </c>
      <c r="DE115" s="239">
        <f t="shared" ref="DE115:DJ115" si="319">DE100+DE105+DE110</f>
        <v>16055.729000000001</v>
      </c>
      <c r="DF115" s="238">
        <f>DF100+DF105+DF110</f>
        <v>3982.8</v>
      </c>
      <c r="DG115" s="238">
        <f>DG100+DG105+DG110</f>
        <v>4077.4795170056918</v>
      </c>
      <c r="DH115" s="238">
        <f>DH100+DH105+DH110</f>
        <v>4033.5445473973141</v>
      </c>
      <c r="DI115" s="238">
        <f>DI100+DI105+DI110</f>
        <v>3933.9834796499999</v>
      </c>
      <c r="DJ115" s="239">
        <f t="shared" si="319"/>
        <v>16027.807544053006</v>
      </c>
      <c r="DK115" s="238">
        <f t="shared" ref="DK115:DT115" ca="1" si="320">DK100+DK105+DK110</f>
        <v>3985.1621352215775</v>
      </c>
      <c r="DL115" s="238">
        <f t="shared" ca="1" si="320"/>
        <v>4022.9233572703497</v>
      </c>
      <c r="DM115" s="238">
        <f t="shared" ca="1" si="320"/>
        <v>4022.3921692521726</v>
      </c>
      <c r="DN115" s="238">
        <f t="shared" ca="1" si="320"/>
        <v>4043.9525101345562</v>
      </c>
      <c r="DO115" s="239">
        <f t="shared" ca="1" si="320"/>
        <v>16074.430171878656</v>
      </c>
      <c r="DP115" s="238">
        <f t="shared" ca="1" si="320"/>
        <v>4053.4823454550606</v>
      </c>
      <c r="DQ115" s="238">
        <f t="shared" ca="1" si="320"/>
        <v>4092.7855312976085</v>
      </c>
      <c r="DR115" s="238">
        <f t="shared" ca="1" si="320"/>
        <v>4091.7411947009641</v>
      </c>
      <c r="DS115" s="238">
        <f t="shared" ca="1" si="320"/>
        <v>4112.7718650287898</v>
      </c>
      <c r="DT115" s="239">
        <f t="shared" ca="1" si="320"/>
        <v>16350.780936482424</v>
      </c>
      <c r="DU115" s="238">
        <f t="shared" ref="DU115:DY115" ca="1" si="321">DU100+DU105+DU110</f>
        <v>4109.4355650219759</v>
      </c>
      <c r="DV115" s="238">
        <f t="shared" ca="1" si="321"/>
        <v>4149.0580212003861</v>
      </c>
      <c r="DW115" s="238">
        <f t="shared" ca="1" si="321"/>
        <v>4147.6319416008237</v>
      </c>
      <c r="DX115" s="238">
        <f t="shared" ca="1" si="321"/>
        <v>4167.7115933392142</v>
      </c>
      <c r="DY115" s="239">
        <f t="shared" ca="1" si="321"/>
        <v>16573.8371211624</v>
      </c>
      <c r="DZ115" s="240"/>
    </row>
    <row r="116" spans="1:130" ht="6.75" customHeight="1" x14ac:dyDescent="0.2">
      <c r="A116" s="16"/>
      <c r="B116" s="251"/>
      <c r="C116" s="252"/>
      <c r="D116" s="102"/>
      <c r="E116" s="164"/>
      <c r="F116" s="164"/>
      <c r="G116" s="164"/>
      <c r="H116" s="102"/>
      <c r="I116" s="165"/>
      <c r="J116" s="59"/>
      <c r="K116" s="59"/>
      <c r="L116" s="59"/>
      <c r="M116" s="59"/>
      <c r="N116" s="165"/>
      <c r="O116" s="59"/>
      <c r="P116" s="59"/>
      <c r="Q116" s="59"/>
      <c r="R116" s="59"/>
      <c r="S116" s="165"/>
      <c r="T116" s="59"/>
      <c r="U116" s="78"/>
      <c r="V116" s="59"/>
      <c r="W116" s="59"/>
      <c r="X116" s="165"/>
      <c r="Y116" s="59"/>
      <c r="Z116" s="59"/>
      <c r="AA116" s="59"/>
      <c r="AB116" s="59"/>
      <c r="AC116" s="165"/>
      <c r="AD116" s="59"/>
      <c r="AE116" s="59"/>
      <c r="AF116" s="60"/>
      <c r="AG116" s="59"/>
      <c r="AH116" s="165"/>
      <c r="AI116" s="60"/>
      <c r="AJ116" s="60"/>
      <c r="AK116" s="60"/>
      <c r="AL116" s="59"/>
      <c r="AM116" s="165"/>
      <c r="AN116" s="60"/>
      <c r="AO116" s="60"/>
      <c r="AP116" s="60"/>
      <c r="AQ116" s="59"/>
      <c r="AR116" s="165"/>
      <c r="AS116" s="234"/>
      <c r="AT116" s="59"/>
      <c r="AU116" s="59"/>
      <c r="AV116" s="59"/>
      <c r="AW116" s="165"/>
      <c r="AX116" s="235"/>
      <c r="AY116" s="235"/>
      <c r="AZ116" s="235"/>
      <c r="BA116" s="59"/>
      <c r="BB116" s="165"/>
      <c r="BC116" s="59"/>
      <c r="BD116" s="59"/>
      <c r="BE116" s="59"/>
      <c r="BF116" s="59"/>
      <c r="BG116" s="165"/>
      <c r="BH116" s="59"/>
      <c r="BI116" s="59"/>
      <c r="BJ116" s="59"/>
      <c r="BK116" s="59"/>
      <c r="BL116" s="165"/>
      <c r="BM116" s="59"/>
      <c r="BN116" s="59"/>
      <c r="BO116" s="59"/>
      <c r="BP116" s="59"/>
      <c r="BQ116" s="165"/>
      <c r="BR116" s="59"/>
      <c r="BS116" s="59"/>
      <c r="BT116" s="59"/>
      <c r="BU116" s="59"/>
      <c r="BV116" s="165"/>
      <c r="BW116" s="59"/>
      <c r="BX116" s="59"/>
      <c r="BY116" s="59"/>
      <c r="BZ116" s="59"/>
      <c r="CA116" s="165"/>
      <c r="CB116" s="59"/>
      <c r="CC116" s="59"/>
      <c r="CD116" s="59"/>
      <c r="CE116" s="59"/>
      <c r="CF116" s="165"/>
      <c r="CG116" s="236"/>
      <c r="CH116" s="236"/>
      <c r="CI116" s="236"/>
      <c r="CJ116" s="236"/>
      <c r="CK116" s="165"/>
      <c r="CL116" s="236"/>
      <c r="CM116" s="236"/>
      <c r="CN116" s="236"/>
      <c r="CO116" s="236"/>
      <c r="CP116" s="165"/>
      <c r="CQ116" s="236"/>
      <c r="CR116" s="236"/>
      <c r="CS116" s="236"/>
      <c r="CT116" s="236"/>
      <c r="CU116" s="165"/>
      <c r="CV116" s="236"/>
      <c r="CW116" s="236"/>
      <c r="CX116" s="236"/>
      <c r="CY116" s="236"/>
      <c r="CZ116" s="165"/>
      <c r="DA116" s="236"/>
      <c r="DB116" s="236"/>
      <c r="DC116" s="236"/>
      <c r="DD116" s="236"/>
      <c r="DE116" s="165"/>
      <c r="DF116" s="236"/>
      <c r="DG116" s="236"/>
      <c r="DH116" s="236"/>
      <c r="DI116" s="236"/>
      <c r="DJ116" s="165"/>
      <c r="DK116" s="236"/>
      <c r="DL116" s="236"/>
      <c r="DM116" s="236"/>
      <c r="DN116" s="236"/>
      <c r="DO116" s="165"/>
      <c r="DP116" s="236"/>
      <c r="DQ116" s="236"/>
      <c r="DR116" s="236"/>
      <c r="DS116" s="236"/>
      <c r="DT116" s="165"/>
      <c r="DU116" s="236"/>
      <c r="DV116" s="236"/>
      <c r="DW116" s="236"/>
      <c r="DX116" s="236"/>
      <c r="DY116" s="165"/>
      <c r="DZ116" s="16"/>
    </row>
    <row r="117" spans="1:130" hidden="1" outlineLevel="1" x14ac:dyDescent="0.2">
      <c r="A117" s="16"/>
      <c r="B117" s="257" t="s">
        <v>229</v>
      </c>
      <c r="C117" s="252"/>
      <c r="D117" s="102"/>
      <c r="E117" s="164"/>
      <c r="F117" s="164"/>
      <c r="G117" s="164"/>
      <c r="H117" s="102"/>
      <c r="I117" s="165"/>
      <c r="J117" s="59"/>
      <c r="K117" s="59"/>
      <c r="L117" s="59"/>
      <c r="M117" s="59"/>
      <c r="N117" s="165"/>
      <c r="O117" s="59"/>
      <c r="P117" s="59"/>
      <c r="Q117" s="59"/>
      <c r="R117" s="59"/>
      <c r="S117" s="165"/>
      <c r="T117" s="59"/>
      <c r="U117" s="78"/>
      <c r="V117" s="59"/>
      <c r="W117" s="59"/>
      <c r="X117" s="165"/>
      <c r="Y117" s="59"/>
      <c r="Z117" s="59"/>
      <c r="AA117" s="59"/>
      <c r="AB117" s="59"/>
      <c r="AC117" s="165"/>
      <c r="AD117" s="59"/>
      <c r="AE117" s="59"/>
      <c r="AF117" s="60"/>
      <c r="AG117" s="59"/>
      <c r="AH117" s="165"/>
      <c r="AI117" s="60"/>
      <c r="AJ117" s="60"/>
      <c r="AK117" s="60"/>
      <c r="AL117" s="59"/>
      <c r="AM117" s="165"/>
      <c r="AN117" s="60"/>
      <c r="AO117" s="60"/>
      <c r="AP117" s="60"/>
      <c r="AQ117" s="59"/>
      <c r="AR117" s="165"/>
      <c r="AS117" s="234"/>
      <c r="AT117" s="59"/>
      <c r="AU117" s="59"/>
      <c r="AV117" s="59"/>
      <c r="AW117" s="165"/>
      <c r="AX117" s="235"/>
      <c r="AY117" s="235"/>
      <c r="AZ117" s="235"/>
      <c r="BA117" s="59"/>
      <c r="BB117" s="165"/>
      <c r="BC117" s="59"/>
      <c r="BD117" s="59"/>
      <c r="BE117" s="59"/>
      <c r="BF117" s="59"/>
      <c r="BG117" s="165"/>
      <c r="BH117" s="59"/>
      <c r="BI117" s="59"/>
      <c r="BJ117" s="59"/>
      <c r="BK117" s="59"/>
      <c r="BL117" s="165"/>
      <c r="BM117" s="59"/>
      <c r="BN117" s="59"/>
      <c r="BO117" s="59"/>
      <c r="BP117" s="59"/>
      <c r="BQ117" s="165"/>
      <c r="BR117" s="59"/>
      <c r="BS117" s="59"/>
      <c r="BT117" s="59"/>
      <c r="BU117" s="59"/>
      <c r="BV117" s="165"/>
      <c r="BW117" s="59"/>
      <c r="BX117" s="59"/>
      <c r="BY117" s="59"/>
      <c r="BZ117" s="59"/>
      <c r="CA117" s="165"/>
      <c r="CB117" s="59"/>
      <c r="CC117" s="59"/>
      <c r="CD117" s="59"/>
      <c r="CE117" s="59"/>
      <c r="CF117" s="165"/>
      <c r="CG117" s="236"/>
      <c r="CH117" s="236"/>
      <c r="CI117" s="236"/>
      <c r="CJ117" s="236"/>
      <c r="CK117" s="165"/>
      <c r="CL117" s="236"/>
      <c r="CM117" s="236"/>
      <c r="CN117" s="236"/>
      <c r="CO117" s="236"/>
      <c r="CP117" s="165"/>
      <c r="CQ117" s="236"/>
      <c r="CR117" s="236"/>
      <c r="CS117" s="236"/>
      <c r="CT117" s="236"/>
      <c r="CU117" s="165"/>
      <c r="CV117" s="236"/>
      <c r="CW117" s="236"/>
      <c r="CX117" s="236"/>
      <c r="CY117" s="236"/>
      <c r="CZ117" s="165"/>
      <c r="DA117" s="236"/>
      <c r="DB117" s="236"/>
      <c r="DC117" s="236"/>
      <c r="DD117" s="236"/>
      <c r="DE117" s="165"/>
      <c r="DF117" s="236"/>
      <c r="DG117" s="236"/>
      <c r="DH117" s="236"/>
      <c r="DI117" s="236"/>
      <c r="DJ117" s="165"/>
      <c r="DK117" s="236"/>
      <c r="DL117" s="236"/>
      <c r="DM117" s="236"/>
      <c r="DN117" s="236"/>
      <c r="DO117" s="165"/>
      <c r="DP117" s="236"/>
      <c r="DQ117" s="236"/>
      <c r="DR117" s="236"/>
      <c r="DS117" s="236"/>
      <c r="DT117" s="165"/>
      <c r="DU117" s="236"/>
      <c r="DV117" s="236"/>
      <c r="DW117" s="236"/>
      <c r="DX117" s="236"/>
      <c r="DY117" s="165"/>
      <c r="DZ117" s="16"/>
    </row>
    <row r="118" spans="1:130" hidden="1" outlineLevel="1" x14ac:dyDescent="0.2">
      <c r="A118" s="16"/>
      <c r="B118" s="251" t="s">
        <v>230</v>
      </c>
      <c r="C118" s="252"/>
      <c r="D118" s="102"/>
      <c r="E118" s="164"/>
      <c r="F118" s="164"/>
      <c r="G118" s="164"/>
      <c r="H118" s="102"/>
      <c r="I118" s="165"/>
      <c r="J118" s="59"/>
      <c r="K118" s="59"/>
      <c r="L118" s="59"/>
      <c r="M118" s="59"/>
      <c r="N118" s="165"/>
      <c r="O118" s="59"/>
      <c r="P118" s="59"/>
      <c r="Q118" s="59"/>
      <c r="R118" s="59"/>
      <c r="S118" s="165"/>
      <c r="T118" s="59"/>
      <c r="U118" s="78"/>
      <c r="V118" s="59"/>
      <c r="W118" s="59"/>
      <c r="X118" s="165"/>
      <c r="Y118" s="59"/>
      <c r="Z118" s="59"/>
      <c r="AA118" s="59"/>
      <c r="AB118" s="59"/>
      <c r="AC118" s="165"/>
      <c r="AD118" s="59"/>
      <c r="AE118" s="59"/>
      <c r="AF118" s="60"/>
      <c r="AG118" s="59"/>
      <c r="AH118" s="165"/>
      <c r="AI118" s="60"/>
      <c r="AJ118" s="60"/>
      <c r="AK118" s="60"/>
      <c r="AL118" s="59"/>
      <c r="AM118" s="165"/>
      <c r="AN118" s="60"/>
      <c r="AO118" s="60"/>
      <c r="AP118" s="60"/>
      <c r="AQ118" s="59"/>
      <c r="AR118" s="165"/>
      <c r="AS118" s="234"/>
      <c r="AT118" s="59"/>
      <c r="AU118" s="59"/>
      <c r="AV118" s="59"/>
      <c r="AW118" s="165"/>
      <c r="AX118" s="235"/>
      <c r="AY118" s="235"/>
      <c r="AZ118" s="235"/>
      <c r="BA118" s="59"/>
      <c r="BB118" s="165"/>
      <c r="BC118" s="59"/>
      <c r="BD118" s="59"/>
      <c r="BE118" s="59"/>
      <c r="BF118" s="59"/>
      <c r="BG118" s="165"/>
      <c r="BH118" s="59"/>
      <c r="BI118" s="59"/>
      <c r="BJ118" s="59"/>
      <c r="BK118" s="59"/>
      <c r="BL118" s="165"/>
      <c r="BM118" s="59">
        <v>51.9</v>
      </c>
      <c r="BN118" s="59">
        <v>44.3</v>
      </c>
      <c r="BO118" s="59">
        <v>47.5</v>
      </c>
      <c r="BP118" s="59">
        <v>48.3</v>
      </c>
      <c r="BQ118" s="165">
        <f>SUM(BM118:BP118)</f>
        <v>192</v>
      </c>
      <c r="BR118" s="59">
        <v>45.1</v>
      </c>
      <c r="BS118" s="59">
        <v>49.3</v>
      </c>
      <c r="BT118" s="59">
        <v>56.5</v>
      </c>
      <c r="BU118" s="59"/>
      <c r="BV118" s="165">
        <f>SUM(BR118:BU118)</f>
        <v>150.9</v>
      </c>
      <c r="BW118" s="59"/>
      <c r="BX118" s="59"/>
      <c r="BY118" s="59"/>
      <c r="BZ118" s="59"/>
      <c r="CA118" s="165"/>
      <c r="CB118" s="59"/>
      <c r="CC118" s="59"/>
      <c r="CD118" s="59"/>
      <c r="CE118" s="59"/>
      <c r="CF118" s="165"/>
      <c r="CG118" s="236"/>
      <c r="CH118" s="236"/>
      <c r="CI118" s="236"/>
      <c r="CJ118" s="236"/>
      <c r="CK118" s="165"/>
      <c r="CL118" s="236"/>
      <c r="CM118" s="236"/>
      <c r="CN118" s="236"/>
      <c r="CO118" s="236"/>
      <c r="CP118" s="165"/>
      <c r="CQ118" s="236"/>
      <c r="CR118" s="236"/>
      <c r="CS118" s="236"/>
      <c r="CT118" s="236"/>
      <c r="CU118" s="165"/>
      <c r="CV118" s="236"/>
      <c r="CW118" s="236"/>
      <c r="CX118" s="236"/>
      <c r="CY118" s="236"/>
      <c r="CZ118" s="165"/>
      <c r="DA118" s="236"/>
      <c r="DB118" s="236"/>
      <c r="DC118" s="236"/>
      <c r="DD118" s="236"/>
      <c r="DE118" s="165"/>
      <c r="DF118" s="236"/>
      <c r="DG118" s="236"/>
      <c r="DH118" s="236"/>
      <c r="DI118" s="236"/>
      <c r="DJ118" s="165"/>
      <c r="DK118" s="236"/>
      <c r="DL118" s="236"/>
      <c r="DM118" s="236"/>
      <c r="DN118" s="236"/>
      <c r="DO118" s="165"/>
      <c r="DP118" s="236"/>
      <c r="DQ118" s="236"/>
      <c r="DR118" s="236"/>
      <c r="DS118" s="236"/>
      <c r="DT118" s="165"/>
      <c r="DU118" s="236"/>
      <c r="DV118" s="236"/>
      <c r="DW118" s="236"/>
      <c r="DX118" s="236"/>
      <c r="DY118" s="165"/>
      <c r="DZ118" s="16"/>
    </row>
    <row r="119" spans="1:130" hidden="1" outlineLevel="1" x14ac:dyDescent="0.2">
      <c r="A119" s="16"/>
      <c r="B119" s="251" t="s">
        <v>231</v>
      </c>
      <c r="C119" s="252"/>
      <c r="D119" s="102"/>
      <c r="E119" s="164"/>
      <c r="F119" s="164"/>
      <c r="G119" s="164"/>
      <c r="H119" s="102"/>
      <c r="I119" s="165"/>
      <c r="J119" s="59"/>
      <c r="K119" s="59"/>
      <c r="L119" s="59"/>
      <c r="M119" s="59"/>
      <c r="N119" s="165"/>
      <c r="O119" s="59"/>
      <c r="P119" s="59"/>
      <c r="Q119" s="59"/>
      <c r="R119" s="59"/>
      <c r="S119" s="165"/>
      <c r="T119" s="59"/>
      <c r="U119" s="78"/>
      <c r="V119" s="59"/>
      <c r="W119" s="59"/>
      <c r="X119" s="165"/>
      <c r="Y119" s="59"/>
      <c r="Z119" s="59"/>
      <c r="AA119" s="59"/>
      <c r="AB119" s="59"/>
      <c r="AC119" s="165"/>
      <c r="AD119" s="59"/>
      <c r="AE119" s="59"/>
      <c r="AF119" s="60"/>
      <c r="AG119" s="59"/>
      <c r="AH119" s="165"/>
      <c r="AI119" s="60"/>
      <c r="AJ119" s="60"/>
      <c r="AK119" s="60"/>
      <c r="AL119" s="59"/>
      <c r="AM119" s="165"/>
      <c r="AN119" s="60"/>
      <c r="AO119" s="60"/>
      <c r="AP119" s="60"/>
      <c r="AQ119" s="59"/>
      <c r="AR119" s="165"/>
      <c r="AS119" s="234"/>
      <c r="AT119" s="59"/>
      <c r="AU119" s="59"/>
      <c r="AV119" s="59"/>
      <c r="AW119" s="165"/>
      <c r="AX119" s="235"/>
      <c r="AY119" s="235"/>
      <c r="AZ119" s="235"/>
      <c r="BA119" s="59"/>
      <c r="BB119" s="165"/>
      <c r="BC119" s="59"/>
      <c r="BD119" s="59"/>
      <c r="BE119" s="59"/>
      <c r="BF119" s="59"/>
      <c r="BG119" s="165"/>
      <c r="BH119" s="59"/>
      <c r="BI119" s="59"/>
      <c r="BJ119" s="59"/>
      <c r="BK119" s="59"/>
      <c r="BL119" s="165"/>
      <c r="BM119" s="59">
        <v>57.2</v>
      </c>
      <c r="BN119" s="59">
        <v>74</v>
      </c>
      <c r="BO119" s="59">
        <v>57.6</v>
      </c>
      <c r="BP119" s="59">
        <v>80</v>
      </c>
      <c r="BQ119" s="165">
        <f>SUM(BM119:BP119)</f>
        <v>268.79999999999995</v>
      </c>
      <c r="BR119" s="59">
        <v>81.099999999999994</v>
      </c>
      <c r="BS119" s="59">
        <v>93.5</v>
      </c>
      <c r="BT119" s="59">
        <v>72.900000000000006</v>
      </c>
      <c r="BU119" s="59"/>
      <c r="BV119" s="165">
        <f>SUM(BR119:BU119)</f>
        <v>247.5</v>
      </c>
      <c r="BW119" s="59"/>
      <c r="BX119" s="59"/>
      <c r="BY119" s="59"/>
      <c r="BZ119" s="59"/>
      <c r="CA119" s="165"/>
      <c r="CB119" s="59"/>
      <c r="CC119" s="59"/>
      <c r="CD119" s="59"/>
      <c r="CE119" s="59"/>
      <c r="CF119" s="165"/>
      <c r="CG119" s="236"/>
      <c r="CH119" s="236"/>
      <c r="CI119" s="236"/>
      <c r="CJ119" s="236"/>
      <c r="CK119" s="165"/>
      <c r="CL119" s="236"/>
      <c r="CM119" s="236"/>
      <c r="CN119" s="236"/>
      <c r="CO119" s="236"/>
      <c r="CP119" s="165"/>
      <c r="CQ119" s="236"/>
      <c r="CR119" s="236"/>
      <c r="CS119" s="236"/>
      <c r="CT119" s="236"/>
      <c r="CU119" s="165"/>
      <c r="CV119" s="236"/>
      <c r="CW119" s="236"/>
      <c r="CX119" s="236"/>
      <c r="CY119" s="236"/>
      <c r="CZ119" s="165"/>
      <c r="DA119" s="236"/>
      <c r="DB119" s="236"/>
      <c r="DC119" s="236"/>
      <c r="DD119" s="236"/>
      <c r="DE119" s="165"/>
      <c r="DF119" s="236"/>
      <c r="DG119" s="236"/>
      <c r="DH119" s="236"/>
      <c r="DI119" s="236"/>
      <c r="DJ119" s="165"/>
      <c r="DK119" s="236"/>
      <c r="DL119" s="236"/>
      <c r="DM119" s="236"/>
      <c r="DN119" s="236"/>
      <c r="DO119" s="165"/>
      <c r="DP119" s="236"/>
      <c r="DQ119" s="236"/>
      <c r="DR119" s="236"/>
      <c r="DS119" s="236"/>
      <c r="DT119" s="165"/>
      <c r="DU119" s="236"/>
      <c r="DV119" s="236"/>
      <c r="DW119" s="236"/>
      <c r="DX119" s="236"/>
      <c r="DY119" s="165"/>
      <c r="DZ119" s="16"/>
    </row>
    <row r="120" spans="1:130" hidden="1" outlineLevel="1" x14ac:dyDescent="0.2">
      <c r="A120" s="16"/>
      <c r="B120" s="251" t="s">
        <v>232</v>
      </c>
      <c r="C120" s="252"/>
      <c r="D120" s="102"/>
      <c r="E120" s="164"/>
      <c r="F120" s="164"/>
      <c r="G120" s="164"/>
      <c r="H120" s="102"/>
      <c r="I120" s="165"/>
      <c r="J120" s="59"/>
      <c r="K120" s="59"/>
      <c r="L120" s="59"/>
      <c r="M120" s="59"/>
      <c r="N120" s="165"/>
      <c r="O120" s="59"/>
      <c r="P120" s="59"/>
      <c r="Q120" s="59"/>
      <c r="R120" s="59"/>
      <c r="S120" s="165"/>
      <c r="T120" s="59"/>
      <c r="U120" s="78"/>
      <c r="V120" s="59"/>
      <c r="W120" s="59"/>
      <c r="X120" s="165"/>
      <c r="Y120" s="59"/>
      <c r="Z120" s="59"/>
      <c r="AA120" s="59"/>
      <c r="AB120" s="59"/>
      <c r="AC120" s="165"/>
      <c r="AD120" s="59"/>
      <c r="AE120" s="59"/>
      <c r="AF120" s="60"/>
      <c r="AG120" s="59"/>
      <c r="AH120" s="165"/>
      <c r="AI120" s="60"/>
      <c r="AJ120" s="60"/>
      <c r="AK120" s="60"/>
      <c r="AL120" s="59"/>
      <c r="AM120" s="165"/>
      <c r="AN120" s="60"/>
      <c r="AO120" s="60"/>
      <c r="AP120" s="60"/>
      <c r="AQ120" s="59"/>
      <c r="AR120" s="165"/>
      <c r="AS120" s="234"/>
      <c r="AT120" s="59"/>
      <c r="AU120" s="59"/>
      <c r="AV120" s="59"/>
      <c r="AW120" s="165"/>
      <c r="AX120" s="235"/>
      <c r="AY120" s="235"/>
      <c r="AZ120" s="235"/>
      <c r="BA120" s="59"/>
      <c r="BB120" s="165"/>
      <c r="BC120" s="59"/>
      <c r="BD120" s="59"/>
      <c r="BE120" s="59"/>
      <c r="BF120" s="59"/>
      <c r="BG120" s="165"/>
      <c r="BH120" s="59"/>
      <c r="BI120" s="59"/>
      <c r="BJ120" s="59"/>
      <c r="BK120" s="59"/>
      <c r="BL120" s="165"/>
      <c r="BM120" s="59">
        <f t="shared" ref="BM120:BP121" si="322">BM118*-1</f>
        <v>-51.9</v>
      </c>
      <c r="BN120" s="59">
        <f t="shared" si="322"/>
        <v>-44.3</v>
      </c>
      <c r="BO120" s="59">
        <f t="shared" si="322"/>
        <v>-47.5</v>
      </c>
      <c r="BP120" s="59">
        <f t="shared" si="322"/>
        <v>-48.3</v>
      </c>
      <c r="BQ120" s="165">
        <f>SUM(BM120:BP120)</f>
        <v>-192</v>
      </c>
      <c r="BR120" s="59">
        <f t="shared" ref="BR120:BU121" si="323">BR118*-1</f>
        <v>-45.1</v>
      </c>
      <c r="BS120" s="59">
        <f t="shared" si="323"/>
        <v>-49.3</v>
      </c>
      <c r="BT120" s="59">
        <f t="shared" si="323"/>
        <v>-56.5</v>
      </c>
      <c r="BU120" s="59">
        <f t="shared" si="323"/>
        <v>0</v>
      </c>
      <c r="BV120" s="165">
        <f>SUM(BR120:BU120)</f>
        <v>-150.9</v>
      </c>
      <c r="BW120" s="59"/>
      <c r="BX120" s="59"/>
      <c r="BY120" s="59"/>
      <c r="BZ120" s="59"/>
      <c r="CA120" s="165"/>
      <c r="CB120" s="59"/>
      <c r="CC120" s="59"/>
      <c r="CD120" s="59"/>
      <c r="CE120" s="59"/>
      <c r="CF120" s="165"/>
      <c r="CG120" s="236"/>
      <c r="CH120" s="236"/>
      <c r="CI120" s="236"/>
      <c r="CJ120" s="236"/>
      <c r="CK120" s="165"/>
      <c r="CL120" s="236"/>
      <c r="CM120" s="236"/>
      <c r="CN120" s="236"/>
      <c r="CO120" s="236"/>
      <c r="CP120" s="165"/>
      <c r="CQ120" s="236"/>
      <c r="CR120" s="236"/>
      <c r="CS120" s="236"/>
      <c r="CT120" s="236"/>
      <c r="CU120" s="165"/>
      <c r="CV120" s="236"/>
      <c r="CW120" s="236"/>
      <c r="CX120" s="236"/>
      <c r="CY120" s="236"/>
      <c r="CZ120" s="165"/>
      <c r="DA120" s="236"/>
      <c r="DB120" s="236"/>
      <c r="DC120" s="236"/>
      <c r="DD120" s="236"/>
      <c r="DE120" s="165"/>
      <c r="DF120" s="236"/>
      <c r="DG120" s="236"/>
      <c r="DH120" s="236"/>
      <c r="DI120" s="236"/>
      <c r="DJ120" s="165"/>
      <c r="DK120" s="236"/>
      <c r="DL120" s="236"/>
      <c r="DM120" s="236"/>
      <c r="DN120" s="236"/>
      <c r="DO120" s="165"/>
      <c r="DP120" s="236"/>
      <c r="DQ120" s="236"/>
      <c r="DR120" s="236"/>
      <c r="DS120" s="236"/>
      <c r="DT120" s="165"/>
      <c r="DU120" s="236"/>
      <c r="DV120" s="236"/>
      <c r="DW120" s="236"/>
      <c r="DX120" s="236"/>
      <c r="DY120" s="165"/>
      <c r="DZ120" s="16"/>
    </row>
    <row r="121" spans="1:130" hidden="1" outlineLevel="1" x14ac:dyDescent="0.2">
      <c r="A121" s="16"/>
      <c r="B121" s="251" t="s">
        <v>233</v>
      </c>
      <c r="C121" s="252"/>
      <c r="D121" s="102"/>
      <c r="E121" s="164"/>
      <c r="F121" s="164"/>
      <c r="G121" s="164"/>
      <c r="H121" s="102"/>
      <c r="I121" s="165"/>
      <c r="J121" s="59"/>
      <c r="K121" s="59"/>
      <c r="L121" s="59"/>
      <c r="M121" s="59"/>
      <c r="N121" s="165"/>
      <c r="O121" s="59"/>
      <c r="P121" s="59"/>
      <c r="Q121" s="59"/>
      <c r="R121" s="59"/>
      <c r="S121" s="165"/>
      <c r="T121" s="59"/>
      <c r="U121" s="78"/>
      <c r="V121" s="59"/>
      <c r="W121" s="59"/>
      <c r="X121" s="165"/>
      <c r="Y121" s="59"/>
      <c r="Z121" s="59"/>
      <c r="AA121" s="59"/>
      <c r="AB121" s="59"/>
      <c r="AC121" s="165"/>
      <c r="AD121" s="59"/>
      <c r="AE121" s="59"/>
      <c r="AF121" s="60"/>
      <c r="AG121" s="59"/>
      <c r="AH121" s="165"/>
      <c r="AI121" s="60"/>
      <c r="AJ121" s="60"/>
      <c r="AK121" s="60"/>
      <c r="AL121" s="59"/>
      <c r="AM121" s="165"/>
      <c r="AN121" s="60"/>
      <c r="AO121" s="60"/>
      <c r="AP121" s="60"/>
      <c r="AQ121" s="59"/>
      <c r="AR121" s="165"/>
      <c r="AS121" s="234"/>
      <c r="AT121" s="59"/>
      <c r="AU121" s="59"/>
      <c r="AV121" s="59"/>
      <c r="AW121" s="165"/>
      <c r="AX121" s="235"/>
      <c r="AY121" s="235"/>
      <c r="AZ121" s="235"/>
      <c r="BA121" s="59"/>
      <c r="BB121" s="165"/>
      <c r="BC121" s="59"/>
      <c r="BD121" s="59"/>
      <c r="BE121" s="59"/>
      <c r="BF121" s="59"/>
      <c r="BG121" s="165"/>
      <c r="BH121" s="59"/>
      <c r="BI121" s="59"/>
      <c r="BJ121" s="59"/>
      <c r="BK121" s="59"/>
      <c r="BL121" s="165"/>
      <c r="BM121" s="59">
        <f t="shared" si="322"/>
        <v>-57.2</v>
      </c>
      <c r="BN121" s="59">
        <f t="shared" si="322"/>
        <v>-74</v>
      </c>
      <c r="BO121" s="59">
        <f t="shared" si="322"/>
        <v>-57.6</v>
      </c>
      <c r="BP121" s="59">
        <f t="shared" si="322"/>
        <v>-80</v>
      </c>
      <c r="BQ121" s="165">
        <f>SUM(BM121:BP121)</f>
        <v>-268.79999999999995</v>
      </c>
      <c r="BR121" s="59">
        <f t="shared" si="323"/>
        <v>-81.099999999999994</v>
      </c>
      <c r="BS121" s="59">
        <f t="shared" si="323"/>
        <v>-93.5</v>
      </c>
      <c r="BT121" s="59">
        <f t="shared" si="323"/>
        <v>-72.900000000000006</v>
      </c>
      <c r="BU121" s="59">
        <f t="shared" si="323"/>
        <v>0</v>
      </c>
      <c r="BV121" s="165">
        <f>SUM(BR121:BU121)</f>
        <v>-247.5</v>
      </c>
      <c r="BW121" s="59"/>
      <c r="BX121" s="59"/>
      <c r="BY121" s="59"/>
      <c r="BZ121" s="59"/>
      <c r="CA121" s="165"/>
      <c r="CB121" s="59"/>
      <c r="CC121" s="59"/>
      <c r="CD121" s="59"/>
      <c r="CE121" s="59"/>
      <c r="CF121" s="165"/>
      <c r="CG121" s="236"/>
      <c r="CH121" s="236"/>
      <c r="CI121" s="236"/>
      <c r="CJ121" s="236"/>
      <c r="CK121" s="165"/>
      <c r="CL121" s="236"/>
      <c r="CM121" s="236"/>
      <c r="CN121" s="236"/>
      <c r="CO121" s="236"/>
      <c r="CP121" s="165"/>
      <c r="CQ121" s="236"/>
      <c r="CR121" s="236"/>
      <c r="CS121" s="236"/>
      <c r="CT121" s="236"/>
      <c r="CU121" s="165"/>
      <c r="CV121" s="236"/>
      <c r="CW121" s="236"/>
      <c r="CX121" s="236"/>
      <c r="CY121" s="236"/>
      <c r="CZ121" s="165"/>
      <c r="DA121" s="236"/>
      <c r="DB121" s="236"/>
      <c r="DC121" s="236"/>
      <c r="DD121" s="236"/>
      <c r="DE121" s="165"/>
      <c r="DF121" s="236"/>
      <c r="DG121" s="236"/>
      <c r="DH121" s="236"/>
      <c r="DI121" s="236"/>
      <c r="DJ121" s="165"/>
      <c r="DK121" s="236"/>
      <c r="DL121" s="236"/>
      <c r="DM121" s="236"/>
      <c r="DN121" s="236"/>
      <c r="DO121" s="165"/>
      <c r="DP121" s="236"/>
      <c r="DQ121" s="236"/>
      <c r="DR121" s="236"/>
      <c r="DS121" s="236"/>
      <c r="DT121" s="165"/>
      <c r="DU121" s="236"/>
      <c r="DV121" s="236"/>
      <c r="DW121" s="236"/>
      <c r="DX121" s="236"/>
      <c r="DY121" s="165"/>
      <c r="DZ121" s="16"/>
    </row>
    <row r="122" spans="1:130" hidden="1" outlineLevel="1" x14ac:dyDescent="0.2">
      <c r="A122" s="16"/>
      <c r="B122" s="251"/>
      <c r="C122" s="252"/>
      <c r="D122" s="102"/>
      <c r="E122" s="164"/>
      <c r="F122" s="164"/>
      <c r="G122" s="164"/>
      <c r="H122" s="102"/>
      <c r="I122" s="165"/>
      <c r="J122" s="59"/>
      <c r="K122" s="59"/>
      <c r="L122" s="59"/>
      <c r="M122" s="59"/>
      <c r="N122" s="165"/>
      <c r="O122" s="59"/>
      <c r="P122" s="59"/>
      <c r="Q122" s="59"/>
      <c r="R122" s="59"/>
      <c r="S122" s="165"/>
      <c r="T122" s="59"/>
      <c r="U122" s="78"/>
      <c r="V122" s="59"/>
      <c r="W122" s="59"/>
      <c r="X122" s="165"/>
      <c r="Y122" s="59"/>
      <c r="Z122" s="59"/>
      <c r="AA122" s="59"/>
      <c r="AB122" s="59"/>
      <c r="AC122" s="165"/>
      <c r="AD122" s="59"/>
      <c r="AE122" s="59"/>
      <c r="AF122" s="60"/>
      <c r="AG122" s="59"/>
      <c r="AH122" s="165"/>
      <c r="AI122" s="60"/>
      <c r="AJ122" s="60"/>
      <c r="AK122" s="60"/>
      <c r="AL122" s="59"/>
      <c r="AM122" s="165"/>
      <c r="AN122" s="60"/>
      <c r="AO122" s="60"/>
      <c r="AP122" s="60"/>
      <c r="AQ122" s="59"/>
      <c r="AR122" s="165"/>
      <c r="AS122" s="234"/>
      <c r="AT122" s="59"/>
      <c r="AU122" s="59"/>
      <c r="AV122" s="59"/>
      <c r="AW122" s="165"/>
      <c r="AX122" s="235"/>
      <c r="AY122" s="235"/>
      <c r="AZ122" s="235"/>
      <c r="BA122" s="59"/>
      <c r="BB122" s="165"/>
      <c r="BC122" s="59"/>
      <c r="BD122" s="59"/>
      <c r="BE122" s="59"/>
      <c r="BF122" s="59"/>
      <c r="BG122" s="165"/>
      <c r="BH122" s="59"/>
      <c r="BI122" s="59"/>
      <c r="BJ122" s="59"/>
      <c r="BK122" s="59"/>
      <c r="BL122" s="165"/>
      <c r="BM122" s="59"/>
      <c r="BN122" s="59"/>
      <c r="BO122" s="59"/>
      <c r="BP122" s="59"/>
      <c r="BQ122" s="165"/>
      <c r="BR122" s="59"/>
      <c r="BS122" s="59"/>
      <c r="BT122" s="59"/>
      <c r="BU122" s="59"/>
      <c r="BV122" s="165"/>
      <c r="BW122" s="59"/>
      <c r="BX122" s="59"/>
      <c r="BY122" s="59"/>
      <c r="BZ122" s="59"/>
      <c r="CA122" s="165"/>
      <c r="CB122" s="59"/>
      <c r="CC122" s="59"/>
      <c r="CD122" s="59"/>
      <c r="CE122" s="59"/>
      <c r="CF122" s="165"/>
      <c r="CG122" s="236"/>
      <c r="CH122" s="236"/>
      <c r="CI122" s="236"/>
      <c r="CJ122" s="236"/>
      <c r="CK122" s="165"/>
      <c r="CL122" s="236"/>
      <c r="CM122" s="236"/>
      <c r="CN122" s="236"/>
      <c r="CO122" s="236"/>
      <c r="CP122" s="165"/>
      <c r="CQ122" s="236"/>
      <c r="CR122" s="236"/>
      <c r="CS122" s="236"/>
      <c r="CT122" s="236"/>
      <c r="CU122" s="165"/>
      <c r="CV122" s="236"/>
      <c r="CW122" s="236"/>
      <c r="CX122" s="236"/>
      <c r="CY122" s="236"/>
      <c r="CZ122" s="165"/>
      <c r="DA122" s="236"/>
      <c r="DB122" s="236"/>
      <c r="DC122" s="236"/>
      <c r="DD122" s="236"/>
      <c r="DE122" s="165"/>
      <c r="DF122" s="236"/>
      <c r="DG122" s="236"/>
      <c r="DH122" s="236"/>
      <c r="DI122" s="236"/>
      <c r="DJ122" s="165"/>
      <c r="DK122" s="236"/>
      <c r="DL122" s="236"/>
      <c r="DM122" s="236"/>
      <c r="DN122" s="236"/>
      <c r="DO122" s="165"/>
      <c r="DP122" s="236"/>
      <c r="DQ122" s="236"/>
      <c r="DR122" s="236"/>
      <c r="DS122" s="236"/>
      <c r="DT122" s="165"/>
      <c r="DU122" s="236"/>
      <c r="DV122" s="236"/>
      <c r="DW122" s="236"/>
      <c r="DX122" s="236"/>
      <c r="DY122" s="165"/>
      <c r="DZ122" s="16"/>
    </row>
    <row r="123" spans="1:130" collapsed="1" x14ac:dyDescent="0.2">
      <c r="A123" s="16"/>
      <c r="B123" s="251" t="s">
        <v>234</v>
      </c>
      <c r="C123" s="252"/>
      <c r="D123" s="102"/>
      <c r="E123" s="164"/>
      <c r="F123" s="164"/>
      <c r="G123" s="164"/>
      <c r="H123" s="102"/>
      <c r="I123" s="165"/>
      <c r="J123" s="59"/>
      <c r="K123" s="59"/>
      <c r="L123" s="59"/>
      <c r="M123" s="59"/>
      <c r="N123" s="165"/>
      <c r="O123" s="59"/>
      <c r="P123" s="59"/>
      <c r="Q123" s="59"/>
      <c r="R123" s="59"/>
      <c r="S123" s="165"/>
      <c r="T123" s="59"/>
      <c r="U123" s="78"/>
      <c r="V123" s="59"/>
      <c r="W123" s="59"/>
      <c r="X123" s="165"/>
      <c r="Y123" s="59"/>
      <c r="Z123" s="59"/>
      <c r="AA123" s="59"/>
      <c r="AB123" s="59"/>
      <c r="AC123" s="165"/>
      <c r="AD123" s="59"/>
      <c r="AE123" s="59"/>
      <c r="AF123" s="60"/>
      <c r="AG123" s="59"/>
      <c r="AH123" s="165"/>
      <c r="AI123" s="60"/>
      <c r="AJ123" s="60"/>
      <c r="AK123" s="60"/>
      <c r="AL123" s="59"/>
      <c r="AM123" s="165"/>
      <c r="AN123" s="60"/>
      <c r="AO123" s="60"/>
      <c r="AP123" s="60"/>
      <c r="AQ123" s="59"/>
      <c r="AR123" s="165"/>
      <c r="AS123" s="234"/>
      <c r="AT123" s="59"/>
      <c r="AU123" s="59"/>
      <c r="AV123" s="59"/>
      <c r="AW123" s="165"/>
      <c r="AX123" s="235"/>
      <c r="AY123" s="235"/>
      <c r="AZ123" s="235"/>
      <c r="BA123" s="59"/>
      <c r="BB123" s="165"/>
      <c r="BC123" s="59"/>
      <c r="BD123" s="59"/>
      <c r="BE123" s="59"/>
      <c r="BF123" s="59"/>
      <c r="BG123" s="165"/>
      <c r="BH123" s="59"/>
      <c r="BI123" s="59"/>
      <c r="BJ123" s="59"/>
      <c r="BK123" s="59"/>
      <c r="BL123" s="165"/>
      <c r="BM123" s="59">
        <f>BM118+BM119</f>
        <v>109.1</v>
      </c>
      <c r="BN123" s="59">
        <f>BN118+BN119</f>
        <v>118.3</v>
      </c>
      <c r="BO123" s="59">
        <f>BO118+BO119</f>
        <v>105.1</v>
      </c>
      <c r="BP123" s="59">
        <f>BP118+BP119</f>
        <v>128.30000000000001</v>
      </c>
      <c r="BQ123" s="165">
        <f>SUM(BM123:BP123)</f>
        <v>460.8</v>
      </c>
      <c r="BR123" s="59">
        <f>BR118+BR119</f>
        <v>126.19999999999999</v>
      </c>
      <c r="BS123" s="59">
        <f>BS118+BS119</f>
        <v>142.80000000000001</v>
      </c>
      <c r="BT123" s="59">
        <f>BT118+BT119</f>
        <v>129.4</v>
      </c>
      <c r="BU123" s="59">
        <v>140</v>
      </c>
      <c r="BV123" s="165">
        <f>SUM(BR123:BU123)</f>
        <v>538.4</v>
      </c>
      <c r="BW123" s="60">
        <v>135</v>
      </c>
      <c r="BX123" s="60">
        <v>156</v>
      </c>
      <c r="BY123" s="60">
        <v>168</v>
      </c>
      <c r="BZ123" s="60">
        <v>167</v>
      </c>
      <c r="CA123" s="165">
        <f>SUM(BW123:BZ123)</f>
        <v>626</v>
      </c>
      <c r="CB123" s="60">
        <v>147</v>
      </c>
      <c r="CC123" s="60">
        <v>162</v>
      </c>
      <c r="CD123" s="60">
        <v>154</v>
      </c>
      <c r="CE123" s="60">
        <v>152.19999999999999</v>
      </c>
      <c r="CF123" s="165">
        <f>SUM(CB123:CE123)</f>
        <v>615.20000000000005</v>
      </c>
      <c r="CG123" s="258">
        <v>168</v>
      </c>
      <c r="CH123" s="258">
        <v>175.5</v>
      </c>
      <c r="CI123" s="258">
        <v>168.8</v>
      </c>
      <c r="CJ123" s="258">
        <v>182</v>
      </c>
      <c r="CK123" s="165">
        <f>SUM(CG123:CJ123)</f>
        <v>694.3</v>
      </c>
      <c r="CL123" s="258">
        <v>199</v>
      </c>
      <c r="CM123" s="258">
        <v>175.9</v>
      </c>
      <c r="CN123" s="258">
        <v>178.7</v>
      </c>
      <c r="CO123" s="258">
        <v>198</v>
      </c>
      <c r="CP123" s="165">
        <f>SUM(CL123:CO123)</f>
        <v>751.59999999999991</v>
      </c>
      <c r="CQ123" s="258">
        <v>190.1</v>
      </c>
      <c r="CR123" s="258">
        <v>205.6</v>
      </c>
      <c r="CS123" s="258">
        <v>195.8</v>
      </c>
      <c r="CT123" s="258">
        <v>205</v>
      </c>
      <c r="CU123" s="165">
        <f>SUM(CQ123:CT123)</f>
        <v>796.5</v>
      </c>
      <c r="CV123" s="258">
        <v>188.7</v>
      </c>
      <c r="CW123" s="258">
        <v>215</v>
      </c>
      <c r="CX123" s="258">
        <f>308.55928643-115</f>
        <v>193.55928642999999</v>
      </c>
      <c r="CY123" s="258">
        <v>215.2722123499999</v>
      </c>
      <c r="CZ123" s="165">
        <f>SUM(CV123:CY123)</f>
        <v>812.53149877999988</v>
      </c>
      <c r="DA123" s="258">
        <v>208.4</v>
      </c>
      <c r="DB123" s="258">
        <v>220</v>
      </c>
      <c r="DC123" s="258">
        <v>214.9</v>
      </c>
      <c r="DD123" s="258">
        <v>236.3</v>
      </c>
      <c r="DE123" s="165">
        <f>SUM(DA123:DD123)</f>
        <v>879.59999999999991</v>
      </c>
      <c r="DF123" s="258">
        <v>226.6</v>
      </c>
      <c r="DG123" s="258">
        <v>239.4</v>
      </c>
      <c r="DH123" s="258">
        <v>223.20987480000008</v>
      </c>
      <c r="DI123" s="258">
        <v>236.46991007</v>
      </c>
      <c r="DJ123" s="165">
        <f>SUM(DF123:DI123)</f>
        <v>925.67978487000005</v>
      </c>
      <c r="DK123" s="241">
        <f ca="1">DK124*DK10</f>
        <v>220.0929462495682</v>
      </c>
      <c r="DL123" s="241">
        <f ca="1">DL124*DL10</f>
        <v>231.12683447997654</v>
      </c>
      <c r="DM123" s="241">
        <f ca="1">DM124*DM10</f>
        <v>229.38361428768485</v>
      </c>
      <c r="DN123" s="241">
        <f ca="1">DN124*DN10</f>
        <v>235.58760770041783</v>
      </c>
      <c r="DO123" s="165">
        <f ca="1">SUM(DK123:DN123)</f>
        <v>916.19100271764739</v>
      </c>
      <c r="DP123" s="241">
        <f ca="1">DP124*DP10</f>
        <v>242.80312838271672</v>
      </c>
      <c r="DQ123" s="241">
        <f ca="1">DQ124*DQ10</f>
        <v>254.94715713817604</v>
      </c>
      <c r="DR123" s="241">
        <f ca="1">DR124*DR10</f>
        <v>252.89097565413635</v>
      </c>
      <c r="DS123" s="241">
        <f ca="1">DS124*DS10</f>
        <v>259.27856746236967</v>
      </c>
      <c r="DT123" s="165">
        <f ca="1">SUM(DP123:DS123)</f>
        <v>1009.9198286373987</v>
      </c>
      <c r="DU123" s="241">
        <f ca="1">DU124*DU10</f>
        <v>251.70737493283502</v>
      </c>
      <c r="DV123" s="241">
        <f ca="1">DV124*DV10</f>
        <v>264.00266705824725</v>
      </c>
      <c r="DW123" s="241">
        <f ca="1">DW124*DW10</f>
        <v>261.6426579302165</v>
      </c>
      <c r="DX123" s="241">
        <f ca="1">DX124*DX10</f>
        <v>267.80666750688044</v>
      </c>
      <c r="DY123" s="165">
        <f ca="1">SUM(DU123:DX123)</f>
        <v>1045.1593674281794</v>
      </c>
      <c r="DZ123" s="16"/>
    </row>
    <row r="124" spans="1:130" x14ac:dyDescent="0.2">
      <c r="A124" s="243"/>
      <c r="B124" s="244" t="s">
        <v>217</v>
      </c>
      <c r="C124" s="245"/>
      <c r="D124" s="245"/>
      <c r="E124" s="245"/>
      <c r="F124" s="245"/>
      <c r="G124" s="245"/>
      <c r="H124" s="245"/>
      <c r="I124" s="246"/>
      <c r="J124" s="245"/>
      <c r="K124" s="245"/>
      <c r="L124" s="245"/>
      <c r="M124" s="245"/>
      <c r="N124" s="246"/>
      <c r="O124" s="245"/>
      <c r="P124" s="245"/>
      <c r="Q124" s="245"/>
      <c r="R124" s="245"/>
      <c r="S124" s="246"/>
      <c r="T124" s="247"/>
      <c r="U124" s="248"/>
      <c r="V124" s="245"/>
      <c r="W124" s="245"/>
      <c r="X124" s="246"/>
      <c r="Y124" s="245"/>
      <c r="Z124" s="245"/>
      <c r="AA124" s="245"/>
      <c r="AB124" s="245"/>
      <c r="AC124" s="246"/>
      <c r="AD124" s="245"/>
      <c r="AE124" s="245"/>
      <c r="AF124" s="245"/>
      <c r="AG124" s="245"/>
      <c r="AH124" s="246"/>
      <c r="AI124" s="245"/>
      <c r="AJ124" s="245"/>
      <c r="AK124" s="245"/>
      <c r="AL124" s="245"/>
      <c r="AM124" s="246"/>
      <c r="AN124" s="245"/>
      <c r="AO124" s="245"/>
      <c r="AP124" s="245"/>
      <c r="AQ124" s="245"/>
      <c r="AR124" s="246"/>
      <c r="AS124" s="245"/>
      <c r="AT124" s="245"/>
      <c r="AU124" s="245"/>
      <c r="AV124" s="245"/>
      <c r="AW124" s="246"/>
      <c r="AX124" s="245"/>
      <c r="AY124" s="245"/>
      <c r="AZ124" s="245"/>
      <c r="BA124" s="245"/>
      <c r="BB124" s="246"/>
      <c r="BC124" s="245"/>
      <c r="BD124" s="245"/>
      <c r="BE124" s="245"/>
      <c r="BF124" s="245"/>
      <c r="BG124" s="246"/>
      <c r="BH124" s="245"/>
      <c r="BI124" s="245"/>
      <c r="BJ124" s="245"/>
      <c r="BK124" s="245"/>
      <c r="BL124" s="246"/>
      <c r="BM124" s="247">
        <f t="shared" ref="BM124:CL124" si="324">BM123/BM10</f>
        <v>5.1158210634905743E-3</v>
      </c>
      <c r="BN124" s="247">
        <f t="shared" si="324"/>
        <v>5.5959470773830067E-3</v>
      </c>
      <c r="BO124" s="247">
        <f t="shared" si="324"/>
        <v>5.0375298369393293E-3</v>
      </c>
      <c r="BP124" s="247">
        <f t="shared" si="324"/>
        <v>5.314345834265312E-3</v>
      </c>
      <c r="BQ124" s="246">
        <f t="shared" si="324"/>
        <v>5.2679774876274559E-3</v>
      </c>
      <c r="BR124" s="247">
        <f t="shared" si="324"/>
        <v>5.3945686696104528E-3</v>
      </c>
      <c r="BS124" s="247">
        <f t="shared" si="324"/>
        <v>5.7416037087221726E-3</v>
      </c>
      <c r="BT124" s="247">
        <f t="shared" si="324"/>
        <v>5.2512184531225267E-3</v>
      </c>
      <c r="BU124" s="247">
        <f t="shared" si="324"/>
        <v>5.4217334056231121E-3</v>
      </c>
      <c r="BV124" s="246">
        <f t="shared" si="324"/>
        <v>5.4533171138339432E-3</v>
      </c>
      <c r="BW124" s="247">
        <f t="shared" si="324"/>
        <v>5.681818181818182E-3</v>
      </c>
      <c r="BX124" s="247">
        <f t="shared" si="324"/>
        <v>6.4981047194568251E-3</v>
      </c>
      <c r="BY124" s="247">
        <f t="shared" si="324"/>
        <v>7.0366492146596857E-3</v>
      </c>
      <c r="BZ124" s="247">
        <f t="shared" si="324"/>
        <v>6.7417544709539381E-3</v>
      </c>
      <c r="CA124" s="246">
        <f t="shared" si="324"/>
        <v>6.4929003350170621E-3</v>
      </c>
      <c r="CB124" s="247">
        <f t="shared" si="324"/>
        <v>5.6800618238021638E-3</v>
      </c>
      <c r="CC124" s="247">
        <f t="shared" si="324"/>
        <v>6.0835930752187461E-3</v>
      </c>
      <c r="CD124" s="247">
        <f t="shared" si="324"/>
        <v>5.7734123116143059E-3</v>
      </c>
      <c r="CE124" s="247">
        <f t="shared" si="324"/>
        <v>5.3748631564078109E-3</v>
      </c>
      <c r="CF124" s="246">
        <f t="shared" si="324"/>
        <v>5.7227906976744193E-3</v>
      </c>
      <c r="CG124" s="247">
        <f t="shared" si="324"/>
        <v>5.4548996688096631E-3</v>
      </c>
      <c r="CH124" s="247">
        <f t="shared" si="324"/>
        <v>5.713932227228922E-3</v>
      </c>
      <c r="CI124" s="247">
        <f t="shared" si="324"/>
        <v>5.5843558637390716E-3</v>
      </c>
      <c r="CJ124" s="247">
        <f t="shared" si="324"/>
        <v>5.7972861056252789E-3</v>
      </c>
      <c r="CK124" s="246">
        <f t="shared" si="324"/>
        <v>5.6385863496345836E-3</v>
      </c>
      <c r="CL124" s="247">
        <f t="shared" si="324"/>
        <v>6.468809934011637E-3</v>
      </c>
      <c r="CM124" s="247">
        <v>5.8900000000000003E-3</v>
      </c>
      <c r="CN124" s="247">
        <v>5.8900000000000003E-3</v>
      </c>
      <c r="CO124" s="247">
        <v>5.8900000000000003E-3</v>
      </c>
      <c r="CP124" s="246">
        <f t="shared" ref="CP124:DF124" si="325">CP123/CP10</f>
        <v>5.9270100852224549E-3</v>
      </c>
      <c r="CQ124" s="247">
        <f t="shared" si="325"/>
        <v>5.8154297024372191E-3</v>
      </c>
      <c r="CR124" s="247">
        <f t="shared" si="325"/>
        <v>5.9419904511982232E-3</v>
      </c>
      <c r="CS124" s="247">
        <f t="shared" si="325"/>
        <v>5.5909151911276347E-3</v>
      </c>
      <c r="CT124" s="247">
        <f t="shared" si="325"/>
        <v>5.5322720366587233E-3</v>
      </c>
      <c r="CU124" s="246">
        <f t="shared" si="325"/>
        <v>5.7151467533445985E-3</v>
      </c>
      <c r="CV124" s="247">
        <f t="shared" si="325"/>
        <v>5.1938257604949951E-3</v>
      </c>
      <c r="CW124" s="247">
        <f t="shared" si="325"/>
        <v>5.7844057801011073E-3</v>
      </c>
      <c r="CX124" s="247">
        <f t="shared" si="325"/>
        <v>5.0088330054442196E-3</v>
      </c>
      <c r="CY124" s="247">
        <f t="shared" si="325"/>
        <v>5.2319613181973108E-3</v>
      </c>
      <c r="CZ124" s="246">
        <f t="shared" si="325"/>
        <v>5.3006270446650985E-3</v>
      </c>
      <c r="DA124" s="247">
        <f t="shared" si="325"/>
        <v>4.8223996297581864E-3</v>
      </c>
      <c r="DB124" s="247">
        <f t="shared" si="325"/>
        <v>5.0314120200433158E-3</v>
      </c>
      <c r="DC124" s="247">
        <f t="shared" si="325"/>
        <v>4.8167656617729461E-3</v>
      </c>
      <c r="DD124" s="247">
        <f t="shared" si="325"/>
        <v>5.1401747180843662E-3</v>
      </c>
      <c r="DE124" s="246">
        <f t="shared" si="325"/>
        <v>4.9547532340242159E-3</v>
      </c>
      <c r="DF124" s="247">
        <f t="shared" si="325"/>
        <v>5.0905790589842207E-3</v>
      </c>
      <c r="DG124" s="247">
        <f>DG123/DG10</f>
        <v>5.2402183928830321E-3</v>
      </c>
      <c r="DH124" s="247">
        <f>DH123/DH10</f>
        <v>4.8333273016462333E-3</v>
      </c>
      <c r="DI124" s="247">
        <f>DI123/DI10</f>
        <v>4.8872414991485858E-3</v>
      </c>
      <c r="DJ124" s="246">
        <f>DJ123/DJ10</f>
        <v>5.010031043341294E-3</v>
      </c>
      <c r="DK124" s="259">
        <v>4.7999999999999996E-3</v>
      </c>
      <c r="DL124" s="259">
        <v>4.7999999999999996E-3</v>
      </c>
      <c r="DM124" s="259">
        <v>4.7999999999999996E-3</v>
      </c>
      <c r="DN124" s="259">
        <v>4.7999999999999996E-3</v>
      </c>
      <c r="DO124" s="246">
        <f ca="1">DO123/DO10</f>
        <v>4.7999999999999996E-3</v>
      </c>
      <c r="DP124" s="259">
        <v>5.0000000000000001E-3</v>
      </c>
      <c r="DQ124" s="259">
        <v>5.0000000000000001E-3</v>
      </c>
      <c r="DR124" s="259">
        <v>5.0000000000000001E-3</v>
      </c>
      <c r="DS124" s="259">
        <v>5.0000000000000001E-3</v>
      </c>
      <c r="DT124" s="246">
        <f ca="1">DT123/DT10</f>
        <v>4.9999999999999992E-3</v>
      </c>
      <c r="DU124" s="259">
        <v>5.0000000000000001E-3</v>
      </c>
      <c r="DV124" s="259">
        <v>5.0000000000000001E-3</v>
      </c>
      <c r="DW124" s="259">
        <v>5.0000000000000001E-3</v>
      </c>
      <c r="DX124" s="259">
        <v>5.0000000000000001E-3</v>
      </c>
      <c r="DY124" s="246">
        <f ca="1">DY123/DY10</f>
        <v>5.000000000000001E-3</v>
      </c>
      <c r="DZ124" s="250"/>
    </row>
    <row r="125" spans="1:130" x14ac:dyDescent="0.2">
      <c r="A125" s="243"/>
      <c r="B125" s="244" t="s">
        <v>218</v>
      </c>
      <c r="C125" s="245"/>
      <c r="D125" s="245"/>
      <c r="E125" s="245"/>
      <c r="F125" s="245"/>
      <c r="G125" s="245"/>
      <c r="H125" s="245"/>
      <c r="I125" s="246"/>
      <c r="J125" s="245"/>
      <c r="K125" s="245"/>
      <c r="L125" s="245"/>
      <c r="M125" s="245"/>
      <c r="N125" s="246"/>
      <c r="O125" s="245"/>
      <c r="P125" s="245"/>
      <c r="Q125" s="245"/>
      <c r="R125" s="245"/>
      <c r="S125" s="246"/>
      <c r="T125" s="247"/>
      <c r="U125" s="248"/>
      <c r="V125" s="245"/>
      <c r="W125" s="245"/>
      <c r="X125" s="246"/>
      <c r="Y125" s="245"/>
      <c r="Z125" s="245"/>
      <c r="AA125" s="245"/>
      <c r="AB125" s="245"/>
      <c r="AC125" s="246"/>
      <c r="AD125" s="245"/>
      <c r="AE125" s="245"/>
      <c r="AF125" s="245"/>
      <c r="AG125" s="245"/>
      <c r="AH125" s="246"/>
      <c r="AI125" s="245"/>
      <c r="AJ125" s="245"/>
      <c r="AK125" s="245"/>
      <c r="AL125" s="245"/>
      <c r="AM125" s="246"/>
      <c r="AN125" s="245"/>
      <c r="AO125" s="245"/>
      <c r="AP125" s="245"/>
      <c r="AQ125" s="245"/>
      <c r="AR125" s="246"/>
      <c r="AS125" s="245"/>
      <c r="AT125" s="245"/>
      <c r="AU125" s="245"/>
      <c r="AV125" s="245"/>
      <c r="AW125" s="246"/>
      <c r="AX125" s="245"/>
      <c r="AY125" s="245"/>
      <c r="AZ125" s="245"/>
      <c r="BA125" s="245"/>
      <c r="BB125" s="246"/>
      <c r="BC125" s="245"/>
      <c r="BD125" s="245"/>
      <c r="BE125" s="245"/>
      <c r="BF125" s="245"/>
      <c r="BG125" s="246"/>
      <c r="BH125" s="245"/>
      <c r="BI125" s="245"/>
      <c r="BJ125" s="245"/>
      <c r="BK125" s="245"/>
      <c r="BL125" s="246"/>
      <c r="BM125" s="245"/>
      <c r="BN125" s="245"/>
      <c r="BO125" s="245"/>
      <c r="BP125" s="245"/>
      <c r="BQ125" s="246"/>
      <c r="BR125" s="247">
        <f t="shared" ref="BR125:DI125" si="326">BR124-BM124</f>
        <v>2.7874760611987844E-4</v>
      </c>
      <c r="BS125" s="247">
        <f t="shared" si="326"/>
        <v>1.4565663133916593E-4</v>
      </c>
      <c r="BT125" s="247">
        <f t="shared" si="326"/>
        <v>2.1368861618319742E-4</v>
      </c>
      <c r="BU125" s="247">
        <f t="shared" si="326"/>
        <v>1.0738757135780007E-4</v>
      </c>
      <c r="BV125" s="246">
        <f t="shared" si="326"/>
        <v>1.8533962620648735E-4</v>
      </c>
      <c r="BW125" s="247">
        <f t="shared" si="326"/>
        <v>2.8724951220772919E-4</v>
      </c>
      <c r="BX125" s="247">
        <f t="shared" si="326"/>
        <v>7.5650101073465245E-4</v>
      </c>
      <c r="BY125" s="247">
        <f t="shared" si="326"/>
        <v>1.785430761537159E-3</v>
      </c>
      <c r="BZ125" s="247">
        <f t="shared" si="326"/>
        <v>1.320021065330826E-3</v>
      </c>
      <c r="CA125" s="246">
        <f t="shared" si="326"/>
        <v>1.0395832211831189E-3</v>
      </c>
      <c r="CB125" s="247">
        <f t="shared" si="326"/>
        <v>-1.7563580160182002E-6</v>
      </c>
      <c r="CC125" s="247">
        <f t="shared" si="326"/>
        <v>-4.145116442380789E-4</v>
      </c>
      <c r="CD125" s="247">
        <f t="shared" si="326"/>
        <v>-1.2632369030453798E-3</v>
      </c>
      <c r="CE125" s="247">
        <f t="shared" si="326"/>
        <v>-1.3668913145461273E-3</v>
      </c>
      <c r="CF125" s="246">
        <f t="shared" si="326"/>
        <v>-7.701096373426428E-4</v>
      </c>
      <c r="CG125" s="249">
        <f t="shared" si="326"/>
        <v>-2.2516215499250071E-4</v>
      </c>
      <c r="CH125" s="249">
        <f t="shared" si="326"/>
        <v>-3.6966084798982415E-4</v>
      </c>
      <c r="CI125" s="249">
        <f t="shared" si="326"/>
        <v>-1.8905644787523424E-4</v>
      </c>
      <c r="CJ125" s="249">
        <f t="shared" si="326"/>
        <v>4.2242294921746807E-4</v>
      </c>
      <c r="CK125" s="246">
        <f t="shared" si="326"/>
        <v>-8.4204348039835716E-5</v>
      </c>
      <c r="CL125" s="249">
        <f t="shared" si="326"/>
        <v>1.0139102652019739E-3</v>
      </c>
      <c r="CM125" s="249">
        <f t="shared" si="326"/>
        <v>1.7606777277107827E-4</v>
      </c>
      <c r="CN125" s="249">
        <f t="shared" si="326"/>
        <v>3.0564413626092864E-4</v>
      </c>
      <c r="CO125" s="249">
        <f t="shared" si="326"/>
        <v>9.2713894374721328E-5</v>
      </c>
      <c r="CP125" s="246">
        <f t="shared" si="326"/>
        <v>2.8842373558787132E-4</v>
      </c>
      <c r="CQ125" s="249">
        <f t="shared" si="326"/>
        <v>-6.5338023157441791E-4</v>
      </c>
      <c r="CR125" s="249">
        <f t="shared" si="326"/>
        <v>5.1990451198222903E-5</v>
      </c>
      <c r="CS125" s="249">
        <f t="shared" si="326"/>
        <v>-2.990848088723656E-4</v>
      </c>
      <c r="CT125" s="249">
        <f t="shared" si="326"/>
        <v>-3.5772796334127693E-4</v>
      </c>
      <c r="CU125" s="246">
        <f t="shared" si="326"/>
        <v>-2.1186333187785643E-4</v>
      </c>
      <c r="CV125" s="249">
        <f t="shared" si="326"/>
        <v>-6.2160394194222396E-4</v>
      </c>
      <c r="CW125" s="249">
        <f t="shared" si="326"/>
        <v>-1.5758467109711592E-4</v>
      </c>
      <c r="CX125" s="249">
        <f t="shared" si="326"/>
        <v>-5.8208218568341508E-4</v>
      </c>
      <c r="CY125" s="249">
        <f t="shared" si="326"/>
        <v>-3.0031071846141257E-4</v>
      </c>
      <c r="CZ125" s="246">
        <f t="shared" si="326"/>
        <v>-4.1451970867949998E-4</v>
      </c>
      <c r="DA125" s="249">
        <f t="shared" si="326"/>
        <v>-3.7142613073680875E-4</v>
      </c>
      <c r="DB125" s="249">
        <f t="shared" si="326"/>
        <v>-7.5299376005779142E-4</v>
      </c>
      <c r="DC125" s="249">
        <f t="shared" si="326"/>
        <v>-1.9206734367127349E-4</v>
      </c>
      <c r="DD125" s="249">
        <f t="shared" si="326"/>
        <v>-9.1786600112944532E-5</v>
      </c>
      <c r="DE125" s="246">
        <f t="shared" ref="DE125:DJ125" si="327">DE124-CZ124</f>
        <v>-3.4587381064088256E-4</v>
      </c>
      <c r="DF125" s="249">
        <f t="shared" si="326"/>
        <v>2.6817942922603439E-4</v>
      </c>
      <c r="DG125" s="249">
        <f t="shared" si="326"/>
        <v>2.0880637283971631E-4</v>
      </c>
      <c r="DH125" s="249">
        <f t="shared" si="326"/>
        <v>1.6561639873287175E-5</v>
      </c>
      <c r="DI125" s="249">
        <f t="shared" si="326"/>
        <v>-2.5293321893578042E-4</v>
      </c>
      <c r="DJ125" s="246">
        <f t="shared" si="327"/>
        <v>5.5277809317078042E-5</v>
      </c>
      <c r="DK125" s="249">
        <f t="shared" ref="DK125:DT125" si="328">DK124-DF124</f>
        <v>-2.9057905898422116E-4</v>
      </c>
      <c r="DL125" s="249">
        <f t="shared" si="328"/>
        <v>-4.4021839288303256E-4</v>
      </c>
      <c r="DM125" s="249">
        <f t="shared" si="328"/>
        <v>-3.3327301646233695E-5</v>
      </c>
      <c r="DN125" s="249">
        <f t="shared" si="328"/>
        <v>-8.7241499148586234E-5</v>
      </c>
      <c r="DO125" s="246">
        <f t="shared" ca="1" si="328"/>
        <v>-2.1003104334129438E-4</v>
      </c>
      <c r="DP125" s="249">
        <f t="shared" si="328"/>
        <v>2.0000000000000052E-4</v>
      </c>
      <c r="DQ125" s="249">
        <f t="shared" si="328"/>
        <v>2.0000000000000052E-4</v>
      </c>
      <c r="DR125" s="249">
        <f t="shared" si="328"/>
        <v>2.0000000000000052E-4</v>
      </c>
      <c r="DS125" s="249">
        <f t="shared" si="328"/>
        <v>2.0000000000000052E-4</v>
      </c>
      <c r="DT125" s="246">
        <f t="shared" ca="1" si="328"/>
        <v>1.9999999999999966E-4</v>
      </c>
      <c r="DU125" s="249">
        <f t="shared" ref="DU125" si="329">DU124-DP124</f>
        <v>0</v>
      </c>
      <c r="DV125" s="249">
        <f t="shared" ref="DV125" si="330">DV124-DQ124</f>
        <v>0</v>
      </c>
      <c r="DW125" s="249">
        <f t="shared" ref="DW125" si="331">DW124-DR124</f>
        <v>0</v>
      </c>
      <c r="DX125" s="249">
        <f t="shared" ref="DX125" si="332">DX124-DS124</f>
        <v>0</v>
      </c>
      <c r="DY125" s="246">
        <f t="shared" ref="DY125" ca="1" si="333">DY124-DT124</f>
        <v>0</v>
      </c>
      <c r="DZ125" s="250"/>
    </row>
    <row r="126" spans="1:130" x14ac:dyDescent="0.2">
      <c r="A126" s="243"/>
      <c r="B126" s="244" t="s">
        <v>219</v>
      </c>
      <c r="C126" s="245"/>
      <c r="D126" s="245"/>
      <c r="E126" s="245"/>
      <c r="F126" s="245"/>
      <c r="G126" s="245"/>
      <c r="H126" s="245"/>
      <c r="I126" s="246"/>
      <c r="J126" s="245"/>
      <c r="K126" s="245"/>
      <c r="L126" s="245"/>
      <c r="M126" s="245"/>
      <c r="N126" s="246"/>
      <c r="O126" s="245"/>
      <c r="P126" s="245"/>
      <c r="Q126" s="245"/>
      <c r="R126" s="245"/>
      <c r="S126" s="246"/>
      <c r="T126" s="247"/>
      <c r="U126" s="248"/>
      <c r="V126" s="245"/>
      <c r="W126" s="245"/>
      <c r="X126" s="246"/>
      <c r="Y126" s="245"/>
      <c r="Z126" s="245"/>
      <c r="AA126" s="245"/>
      <c r="AB126" s="245"/>
      <c r="AC126" s="246"/>
      <c r="AD126" s="245"/>
      <c r="AE126" s="245"/>
      <c r="AF126" s="245"/>
      <c r="AG126" s="245"/>
      <c r="AH126" s="246"/>
      <c r="AI126" s="245"/>
      <c r="AJ126" s="245"/>
      <c r="AK126" s="245"/>
      <c r="AL126" s="245"/>
      <c r="AM126" s="246"/>
      <c r="AN126" s="245"/>
      <c r="AO126" s="245"/>
      <c r="AP126" s="245"/>
      <c r="AQ126" s="245"/>
      <c r="AR126" s="246"/>
      <c r="AS126" s="245"/>
      <c r="AT126" s="245"/>
      <c r="AU126" s="245"/>
      <c r="AV126" s="245"/>
      <c r="AW126" s="246"/>
      <c r="AX126" s="245"/>
      <c r="AY126" s="245"/>
      <c r="AZ126" s="245"/>
      <c r="BA126" s="245"/>
      <c r="BB126" s="246"/>
      <c r="BC126" s="245"/>
      <c r="BD126" s="245"/>
      <c r="BE126" s="245"/>
      <c r="BF126" s="245"/>
      <c r="BG126" s="246"/>
      <c r="BH126" s="245"/>
      <c r="BI126" s="245"/>
      <c r="BJ126" s="245"/>
      <c r="BK126" s="245"/>
      <c r="BL126" s="246"/>
      <c r="BM126" s="245"/>
      <c r="BN126" s="245"/>
      <c r="BO126" s="245"/>
      <c r="BP126" s="245"/>
      <c r="BQ126" s="246"/>
      <c r="BR126" s="247">
        <f t="shared" ref="BR126:DI126" si="334">BR123/BM123-1</f>
        <v>0.15673693858845095</v>
      </c>
      <c r="BS126" s="247">
        <f t="shared" si="334"/>
        <v>0.2071005917159765</v>
      </c>
      <c r="BT126" s="247">
        <f t="shared" si="334"/>
        <v>0.23120837297811625</v>
      </c>
      <c r="BU126" s="247">
        <f t="shared" si="334"/>
        <v>9.1192517537022511E-2</v>
      </c>
      <c r="BV126" s="246">
        <f t="shared" si="334"/>
        <v>0.16840277777777768</v>
      </c>
      <c r="BW126" s="247">
        <f t="shared" si="334"/>
        <v>6.9730586370839953E-2</v>
      </c>
      <c r="BX126" s="247">
        <f t="shared" si="334"/>
        <v>9.243697478991586E-2</v>
      </c>
      <c r="BY126" s="247">
        <f t="shared" si="334"/>
        <v>0.29829984544049459</v>
      </c>
      <c r="BZ126" s="247">
        <f t="shared" si="334"/>
        <v>0.19285714285714284</v>
      </c>
      <c r="CA126" s="246">
        <f t="shared" si="334"/>
        <v>0.1627043090638931</v>
      </c>
      <c r="CB126" s="247">
        <f t="shared" si="334"/>
        <v>8.8888888888888795E-2</v>
      </c>
      <c r="CC126" s="247">
        <f t="shared" si="334"/>
        <v>3.8461538461538547E-2</v>
      </c>
      <c r="CD126" s="247">
        <f t="shared" si="334"/>
        <v>-8.333333333333337E-2</v>
      </c>
      <c r="CE126" s="247">
        <f t="shared" si="334"/>
        <v>-8.8622754491018085E-2</v>
      </c>
      <c r="CF126" s="246">
        <f t="shared" si="334"/>
        <v>-1.7252396166134165E-2</v>
      </c>
      <c r="CG126" s="249">
        <f t="shared" si="334"/>
        <v>0.14285714285714279</v>
      </c>
      <c r="CH126" s="249">
        <f t="shared" si="334"/>
        <v>8.3333333333333259E-2</v>
      </c>
      <c r="CI126" s="249">
        <f t="shared" si="334"/>
        <v>9.6103896103896247E-2</v>
      </c>
      <c r="CJ126" s="249">
        <f t="shared" si="334"/>
        <v>0.19579500657030224</v>
      </c>
      <c r="CK126" s="246">
        <f t="shared" si="334"/>
        <v>0.12857607282184635</v>
      </c>
      <c r="CL126" s="249">
        <f t="shared" si="334"/>
        <v>0.18452380952380953</v>
      </c>
      <c r="CM126" s="249">
        <f t="shared" si="334"/>
        <v>2.2792022792024191E-3</v>
      </c>
      <c r="CN126" s="249">
        <f t="shared" si="334"/>
        <v>5.8649289099525825E-2</v>
      </c>
      <c r="CO126" s="249">
        <f t="shared" si="334"/>
        <v>8.7912087912087822E-2</v>
      </c>
      <c r="CP126" s="246">
        <f t="shared" si="334"/>
        <v>8.2529166066541704E-2</v>
      </c>
      <c r="CQ126" s="249">
        <f t="shared" si="334"/>
        <v>-4.4723618090452333E-2</v>
      </c>
      <c r="CR126" s="249">
        <f t="shared" si="334"/>
        <v>0.16884593519044899</v>
      </c>
      <c r="CS126" s="249">
        <f t="shared" si="334"/>
        <v>9.5691102406267659E-2</v>
      </c>
      <c r="CT126" s="249">
        <f t="shared" si="334"/>
        <v>3.5353535353535248E-2</v>
      </c>
      <c r="CU126" s="246">
        <f t="shared" si="334"/>
        <v>5.9739222990952801E-2</v>
      </c>
      <c r="CV126" s="249">
        <f t="shared" si="334"/>
        <v>-7.3645449763283244E-3</v>
      </c>
      <c r="CW126" s="249">
        <f t="shared" si="334"/>
        <v>4.5719844357976713E-2</v>
      </c>
      <c r="CX126" s="249">
        <f t="shared" si="334"/>
        <v>-1.1443889530132867E-2</v>
      </c>
      <c r="CY126" s="249">
        <f t="shared" si="334"/>
        <v>5.0108352926828692E-2</v>
      </c>
      <c r="CZ126" s="246">
        <f t="shared" si="334"/>
        <v>2.012743098556169E-2</v>
      </c>
      <c r="DA126" s="249">
        <f t="shared" si="334"/>
        <v>0.10439851616322215</v>
      </c>
      <c r="DB126" s="249">
        <f t="shared" si="334"/>
        <v>2.3255813953488413E-2</v>
      </c>
      <c r="DC126" s="249">
        <f t="shared" si="334"/>
        <v>0.11025414467891115</v>
      </c>
      <c r="DD126" s="249">
        <f t="shared" si="334"/>
        <v>9.7679990466266631E-2</v>
      </c>
      <c r="DE126" s="246">
        <f t="shared" ref="DE126:DJ126" si="335">DE123/CZ123-1</f>
        <v>8.2542647664370028E-2</v>
      </c>
      <c r="DF126" s="249">
        <f t="shared" si="334"/>
        <v>8.7332053742802174E-2</v>
      </c>
      <c r="DG126" s="249">
        <f t="shared" si="334"/>
        <v>8.8181818181818139E-2</v>
      </c>
      <c r="DH126" s="249">
        <f t="shared" si="334"/>
        <v>3.8668565844579117E-2</v>
      </c>
      <c r="DI126" s="249">
        <f t="shared" si="334"/>
        <v>7.1904388489207882E-4</v>
      </c>
      <c r="DJ126" s="246">
        <f t="shared" si="335"/>
        <v>5.2387204263301568E-2</v>
      </c>
      <c r="DK126" s="249">
        <f t="shared" ref="DK126:DT126" ca="1" si="336">DK123/DF123-1</f>
        <v>-2.8716035968366249E-2</v>
      </c>
      <c r="DL126" s="249">
        <f t="shared" ca="1" si="336"/>
        <v>-3.4557917794584281E-2</v>
      </c>
      <c r="DM126" s="249">
        <f t="shared" ca="1" si="336"/>
        <v>2.765889946946376E-2</v>
      </c>
      <c r="DN126" s="249">
        <f t="shared" ca="1" si="336"/>
        <v>-3.7311401240055497E-3</v>
      </c>
      <c r="DO126" s="246">
        <f t="shared" ca="1" si="336"/>
        <v>-1.0250609668099431E-2</v>
      </c>
      <c r="DP126" s="249">
        <f t="shared" ca="1" si="336"/>
        <v>0.1031845069100803</v>
      </c>
      <c r="DQ126" s="249">
        <f t="shared" ca="1" si="336"/>
        <v>0.10306169213018479</v>
      </c>
      <c r="DR126" s="249">
        <f t="shared" ca="1" si="336"/>
        <v>0.10248056052063692</v>
      </c>
      <c r="DS126" s="249">
        <f t="shared" ca="1" si="336"/>
        <v>0.10056114578012165</v>
      </c>
      <c r="DT126" s="246">
        <f t="shared" ca="1" si="336"/>
        <v>0.10230271378100042</v>
      </c>
      <c r="DU126" s="249">
        <f t="shared" ref="DU126" ca="1" si="337">DU123/DP123-1</f>
        <v>3.6672701086795989E-2</v>
      </c>
      <c r="DV126" s="249">
        <f t="shared" ref="DV126" ca="1" si="338">DV123/DQ123-1</f>
        <v>3.5519164134720338E-2</v>
      </c>
      <c r="DW126" s="249">
        <f t="shared" ref="DW126" ca="1" si="339">DW123/DR123-1</f>
        <v>3.4606542417904507E-2</v>
      </c>
      <c r="DX126" s="249">
        <f t="shared" ref="DX126" ca="1" si="340">DX123/DS123-1</f>
        <v>3.2891650582528298E-2</v>
      </c>
      <c r="DY126" s="246">
        <f t="shared" ref="DY126" ca="1" si="341">DY123/DT123-1</f>
        <v>3.4893402220180558E-2</v>
      </c>
      <c r="DZ126" s="250"/>
    </row>
    <row r="127" spans="1:130" ht="7.5" customHeight="1" x14ac:dyDescent="0.2">
      <c r="A127" s="16"/>
      <c r="B127" s="251"/>
      <c r="C127" s="252"/>
      <c r="D127" s="102"/>
      <c r="E127" s="164"/>
      <c r="F127" s="164"/>
      <c r="G127" s="164"/>
      <c r="H127" s="102"/>
      <c r="I127" s="165"/>
      <c r="J127" s="59"/>
      <c r="K127" s="59"/>
      <c r="L127" s="59"/>
      <c r="M127" s="59"/>
      <c r="N127" s="165"/>
      <c r="O127" s="59"/>
      <c r="P127" s="59"/>
      <c r="Q127" s="59"/>
      <c r="R127" s="59"/>
      <c r="S127" s="165"/>
      <c r="T127" s="59"/>
      <c r="U127" s="78"/>
      <c r="V127" s="59"/>
      <c r="W127" s="59"/>
      <c r="X127" s="165"/>
      <c r="Y127" s="59"/>
      <c r="Z127" s="59"/>
      <c r="AA127" s="59"/>
      <c r="AB127" s="59"/>
      <c r="AC127" s="165"/>
      <c r="AD127" s="59"/>
      <c r="AE127" s="59"/>
      <c r="AF127" s="60"/>
      <c r="AG127" s="59"/>
      <c r="AH127" s="165"/>
      <c r="AI127" s="60"/>
      <c r="AJ127" s="60"/>
      <c r="AK127" s="60"/>
      <c r="AL127" s="59"/>
      <c r="AM127" s="165"/>
      <c r="AN127" s="60"/>
      <c r="AO127" s="60"/>
      <c r="AP127" s="60"/>
      <c r="AQ127" s="59"/>
      <c r="AR127" s="165"/>
      <c r="AS127" s="234"/>
      <c r="AT127" s="59"/>
      <c r="AU127" s="59"/>
      <c r="AV127" s="59"/>
      <c r="AW127" s="165"/>
      <c r="AX127" s="235"/>
      <c r="AY127" s="235"/>
      <c r="AZ127" s="235"/>
      <c r="BA127" s="59"/>
      <c r="BB127" s="165"/>
      <c r="BC127" s="59"/>
      <c r="BD127" s="59"/>
      <c r="BE127" s="59"/>
      <c r="BF127" s="59"/>
      <c r="BG127" s="165"/>
      <c r="BH127" s="59"/>
      <c r="BI127" s="59"/>
      <c r="BJ127" s="59"/>
      <c r="BK127" s="59"/>
      <c r="BL127" s="165"/>
      <c r="BM127" s="59"/>
      <c r="BN127" s="59"/>
      <c r="BO127" s="59"/>
      <c r="BP127" s="59"/>
      <c r="BQ127" s="165"/>
      <c r="BR127" s="59"/>
      <c r="BS127" s="59"/>
      <c r="BT127" s="59"/>
      <c r="BU127" s="59"/>
      <c r="BV127" s="165"/>
      <c r="BW127" s="59"/>
      <c r="BX127" s="59"/>
      <c r="BY127" s="59"/>
      <c r="BZ127" s="59"/>
      <c r="CA127" s="165"/>
      <c r="CB127" s="59"/>
      <c r="CC127" s="59"/>
      <c r="CD127" s="59"/>
      <c r="CE127" s="59"/>
      <c r="CF127" s="165"/>
      <c r="CG127" s="236"/>
      <c r="CH127" s="236"/>
      <c r="CI127" s="236"/>
      <c r="CJ127" s="236"/>
      <c r="CK127" s="165"/>
      <c r="CL127" s="236"/>
      <c r="CM127" s="236"/>
      <c r="CN127" s="236"/>
      <c r="CO127" s="236"/>
      <c r="CP127" s="165"/>
      <c r="CQ127" s="236"/>
      <c r="CR127" s="236"/>
      <c r="CS127" s="236"/>
      <c r="CT127" s="236"/>
      <c r="CU127" s="165"/>
      <c r="CV127" s="236"/>
      <c r="CW127" s="236"/>
      <c r="CX127" s="236"/>
      <c r="CY127" s="236"/>
      <c r="CZ127" s="165"/>
      <c r="DA127" s="236"/>
      <c r="DB127" s="236"/>
      <c r="DC127" s="236"/>
      <c r="DD127" s="236"/>
      <c r="DE127" s="165"/>
      <c r="DF127" s="236"/>
      <c r="DG127" s="236"/>
      <c r="DH127" s="236"/>
      <c r="DI127" s="236"/>
      <c r="DJ127" s="165"/>
      <c r="DK127" s="236"/>
      <c r="DL127" s="236"/>
      <c r="DM127" s="236"/>
      <c r="DN127" s="236"/>
      <c r="DO127" s="165"/>
      <c r="DP127" s="236"/>
      <c r="DQ127" s="236"/>
      <c r="DR127" s="236"/>
      <c r="DS127" s="236"/>
      <c r="DT127" s="165"/>
      <c r="DU127" s="236"/>
      <c r="DV127" s="236"/>
      <c r="DW127" s="236"/>
      <c r="DX127" s="236"/>
      <c r="DY127" s="165"/>
      <c r="DZ127" s="16"/>
    </row>
    <row r="128" spans="1:130" x14ac:dyDescent="0.2">
      <c r="A128" s="260"/>
      <c r="B128" s="104" t="s">
        <v>235</v>
      </c>
      <c r="C128" s="102"/>
      <c r="D128" s="261"/>
      <c r="E128" s="261"/>
      <c r="F128" s="261"/>
      <c r="G128" s="261"/>
      <c r="H128" s="261"/>
      <c r="I128" s="262"/>
      <c r="J128" s="261"/>
      <c r="K128" s="261"/>
      <c r="L128" s="261"/>
      <c r="M128" s="261"/>
      <c r="N128" s="262"/>
      <c r="O128" s="261"/>
      <c r="P128" s="261"/>
      <c r="Q128" s="261"/>
      <c r="R128" s="261"/>
      <c r="S128" s="262"/>
      <c r="T128" s="261"/>
      <c r="U128" s="261"/>
      <c r="V128" s="261"/>
      <c r="W128" s="261"/>
      <c r="X128" s="262"/>
      <c r="Y128" s="261"/>
      <c r="Z128" s="261"/>
      <c r="AA128" s="261"/>
      <c r="AB128" s="261"/>
      <c r="AC128" s="262"/>
      <c r="AD128" s="261"/>
      <c r="AE128" s="261"/>
      <c r="AF128" s="261"/>
      <c r="AG128" s="261"/>
      <c r="AH128" s="262"/>
      <c r="AI128" s="261"/>
      <c r="AJ128" s="261"/>
      <c r="AK128" s="261"/>
      <c r="AL128" s="261"/>
      <c r="AM128" s="262"/>
      <c r="AN128" s="261"/>
      <c r="AO128" s="261"/>
      <c r="AP128" s="261"/>
      <c r="AQ128" s="261"/>
      <c r="AR128" s="262"/>
      <c r="AS128" s="263"/>
      <c r="AT128" s="261"/>
      <c r="AU128" s="261"/>
      <c r="AV128" s="261"/>
      <c r="AW128" s="262"/>
      <c r="AX128" s="261"/>
      <c r="AY128" s="261"/>
      <c r="AZ128" s="261"/>
      <c r="BA128" s="261"/>
      <c r="BB128" s="262"/>
      <c r="BC128" s="261"/>
      <c r="BD128" s="261"/>
      <c r="BE128" s="261"/>
      <c r="BF128" s="261"/>
      <c r="BG128" s="262"/>
      <c r="BH128" s="261"/>
      <c r="BI128" s="261"/>
      <c r="BJ128" s="261"/>
      <c r="BK128" s="261"/>
      <c r="BL128" s="262"/>
      <c r="BM128" s="261"/>
      <c r="BN128" s="261"/>
      <c r="BO128" s="261"/>
      <c r="BP128" s="261"/>
      <c r="BQ128" s="262"/>
      <c r="BR128" s="261"/>
      <c r="BS128" s="261"/>
      <c r="BT128" s="261"/>
      <c r="BU128" s="261"/>
      <c r="BV128" s="262"/>
      <c r="BW128" s="261"/>
      <c r="BX128" s="261"/>
      <c r="BY128" s="261"/>
      <c r="BZ128" s="261"/>
      <c r="CA128" s="262"/>
      <c r="CB128" s="261"/>
      <c r="CC128" s="261"/>
      <c r="CD128" s="261"/>
      <c r="CE128" s="261"/>
      <c r="CF128" s="262"/>
      <c r="CG128" s="264"/>
      <c r="CH128" s="264"/>
      <c r="CI128" s="264"/>
      <c r="CJ128" s="264"/>
      <c r="CK128" s="262"/>
      <c r="CL128" s="264"/>
      <c r="CM128" s="264"/>
      <c r="CN128" s="264"/>
      <c r="CO128" s="264"/>
      <c r="CP128" s="262"/>
      <c r="CQ128" s="264"/>
      <c r="CR128" s="264"/>
      <c r="CS128" s="264"/>
      <c r="CT128" s="264"/>
      <c r="CU128" s="262"/>
      <c r="CV128" s="264"/>
      <c r="CW128" s="264"/>
      <c r="CX128" s="264"/>
      <c r="CY128" s="264"/>
      <c r="CZ128" s="262"/>
      <c r="DA128" s="264"/>
      <c r="DB128" s="264"/>
      <c r="DC128" s="264"/>
      <c r="DD128" s="264"/>
      <c r="DE128" s="262"/>
      <c r="DF128" s="264"/>
      <c r="DG128" s="264"/>
      <c r="DH128" s="264"/>
      <c r="DI128" s="264"/>
      <c r="DJ128" s="262"/>
      <c r="DK128" s="264"/>
      <c r="DL128" s="264"/>
      <c r="DM128" s="264"/>
      <c r="DN128" s="264"/>
      <c r="DO128" s="262"/>
      <c r="DP128" s="264"/>
      <c r="DQ128" s="264"/>
      <c r="DR128" s="264"/>
      <c r="DS128" s="264"/>
      <c r="DT128" s="262"/>
      <c r="DU128" s="264"/>
      <c r="DV128" s="264"/>
      <c r="DW128" s="264"/>
      <c r="DX128" s="264"/>
      <c r="DY128" s="262"/>
      <c r="DZ128" s="260"/>
    </row>
    <row r="129" spans="1:130" x14ac:dyDescent="0.2">
      <c r="A129" s="57"/>
      <c r="B129" s="254" t="s">
        <v>236</v>
      </c>
      <c r="C129" s="238"/>
      <c r="D129" s="238"/>
      <c r="E129" s="238"/>
      <c r="F129" s="238"/>
      <c r="G129" s="238"/>
      <c r="H129" s="238"/>
      <c r="I129" s="239">
        <f>Retail!I34</f>
        <v>205.2</v>
      </c>
      <c r="J129" s="238"/>
      <c r="K129" s="238"/>
      <c r="L129" s="238"/>
      <c r="M129" s="238"/>
      <c r="N129" s="239">
        <f>Retail!N34</f>
        <v>237.8</v>
      </c>
      <c r="O129" s="238"/>
      <c r="P129" s="238"/>
      <c r="Q129" s="238"/>
      <c r="R129" s="238"/>
      <c r="S129" s="239">
        <f>Retail!S34</f>
        <v>248.6</v>
      </c>
      <c r="T129" s="238"/>
      <c r="U129" s="238"/>
      <c r="V129" s="238"/>
      <c r="W129" s="238"/>
      <c r="X129" s="239">
        <f>Retail!X34</f>
        <v>275.39999999999998</v>
      </c>
      <c r="Y129" s="238"/>
      <c r="Z129" s="238"/>
      <c r="AA129" s="238"/>
      <c r="AB129" s="238"/>
      <c r="AC129" s="239">
        <f>Retail!AC34</f>
        <v>289.39999999999998</v>
      </c>
      <c r="AD129" s="238"/>
      <c r="AE129" s="238"/>
      <c r="AF129" s="238"/>
      <c r="AG129" s="238"/>
      <c r="AH129" s="239">
        <f>Retail!AH34</f>
        <v>301.7</v>
      </c>
      <c r="AI129" s="238"/>
      <c r="AJ129" s="238"/>
      <c r="AK129" s="238"/>
      <c r="AL129" s="238"/>
      <c r="AM129" s="239">
        <f>Retail!AM34</f>
        <v>297.60000000000002</v>
      </c>
      <c r="AN129" s="238"/>
      <c r="AO129" s="238"/>
      <c r="AP129" s="238"/>
      <c r="AQ129" s="238"/>
      <c r="AR129" s="239">
        <f>Retail!AR34</f>
        <v>326.5</v>
      </c>
      <c r="AS129" s="238"/>
      <c r="AT129" s="238"/>
      <c r="AU129" s="238"/>
      <c r="AV129" s="238"/>
      <c r="AW129" s="239">
        <f>Retail!AW34</f>
        <v>471.1</v>
      </c>
      <c r="AX129" s="238"/>
      <c r="AY129" s="238"/>
      <c r="AZ129" s="238"/>
      <c r="BA129" s="238"/>
      <c r="BB129" s="239">
        <f>Retail!BB34</f>
        <v>548.5</v>
      </c>
      <c r="BC129" s="238">
        <f>Retail!BC34</f>
        <v>155.4</v>
      </c>
      <c r="BD129" s="238">
        <f>Retail!BD34</f>
        <v>183.1</v>
      </c>
      <c r="BE129" s="238">
        <f>Retail!BE34</f>
        <v>193.4</v>
      </c>
      <c r="BF129" s="238">
        <f>Retail!BF34</f>
        <v>201.4</v>
      </c>
      <c r="BG129" s="239">
        <f>Retail!BG34</f>
        <v>691.9</v>
      </c>
      <c r="BH129" s="238">
        <f>Retail!BH34</f>
        <v>120.50000000000001</v>
      </c>
      <c r="BI129" s="238">
        <f>Retail!BI34</f>
        <v>216</v>
      </c>
      <c r="BJ129" s="238">
        <f>Retail!BJ34</f>
        <v>213.29999999999998</v>
      </c>
      <c r="BK129" s="238">
        <f>Retail!BK34</f>
        <v>185.90000000000003</v>
      </c>
      <c r="BL129" s="239">
        <f>Retail!BL34</f>
        <v>805.3</v>
      </c>
      <c r="BM129" s="238">
        <f>Retail!BM34</f>
        <v>212.8</v>
      </c>
      <c r="BN129" s="238">
        <f>Retail!BN34</f>
        <v>222.39999999999995</v>
      </c>
      <c r="BO129" s="238">
        <f>Retail!BO34</f>
        <v>222.7000000000001</v>
      </c>
      <c r="BP129" s="238">
        <f>Retail!BP34</f>
        <v>261.3</v>
      </c>
      <c r="BQ129" s="239">
        <f>Retail!BQ34</f>
        <v>919.2</v>
      </c>
      <c r="BR129" s="238">
        <f>Retail!BR34</f>
        <v>259.5</v>
      </c>
      <c r="BS129" s="238">
        <f>Retail!BS34</f>
        <v>290.00000000000006</v>
      </c>
      <c r="BT129" s="238">
        <f>Retail!BT34</f>
        <v>209.09999999999997</v>
      </c>
      <c r="BU129" s="238">
        <f>Retail!BU34</f>
        <v>252.5</v>
      </c>
      <c r="BV129" s="239">
        <f>Retail!BV34</f>
        <v>1011.0999999999999</v>
      </c>
      <c r="BW129" s="238">
        <f>Retail!BW34</f>
        <v>260</v>
      </c>
      <c r="BX129" s="238">
        <f>Retail!BX34</f>
        <v>272</v>
      </c>
      <c r="BY129" s="238">
        <f>Retail!BY34</f>
        <v>272</v>
      </c>
      <c r="BZ129" s="238">
        <f>Retail!BZ34</f>
        <v>275</v>
      </c>
      <c r="CA129" s="239">
        <f>Retail!CA34</f>
        <v>1079</v>
      </c>
      <c r="CB129" s="238">
        <f>Retail!CB34</f>
        <v>275</v>
      </c>
      <c r="CC129" s="238">
        <f>Retail!CC34</f>
        <v>284</v>
      </c>
      <c r="CD129" s="238">
        <f>Retail!CD34</f>
        <v>295</v>
      </c>
      <c r="CE129" s="238">
        <f>Retail!CE34</f>
        <v>297.7</v>
      </c>
      <c r="CF129" s="239">
        <f>Retail!CF34</f>
        <v>1151.7</v>
      </c>
      <c r="CG129" s="238">
        <f>Retail!CG34</f>
        <v>281</v>
      </c>
      <c r="CH129" s="238">
        <f>Retail!CH34</f>
        <v>281.10000000000002</v>
      </c>
      <c r="CI129" s="238">
        <f>Retail!CI34</f>
        <v>292.8</v>
      </c>
      <c r="CJ129" s="238">
        <f>Retail!CJ34</f>
        <v>298.09999999999991</v>
      </c>
      <c r="CK129" s="239">
        <f>Retail!CK34</f>
        <v>1153</v>
      </c>
      <c r="CL129" s="241">
        <f>Retail!CL34</f>
        <v>342.4</v>
      </c>
      <c r="CM129" s="241">
        <f>Retail!CM34</f>
        <v>287.89999999999998</v>
      </c>
      <c r="CN129" s="241">
        <f>Retail!CN34</f>
        <v>295</v>
      </c>
      <c r="CO129" s="241">
        <f>Retail!CO34</f>
        <v>291.89999999999998</v>
      </c>
      <c r="CP129" s="239">
        <f>Retail!CP34</f>
        <v>1217.1999999999998</v>
      </c>
      <c r="CQ129" s="241">
        <f>Retail!CQ34</f>
        <v>298.39999999999998</v>
      </c>
      <c r="CR129" s="241">
        <f>Retail!CR34</f>
        <v>306.7</v>
      </c>
      <c r="CS129" s="241">
        <f>CS135*CS132</f>
        <v>298.21248428990367</v>
      </c>
      <c r="CT129" s="241">
        <f>CT135*CT132</f>
        <v>305.46309174696268</v>
      </c>
      <c r="CU129" s="239">
        <f>Retail!CU34</f>
        <v>1204.9000000000001</v>
      </c>
      <c r="CV129" s="241">
        <f>Retail!CV34</f>
        <v>304.8</v>
      </c>
      <c r="CW129" s="241">
        <f>Retail!CW34</f>
        <v>303.60000000000002</v>
      </c>
      <c r="CX129" s="241">
        <f>Retail!CX34</f>
        <v>342.80916628487267</v>
      </c>
      <c r="CY129" s="241">
        <f>Retail!CY34</f>
        <v>373.24324147000004</v>
      </c>
      <c r="CZ129" s="239">
        <f>Retail!CZ34</f>
        <v>1324.4524077548726</v>
      </c>
      <c r="DA129" s="241">
        <f>Retail!DA34</f>
        <v>400.9</v>
      </c>
      <c r="DB129" s="241">
        <f>Retail!DB34</f>
        <v>404.2</v>
      </c>
      <c r="DC129" s="241">
        <f>Retail!DC34</f>
        <v>395.8</v>
      </c>
      <c r="DD129" s="241">
        <f>Retail!DD34</f>
        <v>411.8</v>
      </c>
      <c r="DE129" s="239">
        <f>Retail!EB34</f>
        <v>0</v>
      </c>
      <c r="DF129" s="241">
        <f>Retail!DF34</f>
        <v>411.2</v>
      </c>
      <c r="DG129" s="241">
        <f>Retail!DG34</f>
        <v>415.7</v>
      </c>
      <c r="DH129" s="241">
        <f>Retail!DH34</f>
        <v>407.71020342000003</v>
      </c>
      <c r="DI129" s="241">
        <f>Retail!DI34</f>
        <v>416.95073015999998</v>
      </c>
      <c r="DJ129" s="239">
        <f>Retail!EG34</f>
        <v>0</v>
      </c>
      <c r="DK129" s="241">
        <f>DK135*DK132</f>
        <v>429.35352327053897</v>
      </c>
      <c r="DL129" s="241">
        <f>DL135*DL132</f>
        <v>423.19232204907951</v>
      </c>
      <c r="DM129" s="241">
        <f>DM135*DM132</f>
        <v>418.71912116226645</v>
      </c>
      <c r="DN129" s="241">
        <f>DN135*DN132</f>
        <v>429.35352327053897</v>
      </c>
      <c r="DO129" s="239">
        <f>Retail!EL34</f>
        <v>0</v>
      </c>
      <c r="DP129" s="241">
        <f>DP135*DP132</f>
        <v>427.93942912352782</v>
      </c>
      <c r="DQ129" s="241">
        <f>DQ135*DQ132</f>
        <v>426.05263861613787</v>
      </c>
      <c r="DR129" s="241">
        <f>DR135*DR132</f>
        <v>426.970123064696</v>
      </c>
      <c r="DS129" s="241">
        <f>DS135*DS132</f>
        <v>426.93456252431275</v>
      </c>
      <c r="DT129" s="239">
        <f>Retail!EQ34</f>
        <v>0</v>
      </c>
      <c r="DU129" s="241">
        <f>DU135*DU132</f>
        <v>425.96556840794284</v>
      </c>
      <c r="DV129" s="241">
        <f>DV135*DV132</f>
        <v>424.32240867685277</v>
      </c>
      <c r="DW129" s="241">
        <f>DW135*DW132</f>
        <v>425.33560713318622</v>
      </c>
      <c r="DX129" s="241">
        <f>DX135*DX132</f>
        <v>425.82870702881013</v>
      </c>
      <c r="DY129" s="239">
        <f>Retail!EV34</f>
        <v>0</v>
      </c>
      <c r="DZ129" s="64"/>
    </row>
    <row r="130" spans="1:130" x14ac:dyDescent="0.2">
      <c r="A130" s="57"/>
      <c r="B130" s="254" t="s">
        <v>237</v>
      </c>
      <c r="C130" s="238"/>
      <c r="D130" s="238"/>
      <c r="E130" s="238"/>
      <c r="F130" s="238"/>
      <c r="G130" s="238"/>
      <c r="H130" s="238"/>
      <c r="I130" s="239">
        <f>PBM!I32</f>
        <v>0.2</v>
      </c>
      <c r="J130" s="238"/>
      <c r="K130" s="238"/>
      <c r="L130" s="238"/>
      <c r="M130" s="238"/>
      <c r="N130" s="239">
        <f>PBM!N32</f>
        <v>0.4</v>
      </c>
      <c r="O130" s="238"/>
      <c r="P130" s="238"/>
      <c r="Q130" s="238"/>
      <c r="R130" s="238"/>
      <c r="S130" s="239">
        <f>PBM!S32</f>
        <v>1.1000000000000001</v>
      </c>
      <c r="T130" s="238"/>
      <c r="U130" s="238"/>
      <c r="V130" s="238"/>
      <c r="W130" s="238"/>
      <c r="X130" s="239">
        <f>PBM!X32</f>
        <v>2.5</v>
      </c>
      <c r="Y130" s="238"/>
      <c r="Z130" s="238"/>
      <c r="AA130" s="238"/>
      <c r="AB130" s="238"/>
      <c r="AC130" s="239">
        <f>PBM!AC32</f>
        <v>7.2</v>
      </c>
      <c r="AD130" s="238"/>
      <c r="AE130" s="238"/>
      <c r="AF130" s="238"/>
      <c r="AG130" s="238"/>
      <c r="AH130" s="239">
        <f>PBM!AH32</f>
        <v>19.100000000000001</v>
      </c>
      <c r="AI130" s="238"/>
      <c r="AJ130" s="238"/>
      <c r="AK130" s="238"/>
      <c r="AL130" s="238"/>
      <c r="AM130" s="239">
        <f>PBM!AM32</f>
        <v>12.7</v>
      </c>
      <c r="AN130" s="238"/>
      <c r="AO130" s="238"/>
      <c r="AP130" s="238"/>
      <c r="AQ130" s="238"/>
      <c r="AR130" s="239">
        <f>PBM!AR32</f>
        <v>15.2</v>
      </c>
      <c r="AS130" s="238"/>
      <c r="AT130" s="238"/>
      <c r="AU130" s="238"/>
      <c r="AV130" s="238"/>
      <c r="AW130" s="239">
        <f>PBM!AW32</f>
        <v>25.7</v>
      </c>
      <c r="AX130" s="238"/>
      <c r="AY130" s="238"/>
      <c r="AZ130" s="238"/>
      <c r="BA130" s="238"/>
      <c r="BB130" s="239">
        <f>PBM!BB32</f>
        <v>40.6</v>
      </c>
      <c r="BC130" s="238">
        <f>PBM!BC32</f>
        <v>10.35</v>
      </c>
      <c r="BD130" s="238">
        <f>PBM!BD32</f>
        <v>10.35</v>
      </c>
      <c r="BE130" s="238">
        <f>PBM!BE32</f>
        <v>10.35</v>
      </c>
      <c r="BF130" s="238">
        <f>PBM!BF32</f>
        <v>10.35</v>
      </c>
      <c r="BG130" s="239">
        <f>PBM!BG32</f>
        <v>41.4</v>
      </c>
      <c r="BH130" s="238">
        <f>PBM!BH32</f>
        <v>88.3</v>
      </c>
      <c r="BI130" s="238">
        <f>PBM!BI32</f>
        <v>92</v>
      </c>
      <c r="BJ130" s="238">
        <f>PBM!BJ32</f>
        <v>88.4</v>
      </c>
      <c r="BK130" s="238">
        <f>PBM!BK32</f>
        <v>90.2</v>
      </c>
      <c r="BL130" s="239">
        <f>PBM!BL32</f>
        <v>289.3</v>
      </c>
      <c r="BM130" s="238">
        <f>PBM!BM32</f>
        <v>86.5</v>
      </c>
      <c r="BN130" s="238">
        <f>PBM!BN32</f>
        <v>87.6</v>
      </c>
      <c r="BO130" s="238">
        <f>PBM!BO32</f>
        <v>88.2</v>
      </c>
      <c r="BP130" s="238">
        <f>PBM!BP32</f>
        <v>92.7</v>
      </c>
      <c r="BQ130" s="239">
        <f>PBM!BQ32</f>
        <v>357</v>
      </c>
      <c r="BR130" s="238">
        <f>PBM!BR32</f>
        <v>94.4</v>
      </c>
      <c r="BS130" s="238">
        <f>PBM!BS32</f>
        <v>92.3</v>
      </c>
      <c r="BT130" s="238">
        <f>PBM!BT32</f>
        <v>91.2</v>
      </c>
      <c r="BU130" s="238">
        <f>PBM!BU32</f>
        <v>100</v>
      </c>
      <c r="BV130" s="239">
        <f>PBM!BV32</f>
        <v>377</v>
      </c>
      <c r="BW130" s="238">
        <f>PBM!BW32</f>
        <v>98</v>
      </c>
      <c r="BX130" s="238">
        <f>PBM!BX32</f>
        <v>96</v>
      </c>
      <c r="BY130" s="238">
        <f>PBM!BY32</f>
        <v>98</v>
      </c>
      <c r="BZ130" s="238">
        <f>PBM!BZ32</f>
        <v>98</v>
      </c>
      <c r="CA130" s="239">
        <f>PBM!CA32</f>
        <v>390</v>
      </c>
      <c r="CB130" s="238">
        <f>PBM!CB32</f>
        <v>99</v>
      </c>
      <c r="CC130" s="238">
        <f>PBM!CC32</f>
        <v>107</v>
      </c>
      <c r="CD130" s="238">
        <f>PBM!CD32</f>
        <v>112</v>
      </c>
      <c r="CE130" s="238">
        <f>PBM!CE32</f>
        <v>115.9</v>
      </c>
      <c r="CF130" s="239">
        <f>PBM!CF32</f>
        <v>433.9</v>
      </c>
      <c r="CG130" s="238">
        <f>PBM!CG32</f>
        <v>122</v>
      </c>
      <c r="CH130" s="238">
        <f>PBM!CH32</f>
        <v>129</v>
      </c>
      <c r="CI130" s="238">
        <f>PBM!CI32</f>
        <v>129.5</v>
      </c>
      <c r="CJ130" s="238">
        <f>PBM!CJ32</f>
        <v>137</v>
      </c>
      <c r="CK130" s="239">
        <f>PBM!CK32</f>
        <v>517.5</v>
      </c>
      <c r="CL130" s="241">
        <f ca="1">PBM!CL32</f>
        <v>144.78486997635935</v>
      </c>
      <c r="CM130" s="241">
        <f>PBM!CM32</f>
        <v>139.30000000000001</v>
      </c>
      <c r="CN130" s="241">
        <f>PBM!CN32</f>
        <v>141.80000000000001</v>
      </c>
      <c r="CO130" s="241">
        <f>PBM!CO32</f>
        <v>142.1</v>
      </c>
      <c r="CP130" s="239">
        <f ca="1">PBM!CP32</f>
        <v>567.98486997635939</v>
      </c>
      <c r="CQ130" s="241">
        <f>PBM!CQ32</f>
        <v>155.5</v>
      </c>
      <c r="CR130" s="241">
        <f>PBM!CR32</f>
        <v>156.69999999999999</v>
      </c>
      <c r="CS130" s="241">
        <f ca="1">CS136*CS132</f>
        <v>153.29417674800081</v>
      </c>
      <c r="CT130" s="241">
        <f ca="1">CT136*CT132</f>
        <v>157.02130408037726</v>
      </c>
      <c r="CU130" s="239">
        <f>PBM!CU32</f>
        <v>629.79999999999995</v>
      </c>
      <c r="CV130" s="241">
        <f>PBM!CV32</f>
        <v>160.1</v>
      </c>
      <c r="CW130" s="241">
        <f>PBM!CW32</f>
        <v>160.1</v>
      </c>
      <c r="CX130" s="241">
        <f>PBM!CX32</f>
        <v>163.96441403</v>
      </c>
      <c r="CY130" s="241">
        <f>PBM!CY32</f>
        <v>170.22699174000002</v>
      </c>
      <c r="CZ130" s="239">
        <f>PBM!CZ32</f>
        <v>654.39140577000001</v>
      </c>
      <c r="DA130" s="241">
        <f>PBM!DA32</f>
        <v>178</v>
      </c>
      <c r="DB130" s="241">
        <f>PBM!DB32</f>
        <v>177.6</v>
      </c>
      <c r="DC130" s="241">
        <f>PBM!DC32</f>
        <v>179</v>
      </c>
      <c r="DD130" s="241">
        <f>PBM!DD32</f>
        <v>178.9</v>
      </c>
      <c r="DE130" s="239">
        <f>PBM!DN32</f>
        <v>199.34412117760002</v>
      </c>
      <c r="DF130" s="241">
        <f>PBM!DF32</f>
        <v>180.3</v>
      </c>
      <c r="DG130" s="241">
        <f>PBM!DG32</f>
        <v>178.8</v>
      </c>
      <c r="DH130" s="241">
        <f>PBM!DH32</f>
        <v>176.41574224000004</v>
      </c>
      <c r="DI130" s="241">
        <f>PBM!DI32</f>
        <v>176.19931340000002</v>
      </c>
      <c r="DJ130" s="239">
        <f>PBM!DX32</f>
        <v>197.70758774317605</v>
      </c>
      <c r="DK130" s="241">
        <f>DK136*DK132</f>
        <v>200.6260769408</v>
      </c>
      <c r="DL130" s="241">
        <f>DL136*DL132</f>
        <v>197.11532305920002</v>
      </c>
      <c r="DM130" s="241">
        <f>DM136*DM132</f>
        <v>195.03178705920001</v>
      </c>
      <c r="DN130" s="241">
        <f>DN136*DN132</f>
        <v>199.34412117760002</v>
      </c>
      <c r="DO130" s="239">
        <f>PBM!EC32</f>
        <v>0</v>
      </c>
      <c r="DP130" s="241">
        <f>DP136*DP132</f>
        <v>199.9653063968</v>
      </c>
      <c r="DQ130" s="241">
        <f>DQ136*DQ132</f>
        <v>198.44760673920001</v>
      </c>
      <c r="DR130" s="241">
        <f>DR136*DR132</f>
        <v>198.87495438720001</v>
      </c>
      <c r="DS130" s="241">
        <f>DS136*DS132</f>
        <v>198.22102429360001</v>
      </c>
      <c r="DT130" s="239">
        <f>PBM!EH32</f>
        <v>0</v>
      </c>
      <c r="DU130" s="241">
        <f>DU136*DU132</f>
        <v>199.04297104764802</v>
      </c>
      <c r="DV130" s="241">
        <f>DV136*DV132</f>
        <v>197.64169695379204</v>
      </c>
      <c r="DW130" s="241">
        <f>DW136*DW132</f>
        <v>198.11362645401601</v>
      </c>
      <c r="DX130" s="241">
        <f>DX136*DX132</f>
        <v>197.70758774317605</v>
      </c>
      <c r="DY130" s="239">
        <f>PBM!EM32</f>
        <v>0</v>
      </c>
      <c r="DZ130" s="64"/>
    </row>
    <row r="131" spans="1:130" x14ac:dyDescent="0.2">
      <c r="A131" s="57"/>
      <c r="B131" s="254" t="s">
        <v>238</v>
      </c>
      <c r="C131" s="238"/>
      <c r="D131" s="238"/>
      <c r="E131" s="238"/>
      <c r="F131" s="238"/>
      <c r="G131" s="238"/>
      <c r="H131" s="238"/>
      <c r="I131" s="239"/>
      <c r="J131" s="238"/>
      <c r="K131" s="238"/>
      <c r="L131" s="238"/>
      <c r="M131" s="238"/>
      <c r="N131" s="239"/>
      <c r="O131" s="238"/>
      <c r="P131" s="238"/>
      <c r="Q131" s="238"/>
      <c r="R131" s="238"/>
      <c r="S131" s="239"/>
      <c r="T131" s="238"/>
      <c r="U131" s="238"/>
      <c r="V131" s="238"/>
      <c r="W131" s="238"/>
      <c r="X131" s="239"/>
      <c r="Y131" s="238"/>
      <c r="Z131" s="238"/>
      <c r="AA131" s="238"/>
      <c r="AB131" s="238"/>
      <c r="AC131" s="239"/>
      <c r="AD131" s="238"/>
      <c r="AE131" s="238"/>
      <c r="AF131" s="238"/>
      <c r="AG131" s="238"/>
      <c r="AH131" s="239"/>
      <c r="AI131" s="238"/>
      <c r="AJ131" s="238"/>
      <c r="AK131" s="238"/>
      <c r="AL131" s="238"/>
      <c r="AM131" s="239"/>
      <c r="AN131" s="238"/>
      <c r="AO131" s="238"/>
      <c r="AP131" s="238"/>
      <c r="AQ131" s="238"/>
      <c r="AR131" s="239"/>
      <c r="AS131" s="238"/>
      <c r="AT131" s="238"/>
      <c r="AU131" s="238"/>
      <c r="AV131" s="238"/>
      <c r="AW131" s="239"/>
      <c r="AX131" s="238"/>
      <c r="AY131" s="238"/>
      <c r="AZ131" s="238"/>
      <c r="BA131" s="238"/>
      <c r="BB131" s="239"/>
      <c r="BC131" s="238"/>
      <c r="BD131" s="238"/>
      <c r="BE131" s="238"/>
      <c r="BF131" s="238"/>
      <c r="BG131" s="239"/>
      <c r="BH131" s="238"/>
      <c r="BI131" s="238"/>
      <c r="BJ131" s="238"/>
      <c r="BK131" s="238"/>
      <c r="BL131" s="239"/>
      <c r="BM131" s="238"/>
      <c r="BN131" s="238"/>
      <c r="BO131" s="238"/>
      <c r="BP131" s="238"/>
      <c r="BQ131" s="239"/>
      <c r="BR131" s="238"/>
      <c r="BS131" s="238"/>
      <c r="BT131" s="238"/>
      <c r="BU131" s="238"/>
      <c r="BV131" s="239"/>
      <c r="BW131" s="238"/>
      <c r="BX131" s="238"/>
      <c r="BY131" s="238"/>
      <c r="BZ131" s="238"/>
      <c r="CA131" s="239"/>
      <c r="CB131" s="238"/>
      <c r="CC131" s="238"/>
      <c r="CD131" s="238"/>
      <c r="CE131" s="238"/>
      <c r="CF131" s="239"/>
      <c r="CG131" s="238">
        <f t="shared" ref="CG131:CO131" si="342">CG132-SUM(CG129:CG130)</f>
        <v>20</v>
      </c>
      <c r="CH131" s="238">
        <f t="shared" si="342"/>
        <v>20.899999999999977</v>
      </c>
      <c r="CI131" s="238">
        <f t="shared" si="342"/>
        <v>20</v>
      </c>
      <c r="CJ131" s="238">
        <f t="shared" si="342"/>
        <v>21.600000000000136</v>
      </c>
      <c r="CK131" s="239">
        <f t="shared" si="342"/>
        <v>82.5</v>
      </c>
      <c r="CL131" s="238">
        <f t="shared" ca="1" si="342"/>
        <v>14.815130023640677</v>
      </c>
      <c r="CM131" s="238">
        <f t="shared" si="342"/>
        <v>22.199999999999989</v>
      </c>
      <c r="CN131" s="238">
        <f t="shared" si="342"/>
        <v>23.699999999999989</v>
      </c>
      <c r="CO131" s="238">
        <f t="shared" si="342"/>
        <v>23.800000000000011</v>
      </c>
      <c r="CP131" s="239">
        <f ca="1">SUM(CL131:CO131)</f>
        <v>84.515130023640666</v>
      </c>
      <c r="CQ131" s="238">
        <f>CQ132-SUM(CQ129:CQ130)</f>
        <v>23.5</v>
      </c>
      <c r="CR131" s="238">
        <f>CR132-SUM(CR129:CR130)</f>
        <v>24.300000000000011</v>
      </c>
      <c r="CS131" s="238">
        <f ca="1">CS132-SUM(CS129:CS130)</f>
        <v>25.593338962095572</v>
      </c>
      <c r="CT131" s="238">
        <f ca="1">CT132-SUM(CT129:CT130)</f>
        <v>26.215604172660051</v>
      </c>
      <c r="CU131" s="239">
        <f ca="1">SUM(CQ131:CT131)</f>
        <v>99.608943134755634</v>
      </c>
      <c r="CV131" s="238">
        <f>CV132-SUM(CV129:CV130)</f>
        <v>25.5</v>
      </c>
      <c r="CW131" s="238">
        <f>CW132-SUM(CW129:CW130)</f>
        <v>23.699999999999932</v>
      </c>
      <c r="CX131" s="238">
        <f>CX132-SUM(CX129:CX130)</f>
        <v>25.865923216070996</v>
      </c>
      <c r="CY131" s="238">
        <f>CY132-SUM(CY129:CY130)</f>
        <v>27.129766789999962</v>
      </c>
      <c r="CZ131" s="239">
        <f>SUM(CV131:CY131)</f>
        <v>102.19569000607089</v>
      </c>
      <c r="DA131" s="238">
        <f>DA132-SUM(DA129:DA130)</f>
        <v>30.5</v>
      </c>
      <c r="DB131" s="238">
        <f>DB132-SUM(DB129:DB130)</f>
        <v>29.900000000000091</v>
      </c>
      <c r="DC131" s="238">
        <f>DC132-SUM(DC129:DC130)</f>
        <v>29.5</v>
      </c>
      <c r="DD131" s="238">
        <f>DD132-SUM(DD129:DD130)</f>
        <v>29.399999999999977</v>
      </c>
      <c r="DE131" s="239">
        <f>SUM(DA131:DD131)</f>
        <v>119.30000000000007</v>
      </c>
      <c r="DF131" s="238">
        <f>DF132-SUM(DF129:DF130)</f>
        <v>28.100000000000023</v>
      </c>
      <c r="DG131" s="238">
        <f>DG132-SUM(DG129:DG130)</f>
        <v>28</v>
      </c>
      <c r="DH131" s="238">
        <f>DH132-SUM(DH129:DH130)</f>
        <v>30.135400730000015</v>
      </c>
      <c r="DI131" s="238">
        <f>DI132-SUM(DI129:DI130)</f>
        <v>29.311823559999993</v>
      </c>
      <c r="DJ131" s="239">
        <f>SUM(DF131:DI131)</f>
        <v>115.54722429000003</v>
      </c>
      <c r="DK131" s="238">
        <f>DK132-SUM(DK129:DK130)</f>
        <v>10.998281388661098</v>
      </c>
      <c r="DL131" s="238">
        <f>DL132-SUM(DL129:DL130)</f>
        <v>11.472236491720537</v>
      </c>
      <c r="DM131" s="238">
        <f>DM132-SUM(DM129:DM130)</f>
        <v>11.350973378533581</v>
      </c>
      <c r="DN131" s="238">
        <f>DN132-SUM(DN129:DN130)</f>
        <v>12.280237151861002</v>
      </c>
      <c r="DO131" s="239">
        <f>SUM(DK131:DN131)</f>
        <v>46.101728410776218</v>
      </c>
      <c r="DP131" s="238">
        <f>DP132-SUM(DP129:DP130)</f>
        <v>10.962058079672261</v>
      </c>
      <c r="DQ131" s="238">
        <f>DQ132-SUM(DQ129:DQ130)</f>
        <v>11.549776244662098</v>
      </c>
      <c r="DR131" s="238">
        <f>DR132-SUM(DR129:DR130)</f>
        <v>11.574648148103961</v>
      </c>
      <c r="DS131" s="238">
        <f>DS132-SUM(DS129:DS130)</f>
        <v>12.211050782087227</v>
      </c>
      <c r="DT131" s="239">
        <f>SUM(DP131:DS131)</f>
        <v>46.297533254525547</v>
      </c>
      <c r="DU131" s="238">
        <f>DU132-SUM(DU129:DU130)</f>
        <v>10.911495840409202</v>
      </c>
      <c r="DV131" s="238">
        <f>DV132-SUM(DV129:DV130)</f>
        <v>11.502871785355296</v>
      </c>
      <c r="DW131" s="238">
        <f>DW132-SUM(DW129:DW130)</f>
        <v>11.530338380797843</v>
      </c>
      <c r="DX131" s="238">
        <f>DX132-SUM(DX129:DX130)</f>
        <v>12.179421444013997</v>
      </c>
      <c r="DY131" s="239">
        <f>SUM(DU131:DX131)</f>
        <v>46.124127450576339</v>
      </c>
      <c r="DZ131" s="64"/>
    </row>
    <row r="132" spans="1:130" x14ac:dyDescent="0.2">
      <c r="A132" s="57"/>
      <c r="B132" s="254" t="s">
        <v>239</v>
      </c>
      <c r="C132" s="238"/>
      <c r="D132" s="238"/>
      <c r="E132" s="238"/>
      <c r="F132" s="238"/>
      <c r="G132" s="238"/>
      <c r="H132" s="238"/>
      <c r="I132" s="239">
        <f>I129+I130</f>
        <v>205.39999999999998</v>
      </c>
      <c r="J132" s="238"/>
      <c r="K132" s="238"/>
      <c r="L132" s="238"/>
      <c r="M132" s="238"/>
      <c r="N132" s="239">
        <f>N129+N130</f>
        <v>238.20000000000002</v>
      </c>
      <c r="O132" s="238"/>
      <c r="P132" s="238"/>
      <c r="Q132" s="238"/>
      <c r="R132" s="238"/>
      <c r="S132" s="239">
        <f>S129+S130</f>
        <v>249.7</v>
      </c>
      <c r="T132" s="238"/>
      <c r="U132" s="238"/>
      <c r="V132" s="238"/>
      <c r="W132" s="238"/>
      <c r="X132" s="239">
        <f>X129+X130</f>
        <v>277.89999999999998</v>
      </c>
      <c r="Y132" s="238"/>
      <c r="Z132" s="238"/>
      <c r="AA132" s="238"/>
      <c r="AB132" s="238"/>
      <c r="AC132" s="239">
        <f>AC129+AC130</f>
        <v>296.59999999999997</v>
      </c>
      <c r="AD132" s="238"/>
      <c r="AE132" s="238"/>
      <c r="AF132" s="238"/>
      <c r="AG132" s="238"/>
      <c r="AH132" s="239">
        <f>AH129+AH130</f>
        <v>320.8</v>
      </c>
      <c r="AI132" s="238"/>
      <c r="AJ132" s="238"/>
      <c r="AK132" s="238"/>
      <c r="AL132" s="238"/>
      <c r="AM132" s="239">
        <f>AM129+AM130</f>
        <v>310.3</v>
      </c>
      <c r="AN132" s="238"/>
      <c r="AO132" s="238"/>
      <c r="AP132" s="238"/>
      <c r="AQ132" s="238"/>
      <c r="AR132" s="239">
        <f>AR129+AR130</f>
        <v>341.7</v>
      </c>
      <c r="AS132" s="238"/>
      <c r="AT132" s="238"/>
      <c r="AU132" s="238"/>
      <c r="AV132" s="238"/>
      <c r="AW132" s="239">
        <f>AW129+AW130</f>
        <v>496.8</v>
      </c>
      <c r="AX132" s="238"/>
      <c r="AY132" s="238"/>
      <c r="AZ132" s="238"/>
      <c r="BA132" s="238"/>
      <c r="BB132" s="239">
        <f>BB129+BB130</f>
        <v>589.1</v>
      </c>
      <c r="BC132" s="238">
        <f>BC16</f>
        <v>155.4</v>
      </c>
      <c r="BD132" s="238">
        <f>BD16</f>
        <v>183.1</v>
      </c>
      <c r="BE132" s="238">
        <f>BE16</f>
        <v>193.4</v>
      </c>
      <c r="BF132" s="238">
        <f>BF16</f>
        <v>201.4</v>
      </c>
      <c r="BG132" s="239">
        <f>BG129+BG130</f>
        <v>733.3</v>
      </c>
      <c r="BH132" s="238">
        <f>BH16</f>
        <v>208.8</v>
      </c>
      <c r="BI132" s="238">
        <f>BI16</f>
        <v>308</v>
      </c>
      <c r="BJ132" s="238">
        <f>BJ16</f>
        <v>301.7</v>
      </c>
      <c r="BK132" s="238">
        <f>BK16</f>
        <v>276.10000000000002</v>
      </c>
      <c r="BL132" s="239">
        <f>BL129+BL130</f>
        <v>1094.5999999999999</v>
      </c>
      <c r="BM132" s="238">
        <f>BM16</f>
        <v>299.3</v>
      </c>
      <c r="BN132" s="238">
        <f>BN16</f>
        <v>309.99999999999994</v>
      </c>
      <c r="BO132" s="238">
        <f>BO16</f>
        <v>310.90000000000009</v>
      </c>
      <c r="BP132" s="238">
        <f>BP16</f>
        <v>354</v>
      </c>
      <c r="BQ132" s="239">
        <f>BQ129+BQ130</f>
        <v>1276.2</v>
      </c>
      <c r="BR132" s="238">
        <f>BR16</f>
        <v>353.9</v>
      </c>
      <c r="BS132" s="238">
        <f>BS16</f>
        <v>382.30000000000007</v>
      </c>
      <c r="BT132" s="238">
        <f>BT16</f>
        <v>300.29999999999995</v>
      </c>
      <c r="BU132" s="238">
        <f>BU16</f>
        <v>352.5</v>
      </c>
      <c r="BV132" s="239">
        <f>BV129+BV130</f>
        <v>1388.1</v>
      </c>
      <c r="BW132" s="238">
        <f>BW16</f>
        <v>358</v>
      </c>
      <c r="BX132" s="238">
        <f>BX16</f>
        <v>368</v>
      </c>
      <c r="BY132" s="238">
        <f>BY16</f>
        <v>370</v>
      </c>
      <c r="BZ132" s="167">
        <f>BZ16</f>
        <v>373</v>
      </c>
      <c r="CA132" s="239">
        <f>CA129+CA130</f>
        <v>1469</v>
      </c>
      <c r="CB132" s="167">
        <f>CB16</f>
        <v>374</v>
      </c>
      <c r="CC132" s="167">
        <f>CC16</f>
        <v>391</v>
      </c>
      <c r="CD132" s="167">
        <f>CD16</f>
        <v>407</v>
      </c>
      <c r="CE132" s="167">
        <f>CE16</f>
        <v>395.70000000000005</v>
      </c>
      <c r="CF132" s="239">
        <f>CF129+CF130</f>
        <v>1585.6</v>
      </c>
      <c r="CG132" s="167">
        <f>CG16</f>
        <v>423</v>
      </c>
      <c r="CH132" s="167">
        <f>CH16</f>
        <v>431</v>
      </c>
      <c r="CI132" s="167">
        <f>CI16</f>
        <v>442.3</v>
      </c>
      <c r="CJ132" s="241">
        <f>CJ16</f>
        <v>456.70000000000005</v>
      </c>
      <c r="CK132" s="239">
        <f>SUM(CG132:CJ132)</f>
        <v>1753</v>
      </c>
      <c r="CL132" s="241">
        <f>CL16</f>
        <v>502</v>
      </c>
      <c r="CM132" s="241">
        <f>CM16</f>
        <v>449.4</v>
      </c>
      <c r="CN132" s="241">
        <f>CN16</f>
        <v>460.5</v>
      </c>
      <c r="CO132" s="241">
        <f>CO16</f>
        <v>457.8</v>
      </c>
      <c r="CP132" s="239">
        <f>SUM(CL132:CO132)</f>
        <v>1869.7</v>
      </c>
      <c r="CQ132" s="241">
        <f>CQ16</f>
        <v>477.4</v>
      </c>
      <c r="CR132" s="241">
        <f>CR16</f>
        <v>487.7</v>
      </c>
      <c r="CS132" s="241">
        <f>CS16</f>
        <v>477.1</v>
      </c>
      <c r="CT132" s="241">
        <f>CT16</f>
        <v>488.7</v>
      </c>
      <c r="CU132" s="239">
        <f>SUM(CQ132:CT132)</f>
        <v>1930.8999999999999</v>
      </c>
      <c r="CV132" s="241">
        <f>CV16</f>
        <v>490.4</v>
      </c>
      <c r="CW132" s="241">
        <f>CW16</f>
        <v>487.4</v>
      </c>
      <c r="CX132" s="241">
        <f>CX16</f>
        <v>532.63950353094367</v>
      </c>
      <c r="CY132" s="241">
        <f>CY16</f>
        <v>570.6</v>
      </c>
      <c r="CZ132" s="239">
        <f>SUM(CV132:CY132)</f>
        <v>2081.0395035309434</v>
      </c>
      <c r="DA132" s="241">
        <f>DA16</f>
        <v>609.4</v>
      </c>
      <c r="DB132" s="241">
        <f>DB16</f>
        <v>611.70000000000005</v>
      </c>
      <c r="DC132" s="241">
        <f>DC16</f>
        <v>604.29999999999995</v>
      </c>
      <c r="DD132" s="241">
        <f>DD16</f>
        <v>620.1</v>
      </c>
      <c r="DE132" s="239">
        <f>SUM(DA132:DD132)</f>
        <v>2445.5</v>
      </c>
      <c r="DF132" s="241">
        <f>DF16</f>
        <v>619.6</v>
      </c>
      <c r="DG132" s="241">
        <f>DG16</f>
        <v>622.5</v>
      </c>
      <c r="DH132" s="241">
        <f>DH16</f>
        <v>614.26134639000009</v>
      </c>
      <c r="DI132" s="241">
        <f>DI16</f>
        <v>622.46186711999997</v>
      </c>
      <c r="DJ132" s="239">
        <f>SUM(DF132:DI132)</f>
        <v>2478.8232135100002</v>
      </c>
      <c r="DK132" s="241">
        <f>DK16</f>
        <v>640.97788160000005</v>
      </c>
      <c r="DL132" s="241">
        <f>DL16</f>
        <v>631.77988160000007</v>
      </c>
      <c r="DM132" s="241">
        <f>DM16</f>
        <v>625.10188160000007</v>
      </c>
      <c r="DN132" s="241">
        <f>DN16</f>
        <v>640.97788160000005</v>
      </c>
      <c r="DO132" s="239">
        <f>SUM(DK132:DN132)</f>
        <v>2538.8375264000006</v>
      </c>
      <c r="DP132" s="241">
        <f>DP16</f>
        <v>638.86679360000005</v>
      </c>
      <c r="DQ132" s="241">
        <f>DQ16</f>
        <v>636.05002160000004</v>
      </c>
      <c r="DR132" s="241">
        <f>DR16</f>
        <v>637.41972559999999</v>
      </c>
      <c r="DS132" s="241">
        <f>DS16</f>
        <v>637.36663759999999</v>
      </c>
      <c r="DT132" s="239">
        <f>SUM(DP132:DS132)</f>
        <v>2549.7031784000001</v>
      </c>
      <c r="DU132" s="241">
        <f>DU16</f>
        <v>635.92003529600004</v>
      </c>
      <c r="DV132" s="241">
        <f>DV16</f>
        <v>633.46697741600008</v>
      </c>
      <c r="DW132" s="241">
        <f>DW16</f>
        <v>634.97957196800007</v>
      </c>
      <c r="DX132" s="241">
        <f>DX16</f>
        <v>635.71571621600015</v>
      </c>
      <c r="DY132" s="239">
        <f>SUM(DU132:DX132)</f>
        <v>2540.0823008960006</v>
      </c>
      <c r="DZ132" s="64"/>
    </row>
    <row r="133" spans="1:130" ht="6" customHeight="1" x14ac:dyDescent="0.2">
      <c r="A133" s="16"/>
      <c r="B133" s="98"/>
      <c r="C133" s="99"/>
      <c r="D133" s="99"/>
      <c r="E133" s="99"/>
      <c r="F133" s="99"/>
      <c r="G133" s="99"/>
      <c r="H133" s="99"/>
      <c r="I133" s="265"/>
      <c r="J133" s="99"/>
      <c r="K133" s="99"/>
      <c r="L133" s="99"/>
      <c r="M133" s="99"/>
      <c r="N133" s="265"/>
      <c r="O133" s="99"/>
      <c r="P133" s="99"/>
      <c r="Q133" s="99"/>
      <c r="R133" s="99"/>
      <c r="S133" s="265"/>
      <c r="T133" s="99"/>
      <c r="U133" s="99"/>
      <c r="V133" s="99"/>
      <c r="W133" s="99"/>
      <c r="X133" s="265"/>
      <c r="Y133" s="99"/>
      <c r="Z133" s="99"/>
      <c r="AA133" s="99"/>
      <c r="AB133" s="99"/>
      <c r="AC133" s="265"/>
      <c r="AD133" s="99"/>
      <c r="AE133" s="99"/>
      <c r="AF133" s="99"/>
      <c r="AG133" s="99"/>
      <c r="AH133" s="265"/>
      <c r="AI133" s="99"/>
      <c r="AJ133" s="99"/>
      <c r="AK133" s="99"/>
      <c r="AL133" s="99"/>
      <c r="AM133" s="265"/>
      <c r="AN133" s="266"/>
      <c r="AO133" s="266"/>
      <c r="AP133" s="266"/>
      <c r="AQ133" s="102"/>
      <c r="AR133" s="265"/>
      <c r="AS133" s="267"/>
      <c r="AT133" s="266"/>
      <c r="AU133" s="266"/>
      <c r="AV133" s="102"/>
      <c r="AW133" s="265"/>
      <c r="AX133" s="266"/>
      <c r="AY133" s="266"/>
      <c r="AZ133" s="266"/>
      <c r="BA133" s="102"/>
      <c r="BB133" s="265"/>
      <c r="BC133" s="266"/>
      <c r="BD133" s="266"/>
      <c r="BE133" s="266"/>
      <c r="BF133" s="266"/>
      <c r="BG133" s="265"/>
      <c r="BH133" s="268"/>
      <c r="BI133" s="268"/>
      <c r="BJ133" s="268"/>
      <c r="BK133" s="268"/>
      <c r="BL133" s="265"/>
      <c r="BM133" s="269"/>
      <c r="BN133" s="268"/>
      <c r="BO133" s="268"/>
      <c r="BP133" s="268"/>
      <c r="BQ133" s="265"/>
      <c r="BR133" s="268"/>
      <c r="BS133" s="268"/>
      <c r="BT133" s="268"/>
      <c r="BU133" s="268"/>
      <c r="BV133" s="265"/>
      <c r="BW133" s="268"/>
      <c r="BX133" s="268"/>
      <c r="BY133" s="268"/>
      <c r="BZ133" s="268"/>
      <c r="CA133" s="265"/>
      <c r="CB133" s="268"/>
      <c r="CC133" s="268"/>
      <c r="CD133" s="268"/>
      <c r="CE133" s="268"/>
      <c r="CF133" s="265"/>
      <c r="CG133" s="270"/>
      <c r="CH133" s="271"/>
      <c r="CI133" s="271"/>
      <c r="CJ133" s="271"/>
      <c r="CK133" s="265"/>
      <c r="CL133" s="271"/>
      <c r="CM133" s="271"/>
      <c r="CN133" s="271"/>
      <c r="CO133" s="271"/>
      <c r="CP133" s="265"/>
      <c r="CQ133" s="271"/>
      <c r="CR133" s="271"/>
      <c r="CS133" s="271"/>
      <c r="CT133" s="271"/>
      <c r="CU133" s="265"/>
      <c r="CV133" s="271"/>
      <c r="CW133" s="271"/>
      <c r="CX133" s="271"/>
      <c r="CY133" s="271"/>
      <c r="CZ133" s="265"/>
      <c r="DA133" s="271"/>
      <c r="DB133" s="271"/>
      <c r="DC133" s="271"/>
      <c r="DD133" s="271"/>
      <c r="DE133" s="265"/>
      <c r="DF133" s="271"/>
      <c r="DG133" s="271"/>
      <c r="DH133" s="271"/>
      <c r="DI133" s="271"/>
      <c r="DJ133" s="265"/>
      <c r="DK133" s="271"/>
      <c r="DL133" s="271"/>
      <c r="DM133" s="271"/>
      <c r="DN133" s="271"/>
      <c r="DO133" s="265"/>
      <c r="DP133" s="271"/>
      <c r="DQ133" s="271"/>
      <c r="DR133" s="271"/>
      <c r="DS133" s="271"/>
      <c r="DT133" s="265"/>
      <c r="DU133" s="271"/>
      <c r="DV133" s="271"/>
      <c r="DW133" s="271"/>
      <c r="DX133" s="271"/>
      <c r="DY133" s="265"/>
      <c r="DZ133" s="16"/>
    </row>
    <row r="134" spans="1:130" ht="10.5" customHeight="1" x14ac:dyDescent="0.2">
      <c r="A134" s="16"/>
      <c r="B134" s="98" t="s">
        <v>222</v>
      </c>
      <c r="C134" s="99"/>
      <c r="D134" s="99"/>
      <c r="E134" s="99"/>
      <c r="F134" s="99"/>
      <c r="G134" s="99"/>
      <c r="H134" s="99"/>
      <c r="I134" s="265"/>
      <c r="J134" s="99"/>
      <c r="K134" s="99"/>
      <c r="L134" s="99"/>
      <c r="M134" s="99"/>
      <c r="N134" s="265"/>
      <c r="O134" s="99"/>
      <c r="P134" s="99"/>
      <c r="Q134" s="99"/>
      <c r="R134" s="99"/>
      <c r="S134" s="265"/>
      <c r="T134" s="99"/>
      <c r="U134" s="99"/>
      <c r="V134" s="99"/>
      <c r="W134" s="99"/>
      <c r="X134" s="265"/>
      <c r="Y134" s="99"/>
      <c r="Z134" s="99"/>
      <c r="AA134" s="99"/>
      <c r="AB134" s="99"/>
      <c r="AC134" s="265"/>
      <c r="AD134" s="99"/>
      <c r="AE134" s="99"/>
      <c r="AF134" s="99"/>
      <c r="AG134" s="99"/>
      <c r="AH134" s="265"/>
      <c r="AI134" s="99"/>
      <c r="AJ134" s="99"/>
      <c r="AK134" s="99"/>
      <c r="AL134" s="99"/>
      <c r="AM134" s="265"/>
      <c r="AN134" s="266"/>
      <c r="AO134" s="266"/>
      <c r="AP134" s="266"/>
      <c r="AQ134" s="102"/>
      <c r="AR134" s="265"/>
      <c r="AS134" s="267"/>
      <c r="AT134" s="266"/>
      <c r="AU134" s="266"/>
      <c r="AV134" s="102"/>
      <c r="AW134" s="265"/>
      <c r="AX134" s="266"/>
      <c r="AY134" s="266"/>
      <c r="AZ134" s="266"/>
      <c r="BA134" s="102"/>
      <c r="BB134" s="265"/>
      <c r="BC134" s="266"/>
      <c r="BD134" s="266"/>
      <c r="BE134" s="266"/>
      <c r="BF134" s="266"/>
      <c r="BG134" s="265"/>
      <c r="BH134" s="268"/>
      <c r="BI134" s="268"/>
      <c r="BJ134" s="268"/>
      <c r="BK134" s="268"/>
      <c r="BL134" s="265"/>
      <c r="BM134" s="269"/>
      <c r="BN134" s="268"/>
      <c r="BO134" s="268"/>
      <c r="BP134" s="268"/>
      <c r="BQ134" s="265"/>
      <c r="BR134" s="268"/>
      <c r="BS134" s="268"/>
      <c r="BT134" s="268"/>
      <c r="BU134" s="268"/>
      <c r="BV134" s="265"/>
      <c r="BW134" s="268"/>
      <c r="BX134" s="268"/>
      <c r="BY134" s="268"/>
      <c r="BZ134" s="268"/>
      <c r="CA134" s="265"/>
      <c r="CB134" s="268"/>
      <c r="CC134" s="268"/>
      <c r="CD134" s="268"/>
      <c r="CE134" s="268"/>
      <c r="CF134" s="265"/>
      <c r="CG134" s="270"/>
      <c r="CH134" s="271"/>
      <c r="CI134" s="271"/>
      <c r="CJ134" s="271"/>
      <c r="CK134" s="265"/>
      <c r="CL134" s="271"/>
      <c r="CM134" s="271"/>
      <c r="CN134" s="271"/>
      <c r="CO134" s="271"/>
      <c r="CP134" s="265"/>
      <c r="CQ134" s="271"/>
      <c r="CR134" s="271"/>
      <c r="CS134" s="271"/>
      <c r="CT134" s="271"/>
      <c r="CU134" s="265"/>
      <c r="CV134" s="271"/>
      <c r="CW134" s="271"/>
      <c r="CX134" s="271"/>
      <c r="CY134" s="271"/>
      <c r="CZ134" s="265"/>
      <c r="DA134" s="271"/>
      <c r="DB134" s="271"/>
      <c r="DC134" s="271"/>
      <c r="DD134" s="271"/>
      <c r="DE134" s="265"/>
      <c r="DF134" s="271"/>
      <c r="DG134" s="271"/>
      <c r="DH134" s="271"/>
      <c r="DI134" s="271"/>
      <c r="DJ134" s="265"/>
      <c r="DK134" s="271"/>
      <c r="DL134" s="271"/>
      <c r="DM134" s="271"/>
      <c r="DN134" s="271"/>
      <c r="DO134" s="265"/>
      <c r="DP134" s="271"/>
      <c r="DQ134" s="271"/>
      <c r="DR134" s="271"/>
      <c r="DS134" s="271"/>
      <c r="DT134" s="265"/>
      <c r="DU134" s="271"/>
      <c r="DV134" s="271"/>
      <c r="DW134" s="271"/>
      <c r="DX134" s="271"/>
      <c r="DY134" s="265"/>
      <c r="DZ134" s="16"/>
    </row>
    <row r="135" spans="1:130" x14ac:dyDescent="0.2">
      <c r="A135" s="243"/>
      <c r="B135" s="272" t="s">
        <v>240</v>
      </c>
      <c r="C135" s="245"/>
      <c r="D135" s="245"/>
      <c r="E135" s="245"/>
      <c r="F135" s="245"/>
      <c r="G135" s="245"/>
      <c r="H135" s="245"/>
      <c r="I135" s="246">
        <f>I129/I132</f>
        <v>0.99902629016553068</v>
      </c>
      <c r="J135" s="245"/>
      <c r="K135" s="245"/>
      <c r="L135" s="245"/>
      <c r="M135" s="245"/>
      <c r="N135" s="246">
        <f>N129/N132</f>
        <v>0.99832073887489503</v>
      </c>
      <c r="O135" s="245"/>
      <c r="P135" s="245"/>
      <c r="Q135" s="245"/>
      <c r="R135" s="245"/>
      <c r="S135" s="246">
        <f>S129/S132</f>
        <v>0.99559471365638774</v>
      </c>
      <c r="T135" s="245"/>
      <c r="U135" s="245"/>
      <c r="V135" s="245"/>
      <c r="W135" s="245"/>
      <c r="X135" s="246">
        <f>X129/X132</f>
        <v>0.99100395825836629</v>
      </c>
      <c r="Y135" s="245"/>
      <c r="Z135" s="245"/>
      <c r="AA135" s="245"/>
      <c r="AB135" s="245"/>
      <c r="AC135" s="246">
        <f>AC129/AC132</f>
        <v>0.9757248819959542</v>
      </c>
      <c r="AD135" s="245"/>
      <c r="AE135" s="245"/>
      <c r="AF135" s="245"/>
      <c r="AG135" s="245"/>
      <c r="AH135" s="246">
        <f>AH129/AH132</f>
        <v>0.94046134663341641</v>
      </c>
      <c r="AI135" s="245"/>
      <c r="AJ135" s="245"/>
      <c r="AK135" s="245"/>
      <c r="AL135" s="245"/>
      <c r="AM135" s="246">
        <f>AM129/AM132</f>
        <v>0.95907186593619087</v>
      </c>
      <c r="AN135" s="245"/>
      <c r="AO135" s="245"/>
      <c r="AP135" s="245"/>
      <c r="AQ135" s="245"/>
      <c r="AR135" s="246">
        <f>AR129/AR132</f>
        <v>0.95551653497219791</v>
      </c>
      <c r="AS135" s="245"/>
      <c r="AT135" s="245"/>
      <c r="AU135" s="245"/>
      <c r="AV135" s="245"/>
      <c r="AW135" s="246">
        <f>AW129/AW132</f>
        <v>0.94826892109500804</v>
      </c>
      <c r="AX135" s="245"/>
      <c r="AY135" s="245"/>
      <c r="AZ135" s="245"/>
      <c r="BA135" s="245"/>
      <c r="BB135" s="246">
        <f t="shared" ref="BB135:CI135" si="343">BB129/BB132</f>
        <v>0.93108131047360376</v>
      </c>
      <c r="BC135" s="247">
        <f t="shared" si="343"/>
        <v>1</v>
      </c>
      <c r="BD135" s="247">
        <f t="shared" si="343"/>
        <v>1</v>
      </c>
      <c r="BE135" s="247">
        <f t="shared" si="343"/>
        <v>1</v>
      </c>
      <c r="BF135" s="247">
        <f t="shared" si="343"/>
        <v>1</v>
      </c>
      <c r="BG135" s="246">
        <f t="shared" si="343"/>
        <v>0.94354288831310518</v>
      </c>
      <c r="BH135" s="247">
        <f t="shared" si="343"/>
        <v>0.57710727969348663</v>
      </c>
      <c r="BI135" s="247">
        <f t="shared" si="343"/>
        <v>0.70129870129870131</v>
      </c>
      <c r="BJ135" s="247">
        <f t="shared" si="343"/>
        <v>0.70699370235333114</v>
      </c>
      <c r="BK135" s="247">
        <f t="shared" si="343"/>
        <v>0.6733067729083666</v>
      </c>
      <c r="BL135" s="246">
        <f t="shared" si="343"/>
        <v>0.73570253974054456</v>
      </c>
      <c r="BM135" s="247">
        <f t="shared" si="343"/>
        <v>0.7109923154026061</v>
      </c>
      <c r="BN135" s="247">
        <f t="shared" si="343"/>
        <v>0.71741935483870967</v>
      </c>
      <c r="BO135" s="247">
        <f t="shared" si="343"/>
        <v>0.71630749437118058</v>
      </c>
      <c r="BP135" s="247">
        <f t="shared" si="343"/>
        <v>0.73813559322033906</v>
      </c>
      <c r="BQ135" s="246">
        <f t="shared" si="343"/>
        <v>0.72026328161730135</v>
      </c>
      <c r="BR135" s="247">
        <f t="shared" si="343"/>
        <v>0.73325798248092688</v>
      </c>
      <c r="BS135" s="247">
        <f t="shared" si="343"/>
        <v>0.7585665707559508</v>
      </c>
      <c r="BT135" s="247">
        <f t="shared" si="343"/>
        <v>0.69630369630369626</v>
      </c>
      <c r="BU135" s="247">
        <f t="shared" si="343"/>
        <v>0.71631205673758869</v>
      </c>
      <c r="BV135" s="246">
        <f t="shared" si="343"/>
        <v>0.72840573445717161</v>
      </c>
      <c r="BW135" s="247">
        <f t="shared" si="343"/>
        <v>0.72625698324022347</v>
      </c>
      <c r="BX135" s="247">
        <f t="shared" si="343"/>
        <v>0.73913043478260865</v>
      </c>
      <c r="BY135" s="247">
        <f t="shared" si="343"/>
        <v>0.73513513513513518</v>
      </c>
      <c r="BZ135" s="247">
        <f t="shared" si="343"/>
        <v>0.7372654155495979</v>
      </c>
      <c r="CA135" s="246">
        <f t="shared" si="343"/>
        <v>0.73451327433628322</v>
      </c>
      <c r="CB135" s="247">
        <f t="shared" si="343"/>
        <v>0.73529411764705888</v>
      </c>
      <c r="CC135" s="247">
        <f t="shared" si="343"/>
        <v>0.72634271099744241</v>
      </c>
      <c r="CD135" s="247">
        <f t="shared" si="343"/>
        <v>0.72481572481572487</v>
      </c>
      <c r="CE135" s="247">
        <f t="shared" si="343"/>
        <v>0.75233762951731098</v>
      </c>
      <c r="CF135" s="246">
        <f t="shared" si="343"/>
        <v>0.72634964682139258</v>
      </c>
      <c r="CG135" s="247">
        <f t="shared" si="343"/>
        <v>0.6643026004728132</v>
      </c>
      <c r="CH135" s="247">
        <f t="shared" si="343"/>
        <v>0.65220417633410677</v>
      </c>
      <c r="CI135" s="247">
        <f t="shared" si="343"/>
        <v>0.66199412163689808</v>
      </c>
      <c r="CJ135" s="247">
        <f t="shared" ref="CJ135:CP135" si="344">CJ129/CJ132</f>
        <v>0.65272607838843855</v>
      </c>
      <c r="CK135" s="246">
        <f t="shared" si="344"/>
        <v>0.65772960638904732</v>
      </c>
      <c r="CL135" s="212">
        <f t="shared" si="344"/>
        <v>0.68207171314741033</v>
      </c>
      <c r="CM135" s="212">
        <f t="shared" si="344"/>
        <v>0.64063195371606585</v>
      </c>
      <c r="CN135" s="212">
        <f t="shared" si="344"/>
        <v>0.64060803474484251</v>
      </c>
      <c r="CO135" s="212">
        <f t="shared" si="344"/>
        <v>0.63761467889908252</v>
      </c>
      <c r="CP135" s="246">
        <f t="shared" si="344"/>
        <v>0.65101353158260677</v>
      </c>
      <c r="CQ135" s="212">
        <f>CQ129/CQ132</f>
        <v>0.62505236698785083</v>
      </c>
      <c r="CR135" s="212">
        <f>CQ135</f>
        <v>0.62505236698785083</v>
      </c>
      <c r="CS135" s="212">
        <f>CR135</f>
        <v>0.62505236698785083</v>
      </c>
      <c r="CT135" s="212">
        <f>CS135</f>
        <v>0.62505236698785083</v>
      </c>
      <c r="CU135" s="246">
        <f t="shared" ref="CU135:DF135" si="345">CU129/CU132</f>
        <v>0.6240095292350718</v>
      </c>
      <c r="CV135" s="212">
        <f t="shared" si="345"/>
        <v>0.62153344208809136</v>
      </c>
      <c r="CW135" s="212">
        <f t="shared" si="345"/>
        <v>0.62289700451374652</v>
      </c>
      <c r="CX135" s="212">
        <f t="shared" si="345"/>
        <v>0.6436044717155629</v>
      </c>
      <c r="CY135" s="212">
        <f t="shared" si="345"/>
        <v>0.654124152593761</v>
      </c>
      <c r="CZ135" s="246">
        <f t="shared" si="345"/>
        <v>0.63643789822713426</v>
      </c>
      <c r="DA135" s="212">
        <f t="shared" si="345"/>
        <v>0.65786019035116505</v>
      </c>
      <c r="DB135" s="212">
        <f t="shared" si="345"/>
        <v>0.66078142880496971</v>
      </c>
      <c r="DC135" s="212">
        <f t="shared" si="345"/>
        <v>0.65497269568095329</v>
      </c>
      <c r="DD135" s="212">
        <f t="shared" si="345"/>
        <v>0.66408643767134334</v>
      </c>
      <c r="DE135" s="246">
        <f t="shared" si="345"/>
        <v>0</v>
      </c>
      <c r="DF135" s="212">
        <f t="shared" si="345"/>
        <v>0.66365397030342155</v>
      </c>
      <c r="DG135" s="212">
        <f>DG129/DG132</f>
        <v>0.66779116465863453</v>
      </c>
      <c r="DH135" s="212">
        <f>DH129/DH132</f>
        <v>0.66374061434290732</v>
      </c>
      <c r="DI135" s="212">
        <f>DI129/DI132</f>
        <v>0.66984140263747116</v>
      </c>
      <c r="DJ135" s="246">
        <f>DJ129/DJ132</f>
        <v>0</v>
      </c>
      <c r="DK135" s="212">
        <f>DI135</f>
        <v>0.66984140263747116</v>
      </c>
      <c r="DL135" s="212">
        <f>DK135</f>
        <v>0.66984140263747116</v>
      </c>
      <c r="DM135" s="212">
        <f>DL135</f>
        <v>0.66984140263747116</v>
      </c>
      <c r="DN135" s="212">
        <f>DM135</f>
        <v>0.66984140263747116</v>
      </c>
      <c r="DO135" s="246">
        <f>DO129/DO132</f>
        <v>0</v>
      </c>
      <c r="DP135" s="212">
        <f>DN135</f>
        <v>0.66984140263747116</v>
      </c>
      <c r="DQ135" s="212">
        <f>DP135</f>
        <v>0.66984140263747116</v>
      </c>
      <c r="DR135" s="212">
        <f>DQ135</f>
        <v>0.66984140263747116</v>
      </c>
      <c r="DS135" s="212">
        <f>DR135</f>
        <v>0.66984140263747116</v>
      </c>
      <c r="DT135" s="246">
        <f>DT129/DT132</f>
        <v>0</v>
      </c>
      <c r="DU135" s="212">
        <f>DS135</f>
        <v>0.66984140263747116</v>
      </c>
      <c r="DV135" s="212">
        <f>DU135</f>
        <v>0.66984140263747116</v>
      </c>
      <c r="DW135" s="212">
        <f>DV135</f>
        <v>0.66984140263747116</v>
      </c>
      <c r="DX135" s="212">
        <f>DW135</f>
        <v>0.66984140263747116</v>
      </c>
      <c r="DY135" s="246">
        <f>DY129/DY132</f>
        <v>0</v>
      </c>
      <c r="DZ135" s="250"/>
    </row>
    <row r="136" spans="1:130" x14ac:dyDescent="0.2">
      <c r="A136" s="243"/>
      <c r="B136" s="272" t="s">
        <v>241</v>
      </c>
      <c r="C136" s="245"/>
      <c r="D136" s="245"/>
      <c r="E136" s="245"/>
      <c r="F136" s="245"/>
      <c r="G136" s="245"/>
      <c r="H136" s="245"/>
      <c r="I136" s="246">
        <f>I130/I132</f>
        <v>9.7370983446932828E-4</v>
      </c>
      <c r="J136" s="245"/>
      <c r="K136" s="245"/>
      <c r="L136" s="245"/>
      <c r="M136" s="245"/>
      <c r="N136" s="246">
        <f>N130/N132</f>
        <v>1.6792611251049538E-3</v>
      </c>
      <c r="O136" s="245"/>
      <c r="P136" s="245"/>
      <c r="Q136" s="245"/>
      <c r="R136" s="245"/>
      <c r="S136" s="246">
        <f>S130/S132</f>
        <v>4.4052863436123352E-3</v>
      </c>
      <c r="T136" s="245"/>
      <c r="U136" s="245"/>
      <c r="V136" s="245"/>
      <c r="W136" s="245"/>
      <c r="X136" s="246">
        <f>X130/X132</f>
        <v>8.9960417416336813E-3</v>
      </c>
      <c r="Y136" s="245"/>
      <c r="Z136" s="245"/>
      <c r="AA136" s="245"/>
      <c r="AB136" s="245"/>
      <c r="AC136" s="246">
        <f>AC130/AC132</f>
        <v>2.4275118004045856E-2</v>
      </c>
      <c r="AD136" s="245"/>
      <c r="AE136" s="245"/>
      <c r="AF136" s="245"/>
      <c r="AG136" s="245"/>
      <c r="AH136" s="246">
        <f>AH130/AH132</f>
        <v>5.9538653366583545E-2</v>
      </c>
      <c r="AI136" s="245"/>
      <c r="AJ136" s="245"/>
      <c r="AK136" s="245"/>
      <c r="AL136" s="245"/>
      <c r="AM136" s="246">
        <f>AM130/AM132</f>
        <v>4.0928134063809213E-2</v>
      </c>
      <c r="AN136" s="245"/>
      <c r="AO136" s="245"/>
      <c r="AP136" s="245"/>
      <c r="AQ136" s="245"/>
      <c r="AR136" s="246">
        <f>AR130/AR132</f>
        <v>4.4483465027802163E-2</v>
      </c>
      <c r="AS136" s="245"/>
      <c r="AT136" s="245"/>
      <c r="AU136" s="245"/>
      <c r="AV136" s="245"/>
      <c r="AW136" s="246">
        <f>AW130/AW132</f>
        <v>5.1731078904991949E-2</v>
      </c>
      <c r="AX136" s="245"/>
      <c r="AY136" s="245"/>
      <c r="AZ136" s="245"/>
      <c r="BA136" s="245"/>
      <c r="BB136" s="246">
        <f t="shared" ref="BB136:CI136" si="346">BB130/BB132</f>
        <v>6.8918689526396196E-2</v>
      </c>
      <c r="BC136" s="247">
        <f t="shared" si="346"/>
        <v>6.6602316602316594E-2</v>
      </c>
      <c r="BD136" s="247">
        <f t="shared" si="346"/>
        <v>5.6526488257782635E-2</v>
      </c>
      <c r="BE136" s="247">
        <f t="shared" si="346"/>
        <v>5.351602895553257E-2</v>
      </c>
      <c r="BF136" s="247">
        <f t="shared" si="346"/>
        <v>5.139026812313803E-2</v>
      </c>
      <c r="BG136" s="246">
        <f t="shared" si="346"/>
        <v>5.6457111686894858E-2</v>
      </c>
      <c r="BH136" s="247">
        <f t="shared" si="346"/>
        <v>0.42289272030651337</v>
      </c>
      <c r="BI136" s="247">
        <f t="shared" si="346"/>
        <v>0.29870129870129869</v>
      </c>
      <c r="BJ136" s="247">
        <f t="shared" si="346"/>
        <v>0.29300629764666891</v>
      </c>
      <c r="BK136" s="247">
        <f t="shared" si="346"/>
        <v>0.32669322709163345</v>
      </c>
      <c r="BL136" s="246">
        <f t="shared" si="346"/>
        <v>0.26429746025945555</v>
      </c>
      <c r="BM136" s="247">
        <f t="shared" si="346"/>
        <v>0.2890076845973939</v>
      </c>
      <c r="BN136" s="247">
        <f t="shared" si="346"/>
        <v>0.28258064516129033</v>
      </c>
      <c r="BO136" s="247">
        <f t="shared" si="346"/>
        <v>0.28369250562881948</v>
      </c>
      <c r="BP136" s="247">
        <f t="shared" si="346"/>
        <v>0.26186440677966105</v>
      </c>
      <c r="BQ136" s="246">
        <f t="shared" si="346"/>
        <v>0.27973671838269865</v>
      </c>
      <c r="BR136" s="247">
        <f t="shared" si="346"/>
        <v>0.26674201751907323</v>
      </c>
      <c r="BS136" s="247">
        <f t="shared" si="346"/>
        <v>0.24143342924404912</v>
      </c>
      <c r="BT136" s="247">
        <f t="shared" si="346"/>
        <v>0.30369630369630374</v>
      </c>
      <c r="BU136" s="247">
        <f t="shared" si="346"/>
        <v>0.28368794326241137</v>
      </c>
      <c r="BV136" s="246">
        <f t="shared" si="346"/>
        <v>0.27159426554282834</v>
      </c>
      <c r="BW136" s="247">
        <f t="shared" si="346"/>
        <v>0.27374301675977653</v>
      </c>
      <c r="BX136" s="247">
        <f t="shared" si="346"/>
        <v>0.2608695652173913</v>
      </c>
      <c r="BY136" s="247">
        <f t="shared" si="346"/>
        <v>0.26486486486486488</v>
      </c>
      <c r="BZ136" s="247">
        <f t="shared" si="346"/>
        <v>0.26273458445040215</v>
      </c>
      <c r="CA136" s="246">
        <f t="shared" si="346"/>
        <v>0.26548672566371684</v>
      </c>
      <c r="CB136" s="247">
        <f t="shared" si="346"/>
        <v>0.26470588235294118</v>
      </c>
      <c r="CC136" s="247">
        <f t="shared" si="346"/>
        <v>0.27365728900255754</v>
      </c>
      <c r="CD136" s="247">
        <f t="shared" si="346"/>
        <v>0.27518427518427518</v>
      </c>
      <c r="CE136" s="247">
        <f t="shared" si="346"/>
        <v>0.29289866060146574</v>
      </c>
      <c r="CF136" s="246">
        <f t="shared" si="346"/>
        <v>0.27365035317860747</v>
      </c>
      <c r="CG136" s="247">
        <f t="shared" si="346"/>
        <v>0.28841607565011823</v>
      </c>
      <c r="CH136" s="247">
        <f t="shared" si="346"/>
        <v>0.29930394431554525</v>
      </c>
      <c r="CI136" s="247">
        <f t="shared" si="346"/>
        <v>0.29278770065566356</v>
      </c>
      <c r="CJ136" s="247">
        <f t="shared" ref="CJ136:CP136" si="347">CJ130/CJ132</f>
        <v>0.29997810378804463</v>
      </c>
      <c r="CK136" s="246">
        <f t="shared" si="347"/>
        <v>0.29520821448944667</v>
      </c>
      <c r="CL136" s="1680">
        <f t="shared" ca="1" si="347"/>
        <v>0.28841607565011823</v>
      </c>
      <c r="CM136" s="1680">
        <f t="shared" si="347"/>
        <v>0.30996884735202496</v>
      </c>
      <c r="CN136" s="1680">
        <f t="shared" si="347"/>
        <v>0.30792616720955485</v>
      </c>
      <c r="CO136" s="1680">
        <f t="shared" si="347"/>
        <v>0.31039755351681952</v>
      </c>
      <c r="CP136" s="246">
        <f t="shared" ca="1" si="347"/>
        <v>0.30378395998093777</v>
      </c>
      <c r="CQ136" s="1680">
        <f t="shared" ref="CQ136:CV136" si="348">CQ130/CQ132</f>
        <v>0.32572266443234188</v>
      </c>
      <c r="CR136" s="1680">
        <f t="shared" si="348"/>
        <v>0.32130408037728109</v>
      </c>
      <c r="CS136" s="1680">
        <f t="shared" ca="1" si="348"/>
        <v>0.32130408037728109</v>
      </c>
      <c r="CT136" s="1680">
        <f t="shared" ca="1" si="348"/>
        <v>0.32130408037728109</v>
      </c>
      <c r="CU136" s="246">
        <f t="shared" si="348"/>
        <v>0.32616914392252316</v>
      </c>
      <c r="CV136" s="1680">
        <f t="shared" si="348"/>
        <v>0.32646818923327897</v>
      </c>
      <c r="CW136" s="1680">
        <f t="shared" ref="CW136:DF136" si="349">CW130/CW132</f>
        <v>0.32847763643824374</v>
      </c>
      <c r="CX136" s="1680">
        <f t="shared" si="349"/>
        <v>0.30783374673312136</v>
      </c>
      <c r="CY136" s="1680">
        <f t="shared" si="349"/>
        <v>0.29832981377497375</v>
      </c>
      <c r="CZ136" s="246">
        <f t="shared" si="349"/>
        <v>0.31445410077976915</v>
      </c>
      <c r="DA136" s="1680">
        <f t="shared" si="349"/>
        <v>0.29209058089924517</v>
      </c>
      <c r="DB136" s="1680">
        <f t="shared" si="349"/>
        <v>0.29033840117704757</v>
      </c>
      <c r="DC136" s="1680">
        <f t="shared" si="349"/>
        <v>0.29621049147774287</v>
      </c>
      <c r="DD136" s="1680">
        <f t="shared" si="349"/>
        <v>0.28850185453959037</v>
      </c>
      <c r="DE136" s="246">
        <f t="shared" si="349"/>
        <v>8.151466823864241E-2</v>
      </c>
      <c r="DF136" s="1680">
        <f t="shared" si="349"/>
        <v>0.29099418979987091</v>
      </c>
      <c r="DG136" s="1680">
        <f>DG130/DG132</f>
        <v>0.28722891566265063</v>
      </c>
      <c r="DH136" s="1680">
        <f>DH130/DH132</f>
        <v>0.28719981043376952</v>
      </c>
      <c r="DI136" s="1680">
        <f>DI130/DI132</f>
        <v>0.28306844596800307</v>
      </c>
      <c r="DJ136" s="246">
        <f>DJ130/DJ132</f>
        <v>7.9758647839683242E-2</v>
      </c>
      <c r="DK136" s="1802">
        <v>0.313</v>
      </c>
      <c r="DL136" s="270">
        <v>0.312</v>
      </c>
      <c r="DM136" s="270">
        <f>DL136</f>
        <v>0.312</v>
      </c>
      <c r="DN136" s="270">
        <v>0.311</v>
      </c>
      <c r="DO136" s="246">
        <f>DO130/DO132</f>
        <v>0</v>
      </c>
      <c r="DP136" s="1802">
        <v>0.313</v>
      </c>
      <c r="DQ136" s="270">
        <v>0.312</v>
      </c>
      <c r="DR136" s="270">
        <f>DQ136</f>
        <v>0.312</v>
      </c>
      <c r="DS136" s="270">
        <v>0.311</v>
      </c>
      <c r="DT136" s="246">
        <f>DT130/DT132</f>
        <v>0</v>
      </c>
      <c r="DU136" s="1802">
        <v>0.313</v>
      </c>
      <c r="DV136" s="270">
        <v>0.312</v>
      </c>
      <c r="DW136" s="270">
        <f>DV136</f>
        <v>0.312</v>
      </c>
      <c r="DX136" s="270">
        <v>0.311</v>
      </c>
      <c r="DY136" s="246">
        <f>DY130/DY132</f>
        <v>0</v>
      </c>
      <c r="DZ136" s="250"/>
    </row>
    <row r="137" spans="1:130" ht="6" customHeight="1" x14ac:dyDescent="0.2">
      <c r="A137" s="16"/>
      <c r="B137" s="98"/>
      <c r="C137" s="99"/>
      <c r="D137" s="99"/>
      <c r="E137" s="99"/>
      <c r="F137" s="99"/>
      <c r="G137" s="99"/>
      <c r="H137" s="99"/>
      <c r="I137" s="265"/>
      <c r="J137" s="99"/>
      <c r="K137" s="99"/>
      <c r="L137" s="99"/>
      <c r="M137" s="99"/>
      <c r="N137" s="265"/>
      <c r="O137" s="99"/>
      <c r="P137" s="99"/>
      <c r="Q137" s="99"/>
      <c r="R137" s="99"/>
      <c r="S137" s="265"/>
      <c r="T137" s="99"/>
      <c r="U137" s="99"/>
      <c r="V137" s="99"/>
      <c r="W137" s="99"/>
      <c r="X137" s="265"/>
      <c r="Y137" s="99"/>
      <c r="Z137" s="99"/>
      <c r="AA137" s="99"/>
      <c r="AB137" s="99"/>
      <c r="AC137" s="265"/>
      <c r="AD137" s="99"/>
      <c r="AE137" s="99"/>
      <c r="AF137" s="99"/>
      <c r="AG137" s="99"/>
      <c r="AH137" s="265"/>
      <c r="AI137" s="99"/>
      <c r="AJ137" s="99"/>
      <c r="AK137" s="99"/>
      <c r="AL137" s="99"/>
      <c r="AM137" s="265"/>
      <c r="AN137" s="266"/>
      <c r="AO137" s="266"/>
      <c r="AP137" s="266"/>
      <c r="AQ137" s="102"/>
      <c r="AR137" s="265"/>
      <c r="AS137" s="267"/>
      <c r="AT137" s="266"/>
      <c r="AU137" s="266"/>
      <c r="AV137" s="102"/>
      <c r="AW137" s="265"/>
      <c r="AX137" s="266"/>
      <c r="AY137" s="266"/>
      <c r="AZ137" s="266"/>
      <c r="BA137" s="102"/>
      <c r="BB137" s="265"/>
      <c r="BC137" s="266"/>
      <c r="BD137" s="266"/>
      <c r="BE137" s="266"/>
      <c r="BF137" s="266"/>
      <c r="BG137" s="265"/>
      <c r="BH137" s="268"/>
      <c r="BI137" s="268"/>
      <c r="BJ137" s="268"/>
      <c r="BK137" s="268"/>
      <c r="BL137" s="265"/>
      <c r="BM137" s="269"/>
      <c r="BN137" s="268"/>
      <c r="BO137" s="268"/>
      <c r="BP137" s="268"/>
      <c r="BQ137" s="265"/>
      <c r="BR137" s="268"/>
      <c r="BS137" s="268"/>
      <c r="BT137" s="268"/>
      <c r="BU137" s="268"/>
      <c r="BV137" s="265"/>
      <c r="BW137" s="268"/>
      <c r="BX137" s="268"/>
      <c r="BY137" s="268"/>
      <c r="BZ137" s="268"/>
      <c r="CA137" s="265"/>
      <c r="CB137" s="268"/>
      <c r="CC137" s="268"/>
      <c r="CD137" s="268"/>
      <c r="CE137" s="268"/>
      <c r="CF137" s="265"/>
      <c r="CG137" s="271"/>
      <c r="CH137" s="271"/>
      <c r="CI137" s="271"/>
      <c r="CJ137" s="271"/>
      <c r="CK137" s="265"/>
      <c r="CL137" s="271"/>
      <c r="CM137" s="271"/>
      <c r="CN137" s="271"/>
      <c r="CO137" s="271"/>
      <c r="CP137" s="265"/>
      <c r="CQ137" s="271"/>
      <c r="CR137" s="271"/>
      <c r="CS137" s="271"/>
      <c r="CT137" s="271"/>
      <c r="CU137" s="265"/>
      <c r="CV137" s="271"/>
      <c r="CW137" s="271"/>
      <c r="CX137" s="271"/>
      <c r="CY137" s="271"/>
      <c r="CZ137" s="265"/>
      <c r="DA137" s="271"/>
      <c r="DB137" s="271"/>
      <c r="DC137" s="271"/>
      <c r="DD137" s="271"/>
      <c r="DE137" s="265"/>
      <c r="DF137" s="271"/>
      <c r="DG137" s="271"/>
      <c r="DH137" s="271"/>
      <c r="DI137" s="271"/>
      <c r="DJ137" s="98"/>
      <c r="DK137" s="271"/>
      <c r="DL137" s="271"/>
      <c r="DM137" s="271"/>
      <c r="DN137" s="271"/>
      <c r="DO137" s="98"/>
      <c r="DP137" s="271"/>
      <c r="DQ137" s="271"/>
      <c r="DR137" s="271"/>
      <c r="DS137" s="271"/>
      <c r="DT137" s="98"/>
      <c r="DU137" s="271"/>
      <c r="DV137" s="271"/>
      <c r="DW137" s="271"/>
      <c r="DX137" s="271"/>
      <c r="DY137" s="98"/>
      <c r="DZ137" s="16"/>
    </row>
    <row r="138" spans="1:130" x14ac:dyDescent="0.2">
      <c r="A138" s="243"/>
      <c r="B138" s="244" t="s">
        <v>242</v>
      </c>
      <c r="C138" s="247">
        <f>'BS and CFS'!C12</f>
        <v>0</v>
      </c>
      <c r="D138" s="247">
        <f>'BS and CFS'!D12</f>
        <v>0</v>
      </c>
      <c r="E138" s="245"/>
      <c r="F138" s="245"/>
      <c r="G138" s="245"/>
      <c r="H138" s="245"/>
      <c r="I138" s="246">
        <f>'BS and CFS'!I12</f>
        <v>0</v>
      </c>
      <c r="J138" s="245"/>
      <c r="K138" s="245"/>
      <c r="L138" s="245"/>
      <c r="M138" s="245"/>
      <c r="N138" s="246">
        <f>'BS and CFS'!N12</f>
        <v>0.25126877265665459</v>
      </c>
      <c r="O138" s="245"/>
      <c r="P138" s="245"/>
      <c r="Q138" s="245"/>
      <c r="R138" s="245"/>
      <c r="S138" s="246">
        <f>'BS and CFS'!S12</f>
        <v>0.2328639373309708</v>
      </c>
      <c r="T138" s="245"/>
      <c r="U138" s="245"/>
      <c r="V138" s="245"/>
      <c r="W138" s="245"/>
      <c r="X138" s="246">
        <f>'BS and CFS'!X12</f>
        <v>0.20566903493191238</v>
      </c>
      <c r="Y138" s="245"/>
      <c r="Z138" s="245"/>
      <c r="AA138" s="245"/>
      <c r="AB138" s="245"/>
      <c r="AC138" s="246">
        <f>'BS and CFS'!AC12</f>
        <v>0.18526358525921297</v>
      </c>
      <c r="AD138" s="245"/>
      <c r="AE138" s="245"/>
      <c r="AF138" s="245"/>
      <c r="AG138" s="245"/>
      <c r="AH138" s="246">
        <f>'BS and CFS'!AH12</f>
        <v>0.15389472475747662</v>
      </c>
      <c r="AI138" s="245"/>
      <c r="AJ138" s="245"/>
      <c r="AK138" s="245"/>
      <c r="AL138" s="245"/>
      <c r="AM138" s="246">
        <f>'BS and CFS'!AM12</f>
        <v>0.13912196178206029</v>
      </c>
      <c r="AN138" s="245"/>
      <c r="AO138" s="245"/>
      <c r="AP138" s="245"/>
      <c r="AQ138" s="245"/>
      <c r="AR138" s="246">
        <f>'BS and CFS'!AR12</f>
        <v>0.12568823901074103</v>
      </c>
      <c r="AS138" s="245"/>
      <c r="AT138" s="245"/>
      <c r="AU138" s="245"/>
      <c r="AV138" s="245"/>
      <c r="AW138" s="246">
        <f>'BS and CFS'!AW12</f>
        <v>0.15770426025726761</v>
      </c>
      <c r="AX138" s="245"/>
      <c r="AY138" s="245"/>
      <c r="AZ138" s="245"/>
      <c r="BA138" s="245"/>
      <c r="BB138" s="246">
        <f>'BS and CFS'!BB12</f>
        <v>0.13135000998317123</v>
      </c>
      <c r="BC138" s="245"/>
      <c r="BD138" s="245"/>
      <c r="BE138" s="245"/>
      <c r="BF138" s="245"/>
      <c r="BG138" s="246">
        <f>'BS and CFS'!BG12</f>
        <v>0.14474017102666598</v>
      </c>
      <c r="BH138" s="268"/>
      <c r="BI138" s="268"/>
      <c r="BJ138" s="268"/>
      <c r="BK138" s="268"/>
      <c r="BL138" s="246">
        <f>'BS and CFS'!BL12</f>
        <v>0.14059922003899802</v>
      </c>
      <c r="BM138" s="268"/>
      <c r="BN138" s="268"/>
      <c r="BO138" s="268"/>
      <c r="BP138" s="268"/>
      <c r="BQ138" s="246">
        <f>'BS and CFS'!BQ12</f>
        <v>0.14851011481683982</v>
      </c>
      <c r="BR138" s="268"/>
      <c r="BS138" s="268"/>
      <c r="BT138" s="268"/>
      <c r="BU138" s="268"/>
      <c r="BV138" s="246">
        <f>'BS and CFS'!BV12</f>
        <v>0.11802786392950328</v>
      </c>
      <c r="BW138" s="268"/>
      <c r="BX138" s="268"/>
      <c r="BY138" s="268"/>
      <c r="BZ138" s="268"/>
      <c r="CA138" s="246">
        <f>'BS and CFS'!CA12</f>
        <v>0.13151583995961125</v>
      </c>
      <c r="CB138" s="268"/>
      <c r="CC138" s="268"/>
      <c r="CD138" s="268"/>
      <c r="CE138" s="268"/>
      <c r="CF138" s="246">
        <f>'BS and CFS'!CF12</f>
        <v>0.13409036289353474</v>
      </c>
      <c r="CG138" s="271"/>
      <c r="CH138" s="271"/>
      <c r="CI138" s="271"/>
      <c r="CJ138" s="271"/>
      <c r="CK138" s="246">
        <f>'BS and CFS'!CK12</f>
        <v>0.14961615684421875</v>
      </c>
      <c r="CL138" s="271"/>
      <c r="CM138" s="271"/>
      <c r="CN138" s="271"/>
      <c r="CO138" s="271"/>
      <c r="CP138" s="246">
        <f>'BS and CFS'!CP12</f>
        <v>0.15936051899907319</v>
      </c>
      <c r="CQ138" s="271"/>
      <c r="CR138" s="271"/>
      <c r="CS138" s="271"/>
      <c r="CT138" s="271"/>
      <c r="CU138" s="246">
        <f>'BS and CFS'!CU12</f>
        <v>0.16401625072547882</v>
      </c>
      <c r="CV138" s="271"/>
      <c r="CW138" s="271"/>
      <c r="CX138" s="271"/>
      <c r="CY138" s="271"/>
      <c r="CZ138" s="246">
        <f>'BS and CFS'!CZ12</f>
        <v>0.16619785428670483</v>
      </c>
      <c r="DA138" s="271"/>
      <c r="DB138" s="271"/>
      <c r="DC138" s="271"/>
      <c r="DD138" s="271"/>
      <c r="DE138" s="246">
        <f>'BS and CFS'!EC12</f>
        <v>0</v>
      </c>
      <c r="DF138" s="271"/>
      <c r="DG138" s="271"/>
      <c r="DH138" s="271"/>
      <c r="DI138" s="271"/>
      <c r="DJ138" s="244">
        <f>'BS and CFS'!EH12</f>
        <v>0</v>
      </c>
      <c r="DK138" s="271"/>
      <c r="DL138" s="271"/>
      <c r="DM138" s="271"/>
      <c r="DN138" s="271"/>
      <c r="DO138" s="244">
        <f>'BS and CFS'!EM12</f>
        <v>0</v>
      </c>
      <c r="DP138" s="271"/>
      <c r="DQ138" s="271"/>
      <c r="DR138" s="271"/>
      <c r="DS138" s="271"/>
      <c r="DT138" s="244">
        <f>'BS and CFS'!ER12</f>
        <v>0</v>
      </c>
      <c r="DU138" s="271"/>
      <c r="DV138" s="271"/>
      <c r="DW138" s="271"/>
      <c r="DX138" s="271"/>
      <c r="DY138" s="244">
        <f>'BS and CFS'!EW12</f>
        <v>0</v>
      </c>
      <c r="DZ138" s="250"/>
    </row>
    <row r="139" spans="1:130" x14ac:dyDescent="0.2">
      <c r="A139" s="243"/>
      <c r="B139" s="244" t="s">
        <v>243</v>
      </c>
      <c r="C139" s="245"/>
      <c r="D139" s="245"/>
      <c r="E139" s="245"/>
      <c r="F139" s="245"/>
      <c r="G139" s="245"/>
      <c r="H139" s="245"/>
      <c r="I139" s="246"/>
      <c r="J139" s="245"/>
      <c r="K139" s="245"/>
      <c r="L139" s="245"/>
      <c r="M139" s="245"/>
      <c r="N139" s="246">
        <f>N132/N10</f>
        <v>1.7324106319393247E-2</v>
      </c>
      <c r="O139" s="245"/>
      <c r="P139" s="245"/>
      <c r="Q139" s="245"/>
      <c r="R139" s="245"/>
      <c r="S139" s="246">
        <f>S132/S10</f>
        <v>1.6348470563586841E-2</v>
      </c>
      <c r="T139" s="245"/>
      <c r="U139" s="245"/>
      <c r="V139" s="245"/>
      <c r="W139" s="245"/>
      <c r="X139" s="246">
        <f>X132/X10</f>
        <v>1.535503334567335E-2</v>
      </c>
      <c r="Y139" s="245"/>
      <c r="Z139" s="245"/>
      <c r="AA139" s="245"/>
      <c r="AB139" s="245"/>
      <c r="AC139" s="246">
        <f>AC132/AC10</f>
        <v>1.4765401369010576E-2</v>
      </c>
      <c r="AD139" s="245"/>
      <c r="AE139" s="245"/>
      <c r="AF139" s="245"/>
      <c r="AG139" s="245"/>
      <c r="AH139" s="246">
        <f>AH132/AH10</f>
        <v>1.4423552474214752E-2</v>
      </c>
      <c r="AI139" s="245"/>
      <c r="AJ139" s="245"/>
      <c r="AK139" s="245"/>
      <c r="AL139" s="245"/>
      <c r="AM139" s="246">
        <f>AM132/AM10</f>
        <v>1.2832123730951347E-2</v>
      </c>
      <c r="AN139" s="245"/>
      <c r="AO139" s="245"/>
      <c r="AP139" s="245"/>
      <c r="AQ139" s="245"/>
      <c r="AR139" s="246">
        <f>AR132/AR10</f>
        <v>1.2851662404092069E-2</v>
      </c>
      <c r="AS139" s="245"/>
      <c r="AT139" s="245"/>
      <c r="AU139" s="245"/>
      <c r="AV139" s="245"/>
      <c r="AW139" s="246">
        <f>AW132/AW10</f>
        <v>1.6238318902540669E-2</v>
      </c>
      <c r="AX139" s="245"/>
      <c r="AY139" s="245"/>
      <c r="AZ139" s="245"/>
      <c r="BA139" s="245"/>
      <c r="BB139" s="246">
        <f>BB132/BB10</f>
        <v>1.5918739039146965E-2</v>
      </c>
      <c r="BC139" s="245"/>
      <c r="BD139" s="245"/>
      <c r="BE139" s="245"/>
      <c r="BF139" s="245"/>
      <c r="BG139" s="246">
        <f>BG132/BG10</f>
        <v>1.6793424617378778E-2</v>
      </c>
      <c r="BH139" s="245"/>
      <c r="BI139" s="245"/>
      <c r="BJ139" s="245"/>
      <c r="BK139" s="245"/>
      <c r="BL139" s="246">
        <f>BL132/BL10</f>
        <v>1.4340458145278037E-2</v>
      </c>
      <c r="BM139" s="245"/>
      <c r="BN139" s="245"/>
      <c r="BO139" s="245"/>
      <c r="BP139" s="245"/>
      <c r="BQ139" s="246">
        <f>BQ132/BQ10</f>
        <v>1.4589828276280727E-2</v>
      </c>
      <c r="BR139" s="245"/>
      <c r="BS139" s="245"/>
      <c r="BT139" s="245"/>
      <c r="BU139" s="245"/>
      <c r="BV139" s="246">
        <f>BV132/BV10</f>
        <v>1.4059713012096763E-2</v>
      </c>
      <c r="BW139" s="245"/>
      <c r="BX139" s="245"/>
      <c r="BY139" s="245"/>
      <c r="BZ139" s="245"/>
      <c r="CA139" s="246">
        <f>CA132/CA10</f>
        <v>1.5236534492236524E-2</v>
      </c>
      <c r="CB139" s="245"/>
      <c r="CC139" s="245"/>
      <c r="CD139" s="245"/>
      <c r="CE139" s="245"/>
      <c r="CF139" s="246">
        <f>CF132/CF10</f>
        <v>1.4749767441860464E-2</v>
      </c>
      <c r="CG139" s="256"/>
      <c r="CH139" s="256"/>
      <c r="CI139" s="256"/>
      <c r="CJ139" s="256"/>
      <c r="CK139" s="246">
        <f>CK132/CK10</f>
        <v>1.4236557498069171E-2</v>
      </c>
      <c r="CL139" s="256"/>
      <c r="CM139" s="256"/>
      <c r="CN139" s="256"/>
      <c r="CO139" s="256"/>
      <c r="CP139" s="246">
        <f>CP132/CP10</f>
        <v>1.4744186743401312E-2</v>
      </c>
      <c r="CQ139" s="256"/>
      <c r="CR139" s="256"/>
      <c r="CS139" s="256"/>
      <c r="CT139" s="256"/>
      <c r="CU139" s="246">
        <f>CU132/CU10</f>
        <v>1.3854835989997595E-2</v>
      </c>
      <c r="CV139" s="256"/>
      <c r="CW139" s="256"/>
      <c r="CX139" s="256"/>
      <c r="CY139" s="256"/>
      <c r="CZ139" s="246">
        <f>CZ132/CZ10</f>
        <v>1.3575860492787173E-2</v>
      </c>
      <c r="DA139" s="256"/>
      <c r="DB139" s="256"/>
      <c r="DC139" s="256"/>
      <c r="DD139" s="256"/>
      <c r="DE139" s="246">
        <f>DE132/DE10</f>
        <v>1.3775408178497294E-2</v>
      </c>
      <c r="DF139" s="256"/>
      <c r="DG139" s="256"/>
      <c r="DH139" s="256"/>
      <c r="DI139" s="256"/>
      <c r="DJ139" s="244">
        <f>DJ132/DJ10</f>
        <v>1.3416066174961586E-2</v>
      </c>
      <c r="DK139" s="256"/>
      <c r="DL139" s="256"/>
      <c r="DM139" s="256"/>
      <c r="DN139" s="256"/>
      <c r="DO139" s="244">
        <f ca="1">DO132/DO10</f>
        <v>1.3301178564919421E-2</v>
      </c>
      <c r="DP139" s="256"/>
      <c r="DQ139" s="256"/>
      <c r="DR139" s="256"/>
      <c r="DS139" s="256"/>
      <c r="DT139" s="244">
        <f ca="1">DT132/DT10</f>
        <v>1.262329496906751E-2</v>
      </c>
      <c r="DU139" s="256"/>
      <c r="DV139" s="256"/>
      <c r="DW139" s="256"/>
      <c r="DX139" s="256"/>
      <c r="DY139" s="244">
        <f ca="1">DY132/DY10</f>
        <v>1.215165064800775E-2</v>
      </c>
      <c r="DZ139" s="250"/>
    </row>
    <row r="140" spans="1:130" ht="9.75" customHeight="1" thickBot="1" x14ac:dyDescent="0.25">
      <c r="A140" s="16"/>
      <c r="B140" s="273"/>
      <c r="C140" s="274"/>
      <c r="D140" s="275"/>
      <c r="E140" s="275"/>
      <c r="F140" s="275"/>
      <c r="G140" s="275"/>
      <c r="H140" s="275"/>
      <c r="I140" s="276"/>
      <c r="J140" s="275"/>
      <c r="K140" s="275"/>
      <c r="L140" s="275"/>
      <c r="M140" s="275"/>
      <c r="N140" s="276"/>
      <c r="O140" s="275"/>
      <c r="P140" s="275"/>
      <c r="Q140" s="275"/>
      <c r="R140" s="275"/>
      <c r="S140" s="276"/>
      <c r="T140" s="275"/>
      <c r="U140" s="277"/>
      <c r="V140" s="275"/>
      <c r="W140" s="275"/>
      <c r="X140" s="276"/>
      <c r="Y140" s="275"/>
      <c r="Z140" s="275"/>
      <c r="AA140" s="275"/>
      <c r="AB140" s="275"/>
      <c r="AC140" s="276"/>
      <c r="AD140" s="275"/>
      <c r="AE140" s="275"/>
      <c r="AF140" s="275"/>
      <c r="AG140" s="275"/>
      <c r="AH140" s="276"/>
      <c r="AI140" s="275"/>
      <c r="AJ140" s="275"/>
      <c r="AK140" s="275"/>
      <c r="AL140" s="275"/>
      <c r="AM140" s="276"/>
      <c r="AN140" s="275"/>
      <c r="AO140" s="275"/>
      <c r="AP140" s="275"/>
      <c r="AQ140" s="275"/>
      <c r="AR140" s="276"/>
      <c r="AS140" s="275"/>
      <c r="AT140" s="275"/>
      <c r="AU140" s="275"/>
      <c r="AV140" s="275"/>
      <c r="AW140" s="276"/>
      <c r="AX140" s="275"/>
      <c r="AY140" s="275"/>
      <c r="AZ140" s="275"/>
      <c r="BA140" s="275"/>
      <c r="BB140" s="276"/>
      <c r="BC140" s="275"/>
      <c r="BD140" s="275"/>
      <c r="BE140" s="275"/>
      <c r="BF140" s="275"/>
      <c r="BG140" s="276"/>
      <c r="BH140" s="275"/>
      <c r="BI140" s="275"/>
      <c r="BJ140" s="275"/>
      <c r="BK140" s="275"/>
      <c r="BL140" s="276"/>
      <c r="BM140" s="275"/>
      <c r="BN140" s="275"/>
      <c r="BO140" s="275"/>
      <c r="BP140" s="275"/>
      <c r="BQ140" s="276"/>
      <c r="BR140" s="275"/>
      <c r="BS140" s="275"/>
      <c r="BT140" s="275"/>
      <c r="BU140" s="275"/>
      <c r="BV140" s="276"/>
      <c r="BW140" s="275"/>
      <c r="BX140" s="275"/>
      <c r="BY140" s="275"/>
      <c r="BZ140" s="275"/>
      <c r="CA140" s="276"/>
      <c r="CB140" s="275"/>
      <c r="CC140" s="275"/>
      <c r="CD140" s="275"/>
      <c r="CE140" s="275"/>
      <c r="CF140" s="276"/>
      <c r="CG140" s="278"/>
      <c r="CH140" s="278"/>
      <c r="CI140" s="278"/>
      <c r="CJ140" s="278"/>
      <c r="CK140" s="276"/>
      <c r="CL140" s="278"/>
      <c r="CM140" s="278"/>
      <c r="CN140" s="278"/>
      <c r="CO140" s="278"/>
      <c r="CP140" s="276"/>
      <c r="CQ140" s="278"/>
      <c r="CR140" s="278"/>
      <c r="CS140" s="278"/>
      <c r="CT140" s="278"/>
      <c r="CU140" s="276"/>
      <c r="CV140" s="278"/>
      <c r="CW140" s="278"/>
      <c r="CX140" s="278"/>
      <c r="CY140" s="278"/>
      <c r="CZ140" s="276"/>
      <c r="DA140" s="278"/>
      <c r="DB140" s="278"/>
      <c r="DC140" s="278"/>
      <c r="DD140" s="278"/>
      <c r="DE140" s="276"/>
      <c r="DF140" s="278"/>
      <c r="DG140" s="278"/>
      <c r="DH140" s="278"/>
      <c r="DI140" s="278"/>
      <c r="DJ140" s="279"/>
      <c r="DK140" s="278"/>
      <c r="DL140" s="278"/>
      <c r="DM140" s="278"/>
      <c r="DN140" s="278"/>
      <c r="DO140" s="279"/>
      <c r="DP140" s="278"/>
      <c r="DQ140" s="278"/>
      <c r="DR140" s="278"/>
      <c r="DS140" s="278"/>
      <c r="DT140" s="279"/>
      <c r="DU140" s="278"/>
      <c r="DV140" s="278"/>
      <c r="DW140" s="278"/>
      <c r="DX140" s="278"/>
      <c r="DY140" s="279"/>
      <c r="DZ140" s="64"/>
    </row>
    <row r="141" spans="1:130" ht="12" thickBot="1" x14ac:dyDescent="0.25">
      <c r="A141" s="16"/>
      <c r="B141" s="233"/>
      <c r="C141" s="233"/>
      <c r="D141" s="233"/>
      <c r="E141" s="186"/>
      <c r="F141" s="186"/>
      <c r="G141" s="186"/>
      <c r="H141" s="33"/>
      <c r="I141" s="186"/>
      <c r="J141" s="186"/>
      <c r="K141" s="186"/>
      <c r="L141" s="186"/>
      <c r="M141" s="33"/>
      <c r="N141" s="186"/>
      <c r="O141" s="224"/>
      <c r="P141" s="33"/>
      <c r="Q141" s="224"/>
      <c r="R141" s="33"/>
      <c r="S141" s="186"/>
      <c r="T141" s="186"/>
      <c r="U141" s="186"/>
      <c r="V141" s="186"/>
      <c r="W141" s="33"/>
      <c r="X141" s="186"/>
      <c r="Y141" s="186"/>
      <c r="Z141" s="225"/>
      <c r="AA141" s="186"/>
      <c r="AB141" s="33"/>
      <c r="AC141" s="186"/>
      <c r="AD141" s="186"/>
      <c r="AE141" s="186"/>
      <c r="AF141" s="186"/>
      <c r="AG141" s="33"/>
      <c r="AH141" s="186"/>
      <c r="AI141" s="186"/>
      <c r="AJ141" s="186"/>
      <c r="AK141" s="186"/>
      <c r="AL141" s="33"/>
      <c r="AM141" s="186"/>
      <c r="AN141" s="33"/>
      <c r="AO141" s="33"/>
      <c r="AP141" s="33"/>
      <c r="AQ141" s="33"/>
      <c r="AR141" s="186"/>
      <c r="AS141" s="226"/>
      <c r="AT141" s="225"/>
      <c r="AU141" s="33"/>
      <c r="AV141" s="33"/>
      <c r="AW141" s="186"/>
      <c r="AX141" s="33"/>
      <c r="AY141" s="33"/>
      <c r="AZ141" s="33"/>
      <c r="BA141" s="33"/>
      <c r="BB141" s="186"/>
      <c r="BC141" s="33"/>
      <c r="BD141" s="33"/>
      <c r="BE141" s="33"/>
      <c r="BF141" s="33"/>
      <c r="BG141" s="186"/>
      <c r="BH141" s="33"/>
      <c r="BI141" s="33"/>
      <c r="BJ141" s="33"/>
      <c r="BK141" s="33"/>
      <c r="BL141" s="186"/>
      <c r="BM141" s="33"/>
      <c r="BN141" s="33"/>
      <c r="BO141" s="33"/>
      <c r="BP141" s="33"/>
      <c r="BQ141" s="186"/>
      <c r="BR141" s="33"/>
      <c r="BS141" s="33"/>
      <c r="BT141" s="33"/>
      <c r="BU141" s="33"/>
      <c r="BV141" s="186"/>
      <c r="BW141" s="33"/>
      <c r="BX141" s="33"/>
      <c r="BY141" s="33"/>
      <c r="BZ141" s="33"/>
      <c r="CA141" s="186"/>
      <c r="CB141" s="33"/>
      <c r="CC141" s="33"/>
      <c r="CD141" s="33"/>
      <c r="CE141" s="33"/>
      <c r="CF141" s="186"/>
      <c r="CG141" s="33"/>
      <c r="CH141" s="33"/>
      <c r="CI141" s="33"/>
      <c r="CJ141" s="33"/>
      <c r="CK141" s="186"/>
      <c r="CL141" s="33"/>
      <c r="CM141" s="33"/>
      <c r="CN141" s="33"/>
      <c r="CO141" s="33"/>
      <c r="CP141" s="186"/>
      <c r="CQ141" s="33"/>
      <c r="CR141" s="33"/>
      <c r="CS141" s="33"/>
      <c r="CT141" s="33"/>
      <c r="CU141" s="186"/>
      <c r="CV141" s="33"/>
      <c r="CW141" s="33"/>
      <c r="CX141" s="33"/>
      <c r="CY141" s="33"/>
      <c r="CZ141" s="186"/>
      <c r="DA141" s="33"/>
      <c r="DB141" s="33"/>
      <c r="DC141" s="33"/>
      <c r="DD141" s="33"/>
      <c r="DE141" s="186"/>
      <c r="DF141" s="33"/>
      <c r="DG141" s="33"/>
      <c r="DH141" s="33"/>
      <c r="DI141" s="33"/>
      <c r="DJ141" s="186"/>
      <c r="DK141" s="33"/>
      <c r="DL141" s="33"/>
      <c r="DM141" s="33"/>
      <c r="DN141" s="33"/>
      <c r="DO141" s="186"/>
      <c r="DP141" s="33"/>
      <c r="DQ141" s="33"/>
      <c r="DR141" s="33"/>
      <c r="DS141" s="33"/>
      <c r="DT141" s="186"/>
      <c r="DU141" s="33"/>
      <c r="DV141" s="33"/>
      <c r="DW141" s="33"/>
      <c r="DX141" s="33"/>
      <c r="DY141" s="186"/>
      <c r="DZ141" s="16"/>
    </row>
    <row r="142" spans="1:130" ht="11.25" customHeight="1" thickBot="1" x14ac:dyDescent="0.25">
      <c r="A142" s="18"/>
      <c r="B142" s="221" t="s">
        <v>250</v>
      </c>
      <c r="C142" s="17"/>
      <c r="D142" s="200"/>
      <c r="E142" s="200"/>
      <c r="F142" s="200"/>
      <c r="G142" s="200"/>
      <c r="H142" s="200"/>
      <c r="I142" s="201"/>
      <c r="J142" s="202"/>
      <c r="K142" s="202"/>
      <c r="L142" s="202"/>
      <c r="M142" s="200"/>
      <c r="N142" s="200"/>
      <c r="O142" s="200"/>
      <c r="P142" s="200"/>
      <c r="Q142" s="200"/>
      <c r="R142" s="200"/>
      <c r="S142" s="200"/>
      <c r="T142" s="200"/>
      <c r="U142" s="200"/>
      <c r="V142" s="200"/>
      <c r="W142" s="200"/>
      <c r="X142" s="200"/>
      <c r="Y142" s="200"/>
      <c r="Z142" s="200"/>
      <c r="AA142" s="200"/>
      <c r="AB142" s="200"/>
      <c r="AC142" s="200"/>
      <c r="AD142" s="202"/>
      <c r="AE142" s="202"/>
      <c r="AF142" s="202"/>
      <c r="AG142" s="200"/>
      <c r="AH142" s="200"/>
      <c r="AI142" s="202"/>
      <c r="AJ142" s="202"/>
      <c r="AK142" s="202"/>
      <c r="AL142" s="200"/>
      <c r="AM142" s="200"/>
      <c r="AN142" s="200"/>
      <c r="AO142" s="200"/>
      <c r="AP142" s="200"/>
      <c r="AQ142" s="200"/>
      <c r="AR142" s="200"/>
      <c r="AS142" s="203"/>
      <c r="AT142" s="203"/>
      <c r="AU142" s="204"/>
      <c r="AV142" s="200"/>
      <c r="AW142" s="200"/>
      <c r="AX142" s="203"/>
      <c r="AY142" s="203"/>
      <c r="AZ142" s="204"/>
      <c r="BA142" s="200"/>
      <c r="BB142" s="200"/>
      <c r="BC142" s="203"/>
      <c r="BD142" s="203"/>
      <c r="BE142" s="203"/>
      <c r="BF142" s="203"/>
      <c r="BG142" s="200"/>
      <c r="BH142" s="203"/>
      <c r="BI142" s="203"/>
      <c r="BJ142" s="203"/>
      <c r="BK142" s="203"/>
      <c r="BL142" s="200"/>
      <c r="BM142" s="203"/>
      <c r="BN142" s="203"/>
      <c r="BO142" s="203"/>
      <c r="BP142" s="203"/>
      <c r="BQ142" s="200"/>
      <c r="BR142" s="203"/>
      <c r="BS142" s="203"/>
      <c r="BT142" s="203"/>
      <c r="BU142" s="203"/>
      <c r="BV142" s="200"/>
      <c r="BW142" s="203"/>
      <c r="BX142" s="203"/>
      <c r="BY142" s="203"/>
      <c r="BZ142" s="203"/>
      <c r="CA142" s="200"/>
      <c r="CB142" s="203"/>
      <c r="CC142" s="203"/>
      <c r="CD142" s="203"/>
      <c r="CE142" s="203"/>
      <c r="CF142" s="200"/>
      <c r="CG142" s="203"/>
      <c r="CH142" s="203"/>
      <c r="CI142" s="203"/>
      <c r="CJ142" s="203"/>
      <c r="CK142" s="200"/>
      <c r="CL142" s="203"/>
      <c r="CM142" s="203"/>
      <c r="CN142" s="203"/>
      <c r="CO142" s="203"/>
      <c r="CP142" s="200"/>
      <c r="CQ142" s="203"/>
      <c r="CR142" s="203"/>
      <c r="CS142" s="203"/>
      <c r="CT142" s="203"/>
      <c r="CU142" s="200"/>
      <c r="CV142" s="203"/>
      <c r="CW142" s="203"/>
      <c r="CX142" s="203"/>
      <c r="CY142" s="203"/>
      <c r="CZ142" s="200"/>
      <c r="DA142" s="203"/>
      <c r="DB142" s="203"/>
      <c r="DC142" s="203"/>
      <c r="DD142" s="203"/>
      <c r="DE142" s="200"/>
      <c r="DF142" s="203"/>
      <c r="DG142" s="203"/>
      <c r="DH142" s="203"/>
      <c r="DI142" s="203"/>
      <c r="DJ142" s="200"/>
      <c r="DK142" s="203"/>
      <c r="DL142" s="203"/>
      <c r="DM142" s="203"/>
      <c r="DN142" s="203"/>
      <c r="DO142" s="200"/>
      <c r="DP142" s="203"/>
      <c r="DQ142" s="203"/>
      <c r="DR142" s="203"/>
      <c r="DS142" s="203"/>
      <c r="DT142" s="200"/>
      <c r="DU142" s="203"/>
      <c r="DV142" s="203"/>
      <c r="DW142" s="203"/>
      <c r="DX142" s="203"/>
      <c r="DY142" s="200"/>
      <c r="DZ142" s="18"/>
    </row>
    <row r="143" spans="1:130" ht="4.5" customHeight="1" x14ac:dyDescent="0.2">
      <c r="A143" s="16"/>
      <c r="B143" s="98"/>
      <c r="C143" s="280"/>
      <c r="D143" s="102"/>
      <c r="E143" s="99"/>
      <c r="F143" s="99"/>
      <c r="G143" s="99"/>
      <c r="H143" s="99"/>
      <c r="I143" s="265"/>
      <c r="J143" s="99"/>
      <c r="K143" s="99"/>
      <c r="L143" s="99"/>
      <c r="M143" s="99"/>
      <c r="N143" s="265"/>
      <c r="O143" s="99"/>
      <c r="P143" s="99"/>
      <c r="Q143" s="99"/>
      <c r="R143" s="99"/>
      <c r="S143" s="265"/>
      <c r="T143" s="99"/>
      <c r="U143" s="99"/>
      <c r="V143" s="99"/>
      <c r="W143" s="99"/>
      <c r="X143" s="265"/>
      <c r="Y143" s="99"/>
      <c r="Z143" s="99"/>
      <c r="AA143" s="99"/>
      <c r="AB143" s="99"/>
      <c r="AC143" s="265"/>
      <c r="AD143" s="99"/>
      <c r="AE143" s="99"/>
      <c r="AF143" s="99"/>
      <c r="AG143" s="99"/>
      <c r="AH143" s="265"/>
      <c r="AI143" s="99"/>
      <c r="AJ143" s="99"/>
      <c r="AK143" s="99"/>
      <c r="AL143" s="99"/>
      <c r="AM143" s="265"/>
      <c r="AN143" s="99"/>
      <c r="AO143" s="99"/>
      <c r="AP143" s="99"/>
      <c r="AQ143" s="99"/>
      <c r="AR143" s="265"/>
      <c r="AS143" s="102"/>
      <c r="AT143" s="281"/>
      <c r="AU143" s="99"/>
      <c r="AV143" s="99"/>
      <c r="AW143" s="265"/>
      <c r="AX143" s="99"/>
      <c r="AY143" s="99"/>
      <c r="AZ143" s="99"/>
      <c r="BA143" s="99"/>
      <c r="BB143" s="265"/>
      <c r="BC143" s="99"/>
      <c r="BD143" s="99"/>
      <c r="BE143" s="99"/>
      <c r="BF143" s="99"/>
      <c r="BG143" s="265"/>
      <c r="BH143" s="99"/>
      <c r="BI143" s="99"/>
      <c r="BJ143" s="99"/>
      <c r="BK143" s="99"/>
      <c r="BL143" s="265"/>
      <c r="BM143" s="99"/>
      <c r="BN143" s="99"/>
      <c r="BO143" s="99"/>
      <c r="BP143" s="99"/>
      <c r="BQ143" s="265"/>
      <c r="BR143" s="99"/>
      <c r="BS143" s="99"/>
      <c r="BT143" s="99"/>
      <c r="BU143" s="99"/>
      <c r="BV143" s="265"/>
      <c r="BW143" s="99"/>
      <c r="BX143" s="99"/>
      <c r="BY143" s="99"/>
      <c r="BZ143" s="99"/>
      <c r="CA143" s="265"/>
      <c r="CB143" s="99"/>
      <c r="CC143" s="99"/>
      <c r="CD143" s="99"/>
      <c r="CE143" s="99"/>
      <c r="CF143" s="265"/>
      <c r="CG143" s="233"/>
      <c r="CH143" s="233"/>
      <c r="CI143" s="233"/>
      <c r="CJ143" s="233"/>
      <c r="CK143" s="265"/>
      <c r="CL143" s="233"/>
      <c r="CM143" s="233"/>
      <c r="CN143" s="233"/>
      <c r="CO143" s="233"/>
      <c r="CP143" s="265"/>
      <c r="CQ143" s="233"/>
      <c r="CR143" s="233"/>
      <c r="CS143" s="233"/>
      <c r="CT143" s="233"/>
      <c r="CU143" s="265"/>
      <c r="CV143" s="233"/>
      <c r="CW143" s="233"/>
      <c r="CX143" s="233"/>
      <c r="CY143" s="233"/>
      <c r="CZ143" s="98"/>
      <c r="DA143" s="233"/>
      <c r="DB143" s="233"/>
      <c r="DC143" s="233"/>
      <c r="DD143" s="233"/>
      <c r="DE143" s="98"/>
      <c r="DF143" s="233"/>
      <c r="DG143" s="233"/>
      <c r="DH143" s="233"/>
      <c r="DI143" s="233"/>
      <c r="DJ143" s="98"/>
      <c r="DK143" s="233"/>
      <c r="DL143" s="233"/>
      <c r="DM143" s="233"/>
      <c r="DN143" s="233"/>
      <c r="DO143" s="98"/>
      <c r="DP143" s="233"/>
      <c r="DQ143" s="233"/>
      <c r="DR143" s="233"/>
      <c r="DS143" s="233"/>
      <c r="DT143" s="98"/>
      <c r="DU143" s="233"/>
      <c r="DV143" s="233"/>
      <c r="DW143" s="233"/>
      <c r="DX143" s="233"/>
      <c r="DY143" s="98"/>
      <c r="DZ143" s="16"/>
    </row>
    <row r="144" spans="1:130" hidden="1" outlineLevel="1" x14ac:dyDescent="0.2">
      <c r="A144" s="240"/>
      <c r="B144" s="254" t="s">
        <v>240</v>
      </c>
      <c r="C144" s="238"/>
      <c r="D144" s="238"/>
      <c r="E144" s="238">
        <f>Retail!E36</f>
        <v>796.06200000000013</v>
      </c>
      <c r="F144" s="238">
        <f>Retail!F36</f>
        <v>218.33400000000006</v>
      </c>
      <c r="G144" s="238">
        <f>Retail!G36</f>
        <v>156.48100000000022</v>
      </c>
      <c r="H144" s="238">
        <f>Retail!H36</f>
        <v>227.63399999999967</v>
      </c>
      <c r="I144" s="239">
        <f>Retail!I36</f>
        <v>602.5</v>
      </c>
      <c r="J144" s="238">
        <f>Retail!J36</f>
        <v>264.61799999999971</v>
      </c>
      <c r="K144" s="238">
        <f>Retail!K36</f>
        <v>254.27600000000007</v>
      </c>
      <c r="L144" s="238">
        <f>Retail!L36</f>
        <v>153.5</v>
      </c>
      <c r="M144" s="238">
        <f>Retail!M36</f>
        <v>281.37400000000025</v>
      </c>
      <c r="N144" s="239">
        <f>Retail!N36</f>
        <v>771.2</v>
      </c>
      <c r="O144" s="238">
        <f>Retail!O36</f>
        <v>235.3</v>
      </c>
      <c r="P144" s="238">
        <f>Retail!P36</f>
        <v>241.3</v>
      </c>
      <c r="Q144" s="238">
        <f>Retail!Q36</f>
        <v>189.8</v>
      </c>
      <c r="R144" s="238">
        <f>Retail!R36</f>
        <v>261.39999999999998</v>
      </c>
      <c r="S144" s="239">
        <f>Retail!S36</f>
        <v>927.8</v>
      </c>
      <c r="T144" s="238">
        <f>Retail!T36</f>
        <v>284.8</v>
      </c>
      <c r="U144" s="238">
        <f>Retail!U36</f>
        <v>283.5</v>
      </c>
      <c r="V144" s="238">
        <f>Retail!V36</f>
        <v>210.9</v>
      </c>
      <c r="W144" s="238">
        <f>Retail!W36</f>
        <v>341.2</v>
      </c>
      <c r="X144" s="239">
        <f>Retail!X36</f>
        <v>1107.9000000000001</v>
      </c>
      <c r="Y144" s="238">
        <f>Retail!Y36</f>
        <v>333.9</v>
      </c>
      <c r="Z144" s="238">
        <f>Retail!Z36</f>
        <v>329.9</v>
      </c>
      <c r="AA144" s="238">
        <f>Retail!AA36</f>
        <v>284.10000000000002</v>
      </c>
      <c r="AB144" s="238">
        <f>Retail!AB36</f>
        <v>342.8</v>
      </c>
      <c r="AC144" s="239">
        <f>Retail!AC36</f>
        <v>1268.5</v>
      </c>
      <c r="AD144" s="238">
        <f>Retail!AD36</f>
        <v>380</v>
      </c>
      <c r="AE144" s="238">
        <f>Retail!AE36</f>
        <v>338.8</v>
      </c>
      <c r="AF144" s="238">
        <f>Retail!AF36</f>
        <v>215.9</v>
      </c>
      <c r="AG144" s="238">
        <f>Retail!AG36</f>
        <v>145.19999999999999</v>
      </c>
      <c r="AH144" s="239">
        <f>Retail!AH36</f>
        <v>1079.9000000000001</v>
      </c>
      <c r="AI144" s="238">
        <f>Retail!AI36</f>
        <v>283.2</v>
      </c>
      <c r="AJ144" s="238">
        <f>Retail!AJ36</f>
        <v>280.10000000000002</v>
      </c>
      <c r="AK144" s="238">
        <f>Retail!AK36</f>
        <v>258.2</v>
      </c>
      <c r="AL144" s="238">
        <f>Retail!AL36</f>
        <v>313.10000000000002</v>
      </c>
      <c r="AM144" s="239">
        <f>Retail!AM36</f>
        <v>1134.5999999999999</v>
      </c>
      <c r="AN144" s="238">
        <f>Retail!AN36</f>
        <v>306.7</v>
      </c>
      <c r="AO144" s="238">
        <f>Retail!AO36</f>
        <v>313.2</v>
      </c>
      <c r="AP144" s="238">
        <f>Retail!AP36</f>
        <v>292</v>
      </c>
      <c r="AQ144" s="238">
        <f>Retail!AQ36</f>
        <v>411.2</v>
      </c>
      <c r="AR144" s="239">
        <f>Retail!AR36</f>
        <v>1323.1</v>
      </c>
      <c r="AS144" s="238">
        <f>Retail!AS36</f>
        <v>380.5</v>
      </c>
      <c r="AT144" s="238">
        <f>Retail!AT36</f>
        <v>362.9</v>
      </c>
      <c r="AU144" s="238">
        <f>Retail!AU36</f>
        <v>282.5</v>
      </c>
      <c r="AV144" s="238">
        <f>Retail!AV36</f>
        <v>294.89999999999998</v>
      </c>
      <c r="AW144" s="239">
        <f>Retail!AW36</f>
        <v>1320.8</v>
      </c>
      <c r="AX144" s="238">
        <f>Retail!AX36</f>
        <v>448</v>
      </c>
      <c r="AY144" s="238">
        <f>Retail!AY36</f>
        <v>422</v>
      </c>
      <c r="AZ144" s="238">
        <f>Retail!AZ36</f>
        <v>383.7</v>
      </c>
      <c r="BA144" s="238">
        <f>Retail!BA36</f>
        <v>543.39999999999986</v>
      </c>
      <c r="BB144" s="239">
        <f>Retail!BB36</f>
        <v>1797.1</v>
      </c>
      <c r="BC144" s="238">
        <f>Retail!BC36</f>
        <v>503.1</v>
      </c>
      <c r="BD144" s="238">
        <f>Retail!BD36</f>
        <v>522.20000000000005</v>
      </c>
      <c r="BE144" s="238">
        <f>Retail!BE36</f>
        <v>443.1</v>
      </c>
      <c r="BF144" s="238">
        <f>Retail!BF36</f>
        <v>655.1</v>
      </c>
      <c r="BG144" s="239">
        <f>Retail!BG36</f>
        <v>2123.5</v>
      </c>
      <c r="BH144" s="238">
        <f>Retail!BH36</f>
        <v>634.9</v>
      </c>
      <c r="BI144" s="238">
        <f>Retail!BI36</f>
        <v>727.8</v>
      </c>
      <c r="BJ144" s="238">
        <f>Retail!BJ36</f>
        <v>616.4</v>
      </c>
      <c r="BK144" s="238">
        <f>Retail!BK36</f>
        <v>721.2</v>
      </c>
      <c r="BL144" s="239">
        <f>Retail!BL36</f>
        <v>2691.3</v>
      </c>
      <c r="BM144" s="238">
        <f>Retail!BM36</f>
        <v>897.30000000000007</v>
      </c>
      <c r="BN144" s="238">
        <f>Retail!BN36</f>
        <v>938</v>
      </c>
      <c r="BO144" s="238">
        <f>Retail!BO36</f>
        <v>865.80000000000007</v>
      </c>
      <c r="BP144" s="238">
        <f>Retail!BP36</f>
        <v>1051.4000000000001</v>
      </c>
      <c r="BQ144" s="239">
        <f>Retail!BQ36</f>
        <v>3752.4</v>
      </c>
      <c r="BR144" s="238">
        <f>Retail!BR36</f>
        <v>972.5</v>
      </c>
      <c r="BS144" s="238">
        <f>Retail!BS36</f>
        <v>1055.8</v>
      </c>
      <c r="BT144" s="238">
        <f>Retail!BT36</f>
        <v>909.8</v>
      </c>
      <c r="BU144" s="238">
        <f>Retail!BU36</f>
        <v>1220</v>
      </c>
      <c r="BV144" s="239">
        <f>Retail!BV36</f>
        <v>4159</v>
      </c>
      <c r="BW144" s="238">
        <f>Retail!BW36</f>
        <v>1030</v>
      </c>
      <c r="BX144" s="238">
        <f>Retail!BX36</f>
        <v>1096</v>
      </c>
      <c r="BY144" s="238">
        <f>Retail!BY36</f>
        <v>1039</v>
      </c>
      <c r="BZ144" s="238">
        <f>Retail!BZ36</f>
        <v>1372</v>
      </c>
      <c r="CA144" s="239">
        <f>Retail!CA36</f>
        <v>4537</v>
      </c>
      <c r="CB144" s="238">
        <f>Retail!CB36</f>
        <v>1096</v>
      </c>
      <c r="CC144" s="238">
        <f>Retail!CC36</f>
        <v>1240</v>
      </c>
      <c r="CD144" s="238">
        <f>Retail!CD36</f>
        <v>1123</v>
      </c>
      <c r="CE144" s="238">
        <f>Retail!CE36</f>
        <v>1452.8000000000002</v>
      </c>
      <c r="CF144" s="239">
        <f>Retail!CF36</f>
        <v>4911.7999999999956</v>
      </c>
      <c r="CG144" s="238">
        <f>Retail!CG36</f>
        <v>1297</v>
      </c>
      <c r="CH144" s="238">
        <f>Retail!CH36</f>
        <v>1469.0000000000005</v>
      </c>
      <c r="CI144" s="238">
        <f>Retail!CI36</f>
        <v>1304.5</v>
      </c>
      <c r="CJ144" s="238">
        <f>Retail!CJ36</f>
        <v>1581</v>
      </c>
      <c r="CK144" s="239">
        <f>Retail!CK36</f>
        <v>5651.4999999999945</v>
      </c>
      <c r="CL144" s="238">
        <f>Retail!CL36</f>
        <v>1537</v>
      </c>
      <c r="CM144" s="238">
        <f>Retail!CM36</f>
        <v>1595.3000000000002</v>
      </c>
      <c r="CN144" s="238">
        <f>Retail!CN36</f>
        <v>1471</v>
      </c>
      <c r="CO144" s="238">
        <f>Retail!CO36</f>
        <v>1671</v>
      </c>
      <c r="CP144" s="239">
        <f>Retail!CP36</f>
        <v>6274.2999999999993</v>
      </c>
      <c r="CQ144" s="238">
        <f>Retail!CQ36</f>
        <v>1750.2000000000003</v>
      </c>
      <c r="CR144" s="238">
        <f>Retail!CR36</f>
        <v>1705.1000000000004</v>
      </c>
      <c r="CS144" s="238">
        <f>Retail!CS36</f>
        <v>1527</v>
      </c>
      <c r="CT144" s="238">
        <f>Retail!CT36</f>
        <v>1779.7999999999997</v>
      </c>
      <c r="CU144" s="239">
        <f>Retail!CU36</f>
        <v>6762.1</v>
      </c>
      <c r="CV144" s="238">
        <f>Retail!CV36</f>
        <v>1726.7000000000003</v>
      </c>
      <c r="CW144" s="238">
        <f>Retail!CW36</f>
        <v>1680.8000000000002</v>
      </c>
      <c r="CX144" s="238">
        <f>Retail!CX36</f>
        <v>1642.6969849399979</v>
      </c>
      <c r="CY144" s="238">
        <f>Retail!CY36</f>
        <v>2131.563462809997</v>
      </c>
      <c r="CZ144" s="254">
        <f>Retail!CZ36</f>
        <v>7181.7604477499935</v>
      </c>
      <c r="DA144" s="238">
        <f>Retail!DA36</f>
        <v>1777</v>
      </c>
      <c r="DB144" s="238">
        <f>Retail!DB36</f>
        <v>1784.9</v>
      </c>
      <c r="DC144" s="238">
        <f>Retail!DC36</f>
        <v>1824.4000000000005</v>
      </c>
      <c r="DD144" s="238">
        <f>Retail!DD36</f>
        <v>2147.6999999999998</v>
      </c>
      <c r="DE144" s="254">
        <f>Retail!DE36</f>
        <v>7534</v>
      </c>
      <c r="DF144" s="238">
        <f>Retail!DF36</f>
        <v>1624.6999999999998</v>
      </c>
      <c r="DG144" s="238">
        <f>Retail!DG36</f>
        <v>1562.4000000000005</v>
      </c>
      <c r="DH144" s="238">
        <f>Retail!DH36</f>
        <v>1567.6234769700013</v>
      </c>
      <c r="DI144" s="238">
        <f>Retail!DI36</f>
        <v>2143.3442170000026</v>
      </c>
      <c r="DJ144" s="254">
        <f>Retail!DJ36</f>
        <v>6898.0676939700024</v>
      </c>
      <c r="DK144" s="238">
        <f>Retail!DK36</f>
        <v>1649.5606711512073</v>
      </c>
      <c r="DL144" s="238">
        <f>Retail!DL36</f>
        <v>1570.7960626098698</v>
      </c>
      <c r="DM144" s="238">
        <f>Retail!DM36</f>
        <v>1492.598627730069</v>
      </c>
      <c r="DN144" s="238">
        <f>Retail!DN36</f>
        <v>1974.864852398433</v>
      </c>
      <c r="DO144" s="254">
        <f>Retail!DO36</f>
        <v>6687.8202138895776</v>
      </c>
      <c r="DP144" s="238">
        <f>Retail!DP36</f>
        <v>1691.2754382442381</v>
      </c>
      <c r="DQ144" s="238">
        <f>Retail!DQ36</f>
        <v>1605.8792354228908</v>
      </c>
      <c r="DR144" s="238">
        <f>Retail!DR36</f>
        <v>1521.6642114937476</v>
      </c>
      <c r="DS144" s="238">
        <f>Retail!DS36</f>
        <v>2020.6517644197065</v>
      </c>
      <c r="DT144" s="254">
        <f>Retail!DT36</f>
        <v>6839.4706495805804</v>
      </c>
      <c r="DU144" s="238">
        <f>Retail!DU36</f>
        <v>1730.2311000894515</v>
      </c>
      <c r="DV144" s="238">
        <f>Retail!DV36</f>
        <v>1641.9212169389211</v>
      </c>
      <c r="DW144" s="238">
        <f>Retail!DW36</f>
        <v>1556.9124576295235</v>
      </c>
      <c r="DX144" s="238">
        <f>Retail!DX36</f>
        <v>2061.2567655498979</v>
      </c>
      <c r="DY144" s="254">
        <f>Retail!DY36</f>
        <v>6990.3215402077913</v>
      </c>
      <c r="DZ144" s="240"/>
    </row>
    <row r="145" spans="1:130" hidden="1" outlineLevel="1" x14ac:dyDescent="0.2">
      <c r="A145" s="240"/>
      <c r="B145" s="254" t="s">
        <v>241</v>
      </c>
      <c r="C145" s="238"/>
      <c r="D145" s="238"/>
      <c r="E145" s="238">
        <f>PBM!E34</f>
        <v>0</v>
      </c>
      <c r="F145" s="238">
        <f>PBM!F34</f>
        <v>0</v>
      </c>
      <c r="G145" s="238">
        <f>PBM!G34</f>
        <v>0</v>
      </c>
      <c r="H145" s="238">
        <f>PBM!H34</f>
        <v>0</v>
      </c>
      <c r="I145" s="239">
        <f>PBM!I34</f>
        <v>2.2000000000000002</v>
      </c>
      <c r="J145" s="238">
        <f>PBM!J34</f>
        <v>0</v>
      </c>
      <c r="K145" s="238">
        <f>PBM!K34</f>
        <v>0</v>
      </c>
      <c r="L145" s="238">
        <f>PBM!L34</f>
        <v>0</v>
      </c>
      <c r="M145" s="238">
        <f>PBM!M34</f>
        <v>0</v>
      </c>
      <c r="N145" s="239">
        <f>PBM!N34</f>
        <v>7.9</v>
      </c>
      <c r="O145" s="238">
        <f>PBM!O34</f>
        <v>0</v>
      </c>
      <c r="P145" s="238">
        <f>PBM!P34</f>
        <v>0</v>
      </c>
      <c r="Q145" s="238">
        <f>PBM!Q34</f>
        <v>0</v>
      </c>
      <c r="R145" s="238">
        <f>PBM!R34</f>
        <v>0</v>
      </c>
      <c r="S145" s="239">
        <f>PBM!S34</f>
        <v>12.7</v>
      </c>
      <c r="T145" s="238">
        <f>PBM!T34</f>
        <v>0</v>
      </c>
      <c r="U145" s="238">
        <f>PBM!U34</f>
        <v>0</v>
      </c>
      <c r="V145" s="238">
        <f>PBM!V34</f>
        <v>0</v>
      </c>
      <c r="W145" s="238">
        <f>PBM!W34</f>
        <v>0</v>
      </c>
      <c r="X145" s="239">
        <f>PBM!X34</f>
        <v>27.6</v>
      </c>
      <c r="Y145" s="238">
        <f>PBM!Y34</f>
        <v>0</v>
      </c>
      <c r="Z145" s="238">
        <f>PBM!Z34</f>
        <v>0</v>
      </c>
      <c r="AA145" s="238">
        <f>PBM!AA34</f>
        <v>0</v>
      </c>
      <c r="AB145" s="238">
        <f>PBM!AB34</f>
        <v>0</v>
      </c>
      <c r="AC145" s="239">
        <f>PBM!AC34</f>
        <v>35</v>
      </c>
      <c r="AD145" s="238">
        <f>PBM!AD34</f>
        <v>0</v>
      </c>
      <c r="AE145" s="238">
        <f>PBM!AE34</f>
        <v>0</v>
      </c>
      <c r="AF145" s="238">
        <f>PBM!AF34</f>
        <v>0</v>
      </c>
      <c r="AG145" s="238">
        <f>PBM!AG34</f>
        <v>0</v>
      </c>
      <c r="AH145" s="239">
        <f>PBM!AH34</f>
        <v>39.700000000000003</v>
      </c>
      <c r="AI145" s="238">
        <f>PBM!AI34</f>
        <v>13.3</v>
      </c>
      <c r="AJ145" s="238">
        <f>PBM!AJ34</f>
        <v>18.2</v>
      </c>
      <c r="AK145" s="238">
        <f>PBM!AK34</f>
        <v>18.3</v>
      </c>
      <c r="AL145" s="238">
        <f>PBM!AL34</f>
        <v>0</v>
      </c>
      <c r="AM145" s="239">
        <f>PBM!AM34</f>
        <v>71.599999999999994</v>
      </c>
      <c r="AN145" s="238">
        <f>PBM!AN34</f>
        <v>24.6</v>
      </c>
      <c r="AO145" s="238">
        <f>PBM!AO34</f>
        <v>23.8</v>
      </c>
      <c r="AP145" s="238">
        <f>PBM!AP34</f>
        <v>24.7</v>
      </c>
      <c r="AQ145" s="238">
        <f>PBM!AQ34</f>
        <v>0</v>
      </c>
      <c r="AR145" s="239">
        <f>PBM!AR34</f>
        <v>100.5</v>
      </c>
      <c r="AS145" s="238">
        <f>PBM!AS34</f>
        <v>25.1</v>
      </c>
      <c r="AT145" s="238">
        <f>PBM!AT34</f>
        <v>24.3</v>
      </c>
      <c r="AU145" s="238">
        <f>PBM!AU34</f>
        <v>33.5</v>
      </c>
      <c r="AV145" s="238">
        <f>PBM!AV34</f>
        <v>0</v>
      </c>
      <c r="AW145" s="239">
        <f>PBM!AW34</f>
        <v>133.9</v>
      </c>
      <c r="AX145" s="238">
        <f>PBM!AX34</f>
        <v>51.8</v>
      </c>
      <c r="AY145" s="238">
        <f>PBM!AY34</f>
        <v>55.7</v>
      </c>
      <c r="AZ145" s="238">
        <f>PBM!AZ34</f>
        <v>55.2</v>
      </c>
      <c r="BA145" s="238">
        <f>PBM!BA34</f>
        <v>0</v>
      </c>
      <c r="BB145" s="239">
        <f>PBM!BB34</f>
        <v>222.4</v>
      </c>
      <c r="BC145" s="238">
        <f>PBM!BC34</f>
        <v>57.4</v>
      </c>
      <c r="BD145" s="238">
        <f>PBM!BD34</f>
        <v>72.8</v>
      </c>
      <c r="BE145" s="238">
        <f>PBM!BE34</f>
        <v>93.7</v>
      </c>
      <c r="BF145" s="238">
        <f>PBM!BF34</f>
        <v>94.2</v>
      </c>
      <c r="BG145" s="239">
        <f>PBM!BG34</f>
        <v>318.10000000000002</v>
      </c>
      <c r="BH145" s="238">
        <f>PBM!BH34</f>
        <v>101.6</v>
      </c>
      <c r="BI145" s="238">
        <f>PBM!BI34</f>
        <v>582</v>
      </c>
      <c r="BJ145" s="238">
        <f>PBM!BJ34</f>
        <v>654.70000000000005</v>
      </c>
      <c r="BK145" s="238">
        <f>PBM!BK34</f>
        <v>754.7</v>
      </c>
      <c r="BL145" s="239">
        <f>PBM!BL34</f>
        <v>2102</v>
      </c>
      <c r="BM145" s="238">
        <f>PBM!BM34</f>
        <v>581.9</v>
      </c>
      <c r="BN145" s="238">
        <f>PBM!BN34</f>
        <v>658.5</v>
      </c>
      <c r="BO145" s="238">
        <f>PBM!BO34</f>
        <v>705.6</v>
      </c>
      <c r="BP145" s="238">
        <f>PBM!BP34</f>
        <v>808.99999999999989</v>
      </c>
      <c r="BQ145" s="239">
        <f>PBM!BQ34</f>
        <v>2755.5</v>
      </c>
      <c r="BR145" s="238">
        <f>PBM!BR34</f>
        <v>536.9</v>
      </c>
      <c r="BS145" s="238">
        <f>PBM!BS34</f>
        <v>696.9</v>
      </c>
      <c r="BT145" s="238">
        <f>PBM!BT34</f>
        <v>799.2</v>
      </c>
      <c r="BU145" s="238">
        <f>PBM!BU34</f>
        <v>833</v>
      </c>
      <c r="BV145" s="239">
        <f>PBM!BV34</f>
        <v>2866.1</v>
      </c>
      <c r="BW145" s="238">
        <f>PBM!BW34</f>
        <v>538</v>
      </c>
      <c r="BX145" s="238">
        <f>PBM!BX34</f>
        <v>591</v>
      </c>
      <c r="BY145" s="238">
        <f>PBM!BY34</f>
        <v>652</v>
      </c>
      <c r="BZ145" s="238">
        <f>PBM!BZ34</f>
        <v>608</v>
      </c>
      <c r="CA145" s="239">
        <f>PBM!CA34</f>
        <v>2389</v>
      </c>
      <c r="CB145" s="238">
        <f>PBM!CB34</f>
        <v>397</v>
      </c>
      <c r="CC145" s="238">
        <f>PBM!CC34</f>
        <v>454</v>
      </c>
      <c r="CD145" s="238">
        <f>PBM!CD34</f>
        <v>657</v>
      </c>
      <c r="CE145" s="238">
        <f>PBM!CE34</f>
        <v>724.4</v>
      </c>
      <c r="CF145" s="239">
        <f>PBM!CF34</f>
        <v>2232.4</v>
      </c>
      <c r="CG145" s="238">
        <f>PBM!CG34</f>
        <v>349</v>
      </c>
      <c r="CH145" s="238">
        <f>PBM!CH34</f>
        <v>511.4</v>
      </c>
      <c r="CI145" s="238">
        <f>PBM!CI34</f>
        <v>784</v>
      </c>
      <c r="CJ145" s="238">
        <f>PBM!CJ34</f>
        <v>1035</v>
      </c>
      <c r="CK145" s="239">
        <f>PBM!CK34</f>
        <v>2679.4</v>
      </c>
      <c r="CL145" s="238">
        <f>PBM!CL34</f>
        <v>499</v>
      </c>
      <c r="CM145" s="238">
        <f>PBM!CM34</f>
        <v>675.4</v>
      </c>
      <c r="CN145" s="238">
        <f>PBM!CN34</f>
        <v>1001</v>
      </c>
      <c r="CO145" s="238">
        <f>PBM!CO34</f>
        <v>900.39999999999986</v>
      </c>
      <c r="CP145" s="239">
        <f ca="1">PBM!CP34</f>
        <v>3075.7999999999997</v>
      </c>
      <c r="CQ145" s="238">
        <f>PBM!CQ34</f>
        <v>640.6</v>
      </c>
      <c r="CR145" s="238">
        <f>PBM!CR34</f>
        <v>878.3</v>
      </c>
      <c r="CS145" s="238">
        <f>PBM!CS34</f>
        <v>1086.4000000000001</v>
      </c>
      <c r="CT145" s="238">
        <f>PBM!CT34</f>
        <v>908.7</v>
      </c>
      <c r="CU145" s="239">
        <f>PBM!CU34</f>
        <v>3514</v>
      </c>
      <c r="CV145" s="238">
        <f>PBM!CV34</f>
        <v>734.00000000000011</v>
      </c>
      <c r="CW145" s="238">
        <f>PBM!CW34</f>
        <v>940.5</v>
      </c>
      <c r="CX145" s="238">
        <f>PBM!CX34</f>
        <v>1162.3566396100009</v>
      </c>
      <c r="CY145" s="238">
        <f>PBM!CY34</f>
        <v>1152.2937007000021</v>
      </c>
      <c r="CZ145" s="254">
        <f>PBM!CZ34</f>
        <v>3989.1503403100032</v>
      </c>
      <c r="DA145" s="238">
        <f>PBM!DA34</f>
        <v>782.471</v>
      </c>
      <c r="DB145" s="238">
        <f>PBM!DB34</f>
        <v>1039</v>
      </c>
      <c r="DC145" s="238">
        <f>PBM!DC34</f>
        <v>1456.2</v>
      </c>
      <c r="DD145" s="238">
        <f>PBM!DD34</f>
        <v>1305.9000000000001</v>
      </c>
      <c r="DE145" s="254">
        <f>PBM!DE34</f>
        <v>4583.570999999999</v>
      </c>
      <c r="DF145" s="238">
        <f>PBM!DF34</f>
        <v>783.90000000000009</v>
      </c>
      <c r="DG145" s="238">
        <f>PBM!DG34</f>
        <v>1134.7</v>
      </c>
      <c r="DH145" s="238">
        <f>PBM!DH34</f>
        <v>1352.9173291100001</v>
      </c>
      <c r="DI145" s="238">
        <f>PBM!DI34</f>
        <v>1483.0915512400018</v>
      </c>
      <c r="DJ145" s="254">
        <f>PBM!DJ34</f>
        <v>4754.6088803500024</v>
      </c>
      <c r="DK145" s="238">
        <f ca="1">PBM!DK34</f>
        <v>797.99998529848608</v>
      </c>
      <c r="DL145" s="238">
        <f ca="1">PBM!DL34</f>
        <v>1209.749890659838</v>
      </c>
      <c r="DM145" s="238">
        <f ca="1">PBM!DM34</f>
        <v>1470.9171181297095</v>
      </c>
      <c r="DN145" s="238">
        <f ca="1">PBM!DN34</f>
        <v>1461.9690622647045</v>
      </c>
      <c r="DO145" s="254">
        <f ca="1">PBM!DO34</f>
        <v>4940.6360563527378</v>
      </c>
      <c r="DP145" s="238">
        <f ca="1">PBM!DP34</f>
        <v>876.26621259215551</v>
      </c>
      <c r="DQ145" s="238">
        <f ca="1">PBM!DQ34</f>
        <v>1274.1490619129709</v>
      </c>
      <c r="DR145" s="238">
        <f ca="1">PBM!DR34</f>
        <v>1548.3115121818028</v>
      </c>
      <c r="DS145" s="238">
        <f ca="1">PBM!DS34</f>
        <v>1544.1206745030131</v>
      </c>
      <c r="DT145" s="254">
        <f ca="1">PBM!DT34</f>
        <v>5242.8474611899419</v>
      </c>
      <c r="DU145" s="238">
        <f ca="1">PBM!DU34</f>
        <v>939.8965747225626</v>
      </c>
      <c r="DV145" s="238">
        <f ca="1">PBM!DV34</f>
        <v>1361.3452331448793</v>
      </c>
      <c r="DW145" s="238">
        <f ca="1">PBM!DW34</f>
        <v>1651.6263895008585</v>
      </c>
      <c r="DX145" s="238">
        <f ca="1">PBM!DX34</f>
        <v>1646.4743273211952</v>
      </c>
      <c r="DY145" s="254">
        <f ca="1">PBM!DY34</f>
        <v>5599.3425246894949</v>
      </c>
      <c r="DZ145" s="240"/>
    </row>
    <row r="146" spans="1:130" hidden="1" outlineLevel="1" x14ac:dyDescent="0.2">
      <c r="A146" s="240"/>
      <c r="B146" s="254" t="s">
        <v>251</v>
      </c>
      <c r="C146" s="238"/>
      <c r="D146" s="238"/>
      <c r="E146" s="238">
        <f t="shared" ref="E146:AJ146" si="350">SUM(E144,E145)</f>
        <v>796.06200000000013</v>
      </c>
      <c r="F146" s="238">
        <f t="shared" si="350"/>
        <v>218.33400000000006</v>
      </c>
      <c r="G146" s="238">
        <f t="shared" si="350"/>
        <v>156.48100000000022</v>
      </c>
      <c r="H146" s="238">
        <f t="shared" si="350"/>
        <v>227.63399999999967</v>
      </c>
      <c r="I146" s="239">
        <f t="shared" si="350"/>
        <v>604.70000000000005</v>
      </c>
      <c r="J146" s="238">
        <f t="shared" si="350"/>
        <v>264.61799999999971</v>
      </c>
      <c r="K146" s="238">
        <f t="shared" si="350"/>
        <v>254.27600000000007</v>
      </c>
      <c r="L146" s="238">
        <f t="shared" si="350"/>
        <v>153.5</v>
      </c>
      <c r="M146" s="238">
        <f t="shared" si="350"/>
        <v>281.37400000000025</v>
      </c>
      <c r="N146" s="239">
        <f t="shared" si="350"/>
        <v>779.1</v>
      </c>
      <c r="O146" s="238">
        <f t="shared" si="350"/>
        <v>235.3</v>
      </c>
      <c r="P146" s="238">
        <f t="shared" si="350"/>
        <v>241.3</v>
      </c>
      <c r="Q146" s="238">
        <f t="shared" si="350"/>
        <v>189.8</v>
      </c>
      <c r="R146" s="238">
        <f t="shared" si="350"/>
        <v>261.39999999999998</v>
      </c>
      <c r="S146" s="239">
        <f t="shared" si="350"/>
        <v>940.5</v>
      </c>
      <c r="T146" s="238">
        <f t="shared" si="350"/>
        <v>284.8</v>
      </c>
      <c r="U146" s="238">
        <f t="shared" si="350"/>
        <v>283.5</v>
      </c>
      <c r="V146" s="238">
        <f t="shared" si="350"/>
        <v>210.9</v>
      </c>
      <c r="W146" s="238">
        <f t="shared" si="350"/>
        <v>341.2</v>
      </c>
      <c r="X146" s="239">
        <f t="shared" si="350"/>
        <v>1135.5</v>
      </c>
      <c r="Y146" s="238">
        <f t="shared" si="350"/>
        <v>333.9</v>
      </c>
      <c r="Z146" s="238">
        <f t="shared" si="350"/>
        <v>329.9</v>
      </c>
      <c r="AA146" s="238">
        <f t="shared" si="350"/>
        <v>284.10000000000002</v>
      </c>
      <c r="AB146" s="238">
        <f t="shared" si="350"/>
        <v>342.8</v>
      </c>
      <c r="AC146" s="239">
        <f t="shared" si="350"/>
        <v>1303.5</v>
      </c>
      <c r="AD146" s="238">
        <f t="shared" si="350"/>
        <v>380</v>
      </c>
      <c r="AE146" s="238">
        <f t="shared" si="350"/>
        <v>338.8</v>
      </c>
      <c r="AF146" s="238">
        <f t="shared" si="350"/>
        <v>215.9</v>
      </c>
      <c r="AG146" s="238">
        <f t="shared" si="350"/>
        <v>145.19999999999999</v>
      </c>
      <c r="AH146" s="239">
        <f t="shared" si="350"/>
        <v>1119.6000000000001</v>
      </c>
      <c r="AI146" s="238">
        <f t="shared" si="350"/>
        <v>296.5</v>
      </c>
      <c r="AJ146" s="238">
        <f t="shared" si="350"/>
        <v>298.3</v>
      </c>
      <c r="AK146" s="238">
        <f t="shared" ref="AK146:BP146" si="351">SUM(AK144,AK145)</f>
        <v>276.5</v>
      </c>
      <c r="AL146" s="238">
        <f t="shared" si="351"/>
        <v>313.10000000000002</v>
      </c>
      <c r="AM146" s="239">
        <f t="shared" si="351"/>
        <v>1206.1999999999998</v>
      </c>
      <c r="AN146" s="238">
        <f t="shared" si="351"/>
        <v>331.3</v>
      </c>
      <c r="AO146" s="238">
        <f t="shared" si="351"/>
        <v>337</v>
      </c>
      <c r="AP146" s="238">
        <f t="shared" si="351"/>
        <v>316.7</v>
      </c>
      <c r="AQ146" s="238">
        <f t="shared" si="351"/>
        <v>411.2</v>
      </c>
      <c r="AR146" s="239">
        <f t="shared" si="351"/>
        <v>1423.6</v>
      </c>
      <c r="AS146" s="238">
        <f t="shared" si="351"/>
        <v>405.6</v>
      </c>
      <c r="AT146" s="238">
        <f t="shared" si="351"/>
        <v>387.2</v>
      </c>
      <c r="AU146" s="238">
        <f t="shared" si="351"/>
        <v>316</v>
      </c>
      <c r="AV146" s="238">
        <f t="shared" si="351"/>
        <v>294.89999999999998</v>
      </c>
      <c r="AW146" s="239">
        <f t="shared" si="351"/>
        <v>1454.7</v>
      </c>
      <c r="AX146" s="238">
        <f t="shared" si="351"/>
        <v>499.8</v>
      </c>
      <c r="AY146" s="238">
        <f t="shared" si="351"/>
        <v>477.7</v>
      </c>
      <c r="AZ146" s="238">
        <f t="shared" si="351"/>
        <v>438.9</v>
      </c>
      <c r="BA146" s="238">
        <f t="shared" si="351"/>
        <v>543.39999999999986</v>
      </c>
      <c r="BB146" s="239">
        <f t="shared" si="351"/>
        <v>2019.5</v>
      </c>
      <c r="BC146" s="238">
        <f t="shared" si="351"/>
        <v>560.5</v>
      </c>
      <c r="BD146" s="238">
        <f t="shared" si="351"/>
        <v>595</v>
      </c>
      <c r="BE146" s="238">
        <f t="shared" si="351"/>
        <v>536.80000000000007</v>
      </c>
      <c r="BF146" s="238">
        <f t="shared" si="351"/>
        <v>749.30000000000007</v>
      </c>
      <c r="BG146" s="239">
        <f t="shared" si="351"/>
        <v>2441.6</v>
      </c>
      <c r="BH146" s="238">
        <f t="shared" si="351"/>
        <v>736.5</v>
      </c>
      <c r="BI146" s="238">
        <f t="shared" si="351"/>
        <v>1309.8</v>
      </c>
      <c r="BJ146" s="238">
        <f t="shared" si="351"/>
        <v>1271.0999999999999</v>
      </c>
      <c r="BK146" s="238">
        <f t="shared" si="351"/>
        <v>1475.9</v>
      </c>
      <c r="BL146" s="239">
        <f t="shared" si="351"/>
        <v>4793.3</v>
      </c>
      <c r="BM146" s="238">
        <f t="shared" si="351"/>
        <v>1479.2</v>
      </c>
      <c r="BN146" s="238">
        <f t="shared" si="351"/>
        <v>1596.5</v>
      </c>
      <c r="BO146" s="238">
        <f t="shared" si="351"/>
        <v>1571.4</v>
      </c>
      <c r="BP146" s="238">
        <f t="shared" si="351"/>
        <v>1860.4</v>
      </c>
      <c r="BQ146" s="239">
        <f t="shared" ref="BQ146:CX146" si="352">SUM(BQ144,BQ145)</f>
        <v>6507.9</v>
      </c>
      <c r="BR146" s="238">
        <f t="shared" si="352"/>
        <v>1509.4</v>
      </c>
      <c r="BS146" s="238">
        <f t="shared" si="352"/>
        <v>1752.6999999999998</v>
      </c>
      <c r="BT146" s="238">
        <f t="shared" si="352"/>
        <v>1709</v>
      </c>
      <c r="BU146" s="238">
        <f t="shared" si="352"/>
        <v>2053</v>
      </c>
      <c r="BV146" s="239">
        <f t="shared" si="352"/>
        <v>7025.1</v>
      </c>
      <c r="BW146" s="238">
        <f t="shared" si="352"/>
        <v>1568</v>
      </c>
      <c r="BX146" s="238">
        <f t="shared" si="352"/>
        <v>1687</v>
      </c>
      <c r="BY146" s="238">
        <f t="shared" si="352"/>
        <v>1691</v>
      </c>
      <c r="BZ146" s="238">
        <f t="shared" si="352"/>
        <v>1980</v>
      </c>
      <c r="CA146" s="239">
        <f t="shared" si="352"/>
        <v>6926</v>
      </c>
      <c r="CB146" s="238">
        <f t="shared" si="352"/>
        <v>1493</v>
      </c>
      <c r="CC146" s="238">
        <f t="shared" si="352"/>
        <v>1694</v>
      </c>
      <c r="CD146" s="238">
        <f t="shared" si="352"/>
        <v>1780</v>
      </c>
      <c r="CE146" s="238">
        <f t="shared" si="352"/>
        <v>2177.2000000000003</v>
      </c>
      <c r="CF146" s="239">
        <f t="shared" si="352"/>
        <v>7144.1999999999953</v>
      </c>
      <c r="CG146" s="238">
        <f t="shared" si="352"/>
        <v>1646</v>
      </c>
      <c r="CH146" s="238">
        <f t="shared" si="352"/>
        <v>1980.4000000000005</v>
      </c>
      <c r="CI146" s="238">
        <f t="shared" si="352"/>
        <v>2088.5</v>
      </c>
      <c r="CJ146" s="238">
        <f t="shared" si="352"/>
        <v>2616</v>
      </c>
      <c r="CK146" s="239">
        <f t="shared" si="352"/>
        <v>8330.8999999999942</v>
      </c>
      <c r="CL146" s="238">
        <f t="shared" si="352"/>
        <v>2036</v>
      </c>
      <c r="CM146" s="238">
        <f t="shared" si="352"/>
        <v>2270.7000000000003</v>
      </c>
      <c r="CN146" s="238">
        <f t="shared" si="352"/>
        <v>2472</v>
      </c>
      <c r="CO146" s="238">
        <f>SUM(CO144,CO145)</f>
        <v>2571.3999999999996</v>
      </c>
      <c r="CP146" s="239">
        <f t="shared" ca="1" si="352"/>
        <v>9350.0999999999985</v>
      </c>
      <c r="CQ146" s="238">
        <f t="shared" si="352"/>
        <v>2390.8000000000002</v>
      </c>
      <c r="CR146" s="238">
        <f t="shared" si="352"/>
        <v>2583.4000000000005</v>
      </c>
      <c r="CS146" s="238">
        <f t="shared" si="352"/>
        <v>2613.4</v>
      </c>
      <c r="CT146" s="238">
        <f t="shared" si="352"/>
        <v>2688.5</v>
      </c>
      <c r="CU146" s="239">
        <f t="shared" si="352"/>
        <v>10276.1</v>
      </c>
      <c r="CV146" s="238">
        <f t="shared" si="352"/>
        <v>2460.7000000000003</v>
      </c>
      <c r="CW146" s="238">
        <f t="shared" si="352"/>
        <v>2621.3000000000002</v>
      </c>
      <c r="CX146" s="238">
        <f t="shared" si="352"/>
        <v>2805.0536245499989</v>
      </c>
      <c r="CY146" s="238">
        <f>SUM(CY144,CY145)</f>
        <v>3283.8571635099988</v>
      </c>
      <c r="CZ146" s="254">
        <f t="shared" ref="CZ146:DE146" si="353">SUM(CZ144,CZ145)</f>
        <v>11170.910788059997</v>
      </c>
      <c r="DA146" s="238">
        <f t="shared" si="353"/>
        <v>2559.471</v>
      </c>
      <c r="DB146" s="238">
        <f t="shared" si="353"/>
        <v>2823.9</v>
      </c>
      <c r="DC146" s="238">
        <f t="shared" si="353"/>
        <v>3280.6000000000004</v>
      </c>
      <c r="DD146" s="238">
        <f t="shared" si="353"/>
        <v>3453.6</v>
      </c>
      <c r="DE146" s="254">
        <f t="shared" si="353"/>
        <v>12117.571</v>
      </c>
      <c r="DF146" s="238">
        <f>SUM(DF144,DF145)</f>
        <v>2408.6</v>
      </c>
      <c r="DG146" s="238">
        <f>SUM(DG144,DG145)</f>
        <v>2697.1000000000004</v>
      </c>
      <c r="DH146" s="238">
        <f>SUM(DH144,DH145)</f>
        <v>2920.5408060800014</v>
      </c>
      <c r="DI146" s="238">
        <f>SUM(DI144,DI145)</f>
        <v>3626.4357682400041</v>
      </c>
      <c r="DJ146" s="254">
        <f t="shared" ref="DJ146:DO146" si="354">SUM(DJ144,DJ145)</f>
        <v>11652.676574320005</v>
      </c>
      <c r="DK146" s="238">
        <f t="shared" ca="1" si="354"/>
        <v>2447.5606564496934</v>
      </c>
      <c r="DL146" s="238">
        <f t="shared" ca="1" si="354"/>
        <v>2780.5459532697078</v>
      </c>
      <c r="DM146" s="238">
        <f t="shared" ca="1" si="354"/>
        <v>2963.5157458597787</v>
      </c>
      <c r="DN146" s="238">
        <f t="shared" ca="1" si="354"/>
        <v>3436.8339146631374</v>
      </c>
      <c r="DO146" s="254">
        <f t="shared" ca="1" si="354"/>
        <v>11628.456270242315</v>
      </c>
      <c r="DP146" s="238">
        <f t="shared" ref="DP146:DY146" ca="1" si="355">SUM(DP144,DP145)</f>
        <v>2567.5416508363937</v>
      </c>
      <c r="DQ146" s="238">
        <f t="shared" ca="1" si="355"/>
        <v>2880.0282973358617</v>
      </c>
      <c r="DR146" s="238">
        <f t="shared" ca="1" si="355"/>
        <v>3069.9757236755504</v>
      </c>
      <c r="DS146" s="238">
        <f t="shared" ca="1" si="355"/>
        <v>3564.7724389227196</v>
      </c>
      <c r="DT146" s="254">
        <f t="shared" ca="1" si="355"/>
        <v>12082.318110770522</v>
      </c>
      <c r="DU146" s="238">
        <f t="shared" ca="1" si="355"/>
        <v>2670.127674812014</v>
      </c>
      <c r="DV146" s="238">
        <f t="shared" ca="1" si="355"/>
        <v>3003.2664500838005</v>
      </c>
      <c r="DW146" s="238">
        <f t="shared" ca="1" si="355"/>
        <v>3208.5388471303822</v>
      </c>
      <c r="DX146" s="238">
        <f t="shared" ca="1" si="355"/>
        <v>3707.7310928710931</v>
      </c>
      <c r="DY146" s="254">
        <f t="shared" ca="1" si="355"/>
        <v>12589.664064897286</v>
      </c>
      <c r="DZ146" s="240"/>
    </row>
    <row r="147" spans="1:130" collapsed="1" x14ac:dyDescent="0.2">
      <c r="A147" s="16"/>
      <c r="B147" s="282" t="s">
        <v>252</v>
      </c>
      <c r="C147" s="99"/>
      <c r="D147" s="99"/>
      <c r="E147" s="100"/>
      <c r="F147" s="100"/>
      <c r="G147" s="100"/>
      <c r="H147" s="100"/>
      <c r="I147" s="101"/>
      <c r="J147" s="100"/>
      <c r="K147" s="100"/>
      <c r="L147" s="100"/>
      <c r="M147" s="100"/>
      <c r="N147" s="101"/>
      <c r="O147" s="100"/>
      <c r="P147" s="100"/>
      <c r="Q147" s="100"/>
      <c r="R147" s="100"/>
      <c r="S147" s="101"/>
      <c r="T147" s="100"/>
      <c r="U147" s="100"/>
      <c r="V147" s="100"/>
      <c r="W147" s="100"/>
      <c r="X147" s="101"/>
      <c r="Y147" s="100"/>
      <c r="Z147" s="100"/>
      <c r="AA147" s="100"/>
      <c r="AB147" s="100"/>
      <c r="AC147" s="101"/>
      <c r="AD147" s="100"/>
      <c r="AE147" s="100"/>
      <c r="AF147" s="100"/>
      <c r="AG147" s="100"/>
      <c r="AH147" s="101"/>
      <c r="AI147" s="100"/>
      <c r="AJ147" s="100"/>
      <c r="AK147" s="100"/>
      <c r="AL147" s="100"/>
      <c r="AM147" s="101"/>
      <c r="AN147" s="100"/>
      <c r="AO147" s="100"/>
      <c r="AP147" s="100"/>
      <c r="AQ147" s="100"/>
      <c r="AR147" s="101"/>
      <c r="AS147" s="100"/>
      <c r="AT147" s="100"/>
      <c r="AU147" s="100"/>
      <c r="AV147" s="100"/>
      <c r="AW147" s="101"/>
      <c r="AX147" s="100"/>
      <c r="AY147" s="100"/>
      <c r="AZ147" s="100"/>
      <c r="BA147" s="100"/>
      <c r="BB147" s="101"/>
      <c r="BC147" s="100"/>
      <c r="BD147" s="100"/>
      <c r="BE147" s="100"/>
      <c r="BF147" s="100"/>
      <c r="BG147" s="101"/>
      <c r="BH147" s="100"/>
      <c r="BI147" s="100"/>
      <c r="BJ147" s="100"/>
      <c r="BK147" s="100"/>
      <c r="BL147" s="101"/>
      <c r="BM147" s="100"/>
      <c r="BN147" s="100"/>
      <c r="BO147" s="100"/>
      <c r="BP147" s="100"/>
      <c r="BQ147" s="101"/>
      <c r="BR147" s="100"/>
      <c r="BS147" s="100"/>
      <c r="BT147" s="100"/>
      <c r="BU147" s="100"/>
      <c r="BV147" s="101"/>
      <c r="BW147" s="100"/>
      <c r="BX147" s="100"/>
      <c r="BY147" s="100"/>
      <c r="BZ147" s="100"/>
      <c r="CA147" s="101"/>
      <c r="CB147" s="100"/>
      <c r="CC147" s="100"/>
      <c r="CD147" s="100"/>
      <c r="CE147" s="100"/>
      <c r="CF147" s="101"/>
      <c r="CG147" s="283"/>
      <c r="CH147" s="283"/>
      <c r="CI147" s="283"/>
      <c r="CJ147" s="283"/>
      <c r="CK147" s="101"/>
      <c r="CL147" s="283"/>
      <c r="CM147" s="283"/>
      <c r="CN147" s="283"/>
      <c r="CO147" s="283"/>
      <c r="CP147" s="101"/>
      <c r="CQ147" s="283"/>
      <c r="CR147" s="283"/>
      <c r="CS147" s="283"/>
      <c r="CT147" s="283"/>
      <c r="CU147" s="101"/>
      <c r="CV147" s="283"/>
      <c r="CW147" s="283"/>
      <c r="CX147" s="283"/>
      <c r="CY147" s="283"/>
      <c r="CZ147" s="284"/>
      <c r="DA147" s="283"/>
      <c r="DB147" s="283"/>
      <c r="DC147" s="283"/>
      <c r="DD147" s="283"/>
      <c r="DE147" s="284"/>
      <c r="DF147" s="283"/>
      <c r="DG147" s="283"/>
      <c r="DH147" s="283"/>
      <c r="DI147" s="283"/>
      <c r="DJ147" s="284"/>
      <c r="DK147" s="283"/>
      <c r="DL147" s="283"/>
      <c r="DM147" s="283"/>
      <c r="DN147" s="283"/>
      <c r="DO147" s="284"/>
      <c r="DP147" s="283"/>
      <c r="DQ147" s="283"/>
      <c r="DR147" s="283"/>
      <c r="DS147" s="283"/>
      <c r="DT147" s="284"/>
      <c r="DU147" s="283"/>
      <c r="DV147" s="283"/>
      <c r="DW147" s="283"/>
      <c r="DX147" s="283"/>
      <c r="DY147" s="284"/>
      <c r="DZ147" s="16"/>
    </row>
    <row r="148" spans="1:130" x14ac:dyDescent="0.2">
      <c r="A148" s="243"/>
      <c r="B148" s="272" t="s">
        <v>240</v>
      </c>
      <c r="C148" s="245"/>
      <c r="D148" s="245"/>
      <c r="E148" s="247">
        <f t="shared" ref="E148:AJ148" si="356">E144/E146</f>
        <v>1</v>
      </c>
      <c r="F148" s="247">
        <f t="shared" si="356"/>
        <v>1</v>
      </c>
      <c r="G148" s="247">
        <f t="shared" si="356"/>
        <v>1</v>
      </c>
      <c r="H148" s="247">
        <f t="shared" si="356"/>
        <v>1</v>
      </c>
      <c r="I148" s="246">
        <f t="shared" si="356"/>
        <v>0.9963618323135438</v>
      </c>
      <c r="J148" s="247">
        <f t="shared" si="356"/>
        <v>1</v>
      </c>
      <c r="K148" s="247">
        <f t="shared" si="356"/>
        <v>1</v>
      </c>
      <c r="L148" s="247">
        <f t="shared" si="356"/>
        <v>1</v>
      </c>
      <c r="M148" s="247">
        <f t="shared" si="356"/>
        <v>1</v>
      </c>
      <c r="N148" s="246">
        <f t="shared" si="356"/>
        <v>0.98986009498138883</v>
      </c>
      <c r="O148" s="247">
        <f t="shared" si="356"/>
        <v>1</v>
      </c>
      <c r="P148" s="247">
        <f t="shared" si="356"/>
        <v>1</v>
      </c>
      <c r="Q148" s="247">
        <f t="shared" si="356"/>
        <v>1</v>
      </c>
      <c r="R148" s="247">
        <f t="shared" si="356"/>
        <v>1</v>
      </c>
      <c r="S148" s="246">
        <f t="shared" si="356"/>
        <v>0.9864965443912812</v>
      </c>
      <c r="T148" s="247">
        <f t="shared" si="356"/>
        <v>1</v>
      </c>
      <c r="U148" s="247">
        <f t="shared" si="356"/>
        <v>1</v>
      </c>
      <c r="V148" s="247">
        <f t="shared" si="356"/>
        <v>1</v>
      </c>
      <c r="W148" s="247">
        <f t="shared" si="356"/>
        <v>1</v>
      </c>
      <c r="X148" s="246">
        <f t="shared" si="356"/>
        <v>0.97569352708058132</v>
      </c>
      <c r="Y148" s="247">
        <f t="shared" si="356"/>
        <v>1</v>
      </c>
      <c r="Z148" s="247">
        <f t="shared" si="356"/>
        <v>1</v>
      </c>
      <c r="AA148" s="247">
        <f t="shared" si="356"/>
        <v>1</v>
      </c>
      <c r="AB148" s="247">
        <f t="shared" si="356"/>
        <v>1</v>
      </c>
      <c r="AC148" s="246">
        <f t="shared" si="356"/>
        <v>0.97314921365554274</v>
      </c>
      <c r="AD148" s="247">
        <f t="shared" si="356"/>
        <v>1</v>
      </c>
      <c r="AE148" s="247">
        <f t="shared" si="356"/>
        <v>1</v>
      </c>
      <c r="AF148" s="247">
        <f t="shared" si="356"/>
        <v>1</v>
      </c>
      <c r="AG148" s="247">
        <f t="shared" si="356"/>
        <v>1</v>
      </c>
      <c r="AH148" s="246">
        <f t="shared" si="356"/>
        <v>0.96454090746695242</v>
      </c>
      <c r="AI148" s="247">
        <f t="shared" si="356"/>
        <v>0.95514333895446879</v>
      </c>
      <c r="AJ148" s="247">
        <f t="shared" si="356"/>
        <v>0.93898759637948381</v>
      </c>
      <c r="AK148" s="247">
        <f t="shared" ref="AK148:BP148" si="357">AK144/AK146</f>
        <v>0.93381555153707052</v>
      </c>
      <c r="AL148" s="247">
        <f t="shared" si="357"/>
        <v>1</v>
      </c>
      <c r="AM148" s="246">
        <f t="shared" si="357"/>
        <v>0.94064002652959711</v>
      </c>
      <c r="AN148" s="247">
        <f t="shared" si="357"/>
        <v>0.92574705704799265</v>
      </c>
      <c r="AO148" s="247">
        <f t="shared" si="357"/>
        <v>0.92937685459940644</v>
      </c>
      <c r="AP148" s="247">
        <f t="shared" si="357"/>
        <v>0.92200820966214081</v>
      </c>
      <c r="AQ148" s="247">
        <f t="shared" si="357"/>
        <v>1</v>
      </c>
      <c r="AR148" s="246">
        <f t="shared" si="357"/>
        <v>0.92940432705816245</v>
      </c>
      <c r="AS148" s="247">
        <f t="shared" si="357"/>
        <v>0.93811637080867849</v>
      </c>
      <c r="AT148" s="247">
        <f t="shared" si="357"/>
        <v>0.93724173553719003</v>
      </c>
      <c r="AU148" s="247">
        <f t="shared" si="357"/>
        <v>0.89398734177215189</v>
      </c>
      <c r="AV148" s="247">
        <f t="shared" si="357"/>
        <v>1</v>
      </c>
      <c r="AW148" s="246">
        <f t="shared" si="357"/>
        <v>0.90795352993744405</v>
      </c>
      <c r="AX148" s="247">
        <f t="shared" si="357"/>
        <v>0.89635854341736687</v>
      </c>
      <c r="AY148" s="247">
        <f t="shared" si="357"/>
        <v>0.88339962319447352</v>
      </c>
      <c r="AZ148" s="247">
        <f t="shared" si="357"/>
        <v>0.87423103212576903</v>
      </c>
      <c r="BA148" s="247">
        <f t="shared" si="357"/>
        <v>1</v>
      </c>
      <c r="BB148" s="246">
        <f t="shared" si="357"/>
        <v>0.88987373112156465</v>
      </c>
      <c r="BC148" s="247">
        <f t="shared" si="357"/>
        <v>0.8975914362176628</v>
      </c>
      <c r="BD148" s="247">
        <f t="shared" si="357"/>
        <v>0.87764705882352945</v>
      </c>
      <c r="BE148" s="247">
        <f t="shared" si="357"/>
        <v>0.82544709388971682</v>
      </c>
      <c r="BF148" s="247">
        <f t="shared" si="357"/>
        <v>0.87428266381956488</v>
      </c>
      <c r="BG148" s="246">
        <f t="shared" si="357"/>
        <v>0.86971657929226742</v>
      </c>
      <c r="BH148" s="247">
        <f t="shared" si="357"/>
        <v>0.86205023761031907</v>
      </c>
      <c r="BI148" s="247">
        <f t="shared" si="357"/>
        <v>0.55565735226752178</v>
      </c>
      <c r="BJ148" s="247">
        <f t="shared" si="357"/>
        <v>0.48493430886633626</v>
      </c>
      <c r="BK148" s="247">
        <f t="shared" si="357"/>
        <v>0.48865099261467582</v>
      </c>
      <c r="BL148" s="246">
        <f t="shared" si="357"/>
        <v>0.56147122024492524</v>
      </c>
      <c r="BM148" s="247">
        <f t="shared" si="357"/>
        <v>0.60661168199026505</v>
      </c>
      <c r="BN148" s="247">
        <f t="shared" si="357"/>
        <v>0.58753523332289381</v>
      </c>
      <c r="BO148" s="247">
        <f t="shared" si="357"/>
        <v>0.55097365406643761</v>
      </c>
      <c r="BP148" s="247">
        <f t="shared" si="357"/>
        <v>0.56514728015480542</v>
      </c>
      <c r="BQ148" s="246">
        <f t="shared" ref="BQ148:CZ148" si="358">BQ144/BQ146</f>
        <v>0.57659152722076246</v>
      </c>
      <c r="BR148" s="247">
        <f t="shared" si="358"/>
        <v>0.64429574665429967</v>
      </c>
      <c r="BS148" s="247">
        <f t="shared" si="358"/>
        <v>0.60238489188109778</v>
      </c>
      <c r="BT148" s="247">
        <f t="shared" si="358"/>
        <v>0.53235810415447626</v>
      </c>
      <c r="BU148" s="247">
        <f t="shared" si="358"/>
        <v>0.59425231368728693</v>
      </c>
      <c r="BV148" s="246">
        <f t="shared" si="358"/>
        <v>0.59202004241932493</v>
      </c>
      <c r="BW148" s="247">
        <f t="shared" si="358"/>
        <v>0.65688775510204078</v>
      </c>
      <c r="BX148" s="247">
        <f t="shared" si="358"/>
        <v>0.64967397747480737</v>
      </c>
      <c r="BY148" s="247">
        <f t="shared" si="358"/>
        <v>0.61442933175635717</v>
      </c>
      <c r="BZ148" s="247">
        <f t="shared" si="358"/>
        <v>0.69292929292929295</v>
      </c>
      <c r="CA148" s="246">
        <f t="shared" si="358"/>
        <v>0.65506786023678887</v>
      </c>
      <c r="CB148" s="247">
        <f t="shared" si="358"/>
        <v>0.73409243134628266</v>
      </c>
      <c r="CC148" s="247">
        <f t="shared" si="358"/>
        <v>0.73199527744982296</v>
      </c>
      <c r="CD148" s="247">
        <f t="shared" si="358"/>
        <v>0.63089887640449438</v>
      </c>
      <c r="CE148" s="247">
        <f t="shared" si="358"/>
        <v>0.66727907404005149</v>
      </c>
      <c r="CF148" s="246">
        <f t="shared" si="358"/>
        <v>0.68752274572380379</v>
      </c>
      <c r="CG148" s="249">
        <f t="shared" si="358"/>
        <v>0.78797083839611182</v>
      </c>
      <c r="CH148" s="249">
        <f t="shared" si="358"/>
        <v>0.74176933952736823</v>
      </c>
      <c r="CI148" s="249">
        <f t="shared" si="358"/>
        <v>0.62461096480727796</v>
      </c>
      <c r="CJ148" s="249">
        <f t="shared" si="358"/>
        <v>0.60435779816513757</v>
      </c>
      <c r="CK148" s="246">
        <f t="shared" si="358"/>
        <v>0.67837808640122899</v>
      </c>
      <c r="CL148" s="249">
        <f t="shared" si="358"/>
        <v>0.75491159135559927</v>
      </c>
      <c r="CM148" s="249">
        <f t="shared" si="358"/>
        <v>0.70255868234465146</v>
      </c>
      <c r="CN148" s="249">
        <f>CN144/CN146</f>
        <v>0.5950647249190939</v>
      </c>
      <c r="CO148" s="249">
        <f>CO144/CO146</f>
        <v>0.64984055378393102</v>
      </c>
      <c r="CP148" s="246">
        <f t="shared" ca="1" si="358"/>
        <v>0.67104095143367448</v>
      </c>
      <c r="CQ148" s="249">
        <f t="shared" si="358"/>
        <v>0.73205621549272215</v>
      </c>
      <c r="CR148" s="249">
        <f t="shared" si="358"/>
        <v>0.66002167685995206</v>
      </c>
      <c r="CS148" s="249">
        <f t="shared" si="358"/>
        <v>0.58429631897145484</v>
      </c>
      <c r="CT148" s="249">
        <f t="shared" si="358"/>
        <v>0.66200483541007982</v>
      </c>
      <c r="CU148" s="246">
        <f t="shared" si="358"/>
        <v>0.65804147487860176</v>
      </c>
      <c r="CV148" s="249">
        <f t="shared" si="358"/>
        <v>0.70171089527370267</v>
      </c>
      <c r="CW148" s="249">
        <f t="shared" si="358"/>
        <v>0.64120856063785148</v>
      </c>
      <c r="CX148" s="249">
        <f t="shared" si="358"/>
        <v>0.58562052809365739</v>
      </c>
      <c r="CY148" s="249">
        <f>CY144/CY146</f>
        <v>0.6491035866284891</v>
      </c>
      <c r="CZ148" s="244">
        <f t="shared" si="358"/>
        <v>0.64289837990884346</v>
      </c>
      <c r="DA148" s="249">
        <f>DA144/DA146</f>
        <v>0.6942840922987602</v>
      </c>
      <c r="DB148" s="249">
        <f t="shared" ref="DB148:DJ148" si="359">DB144/DB146</f>
        <v>0.63206912426077411</v>
      </c>
      <c r="DC148" s="249">
        <f>DC144/DC146</f>
        <v>0.55611778333231732</v>
      </c>
      <c r="DD148" s="249">
        <f t="shared" si="359"/>
        <v>0.62187282835302293</v>
      </c>
      <c r="DE148" s="244">
        <f t="shared" si="359"/>
        <v>0.62174176656361246</v>
      </c>
      <c r="DF148" s="249">
        <f t="shared" si="359"/>
        <v>0.67454122726895283</v>
      </c>
      <c r="DG148" s="249">
        <f>DG144/DG146</f>
        <v>0.57928886581884254</v>
      </c>
      <c r="DH148" s="249">
        <f>DH144/DH146</f>
        <v>0.5367579434968045</v>
      </c>
      <c r="DI148" s="249">
        <f>DI144/DI146</f>
        <v>0.59103327729425603</v>
      </c>
      <c r="DJ148" s="244">
        <f t="shared" si="359"/>
        <v>0.59197280984970113</v>
      </c>
      <c r="DK148" s="249">
        <f t="shared" ref="DK148:DT148" ca="1" si="360">DK144/DK146</f>
        <v>0.67396109951529282</v>
      </c>
      <c r="DL148" s="249">
        <f t="shared" ca="1" si="360"/>
        <v>0.56492361176866535</v>
      </c>
      <c r="DM148" s="249">
        <f t="shared" ca="1" si="360"/>
        <v>0.503658072279631</v>
      </c>
      <c r="DN148" s="249">
        <f t="shared" ca="1" si="360"/>
        <v>0.57461748266994739</v>
      </c>
      <c r="DO148" s="244">
        <f t="shared" ca="1" si="360"/>
        <v>0.57512536990864183</v>
      </c>
      <c r="DP148" s="249">
        <f t="shared" ca="1" si="360"/>
        <v>0.65871392493021252</v>
      </c>
      <c r="DQ148" s="249">
        <f t="shared" ca="1" si="360"/>
        <v>0.55759147814915277</v>
      </c>
      <c r="DR148" s="249">
        <f t="shared" ca="1" si="360"/>
        <v>0.49566001442901453</v>
      </c>
      <c r="DS148" s="249">
        <f t="shared" ca="1" si="360"/>
        <v>0.56683892142925985</v>
      </c>
      <c r="DT148" s="244">
        <f t="shared" ca="1" si="360"/>
        <v>0.56607271774144741</v>
      </c>
      <c r="DU148" s="249">
        <f t="shared" ref="DU148:DY148" ca="1" si="361">DU144/DU146</f>
        <v>0.64799564320880854</v>
      </c>
      <c r="DV148" s="249">
        <f t="shared" ca="1" si="361"/>
        <v>0.54671180337432479</v>
      </c>
      <c r="DW148" s="249">
        <f t="shared" ca="1" si="361"/>
        <v>0.48524033268974687</v>
      </c>
      <c r="DX148" s="249">
        <f t="shared" ca="1" si="361"/>
        <v>0.5559348059283763</v>
      </c>
      <c r="DY148" s="244">
        <f t="shared" ca="1" si="361"/>
        <v>0.55524289640883462</v>
      </c>
      <c r="DZ148" s="250"/>
    </row>
    <row r="149" spans="1:130" x14ac:dyDescent="0.2">
      <c r="A149" s="243"/>
      <c r="B149" s="272" t="s">
        <v>241</v>
      </c>
      <c r="C149" s="245"/>
      <c r="D149" s="245"/>
      <c r="E149" s="247">
        <f t="shared" ref="E149:AJ149" si="362">E145/E146</f>
        <v>0</v>
      </c>
      <c r="F149" s="247">
        <f t="shared" si="362"/>
        <v>0</v>
      </c>
      <c r="G149" s="247">
        <f t="shared" si="362"/>
        <v>0</v>
      </c>
      <c r="H149" s="247">
        <f t="shared" si="362"/>
        <v>0</v>
      </c>
      <c r="I149" s="246">
        <f t="shared" si="362"/>
        <v>3.6381676864560941E-3</v>
      </c>
      <c r="J149" s="247">
        <f t="shared" si="362"/>
        <v>0</v>
      </c>
      <c r="K149" s="247">
        <f t="shared" si="362"/>
        <v>0</v>
      </c>
      <c r="L149" s="247">
        <f t="shared" si="362"/>
        <v>0</v>
      </c>
      <c r="M149" s="247">
        <f t="shared" si="362"/>
        <v>0</v>
      </c>
      <c r="N149" s="246">
        <f t="shared" si="362"/>
        <v>1.0139905018611218E-2</v>
      </c>
      <c r="O149" s="247">
        <f t="shared" si="362"/>
        <v>0</v>
      </c>
      <c r="P149" s="247">
        <f t="shared" si="362"/>
        <v>0</v>
      </c>
      <c r="Q149" s="247">
        <f t="shared" si="362"/>
        <v>0</v>
      </c>
      <c r="R149" s="247">
        <f t="shared" si="362"/>
        <v>0</v>
      </c>
      <c r="S149" s="246">
        <f t="shared" si="362"/>
        <v>1.3503455608718766E-2</v>
      </c>
      <c r="T149" s="247">
        <f t="shared" si="362"/>
        <v>0</v>
      </c>
      <c r="U149" s="247">
        <f t="shared" si="362"/>
        <v>0</v>
      </c>
      <c r="V149" s="247">
        <f t="shared" si="362"/>
        <v>0</v>
      </c>
      <c r="W149" s="247">
        <f t="shared" si="362"/>
        <v>0</v>
      </c>
      <c r="X149" s="246">
        <f t="shared" si="362"/>
        <v>2.4306472919418759E-2</v>
      </c>
      <c r="Y149" s="247">
        <f t="shared" si="362"/>
        <v>0</v>
      </c>
      <c r="Z149" s="247">
        <f t="shared" si="362"/>
        <v>0</v>
      </c>
      <c r="AA149" s="247">
        <f t="shared" si="362"/>
        <v>0</v>
      </c>
      <c r="AB149" s="247">
        <f t="shared" si="362"/>
        <v>0</v>
      </c>
      <c r="AC149" s="246">
        <f t="shared" si="362"/>
        <v>2.6850786344457232E-2</v>
      </c>
      <c r="AD149" s="247">
        <f t="shared" si="362"/>
        <v>0</v>
      </c>
      <c r="AE149" s="247">
        <f t="shared" si="362"/>
        <v>0</v>
      </c>
      <c r="AF149" s="247">
        <f t="shared" si="362"/>
        <v>0</v>
      </c>
      <c r="AG149" s="247">
        <f t="shared" si="362"/>
        <v>0</v>
      </c>
      <c r="AH149" s="246">
        <f t="shared" si="362"/>
        <v>3.5459092533047513E-2</v>
      </c>
      <c r="AI149" s="247">
        <f t="shared" si="362"/>
        <v>4.4856661045531203E-2</v>
      </c>
      <c r="AJ149" s="247">
        <f t="shared" si="362"/>
        <v>6.1012403620516256E-2</v>
      </c>
      <c r="AK149" s="247">
        <f t="shared" ref="AK149:BP149" si="363">AK145/AK146</f>
        <v>6.6184448462929479E-2</v>
      </c>
      <c r="AL149" s="247">
        <f t="shared" si="363"/>
        <v>0</v>
      </c>
      <c r="AM149" s="246">
        <f t="shared" si="363"/>
        <v>5.9359973470402921E-2</v>
      </c>
      <c r="AN149" s="247">
        <f t="shared" si="363"/>
        <v>7.4252942952007239E-2</v>
      </c>
      <c r="AO149" s="247">
        <f t="shared" si="363"/>
        <v>7.0623145400593473E-2</v>
      </c>
      <c r="AP149" s="247">
        <f t="shared" si="363"/>
        <v>7.7991790337859176E-2</v>
      </c>
      <c r="AQ149" s="247">
        <f t="shared" si="363"/>
        <v>0</v>
      </c>
      <c r="AR149" s="246">
        <f t="shared" si="363"/>
        <v>7.0595672941837606E-2</v>
      </c>
      <c r="AS149" s="247">
        <f t="shared" si="363"/>
        <v>6.1883629191321496E-2</v>
      </c>
      <c r="AT149" s="247">
        <f t="shared" si="363"/>
        <v>6.2758264462809923E-2</v>
      </c>
      <c r="AU149" s="247">
        <f t="shared" si="363"/>
        <v>0.1060126582278481</v>
      </c>
      <c r="AV149" s="247">
        <f t="shared" si="363"/>
        <v>0</v>
      </c>
      <c r="AW149" s="246">
        <f t="shared" si="363"/>
        <v>9.2046470062555855E-2</v>
      </c>
      <c r="AX149" s="247">
        <f t="shared" si="363"/>
        <v>0.10364145658263305</v>
      </c>
      <c r="AY149" s="247">
        <f t="shared" si="363"/>
        <v>0.11660037680552648</v>
      </c>
      <c r="AZ149" s="247">
        <f t="shared" si="363"/>
        <v>0.12576896787423106</v>
      </c>
      <c r="BA149" s="247">
        <f t="shared" si="363"/>
        <v>0</v>
      </c>
      <c r="BB149" s="246">
        <f t="shared" si="363"/>
        <v>0.11012626887843525</v>
      </c>
      <c r="BC149" s="247">
        <f t="shared" si="363"/>
        <v>0.1024085637823372</v>
      </c>
      <c r="BD149" s="247">
        <f t="shared" si="363"/>
        <v>0.12235294117647058</v>
      </c>
      <c r="BE149" s="247">
        <f t="shared" si="363"/>
        <v>0.17455290611028315</v>
      </c>
      <c r="BF149" s="247">
        <f t="shared" si="363"/>
        <v>0.12571733618043507</v>
      </c>
      <c r="BG149" s="246">
        <f t="shared" si="363"/>
        <v>0.13028342070773266</v>
      </c>
      <c r="BH149" s="247">
        <f t="shared" si="363"/>
        <v>0.1379497623896809</v>
      </c>
      <c r="BI149" s="247">
        <f t="shared" si="363"/>
        <v>0.44434264773247828</v>
      </c>
      <c r="BJ149" s="247">
        <f t="shared" si="363"/>
        <v>0.51506569113366385</v>
      </c>
      <c r="BK149" s="247">
        <f t="shared" si="363"/>
        <v>0.51134900738532418</v>
      </c>
      <c r="BL149" s="246">
        <f t="shared" si="363"/>
        <v>0.43852877975507476</v>
      </c>
      <c r="BM149" s="247">
        <f t="shared" si="363"/>
        <v>0.39338831800973495</v>
      </c>
      <c r="BN149" s="247">
        <f t="shared" si="363"/>
        <v>0.41246476667710619</v>
      </c>
      <c r="BO149" s="247">
        <f t="shared" si="363"/>
        <v>0.44902634593356244</v>
      </c>
      <c r="BP149" s="247">
        <f t="shared" si="363"/>
        <v>0.43485271984519452</v>
      </c>
      <c r="BQ149" s="246">
        <f t="shared" ref="BQ149:CZ149" si="364">BQ145/BQ146</f>
        <v>0.42340847277923754</v>
      </c>
      <c r="BR149" s="247">
        <f t="shared" si="364"/>
        <v>0.35570425334570022</v>
      </c>
      <c r="BS149" s="247">
        <f t="shared" si="364"/>
        <v>0.39761510811890227</v>
      </c>
      <c r="BT149" s="247">
        <f t="shared" si="364"/>
        <v>0.46764189584552374</v>
      </c>
      <c r="BU149" s="247">
        <f t="shared" si="364"/>
        <v>0.40574768631271313</v>
      </c>
      <c r="BV149" s="246">
        <f t="shared" si="364"/>
        <v>0.40797995758067496</v>
      </c>
      <c r="BW149" s="247">
        <f t="shared" si="364"/>
        <v>0.34311224489795916</v>
      </c>
      <c r="BX149" s="247">
        <f t="shared" si="364"/>
        <v>0.35032602252519263</v>
      </c>
      <c r="BY149" s="247">
        <f t="shared" si="364"/>
        <v>0.38557066824364283</v>
      </c>
      <c r="BZ149" s="247">
        <f t="shared" si="364"/>
        <v>0.30707070707070705</v>
      </c>
      <c r="CA149" s="246">
        <f t="shared" si="364"/>
        <v>0.34493213976321108</v>
      </c>
      <c r="CB149" s="247">
        <f t="shared" si="364"/>
        <v>0.26590756865371734</v>
      </c>
      <c r="CC149" s="247">
        <f t="shared" si="364"/>
        <v>0.2680047225501771</v>
      </c>
      <c r="CD149" s="247">
        <f t="shared" si="364"/>
        <v>0.36910112359550562</v>
      </c>
      <c r="CE149" s="247">
        <f t="shared" si="364"/>
        <v>0.33272092595994851</v>
      </c>
      <c r="CF149" s="246">
        <f t="shared" si="364"/>
        <v>0.31247725427619627</v>
      </c>
      <c r="CG149" s="249">
        <f t="shared" si="364"/>
        <v>0.21202916160388821</v>
      </c>
      <c r="CH149" s="249">
        <f t="shared" si="364"/>
        <v>0.25823066047263171</v>
      </c>
      <c r="CI149" s="249">
        <f t="shared" si="364"/>
        <v>0.37538903519272204</v>
      </c>
      <c r="CJ149" s="249">
        <f t="shared" si="364"/>
        <v>0.39564220183486237</v>
      </c>
      <c r="CK149" s="246">
        <f t="shared" si="364"/>
        <v>0.32162191359877107</v>
      </c>
      <c r="CL149" s="249">
        <f t="shared" si="364"/>
        <v>0.24508840864440079</v>
      </c>
      <c r="CM149" s="249">
        <f t="shared" si="364"/>
        <v>0.29744131765534854</v>
      </c>
      <c r="CN149" s="249">
        <f>CN145/CN146</f>
        <v>0.40493527508090615</v>
      </c>
      <c r="CO149" s="249">
        <f>CO145/CO146</f>
        <v>0.35015944621606904</v>
      </c>
      <c r="CP149" s="246">
        <f t="shared" ca="1" si="364"/>
        <v>0.32895904856632552</v>
      </c>
      <c r="CQ149" s="249">
        <f t="shared" si="364"/>
        <v>0.2679437845072779</v>
      </c>
      <c r="CR149" s="249">
        <f t="shared" si="364"/>
        <v>0.33997832314004789</v>
      </c>
      <c r="CS149" s="249">
        <f t="shared" si="364"/>
        <v>0.41570368102854521</v>
      </c>
      <c r="CT149" s="249">
        <f t="shared" si="364"/>
        <v>0.33799516458992007</v>
      </c>
      <c r="CU149" s="246">
        <f t="shared" si="364"/>
        <v>0.34195852512139818</v>
      </c>
      <c r="CV149" s="249">
        <f t="shared" si="364"/>
        <v>0.29828910472629738</v>
      </c>
      <c r="CW149" s="249">
        <f t="shared" si="364"/>
        <v>0.35879143936214852</v>
      </c>
      <c r="CX149" s="249">
        <f t="shared" si="364"/>
        <v>0.41437947190634267</v>
      </c>
      <c r="CY149" s="249">
        <f>CY145/CY146</f>
        <v>0.35089641337151101</v>
      </c>
      <c r="CZ149" s="244">
        <f t="shared" si="364"/>
        <v>0.35710162009115654</v>
      </c>
      <c r="DA149" s="249">
        <f>DA145/DA146</f>
        <v>0.30571590770123985</v>
      </c>
      <c r="DB149" s="249">
        <f t="shared" ref="DB149:DJ149" si="365">DB145/DB146</f>
        <v>0.36793087573922589</v>
      </c>
      <c r="DC149" s="249">
        <f>DC145/DC146</f>
        <v>0.44388221666768268</v>
      </c>
      <c r="DD149" s="249">
        <f t="shared" si="365"/>
        <v>0.37812717164697712</v>
      </c>
      <c r="DE149" s="244">
        <f t="shared" si="365"/>
        <v>0.37825823343638748</v>
      </c>
      <c r="DF149" s="249">
        <f t="shared" si="365"/>
        <v>0.32545877273104712</v>
      </c>
      <c r="DG149" s="249">
        <f>DG145/DG146</f>
        <v>0.42071113418115752</v>
      </c>
      <c r="DH149" s="249">
        <f>DH145/DH146</f>
        <v>0.4632420565031955</v>
      </c>
      <c r="DI149" s="249">
        <f>DI145/DI146</f>
        <v>0.40896672270574408</v>
      </c>
      <c r="DJ149" s="244">
        <f t="shared" si="365"/>
        <v>0.40802719015029892</v>
      </c>
      <c r="DK149" s="249">
        <f t="shared" ref="DK149:DT149" ca="1" si="366">DK145/DK146</f>
        <v>0.32603890048470713</v>
      </c>
      <c r="DL149" s="249">
        <f t="shared" ca="1" si="366"/>
        <v>0.43507638823133471</v>
      </c>
      <c r="DM149" s="249">
        <f t="shared" ca="1" si="366"/>
        <v>0.49634192772036895</v>
      </c>
      <c r="DN149" s="249">
        <f t="shared" ca="1" si="366"/>
        <v>0.42538251733005256</v>
      </c>
      <c r="DO149" s="244">
        <f t="shared" ca="1" si="366"/>
        <v>0.42487463009135812</v>
      </c>
      <c r="DP149" s="249">
        <f t="shared" ca="1" si="366"/>
        <v>0.34128607506978748</v>
      </c>
      <c r="DQ149" s="249">
        <f t="shared" ca="1" si="366"/>
        <v>0.44240852185084723</v>
      </c>
      <c r="DR149" s="249">
        <f t="shared" ca="1" si="366"/>
        <v>0.50433998557098547</v>
      </c>
      <c r="DS149" s="249">
        <f t="shared" ca="1" si="366"/>
        <v>0.43316107857074015</v>
      </c>
      <c r="DT149" s="244">
        <f t="shared" ca="1" si="366"/>
        <v>0.43392728225855254</v>
      </c>
      <c r="DU149" s="249">
        <f t="shared" ref="DU149:DY149" ca="1" si="367">DU145/DU146</f>
        <v>0.35200435679119146</v>
      </c>
      <c r="DV149" s="249">
        <f t="shared" ca="1" si="367"/>
        <v>0.45328819662567521</v>
      </c>
      <c r="DW149" s="249">
        <f t="shared" ca="1" si="367"/>
        <v>0.51475966731025313</v>
      </c>
      <c r="DX149" s="249">
        <f t="shared" ca="1" si="367"/>
        <v>0.44406519407162365</v>
      </c>
      <c r="DY149" s="244">
        <f t="shared" ca="1" si="367"/>
        <v>0.44475710359116544</v>
      </c>
      <c r="DZ149" s="250"/>
    </row>
    <row r="150" spans="1:130" ht="8.25" customHeight="1" x14ac:dyDescent="0.2">
      <c r="A150" s="243"/>
      <c r="B150" s="272"/>
      <c r="C150" s="245"/>
      <c r="D150" s="245"/>
      <c r="E150" s="245"/>
      <c r="F150" s="245"/>
      <c r="G150" s="245"/>
      <c r="H150" s="245"/>
      <c r="I150" s="246"/>
      <c r="J150" s="245"/>
      <c r="K150" s="245"/>
      <c r="L150" s="245"/>
      <c r="M150" s="245"/>
      <c r="N150" s="246"/>
      <c r="O150" s="245"/>
      <c r="P150" s="245"/>
      <c r="Q150" s="245"/>
      <c r="R150" s="245"/>
      <c r="S150" s="246"/>
      <c r="T150" s="245"/>
      <c r="U150" s="245"/>
      <c r="V150" s="245"/>
      <c r="W150" s="245"/>
      <c r="X150" s="246"/>
      <c r="Y150" s="245"/>
      <c r="Z150" s="245"/>
      <c r="AA150" s="245"/>
      <c r="AB150" s="245"/>
      <c r="AC150" s="246"/>
      <c r="AD150" s="245"/>
      <c r="AE150" s="245"/>
      <c r="AF150" s="245"/>
      <c r="AG150" s="245"/>
      <c r="AH150" s="246"/>
      <c r="AI150" s="245"/>
      <c r="AJ150" s="245"/>
      <c r="AK150" s="245"/>
      <c r="AL150" s="245"/>
      <c r="AM150" s="246"/>
      <c r="AN150" s="245"/>
      <c r="AO150" s="245"/>
      <c r="AP150" s="245"/>
      <c r="AQ150" s="245"/>
      <c r="AR150" s="246"/>
      <c r="AS150" s="245"/>
      <c r="AT150" s="245"/>
      <c r="AU150" s="245"/>
      <c r="AV150" s="245"/>
      <c r="AW150" s="246"/>
      <c r="AX150" s="245"/>
      <c r="AY150" s="245"/>
      <c r="AZ150" s="245"/>
      <c r="BA150" s="245"/>
      <c r="BB150" s="246"/>
      <c r="BC150" s="245"/>
      <c r="BD150" s="245"/>
      <c r="BE150" s="245"/>
      <c r="BF150" s="245"/>
      <c r="BG150" s="246"/>
      <c r="BH150" s="245"/>
      <c r="BI150" s="245"/>
      <c r="BJ150" s="245"/>
      <c r="BK150" s="245"/>
      <c r="BL150" s="246"/>
      <c r="BM150" s="245"/>
      <c r="BN150" s="245"/>
      <c r="BO150" s="245"/>
      <c r="BP150" s="245"/>
      <c r="BQ150" s="246"/>
      <c r="BR150" s="245"/>
      <c r="BS150" s="245"/>
      <c r="BT150" s="245"/>
      <c r="BU150" s="245"/>
      <c r="BV150" s="246"/>
      <c r="BW150" s="245"/>
      <c r="BX150" s="245"/>
      <c r="BY150" s="245"/>
      <c r="BZ150" s="245"/>
      <c r="CA150" s="246"/>
      <c r="CB150" s="245"/>
      <c r="CC150" s="245"/>
      <c r="CD150" s="245"/>
      <c r="CE150" s="245"/>
      <c r="CF150" s="246"/>
      <c r="CG150" s="256"/>
      <c r="CH150" s="256"/>
      <c r="CI150" s="256"/>
      <c r="CJ150" s="256"/>
      <c r="CK150" s="246"/>
      <c r="CL150" s="256"/>
      <c r="CM150" s="256"/>
      <c r="CN150" s="256"/>
      <c r="CO150" s="256"/>
      <c r="CP150" s="246"/>
      <c r="CQ150" s="256"/>
      <c r="CR150" s="256"/>
      <c r="CS150" s="256"/>
      <c r="CT150" s="256"/>
      <c r="CU150" s="246"/>
      <c r="CV150" s="256"/>
      <c r="CW150" s="256"/>
      <c r="CX150" s="256"/>
      <c r="CY150" s="256"/>
      <c r="CZ150" s="244"/>
      <c r="DA150" s="256"/>
      <c r="DB150" s="256"/>
      <c r="DC150" s="256"/>
      <c r="DD150" s="256"/>
      <c r="DE150" s="244"/>
      <c r="DF150" s="256"/>
      <c r="DG150" s="256"/>
      <c r="DH150" s="256"/>
      <c r="DI150" s="256"/>
      <c r="DJ150" s="244"/>
      <c r="DK150" s="256"/>
      <c r="DL150" s="256"/>
      <c r="DM150" s="256"/>
      <c r="DN150" s="256"/>
      <c r="DO150" s="244"/>
      <c r="DP150" s="256"/>
      <c r="DQ150" s="256"/>
      <c r="DR150" s="256"/>
      <c r="DS150" s="256"/>
      <c r="DT150" s="244"/>
      <c r="DU150" s="256"/>
      <c r="DV150" s="256"/>
      <c r="DW150" s="256"/>
      <c r="DX150" s="256"/>
      <c r="DY150" s="244"/>
      <c r="DZ150" s="250"/>
    </row>
    <row r="151" spans="1:130" x14ac:dyDescent="0.2">
      <c r="A151" s="243"/>
      <c r="B151" s="98" t="s">
        <v>240</v>
      </c>
      <c r="C151" s="245"/>
      <c r="D151" s="245"/>
      <c r="E151" s="245"/>
      <c r="F151" s="245"/>
      <c r="G151" s="245"/>
      <c r="H151" s="245"/>
      <c r="I151" s="239">
        <f>I$153*I148</f>
        <v>802.01846783528981</v>
      </c>
      <c r="J151" s="245"/>
      <c r="K151" s="245"/>
      <c r="L151" s="245"/>
      <c r="M151" s="245"/>
      <c r="N151" s="239">
        <f>N$153*N148</f>
        <v>771.08814580926855</v>
      </c>
      <c r="O151" s="245"/>
      <c r="P151" s="245"/>
      <c r="Q151" s="245"/>
      <c r="R151" s="245"/>
      <c r="S151" s="239">
        <f>S$153*S148</f>
        <v>917.97844040404277</v>
      </c>
      <c r="T151" s="245"/>
      <c r="U151" s="245"/>
      <c r="V151" s="245"/>
      <c r="W151" s="245"/>
      <c r="X151" s="239">
        <f>X$153*X148</f>
        <v>1107.8999999999996</v>
      </c>
      <c r="Y151" s="245"/>
      <c r="Z151" s="245"/>
      <c r="AA151" s="245"/>
      <c r="AB151" s="245"/>
      <c r="AC151" s="239">
        <f>AC$153*AC148</f>
        <v>1268.4931879555052</v>
      </c>
      <c r="AD151" s="245"/>
      <c r="AE151" s="245"/>
      <c r="AF151" s="245"/>
      <c r="AG151" s="245"/>
      <c r="AH151" s="239">
        <f>AH$153*AH148</f>
        <v>743.75749374776672</v>
      </c>
      <c r="AI151" s="245"/>
      <c r="AJ151" s="245"/>
      <c r="AK151" s="245"/>
      <c r="AL151" s="245"/>
      <c r="AM151" s="239">
        <f>AM$153*AM148</f>
        <v>1134.6000000000001</v>
      </c>
      <c r="AN151" s="245"/>
      <c r="AO151" s="245"/>
      <c r="AP151" s="245"/>
      <c r="AQ151" s="245"/>
      <c r="AR151" s="239">
        <f>AR$153*AR148</f>
        <v>1323.1000000000035</v>
      </c>
      <c r="AS151" s="245"/>
      <c r="AT151" s="245"/>
      <c r="AU151" s="245"/>
      <c r="AV151" s="245"/>
      <c r="AW151" s="239">
        <f>AW$153*AW148</f>
        <v>1320.8</v>
      </c>
      <c r="AX151" s="245"/>
      <c r="AY151" s="245"/>
      <c r="AZ151" s="245"/>
      <c r="BA151" s="245"/>
      <c r="BB151" s="239">
        <f>BB$153*BB148</f>
        <v>1797.1000000000047</v>
      </c>
      <c r="BC151" s="245"/>
      <c r="BD151" s="245"/>
      <c r="BE151" s="245"/>
      <c r="BF151" s="245"/>
      <c r="BG151" s="239">
        <f>BG$153*BG148</f>
        <v>1988.259071920053</v>
      </c>
      <c r="BH151" s="245"/>
      <c r="BI151" s="245"/>
      <c r="BJ151" s="245"/>
      <c r="BK151" s="245"/>
      <c r="BL151" s="239">
        <f>BL$153*BL148</f>
        <v>2691.2999999999988</v>
      </c>
      <c r="BM151" s="245"/>
      <c r="BN151" s="245"/>
      <c r="BO151" s="245"/>
      <c r="BP151" s="245"/>
      <c r="BQ151" s="239">
        <f>BQ$153*BQ148</f>
        <v>3486.1876918821704</v>
      </c>
      <c r="BR151" s="245"/>
      <c r="BS151" s="245"/>
      <c r="BT151" s="245"/>
      <c r="BU151" s="245"/>
      <c r="BV151" s="239">
        <f>BV$153*BV148</f>
        <v>3811.6026391083328</v>
      </c>
      <c r="BW151" s="245"/>
      <c r="BX151" s="245"/>
      <c r="BY151" s="245"/>
      <c r="BZ151" s="245"/>
      <c r="CA151" s="239">
        <f t="shared" ref="CA151:CZ152" si="368">CA$153*CA148</f>
        <v>4038.4933583598036</v>
      </c>
      <c r="CB151" s="238">
        <f t="shared" si="368"/>
        <v>962.39517749497656</v>
      </c>
      <c r="CC151" s="238">
        <f t="shared" si="368"/>
        <v>1090.6729634002363</v>
      </c>
      <c r="CD151" s="238">
        <f t="shared" si="368"/>
        <v>999.34382022471914</v>
      </c>
      <c r="CE151" s="238">
        <f t="shared" si="368"/>
        <v>1305.9318758037857</v>
      </c>
      <c r="CF151" s="239">
        <f t="shared" si="368"/>
        <v>4360.3380056549322</v>
      </c>
      <c r="CG151" s="238">
        <f t="shared" si="368"/>
        <v>1106.3110571081411</v>
      </c>
      <c r="CH151" s="238">
        <f t="shared" si="368"/>
        <v>1266.7195011108872</v>
      </c>
      <c r="CI151" s="238">
        <f t="shared" si="368"/>
        <v>1132.9037526933196</v>
      </c>
      <c r="CJ151" s="238">
        <f t="shared" si="368"/>
        <v>1391.2316513761466</v>
      </c>
      <c r="CK151" s="239">
        <f t="shared" si="368"/>
        <v>4902.960660012739</v>
      </c>
      <c r="CL151" s="238">
        <f t="shared" si="368"/>
        <v>1282.5947937131632</v>
      </c>
      <c r="CM151" s="238">
        <f t="shared" si="368"/>
        <v>1382.846254458977</v>
      </c>
      <c r="CN151" s="238">
        <f>CN$153*CN148</f>
        <v>1244.0423139158584</v>
      </c>
      <c r="CO151" s="238">
        <f>CO$153*CO148</f>
        <v>1440.3066034067056</v>
      </c>
      <c r="CP151" s="239">
        <f t="shared" ca="1" si="368"/>
        <v>5351.0818590175522</v>
      </c>
      <c r="CQ151" s="238">
        <f t="shared" si="368"/>
        <v>1482.1942195081131</v>
      </c>
      <c r="CR151" s="238">
        <f t="shared" si="368"/>
        <v>1456.7338429976028</v>
      </c>
      <c r="CS151" s="238">
        <f t="shared" si="368"/>
        <v>1312.2126731460928</v>
      </c>
      <c r="CT151" s="238">
        <f t="shared" si="368"/>
        <v>1536.4470225032564</v>
      </c>
      <c r="CU151" s="239">
        <f t="shared" si="368"/>
        <v>5789.7779167193776</v>
      </c>
      <c r="CV151" s="238">
        <f t="shared" si="368"/>
        <v>1496.1177998130649</v>
      </c>
      <c r="CW151" s="238">
        <f t="shared" si="368"/>
        <v>1450.4778850188811</v>
      </c>
      <c r="CX151" s="238">
        <f t="shared" si="368"/>
        <v>1439.2388795885372</v>
      </c>
      <c r="CY151" s="238">
        <f>CY$153*CY148</f>
        <v>1876.7562688898329</v>
      </c>
      <c r="CZ151" s="254">
        <f t="shared" si="368"/>
        <v>6263.8458623571341</v>
      </c>
      <c r="DA151" s="238">
        <f>DA$153*DA148</f>
        <v>1555.1269383399922</v>
      </c>
      <c r="DB151" s="238">
        <f t="shared" ref="DB151:DF152" si="369">DB$153*DB148</f>
        <v>1536.1807996033851</v>
      </c>
      <c r="DC151" s="238">
        <f>DC$153*DC148</f>
        <v>1602.8982868987368</v>
      </c>
      <c r="DD151" s="238">
        <f t="shared" si="369"/>
        <v>1881.1653057678932</v>
      </c>
      <c r="DE151" s="254">
        <f t="shared" si="369"/>
        <v>6576.5357100032643</v>
      </c>
      <c r="DF151" s="238">
        <f t="shared" si="369"/>
        <v>1353.332064269699</v>
      </c>
      <c r="DG151" s="238">
        <f t="shared" ref="DG151:DI152" si="370">DG$153*DG148</f>
        <v>1313.8959874458428</v>
      </c>
      <c r="DH151" s="238">
        <f t="shared" si="370"/>
        <v>1347.7898122175227</v>
      </c>
      <c r="DI151" s="238">
        <f t="shared" si="370"/>
        <v>1891.8354740755003</v>
      </c>
      <c r="DJ151" s="254">
        <f t="shared" ref="DJ151:DJ152" si="371">DJ$153*DJ148</f>
        <v>5911.6159236912463</v>
      </c>
      <c r="DK151" s="238">
        <f t="shared" ref="DK151:DT151" ca="1" si="372">DK$153*DK148</f>
        <v>1404.7872284306238</v>
      </c>
      <c r="DL151" s="238">
        <f t="shared" ca="1" si="372"/>
        <v>1335.0535807544786</v>
      </c>
      <c r="DM151" s="238">
        <f t="shared" ca="1" si="372"/>
        <v>1268.9548101617206</v>
      </c>
      <c r="DN151" s="238">
        <f t="shared" ca="1" si="372"/>
        <v>1715.2433254629671</v>
      </c>
      <c r="DO151" s="254">
        <f t="shared" ca="1" si="372"/>
        <v>5723.7137995297908</v>
      </c>
      <c r="DP151" s="238">
        <f t="shared" ca="1" si="372"/>
        <v>1429.3035262023516</v>
      </c>
      <c r="DQ151" s="238">
        <f t="shared" ca="1" si="372"/>
        <v>1353.1384091659752</v>
      </c>
      <c r="DR151" s="238">
        <f t="shared" ca="1" si="372"/>
        <v>1282.3607271235549</v>
      </c>
      <c r="DS151" s="238">
        <f t="shared" ca="1" si="372"/>
        <v>1742.690385796024</v>
      </c>
      <c r="DT151" s="254">
        <f t="shared" ca="1" si="372"/>
        <v>5806.8729764556756</v>
      </c>
      <c r="DU151" s="238">
        <f t="shared" ref="DU151:DY151" ca="1" si="373">DU$153*DU148</f>
        <v>1463.7139876145438</v>
      </c>
      <c r="DV151" s="238">
        <f t="shared" ca="1" si="373"/>
        <v>1385.1268051820477</v>
      </c>
      <c r="DW151" s="238">
        <f t="shared" ca="1" si="373"/>
        <v>1313.8959860009659</v>
      </c>
      <c r="DX151" s="238">
        <f t="shared" ca="1" si="373"/>
        <v>1778.8436762595727</v>
      </c>
      <c r="DY151" s="254">
        <f t="shared" ca="1" si="373"/>
        <v>5941.0150780398717</v>
      </c>
      <c r="DZ151" s="250"/>
    </row>
    <row r="152" spans="1:130" x14ac:dyDescent="0.2">
      <c r="A152" s="243"/>
      <c r="B152" s="98" t="s">
        <v>241</v>
      </c>
      <c r="C152" s="245"/>
      <c r="D152" s="245"/>
      <c r="E152" s="245"/>
      <c r="F152" s="245"/>
      <c r="G152" s="245"/>
      <c r="H152" s="245"/>
      <c r="I152" s="239">
        <f>I$153*I149</f>
        <v>2.9285321647097722</v>
      </c>
      <c r="J152" s="245"/>
      <c r="K152" s="245"/>
      <c r="L152" s="245"/>
      <c r="M152" s="245"/>
      <c r="N152" s="239">
        <f>N$153*N149</f>
        <v>7.8988541907329113</v>
      </c>
      <c r="O152" s="245"/>
      <c r="P152" s="245"/>
      <c r="Q152" s="245"/>
      <c r="R152" s="245"/>
      <c r="S152" s="239">
        <f>S$153*S149</f>
        <v>12.565559595959627</v>
      </c>
      <c r="T152" s="245"/>
      <c r="U152" s="245"/>
      <c r="V152" s="245"/>
      <c r="W152" s="245"/>
      <c r="X152" s="239">
        <f>X$153*X149</f>
        <v>27.599999999999991</v>
      </c>
      <c r="Y152" s="245"/>
      <c r="Z152" s="245"/>
      <c r="AA152" s="245"/>
      <c r="AB152" s="245"/>
      <c r="AC152" s="239">
        <f>AC$153*AC149</f>
        <v>34.999812044495613</v>
      </c>
      <c r="AD152" s="245"/>
      <c r="AE152" s="245"/>
      <c r="AF152" s="245"/>
      <c r="AG152" s="245"/>
      <c r="AH152" s="239">
        <f>AH$153*AH149</f>
        <v>27.342506252232926</v>
      </c>
      <c r="AI152" s="245"/>
      <c r="AJ152" s="245"/>
      <c r="AK152" s="245"/>
      <c r="AL152" s="245"/>
      <c r="AM152" s="239">
        <f>AM$153*AM149</f>
        <v>71.600000000000009</v>
      </c>
      <c r="AN152" s="245"/>
      <c r="AO152" s="245"/>
      <c r="AP152" s="245"/>
      <c r="AQ152" s="245"/>
      <c r="AR152" s="239">
        <f>AR$153*AR149</f>
        <v>100.50000000000028</v>
      </c>
      <c r="AS152" s="245"/>
      <c r="AT152" s="245"/>
      <c r="AU152" s="245"/>
      <c r="AV152" s="245"/>
      <c r="AW152" s="239">
        <f>AW$153*AW149</f>
        <v>133.9</v>
      </c>
      <c r="AX152" s="245"/>
      <c r="AY152" s="245"/>
      <c r="AZ152" s="245"/>
      <c r="BA152" s="245"/>
      <c r="BB152" s="239">
        <f>BB$153*BB149</f>
        <v>222.4000000000006</v>
      </c>
      <c r="BC152" s="245"/>
      <c r="BD152" s="245"/>
      <c r="BE152" s="245"/>
      <c r="BF152" s="245"/>
      <c r="BG152" s="239">
        <f>BG$153*BG149</f>
        <v>297.84092807994767</v>
      </c>
      <c r="BH152" s="245"/>
      <c r="BI152" s="245"/>
      <c r="BJ152" s="245"/>
      <c r="BK152" s="245"/>
      <c r="BL152" s="239">
        <f>BL$153*BL149</f>
        <v>2101.9999999999986</v>
      </c>
      <c r="BM152" s="245"/>
      <c r="BN152" s="245"/>
      <c r="BO152" s="245"/>
      <c r="BP152" s="245"/>
      <c r="BQ152" s="239">
        <f>BQ$153*BQ149</f>
        <v>2560.0123081178231</v>
      </c>
      <c r="BR152" s="245"/>
      <c r="BS152" s="245"/>
      <c r="BT152" s="245"/>
      <c r="BU152" s="245"/>
      <c r="BV152" s="239">
        <f>BV$153*BV149</f>
        <v>2626.6973608916546</v>
      </c>
      <c r="BW152" s="245"/>
      <c r="BX152" s="245"/>
      <c r="BY152" s="245"/>
      <c r="BZ152" s="245"/>
      <c r="CA152" s="239">
        <f t="shared" ref="CA152:CZ152" si="374">CA$153*CA149</f>
        <v>2126.5066416401964</v>
      </c>
      <c r="CB152" s="238">
        <f t="shared" si="374"/>
        <v>348.60482250502344</v>
      </c>
      <c r="CC152" s="238">
        <f t="shared" si="374"/>
        <v>399.32703659976386</v>
      </c>
      <c r="CD152" s="238">
        <f t="shared" si="374"/>
        <v>584.65617977528086</v>
      </c>
      <c r="CE152" s="238">
        <f t="shared" si="374"/>
        <v>651.16812419621567</v>
      </c>
      <c r="CF152" s="239">
        <f t="shared" si="374"/>
        <v>1981.7619943450627</v>
      </c>
      <c r="CG152" s="238">
        <f t="shared" si="374"/>
        <v>297.68894289185903</v>
      </c>
      <c r="CH152" s="238">
        <f t="shared" si="374"/>
        <v>440.98049888911333</v>
      </c>
      <c r="CI152" s="238">
        <f t="shared" si="374"/>
        <v>680.87124730667881</v>
      </c>
      <c r="CJ152" s="238">
        <f t="shared" si="374"/>
        <v>910.76834862385317</v>
      </c>
      <c r="CK152" s="239">
        <f t="shared" si="374"/>
        <v>2324.5143399872854</v>
      </c>
      <c r="CL152" s="238">
        <f t="shared" si="374"/>
        <v>416.40520628683691</v>
      </c>
      <c r="CM152" s="238">
        <f t="shared" si="374"/>
        <v>585.45374554102227</v>
      </c>
      <c r="CN152" s="238">
        <f>CN$153*CN149</f>
        <v>846.55768608414292</v>
      </c>
      <c r="CO152" s="238">
        <f>CO$153*CO149</f>
        <v>776.09339659329589</v>
      </c>
      <c r="CP152" s="239">
        <f t="shared" ca="1" si="374"/>
        <v>2623.2181409824507</v>
      </c>
      <c r="CQ152" s="238">
        <f t="shared" si="374"/>
        <v>542.50578049188505</v>
      </c>
      <c r="CR152" s="238">
        <f t="shared" si="374"/>
        <v>750.36615700240111</v>
      </c>
      <c r="CS152" s="238">
        <f t="shared" si="374"/>
        <v>933.58732685390657</v>
      </c>
      <c r="CT152" s="238">
        <f t="shared" si="374"/>
        <v>784.4529774967466</v>
      </c>
      <c r="CU152" s="239">
        <f t="shared" si="374"/>
        <v>3008.722083280622</v>
      </c>
      <c r="CV152" s="238">
        <f t="shared" si="368"/>
        <v>635.98220018694008</v>
      </c>
      <c r="CW152" s="238">
        <f t="shared" si="368"/>
        <v>811.62211498111469</v>
      </c>
      <c r="CX152" s="238">
        <f t="shared" si="368"/>
        <v>1018.3916346176895</v>
      </c>
      <c r="CY152" s="238">
        <f>CY$153*CY149</f>
        <v>1014.5484589701663</v>
      </c>
      <c r="CZ152" s="254">
        <f t="shared" si="374"/>
        <v>3479.2893797090919</v>
      </c>
      <c r="DA152" s="238">
        <f>DA$153*DA149</f>
        <v>684.77306166000676</v>
      </c>
      <c r="DB152" s="238">
        <f t="shared" si="369"/>
        <v>894.2192003966145</v>
      </c>
      <c r="DC152" s="238">
        <f>DC$153*DC149</f>
        <v>1279.4017131012606</v>
      </c>
      <c r="DD152" s="238">
        <f t="shared" si="369"/>
        <v>1143.8346942321052</v>
      </c>
      <c r="DE152" s="254">
        <f t="shared" si="369"/>
        <v>4001.0642899967302</v>
      </c>
      <c r="DF152" s="238">
        <f t="shared" si="369"/>
        <v>652.96793573029925</v>
      </c>
      <c r="DG152" s="238">
        <f t="shared" si="370"/>
        <v>954.22284751331131</v>
      </c>
      <c r="DH152" s="238">
        <f t="shared" si="370"/>
        <v>1163.1927052224758</v>
      </c>
      <c r="DI152" s="238">
        <f t="shared" si="370"/>
        <v>1309.0595461445166</v>
      </c>
      <c r="DJ152" s="254">
        <f t="shared" si="371"/>
        <v>4074.6804489279211</v>
      </c>
      <c r="DK152" s="238">
        <f t="shared" ref="DK152:DT152" ca="1" si="375">DK$153*DK149</f>
        <v>679.58712112892044</v>
      </c>
      <c r="DL152" s="238">
        <f t="shared" ca="1" si="375"/>
        <v>1028.1926227006877</v>
      </c>
      <c r="DM152" s="238">
        <f t="shared" ca="1" si="375"/>
        <v>1250.5219539418372</v>
      </c>
      <c r="DN152" s="238">
        <f t="shared" ca="1" si="375"/>
        <v>1269.7743205249812</v>
      </c>
      <c r="DO152" s="254">
        <f t="shared" ca="1" si="375"/>
        <v>4228.4011635764227</v>
      </c>
      <c r="DP152" s="238">
        <f t="shared" ca="1" si="375"/>
        <v>740.53602342274439</v>
      </c>
      <c r="DQ152" s="238">
        <f t="shared" ca="1" si="375"/>
        <v>1073.6174904355207</v>
      </c>
      <c r="DR152" s="238">
        <f t="shared" ca="1" si="375"/>
        <v>1304.8173582436823</v>
      </c>
      <c r="DS152" s="238">
        <f t="shared" ca="1" si="375"/>
        <v>1331.7110356905343</v>
      </c>
      <c r="DT152" s="254">
        <f t="shared" ca="1" si="375"/>
        <v>4451.3019796247072</v>
      </c>
      <c r="DU152" s="238">
        <f t="shared" ref="DU152:DY152" ca="1" si="376">DU$153*DU149</f>
        <v>795.1190816424978</v>
      </c>
      <c r="DV152" s="238">
        <f t="shared" ca="1" si="376"/>
        <v>1148.4325521118601</v>
      </c>
      <c r="DW152" s="238">
        <f t="shared" ca="1" si="376"/>
        <v>1393.8261415432939</v>
      </c>
      <c r="DX152" s="238">
        <f t="shared" ca="1" si="376"/>
        <v>1420.8906402292378</v>
      </c>
      <c r="DY152" s="254">
        <f t="shared" ca="1" si="376"/>
        <v>4758.8337925441538</v>
      </c>
      <c r="DZ152" s="250"/>
    </row>
    <row r="153" spans="1:130" x14ac:dyDescent="0.2">
      <c r="A153" s="57"/>
      <c r="B153" s="254" t="s">
        <v>251</v>
      </c>
      <c r="C153" s="238"/>
      <c r="D153" s="238"/>
      <c r="E153" s="238"/>
      <c r="F153" s="238"/>
      <c r="G153" s="238"/>
      <c r="H153" s="238"/>
      <c r="I153" s="239">
        <f>I17</f>
        <v>804.94699999999966</v>
      </c>
      <c r="J153" s="238"/>
      <c r="K153" s="238"/>
      <c r="L153" s="238"/>
      <c r="M153" s="238"/>
      <c r="N153" s="239">
        <f>N17</f>
        <v>778.98700000000144</v>
      </c>
      <c r="O153" s="238"/>
      <c r="P153" s="238"/>
      <c r="Q153" s="238"/>
      <c r="R153" s="238"/>
      <c r="S153" s="239">
        <f>S17</f>
        <v>930.54400000000237</v>
      </c>
      <c r="T153" s="238"/>
      <c r="U153" s="238"/>
      <c r="V153" s="238"/>
      <c r="W153" s="238"/>
      <c r="X153" s="239">
        <f>X17</f>
        <v>1135.4999999999995</v>
      </c>
      <c r="Y153" s="238"/>
      <c r="Z153" s="238"/>
      <c r="AA153" s="238"/>
      <c r="AB153" s="238"/>
      <c r="AC153" s="239">
        <f>AC17</f>
        <v>1303.4930000000008</v>
      </c>
      <c r="AD153" s="238"/>
      <c r="AE153" s="238"/>
      <c r="AF153" s="238"/>
      <c r="AG153" s="238"/>
      <c r="AH153" s="239">
        <f>AH17</f>
        <v>771.09999999999968</v>
      </c>
      <c r="AI153" s="238"/>
      <c r="AJ153" s="238"/>
      <c r="AK153" s="238"/>
      <c r="AL153" s="238"/>
      <c r="AM153" s="239">
        <f>AM17</f>
        <v>1206.2</v>
      </c>
      <c r="AN153" s="238"/>
      <c r="AO153" s="238"/>
      <c r="AP153" s="238"/>
      <c r="AQ153" s="238"/>
      <c r="AR153" s="239">
        <f>AR17</f>
        <v>1423.6000000000038</v>
      </c>
      <c r="AS153" s="238"/>
      <c r="AT153" s="238"/>
      <c r="AU153" s="238"/>
      <c r="AV153" s="238"/>
      <c r="AW153" s="239">
        <f>AW17</f>
        <v>1454.7</v>
      </c>
      <c r="AX153" s="238"/>
      <c r="AY153" s="238"/>
      <c r="AZ153" s="238"/>
      <c r="BA153" s="238"/>
      <c r="BB153" s="239">
        <f>BB17</f>
        <v>2019.5000000000055</v>
      </c>
      <c r="BC153" s="238"/>
      <c r="BD153" s="238"/>
      <c r="BE153" s="238"/>
      <c r="BF153" s="238"/>
      <c r="BG153" s="239">
        <f>BG17</f>
        <v>2286.1000000000004</v>
      </c>
      <c r="BH153" s="238"/>
      <c r="BI153" s="238"/>
      <c r="BJ153" s="238"/>
      <c r="BK153" s="238"/>
      <c r="BL153" s="239">
        <f>BL17</f>
        <v>4793.2999999999975</v>
      </c>
      <c r="BM153" s="238"/>
      <c r="BN153" s="238"/>
      <c r="BO153" s="238"/>
      <c r="BP153" s="238"/>
      <c r="BQ153" s="239">
        <f>BQ17</f>
        <v>6046.1999999999935</v>
      </c>
      <c r="BR153" s="238"/>
      <c r="BS153" s="238"/>
      <c r="BT153" s="238"/>
      <c r="BU153" s="238"/>
      <c r="BV153" s="239">
        <f>BV17</f>
        <v>6438.2999999999884</v>
      </c>
      <c r="BW153" s="238"/>
      <c r="BX153" s="238"/>
      <c r="BY153" s="238"/>
      <c r="BZ153" s="238"/>
      <c r="CA153" s="239">
        <f t="shared" ref="CA153:DJ153" si="377">CA17</f>
        <v>6165</v>
      </c>
      <c r="CB153" s="240">
        <f t="shared" si="377"/>
        <v>1311</v>
      </c>
      <c r="CC153" s="240">
        <f t="shared" si="377"/>
        <v>1490</v>
      </c>
      <c r="CD153" s="240">
        <f t="shared" si="377"/>
        <v>1584</v>
      </c>
      <c r="CE153" s="240">
        <f t="shared" si="377"/>
        <v>1957.1000000000013</v>
      </c>
      <c r="CF153" s="239">
        <f t="shared" si="377"/>
        <v>6342.0999999999949</v>
      </c>
      <c r="CG153" s="240">
        <f t="shared" si="377"/>
        <v>1404</v>
      </c>
      <c r="CH153" s="240">
        <f t="shared" si="377"/>
        <v>1707.7000000000007</v>
      </c>
      <c r="CI153" s="240">
        <f t="shared" si="377"/>
        <v>1813.7749999999983</v>
      </c>
      <c r="CJ153" s="240">
        <f t="shared" si="377"/>
        <v>2302</v>
      </c>
      <c r="CK153" s="239">
        <f t="shared" si="377"/>
        <v>7227.475000000024</v>
      </c>
      <c r="CL153" s="240">
        <f t="shared" si="377"/>
        <v>1699</v>
      </c>
      <c r="CM153" s="240">
        <f t="shared" si="377"/>
        <v>1968.2999999999993</v>
      </c>
      <c r="CN153" s="240">
        <f t="shared" si="377"/>
        <v>2090.6000000000013</v>
      </c>
      <c r="CO153" s="240">
        <f t="shared" si="377"/>
        <v>2216.4000000000015</v>
      </c>
      <c r="CP153" s="239">
        <f t="shared" si="377"/>
        <v>7974.3000000000029</v>
      </c>
      <c r="CQ153" s="240">
        <f t="shared" si="377"/>
        <v>2024.699999999998</v>
      </c>
      <c r="CR153" s="240">
        <f t="shared" si="377"/>
        <v>2207.100000000004</v>
      </c>
      <c r="CS153" s="240">
        <f t="shared" si="377"/>
        <v>2245.7999999999993</v>
      </c>
      <c r="CT153" s="240">
        <f t="shared" si="377"/>
        <v>2320.9000000000033</v>
      </c>
      <c r="CU153" s="239">
        <f t="shared" si="377"/>
        <v>8798.5</v>
      </c>
      <c r="CV153" s="240">
        <f t="shared" si="377"/>
        <v>2132.1000000000049</v>
      </c>
      <c r="CW153" s="240">
        <f t="shared" si="377"/>
        <v>2262.0999999999958</v>
      </c>
      <c r="CX153" s="240">
        <f t="shared" si="377"/>
        <v>2457.6305142062265</v>
      </c>
      <c r="CY153" s="240">
        <f>CY17</f>
        <v>2891.3047278599988</v>
      </c>
      <c r="CZ153" s="254">
        <f t="shared" si="377"/>
        <v>9743.1352420662261</v>
      </c>
      <c r="DA153" s="240">
        <f>DA17</f>
        <v>2239.8999999999987</v>
      </c>
      <c r="DB153" s="240">
        <f t="shared" si="377"/>
        <v>2430.3999999999996</v>
      </c>
      <c r="DC153" s="240">
        <f>DC17</f>
        <v>2882.2999999999975</v>
      </c>
      <c r="DD153" s="240">
        <f t="shared" si="377"/>
        <v>3024.9999999999982</v>
      </c>
      <c r="DE153" s="254">
        <f t="shared" si="377"/>
        <v>10577.599999999995</v>
      </c>
      <c r="DF153" s="240">
        <f t="shared" si="377"/>
        <v>2006.2999999999984</v>
      </c>
      <c r="DG153" s="240">
        <f>DG17</f>
        <v>2268.1188349591539</v>
      </c>
      <c r="DH153" s="240">
        <f>DH17</f>
        <v>2510.9825174399984</v>
      </c>
      <c r="DI153" s="240">
        <f>DI17</f>
        <v>3200.8950202200167</v>
      </c>
      <c r="DJ153" s="254">
        <f t="shared" si="377"/>
        <v>9986.2963726191665</v>
      </c>
      <c r="DK153" s="240">
        <f t="shared" ref="DK153:DT153" ca="1" si="378">DK17</f>
        <v>2084.3743495595445</v>
      </c>
      <c r="DL153" s="240">
        <f t="shared" ca="1" si="378"/>
        <v>2363.2462034551663</v>
      </c>
      <c r="DM153" s="240">
        <f t="shared" ca="1" si="378"/>
        <v>2519.4767641035578</v>
      </c>
      <c r="DN153" s="240">
        <f t="shared" ca="1" si="378"/>
        <v>2985.0176459879485</v>
      </c>
      <c r="DO153" s="254">
        <f t="shared" ca="1" si="378"/>
        <v>9952.1149631062144</v>
      </c>
      <c r="DP153" s="240">
        <f t="shared" ca="1" si="378"/>
        <v>2169.839549625096</v>
      </c>
      <c r="DQ153" s="240">
        <f t="shared" ca="1" si="378"/>
        <v>2426.7558996014959</v>
      </c>
      <c r="DR153" s="240">
        <f t="shared" ca="1" si="378"/>
        <v>2587.1780853672371</v>
      </c>
      <c r="DS153" s="240">
        <f t="shared" ca="1" si="378"/>
        <v>3074.4014214865583</v>
      </c>
      <c r="DT153" s="254">
        <f t="shared" ca="1" si="378"/>
        <v>10258.174956080384</v>
      </c>
      <c r="DU153" s="240">
        <f t="shared" ref="DU153:DY153" ca="1" si="379">DU17</f>
        <v>2258.8330692570416</v>
      </c>
      <c r="DV153" s="240">
        <f t="shared" ca="1" si="379"/>
        <v>2533.5593572939079</v>
      </c>
      <c r="DW153" s="240">
        <f t="shared" ca="1" si="379"/>
        <v>2707.7221275442598</v>
      </c>
      <c r="DX153" s="240">
        <f t="shared" ca="1" si="379"/>
        <v>3199.7343164888107</v>
      </c>
      <c r="DY153" s="254">
        <f t="shared" ca="1" si="379"/>
        <v>10699.848870584025</v>
      </c>
      <c r="DZ153" s="240"/>
    </row>
    <row r="154" spans="1:130" ht="7.5" customHeight="1" thickBot="1" x14ac:dyDescent="0.25">
      <c r="A154" s="16"/>
      <c r="B154" s="223"/>
      <c r="C154" s="129"/>
      <c r="D154" s="129"/>
      <c r="E154" s="130"/>
      <c r="F154" s="130"/>
      <c r="G154" s="130"/>
      <c r="H154" s="130"/>
      <c r="I154" s="178"/>
      <c r="J154" s="130"/>
      <c r="K154" s="130"/>
      <c r="L154" s="130"/>
      <c r="M154" s="130"/>
      <c r="N154" s="178"/>
      <c r="O154" s="130"/>
      <c r="P154" s="130"/>
      <c r="Q154" s="130"/>
      <c r="R154" s="130"/>
      <c r="S154" s="178"/>
      <c r="T154" s="130"/>
      <c r="U154" s="130"/>
      <c r="V154" s="130"/>
      <c r="W154" s="130"/>
      <c r="X154" s="178"/>
      <c r="Y154" s="130"/>
      <c r="Z154" s="130"/>
      <c r="AA154" s="130"/>
      <c r="AB154" s="130"/>
      <c r="AC154" s="178"/>
      <c r="AD154" s="130"/>
      <c r="AE154" s="130"/>
      <c r="AF154" s="130"/>
      <c r="AG154" s="130"/>
      <c r="AH154" s="178"/>
      <c r="AI154" s="130"/>
      <c r="AJ154" s="130"/>
      <c r="AK154" s="130"/>
      <c r="AL154" s="130"/>
      <c r="AM154" s="178"/>
      <c r="AN154" s="130"/>
      <c r="AO154" s="130"/>
      <c r="AP154" s="130"/>
      <c r="AQ154" s="130"/>
      <c r="AR154" s="178"/>
      <c r="AS154" s="130"/>
      <c r="AT154" s="130"/>
      <c r="AU154" s="130"/>
      <c r="AV154" s="130"/>
      <c r="AW154" s="178"/>
      <c r="AX154" s="130"/>
      <c r="AY154" s="130"/>
      <c r="AZ154" s="130"/>
      <c r="BA154" s="130"/>
      <c r="BB154" s="178"/>
      <c r="BC154" s="130"/>
      <c r="BD154" s="130"/>
      <c r="BE154" s="130"/>
      <c r="BF154" s="130"/>
      <c r="BG154" s="178"/>
      <c r="BH154" s="130"/>
      <c r="BI154" s="130"/>
      <c r="BJ154" s="130"/>
      <c r="BK154" s="130"/>
      <c r="BL154" s="178"/>
      <c r="BM154" s="130"/>
      <c r="BN154" s="130"/>
      <c r="BO154" s="130"/>
      <c r="BP154" s="130"/>
      <c r="BQ154" s="178"/>
      <c r="BR154" s="130"/>
      <c r="BS154" s="130"/>
      <c r="BT154" s="130"/>
      <c r="BU154" s="130"/>
      <c r="BV154" s="178"/>
      <c r="BW154" s="130"/>
      <c r="BX154" s="130"/>
      <c r="BY154" s="130"/>
      <c r="BZ154" s="130"/>
      <c r="CA154" s="178"/>
      <c r="CB154" s="130"/>
      <c r="CC154" s="130"/>
      <c r="CD154" s="130"/>
      <c r="CE154" s="130"/>
      <c r="CF154" s="178"/>
      <c r="CG154" s="285"/>
      <c r="CH154" s="285"/>
      <c r="CI154" s="285"/>
      <c r="CJ154" s="285"/>
      <c r="CK154" s="178"/>
      <c r="CL154" s="285"/>
      <c r="CM154" s="285"/>
      <c r="CN154" s="285"/>
      <c r="CO154" s="285"/>
      <c r="CP154" s="178"/>
      <c r="CQ154" s="285"/>
      <c r="CR154" s="285"/>
      <c r="CS154" s="285"/>
      <c r="CT154" s="285"/>
      <c r="CU154" s="178"/>
      <c r="CV154" s="285"/>
      <c r="CW154" s="285"/>
      <c r="CX154" s="285"/>
      <c r="CY154" s="285"/>
      <c r="CZ154" s="286"/>
      <c r="DA154" s="285"/>
      <c r="DB154" s="285"/>
      <c r="DC154" s="285"/>
      <c r="DD154" s="285"/>
      <c r="DE154" s="286"/>
      <c r="DF154" s="285"/>
      <c r="DG154" s="285"/>
      <c r="DH154" s="285"/>
      <c r="DI154" s="285"/>
      <c r="DJ154" s="286"/>
      <c r="DK154" s="285"/>
      <c r="DL154" s="285"/>
      <c r="DM154" s="285"/>
      <c r="DN154" s="285"/>
      <c r="DO154" s="286"/>
      <c r="DP154" s="285"/>
      <c r="DQ154" s="285"/>
      <c r="DR154" s="285"/>
      <c r="DS154" s="285"/>
      <c r="DT154" s="286"/>
      <c r="DU154" s="285"/>
      <c r="DV154" s="285"/>
      <c r="DW154" s="285"/>
      <c r="DX154" s="285"/>
      <c r="DY154" s="286"/>
      <c r="DZ154" s="16"/>
    </row>
    <row r="155" spans="1:130" ht="6.75" customHeight="1" thickBot="1" x14ac:dyDescent="0.25">
      <c r="A155" s="16"/>
      <c r="B155" s="233"/>
      <c r="C155" s="233"/>
      <c r="D155" s="233"/>
      <c r="E155" s="33"/>
      <c r="F155" s="33"/>
      <c r="G155" s="33"/>
      <c r="H155" s="33"/>
      <c r="I155" s="33"/>
      <c r="J155" s="33"/>
      <c r="K155" s="33"/>
      <c r="L155" s="33"/>
      <c r="M155" s="33"/>
      <c r="N155" s="33"/>
      <c r="O155" s="33"/>
      <c r="P155" s="33"/>
      <c r="Q155" s="33"/>
      <c r="R155" s="33"/>
      <c r="S155" s="33"/>
      <c r="T155" s="33"/>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226"/>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33"/>
      <c r="BQ155" s="33"/>
      <c r="BR155" s="33"/>
      <c r="BS155" s="33"/>
      <c r="BT155" s="33"/>
      <c r="BU155" s="33"/>
      <c r="BV155" s="33"/>
      <c r="BW155" s="33"/>
      <c r="BX155" s="33"/>
      <c r="BY155" s="33"/>
      <c r="BZ155" s="33"/>
      <c r="CA155" s="33"/>
      <c r="CB155" s="33"/>
      <c r="CC155" s="33"/>
      <c r="CD155" s="33"/>
      <c r="CE155" s="33"/>
      <c r="CF155" s="33"/>
      <c r="CG155" s="287"/>
      <c r="CH155" s="287"/>
      <c r="CI155" s="287"/>
      <c r="CJ155" s="287"/>
      <c r="CK155" s="33"/>
      <c r="CL155" s="287"/>
      <c r="CM155" s="287"/>
      <c r="CN155" s="287"/>
      <c r="CO155" s="287"/>
      <c r="CP155" s="33"/>
      <c r="CQ155" s="287"/>
      <c r="CR155" s="287"/>
      <c r="CS155" s="287"/>
      <c r="CT155" s="287"/>
      <c r="CU155" s="33"/>
      <c r="CV155" s="287"/>
      <c r="CW155" s="287"/>
      <c r="CX155" s="287"/>
      <c r="CY155" s="287"/>
      <c r="CZ155" s="33"/>
      <c r="DA155" s="287"/>
      <c r="DB155" s="287"/>
      <c r="DC155" s="287"/>
      <c r="DD155" s="287"/>
      <c r="DE155" s="33"/>
      <c r="DF155" s="287"/>
      <c r="DG155" s="287"/>
      <c r="DH155" s="287"/>
      <c r="DI155" s="287"/>
      <c r="DJ155" s="33"/>
      <c r="DK155" s="287"/>
      <c r="DL155" s="287"/>
      <c r="DM155" s="287"/>
      <c r="DN155" s="287"/>
      <c r="DO155" s="33"/>
      <c r="DP155" s="287"/>
      <c r="DQ155" s="287"/>
      <c r="DR155" s="287"/>
      <c r="DS155" s="287"/>
      <c r="DT155" s="33"/>
      <c r="DU155" s="287"/>
      <c r="DV155" s="287"/>
      <c r="DW155" s="287"/>
      <c r="DX155" s="287"/>
      <c r="DY155" s="33"/>
      <c r="DZ155" s="16"/>
    </row>
    <row r="156" spans="1:130" ht="11.25" customHeight="1" thickBot="1" x14ac:dyDescent="0.25">
      <c r="A156" s="18"/>
      <c r="B156" s="221" t="s">
        <v>253</v>
      </c>
      <c r="C156" s="17"/>
      <c r="D156" s="200"/>
      <c r="E156" s="200"/>
      <c r="F156" s="200"/>
      <c r="G156" s="200"/>
      <c r="H156" s="200"/>
      <c r="I156" s="201"/>
      <c r="J156" s="202"/>
      <c r="K156" s="202"/>
      <c r="L156" s="202"/>
      <c r="M156" s="200"/>
      <c r="N156" s="200"/>
      <c r="O156" s="200"/>
      <c r="P156" s="200"/>
      <c r="Q156" s="200"/>
      <c r="R156" s="200"/>
      <c r="S156" s="200"/>
      <c r="T156" s="200"/>
      <c r="U156" s="200"/>
      <c r="V156" s="200"/>
      <c r="W156" s="200"/>
      <c r="X156" s="200"/>
      <c r="Y156" s="200"/>
      <c r="Z156" s="200"/>
      <c r="AA156" s="200"/>
      <c r="AB156" s="200"/>
      <c r="AC156" s="200"/>
      <c r="AD156" s="202"/>
      <c r="AE156" s="202"/>
      <c r="AF156" s="202"/>
      <c r="AG156" s="200"/>
      <c r="AH156" s="200"/>
      <c r="AI156" s="202"/>
      <c r="AJ156" s="202"/>
      <c r="AK156" s="202"/>
      <c r="AL156" s="200"/>
      <c r="AM156" s="200"/>
      <c r="AN156" s="200"/>
      <c r="AO156" s="200"/>
      <c r="AP156" s="200"/>
      <c r="AQ156" s="200"/>
      <c r="AR156" s="200"/>
      <c r="AS156" s="203"/>
      <c r="AT156" s="203"/>
      <c r="AU156" s="204"/>
      <c r="AV156" s="200"/>
      <c r="AW156" s="200"/>
      <c r="AX156" s="203"/>
      <c r="AY156" s="203"/>
      <c r="AZ156" s="204"/>
      <c r="BA156" s="200"/>
      <c r="BB156" s="200"/>
      <c r="BC156" s="203"/>
      <c r="BD156" s="203"/>
      <c r="BE156" s="203"/>
      <c r="BF156" s="203"/>
      <c r="BG156" s="200"/>
      <c r="BH156" s="203"/>
      <c r="BI156" s="203"/>
      <c r="BJ156" s="203"/>
      <c r="BK156" s="203"/>
      <c r="BL156" s="200"/>
      <c r="BM156" s="203"/>
      <c r="BN156" s="203"/>
      <c r="BO156" s="203"/>
      <c r="BP156" s="203"/>
      <c r="BQ156" s="200"/>
      <c r="BR156" s="203"/>
      <c r="BS156" s="203"/>
      <c r="BT156" s="203"/>
      <c r="BU156" s="203"/>
      <c r="BV156" s="200"/>
      <c r="BW156" s="203"/>
      <c r="BX156" s="203"/>
      <c r="BY156" s="203"/>
      <c r="BZ156" s="203"/>
      <c r="CA156" s="200"/>
      <c r="CB156" s="203"/>
      <c r="CC156" s="203"/>
      <c r="CD156" s="203"/>
      <c r="CE156" s="203"/>
      <c r="CF156" s="200"/>
      <c r="CG156" s="203"/>
      <c r="CH156" s="203"/>
      <c r="CI156" s="203"/>
      <c r="CJ156" s="203"/>
      <c r="CK156" s="200"/>
      <c r="CL156" s="203"/>
      <c r="CM156" s="203"/>
      <c r="CN156" s="203"/>
      <c r="CO156" s="203"/>
      <c r="CP156" s="200"/>
      <c r="CQ156" s="203"/>
      <c r="CR156" s="203"/>
      <c r="CS156" s="203"/>
      <c r="CT156" s="203"/>
      <c r="CU156" s="200"/>
      <c r="CV156" s="203"/>
      <c r="CW156" s="203"/>
      <c r="CX156" s="203"/>
      <c r="CY156" s="203"/>
      <c r="CZ156" s="200"/>
      <c r="DA156" s="203"/>
      <c r="DB156" s="203"/>
      <c r="DC156" s="203"/>
      <c r="DD156" s="203"/>
      <c r="DE156" s="200"/>
      <c r="DF156" s="203"/>
      <c r="DG156" s="203"/>
      <c r="DH156" s="203"/>
      <c r="DI156" s="203"/>
      <c r="DJ156" s="200"/>
      <c r="DK156" s="203"/>
      <c r="DL156" s="203"/>
      <c r="DM156" s="203"/>
      <c r="DN156" s="203"/>
      <c r="DO156" s="200"/>
      <c r="DP156" s="203"/>
      <c r="DQ156" s="203"/>
      <c r="DR156" s="203"/>
      <c r="DS156" s="203"/>
      <c r="DT156" s="200"/>
      <c r="DU156" s="203"/>
      <c r="DV156" s="203"/>
      <c r="DW156" s="203"/>
      <c r="DX156" s="203"/>
      <c r="DY156" s="200"/>
      <c r="DZ156" s="18"/>
    </row>
    <row r="157" spans="1:130" x14ac:dyDescent="0.2">
      <c r="A157" s="16"/>
      <c r="B157" s="98"/>
      <c r="C157" s="280"/>
      <c r="D157" s="102"/>
      <c r="E157" s="99"/>
      <c r="F157" s="99"/>
      <c r="G157" s="99"/>
      <c r="H157" s="99"/>
      <c r="I157" s="265"/>
      <c r="J157" s="99"/>
      <c r="K157" s="99"/>
      <c r="L157" s="99"/>
      <c r="M157" s="99"/>
      <c r="N157" s="265"/>
      <c r="O157" s="99"/>
      <c r="P157" s="99"/>
      <c r="Q157" s="99"/>
      <c r="R157" s="99"/>
      <c r="S157" s="265"/>
      <c r="T157" s="99"/>
      <c r="U157" s="99"/>
      <c r="V157" s="99"/>
      <c r="W157" s="99"/>
      <c r="X157" s="265"/>
      <c r="Y157" s="99"/>
      <c r="Z157" s="99"/>
      <c r="AA157" s="99"/>
      <c r="AB157" s="99"/>
      <c r="AC157" s="265"/>
      <c r="AD157" s="99"/>
      <c r="AE157" s="99"/>
      <c r="AF157" s="99"/>
      <c r="AG157" s="99"/>
      <c r="AH157" s="265"/>
      <c r="AI157" s="99"/>
      <c r="AJ157" s="99"/>
      <c r="AK157" s="99"/>
      <c r="AL157" s="99"/>
      <c r="AM157" s="265"/>
      <c r="AN157" s="99"/>
      <c r="AO157" s="99"/>
      <c r="AP157" s="99"/>
      <c r="AQ157" s="99"/>
      <c r="AR157" s="265"/>
      <c r="AS157" s="102"/>
      <c r="AT157" s="281"/>
      <c r="AU157" s="99"/>
      <c r="AV157" s="99"/>
      <c r="AW157" s="265"/>
      <c r="AX157" s="99"/>
      <c r="AY157" s="99"/>
      <c r="AZ157" s="99"/>
      <c r="BA157" s="99"/>
      <c r="BB157" s="265"/>
      <c r="BC157" s="99"/>
      <c r="BD157" s="99"/>
      <c r="BE157" s="99"/>
      <c r="BF157" s="99"/>
      <c r="BG157" s="265"/>
      <c r="BH157" s="99"/>
      <c r="BI157" s="99"/>
      <c r="BJ157" s="99"/>
      <c r="BK157" s="99"/>
      <c r="BL157" s="265"/>
      <c r="BM157" s="99"/>
      <c r="BN157" s="99"/>
      <c r="BO157" s="99"/>
      <c r="BP157" s="99"/>
      <c r="BQ157" s="265"/>
      <c r="BR157" s="99"/>
      <c r="BS157" s="99"/>
      <c r="BT157" s="99"/>
      <c r="BU157" s="99"/>
      <c r="BV157" s="265"/>
      <c r="BW157" s="99"/>
      <c r="BX157" s="99"/>
      <c r="BY157" s="99"/>
      <c r="BZ157" s="99"/>
      <c r="CA157" s="265"/>
      <c r="CB157" s="99"/>
      <c r="CC157" s="99"/>
      <c r="CD157" s="99"/>
      <c r="CE157" s="99"/>
      <c r="CF157" s="265"/>
      <c r="CG157" s="43"/>
      <c r="CH157" s="43"/>
      <c r="CI157" s="43"/>
      <c r="CJ157" s="43"/>
      <c r="CK157" s="265"/>
      <c r="CL157" s="43"/>
      <c r="CM157" s="43"/>
      <c r="CN157" s="43"/>
      <c r="CO157" s="43"/>
      <c r="CP157" s="265"/>
      <c r="CQ157" s="43"/>
      <c r="CR157" s="43"/>
      <c r="CS157" s="43"/>
      <c r="CT157" s="43"/>
      <c r="CU157" s="265"/>
      <c r="CV157" s="43"/>
      <c r="CW157" s="43"/>
      <c r="CX157" s="43"/>
      <c r="CY157" s="43"/>
      <c r="CZ157" s="98"/>
      <c r="DA157" s="43"/>
      <c r="DB157" s="43"/>
      <c r="DC157" s="43"/>
      <c r="DD157" s="43"/>
      <c r="DE157" s="98"/>
      <c r="DF157" s="43"/>
      <c r="DG157" s="43"/>
      <c r="DH157" s="43"/>
      <c r="DI157" s="43"/>
      <c r="DJ157" s="98"/>
      <c r="DK157" s="43"/>
      <c r="DL157" s="43"/>
      <c r="DM157" s="43"/>
      <c r="DN157" s="43"/>
      <c r="DO157" s="98"/>
      <c r="DP157" s="43"/>
      <c r="DQ157" s="43"/>
      <c r="DR157" s="43"/>
      <c r="DS157" s="43"/>
      <c r="DT157" s="98"/>
      <c r="DU157" s="43"/>
      <c r="DV157" s="43"/>
      <c r="DW157" s="43"/>
      <c r="DX157" s="43"/>
      <c r="DY157" s="98"/>
      <c r="DZ157" s="16"/>
    </row>
    <row r="158" spans="1:130" hidden="1" outlineLevel="1" x14ac:dyDescent="0.2">
      <c r="A158" s="240"/>
      <c r="B158" s="254" t="s">
        <v>240</v>
      </c>
      <c r="C158" s="238">
        <f>Retail!C31</f>
        <v>0</v>
      </c>
      <c r="D158" s="238"/>
      <c r="E158" s="238"/>
      <c r="F158" s="238"/>
      <c r="G158" s="238"/>
      <c r="H158" s="238"/>
      <c r="I158" s="239"/>
      <c r="J158" s="238"/>
      <c r="K158" s="238"/>
      <c r="L158" s="238"/>
      <c r="M158" s="238"/>
      <c r="N158" s="239"/>
      <c r="O158" s="238"/>
      <c r="P158" s="238"/>
      <c r="Q158" s="238"/>
      <c r="R158" s="238"/>
      <c r="S158" s="239"/>
      <c r="T158" s="238"/>
      <c r="U158" s="238"/>
      <c r="V158" s="238"/>
      <c r="W158" s="238"/>
      <c r="X158" s="239"/>
      <c r="Y158" s="238"/>
      <c r="Z158" s="238"/>
      <c r="AA158" s="238"/>
      <c r="AB158" s="238"/>
      <c r="AC158" s="239"/>
      <c r="AD158" s="238"/>
      <c r="AE158" s="238"/>
      <c r="AF158" s="238"/>
      <c r="AG158" s="238"/>
      <c r="AH158" s="239"/>
      <c r="AI158" s="238"/>
      <c r="AJ158" s="238"/>
      <c r="AK158" s="238"/>
      <c r="AL158" s="238"/>
      <c r="AM158" s="239"/>
      <c r="AN158" s="238"/>
      <c r="AO158" s="238"/>
      <c r="AP158" s="238"/>
      <c r="AQ158" s="238"/>
      <c r="AR158" s="239"/>
      <c r="AS158" s="238"/>
      <c r="AT158" s="238"/>
      <c r="AU158" s="238"/>
      <c r="AV158" s="238"/>
      <c r="AW158" s="239"/>
      <c r="AX158" s="238"/>
      <c r="AY158" s="238"/>
      <c r="AZ158" s="238"/>
      <c r="BA158" s="238"/>
      <c r="BB158" s="239"/>
      <c r="BC158" s="238"/>
      <c r="BD158" s="238"/>
      <c r="BE158" s="238"/>
      <c r="BF158" s="238"/>
      <c r="BG158" s="239"/>
      <c r="BH158" s="238"/>
      <c r="BI158" s="238"/>
      <c r="BJ158" s="238"/>
      <c r="BK158" s="238"/>
      <c r="BL158" s="239">
        <f>Retail!BL31</f>
        <v>3496.6000000000004</v>
      </c>
      <c r="BM158" s="238">
        <f>Retail!BM31</f>
        <v>1110.1000000000001</v>
      </c>
      <c r="BN158" s="238">
        <f>Retail!BN31</f>
        <v>1160.3999999999999</v>
      </c>
      <c r="BO158" s="238">
        <f>Retail!BO31</f>
        <v>1088.5000000000002</v>
      </c>
      <c r="BP158" s="238">
        <f>Retail!BP31</f>
        <v>1312.7</v>
      </c>
      <c r="BQ158" s="239">
        <f>Retail!BQ31</f>
        <v>4671.6000000000004</v>
      </c>
      <c r="BR158" s="238">
        <f>Retail!BR31</f>
        <v>1232</v>
      </c>
      <c r="BS158" s="238">
        <f>Retail!BS31</f>
        <v>1345.8</v>
      </c>
      <c r="BT158" s="238">
        <f>Retail!BT31</f>
        <v>1118.8999999999999</v>
      </c>
      <c r="BU158" s="238">
        <f>Retail!BU31</f>
        <v>1472.5</v>
      </c>
      <c r="BV158" s="239">
        <f>Retail!BV31</f>
        <v>5170.1000000000004</v>
      </c>
      <c r="BW158" s="238">
        <f>Retail!BW31</f>
        <v>1290</v>
      </c>
      <c r="BX158" s="238">
        <f>Retail!BX31</f>
        <v>1368</v>
      </c>
      <c r="BY158" s="238">
        <f>Retail!BY31</f>
        <v>1311</v>
      </c>
      <c r="BZ158" s="238">
        <f>Retail!BZ31</f>
        <v>1647</v>
      </c>
      <c r="CA158" s="239">
        <f>Retail!CA31</f>
        <v>5616</v>
      </c>
      <c r="CB158" s="238">
        <f>Retail!CB31</f>
        <v>1371</v>
      </c>
      <c r="CC158" s="238">
        <f>Retail!CC31</f>
        <v>1524</v>
      </c>
      <c r="CD158" s="238">
        <f>Retail!CD31</f>
        <v>1418</v>
      </c>
      <c r="CE158" s="238">
        <f>Retail!CE31</f>
        <v>1750.5000000000002</v>
      </c>
      <c r="CF158" s="239">
        <f>Retail!CF31</f>
        <v>6063.4999999999955</v>
      </c>
      <c r="CG158" s="238">
        <f>Retail!CG31</f>
        <v>1578</v>
      </c>
      <c r="CH158" s="238">
        <f>Retail!CH31</f>
        <v>1750.1000000000004</v>
      </c>
      <c r="CI158" s="238">
        <f>Retail!CI31</f>
        <v>1597.3</v>
      </c>
      <c r="CJ158" s="238">
        <f>Retail!CJ31</f>
        <v>1879.1</v>
      </c>
      <c r="CK158" s="239">
        <f>Retail!CK31</f>
        <v>6804.4999999999945</v>
      </c>
      <c r="CL158" s="238">
        <f>Retail!CL31</f>
        <v>1879.4</v>
      </c>
      <c r="CM158" s="238">
        <f>Retail!CM31</f>
        <v>1883.2000000000003</v>
      </c>
      <c r="CN158" s="238">
        <f>Retail!CN31</f>
        <v>1766</v>
      </c>
      <c r="CO158" s="238">
        <f>Retail!CO31</f>
        <v>1962.9</v>
      </c>
      <c r="CP158" s="239">
        <f>Retail!CP31</f>
        <v>7491.4999999999991</v>
      </c>
      <c r="CQ158" s="238">
        <f>Retail!CQ31</f>
        <v>2048.6000000000004</v>
      </c>
      <c r="CR158" s="238">
        <f>Retail!CR31</f>
        <v>2011.8000000000004</v>
      </c>
      <c r="CS158" s="238">
        <f>Retail!CS31</f>
        <v>1823.7</v>
      </c>
      <c r="CT158" s="238">
        <f>Retail!CT31</f>
        <v>2082.8999999999996</v>
      </c>
      <c r="CU158" s="239">
        <f>Retail!CU31</f>
        <v>7967</v>
      </c>
      <c r="CV158" s="238">
        <f>Retail!CV31</f>
        <v>2031.5000000000002</v>
      </c>
      <c r="CW158" s="238">
        <f>Retail!CW31</f>
        <v>1984.4</v>
      </c>
      <c r="CX158" s="238">
        <f>Retail!CX31</f>
        <v>1985.5061512248706</v>
      </c>
      <c r="CY158" s="238">
        <f>Retail!CY31</f>
        <v>2504.8067042799971</v>
      </c>
      <c r="CZ158" s="254">
        <f>Retail!CZ31</f>
        <v>8506.2128555048657</v>
      </c>
      <c r="DA158" s="238">
        <f>Retail!DA31</f>
        <v>2177.9</v>
      </c>
      <c r="DB158" s="238">
        <f>Retail!DB31</f>
        <v>2189.1</v>
      </c>
      <c r="DC158" s="238">
        <f>Retail!DC31</f>
        <v>2220.2000000000007</v>
      </c>
      <c r="DD158" s="238">
        <f>Retail!DD31</f>
        <v>2559.5</v>
      </c>
      <c r="DE158" s="254">
        <f>Retail!DE31</f>
        <v>9146.7000000000007</v>
      </c>
      <c r="DF158" s="238">
        <f>Retail!DF31</f>
        <v>2035.8999999999999</v>
      </c>
      <c r="DG158" s="238">
        <f>Retail!DG31</f>
        <v>1978.1000000000006</v>
      </c>
      <c r="DH158" s="238">
        <f>Retail!DH31</f>
        <v>1975.3336803900013</v>
      </c>
      <c r="DI158" s="238">
        <f>Retail!DI31</f>
        <v>2560.2949471600027</v>
      </c>
      <c r="DJ158" s="254">
        <f>Retail!DJ31</f>
        <v>8549.6286275500024</v>
      </c>
      <c r="DK158" s="238">
        <f>Retail!DK31</f>
        <v>2078.9141944217463</v>
      </c>
      <c r="DL158" s="238">
        <f>Retail!DL31</f>
        <v>1993.9883846589491</v>
      </c>
      <c r="DM158" s="238">
        <f>Retail!DM31</f>
        <v>1911.3177488923354</v>
      </c>
      <c r="DN158" s="238">
        <f>Retail!DN31</f>
        <v>2404.2183756689719</v>
      </c>
      <c r="DO158" s="254">
        <f>Retail!DO31</f>
        <v>8388.4387036420012</v>
      </c>
      <c r="DP158" s="238">
        <f>Retail!DP31</f>
        <v>2119.2148673677657</v>
      </c>
      <c r="DQ158" s="238">
        <f>Retail!DQ31</f>
        <v>2031.9318740390286</v>
      </c>
      <c r="DR158" s="238">
        <f>Retail!DR31</f>
        <v>1948.6343345584437</v>
      </c>
      <c r="DS158" s="238">
        <f>Retail!DS31</f>
        <v>2447.5863269440192</v>
      </c>
      <c r="DT158" s="254">
        <f>Retail!DT31</f>
        <v>8547.3674029092545</v>
      </c>
      <c r="DU158" s="238">
        <f>Retail!DU31</f>
        <v>2156.1966684973945</v>
      </c>
      <c r="DV158" s="238">
        <f>Retail!DV31</f>
        <v>2066.2436256157739</v>
      </c>
      <c r="DW158" s="238">
        <f>Retail!DW31</f>
        <v>1982.2480647627096</v>
      </c>
      <c r="DX158" s="238">
        <f>Retail!DX31</f>
        <v>2487.085472578708</v>
      </c>
      <c r="DY158" s="254">
        <f>Retail!DY31</f>
        <v>8691.7738314545823</v>
      </c>
      <c r="DZ158" s="240"/>
    </row>
    <row r="159" spans="1:130" hidden="1" outlineLevel="1" x14ac:dyDescent="0.2">
      <c r="A159" s="240"/>
      <c r="B159" s="254" t="s">
        <v>241</v>
      </c>
      <c r="C159" s="238">
        <f>PBM!C29</f>
        <v>0</v>
      </c>
      <c r="D159" s="238"/>
      <c r="E159" s="238"/>
      <c r="F159" s="238"/>
      <c r="G159" s="238"/>
      <c r="H159" s="238"/>
      <c r="I159" s="239"/>
      <c r="J159" s="238"/>
      <c r="K159" s="238"/>
      <c r="L159" s="238"/>
      <c r="M159" s="238"/>
      <c r="N159" s="239"/>
      <c r="O159" s="238"/>
      <c r="P159" s="238"/>
      <c r="Q159" s="238"/>
      <c r="R159" s="238"/>
      <c r="S159" s="239"/>
      <c r="T159" s="238"/>
      <c r="U159" s="238"/>
      <c r="V159" s="238"/>
      <c r="W159" s="238"/>
      <c r="X159" s="239"/>
      <c r="Y159" s="238"/>
      <c r="Z159" s="238"/>
      <c r="AA159" s="238"/>
      <c r="AB159" s="238"/>
      <c r="AC159" s="239"/>
      <c r="AD159" s="238"/>
      <c r="AE159" s="238"/>
      <c r="AF159" s="238"/>
      <c r="AG159" s="238"/>
      <c r="AH159" s="239"/>
      <c r="AI159" s="238"/>
      <c r="AJ159" s="238"/>
      <c r="AK159" s="238"/>
      <c r="AL159" s="238"/>
      <c r="AM159" s="239"/>
      <c r="AN159" s="238"/>
      <c r="AO159" s="238"/>
      <c r="AP159" s="238"/>
      <c r="AQ159" s="238"/>
      <c r="AR159" s="239"/>
      <c r="AS159" s="238"/>
      <c r="AT159" s="238"/>
      <c r="AU159" s="238"/>
      <c r="AV159" s="238"/>
      <c r="AW159" s="239"/>
      <c r="AX159" s="238"/>
      <c r="AY159" s="238"/>
      <c r="AZ159" s="238"/>
      <c r="BA159" s="238"/>
      <c r="BB159" s="239"/>
      <c r="BC159" s="238"/>
      <c r="BD159" s="238"/>
      <c r="BE159" s="238"/>
      <c r="BF159" s="238"/>
      <c r="BG159" s="239"/>
      <c r="BH159" s="238"/>
      <c r="BI159" s="238"/>
      <c r="BJ159" s="238"/>
      <c r="BK159" s="238"/>
      <c r="BL159" s="239">
        <f>PBM!BL29</f>
        <v>2391.3000000000002</v>
      </c>
      <c r="BM159" s="238">
        <f>PBM!BM29</f>
        <v>668.4</v>
      </c>
      <c r="BN159" s="238">
        <f>PBM!BN29</f>
        <v>746.1</v>
      </c>
      <c r="BO159" s="238">
        <f>PBM!BO29</f>
        <v>793.80000000000007</v>
      </c>
      <c r="BP159" s="238">
        <f>PBM!BP29</f>
        <v>901.69999999999993</v>
      </c>
      <c r="BQ159" s="239">
        <f>PBM!BQ29</f>
        <v>3112.5</v>
      </c>
      <c r="BR159" s="238">
        <f>PBM!BR29</f>
        <v>631.29999999999995</v>
      </c>
      <c r="BS159" s="238">
        <f>PBM!BS29</f>
        <v>789.19999999999993</v>
      </c>
      <c r="BT159" s="238">
        <f>PBM!BT29</f>
        <v>890.40000000000009</v>
      </c>
      <c r="BU159" s="238">
        <f>PBM!BU29</f>
        <v>933</v>
      </c>
      <c r="BV159" s="239">
        <f>PBM!BV29</f>
        <v>3243.1</v>
      </c>
      <c r="BW159" s="238">
        <f>PBM!BW29</f>
        <v>636</v>
      </c>
      <c r="BX159" s="238">
        <f>PBM!BX29</f>
        <v>687</v>
      </c>
      <c r="BY159" s="238">
        <f>PBM!BY29</f>
        <v>750</v>
      </c>
      <c r="BZ159" s="238">
        <f>PBM!BZ29</f>
        <v>706</v>
      </c>
      <c r="CA159" s="239">
        <f>PBM!CA29</f>
        <v>2779</v>
      </c>
      <c r="CB159" s="238">
        <f>PBM!CB29</f>
        <v>496</v>
      </c>
      <c r="CC159" s="238">
        <f>PBM!CC29</f>
        <v>561</v>
      </c>
      <c r="CD159" s="238">
        <f>PBM!CD29</f>
        <v>769</v>
      </c>
      <c r="CE159" s="238">
        <f>PBM!CE29</f>
        <v>840.3</v>
      </c>
      <c r="CF159" s="239">
        <f>PBM!CF29</f>
        <v>2666.3</v>
      </c>
      <c r="CG159" s="238">
        <f>PBM!CG29</f>
        <v>471</v>
      </c>
      <c r="CH159" s="238">
        <f>PBM!CH29</f>
        <v>640.4</v>
      </c>
      <c r="CI159" s="238">
        <f>PBM!CI29</f>
        <v>913.5</v>
      </c>
      <c r="CJ159" s="238">
        <f>PBM!CJ29</f>
        <v>1172</v>
      </c>
      <c r="CK159" s="239">
        <f>PBM!CK29</f>
        <v>3196.9</v>
      </c>
      <c r="CL159" s="238">
        <f ca="1">PBM!CL29</f>
        <v>643.78486997635935</v>
      </c>
      <c r="CM159" s="238">
        <f>PBM!CM29</f>
        <v>814.7</v>
      </c>
      <c r="CN159" s="238">
        <f>PBM!CN29</f>
        <v>1142.8</v>
      </c>
      <c r="CO159" s="238">
        <f>PBM!CO29</f>
        <v>1042.4999999999998</v>
      </c>
      <c r="CP159" s="239">
        <f ca="1">PBM!CP29</f>
        <v>3643.784869976359</v>
      </c>
      <c r="CQ159" s="238">
        <f>PBM!CQ29</f>
        <v>796.1</v>
      </c>
      <c r="CR159" s="238">
        <f>PBM!CR29</f>
        <v>1035</v>
      </c>
      <c r="CS159" s="238">
        <f>PBM!CS29</f>
        <v>1242.6000000000001</v>
      </c>
      <c r="CT159" s="238">
        <f>PBM!CT29</f>
        <v>1070.1000000000001</v>
      </c>
      <c r="CU159" s="239">
        <f>PBM!CU29</f>
        <v>4143.8</v>
      </c>
      <c r="CV159" s="238">
        <f>PBM!CV29</f>
        <v>894.10000000000014</v>
      </c>
      <c r="CW159" s="238">
        <f>PBM!CW29</f>
        <v>1100.5999999999999</v>
      </c>
      <c r="CX159" s="238">
        <f>PBM!CX29</f>
        <v>1326.3210536400009</v>
      </c>
      <c r="CY159" s="238">
        <f>PBM!CY29</f>
        <v>1322.5206924400022</v>
      </c>
      <c r="CZ159" s="254">
        <f>PBM!CZ29</f>
        <v>4643.5417460800036</v>
      </c>
      <c r="DA159" s="238">
        <f>PBM!DA29</f>
        <v>960.471</v>
      </c>
      <c r="DB159" s="238">
        <f>PBM!DB29</f>
        <v>1216.5999999999999</v>
      </c>
      <c r="DC159" s="238">
        <f>PBM!DC29</f>
        <v>1635.2</v>
      </c>
      <c r="DD159" s="238">
        <f>PBM!DD29</f>
        <v>1484.8000000000002</v>
      </c>
      <c r="DE159" s="254">
        <f>PBM!DE29</f>
        <v>5297.070999999999</v>
      </c>
      <c r="DF159" s="238">
        <f>PBM!DF29</f>
        <v>964.2</v>
      </c>
      <c r="DG159" s="238">
        <f>PBM!DG29</f>
        <v>1313.5</v>
      </c>
      <c r="DH159" s="238">
        <f>PBM!DH29</f>
        <v>1529.3330713500002</v>
      </c>
      <c r="DI159" s="238">
        <f>PBM!DI29</f>
        <v>1659.2908646400017</v>
      </c>
      <c r="DJ159" s="254">
        <f>PBM!DJ29</f>
        <v>5466.3239359900026</v>
      </c>
      <c r="DK159" s="238">
        <f ca="1">PBM!DK29</f>
        <v>998.62606223928606</v>
      </c>
      <c r="DL159" s="238">
        <f ca="1">PBM!DL29</f>
        <v>1406.8652137190379</v>
      </c>
      <c r="DM159" s="238">
        <f ca="1">PBM!DM29</f>
        <v>1665.9489051889095</v>
      </c>
      <c r="DN159" s="238">
        <f ca="1">PBM!DN29</f>
        <v>1661.3131834423045</v>
      </c>
      <c r="DO159" s="254">
        <f ca="1">PBM!DO29</f>
        <v>5732.7533645895383</v>
      </c>
      <c r="DP159" s="238">
        <f ca="1">PBM!DP29</f>
        <v>1076.2315189889555</v>
      </c>
      <c r="DQ159" s="238">
        <f ca="1">PBM!DQ29</f>
        <v>1472.5966686521708</v>
      </c>
      <c r="DR159" s="238">
        <f ca="1">PBM!DR29</f>
        <v>1747.1864665690027</v>
      </c>
      <c r="DS159" s="238">
        <f ca="1">PBM!DS29</f>
        <v>1742.3416987966132</v>
      </c>
      <c r="DT159" s="254">
        <f ca="1">PBM!DT29</f>
        <v>6038.3563530067422</v>
      </c>
      <c r="DU159" s="238">
        <f ca="1">PBM!DU29</f>
        <v>1138.9395457702105</v>
      </c>
      <c r="DV159" s="238">
        <f ca="1">PBM!DV29</f>
        <v>1558.9869300986713</v>
      </c>
      <c r="DW159" s="238">
        <f ca="1">PBM!DW29</f>
        <v>1849.7400159548745</v>
      </c>
      <c r="DX159" s="238">
        <f ca="1">PBM!DX29</f>
        <v>1844.1819150643712</v>
      </c>
      <c r="DY159" s="254">
        <f ca="1">PBM!DY29</f>
        <v>6391.8484068881271</v>
      </c>
      <c r="DZ159" s="240"/>
    </row>
    <row r="160" spans="1:130" hidden="1" outlineLevel="1" x14ac:dyDescent="0.2">
      <c r="A160" s="240"/>
      <c r="B160" s="254" t="s">
        <v>251</v>
      </c>
      <c r="C160" s="238"/>
      <c r="D160" s="238"/>
      <c r="E160" s="238"/>
      <c r="F160" s="238"/>
      <c r="G160" s="238"/>
      <c r="H160" s="238"/>
      <c r="I160" s="239"/>
      <c r="J160" s="238"/>
      <c r="K160" s="238"/>
      <c r="L160" s="238"/>
      <c r="M160" s="238"/>
      <c r="N160" s="239"/>
      <c r="O160" s="238"/>
      <c r="P160" s="238"/>
      <c r="Q160" s="238"/>
      <c r="R160" s="238"/>
      <c r="S160" s="239"/>
      <c r="T160" s="238"/>
      <c r="U160" s="238"/>
      <c r="V160" s="238"/>
      <c r="W160" s="238"/>
      <c r="X160" s="239"/>
      <c r="Y160" s="238"/>
      <c r="Z160" s="238"/>
      <c r="AA160" s="238"/>
      <c r="AB160" s="238"/>
      <c r="AC160" s="239"/>
      <c r="AD160" s="238"/>
      <c r="AE160" s="238"/>
      <c r="AF160" s="238"/>
      <c r="AG160" s="238"/>
      <c r="AH160" s="239"/>
      <c r="AI160" s="238"/>
      <c r="AJ160" s="238"/>
      <c r="AK160" s="238"/>
      <c r="AL160" s="238"/>
      <c r="AM160" s="239"/>
      <c r="AN160" s="238"/>
      <c r="AO160" s="238"/>
      <c r="AP160" s="238"/>
      <c r="AQ160" s="238"/>
      <c r="AR160" s="239"/>
      <c r="AS160" s="238"/>
      <c r="AT160" s="238"/>
      <c r="AU160" s="238"/>
      <c r="AV160" s="238"/>
      <c r="AW160" s="239"/>
      <c r="AX160" s="238"/>
      <c r="AY160" s="238"/>
      <c r="AZ160" s="238"/>
      <c r="BA160" s="238"/>
      <c r="BB160" s="239"/>
      <c r="BC160" s="238"/>
      <c r="BD160" s="238"/>
      <c r="BE160" s="238"/>
      <c r="BF160" s="238"/>
      <c r="BG160" s="239"/>
      <c r="BH160" s="238"/>
      <c r="BI160" s="238"/>
      <c r="BJ160" s="238"/>
      <c r="BK160" s="238"/>
      <c r="BL160" s="239">
        <f>SUM(BL158,BL159)</f>
        <v>5887.9000000000005</v>
      </c>
      <c r="BM160" s="238">
        <f>SUM(BM158,BM159)</f>
        <v>1778.5</v>
      </c>
      <c r="BN160" s="238">
        <f>SUM(BN158,BN159)</f>
        <v>1906.5</v>
      </c>
      <c r="BO160" s="238">
        <f>SUM(BO158,BO159)</f>
        <v>1882.3000000000002</v>
      </c>
      <c r="BP160" s="238">
        <f>SUM(BP158,BP159)</f>
        <v>2214.4</v>
      </c>
      <c r="BQ160" s="239">
        <f t="shared" ref="BQ160:CX160" si="380">SUM(BQ158,BQ159)</f>
        <v>7784.1</v>
      </c>
      <c r="BR160" s="238">
        <f t="shared" si="380"/>
        <v>1863.3</v>
      </c>
      <c r="BS160" s="238">
        <f t="shared" si="380"/>
        <v>2135</v>
      </c>
      <c r="BT160" s="238">
        <f t="shared" si="380"/>
        <v>2009.3</v>
      </c>
      <c r="BU160" s="238">
        <f t="shared" si="380"/>
        <v>2405.5</v>
      </c>
      <c r="BV160" s="239">
        <f t="shared" si="380"/>
        <v>8413.2000000000007</v>
      </c>
      <c r="BW160" s="238">
        <f t="shared" si="380"/>
        <v>1926</v>
      </c>
      <c r="BX160" s="238">
        <f t="shared" si="380"/>
        <v>2055</v>
      </c>
      <c r="BY160" s="238">
        <f t="shared" si="380"/>
        <v>2061</v>
      </c>
      <c r="BZ160" s="238">
        <f t="shared" si="380"/>
        <v>2353</v>
      </c>
      <c r="CA160" s="239">
        <f t="shared" si="380"/>
        <v>8395</v>
      </c>
      <c r="CB160" s="238">
        <f t="shared" si="380"/>
        <v>1867</v>
      </c>
      <c r="CC160" s="238">
        <f t="shared" si="380"/>
        <v>2085</v>
      </c>
      <c r="CD160" s="238">
        <f t="shared" si="380"/>
        <v>2187</v>
      </c>
      <c r="CE160" s="238">
        <f t="shared" si="380"/>
        <v>2590.8000000000002</v>
      </c>
      <c r="CF160" s="239">
        <f t="shared" si="380"/>
        <v>8729.7999999999956</v>
      </c>
      <c r="CG160" s="238">
        <f t="shared" si="380"/>
        <v>2049</v>
      </c>
      <c r="CH160" s="238">
        <f t="shared" si="380"/>
        <v>2390.5000000000005</v>
      </c>
      <c r="CI160" s="238">
        <f t="shared" si="380"/>
        <v>2510.8000000000002</v>
      </c>
      <c r="CJ160" s="238">
        <f t="shared" si="380"/>
        <v>3051.1</v>
      </c>
      <c r="CK160" s="239">
        <f t="shared" si="380"/>
        <v>10001.399999999994</v>
      </c>
      <c r="CL160" s="238">
        <f t="shared" ca="1" si="380"/>
        <v>2523.1848699763596</v>
      </c>
      <c r="CM160" s="238">
        <f t="shared" si="380"/>
        <v>2697.9000000000005</v>
      </c>
      <c r="CN160" s="238">
        <f t="shared" si="380"/>
        <v>2908.8</v>
      </c>
      <c r="CO160" s="238">
        <f>SUM(CO158,CO159)</f>
        <v>3005.3999999999996</v>
      </c>
      <c r="CP160" s="239">
        <f t="shared" ca="1" si="380"/>
        <v>11135.284869976358</v>
      </c>
      <c r="CQ160" s="238">
        <f t="shared" si="380"/>
        <v>2844.7000000000003</v>
      </c>
      <c r="CR160" s="238">
        <f t="shared" si="380"/>
        <v>3046.8</v>
      </c>
      <c r="CS160" s="238">
        <f t="shared" si="380"/>
        <v>3066.3</v>
      </c>
      <c r="CT160" s="238">
        <f t="shared" si="380"/>
        <v>3153</v>
      </c>
      <c r="CU160" s="239">
        <f t="shared" si="380"/>
        <v>12110.8</v>
      </c>
      <c r="CV160" s="238">
        <f t="shared" si="380"/>
        <v>2925.6000000000004</v>
      </c>
      <c r="CW160" s="238">
        <f t="shared" si="380"/>
        <v>3085</v>
      </c>
      <c r="CX160" s="238">
        <f t="shared" si="380"/>
        <v>3311.8272048648714</v>
      </c>
      <c r="CY160" s="238">
        <f>SUM(CY158,CY159)</f>
        <v>3827.3273967199993</v>
      </c>
      <c r="CZ160" s="254">
        <f t="shared" ref="CZ160:DF160" si="381">SUM(CZ158,CZ159)</f>
        <v>13149.754601584869</v>
      </c>
      <c r="DA160" s="238">
        <f>SUM(DA158,DA159)</f>
        <v>3138.3710000000001</v>
      </c>
      <c r="DB160" s="238">
        <f t="shared" si="381"/>
        <v>3405.7</v>
      </c>
      <c r="DC160" s="238">
        <f>SUM(DC158,DC159)</f>
        <v>3855.4000000000005</v>
      </c>
      <c r="DD160" s="238">
        <f t="shared" si="381"/>
        <v>4044.3</v>
      </c>
      <c r="DE160" s="254">
        <f t="shared" si="381"/>
        <v>14443.771000000001</v>
      </c>
      <c r="DF160" s="238">
        <f t="shared" si="381"/>
        <v>3000.1</v>
      </c>
      <c r="DG160" s="238">
        <f>SUM(DG158,DG159)</f>
        <v>3291.6000000000004</v>
      </c>
      <c r="DH160" s="238">
        <f>SUM(DH158,DH159)</f>
        <v>3504.6667517400015</v>
      </c>
      <c r="DI160" s="238">
        <f>SUM(DI158,DI159)</f>
        <v>4219.5858118000042</v>
      </c>
      <c r="DJ160" s="254">
        <f t="shared" ref="DJ160:DO160" si="382">SUM(DJ158,DJ159)</f>
        <v>14015.952563540006</v>
      </c>
      <c r="DK160" s="238">
        <f t="shared" ca="1" si="382"/>
        <v>3077.5402566610323</v>
      </c>
      <c r="DL160" s="238">
        <f t="shared" ca="1" si="382"/>
        <v>3400.8535983779871</v>
      </c>
      <c r="DM160" s="238">
        <f t="shared" ca="1" si="382"/>
        <v>3577.2666540812452</v>
      </c>
      <c r="DN160" s="238">
        <f t="shared" ca="1" si="382"/>
        <v>4065.5315591112767</v>
      </c>
      <c r="DO160" s="254">
        <f t="shared" ca="1" si="382"/>
        <v>14121.192068231539</v>
      </c>
      <c r="DP160" s="238">
        <f t="shared" ref="DP160:DY160" ca="1" si="383">SUM(DP158,DP159)</f>
        <v>3195.4463863567212</v>
      </c>
      <c r="DQ160" s="238">
        <f t="shared" ca="1" si="383"/>
        <v>3504.5285426911996</v>
      </c>
      <c r="DR160" s="238">
        <f t="shared" ca="1" si="383"/>
        <v>3695.8208011274464</v>
      </c>
      <c r="DS160" s="238">
        <f t="shared" ca="1" si="383"/>
        <v>4189.9280257406326</v>
      </c>
      <c r="DT160" s="254">
        <f t="shared" ca="1" si="383"/>
        <v>14585.723755915997</v>
      </c>
      <c r="DU160" s="238">
        <f t="shared" ca="1" si="383"/>
        <v>3295.1362142676053</v>
      </c>
      <c r="DV160" s="238">
        <f t="shared" ca="1" si="383"/>
        <v>3625.2305557144455</v>
      </c>
      <c r="DW160" s="238">
        <f t="shared" ca="1" si="383"/>
        <v>3831.9880807175841</v>
      </c>
      <c r="DX160" s="238">
        <f t="shared" ca="1" si="383"/>
        <v>4331.267387643079</v>
      </c>
      <c r="DY160" s="254">
        <f t="shared" ca="1" si="383"/>
        <v>15083.622238342708</v>
      </c>
      <c r="DZ160" s="240"/>
    </row>
    <row r="161" spans="1:130" collapsed="1" x14ac:dyDescent="0.2">
      <c r="A161" s="16"/>
      <c r="B161" s="282" t="s">
        <v>252</v>
      </c>
      <c r="C161" s="99"/>
      <c r="D161" s="99"/>
      <c r="E161" s="100"/>
      <c r="F161" s="100"/>
      <c r="G161" s="100"/>
      <c r="H161" s="100"/>
      <c r="I161" s="101"/>
      <c r="J161" s="100"/>
      <c r="K161" s="100"/>
      <c r="L161" s="100"/>
      <c r="M161" s="100"/>
      <c r="N161" s="101"/>
      <c r="O161" s="100"/>
      <c r="P161" s="100"/>
      <c r="Q161" s="100"/>
      <c r="R161" s="100"/>
      <c r="S161" s="101"/>
      <c r="T161" s="100"/>
      <c r="U161" s="100"/>
      <c r="V161" s="100"/>
      <c r="W161" s="100"/>
      <c r="X161" s="101"/>
      <c r="Y161" s="100"/>
      <c r="Z161" s="100"/>
      <c r="AA161" s="100"/>
      <c r="AB161" s="100"/>
      <c r="AC161" s="101"/>
      <c r="AD161" s="100"/>
      <c r="AE161" s="100"/>
      <c r="AF161" s="100"/>
      <c r="AG161" s="100"/>
      <c r="AH161" s="101"/>
      <c r="AI161" s="100"/>
      <c r="AJ161" s="100"/>
      <c r="AK161" s="100"/>
      <c r="AL161" s="100"/>
      <c r="AM161" s="101"/>
      <c r="AN161" s="100"/>
      <c r="AO161" s="100"/>
      <c r="AP161" s="100"/>
      <c r="AQ161" s="100"/>
      <c r="AR161" s="101"/>
      <c r="AS161" s="100"/>
      <c r="AT161" s="100"/>
      <c r="AU161" s="100"/>
      <c r="AV161" s="100"/>
      <c r="AW161" s="101"/>
      <c r="AX161" s="100"/>
      <c r="AY161" s="100"/>
      <c r="AZ161" s="100"/>
      <c r="BA161" s="100"/>
      <c r="BB161" s="101"/>
      <c r="BC161" s="100"/>
      <c r="BD161" s="100"/>
      <c r="BE161" s="100"/>
      <c r="BF161" s="100"/>
      <c r="BG161" s="101"/>
      <c r="BH161" s="100"/>
      <c r="BI161" s="100"/>
      <c r="BJ161" s="100"/>
      <c r="BK161" s="100"/>
      <c r="BL161" s="101"/>
      <c r="BM161" s="100"/>
      <c r="BN161" s="100"/>
      <c r="BO161" s="100"/>
      <c r="BP161" s="100"/>
      <c r="BQ161" s="101"/>
      <c r="BR161" s="100"/>
      <c r="BS161" s="100"/>
      <c r="BT161" s="100"/>
      <c r="BU161" s="100"/>
      <c r="BV161" s="101"/>
      <c r="BW161" s="100"/>
      <c r="BX161" s="100"/>
      <c r="BY161" s="100"/>
      <c r="BZ161" s="100"/>
      <c r="CA161" s="101"/>
      <c r="CB161" s="100"/>
      <c r="CC161" s="100"/>
      <c r="CD161" s="100"/>
      <c r="CE161" s="100"/>
      <c r="CF161" s="101"/>
      <c r="CG161" s="100"/>
      <c r="CH161" s="100"/>
      <c r="CI161" s="100"/>
      <c r="CJ161" s="100"/>
      <c r="CK161" s="101"/>
      <c r="CL161" s="100"/>
      <c r="CM161" s="100"/>
      <c r="CN161" s="100"/>
      <c r="CO161" s="100"/>
      <c r="CP161" s="101"/>
      <c r="CQ161" s="100"/>
      <c r="CR161" s="100"/>
      <c r="CS161" s="100"/>
      <c r="CT161" s="100"/>
      <c r="CU161" s="101"/>
      <c r="CV161" s="100"/>
      <c r="CW161" s="100"/>
      <c r="CX161" s="100"/>
      <c r="CY161" s="100"/>
      <c r="CZ161" s="284"/>
      <c r="DA161" s="100"/>
      <c r="DB161" s="100"/>
      <c r="DC161" s="100"/>
      <c r="DD161" s="100"/>
      <c r="DE161" s="284"/>
      <c r="DF161" s="100"/>
      <c r="DG161" s="100"/>
      <c r="DH161" s="100"/>
      <c r="DI161" s="100"/>
      <c r="DJ161" s="284"/>
      <c r="DK161" s="100"/>
      <c r="DL161" s="100"/>
      <c r="DM161" s="100"/>
      <c r="DN161" s="100"/>
      <c r="DO161" s="284"/>
      <c r="DP161" s="100"/>
      <c r="DQ161" s="100"/>
      <c r="DR161" s="100"/>
      <c r="DS161" s="100"/>
      <c r="DT161" s="284"/>
      <c r="DU161" s="100"/>
      <c r="DV161" s="100"/>
      <c r="DW161" s="100"/>
      <c r="DX161" s="100"/>
      <c r="DY161" s="284"/>
      <c r="DZ161" s="16"/>
    </row>
    <row r="162" spans="1:130" x14ac:dyDescent="0.2">
      <c r="A162" s="243"/>
      <c r="B162" s="272" t="s">
        <v>240</v>
      </c>
      <c r="C162" s="245"/>
      <c r="D162" s="245"/>
      <c r="E162" s="288"/>
      <c r="F162" s="288"/>
      <c r="G162" s="288"/>
      <c r="H162" s="288"/>
      <c r="I162" s="246"/>
      <c r="J162" s="288"/>
      <c r="K162" s="288"/>
      <c r="L162" s="288"/>
      <c r="M162" s="288"/>
      <c r="N162" s="246"/>
      <c r="O162" s="288"/>
      <c r="P162" s="288"/>
      <c r="Q162" s="288"/>
      <c r="R162" s="288"/>
      <c r="S162" s="246"/>
      <c r="T162" s="288"/>
      <c r="U162" s="288"/>
      <c r="V162" s="288"/>
      <c r="W162" s="288"/>
      <c r="X162" s="246"/>
      <c r="Y162" s="288"/>
      <c r="Z162" s="288"/>
      <c r="AA162" s="288"/>
      <c r="AB162" s="288"/>
      <c r="AC162" s="246"/>
      <c r="AD162" s="288"/>
      <c r="AE162" s="288"/>
      <c r="AF162" s="288"/>
      <c r="AG162" s="288"/>
      <c r="AH162" s="246"/>
      <c r="AI162" s="288"/>
      <c r="AJ162" s="288"/>
      <c r="AK162" s="288"/>
      <c r="AL162" s="288"/>
      <c r="AM162" s="246"/>
      <c r="AN162" s="288"/>
      <c r="AO162" s="288"/>
      <c r="AP162" s="288"/>
      <c r="AQ162" s="288"/>
      <c r="AR162" s="246"/>
      <c r="AS162" s="288"/>
      <c r="AT162" s="288"/>
      <c r="AU162" s="288"/>
      <c r="AV162" s="288"/>
      <c r="AW162" s="246"/>
      <c r="AX162" s="288"/>
      <c r="AY162" s="288"/>
      <c r="AZ162" s="288"/>
      <c r="BA162" s="288"/>
      <c r="BB162" s="246"/>
      <c r="BC162" s="247"/>
      <c r="BD162" s="247"/>
      <c r="BE162" s="247"/>
      <c r="BF162" s="247"/>
      <c r="BG162" s="246"/>
      <c r="BH162" s="247"/>
      <c r="BI162" s="247"/>
      <c r="BJ162" s="247"/>
      <c r="BK162" s="247"/>
      <c r="BL162" s="246">
        <f t="shared" ref="BL162:CG162" si="384">BL158/BL160</f>
        <v>0.5938619881451791</v>
      </c>
      <c r="BM162" s="247">
        <f t="shared" si="384"/>
        <v>0.6241776778183864</v>
      </c>
      <c r="BN162" s="247">
        <f t="shared" si="384"/>
        <v>0.60865460267505889</v>
      </c>
      <c r="BO162" s="247">
        <f t="shared" si="384"/>
        <v>0.57828188917813317</v>
      </c>
      <c r="BP162" s="247">
        <f t="shared" si="384"/>
        <v>0.59280166184971095</v>
      </c>
      <c r="BQ162" s="246">
        <f t="shared" si="384"/>
        <v>0.60014645238370523</v>
      </c>
      <c r="BR162" s="247">
        <f t="shared" si="384"/>
        <v>0.66119250791606288</v>
      </c>
      <c r="BS162" s="247">
        <f t="shared" si="384"/>
        <v>0.6303512880562061</v>
      </c>
      <c r="BT162" s="247">
        <f t="shared" si="384"/>
        <v>0.55686059821828493</v>
      </c>
      <c r="BU162" s="247">
        <f t="shared" si="384"/>
        <v>0.61213884847225108</v>
      </c>
      <c r="BV162" s="246">
        <f t="shared" si="384"/>
        <v>0.61452241715399614</v>
      </c>
      <c r="BW162" s="247">
        <f t="shared" si="384"/>
        <v>0.66978193146417442</v>
      </c>
      <c r="BX162" s="247">
        <f t="shared" si="384"/>
        <v>0.66569343065693432</v>
      </c>
      <c r="BY162" s="247">
        <f t="shared" si="384"/>
        <v>0.63609898107714702</v>
      </c>
      <c r="BZ162" s="247">
        <f t="shared" si="384"/>
        <v>0.69995750106247345</v>
      </c>
      <c r="CA162" s="246">
        <f t="shared" si="384"/>
        <v>0.66896962477665278</v>
      </c>
      <c r="CB162" s="247">
        <f t="shared" si="384"/>
        <v>0.7343331547937868</v>
      </c>
      <c r="CC162" s="247">
        <f t="shared" si="384"/>
        <v>0.73093525179856111</v>
      </c>
      <c r="CD162" s="247">
        <f t="shared" si="384"/>
        <v>0.6483767718335619</v>
      </c>
      <c r="CE162" s="247">
        <f t="shared" si="384"/>
        <v>0.67566002779064382</v>
      </c>
      <c r="CF162" s="246">
        <f t="shared" si="384"/>
        <v>0.69457490435061497</v>
      </c>
      <c r="CG162" s="247">
        <f t="shared" si="384"/>
        <v>0.77013177159590041</v>
      </c>
      <c r="CH162" s="247">
        <f t="shared" ref="CH162:CZ162" si="385">CH158/CH160</f>
        <v>0.73210625392177375</v>
      </c>
      <c r="CI162" s="247">
        <f t="shared" si="385"/>
        <v>0.63617173809144489</v>
      </c>
      <c r="CJ162" s="247">
        <f t="shared" si="385"/>
        <v>0.61587624135557661</v>
      </c>
      <c r="CK162" s="246">
        <f t="shared" si="385"/>
        <v>0.68035475033495296</v>
      </c>
      <c r="CL162" s="247">
        <f t="shared" ca="1" si="385"/>
        <v>0.74485227870663662</v>
      </c>
      <c r="CM162" s="247">
        <f t="shared" si="385"/>
        <v>0.69802438933985689</v>
      </c>
      <c r="CN162" s="247">
        <f>CN158/CN160</f>
        <v>0.60712321232123212</v>
      </c>
      <c r="CO162" s="247">
        <f>CO158/CO160</f>
        <v>0.6531243761229788</v>
      </c>
      <c r="CP162" s="246">
        <f t="shared" ca="1" si="385"/>
        <v>0.67277129300922001</v>
      </c>
      <c r="CQ162" s="247">
        <f t="shared" si="385"/>
        <v>0.72014623686153201</v>
      </c>
      <c r="CR162" s="247">
        <f t="shared" si="385"/>
        <v>0.66029933044505718</v>
      </c>
      <c r="CS162" s="247">
        <f t="shared" si="385"/>
        <v>0.59475589472654333</v>
      </c>
      <c r="CT162" s="247">
        <f t="shared" si="385"/>
        <v>0.66060894386298752</v>
      </c>
      <c r="CU162" s="246">
        <f t="shared" si="385"/>
        <v>0.65784258678204577</v>
      </c>
      <c r="CV162" s="247">
        <f t="shared" si="385"/>
        <v>0.6943874760732841</v>
      </c>
      <c r="CW162" s="247">
        <f t="shared" si="385"/>
        <v>0.64324149108589956</v>
      </c>
      <c r="CX162" s="247">
        <f t="shared" si="385"/>
        <v>0.59951985064567481</v>
      </c>
      <c r="CY162" s="247">
        <f>CY158/CY160</f>
        <v>0.65445321098649778</v>
      </c>
      <c r="CZ162" s="244">
        <f t="shared" si="385"/>
        <v>0.64687236478767884</v>
      </c>
      <c r="DA162" s="247">
        <f>DA158/DA160</f>
        <v>0.69395874483928133</v>
      </c>
      <c r="DB162" s="247">
        <f t="shared" ref="DB162:DJ162" si="386">DB158/DB160</f>
        <v>0.64277534721202689</v>
      </c>
      <c r="DC162" s="247">
        <f>DC158/DC160</f>
        <v>0.57586761425533028</v>
      </c>
      <c r="DD162" s="247">
        <f t="shared" si="386"/>
        <v>0.63286600895086909</v>
      </c>
      <c r="DE162" s="244">
        <f t="shared" si="386"/>
        <v>0.63326260157406267</v>
      </c>
      <c r="DF162" s="247">
        <f t="shared" si="386"/>
        <v>0.6786107129762341</v>
      </c>
      <c r="DG162" s="247">
        <f>DG158/DG160</f>
        <v>0.60095394337100505</v>
      </c>
      <c r="DH162" s="247">
        <f>DH158/DH160</f>
        <v>0.56362953179764808</v>
      </c>
      <c r="DI162" s="247">
        <f>DI158/DI160</f>
        <v>0.60676451702917833</v>
      </c>
      <c r="DJ162" s="244">
        <f t="shared" si="386"/>
        <v>0.60999269145575818</v>
      </c>
      <c r="DK162" s="247">
        <f t="shared" ref="DK162:DT162" ca="1" si="387">DK158/DK160</f>
        <v>0.67551161676021676</v>
      </c>
      <c r="DL162" s="247">
        <f t="shared" ca="1" si="387"/>
        <v>0.58631997143598524</v>
      </c>
      <c r="DM162" s="247">
        <f t="shared" ca="1" si="387"/>
        <v>0.53429557640377301</v>
      </c>
      <c r="DN162" s="247">
        <f t="shared" ca="1" si="387"/>
        <v>0.59136630492533504</v>
      </c>
      <c r="DO162" s="244">
        <f t="shared" ca="1" si="387"/>
        <v>0.59403191055757121</v>
      </c>
      <c r="DP162" s="247">
        <f t="shared" ca="1" si="387"/>
        <v>0.66319838017497845</v>
      </c>
      <c r="DQ162" s="247">
        <f t="shared" ca="1" si="387"/>
        <v>0.5798017762693598</v>
      </c>
      <c r="DR162" s="247">
        <f t="shared" ca="1" si="387"/>
        <v>0.52725346801554707</v>
      </c>
      <c r="DS162" s="247">
        <f t="shared" ca="1" si="387"/>
        <v>0.58415951584547121</v>
      </c>
      <c r="DT162" s="244">
        <f t="shared" ca="1" si="387"/>
        <v>0.58600913783537323</v>
      </c>
      <c r="DU162" s="247">
        <f t="shared" ref="DU162:DY162" ca="1" si="388">DU158/DU160</f>
        <v>0.65435737046659315</v>
      </c>
      <c r="DV162" s="247">
        <f t="shared" ca="1" si="388"/>
        <v>0.56996199106805967</v>
      </c>
      <c r="DW162" s="247">
        <f t="shared" ca="1" si="388"/>
        <v>0.5172897261182271</v>
      </c>
      <c r="DX162" s="247">
        <f t="shared" ca="1" si="388"/>
        <v>0.57421656295666634</v>
      </c>
      <c r="DY162" s="244">
        <f t="shared" ca="1" si="388"/>
        <v>0.57623916152978238</v>
      </c>
      <c r="DZ162" s="250"/>
    </row>
    <row r="163" spans="1:130" x14ac:dyDescent="0.2">
      <c r="A163" s="243"/>
      <c r="B163" s="272" t="s">
        <v>241</v>
      </c>
      <c r="C163" s="245"/>
      <c r="D163" s="245"/>
      <c r="E163" s="288"/>
      <c r="F163" s="288"/>
      <c r="G163" s="288"/>
      <c r="H163" s="288"/>
      <c r="I163" s="246"/>
      <c r="J163" s="288"/>
      <c r="K163" s="288"/>
      <c r="L163" s="288"/>
      <c r="M163" s="288"/>
      <c r="N163" s="246"/>
      <c r="O163" s="288"/>
      <c r="P163" s="288"/>
      <c r="Q163" s="288"/>
      <c r="R163" s="288"/>
      <c r="S163" s="246"/>
      <c r="T163" s="288"/>
      <c r="U163" s="288"/>
      <c r="V163" s="288"/>
      <c r="W163" s="288"/>
      <c r="X163" s="246"/>
      <c r="Y163" s="288"/>
      <c r="Z163" s="288"/>
      <c r="AA163" s="288"/>
      <c r="AB163" s="288"/>
      <c r="AC163" s="246"/>
      <c r="AD163" s="288"/>
      <c r="AE163" s="288"/>
      <c r="AF163" s="288"/>
      <c r="AG163" s="288"/>
      <c r="AH163" s="246"/>
      <c r="AI163" s="288"/>
      <c r="AJ163" s="288"/>
      <c r="AK163" s="288"/>
      <c r="AL163" s="288"/>
      <c r="AM163" s="246"/>
      <c r="AN163" s="288"/>
      <c r="AO163" s="288"/>
      <c r="AP163" s="288"/>
      <c r="AQ163" s="288"/>
      <c r="AR163" s="246"/>
      <c r="AS163" s="288"/>
      <c r="AT163" s="288"/>
      <c r="AU163" s="288"/>
      <c r="AV163" s="288"/>
      <c r="AW163" s="246"/>
      <c r="AX163" s="288"/>
      <c r="AY163" s="288"/>
      <c r="AZ163" s="288"/>
      <c r="BA163" s="288"/>
      <c r="BB163" s="246"/>
      <c r="BC163" s="247"/>
      <c r="BD163" s="247"/>
      <c r="BE163" s="247"/>
      <c r="BF163" s="247"/>
      <c r="BG163" s="246"/>
      <c r="BH163" s="247"/>
      <c r="BI163" s="247"/>
      <c r="BJ163" s="247"/>
      <c r="BK163" s="247"/>
      <c r="BL163" s="246">
        <f t="shared" ref="BL163:CG163" si="389">BL159/BL160</f>
        <v>0.4061380118548209</v>
      </c>
      <c r="BM163" s="247">
        <f t="shared" si="389"/>
        <v>0.37582232218161371</v>
      </c>
      <c r="BN163" s="247">
        <f t="shared" si="389"/>
        <v>0.391345397324941</v>
      </c>
      <c r="BO163" s="247">
        <f t="shared" si="389"/>
        <v>0.42171811082186689</v>
      </c>
      <c r="BP163" s="247">
        <f t="shared" si="389"/>
        <v>0.407198338150289</v>
      </c>
      <c r="BQ163" s="246">
        <f t="shared" si="389"/>
        <v>0.39985354761629471</v>
      </c>
      <c r="BR163" s="247">
        <f t="shared" si="389"/>
        <v>0.33880749208393707</v>
      </c>
      <c r="BS163" s="247">
        <f t="shared" si="389"/>
        <v>0.3696487119437939</v>
      </c>
      <c r="BT163" s="247">
        <f t="shared" si="389"/>
        <v>0.44313940178171507</v>
      </c>
      <c r="BU163" s="247">
        <f t="shared" si="389"/>
        <v>0.38786115152774892</v>
      </c>
      <c r="BV163" s="246">
        <f t="shared" si="389"/>
        <v>0.38547758284600386</v>
      </c>
      <c r="BW163" s="247">
        <f t="shared" si="389"/>
        <v>0.33021806853582553</v>
      </c>
      <c r="BX163" s="247">
        <f t="shared" si="389"/>
        <v>0.33430656934306568</v>
      </c>
      <c r="BY163" s="247">
        <f t="shared" si="389"/>
        <v>0.36390101892285298</v>
      </c>
      <c r="BZ163" s="247">
        <f t="shared" si="389"/>
        <v>0.30004249893752655</v>
      </c>
      <c r="CA163" s="246">
        <f t="shared" si="389"/>
        <v>0.33103037522334722</v>
      </c>
      <c r="CB163" s="247">
        <f t="shared" si="389"/>
        <v>0.2656668452062132</v>
      </c>
      <c r="CC163" s="247">
        <f t="shared" si="389"/>
        <v>0.26906474820143883</v>
      </c>
      <c r="CD163" s="247">
        <f t="shared" si="389"/>
        <v>0.35162322816643804</v>
      </c>
      <c r="CE163" s="247">
        <f t="shared" si="389"/>
        <v>0.32433997220935612</v>
      </c>
      <c r="CF163" s="246">
        <f t="shared" si="389"/>
        <v>0.30542509564938503</v>
      </c>
      <c r="CG163" s="247">
        <f t="shared" si="389"/>
        <v>0.22986822840409957</v>
      </c>
      <c r="CH163" s="247">
        <f t="shared" ref="CH163:CZ163" si="390">CH159/CH160</f>
        <v>0.26789374607822625</v>
      </c>
      <c r="CI163" s="247">
        <f t="shared" si="390"/>
        <v>0.363828261908555</v>
      </c>
      <c r="CJ163" s="247">
        <f t="shared" si="390"/>
        <v>0.38412375864442333</v>
      </c>
      <c r="CK163" s="246">
        <f t="shared" si="390"/>
        <v>0.31964524966504709</v>
      </c>
      <c r="CL163" s="247">
        <f t="shared" ca="1" si="390"/>
        <v>0.25514772129336333</v>
      </c>
      <c r="CM163" s="247">
        <f t="shared" si="390"/>
        <v>0.30197561066014306</v>
      </c>
      <c r="CN163" s="247">
        <f>CN159/CN160</f>
        <v>0.39287678767876782</v>
      </c>
      <c r="CO163" s="247">
        <f>CO159/CO160</f>
        <v>0.34687562387702131</v>
      </c>
      <c r="CP163" s="246">
        <f t="shared" ca="1" si="390"/>
        <v>0.32722870699077994</v>
      </c>
      <c r="CQ163" s="247">
        <f t="shared" si="390"/>
        <v>0.27985376313846799</v>
      </c>
      <c r="CR163" s="247">
        <f t="shared" si="390"/>
        <v>0.33970066955494288</v>
      </c>
      <c r="CS163" s="247">
        <f t="shared" si="390"/>
        <v>0.40524410527345661</v>
      </c>
      <c r="CT163" s="247">
        <f t="shared" si="390"/>
        <v>0.33939105613701243</v>
      </c>
      <c r="CU163" s="246">
        <f t="shared" si="390"/>
        <v>0.34215741321795423</v>
      </c>
      <c r="CV163" s="247">
        <f t="shared" si="390"/>
        <v>0.3056125239267159</v>
      </c>
      <c r="CW163" s="247">
        <f t="shared" si="390"/>
        <v>0.35675850891410044</v>
      </c>
      <c r="CX163" s="247">
        <f t="shared" si="390"/>
        <v>0.40048014935432513</v>
      </c>
      <c r="CY163" s="247">
        <f>CY159/CY160</f>
        <v>0.34554678901350222</v>
      </c>
      <c r="CZ163" s="244">
        <f t="shared" si="390"/>
        <v>0.35312763521232116</v>
      </c>
      <c r="DA163" s="247">
        <f>DA159/DA160</f>
        <v>0.30604125516071873</v>
      </c>
      <c r="DB163" s="247">
        <f t="shared" ref="DB163:DJ163" si="391">DB159/DB160</f>
        <v>0.35722465278797311</v>
      </c>
      <c r="DC163" s="247">
        <f>DC159/DC160</f>
        <v>0.42413238574466977</v>
      </c>
      <c r="DD163" s="247">
        <f t="shared" si="391"/>
        <v>0.36713399104913091</v>
      </c>
      <c r="DE163" s="244">
        <f t="shared" si="391"/>
        <v>0.36673739842593728</v>
      </c>
      <c r="DF163" s="247">
        <f t="shared" si="391"/>
        <v>0.3213892870237659</v>
      </c>
      <c r="DG163" s="247">
        <f>DG159/DG160</f>
        <v>0.39904605662899495</v>
      </c>
      <c r="DH163" s="247">
        <f>DH159/DH160</f>
        <v>0.43637046820235187</v>
      </c>
      <c r="DI163" s="247">
        <f>DI159/DI160</f>
        <v>0.39323548297082178</v>
      </c>
      <c r="DJ163" s="244">
        <f t="shared" si="391"/>
        <v>0.3900073085442417</v>
      </c>
      <c r="DK163" s="247">
        <f t="shared" ref="DK163:DT163" ca="1" si="392">DK159/DK160</f>
        <v>0.3244883832397833</v>
      </c>
      <c r="DL163" s="247">
        <f t="shared" ca="1" si="392"/>
        <v>0.4136800285640147</v>
      </c>
      <c r="DM163" s="247">
        <f t="shared" ca="1" si="392"/>
        <v>0.46570442359622694</v>
      </c>
      <c r="DN163" s="247">
        <f t="shared" ca="1" si="392"/>
        <v>0.4086336950746649</v>
      </c>
      <c r="DO163" s="244">
        <f t="shared" ca="1" si="392"/>
        <v>0.40596808944242885</v>
      </c>
      <c r="DP163" s="247">
        <f t="shared" ca="1" si="392"/>
        <v>0.3368016198250216</v>
      </c>
      <c r="DQ163" s="247">
        <f t="shared" ca="1" si="392"/>
        <v>0.42019822373064009</v>
      </c>
      <c r="DR163" s="247">
        <f t="shared" ca="1" si="392"/>
        <v>0.47274653198445293</v>
      </c>
      <c r="DS163" s="247">
        <f t="shared" ca="1" si="392"/>
        <v>0.41584048415452868</v>
      </c>
      <c r="DT163" s="244">
        <f t="shared" ca="1" si="392"/>
        <v>0.41399086216462683</v>
      </c>
      <c r="DU163" s="247">
        <f t="shared" ref="DU163:DY163" ca="1" si="393">DU159/DU160</f>
        <v>0.3456426295334068</v>
      </c>
      <c r="DV163" s="247">
        <f t="shared" ca="1" si="393"/>
        <v>0.43003800893194022</v>
      </c>
      <c r="DW163" s="247">
        <f t="shared" ca="1" si="393"/>
        <v>0.48271027388177296</v>
      </c>
      <c r="DX163" s="247">
        <f t="shared" ca="1" si="393"/>
        <v>0.42578343704333366</v>
      </c>
      <c r="DY163" s="244">
        <f t="shared" ca="1" si="393"/>
        <v>0.42376083847021762</v>
      </c>
      <c r="DZ163" s="250"/>
    </row>
    <row r="164" spans="1:130" ht="5.25" customHeight="1" x14ac:dyDescent="0.2">
      <c r="A164" s="243"/>
      <c r="B164" s="272"/>
      <c r="C164" s="245"/>
      <c r="D164" s="245"/>
      <c r="E164" s="245"/>
      <c r="F164" s="245"/>
      <c r="G164" s="245"/>
      <c r="H164" s="245"/>
      <c r="I164" s="246"/>
      <c r="J164" s="245"/>
      <c r="K164" s="245"/>
      <c r="L164" s="245"/>
      <c r="M164" s="245"/>
      <c r="N164" s="246"/>
      <c r="O164" s="245"/>
      <c r="P164" s="245"/>
      <c r="Q164" s="245"/>
      <c r="R164" s="245"/>
      <c r="S164" s="246"/>
      <c r="T164" s="245"/>
      <c r="U164" s="245"/>
      <c r="V164" s="245"/>
      <c r="W164" s="245"/>
      <c r="X164" s="246"/>
      <c r="Y164" s="245"/>
      <c r="Z164" s="245"/>
      <c r="AA164" s="245"/>
      <c r="AB164" s="245"/>
      <c r="AC164" s="246"/>
      <c r="AD164" s="245"/>
      <c r="AE164" s="245"/>
      <c r="AF164" s="245"/>
      <c r="AG164" s="245"/>
      <c r="AH164" s="246"/>
      <c r="AI164" s="245"/>
      <c r="AJ164" s="245"/>
      <c r="AK164" s="245"/>
      <c r="AL164" s="245"/>
      <c r="AM164" s="246"/>
      <c r="AN164" s="245"/>
      <c r="AO164" s="245"/>
      <c r="AP164" s="245"/>
      <c r="AQ164" s="245"/>
      <c r="AR164" s="246"/>
      <c r="AS164" s="245"/>
      <c r="AT164" s="245"/>
      <c r="AU164" s="245"/>
      <c r="AV164" s="245"/>
      <c r="AW164" s="246"/>
      <c r="AX164" s="245"/>
      <c r="AY164" s="245"/>
      <c r="AZ164" s="245"/>
      <c r="BA164" s="245"/>
      <c r="BB164" s="246"/>
      <c r="BC164" s="245"/>
      <c r="BD164" s="245"/>
      <c r="BE164" s="245"/>
      <c r="BF164" s="245"/>
      <c r="BG164" s="246"/>
      <c r="BH164" s="245"/>
      <c r="BI164" s="245"/>
      <c r="BJ164" s="245"/>
      <c r="BK164" s="245"/>
      <c r="BL164" s="246"/>
      <c r="BM164" s="245"/>
      <c r="BN164" s="245"/>
      <c r="BO164" s="245"/>
      <c r="BP164" s="245"/>
      <c r="BQ164" s="246"/>
      <c r="BR164" s="245"/>
      <c r="BS164" s="245"/>
      <c r="BT164" s="245"/>
      <c r="BU164" s="245"/>
      <c r="BV164" s="246"/>
      <c r="BW164" s="245"/>
      <c r="BX164" s="245"/>
      <c r="BY164" s="245"/>
      <c r="BZ164" s="245"/>
      <c r="CA164" s="246"/>
      <c r="CB164" s="245"/>
      <c r="CC164" s="245"/>
      <c r="CD164" s="245"/>
      <c r="CE164" s="245"/>
      <c r="CF164" s="246"/>
      <c r="CG164" s="245"/>
      <c r="CH164" s="245"/>
      <c r="CI164" s="245"/>
      <c r="CJ164" s="245"/>
      <c r="CK164" s="246"/>
      <c r="CL164" s="245"/>
      <c r="CM164" s="245"/>
      <c r="CN164" s="245"/>
      <c r="CO164" s="245"/>
      <c r="CP164" s="246"/>
      <c r="CQ164" s="245"/>
      <c r="CR164" s="245"/>
      <c r="CS164" s="245"/>
      <c r="CT164" s="245"/>
      <c r="CU164" s="246"/>
      <c r="CV164" s="245"/>
      <c r="CW164" s="245"/>
      <c r="CX164" s="245"/>
      <c r="CY164" s="245"/>
      <c r="CZ164" s="244"/>
      <c r="DA164" s="245"/>
      <c r="DB164" s="245"/>
      <c r="DC164" s="245"/>
      <c r="DD164" s="245"/>
      <c r="DE164" s="244"/>
      <c r="DF164" s="245"/>
      <c r="DG164" s="245"/>
      <c r="DH164" s="245"/>
      <c r="DI164" s="245"/>
      <c r="DJ164" s="244"/>
      <c r="DK164" s="245"/>
      <c r="DL164" s="245"/>
      <c r="DM164" s="245"/>
      <c r="DN164" s="245"/>
      <c r="DO164" s="244"/>
      <c r="DP164" s="245"/>
      <c r="DQ164" s="245"/>
      <c r="DR164" s="245"/>
      <c r="DS164" s="245"/>
      <c r="DT164" s="244"/>
      <c r="DU164" s="245"/>
      <c r="DV164" s="245"/>
      <c r="DW164" s="245"/>
      <c r="DX164" s="245"/>
      <c r="DY164" s="244"/>
      <c r="DZ164" s="250"/>
    </row>
    <row r="165" spans="1:130" x14ac:dyDescent="0.2">
      <c r="A165" s="57"/>
      <c r="B165" s="254" t="s">
        <v>240</v>
      </c>
      <c r="C165" s="238"/>
      <c r="D165" s="238"/>
      <c r="E165" s="238"/>
      <c r="F165" s="238"/>
      <c r="G165" s="238"/>
      <c r="H165" s="238"/>
      <c r="I165" s="239"/>
      <c r="J165" s="238"/>
      <c r="K165" s="238"/>
      <c r="L165" s="238"/>
      <c r="M165" s="238"/>
      <c r="N165" s="239"/>
      <c r="O165" s="238"/>
      <c r="P165" s="238"/>
      <c r="Q165" s="238"/>
      <c r="R165" s="238"/>
      <c r="S165" s="239"/>
      <c r="T165" s="238"/>
      <c r="U165" s="238"/>
      <c r="V165" s="238"/>
      <c r="W165" s="238"/>
      <c r="X165" s="239"/>
      <c r="Y165" s="238"/>
      <c r="Z165" s="238"/>
      <c r="AA165" s="238"/>
      <c r="AB165" s="238"/>
      <c r="AC165" s="239"/>
      <c r="AD165" s="238"/>
      <c r="AE165" s="238"/>
      <c r="AF165" s="238"/>
      <c r="AG165" s="238"/>
      <c r="AH165" s="239"/>
      <c r="AI165" s="238"/>
      <c r="AJ165" s="238"/>
      <c r="AK165" s="238"/>
      <c r="AL165" s="238"/>
      <c r="AM165" s="239"/>
      <c r="AN165" s="238"/>
      <c r="AO165" s="238"/>
      <c r="AP165" s="238"/>
      <c r="AQ165" s="238"/>
      <c r="AR165" s="239"/>
      <c r="AS165" s="238"/>
      <c r="AT165" s="238"/>
      <c r="AU165" s="238"/>
      <c r="AV165" s="238"/>
      <c r="AW165" s="239"/>
      <c r="AX165" s="238"/>
      <c r="AY165" s="238"/>
      <c r="AZ165" s="238"/>
      <c r="BA165" s="238"/>
      <c r="BB165" s="239"/>
      <c r="BC165" s="238"/>
      <c r="BD165" s="238"/>
      <c r="BE165" s="238"/>
      <c r="BF165" s="238"/>
      <c r="BG165" s="239"/>
      <c r="BH165" s="238"/>
      <c r="BI165" s="238"/>
      <c r="BJ165" s="238"/>
      <c r="BK165" s="238"/>
      <c r="BL165" s="239">
        <f t="shared" ref="BL165:CZ166" si="394">BL$167*BL162</f>
        <v>3496.5999999999985</v>
      </c>
      <c r="BM165" s="238">
        <f t="shared" si="394"/>
        <v>1042.0022153500142</v>
      </c>
      <c r="BN165" s="238">
        <f t="shared" si="394"/>
        <v>1088.3352950432754</v>
      </c>
      <c r="BO165" s="238">
        <f t="shared" si="394"/>
        <v>1027.6647452584596</v>
      </c>
      <c r="BP165" s="238">
        <f t="shared" si="394"/>
        <v>1236.4657062861284</v>
      </c>
      <c r="BQ165" s="239">
        <f t="shared" si="394"/>
        <v>4393.3120900296717</v>
      </c>
      <c r="BR165" s="238">
        <f t="shared" si="394"/>
        <v>1144.5903504534963</v>
      </c>
      <c r="BS165" s="238">
        <f t="shared" si="394"/>
        <v>1249.4192880562043</v>
      </c>
      <c r="BT165" s="238">
        <f t="shared" si="394"/>
        <v>1039.2132483949636</v>
      </c>
      <c r="BU165" s="238">
        <f t="shared" si="394"/>
        <v>1376.026917480774</v>
      </c>
      <c r="BV165" s="239">
        <f t="shared" si="394"/>
        <v>4810.0513157894666</v>
      </c>
      <c r="BW165" s="238">
        <f t="shared" si="394"/>
        <v>1184.1744548286604</v>
      </c>
      <c r="BX165" s="238">
        <f t="shared" si="394"/>
        <v>1244.1810218978103</v>
      </c>
      <c r="BY165" s="238">
        <f t="shared" si="394"/>
        <v>1179.3275109170306</v>
      </c>
      <c r="BZ165" s="238">
        <f t="shared" si="394"/>
        <v>1500.0089247768806</v>
      </c>
      <c r="CA165" s="239">
        <f t="shared" si="394"/>
        <v>5106.914115544967</v>
      </c>
      <c r="CB165" s="238">
        <f t="shared" si="394"/>
        <v>1237.3513658275308</v>
      </c>
      <c r="CC165" s="238">
        <f t="shared" si="394"/>
        <v>1374.8892086330934</v>
      </c>
      <c r="CD165" s="238">
        <f t="shared" si="394"/>
        <v>1290.9181527206217</v>
      </c>
      <c r="CE165" s="238">
        <f t="shared" si="394"/>
        <v>1589.6929133858275</v>
      </c>
      <c r="CF165" s="239">
        <f t="shared" si="394"/>
        <v>5493.9485784324906</v>
      </c>
      <c r="CG165" s="238">
        <f t="shared" si="394"/>
        <v>1407.03074670571</v>
      </c>
      <c r="CH165" s="238">
        <f t="shared" si="394"/>
        <v>1565.7556452624981</v>
      </c>
      <c r="CI165" s="238">
        <f t="shared" si="394"/>
        <v>1435.2511540146556</v>
      </c>
      <c r="CJ165" s="238">
        <f t="shared" si="394"/>
        <v>1699.0177870276291</v>
      </c>
      <c r="CK165" s="239">
        <f t="shared" si="394"/>
        <v>6109.9088265143027</v>
      </c>
      <c r="CL165" s="238">
        <f t="shared" ca="1" si="394"/>
        <v>1639.4198654333072</v>
      </c>
      <c r="CM165" s="238">
        <f t="shared" si="394"/>
        <v>1687.6135661069716</v>
      </c>
      <c r="CN165" s="238">
        <f>CN$167*CN162</f>
        <v>1548.832026952696</v>
      </c>
      <c r="CO165" s="238">
        <f>CO$167*CO162</f>
        <v>1746.5852066280709</v>
      </c>
      <c r="CP165" s="239">
        <f t="shared" ca="1" si="394"/>
        <v>6622.7606083827641</v>
      </c>
      <c r="CQ165" s="238">
        <f t="shared" si="394"/>
        <v>1801.8778992512377</v>
      </c>
      <c r="CR165" s="238">
        <f t="shared" si="394"/>
        <v>1779.3746356833426</v>
      </c>
      <c r="CS165" s="238">
        <f t="shared" si="394"/>
        <v>1619.4608257509044</v>
      </c>
      <c r="CT165" s="238">
        <f t="shared" si="394"/>
        <v>1856.0468886774518</v>
      </c>
      <c r="CU165" s="239">
        <f t="shared" si="394"/>
        <v>7058.2562506192817</v>
      </c>
      <c r="CV165" s="238">
        <f t="shared" si="394"/>
        <v>1821.031156002191</v>
      </c>
      <c r="CW165" s="238">
        <f t="shared" si="394"/>
        <v>1768.5924797406783</v>
      </c>
      <c r="CX165" s="238">
        <f t="shared" si="394"/>
        <v>1792.7262344240278</v>
      </c>
      <c r="CY165" s="238">
        <f>CY$167*CY162</f>
        <v>2265.6546652773141</v>
      </c>
      <c r="CZ165" s="254">
        <f t="shared" si="394"/>
        <v>7648.7318793471914</v>
      </c>
      <c r="DA165" s="238">
        <f>DA$167*DA162</f>
        <v>1977.2966516705635</v>
      </c>
      <c r="DB165" s="238">
        <f t="shared" ref="DB165:DF166" si="395">DB$167*DB162</f>
        <v>1955.3868837537066</v>
      </c>
      <c r="DC165" s="238">
        <f>DC$167*DC162</f>
        <v>2007.8200238626332</v>
      </c>
      <c r="DD165" s="238">
        <f t="shared" si="395"/>
        <v>2306.8598892268119</v>
      </c>
      <c r="DE165" s="254">
        <f t="shared" si="395"/>
        <v>8247.0421865591725</v>
      </c>
      <c r="DF165" s="238">
        <f t="shared" si="395"/>
        <v>1781.963871204292</v>
      </c>
      <c r="DG165" s="238">
        <f t="shared" ref="DG165:DI166" si="396">DG$167*DG162</f>
        <v>1737.128787651204</v>
      </c>
      <c r="DH165" s="238">
        <f t="shared" si="396"/>
        <v>1761.4797357239747</v>
      </c>
      <c r="DI165" s="238">
        <f t="shared" si="396"/>
        <v>2319.8772951770479</v>
      </c>
      <c r="DJ165" s="254">
        <f t="shared" ref="DJ165:DJ166" si="397">DJ$167*DJ162</f>
        <v>7603.6318456608169</v>
      </c>
      <c r="DK165" s="238">
        <f t="shared" ref="DK165:DT165" ca="1" si="398">DK$167*DK162</f>
        <v>1841.0070919116479</v>
      </c>
      <c r="DL165" s="238">
        <f t="shared" ca="1" si="398"/>
        <v>1756.0436086395757</v>
      </c>
      <c r="DM165" s="238">
        <f t="shared" ca="1" si="398"/>
        <v>1680.1344600531784</v>
      </c>
      <c r="DN165" s="238">
        <f t="shared" ca="1" si="398"/>
        <v>2144.2915768254757</v>
      </c>
      <c r="DO165" s="254">
        <f t="shared" ca="1" si="398"/>
        <v>7420.0243720252274</v>
      </c>
      <c r="DP165" s="238">
        <f t="shared" ca="1" si="398"/>
        <v>1862.7294972140708</v>
      </c>
      <c r="DQ165" s="238">
        <f t="shared" ca="1" si="398"/>
        <v>1775.8203134809403</v>
      </c>
      <c r="DR165" s="238">
        <f t="shared" ca="1" si="398"/>
        <v>1700.1803787878171</v>
      </c>
      <c r="DS165" s="238">
        <f t="shared" ca="1" si="398"/>
        <v>2168.2646323266886</v>
      </c>
      <c r="DT165" s="254">
        <f t="shared" ca="1" si="398"/>
        <v>7505.5336230873772</v>
      </c>
      <c r="DU165" s="238">
        <f t="shared" ref="DU165:DY165" ca="1" si="399">DU$167*DU162</f>
        <v>1894.2030296453354</v>
      </c>
      <c r="DV165" s="238">
        <f t="shared" ca="1" si="399"/>
        <v>1805.0846354962384</v>
      </c>
      <c r="DW165" s="238">
        <f t="shared" ca="1" si="399"/>
        <v>1729.1452466356293</v>
      </c>
      <c r="DX165" s="238">
        <f t="shared" ca="1" si="399"/>
        <v>2202.3789351717901</v>
      </c>
      <c r="DY165" s="254">
        <f t="shared" ca="1" si="399"/>
        <v>7629.3668369656789</v>
      </c>
      <c r="DZ165" s="240"/>
    </row>
    <row r="166" spans="1:130" x14ac:dyDescent="0.2">
      <c r="A166" s="57"/>
      <c r="B166" s="254" t="s">
        <v>241</v>
      </c>
      <c r="C166" s="238"/>
      <c r="D166" s="238"/>
      <c r="E166" s="238"/>
      <c r="F166" s="238"/>
      <c r="G166" s="238"/>
      <c r="H166" s="238"/>
      <c r="I166" s="239"/>
      <c r="J166" s="238"/>
      <c r="K166" s="238"/>
      <c r="L166" s="238"/>
      <c r="M166" s="238"/>
      <c r="N166" s="239"/>
      <c r="O166" s="238"/>
      <c r="P166" s="238"/>
      <c r="Q166" s="238"/>
      <c r="R166" s="238"/>
      <c r="S166" s="239"/>
      <c r="T166" s="238"/>
      <c r="U166" s="238"/>
      <c r="V166" s="238"/>
      <c r="W166" s="238"/>
      <c r="X166" s="239"/>
      <c r="Y166" s="238"/>
      <c r="Z166" s="238"/>
      <c r="AA166" s="238"/>
      <c r="AB166" s="238"/>
      <c r="AC166" s="239"/>
      <c r="AD166" s="238"/>
      <c r="AE166" s="238"/>
      <c r="AF166" s="238"/>
      <c r="AG166" s="238"/>
      <c r="AH166" s="239"/>
      <c r="AI166" s="238"/>
      <c r="AJ166" s="238"/>
      <c r="AK166" s="238"/>
      <c r="AL166" s="238"/>
      <c r="AM166" s="239"/>
      <c r="AN166" s="238"/>
      <c r="AO166" s="238"/>
      <c r="AP166" s="238"/>
      <c r="AQ166" s="238"/>
      <c r="AR166" s="239"/>
      <c r="AS166" s="238"/>
      <c r="AT166" s="238"/>
      <c r="AU166" s="238"/>
      <c r="AV166" s="238"/>
      <c r="AW166" s="239"/>
      <c r="AX166" s="238"/>
      <c r="AY166" s="238"/>
      <c r="AZ166" s="238"/>
      <c r="BA166" s="238"/>
      <c r="BB166" s="239"/>
      <c r="BC166" s="238"/>
      <c r="BD166" s="238"/>
      <c r="BE166" s="238"/>
      <c r="BF166" s="238"/>
      <c r="BG166" s="239"/>
      <c r="BH166" s="238"/>
      <c r="BI166" s="238"/>
      <c r="BJ166" s="238"/>
      <c r="BK166" s="238"/>
      <c r="BL166" s="239">
        <f t="shared" ref="BL166:CZ166" si="400">BL$167*BL163</f>
        <v>2391.2999999999993</v>
      </c>
      <c r="BM166" s="238">
        <f t="shared" si="400"/>
        <v>627.39778464998585</v>
      </c>
      <c r="BN166" s="238">
        <f t="shared" si="400"/>
        <v>699.76470495672879</v>
      </c>
      <c r="BO166" s="238">
        <f t="shared" si="400"/>
        <v>749.43525474153898</v>
      </c>
      <c r="BP166" s="238">
        <f t="shared" si="400"/>
        <v>849.33429371387365</v>
      </c>
      <c r="BQ166" s="239">
        <f t="shared" si="400"/>
        <v>2927.0879099703211</v>
      </c>
      <c r="BR166" s="238">
        <f t="shared" si="400"/>
        <v>586.5096495465034</v>
      </c>
      <c r="BS166" s="238">
        <f t="shared" si="400"/>
        <v>732.68071194379286</v>
      </c>
      <c r="BT166" s="238">
        <f t="shared" si="400"/>
        <v>826.98675160503683</v>
      </c>
      <c r="BU166" s="238">
        <f t="shared" si="400"/>
        <v>871.8730825192273</v>
      </c>
      <c r="BV166" s="239">
        <f t="shared" si="400"/>
        <v>3017.2486842105213</v>
      </c>
      <c r="BW166" s="238">
        <f t="shared" si="400"/>
        <v>583.82554517133951</v>
      </c>
      <c r="BX166" s="238">
        <f t="shared" si="400"/>
        <v>624.81897810218982</v>
      </c>
      <c r="BY166" s="238">
        <f t="shared" si="400"/>
        <v>674.67248908296938</v>
      </c>
      <c r="BZ166" s="238">
        <f t="shared" si="400"/>
        <v>642.99107522311942</v>
      </c>
      <c r="CA166" s="239">
        <f t="shared" si="400"/>
        <v>2527.0858844550326</v>
      </c>
      <c r="CB166" s="238">
        <f t="shared" si="400"/>
        <v>447.64863417246926</v>
      </c>
      <c r="CC166" s="238">
        <f t="shared" si="400"/>
        <v>506.11079136690643</v>
      </c>
      <c r="CD166" s="238">
        <f t="shared" si="400"/>
        <v>700.08184727937817</v>
      </c>
      <c r="CE166" s="238">
        <f t="shared" si="400"/>
        <v>763.10708661417345</v>
      </c>
      <c r="CF166" s="239">
        <f t="shared" si="400"/>
        <v>2415.8514215675041</v>
      </c>
      <c r="CG166" s="238">
        <f t="shared" si="400"/>
        <v>419.9692532942899</v>
      </c>
      <c r="CH166" s="238">
        <f t="shared" si="400"/>
        <v>572.94435473750264</v>
      </c>
      <c r="CI166" s="238">
        <f t="shared" si="400"/>
        <v>820.8238459853427</v>
      </c>
      <c r="CJ166" s="238">
        <f t="shared" si="400"/>
        <v>1059.6822129723705</v>
      </c>
      <c r="CK166" s="239">
        <f t="shared" si="400"/>
        <v>2870.5661734857213</v>
      </c>
      <c r="CL166" s="238">
        <f t="shared" ca="1" si="400"/>
        <v>561.58013456669266</v>
      </c>
      <c r="CM166" s="238">
        <f t="shared" si="400"/>
        <v>730.08643389302767</v>
      </c>
      <c r="CN166" s="238">
        <f>CN$167*CN163</f>
        <v>1002.2679730473051</v>
      </c>
      <c r="CO166" s="238">
        <f>CO$167*CO163</f>
        <v>927.614793371931</v>
      </c>
      <c r="CP166" s="239">
        <f t="shared" ca="1" si="400"/>
        <v>3221.2393916172391</v>
      </c>
      <c r="CQ166" s="238">
        <f t="shared" si="400"/>
        <v>700.22210074876023</v>
      </c>
      <c r="CR166" s="238">
        <f t="shared" si="400"/>
        <v>915.42536431666133</v>
      </c>
      <c r="CS166" s="238">
        <f t="shared" si="400"/>
        <v>1103.4391742490948</v>
      </c>
      <c r="CT166" s="238">
        <f t="shared" si="400"/>
        <v>953.55311132255122</v>
      </c>
      <c r="CU166" s="239">
        <f t="shared" si="400"/>
        <v>3671.143749380718</v>
      </c>
      <c r="CV166" s="238">
        <f t="shared" si="394"/>
        <v>801.46884399781402</v>
      </c>
      <c r="CW166" s="238">
        <f t="shared" si="394"/>
        <v>980.90752025931772</v>
      </c>
      <c r="CX166" s="238">
        <f t="shared" si="394"/>
        <v>1197.5437833131425</v>
      </c>
      <c r="CY166" s="238">
        <f>CY$167*CY163</f>
        <v>1196.2500625826849</v>
      </c>
      <c r="CZ166" s="254">
        <f t="shared" si="400"/>
        <v>4175.4428662499777</v>
      </c>
      <c r="DA166" s="238">
        <f>DA$167*DA163</f>
        <v>872.00334832943554</v>
      </c>
      <c r="DB166" s="238">
        <f t="shared" si="395"/>
        <v>1086.7131162462929</v>
      </c>
      <c r="DC166" s="238">
        <f>DC$167*DC163</f>
        <v>1478.7799761373647</v>
      </c>
      <c r="DD166" s="238">
        <f t="shared" si="395"/>
        <v>1338.2401107731864</v>
      </c>
      <c r="DE166" s="254">
        <f t="shared" si="395"/>
        <v>4776.0578134408215</v>
      </c>
      <c r="DF166" s="238">
        <f t="shared" si="395"/>
        <v>843.93612879570628</v>
      </c>
      <c r="DG166" s="238">
        <f t="shared" si="396"/>
        <v>1153.4900473079499</v>
      </c>
      <c r="DH166" s="238">
        <f t="shared" si="396"/>
        <v>1363.7641281060237</v>
      </c>
      <c r="DI166" s="238">
        <f t="shared" si="396"/>
        <v>1503.4795921629693</v>
      </c>
      <c r="DJ166" s="254">
        <f t="shared" si="397"/>
        <v>4861.4877404683484</v>
      </c>
      <c r="DK166" s="238">
        <f t="shared" ref="DK166:DT166" ca="1" si="401">DK$167*DK163</f>
        <v>884.34513924789667</v>
      </c>
      <c r="DL166" s="238">
        <f t="shared" ca="1" si="401"/>
        <v>1238.9824764155903</v>
      </c>
      <c r="DM166" s="238">
        <f t="shared" ca="1" si="401"/>
        <v>1464.4441856503793</v>
      </c>
      <c r="DN166" s="238">
        <f t="shared" ca="1" si="401"/>
        <v>1481.7039507624725</v>
      </c>
      <c r="DO166" s="254">
        <f t="shared" ca="1" si="401"/>
        <v>5070.9281174809885</v>
      </c>
      <c r="DP166" s="238">
        <f t="shared" ca="1" si="401"/>
        <v>945.97684601102549</v>
      </c>
      <c r="DQ166" s="238">
        <f t="shared" ca="1" si="401"/>
        <v>1286.9856077205554</v>
      </c>
      <c r="DR166" s="238">
        <f t="shared" ca="1" si="401"/>
        <v>1524.4174321794198</v>
      </c>
      <c r="DS166" s="238">
        <f t="shared" ca="1" si="401"/>
        <v>1543.5034267598696</v>
      </c>
      <c r="DT166" s="254">
        <f t="shared" ca="1" si="401"/>
        <v>5302.3445113930056</v>
      </c>
      <c r="DU166" s="238">
        <f t="shared" ref="DU166:DY166" ca="1" si="402">DU$167*DU163</f>
        <v>1000.5500749077062</v>
      </c>
      <c r="DV166" s="238">
        <f t="shared" ca="1" si="402"/>
        <v>1361.9416992136694</v>
      </c>
      <c r="DW166" s="238">
        <f t="shared" ca="1" si="402"/>
        <v>1613.5564528766308</v>
      </c>
      <c r="DX166" s="238">
        <f t="shared" ca="1" si="402"/>
        <v>1633.0710975330207</v>
      </c>
      <c r="DY166" s="254">
        <f t="shared" ca="1" si="402"/>
        <v>5610.5643345143453</v>
      </c>
      <c r="DZ166" s="240"/>
    </row>
    <row r="167" spans="1:130" ht="12" thickBot="1" x14ac:dyDescent="0.25">
      <c r="A167" s="57"/>
      <c r="B167" s="279" t="s">
        <v>251</v>
      </c>
      <c r="C167" s="275"/>
      <c r="D167" s="275"/>
      <c r="E167" s="275"/>
      <c r="F167" s="275"/>
      <c r="G167" s="275"/>
      <c r="H167" s="275"/>
      <c r="I167" s="276"/>
      <c r="J167" s="275"/>
      <c r="K167" s="275"/>
      <c r="L167" s="275"/>
      <c r="M167" s="275"/>
      <c r="N167" s="276"/>
      <c r="O167" s="275"/>
      <c r="P167" s="275"/>
      <c r="Q167" s="275"/>
      <c r="R167" s="275"/>
      <c r="S167" s="276"/>
      <c r="T167" s="275"/>
      <c r="U167" s="275"/>
      <c r="V167" s="275"/>
      <c r="W167" s="275"/>
      <c r="X167" s="276"/>
      <c r="Y167" s="275"/>
      <c r="Z167" s="275"/>
      <c r="AA167" s="275"/>
      <c r="AB167" s="275"/>
      <c r="AC167" s="276"/>
      <c r="AD167" s="275"/>
      <c r="AE167" s="275"/>
      <c r="AF167" s="275"/>
      <c r="AG167" s="275"/>
      <c r="AH167" s="276"/>
      <c r="AI167" s="275"/>
      <c r="AJ167" s="275"/>
      <c r="AK167" s="275"/>
      <c r="AL167" s="275"/>
      <c r="AM167" s="276"/>
      <c r="AN167" s="275"/>
      <c r="AO167" s="275"/>
      <c r="AP167" s="275"/>
      <c r="AQ167" s="275"/>
      <c r="AR167" s="276"/>
      <c r="AS167" s="275"/>
      <c r="AT167" s="275"/>
      <c r="AU167" s="275"/>
      <c r="AV167" s="275"/>
      <c r="AW167" s="276"/>
      <c r="AX167" s="275"/>
      <c r="AY167" s="275"/>
      <c r="AZ167" s="275"/>
      <c r="BA167" s="275"/>
      <c r="BB167" s="276"/>
      <c r="BC167" s="275"/>
      <c r="BD167" s="275"/>
      <c r="BE167" s="275"/>
      <c r="BF167" s="275"/>
      <c r="BG167" s="276"/>
      <c r="BH167" s="275"/>
      <c r="BI167" s="275"/>
      <c r="BJ167" s="275"/>
      <c r="BK167" s="275"/>
      <c r="BL167" s="276">
        <f t="shared" ref="BL167:CZ167" si="403">BL15</f>
        <v>5887.8999999999978</v>
      </c>
      <c r="BM167" s="275">
        <f t="shared" si="403"/>
        <v>1669.3999999999999</v>
      </c>
      <c r="BN167" s="275">
        <f t="shared" si="403"/>
        <v>1788.1000000000045</v>
      </c>
      <c r="BO167" s="275">
        <f t="shared" si="403"/>
        <v>1777.0999999999985</v>
      </c>
      <c r="BP167" s="275">
        <f t="shared" si="403"/>
        <v>2085.800000000002</v>
      </c>
      <c r="BQ167" s="276">
        <f t="shared" si="403"/>
        <v>7320.3999999999933</v>
      </c>
      <c r="BR167" s="275">
        <f t="shared" si="403"/>
        <v>1731.1</v>
      </c>
      <c r="BS167" s="275">
        <f t="shared" si="403"/>
        <v>1982.0999999999972</v>
      </c>
      <c r="BT167" s="275">
        <f t="shared" si="403"/>
        <v>1866.2000000000005</v>
      </c>
      <c r="BU167" s="275">
        <f t="shared" si="403"/>
        <v>2247.9000000000015</v>
      </c>
      <c r="BV167" s="276">
        <f t="shared" si="403"/>
        <v>7827.2999999999884</v>
      </c>
      <c r="BW167" s="275">
        <f t="shared" si="403"/>
        <v>1768</v>
      </c>
      <c r="BX167" s="275">
        <f t="shared" si="403"/>
        <v>1869</v>
      </c>
      <c r="BY167" s="275">
        <f t="shared" si="403"/>
        <v>1854</v>
      </c>
      <c r="BZ167" s="275">
        <f t="shared" si="403"/>
        <v>2143</v>
      </c>
      <c r="CA167" s="276">
        <f t="shared" si="403"/>
        <v>7634</v>
      </c>
      <c r="CB167" s="275">
        <f t="shared" si="403"/>
        <v>1685</v>
      </c>
      <c r="CC167" s="275">
        <f t="shared" si="403"/>
        <v>1881</v>
      </c>
      <c r="CD167" s="275">
        <f t="shared" si="403"/>
        <v>1991</v>
      </c>
      <c r="CE167" s="275">
        <f t="shared" si="403"/>
        <v>2352.8000000000011</v>
      </c>
      <c r="CF167" s="276">
        <f t="shared" si="403"/>
        <v>7909.7999999999947</v>
      </c>
      <c r="CG167" s="275">
        <f t="shared" si="403"/>
        <v>1827</v>
      </c>
      <c r="CH167" s="275">
        <f t="shared" si="403"/>
        <v>2138.7000000000007</v>
      </c>
      <c r="CI167" s="275">
        <f t="shared" si="403"/>
        <v>2256.0749999999985</v>
      </c>
      <c r="CJ167" s="275">
        <f t="shared" si="403"/>
        <v>2758.7</v>
      </c>
      <c r="CK167" s="276">
        <f t="shared" si="403"/>
        <v>8980.475000000024</v>
      </c>
      <c r="CL167" s="275">
        <f t="shared" si="403"/>
        <v>2201</v>
      </c>
      <c r="CM167" s="275">
        <f t="shared" si="403"/>
        <v>2417.6999999999994</v>
      </c>
      <c r="CN167" s="275">
        <f>CN15</f>
        <v>2551.1000000000013</v>
      </c>
      <c r="CO167" s="275">
        <f>CO15</f>
        <v>2674.2000000000016</v>
      </c>
      <c r="CP167" s="276">
        <f t="shared" si="403"/>
        <v>9844.0000000000036</v>
      </c>
      <c r="CQ167" s="275">
        <f t="shared" si="403"/>
        <v>2502.0999999999981</v>
      </c>
      <c r="CR167" s="275">
        <f t="shared" si="403"/>
        <v>2694.8000000000038</v>
      </c>
      <c r="CS167" s="275">
        <f t="shared" si="403"/>
        <v>2722.8999999999992</v>
      </c>
      <c r="CT167" s="275">
        <f t="shared" si="403"/>
        <v>2809.6000000000031</v>
      </c>
      <c r="CU167" s="276">
        <f t="shared" si="403"/>
        <v>10729.4</v>
      </c>
      <c r="CV167" s="275">
        <f t="shared" si="403"/>
        <v>2622.500000000005</v>
      </c>
      <c r="CW167" s="275">
        <f t="shared" si="403"/>
        <v>2749.4999999999959</v>
      </c>
      <c r="CX167" s="275">
        <f t="shared" si="403"/>
        <v>2990.2700177371703</v>
      </c>
      <c r="CY167" s="275">
        <f>CY15</f>
        <v>3461.9047278599987</v>
      </c>
      <c r="CZ167" s="279">
        <f t="shared" si="403"/>
        <v>11824.174745597169</v>
      </c>
      <c r="DA167" s="275">
        <f>DA15</f>
        <v>2849.2999999999988</v>
      </c>
      <c r="DB167" s="275">
        <f t="shared" ref="DB167:DJ167" si="404">DB15</f>
        <v>3042.0999999999995</v>
      </c>
      <c r="DC167" s="275">
        <f>DC15</f>
        <v>3486.5999999999976</v>
      </c>
      <c r="DD167" s="275">
        <f t="shared" si="404"/>
        <v>3645.0999999999981</v>
      </c>
      <c r="DE167" s="279">
        <f t="shared" si="404"/>
        <v>13023.099999999995</v>
      </c>
      <c r="DF167" s="275">
        <f t="shared" si="404"/>
        <v>2625.8999999999983</v>
      </c>
      <c r="DG167" s="275">
        <f>DG15</f>
        <v>2890.6188349591539</v>
      </c>
      <c r="DH167" s="275">
        <f>DH15</f>
        <v>3125.2438638299986</v>
      </c>
      <c r="DI167" s="275">
        <f>DI15</f>
        <v>3823.3568873400168</v>
      </c>
      <c r="DJ167" s="279">
        <f t="shared" si="404"/>
        <v>12465.119586129167</v>
      </c>
      <c r="DK167" s="275">
        <f t="shared" ref="DK167:DT167" ca="1" si="405">DK15</f>
        <v>2725.3522311595443</v>
      </c>
      <c r="DL167" s="275">
        <f t="shared" ca="1" si="405"/>
        <v>2995.0260850551663</v>
      </c>
      <c r="DM167" s="275">
        <f t="shared" ca="1" si="405"/>
        <v>3144.5786457035579</v>
      </c>
      <c r="DN167" s="275">
        <f t="shared" ca="1" si="405"/>
        <v>3625.9955275879483</v>
      </c>
      <c r="DO167" s="279">
        <f t="shared" ca="1" si="405"/>
        <v>12490.952489506215</v>
      </c>
      <c r="DP167" s="275">
        <f t="shared" ca="1" si="405"/>
        <v>2808.7063432250961</v>
      </c>
      <c r="DQ167" s="275">
        <f t="shared" ca="1" si="405"/>
        <v>3062.8059212014959</v>
      </c>
      <c r="DR167" s="275">
        <f t="shared" ca="1" si="405"/>
        <v>3224.5978109672369</v>
      </c>
      <c r="DS167" s="275">
        <f t="shared" ca="1" si="405"/>
        <v>3711.7680590865584</v>
      </c>
      <c r="DT167" s="279">
        <f t="shared" ca="1" si="405"/>
        <v>12807.878134480383</v>
      </c>
      <c r="DU167" s="275">
        <f t="shared" ref="DU167:DY167" ca="1" si="406">DU15</f>
        <v>2894.7531045530418</v>
      </c>
      <c r="DV167" s="275">
        <f t="shared" ca="1" si="406"/>
        <v>3167.026334709908</v>
      </c>
      <c r="DW167" s="275">
        <f t="shared" ca="1" si="406"/>
        <v>3342.7016995122599</v>
      </c>
      <c r="DX167" s="275">
        <f t="shared" ca="1" si="406"/>
        <v>3835.4500327048108</v>
      </c>
      <c r="DY167" s="279">
        <f t="shared" ca="1" si="406"/>
        <v>13239.931171480024</v>
      </c>
      <c r="DZ167" s="240"/>
    </row>
    <row r="168" spans="1:130" x14ac:dyDescent="0.2">
      <c r="A168" s="238"/>
      <c r="B168" s="238"/>
      <c r="C168" s="238"/>
      <c r="D168" s="238"/>
      <c r="E168" s="238"/>
      <c r="F168" s="238"/>
      <c r="G168" s="238"/>
      <c r="H168" s="238"/>
      <c r="I168" s="238"/>
      <c r="J168" s="238"/>
      <c r="K168" s="238"/>
      <c r="L168" s="238"/>
      <c r="M168" s="238"/>
      <c r="N168" s="238"/>
      <c r="O168" s="238"/>
      <c r="P168" s="238"/>
      <c r="Q168" s="238"/>
      <c r="R168" s="238"/>
      <c r="S168" s="238"/>
      <c r="T168" s="238"/>
      <c r="U168" s="238"/>
      <c r="V168" s="238"/>
      <c r="W168" s="238"/>
      <c r="X168" s="238"/>
      <c r="Y168" s="238"/>
      <c r="Z168" s="238"/>
      <c r="AA168" s="238"/>
      <c r="AB168" s="238"/>
      <c r="AC168" s="238"/>
      <c r="AD168" s="238"/>
      <c r="AE168" s="238"/>
      <c r="AF168" s="238"/>
      <c r="AG168" s="238"/>
      <c r="AH168" s="238"/>
      <c r="AI168" s="238"/>
      <c r="AJ168" s="238"/>
      <c r="AK168" s="238"/>
      <c r="AL168" s="238"/>
      <c r="AM168" s="238"/>
      <c r="AN168" s="238"/>
      <c r="AO168" s="238"/>
      <c r="AP168" s="238"/>
      <c r="AQ168" s="238"/>
      <c r="AR168" s="238"/>
      <c r="AS168" s="238"/>
      <c r="AT168" s="238"/>
      <c r="AU168" s="238"/>
      <c r="AV168" s="238"/>
      <c r="AW168" s="238"/>
      <c r="AX168" s="238"/>
      <c r="AY168" s="238"/>
      <c r="AZ168" s="238"/>
      <c r="BA168" s="238"/>
      <c r="BB168" s="238"/>
      <c r="BC168" s="238"/>
      <c r="BD168" s="238"/>
      <c r="BE168" s="238"/>
      <c r="BF168" s="238"/>
      <c r="BG168" s="238"/>
      <c r="BH168" s="238"/>
      <c r="BI168" s="238"/>
      <c r="BJ168" s="238"/>
      <c r="BK168" s="238"/>
      <c r="BL168" s="238"/>
      <c r="BM168" s="238"/>
      <c r="BN168" s="238"/>
      <c r="BO168" s="238"/>
      <c r="BP168" s="238"/>
      <c r="BQ168" s="238"/>
      <c r="BR168" s="238"/>
      <c r="BS168" s="238"/>
      <c r="BT168" s="238"/>
      <c r="BU168" s="238"/>
      <c r="BV168" s="238"/>
      <c r="BW168" s="238"/>
      <c r="BX168" s="238"/>
      <c r="BY168" s="238"/>
      <c r="BZ168" s="238"/>
      <c r="CA168" s="238"/>
      <c r="CB168" s="238"/>
      <c r="CC168" s="238"/>
      <c r="CD168" s="238"/>
      <c r="CE168" s="238"/>
      <c r="CF168" s="238"/>
      <c r="CG168" s="238"/>
      <c r="CH168" s="238"/>
      <c r="CI168" s="238"/>
      <c r="CJ168" s="238"/>
      <c r="CK168" s="238"/>
      <c r="CL168" s="238"/>
      <c r="CM168" s="238"/>
      <c r="CN168" s="238"/>
      <c r="CO168" s="238"/>
      <c r="CP168" s="238"/>
      <c r="CQ168" s="238"/>
      <c r="CR168" s="238"/>
      <c r="CS168" s="238"/>
      <c r="CT168" s="238"/>
      <c r="CU168" s="238"/>
      <c r="CV168" s="238"/>
      <c r="CW168" s="238"/>
      <c r="CX168" s="238"/>
      <c r="CY168" s="238"/>
      <c r="CZ168" s="238"/>
      <c r="DA168" s="238"/>
      <c r="DB168" s="238"/>
      <c r="DC168" s="238"/>
      <c r="DD168" s="238"/>
      <c r="DE168" s="238"/>
      <c r="DF168" s="238"/>
      <c r="DG168" s="238"/>
      <c r="DH168" s="238"/>
      <c r="DI168" s="238"/>
      <c r="DJ168" s="238"/>
      <c r="DK168" s="238"/>
      <c r="DL168" s="238"/>
      <c r="DM168" s="238"/>
      <c r="DN168" s="238"/>
      <c r="DO168" s="238"/>
      <c r="DP168" s="238"/>
      <c r="DQ168" s="238"/>
      <c r="DR168" s="238"/>
      <c r="DS168" s="238"/>
      <c r="DT168" s="238"/>
      <c r="DU168" s="238"/>
      <c r="DV168" s="238"/>
      <c r="DW168" s="238"/>
      <c r="DX168" s="238"/>
      <c r="DY168" s="238"/>
      <c r="DZ168" s="240"/>
    </row>
    <row r="169" spans="1:130" hidden="1" outlineLevel="2" x14ac:dyDescent="0.2">
      <c r="DK169"/>
      <c r="DL169"/>
      <c r="DM169"/>
      <c r="DN169"/>
      <c r="DO169"/>
      <c r="DP169"/>
      <c r="DQ169"/>
      <c r="DR169"/>
      <c r="DS169"/>
      <c r="DT169"/>
      <c r="DU169"/>
      <c r="DV169"/>
      <c r="DW169"/>
      <c r="DX169"/>
      <c r="DY169"/>
    </row>
    <row r="170" spans="1:130" collapsed="1" x14ac:dyDescent="0.2"/>
    <row r="172" spans="1:130" x14ac:dyDescent="0.2">
      <c r="B172" t="s">
        <v>1652</v>
      </c>
      <c r="DL172" s="846">
        <f>Debt!DL433</f>
        <v>-413.74200000000002</v>
      </c>
      <c r="DM172" s="846">
        <f>Debt!DM433</f>
        <v>-413.74200000000002</v>
      </c>
      <c r="DN172" s="846">
        <f>Debt!DN433</f>
        <v>-413.74200000000002</v>
      </c>
      <c r="DO172" s="846">
        <f>Debt!DO433</f>
        <v>-1342.2259999999999</v>
      </c>
      <c r="DP172" s="846">
        <f>Debt!DP433</f>
        <v>-413.74200000000002</v>
      </c>
      <c r="DQ172" s="846">
        <f>Debt!DQ433</f>
        <v>-413.74200000000002</v>
      </c>
      <c r="DR172" s="846">
        <f>Debt!DR433</f>
        <v>-413.74200000000002</v>
      </c>
      <c r="DS172" s="846">
        <f>Debt!DS433</f>
        <v>-413.74200000000002</v>
      </c>
      <c r="DT172" s="846">
        <f>Debt!DT433</f>
        <v>-1654.9680000000001</v>
      </c>
      <c r="DU172" s="846">
        <f>Debt!DU433</f>
        <v>-413.74200000000002</v>
      </c>
      <c r="DV172" s="846">
        <f>Debt!DV433</f>
        <v>-413.74200000000002</v>
      </c>
      <c r="DW172" s="846">
        <f>Debt!DW433</f>
        <v>-413.74200000000002</v>
      </c>
      <c r="DX172" s="846">
        <f>Debt!DX433</f>
        <v>-413.74200000000002</v>
      </c>
      <c r="DY172" s="846">
        <f>Debt!DY433</f>
        <v>-1654.9680000000001</v>
      </c>
    </row>
    <row r="173" spans="1:130" x14ac:dyDescent="0.2">
      <c r="B173" t="s">
        <v>1653</v>
      </c>
      <c r="DL173" s="846">
        <f>DL172*(1-DL72)</f>
        <v>-302.03165999999999</v>
      </c>
      <c r="DM173" s="846">
        <f>DM172*(1-DM72)</f>
        <v>-302.03165999999999</v>
      </c>
      <c r="DN173" s="846">
        <f>DN172*(1-DN72)</f>
        <v>-302.03165999999999</v>
      </c>
      <c r="DO173" s="846">
        <f>SUM(DK173:DN173)</f>
        <v>-906.09497999999996</v>
      </c>
      <c r="DP173" s="846">
        <f>DP172*(1-DP72)</f>
        <v>-302.03165999999999</v>
      </c>
      <c r="DQ173" s="846">
        <f>DQ172*(1-DQ72)</f>
        <v>-302.03165999999999</v>
      </c>
      <c r="DR173" s="846">
        <f>DR172*(1-DR72)</f>
        <v>-302.03165999999999</v>
      </c>
      <c r="DS173" s="846">
        <f>DS172*(1-DS72)</f>
        <v>-302.03165999999999</v>
      </c>
      <c r="DT173" s="846">
        <f>SUM(DP173:DS173)</f>
        <v>-1208.12664</v>
      </c>
      <c r="DU173" s="846">
        <f>DU172*(1-DU72)</f>
        <v>-302.03165999999999</v>
      </c>
      <c r="DV173" s="846">
        <f>DV172*(1-DV72)</f>
        <v>-302.03165999999999</v>
      </c>
      <c r="DW173" s="846">
        <f>DW172*(1-DW72)</f>
        <v>-302.03165999999999</v>
      </c>
      <c r="DX173" s="846">
        <f>DX172*(1-DX72)</f>
        <v>-302.03165999999999</v>
      </c>
      <c r="DY173" s="846">
        <f>SUM(DU173:DX173)</f>
        <v>-1208.12664</v>
      </c>
    </row>
    <row r="174" spans="1:130" x14ac:dyDescent="0.2">
      <c r="B174" t="s">
        <v>1654</v>
      </c>
      <c r="DL174" s="2473">
        <f>DL173/DL47</f>
        <v>-0.29769881310535024</v>
      </c>
      <c r="DM174" s="2473">
        <f>DM173/DM47</f>
        <v>-0.29769881310535024</v>
      </c>
      <c r="DN174" s="2473">
        <f>DN173/DN47</f>
        <v>-0.29769881310535024</v>
      </c>
      <c r="DO174" s="2473">
        <f>SUM(DK174:DN174)</f>
        <v>-0.89309643931605076</v>
      </c>
      <c r="DP174" s="2473">
        <f>DP173/DP47</f>
        <v>-0.29769881310535024</v>
      </c>
      <c r="DQ174" s="2473">
        <f>DQ173/DQ47</f>
        <v>-0.29769881310535024</v>
      </c>
      <c r="DR174" s="2473">
        <f>DR173/DR47</f>
        <v>-0.29769881310535024</v>
      </c>
      <c r="DS174" s="2473">
        <f>DS173/DS47</f>
        <v>-0.29769881310535024</v>
      </c>
      <c r="DT174" s="2473">
        <f>SUM(DP174:DS174)</f>
        <v>-1.1907952524214009</v>
      </c>
      <c r="DU174" s="2473">
        <f>DU173/DU47</f>
        <v>-0.29769881310535024</v>
      </c>
      <c r="DV174" s="2473">
        <f>DV173/DV47</f>
        <v>-0.29769881310535024</v>
      </c>
      <c r="DW174" s="2473">
        <f>DW173/DW47</f>
        <v>-0.29769881310535024</v>
      </c>
      <c r="DX174" s="2473">
        <f>DX173/DX47</f>
        <v>-0.29769881310535024</v>
      </c>
      <c r="DY174" s="2473">
        <f>SUM(DU174:DX174)</f>
        <v>-1.1907952524214009</v>
      </c>
    </row>
    <row r="175" spans="1:130" x14ac:dyDescent="0.2">
      <c r="B175" t="s">
        <v>1655</v>
      </c>
      <c r="DK175" s="2473">
        <f ca="1">DK39-DK174</f>
        <v>1.4073745520773424</v>
      </c>
      <c r="DL175" s="2473">
        <f ca="1">DL39-DL174</f>
        <v>1.7127187088384337</v>
      </c>
      <c r="DM175" s="2473">
        <f ca="1">DM39-DM174</f>
        <v>1.8584476930059646</v>
      </c>
      <c r="DN175" s="2473">
        <f ca="1">DN39-DN174</f>
        <v>2.1951888479078123</v>
      </c>
      <c r="DO175" s="2473">
        <f ca="1">SUM(DK175:DN175)</f>
        <v>7.1737298018295528</v>
      </c>
      <c r="DP175" s="2473">
        <f ca="1">DP39-DP174</f>
        <v>1.6090070118424113</v>
      </c>
      <c r="DQ175" s="2473">
        <f ca="1">DQ39-DQ174</f>
        <v>1.7998948644335357</v>
      </c>
      <c r="DR175" s="2473">
        <f ca="1">DR39-DR174</f>
        <v>1.9226883369994983</v>
      </c>
      <c r="DS175" s="2473">
        <f ca="1">DS39-DS174</f>
        <v>2.2749113693600491</v>
      </c>
      <c r="DT175" s="2473">
        <f ca="1">SUM(DP175:DS175)</f>
        <v>7.6065015826354951</v>
      </c>
      <c r="DU175" s="2473">
        <f ca="1">DU39-DU174</f>
        <v>1.6885308039798825</v>
      </c>
      <c r="DV175" s="2473">
        <f ca="1">DV39-DV174</f>
        <v>1.8923069611013479</v>
      </c>
      <c r="DW175" s="2473">
        <f ca="1">DW39-DW174</f>
        <v>2.0248482660179539</v>
      </c>
      <c r="DX175" s="2473">
        <f ca="1">DX39-DX174</f>
        <v>2.3803721884850919</v>
      </c>
      <c r="DY175" s="2473">
        <f ca="1">SUM(DU175:DX175)</f>
        <v>7.986058219584276</v>
      </c>
    </row>
  </sheetData>
  <phoneticPr fontId="5" type="noConversion"/>
  <pageMargins left="0.25" right="0.25" top="0.42" bottom="0.06" header="0.05" footer="0.06"/>
  <pageSetup scale="85" orientation="landscape" r:id="rId1"/>
  <headerFooter alignWithMargins="0">
    <oddFooter>&amp;R&amp;D</oddFooter>
  </headerFooter>
  <rowBreaks count="1" manualBreakCount="1">
    <brk id="79" min="1" max="104" man="1"/>
  </rowBreaks>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enableFormatConditionsCalculation="0">
    <tabColor indexed="55"/>
  </sheetPr>
  <dimension ref="A1:EH335"/>
  <sheetViews>
    <sheetView showGridLines="0" zoomScaleSheetLayoutView="100" workbookViewId="0">
      <pane xSplit="3" ySplit="6" topLeftCell="DF7" activePane="bottomRight" state="frozen"/>
      <selection activeCell="F36" sqref="F36"/>
      <selection pane="topRight" activeCell="F36" sqref="F36"/>
      <selection pane="bottomLeft" activeCell="F36" sqref="F36"/>
      <selection pane="bottomRight" activeCell="DJ14" sqref="DJ14"/>
    </sheetView>
  </sheetViews>
  <sheetFormatPr defaultRowHeight="11.25" outlineLevelRow="2" outlineLevelCol="2" x14ac:dyDescent="0.2"/>
  <cols>
    <col min="1" max="1" width="1.85546875" customWidth="1"/>
    <col min="2" max="2" width="42.140625" customWidth="1"/>
    <col min="3" max="3" width="2.140625" customWidth="1"/>
    <col min="4" max="4" width="5" hidden="1" customWidth="1"/>
    <col min="5" max="8" width="9.28515625" hidden="1" customWidth="1" outlineLevel="1"/>
    <col min="9" max="9" width="9.42578125" hidden="1" customWidth="1" outlineLevel="1" collapsed="1"/>
    <col min="10" max="13" width="9.28515625" hidden="1" customWidth="1" outlineLevel="2"/>
    <col min="14" max="14" width="9.42578125" hidden="1" customWidth="1" outlineLevel="1"/>
    <col min="15" max="18" width="9.28515625" hidden="1" customWidth="1" outlineLevel="2"/>
    <col min="19" max="19" width="9.42578125" hidden="1" customWidth="1" outlineLevel="1"/>
    <col min="20" max="23" width="9.28515625" hidden="1" customWidth="1" outlineLevel="2"/>
    <col min="24" max="24" width="9.42578125" hidden="1" customWidth="1" outlineLevel="1"/>
    <col min="25" max="28" width="9.28515625" hidden="1" customWidth="1" outlineLevel="2"/>
    <col min="29" max="29" width="9.42578125" hidden="1" customWidth="1" outlineLevel="1"/>
    <col min="30" max="33" width="9.28515625" hidden="1" customWidth="1" outlineLevel="2"/>
    <col min="34" max="34" width="9.42578125" hidden="1" customWidth="1" outlineLevel="1"/>
    <col min="35" max="38" width="9.28515625" hidden="1" customWidth="1" outlineLevel="2"/>
    <col min="39" max="39" width="9.42578125" hidden="1" customWidth="1" outlineLevel="1"/>
    <col min="40" max="43" width="9.28515625" hidden="1" customWidth="1" outlineLevel="2"/>
    <col min="44" max="44" width="9.42578125" hidden="1" customWidth="1" outlineLevel="1"/>
    <col min="45" max="48" width="9.28515625" hidden="1" customWidth="1" outlineLevel="2"/>
    <col min="49" max="49" width="9.42578125" hidden="1" customWidth="1" outlineLevel="1"/>
    <col min="50" max="53" width="9.28515625" hidden="1" customWidth="1" outlineLevel="2"/>
    <col min="54" max="54" width="9.42578125" hidden="1" customWidth="1" outlineLevel="1"/>
    <col min="55" max="58" width="9.28515625" hidden="1" customWidth="1" outlineLevel="2"/>
    <col min="59" max="59" width="9.42578125" hidden="1" customWidth="1" outlineLevel="1"/>
    <col min="60" max="63" width="9.28515625" hidden="1" customWidth="1" outlineLevel="2"/>
    <col min="64" max="64" width="9.42578125" hidden="1" customWidth="1" outlineLevel="1"/>
    <col min="65" max="67" width="9.28515625" hidden="1" customWidth="1" outlineLevel="2"/>
    <col min="68" max="68" width="10" hidden="1" customWidth="1" outlineLevel="2"/>
    <col min="69" max="69" width="9.42578125" hidden="1" customWidth="1" outlineLevel="1"/>
    <col min="70" max="70" width="9.28515625" hidden="1" customWidth="1" outlineLevel="1"/>
    <col min="71" max="72" width="10" hidden="1" customWidth="1" outlineLevel="1"/>
    <col min="73" max="73" width="9.28515625" hidden="1" customWidth="1" outlineLevel="1"/>
    <col min="74" max="74" width="9.85546875" hidden="1" customWidth="1"/>
    <col min="75" max="78" width="9.28515625" hidden="1" customWidth="1" outlineLevel="1"/>
    <col min="79" max="79" width="9.85546875" hidden="1" customWidth="1"/>
    <col min="80" max="80" width="9.85546875" hidden="1" customWidth="1" outlineLevel="1"/>
    <col min="81" max="81" width="10.7109375" hidden="1" customWidth="1" outlineLevel="1"/>
    <col min="82" max="83" width="9.42578125" hidden="1" customWidth="1" outlineLevel="1"/>
    <col min="84" max="84" width="10.7109375" hidden="1" customWidth="1"/>
    <col min="85" max="88" width="9.42578125" hidden="1" customWidth="1" outlineLevel="1"/>
    <col min="89" max="89" width="10.7109375" hidden="1" customWidth="1"/>
    <col min="90" max="93" width="9.85546875" hidden="1" customWidth="1" outlineLevel="1"/>
    <col min="94" max="94" width="9.85546875" hidden="1" customWidth="1"/>
    <col min="95" max="98" width="9.85546875" hidden="1" customWidth="1" outlineLevel="1"/>
    <col min="99" max="99" width="9.85546875" hidden="1" customWidth="1"/>
    <col min="100" max="103" width="9.85546875" hidden="1" customWidth="1" outlineLevel="1"/>
    <col min="104" max="104" width="9.85546875" hidden="1" customWidth="1"/>
    <col min="105" max="108" width="9.85546875" customWidth="1" outlineLevel="1"/>
    <col min="109" max="109" width="9.85546875" customWidth="1"/>
    <col min="110" max="113" width="9.85546875" customWidth="1" outlineLevel="1"/>
    <col min="114" max="114" width="9.85546875" customWidth="1"/>
    <col min="115" max="118" width="9.85546875" style="2559" customWidth="1" outlineLevel="1"/>
    <col min="119" max="119" width="9.85546875" style="2559" customWidth="1"/>
    <col min="120" max="123" width="9.85546875" style="2649" hidden="1" customWidth="1" outlineLevel="1"/>
    <col min="124" max="124" width="9.85546875" style="2649" customWidth="1" collapsed="1"/>
    <col min="125" max="128" width="9.85546875" style="2771" hidden="1" customWidth="1" outlineLevel="1"/>
    <col min="129" max="129" width="9.85546875" style="2771" customWidth="1" collapsed="1"/>
    <col min="130" max="130" width="9.42578125" customWidth="1"/>
    <col min="133" max="133" width="21" customWidth="1" outlineLevel="1"/>
    <col min="134" max="138" width="9.28515625" customWidth="1" outlineLevel="1"/>
  </cols>
  <sheetData>
    <row r="1" spans="1:132" ht="12" thickBot="1" x14ac:dyDescent="0.25">
      <c r="A1" s="1828"/>
      <c r="B1" s="1829"/>
      <c r="C1" s="1829"/>
      <c r="D1" s="1829"/>
      <c r="E1" s="1829"/>
      <c r="F1" s="1829"/>
      <c r="G1" s="1829"/>
      <c r="H1" s="1829"/>
      <c r="I1" s="1829"/>
      <c r="J1" s="1829"/>
      <c r="K1" s="1829"/>
      <c r="L1" s="1829"/>
      <c r="M1" s="1829"/>
      <c r="N1" s="1829"/>
      <c r="O1" s="1829"/>
      <c r="P1" s="1829"/>
      <c r="Q1" s="1829"/>
      <c r="R1" s="1829"/>
      <c r="S1" s="1829"/>
      <c r="T1" s="1829"/>
      <c r="U1" s="1829"/>
      <c r="V1" s="1829"/>
      <c r="W1" s="1829"/>
      <c r="X1" s="1829"/>
      <c r="Y1" s="1829"/>
      <c r="Z1" s="1829"/>
      <c r="AA1" s="1829"/>
      <c r="AB1" s="1829"/>
      <c r="AC1" s="1829"/>
      <c r="AD1" s="1829"/>
      <c r="AE1" s="1829"/>
      <c r="AF1" s="1829"/>
      <c r="AG1" s="1829"/>
      <c r="AH1" s="1829"/>
      <c r="AI1" s="1829"/>
      <c r="AJ1" s="1829"/>
      <c r="AK1" s="1829"/>
      <c r="AL1" s="1829"/>
      <c r="AM1" s="1829"/>
      <c r="AN1" s="1829"/>
      <c r="AO1" s="1829"/>
      <c r="AP1" s="1829"/>
      <c r="AQ1" s="1829"/>
      <c r="AR1" s="1829"/>
      <c r="AS1" s="1829"/>
      <c r="AT1" s="1829"/>
      <c r="AU1" s="1829"/>
      <c r="AV1" s="1829"/>
      <c r="AW1" s="1829"/>
      <c r="AX1" s="1829"/>
      <c r="AY1" s="1829"/>
      <c r="AZ1" s="1829"/>
      <c r="BA1" s="1829"/>
      <c r="BB1" s="1829"/>
      <c r="BC1" s="1829"/>
      <c r="BD1" s="1829"/>
      <c r="BE1" s="1829"/>
      <c r="BF1" s="1829"/>
      <c r="BG1" s="1829"/>
      <c r="BH1" s="1829"/>
      <c r="BI1" s="1829"/>
      <c r="BJ1" s="1829"/>
      <c r="BK1" s="1829"/>
      <c r="BL1" s="1829"/>
      <c r="BM1" s="1829"/>
      <c r="BN1" s="1829"/>
      <c r="BO1" s="1829"/>
      <c r="BP1" s="1829"/>
      <c r="BQ1" s="1829"/>
      <c r="BR1" s="1829"/>
      <c r="BS1" s="1829"/>
      <c r="BT1" s="1829"/>
      <c r="BU1" s="1829"/>
      <c r="BV1" s="1829"/>
      <c r="BW1" s="1829"/>
      <c r="BX1" s="1829"/>
      <c r="BY1" s="1829"/>
      <c r="BZ1" s="1829"/>
      <c r="CA1" s="1830"/>
      <c r="CB1" s="1829"/>
      <c r="CC1" s="1829"/>
      <c r="CD1" s="1829"/>
      <c r="CE1" s="1829"/>
      <c r="CF1" s="1830"/>
      <c r="CG1" s="1831"/>
      <c r="CH1" s="1831"/>
      <c r="CI1" s="1831"/>
      <c r="CJ1" s="1831"/>
      <c r="CK1" s="1831"/>
      <c r="CL1" s="1829"/>
      <c r="CM1" s="1829"/>
      <c r="CN1" s="1829"/>
      <c r="CO1" s="1829"/>
      <c r="CP1" s="1829"/>
      <c r="CQ1" s="1829"/>
      <c r="CR1" s="1829"/>
      <c r="CS1" s="1829"/>
      <c r="CT1" s="1829"/>
      <c r="CU1" s="1829"/>
      <c r="CV1" s="1829"/>
      <c r="CW1" s="1832">
        <f>IS!CW39</f>
        <v>1.2178809292465331</v>
      </c>
      <c r="CX1" s="1832">
        <f>IS!CX39</f>
        <v>1.284180196672404</v>
      </c>
      <c r="CY1" s="1832">
        <f>IS!CY39</f>
        <v>1.5302145999820418</v>
      </c>
      <c r="CZ1" s="1832">
        <f>IS!CZ39</f>
        <v>5.1711230642203807</v>
      </c>
      <c r="DA1" s="1829"/>
      <c r="DB1" s="1829"/>
      <c r="DC1" s="1930">
        <f>111/90.74-1</f>
        <v>0.2232752920432004</v>
      </c>
      <c r="DD1" s="1829"/>
      <c r="DE1" s="1829"/>
      <c r="DF1" s="1829"/>
      <c r="DG1" s="1829"/>
      <c r="DH1" s="1829"/>
      <c r="DI1" s="1829"/>
      <c r="DJ1" s="1829"/>
      <c r="DK1" s="1829"/>
      <c r="DL1" s="1829"/>
      <c r="DM1" s="1829"/>
      <c r="DN1" s="1829"/>
      <c r="DO1" s="1829"/>
      <c r="DP1" s="1829"/>
      <c r="DQ1" s="1829"/>
      <c r="DR1" s="1829"/>
      <c r="DS1" s="1829"/>
      <c r="DT1" s="1829"/>
      <c r="DU1" s="1829"/>
      <c r="DV1" s="1829"/>
      <c r="DW1" s="1829"/>
      <c r="DX1" s="1829"/>
      <c r="DY1" s="1829"/>
      <c r="DZ1" s="1833"/>
      <c r="EA1" s="1833"/>
      <c r="EB1" s="1833"/>
    </row>
    <row r="2" spans="1:132" ht="12" thickBot="1" x14ac:dyDescent="0.25">
      <c r="A2" s="1833"/>
      <c r="B2" s="296" t="s">
        <v>1492</v>
      </c>
      <c r="C2" s="1834"/>
      <c r="D2" s="1834"/>
      <c r="E2" s="1834"/>
      <c r="F2" s="1834"/>
      <c r="G2" s="1834"/>
      <c r="H2" s="1834"/>
      <c r="I2" s="1834"/>
      <c r="J2" s="1834"/>
      <c r="K2" s="1834"/>
      <c r="L2" s="1834"/>
      <c r="M2" s="1834"/>
      <c r="N2" s="1834"/>
      <c r="O2" s="1834"/>
      <c r="P2" s="1834"/>
      <c r="Q2" s="1834"/>
      <c r="R2" s="1834"/>
      <c r="S2" s="1834"/>
      <c r="T2" s="1834"/>
      <c r="U2" s="1834"/>
      <c r="V2" s="1834"/>
      <c r="W2" s="1834"/>
      <c r="X2" s="1834"/>
      <c r="Y2" s="1834"/>
      <c r="Z2" s="1834"/>
      <c r="AA2" s="1834"/>
      <c r="AB2" s="1834"/>
      <c r="AC2" s="1834"/>
      <c r="AD2" s="1834"/>
      <c r="AE2" s="1834"/>
      <c r="AF2" s="1834"/>
      <c r="AG2" s="1834"/>
      <c r="AH2" s="1834"/>
      <c r="AI2" s="1834"/>
      <c r="AJ2" s="1834"/>
      <c r="AK2" s="1834"/>
      <c r="AL2" s="1834"/>
      <c r="AM2" s="1834"/>
      <c r="AN2" s="1834"/>
      <c r="AO2" s="1834"/>
      <c r="AP2" s="1834"/>
      <c r="AQ2" s="1834"/>
      <c r="AR2" s="1834"/>
      <c r="AS2" s="1834"/>
      <c r="AT2" s="1834"/>
      <c r="AU2" s="1834"/>
      <c r="AV2" s="1834"/>
      <c r="AW2" s="1834"/>
      <c r="AX2" s="1834"/>
      <c r="AY2" s="1834"/>
      <c r="AZ2" s="1834"/>
      <c r="BA2" s="1834"/>
      <c r="BB2" s="1834"/>
      <c r="BC2" s="1834"/>
      <c r="BD2" s="1834"/>
      <c r="BE2" s="1834"/>
      <c r="BF2" s="1834"/>
      <c r="BG2" s="1834"/>
      <c r="BH2" s="1834"/>
      <c r="BI2" s="1834"/>
      <c r="BJ2" s="1834"/>
      <c r="BK2" s="1834"/>
      <c r="BL2" s="1834"/>
      <c r="BM2" s="1834"/>
      <c r="BN2" s="1834"/>
      <c r="BO2" s="1834"/>
      <c r="BP2" s="1834"/>
      <c r="BQ2" s="1834"/>
      <c r="BR2" s="1834"/>
      <c r="BS2" s="1834"/>
      <c r="BT2" s="1834"/>
      <c r="BU2" s="1834"/>
      <c r="BV2" s="1834"/>
      <c r="BW2" s="1834"/>
      <c r="BX2" s="1834"/>
      <c r="BY2" s="1834"/>
      <c r="BZ2" s="1834"/>
      <c r="CA2" s="1835"/>
      <c r="CB2" s="1834"/>
      <c r="CC2" s="1834"/>
      <c r="CD2" s="1834"/>
      <c r="CE2" s="1834"/>
      <c r="CF2" s="1836"/>
      <c r="CG2" s="1834"/>
      <c r="CH2" s="1834"/>
      <c r="CI2" s="1834"/>
      <c r="CJ2" s="1834"/>
      <c r="CK2" s="1836"/>
      <c r="CL2" s="1836"/>
      <c r="CM2" s="1836"/>
      <c r="CN2" s="1836"/>
      <c r="CO2" s="1836"/>
      <c r="CP2" s="1834"/>
      <c r="CQ2" s="1836"/>
      <c r="CR2" s="1836"/>
      <c r="CS2" s="1836"/>
      <c r="CT2" s="1836"/>
      <c r="CU2" s="1834"/>
      <c r="CV2" s="1836"/>
      <c r="CW2" s="1836"/>
      <c r="CX2" s="1836"/>
      <c r="CY2" s="1836"/>
      <c r="CZ2" s="1837"/>
      <c r="DA2" s="1836"/>
      <c r="DB2" s="1836"/>
      <c r="DC2" s="1836"/>
      <c r="DD2" s="1836"/>
      <c r="DE2" s="1837"/>
      <c r="DF2" s="1836"/>
      <c r="DG2" s="1836"/>
      <c r="DH2" s="1836"/>
      <c r="DI2" s="1836"/>
      <c r="DJ2" s="1837"/>
      <c r="DK2" s="1836"/>
      <c r="DL2" s="1836"/>
      <c r="DM2" s="1836"/>
      <c r="DN2" s="1836"/>
      <c r="DO2" s="1837"/>
      <c r="DP2" s="1836"/>
      <c r="DQ2" s="1836"/>
      <c r="DR2" s="1836"/>
      <c r="DS2" s="1836"/>
      <c r="DT2" s="1837"/>
      <c r="DU2" s="1836"/>
      <c r="DV2" s="1836"/>
      <c r="DW2" s="1836"/>
      <c r="DX2" s="1836"/>
      <c r="DY2" s="1837"/>
      <c r="DZ2" s="1838"/>
      <c r="EA2" s="1838"/>
      <c r="EB2" s="1838"/>
    </row>
    <row r="3" spans="1:132" ht="13.5" customHeight="1" thickBot="1" x14ac:dyDescent="0.25">
      <c r="A3" s="1833"/>
      <c r="B3" s="296" t="str">
        <f>"Quarterly Balance Sheet &amp; Cash Flow Statement"</f>
        <v>Quarterly Balance Sheet &amp; Cash Flow Statement</v>
      </c>
      <c r="C3" s="297"/>
      <c r="D3" s="1839"/>
      <c r="E3" s="1839"/>
      <c r="F3" s="1839"/>
      <c r="G3" s="1839"/>
      <c r="H3" s="1839"/>
      <c r="I3" s="1839"/>
      <c r="J3" s="1839"/>
      <c r="K3" s="1839"/>
      <c r="L3" s="1839"/>
      <c r="M3" s="1839"/>
      <c r="N3" s="1839"/>
      <c r="O3" s="1839"/>
      <c r="P3" s="1839"/>
      <c r="Q3" s="1839"/>
      <c r="R3" s="1839"/>
      <c r="S3" s="1839"/>
      <c r="T3" s="1839"/>
      <c r="U3" s="1839"/>
      <c r="V3" s="1839"/>
      <c r="W3" s="1839"/>
      <c r="X3" s="1839"/>
      <c r="Y3" s="1839"/>
      <c r="Z3" s="1839"/>
      <c r="AA3" s="1839"/>
      <c r="AB3" s="1839"/>
      <c r="AC3" s="1839"/>
      <c r="AD3" s="1839"/>
      <c r="AE3" s="1839"/>
      <c r="AF3" s="1839"/>
      <c r="AG3" s="1839"/>
      <c r="AH3" s="1839"/>
      <c r="AI3" s="1839"/>
      <c r="AJ3" s="1839"/>
      <c r="AK3" s="1839"/>
      <c r="AL3" s="1839"/>
      <c r="AM3" s="1839"/>
      <c r="AN3" s="1839"/>
      <c r="AO3" s="1839"/>
      <c r="AP3" s="1839"/>
      <c r="AQ3" s="1839"/>
      <c r="AR3" s="1839"/>
      <c r="AS3" s="1839"/>
      <c r="AT3" s="1839"/>
      <c r="AU3" s="1839"/>
      <c r="AV3" s="1839"/>
      <c r="AW3" s="1839"/>
      <c r="AX3" s="1839"/>
      <c r="AY3" s="1839"/>
      <c r="AZ3" s="1839"/>
      <c r="BA3" s="1839"/>
      <c r="BB3" s="1839"/>
      <c r="BC3" s="1839"/>
      <c r="BD3" s="1839"/>
      <c r="BE3" s="1839"/>
      <c r="BF3" s="1839"/>
      <c r="BG3" s="1839"/>
      <c r="BH3" s="1839"/>
      <c r="BI3" s="1839"/>
      <c r="BJ3" s="1839"/>
      <c r="BK3" s="1839"/>
      <c r="BL3" s="1839"/>
      <c r="BM3" s="1839"/>
      <c r="BN3" s="1839"/>
      <c r="BO3" s="1839"/>
      <c r="BP3" s="1839"/>
      <c r="BQ3" s="1839"/>
      <c r="BR3" s="1839"/>
      <c r="BS3" s="1839"/>
      <c r="BT3" s="1839"/>
      <c r="BU3" s="1839"/>
      <c r="BV3" s="1839"/>
      <c r="BW3" s="1839"/>
      <c r="BX3" s="1839"/>
      <c r="BY3" s="1839"/>
      <c r="BZ3" s="1839"/>
      <c r="CA3" s="1839"/>
      <c r="CB3" s="1839"/>
      <c r="CC3" s="1839"/>
      <c r="CD3" s="1839"/>
      <c r="CE3" s="1839"/>
      <c r="CF3" s="1839"/>
      <c r="CG3" s="1839"/>
      <c r="CH3" s="1839"/>
      <c r="CI3" s="1839"/>
      <c r="CJ3" s="1839"/>
      <c r="CK3" s="1839"/>
      <c r="CL3" s="1839"/>
      <c r="CM3" s="1839"/>
      <c r="CN3" s="1839"/>
      <c r="CO3" s="1839"/>
      <c r="CP3" s="1839"/>
      <c r="CQ3" s="1839"/>
      <c r="CR3" s="1839"/>
      <c r="CS3" s="1839"/>
      <c r="CT3" s="1839"/>
      <c r="CU3" s="1839"/>
      <c r="CV3" s="1839"/>
      <c r="CW3" s="1839"/>
      <c r="CX3" s="1839"/>
      <c r="CY3" s="1839"/>
      <c r="CZ3" s="1840"/>
      <c r="DA3" s="1839"/>
      <c r="DB3" s="1839"/>
      <c r="DC3" s="1839"/>
      <c r="DD3" s="1839"/>
      <c r="DE3" s="1840"/>
      <c r="DF3" s="1839"/>
      <c r="DG3" s="1839"/>
      <c r="DH3" s="1839"/>
      <c r="DI3" s="1839"/>
      <c r="DJ3" s="1840"/>
      <c r="DK3" s="1839"/>
      <c r="DL3" s="1839"/>
      <c r="DM3" s="1839"/>
      <c r="DN3" s="1839"/>
      <c r="DO3" s="1840"/>
      <c r="DP3" s="1839"/>
      <c r="DQ3" s="1839"/>
      <c r="DR3" s="1839"/>
      <c r="DS3" s="1839"/>
      <c r="DT3" s="1840"/>
      <c r="DU3" s="1839"/>
      <c r="DV3" s="1839"/>
      <c r="DW3" s="1839"/>
      <c r="DX3" s="1839"/>
      <c r="DY3" s="1840"/>
      <c r="DZ3" s="1838"/>
      <c r="EA3" s="1838"/>
      <c r="EB3" s="1838"/>
    </row>
    <row r="4" spans="1:132" ht="12" outlineLevel="1" thickBot="1" x14ac:dyDescent="0.25">
      <c r="A4" s="1833"/>
      <c r="B4" s="1829"/>
      <c r="C4" s="1841"/>
      <c r="D4" s="1841"/>
      <c r="E4" s="44">
        <v>35155</v>
      </c>
      <c r="F4" s="44">
        <v>35246</v>
      </c>
      <c r="G4" s="44">
        <v>35338</v>
      </c>
      <c r="H4" s="44">
        <v>35430</v>
      </c>
      <c r="I4" s="44">
        <v>35430</v>
      </c>
      <c r="J4" s="44">
        <v>35520</v>
      </c>
      <c r="K4" s="44">
        <v>35611</v>
      </c>
      <c r="L4" s="44">
        <v>35703</v>
      </c>
      <c r="M4" s="44">
        <v>35795</v>
      </c>
      <c r="N4" s="44">
        <v>35795</v>
      </c>
      <c r="O4" s="44">
        <v>35885</v>
      </c>
      <c r="P4" s="44">
        <v>35976</v>
      </c>
      <c r="Q4" s="44">
        <v>36068</v>
      </c>
      <c r="R4" s="44">
        <v>36160</v>
      </c>
      <c r="S4" s="44">
        <v>36160</v>
      </c>
      <c r="T4" s="44">
        <v>36250</v>
      </c>
      <c r="U4" s="44">
        <v>36341</v>
      </c>
      <c r="V4" s="44">
        <v>36433</v>
      </c>
      <c r="W4" s="44">
        <v>36525</v>
      </c>
      <c r="X4" s="44">
        <v>36525</v>
      </c>
      <c r="Y4" s="44">
        <v>36616</v>
      </c>
      <c r="Z4" s="44">
        <v>36707</v>
      </c>
      <c r="AA4" s="44">
        <v>36799</v>
      </c>
      <c r="AB4" s="44">
        <v>36891</v>
      </c>
      <c r="AC4" s="44">
        <v>36891</v>
      </c>
      <c r="AD4" s="44">
        <v>36981</v>
      </c>
      <c r="AE4" s="44">
        <v>37072</v>
      </c>
      <c r="AF4" s="44">
        <v>37164</v>
      </c>
      <c r="AG4" s="44">
        <v>37256</v>
      </c>
      <c r="AH4" s="44">
        <f>AG4</f>
        <v>37256</v>
      </c>
      <c r="AI4" s="44">
        <v>37346</v>
      </c>
      <c r="AJ4" s="44">
        <v>37437</v>
      </c>
      <c r="AK4" s="44">
        <v>37529</v>
      </c>
      <c r="AL4" s="44">
        <v>37621</v>
      </c>
      <c r="AM4" s="44">
        <f>AL4</f>
        <v>37621</v>
      </c>
      <c r="AN4" s="44">
        <v>37711</v>
      </c>
      <c r="AO4" s="44">
        <v>37802</v>
      </c>
      <c r="AP4" s="44">
        <v>37894</v>
      </c>
      <c r="AQ4" s="44">
        <v>37986</v>
      </c>
      <c r="AR4" s="44">
        <f>AQ4</f>
        <v>37986</v>
      </c>
      <c r="AS4" s="44">
        <v>38077</v>
      </c>
      <c r="AT4" s="44">
        <v>38168</v>
      </c>
      <c r="AU4" s="44">
        <v>38260</v>
      </c>
      <c r="AV4" s="44">
        <v>38352</v>
      </c>
      <c r="AW4" s="44">
        <f>AV4</f>
        <v>38352</v>
      </c>
      <c r="AX4" s="44">
        <v>38442</v>
      </c>
      <c r="AY4" s="44">
        <v>38533</v>
      </c>
      <c r="AZ4" s="44">
        <v>38625</v>
      </c>
      <c r="BA4" s="44">
        <v>38717</v>
      </c>
      <c r="BB4" s="44">
        <f>BA4</f>
        <v>38717</v>
      </c>
      <c r="BC4" s="44">
        <v>38807</v>
      </c>
      <c r="BD4" s="44">
        <v>38898</v>
      </c>
      <c r="BE4" s="44">
        <v>38990</v>
      </c>
      <c r="BF4" s="44">
        <v>39082</v>
      </c>
      <c r="BG4" s="44">
        <f>BF4</f>
        <v>39082</v>
      </c>
      <c r="BH4" s="44">
        <v>39172</v>
      </c>
      <c r="BI4" s="44">
        <v>39263</v>
      </c>
      <c r="BJ4" s="44">
        <v>39355</v>
      </c>
      <c r="BK4" s="44">
        <v>39447</v>
      </c>
      <c r="BL4" s="44">
        <f>BK4</f>
        <v>39447</v>
      </c>
      <c r="BM4" s="44">
        <v>39538</v>
      </c>
      <c r="BN4" s="44">
        <v>39629</v>
      </c>
      <c r="BO4" s="44">
        <v>39721</v>
      </c>
      <c r="BP4" s="44">
        <v>39813</v>
      </c>
      <c r="BQ4" s="44">
        <f>BP4</f>
        <v>39813</v>
      </c>
      <c r="BR4" s="44">
        <v>39903</v>
      </c>
      <c r="BS4" s="44">
        <v>39994</v>
      </c>
      <c r="BT4" s="44">
        <v>40086</v>
      </c>
      <c r="BU4" s="44">
        <v>40178</v>
      </c>
      <c r="BV4" s="44">
        <f>BU4</f>
        <v>40178</v>
      </c>
      <c r="BW4" s="44">
        <v>40268</v>
      </c>
      <c r="BX4" s="44">
        <v>40359</v>
      </c>
      <c r="BY4" s="44">
        <v>40451</v>
      </c>
      <c r="BZ4" s="44">
        <v>40543</v>
      </c>
      <c r="CA4" s="44">
        <f>BZ4</f>
        <v>40543</v>
      </c>
      <c r="CB4" s="44">
        <v>40633</v>
      </c>
      <c r="CC4" s="44">
        <v>40724</v>
      </c>
      <c r="CD4" s="44">
        <v>40816</v>
      </c>
      <c r="CE4" s="44">
        <v>40908</v>
      </c>
      <c r="CF4" s="44">
        <f>CE4</f>
        <v>40908</v>
      </c>
      <c r="CG4" s="44">
        <v>40999</v>
      </c>
      <c r="CH4" s="44">
        <v>41090</v>
      </c>
      <c r="CI4" s="44">
        <v>41182</v>
      </c>
      <c r="CJ4" s="44">
        <v>41274</v>
      </c>
      <c r="CK4" s="44">
        <f>CJ4</f>
        <v>41274</v>
      </c>
      <c r="CL4" s="44">
        <v>41364</v>
      </c>
      <c r="CM4" s="44">
        <v>41455</v>
      </c>
      <c r="CN4" s="44">
        <v>41547</v>
      </c>
      <c r="CO4" s="44">
        <v>41639</v>
      </c>
      <c r="CP4" s="44">
        <f>CO4</f>
        <v>41639</v>
      </c>
      <c r="CQ4" s="44">
        <v>41729</v>
      </c>
      <c r="CR4" s="44">
        <v>41820</v>
      </c>
      <c r="CS4" s="44">
        <v>41912</v>
      </c>
      <c r="CT4" s="44">
        <v>42004</v>
      </c>
      <c r="CU4" s="44">
        <f>CT4</f>
        <v>42004</v>
      </c>
      <c r="CV4" s="44">
        <v>42094</v>
      </c>
      <c r="CW4" s="44">
        <v>42185</v>
      </c>
      <c r="CX4" s="44">
        <v>42277</v>
      </c>
      <c r="CY4" s="44">
        <v>42369</v>
      </c>
      <c r="CZ4" s="44">
        <f>CY4</f>
        <v>42369</v>
      </c>
      <c r="DA4" s="44">
        <v>42460</v>
      </c>
      <c r="DB4" s="44">
        <v>42551</v>
      </c>
      <c r="DC4" s="44">
        <v>42643</v>
      </c>
      <c r="DD4" s="44">
        <v>42735</v>
      </c>
      <c r="DE4" s="44">
        <f>DD4</f>
        <v>42735</v>
      </c>
      <c r="DF4" s="44">
        <v>42825</v>
      </c>
      <c r="DG4" s="44">
        <v>42916</v>
      </c>
      <c r="DH4" s="44">
        <v>43008</v>
      </c>
      <c r="DI4" s="44">
        <v>43100</v>
      </c>
      <c r="DJ4" s="44">
        <f>DI4</f>
        <v>43100</v>
      </c>
      <c r="DK4" s="44">
        <v>43190</v>
      </c>
      <c r="DL4" s="44">
        <v>43281</v>
      </c>
      <c r="DM4" s="44">
        <v>43373</v>
      </c>
      <c r="DN4" s="44">
        <v>43465</v>
      </c>
      <c r="DO4" s="44">
        <f>DN4</f>
        <v>43465</v>
      </c>
      <c r="DP4" s="44">
        <v>43555</v>
      </c>
      <c r="DQ4" s="44">
        <v>43646</v>
      </c>
      <c r="DR4" s="44">
        <v>43738</v>
      </c>
      <c r="DS4" s="44">
        <v>43830</v>
      </c>
      <c r="DT4" s="44">
        <f>DS4</f>
        <v>43830</v>
      </c>
      <c r="DU4" s="2772">
        <v>43555</v>
      </c>
      <c r="DV4" s="2772">
        <v>43646</v>
      </c>
      <c r="DW4" s="2772">
        <v>43738</v>
      </c>
      <c r="DX4" s="2772">
        <v>43830</v>
      </c>
      <c r="DY4" s="2772">
        <f>DX4</f>
        <v>43830</v>
      </c>
      <c r="DZ4" s="1838"/>
      <c r="EA4" s="1838"/>
      <c r="EB4" s="1838"/>
    </row>
    <row r="5" spans="1:132" ht="12.75" thickBot="1" x14ac:dyDescent="0.25">
      <c r="A5" s="1842"/>
      <c r="B5" s="301" t="s">
        <v>299</v>
      </c>
      <c r="C5" s="302"/>
      <c r="D5" s="302"/>
      <c r="E5" s="47" t="s">
        <v>54</v>
      </c>
      <c r="F5" s="48"/>
      <c r="G5" s="48"/>
      <c r="H5" s="48"/>
      <c r="I5" s="49"/>
      <c r="J5" s="48" t="s">
        <v>55</v>
      </c>
      <c r="K5" s="48"/>
      <c r="L5" s="48"/>
      <c r="M5" s="48"/>
      <c r="N5" s="49"/>
      <c r="O5" s="48" t="s">
        <v>56</v>
      </c>
      <c r="P5" s="48"/>
      <c r="Q5" s="48"/>
      <c r="R5" s="48"/>
      <c r="S5" s="49"/>
      <c r="T5" s="48" t="s">
        <v>57</v>
      </c>
      <c r="U5" s="48"/>
      <c r="V5" s="48"/>
      <c r="W5" s="48"/>
      <c r="X5" s="49"/>
      <c r="Y5" s="48" t="s">
        <v>58</v>
      </c>
      <c r="Z5" s="48"/>
      <c r="AA5" s="48"/>
      <c r="AB5" s="48"/>
      <c r="AC5" s="49"/>
      <c r="AD5" s="48" t="s">
        <v>59</v>
      </c>
      <c r="AE5" s="48"/>
      <c r="AF5" s="48"/>
      <c r="AG5" s="48"/>
      <c r="AH5" s="49"/>
      <c r="AI5" s="48" t="s">
        <v>60</v>
      </c>
      <c r="AJ5" s="48"/>
      <c r="AK5" s="48"/>
      <c r="AL5" s="48"/>
      <c r="AM5" s="49"/>
      <c r="AN5" s="48" t="s">
        <v>61</v>
      </c>
      <c r="AO5" s="48"/>
      <c r="AP5" s="48"/>
      <c r="AQ5" s="48"/>
      <c r="AR5" s="49"/>
      <c r="AS5" s="48" t="s">
        <v>62</v>
      </c>
      <c r="AT5" s="48"/>
      <c r="AU5" s="48"/>
      <c r="AV5" s="48"/>
      <c r="AW5" s="49"/>
      <c r="AX5" s="48" t="s">
        <v>63</v>
      </c>
      <c r="AY5" s="48"/>
      <c r="AZ5" s="48"/>
      <c r="BA5" s="48"/>
      <c r="BB5" s="49"/>
      <c r="BC5" s="48" t="s">
        <v>64</v>
      </c>
      <c r="BD5" s="48"/>
      <c r="BE5" s="48"/>
      <c r="BF5" s="48"/>
      <c r="BG5" s="49"/>
      <c r="BH5" s="48" t="s">
        <v>65</v>
      </c>
      <c r="BI5" s="48"/>
      <c r="BJ5" s="48"/>
      <c r="BK5" s="48"/>
      <c r="BL5" s="49"/>
      <c r="BM5" s="48" t="s">
        <v>66</v>
      </c>
      <c r="BN5" s="48"/>
      <c r="BO5" s="48"/>
      <c r="BP5" s="48"/>
      <c r="BQ5" s="49"/>
      <c r="BR5" s="48" t="s">
        <v>67</v>
      </c>
      <c r="BS5" s="48"/>
      <c r="BT5" s="48"/>
      <c r="BU5" s="48"/>
      <c r="BV5" s="49" t="s">
        <v>300</v>
      </c>
      <c r="BW5" s="48" t="s">
        <v>68</v>
      </c>
      <c r="BX5" s="48"/>
      <c r="BY5" s="48"/>
      <c r="BZ5" s="48"/>
      <c r="CA5" s="49"/>
      <c r="CB5" s="48" t="s">
        <v>69</v>
      </c>
      <c r="CC5" s="48"/>
      <c r="CD5" s="48"/>
      <c r="CE5" s="48"/>
      <c r="CF5" s="49"/>
      <c r="CG5" s="48" t="s">
        <v>70</v>
      </c>
      <c r="CH5" s="48"/>
      <c r="CI5" s="48"/>
      <c r="CJ5" s="48"/>
      <c r="CK5" s="49"/>
      <c r="CL5" s="48" t="s">
        <v>71</v>
      </c>
      <c r="CM5" s="48"/>
      <c r="CN5" s="48"/>
      <c r="CO5" s="48"/>
      <c r="CP5" s="49"/>
      <c r="CQ5" s="47" t="s">
        <v>72</v>
      </c>
      <c r="CR5" s="48"/>
      <c r="CS5" s="48"/>
      <c r="CT5" s="1765"/>
      <c r="CU5" s="1760"/>
      <c r="CV5" s="48" t="s">
        <v>73</v>
      </c>
      <c r="CW5" s="48"/>
      <c r="CX5" s="48"/>
      <c r="CY5" s="48"/>
      <c r="CZ5" s="49"/>
      <c r="DA5" s="48" t="s">
        <v>674</v>
      </c>
      <c r="DB5" s="48"/>
      <c r="DC5" s="48"/>
      <c r="DD5" s="48"/>
      <c r="DE5" s="49"/>
      <c r="DF5" s="48" t="s">
        <v>1322</v>
      </c>
      <c r="DG5" s="48"/>
      <c r="DH5" s="48"/>
      <c r="DI5" s="48"/>
      <c r="DJ5" s="49"/>
      <c r="DK5" s="48" t="s">
        <v>1458</v>
      </c>
      <c r="DL5" s="48"/>
      <c r="DM5" s="48"/>
      <c r="DN5" s="48"/>
      <c r="DO5" s="49"/>
      <c r="DP5" s="48" t="s">
        <v>1566</v>
      </c>
      <c r="DQ5" s="48"/>
      <c r="DR5" s="48"/>
      <c r="DS5" s="48"/>
      <c r="DT5" s="49"/>
      <c r="DU5" s="48" t="s">
        <v>1566</v>
      </c>
      <c r="DV5" s="48"/>
      <c r="DW5" s="48"/>
      <c r="DX5" s="48"/>
      <c r="DY5" s="49"/>
      <c r="DZ5" s="1842"/>
      <c r="EA5" s="1844"/>
      <c r="EB5" s="1844"/>
    </row>
    <row r="6" spans="1:132" ht="12.75" thickBot="1" x14ac:dyDescent="0.25">
      <c r="A6" s="1842"/>
      <c r="B6" s="1845" t="s">
        <v>74</v>
      </c>
      <c r="C6" s="1818"/>
      <c r="D6" s="1846"/>
      <c r="E6" s="303" t="str">
        <f>IS!E6</f>
        <v>1Q96A</v>
      </c>
      <c r="F6" s="304" t="str">
        <f>IS!F6</f>
        <v>2Q96A</v>
      </c>
      <c r="G6" s="304" t="str">
        <f>IS!G6</f>
        <v>3Q96A</v>
      </c>
      <c r="H6" s="304" t="str">
        <f>IS!H6</f>
        <v>4Q96A</v>
      </c>
      <c r="I6" s="55" t="str">
        <f>IS!I6</f>
        <v>1996A</v>
      </c>
      <c r="J6" s="304" t="str">
        <f>IS!J6</f>
        <v>1Q97A</v>
      </c>
      <c r="K6" s="304" t="str">
        <f>IS!K6</f>
        <v>2Q97A</v>
      </c>
      <c r="L6" s="304" t="str">
        <f>IS!L6</f>
        <v>3Q97A</v>
      </c>
      <c r="M6" s="304" t="str">
        <f>IS!M6</f>
        <v>4Q97A</v>
      </c>
      <c r="N6" s="55" t="str">
        <f>IS!N6</f>
        <v>1997A</v>
      </c>
      <c r="O6" s="304" t="str">
        <f>IS!O6</f>
        <v>1Q98A</v>
      </c>
      <c r="P6" s="304" t="str">
        <f>IS!P6</f>
        <v>2Q98A</v>
      </c>
      <c r="Q6" s="304" t="str">
        <f>IS!Q6</f>
        <v>3Q98A</v>
      </c>
      <c r="R6" s="304" t="str">
        <f>IS!R6</f>
        <v>4Q98A</v>
      </c>
      <c r="S6" s="55" t="str">
        <f>IS!S6</f>
        <v>1998A</v>
      </c>
      <c r="T6" s="304" t="str">
        <f>IS!T6</f>
        <v>1Q99A</v>
      </c>
      <c r="U6" s="304" t="str">
        <f>IS!U6</f>
        <v>2Q99A</v>
      </c>
      <c r="V6" s="304" t="str">
        <f>IS!V6</f>
        <v>3Q99A</v>
      </c>
      <c r="W6" s="304" t="str">
        <f>IS!W6</f>
        <v>4Q99A</v>
      </c>
      <c r="X6" s="55" t="str">
        <f>IS!X6</f>
        <v>1999A</v>
      </c>
      <c r="Y6" s="304" t="str">
        <f>IS!Y6</f>
        <v>1Q00A</v>
      </c>
      <c r="Z6" s="304" t="str">
        <f>IS!Z6</f>
        <v>2Q00A</v>
      </c>
      <c r="AA6" s="304" t="str">
        <f>IS!AA6</f>
        <v>3Q00A</v>
      </c>
      <c r="AB6" s="304" t="str">
        <f>IS!AB6</f>
        <v>4Q00A</v>
      </c>
      <c r="AC6" s="55" t="str">
        <f>IS!AC6</f>
        <v>2000A</v>
      </c>
      <c r="AD6" s="304" t="str">
        <f>IS!AD6</f>
        <v>1Q01A</v>
      </c>
      <c r="AE6" s="304" t="str">
        <f>IS!AE6</f>
        <v>2Q01A</v>
      </c>
      <c r="AF6" s="304" t="str">
        <f>IS!AF6</f>
        <v>3Q01A</v>
      </c>
      <c r="AG6" s="304" t="str">
        <f>IS!AG6</f>
        <v>4Q01A</v>
      </c>
      <c r="AH6" s="55" t="str">
        <f>IS!AH6</f>
        <v>2001A</v>
      </c>
      <c r="AI6" s="304" t="str">
        <f>IS!AI6</f>
        <v>1Q02A</v>
      </c>
      <c r="AJ6" s="304" t="str">
        <f>IS!AJ6</f>
        <v>2Q02A</v>
      </c>
      <c r="AK6" s="304" t="str">
        <f>IS!AK6</f>
        <v>3Q02A</v>
      </c>
      <c r="AL6" s="304" t="str">
        <f>IS!AL6</f>
        <v>4Q02A</v>
      </c>
      <c r="AM6" s="55" t="str">
        <f>IS!AM6</f>
        <v>2002A</v>
      </c>
      <c r="AN6" s="304" t="str">
        <f>IS!AN6</f>
        <v>1Q03A</v>
      </c>
      <c r="AO6" s="304" t="str">
        <f>IS!AO6</f>
        <v>2Q03A</v>
      </c>
      <c r="AP6" s="304" t="str">
        <f>IS!AP6</f>
        <v>3Q03A</v>
      </c>
      <c r="AQ6" s="304" t="str">
        <f>IS!AQ6</f>
        <v>4Q03A</v>
      </c>
      <c r="AR6" s="55" t="str">
        <f>IS!AR6</f>
        <v>2003A</v>
      </c>
      <c r="AS6" s="304" t="str">
        <f>IS!AS6</f>
        <v>1QA</v>
      </c>
      <c r="AT6" s="304" t="str">
        <f>IS!AT6</f>
        <v>2QA</v>
      </c>
      <c r="AU6" s="304" t="str">
        <f>IS!AU6</f>
        <v>3QA</v>
      </c>
      <c r="AV6" s="304" t="str">
        <f>IS!AV6</f>
        <v>4QA</v>
      </c>
      <c r="AW6" s="55" t="str">
        <f>IS!AW6</f>
        <v>2004A</v>
      </c>
      <c r="AX6" s="304" t="str">
        <f>IS!AX6</f>
        <v>1QA</v>
      </c>
      <c r="AY6" s="304" t="str">
        <f>IS!AY6</f>
        <v>2QA</v>
      </c>
      <c r="AZ6" s="304" t="str">
        <f>IS!AZ6</f>
        <v>3QA</v>
      </c>
      <c r="BA6" s="304" t="str">
        <f>IS!BA6</f>
        <v>4QA</v>
      </c>
      <c r="BB6" s="55" t="str">
        <f>IS!BB6</f>
        <v>2005A</v>
      </c>
      <c r="BC6" s="304" t="str">
        <f>IS!BC6</f>
        <v>1QA</v>
      </c>
      <c r="BD6" s="304" t="str">
        <f>IS!BD6</f>
        <v>2QA</v>
      </c>
      <c r="BE6" s="304" t="str">
        <f>IS!BE6</f>
        <v>3QA</v>
      </c>
      <c r="BF6" s="304" t="str">
        <f>IS!BF6</f>
        <v>4QA</v>
      </c>
      <c r="BG6" s="55" t="str">
        <f>IS!BG6</f>
        <v>2006A</v>
      </c>
      <c r="BH6" s="304" t="str">
        <f>IS!BH6</f>
        <v>1QA</v>
      </c>
      <c r="BI6" s="304" t="str">
        <f>IS!BI6</f>
        <v>2QA</v>
      </c>
      <c r="BJ6" s="304" t="str">
        <f>IS!BJ6</f>
        <v>3QA</v>
      </c>
      <c r="BK6" s="304" t="str">
        <f>IS!BK6</f>
        <v>4QA</v>
      </c>
      <c r="BL6" s="55" t="str">
        <f>IS!BL6</f>
        <v>2007A</v>
      </c>
      <c r="BM6" s="304" t="str">
        <f>IS!BM6</f>
        <v>1QA</v>
      </c>
      <c r="BN6" s="304" t="str">
        <f>IS!BN6</f>
        <v>2QA</v>
      </c>
      <c r="BO6" s="304" t="str">
        <f>IS!BO6</f>
        <v>3QA</v>
      </c>
      <c r="BP6" s="304" t="str">
        <f>IS!BP6</f>
        <v>4QA</v>
      </c>
      <c r="BQ6" s="55" t="str">
        <f>IS!BQ6</f>
        <v>2008A</v>
      </c>
      <c r="BR6" s="304" t="str">
        <f>IS!BR6</f>
        <v>1QA</v>
      </c>
      <c r="BS6" s="304" t="str">
        <f>IS!BS6</f>
        <v>2QA</v>
      </c>
      <c r="BT6" s="304" t="str">
        <f>IS!BT6</f>
        <v>3QA</v>
      </c>
      <c r="BU6" s="304" t="str">
        <f>IS!BU6</f>
        <v>4QA</v>
      </c>
      <c r="BV6" s="55" t="str">
        <f>IS!BV6</f>
        <v>2009A</v>
      </c>
      <c r="BW6" s="304" t="str">
        <f>IS!BW6</f>
        <v>1QA</v>
      </c>
      <c r="BX6" s="304" t="str">
        <f>IS!BX6</f>
        <v>2QA</v>
      </c>
      <c r="BY6" s="304" t="str">
        <f>IS!BY6</f>
        <v>3QA</v>
      </c>
      <c r="BZ6" s="304" t="str">
        <f>IS!BZ6</f>
        <v>4QA</v>
      </c>
      <c r="CA6" s="55" t="str">
        <f>IS!CA6</f>
        <v>2010A</v>
      </c>
      <c r="CB6" s="304" t="str">
        <f>IS!CB6</f>
        <v>1QA</v>
      </c>
      <c r="CC6" s="304" t="str">
        <f>IS!CC6</f>
        <v>2QA</v>
      </c>
      <c r="CD6" s="304" t="str">
        <f>IS!CD6</f>
        <v>3QA</v>
      </c>
      <c r="CE6" s="304" t="str">
        <f>IS!CE6</f>
        <v>4QA</v>
      </c>
      <c r="CF6" s="55" t="str">
        <f>IS!CF6</f>
        <v>2011A</v>
      </c>
      <c r="CG6" s="304" t="str">
        <f>IS!CG6</f>
        <v>1QA</v>
      </c>
      <c r="CH6" s="304" t="str">
        <f>IS!CH6</f>
        <v>2QA</v>
      </c>
      <c r="CI6" s="304" t="str">
        <f>IS!CI6</f>
        <v>3QA</v>
      </c>
      <c r="CJ6" s="304" t="str">
        <f>IS!CJ6</f>
        <v>4QA</v>
      </c>
      <c r="CK6" s="55" t="str">
        <f>IS!CK6</f>
        <v>2012A</v>
      </c>
      <c r="CL6" s="304" t="str">
        <f>IS!CL6</f>
        <v>1QA</v>
      </c>
      <c r="CM6" s="304" t="str">
        <f>IS!CM6</f>
        <v>2QA</v>
      </c>
      <c r="CN6" s="304" t="str">
        <f>IS!CN6</f>
        <v>3QA</v>
      </c>
      <c r="CO6" s="304" t="str">
        <f>IS!CO6</f>
        <v>4QA</v>
      </c>
      <c r="CP6" s="55" t="str">
        <f>IS!CP6</f>
        <v>2013A</v>
      </c>
      <c r="CQ6" s="303" t="str">
        <f>IS!CQ6</f>
        <v>1QA</v>
      </c>
      <c r="CR6" s="304" t="str">
        <f>IS!CR6</f>
        <v>2QA</v>
      </c>
      <c r="CS6" s="304" t="str">
        <f>IS!CS6</f>
        <v>3QA</v>
      </c>
      <c r="CT6" s="1766" t="str">
        <f>IS!CT6</f>
        <v>4QA</v>
      </c>
      <c r="CU6" s="1761" t="str">
        <f>IS!CU6</f>
        <v>2014A</v>
      </c>
      <c r="CV6" s="304" t="str">
        <f>IS!CV6</f>
        <v>1QA</v>
      </c>
      <c r="CW6" s="304" t="str">
        <f>IS!CW6</f>
        <v>2QA</v>
      </c>
      <c r="CX6" s="304" t="str">
        <f>IS!CX6</f>
        <v>3QA</v>
      </c>
      <c r="CY6" s="304" t="str">
        <f>IS!CY6</f>
        <v>4QA</v>
      </c>
      <c r="CZ6" s="55" t="str">
        <f>IS!CZ6</f>
        <v>2015A</v>
      </c>
      <c r="DA6" s="304" t="str">
        <f>IS!DA6</f>
        <v>1QA</v>
      </c>
      <c r="DB6" s="304" t="str">
        <f>IS!DB6</f>
        <v>2QA</v>
      </c>
      <c r="DC6" s="304" t="str">
        <f>IS!DC6</f>
        <v>3QA</v>
      </c>
      <c r="DD6" s="304" t="str">
        <f>IS!DD6</f>
        <v>4QA</v>
      </c>
      <c r="DE6" s="55" t="str">
        <f>IS!DE6</f>
        <v>2016A</v>
      </c>
      <c r="DF6" s="304" t="str">
        <f>IS!DF6</f>
        <v>1QA</v>
      </c>
      <c r="DG6" s="304" t="str">
        <f>IS!DG6</f>
        <v>2QA</v>
      </c>
      <c r="DH6" s="304" t="str">
        <f>IS!DH6</f>
        <v>3QA</v>
      </c>
      <c r="DI6" s="304" t="str">
        <f>IS!DI6</f>
        <v>4QA</v>
      </c>
      <c r="DJ6" s="55" t="str">
        <f>IS!DJ6</f>
        <v>2017A</v>
      </c>
      <c r="DK6" s="304" t="str">
        <f>IS!DK6</f>
        <v>1QE</v>
      </c>
      <c r="DL6" s="304" t="str">
        <f>IS!DL6</f>
        <v>2QE</v>
      </c>
      <c r="DM6" s="304" t="str">
        <f>IS!DM6</f>
        <v>3QE</v>
      </c>
      <c r="DN6" s="304" t="str">
        <f>IS!DN6</f>
        <v>4QE</v>
      </c>
      <c r="DO6" s="55" t="str">
        <f>IS!DO6</f>
        <v>2018E</v>
      </c>
      <c r="DP6" s="304" t="str">
        <f>IS!DP6</f>
        <v>1QE</v>
      </c>
      <c r="DQ6" s="304" t="str">
        <f>IS!DQ6</f>
        <v>2QE</v>
      </c>
      <c r="DR6" s="304" t="str">
        <f>IS!DR6</f>
        <v>3QE</v>
      </c>
      <c r="DS6" s="304" t="str">
        <f>IS!DS6</f>
        <v>4QE</v>
      </c>
      <c r="DT6" s="55" t="str">
        <f>IS!DT6</f>
        <v>2019E</v>
      </c>
      <c r="DU6" s="304" t="str">
        <f>IS!DU6</f>
        <v>1QE</v>
      </c>
      <c r="DV6" s="304" t="str">
        <f>IS!DV6</f>
        <v>2QE</v>
      </c>
      <c r="DW6" s="304" t="str">
        <f>IS!DW6</f>
        <v>3QE</v>
      </c>
      <c r="DX6" s="304" t="str">
        <f>IS!DX6</f>
        <v>4QE</v>
      </c>
      <c r="DY6" s="55" t="str">
        <f>IS!DY6</f>
        <v>2020E</v>
      </c>
      <c r="DZ6" s="1847"/>
      <c r="EA6" s="1848"/>
      <c r="EB6" s="1848"/>
    </row>
    <row r="7" spans="1:132" x14ac:dyDescent="0.2">
      <c r="A7" s="1842"/>
      <c r="B7" s="1849"/>
      <c r="C7" s="1850"/>
      <c r="D7" s="1850"/>
      <c r="E7" s="1850"/>
      <c r="F7" s="1850"/>
      <c r="G7" s="1850"/>
      <c r="H7" s="1850"/>
      <c r="I7" s="1851"/>
      <c r="J7" s="1850"/>
      <c r="K7" s="1850"/>
      <c r="L7" s="1850"/>
      <c r="M7" s="1850"/>
      <c r="N7" s="1851"/>
      <c r="O7" s="1850"/>
      <c r="P7" s="1850"/>
      <c r="Q7" s="1850"/>
      <c r="R7" s="1850"/>
      <c r="S7" s="1851"/>
      <c r="T7" s="1850"/>
      <c r="U7" s="1850"/>
      <c r="V7" s="1850"/>
      <c r="W7" s="1850"/>
      <c r="X7" s="1851"/>
      <c r="Y7" s="1850"/>
      <c r="Z7" s="1850"/>
      <c r="AA7" s="1850"/>
      <c r="AB7" s="1850"/>
      <c r="AC7" s="1851"/>
      <c r="AD7" s="1850"/>
      <c r="AE7" s="1850"/>
      <c r="AF7" s="1850"/>
      <c r="AG7" s="1850"/>
      <c r="AH7" s="1851"/>
      <c r="AI7" s="1850"/>
      <c r="AJ7" s="1850"/>
      <c r="AK7" s="1850"/>
      <c r="AL7" s="1850"/>
      <c r="AM7" s="1851"/>
      <c r="AN7" s="1850"/>
      <c r="AO7" s="1850"/>
      <c r="AP7" s="1850"/>
      <c r="AQ7" s="1850"/>
      <c r="AR7" s="1851"/>
      <c r="AS7" s="1850"/>
      <c r="AT7" s="1850"/>
      <c r="AU7" s="1850"/>
      <c r="AV7" s="1850"/>
      <c r="AW7" s="1851"/>
      <c r="AX7" s="1850"/>
      <c r="AY7" s="1850"/>
      <c r="AZ7" s="1850"/>
      <c r="BA7" s="1850"/>
      <c r="BB7" s="1851"/>
      <c r="BC7" s="1850"/>
      <c r="BD7" s="1850"/>
      <c r="BE7" s="1850"/>
      <c r="BF7" s="1850"/>
      <c r="BG7" s="1851"/>
      <c r="BH7" s="1850"/>
      <c r="BI7" s="1850"/>
      <c r="BJ7" s="1850"/>
      <c r="BK7" s="1850"/>
      <c r="BL7" s="1851"/>
      <c r="BM7" s="1850"/>
      <c r="BN7" s="1850"/>
      <c r="BO7" s="1850"/>
      <c r="BP7" s="1850"/>
      <c r="BQ7" s="1851"/>
      <c r="BR7" s="1850"/>
      <c r="BS7" s="1850"/>
      <c r="BT7" s="1850"/>
      <c r="BU7" s="1850"/>
      <c r="BV7" s="1851"/>
      <c r="BW7" s="1850"/>
      <c r="BX7" s="1850"/>
      <c r="BY7" s="1850"/>
      <c r="BZ7" s="1850"/>
      <c r="CA7" s="1851"/>
      <c r="CB7" s="1850"/>
      <c r="CC7" s="1850"/>
      <c r="CD7" s="1850"/>
      <c r="CE7" s="1850"/>
      <c r="CF7" s="1851"/>
      <c r="CG7" s="1850"/>
      <c r="CH7" s="1850"/>
      <c r="CI7" s="1850"/>
      <c r="CJ7" s="1850"/>
      <c r="CK7" s="1851"/>
      <c r="CL7" s="1850"/>
      <c r="CM7" s="1850"/>
      <c r="CN7" s="1850"/>
      <c r="CO7" s="1850"/>
      <c r="CP7" s="1851"/>
      <c r="CQ7" s="1849"/>
      <c r="CR7" s="1850"/>
      <c r="CS7" s="1850"/>
      <c r="CT7" s="1852"/>
      <c r="CU7" s="1852"/>
      <c r="CV7" s="1850"/>
      <c r="CW7" s="1850"/>
      <c r="CX7" s="1850"/>
      <c r="CY7" s="1850"/>
      <c r="CZ7" s="1851"/>
      <c r="DA7" s="1850"/>
      <c r="DB7" s="1850"/>
      <c r="DC7" s="1850"/>
      <c r="DD7" s="1850"/>
      <c r="DE7" s="1851"/>
      <c r="DF7" s="1850"/>
      <c r="DG7" s="1850"/>
      <c r="DH7" s="1850"/>
      <c r="DI7" s="1850"/>
      <c r="DJ7" s="1851"/>
      <c r="DK7" s="1850"/>
      <c r="DL7" s="1850"/>
      <c r="DM7" s="1850"/>
      <c r="DN7" s="1850"/>
      <c r="DO7" s="1851"/>
      <c r="DP7" s="1850"/>
      <c r="DQ7" s="1850"/>
      <c r="DR7" s="1850"/>
      <c r="DS7" s="1850"/>
      <c r="DT7" s="1851"/>
      <c r="DU7" s="1850"/>
      <c r="DV7" s="1850"/>
      <c r="DW7" s="1850"/>
      <c r="DX7" s="1850"/>
      <c r="DY7" s="1851"/>
      <c r="DZ7" s="1848"/>
      <c r="EA7" s="1848"/>
      <c r="EB7" s="1848"/>
    </row>
    <row r="8" spans="1:132" x14ac:dyDescent="0.2">
      <c r="A8" s="1853"/>
      <c r="B8" s="58" t="s">
        <v>209</v>
      </c>
      <c r="C8" s="59"/>
      <c r="D8" s="59"/>
      <c r="E8" s="59"/>
      <c r="F8" s="59"/>
      <c r="G8" s="59"/>
      <c r="H8" s="59"/>
      <c r="I8" s="61">
        <f>IS!I29</f>
        <v>598.39499999999975</v>
      </c>
      <c r="J8" s="59"/>
      <c r="K8" s="59"/>
      <c r="L8" s="59"/>
      <c r="M8" s="59"/>
      <c r="N8" s="63">
        <v>76.900000000000006</v>
      </c>
      <c r="O8" s="59"/>
      <c r="P8" s="59"/>
      <c r="Q8" s="59"/>
      <c r="R8" s="59"/>
      <c r="S8" s="63">
        <v>384.5</v>
      </c>
      <c r="T8" s="59"/>
      <c r="U8" s="59"/>
      <c r="V8" s="59"/>
      <c r="W8" s="59"/>
      <c r="X8" s="63">
        <v>635.1</v>
      </c>
      <c r="Y8" s="59"/>
      <c r="Z8" s="59"/>
      <c r="AA8" s="59"/>
      <c r="AB8" s="59"/>
      <c r="AC8" s="63">
        <v>746</v>
      </c>
      <c r="AD8" s="59"/>
      <c r="AE8" s="59"/>
      <c r="AF8" s="59"/>
      <c r="AG8" s="59"/>
      <c r="AH8" s="63">
        <v>413.2</v>
      </c>
      <c r="AI8" s="59"/>
      <c r="AJ8" s="59"/>
      <c r="AK8" s="59"/>
      <c r="AL8" s="59"/>
      <c r="AM8" s="63">
        <v>716.6</v>
      </c>
      <c r="AN8" s="59"/>
      <c r="AO8" s="59"/>
      <c r="AP8" s="59"/>
      <c r="AQ8" s="59"/>
      <c r="AR8" s="63">
        <v>847.3</v>
      </c>
      <c r="AS8" s="59"/>
      <c r="AT8" s="59"/>
      <c r="AU8" s="59"/>
      <c r="AV8" s="59"/>
      <c r="AW8" s="63">
        <v>918.8</v>
      </c>
      <c r="AX8" s="59"/>
      <c r="AY8" s="59"/>
      <c r="AZ8" s="59"/>
      <c r="BA8" s="59"/>
      <c r="BB8" s="63">
        <v>1224.7</v>
      </c>
      <c r="BC8" s="59"/>
      <c r="BD8" s="59"/>
      <c r="BE8" s="59"/>
      <c r="BF8" s="59"/>
      <c r="BG8" s="63">
        <v>1368.9</v>
      </c>
      <c r="BH8" s="59"/>
      <c r="BI8" s="59"/>
      <c r="BJ8" s="59"/>
      <c r="BK8" s="59"/>
      <c r="BL8" s="63">
        <v>2637</v>
      </c>
      <c r="BM8" s="62">
        <f>IS!BM27</f>
        <v>748.49999999999977</v>
      </c>
      <c r="BN8" s="62">
        <f>IS!BN27</f>
        <v>774.80000000000439</v>
      </c>
      <c r="BO8" s="62">
        <f>IS!BO27</f>
        <v>735.99999999999841</v>
      </c>
      <c r="BP8" s="62">
        <f>IS!BP27</f>
        <v>952.800000000002</v>
      </c>
      <c r="BQ8" s="63">
        <v>3212.1</v>
      </c>
      <c r="BR8" s="62">
        <f>IS!BR27</f>
        <v>738.39999999999986</v>
      </c>
      <c r="BS8" s="62">
        <f>IS!BS27</f>
        <v>886.49999999999693</v>
      </c>
      <c r="BT8" s="62">
        <f>IS!BT27</f>
        <v>1021.3000000000005</v>
      </c>
      <c r="BU8" s="1854">
        <f>IS!BU27</f>
        <v>1049.4000000000015</v>
      </c>
      <c r="BV8" s="63">
        <f>IS!BV27-1.2</f>
        <v>3695.5999999999885</v>
      </c>
      <c r="BW8" s="62">
        <f>IS!BW27</f>
        <v>770</v>
      </c>
      <c r="BX8" s="91">
        <f>IS!BX27</f>
        <v>821</v>
      </c>
      <c r="BY8" s="62">
        <f>IS!BY27</f>
        <v>808</v>
      </c>
      <c r="BZ8" s="62">
        <f>IS!BZ27</f>
        <v>1025</v>
      </c>
      <c r="CA8" s="61">
        <f>IS!CA27</f>
        <v>3424</v>
      </c>
      <c r="CB8" s="62">
        <f>IS!CB27</f>
        <v>712</v>
      </c>
      <c r="CC8" s="91">
        <f>IS!CC27</f>
        <v>814</v>
      </c>
      <c r="CD8" s="59">
        <f>IS!CD27</f>
        <v>867</v>
      </c>
      <c r="CE8" s="59">
        <f>IS!CE27</f>
        <v>1063.8000000000013</v>
      </c>
      <c r="CF8" s="86">
        <f>IS!CF27</f>
        <v>3456.7999999999947</v>
      </c>
      <c r="CG8" s="62">
        <f>IS!CG27</f>
        <v>775</v>
      </c>
      <c r="CH8" s="91">
        <f>IS!CH27</f>
        <v>965.40000000000077</v>
      </c>
      <c r="CI8" s="91">
        <f>IS!CI27</f>
        <v>1005.9749999999983</v>
      </c>
      <c r="CJ8" s="59">
        <f>IS!CJ27</f>
        <v>1129</v>
      </c>
      <c r="CK8" s="86">
        <f>IS!CK27</f>
        <v>4223.3750000000236</v>
      </c>
      <c r="CL8" s="62">
        <f>IS!CL27</f>
        <v>956</v>
      </c>
      <c r="CM8" s="59">
        <f>IS!CM27</f>
        <v>1121.2999999999993</v>
      </c>
      <c r="CN8" s="59">
        <f>IS!CN27</f>
        <v>1206.4000000000012</v>
      </c>
      <c r="CO8" s="59">
        <f>IS!CO27</f>
        <v>1264.2000000000016</v>
      </c>
      <c r="CP8" s="86">
        <f>IS!CP27</f>
        <v>4547.9000000000024</v>
      </c>
      <c r="CQ8" s="1767">
        <v>1129</v>
      </c>
      <c r="CR8" s="1768">
        <f>CR72-CQ72</f>
        <v>1246</v>
      </c>
      <c r="CS8" s="1768">
        <f>CS72-CR72</f>
        <v>948</v>
      </c>
      <c r="CT8" s="1769">
        <f>CT72-CS72</f>
        <v>1321</v>
      </c>
      <c r="CU8" s="1780">
        <f>SUM(CQ8:CT8)</f>
        <v>4644</v>
      </c>
      <c r="CV8" s="1855">
        <v>1221</v>
      </c>
      <c r="CW8" s="1768">
        <f>CW72-CV72</f>
        <v>1272</v>
      </c>
      <c r="CX8" s="1768">
        <f>CX72-CW72</f>
        <v>1247</v>
      </c>
      <c r="CY8" s="1768">
        <f>CY72-CX72</f>
        <v>1499</v>
      </c>
      <c r="CZ8" s="1857">
        <f>SUM(CV8:CY8)</f>
        <v>5239</v>
      </c>
      <c r="DA8" s="1768">
        <f>DA72-CZ72</f>
        <v>1147</v>
      </c>
      <c r="DB8" s="1768">
        <f>DB72-DA72</f>
        <v>924</v>
      </c>
      <c r="DC8" s="1768">
        <f>DC72-DB72</f>
        <v>1541</v>
      </c>
      <c r="DD8" s="1768">
        <f>DD72-DC72</f>
        <v>1707</v>
      </c>
      <c r="DE8" s="2627">
        <f>SUM(DA8:DD8)</f>
        <v>5319</v>
      </c>
      <c r="DF8" s="1768">
        <f>DF72-DE72</f>
        <v>953</v>
      </c>
      <c r="DG8" s="1768">
        <f>DG72-DF72</f>
        <v>1098</v>
      </c>
      <c r="DH8" s="1768">
        <f>DH72-DG72</f>
        <v>1285</v>
      </c>
      <c r="DI8" s="1768">
        <f>DI72-DH72</f>
        <v>3287</v>
      </c>
      <c r="DJ8" s="86">
        <f>SUM(DF8:DI8)</f>
        <v>6623</v>
      </c>
      <c r="DK8" s="59">
        <f ca="1">IS!DK27</f>
        <v>1275.4970018799602</v>
      </c>
      <c r="DL8" s="59">
        <f ca="1">IS!DL27</f>
        <v>1283.2536194207792</v>
      </c>
      <c r="DM8" s="59">
        <f ca="1">IS!DM27</f>
        <v>1431.103610957887</v>
      </c>
      <c r="DN8" s="59">
        <f ca="1">IS!DN27</f>
        <v>1772.7458531435491</v>
      </c>
      <c r="DO8" s="86">
        <f ca="1">SUM(DK8:DN8)</f>
        <v>5762.600085402175</v>
      </c>
      <c r="DP8" s="59">
        <f ca="1">IS!DP27</f>
        <v>1178.0324541820701</v>
      </c>
      <c r="DQ8" s="59">
        <f ca="1">IS!DQ27</f>
        <v>1371.6985773033934</v>
      </c>
      <c r="DR8" s="59">
        <f ca="1">IS!DR27</f>
        <v>1496.2792431427883</v>
      </c>
      <c r="DS8" s="59">
        <f ca="1">IS!DS27</f>
        <v>1853.6286932275757</v>
      </c>
      <c r="DT8" s="86">
        <f ca="1">SUM(DP8:DS8)</f>
        <v>5899.638967855828</v>
      </c>
      <c r="DU8" s="59">
        <f ca="1">IS!DU27</f>
        <v>1258.7136725525161</v>
      </c>
      <c r="DV8" s="59">
        <f ca="1">IS!DV27</f>
        <v>1465.4556825787256</v>
      </c>
      <c r="DW8" s="59">
        <f ca="1">IS!DW27</f>
        <v>1599.9260552515323</v>
      </c>
      <c r="DX8" s="59">
        <f ca="1">IS!DX27</f>
        <v>1960.6244381317538</v>
      </c>
      <c r="DY8" s="86">
        <f ca="1">SUM(DU8:DX8)</f>
        <v>6284.7198485145282</v>
      </c>
      <c r="DZ8" s="1858"/>
      <c r="EA8" s="1858"/>
      <c r="EB8" s="1858"/>
    </row>
    <row r="9" spans="1:132" outlineLevel="1" x14ac:dyDescent="0.2">
      <c r="A9" s="1853"/>
      <c r="B9" s="254" t="s">
        <v>301</v>
      </c>
      <c r="C9" s="238"/>
      <c r="D9" s="238"/>
      <c r="E9" s="238"/>
      <c r="F9" s="238"/>
      <c r="G9" s="238"/>
      <c r="H9" s="238"/>
      <c r="I9" s="305">
        <v>235</v>
      </c>
      <c r="J9" s="238"/>
      <c r="K9" s="238"/>
      <c r="L9" s="238"/>
      <c r="M9" s="238"/>
      <c r="N9" s="305">
        <v>486.7</v>
      </c>
      <c r="O9" s="238"/>
      <c r="P9" s="238"/>
      <c r="Q9" s="238"/>
      <c r="R9" s="238"/>
      <c r="S9" s="305">
        <v>188.6</v>
      </c>
      <c r="T9" s="238"/>
      <c r="U9" s="238"/>
      <c r="V9" s="238"/>
      <c r="W9" s="238"/>
      <c r="X9" s="305">
        <v>0</v>
      </c>
      <c r="Y9" s="238"/>
      <c r="Z9" s="238"/>
      <c r="AA9" s="238"/>
      <c r="AB9" s="238"/>
      <c r="AC9" s="305">
        <v>0</v>
      </c>
      <c r="AD9" s="238"/>
      <c r="AE9" s="238"/>
      <c r="AF9" s="238"/>
      <c r="AG9" s="238"/>
      <c r="AH9" s="305">
        <v>352.5</v>
      </c>
      <c r="AI9" s="238"/>
      <c r="AJ9" s="238"/>
      <c r="AK9" s="238"/>
      <c r="AL9" s="238"/>
      <c r="AM9" s="305">
        <v>0</v>
      </c>
      <c r="AN9" s="238"/>
      <c r="AO9" s="238"/>
      <c r="AP9" s="238"/>
      <c r="AQ9" s="238"/>
      <c r="AR9" s="305">
        <v>0</v>
      </c>
      <c r="AS9" s="238"/>
      <c r="AT9" s="238"/>
      <c r="AU9" s="238"/>
      <c r="AV9" s="238"/>
      <c r="AW9" s="305">
        <v>0</v>
      </c>
      <c r="AX9" s="238"/>
      <c r="AY9" s="238"/>
      <c r="AZ9" s="238"/>
      <c r="BA9" s="238"/>
      <c r="BB9" s="305">
        <v>0</v>
      </c>
      <c r="BC9" s="238"/>
      <c r="BD9" s="238"/>
      <c r="BE9" s="238"/>
      <c r="BF9" s="238"/>
      <c r="BG9" s="305">
        <v>0</v>
      </c>
      <c r="BH9" s="238"/>
      <c r="BI9" s="238"/>
      <c r="BJ9" s="238"/>
      <c r="BK9" s="238"/>
      <c r="BL9" s="305">
        <v>0</v>
      </c>
      <c r="BM9" s="238"/>
      <c r="BN9" s="238"/>
      <c r="BO9" s="238"/>
      <c r="BP9" s="238"/>
      <c r="BQ9" s="305">
        <v>0</v>
      </c>
      <c r="BR9" s="238"/>
      <c r="BS9" s="238"/>
      <c r="BT9" s="238"/>
      <c r="BU9" s="238"/>
      <c r="BV9" s="306">
        <f>SUM(BR9:BU9)</f>
        <v>0</v>
      </c>
      <c r="BW9" s="238"/>
      <c r="BX9" s="238"/>
      <c r="BY9" s="238"/>
      <c r="BZ9" s="238"/>
      <c r="CA9" s="305">
        <v>0</v>
      </c>
      <c r="CB9" s="238"/>
      <c r="CC9" s="238"/>
      <c r="CD9" s="238"/>
      <c r="CE9" s="238"/>
      <c r="CF9" s="239">
        <v>0</v>
      </c>
      <c r="CG9" s="238"/>
      <c r="CH9" s="238"/>
      <c r="CI9" s="238"/>
      <c r="CJ9" s="238"/>
      <c r="CK9" s="239">
        <v>0</v>
      </c>
      <c r="CL9" s="238"/>
      <c r="CM9" s="238"/>
      <c r="CN9" s="238"/>
      <c r="CO9" s="238"/>
      <c r="CP9" s="239">
        <v>0</v>
      </c>
      <c r="CQ9" s="254"/>
      <c r="CR9" s="1770"/>
      <c r="CS9" s="1770"/>
      <c r="CT9" s="414"/>
      <c r="CU9" s="1801">
        <v>0</v>
      </c>
      <c r="CV9" s="1736"/>
      <c r="CW9" s="1736"/>
      <c r="CX9" s="1736"/>
      <c r="CY9" s="1736"/>
      <c r="CZ9" s="1859">
        <v>0</v>
      </c>
      <c r="DA9" s="1736"/>
      <c r="DB9" s="1736"/>
      <c r="DC9" s="1736"/>
      <c r="DD9" s="1736"/>
      <c r="DE9" s="2598">
        <v>0</v>
      </c>
      <c r="DF9" s="1736"/>
      <c r="DG9" s="1736"/>
      <c r="DH9" s="1736"/>
      <c r="DI9" s="1736"/>
      <c r="DJ9" s="239">
        <v>0</v>
      </c>
      <c r="DK9" s="238"/>
      <c r="DL9" s="238"/>
      <c r="DM9" s="238"/>
      <c r="DN9" s="238"/>
      <c r="DO9" s="239">
        <v>0</v>
      </c>
      <c r="DP9" s="238"/>
      <c r="DQ9" s="238"/>
      <c r="DR9" s="238"/>
      <c r="DS9" s="238"/>
      <c r="DT9" s="239">
        <v>0</v>
      </c>
      <c r="DU9" s="238"/>
      <c r="DV9" s="238"/>
      <c r="DW9" s="238"/>
      <c r="DX9" s="238"/>
      <c r="DY9" s="239">
        <v>0</v>
      </c>
      <c r="DZ9" s="1858"/>
      <c r="EA9" s="1858"/>
      <c r="EB9" s="1858"/>
    </row>
    <row r="10" spans="1:132" ht="6.75" customHeight="1" x14ac:dyDescent="0.2">
      <c r="A10" s="1853"/>
      <c r="B10" s="254"/>
      <c r="C10" s="238"/>
      <c r="D10" s="238"/>
      <c r="E10" s="238"/>
      <c r="F10" s="238"/>
      <c r="G10" s="238"/>
      <c r="H10" s="238"/>
      <c r="I10" s="239"/>
      <c r="J10" s="238"/>
      <c r="K10" s="238"/>
      <c r="L10" s="238"/>
      <c r="M10" s="238"/>
      <c r="N10" s="239"/>
      <c r="O10" s="238"/>
      <c r="P10" s="238"/>
      <c r="Q10" s="238"/>
      <c r="R10" s="238"/>
      <c r="S10" s="239"/>
      <c r="T10" s="238"/>
      <c r="U10" s="238"/>
      <c r="V10" s="238"/>
      <c r="W10" s="238"/>
      <c r="X10" s="239"/>
      <c r="Y10" s="238"/>
      <c r="Z10" s="238"/>
      <c r="AA10" s="238"/>
      <c r="AB10" s="238"/>
      <c r="AC10" s="239"/>
      <c r="AD10" s="238"/>
      <c r="AE10" s="238"/>
      <c r="AF10" s="238"/>
      <c r="AG10" s="238"/>
      <c r="AH10" s="239"/>
      <c r="AI10" s="238"/>
      <c r="AJ10" s="238"/>
      <c r="AK10" s="238"/>
      <c r="AL10" s="238"/>
      <c r="AM10" s="239"/>
      <c r="AN10" s="238"/>
      <c r="AO10" s="238"/>
      <c r="AP10" s="238"/>
      <c r="AQ10" s="238"/>
      <c r="AR10" s="239"/>
      <c r="AS10" s="238"/>
      <c r="AT10" s="238"/>
      <c r="AU10" s="238"/>
      <c r="AV10" s="238"/>
      <c r="AW10" s="239"/>
      <c r="AX10" s="238"/>
      <c r="AY10" s="238"/>
      <c r="AZ10" s="238"/>
      <c r="BA10" s="238"/>
      <c r="BB10" s="239"/>
      <c r="BC10" s="238"/>
      <c r="BD10" s="238"/>
      <c r="BE10" s="238"/>
      <c r="BF10" s="238"/>
      <c r="BG10" s="239"/>
      <c r="BH10" s="238"/>
      <c r="BI10" s="238"/>
      <c r="BJ10" s="238"/>
      <c r="BK10" s="238"/>
      <c r="BL10" s="239"/>
      <c r="BM10" s="238"/>
      <c r="BN10" s="238"/>
      <c r="BO10" s="238"/>
      <c r="BP10" s="238"/>
      <c r="BQ10" s="239"/>
      <c r="BR10" s="238"/>
      <c r="BS10" s="238"/>
      <c r="BT10" s="238"/>
      <c r="BU10" s="238"/>
      <c r="BV10" s="239"/>
      <c r="BW10" s="238"/>
      <c r="BX10" s="238"/>
      <c r="BY10" s="238"/>
      <c r="BZ10" s="238"/>
      <c r="CA10" s="239"/>
      <c r="CB10" s="238"/>
      <c r="CC10" s="238"/>
      <c r="CD10" s="238"/>
      <c r="CE10" s="238"/>
      <c r="CF10" s="239"/>
      <c r="CG10" s="238"/>
      <c r="CH10" s="238"/>
      <c r="CI10" s="238"/>
      <c r="CJ10" s="238"/>
      <c r="CK10" s="239"/>
      <c r="CL10" s="238"/>
      <c r="CM10" s="238"/>
      <c r="CN10" s="238"/>
      <c r="CO10" s="238"/>
      <c r="CP10" s="239"/>
      <c r="CQ10" s="254"/>
      <c r="CR10" s="1770"/>
      <c r="CS10" s="1770"/>
      <c r="CT10" s="1801"/>
      <c r="CU10" s="1801"/>
      <c r="CV10" s="1736"/>
      <c r="CW10" s="1736"/>
      <c r="CX10" s="1736"/>
      <c r="CY10" s="1736"/>
      <c r="CZ10" s="1859"/>
      <c r="DA10" s="1736"/>
      <c r="DB10" s="1736"/>
      <c r="DC10" s="1736"/>
      <c r="DD10" s="1736"/>
      <c r="DE10" s="2598"/>
      <c r="DF10" s="1736"/>
      <c r="DG10" s="1736"/>
      <c r="DH10" s="1736"/>
      <c r="DI10" s="1736"/>
      <c r="DJ10" s="239"/>
      <c r="DK10" s="238"/>
      <c r="DL10" s="238"/>
      <c r="DM10" s="238"/>
      <c r="DN10" s="238"/>
      <c r="DO10" s="239"/>
      <c r="DP10" s="238"/>
      <c r="DQ10" s="238"/>
      <c r="DR10" s="238"/>
      <c r="DS10" s="238"/>
      <c r="DT10" s="239"/>
      <c r="DU10" s="238"/>
      <c r="DV10" s="238"/>
      <c r="DW10" s="238"/>
      <c r="DX10" s="238"/>
      <c r="DY10" s="239"/>
      <c r="DZ10" s="1858"/>
      <c r="EA10" s="1858"/>
      <c r="EB10" s="1858"/>
    </row>
    <row r="11" spans="1:132" x14ac:dyDescent="0.2">
      <c r="A11" s="1853"/>
      <c r="B11" s="58" t="s">
        <v>302</v>
      </c>
      <c r="C11" s="59"/>
      <c r="D11" s="59"/>
      <c r="E11" s="59"/>
      <c r="F11" s="59"/>
      <c r="G11" s="59"/>
      <c r="H11" s="59"/>
      <c r="I11" s="61">
        <f>I14-I13</f>
        <v>262.8</v>
      </c>
      <c r="J11" s="59"/>
      <c r="K11" s="59"/>
      <c r="L11" s="59"/>
      <c r="M11" s="59"/>
      <c r="N11" s="61">
        <f>N14-N13</f>
        <v>242.6</v>
      </c>
      <c r="O11" s="59"/>
      <c r="P11" s="59"/>
      <c r="Q11" s="59"/>
      <c r="R11" s="59"/>
      <c r="S11" s="61">
        <f>S14-S13</f>
        <v>249.7</v>
      </c>
      <c r="T11" s="59"/>
      <c r="U11" s="59"/>
      <c r="V11" s="59"/>
      <c r="W11" s="59"/>
      <c r="X11" s="61">
        <f>X14-X13</f>
        <v>277.89999999999998</v>
      </c>
      <c r="Y11" s="59"/>
      <c r="Z11" s="59"/>
      <c r="AA11" s="59"/>
      <c r="AB11" s="59"/>
      <c r="AC11" s="61">
        <f>AC14-AC13</f>
        <v>296.60699999999997</v>
      </c>
      <c r="AD11" s="59"/>
      <c r="AE11" s="59"/>
      <c r="AF11" s="59"/>
      <c r="AG11" s="59"/>
      <c r="AH11" s="61">
        <f>AH14-AH13</f>
        <v>268.10000000000002</v>
      </c>
      <c r="AI11" s="59"/>
      <c r="AJ11" s="59"/>
      <c r="AK11" s="59"/>
      <c r="AL11" s="59"/>
      <c r="AM11" s="61">
        <f>AM14-AM13</f>
        <v>257</v>
      </c>
      <c r="AN11" s="59"/>
      <c r="AO11" s="59"/>
      <c r="AP11" s="59"/>
      <c r="AQ11" s="59"/>
      <c r="AR11" s="61">
        <f>AR14-AR13</f>
        <v>278.5</v>
      </c>
      <c r="AS11" s="59"/>
      <c r="AT11" s="59"/>
      <c r="AU11" s="59"/>
      <c r="AV11" s="59"/>
      <c r="AW11" s="61">
        <f>AW14-AW13</f>
        <v>400.9</v>
      </c>
      <c r="AX11" s="59"/>
      <c r="AY11" s="59"/>
      <c r="AZ11" s="59"/>
      <c r="BA11" s="59"/>
      <c r="BB11" s="61">
        <f>BB14-BB13</f>
        <v>460.5</v>
      </c>
      <c r="BC11" s="59"/>
      <c r="BD11" s="59"/>
      <c r="BE11" s="59"/>
      <c r="BF11" s="59"/>
      <c r="BG11" s="61">
        <f>BG14-BG13</f>
        <v>572.09999999999991</v>
      </c>
      <c r="BH11" s="59"/>
      <c r="BI11" s="59"/>
      <c r="BJ11" s="59"/>
      <c r="BK11" s="59"/>
      <c r="BL11" s="61">
        <f>BL14-BL13</f>
        <v>749.89999999999986</v>
      </c>
      <c r="BM11" s="62">
        <f>IS!BM16-'BS and CFS'!BM13</f>
        <v>201.4</v>
      </c>
      <c r="BN11" s="62">
        <f>IS!BN16-'BS and CFS'!BN13</f>
        <v>212.19999999999993</v>
      </c>
      <c r="BO11" s="62">
        <f>IS!BO16-'BS and CFS'!BO13</f>
        <v>212.7000000000001</v>
      </c>
      <c r="BP11" s="62">
        <f>IS!BP16-'BS and CFS'!BP13</f>
        <v>242.9</v>
      </c>
      <c r="BQ11" s="61">
        <f>BQ14-BQ13</f>
        <v>869.2</v>
      </c>
      <c r="BR11" s="62">
        <f>IS!BR16-'BS and CFS'!BR13</f>
        <v>246.39999999999998</v>
      </c>
      <c r="BS11" s="62">
        <f>IS!BS16-'BS and CFS'!BS13</f>
        <v>275.00000000000006</v>
      </c>
      <c r="BT11" s="62">
        <f>IS!BT16-'BS and CFS'!BT13</f>
        <v>192.29999999999995</v>
      </c>
      <c r="BU11" s="62">
        <f>IS!BU16-'BS and CFS'!BU13</f>
        <v>244.5</v>
      </c>
      <c r="BV11" s="61">
        <f>BV14-BV13</f>
        <v>959</v>
      </c>
      <c r="BW11" s="62">
        <f>IS!BW16-'BS and CFS'!BW13</f>
        <v>253</v>
      </c>
      <c r="BX11" s="91">
        <f>IS!BX16-'BS and CFS'!BX13</f>
        <v>262</v>
      </c>
      <c r="BY11" s="62">
        <f>IS!BY16-'BS and CFS'!BY13</f>
        <v>262</v>
      </c>
      <c r="BZ11" s="62">
        <f>IS!BZ16-'BS and CFS'!BZ13</f>
        <v>265</v>
      </c>
      <c r="CA11" s="61">
        <f>SUM(BW11:BZ11)</f>
        <v>1042</v>
      </c>
      <c r="CB11" s="62">
        <f>IS!CB16-'BS and CFS'!CB13</f>
        <v>268</v>
      </c>
      <c r="CC11" s="91">
        <f>IS!CC16-'BS and CFS'!CC13</f>
        <v>277</v>
      </c>
      <c r="CD11" s="91">
        <f>IS!CD16-'BS and CFS'!CD13</f>
        <v>289</v>
      </c>
      <c r="CE11" s="91">
        <f>IS!CE16-'BS and CFS'!CE13+0.499999999995907</f>
        <v>281.89999999999594</v>
      </c>
      <c r="CF11" s="86">
        <f>SUM(CB11:CE11)</f>
        <v>1115.899999999996</v>
      </c>
      <c r="CG11" s="62">
        <f>IS!CG16-'BS and CFS'!CG13</f>
        <v>305</v>
      </c>
      <c r="CH11" s="91">
        <f>IS!CH16-'BS and CFS'!CH13</f>
        <v>308.10000000000002</v>
      </c>
      <c r="CI11" s="91">
        <f>IS!CI16-'BS and CFS'!CI13</f>
        <v>321</v>
      </c>
      <c r="CJ11" s="59">
        <f>IS!CJ16-'BS and CFS'!CJ13</f>
        <v>332.70000000000005</v>
      </c>
      <c r="CK11" s="86">
        <f>SUM(CG11:CJ11)</f>
        <v>1266.8000000000002</v>
      </c>
      <c r="CL11" s="62">
        <f>IS!CL16-'BS and CFS'!CL13</f>
        <v>380</v>
      </c>
      <c r="CM11" s="91">
        <f>IS!CM16-'BS and CFS'!CM13</f>
        <v>325.5</v>
      </c>
      <c r="CN11" s="91">
        <f>IS!CN16-'BS and CFS'!CN13</f>
        <v>336</v>
      </c>
      <c r="CO11" s="91">
        <f>IS!CO16-'BS and CFS'!CO13</f>
        <v>334.1</v>
      </c>
      <c r="CP11" s="86">
        <f>SUM(CL11:CO11)</f>
        <v>1375.6</v>
      </c>
      <c r="CQ11" s="1771">
        <f>IS!CQ16-'BS and CFS'!CQ13</f>
        <v>346.79999999999995</v>
      </c>
      <c r="CR11" s="1772">
        <f>IS!CR16-'BS and CFS'!CR13</f>
        <v>354.7</v>
      </c>
      <c r="CS11" s="1772">
        <f>IS!CS16-'BS and CFS'!CS13</f>
        <v>350.70000000000005</v>
      </c>
      <c r="CT11" s="1773">
        <f>IS!CT16-'BS and CFS'!CT13</f>
        <v>360.79999999999995</v>
      </c>
      <c r="CU11" s="1780">
        <f>SUM(CQ11:CT11)</f>
        <v>1413</v>
      </c>
      <c r="CV11" s="1860">
        <f>490-CV13</f>
        <v>360.8</v>
      </c>
      <c r="CW11" s="1860">
        <f>IS!CW16-'BS and CFS'!CW13</f>
        <v>356.7</v>
      </c>
      <c r="CX11" s="1860">
        <f>IS!CX16-'BS and CFS'!CX13</f>
        <v>373.087625457331</v>
      </c>
      <c r="CY11" s="1860">
        <f>IS!CY16-'BS and CFS'!CY13</f>
        <v>379.1</v>
      </c>
      <c r="CZ11" s="1857">
        <f>SUM(CV11:CY11)</f>
        <v>1469.6876254573308</v>
      </c>
      <c r="DA11" s="1860">
        <v>409.9</v>
      </c>
      <c r="DB11" s="1860">
        <v>414.6</v>
      </c>
      <c r="DC11" s="1860">
        <v>408.19999999999993</v>
      </c>
      <c r="DD11" s="1860">
        <v>417.5</v>
      </c>
      <c r="DE11" s="2627">
        <f>SUM(DA11:DD11)</f>
        <v>1650.1999999999998</v>
      </c>
      <c r="DF11" s="1860">
        <f>IS!DF16-'BS and CFS'!DF13</f>
        <v>419.20000000000005</v>
      </c>
      <c r="DG11" s="1860">
        <f>IS!DG16-'BS and CFS'!DG13</f>
        <v>419.6</v>
      </c>
      <c r="DH11" s="1860">
        <f>IS!DH16-'BS and CFS'!DH13</f>
        <v>408.92551642000012</v>
      </c>
      <c r="DI11" s="1860">
        <f>IS!DI16-'BS and CFS'!DI13</f>
        <v>413.74798551999993</v>
      </c>
      <c r="DJ11" s="86">
        <f>SUM(DF11:DI11)</f>
        <v>1661.47350194</v>
      </c>
      <c r="DK11" s="62">
        <f>DK12*DJ145</f>
        <v>432.26400000000001</v>
      </c>
      <c r="DL11" s="91">
        <f>DL12*DG145</f>
        <v>423.06600000000003</v>
      </c>
      <c r="DM11" s="91">
        <f>DM12*DH145</f>
        <v>416.38800000000003</v>
      </c>
      <c r="DN11" s="59">
        <f>DN12*DI145</f>
        <v>432.26400000000001</v>
      </c>
      <c r="DO11" s="86">
        <f>SUM(DK11:DN11)</f>
        <v>1703.982</v>
      </c>
      <c r="DP11" s="62">
        <f>DP12*DK145</f>
        <v>430.15291200000007</v>
      </c>
      <c r="DQ11" s="91">
        <f>DQ12*DL145</f>
        <v>427.33614000000006</v>
      </c>
      <c r="DR11" s="91">
        <f>DR12*DM145</f>
        <v>428.70584400000001</v>
      </c>
      <c r="DS11" s="59">
        <f>DS12*DN145</f>
        <v>428.65275600000001</v>
      </c>
      <c r="DT11" s="86">
        <f>SUM(DP11:DS11)</f>
        <v>1714.8476520000002</v>
      </c>
      <c r="DU11" s="62">
        <f>DU12*DP145</f>
        <v>427.20615369600006</v>
      </c>
      <c r="DV11" s="91">
        <f>DV12*DQ145</f>
        <v>424.7530958160001</v>
      </c>
      <c r="DW11" s="91">
        <f>DW12*DR145</f>
        <v>426.26569036800009</v>
      </c>
      <c r="DX11" s="59">
        <f>DX12*DS145</f>
        <v>427.00183461600011</v>
      </c>
      <c r="DY11" s="86">
        <f>SUM(DU11:DX11)</f>
        <v>1705.2267744960004</v>
      </c>
      <c r="DZ11" s="1858"/>
      <c r="EA11" s="1858"/>
      <c r="EB11" s="1858"/>
    </row>
    <row r="12" spans="1:132" outlineLevel="1" x14ac:dyDescent="0.2">
      <c r="A12" s="1861"/>
      <c r="B12" s="244" t="s">
        <v>303</v>
      </c>
      <c r="C12" s="245"/>
      <c r="D12" s="245"/>
      <c r="E12" s="245"/>
      <c r="F12" s="245"/>
      <c r="G12" s="245"/>
      <c r="H12" s="245"/>
      <c r="I12" s="246"/>
      <c r="J12" s="245"/>
      <c r="K12" s="245"/>
      <c r="L12" s="245"/>
      <c r="M12" s="245"/>
      <c r="N12" s="307">
        <f>N11/'BS and CFS'!I145</f>
        <v>0.25126877265665459</v>
      </c>
      <c r="O12" s="245"/>
      <c r="P12" s="245"/>
      <c r="Q12" s="245"/>
      <c r="R12" s="245"/>
      <c r="S12" s="307">
        <f>S11/'BS and CFS'!N145</f>
        <v>0.2328639373309708</v>
      </c>
      <c r="T12" s="245"/>
      <c r="U12" s="245"/>
      <c r="V12" s="245"/>
      <c r="W12" s="245"/>
      <c r="X12" s="307">
        <f>X11/'BS and CFS'!S145</f>
        <v>0.20566903493191238</v>
      </c>
      <c r="Y12" s="245"/>
      <c r="Z12" s="245"/>
      <c r="AA12" s="245"/>
      <c r="AB12" s="245"/>
      <c r="AC12" s="307">
        <f>AC11/'BS and CFS'!X145</f>
        <v>0.18526358525921297</v>
      </c>
      <c r="AD12" s="245"/>
      <c r="AE12" s="245"/>
      <c r="AF12" s="245"/>
      <c r="AG12" s="245"/>
      <c r="AH12" s="307">
        <f>AH11/'BS and CFS'!AC145</f>
        <v>0.15389472475747662</v>
      </c>
      <c r="AI12" s="245"/>
      <c r="AJ12" s="245"/>
      <c r="AK12" s="245"/>
      <c r="AL12" s="245"/>
      <c r="AM12" s="307">
        <f>AM11/'BS and CFS'!AH145</f>
        <v>0.13912196178206029</v>
      </c>
      <c r="AN12" s="245"/>
      <c r="AO12" s="245"/>
      <c r="AP12" s="245"/>
      <c r="AQ12" s="245"/>
      <c r="AR12" s="307">
        <f>AR11/'BS and CFS'!AM145</f>
        <v>0.12568823901074103</v>
      </c>
      <c r="AS12" s="245"/>
      <c r="AT12" s="245"/>
      <c r="AU12" s="245"/>
      <c r="AV12" s="245"/>
      <c r="AW12" s="307">
        <f>AW11/'BS and CFS'!AR145</f>
        <v>0.15770426025726761</v>
      </c>
      <c r="AX12" s="245"/>
      <c r="AY12" s="245"/>
      <c r="AZ12" s="245"/>
      <c r="BA12" s="245"/>
      <c r="BB12" s="307">
        <f>BB11/'BS and CFS'!AW145</f>
        <v>0.13135000998317123</v>
      </c>
      <c r="BC12" s="245"/>
      <c r="BD12" s="245"/>
      <c r="BE12" s="245"/>
      <c r="BF12" s="245"/>
      <c r="BG12" s="307">
        <f>BG11/'BS and CFS'!BB145</f>
        <v>0.14474017102666598</v>
      </c>
      <c r="BH12" s="245"/>
      <c r="BI12" s="245"/>
      <c r="BJ12" s="245"/>
      <c r="BK12" s="245"/>
      <c r="BL12" s="307">
        <f>BL11/'BS and CFS'!BG145</f>
        <v>0.14059922003899802</v>
      </c>
      <c r="BM12" s="308">
        <f>BM11/$BK145</f>
        <v>3.4410880262438492E-2</v>
      </c>
      <c r="BN12" s="308">
        <f>BN11/$BK145</f>
        <v>3.62561509021323E-2</v>
      </c>
      <c r="BO12" s="308">
        <f>BO11/$BK145</f>
        <v>3.6341580098414449E-2</v>
      </c>
      <c r="BP12" s="308">
        <f>BP11/$BK145</f>
        <v>4.1501503553854568E-2</v>
      </c>
      <c r="BQ12" s="307">
        <f>BQ11/'BS and CFS'!BL145</f>
        <v>0.14851011481683982</v>
      </c>
      <c r="BR12" s="308">
        <f>BR11/$BP145</f>
        <v>3.03254073745877E-2</v>
      </c>
      <c r="BS12" s="308">
        <f>BS11/$BP145</f>
        <v>3.384532073056664E-2</v>
      </c>
      <c r="BT12" s="308">
        <f>BT11/$BP145</f>
        <v>2.3667109732683499E-2</v>
      </c>
      <c r="BU12" s="308">
        <f>BU11/$BP145</f>
        <v>3.0091566976812881E-2</v>
      </c>
      <c r="BV12" s="307">
        <f>BV11/'BS and CFS'!BQ145</f>
        <v>0.11802786392950328</v>
      </c>
      <c r="BW12" s="308">
        <f>BW11/$BP145</f>
        <v>3.1137695072121302E-2</v>
      </c>
      <c r="BX12" s="308">
        <f>BX11/$BP145</f>
        <v>3.2245360114212571E-2</v>
      </c>
      <c r="BY12" s="308">
        <f>BY11/$BP145</f>
        <v>3.2245360114212571E-2</v>
      </c>
      <c r="BZ12" s="308">
        <f>BZ11/$BP145</f>
        <v>3.2614581794909663E-2</v>
      </c>
      <c r="CA12" s="307">
        <f>CA11/'BS and CFS'!BV145</f>
        <v>0.13151583995961125</v>
      </c>
      <c r="CB12" s="308">
        <f>CB11/$BP145</f>
        <v>3.2983803475606754E-2</v>
      </c>
      <c r="CC12" s="308">
        <f>CC11/$BP145</f>
        <v>3.409146851769803E-2</v>
      </c>
      <c r="CD12" s="308">
        <f>CD11/$BP145</f>
        <v>3.5568355240486391E-2</v>
      </c>
      <c r="CE12" s="308">
        <f>CE11/$BP145</f>
        <v>3.4694530596169441E-2</v>
      </c>
      <c r="CF12" s="309">
        <f>CF11/'BS and CFS'!CA145</f>
        <v>0.13409036289353474</v>
      </c>
      <c r="CG12" s="308">
        <f>CG11/BP145</f>
        <v>3.7537537537537538E-2</v>
      </c>
      <c r="CH12" s="308">
        <f>CH11/$BP145</f>
        <v>3.7919066607591201E-2</v>
      </c>
      <c r="CI12" s="308">
        <f>CI11/$BP145</f>
        <v>3.9506719834588686E-2</v>
      </c>
      <c r="CJ12" s="308">
        <f>CJ11/$BP145</f>
        <v>4.0946684389307347E-2</v>
      </c>
      <c r="CK12" s="309">
        <f>CK11/'BS and CFS'!CF145</f>
        <v>0.14961615684421875</v>
      </c>
      <c r="CL12" s="308">
        <f>CL11/BU145</f>
        <v>4.7961630695443645E-2</v>
      </c>
      <c r="CM12" s="308">
        <f>CM11/$BP145</f>
        <v>4.0060552355634327E-2</v>
      </c>
      <c r="CN12" s="308">
        <f>CN11/$BP145</f>
        <v>4.1352828238074138E-2</v>
      </c>
      <c r="CO12" s="308">
        <f>CO11/$BP145</f>
        <v>4.1118987840299319E-2</v>
      </c>
      <c r="CP12" s="309">
        <f>CP11/'BS and CFS'!CK145</f>
        <v>0.15936051899907319</v>
      </c>
      <c r="CQ12" s="1774">
        <f>CQ11/$BP145</f>
        <v>4.2682026288583662E-2</v>
      </c>
      <c r="CR12" s="1775">
        <f>CR11/$BP145</f>
        <v>4.3654310047752672E-2</v>
      </c>
      <c r="CS12" s="1775">
        <f>CS11/$BP145</f>
        <v>4.3162014473489892E-2</v>
      </c>
      <c r="CT12" s="1776">
        <f>CT11/$BP145</f>
        <v>4.4405060798503419E-2</v>
      </c>
      <c r="CU12" s="1862">
        <f>CU11/'BS and CFS'!CP145</f>
        <v>0.16401625072547882</v>
      </c>
      <c r="CV12" s="1863">
        <f>CV11/$BP145</f>
        <v>4.4405060798503426E-2</v>
      </c>
      <c r="CW12" s="1863">
        <f>CW11/$BP145</f>
        <v>4.3900457834884062E-2</v>
      </c>
      <c r="CX12" s="1775">
        <f>CX11/$BP145</f>
        <v>4.5917346706214127E-2</v>
      </c>
      <c r="CY12" s="1775">
        <f>CY11/$BP145</f>
        <v>4.6657313050755676E-2</v>
      </c>
      <c r="CZ12" s="1864">
        <f>CZ11/'BS and CFS'!CU145</f>
        <v>0.16619785428670483</v>
      </c>
      <c r="DA12" s="1775">
        <f>DA11/$BP145</f>
        <v>5.0447988972579134E-2</v>
      </c>
      <c r="DB12" s="1775">
        <f>DB11/$BP145</f>
        <v>5.1026436272337918E-2</v>
      </c>
      <c r="DC12" s="1775">
        <f>DC11/$BP145</f>
        <v>5.0238763353517443E-2</v>
      </c>
      <c r="DD12" s="1775">
        <f>DD11/$BP145</f>
        <v>5.1383350563678432E-2</v>
      </c>
      <c r="DE12" s="2686">
        <v>0.16744799594114662</v>
      </c>
      <c r="DF12" s="1775">
        <f>DF11/DE145</f>
        <v>4.1199017199017203E-2</v>
      </c>
      <c r="DG12" s="1775">
        <f t="shared" ref="DG12:DI12" si="0">DG11/DF145</f>
        <v>4.1722183553743665E-2</v>
      </c>
      <c r="DH12" s="1775">
        <f t="shared" si="0"/>
        <v>4.0596199386478717E-2</v>
      </c>
      <c r="DI12" s="1775">
        <f t="shared" si="0"/>
        <v>4.1733708444623756E-2</v>
      </c>
      <c r="DJ12" s="309">
        <f>DJ11/'BS and CFS'!DE145</f>
        <v>0.16328977906044226</v>
      </c>
      <c r="DK12" s="1035">
        <v>4.2000000000000003E-2</v>
      </c>
      <c r="DL12" s="1035">
        <v>4.2000000000000003E-2</v>
      </c>
      <c r="DM12" s="1035">
        <v>4.2000000000000003E-2</v>
      </c>
      <c r="DN12" s="1035">
        <v>4.2000000000000003E-2</v>
      </c>
      <c r="DO12" s="309">
        <f>DO11/'BS and CFS'!DJ145</f>
        <v>0.16556373882627284</v>
      </c>
      <c r="DP12" s="1035">
        <v>4.2000000000000003E-2</v>
      </c>
      <c r="DQ12" s="1035">
        <v>4.2000000000000003E-2</v>
      </c>
      <c r="DR12" s="1035">
        <v>4.2000000000000003E-2</v>
      </c>
      <c r="DS12" s="1035">
        <v>4.2000000000000003E-2</v>
      </c>
      <c r="DT12" s="309">
        <f>DT11/'BS and CFS'!DO145</f>
        <v>0.16802318514429429</v>
      </c>
      <c r="DU12" s="1035">
        <v>4.2000000000000003E-2</v>
      </c>
      <c r="DV12" s="1035">
        <v>4.2000000000000003E-2</v>
      </c>
      <c r="DW12" s="1035">
        <v>4.2000000000000003E-2</v>
      </c>
      <c r="DX12" s="1035">
        <v>4.2000000000000003E-2</v>
      </c>
      <c r="DY12" s="309">
        <f>DY11/'BS and CFS'!DT145</f>
        <v>0.16772650307987313</v>
      </c>
      <c r="DZ12" s="1865"/>
      <c r="EA12" s="1865"/>
      <c r="EB12" s="1865"/>
    </row>
    <row r="13" spans="1:132" x14ac:dyDescent="0.2">
      <c r="A13" s="1853"/>
      <c r="B13" s="58" t="s">
        <v>304</v>
      </c>
      <c r="C13" s="59"/>
      <c r="D13" s="59">
        <f>IS!D42</f>
        <v>0</v>
      </c>
      <c r="E13" s="310"/>
      <c r="F13" s="310"/>
      <c r="G13" s="310"/>
      <c r="H13" s="310"/>
      <c r="I13" s="311">
        <v>0</v>
      </c>
      <c r="J13" s="310"/>
      <c r="K13" s="310"/>
      <c r="L13" s="310"/>
      <c r="M13" s="310"/>
      <c r="N13" s="311">
        <v>0</v>
      </c>
      <c r="O13" s="310"/>
      <c r="P13" s="310"/>
      <c r="Q13" s="310"/>
      <c r="R13" s="310"/>
      <c r="S13" s="311">
        <v>0</v>
      </c>
      <c r="T13" s="310"/>
      <c r="U13" s="310"/>
      <c r="V13" s="310"/>
      <c r="W13" s="310"/>
      <c r="X13" s="311">
        <v>0</v>
      </c>
      <c r="Y13" s="310"/>
      <c r="Z13" s="310"/>
      <c r="AA13" s="310"/>
      <c r="AB13" s="310"/>
      <c r="AC13" s="311">
        <v>0</v>
      </c>
      <c r="AD13" s="310"/>
      <c r="AE13" s="310"/>
      <c r="AF13" s="310"/>
      <c r="AG13" s="310"/>
      <c r="AH13" s="312">
        <f>IS!AH42</f>
        <v>52.7</v>
      </c>
      <c r="AI13" s="310"/>
      <c r="AJ13" s="310"/>
      <c r="AK13" s="310"/>
      <c r="AL13" s="310"/>
      <c r="AM13" s="312">
        <f>IS!AM42</f>
        <v>53.3</v>
      </c>
      <c r="AN13" s="310"/>
      <c r="AO13" s="310"/>
      <c r="AP13" s="310"/>
      <c r="AQ13" s="310"/>
      <c r="AR13" s="312">
        <f>IS!AR42</f>
        <v>63.2</v>
      </c>
      <c r="AS13" s="310"/>
      <c r="AT13" s="310"/>
      <c r="AU13" s="310"/>
      <c r="AV13" s="310"/>
      <c r="AW13" s="312">
        <f>IS!AW42</f>
        <v>95.9</v>
      </c>
      <c r="AX13" s="310"/>
      <c r="AY13" s="310"/>
      <c r="AZ13" s="310"/>
      <c r="BA13" s="310"/>
      <c r="BB13" s="312">
        <f>IS!BB42</f>
        <v>128.6</v>
      </c>
      <c r="BC13" s="310"/>
      <c r="BD13" s="310"/>
      <c r="BE13" s="310"/>
      <c r="BF13" s="310"/>
      <c r="BG13" s="312">
        <f>IS!BG42</f>
        <v>161.19999999999999</v>
      </c>
      <c r="BH13" s="310"/>
      <c r="BI13" s="310"/>
      <c r="BJ13" s="310"/>
      <c r="BK13" s="310"/>
      <c r="BL13" s="312">
        <f>IS!BL42</f>
        <v>344.7</v>
      </c>
      <c r="BM13" s="313">
        <f>IS!BM42</f>
        <v>97.9</v>
      </c>
      <c r="BN13" s="313">
        <f>IS!BN42</f>
        <v>97.8</v>
      </c>
      <c r="BO13" s="313">
        <f>IS!BO42</f>
        <v>98.2</v>
      </c>
      <c r="BP13" s="313">
        <f>IS!BP42</f>
        <v>111.1</v>
      </c>
      <c r="BQ13" s="312">
        <f>IS!BQ42</f>
        <v>405</v>
      </c>
      <c r="BR13" s="313">
        <f>IS!BR42</f>
        <v>107.5</v>
      </c>
      <c r="BS13" s="313">
        <f>IS!BS42</f>
        <v>107.3</v>
      </c>
      <c r="BT13" s="313">
        <f>IS!BT42</f>
        <v>108</v>
      </c>
      <c r="BU13" s="313">
        <f>IS!BU42</f>
        <v>108</v>
      </c>
      <c r="BV13" s="312">
        <f>IS!BV42</f>
        <v>430</v>
      </c>
      <c r="BW13" s="313">
        <f>IS!BW42</f>
        <v>105</v>
      </c>
      <c r="BX13" s="313">
        <f>IS!BX42</f>
        <v>106</v>
      </c>
      <c r="BY13" s="313">
        <f>IS!BY42</f>
        <v>108</v>
      </c>
      <c r="BZ13" s="313">
        <f>IS!BZ42</f>
        <v>108</v>
      </c>
      <c r="CA13" s="312">
        <f>SUM(BW13:BZ13)</f>
        <v>427</v>
      </c>
      <c r="CB13" s="313">
        <f>IS!CB42</f>
        <v>106</v>
      </c>
      <c r="CC13" s="313">
        <f>IS!CC42</f>
        <v>114</v>
      </c>
      <c r="CD13" s="313">
        <f>IS!CD42</f>
        <v>118</v>
      </c>
      <c r="CE13" s="313">
        <f>IS!CE42</f>
        <v>114.3</v>
      </c>
      <c r="CF13" s="314">
        <f>SUM(CB13:CE13)</f>
        <v>452.3</v>
      </c>
      <c r="CG13" s="313">
        <f>IS!CG42</f>
        <v>118</v>
      </c>
      <c r="CH13" s="313">
        <f>IS!CH42</f>
        <v>122.9</v>
      </c>
      <c r="CI13" s="313">
        <f>IS!CI42</f>
        <v>121.3</v>
      </c>
      <c r="CJ13" s="310">
        <f>IS!CJ42</f>
        <v>124</v>
      </c>
      <c r="CK13" s="314">
        <f>SUM(CG13:CJ13)</f>
        <v>486.2</v>
      </c>
      <c r="CL13" s="313">
        <f>IS!CL42</f>
        <v>122</v>
      </c>
      <c r="CM13" s="313">
        <f>IS!CM42</f>
        <v>123.9</v>
      </c>
      <c r="CN13" s="313">
        <f>IS!CN42</f>
        <v>124.5</v>
      </c>
      <c r="CO13" s="313">
        <f>IS!CO42</f>
        <v>123.7</v>
      </c>
      <c r="CP13" s="314">
        <f>SUM(CL13:CO13)</f>
        <v>494.09999999999997</v>
      </c>
      <c r="CQ13" s="1777">
        <f>IS!CQ42</f>
        <v>130.6</v>
      </c>
      <c r="CR13" s="1756">
        <f>IS!CR42</f>
        <v>133</v>
      </c>
      <c r="CS13" s="1756">
        <f>IS!CS42</f>
        <v>126.4</v>
      </c>
      <c r="CT13" s="1778">
        <f>IS!CT42</f>
        <v>127.9</v>
      </c>
      <c r="CU13" s="1792">
        <f>SUM(CQ13:CT13)</f>
        <v>517.9</v>
      </c>
      <c r="CV13" s="1758">
        <f>IS!CV42</f>
        <v>129.19999999999999</v>
      </c>
      <c r="CW13" s="1758">
        <f>IS!CW42</f>
        <v>130.69999999999999</v>
      </c>
      <c r="CX13" s="1758">
        <f>IS!CX42</f>
        <v>159.55187807361267</v>
      </c>
      <c r="CY13" s="1758">
        <f>IS!CY42</f>
        <v>191.5</v>
      </c>
      <c r="CZ13" s="1866">
        <f>SUM(CV13:CY13)</f>
        <v>610.95187807361265</v>
      </c>
      <c r="DA13" s="1758">
        <v>199.5</v>
      </c>
      <c r="DB13" s="1758">
        <v>197.1</v>
      </c>
      <c r="DC13" s="1758">
        <v>196.1</v>
      </c>
      <c r="DD13" s="1758">
        <v>202.6</v>
      </c>
      <c r="DE13" s="314">
        <f>SUM(DA13:DD13)</f>
        <v>795.30000000000007</v>
      </c>
      <c r="DF13" s="1758">
        <f>IS!DF42</f>
        <v>200.4</v>
      </c>
      <c r="DG13" s="1758">
        <f>IS!DG42</f>
        <v>202.9</v>
      </c>
      <c r="DH13" s="1758">
        <f>IS!DH42</f>
        <v>205.33582996999999</v>
      </c>
      <c r="DI13" s="1758">
        <f>IS!DI42</f>
        <v>208.71388160000001</v>
      </c>
      <c r="DJ13" s="314">
        <f>SUM(DF13:DI13)</f>
        <v>817.34971157000007</v>
      </c>
      <c r="DK13" s="313">
        <f>IS!DK42</f>
        <v>208.71388160000001</v>
      </c>
      <c r="DL13" s="313">
        <f>IS!DL42</f>
        <v>208.71388160000001</v>
      </c>
      <c r="DM13" s="313">
        <f>IS!DM42</f>
        <v>208.71388160000001</v>
      </c>
      <c r="DN13" s="310">
        <f>IS!DN42</f>
        <v>208.71388160000001</v>
      </c>
      <c r="DO13" s="314">
        <f>SUM(DK13:DN13)</f>
        <v>834.85552640000003</v>
      </c>
      <c r="DP13" s="313">
        <f>IS!DP42</f>
        <v>208.71388160000001</v>
      </c>
      <c r="DQ13" s="313">
        <f>IS!DQ42</f>
        <v>208.71388160000001</v>
      </c>
      <c r="DR13" s="313">
        <f>IS!DR42</f>
        <v>208.71388160000001</v>
      </c>
      <c r="DS13" s="310">
        <f>IS!DS42</f>
        <v>208.71388160000001</v>
      </c>
      <c r="DT13" s="314">
        <f>SUM(DP13:DS13)</f>
        <v>834.85552640000003</v>
      </c>
      <c r="DU13" s="313">
        <f>IS!DU42</f>
        <v>208.71388160000001</v>
      </c>
      <c r="DV13" s="313">
        <f>IS!DV42</f>
        <v>208.71388160000001</v>
      </c>
      <c r="DW13" s="313">
        <f>IS!DW42</f>
        <v>208.71388160000001</v>
      </c>
      <c r="DX13" s="310">
        <f>IS!DX42</f>
        <v>208.71388160000001</v>
      </c>
      <c r="DY13" s="314">
        <f>SUM(DU13:DX13)</f>
        <v>834.85552640000003</v>
      </c>
      <c r="DZ13" s="1858"/>
      <c r="EA13" s="1858"/>
      <c r="EB13" s="1858"/>
    </row>
    <row r="14" spans="1:132" x14ac:dyDescent="0.2">
      <c r="A14" s="1853"/>
      <c r="B14" s="315" t="s">
        <v>239</v>
      </c>
      <c r="C14" s="316"/>
      <c r="D14" s="316"/>
      <c r="E14" s="59"/>
      <c r="F14" s="59"/>
      <c r="G14" s="59"/>
      <c r="H14" s="59"/>
      <c r="I14" s="63">
        <v>262.8</v>
      </c>
      <c r="J14" s="59"/>
      <c r="K14" s="59"/>
      <c r="L14" s="59"/>
      <c r="M14" s="59"/>
      <c r="N14" s="63">
        <v>242.6</v>
      </c>
      <c r="O14" s="59"/>
      <c r="P14" s="59"/>
      <c r="Q14" s="59"/>
      <c r="R14" s="59"/>
      <c r="S14" s="63">
        <v>249.7</v>
      </c>
      <c r="T14" s="59"/>
      <c r="U14" s="59"/>
      <c r="V14" s="59"/>
      <c r="W14" s="59"/>
      <c r="X14" s="63">
        <v>277.89999999999998</v>
      </c>
      <c r="Y14" s="59"/>
      <c r="Z14" s="59"/>
      <c r="AA14" s="59"/>
      <c r="AB14" s="59"/>
      <c r="AC14" s="63">
        <v>296.60699999999997</v>
      </c>
      <c r="AD14" s="59"/>
      <c r="AE14" s="59"/>
      <c r="AF14" s="59"/>
      <c r="AG14" s="59"/>
      <c r="AH14" s="63">
        <v>320.8</v>
      </c>
      <c r="AI14" s="59"/>
      <c r="AJ14" s="59"/>
      <c r="AK14" s="59"/>
      <c r="AL14" s="59"/>
      <c r="AM14" s="63">
        <v>310.3</v>
      </c>
      <c r="AN14" s="59"/>
      <c r="AO14" s="59"/>
      <c r="AP14" s="59"/>
      <c r="AQ14" s="59"/>
      <c r="AR14" s="63">
        <v>341.7</v>
      </c>
      <c r="AS14" s="59"/>
      <c r="AT14" s="59"/>
      <c r="AU14" s="59"/>
      <c r="AV14" s="59"/>
      <c r="AW14" s="63">
        <v>496.8</v>
      </c>
      <c r="AX14" s="59"/>
      <c r="AY14" s="59"/>
      <c r="AZ14" s="59"/>
      <c r="BA14" s="59"/>
      <c r="BB14" s="63">
        <v>589.1</v>
      </c>
      <c r="BC14" s="59"/>
      <c r="BD14" s="59"/>
      <c r="BE14" s="59"/>
      <c r="BF14" s="59"/>
      <c r="BG14" s="63">
        <v>733.3</v>
      </c>
      <c r="BH14" s="59"/>
      <c r="BI14" s="59"/>
      <c r="BJ14" s="59"/>
      <c r="BK14" s="59"/>
      <c r="BL14" s="63">
        <v>1094.5999999999999</v>
      </c>
      <c r="BM14" s="62">
        <f>BM11+BM13</f>
        <v>299.3</v>
      </c>
      <c r="BN14" s="62">
        <f>BN11+BN13</f>
        <v>309.99999999999994</v>
      </c>
      <c r="BO14" s="62">
        <f>BO11+BO13</f>
        <v>310.90000000000009</v>
      </c>
      <c r="BP14" s="62">
        <f>BP11+BP13</f>
        <v>354</v>
      </c>
      <c r="BQ14" s="63">
        <v>1274.2</v>
      </c>
      <c r="BR14" s="62">
        <f>BR11+BR13</f>
        <v>353.9</v>
      </c>
      <c r="BS14" s="62">
        <f>BS11+BS13</f>
        <v>382.30000000000007</v>
      </c>
      <c r="BT14" s="62">
        <f>BT11+BT13</f>
        <v>300.29999999999995</v>
      </c>
      <c r="BU14" s="62">
        <f>BU11+BU13</f>
        <v>352.5</v>
      </c>
      <c r="BV14" s="63">
        <v>1389</v>
      </c>
      <c r="BW14" s="62">
        <f t="shared" ref="BW14:DJ14" si="1">BW11+BW13</f>
        <v>358</v>
      </c>
      <c r="BX14" s="62">
        <f t="shared" si="1"/>
        <v>368</v>
      </c>
      <c r="BY14" s="62">
        <f t="shared" si="1"/>
        <v>370</v>
      </c>
      <c r="BZ14" s="62">
        <f t="shared" si="1"/>
        <v>373</v>
      </c>
      <c r="CA14" s="61">
        <f t="shared" si="1"/>
        <v>1469</v>
      </c>
      <c r="CB14" s="62">
        <f t="shared" si="1"/>
        <v>374</v>
      </c>
      <c r="CC14" s="62">
        <f t="shared" si="1"/>
        <v>391</v>
      </c>
      <c r="CD14" s="59">
        <f t="shared" si="1"/>
        <v>407</v>
      </c>
      <c r="CE14" s="59">
        <f t="shared" si="1"/>
        <v>396.19999999999595</v>
      </c>
      <c r="CF14" s="86">
        <f t="shared" si="1"/>
        <v>1568.199999999996</v>
      </c>
      <c r="CG14" s="62">
        <f t="shared" si="1"/>
        <v>423</v>
      </c>
      <c r="CH14" s="62">
        <f t="shared" si="1"/>
        <v>431</v>
      </c>
      <c r="CI14" s="62">
        <f t="shared" si="1"/>
        <v>442.3</v>
      </c>
      <c r="CJ14" s="59">
        <f t="shared" si="1"/>
        <v>456.70000000000005</v>
      </c>
      <c r="CK14" s="86">
        <f t="shared" si="1"/>
        <v>1753.0000000000002</v>
      </c>
      <c r="CL14" s="62">
        <f t="shared" si="1"/>
        <v>502</v>
      </c>
      <c r="CM14" s="59">
        <f t="shared" si="1"/>
        <v>449.4</v>
      </c>
      <c r="CN14" s="59">
        <f>CN11+CN13</f>
        <v>460.5</v>
      </c>
      <c r="CO14" s="59">
        <f>CO11+CO13</f>
        <v>457.8</v>
      </c>
      <c r="CP14" s="86">
        <f t="shared" si="1"/>
        <v>1869.6999999999998</v>
      </c>
      <c r="CQ14" s="58">
        <f t="shared" ref="CN14:CT24" si="2">CQ78-CP78</f>
        <v>477</v>
      </c>
      <c r="CR14" s="1779">
        <f>CR78-CQ78</f>
        <v>488</v>
      </c>
      <c r="CS14" s="1779">
        <f>CS78-CR78</f>
        <v>477</v>
      </c>
      <c r="CT14" s="1780">
        <f>CT78-CS78</f>
        <v>489</v>
      </c>
      <c r="CU14" s="1780">
        <f t="shared" si="1"/>
        <v>1930.9</v>
      </c>
      <c r="CV14" s="1856">
        <f t="shared" si="1"/>
        <v>490</v>
      </c>
      <c r="CW14" s="1856">
        <f t="shared" ref="CW14:CY23" si="3">CW78-CV78</f>
        <v>488</v>
      </c>
      <c r="CX14" s="1856">
        <f t="shared" si="3"/>
        <v>532</v>
      </c>
      <c r="CY14" s="1856">
        <f t="shared" si="3"/>
        <v>582</v>
      </c>
      <c r="CZ14" s="1857">
        <f t="shared" si="1"/>
        <v>2080.6395035309433</v>
      </c>
      <c r="DA14" s="1856">
        <f>DA78-CZ78</f>
        <v>617</v>
      </c>
      <c r="DB14" s="1856">
        <f>DB78-DA78</f>
        <v>619</v>
      </c>
      <c r="DC14" s="1856">
        <f>DC78-DB78</f>
        <v>611</v>
      </c>
      <c r="DD14" s="1856">
        <f>DD78-DC78</f>
        <v>628</v>
      </c>
      <c r="DE14" s="2627">
        <f>DE11+DE13</f>
        <v>2445.5</v>
      </c>
      <c r="DF14" s="1856">
        <f t="shared" ref="DF14:DI23" si="4">DF78-DE78</f>
        <v>619</v>
      </c>
      <c r="DG14" s="1856">
        <f t="shared" si="4"/>
        <v>623</v>
      </c>
      <c r="DH14" s="1856">
        <f t="shared" si="4"/>
        <v>615</v>
      </c>
      <c r="DI14" s="1856">
        <f t="shared" si="4"/>
        <v>622</v>
      </c>
      <c r="DJ14" s="86">
        <f t="shared" si="1"/>
        <v>2478.8232135100002</v>
      </c>
      <c r="DK14" s="59">
        <f t="shared" ref="DK14:DT14" si="5">DK11+DK13</f>
        <v>640.97788160000005</v>
      </c>
      <c r="DL14" s="59">
        <f t="shared" si="5"/>
        <v>631.77988160000007</v>
      </c>
      <c r="DM14" s="59">
        <f t="shared" si="5"/>
        <v>625.10188160000007</v>
      </c>
      <c r="DN14" s="59">
        <f t="shared" si="5"/>
        <v>640.97788160000005</v>
      </c>
      <c r="DO14" s="86">
        <f t="shared" si="5"/>
        <v>2538.8375264000001</v>
      </c>
      <c r="DP14" s="59">
        <f t="shared" si="5"/>
        <v>638.86679360000005</v>
      </c>
      <c r="DQ14" s="59">
        <f t="shared" si="5"/>
        <v>636.05002160000004</v>
      </c>
      <c r="DR14" s="59">
        <f t="shared" si="5"/>
        <v>637.41972559999999</v>
      </c>
      <c r="DS14" s="59">
        <f t="shared" si="5"/>
        <v>637.36663759999999</v>
      </c>
      <c r="DT14" s="86">
        <f t="shared" si="5"/>
        <v>2549.7031784000001</v>
      </c>
      <c r="DU14" s="59">
        <f t="shared" ref="DU14:DY14" si="6">DU11+DU13</f>
        <v>635.92003529600004</v>
      </c>
      <c r="DV14" s="59">
        <f t="shared" si="6"/>
        <v>633.46697741600008</v>
      </c>
      <c r="DW14" s="59">
        <f t="shared" si="6"/>
        <v>634.97957196800007</v>
      </c>
      <c r="DX14" s="59">
        <f t="shared" si="6"/>
        <v>635.71571621600015</v>
      </c>
      <c r="DY14" s="86">
        <f t="shared" si="6"/>
        <v>2540.0823008960006</v>
      </c>
      <c r="DZ14" s="1858"/>
      <c r="EA14" s="1858"/>
      <c r="EB14" s="1858"/>
    </row>
    <row r="15" spans="1:132" hidden="1" outlineLevel="1" x14ac:dyDescent="0.2">
      <c r="A15" s="1853"/>
      <c r="B15" s="58" t="s">
        <v>305</v>
      </c>
      <c r="C15" s="59"/>
      <c r="D15" s="59"/>
      <c r="E15" s="59"/>
      <c r="F15" s="59"/>
      <c r="G15" s="59"/>
      <c r="H15" s="59"/>
      <c r="I15" s="63">
        <v>-121.4</v>
      </c>
      <c r="J15" s="59"/>
      <c r="K15" s="59"/>
      <c r="L15" s="59"/>
      <c r="M15" s="59"/>
      <c r="N15" s="63">
        <v>0</v>
      </c>
      <c r="O15" s="59"/>
      <c r="P15" s="59"/>
      <c r="Q15" s="59"/>
      <c r="R15" s="59"/>
      <c r="S15" s="63">
        <v>0</v>
      </c>
      <c r="T15" s="59"/>
      <c r="U15" s="59"/>
      <c r="V15" s="59"/>
      <c r="W15" s="59"/>
      <c r="X15" s="63">
        <v>0</v>
      </c>
      <c r="Y15" s="59"/>
      <c r="Z15" s="59"/>
      <c r="AA15" s="59"/>
      <c r="AB15" s="59"/>
      <c r="AC15" s="63">
        <v>0</v>
      </c>
      <c r="AD15" s="59"/>
      <c r="AE15" s="59"/>
      <c r="AF15" s="59"/>
      <c r="AG15" s="59"/>
      <c r="AH15" s="63">
        <v>0</v>
      </c>
      <c r="AI15" s="59"/>
      <c r="AJ15" s="59"/>
      <c r="AK15" s="59"/>
      <c r="AL15" s="59"/>
      <c r="AM15" s="63">
        <v>0</v>
      </c>
      <c r="AN15" s="59"/>
      <c r="AO15" s="59"/>
      <c r="AP15" s="59"/>
      <c r="AQ15" s="59"/>
      <c r="AR15" s="63">
        <v>0</v>
      </c>
      <c r="AS15" s="59"/>
      <c r="AT15" s="59"/>
      <c r="AU15" s="59"/>
      <c r="AV15" s="59"/>
      <c r="AW15" s="63">
        <v>0</v>
      </c>
      <c r="AX15" s="59"/>
      <c r="AY15" s="59"/>
      <c r="AZ15" s="59"/>
      <c r="BA15" s="59"/>
      <c r="BB15" s="63">
        <v>0</v>
      </c>
      <c r="BC15" s="59"/>
      <c r="BD15" s="59"/>
      <c r="BE15" s="59"/>
      <c r="BF15" s="59"/>
      <c r="BG15" s="63">
        <v>0</v>
      </c>
      <c r="BH15" s="59"/>
      <c r="BI15" s="59"/>
      <c r="BJ15" s="59"/>
      <c r="BK15" s="59"/>
      <c r="BL15" s="63">
        <v>0</v>
      </c>
      <c r="BM15" s="62">
        <f t="shared" ref="BM15:BM24" si="7">BM79</f>
        <v>0</v>
      </c>
      <c r="BN15" s="62">
        <f t="shared" ref="BN15:BP24" si="8">BN79-BM79</f>
        <v>0</v>
      </c>
      <c r="BO15" s="62">
        <f t="shared" si="8"/>
        <v>0</v>
      </c>
      <c r="BP15" s="62">
        <f t="shared" si="8"/>
        <v>0</v>
      </c>
      <c r="BQ15" s="63">
        <v>0</v>
      </c>
      <c r="BR15" s="62">
        <f t="shared" ref="BR15:BR24" si="9">BR79</f>
        <v>0</v>
      </c>
      <c r="BS15" s="62">
        <f t="shared" ref="BS15:BU24" si="10">BS79-BR79</f>
        <v>0</v>
      </c>
      <c r="BT15" s="62">
        <f t="shared" si="10"/>
        <v>0</v>
      </c>
      <c r="BU15" s="62">
        <f t="shared" si="10"/>
        <v>0</v>
      </c>
      <c r="BV15" s="63">
        <v>0</v>
      </c>
      <c r="BW15" s="62">
        <f t="shared" ref="BW15:BW24" si="11">BW79</f>
        <v>0</v>
      </c>
      <c r="BX15" s="62">
        <f t="shared" ref="BX15:BZ24" si="12">BX79-BW79</f>
        <v>0</v>
      </c>
      <c r="BY15" s="62">
        <f t="shared" si="12"/>
        <v>0</v>
      </c>
      <c r="BZ15" s="62">
        <f t="shared" si="12"/>
        <v>0</v>
      </c>
      <c r="CA15" s="61">
        <f t="shared" ref="CA15:CA24" si="13">SUM(BW15:BZ15)</f>
        <v>0</v>
      </c>
      <c r="CB15" s="62">
        <f t="shared" ref="CB15:CB24" si="14">CB79</f>
        <v>0</v>
      </c>
      <c r="CC15" s="62">
        <f t="shared" ref="CC15:CE24" si="15">CC79-CB79</f>
        <v>0</v>
      </c>
      <c r="CD15" s="62">
        <f t="shared" si="15"/>
        <v>0</v>
      </c>
      <c r="CE15" s="62">
        <f t="shared" si="15"/>
        <v>0</v>
      </c>
      <c r="CF15" s="86">
        <f t="shared" ref="CF15:CF24" si="16">SUM(CB15:CE15)</f>
        <v>0</v>
      </c>
      <c r="CG15" s="62">
        <f t="shared" ref="CG15:CG24" si="17">CG79</f>
        <v>0</v>
      </c>
      <c r="CH15" s="62">
        <f t="shared" ref="CH15:CJ24" si="18">CH79-CG79</f>
        <v>0</v>
      </c>
      <c r="CI15" s="62">
        <f t="shared" si="18"/>
        <v>0</v>
      </c>
      <c r="CJ15" s="62">
        <f t="shared" si="18"/>
        <v>0</v>
      </c>
      <c r="CK15" s="86">
        <f t="shared" ref="CK15:CK24" si="19">SUM(CG15:CJ15)</f>
        <v>0</v>
      </c>
      <c r="CL15" s="62">
        <f t="shared" ref="CL15:CL24" si="20">CL79</f>
        <v>0</v>
      </c>
      <c r="CM15" s="62">
        <f t="shared" ref="CM15:CM24" si="21">CM79-CL79</f>
        <v>0</v>
      </c>
      <c r="CN15" s="62">
        <f t="shared" si="2"/>
        <v>0</v>
      </c>
      <c r="CO15" s="62">
        <f t="shared" si="2"/>
        <v>0</v>
      </c>
      <c r="CP15" s="86">
        <f t="shared" ref="CP15:CP24" si="22">SUM(CL15:CO15)</f>
        <v>0</v>
      </c>
      <c r="CQ15" s="1781">
        <f t="shared" si="2"/>
        <v>0</v>
      </c>
      <c r="CR15" s="1782">
        <f t="shared" si="2"/>
        <v>0</v>
      </c>
      <c r="CS15" s="1867">
        <f t="shared" si="2"/>
        <v>0</v>
      </c>
      <c r="CT15" s="1868">
        <f t="shared" si="2"/>
        <v>0</v>
      </c>
      <c r="CU15" s="1780">
        <f t="shared" ref="CU15:CU24" si="23">SUM(CQ15:CT15)</f>
        <v>0</v>
      </c>
      <c r="CV15" s="1703">
        <v>0</v>
      </c>
      <c r="CW15" s="1703">
        <f t="shared" si="3"/>
        <v>0</v>
      </c>
      <c r="CX15" s="1703">
        <f t="shared" si="3"/>
        <v>0</v>
      </c>
      <c r="CY15" s="1703">
        <f t="shared" si="3"/>
        <v>0</v>
      </c>
      <c r="CZ15" s="1857">
        <f t="shared" ref="CZ15:CZ24" si="24">SUM(CV15:CY15)</f>
        <v>0</v>
      </c>
      <c r="DA15" s="1703">
        <f t="shared" ref="DA15:DD23" si="25">DA79-CZ79</f>
        <v>0</v>
      </c>
      <c r="DB15" s="1703">
        <f t="shared" si="25"/>
        <v>0</v>
      </c>
      <c r="DC15" s="1703">
        <f t="shared" si="25"/>
        <v>0</v>
      </c>
      <c r="DD15" s="1703">
        <f t="shared" si="25"/>
        <v>0</v>
      </c>
      <c r="DE15" s="2627">
        <f t="shared" ref="DE15:DE24" si="26">SUM(DA15:DD15)</f>
        <v>0</v>
      </c>
      <c r="DF15" s="1703">
        <f t="shared" si="4"/>
        <v>0</v>
      </c>
      <c r="DG15" s="1703">
        <f t="shared" si="4"/>
        <v>135</v>
      </c>
      <c r="DH15" s="1703">
        <f t="shared" si="4"/>
        <v>0</v>
      </c>
      <c r="DI15" s="1703">
        <f t="shared" si="4"/>
        <v>46</v>
      </c>
      <c r="DJ15" s="86">
        <f t="shared" ref="DJ15:DJ24" si="27">SUM(DF15:DI15)</f>
        <v>181</v>
      </c>
      <c r="DK15" s="60">
        <v>0</v>
      </c>
      <c r="DL15" s="60">
        <v>0</v>
      </c>
      <c r="DM15" s="60">
        <v>0</v>
      </c>
      <c r="DN15" s="60">
        <v>0</v>
      </c>
      <c r="DO15" s="86">
        <f t="shared" ref="DO15:DO24" si="28">SUM(DK15:DN15)</f>
        <v>0</v>
      </c>
      <c r="DP15" s="60">
        <v>0</v>
      </c>
      <c r="DQ15" s="60">
        <v>0</v>
      </c>
      <c r="DR15" s="60">
        <v>0</v>
      </c>
      <c r="DS15" s="60">
        <v>0</v>
      </c>
      <c r="DT15" s="86">
        <f t="shared" ref="DT15:DT24" si="29">SUM(DP15:DS15)</f>
        <v>0</v>
      </c>
      <c r="DU15" s="60">
        <v>0</v>
      </c>
      <c r="DV15" s="60">
        <v>0</v>
      </c>
      <c r="DW15" s="60">
        <v>0</v>
      </c>
      <c r="DX15" s="60">
        <v>0</v>
      </c>
      <c r="DY15" s="86">
        <f t="shared" ref="DY15:DY24" si="30">SUM(DU15:DX15)</f>
        <v>0</v>
      </c>
      <c r="DZ15" s="1858"/>
      <c r="EA15" s="1858"/>
      <c r="EB15" s="1858"/>
    </row>
    <row r="16" spans="1:132" hidden="1" outlineLevel="1" x14ac:dyDescent="0.2">
      <c r="A16" s="1853"/>
      <c r="B16" s="58" t="s">
        <v>306</v>
      </c>
      <c r="C16" s="59"/>
      <c r="D16" s="59"/>
      <c r="E16" s="59"/>
      <c r="F16" s="59"/>
      <c r="G16" s="59"/>
      <c r="H16" s="59"/>
      <c r="I16" s="63">
        <v>22.2</v>
      </c>
      <c r="J16" s="59"/>
      <c r="K16" s="59"/>
      <c r="L16" s="59"/>
      <c r="M16" s="59"/>
      <c r="N16" s="63">
        <v>0</v>
      </c>
      <c r="O16" s="59"/>
      <c r="P16" s="59"/>
      <c r="Q16" s="59"/>
      <c r="R16" s="59"/>
      <c r="S16" s="63">
        <v>0</v>
      </c>
      <c r="T16" s="59"/>
      <c r="U16" s="59"/>
      <c r="V16" s="59"/>
      <c r="W16" s="59"/>
      <c r="X16" s="63">
        <v>0</v>
      </c>
      <c r="Y16" s="59"/>
      <c r="Z16" s="59"/>
      <c r="AA16" s="59"/>
      <c r="AB16" s="59"/>
      <c r="AC16" s="63">
        <v>0</v>
      </c>
      <c r="AD16" s="59"/>
      <c r="AE16" s="59"/>
      <c r="AF16" s="59"/>
      <c r="AG16" s="59"/>
      <c r="AH16" s="63">
        <v>0</v>
      </c>
      <c r="AI16" s="59"/>
      <c r="AJ16" s="59"/>
      <c r="AK16" s="59"/>
      <c r="AL16" s="59"/>
      <c r="AM16" s="63">
        <v>0</v>
      </c>
      <c r="AN16" s="59"/>
      <c r="AO16" s="59"/>
      <c r="AP16" s="59"/>
      <c r="AQ16" s="59"/>
      <c r="AR16" s="63">
        <v>0</v>
      </c>
      <c r="AS16" s="59"/>
      <c r="AT16" s="59"/>
      <c r="AU16" s="59"/>
      <c r="AV16" s="59"/>
      <c r="AW16" s="63">
        <v>0</v>
      </c>
      <c r="AX16" s="59"/>
      <c r="AY16" s="59"/>
      <c r="AZ16" s="59"/>
      <c r="BA16" s="59"/>
      <c r="BB16" s="63">
        <v>0</v>
      </c>
      <c r="BC16" s="59"/>
      <c r="BD16" s="59"/>
      <c r="BE16" s="59"/>
      <c r="BF16" s="59"/>
      <c r="BG16" s="63">
        <v>0</v>
      </c>
      <c r="BH16" s="59"/>
      <c r="BI16" s="59"/>
      <c r="BJ16" s="59"/>
      <c r="BK16" s="59"/>
      <c r="BL16" s="63">
        <v>0</v>
      </c>
      <c r="BM16" s="62">
        <f t="shared" si="7"/>
        <v>0</v>
      </c>
      <c r="BN16" s="62">
        <f t="shared" si="8"/>
        <v>0</v>
      </c>
      <c r="BO16" s="62">
        <f t="shared" si="8"/>
        <v>0</v>
      </c>
      <c r="BP16" s="62">
        <f t="shared" si="8"/>
        <v>0</v>
      </c>
      <c r="BQ16" s="63">
        <v>0</v>
      </c>
      <c r="BR16" s="62">
        <f t="shared" si="9"/>
        <v>0</v>
      </c>
      <c r="BS16" s="62">
        <f t="shared" si="10"/>
        <v>0</v>
      </c>
      <c r="BT16" s="62">
        <f t="shared" si="10"/>
        <v>0</v>
      </c>
      <c r="BU16" s="62">
        <f t="shared" si="10"/>
        <v>0</v>
      </c>
      <c r="BV16" s="63">
        <v>0</v>
      </c>
      <c r="BW16" s="62">
        <f t="shared" si="11"/>
        <v>0</v>
      </c>
      <c r="BX16" s="62">
        <f t="shared" si="12"/>
        <v>0</v>
      </c>
      <c r="BY16" s="62">
        <f t="shared" si="12"/>
        <v>0</v>
      </c>
      <c r="BZ16" s="62">
        <f t="shared" si="12"/>
        <v>0</v>
      </c>
      <c r="CA16" s="61">
        <f t="shared" si="13"/>
        <v>0</v>
      </c>
      <c r="CB16" s="62">
        <f t="shared" si="14"/>
        <v>0</v>
      </c>
      <c r="CC16" s="62">
        <f t="shared" si="15"/>
        <v>0</v>
      </c>
      <c r="CD16" s="62">
        <f t="shared" si="15"/>
        <v>0</v>
      </c>
      <c r="CE16" s="62">
        <f t="shared" si="15"/>
        <v>0</v>
      </c>
      <c r="CF16" s="86">
        <f t="shared" si="16"/>
        <v>0</v>
      </c>
      <c r="CG16" s="62">
        <f t="shared" si="17"/>
        <v>0</v>
      </c>
      <c r="CH16" s="62">
        <f t="shared" si="18"/>
        <v>0</v>
      </c>
      <c r="CI16" s="62">
        <f t="shared" si="18"/>
        <v>0</v>
      </c>
      <c r="CJ16" s="62">
        <f t="shared" si="18"/>
        <v>0</v>
      </c>
      <c r="CK16" s="86">
        <f t="shared" si="19"/>
        <v>0</v>
      </c>
      <c r="CL16" s="62">
        <f t="shared" si="20"/>
        <v>0</v>
      </c>
      <c r="CM16" s="62">
        <f t="shared" si="21"/>
        <v>0</v>
      </c>
      <c r="CN16" s="62">
        <f t="shared" si="2"/>
        <v>0</v>
      </c>
      <c r="CO16" s="62">
        <f t="shared" si="2"/>
        <v>0</v>
      </c>
      <c r="CP16" s="86">
        <f t="shared" si="22"/>
        <v>0</v>
      </c>
      <c r="CQ16" s="1781">
        <f t="shared" si="2"/>
        <v>0</v>
      </c>
      <c r="CR16" s="1782">
        <f t="shared" si="2"/>
        <v>0</v>
      </c>
      <c r="CS16" s="1867">
        <f t="shared" si="2"/>
        <v>0</v>
      </c>
      <c r="CT16" s="1868">
        <f t="shared" si="2"/>
        <v>0</v>
      </c>
      <c r="CU16" s="1780">
        <f t="shared" si="23"/>
        <v>0</v>
      </c>
      <c r="CV16" s="1703">
        <v>0</v>
      </c>
      <c r="CW16" s="1703">
        <f t="shared" si="3"/>
        <v>0</v>
      </c>
      <c r="CX16" s="1703">
        <f t="shared" si="3"/>
        <v>0</v>
      </c>
      <c r="CY16" s="1703">
        <f t="shared" si="3"/>
        <v>0</v>
      </c>
      <c r="CZ16" s="1857">
        <f t="shared" si="24"/>
        <v>0</v>
      </c>
      <c r="DA16" s="1703">
        <f>DA80-CZ80</f>
        <v>0</v>
      </c>
      <c r="DB16" s="1703">
        <f>DB80-DA80</f>
        <v>0</v>
      </c>
      <c r="DC16" s="1703">
        <f>DC80-DB80</f>
        <v>0</v>
      </c>
      <c r="DD16" s="1703">
        <f>DD80-DC80</f>
        <v>0</v>
      </c>
      <c r="DE16" s="2627">
        <f t="shared" si="26"/>
        <v>0</v>
      </c>
      <c r="DF16" s="1703">
        <f t="shared" si="4"/>
        <v>0</v>
      </c>
      <c r="DG16" s="1703">
        <f t="shared" si="4"/>
        <v>0</v>
      </c>
      <c r="DH16" s="1703">
        <f t="shared" si="4"/>
        <v>0</v>
      </c>
      <c r="DI16" s="1703">
        <f t="shared" si="4"/>
        <v>0</v>
      </c>
      <c r="DJ16" s="86">
        <f t="shared" si="27"/>
        <v>0</v>
      </c>
      <c r="DK16" s="60">
        <v>0</v>
      </c>
      <c r="DL16" s="60">
        <v>0</v>
      </c>
      <c r="DM16" s="60">
        <v>0</v>
      </c>
      <c r="DN16" s="60">
        <v>0</v>
      </c>
      <c r="DO16" s="86">
        <f t="shared" si="28"/>
        <v>0</v>
      </c>
      <c r="DP16" s="60">
        <v>0</v>
      </c>
      <c r="DQ16" s="60">
        <v>0</v>
      </c>
      <c r="DR16" s="60">
        <v>0</v>
      </c>
      <c r="DS16" s="60">
        <v>0</v>
      </c>
      <c r="DT16" s="86">
        <f t="shared" si="29"/>
        <v>0</v>
      </c>
      <c r="DU16" s="60">
        <v>0</v>
      </c>
      <c r="DV16" s="60">
        <v>0</v>
      </c>
      <c r="DW16" s="60">
        <v>0</v>
      </c>
      <c r="DX16" s="60">
        <v>0</v>
      </c>
      <c r="DY16" s="86">
        <f t="shared" si="30"/>
        <v>0</v>
      </c>
      <c r="DZ16" s="1858"/>
      <c r="EA16" s="1858"/>
      <c r="EB16" s="1858"/>
    </row>
    <row r="17" spans="1:132" hidden="1" outlineLevel="1" x14ac:dyDescent="0.2">
      <c r="A17" s="1853"/>
      <c r="B17" s="58" t="s">
        <v>307</v>
      </c>
      <c r="C17" s="59"/>
      <c r="D17" s="59"/>
      <c r="E17" s="59"/>
      <c r="F17" s="59"/>
      <c r="G17" s="59"/>
      <c r="H17" s="59"/>
      <c r="I17" s="63">
        <v>-4.5</v>
      </c>
      <c r="J17" s="59"/>
      <c r="K17" s="59"/>
      <c r="L17" s="59"/>
      <c r="M17" s="59"/>
      <c r="N17" s="63">
        <v>0.3</v>
      </c>
      <c r="O17" s="59"/>
      <c r="P17" s="59"/>
      <c r="Q17" s="59"/>
      <c r="R17" s="59"/>
      <c r="S17" s="63">
        <v>0</v>
      </c>
      <c r="T17" s="59"/>
      <c r="U17" s="59"/>
      <c r="V17" s="59"/>
      <c r="W17" s="59"/>
      <c r="X17" s="63">
        <v>0</v>
      </c>
      <c r="Y17" s="59"/>
      <c r="Z17" s="59"/>
      <c r="AA17" s="59"/>
      <c r="AB17" s="59"/>
      <c r="AC17" s="63">
        <v>0</v>
      </c>
      <c r="AD17" s="59"/>
      <c r="AE17" s="59"/>
      <c r="AF17" s="59"/>
      <c r="AG17" s="59"/>
      <c r="AH17" s="63">
        <v>0</v>
      </c>
      <c r="AI17" s="59"/>
      <c r="AJ17" s="59"/>
      <c r="AK17" s="59"/>
      <c r="AL17" s="59"/>
      <c r="AM17" s="63">
        <v>0</v>
      </c>
      <c r="AN17" s="59"/>
      <c r="AO17" s="59"/>
      <c r="AP17" s="59"/>
      <c r="AQ17" s="59"/>
      <c r="AR17" s="63">
        <v>0</v>
      </c>
      <c r="AS17" s="59"/>
      <c r="AT17" s="59"/>
      <c r="AU17" s="59"/>
      <c r="AV17" s="59"/>
      <c r="AW17" s="63">
        <v>0</v>
      </c>
      <c r="AX17" s="59"/>
      <c r="AY17" s="59"/>
      <c r="AZ17" s="59"/>
      <c r="BA17" s="59"/>
      <c r="BB17" s="63">
        <v>0</v>
      </c>
      <c r="BC17" s="59"/>
      <c r="BD17" s="59"/>
      <c r="BE17" s="59"/>
      <c r="BF17" s="59"/>
      <c r="BG17" s="63">
        <v>0</v>
      </c>
      <c r="BH17" s="59"/>
      <c r="BI17" s="59"/>
      <c r="BJ17" s="59"/>
      <c r="BK17" s="59"/>
      <c r="BL17" s="63">
        <v>0</v>
      </c>
      <c r="BM17" s="62">
        <f t="shared" si="7"/>
        <v>0</v>
      </c>
      <c r="BN17" s="62">
        <f t="shared" si="8"/>
        <v>0</v>
      </c>
      <c r="BO17" s="62">
        <f t="shared" si="8"/>
        <v>0</v>
      </c>
      <c r="BP17" s="62">
        <f t="shared" si="8"/>
        <v>0</v>
      </c>
      <c r="BQ17" s="63">
        <v>0</v>
      </c>
      <c r="BR17" s="62">
        <f t="shared" si="9"/>
        <v>0</v>
      </c>
      <c r="BS17" s="62">
        <f t="shared" si="10"/>
        <v>0</v>
      </c>
      <c r="BT17" s="62">
        <f t="shared" si="10"/>
        <v>0</v>
      </c>
      <c r="BU17" s="62">
        <f t="shared" si="10"/>
        <v>0</v>
      </c>
      <c r="BV17" s="63">
        <v>0</v>
      </c>
      <c r="BW17" s="62">
        <f t="shared" si="11"/>
        <v>0</v>
      </c>
      <c r="BX17" s="62">
        <f t="shared" si="12"/>
        <v>0</v>
      </c>
      <c r="BY17" s="62">
        <f t="shared" si="12"/>
        <v>0</v>
      </c>
      <c r="BZ17" s="62">
        <f t="shared" si="12"/>
        <v>0</v>
      </c>
      <c r="CA17" s="61">
        <f t="shared" si="13"/>
        <v>0</v>
      </c>
      <c r="CB17" s="62">
        <f t="shared" si="14"/>
        <v>0</v>
      </c>
      <c r="CC17" s="62">
        <f t="shared" si="15"/>
        <v>0</v>
      </c>
      <c r="CD17" s="62">
        <f t="shared" si="15"/>
        <v>0</v>
      </c>
      <c r="CE17" s="62">
        <f t="shared" si="15"/>
        <v>0</v>
      </c>
      <c r="CF17" s="86">
        <f t="shared" si="16"/>
        <v>0</v>
      </c>
      <c r="CG17" s="62">
        <f t="shared" si="17"/>
        <v>0</v>
      </c>
      <c r="CH17" s="62">
        <f t="shared" si="18"/>
        <v>0</v>
      </c>
      <c r="CI17" s="62">
        <f t="shared" si="18"/>
        <v>0</v>
      </c>
      <c r="CJ17" s="62">
        <f t="shared" si="18"/>
        <v>0</v>
      </c>
      <c r="CK17" s="86">
        <f t="shared" si="19"/>
        <v>0</v>
      </c>
      <c r="CL17" s="62">
        <f t="shared" si="20"/>
        <v>0</v>
      </c>
      <c r="CM17" s="62">
        <f t="shared" si="21"/>
        <v>0</v>
      </c>
      <c r="CN17" s="62">
        <f t="shared" si="2"/>
        <v>0</v>
      </c>
      <c r="CO17" s="62">
        <f t="shared" si="2"/>
        <v>0</v>
      </c>
      <c r="CP17" s="86">
        <f t="shared" si="22"/>
        <v>0</v>
      </c>
      <c r="CQ17" s="1781">
        <f t="shared" si="2"/>
        <v>0</v>
      </c>
      <c r="CR17" s="1782">
        <f t="shared" si="2"/>
        <v>0</v>
      </c>
      <c r="CS17" s="1867">
        <f t="shared" si="2"/>
        <v>0</v>
      </c>
      <c r="CT17" s="1868">
        <f t="shared" si="2"/>
        <v>0</v>
      </c>
      <c r="CU17" s="1780">
        <f t="shared" si="23"/>
        <v>0</v>
      </c>
      <c r="CV17" s="1703">
        <v>0</v>
      </c>
      <c r="CW17" s="1703">
        <f t="shared" si="3"/>
        <v>0</v>
      </c>
      <c r="CX17" s="1703">
        <f t="shared" si="3"/>
        <v>0</v>
      </c>
      <c r="CY17" s="1703">
        <f t="shared" si="3"/>
        <v>0</v>
      </c>
      <c r="CZ17" s="1857">
        <f t="shared" si="24"/>
        <v>0</v>
      </c>
      <c r="DA17" s="1703">
        <f t="shared" si="25"/>
        <v>0</v>
      </c>
      <c r="DB17" s="1703">
        <f t="shared" si="25"/>
        <v>0</v>
      </c>
      <c r="DC17" s="1703">
        <f t="shared" si="25"/>
        <v>0</v>
      </c>
      <c r="DD17" s="1703">
        <f t="shared" si="25"/>
        <v>0</v>
      </c>
      <c r="DE17" s="2627">
        <f t="shared" si="26"/>
        <v>0</v>
      </c>
      <c r="DF17" s="1703">
        <f t="shared" si="4"/>
        <v>0</v>
      </c>
      <c r="DG17" s="1703">
        <f t="shared" si="4"/>
        <v>0</v>
      </c>
      <c r="DH17" s="1703">
        <f t="shared" si="4"/>
        <v>0</v>
      </c>
      <c r="DI17" s="1703">
        <f t="shared" si="4"/>
        <v>0</v>
      </c>
      <c r="DJ17" s="86">
        <f t="shared" si="27"/>
        <v>0</v>
      </c>
      <c r="DK17" s="60">
        <v>0</v>
      </c>
      <c r="DL17" s="60">
        <v>0</v>
      </c>
      <c r="DM17" s="60">
        <v>0</v>
      </c>
      <c r="DN17" s="60">
        <v>0</v>
      </c>
      <c r="DO17" s="86">
        <f t="shared" si="28"/>
        <v>0</v>
      </c>
      <c r="DP17" s="60">
        <v>0</v>
      </c>
      <c r="DQ17" s="60">
        <v>0</v>
      </c>
      <c r="DR17" s="60">
        <v>0</v>
      </c>
      <c r="DS17" s="60">
        <v>0</v>
      </c>
      <c r="DT17" s="86">
        <f t="shared" si="29"/>
        <v>0</v>
      </c>
      <c r="DU17" s="60">
        <v>0</v>
      </c>
      <c r="DV17" s="60">
        <v>0</v>
      </c>
      <c r="DW17" s="60">
        <v>0</v>
      </c>
      <c r="DX17" s="60">
        <v>0</v>
      </c>
      <c r="DY17" s="86">
        <f t="shared" si="30"/>
        <v>0</v>
      </c>
      <c r="DZ17" s="1858"/>
      <c r="EA17" s="1858"/>
      <c r="EB17" s="1858"/>
    </row>
    <row r="18" spans="1:132" hidden="1" outlineLevel="1" x14ac:dyDescent="0.2">
      <c r="A18" s="1853"/>
      <c r="B18" s="58" t="s">
        <v>308</v>
      </c>
      <c r="C18" s="59"/>
      <c r="D18" s="59"/>
      <c r="E18" s="59"/>
      <c r="F18" s="59"/>
      <c r="G18" s="59"/>
      <c r="H18" s="59"/>
      <c r="I18" s="63">
        <v>15.3</v>
      </c>
      <c r="J18" s="59"/>
      <c r="K18" s="59"/>
      <c r="L18" s="59"/>
      <c r="M18" s="59"/>
      <c r="N18" s="63">
        <v>69.400000000000006</v>
      </c>
      <c r="O18" s="59"/>
      <c r="P18" s="59"/>
      <c r="Q18" s="59"/>
      <c r="R18" s="59"/>
      <c r="S18" s="63">
        <v>0</v>
      </c>
      <c r="T18" s="59"/>
      <c r="U18" s="59"/>
      <c r="V18" s="59"/>
      <c r="W18" s="59"/>
      <c r="X18" s="63">
        <v>0</v>
      </c>
      <c r="Y18" s="59"/>
      <c r="Z18" s="59"/>
      <c r="AA18" s="59"/>
      <c r="AB18" s="59"/>
      <c r="AC18" s="63">
        <v>0</v>
      </c>
      <c r="AD18" s="59"/>
      <c r="AE18" s="59"/>
      <c r="AF18" s="59"/>
      <c r="AG18" s="59"/>
      <c r="AH18" s="63">
        <v>0</v>
      </c>
      <c r="AI18" s="59"/>
      <c r="AJ18" s="59"/>
      <c r="AK18" s="59"/>
      <c r="AL18" s="59"/>
      <c r="AM18" s="63">
        <v>0</v>
      </c>
      <c r="AN18" s="59"/>
      <c r="AO18" s="59"/>
      <c r="AP18" s="59"/>
      <c r="AQ18" s="59"/>
      <c r="AR18" s="63">
        <v>0</v>
      </c>
      <c r="AS18" s="59"/>
      <c r="AT18" s="59"/>
      <c r="AU18" s="59"/>
      <c r="AV18" s="59"/>
      <c r="AW18" s="63">
        <v>0</v>
      </c>
      <c r="AX18" s="59"/>
      <c r="AY18" s="59"/>
      <c r="AZ18" s="59"/>
      <c r="BA18" s="59"/>
      <c r="BB18" s="63">
        <v>0</v>
      </c>
      <c r="BC18" s="59"/>
      <c r="BD18" s="59"/>
      <c r="BE18" s="59"/>
      <c r="BF18" s="59"/>
      <c r="BG18" s="63">
        <v>0</v>
      </c>
      <c r="BH18" s="59"/>
      <c r="BI18" s="59"/>
      <c r="BJ18" s="59"/>
      <c r="BK18" s="59"/>
      <c r="BL18" s="63">
        <v>0</v>
      </c>
      <c r="BM18" s="62">
        <f t="shared" si="7"/>
        <v>0</v>
      </c>
      <c r="BN18" s="62">
        <f t="shared" si="8"/>
        <v>0</v>
      </c>
      <c r="BO18" s="62">
        <f t="shared" si="8"/>
        <v>0</v>
      </c>
      <c r="BP18" s="62">
        <f t="shared" si="8"/>
        <v>0</v>
      </c>
      <c r="BQ18" s="63">
        <v>0</v>
      </c>
      <c r="BR18" s="62">
        <f t="shared" si="9"/>
        <v>0</v>
      </c>
      <c r="BS18" s="62">
        <f t="shared" si="10"/>
        <v>0</v>
      </c>
      <c r="BT18" s="62">
        <f t="shared" si="10"/>
        <v>0</v>
      </c>
      <c r="BU18" s="62">
        <f t="shared" si="10"/>
        <v>0</v>
      </c>
      <c r="BV18" s="63">
        <v>0</v>
      </c>
      <c r="BW18" s="62">
        <f t="shared" si="11"/>
        <v>0</v>
      </c>
      <c r="BX18" s="62">
        <f t="shared" si="12"/>
        <v>0</v>
      </c>
      <c r="BY18" s="62">
        <f t="shared" si="12"/>
        <v>0</v>
      </c>
      <c r="BZ18" s="62">
        <f t="shared" si="12"/>
        <v>0</v>
      </c>
      <c r="CA18" s="61">
        <f t="shared" si="13"/>
        <v>0</v>
      </c>
      <c r="CB18" s="62">
        <f t="shared" si="14"/>
        <v>0</v>
      </c>
      <c r="CC18" s="62">
        <f t="shared" si="15"/>
        <v>0</v>
      </c>
      <c r="CD18" s="62">
        <f t="shared" si="15"/>
        <v>0</v>
      </c>
      <c r="CE18" s="62">
        <f t="shared" si="15"/>
        <v>0</v>
      </c>
      <c r="CF18" s="86">
        <f t="shared" si="16"/>
        <v>0</v>
      </c>
      <c r="CG18" s="62">
        <f t="shared" si="17"/>
        <v>0</v>
      </c>
      <c r="CH18" s="62">
        <f t="shared" si="18"/>
        <v>0</v>
      </c>
      <c r="CI18" s="62">
        <f t="shared" si="18"/>
        <v>0</v>
      </c>
      <c r="CJ18" s="62">
        <f t="shared" si="18"/>
        <v>0</v>
      </c>
      <c r="CK18" s="86">
        <f t="shared" si="19"/>
        <v>0</v>
      </c>
      <c r="CL18" s="62">
        <f t="shared" si="20"/>
        <v>0</v>
      </c>
      <c r="CM18" s="62">
        <f t="shared" si="21"/>
        <v>0</v>
      </c>
      <c r="CN18" s="62">
        <f t="shared" si="2"/>
        <v>0</v>
      </c>
      <c r="CO18" s="62">
        <f t="shared" si="2"/>
        <v>0</v>
      </c>
      <c r="CP18" s="86">
        <f t="shared" si="22"/>
        <v>0</v>
      </c>
      <c r="CQ18" s="1781">
        <f t="shared" si="2"/>
        <v>0</v>
      </c>
      <c r="CR18" s="1782">
        <f t="shared" si="2"/>
        <v>0</v>
      </c>
      <c r="CS18" s="1867">
        <f t="shared" si="2"/>
        <v>0</v>
      </c>
      <c r="CT18" s="1868">
        <f t="shared" si="2"/>
        <v>0</v>
      </c>
      <c r="CU18" s="1780">
        <f t="shared" si="23"/>
        <v>0</v>
      </c>
      <c r="CV18" s="1703">
        <v>0</v>
      </c>
      <c r="CW18" s="1703">
        <f t="shared" si="3"/>
        <v>0</v>
      </c>
      <c r="CX18" s="1703">
        <f t="shared" si="3"/>
        <v>0</v>
      </c>
      <c r="CY18" s="1703">
        <f t="shared" si="3"/>
        <v>0</v>
      </c>
      <c r="CZ18" s="1857">
        <f t="shared" si="24"/>
        <v>0</v>
      </c>
      <c r="DA18" s="1703">
        <f t="shared" si="25"/>
        <v>0</v>
      </c>
      <c r="DB18" s="1703">
        <f t="shared" si="25"/>
        <v>0</v>
      </c>
      <c r="DC18" s="1703">
        <f t="shared" si="25"/>
        <v>0</v>
      </c>
      <c r="DD18" s="1703">
        <f t="shared" si="25"/>
        <v>0</v>
      </c>
      <c r="DE18" s="2627">
        <f t="shared" si="26"/>
        <v>0</v>
      </c>
      <c r="DF18" s="1703">
        <f t="shared" si="4"/>
        <v>0</v>
      </c>
      <c r="DG18" s="1703">
        <f t="shared" si="4"/>
        <v>0</v>
      </c>
      <c r="DH18" s="1703">
        <f t="shared" si="4"/>
        <v>0</v>
      </c>
      <c r="DI18" s="1703">
        <f t="shared" si="4"/>
        <v>0</v>
      </c>
      <c r="DJ18" s="86">
        <f t="shared" si="27"/>
        <v>0</v>
      </c>
      <c r="DK18" s="60">
        <v>0</v>
      </c>
      <c r="DL18" s="60">
        <v>0</v>
      </c>
      <c r="DM18" s="60">
        <v>0</v>
      </c>
      <c r="DN18" s="60">
        <v>0</v>
      </c>
      <c r="DO18" s="86">
        <f t="shared" si="28"/>
        <v>0</v>
      </c>
      <c r="DP18" s="60">
        <v>0</v>
      </c>
      <c r="DQ18" s="60">
        <v>0</v>
      </c>
      <c r="DR18" s="60">
        <v>0</v>
      </c>
      <c r="DS18" s="60">
        <v>0</v>
      </c>
      <c r="DT18" s="86">
        <f t="shared" si="29"/>
        <v>0</v>
      </c>
      <c r="DU18" s="60">
        <v>0</v>
      </c>
      <c r="DV18" s="60">
        <v>0</v>
      </c>
      <c r="DW18" s="60">
        <v>0</v>
      </c>
      <c r="DX18" s="60">
        <v>0</v>
      </c>
      <c r="DY18" s="86">
        <f t="shared" si="30"/>
        <v>0</v>
      </c>
      <c r="DZ18" s="1858"/>
      <c r="EA18" s="1858"/>
      <c r="EB18" s="1858"/>
    </row>
    <row r="19" spans="1:132" hidden="1" outlineLevel="1" x14ac:dyDescent="0.2">
      <c r="A19" s="1853"/>
      <c r="B19" s="58" t="s">
        <v>309</v>
      </c>
      <c r="C19" s="59"/>
      <c r="D19" s="59"/>
      <c r="E19" s="59"/>
      <c r="F19" s="59"/>
      <c r="G19" s="59"/>
      <c r="H19" s="59"/>
      <c r="I19" s="63">
        <v>0</v>
      </c>
      <c r="J19" s="59"/>
      <c r="K19" s="59"/>
      <c r="L19" s="59"/>
      <c r="M19" s="59"/>
      <c r="N19" s="63">
        <v>0</v>
      </c>
      <c r="O19" s="59"/>
      <c r="P19" s="59"/>
      <c r="Q19" s="59"/>
      <c r="R19" s="59"/>
      <c r="S19" s="63">
        <v>0</v>
      </c>
      <c r="T19" s="59"/>
      <c r="U19" s="59"/>
      <c r="V19" s="59"/>
      <c r="W19" s="59"/>
      <c r="X19" s="63">
        <v>0</v>
      </c>
      <c r="Y19" s="59"/>
      <c r="Z19" s="59"/>
      <c r="AA19" s="59"/>
      <c r="AB19" s="59"/>
      <c r="AC19" s="63">
        <v>0</v>
      </c>
      <c r="AD19" s="59"/>
      <c r="AE19" s="59"/>
      <c r="AF19" s="59"/>
      <c r="AG19" s="59"/>
      <c r="AH19" s="63">
        <v>0</v>
      </c>
      <c r="AI19" s="59"/>
      <c r="AJ19" s="59"/>
      <c r="AK19" s="59"/>
      <c r="AL19" s="59"/>
      <c r="AM19" s="63">
        <v>0</v>
      </c>
      <c r="AN19" s="59"/>
      <c r="AO19" s="59"/>
      <c r="AP19" s="59"/>
      <c r="AQ19" s="59"/>
      <c r="AR19" s="63">
        <v>0</v>
      </c>
      <c r="AS19" s="59"/>
      <c r="AT19" s="59"/>
      <c r="AU19" s="59"/>
      <c r="AV19" s="59"/>
      <c r="AW19" s="63">
        <v>0</v>
      </c>
      <c r="AX19" s="59"/>
      <c r="AY19" s="59"/>
      <c r="AZ19" s="59"/>
      <c r="BA19" s="59"/>
      <c r="BB19" s="63">
        <v>0</v>
      </c>
      <c r="BC19" s="59"/>
      <c r="BD19" s="59"/>
      <c r="BE19" s="59"/>
      <c r="BF19" s="59"/>
      <c r="BG19" s="63">
        <v>69.900000000000006</v>
      </c>
      <c r="BH19" s="59"/>
      <c r="BI19" s="59"/>
      <c r="BJ19" s="59"/>
      <c r="BK19" s="59"/>
      <c r="BL19" s="63">
        <v>78</v>
      </c>
      <c r="BM19" s="62">
        <f t="shared" si="7"/>
        <v>13.2</v>
      </c>
      <c r="BN19" s="62">
        <f t="shared" si="8"/>
        <v>48.599999999999994</v>
      </c>
      <c r="BO19" s="62">
        <f t="shared" si="8"/>
        <v>5.9000000000000057</v>
      </c>
      <c r="BP19" s="62">
        <f t="shared" si="8"/>
        <v>24.799999999999997</v>
      </c>
      <c r="BQ19" s="63">
        <v>92.5</v>
      </c>
      <c r="BR19" s="62">
        <f t="shared" si="9"/>
        <v>22</v>
      </c>
      <c r="BS19" s="62">
        <f t="shared" si="10"/>
        <v>52.8</v>
      </c>
      <c r="BT19" s="62">
        <f t="shared" si="10"/>
        <v>37.799999999999997</v>
      </c>
      <c r="BU19" s="62">
        <f t="shared" si="10"/>
        <v>52.400000000000006</v>
      </c>
      <c r="BV19" s="63">
        <v>165</v>
      </c>
      <c r="BW19" s="62">
        <f t="shared" si="11"/>
        <v>37</v>
      </c>
      <c r="BX19" s="62">
        <f t="shared" si="12"/>
        <v>38</v>
      </c>
      <c r="BY19" s="62">
        <f t="shared" si="12"/>
        <v>37</v>
      </c>
      <c r="BZ19" s="62">
        <f t="shared" si="12"/>
        <v>38</v>
      </c>
      <c r="CA19" s="61">
        <f t="shared" si="13"/>
        <v>150</v>
      </c>
      <c r="CB19" s="62">
        <f t="shared" si="14"/>
        <v>36</v>
      </c>
      <c r="CC19" s="62">
        <f t="shared" si="15"/>
        <v>29</v>
      </c>
      <c r="CD19" s="62">
        <f t="shared" si="15"/>
        <v>35</v>
      </c>
      <c r="CE19" s="62">
        <f t="shared" si="15"/>
        <v>35</v>
      </c>
      <c r="CF19" s="86">
        <f t="shared" si="16"/>
        <v>135</v>
      </c>
      <c r="CG19" s="62">
        <f t="shared" si="17"/>
        <v>36</v>
      </c>
      <c r="CH19" s="62">
        <f t="shared" si="18"/>
        <v>28</v>
      </c>
      <c r="CI19" s="62">
        <f t="shared" si="18"/>
        <v>33</v>
      </c>
      <c r="CJ19" s="62">
        <f t="shared" si="18"/>
        <v>35</v>
      </c>
      <c r="CK19" s="86">
        <f t="shared" si="19"/>
        <v>132</v>
      </c>
      <c r="CL19" s="62">
        <f t="shared" si="20"/>
        <v>34</v>
      </c>
      <c r="CM19" s="62">
        <f t="shared" si="21"/>
        <v>32</v>
      </c>
      <c r="CN19" s="62">
        <f t="shared" si="2"/>
        <v>35</v>
      </c>
      <c r="CO19" s="62">
        <f t="shared" si="2"/>
        <v>40</v>
      </c>
      <c r="CP19" s="86">
        <f t="shared" si="22"/>
        <v>141</v>
      </c>
      <c r="CQ19" s="1781">
        <f t="shared" si="2"/>
        <v>35</v>
      </c>
      <c r="CR19" s="1782">
        <f t="shared" si="2"/>
        <v>42</v>
      </c>
      <c r="CS19" s="1867">
        <f t="shared" si="2"/>
        <v>44</v>
      </c>
      <c r="CT19" s="1868">
        <f t="shared" si="2"/>
        <v>44</v>
      </c>
      <c r="CU19" s="1780">
        <f t="shared" si="23"/>
        <v>165</v>
      </c>
      <c r="CV19" s="1703">
        <v>44</v>
      </c>
      <c r="CW19" s="1703">
        <f t="shared" si="3"/>
        <v>44</v>
      </c>
      <c r="CX19" s="1703">
        <f t="shared" si="3"/>
        <v>86</v>
      </c>
      <c r="CY19" s="1703">
        <f t="shared" si="3"/>
        <v>56</v>
      </c>
      <c r="CZ19" s="1857">
        <f t="shared" si="24"/>
        <v>230</v>
      </c>
      <c r="DA19" s="1703">
        <f t="shared" si="25"/>
        <v>57</v>
      </c>
      <c r="DB19" s="1703">
        <f t="shared" si="25"/>
        <v>50</v>
      </c>
      <c r="DC19" s="1703">
        <f t="shared" si="25"/>
        <v>59</v>
      </c>
      <c r="DD19" s="1703">
        <f t="shared" si="25"/>
        <v>56</v>
      </c>
      <c r="DE19" s="2627">
        <f t="shared" si="26"/>
        <v>222</v>
      </c>
      <c r="DF19" s="1703">
        <f t="shared" si="4"/>
        <v>55</v>
      </c>
      <c r="DG19" s="1703">
        <f t="shared" si="4"/>
        <v>53</v>
      </c>
      <c r="DH19" s="1703">
        <f t="shared" si="4"/>
        <v>65</v>
      </c>
      <c r="DI19" s="1703">
        <f t="shared" si="4"/>
        <v>61</v>
      </c>
      <c r="DJ19" s="86">
        <f t="shared" si="27"/>
        <v>234</v>
      </c>
      <c r="DK19" s="60">
        <f>DJ19/4</f>
        <v>58.5</v>
      </c>
      <c r="DL19" s="60">
        <f>DK19</f>
        <v>58.5</v>
      </c>
      <c r="DM19" s="60">
        <f>DL19</f>
        <v>58.5</v>
      </c>
      <c r="DN19" s="60">
        <f>DM19</f>
        <v>58.5</v>
      </c>
      <c r="DO19" s="86">
        <f t="shared" si="28"/>
        <v>234</v>
      </c>
      <c r="DP19" s="60">
        <f>DO19/4</f>
        <v>58.5</v>
      </c>
      <c r="DQ19" s="60">
        <f>DP19</f>
        <v>58.5</v>
      </c>
      <c r="DR19" s="60">
        <f>DQ19</f>
        <v>58.5</v>
      </c>
      <c r="DS19" s="60">
        <f>DR19</f>
        <v>58.5</v>
      </c>
      <c r="DT19" s="86">
        <f t="shared" si="29"/>
        <v>234</v>
      </c>
      <c r="DU19" s="60">
        <f>DT19/4</f>
        <v>58.5</v>
      </c>
      <c r="DV19" s="60">
        <f>DU19</f>
        <v>58.5</v>
      </c>
      <c r="DW19" s="60">
        <f>DV19</f>
        <v>58.5</v>
      </c>
      <c r="DX19" s="60">
        <f>DW19</f>
        <v>58.5</v>
      </c>
      <c r="DY19" s="86">
        <f t="shared" si="30"/>
        <v>234</v>
      </c>
      <c r="DZ19" s="1858"/>
      <c r="EA19" s="1858"/>
      <c r="EB19" s="1858"/>
    </row>
    <row r="20" spans="1:132" hidden="1" outlineLevel="1" x14ac:dyDescent="0.2">
      <c r="A20" s="1853"/>
      <c r="B20" s="58" t="s">
        <v>310</v>
      </c>
      <c r="C20" s="59"/>
      <c r="D20" s="59"/>
      <c r="E20" s="59"/>
      <c r="F20" s="59"/>
      <c r="G20" s="59"/>
      <c r="H20" s="59"/>
      <c r="I20" s="63">
        <v>116.4</v>
      </c>
      <c r="J20" s="59"/>
      <c r="K20" s="59"/>
      <c r="L20" s="59"/>
      <c r="M20" s="59"/>
      <c r="N20" s="63">
        <v>-218.5</v>
      </c>
      <c r="O20" s="59"/>
      <c r="P20" s="59"/>
      <c r="Q20" s="59"/>
      <c r="R20" s="59"/>
      <c r="S20" s="63">
        <v>80.599999999999994</v>
      </c>
      <c r="T20" s="59"/>
      <c r="U20" s="59"/>
      <c r="V20" s="59"/>
      <c r="W20" s="59"/>
      <c r="X20" s="63">
        <v>124.8</v>
      </c>
      <c r="Y20" s="59"/>
      <c r="Z20" s="59"/>
      <c r="AA20" s="59"/>
      <c r="AB20" s="59"/>
      <c r="AC20" s="63">
        <v>43.8</v>
      </c>
      <c r="AD20" s="59"/>
      <c r="AE20" s="59"/>
      <c r="AF20" s="59"/>
      <c r="AG20" s="59"/>
      <c r="AH20" s="63">
        <v>-83.5</v>
      </c>
      <c r="AI20" s="59"/>
      <c r="AJ20" s="59"/>
      <c r="AK20" s="59"/>
      <c r="AL20" s="59"/>
      <c r="AM20" s="63">
        <v>71.8</v>
      </c>
      <c r="AN20" s="59"/>
      <c r="AO20" s="59"/>
      <c r="AP20" s="59"/>
      <c r="AQ20" s="59"/>
      <c r="AR20" s="63">
        <v>41.1</v>
      </c>
      <c r="AS20" s="59"/>
      <c r="AT20" s="59"/>
      <c r="AU20" s="59"/>
      <c r="AV20" s="59"/>
      <c r="AW20" s="63">
        <v>-23.6</v>
      </c>
      <c r="AX20" s="59"/>
      <c r="AY20" s="59"/>
      <c r="AZ20" s="59"/>
      <c r="BA20" s="59"/>
      <c r="BB20" s="63">
        <v>13.8</v>
      </c>
      <c r="BC20" s="59"/>
      <c r="BD20" s="59"/>
      <c r="BE20" s="59"/>
      <c r="BF20" s="59"/>
      <c r="BG20" s="63">
        <v>98.2</v>
      </c>
      <c r="BH20" s="59"/>
      <c r="BI20" s="59"/>
      <c r="BJ20" s="59"/>
      <c r="BK20" s="59"/>
      <c r="BL20" s="63">
        <v>40.1</v>
      </c>
      <c r="BM20" s="62">
        <f t="shared" si="7"/>
        <v>-1.6</v>
      </c>
      <c r="BN20" s="62">
        <f t="shared" si="8"/>
        <v>-6.5</v>
      </c>
      <c r="BO20" s="62">
        <f t="shared" si="8"/>
        <v>32.200000000000003</v>
      </c>
      <c r="BP20" s="62">
        <f t="shared" si="8"/>
        <v>-27.5</v>
      </c>
      <c r="BQ20" s="63">
        <v>-3.4</v>
      </c>
      <c r="BR20" s="62">
        <f t="shared" si="9"/>
        <v>33.799999999999997</v>
      </c>
      <c r="BS20" s="62">
        <f t="shared" si="10"/>
        <v>27.1</v>
      </c>
      <c r="BT20" s="62">
        <f t="shared" si="10"/>
        <v>9.0000000000000071</v>
      </c>
      <c r="BU20" s="62">
        <f t="shared" si="10"/>
        <v>-21.900000000000006</v>
      </c>
      <c r="BV20" s="63">
        <v>48</v>
      </c>
      <c r="BW20" s="62">
        <f t="shared" si="11"/>
        <v>2</v>
      </c>
      <c r="BX20" s="62">
        <f t="shared" si="12"/>
        <v>-22</v>
      </c>
      <c r="BY20" s="62">
        <f t="shared" si="12"/>
        <v>63</v>
      </c>
      <c r="BZ20" s="62">
        <f t="shared" si="12"/>
        <v>-13</v>
      </c>
      <c r="CA20" s="61">
        <f t="shared" si="13"/>
        <v>30</v>
      </c>
      <c r="CB20" s="62">
        <f t="shared" si="14"/>
        <v>70</v>
      </c>
      <c r="CC20" s="62">
        <f t="shared" si="15"/>
        <v>59</v>
      </c>
      <c r="CD20" s="62">
        <f t="shared" si="15"/>
        <v>5</v>
      </c>
      <c r="CE20" s="62">
        <f t="shared" si="15"/>
        <v>10</v>
      </c>
      <c r="CF20" s="86">
        <f t="shared" si="16"/>
        <v>144</v>
      </c>
      <c r="CG20" s="62">
        <f t="shared" si="17"/>
        <v>21</v>
      </c>
      <c r="CH20" s="62">
        <f t="shared" si="18"/>
        <v>62</v>
      </c>
      <c r="CI20" s="62">
        <f t="shared" si="18"/>
        <v>4</v>
      </c>
      <c r="CJ20" s="62">
        <f t="shared" si="18"/>
        <v>-193</v>
      </c>
      <c r="CK20" s="86">
        <f t="shared" si="19"/>
        <v>-106</v>
      </c>
      <c r="CL20" s="62">
        <f t="shared" si="20"/>
        <v>66</v>
      </c>
      <c r="CM20" s="62">
        <f t="shared" si="21"/>
        <v>16</v>
      </c>
      <c r="CN20" s="62">
        <f t="shared" si="2"/>
        <v>47</v>
      </c>
      <c r="CO20" s="62">
        <f t="shared" si="2"/>
        <v>-215</v>
      </c>
      <c r="CP20" s="86">
        <f t="shared" si="22"/>
        <v>-86</v>
      </c>
      <c r="CQ20" s="1781">
        <f t="shared" si="2"/>
        <v>16</v>
      </c>
      <c r="CR20" s="1782">
        <f t="shared" si="2"/>
        <v>28</v>
      </c>
      <c r="CS20" s="1867">
        <f t="shared" si="2"/>
        <v>-108</v>
      </c>
      <c r="CT20" s="1868">
        <f t="shared" si="2"/>
        <v>6</v>
      </c>
      <c r="CU20" s="1780">
        <f t="shared" si="23"/>
        <v>-58</v>
      </c>
      <c r="CV20" s="1856">
        <v>-31</v>
      </c>
      <c r="CW20" s="1856">
        <f t="shared" si="3"/>
        <v>37</v>
      </c>
      <c r="CX20" s="1856">
        <f t="shared" si="3"/>
        <v>-190</v>
      </c>
      <c r="CY20" s="1856">
        <f t="shared" si="3"/>
        <v>-82</v>
      </c>
      <c r="CZ20" s="1857">
        <f t="shared" si="24"/>
        <v>-266</v>
      </c>
      <c r="DA20" s="1856">
        <f t="shared" si="25"/>
        <v>17</v>
      </c>
      <c r="DB20" s="1856">
        <f t="shared" si="25"/>
        <v>58</v>
      </c>
      <c r="DC20" s="1856">
        <f t="shared" si="25"/>
        <v>44</v>
      </c>
      <c r="DD20" s="1856">
        <f t="shared" si="25"/>
        <v>34</v>
      </c>
      <c r="DE20" s="2627">
        <f t="shared" si="26"/>
        <v>153</v>
      </c>
      <c r="DF20" s="1856">
        <f t="shared" si="4"/>
        <v>14</v>
      </c>
      <c r="DG20" s="1856">
        <f t="shared" si="4"/>
        <v>7</v>
      </c>
      <c r="DH20" s="1856">
        <f t="shared" si="4"/>
        <v>250</v>
      </c>
      <c r="DI20" s="1856">
        <f t="shared" si="4"/>
        <v>-1605</v>
      </c>
      <c r="DJ20" s="86">
        <f t="shared" si="27"/>
        <v>-1334</v>
      </c>
      <c r="DK20" s="78">
        <f>('BS and CFS'!DJ141-'BS and CFS'!DK141)+('BS and CFS'!DK163-'BS and CFS'!DJ163)</f>
        <v>0</v>
      </c>
      <c r="DL20" s="78">
        <f>('BS and CFS'!DK141-'BS and CFS'!DL141)+('BS and CFS'!DL163-'BS and CFS'!DK163)</f>
        <v>0</v>
      </c>
      <c r="DM20" s="78">
        <f>('BS and CFS'!DL141-'BS and CFS'!DM141)+('BS and CFS'!DM163-'BS and CFS'!DL163)</f>
        <v>0</v>
      </c>
      <c r="DN20" s="78">
        <f>('BS and CFS'!DM141-'BS and CFS'!DN141)+('BS and CFS'!DN163-'BS and CFS'!DM163)</f>
        <v>0</v>
      </c>
      <c r="DO20" s="86">
        <f t="shared" si="28"/>
        <v>0</v>
      </c>
      <c r="DP20" s="78">
        <f>('BS and CFS'!DO141-'BS and CFS'!DP141)+('BS and CFS'!DP163-'BS and CFS'!DO163)</f>
        <v>0</v>
      </c>
      <c r="DQ20" s="78">
        <f>('BS and CFS'!DP141-'BS and CFS'!DQ141)+('BS and CFS'!DQ163-'BS and CFS'!DP163)</f>
        <v>0</v>
      </c>
      <c r="DR20" s="78">
        <f>('BS and CFS'!DQ141-'BS and CFS'!DR141)+('BS and CFS'!DR163-'BS and CFS'!DQ163)</f>
        <v>0</v>
      </c>
      <c r="DS20" s="78">
        <f>('BS and CFS'!DR141-'BS and CFS'!DS141)+('BS and CFS'!DS163-'BS and CFS'!DR163)</f>
        <v>0</v>
      </c>
      <c r="DT20" s="86">
        <f t="shared" si="29"/>
        <v>0</v>
      </c>
      <c r="DU20" s="78">
        <f>('BS and CFS'!DT141-'BS and CFS'!DU141)+('BS and CFS'!DU163-'BS and CFS'!DT163)</f>
        <v>0</v>
      </c>
      <c r="DV20" s="78">
        <f>('BS and CFS'!DU141-'BS and CFS'!DV141)+('BS and CFS'!DV163-'BS and CFS'!DU163)</f>
        <v>0</v>
      </c>
      <c r="DW20" s="78">
        <f>('BS and CFS'!DV141-'BS and CFS'!DW141)+('BS and CFS'!DW163-'BS and CFS'!DV163)</f>
        <v>0</v>
      </c>
      <c r="DX20" s="78">
        <f>('BS and CFS'!DW141-'BS and CFS'!DX141)+('BS and CFS'!DX163-'BS and CFS'!DW163)</f>
        <v>0</v>
      </c>
      <c r="DY20" s="86">
        <f t="shared" si="30"/>
        <v>0</v>
      </c>
      <c r="DZ20" s="1858"/>
      <c r="EA20" s="1858"/>
      <c r="EB20" s="1858"/>
    </row>
    <row r="21" spans="1:132" hidden="1" outlineLevel="1" x14ac:dyDescent="0.2">
      <c r="A21" s="1853"/>
      <c r="B21" s="58" t="s">
        <v>311</v>
      </c>
      <c r="C21" s="59"/>
      <c r="D21" s="59"/>
      <c r="E21" s="59"/>
      <c r="F21" s="59"/>
      <c r="G21" s="59"/>
      <c r="H21" s="59"/>
      <c r="I21" s="63">
        <v>0</v>
      </c>
      <c r="J21" s="59"/>
      <c r="K21" s="59"/>
      <c r="L21" s="59"/>
      <c r="M21" s="59"/>
      <c r="N21" s="63">
        <v>0</v>
      </c>
      <c r="O21" s="59"/>
      <c r="P21" s="59"/>
      <c r="Q21" s="59"/>
      <c r="R21" s="59"/>
      <c r="S21" s="63">
        <v>7.2</v>
      </c>
      <c r="T21" s="59"/>
      <c r="U21" s="59"/>
      <c r="V21" s="59"/>
      <c r="W21" s="59"/>
      <c r="X21" s="63">
        <v>-97.9</v>
      </c>
      <c r="Y21" s="59"/>
      <c r="Z21" s="59"/>
      <c r="AA21" s="59"/>
      <c r="AB21" s="59"/>
      <c r="AC21" s="63">
        <v>-50.1</v>
      </c>
      <c r="AD21" s="59"/>
      <c r="AE21" s="59"/>
      <c r="AF21" s="59"/>
      <c r="AG21" s="59"/>
      <c r="AH21" s="63">
        <v>-13.9</v>
      </c>
      <c r="AI21" s="59"/>
      <c r="AJ21" s="59"/>
      <c r="AK21" s="59"/>
      <c r="AL21" s="59"/>
      <c r="AM21" s="63">
        <v>-35.299999999999997</v>
      </c>
      <c r="AN21" s="59"/>
      <c r="AO21" s="59"/>
      <c r="AP21" s="59"/>
      <c r="AQ21" s="59"/>
      <c r="AR21" s="63">
        <v>-0.4</v>
      </c>
      <c r="AS21" s="59"/>
      <c r="AT21" s="59"/>
      <c r="AU21" s="59"/>
      <c r="AV21" s="59"/>
      <c r="AW21" s="63">
        <v>8.5</v>
      </c>
      <c r="AX21" s="59"/>
      <c r="AY21" s="59"/>
      <c r="AZ21" s="59"/>
      <c r="BA21" s="59"/>
      <c r="BB21" s="63">
        <v>-0.1</v>
      </c>
      <c r="BC21" s="59"/>
      <c r="BD21" s="59"/>
      <c r="BE21" s="59"/>
      <c r="BF21" s="59"/>
      <c r="BG21" s="63">
        <v>-17.2</v>
      </c>
      <c r="BH21" s="59"/>
      <c r="BI21" s="59"/>
      <c r="BJ21" s="59"/>
      <c r="BK21" s="59"/>
      <c r="BL21" s="63">
        <v>-26.4</v>
      </c>
      <c r="BM21" s="62">
        <f t="shared" si="7"/>
        <v>3.1</v>
      </c>
      <c r="BN21" s="62">
        <f t="shared" si="8"/>
        <v>7.2000000000000011</v>
      </c>
      <c r="BO21" s="62">
        <f t="shared" si="8"/>
        <v>-5.2000000000000011</v>
      </c>
      <c r="BP21" s="62">
        <f t="shared" si="8"/>
        <v>14.000000000000002</v>
      </c>
      <c r="BQ21" s="63">
        <v>19.100000000000001</v>
      </c>
      <c r="BR21" s="62">
        <f t="shared" si="9"/>
        <v>-24</v>
      </c>
      <c r="BS21" s="62">
        <f t="shared" si="10"/>
        <v>21.5</v>
      </c>
      <c r="BT21" s="62">
        <f t="shared" si="10"/>
        <v>-4.4000000000000004</v>
      </c>
      <c r="BU21" s="62">
        <f t="shared" si="10"/>
        <v>4.9000000000000004</v>
      </c>
      <c r="BV21" s="63">
        <v>-2</v>
      </c>
      <c r="BW21" s="62">
        <f t="shared" si="11"/>
        <v>0</v>
      </c>
      <c r="BX21" s="62">
        <f t="shared" si="12"/>
        <v>0</v>
      </c>
      <c r="BY21" s="62">
        <f t="shared" si="12"/>
        <v>11</v>
      </c>
      <c r="BZ21" s="62">
        <f t="shared" si="12"/>
        <v>-221</v>
      </c>
      <c r="CA21" s="61">
        <f t="shared" si="13"/>
        <v>-210</v>
      </c>
      <c r="CB21" s="62">
        <f t="shared" si="14"/>
        <v>-52</v>
      </c>
      <c r="CC21" s="62">
        <f t="shared" si="15"/>
        <v>-10</v>
      </c>
      <c r="CD21" s="62">
        <f t="shared" si="15"/>
        <v>10</v>
      </c>
      <c r="CE21" s="62">
        <f t="shared" si="15"/>
        <v>-1</v>
      </c>
      <c r="CF21" s="86">
        <f t="shared" si="16"/>
        <v>-53</v>
      </c>
      <c r="CG21" s="62">
        <f t="shared" si="17"/>
        <v>-189</v>
      </c>
      <c r="CH21" s="62">
        <f t="shared" si="18"/>
        <v>8</v>
      </c>
      <c r="CI21" s="62">
        <f>CI85-CH85</f>
        <v>39</v>
      </c>
      <c r="CJ21" s="62">
        <f t="shared" si="18"/>
        <v>43</v>
      </c>
      <c r="CK21" s="86">
        <f t="shared" si="19"/>
        <v>-99</v>
      </c>
      <c r="CL21" s="62">
        <f t="shared" si="20"/>
        <v>-135</v>
      </c>
      <c r="CM21" s="62">
        <f t="shared" si="21"/>
        <v>-3</v>
      </c>
      <c r="CN21" s="62">
        <f t="shared" si="2"/>
        <v>13</v>
      </c>
      <c r="CO21" s="62">
        <f t="shared" si="2"/>
        <v>-10</v>
      </c>
      <c r="CP21" s="86">
        <f t="shared" si="22"/>
        <v>-135</v>
      </c>
      <c r="CQ21" s="1781">
        <f t="shared" si="2"/>
        <v>-39</v>
      </c>
      <c r="CR21" s="1782">
        <f t="shared" si="2"/>
        <v>16</v>
      </c>
      <c r="CS21" s="1867">
        <f t="shared" si="2"/>
        <v>525</v>
      </c>
      <c r="CT21" s="1868">
        <f t="shared" si="2"/>
        <v>-493</v>
      </c>
      <c r="CU21" s="1780">
        <f t="shared" si="23"/>
        <v>9</v>
      </c>
      <c r="CV21" s="1856">
        <v>0</v>
      </c>
      <c r="CW21" s="1856">
        <f t="shared" si="3"/>
        <v>0</v>
      </c>
      <c r="CX21" s="1856">
        <f t="shared" si="3"/>
        <v>0</v>
      </c>
      <c r="CY21" s="1856">
        <f t="shared" si="3"/>
        <v>0</v>
      </c>
      <c r="CZ21" s="1857">
        <f t="shared" si="24"/>
        <v>0</v>
      </c>
      <c r="DA21" s="1856">
        <f t="shared" si="25"/>
        <v>0</v>
      </c>
      <c r="DB21" s="1856">
        <f t="shared" si="25"/>
        <v>0</v>
      </c>
      <c r="DC21" s="1856">
        <f t="shared" si="25"/>
        <v>0</v>
      </c>
      <c r="DD21" s="1856">
        <f t="shared" si="25"/>
        <v>0</v>
      </c>
      <c r="DE21" s="2627">
        <f t="shared" si="26"/>
        <v>0</v>
      </c>
      <c r="DF21" s="1856">
        <f t="shared" si="4"/>
        <v>0</v>
      </c>
      <c r="DG21" s="1856">
        <f t="shared" si="4"/>
        <v>0</v>
      </c>
      <c r="DH21" s="1856">
        <f t="shared" si="4"/>
        <v>187</v>
      </c>
      <c r="DI21" s="1856">
        <f t="shared" si="4"/>
        <v>53</v>
      </c>
      <c r="DJ21" s="86">
        <f t="shared" si="27"/>
        <v>240</v>
      </c>
      <c r="DK21" s="59">
        <f>'BS and CFS'!DJ142-'BS and CFS'!DK142</f>
        <v>0</v>
      </c>
      <c r="DL21" s="59">
        <f>'BS and CFS'!DK142-'BS and CFS'!DL142</f>
        <v>0</v>
      </c>
      <c r="DM21" s="59">
        <f>'BS and CFS'!DL142-'BS and CFS'!DM142</f>
        <v>0</v>
      </c>
      <c r="DN21" s="59">
        <f>'BS and CFS'!DM142-'BS and CFS'!DN142</f>
        <v>0</v>
      </c>
      <c r="DO21" s="86">
        <f t="shared" si="28"/>
        <v>0</v>
      </c>
      <c r="DP21" s="59">
        <f>'BS and CFS'!DO142-'BS and CFS'!DP142</f>
        <v>0</v>
      </c>
      <c r="DQ21" s="59">
        <f>'BS and CFS'!DP142-'BS and CFS'!DQ142</f>
        <v>0</v>
      </c>
      <c r="DR21" s="59">
        <f>'BS and CFS'!DQ142-'BS and CFS'!DR142</f>
        <v>0</v>
      </c>
      <c r="DS21" s="59">
        <f>'BS and CFS'!DR142-'BS and CFS'!DS142</f>
        <v>0</v>
      </c>
      <c r="DT21" s="86">
        <f t="shared" si="29"/>
        <v>0</v>
      </c>
      <c r="DU21" s="59">
        <f>'BS and CFS'!DT142-'BS and CFS'!DU142</f>
        <v>0</v>
      </c>
      <c r="DV21" s="59">
        <f>'BS and CFS'!DU142-'BS and CFS'!DV142</f>
        <v>0</v>
      </c>
      <c r="DW21" s="59">
        <f>'BS and CFS'!DV142-'BS and CFS'!DW142</f>
        <v>0</v>
      </c>
      <c r="DX21" s="59">
        <f>'BS and CFS'!DW142-'BS and CFS'!DX142</f>
        <v>0</v>
      </c>
      <c r="DY21" s="86">
        <f t="shared" si="30"/>
        <v>0</v>
      </c>
      <c r="DZ21" s="1858"/>
      <c r="EA21" s="1858"/>
      <c r="EB21" s="1858"/>
    </row>
    <row r="22" spans="1:132" hidden="1" outlineLevel="1" x14ac:dyDescent="0.2">
      <c r="A22" s="1853"/>
      <c r="B22" s="58" t="s">
        <v>312</v>
      </c>
      <c r="C22" s="59"/>
      <c r="D22" s="59"/>
      <c r="E22" s="59"/>
      <c r="F22" s="59"/>
      <c r="G22" s="59"/>
      <c r="H22" s="59"/>
      <c r="I22" s="63">
        <v>0</v>
      </c>
      <c r="J22" s="59"/>
      <c r="K22" s="59"/>
      <c r="L22" s="59"/>
      <c r="M22" s="59"/>
      <c r="N22" s="63">
        <v>17.100000000000001</v>
      </c>
      <c r="O22" s="59"/>
      <c r="P22" s="59"/>
      <c r="Q22" s="59"/>
      <c r="R22" s="59"/>
      <c r="S22" s="63">
        <v>0</v>
      </c>
      <c r="T22" s="59"/>
      <c r="U22" s="59"/>
      <c r="V22" s="59"/>
      <c r="W22" s="59"/>
      <c r="X22" s="63">
        <v>0</v>
      </c>
      <c r="Y22" s="59"/>
      <c r="Z22" s="59"/>
      <c r="AA22" s="59"/>
      <c r="AB22" s="59"/>
      <c r="AC22" s="63">
        <v>0</v>
      </c>
      <c r="AD22" s="59"/>
      <c r="AE22" s="59"/>
      <c r="AF22" s="59"/>
      <c r="AG22" s="59"/>
      <c r="AH22" s="63">
        <v>0</v>
      </c>
      <c r="AI22" s="59"/>
      <c r="AJ22" s="59"/>
      <c r="AK22" s="59"/>
      <c r="AL22" s="59"/>
      <c r="AM22" s="63">
        <v>0</v>
      </c>
      <c r="AN22" s="59"/>
      <c r="AO22" s="59"/>
      <c r="AP22" s="59"/>
      <c r="AQ22" s="59"/>
      <c r="AR22" s="63">
        <v>0</v>
      </c>
      <c r="AS22" s="59"/>
      <c r="AT22" s="59"/>
      <c r="AU22" s="59"/>
      <c r="AV22" s="59"/>
      <c r="AW22" s="63">
        <v>0</v>
      </c>
      <c r="AX22" s="59"/>
      <c r="AY22" s="59"/>
      <c r="AZ22" s="59"/>
      <c r="BA22" s="59"/>
      <c r="BB22" s="63">
        <v>0</v>
      </c>
      <c r="BC22" s="59"/>
      <c r="BD22" s="59"/>
      <c r="BE22" s="59"/>
      <c r="BF22" s="59"/>
      <c r="BG22" s="63">
        <v>0</v>
      </c>
      <c r="BH22" s="59"/>
      <c r="BI22" s="59"/>
      <c r="BJ22" s="59"/>
      <c r="BK22" s="59"/>
      <c r="BL22" s="63">
        <v>0</v>
      </c>
      <c r="BM22" s="62">
        <f t="shared" si="7"/>
        <v>0</v>
      </c>
      <c r="BN22" s="62">
        <f t="shared" si="8"/>
        <v>0</v>
      </c>
      <c r="BO22" s="62">
        <f t="shared" si="8"/>
        <v>0</v>
      </c>
      <c r="BP22" s="62">
        <f t="shared" si="8"/>
        <v>0</v>
      </c>
      <c r="BQ22" s="63">
        <v>0</v>
      </c>
      <c r="BR22" s="62">
        <f t="shared" si="9"/>
        <v>0</v>
      </c>
      <c r="BS22" s="62">
        <f t="shared" si="10"/>
        <v>0</v>
      </c>
      <c r="BT22" s="62">
        <f t="shared" si="10"/>
        <v>0</v>
      </c>
      <c r="BU22" s="62">
        <f t="shared" si="10"/>
        <v>0</v>
      </c>
      <c r="BV22" s="63">
        <v>0</v>
      </c>
      <c r="BW22" s="62">
        <f t="shared" si="11"/>
        <v>0</v>
      </c>
      <c r="BX22" s="62">
        <f t="shared" si="12"/>
        <v>0</v>
      </c>
      <c r="BY22" s="62">
        <f t="shared" si="12"/>
        <v>0</v>
      </c>
      <c r="BZ22" s="62">
        <f t="shared" si="12"/>
        <v>0</v>
      </c>
      <c r="CA22" s="61">
        <f t="shared" si="13"/>
        <v>0</v>
      </c>
      <c r="CB22" s="62">
        <f t="shared" si="14"/>
        <v>0</v>
      </c>
      <c r="CC22" s="62">
        <f t="shared" si="15"/>
        <v>0</v>
      </c>
      <c r="CD22" s="62">
        <f t="shared" si="15"/>
        <v>0</v>
      </c>
      <c r="CE22" s="62">
        <f t="shared" si="15"/>
        <v>0</v>
      </c>
      <c r="CF22" s="86">
        <f t="shared" si="16"/>
        <v>0</v>
      </c>
      <c r="CG22" s="62">
        <f t="shared" si="17"/>
        <v>0</v>
      </c>
      <c r="CH22" s="62">
        <f t="shared" si="18"/>
        <v>0</v>
      </c>
      <c r="CI22" s="62">
        <f t="shared" si="18"/>
        <v>0</v>
      </c>
      <c r="CJ22" s="62">
        <f t="shared" si="18"/>
        <v>348</v>
      </c>
      <c r="CK22" s="86">
        <f t="shared" si="19"/>
        <v>348</v>
      </c>
      <c r="CL22" s="62">
        <f t="shared" si="20"/>
        <v>0</v>
      </c>
      <c r="CM22" s="62">
        <f t="shared" si="21"/>
        <v>0</v>
      </c>
      <c r="CN22" s="62">
        <f t="shared" si="2"/>
        <v>0</v>
      </c>
      <c r="CO22" s="62">
        <f t="shared" si="2"/>
        <v>0</v>
      </c>
      <c r="CP22" s="86">
        <f t="shared" si="22"/>
        <v>0</v>
      </c>
      <c r="CQ22" s="1781">
        <f t="shared" si="2"/>
        <v>0</v>
      </c>
      <c r="CR22" s="1782">
        <f t="shared" si="2"/>
        <v>0</v>
      </c>
      <c r="CS22" s="1867">
        <f t="shared" si="2"/>
        <v>0</v>
      </c>
      <c r="CT22" s="1868">
        <f t="shared" si="2"/>
        <v>521</v>
      </c>
      <c r="CU22" s="1780">
        <f t="shared" si="23"/>
        <v>521</v>
      </c>
      <c r="CV22" s="1703">
        <v>0</v>
      </c>
      <c r="CW22" s="1703">
        <f t="shared" si="3"/>
        <v>0</v>
      </c>
      <c r="CX22" s="1703">
        <f t="shared" si="3"/>
        <v>0</v>
      </c>
      <c r="CY22" s="1703">
        <f t="shared" si="3"/>
        <v>0</v>
      </c>
      <c r="CZ22" s="1857">
        <f t="shared" si="24"/>
        <v>0</v>
      </c>
      <c r="DA22" s="1703">
        <f t="shared" si="25"/>
        <v>0</v>
      </c>
      <c r="DB22" s="1703">
        <f t="shared" si="25"/>
        <v>542</v>
      </c>
      <c r="DC22" s="1703">
        <f t="shared" si="25"/>
        <v>101</v>
      </c>
      <c r="DD22" s="1703">
        <f t="shared" si="25"/>
        <v>0</v>
      </c>
      <c r="DE22" s="2627">
        <f t="shared" si="26"/>
        <v>643</v>
      </c>
      <c r="DF22" s="1703">
        <f t="shared" si="4"/>
        <v>0</v>
      </c>
      <c r="DG22" s="1703">
        <f t="shared" si="4"/>
        <v>0</v>
      </c>
      <c r="DH22" s="1703">
        <f t="shared" si="4"/>
        <v>0</v>
      </c>
      <c r="DI22" s="1703">
        <f t="shared" si="4"/>
        <v>0</v>
      </c>
      <c r="DJ22" s="86">
        <f t="shared" si="27"/>
        <v>0</v>
      </c>
      <c r="DK22" s="60">
        <v>0</v>
      </c>
      <c r="DL22" s="60">
        <v>0</v>
      </c>
      <c r="DM22" s="60">
        <v>0</v>
      </c>
      <c r="DN22" s="60">
        <v>0</v>
      </c>
      <c r="DO22" s="86">
        <f t="shared" si="28"/>
        <v>0</v>
      </c>
      <c r="DP22" s="60">
        <v>0</v>
      </c>
      <c r="DQ22" s="60">
        <v>0</v>
      </c>
      <c r="DR22" s="60">
        <v>0</v>
      </c>
      <c r="DS22" s="60">
        <v>0</v>
      </c>
      <c r="DT22" s="86">
        <f t="shared" si="29"/>
        <v>0</v>
      </c>
      <c r="DU22" s="60">
        <v>0</v>
      </c>
      <c r="DV22" s="60">
        <v>0</v>
      </c>
      <c r="DW22" s="60">
        <v>0</v>
      </c>
      <c r="DX22" s="60">
        <v>0</v>
      </c>
      <c r="DY22" s="86">
        <f t="shared" si="30"/>
        <v>0</v>
      </c>
      <c r="DZ22" s="1858"/>
      <c r="EA22" s="1858"/>
      <c r="EB22" s="1858"/>
    </row>
    <row r="23" spans="1:132" ht="12.75" hidden="1" customHeight="1" outlineLevel="1" x14ac:dyDescent="0.2">
      <c r="A23" s="1853"/>
      <c r="B23" s="58" t="s">
        <v>313</v>
      </c>
      <c r="C23" s="59"/>
      <c r="D23" s="59"/>
      <c r="E23" s="59"/>
      <c r="F23" s="59"/>
      <c r="G23" s="59"/>
      <c r="H23" s="59"/>
      <c r="I23" s="63">
        <v>-16.899999999999999</v>
      </c>
      <c r="J23" s="59"/>
      <c r="K23" s="59"/>
      <c r="L23" s="59"/>
      <c r="M23" s="59"/>
      <c r="N23" s="63">
        <v>0</v>
      </c>
      <c r="O23" s="59"/>
      <c r="P23" s="59"/>
      <c r="Q23" s="59"/>
      <c r="R23" s="59"/>
      <c r="S23" s="63">
        <v>-4.9000000000000004</v>
      </c>
      <c r="T23" s="59"/>
      <c r="U23" s="59"/>
      <c r="V23" s="59"/>
      <c r="W23" s="59"/>
      <c r="X23" s="63">
        <v>-22.1</v>
      </c>
      <c r="Y23" s="59"/>
      <c r="Z23" s="59"/>
      <c r="AA23" s="59"/>
      <c r="AB23" s="59"/>
      <c r="AC23" s="63">
        <v>-4.3</v>
      </c>
      <c r="AD23" s="59"/>
      <c r="AE23" s="59"/>
      <c r="AF23" s="59"/>
      <c r="AG23" s="59"/>
      <c r="AH23" s="63">
        <v>-0.1</v>
      </c>
      <c r="AI23" s="59"/>
      <c r="AJ23" s="59"/>
      <c r="AK23" s="59"/>
      <c r="AL23" s="59"/>
      <c r="AM23" s="63">
        <v>0.2</v>
      </c>
      <c r="AN23" s="59"/>
      <c r="AO23" s="59"/>
      <c r="AP23" s="59"/>
      <c r="AQ23" s="59"/>
      <c r="AR23" s="63">
        <v>-23.8</v>
      </c>
      <c r="AS23" s="59"/>
      <c r="AT23" s="59"/>
      <c r="AU23" s="59"/>
      <c r="AV23" s="59"/>
      <c r="AW23" s="63">
        <v>71</v>
      </c>
      <c r="AX23" s="59"/>
      <c r="AY23" s="59"/>
      <c r="AZ23" s="59"/>
      <c r="BA23" s="59"/>
      <c r="BB23" s="63">
        <v>-2</v>
      </c>
      <c r="BC23" s="59"/>
      <c r="BD23" s="59"/>
      <c r="BE23" s="59"/>
      <c r="BF23" s="59"/>
      <c r="BG23" s="63">
        <v>-50.7</v>
      </c>
      <c r="BH23" s="59"/>
      <c r="BI23" s="59"/>
      <c r="BJ23" s="59"/>
      <c r="BK23" s="59"/>
      <c r="BL23" s="63">
        <v>0</v>
      </c>
      <c r="BM23" s="62">
        <f t="shared" si="7"/>
        <v>-1.9</v>
      </c>
      <c r="BN23" s="62">
        <f t="shared" si="8"/>
        <v>4.5</v>
      </c>
      <c r="BO23" s="62">
        <f t="shared" si="8"/>
        <v>-14.799999999999999</v>
      </c>
      <c r="BP23" s="62">
        <f t="shared" si="8"/>
        <v>12.799999999999999</v>
      </c>
      <c r="BQ23" s="63">
        <v>0.6</v>
      </c>
      <c r="BR23" s="62">
        <f t="shared" si="9"/>
        <v>-21.8</v>
      </c>
      <c r="BS23" s="62">
        <f t="shared" si="10"/>
        <v>68.3</v>
      </c>
      <c r="BT23" s="62">
        <f t="shared" si="10"/>
        <v>44.099999999999994</v>
      </c>
      <c r="BU23" s="62">
        <f t="shared" si="10"/>
        <v>-52.599999999999994</v>
      </c>
      <c r="BV23" s="63">
        <v>38</v>
      </c>
      <c r="BW23" s="62">
        <f t="shared" si="11"/>
        <v>0</v>
      </c>
      <c r="BX23" s="62">
        <f t="shared" si="12"/>
        <v>-32</v>
      </c>
      <c r="BY23" s="62">
        <f t="shared" si="12"/>
        <v>-9</v>
      </c>
      <c r="BZ23" s="62">
        <f t="shared" si="12"/>
        <v>-3</v>
      </c>
      <c r="CA23" s="61">
        <f t="shared" si="13"/>
        <v>-44</v>
      </c>
      <c r="CB23" s="62">
        <f t="shared" si="14"/>
        <v>-26</v>
      </c>
      <c r="CC23" s="62">
        <f t="shared" si="15"/>
        <v>-49</v>
      </c>
      <c r="CD23" s="62">
        <f t="shared" si="15"/>
        <v>2</v>
      </c>
      <c r="CE23" s="62">
        <f t="shared" si="15"/>
        <v>75</v>
      </c>
      <c r="CF23" s="86">
        <f t="shared" si="16"/>
        <v>2</v>
      </c>
      <c r="CG23" s="62">
        <f t="shared" si="17"/>
        <v>-14</v>
      </c>
      <c r="CH23" s="62">
        <f t="shared" si="18"/>
        <v>7</v>
      </c>
      <c r="CI23" s="62">
        <f t="shared" si="18"/>
        <v>75</v>
      </c>
      <c r="CJ23" s="62">
        <f t="shared" si="18"/>
        <v>42</v>
      </c>
      <c r="CK23" s="86">
        <f t="shared" si="19"/>
        <v>110</v>
      </c>
      <c r="CL23" s="62">
        <f t="shared" si="20"/>
        <v>24</v>
      </c>
      <c r="CM23" s="62">
        <f t="shared" si="21"/>
        <v>0</v>
      </c>
      <c r="CN23" s="62">
        <f t="shared" si="2"/>
        <v>25</v>
      </c>
      <c r="CO23" s="62">
        <f t="shared" si="2"/>
        <v>-50</v>
      </c>
      <c r="CP23" s="86">
        <f t="shared" si="22"/>
        <v>-1</v>
      </c>
      <c r="CQ23" s="1781">
        <f t="shared" si="2"/>
        <v>-14</v>
      </c>
      <c r="CR23" s="1782">
        <f t="shared" si="2"/>
        <v>-16</v>
      </c>
      <c r="CS23" s="1867">
        <f t="shared" si="2"/>
        <v>3</v>
      </c>
      <c r="CT23" s="1868">
        <f t="shared" si="2"/>
        <v>40</v>
      </c>
      <c r="CU23" s="1780">
        <f t="shared" si="23"/>
        <v>13</v>
      </c>
      <c r="CV23" s="1703">
        <v>-72</v>
      </c>
      <c r="CW23" s="1703">
        <f t="shared" si="3"/>
        <v>-21</v>
      </c>
      <c r="CX23" s="1703">
        <f t="shared" si="3"/>
        <v>-23</v>
      </c>
      <c r="CY23" s="1703">
        <f t="shared" si="3"/>
        <v>12</v>
      </c>
      <c r="CZ23" s="1857">
        <f t="shared" si="24"/>
        <v>-104</v>
      </c>
      <c r="DA23" s="1703">
        <f t="shared" si="25"/>
        <v>0</v>
      </c>
      <c r="DB23" s="1703">
        <f t="shared" si="25"/>
        <v>0</v>
      </c>
      <c r="DC23" s="1703">
        <f t="shared" si="25"/>
        <v>0</v>
      </c>
      <c r="DD23" s="1703">
        <f t="shared" si="25"/>
        <v>0</v>
      </c>
      <c r="DE23" s="2627">
        <f t="shared" si="26"/>
        <v>0</v>
      </c>
      <c r="DF23" s="1703">
        <f t="shared" si="4"/>
        <v>0</v>
      </c>
      <c r="DG23" s="1703">
        <f t="shared" si="4"/>
        <v>0</v>
      </c>
      <c r="DH23" s="1703">
        <f t="shared" si="4"/>
        <v>0</v>
      </c>
      <c r="DI23" s="1703">
        <f t="shared" si="4"/>
        <v>0</v>
      </c>
      <c r="DJ23" s="86">
        <f t="shared" si="27"/>
        <v>0</v>
      </c>
      <c r="DK23" s="60">
        <v>0</v>
      </c>
      <c r="DL23" s="60">
        <v>0</v>
      </c>
      <c r="DM23" s="60">
        <v>0</v>
      </c>
      <c r="DN23" s="60">
        <v>0</v>
      </c>
      <c r="DO23" s="86">
        <f t="shared" si="28"/>
        <v>0</v>
      </c>
      <c r="DP23" s="60">
        <v>0</v>
      </c>
      <c r="DQ23" s="60">
        <v>0</v>
      </c>
      <c r="DR23" s="60">
        <v>0</v>
      </c>
      <c r="DS23" s="60">
        <v>0</v>
      </c>
      <c r="DT23" s="86">
        <f t="shared" si="29"/>
        <v>0</v>
      </c>
      <c r="DU23" s="60">
        <v>0</v>
      </c>
      <c r="DV23" s="60">
        <v>0</v>
      </c>
      <c r="DW23" s="60">
        <v>0</v>
      </c>
      <c r="DX23" s="60">
        <v>0</v>
      </c>
      <c r="DY23" s="86">
        <f t="shared" si="30"/>
        <v>0</v>
      </c>
      <c r="DZ23" s="1858"/>
      <c r="EA23" s="1858"/>
      <c r="EB23" s="1858"/>
    </row>
    <row r="24" spans="1:132" hidden="1" outlineLevel="1" x14ac:dyDescent="0.2">
      <c r="A24" s="1853"/>
      <c r="B24" s="58" t="s">
        <v>314</v>
      </c>
      <c r="C24" s="59"/>
      <c r="D24" s="59"/>
      <c r="E24" s="59"/>
      <c r="F24" s="59"/>
      <c r="G24" s="59"/>
      <c r="H24" s="59"/>
      <c r="I24" s="63">
        <v>0</v>
      </c>
      <c r="J24" s="59"/>
      <c r="K24" s="59"/>
      <c r="L24" s="59"/>
      <c r="M24" s="59"/>
      <c r="N24" s="63">
        <v>-55.8</v>
      </c>
      <c r="O24" s="59"/>
      <c r="P24" s="59"/>
      <c r="Q24" s="59"/>
      <c r="R24" s="59"/>
      <c r="S24" s="63">
        <v>0</v>
      </c>
      <c r="T24" s="59"/>
      <c r="U24" s="59"/>
      <c r="V24" s="59"/>
      <c r="W24" s="59"/>
      <c r="X24" s="63">
        <v>0</v>
      </c>
      <c r="Y24" s="59"/>
      <c r="Z24" s="59"/>
      <c r="AA24" s="59"/>
      <c r="AB24" s="59"/>
      <c r="AC24" s="63">
        <v>0</v>
      </c>
      <c r="AD24" s="59"/>
      <c r="AE24" s="59"/>
      <c r="AF24" s="59"/>
      <c r="AG24" s="59"/>
      <c r="AH24" s="63">
        <v>0</v>
      </c>
      <c r="AI24" s="59"/>
      <c r="AJ24" s="59"/>
      <c r="AK24" s="59"/>
      <c r="AL24" s="59"/>
      <c r="AM24" s="63">
        <v>0</v>
      </c>
      <c r="AN24" s="59"/>
      <c r="AO24" s="59"/>
      <c r="AP24" s="59"/>
      <c r="AQ24" s="59"/>
      <c r="AR24" s="63">
        <v>0</v>
      </c>
      <c r="AS24" s="59"/>
      <c r="AT24" s="59"/>
      <c r="AU24" s="59"/>
      <c r="AV24" s="59"/>
      <c r="AW24" s="63">
        <v>0</v>
      </c>
      <c r="AX24" s="59"/>
      <c r="AY24" s="59"/>
      <c r="AZ24" s="59"/>
      <c r="BA24" s="59"/>
      <c r="BB24" s="63">
        <v>0</v>
      </c>
      <c r="BC24" s="59"/>
      <c r="BD24" s="59"/>
      <c r="BE24" s="59"/>
      <c r="BF24" s="59"/>
      <c r="BG24" s="63">
        <v>0</v>
      </c>
      <c r="BH24" s="59"/>
      <c r="BI24" s="59"/>
      <c r="BJ24" s="59"/>
      <c r="BK24" s="59"/>
      <c r="BL24" s="63">
        <v>-16.5</v>
      </c>
      <c r="BM24" s="62">
        <f t="shared" si="7"/>
        <v>0</v>
      </c>
      <c r="BN24" s="62">
        <f t="shared" si="8"/>
        <v>0</v>
      </c>
      <c r="BO24" s="62">
        <f t="shared" si="8"/>
        <v>0</v>
      </c>
      <c r="BP24" s="62">
        <f t="shared" si="8"/>
        <v>0</v>
      </c>
      <c r="BQ24" s="63">
        <v>0</v>
      </c>
      <c r="BR24" s="62">
        <f t="shared" si="9"/>
        <v>0</v>
      </c>
      <c r="BS24" s="62">
        <f t="shared" si="10"/>
        <v>0</v>
      </c>
      <c r="BT24" s="62">
        <f t="shared" si="10"/>
        <v>0</v>
      </c>
      <c r="BU24" s="62">
        <f t="shared" si="10"/>
        <v>0</v>
      </c>
      <c r="BV24" s="63">
        <v>0</v>
      </c>
      <c r="BW24" s="62">
        <f t="shared" si="11"/>
        <v>6</v>
      </c>
      <c r="BX24" s="62">
        <f t="shared" si="12"/>
        <v>-6</v>
      </c>
      <c r="BY24" s="62">
        <f t="shared" si="12"/>
        <v>0</v>
      </c>
      <c r="BZ24" s="62">
        <f t="shared" si="12"/>
        <v>0</v>
      </c>
      <c r="CA24" s="61">
        <f t="shared" si="13"/>
        <v>0</v>
      </c>
      <c r="CB24" s="62">
        <f t="shared" si="14"/>
        <v>0</v>
      </c>
      <c r="CC24" s="62">
        <f t="shared" si="15"/>
        <v>0</v>
      </c>
      <c r="CD24" s="62">
        <f t="shared" si="15"/>
        <v>0</v>
      </c>
      <c r="CE24" s="62">
        <f t="shared" si="15"/>
        <v>0</v>
      </c>
      <c r="CF24" s="86">
        <f t="shared" si="16"/>
        <v>0</v>
      </c>
      <c r="CG24" s="62">
        <f t="shared" si="17"/>
        <v>0</v>
      </c>
      <c r="CH24" s="62">
        <f t="shared" si="18"/>
        <v>0</v>
      </c>
      <c r="CI24" s="62">
        <f t="shared" si="18"/>
        <v>0</v>
      </c>
      <c r="CJ24" s="62">
        <f t="shared" si="18"/>
        <v>0</v>
      </c>
      <c r="CK24" s="86">
        <f t="shared" si="19"/>
        <v>0</v>
      </c>
      <c r="CL24" s="62">
        <f t="shared" si="20"/>
        <v>0</v>
      </c>
      <c r="CM24" s="62">
        <f t="shared" si="21"/>
        <v>0</v>
      </c>
      <c r="CN24" s="62">
        <f t="shared" si="2"/>
        <v>0</v>
      </c>
      <c r="CO24" s="62">
        <f t="shared" si="2"/>
        <v>0</v>
      </c>
      <c r="CP24" s="86">
        <f t="shared" si="22"/>
        <v>0</v>
      </c>
      <c r="CQ24" s="1781">
        <v>0</v>
      </c>
      <c r="CR24" s="1782">
        <v>0</v>
      </c>
      <c r="CS24" s="1867">
        <v>0</v>
      </c>
      <c r="CT24" s="1868">
        <v>0</v>
      </c>
      <c r="CU24" s="1780">
        <f t="shared" si="23"/>
        <v>0</v>
      </c>
      <c r="CV24" s="1856">
        <v>0</v>
      </c>
      <c r="CW24" s="1856">
        <v>0</v>
      </c>
      <c r="CX24" s="1856">
        <v>0</v>
      </c>
      <c r="CY24" s="1856">
        <v>0</v>
      </c>
      <c r="CZ24" s="1857">
        <f t="shared" si="24"/>
        <v>0</v>
      </c>
      <c r="DA24" s="1856">
        <v>0</v>
      </c>
      <c r="DB24" s="1856">
        <v>0</v>
      </c>
      <c r="DC24" s="1856">
        <v>0</v>
      </c>
      <c r="DD24" s="1856">
        <v>0</v>
      </c>
      <c r="DE24" s="2627">
        <f t="shared" si="26"/>
        <v>0</v>
      </c>
      <c r="DF24" s="1856">
        <v>0</v>
      </c>
      <c r="DG24" s="1856">
        <v>0</v>
      </c>
      <c r="DH24" s="1856">
        <v>0</v>
      </c>
      <c r="DI24" s="1856">
        <v>0</v>
      </c>
      <c r="DJ24" s="86">
        <f t="shared" si="27"/>
        <v>0</v>
      </c>
      <c r="DK24" s="59">
        <f>'BS and CFS'!DJ148-'BS and CFS'!DK148</f>
        <v>0</v>
      </c>
      <c r="DL24" s="59">
        <f>'BS and CFS'!DK148-'BS and CFS'!DL148</f>
        <v>0</v>
      </c>
      <c r="DM24" s="59">
        <f>'BS and CFS'!DL148-'BS and CFS'!DM148</f>
        <v>0</v>
      </c>
      <c r="DN24" s="59">
        <f>'BS and CFS'!DM148-'BS and CFS'!DN148</f>
        <v>0</v>
      </c>
      <c r="DO24" s="86">
        <f t="shared" si="28"/>
        <v>0</v>
      </c>
      <c r="DP24" s="59">
        <f>'BS and CFS'!DO148-'BS and CFS'!DP148</f>
        <v>0</v>
      </c>
      <c r="DQ24" s="59">
        <f>'BS and CFS'!DP148-'BS and CFS'!DQ148</f>
        <v>0</v>
      </c>
      <c r="DR24" s="59">
        <f>'BS and CFS'!DQ148-'BS and CFS'!DR148</f>
        <v>0</v>
      </c>
      <c r="DS24" s="59">
        <f>'BS and CFS'!DR148-'BS and CFS'!DS148</f>
        <v>0</v>
      </c>
      <c r="DT24" s="86">
        <f t="shared" si="29"/>
        <v>0</v>
      </c>
      <c r="DU24" s="59">
        <f>'BS and CFS'!DT148-'BS and CFS'!DU148</f>
        <v>0</v>
      </c>
      <c r="DV24" s="59">
        <f>'BS and CFS'!DU148-'BS and CFS'!DV148</f>
        <v>0</v>
      </c>
      <c r="DW24" s="59">
        <f>'BS and CFS'!DV148-'BS and CFS'!DW148</f>
        <v>0</v>
      </c>
      <c r="DX24" s="59">
        <f>'BS and CFS'!DW148-'BS and CFS'!DX148</f>
        <v>0</v>
      </c>
      <c r="DY24" s="86">
        <f t="shared" si="30"/>
        <v>0</v>
      </c>
      <c r="DZ24" s="1858"/>
      <c r="EA24" s="1858"/>
      <c r="EB24" s="1858"/>
    </row>
    <row r="25" spans="1:132" hidden="1" outlineLevel="1" x14ac:dyDescent="0.2">
      <c r="A25" s="1853"/>
      <c r="B25" s="58"/>
      <c r="C25" s="59"/>
      <c r="D25" s="59"/>
      <c r="E25" s="59"/>
      <c r="F25" s="59"/>
      <c r="G25" s="59"/>
      <c r="H25" s="59"/>
      <c r="I25" s="86"/>
      <c r="J25" s="59"/>
      <c r="K25" s="59"/>
      <c r="L25" s="59"/>
      <c r="M25" s="59"/>
      <c r="N25" s="86"/>
      <c r="O25" s="59"/>
      <c r="P25" s="59"/>
      <c r="Q25" s="59"/>
      <c r="R25" s="59"/>
      <c r="S25" s="86"/>
      <c r="T25" s="59"/>
      <c r="U25" s="59"/>
      <c r="V25" s="59"/>
      <c r="W25" s="59"/>
      <c r="X25" s="86"/>
      <c r="Y25" s="59"/>
      <c r="Z25" s="59"/>
      <c r="AA25" s="59"/>
      <c r="AB25" s="59"/>
      <c r="AC25" s="86"/>
      <c r="AD25" s="59"/>
      <c r="AE25" s="59"/>
      <c r="AF25" s="59"/>
      <c r="AG25" s="59"/>
      <c r="AH25" s="86"/>
      <c r="AI25" s="59"/>
      <c r="AJ25" s="59"/>
      <c r="AK25" s="59"/>
      <c r="AL25" s="59"/>
      <c r="AM25" s="86"/>
      <c r="AN25" s="59"/>
      <c r="AO25" s="59"/>
      <c r="AP25" s="59"/>
      <c r="AQ25" s="59"/>
      <c r="AR25" s="86"/>
      <c r="AS25" s="59"/>
      <c r="AT25" s="59"/>
      <c r="AU25" s="59"/>
      <c r="AV25" s="59"/>
      <c r="AW25" s="86"/>
      <c r="AX25" s="59"/>
      <c r="AY25" s="59"/>
      <c r="AZ25" s="59"/>
      <c r="BA25" s="59"/>
      <c r="BB25" s="86"/>
      <c r="BC25" s="59"/>
      <c r="BD25" s="59"/>
      <c r="BE25" s="59"/>
      <c r="BF25" s="59"/>
      <c r="BG25" s="86"/>
      <c r="BH25" s="59"/>
      <c r="BI25" s="59"/>
      <c r="BJ25" s="59"/>
      <c r="BK25" s="59"/>
      <c r="BL25" s="86"/>
      <c r="BM25" s="59"/>
      <c r="BN25" s="59"/>
      <c r="BO25" s="59"/>
      <c r="BP25" s="59"/>
      <c r="BQ25" s="86"/>
      <c r="BR25" s="59"/>
      <c r="BS25" s="59"/>
      <c r="BT25" s="59"/>
      <c r="BU25" s="59"/>
      <c r="BV25" s="86"/>
      <c r="BW25" s="59"/>
      <c r="BX25" s="59"/>
      <c r="BY25" s="59"/>
      <c r="BZ25" s="59"/>
      <c r="CA25" s="86"/>
      <c r="CB25" s="59"/>
      <c r="CC25" s="59"/>
      <c r="CD25" s="59"/>
      <c r="CE25" s="59"/>
      <c r="CF25" s="86"/>
      <c r="CG25" s="59"/>
      <c r="CH25" s="59"/>
      <c r="CI25" s="59"/>
      <c r="CJ25" s="59"/>
      <c r="CK25" s="86"/>
      <c r="CL25" s="59"/>
      <c r="CM25" s="59"/>
      <c r="CN25" s="59"/>
      <c r="CO25" s="59"/>
      <c r="CP25" s="86"/>
      <c r="CQ25" s="58"/>
      <c r="CR25" s="1779"/>
      <c r="CS25" s="1779"/>
      <c r="CT25" s="1780"/>
      <c r="CU25" s="1780"/>
      <c r="CV25" s="1856"/>
      <c r="CW25" s="1856"/>
      <c r="CX25" s="1856"/>
      <c r="CY25" s="1856"/>
      <c r="CZ25" s="1857"/>
      <c r="DA25" s="1856"/>
      <c r="DB25" s="1856"/>
      <c r="DC25" s="1856"/>
      <c r="DD25" s="1856"/>
      <c r="DE25" s="2627"/>
      <c r="DF25" s="1856"/>
      <c r="DG25" s="1856"/>
      <c r="DH25" s="1856"/>
      <c r="DI25" s="1856"/>
      <c r="DJ25" s="86"/>
      <c r="DK25" s="59"/>
      <c r="DL25" s="59"/>
      <c r="DM25" s="59"/>
      <c r="DN25" s="59"/>
      <c r="DO25" s="86"/>
      <c r="DP25" s="59"/>
      <c r="DQ25" s="59"/>
      <c r="DR25" s="59"/>
      <c r="DS25" s="59"/>
      <c r="DT25" s="86"/>
      <c r="DU25" s="59"/>
      <c r="DV25" s="59"/>
      <c r="DW25" s="59"/>
      <c r="DX25" s="59"/>
      <c r="DY25" s="86"/>
      <c r="DZ25" s="1858"/>
      <c r="EA25" s="1858"/>
      <c r="EB25" s="1858"/>
    </row>
    <row r="26" spans="1:132" collapsed="1" x14ac:dyDescent="0.2">
      <c r="A26" s="1853"/>
      <c r="B26" s="58" t="s">
        <v>315</v>
      </c>
      <c r="C26" s="59"/>
      <c r="D26" s="59"/>
      <c r="E26" s="59"/>
      <c r="F26" s="59"/>
      <c r="G26" s="59"/>
      <c r="H26" s="59"/>
      <c r="I26" s="61">
        <f>SUM(I15:I24)</f>
        <v>11.100000000000001</v>
      </c>
      <c r="J26" s="59"/>
      <c r="K26" s="59"/>
      <c r="L26" s="59"/>
      <c r="M26" s="59"/>
      <c r="N26" s="61">
        <f>SUM(N15:N24)</f>
        <v>-187.5</v>
      </c>
      <c r="O26" s="59"/>
      <c r="P26" s="59"/>
      <c r="Q26" s="59"/>
      <c r="R26" s="59"/>
      <c r="S26" s="61">
        <f>SUM(S15:S24)</f>
        <v>82.899999999999991</v>
      </c>
      <c r="T26" s="59"/>
      <c r="U26" s="59"/>
      <c r="V26" s="59"/>
      <c r="W26" s="59"/>
      <c r="X26" s="61">
        <f>SUM(X15:X24)</f>
        <v>4.7999999999999901</v>
      </c>
      <c r="Y26" s="59"/>
      <c r="Z26" s="59"/>
      <c r="AA26" s="59"/>
      <c r="AB26" s="59"/>
      <c r="AC26" s="61">
        <f>SUM(AC15:AC24)</f>
        <v>-10.600000000000005</v>
      </c>
      <c r="AD26" s="59"/>
      <c r="AE26" s="59"/>
      <c r="AF26" s="59"/>
      <c r="AG26" s="59"/>
      <c r="AH26" s="61">
        <f>SUM(AH15:AH24)</f>
        <v>-97.5</v>
      </c>
      <c r="AI26" s="59"/>
      <c r="AJ26" s="59"/>
      <c r="AK26" s="59"/>
      <c r="AL26" s="59"/>
      <c r="AM26" s="61">
        <f>SUM(AM15:AM24)</f>
        <v>36.700000000000003</v>
      </c>
      <c r="AN26" s="59"/>
      <c r="AO26" s="59"/>
      <c r="AP26" s="59"/>
      <c r="AQ26" s="59"/>
      <c r="AR26" s="61">
        <f>SUM(AR15:AR24)</f>
        <v>16.900000000000002</v>
      </c>
      <c r="AS26" s="59"/>
      <c r="AT26" s="59"/>
      <c r="AU26" s="59"/>
      <c r="AV26" s="59"/>
      <c r="AW26" s="61">
        <f>SUM(AW15:AW24)</f>
        <v>55.9</v>
      </c>
      <c r="AX26" s="59"/>
      <c r="AY26" s="59"/>
      <c r="AZ26" s="59"/>
      <c r="BA26" s="59"/>
      <c r="BB26" s="61">
        <f>SUM(BB15:BB24)</f>
        <v>11.700000000000001</v>
      </c>
      <c r="BC26" s="59"/>
      <c r="BD26" s="59"/>
      <c r="BE26" s="59"/>
      <c r="BF26" s="59"/>
      <c r="BG26" s="61">
        <f>SUM(BG15:BG24)</f>
        <v>100.20000000000003</v>
      </c>
      <c r="BH26" s="59"/>
      <c r="BI26" s="59"/>
      <c r="BJ26" s="59"/>
      <c r="BK26" s="59"/>
      <c r="BL26" s="61">
        <f t="shared" ref="BL26:DJ26" si="31">SUM(BL15:BL24)</f>
        <v>75.199999999999989</v>
      </c>
      <c r="BM26" s="62">
        <f t="shared" si="31"/>
        <v>12.799999999999999</v>
      </c>
      <c r="BN26" s="62">
        <f t="shared" si="31"/>
        <v>53.8</v>
      </c>
      <c r="BO26" s="62">
        <f t="shared" si="31"/>
        <v>18.100000000000009</v>
      </c>
      <c r="BP26" s="62">
        <f t="shared" si="31"/>
        <v>24.099999999999998</v>
      </c>
      <c r="BQ26" s="61">
        <f t="shared" si="31"/>
        <v>108.79999999999998</v>
      </c>
      <c r="BR26" s="62">
        <f t="shared" si="31"/>
        <v>9.9999999999999964</v>
      </c>
      <c r="BS26" s="62">
        <f t="shared" si="31"/>
        <v>169.7</v>
      </c>
      <c r="BT26" s="62">
        <f t="shared" si="31"/>
        <v>86.5</v>
      </c>
      <c r="BU26" s="62">
        <f t="shared" si="31"/>
        <v>-17.199999999999996</v>
      </c>
      <c r="BV26" s="61">
        <f t="shared" si="31"/>
        <v>249</v>
      </c>
      <c r="BW26" s="62">
        <f t="shared" si="31"/>
        <v>45</v>
      </c>
      <c r="BX26" s="62">
        <f t="shared" si="31"/>
        <v>-22</v>
      </c>
      <c r="BY26" s="62">
        <f t="shared" si="31"/>
        <v>102</v>
      </c>
      <c r="BZ26" s="62">
        <f t="shared" si="31"/>
        <v>-199</v>
      </c>
      <c r="CA26" s="61">
        <f t="shared" si="31"/>
        <v>-74</v>
      </c>
      <c r="CB26" s="62">
        <f t="shared" si="31"/>
        <v>28</v>
      </c>
      <c r="CC26" s="62">
        <f t="shared" si="31"/>
        <v>29</v>
      </c>
      <c r="CD26" s="62">
        <f t="shared" si="31"/>
        <v>52</v>
      </c>
      <c r="CE26" s="62">
        <f t="shared" si="31"/>
        <v>119</v>
      </c>
      <c r="CF26" s="86">
        <f t="shared" si="31"/>
        <v>228</v>
      </c>
      <c r="CG26" s="62">
        <f t="shared" si="31"/>
        <v>-146</v>
      </c>
      <c r="CH26" s="62">
        <f t="shared" si="31"/>
        <v>105</v>
      </c>
      <c r="CI26" s="62">
        <f t="shared" si="31"/>
        <v>151</v>
      </c>
      <c r="CJ26" s="59">
        <f t="shared" si="31"/>
        <v>275</v>
      </c>
      <c r="CK26" s="86">
        <f t="shared" si="31"/>
        <v>385</v>
      </c>
      <c r="CL26" s="62">
        <f>SUM(CL15:CL24)</f>
        <v>-11</v>
      </c>
      <c r="CM26" s="62">
        <f>SUM(CM15:CM24)</f>
        <v>45</v>
      </c>
      <c r="CN26" s="62">
        <f>SUM(CN15:CN24)</f>
        <v>120</v>
      </c>
      <c r="CO26" s="62">
        <f>SUM(CO15:CO24)</f>
        <v>-235</v>
      </c>
      <c r="CP26" s="86">
        <f>SUM(CP15:CP24)</f>
        <v>-81</v>
      </c>
      <c r="CQ26" s="1781">
        <f t="shared" si="31"/>
        <v>-2</v>
      </c>
      <c r="CR26" s="1782">
        <f t="shared" si="31"/>
        <v>70</v>
      </c>
      <c r="CS26" s="1779">
        <f t="shared" si="31"/>
        <v>464</v>
      </c>
      <c r="CT26" s="1780">
        <f t="shared" si="31"/>
        <v>118</v>
      </c>
      <c r="CU26" s="1780">
        <f>SUM(CQ26:CT26)</f>
        <v>650</v>
      </c>
      <c r="CV26" s="1856">
        <f t="shared" si="31"/>
        <v>-59</v>
      </c>
      <c r="CW26" s="1856">
        <f>SUM(CW15:CW24)</f>
        <v>60</v>
      </c>
      <c r="CX26" s="1856">
        <f>SUM(CX15:CX24)</f>
        <v>-127</v>
      </c>
      <c r="CY26" s="1856">
        <f>SUM(CY15:CY24)</f>
        <v>-14</v>
      </c>
      <c r="CZ26" s="1857">
        <f t="shared" si="31"/>
        <v>-140</v>
      </c>
      <c r="DA26" s="1856">
        <f t="shared" ref="DA26:DF26" si="32">SUM(DA15:DA24)</f>
        <v>74</v>
      </c>
      <c r="DB26" s="1856">
        <f t="shared" si="32"/>
        <v>650</v>
      </c>
      <c r="DC26" s="1856">
        <f t="shared" si="32"/>
        <v>204</v>
      </c>
      <c r="DD26" s="1856">
        <f t="shared" si="32"/>
        <v>90</v>
      </c>
      <c r="DE26" s="2627">
        <f t="shared" si="32"/>
        <v>1018</v>
      </c>
      <c r="DF26" s="1856">
        <f t="shared" si="32"/>
        <v>69</v>
      </c>
      <c r="DG26" s="1856">
        <f>SUM(DG15:DG24)</f>
        <v>195</v>
      </c>
      <c r="DH26" s="1856">
        <f>SUM(DH15:DH24)</f>
        <v>502</v>
      </c>
      <c r="DI26" s="1856">
        <f>SUM(DI15:DI24)</f>
        <v>-1445</v>
      </c>
      <c r="DJ26" s="86">
        <f t="shared" si="31"/>
        <v>-679</v>
      </c>
      <c r="DK26" s="59">
        <f t="shared" ref="DK26:DT26" si="33">SUM(DK15:DK24)</f>
        <v>58.5</v>
      </c>
      <c r="DL26" s="59">
        <f t="shared" si="33"/>
        <v>58.5</v>
      </c>
      <c r="DM26" s="59">
        <f t="shared" si="33"/>
        <v>58.5</v>
      </c>
      <c r="DN26" s="59">
        <f t="shared" si="33"/>
        <v>58.5</v>
      </c>
      <c r="DO26" s="86">
        <f t="shared" si="33"/>
        <v>234</v>
      </c>
      <c r="DP26" s="59">
        <f t="shared" si="33"/>
        <v>58.5</v>
      </c>
      <c r="DQ26" s="59">
        <f t="shared" si="33"/>
        <v>58.5</v>
      </c>
      <c r="DR26" s="59">
        <f t="shared" si="33"/>
        <v>58.5</v>
      </c>
      <c r="DS26" s="59">
        <f t="shared" si="33"/>
        <v>58.5</v>
      </c>
      <c r="DT26" s="86">
        <f t="shared" si="33"/>
        <v>234</v>
      </c>
      <c r="DU26" s="59">
        <f t="shared" ref="DU26:DY26" si="34">SUM(DU15:DU24)</f>
        <v>58.5</v>
      </c>
      <c r="DV26" s="59">
        <f t="shared" si="34"/>
        <v>58.5</v>
      </c>
      <c r="DW26" s="59">
        <f t="shared" si="34"/>
        <v>58.5</v>
      </c>
      <c r="DX26" s="59">
        <f t="shared" si="34"/>
        <v>58.5</v>
      </c>
      <c r="DY26" s="86">
        <f t="shared" si="34"/>
        <v>234</v>
      </c>
      <c r="DZ26" s="1858"/>
      <c r="EA26" s="1858"/>
      <c r="EB26" s="1858"/>
    </row>
    <row r="27" spans="1:132" hidden="1" outlineLevel="1" x14ac:dyDescent="0.2">
      <c r="A27" s="1853"/>
      <c r="B27" s="58"/>
      <c r="C27" s="59"/>
      <c r="D27" s="59"/>
      <c r="E27" s="59"/>
      <c r="F27" s="59"/>
      <c r="G27" s="59"/>
      <c r="H27" s="59"/>
      <c r="I27" s="86"/>
      <c r="J27" s="59"/>
      <c r="K27" s="59"/>
      <c r="L27" s="59"/>
      <c r="M27" s="59"/>
      <c r="N27" s="86"/>
      <c r="O27" s="59"/>
      <c r="P27" s="59"/>
      <c r="Q27" s="59"/>
      <c r="R27" s="59"/>
      <c r="S27" s="86"/>
      <c r="T27" s="59"/>
      <c r="U27" s="59"/>
      <c r="V27" s="59"/>
      <c r="W27" s="59"/>
      <c r="X27" s="86"/>
      <c r="Y27" s="59"/>
      <c r="Z27" s="59"/>
      <c r="AA27" s="59"/>
      <c r="AB27" s="59"/>
      <c r="AC27" s="86"/>
      <c r="AD27" s="59"/>
      <c r="AE27" s="59"/>
      <c r="AF27" s="59"/>
      <c r="AG27" s="59"/>
      <c r="AH27" s="86"/>
      <c r="AI27" s="59"/>
      <c r="AJ27" s="59"/>
      <c r="AK27" s="59"/>
      <c r="AL27" s="59"/>
      <c r="AM27" s="86"/>
      <c r="AN27" s="59"/>
      <c r="AO27" s="59"/>
      <c r="AP27" s="59"/>
      <c r="AQ27" s="59"/>
      <c r="AR27" s="86"/>
      <c r="AS27" s="59"/>
      <c r="AT27" s="59"/>
      <c r="AU27" s="59"/>
      <c r="AV27" s="59"/>
      <c r="AW27" s="86"/>
      <c r="AX27" s="59"/>
      <c r="AY27" s="59"/>
      <c r="AZ27" s="59"/>
      <c r="BA27" s="59"/>
      <c r="BB27" s="86"/>
      <c r="BC27" s="59"/>
      <c r="BD27" s="59"/>
      <c r="BE27" s="59"/>
      <c r="BF27" s="59"/>
      <c r="BG27" s="86"/>
      <c r="BH27" s="59"/>
      <c r="BI27" s="59"/>
      <c r="BJ27" s="59"/>
      <c r="BK27" s="59"/>
      <c r="BL27" s="86"/>
      <c r="BM27" s="59"/>
      <c r="BN27" s="59"/>
      <c r="BO27" s="59"/>
      <c r="BP27" s="59"/>
      <c r="BQ27" s="86"/>
      <c r="BR27" s="59"/>
      <c r="BS27" s="59"/>
      <c r="BT27" s="59"/>
      <c r="BU27" s="59"/>
      <c r="BV27" s="86"/>
      <c r="BW27" s="59"/>
      <c r="BX27" s="59"/>
      <c r="BY27" s="59"/>
      <c r="BZ27" s="59"/>
      <c r="CA27" s="86"/>
      <c r="CB27" s="59"/>
      <c r="CC27" s="59"/>
      <c r="CD27" s="59"/>
      <c r="CE27" s="59"/>
      <c r="CF27" s="86"/>
      <c r="CG27" s="59"/>
      <c r="CH27" s="59"/>
      <c r="CI27" s="59"/>
      <c r="CJ27" s="59"/>
      <c r="CK27" s="86"/>
      <c r="CL27" s="59"/>
      <c r="CM27" s="59"/>
      <c r="CN27" s="59"/>
      <c r="CO27" s="59"/>
      <c r="CP27" s="86"/>
      <c r="CQ27" s="58"/>
      <c r="CR27" s="1779"/>
      <c r="CS27" s="1779"/>
      <c r="CT27" s="1780"/>
      <c r="CU27" s="1780"/>
      <c r="CV27" s="1856"/>
      <c r="CW27" s="1856"/>
      <c r="CX27" s="1856"/>
      <c r="CY27" s="1856"/>
      <c r="CZ27" s="1857"/>
      <c r="DA27" s="1856"/>
      <c r="DB27" s="1856"/>
      <c r="DC27" s="1856"/>
      <c r="DD27" s="1856"/>
      <c r="DE27" s="2627"/>
      <c r="DF27" s="1856"/>
      <c r="DG27" s="1856"/>
      <c r="DH27" s="1856"/>
      <c r="DI27" s="1856"/>
      <c r="DJ27" s="86"/>
      <c r="DK27" s="59"/>
      <c r="DL27" s="59"/>
      <c r="DM27" s="59"/>
      <c r="DN27" s="59"/>
      <c r="DO27" s="86"/>
      <c r="DP27" s="59"/>
      <c r="DQ27" s="59"/>
      <c r="DR27" s="59"/>
      <c r="DS27" s="59"/>
      <c r="DT27" s="86"/>
      <c r="DU27" s="59"/>
      <c r="DV27" s="59"/>
      <c r="DW27" s="59"/>
      <c r="DX27" s="59"/>
      <c r="DY27" s="86"/>
      <c r="DZ27" s="1858"/>
      <c r="EA27" s="1858"/>
      <c r="EB27" s="1858"/>
    </row>
    <row r="28" spans="1:132" collapsed="1" x14ac:dyDescent="0.2">
      <c r="A28" s="1853"/>
      <c r="B28" s="58" t="s">
        <v>316</v>
      </c>
      <c r="C28" s="59"/>
      <c r="D28" s="59"/>
      <c r="E28" s="59"/>
      <c r="F28" s="59"/>
      <c r="G28" s="59"/>
      <c r="H28" s="59"/>
      <c r="I28" s="63">
        <v>-0.8</v>
      </c>
      <c r="J28" s="59"/>
      <c r="K28" s="59"/>
      <c r="L28" s="59"/>
      <c r="M28" s="59"/>
      <c r="N28" s="63">
        <v>-82.5</v>
      </c>
      <c r="O28" s="59"/>
      <c r="P28" s="59"/>
      <c r="Q28" s="59"/>
      <c r="R28" s="59"/>
      <c r="S28" s="63">
        <v>-197.9</v>
      </c>
      <c r="T28" s="59"/>
      <c r="U28" s="59"/>
      <c r="V28" s="59"/>
      <c r="W28" s="59"/>
      <c r="X28" s="63">
        <v>-48.9</v>
      </c>
      <c r="Y28" s="59"/>
      <c r="Z28" s="59"/>
      <c r="AA28" s="59"/>
      <c r="AB28" s="59"/>
      <c r="AC28" s="63">
        <v>-86.7</v>
      </c>
      <c r="AD28" s="59"/>
      <c r="AE28" s="59"/>
      <c r="AF28" s="59"/>
      <c r="AG28" s="59"/>
      <c r="AH28" s="63">
        <v>-141.69999999999999</v>
      </c>
      <c r="AI28" s="59"/>
      <c r="AJ28" s="59"/>
      <c r="AK28" s="59"/>
      <c r="AL28" s="59"/>
      <c r="AM28" s="61">
        <f>'BS and CFS'!AH139-'BS and CFS'!AM139</f>
        <v>-53.099999999999909</v>
      </c>
      <c r="AN28" s="59"/>
      <c r="AO28" s="59"/>
      <c r="AP28" s="59"/>
      <c r="AQ28" s="59"/>
      <c r="AR28" s="63">
        <v>-311.10000000000002</v>
      </c>
      <c r="AS28" s="59"/>
      <c r="AT28" s="59"/>
      <c r="AU28" s="59"/>
      <c r="AV28" s="59"/>
      <c r="AW28" s="63">
        <v>-48.4</v>
      </c>
      <c r="AX28" s="59"/>
      <c r="AY28" s="59"/>
      <c r="AZ28" s="59"/>
      <c r="BA28" s="59"/>
      <c r="BB28" s="63">
        <v>-83.1</v>
      </c>
      <c r="BC28" s="59"/>
      <c r="BD28" s="59"/>
      <c r="BE28" s="59"/>
      <c r="BF28" s="59"/>
      <c r="BG28" s="63">
        <v>-540.1</v>
      </c>
      <c r="BH28" s="59"/>
      <c r="BI28" s="59"/>
      <c r="BJ28" s="59"/>
      <c r="BK28" s="59"/>
      <c r="BL28" s="63">
        <v>279.7</v>
      </c>
      <c r="BM28" s="62">
        <f t="shared" ref="BM28:BM33" si="35">BM92</f>
        <v>-43.8</v>
      </c>
      <c r="BN28" s="62">
        <f t="shared" ref="BN28:BP33" si="36">BN92-BM92</f>
        <v>165.7</v>
      </c>
      <c r="BO28" s="62">
        <f t="shared" si="36"/>
        <v>-341.6</v>
      </c>
      <c r="BP28" s="62">
        <f t="shared" si="36"/>
        <v>-71.300000000000011</v>
      </c>
      <c r="BQ28" s="63">
        <v>-291</v>
      </c>
      <c r="BR28" s="62">
        <f t="shared" ref="BR28:BR33" si="37">BR92</f>
        <v>26.1</v>
      </c>
      <c r="BS28" s="62">
        <f t="shared" ref="BS28:BU33" si="38">BS92-BR92</f>
        <v>-161.69999999999999</v>
      </c>
      <c r="BT28" s="62">
        <f t="shared" si="38"/>
        <v>-185.20000000000002</v>
      </c>
      <c r="BU28" s="62">
        <f t="shared" si="38"/>
        <v>234.8</v>
      </c>
      <c r="BV28" s="63">
        <v>-86</v>
      </c>
      <c r="BW28" s="62">
        <f t="shared" ref="BW28:BW33" si="39">BW92</f>
        <v>308</v>
      </c>
      <c r="BX28" s="91">
        <f t="shared" ref="BX28:BZ33" si="40">BX92-BW92</f>
        <v>48</v>
      </c>
      <c r="BY28" s="91">
        <f t="shared" si="40"/>
        <v>-10</v>
      </c>
      <c r="BZ28" s="91">
        <f t="shared" si="40"/>
        <v>186</v>
      </c>
      <c r="CA28" s="61">
        <f t="shared" ref="CA28:CA33" si="41">SUM(BW28:BZ28)</f>
        <v>532</v>
      </c>
      <c r="CB28" s="62">
        <f t="shared" ref="CB28:CB33" si="42">CB92</f>
        <v>-423</v>
      </c>
      <c r="CC28" s="91">
        <f t="shared" ref="CC28:CE33" si="43">CC92-CB92</f>
        <v>-49</v>
      </c>
      <c r="CD28" s="91">
        <f t="shared" si="43"/>
        <v>-7</v>
      </c>
      <c r="CE28" s="91">
        <f t="shared" si="43"/>
        <v>-269</v>
      </c>
      <c r="CF28" s="86">
        <f t="shared" ref="CF28:CF33" si="44">SUM(CB28:CE28)</f>
        <v>-748</v>
      </c>
      <c r="CG28" s="62">
        <f t="shared" ref="CG28:CG33" si="45">CG92</f>
        <v>-70</v>
      </c>
      <c r="CH28" s="91">
        <f t="shared" ref="CH28:CJ33" si="46">CH92-CG92</f>
        <v>57</v>
      </c>
      <c r="CI28" s="91">
        <f t="shared" si="46"/>
        <v>-283</v>
      </c>
      <c r="CJ28" s="91">
        <f t="shared" si="46"/>
        <v>-91</v>
      </c>
      <c r="CK28" s="86">
        <f t="shared" ref="CK28:CK33" si="47">SUM(CG28:CJ28)</f>
        <v>-387</v>
      </c>
      <c r="CL28" s="62">
        <f t="shared" ref="CL28:CL33" si="48">CL92</f>
        <v>-113</v>
      </c>
      <c r="CM28" s="91">
        <f t="shared" ref="CM28:CO33" si="49">CM92-CL92</f>
        <v>-462</v>
      </c>
      <c r="CN28" s="91">
        <f t="shared" si="49"/>
        <v>-943</v>
      </c>
      <c r="CO28" s="91">
        <f t="shared" si="49"/>
        <v>-692</v>
      </c>
      <c r="CP28" s="86">
        <f t="shared" ref="CP28:CP33" si="50">SUM(CL28:CO28)</f>
        <v>-2210</v>
      </c>
      <c r="CQ28" s="1786">
        <f t="shared" ref="CQ28:CT33" si="51">CQ92-CP92</f>
        <v>-139</v>
      </c>
      <c r="CR28" s="1782">
        <f t="shared" si="51"/>
        <v>-445</v>
      </c>
      <c r="CS28" s="1782">
        <f t="shared" si="51"/>
        <v>-1288</v>
      </c>
      <c r="CT28" s="1785">
        <f t="shared" si="51"/>
        <v>1135</v>
      </c>
      <c r="CU28" s="1780">
        <f t="shared" ref="CU28:CU33" si="52">SUM(CQ28:CT28)</f>
        <v>-737</v>
      </c>
      <c r="CV28" s="1856">
        <v>-481</v>
      </c>
      <c r="CW28" s="1856">
        <f t="shared" ref="CW28:CY33" si="53">CW92-CV92</f>
        <v>-730</v>
      </c>
      <c r="CX28" s="1856">
        <f t="shared" si="53"/>
        <v>-1319</v>
      </c>
      <c r="CY28" s="1856">
        <f t="shared" si="53"/>
        <v>936</v>
      </c>
      <c r="CZ28" s="1857">
        <f t="shared" ref="CZ28:CZ33" si="54">SUM(CV28:CY28)</f>
        <v>-1594</v>
      </c>
      <c r="DA28" s="1856">
        <f t="shared" ref="DA28:DD33" si="55">DA92-CZ92</f>
        <v>-1131</v>
      </c>
      <c r="DB28" s="1856">
        <f t="shared" si="55"/>
        <v>-148</v>
      </c>
      <c r="DC28" s="1856">
        <f t="shared" si="55"/>
        <v>-435</v>
      </c>
      <c r="DD28" s="1856">
        <f t="shared" si="55"/>
        <v>1471</v>
      </c>
      <c r="DE28" s="2627">
        <f t="shared" ref="DE28:DE33" si="56">SUM(DA28:DD28)</f>
        <v>-243</v>
      </c>
      <c r="DF28" s="1856">
        <f t="shared" ref="DF28:DI33" si="57">DF92-DE92</f>
        <v>48</v>
      </c>
      <c r="DG28" s="1856">
        <f t="shared" si="57"/>
        <v>-162</v>
      </c>
      <c r="DH28" s="1856">
        <f t="shared" si="57"/>
        <v>-166</v>
      </c>
      <c r="DI28" s="1856">
        <f t="shared" si="57"/>
        <v>-661</v>
      </c>
      <c r="DJ28" s="86">
        <f t="shared" ref="DJ28:DJ33" si="58">SUM(DF28:DI28)</f>
        <v>-941</v>
      </c>
      <c r="DK28" s="78">
        <f ca="1">'BS and CFS'!DJ139-'BS and CFS'!DK139</f>
        <v>702.5760330023204</v>
      </c>
      <c r="DL28" s="78">
        <f ca="1">'BS and CFS'!DK139-'BS and CFS'!DL139</f>
        <v>-458.18627735583141</v>
      </c>
      <c r="DM28" s="78">
        <f ca="1">'BS and CFS'!DL139-'BS and CFS'!DM139</f>
        <v>63.771288961141181</v>
      </c>
      <c r="DN28" s="78">
        <f ca="1">'BS and CFS'!DM139-'BS and CFS'!DN139</f>
        <v>-497.6558136263302</v>
      </c>
      <c r="DO28" s="86">
        <f t="shared" ref="DO28:DO33" ca="1" si="59">SUM(DK28:DN28)</f>
        <v>-189.49476901870003</v>
      </c>
      <c r="DP28" s="78">
        <f ca="1">'BS and CFS'!DO139-'BS and CFS'!DP139</f>
        <v>421.21655775877116</v>
      </c>
      <c r="DQ28" s="78">
        <f ca="1">'BS and CFS'!DP139-'BS and CFS'!DQ139</f>
        <v>-470.41166303376485</v>
      </c>
      <c r="DR28" s="78">
        <f ca="1">'BS and CFS'!DQ139-'BS and CFS'!DR139</f>
        <v>72.458150779550124</v>
      </c>
      <c r="DS28" s="78">
        <f ca="1">'BS and CFS'!DR139-'BS and CFS'!DS139</f>
        <v>-495.07254156949421</v>
      </c>
      <c r="DT28" s="86">
        <f t="shared" ref="DT28:DT33" ca="1" si="60">SUM(DP28:DS28)</f>
        <v>-471.80949606493778</v>
      </c>
      <c r="DU28" s="78">
        <f ca="1">'BS and CFS'!DT139-'BS and CFS'!DU139</f>
        <v>693.98474324894596</v>
      </c>
      <c r="DV28" s="78">
        <f ca="1">'BS and CFS'!DU139-'BS and CFS'!DV139</f>
        <v>-458.70852844437286</v>
      </c>
      <c r="DW28" s="78">
        <f ca="1">'BS and CFS'!DV139-'BS and CFS'!DW139</f>
        <v>84.6264658870532</v>
      </c>
      <c r="DX28" s="78">
        <f ca="1">'BS and CFS'!DW139-'BS and CFS'!DX139</f>
        <v>-481.71215692414989</v>
      </c>
      <c r="DY28" s="86">
        <f t="shared" ref="DY28:DY33" ca="1" si="61">SUM(DU28:DX28)</f>
        <v>-161.80947623252359</v>
      </c>
      <c r="DZ28" s="1858"/>
      <c r="EA28" s="1858"/>
      <c r="EB28" s="1858"/>
    </row>
    <row r="29" spans="1:132" x14ac:dyDescent="0.2">
      <c r="A29" s="1853"/>
      <c r="B29" s="58" t="s">
        <v>317</v>
      </c>
      <c r="C29" s="59"/>
      <c r="D29" s="59"/>
      <c r="E29" s="59"/>
      <c r="F29" s="59"/>
      <c r="G29" s="59"/>
      <c r="H29" s="59"/>
      <c r="I29" s="63">
        <v>-251</v>
      </c>
      <c r="J29" s="59"/>
      <c r="K29" s="59"/>
      <c r="L29" s="59"/>
      <c r="M29" s="59"/>
      <c r="N29" s="63">
        <v>-566.1</v>
      </c>
      <c r="O29" s="59"/>
      <c r="P29" s="59"/>
      <c r="Q29" s="59"/>
      <c r="R29" s="59"/>
      <c r="S29" s="63">
        <v>-315</v>
      </c>
      <c r="T29" s="59"/>
      <c r="U29" s="59"/>
      <c r="V29" s="59"/>
      <c r="W29" s="59"/>
      <c r="X29" s="63">
        <v>-255</v>
      </c>
      <c r="Y29" s="59"/>
      <c r="Z29" s="59"/>
      <c r="AA29" s="59"/>
      <c r="AB29" s="59"/>
      <c r="AC29" s="63">
        <v>-98.1</v>
      </c>
      <c r="AD29" s="59"/>
      <c r="AE29" s="59"/>
      <c r="AF29" s="59"/>
      <c r="AG29" s="59"/>
      <c r="AH29" s="63">
        <v>-366.8</v>
      </c>
      <c r="AI29" s="59"/>
      <c r="AJ29" s="59"/>
      <c r="AK29" s="59"/>
      <c r="AL29" s="59"/>
      <c r="AM29" s="61">
        <f>'BS and CFS'!AH140-'BS and CFS'!AM140</f>
        <v>-95.300000000000182</v>
      </c>
      <c r="AN29" s="59"/>
      <c r="AO29" s="59"/>
      <c r="AP29" s="59"/>
      <c r="AQ29" s="59"/>
      <c r="AR29" s="63">
        <v>2.1</v>
      </c>
      <c r="AS29" s="59"/>
      <c r="AT29" s="59"/>
      <c r="AU29" s="59"/>
      <c r="AV29" s="59"/>
      <c r="AW29" s="63">
        <v>-509.8</v>
      </c>
      <c r="AX29" s="59"/>
      <c r="AY29" s="59"/>
      <c r="AZ29" s="59"/>
      <c r="BA29" s="59"/>
      <c r="BB29" s="63">
        <v>-265.2</v>
      </c>
      <c r="BC29" s="59"/>
      <c r="BD29" s="59"/>
      <c r="BE29" s="59"/>
      <c r="BF29" s="59"/>
      <c r="BG29" s="63">
        <v>-624.1</v>
      </c>
      <c r="BH29" s="59"/>
      <c r="BI29" s="59"/>
      <c r="BJ29" s="59"/>
      <c r="BK29" s="59"/>
      <c r="BL29" s="63">
        <v>-448</v>
      </c>
      <c r="BM29" s="62">
        <f t="shared" si="35"/>
        <v>18.8</v>
      </c>
      <c r="BN29" s="62">
        <f t="shared" si="36"/>
        <v>-11.9</v>
      </c>
      <c r="BO29" s="62">
        <f t="shared" si="36"/>
        <v>-344</v>
      </c>
      <c r="BP29" s="62">
        <f t="shared" si="36"/>
        <v>-151</v>
      </c>
      <c r="BQ29" s="63">
        <v>-488.1</v>
      </c>
      <c r="BR29" s="62">
        <f t="shared" si="37"/>
        <v>92.8</v>
      </c>
      <c r="BS29" s="62">
        <f t="shared" si="38"/>
        <v>-347.8</v>
      </c>
      <c r="BT29" s="62">
        <f t="shared" si="38"/>
        <v>-577</v>
      </c>
      <c r="BU29" s="62">
        <f t="shared" si="38"/>
        <v>-367</v>
      </c>
      <c r="BV29" s="63">
        <v>-1199</v>
      </c>
      <c r="BW29" s="62">
        <f t="shared" si="39"/>
        <v>68</v>
      </c>
      <c r="BX29" s="91">
        <f t="shared" si="40"/>
        <v>-114</v>
      </c>
      <c r="BY29" s="91">
        <f t="shared" si="40"/>
        <v>-196</v>
      </c>
      <c r="BZ29" s="91">
        <f t="shared" si="40"/>
        <v>-110</v>
      </c>
      <c r="CA29" s="61">
        <f t="shared" si="41"/>
        <v>-352</v>
      </c>
      <c r="CB29" s="62">
        <f t="shared" si="42"/>
        <v>514</v>
      </c>
      <c r="CC29" s="91">
        <f t="shared" si="43"/>
        <v>70</v>
      </c>
      <c r="CD29" s="91">
        <f t="shared" si="43"/>
        <v>-268</v>
      </c>
      <c r="CE29" s="91">
        <f t="shared" si="43"/>
        <v>291</v>
      </c>
      <c r="CF29" s="86">
        <f t="shared" si="44"/>
        <v>607</v>
      </c>
      <c r="CG29" s="62">
        <f t="shared" si="45"/>
        <v>-776</v>
      </c>
      <c r="CH29" s="91">
        <f t="shared" si="46"/>
        <v>249</v>
      </c>
      <c r="CI29" s="91">
        <f t="shared" si="46"/>
        <v>-59</v>
      </c>
      <c r="CJ29" s="91">
        <f t="shared" si="46"/>
        <v>-272</v>
      </c>
      <c r="CK29" s="86">
        <f t="shared" si="47"/>
        <v>-858</v>
      </c>
      <c r="CL29" s="62">
        <f t="shared" si="48"/>
        <v>193</v>
      </c>
      <c r="CM29" s="91">
        <f t="shared" si="49"/>
        <v>11</v>
      </c>
      <c r="CN29" s="91">
        <f t="shared" si="49"/>
        <v>-243</v>
      </c>
      <c r="CO29" s="91">
        <f t="shared" si="49"/>
        <v>51</v>
      </c>
      <c r="CP29" s="86">
        <f t="shared" si="50"/>
        <v>12</v>
      </c>
      <c r="CQ29" s="1786">
        <f t="shared" si="51"/>
        <v>-64</v>
      </c>
      <c r="CR29" s="1782">
        <f t="shared" si="51"/>
        <v>-171</v>
      </c>
      <c r="CS29" s="1782">
        <f t="shared" si="51"/>
        <v>-214</v>
      </c>
      <c r="CT29" s="1785">
        <f t="shared" si="51"/>
        <v>-321</v>
      </c>
      <c r="CU29" s="1780">
        <f t="shared" si="52"/>
        <v>-770</v>
      </c>
      <c r="CV29" s="1856">
        <v>-313</v>
      </c>
      <c r="CW29" s="1856">
        <f t="shared" si="53"/>
        <v>-152</v>
      </c>
      <c r="CX29" s="1856">
        <f t="shared" si="53"/>
        <v>-428</v>
      </c>
      <c r="CY29" s="1856">
        <f t="shared" si="53"/>
        <v>-248</v>
      </c>
      <c r="CZ29" s="1857">
        <f t="shared" si="54"/>
        <v>-1141</v>
      </c>
      <c r="DA29" s="1856">
        <f t="shared" si="55"/>
        <v>89</v>
      </c>
      <c r="DB29" s="1856">
        <f t="shared" si="55"/>
        <v>-256</v>
      </c>
      <c r="DC29" s="1856">
        <f t="shared" si="55"/>
        <v>-170</v>
      </c>
      <c r="DD29" s="1856">
        <f t="shared" si="55"/>
        <v>-405</v>
      </c>
      <c r="DE29" s="2627">
        <f t="shared" si="56"/>
        <v>-742</v>
      </c>
      <c r="DF29" s="1856">
        <f t="shared" si="57"/>
        <v>456</v>
      </c>
      <c r="DG29" s="1856">
        <f t="shared" si="57"/>
        <v>36</v>
      </c>
      <c r="DH29" s="1856">
        <f t="shared" si="57"/>
        <v>128</v>
      </c>
      <c r="DI29" s="1856">
        <f t="shared" si="57"/>
        <v>-1134</v>
      </c>
      <c r="DJ29" s="86">
        <f t="shared" si="58"/>
        <v>-514</v>
      </c>
      <c r="DK29" s="78">
        <f ca="1">'BS and CFS'!DJ140-'BS and CFS'!DK140</f>
        <v>-575.3508213806781</v>
      </c>
      <c r="DL29" s="78">
        <f ca="1">'BS and CFS'!DK140-'BS and CFS'!DL140</f>
        <v>-356.65004082321866</v>
      </c>
      <c r="DM29" s="78">
        <f ca="1">'BS and CFS'!DL140-'BS and CFS'!DM140</f>
        <v>202.07036555479863</v>
      </c>
      <c r="DN29" s="78">
        <f ca="1">'BS and CFS'!DM140-'BS and CFS'!DN140</f>
        <v>-311.48241727006462</v>
      </c>
      <c r="DO29" s="86">
        <f t="shared" ca="1" si="59"/>
        <v>-1041.4129139191627</v>
      </c>
      <c r="DP29" s="78">
        <f ca="1">'BS and CFS'!DO140-'BS and CFS'!DP140</f>
        <v>-570.44646746097533</v>
      </c>
      <c r="DQ29" s="78">
        <f ca="1">'BS and CFS'!DP140-'BS and CFS'!DQ140</f>
        <v>-385.49118415300836</v>
      </c>
      <c r="DR29" s="78">
        <f ca="1">'BS and CFS'!DQ140-'BS and CFS'!DR140</f>
        <v>225.65938190874658</v>
      </c>
      <c r="DS29" s="78">
        <f ca="1">'BS and CFS'!DR140-'BS and CFS'!DS140</f>
        <v>-303.511539234878</v>
      </c>
      <c r="DT29" s="86">
        <f t="shared" ca="1" si="60"/>
        <v>-1033.7898089401151</v>
      </c>
      <c r="DU29" s="78">
        <f ca="1">'BS and CFS'!DT140-'BS and CFS'!DU140</f>
        <v>-201.17638649637593</v>
      </c>
      <c r="DV29" s="78">
        <f ca="1">'BS and CFS'!DU140-'BS and CFS'!DV140</f>
        <v>-372.17065510034081</v>
      </c>
      <c r="DW29" s="78">
        <f ca="1">'BS and CFS'!DV140-'BS and CFS'!DW140</f>
        <v>254.9593423465376</v>
      </c>
      <c r="DX29" s="78">
        <f ca="1">'BS and CFS'!DW140-'BS and CFS'!DX140</f>
        <v>-284.04450952839761</v>
      </c>
      <c r="DY29" s="86">
        <f t="shared" ca="1" si="61"/>
        <v>-602.43220877857675</v>
      </c>
      <c r="DZ29" s="1858"/>
      <c r="EA29" s="1858"/>
      <c r="EB29" s="1858"/>
    </row>
    <row r="30" spans="1:132" x14ac:dyDescent="0.2">
      <c r="A30" s="1853"/>
      <c r="B30" s="58" t="s">
        <v>318</v>
      </c>
      <c r="C30" s="59"/>
      <c r="D30" s="59"/>
      <c r="E30" s="59"/>
      <c r="F30" s="59"/>
      <c r="G30" s="59"/>
      <c r="H30" s="59"/>
      <c r="I30" s="63">
        <v>-99.1</v>
      </c>
      <c r="J30" s="59"/>
      <c r="K30" s="59"/>
      <c r="L30" s="59"/>
      <c r="M30" s="59"/>
      <c r="N30" s="63">
        <v>-18.3</v>
      </c>
      <c r="O30" s="59"/>
      <c r="P30" s="59"/>
      <c r="Q30" s="59"/>
      <c r="R30" s="59"/>
      <c r="S30" s="63">
        <v>-18.5</v>
      </c>
      <c r="T30" s="59"/>
      <c r="U30" s="59"/>
      <c r="V30" s="59"/>
      <c r="W30" s="59"/>
      <c r="X30" s="63">
        <v>-16.7</v>
      </c>
      <c r="Y30" s="59"/>
      <c r="Z30" s="59"/>
      <c r="AA30" s="59"/>
      <c r="AB30" s="59"/>
      <c r="AC30" s="63">
        <v>7</v>
      </c>
      <c r="AD30" s="59"/>
      <c r="AE30" s="59"/>
      <c r="AF30" s="59"/>
      <c r="AG30" s="59"/>
      <c r="AH30" s="63">
        <v>4.0999999999999996</v>
      </c>
      <c r="AI30" s="59"/>
      <c r="AJ30" s="59"/>
      <c r="AK30" s="59"/>
      <c r="AL30" s="59"/>
      <c r="AM30" s="63">
        <v>12.5</v>
      </c>
      <c r="AN30" s="59"/>
      <c r="AO30" s="59"/>
      <c r="AP30" s="59"/>
      <c r="AQ30" s="59"/>
      <c r="AR30" s="63">
        <v>-3</v>
      </c>
      <c r="AS30" s="59"/>
      <c r="AT30" s="59"/>
      <c r="AU30" s="59"/>
      <c r="AV30" s="59"/>
      <c r="AW30" s="63">
        <v>35.700000000000003</v>
      </c>
      <c r="AX30" s="59"/>
      <c r="AY30" s="59"/>
      <c r="AZ30" s="59"/>
      <c r="BA30" s="59"/>
      <c r="BB30" s="63">
        <v>-13.5</v>
      </c>
      <c r="BC30" s="59"/>
      <c r="BD30" s="59"/>
      <c r="BE30" s="59"/>
      <c r="BF30" s="59"/>
      <c r="BG30" s="63">
        <v>-21.4</v>
      </c>
      <c r="BH30" s="59"/>
      <c r="BI30" s="59"/>
      <c r="BJ30" s="59"/>
      <c r="BK30" s="59"/>
      <c r="BL30" s="63">
        <v>-59.2</v>
      </c>
      <c r="BM30" s="62">
        <f t="shared" si="35"/>
        <v>4.0999999999999996</v>
      </c>
      <c r="BN30" s="62">
        <f t="shared" si="36"/>
        <v>-34.4</v>
      </c>
      <c r="BO30" s="62">
        <f t="shared" si="36"/>
        <v>-12.599999999999998</v>
      </c>
      <c r="BP30" s="62">
        <f t="shared" si="36"/>
        <v>55.4</v>
      </c>
      <c r="BQ30" s="63">
        <v>12.5</v>
      </c>
      <c r="BR30" s="62">
        <f t="shared" si="37"/>
        <v>-64.7</v>
      </c>
      <c r="BS30" s="62">
        <f t="shared" si="38"/>
        <v>33.6</v>
      </c>
      <c r="BT30" s="62">
        <f t="shared" si="38"/>
        <v>19.200000000000003</v>
      </c>
      <c r="BU30" s="62">
        <f t="shared" si="38"/>
        <v>59.9</v>
      </c>
      <c r="BV30" s="63">
        <v>48</v>
      </c>
      <c r="BW30" s="62">
        <f t="shared" si="39"/>
        <v>-39</v>
      </c>
      <c r="BX30" s="91">
        <f t="shared" si="40"/>
        <v>8</v>
      </c>
      <c r="BY30" s="91">
        <f t="shared" si="40"/>
        <v>-10</v>
      </c>
      <c r="BZ30" s="91">
        <f t="shared" si="40"/>
        <v>37</v>
      </c>
      <c r="CA30" s="61">
        <f t="shared" si="41"/>
        <v>-4</v>
      </c>
      <c r="CB30" s="62">
        <f t="shared" si="42"/>
        <v>-30</v>
      </c>
      <c r="CC30" s="91">
        <f t="shared" si="43"/>
        <v>-134</v>
      </c>
      <c r="CD30" s="91">
        <f t="shared" si="43"/>
        <v>-9</v>
      </c>
      <c r="CE30" s="91">
        <f t="shared" si="43"/>
        <v>-296</v>
      </c>
      <c r="CF30" s="86">
        <f t="shared" si="44"/>
        <v>-469</v>
      </c>
      <c r="CG30" s="62">
        <f t="shared" si="45"/>
        <v>286</v>
      </c>
      <c r="CH30" s="91">
        <f t="shared" si="46"/>
        <v>-32</v>
      </c>
      <c r="CI30" s="91">
        <f t="shared" si="46"/>
        <v>171</v>
      </c>
      <c r="CJ30" s="91">
        <f t="shared" si="46"/>
        <v>-422</v>
      </c>
      <c r="CK30" s="86">
        <f t="shared" si="47"/>
        <v>3</v>
      </c>
      <c r="CL30" s="62">
        <f t="shared" si="48"/>
        <v>238</v>
      </c>
      <c r="CM30" s="91">
        <f t="shared" si="49"/>
        <v>-73</v>
      </c>
      <c r="CN30" s="91">
        <f t="shared" si="49"/>
        <v>11</v>
      </c>
      <c r="CO30" s="91">
        <f t="shared" si="49"/>
        <v>-71</v>
      </c>
      <c r="CP30" s="86">
        <f t="shared" si="50"/>
        <v>105</v>
      </c>
      <c r="CQ30" s="1786">
        <f t="shared" si="51"/>
        <v>70</v>
      </c>
      <c r="CR30" s="1782">
        <f t="shared" si="51"/>
        <v>-144</v>
      </c>
      <c r="CS30" s="1782">
        <f t="shared" si="51"/>
        <v>-86</v>
      </c>
      <c r="CT30" s="1785">
        <f t="shared" si="51"/>
        <v>-223</v>
      </c>
      <c r="CU30" s="1857">
        <f t="shared" si="52"/>
        <v>-383</v>
      </c>
      <c r="CV30" s="1856">
        <v>269</v>
      </c>
      <c r="CW30" s="1856">
        <f t="shared" si="53"/>
        <v>-186</v>
      </c>
      <c r="CX30" s="1856">
        <f t="shared" si="53"/>
        <v>495</v>
      </c>
      <c r="CY30" s="1856">
        <f t="shared" si="53"/>
        <v>-221</v>
      </c>
      <c r="CZ30" s="1857">
        <f t="shared" si="54"/>
        <v>357</v>
      </c>
      <c r="DA30" s="1856">
        <f t="shared" si="55"/>
        <v>54</v>
      </c>
      <c r="DB30" s="1856">
        <f t="shared" si="55"/>
        <v>-277</v>
      </c>
      <c r="DC30" s="1856">
        <f t="shared" si="55"/>
        <v>139</v>
      </c>
      <c r="DD30" s="1856">
        <f t="shared" si="55"/>
        <v>76</v>
      </c>
      <c r="DE30" s="2627">
        <f t="shared" si="56"/>
        <v>-8</v>
      </c>
      <c r="DF30" s="1856">
        <f t="shared" si="57"/>
        <v>-75</v>
      </c>
      <c r="DG30" s="1856">
        <f t="shared" si="57"/>
        <v>6</v>
      </c>
      <c r="DH30" s="1856">
        <f t="shared" si="57"/>
        <v>-87</v>
      </c>
      <c r="DI30" s="1856">
        <f t="shared" si="57"/>
        <v>-144</v>
      </c>
      <c r="DJ30" s="86">
        <f t="shared" si="58"/>
        <v>-300</v>
      </c>
      <c r="DK30" s="59">
        <f>'BS and CFS'!DJ142-'BS and CFS'!DK142</f>
        <v>0</v>
      </c>
      <c r="DL30" s="59">
        <f>'BS and CFS'!DK142-'BS and CFS'!DL142</f>
        <v>0</v>
      </c>
      <c r="DM30" s="59">
        <f>'BS and CFS'!DL142-'BS and CFS'!DM142</f>
        <v>0</v>
      </c>
      <c r="DN30" s="59">
        <f>'BS and CFS'!DM142-'BS and CFS'!DN142</f>
        <v>0</v>
      </c>
      <c r="DO30" s="86">
        <f t="shared" si="59"/>
        <v>0</v>
      </c>
      <c r="DP30" s="59">
        <f>'BS and CFS'!DO142-'BS and CFS'!DP142</f>
        <v>0</v>
      </c>
      <c r="DQ30" s="59">
        <f>'BS and CFS'!DP142-'BS and CFS'!DQ142</f>
        <v>0</v>
      </c>
      <c r="DR30" s="59">
        <f>'BS and CFS'!DQ142-'BS and CFS'!DR142</f>
        <v>0</v>
      </c>
      <c r="DS30" s="59">
        <f>'BS and CFS'!DR142-'BS and CFS'!DS142</f>
        <v>0</v>
      </c>
      <c r="DT30" s="86">
        <f t="shared" si="60"/>
        <v>0</v>
      </c>
      <c r="DU30" s="59">
        <f>'BS and CFS'!DT142-'BS and CFS'!DU142</f>
        <v>0</v>
      </c>
      <c r="DV30" s="59">
        <f>'BS and CFS'!DU142-'BS and CFS'!DV142</f>
        <v>0</v>
      </c>
      <c r="DW30" s="59">
        <f>'BS and CFS'!DV142-'BS and CFS'!DW142</f>
        <v>0</v>
      </c>
      <c r="DX30" s="59">
        <f>'BS and CFS'!DW142-'BS and CFS'!DX142</f>
        <v>0</v>
      </c>
      <c r="DY30" s="86">
        <f t="shared" si="61"/>
        <v>0</v>
      </c>
      <c r="DZ30" s="1858"/>
      <c r="EA30" s="1858"/>
      <c r="EB30" s="1858"/>
    </row>
    <row r="31" spans="1:132" x14ac:dyDescent="0.2">
      <c r="A31" s="1853"/>
      <c r="B31" s="58" t="s">
        <v>319</v>
      </c>
      <c r="C31" s="59"/>
      <c r="D31" s="59"/>
      <c r="E31" s="59"/>
      <c r="F31" s="59"/>
      <c r="G31" s="59"/>
      <c r="H31" s="59"/>
      <c r="I31" s="63">
        <v>176.5</v>
      </c>
      <c r="J31" s="59"/>
      <c r="K31" s="59"/>
      <c r="L31" s="59"/>
      <c r="M31" s="59"/>
      <c r="N31" s="63">
        <v>174.7</v>
      </c>
      <c r="O31" s="59"/>
      <c r="P31" s="59"/>
      <c r="Q31" s="59"/>
      <c r="R31" s="59"/>
      <c r="S31" s="63">
        <v>52.6</v>
      </c>
      <c r="T31" s="59"/>
      <c r="U31" s="59"/>
      <c r="V31" s="59"/>
      <c r="W31" s="59"/>
      <c r="X31" s="63">
        <v>166.8</v>
      </c>
      <c r="Y31" s="59"/>
      <c r="Z31" s="59"/>
      <c r="AA31" s="59"/>
      <c r="AB31" s="59"/>
      <c r="AC31" s="63">
        <v>-133.6</v>
      </c>
      <c r="AD31" s="59"/>
      <c r="AE31" s="59"/>
      <c r="AF31" s="59"/>
      <c r="AG31" s="59"/>
      <c r="AH31" s="63">
        <v>184.4</v>
      </c>
      <c r="AI31" s="59"/>
      <c r="AJ31" s="59"/>
      <c r="AK31" s="59"/>
      <c r="AL31" s="59"/>
      <c r="AM31" s="61">
        <f>'BS and CFS'!AM155-'BS and CFS'!AH155</f>
        <v>172.10000000000014</v>
      </c>
      <c r="AN31" s="59"/>
      <c r="AO31" s="59"/>
      <c r="AP31" s="59"/>
      <c r="AQ31" s="59"/>
      <c r="AR31" s="63">
        <v>-41.5</v>
      </c>
      <c r="AS31" s="59"/>
      <c r="AT31" s="59"/>
      <c r="AU31" s="59"/>
      <c r="AV31" s="59"/>
      <c r="AW31" s="63">
        <v>109.4</v>
      </c>
      <c r="AX31" s="59"/>
      <c r="AY31" s="59"/>
      <c r="AZ31" s="59"/>
      <c r="BA31" s="59"/>
      <c r="BB31" s="63">
        <v>192.2</v>
      </c>
      <c r="BC31" s="59"/>
      <c r="BD31" s="59"/>
      <c r="BE31" s="59"/>
      <c r="BF31" s="59"/>
      <c r="BG31" s="63">
        <v>396.7</v>
      </c>
      <c r="BH31" s="59"/>
      <c r="BI31" s="59"/>
      <c r="BJ31" s="59"/>
      <c r="BK31" s="59"/>
      <c r="BL31" s="63">
        <f>-181.4</f>
        <v>-181.4</v>
      </c>
      <c r="BM31" s="62">
        <f t="shared" si="35"/>
        <v>-190.9</v>
      </c>
      <c r="BN31" s="62">
        <f t="shared" si="36"/>
        <v>-353.70000000000005</v>
      </c>
      <c r="BO31" s="62">
        <f t="shared" si="36"/>
        <v>179.90000000000003</v>
      </c>
      <c r="BP31" s="62">
        <f t="shared" si="36"/>
        <v>300.8</v>
      </c>
      <c r="BQ31" s="63">
        <v>-63.9</v>
      </c>
      <c r="BR31" s="62">
        <f t="shared" si="37"/>
        <v>-114.8</v>
      </c>
      <c r="BS31" s="62">
        <f t="shared" si="38"/>
        <v>62.699999999999996</v>
      </c>
      <c r="BT31" s="62">
        <f t="shared" si="38"/>
        <v>292.3</v>
      </c>
      <c r="BU31" s="62">
        <f t="shared" si="38"/>
        <v>-236.2</v>
      </c>
      <c r="BV31" s="63">
        <v>4</v>
      </c>
      <c r="BW31" s="62">
        <f t="shared" si="39"/>
        <v>-115</v>
      </c>
      <c r="BX31" s="91">
        <f t="shared" si="40"/>
        <v>111</v>
      </c>
      <c r="BY31" s="91">
        <f t="shared" si="40"/>
        <v>-108</v>
      </c>
      <c r="BZ31" s="91">
        <f t="shared" si="40"/>
        <v>72</v>
      </c>
      <c r="CA31" s="61">
        <f t="shared" si="41"/>
        <v>-40</v>
      </c>
      <c r="CB31" s="62">
        <f t="shared" si="42"/>
        <v>535</v>
      </c>
      <c r="CC31" s="91">
        <f t="shared" si="43"/>
        <v>187</v>
      </c>
      <c r="CD31" s="91">
        <f t="shared" si="43"/>
        <v>-6</v>
      </c>
      <c r="CE31" s="91">
        <f t="shared" si="43"/>
        <v>412</v>
      </c>
      <c r="CF31" s="86">
        <f t="shared" si="44"/>
        <v>1128</v>
      </c>
      <c r="CG31" s="62">
        <f t="shared" si="45"/>
        <v>1044</v>
      </c>
      <c r="CH31" s="91">
        <f t="shared" si="46"/>
        <v>-389</v>
      </c>
      <c r="CI31" s="91">
        <f t="shared" si="46"/>
        <v>264</v>
      </c>
      <c r="CJ31" s="91">
        <f t="shared" si="46"/>
        <v>228</v>
      </c>
      <c r="CK31" s="86">
        <f t="shared" si="47"/>
        <v>1147</v>
      </c>
      <c r="CL31" s="62">
        <f t="shared" si="48"/>
        <v>-230</v>
      </c>
      <c r="CM31" s="91">
        <f t="shared" si="49"/>
        <v>328</v>
      </c>
      <c r="CN31" s="91">
        <f t="shared" si="49"/>
        <v>599</v>
      </c>
      <c r="CO31" s="91">
        <f t="shared" si="49"/>
        <v>327</v>
      </c>
      <c r="CP31" s="86">
        <f t="shared" si="50"/>
        <v>1024</v>
      </c>
      <c r="CQ31" s="1786">
        <f t="shared" si="51"/>
        <v>339</v>
      </c>
      <c r="CR31" s="1782">
        <f t="shared" si="51"/>
        <v>182</v>
      </c>
      <c r="CS31" s="1782">
        <f t="shared" si="51"/>
        <v>701</v>
      </c>
      <c r="CT31" s="1785">
        <f t="shared" si="51"/>
        <v>520</v>
      </c>
      <c r="CU31" s="1857">
        <f t="shared" si="52"/>
        <v>1742</v>
      </c>
      <c r="CV31" s="1856">
        <v>-52</v>
      </c>
      <c r="CW31" s="1856">
        <f t="shared" si="53"/>
        <v>1435</v>
      </c>
      <c r="CX31" s="1856">
        <f t="shared" si="53"/>
        <v>655</v>
      </c>
      <c r="CY31" s="1856">
        <f t="shared" si="53"/>
        <v>796</v>
      </c>
      <c r="CZ31" s="1857">
        <f t="shared" si="54"/>
        <v>2834</v>
      </c>
      <c r="DA31" s="1856">
        <f t="shared" si="55"/>
        <v>798</v>
      </c>
      <c r="DB31" s="1856">
        <f t="shared" si="55"/>
        <v>366</v>
      </c>
      <c r="DC31" s="1856">
        <f t="shared" si="55"/>
        <v>406</v>
      </c>
      <c r="DD31" s="1856">
        <f t="shared" si="55"/>
        <v>619</v>
      </c>
      <c r="DE31" s="2627">
        <f t="shared" si="56"/>
        <v>2189</v>
      </c>
      <c r="DF31" s="1856">
        <f t="shared" si="57"/>
        <v>-539</v>
      </c>
      <c r="DG31" s="1856">
        <f t="shared" si="57"/>
        <v>719</v>
      </c>
      <c r="DH31" s="1856">
        <f t="shared" si="57"/>
        <v>150</v>
      </c>
      <c r="DI31" s="1856">
        <f t="shared" si="57"/>
        <v>1380</v>
      </c>
      <c r="DJ31" s="86">
        <f t="shared" si="58"/>
        <v>1710</v>
      </c>
      <c r="DK31" s="78">
        <f ca="1">'BS and CFS'!DK155-'BS and CFS'!DJ155</f>
        <v>-1284.8967586234558</v>
      </c>
      <c r="DL31" s="78">
        <f ca="1">'BS and CFS'!DL155-'BS and CFS'!DK155</f>
        <v>781.2973906015286</v>
      </c>
      <c r="DM31" s="78">
        <f ca="1">'BS and CFS'!DM155-'BS and CFS'!DL155</f>
        <v>-143.14334315003362</v>
      </c>
      <c r="DN31" s="78">
        <f ca="1">'BS and CFS'!DN155-'BS and CFS'!DM155</f>
        <v>849.2122414268124</v>
      </c>
      <c r="DO31" s="86">
        <f t="shared" ca="1" si="59"/>
        <v>202.46953025485163</v>
      </c>
      <c r="DP31" s="78">
        <f ca="1">'BS and CFS'!DP155-'BS and CFS'!DO155</f>
        <v>-992.46393515646105</v>
      </c>
      <c r="DQ31" s="78">
        <f ca="1">'BS and CFS'!DQ155-'BS and CFS'!DP155</f>
        <v>835.18013116878592</v>
      </c>
      <c r="DR31" s="78">
        <f ca="1">'BS and CFS'!DR155-'BS and CFS'!DQ155</f>
        <v>-157.83315733262316</v>
      </c>
      <c r="DS31" s="78">
        <f ca="1">'BS and CFS'!DS155-'BS and CFS'!DR155</f>
        <v>888.75674523308771</v>
      </c>
      <c r="DT31" s="86">
        <f t="shared" ca="1" si="60"/>
        <v>573.63978391278943</v>
      </c>
      <c r="DU31" s="78">
        <f ca="1">'BS and CFS'!DU155-'BS and CFS'!DT155</f>
        <v>-1248.8150924612328</v>
      </c>
      <c r="DV31" s="78">
        <f ca="1">'BS and CFS'!DV155-'BS and CFS'!DU155</f>
        <v>853.33855322945783</v>
      </c>
      <c r="DW31" s="78">
        <f ca="1">'BS and CFS'!DW155-'BS and CFS'!DV155</f>
        <v>-174.44167414896037</v>
      </c>
      <c r="DX31" s="78">
        <f ca="1">'BS and CFS'!DX155-'BS and CFS'!DW155</f>
        <v>904.20191310123118</v>
      </c>
      <c r="DY31" s="86">
        <f t="shared" ca="1" si="61"/>
        <v>334.28369972049586</v>
      </c>
      <c r="DZ31" s="1858"/>
      <c r="EA31" s="1858"/>
      <c r="EB31" s="1858"/>
    </row>
    <row r="32" spans="1:132" x14ac:dyDescent="0.2">
      <c r="A32" s="1853"/>
      <c r="B32" s="58" t="s">
        <v>320</v>
      </c>
      <c r="C32" s="59"/>
      <c r="D32" s="59"/>
      <c r="E32" s="59"/>
      <c r="F32" s="59"/>
      <c r="G32" s="59"/>
      <c r="H32" s="59"/>
      <c r="I32" s="86"/>
      <c r="J32" s="59"/>
      <c r="K32" s="59"/>
      <c r="L32" s="59"/>
      <c r="M32" s="59"/>
      <c r="N32" s="86"/>
      <c r="O32" s="59"/>
      <c r="P32" s="59"/>
      <c r="Q32" s="59"/>
      <c r="R32" s="59"/>
      <c r="S32" s="86"/>
      <c r="T32" s="59"/>
      <c r="U32" s="59"/>
      <c r="V32" s="59"/>
      <c r="W32" s="59"/>
      <c r="X32" s="86"/>
      <c r="Y32" s="59"/>
      <c r="Z32" s="59"/>
      <c r="AA32" s="59"/>
      <c r="AB32" s="59"/>
      <c r="AC32" s="86"/>
      <c r="AD32" s="59"/>
      <c r="AE32" s="59"/>
      <c r="AF32" s="59"/>
      <c r="AG32" s="59"/>
      <c r="AH32" s="86"/>
      <c r="AI32" s="59"/>
      <c r="AJ32" s="59"/>
      <c r="AK32" s="59"/>
      <c r="AL32" s="59"/>
      <c r="AM32" s="86"/>
      <c r="AN32" s="59"/>
      <c r="AO32" s="59"/>
      <c r="AP32" s="59"/>
      <c r="AQ32" s="59"/>
      <c r="AR32" s="86"/>
      <c r="AS32" s="59"/>
      <c r="AT32" s="59"/>
      <c r="AU32" s="59"/>
      <c r="AV32" s="59"/>
      <c r="AW32" s="86"/>
      <c r="AX32" s="59"/>
      <c r="AY32" s="59"/>
      <c r="AZ32" s="59"/>
      <c r="BA32" s="59"/>
      <c r="BB32" s="86"/>
      <c r="BC32" s="59"/>
      <c r="BD32" s="59"/>
      <c r="BE32" s="59"/>
      <c r="BF32" s="59"/>
      <c r="BG32" s="86"/>
      <c r="BH32" s="59"/>
      <c r="BI32" s="59"/>
      <c r="BJ32" s="59"/>
      <c r="BK32" s="59"/>
      <c r="BL32" s="86"/>
      <c r="BM32" s="62">
        <f t="shared" si="35"/>
        <v>0</v>
      </c>
      <c r="BN32" s="62">
        <f t="shared" si="36"/>
        <v>0</v>
      </c>
      <c r="BO32" s="62">
        <f t="shared" si="36"/>
        <v>0</v>
      </c>
      <c r="BP32" s="62">
        <f t="shared" si="36"/>
        <v>0</v>
      </c>
      <c r="BQ32" s="86"/>
      <c r="BR32" s="62">
        <f t="shared" si="37"/>
        <v>0</v>
      </c>
      <c r="BS32" s="62">
        <f t="shared" si="38"/>
        <v>0</v>
      </c>
      <c r="BT32" s="62">
        <f t="shared" si="38"/>
        <v>0</v>
      </c>
      <c r="BU32" s="62">
        <f t="shared" si="38"/>
        <v>0</v>
      </c>
      <c r="BV32" s="63">
        <v>0</v>
      </c>
      <c r="BW32" s="62">
        <f t="shared" si="39"/>
        <v>0</v>
      </c>
      <c r="BX32" s="91">
        <f t="shared" si="40"/>
        <v>-286</v>
      </c>
      <c r="BY32" s="91">
        <f t="shared" si="40"/>
        <v>286</v>
      </c>
      <c r="BZ32" s="91">
        <f t="shared" si="40"/>
        <v>0</v>
      </c>
      <c r="CA32" s="61">
        <f t="shared" si="41"/>
        <v>0</v>
      </c>
      <c r="CB32" s="62">
        <f t="shared" si="42"/>
        <v>0</v>
      </c>
      <c r="CC32" s="91">
        <f t="shared" si="43"/>
        <v>0</v>
      </c>
      <c r="CD32" s="91">
        <f t="shared" si="43"/>
        <v>0</v>
      </c>
      <c r="CE32" s="91">
        <f t="shared" si="43"/>
        <v>0</v>
      </c>
      <c r="CF32" s="86">
        <f t="shared" si="44"/>
        <v>0</v>
      </c>
      <c r="CG32" s="62">
        <f t="shared" si="45"/>
        <v>0</v>
      </c>
      <c r="CH32" s="91">
        <f t="shared" si="46"/>
        <v>0</v>
      </c>
      <c r="CI32" s="91">
        <f t="shared" si="46"/>
        <v>0</v>
      </c>
      <c r="CJ32" s="91">
        <f t="shared" si="46"/>
        <v>0</v>
      </c>
      <c r="CK32" s="86">
        <f t="shared" si="47"/>
        <v>0</v>
      </c>
      <c r="CL32" s="62">
        <f t="shared" si="48"/>
        <v>0</v>
      </c>
      <c r="CM32" s="91">
        <f t="shared" si="49"/>
        <v>0</v>
      </c>
      <c r="CN32" s="91">
        <f t="shared" si="49"/>
        <v>0</v>
      </c>
      <c r="CO32" s="91">
        <f t="shared" si="49"/>
        <v>0</v>
      </c>
      <c r="CP32" s="86">
        <f t="shared" si="50"/>
        <v>0</v>
      </c>
      <c r="CQ32" s="1786">
        <f t="shared" si="51"/>
        <v>0</v>
      </c>
      <c r="CR32" s="1782">
        <f t="shared" si="51"/>
        <v>0</v>
      </c>
      <c r="CS32" s="1782">
        <f t="shared" si="51"/>
        <v>0</v>
      </c>
      <c r="CT32" s="1785">
        <f t="shared" si="51"/>
        <v>0</v>
      </c>
      <c r="CU32" s="1857">
        <f t="shared" si="52"/>
        <v>0</v>
      </c>
      <c r="CV32" s="1856">
        <v>756</v>
      </c>
      <c r="CW32" s="1856">
        <f t="shared" si="53"/>
        <v>-756</v>
      </c>
      <c r="CX32" s="1856">
        <f t="shared" si="53"/>
        <v>0</v>
      </c>
      <c r="CY32" s="1856">
        <f t="shared" si="53"/>
        <v>0</v>
      </c>
      <c r="CZ32" s="1857">
        <f t="shared" si="54"/>
        <v>0</v>
      </c>
      <c r="DA32" s="1856">
        <f t="shared" si="55"/>
        <v>0</v>
      </c>
      <c r="DB32" s="1856">
        <f t="shared" si="55"/>
        <v>0</v>
      </c>
      <c r="DC32" s="1856">
        <f t="shared" si="55"/>
        <v>0</v>
      </c>
      <c r="DD32" s="1856">
        <f t="shared" si="55"/>
        <v>0</v>
      </c>
      <c r="DE32" s="2627">
        <f t="shared" si="56"/>
        <v>0</v>
      </c>
      <c r="DF32" s="1856">
        <f t="shared" si="57"/>
        <v>0</v>
      </c>
      <c r="DG32" s="1856">
        <f t="shared" si="57"/>
        <v>0</v>
      </c>
      <c r="DH32" s="1856">
        <f t="shared" si="57"/>
        <v>0</v>
      </c>
      <c r="DI32" s="1856">
        <f t="shared" si="57"/>
        <v>0</v>
      </c>
      <c r="DJ32" s="86">
        <f t="shared" si="58"/>
        <v>0</v>
      </c>
      <c r="DK32" s="78">
        <f ca="1">'BS and CFS'!DK156-'BS and CFS'!DJ156</f>
        <v>-625.22741247825616</v>
      </c>
      <c r="DL32" s="78">
        <f ca="1">'BS and CFS'!DL156-'BS and CFS'!DK156</f>
        <v>859.08912265450817</v>
      </c>
      <c r="DM32" s="78">
        <f ca="1">'BS and CFS'!DM156-'BS and CFS'!DL156</f>
        <v>-49.768147661716284</v>
      </c>
      <c r="DN32" s="78">
        <f ca="1">'BS and CFS'!DN156-'BS and CFS'!DM156</f>
        <v>197.53557095111682</v>
      </c>
      <c r="DO32" s="86">
        <f t="shared" ca="1" si="59"/>
        <v>381.62913346565256</v>
      </c>
      <c r="DP32" s="78">
        <f ca="1">'BS and CFS'!DP156-'BS and CFS'!DO156</f>
        <v>-516.11578232091051</v>
      </c>
      <c r="DQ32" s="78">
        <f ca="1">'BS and CFS'!DQ156-'BS and CFS'!DP156</f>
        <v>898.79760853140942</v>
      </c>
      <c r="DR32" s="78">
        <f ca="1">'BS and CFS'!DR156-'BS and CFS'!DQ156</f>
        <v>-65.56212809574572</v>
      </c>
      <c r="DS32" s="78">
        <f ca="1">'BS and CFS'!DS156-'BS and CFS'!DR156</f>
        <v>192.78328579234767</v>
      </c>
      <c r="DT32" s="86">
        <f t="shared" ca="1" si="60"/>
        <v>509.90298390710086</v>
      </c>
      <c r="DU32" s="78">
        <f ca="1">'BS and CFS'!DU156-'BS and CFS'!DT156</f>
        <v>-559.93189432482723</v>
      </c>
      <c r="DV32" s="78">
        <f ca="1">'BS and CFS'!DV156-'BS and CFS'!DU156</f>
        <v>916.05589145395788</v>
      </c>
      <c r="DW32" s="78">
        <f ca="1">'BS and CFS'!DW156-'BS and CFS'!DV156</f>
        <v>-84.914557732043249</v>
      </c>
      <c r="DX32" s="78">
        <f ca="1">'BS and CFS'!DX156-'BS and CFS'!DW156</f>
        <v>184.31618181731756</v>
      </c>
      <c r="DY32" s="86">
        <f t="shared" ca="1" si="61"/>
        <v>455.52562121440496</v>
      </c>
      <c r="DZ32" s="1858"/>
      <c r="EA32" s="1858"/>
      <c r="EB32" s="1858"/>
    </row>
    <row r="33" spans="1:132" ht="12" customHeight="1" x14ac:dyDescent="0.2">
      <c r="A33" s="1853"/>
      <c r="B33" s="58" t="s">
        <v>321</v>
      </c>
      <c r="C33" s="59"/>
      <c r="D33" s="59"/>
      <c r="E33" s="59"/>
      <c r="F33" s="59"/>
      <c r="G33" s="59"/>
      <c r="H33" s="59"/>
      <c r="I33" s="63">
        <v>-215.5</v>
      </c>
      <c r="J33" s="59"/>
      <c r="K33" s="59"/>
      <c r="L33" s="59"/>
      <c r="M33" s="59"/>
      <c r="N33" s="63">
        <v>-232.3</v>
      </c>
      <c r="O33" s="59"/>
      <c r="P33" s="59"/>
      <c r="Q33" s="59"/>
      <c r="R33" s="59"/>
      <c r="S33" s="63">
        <v>-134.5</v>
      </c>
      <c r="T33" s="59"/>
      <c r="U33" s="59"/>
      <c r="V33" s="59"/>
      <c r="W33" s="59"/>
      <c r="X33" s="63">
        <v>-37.700000000000003</v>
      </c>
      <c r="Y33" s="59"/>
      <c r="Z33" s="59"/>
      <c r="AA33" s="59"/>
      <c r="AB33" s="59"/>
      <c r="AC33" s="63">
        <v>59.6</v>
      </c>
      <c r="AD33" s="59"/>
      <c r="AE33" s="59"/>
      <c r="AF33" s="59"/>
      <c r="AG33" s="59"/>
      <c r="AH33" s="63">
        <v>11.6</v>
      </c>
      <c r="AI33" s="59"/>
      <c r="AJ33" s="59"/>
      <c r="AK33" s="59"/>
      <c r="AL33" s="59"/>
      <c r="AM33" s="63">
        <v>105</v>
      </c>
      <c r="AN33" s="59"/>
      <c r="AO33" s="59"/>
      <c r="AP33" s="59"/>
      <c r="AQ33" s="59"/>
      <c r="AR33" s="63">
        <v>116.5</v>
      </c>
      <c r="AS33" s="59"/>
      <c r="AT33" s="59"/>
      <c r="AU33" s="59"/>
      <c r="AV33" s="59"/>
      <c r="AW33" s="63">
        <v>-144.19999999999999</v>
      </c>
      <c r="AX33" s="59"/>
      <c r="AY33" s="59"/>
      <c r="AZ33" s="59"/>
      <c r="BA33" s="59"/>
      <c r="BB33" s="63">
        <v>-43.8</v>
      </c>
      <c r="BC33" s="59"/>
      <c r="BD33" s="59"/>
      <c r="BE33" s="59"/>
      <c r="BF33" s="59"/>
      <c r="BG33" s="63">
        <v>328.9</v>
      </c>
      <c r="BH33" s="59"/>
      <c r="BI33" s="59"/>
      <c r="BJ33" s="59"/>
      <c r="BK33" s="59"/>
      <c r="BL33" s="63">
        <v>-168.2</v>
      </c>
      <c r="BM33" s="62">
        <f t="shared" si="35"/>
        <v>-108</v>
      </c>
      <c r="BN33" s="62">
        <f t="shared" si="36"/>
        <v>-253</v>
      </c>
      <c r="BO33" s="62">
        <f t="shared" si="36"/>
        <v>239.5</v>
      </c>
      <c r="BP33" s="62">
        <f t="shared" si="36"/>
        <v>304</v>
      </c>
      <c r="BQ33" s="63">
        <v>182.5</v>
      </c>
      <c r="BR33" s="62">
        <f t="shared" si="37"/>
        <v>-270.39999999999998</v>
      </c>
      <c r="BS33" s="62">
        <f t="shared" si="38"/>
        <v>-473.4</v>
      </c>
      <c r="BT33" s="62">
        <f t="shared" si="38"/>
        <v>-50</v>
      </c>
      <c r="BU33" s="62">
        <f t="shared" si="38"/>
        <v>727.8</v>
      </c>
      <c r="BV33" s="63">
        <v>-66</v>
      </c>
      <c r="BW33" s="62">
        <f t="shared" si="39"/>
        <v>-335</v>
      </c>
      <c r="BX33" s="62">
        <f t="shared" si="40"/>
        <v>-282</v>
      </c>
      <c r="BY33" s="62">
        <f t="shared" si="40"/>
        <v>50</v>
      </c>
      <c r="BZ33" s="62">
        <f t="shared" si="40"/>
        <v>391</v>
      </c>
      <c r="CA33" s="61">
        <f t="shared" si="41"/>
        <v>-176</v>
      </c>
      <c r="CB33" s="62">
        <f t="shared" si="42"/>
        <v>156</v>
      </c>
      <c r="CC33" s="62">
        <f t="shared" si="43"/>
        <v>-102</v>
      </c>
      <c r="CD33" s="62">
        <f t="shared" si="43"/>
        <v>926</v>
      </c>
      <c r="CE33" s="62">
        <f t="shared" si="43"/>
        <v>-895</v>
      </c>
      <c r="CF33" s="86">
        <f t="shared" si="44"/>
        <v>85</v>
      </c>
      <c r="CG33" s="62">
        <f t="shared" si="45"/>
        <v>1250</v>
      </c>
      <c r="CH33" s="62">
        <f t="shared" si="46"/>
        <v>-155</v>
      </c>
      <c r="CI33" s="62">
        <f t="shared" si="46"/>
        <v>-770</v>
      </c>
      <c r="CJ33" s="62">
        <f t="shared" si="46"/>
        <v>428</v>
      </c>
      <c r="CK33" s="86">
        <f t="shared" si="47"/>
        <v>753</v>
      </c>
      <c r="CL33" s="62">
        <f t="shared" si="48"/>
        <v>105</v>
      </c>
      <c r="CM33" s="62">
        <f t="shared" si="49"/>
        <v>-517</v>
      </c>
      <c r="CN33" s="62">
        <f t="shared" si="49"/>
        <v>444</v>
      </c>
      <c r="CO33" s="62">
        <f t="shared" si="49"/>
        <v>439</v>
      </c>
      <c r="CP33" s="86">
        <f t="shared" si="50"/>
        <v>471</v>
      </c>
      <c r="CQ33" s="1781">
        <f t="shared" si="51"/>
        <v>362</v>
      </c>
      <c r="CR33" s="1782">
        <f t="shared" si="51"/>
        <v>-329</v>
      </c>
      <c r="CS33" s="1782">
        <f t="shared" si="51"/>
        <v>643</v>
      </c>
      <c r="CT33" s="1785">
        <f t="shared" si="51"/>
        <v>384</v>
      </c>
      <c r="CU33" s="1857">
        <f t="shared" si="52"/>
        <v>1060</v>
      </c>
      <c r="CV33" s="1856">
        <v>153</v>
      </c>
      <c r="CW33" s="1856">
        <f t="shared" si="53"/>
        <v>-394</v>
      </c>
      <c r="CX33" s="1856">
        <f t="shared" si="53"/>
        <v>764</v>
      </c>
      <c r="CY33" s="1856">
        <f t="shared" si="53"/>
        <v>242</v>
      </c>
      <c r="CZ33" s="1857">
        <f t="shared" si="54"/>
        <v>765</v>
      </c>
      <c r="DA33" s="1856">
        <f t="shared" si="55"/>
        <v>764</v>
      </c>
      <c r="DB33" s="1856">
        <f t="shared" si="55"/>
        <v>-267</v>
      </c>
      <c r="DC33" s="1856">
        <f t="shared" si="55"/>
        <v>1629</v>
      </c>
      <c r="DD33" s="1856">
        <f t="shared" si="55"/>
        <v>-2065</v>
      </c>
      <c r="DE33" s="2627">
        <f t="shared" si="56"/>
        <v>61</v>
      </c>
      <c r="DF33" s="1856">
        <f t="shared" si="57"/>
        <v>2002</v>
      </c>
      <c r="DG33" s="1856">
        <f t="shared" si="57"/>
        <v>-516</v>
      </c>
      <c r="DH33" s="1856">
        <f t="shared" si="57"/>
        <v>184</v>
      </c>
      <c r="DI33" s="1856">
        <f t="shared" si="57"/>
        <v>-2041</v>
      </c>
      <c r="DJ33" s="86">
        <f t="shared" si="58"/>
        <v>-371</v>
      </c>
      <c r="DK33" s="59">
        <f>'BS and CFS'!DK157-'BS and CFS'!DJ157</f>
        <v>0</v>
      </c>
      <c r="DL33" s="59">
        <f>'BS and CFS'!DL157-'BS and CFS'!DK157</f>
        <v>0</v>
      </c>
      <c r="DM33" s="59">
        <f>'BS and CFS'!DM157-'BS and CFS'!DL157</f>
        <v>0</v>
      </c>
      <c r="DN33" s="59">
        <f>'BS and CFS'!DN157-'BS and CFS'!DM157</f>
        <v>0</v>
      </c>
      <c r="DO33" s="86">
        <f t="shared" si="59"/>
        <v>0</v>
      </c>
      <c r="DP33" s="59">
        <f>'BS and CFS'!DP157-'BS and CFS'!DO157</f>
        <v>0</v>
      </c>
      <c r="DQ33" s="59">
        <f>'BS and CFS'!DQ157-'BS and CFS'!DP157</f>
        <v>0</v>
      </c>
      <c r="DR33" s="59">
        <f>'BS and CFS'!DR157-'BS and CFS'!DQ157</f>
        <v>0</v>
      </c>
      <c r="DS33" s="59">
        <f>'BS and CFS'!DS157-'BS and CFS'!DR157</f>
        <v>0</v>
      </c>
      <c r="DT33" s="86">
        <f t="shared" si="60"/>
        <v>0</v>
      </c>
      <c r="DU33" s="59">
        <f>'BS and CFS'!DU157-'BS and CFS'!DT157</f>
        <v>0</v>
      </c>
      <c r="DV33" s="59">
        <f>'BS and CFS'!DV157-'BS and CFS'!DU157</f>
        <v>0</v>
      </c>
      <c r="DW33" s="59">
        <f>'BS and CFS'!DW157-'BS and CFS'!DV157</f>
        <v>0</v>
      </c>
      <c r="DX33" s="59">
        <f>'BS and CFS'!DX157-'BS and CFS'!DW157</f>
        <v>0</v>
      </c>
      <c r="DY33" s="86">
        <f t="shared" si="61"/>
        <v>0</v>
      </c>
      <c r="DZ33" s="1858"/>
      <c r="EA33" s="1858"/>
      <c r="EB33" s="1858"/>
    </row>
    <row r="34" spans="1:132" collapsed="1" x14ac:dyDescent="0.2">
      <c r="A34" s="1869"/>
      <c r="B34" s="81" t="s">
        <v>330</v>
      </c>
      <c r="C34" s="82"/>
      <c r="D34" s="82"/>
      <c r="E34" s="82"/>
      <c r="F34" s="82"/>
      <c r="G34" s="82"/>
      <c r="H34" s="82"/>
      <c r="I34" s="84">
        <f>I28+I29+I30+I31+I33</f>
        <v>-389.9</v>
      </c>
      <c r="J34" s="82"/>
      <c r="K34" s="82"/>
      <c r="L34" s="82"/>
      <c r="M34" s="82"/>
      <c r="N34" s="84">
        <f>N28+N29+N30+N31+N33</f>
        <v>-724.5</v>
      </c>
      <c r="O34" s="82"/>
      <c r="P34" s="82"/>
      <c r="Q34" s="82"/>
      <c r="R34" s="82"/>
      <c r="S34" s="84">
        <f>S28+S29+S30+S31+S33</f>
        <v>-613.29999999999995</v>
      </c>
      <c r="T34" s="82"/>
      <c r="U34" s="82"/>
      <c r="V34" s="82"/>
      <c r="W34" s="82"/>
      <c r="X34" s="84">
        <f>X28+X29+X30+X31+X33</f>
        <v>-191.49999999999994</v>
      </c>
      <c r="Y34" s="82"/>
      <c r="Z34" s="82"/>
      <c r="AA34" s="82"/>
      <c r="AB34" s="82"/>
      <c r="AC34" s="84">
        <f>AC28+AC29+AC30+AC31+AC33</f>
        <v>-251.79999999999998</v>
      </c>
      <c r="AD34" s="82"/>
      <c r="AE34" s="82"/>
      <c r="AF34" s="82"/>
      <c r="AG34" s="82"/>
      <c r="AH34" s="84">
        <f>AH28+AH29+AH30+AH31+AH33</f>
        <v>-308.39999999999998</v>
      </c>
      <c r="AI34" s="82"/>
      <c r="AJ34" s="82"/>
      <c r="AK34" s="82"/>
      <c r="AL34" s="82"/>
      <c r="AM34" s="84">
        <f>AM28+AM29+AM30+AM31+AM33</f>
        <v>141.20000000000005</v>
      </c>
      <c r="AN34" s="82"/>
      <c r="AO34" s="82"/>
      <c r="AP34" s="82"/>
      <c r="AQ34" s="82"/>
      <c r="AR34" s="84">
        <f>AR28+AR29+AR30+AR31+AR33</f>
        <v>-237</v>
      </c>
      <c r="AS34" s="82"/>
      <c r="AT34" s="82"/>
      <c r="AU34" s="82"/>
      <c r="AV34" s="82"/>
      <c r="AW34" s="84">
        <f>AW28+AW29+AW30+AW31+AW33</f>
        <v>-557.29999999999995</v>
      </c>
      <c r="AX34" s="82"/>
      <c r="AY34" s="82"/>
      <c r="AZ34" s="82"/>
      <c r="BA34" s="82"/>
      <c r="BB34" s="84">
        <f>BB28+BB29+BB30+BB31+BB33</f>
        <v>-213.39999999999998</v>
      </c>
      <c r="BC34" s="82"/>
      <c r="BD34" s="82"/>
      <c r="BE34" s="82"/>
      <c r="BF34" s="82"/>
      <c r="BG34" s="84">
        <f>BG28+BG29+BG30+BG31+BG33</f>
        <v>-460.00000000000011</v>
      </c>
      <c r="BH34" s="82"/>
      <c r="BI34" s="82"/>
      <c r="BJ34" s="82"/>
      <c r="BK34" s="82"/>
      <c r="BL34" s="84">
        <f>BL28+BL29+BL30+BL31+BL33</f>
        <v>-577.09999999999991</v>
      </c>
      <c r="BM34" s="83">
        <f t="shared" ref="BM34:DJ34" si="62">SUM(BM28:BM33)</f>
        <v>-319.8</v>
      </c>
      <c r="BN34" s="83">
        <f t="shared" si="62"/>
        <v>-487.30000000000007</v>
      </c>
      <c r="BO34" s="83">
        <f t="shared" si="62"/>
        <v>-278.79999999999995</v>
      </c>
      <c r="BP34" s="83">
        <f t="shared" si="62"/>
        <v>437.9</v>
      </c>
      <c r="BQ34" s="84">
        <f t="shared" si="62"/>
        <v>-648</v>
      </c>
      <c r="BR34" s="83">
        <f t="shared" si="62"/>
        <v>-331</v>
      </c>
      <c r="BS34" s="83">
        <f t="shared" si="62"/>
        <v>-886.59999999999991</v>
      </c>
      <c r="BT34" s="83">
        <f t="shared" si="62"/>
        <v>-500.7</v>
      </c>
      <c r="BU34" s="83">
        <f t="shared" si="62"/>
        <v>419.29999999999995</v>
      </c>
      <c r="BV34" s="84">
        <f t="shared" si="62"/>
        <v>-1299</v>
      </c>
      <c r="BW34" s="83">
        <f t="shared" si="62"/>
        <v>-113</v>
      </c>
      <c r="BX34" s="83">
        <f t="shared" si="62"/>
        <v>-515</v>
      </c>
      <c r="BY34" s="83">
        <f t="shared" si="62"/>
        <v>12</v>
      </c>
      <c r="BZ34" s="83">
        <f t="shared" si="62"/>
        <v>576</v>
      </c>
      <c r="CA34" s="84">
        <f t="shared" si="62"/>
        <v>-40</v>
      </c>
      <c r="CB34" s="83">
        <f t="shared" si="62"/>
        <v>752</v>
      </c>
      <c r="CC34" s="83">
        <f t="shared" si="62"/>
        <v>-28</v>
      </c>
      <c r="CD34" s="83">
        <f t="shared" si="62"/>
        <v>636</v>
      </c>
      <c r="CE34" s="83">
        <f t="shared" si="62"/>
        <v>-757</v>
      </c>
      <c r="CF34" s="317">
        <f t="shared" si="62"/>
        <v>603</v>
      </c>
      <c r="CG34" s="83">
        <f t="shared" si="62"/>
        <v>1734</v>
      </c>
      <c r="CH34" s="83">
        <f t="shared" si="62"/>
        <v>-270</v>
      </c>
      <c r="CI34" s="83">
        <f t="shared" si="62"/>
        <v>-677</v>
      </c>
      <c r="CJ34" s="82">
        <f t="shared" si="62"/>
        <v>-129</v>
      </c>
      <c r="CK34" s="317">
        <f t="shared" si="62"/>
        <v>658</v>
      </c>
      <c r="CL34" s="83">
        <f t="shared" si="62"/>
        <v>193</v>
      </c>
      <c r="CM34" s="83">
        <f t="shared" si="62"/>
        <v>-713</v>
      </c>
      <c r="CN34" s="83">
        <f>SUM(CN28:CN33)</f>
        <v>-132</v>
      </c>
      <c r="CO34" s="83">
        <f>SUM(CO28:CO33)</f>
        <v>54</v>
      </c>
      <c r="CP34" s="317">
        <f t="shared" si="62"/>
        <v>-598</v>
      </c>
      <c r="CQ34" s="1787">
        <f>SUM(CQ28:CQ33)</f>
        <v>568</v>
      </c>
      <c r="CR34" s="1754">
        <f>SUM(CR28:CR33)</f>
        <v>-907</v>
      </c>
      <c r="CS34" s="1798">
        <f>SUM(CS28:CS33)</f>
        <v>-244</v>
      </c>
      <c r="CT34" s="1799">
        <f>SUM(CT28:CT33)</f>
        <v>1495</v>
      </c>
      <c r="CU34" s="1870">
        <f t="shared" si="62"/>
        <v>912</v>
      </c>
      <c r="CV34" s="1871">
        <f t="shared" si="62"/>
        <v>332</v>
      </c>
      <c r="CW34" s="1871">
        <f>SUM(CW28:CW33)</f>
        <v>-783</v>
      </c>
      <c r="CX34" s="1871">
        <f>SUM(CX28:CX33)</f>
        <v>167</v>
      </c>
      <c r="CY34" s="1871">
        <f>SUM(CY28:CY33)</f>
        <v>1505</v>
      </c>
      <c r="CZ34" s="1870">
        <f t="shared" si="62"/>
        <v>1221</v>
      </c>
      <c r="DA34" s="1871">
        <f t="shared" ref="DA34:DF34" si="63">SUM(DA28:DA33)</f>
        <v>574</v>
      </c>
      <c r="DB34" s="1871">
        <f t="shared" si="63"/>
        <v>-582</v>
      </c>
      <c r="DC34" s="1871">
        <f t="shared" si="63"/>
        <v>1569</v>
      </c>
      <c r="DD34" s="1871">
        <f t="shared" si="63"/>
        <v>-304</v>
      </c>
      <c r="DE34" s="317">
        <f t="shared" si="63"/>
        <v>1257</v>
      </c>
      <c r="DF34" s="1871">
        <f t="shared" si="63"/>
        <v>1892</v>
      </c>
      <c r="DG34" s="1871">
        <f>SUM(DG28:DG33)</f>
        <v>83</v>
      </c>
      <c r="DH34" s="1871">
        <f>SUM(DH28:DH33)</f>
        <v>209</v>
      </c>
      <c r="DI34" s="1871">
        <f>SUM(DI28:DI33)</f>
        <v>-2600</v>
      </c>
      <c r="DJ34" s="317">
        <f t="shared" si="62"/>
        <v>-416</v>
      </c>
      <c r="DK34" s="82">
        <f t="shared" ref="DK34:DT34" ca="1" si="64">SUM(DK28:DK33)</f>
        <v>-1782.8989594800696</v>
      </c>
      <c r="DL34" s="82">
        <f t="shared" ca="1" si="64"/>
        <v>825.55019507698671</v>
      </c>
      <c r="DM34" s="82">
        <f t="shared" ca="1" si="64"/>
        <v>72.930163704189908</v>
      </c>
      <c r="DN34" s="82">
        <f t="shared" ca="1" si="64"/>
        <v>237.60958148153441</v>
      </c>
      <c r="DO34" s="317">
        <f t="shared" ca="1" si="64"/>
        <v>-646.80901921735858</v>
      </c>
      <c r="DP34" s="82">
        <f t="shared" ca="1" si="64"/>
        <v>-1657.8096271795757</v>
      </c>
      <c r="DQ34" s="82">
        <f t="shared" ca="1" si="64"/>
        <v>878.07489251342213</v>
      </c>
      <c r="DR34" s="82">
        <f t="shared" ca="1" si="64"/>
        <v>74.722247259927826</v>
      </c>
      <c r="DS34" s="82">
        <f t="shared" ca="1" si="64"/>
        <v>282.95595022106318</v>
      </c>
      <c r="DT34" s="317">
        <f t="shared" ca="1" si="64"/>
        <v>-422.0565371851626</v>
      </c>
      <c r="DU34" s="82">
        <f t="shared" ref="DU34:DY34" ca="1" si="65">SUM(DU28:DU33)</f>
        <v>-1315.93863003349</v>
      </c>
      <c r="DV34" s="82">
        <f t="shared" ca="1" si="65"/>
        <v>938.51526113870204</v>
      </c>
      <c r="DW34" s="82">
        <f t="shared" ca="1" si="65"/>
        <v>80.229576352587173</v>
      </c>
      <c r="DX34" s="82">
        <f t="shared" ca="1" si="65"/>
        <v>322.76142846600123</v>
      </c>
      <c r="DY34" s="317">
        <f t="shared" ca="1" si="65"/>
        <v>25.567635923800481</v>
      </c>
      <c r="DZ34" s="1872"/>
      <c r="EA34" s="1872"/>
      <c r="EB34" s="1872"/>
    </row>
    <row r="35" spans="1:132" x14ac:dyDescent="0.2">
      <c r="A35" s="1853"/>
      <c r="B35" s="318" t="s">
        <v>331</v>
      </c>
      <c r="C35" s="80"/>
      <c r="D35" s="80"/>
      <c r="E35" s="319"/>
      <c r="F35" s="319"/>
      <c r="G35" s="319"/>
      <c r="H35" s="319"/>
      <c r="I35" s="320">
        <f>SUM(I8:I9,I14:I24,I34)</f>
        <v>717.39499999999964</v>
      </c>
      <c r="J35" s="319"/>
      <c r="K35" s="319"/>
      <c r="L35" s="319"/>
      <c r="M35" s="319"/>
      <c r="N35" s="320">
        <f>SUM(N8:N9,N14:N24,N34)</f>
        <v>-105.79999999999995</v>
      </c>
      <c r="O35" s="319"/>
      <c r="P35" s="319"/>
      <c r="Q35" s="319"/>
      <c r="R35" s="319"/>
      <c r="S35" s="320">
        <f>SUM(S8:S9,S14:S24,S34)</f>
        <v>292.40000000000009</v>
      </c>
      <c r="T35" s="319"/>
      <c r="U35" s="319"/>
      <c r="V35" s="319"/>
      <c r="W35" s="319"/>
      <c r="X35" s="320">
        <f>SUM(X8:X9,X14:X24,X34)</f>
        <v>726.3</v>
      </c>
      <c r="Y35" s="319"/>
      <c r="Z35" s="319"/>
      <c r="AA35" s="319"/>
      <c r="AB35" s="319"/>
      <c r="AC35" s="320">
        <f>SUM(AC8:AC9,AC14:AC24,AC34)</f>
        <v>780.20700000000011</v>
      </c>
      <c r="AD35" s="319"/>
      <c r="AE35" s="319"/>
      <c r="AF35" s="319"/>
      <c r="AG35" s="319"/>
      <c r="AH35" s="320">
        <f>SUM(AH8:AH9,AH14:AH24,AH34)</f>
        <v>680.6</v>
      </c>
      <c r="AI35" s="319"/>
      <c r="AJ35" s="319"/>
      <c r="AK35" s="319"/>
      <c r="AL35" s="319"/>
      <c r="AM35" s="320">
        <f>SUM(AM8:AM9,AM14:AM24,AM34)</f>
        <v>1204.8000000000002</v>
      </c>
      <c r="AN35" s="319"/>
      <c r="AO35" s="319"/>
      <c r="AP35" s="319"/>
      <c r="AQ35" s="319"/>
      <c r="AR35" s="320">
        <f>SUM(AR8:AR9,AR14:AR24,AR34)</f>
        <v>968.89999999999986</v>
      </c>
      <c r="AS35" s="319"/>
      <c r="AT35" s="319"/>
      <c r="AU35" s="319"/>
      <c r="AV35" s="319"/>
      <c r="AW35" s="320">
        <f>SUM(AW8:AW9,AW14:AW24,AW34)</f>
        <v>914.2</v>
      </c>
      <c r="AX35" s="319"/>
      <c r="AY35" s="319"/>
      <c r="AZ35" s="319"/>
      <c r="BA35" s="319"/>
      <c r="BB35" s="320">
        <f>SUM(BB8:BB9,BB14:BB24,BB34)</f>
        <v>1612.1000000000004</v>
      </c>
      <c r="BC35" s="319"/>
      <c r="BD35" s="319"/>
      <c r="BE35" s="319"/>
      <c r="BF35" s="319"/>
      <c r="BG35" s="320">
        <f>SUM(BG8:BG9,BG14:BG24,BG34)</f>
        <v>1742.4</v>
      </c>
      <c r="BH35" s="319"/>
      <c r="BI35" s="319"/>
      <c r="BJ35" s="319"/>
      <c r="BK35" s="319"/>
      <c r="BL35" s="320">
        <f t="shared" ref="BL35:CT35" si="66">SUM(BL8:BL9,BL14:BL24,BL34)</f>
        <v>3229.7</v>
      </c>
      <c r="BM35" s="319">
        <f t="shared" si="66"/>
        <v>740.79999999999973</v>
      </c>
      <c r="BN35" s="319">
        <f t="shared" si="66"/>
        <v>651.30000000000416</v>
      </c>
      <c r="BO35" s="319">
        <f t="shared" si="66"/>
        <v>786.19999999999868</v>
      </c>
      <c r="BP35" s="319">
        <f t="shared" si="66"/>
        <v>1768.800000000002</v>
      </c>
      <c r="BQ35" s="320">
        <f t="shared" si="66"/>
        <v>3947.1000000000013</v>
      </c>
      <c r="BR35" s="319">
        <f t="shared" si="66"/>
        <v>771.29999999999973</v>
      </c>
      <c r="BS35" s="319">
        <f t="shared" si="66"/>
        <v>551.89999999999691</v>
      </c>
      <c r="BT35" s="319">
        <f t="shared" si="66"/>
        <v>907.40000000000009</v>
      </c>
      <c r="BU35" s="319">
        <f t="shared" si="66"/>
        <v>1804.0000000000016</v>
      </c>
      <c r="BV35" s="320">
        <f t="shared" si="66"/>
        <v>4034.5999999999885</v>
      </c>
      <c r="BW35" s="319">
        <f t="shared" si="66"/>
        <v>1060</v>
      </c>
      <c r="BX35" s="319">
        <f t="shared" si="66"/>
        <v>652</v>
      </c>
      <c r="BY35" s="319">
        <f t="shared" si="66"/>
        <v>1292</v>
      </c>
      <c r="BZ35" s="319">
        <f t="shared" si="66"/>
        <v>1775</v>
      </c>
      <c r="CA35" s="320">
        <f t="shared" si="66"/>
        <v>4779</v>
      </c>
      <c r="CB35" s="319">
        <f t="shared" si="66"/>
        <v>1866</v>
      </c>
      <c r="CC35" s="319">
        <f t="shared" si="66"/>
        <v>1206</v>
      </c>
      <c r="CD35" s="319">
        <f t="shared" si="66"/>
        <v>1962</v>
      </c>
      <c r="CE35" s="319">
        <f t="shared" si="66"/>
        <v>821.99999999999727</v>
      </c>
      <c r="CF35" s="321">
        <f t="shared" si="66"/>
        <v>5855.9999999999909</v>
      </c>
      <c r="CG35" s="319">
        <f t="shared" si="66"/>
        <v>2786</v>
      </c>
      <c r="CH35" s="319">
        <f t="shared" si="66"/>
        <v>1231.4000000000008</v>
      </c>
      <c r="CI35" s="319">
        <f t="shared" si="66"/>
        <v>922.27499999999827</v>
      </c>
      <c r="CJ35" s="80">
        <f>SUM(CJ8:CJ9,CJ14:CJ24,CJ34)</f>
        <v>1731.7</v>
      </c>
      <c r="CK35" s="321">
        <f>SUM(CG35:CJ35)</f>
        <v>6671.3749999999991</v>
      </c>
      <c r="CL35" s="80">
        <f t="shared" si="66"/>
        <v>1640</v>
      </c>
      <c r="CM35" s="319">
        <f t="shared" si="66"/>
        <v>902.69999999999936</v>
      </c>
      <c r="CN35" s="319">
        <f>SUM(CN8:CN9,CN14:CN24,CN34)</f>
        <v>1654.9000000000012</v>
      </c>
      <c r="CO35" s="319">
        <f>SUM(CO8:CO9,CO14:CO24,CO34)</f>
        <v>1541.0000000000016</v>
      </c>
      <c r="CP35" s="321">
        <f t="shared" si="66"/>
        <v>5738.6000000000022</v>
      </c>
      <c r="CQ35" s="318">
        <f t="shared" si="66"/>
        <v>2172</v>
      </c>
      <c r="CR35" s="1789">
        <f t="shared" si="66"/>
        <v>897</v>
      </c>
      <c r="CS35" s="1789">
        <f t="shared" si="66"/>
        <v>1645</v>
      </c>
      <c r="CT35" s="1790">
        <f t="shared" si="66"/>
        <v>3423</v>
      </c>
      <c r="CU35" s="1873">
        <f>SUM(CU8:CU9,CU14:CU24,CU34)</f>
        <v>8136.9</v>
      </c>
      <c r="CV35" s="1874">
        <f>SUM(CV8:CV9,CV14:CV24,CV34)</f>
        <v>1984</v>
      </c>
      <c r="CW35" s="1874">
        <f>SUM(CW8:CW9,CW14:CW24,CW34)</f>
        <v>1037</v>
      </c>
      <c r="CX35" s="1874">
        <f>SUM(CX8:CX9,CX14:CX24,CX34)</f>
        <v>1819</v>
      </c>
      <c r="CY35" s="1874">
        <f>SUM(CY8:CY9,CY14:CY24,CY34)</f>
        <v>3572</v>
      </c>
      <c r="CZ35" s="1873">
        <f>SUM(CV35:CY35)</f>
        <v>8412</v>
      </c>
      <c r="DA35" s="1874">
        <f>SUM(DA8:DA9,DA14:DA24,DA34)</f>
        <v>2412</v>
      </c>
      <c r="DB35" s="1874">
        <f>SUM(DB8:DB9,DB14:DB24,DB34)</f>
        <v>1611</v>
      </c>
      <c r="DC35" s="1874">
        <f>SUM(DC8:DC9,DC14:DC24,DC34)</f>
        <v>3925</v>
      </c>
      <c r="DD35" s="1874">
        <f>SUM(DD8:DD9,DD14:DD24,DD34)</f>
        <v>2121</v>
      </c>
      <c r="DE35" s="2687">
        <f>SUM(DA35:DD35)</f>
        <v>10069</v>
      </c>
      <c r="DF35" s="1874">
        <f>SUM(DF8:DF9,DF14:DF24,DF34)</f>
        <v>3533</v>
      </c>
      <c r="DG35" s="1874">
        <f>SUM(DG8:DG9,DG14:DG24,DG34)</f>
        <v>1999</v>
      </c>
      <c r="DH35" s="1874">
        <f>SUM(DH8:DH9,DH14:DH24,DH34)</f>
        <v>2611</v>
      </c>
      <c r="DI35" s="1874">
        <f>SUM(DI8:DI9,DI14:DI24,DI34)</f>
        <v>-136</v>
      </c>
      <c r="DJ35" s="321">
        <f>SUM(DF35:DI35)</f>
        <v>8007</v>
      </c>
      <c r="DK35" s="80">
        <f ca="1">SUM(DK8:DK9,DK14:DK24,DK34)</f>
        <v>192.07592399989062</v>
      </c>
      <c r="DL35" s="80">
        <f ca="1">SUM(DL8:DL9,DL14:DL24,DL34)</f>
        <v>2799.0836960977658</v>
      </c>
      <c r="DM35" s="80">
        <f ca="1">SUM(DM8:DM9,DM14:DM24,DM34)</f>
        <v>2187.6356562620767</v>
      </c>
      <c r="DN35" s="80">
        <f ca="1">SUM(DN8:DN9,DN14:DN24,DN34)</f>
        <v>2709.8333162250838</v>
      </c>
      <c r="DO35" s="321">
        <f ca="1">SUM(DK35:DN35)</f>
        <v>7888.6285925848169</v>
      </c>
      <c r="DP35" s="80">
        <f ca="1">SUM(DP8:DP9,DP14:DP24,DP34)</f>
        <v>217.58962060249451</v>
      </c>
      <c r="DQ35" s="80">
        <f ca="1">SUM(DQ8:DQ9,DQ14:DQ24,DQ34)</f>
        <v>2944.3234914168156</v>
      </c>
      <c r="DR35" s="80">
        <f ca="1">SUM(DR8:DR9,DR14:DR24,DR34)</f>
        <v>2266.9212160027164</v>
      </c>
      <c r="DS35" s="80">
        <f ca="1">SUM(DS8:DS9,DS14:DS24,DS34)</f>
        <v>2832.451281048639</v>
      </c>
      <c r="DT35" s="321">
        <f ca="1">SUM(DP35:DS35)</f>
        <v>8261.2856090706664</v>
      </c>
      <c r="DU35" s="80">
        <f ca="1">SUM(DU8:DU9,DU14:DU24,DU34)</f>
        <v>637.19507781502625</v>
      </c>
      <c r="DV35" s="80">
        <f ca="1">SUM(DV8:DV9,DV14:DV24,DV34)</f>
        <v>3095.9379211334276</v>
      </c>
      <c r="DW35" s="80">
        <f ca="1">SUM(DW8:DW9,DW14:DW24,DW34)</f>
        <v>2373.6352035721193</v>
      </c>
      <c r="DX35" s="80">
        <f ca="1">SUM(DX8:DX9,DX14:DX24,DX34)</f>
        <v>2977.6015828137552</v>
      </c>
      <c r="DY35" s="321">
        <f ca="1">SUM(DU35:DX35)</f>
        <v>9084.3697853343292</v>
      </c>
      <c r="DZ35" s="1869"/>
      <c r="EA35" s="1858"/>
      <c r="EB35" s="1858"/>
    </row>
    <row r="36" spans="1:132" x14ac:dyDescent="0.2">
      <c r="A36" s="1853"/>
      <c r="B36" s="318"/>
      <c r="C36" s="80"/>
      <c r="D36" s="80"/>
      <c r="E36" s="80"/>
      <c r="F36" s="80"/>
      <c r="G36" s="80"/>
      <c r="H36" s="80"/>
      <c r="I36" s="321"/>
      <c r="J36" s="80"/>
      <c r="K36" s="80"/>
      <c r="L36" s="80"/>
      <c r="M36" s="80"/>
      <c r="N36" s="321"/>
      <c r="O36" s="80"/>
      <c r="P36" s="80"/>
      <c r="Q36" s="80"/>
      <c r="R36" s="80"/>
      <c r="S36" s="321"/>
      <c r="T36" s="80"/>
      <c r="U36" s="80"/>
      <c r="V36" s="80"/>
      <c r="W36" s="80"/>
      <c r="X36" s="321"/>
      <c r="Y36" s="80"/>
      <c r="Z36" s="80"/>
      <c r="AA36" s="80"/>
      <c r="AB36" s="80"/>
      <c r="AC36" s="321"/>
      <c r="AD36" s="80"/>
      <c r="AE36" s="80"/>
      <c r="AF36" s="80"/>
      <c r="AG36" s="80"/>
      <c r="AH36" s="321"/>
      <c r="AI36" s="80"/>
      <c r="AJ36" s="80"/>
      <c r="AK36" s="80"/>
      <c r="AL36" s="80"/>
      <c r="AM36" s="321"/>
      <c r="AN36" s="80"/>
      <c r="AO36" s="80"/>
      <c r="AP36" s="80"/>
      <c r="AQ36" s="80"/>
      <c r="AR36" s="321"/>
      <c r="AS36" s="80"/>
      <c r="AT36" s="80"/>
      <c r="AU36" s="80"/>
      <c r="AV36" s="80"/>
      <c r="AW36" s="321"/>
      <c r="AX36" s="80"/>
      <c r="AY36" s="80"/>
      <c r="AZ36" s="80"/>
      <c r="BA36" s="80"/>
      <c r="BB36" s="321"/>
      <c r="BC36" s="80"/>
      <c r="BD36" s="80"/>
      <c r="BE36" s="80"/>
      <c r="BF36" s="80"/>
      <c r="BG36" s="321"/>
      <c r="BH36" s="80"/>
      <c r="BI36" s="80"/>
      <c r="BJ36" s="80"/>
      <c r="BK36" s="80"/>
      <c r="BL36" s="321"/>
      <c r="BM36" s="80"/>
      <c r="BN36" s="80"/>
      <c r="BO36" s="80"/>
      <c r="BP36" s="80"/>
      <c r="BQ36" s="321"/>
      <c r="BR36" s="80"/>
      <c r="BS36" s="80"/>
      <c r="BT36" s="80"/>
      <c r="BU36" s="80"/>
      <c r="BV36" s="321"/>
      <c r="BW36" s="80"/>
      <c r="BX36" s="80"/>
      <c r="BY36" s="80"/>
      <c r="BZ36" s="80"/>
      <c r="CA36" s="321"/>
      <c r="CB36" s="80"/>
      <c r="CC36" s="80"/>
      <c r="CD36" s="80"/>
      <c r="CE36" s="80"/>
      <c r="CF36" s="321"/>
      <c r="CG36" s="80"/>
      <c r="CH36" s="80"/>
      <c r="CI36" s="80"/>
      <c r="CJ36" s="80"/>
      <c r="CK36" s="321"/>
      <c r="CL36" s="80"/>
      <c r="CM36" s="80"/>
      <c r="CN36" s="80"/>
      <c r="CO36" s="80"/>
      <c r="CP36" s="321"/>
      <c r="CQ36" s="318"/>
      <c r="CR36" s="1789"/>
      <c r="CS36" s="1789"/>
      <c r="CT36" s="1790"/>
      <c r="CU36" s="1873"/>
      <c r="CV36" s="1874"/>
      <c r="CW36" s="1874"/>
      <c r="CX36" s="1874"/>
      <c r="CY36" s="1874"/>
      <c r="CZ36" s="1873"/>
      <c r="DA36" s="1874"/>
      <c r="DB36" s="1874"/>
      <c r="DC36" s="1874"/>
      <c r="DD36" s="1874"/>
      <c r="DE36" s="2687"/>
      <c r="DF36" s="1874"/>
      <c r="DG36" s="1874"/>
      <c r="DH36" s="1874"/>
      <c r="DI36" s="1874"/>
      <c r="DJ36" s="321"/>
      <c r="DK36" s="80"/>
      <c r="DL36" s="80"/>
      <c r="DM36" s="80"/>
      <c r="DN36" s="80"/>
      <c r="DO36" s="321"/>
      <c r="DP36" s="80"/>
      <c r="DQ36" s="80"/>
      <c r="DR36" s="80"/>
      <c r="DS36" s="80"/>
      <c r="DT36" s="321"/>
      <c r="DU36" s="80"/>
      <c r="DV36" s="80"/>
      <c r="DW36" s="80"/>
      <c r="DX36" s="80"/>
      <c r="DY36" s="321"/>
      <c r="DZ36" s="1869"/>
      <c r="EA36" s="1858"/>
      <c r="EB36" s="1858"/>
    </row>
    <row r="37" spans="1:132" x14ac:dyDescent="0.2">
      <c r="A37" s="1853"/>
      <c r="B37" s="58" t="s">
        <v>332</v>
      </c>
      <c r="C37" s="59"/>
      <c r="D37" s="59"/>
      <c r="E37" s="59"/>
      <c r="F37" s="59"/>
      <c r="G37" s="59"/>
      <c r="H37" s="59"/>
      <c r="I37" s="63">
        <v>-328.9</v>
      </c>
      <c r="J37" s="59"/>
      <c r="K37" s="59"/>
      <c r="L37" s="59"/>
      <c r="M37" s="59"/>
      <c r="N37" s="63">
        <v>-341.6</v>
      </c>
      <c r="O37" s="59"/>
      <c r="P37" s="59"/>
      <c r="Q37" s="59"/>
      <c r="R37" s="59"/>
      <c r="S37" s="63">
        <v>-502.3</v>
      </c>
      <c r="T37" s="59"/>
      <c r="U37" s="59"/>
      <c r="V37" s="59"/>
      <c r="W37" s="59"/>
      <c r="X37" s="63">
        <v>-722.7</v>
      </c>
      <c r="Y37" s="59"/>
      <c r="Z37" s="59"/>
      <c r="AA37" s="59"/>
      <c r="AB37" s="59"/>
      <c r="AC37" s="63">
        <v>-695.3</v>
      </c>
      <c r="AD37" s="59"/>
      <c r="AE37" s="59"/>
      <c r="AF37" s="59"/>
      <c r="AG37" s="59"/>
      <c r="AH37" s="63">
        <v>-713.6</v>
      </c>
      <c r="AI37" s="59"/>
      <c r="AJ37" s="59"/>
      <c r="AK37" s="59"/>
      <c r="AL37" s="59"/>
      <c r="AM37" s="63">
        <v>-1108.8</v>
      </c>
      <c r="AN37" s="59"/>
      <c r="AO37" s="59"/>
      <c r="AP37" s="59"/>
      <c r="AQ37" s="59"/>
      <c r="AR37" s="63">
        <v>-1121.7</v>
      </c>
      <c r="AS37" s="59"/>
      <c r="AT37" s="59"/>
      <c r="AU37" s="59"/>
      <c r="AV37" s="59"/>
      <c r="AW37" s="63">
        <v>-1347.7</v>
      </c>
      <c r="AX37" s="59"/>
      <c r="AY37" s="59"/>
      <c r="AZ37" s="59"/>
      <c r="BA37" s="59"/>
      <c r="BB37" s="63">
        <v>-1495.4</v>
      </c>
      <c r="BC37" s="59"/>
      <c r="BD37" s="59"/>
      <c r="BE37" s="59"/>
      <c r="BF37" s="59"/>
      <c r="BG37" s="63">
        <v>-1768.9</v>
      </c>
      <c r="BH37" s="59"/>
      <c r="BI37" s="59"/>
      <c r="BJ37" s="59"/>
      <c r="BK37" s="59"/>
      <c r="BL37" s="63">
        <v>-1805.3</v>
      </c>
      <c r="BM37" s="62">
        <f t="shared" ref="BM37:BM44" si="67">BM102</f>
        <v>-400.3</v>
      </c>
      <c r="BN37" s="62">
        <f t="shared" ref="BN37:BP44" si="68">BN102-BM102</f>
        <v>-555</v>
      </c>
      <c r="BO37" s="62">
        <f t="shared" si="68"/>
        <v>-527.90000000000009</v>
      </c>
      <c r="BP37" s="62">
        <f t="shared" si="68"/>
        <v>-696.7</v>
      </c>
      <c r="BQ37" s="63">
        <v>-2179.9</v>
      </c>
      <c r="BR37" s="62">
        <f t="shared" ref="BR37:BR44" si="69">BR102</f>
        <v>-466.4</v>
      </c>
      <c r="BS37" s="62">
        <f t="shared" ref="BS37:BU44" si="70">BS102-BR102</f>
        <v>-624.9</v>
      </c>
      <c r="BT37" s="62">
        <f t="shared" si="70"/>
        <v>-661.2</v>
      </c>
      <c r="BU37" s="62">
        <f t="shared" si="70"/>
        <v>-795.5</v>
      </c>
      <c r="BV37" s="63">
        <v>-2548</v>
      </c>
      <c r="BW37" s="62">
        <f t="shared" ref="BW37:BW44" si="71">BW102</f>
        <v>-401</v>
      </c>
      <c r="BX37" s="62">
        <f t="shared" ref="BX37:BZ44" si="72">BX102-BW102</f>
        <v>-465</v>
      </c>
      <c r="BY37" s="62">
        <f t="shared" si="72"/>
        <v>-513</v>
      </c>
      <c r="BZ37" s="62">
        <f t="shared" si="72"/>
        <v>-626</v>
      </c>
      <c r="CA37" s="61">
        <f t="shared" ref="CA37:CA44" si="73">SUM(BW37:BZ37)</f>
        <v>-2005</v>
      </c>
      <c r="CB37" s="62">
        <f t="shared" ref="CB37:CB44" si="74">CB102</f>
        <v>-309</v>
      </c>
      <c r="CC37" s="62">
        <f t="shared" ref="CC37:CE44" si="75">CC102-CB102</f>
        <v>-401</v>
      </c>
      <c r="CD37" s="62">
        <f t="shared" si="75"/>
        <v>-458</v>
      </c>
      <c r="CE37" s="62">
        <f t="shared" si="75"/>
        <v>-704</v>
      </c>
      <c r="CF37" s="86">
        <f t="shared" ref="CF37:CF44" si="76">SUM(CB37:CE37)</f>
        <v>-1872</v>
      </c>
      <c r="CG37" s="62">
        <f t="shared" ref="CG37:CG44" si="77">CG102</f>
        <v>-376</v>
      </c>
      <c r="CH37" s="62">
        <f t="shared" ref="CH37:CJ44" si="78">CH102-CG102</f>
        <v>-442</v>
      </c>
      <c r="CI37" s="62">
        <f t="shared" si="78"/>
        <v>-496</v>
      </c>
      <c r="CJ37" s="62">
        <f t="shared" si="78"/>
        <v>-716</v>
      </c>
      <c r="CK37" s="86">
        <f t="shared" ref="CK37:CK44" si="79">SUM(CG37:CJ37)</f>
        <v>-2030</v>
      </c>
      <c r="CL37" s="62">
        <f t="shared" ref="CL37:CL44" si="80">CL102</f>
        <v>-318</v>
      </c>
      <c r="CM37" s="62">
        <f t="shared" ref="CM37:CO44" si="81">CM102-CL102</f>
        <v>-486</v>
      </c>
      <c r="CN37" s="62">
        <f t="shared" si="81"/>
        <v>-526</v>
      </c>
      <c r="CO37" s="62">
        <f t="shared" si="81"/>
        <v>-654</v>
      </c>
      <c r="CP37" s="86">
        <f t="shared" ref="CP37:CP44" si="82">SUM(CL37:CO37)</f>
        <v>-1984</v>
      </c>
      <c r="CQ37" s="1781">
        <f>CQ102-CP102</f>
        <v>-388</v>
      </c>
      <c r="CR37" s="1782">
        <f>CR102-CQ102</f>
        <v>-503</v>
      </c>
      <c r="CS37" s="1782">
        <f>CS102-CR102</f>
        <v>-545</v>
      </c>
      <c r="CT37" s="1785">
        <f>CT102-CS102</f>
        <v>-700</v>
      </c>
      <c r="CU37" s="1857">
        <f t="shared" ref="CU37:CU44" si="83">SUM(CQ37:CT37)</f>
        <v>-2136</v>
      </c>
      <c r="CV37" s="1703">
        <v>-419</v>
      </c>
      <c r="CW37" s="1703">
        <f t="shared" ref="CW37:CY44" si="84">CW102-CV102</f>
        <v>-523</v>
      </c>
      <c r="CX37" s="1703">
        <f t="shared" si="84"/>
        <v>-548</v>
      </c>
      <c r="CY37" s="1703">
        <f t="shared" si="84"/>
        <v>-877</v>
      </c>
      <c r="CZ37" s="1857">
        <f t="shared" ref="CZ37:CZ44" si="85">SUM(CV37:CY37)</f>
        <v>-2367</v>
      </c>
      <c r="DA37" s="1703">
        <f>DA102-CZ102</f>
        <v>-598</v>
      </c>
      <c r="DB37" s="1703">
        <f>DB102-DA102</f>
        <v>-504</v>
      </c>
      <c r="DC37" s="1703">
        <f>DC102-DB102</f>
        <v>-505</v>
      </c>
      <c r="DD37" s="1703">
        <f>DD102-DC102</f>
        <v>-617</v>
      </c>
      <c r="DE37" s="2627">
        <f t="shared" ref="DE37:DE44" si="86">SUM(DA37:DD37)</f>
        <v>-2224</v>
      </c>
      <c r="DF37" s="1703">
        <f t="shared" ref="DF37:DI44" si="87">DF102-DE102</f>
        <v>-457</v>
      </c>
      <c r="DG37" s="1703">
        <f t="shared" si="87"/>
        <v>-431</v>
      </c>
      <c r="DH37" s="1703">
        <f t="shared" si="87"/>
        <v>-524</v>
      </c>
      <c r="DI37" s="1703">
        <f t="shared" si="87"/>
        <v>-506</v>
      </c>
      <c r="DJ37" s="86">
        <f t="shared" ref="DJ37:DJ44" si="88">SUM(DF37:DI37)</f>
        <v>-1918</v>
      </c>
      <c r="DK37" s="322">
        <f>DF37</f>
        <v>-457</v>
      </c>
      <c r="DL37" s="322">
        <f t="shared" ref="DL37:DN37" si="89">DG37</f>
        <v>-431</v>
      </c>
      <c r="DM37" s="322">
        <f t="shared" si="89"/>
        <v>-524</v>
      </c>
      <c r="DN37" s="322">
        <f t="shared" si="89"/>
        <v>-506</v>
      </c>
      <c r="DO37" s="86">
        <f t="shared" ref="DO37:DO44" si="90">SUM(DK37:DN37)</f>
        <v>-1918</v>
      </c>
      <c r="DP37" s="322">
        <f>DK37*1.03</f>
        <v>-470.71000000000004</v>
      </c>
      <c r="DQ37" s="322">
        <f t="shared" ref="DQ37:DS37" si="91">DL37*1.03</f>
        <v>-443.93</v>
      </c>
      <c r="DR37" s="322">
        <f t="shared" si="91"/>
        <v>-539.72</v>
      </c>
      <c r="DS37" s="322">
        <f t="shared" si="91"/>
        <v>-521.18000000000006</v>
      </c>
      <c r="DT37" s="86">
        <f t="shared" ref="DT37:DT44" si="92">SUM(DP37:DS37)</f>
        <v>-1975.5400000000002</v>
      </c>
      <c r="DU37" s="322">
        <f>DP37*1.03</f>
        <v>-484.83130000000006</v>
      </c>
      <c r="DV37" s="322">
        <f t="shared" ref="DV37" si="93">DQ37*1.03</f>
        <v>-457.24790000000002</v>
      </c>
      <c r="DW37" s="322">
        <f t="shared" ref="DW37" si="94">DR37*1.03</f>
        <v>-555.91160000000002</v>
      </c>
      <c r="DX37" s="322">
        <f t="shared" ref="DX37" si="95">DS37*1.03</f>
        <v>-536.81540000000007</v>
      </c>
      <c r="DY37" s="86">
        <f t="shared" ref="DY37:DY44" si="96">SUM(DU37:DX37)</f>
        <v>-2034.8062</v>
      </c>
      <c r="DZ37" s="1858"/>
      <c r="EA37" s="1858"/>
      <c r="EB37" s="1858"/>
    </row>
    <row r="38" spans="1:132" x14ac:dyDescent="0.2">
      <c r="A38" s="1853"/>
      <c r="B38" s="58" t="s">
        <v>333</v>
      </c>
      <c r="C38" s="59"/>
      <c r="D38" s="59"/>
      <c r="E38" s="59"/>
      <c r="F38" s="59"/>
      <c r="G38" s="59"/>
      <c r="H38" s="59"/>
      <c r="I38" s="63">
        <v>0</v>
      </c>
      <c r="J38" s="59"/>
      <c r="K38" s="59"/>
      <c r="L38" s="59"/>
      <c r="M38" s="59"/>
      <c r="N38" s="63">
        <v>0</v>
      </c>
      <c r="O38" s="59"/>
      <c r="P38" s="59"/>
      <c r="Q38" s="59"/>
      <c r="R38" s="59"/>
      <c r="S38" s="63">
        <v>0</v>
      </c>
      <c r="T38" s="59"/>
      <c r="U38" s="59"/>
      <c r="V38" s="59"/>
      <c r="W38" s="59"/>
      <c r="X38" s="63">
        <v>229.2</v>
      </c>
      <c r="Y38" s="59"/>
      <c r="Z38" s="59"/>
      <c r="AA38" s="59"/>
      <c r="AB38" s="59"/>
      <c r="AC38" s="63">
        <v>299.3</v>
      </c>
      <c r="AD38" s="59"/>
      <c r="AE38" s="59"/>
      <c r="AF38" s="59"/>
      <c r="AG38" s="59"/>
      <c r="AH38" s="63">
        <v>323.3</v>
      </c>
      <c r="AI38" s="59"/>
      <c r="AJ38" s="59"/>
      <c r="AK38" s="59"/>
      <c r="AL38" s="59"/>
      <c r="AM38" s="63">
        <v>448.8</v>
      </c>
      <c r="AN38" s="59"/>
      <c r="AO38" s="59"/>
      <c r="AP38" s="59"/>
      <c r="AQ38" s="59"/>
      <c r="AR38" s="63">
        <v>487.8</v>
      </c>
      <c r="AS38" s="59"/>
      <c r="AT38" s="59"/>
      <c r="AU38" s="59"/>
      <c r="AV38" s="59"/>
      <c r="AW38" s="63">
        <v>496.6</v>
      </c>
      <c r="AX38" s="59"/>
      <c r="AY38" s="59"/>
      <c r="AZ38" s="59"/>
      <c r="BA38" s="59"/>
      <c r="BB38" s="63">
        <v>539.9</v>
      </c>
      <c r="BC38" s="59"/>
      <c r="BD38" s="59"/>
      <c r="BE38" s="59"/>
      <c r="BF38" s="59"/>
      <c r="BG38" s="63">
        <f>595.2+780.4</f>
        <v>1375.6</v>
      </c>
      <c r="BH38" s="59"/>
      <c r="BI38" s="59"/>
      <c r="BJ38" s="59"/>
      <c r="BK38" s="59"/>
      <c r="BL38" s="63">
        <v>601.29999999999995</v>
      </c>
      <c r="BM38" s="62">
        <f t="shared" si="67"/>
        <v>5.3</v>
      </c>
      <c r="BN38" s="62">
        <f t="shared" si="68"/>
        <v>64.3</v>
      </c>
      <c r="BO38" s="62">
        <f t="shared" si="68"/>
        <v>127.30000000000001</v>
      </c>
      <c r="BP38" s="62">
        <f t="shared" si="68"/>
        <v>6.9000000000000057</v>
      </c>
      <c r="BQ38" s="63">
        <v>203.8</v>
      </c>
      <c r="BR38" s="62">
        <f t="shared" si="69"/>
        <v>5.8</v>
      </c>
      <c r="BS38" s="62">
        <f t="shared" si="70"/>
        <v>497.3</v>
      </c>
      <c r="BT38" s="62">
        <f t="shared" si="70"/>
        <v>245.10000000000002</v>
      </c>
      <c r="BU38" s="62">
        <f t="shared" si="70"/>
        <v>813.8</v>
      </c>
      <c r="BV38" s="63">
        <v>1562</v>
      </c>
      <c r="BW38" s="62">
        <f t="shared" si="71"/>
        <v>0</v>
      </c>
      <c r="BX38" s="62">
        <f t="shared" si="72"/>
        <v>0</v>
      </c>
      <c r="BY38" s="62">
        <f t="shared" si="72"/>
        <v>124</v>
      </c>
      <c r="BZ38" s="62">
        <f t="shared" si="72"/>
        <v>383</v>
      </c>
      <c r="CA38" s="61">
        <f t="shared" si="73"/>
        <v>507</v>
      </c>
      <c r="CB38" s="62">
        <f t="shared" si="74"/>
        <v>11</v>
      </c>
      <c r="CC38" s="62">
        <f t="shared" si="75"/>
        <v>0</v>
      </c>
      <c r="CD38" s="62">
        <f t="shared" si="75"/>
        <v>0</v>
      </c>
      <c r="CE38" s="62">
        <f t="shared" si="75"/>
        <v>581</v>
      </c>
      <c r="CF38" s="86">
        <f t="shared" si="76"/>
        <v>592</v>
      </c>
      <c r="CG38" s="62">
        <f t="shared" si="77"/>
        <v>0</v>
      </c>
      <c r="CH38" s="62">
        <f t="shared" si="78"/>
        <v>0</v>
      </c>
      <c r="CI38" s="62">
        <f t="shared" si="78"/>
        <v>427</v>
      </c>
      <c r="CJ38" s="62">
        <f t="shared" si="78"/>
        <v>102</v>
      </c>
      <c r="CK38" s="86">
        <f t="shared" si="79"/>
        <v>529</v>
      </c>
      <c r="CL38" s="62">
        <f t="shared" si="80"/>
        <v>0</v>
      </c>
      <c r="CM38" s="62">
        <f t="shared" si="81"/>
        <v>0</v>
      </c>
      <c r="CN38" s="62">
        <f t="shared" si="81"/>
        <v>156</v>
      </c>
      <c r="CO38" s="62">
        <f t="shared" si="81"/>
        <v>444</v>
      </c>
      <c r="CP38" s="86">
        <f t="shared" si="82"/>
        <v>600</v>
      </c>
      <c r="CQ38" s="1781">
        <f t="shared" ref="CQ38:CT44" si="97">CQ103-CP103</f>
        <v>5</v>
      </c>
      <c r="CR38" s="1782">
        <f t="shared" si="97"/>
        <v>0</v>
      </c>
      <c r="CS38" s="1782">
        <f t="shared" si="97"/>
        <v>323</v>
      </c>
      <c r="CT38" s="1785">
        <f t="shared" si="97"/>
        <v>187</v>
      </c>
      <c r="CU38" s="1857">
        <f t="shared" si="83"/>
        <v>515</v>
      </c>
      <c r="CV38" s="1703">
        <v>25</v>
      </c>
      <c r="CW38" s="1703">
        <f t="shared" si="84"/>
        <v>9</v>
      </c>
      <c r="CX38" s="1703">
        <f t="shared" si="84"/>
        <v>0</v>
      </c>
      <c r="CY38" s="1703">
        <f t="shared" si="84"/>
        <v>377</v>
      </c>
      <c r="CZ38" s="1857">
        <f t="shared" si="85"/>
        <v>411</v>
      </c>
      <c r="DA38" s="1703">
        <f t="shared" ref="DA38:DD44" si="98">DA103-CZ103</f>
        <v>0</v>
      </c>
      <c r="DB38" s="1703">
        <f t="shared" si="98"/>
        <v>0</v>
      </c>
      <c r="DC38" s="1703">
        <f t="shared" si="98"/>
        <v>230</v>
      </c>
      <c r="DD38" s="1703">
        <f t="shared" si="98"/>
        <v>0</v>
      </c>
      <c r="DE38" s="2627">
        <f t="shared" si="86"/>
        <v>230</v>
      </c>
      <c r="DF38" s="1703">
        <f t="shared" si="87"/>
        <v>0</v>
      </c>
      <c r="DG38" s="1703">
        <f t="shared" si="87"/>
        <v>13</v>
      </c>
      <c r="DH38" s="1703">
        <f t="shared" si="87"/>
        <v>252</v>
      </c>
      <c r="DI38" s="1703">
        <f t="shared" si="87"/>
        <v>0</v>
      </c>
      <c r="DJ38" s="86">
        <f t="shared" si="88"/>
        <v>265</v>
      </c>
      <c r="DK38" s="322">
        <f>300/4</f>
        <v>75</v>
      </c>
      <c r="DL38" s="322">
        <f t="shared" ref="DL38:DN38" si="99">300/4</f>
        <v>75</v>
      </c>
      <c r="DM38" s="322">
        <f t="shared" si="99"/>
        <v>75</v>
      </c>
      <c r="DN38" s="322">
        <f t="shared" si="99"/>
        <v>75</v>
      </c>
      <c r="DO38" s="86">
        <f t="shared" si="90"/>
        <v>300</v>
      </c>
      <c r="DP38" s="322">
        <f>300/4</f>
        <v>75</v>
      </c>
      <c r="DQ38" s="322">
        <f t="shared" ref="DQ38:DS38" si="100">300/4</f>
        <v>75</v>
      </c>
      <c r="DR38" s="322">
        <f t="shared" si="100"/>
        <v>75</v>
      </c>
      <c r="DS38" s="322">
        <f t="shared" si="100"/>
        <v>75</v>
      </c>
      <c r="DT38" s="86">
        <f t="shared" si="92"/>
        <v>300</v>
      </c>
      <c r="DU38" s="322">
        <f>300/4</f>
        <v>75</v>
      </c>
      <c r="DV38" s="322">
        <f t="shared" ref="DV38:DX38" si="101">300/4</f>
        <v>75</v>
      </c>
      <c r="DW38" s="322">
        <f t="shared" si="101"/>
        <v>75</v>
      </c>
      <c r="DX38" s="322">
        <f t="shared" si="101"/>
        <v>75</v>
      </c>
      <c r="DY38" s="86">
        <f t="shared" si="96"/>
        <v>300</v>
      </c>
      <c r="DZ38" s="1858"/>
      <c r="EA38" s="1858"/>
      <c r="EB38" s="1858"/>
    </row>
    <row r="39" spans="1:132" x14ac:dyDescent="0.2">
      <c r="A39" s="1853"/>
      <c r="B39" s="58" t="s">
        <v>334</v>
      </c>
      <c r="C39" s="59"/>
      <c r="D39" s="59"/>
      <c r="E39" s="59"/>
      <c r="F39" s="59"/>
      <c r="G39" s="59"/>
      <c r="H39" s="59"/>
      <c r="I39" s="63">
        <v>-373.9</v>
      </c>
      <c r="J39" s="59"/>
      <c r="K39" s="59"/>
      <c r="L39" s="59"/>
      <c r="M39" s="59"/>
      <c r="N39" s="63">
        <v>0</v>
      </c>
      <c r="O39" s="59"/>
      <c r="P39" s="59"/>
      <c r="Q39" s="59"/>
      <c r="R39" s="59"/>
      <c r="S39" s="63">
        <v>-133.6</v>
      </c>
      <c r="T39" s="59"/>
      <c r="U39" s="59"/>
      <c r="V39" s="59"/>
      <c r="W39" s="59"/>
      <c r="X39" s="63">
        <v>-101.1</v>
      </c>
      <c r="Y39" s="59"/>
      <c r="Z39" s="59"/>
      <c r="AA39" s="59"/>
      <c r="AB39" s="59"/>
      <c r="AC39" s="63">
        <v>-263.3</v>
      </c>
      <c r="AD39" s="59"/>
      <c r="AE39" s="59"/>
      <c r="AF39" s="59"/>
      <c r="AG39" s="59"/>
      <c r="AH39" s="63">
        <v>-159.1</v>
      </c>
      <c r="AI39" s="59"/>
      <c r="AJ39" s="59"/>
      <c r="AK39" s="59"/>
      <c r="AL39" s="59"/>
      <c r="AM39" s="63">
        <v>-93.5</v>
      </c>
      <c r="AN39" s="59"/>
      <c r="AO39" s="59"/>
      <c r="AP39" s="59"/>
      <c r="AQ39" s="59"/>
      <c r="AR39" s="63">
        <v>-133.1</v>
      </c>
      <c r="AS39" s="59"/>
      <c r="AT39" s="59"/>
      <c r="AU39" s="59"/>
      <c r="AV39" s="59"/>
      <c r="AW39" s="63">
        <v>-2293.6999999999998</v>
      </c>
      <c r="AX39" s="59"/>
      <c r="AY39" s="59"/>
      <c r="AZ39" s="59"/>
      <c r="BA39" s="59"/>
      <c r="BB39" s="63">
        <v>12.1</v>
      </c>
      <c r="BC39" s="59"/>
      <c r="BD39" s="59"/>
      <c r="BE39" s="59"/>
      <c r="BF39" s="59"/>
      <c r="BG39" s="63">
        <v>-4224.2</v>
      </c>
      <c r="BH39" s="59"/>
      <c r="BI39" s="59"/>
      <c r="BJ39" s="59"/>
      <c r="BK39" s="59"/>
      <c r="BL39" s="63">
        <v>-1983.3</v>
      </c>
      <c r="BM39" s="62">
        <f t="shared" si="67"/>
        <v>15.9</v>
      </c>
      <c r="BN39" s="62">
        <f t="shared" si="68"/>
        <v>-29.9</v>
      </c>
      <c r="BO39" s="62">
        <f t="shared" si="68"/>
        <v>-13.899999999999999</v>
      </c>
      <c r="BP39" s="62">
        <f t="shared" si="68"/>
        <v>-2622.7999999999997</v>
      </c>
      <c r="BQ39" s="63">
        <v>-2650.7</v>
      </c>
      <c r="BR39" s="62">
        <f t="shared" si="69"/>
        <v>13.1</v>
      </c>
      <c r="BS39" s="62">
        <f t="shared" si="70"/>
        <v>-39.4</v>
      </c>
      <c r="BT39" s="62">
        <f t="shared" si="70"/>
        <v>-16.999999999999996</v>
      </c>
      <c r="BU39" s="62">
        <f t="shared" si="70"/>
        <v>-57.7</v>
      </c>
      <c r="BV39" s="63">
        <v>-101</v>
      </c>
      <c r="BW39" s="62">
        <f t="shared" si="71"/>
        <v>-9</v>
      </c>
      <c r="BX39" s="62">
        <f t="shared" si="72"/>
        <v>-16</v>
      </c>
      <c r="BY39" s="62">
        <f t="shared" si="72"/>
        <v>-133</v>
      </c>
      <c r="BZ39" s="62">
        <f t="shared" si="72"/>
        <v>-19</v>
      </c>
      <c r="CA39" s="61">
        <f t="shared" si="73"/>
        <v>-177</v>
      </c>
      <c r="CB39" s="62">
        <f t="shared" si="74"/>
        <v>-11</v>
      </c>
      <c r="CC39" s="62">
        <f t="shared" si="75"/>
        <v>-1355</v>
      </c>
      <c r="CD39" s="62">
        <f t="shared" si="75"/>
        <v>-40</v>
      </c>
      <c r="CE39" s="62">
        <f t="shared" si="75"/>
        <v>-35</v>
      </c>
      <c r="CF39" s="86">
        <f t="shared" si="76"/>
        <v>-1441</v>
      </c>
      <c r="CG39" s="62">
        <f t="shared" si="77"/>
        <v>-67</v>
      </c>
      <c r="CH39" s="62">
        <f t="shared" si="78"/>
        <v>-207</v>
      </c>
      <c r="CI39" s="62">
        <f t="shared" si="78"/>
        <v>-29</v>
      </c>
      <c r="CJ39" s="62">
        <f t="shared" si="78"/>
        <v>-75</v>
      </c>
      <c r="CK39" s="86">
        <f t="shared" si="79"/>
        <v>-378</v>
      </c>
      <c r="CL39" s="62">
        <f t="shared" si="80"/>
        <v>-254</v>
      </c>
      <c r="CM39" s="62">
        <f t="shared" si="81"/>
        <v>-46</v>
      </c>
      <c r="CN39" s="62">
        <f t="shared" si="81"/>
        <v>-41</v>
      </c>
      <c r="CO39" s="62">
        <f t="shared" si="81"/>
        <v>-300</v>
      </c>
      <c r="CP39" s="86">
        <f t="shared" si="82"/>
        <v>-641</v>
      </c>
      <c r="CQ39" s="1781">
        <f t="shared" si="97"/>
        <v>-2194</v>
      </c>
      <c r="CR39" s="1782">
        <f t="shared" si="97"/>
        <v>-54</v>
      </c>
      <c r="CS39" s="1782">
        <f t="shared" si="97"/>
        <v>-144</v>
      </c>
      <c r="CT39" s="1785">
        <f t="shared" si="97"/>
        <v>-204</v>
      </c>
      <c r="CU39" s="1857">
        <f t="shared" si="83"/>
        <v>-2596</v>
      </c>
      <c r="CV39" s="1703">
        <v>8</v>
      </c>
      <c r="CW39" s="1703">
        <f t="shared" si="84"/>
        <v>-51</v>
      </c>
      <c r="CX39" s="1703">
        <f t="shared" si="84"/>
        <v>-9391</v>
      </c>
      <c r="CY39" s="1703">
        <f t="shared" si="84"/>
        <v>-1972</v>
      </c>
      <c r="CZ39" s="1857">
        <f t="shared" si="85"/>
        <v>-11406</v>
      </c>
      <c r="DA39" s="1703">
        <f t="shared" si="98"/>
        <v>-51</v>
      </c>
      <c r="DB39" s="1703">
        <f t="shared" si="98"/>
        <v>-117</v>
      </c>
      <c r="DC39" s="1703">
        <f t="shared" si="98"/>
        <v>-165</v>
      </c>
      <c r="DD39" s="1703">
        <f t="shared" si="98"/>
        <v>-206</v>
      </c>
      <c r="DE39" s="2627">
        <f t="shared" si="86"/>
        <v>-539</v>
      </c>
      <c r="DF39" s="1703">
        <f t="shared" si="87"/>
        <v>-110</v>
      </c>
      <c r="DG39" s="1703">
        <f t="shared" si="87"/>
        <v>-205</v>
      </c>
      <c r="DH39" s="1703">
        <f t="shared" si="87"/>
        <v>-187</v>
      </c>
      <c r="DI39" s="1703">
        <f t="shared" si="87"/>
        <v>-752</v>
      </c>
      <c r="DJ39" s="86">
        <f t="shared" si="88"/>
        <v>-1254</v>
      </c>
      <c r="DK39" s="322">
        <v>0</v>
      </c>
      <c r="DL39" s="322">
        <v>0</v>
      </c>
      <c r="DM39" s="322">
        <v>0</v>
      </c>
      <c r="DN39" s="322">
        <v>0</v>
      </c>
      <c r="DO39" s="86">
        <f t="shared" si="90"/>
        <v>0</v>
      </c>
      <c r="DP39" s="322">
        <v>0</v>
      </c>
      <c r="DQ39" s="322">
        <v>0</v>
      </c>
      <c r="DR39" s="322">
        <v>0</v>
      </c>
      <c r="DS39" s="322">
        <v>0</v>
      </c>
      <c r="DT39" s="86">
        <f t="shared" si="92"/>
        <v>0</v>
      </c>
      <c r="DU39" s="322">
        <v>0</v>
      </c>
      <c r="DV39" s="322">
        <v>0</v>
      </c>
      <c r="DW39" s="322">
        <v>0</v>
      </c>
      <c r="DX39" s="322">
        <v>0</v>
      </c>
      <c r="DY39" s="86">
        <f t="shared" si="96"/>
        <v>0</v>
      </c>
      <c r="DZ39" s="1858"/>
      <c r="EA39" s="1858"/>
      <c r="EB39" s="1858"/>
    </row>
    <row r="40" spans="1:132" x14ac:dyDescent="0.2">
      <c r="A40" s="1853"/>
      <c r="B40" s="58" t="s">
        <v>335</v>
      </c>
      <c r="C40" s="59"/>
      <c r="D40" s="59"/>
      <c r="E40" s="59"/>
      <c r="F40" s="59"/>
      <c r="G40" s="59"/>
      <c r="H40" s="59"/>
      <c r="I40" s="63">
        <v>240.4</v>
      </c>
      <c r="J40" s="59"/>
      <c r="K40" s="59"/>
      <c r="L40" s="59"/>
      <c r="M40" s="59"/>
      <c r="N40" s="63">
        <v>192.7</v>
      </c>
      <c r="O40" s="59"/>
      <c r="P40" s="59"/>
      <c r="Q40" s="59"/>
      <c r="R40" s="59"/>
      <c r="S40" s="63">
        <v>50.5</v>
      </c>
      <c r="T40" s="59"/>
      <c r="U40" s="59"/>
      <c r="V40" s="59"/>
      <c r="W40" s="59"/>
      <c r="X40" s="63">
        <v>28.2</v>
      </c>
      <c r="Y40" s="59"/>
      <c r="Z40" s="59"/>
      <c r="AA40" s="59"/>
      <c r="AB40" s="59"/>
      <c r="AC40" s="63">
        <v>18.8</v>
      </c>
      <c r="AD40" s="59"/>
      <c r="AE40" s="59"/>
      <c r="AF40" s="59"/>
      <c r="AG40" s="59"/>
      <c r="AH40" s="63">
        <v>12.6</v>
      </c>
      <c r="AI40" s="59"/>
      <c r="AJ40" s="59"/>
      <c r="AK40" s="59"/>
      <c r="AL40" s="59"/>
      <c r="AM40" s="63">
        <v>17.7</v>
      </c>
      <c r="AN40" s="59"/>
      <c r="AO40" s="59"/>
      <c r="AP40" s="59"/>
      <c r="AQ40" s="59"/>
      <c r="AR40" s="63">
        <v>13.4</v>
      </c>
      <c r="AS40" s="59"/>
      <c r="AT40" s="59"/>
      <c r="AU40" s="59"/>
      <c r="AV40" s="59"/>
      <c r="AW40" s="63">
        <v>14.3</v>
      </c>
      <c r="AX40" s="59"/>
      <c r="AY40" s="59"/>
      <c r="AZ40" s="59"/>
      <c r="BA40" s="59"/>
      <c r="BB40" s="63">
        <v>31.8</v>
      </c>
      <c r="BC40" s="59"/>
      <c r="BD40" s="59"/>
      <c r="BE40" s="59"/>
      <c r="BF40" s="59"/>
      <c r="BG40" s="63">
        <v>29.6</v>
      </c>
      <c r="BH40" s="59"/>
      <c r="BI40" s="59"/>
      <c r="BJ40" s="59"/>
      <c r="BK40" s="59"/>
      <c r="BL40" s="63">
        <v>105.6</v>
      </c>
      <c r="BM40" s="62">
        <f t="shared" si="67"/>
        <v>4.8</v>
      </c>
      <c r="BN40" s="62">
        <f t="shared" si="68"/>
        <v>4.7</v>
      </c>
      <c r="BO40" s="62">
        <f t="shared" si="68"/>
        <v>-9.5</v>
      </c>
      <c r="BP40" s="62">
        <f t="shared" si="68"/>
        <v>18.7</v>
      </c>
      <c r="BQ40" s="63">
        <v>18.7</v>
      </c>
      <c r="BR40" s="62">
        <f t="shared" si="69"/>
        <v>1.7</v>
      </c>
      <c r="BS40" s="62">
        <f t="shared" si="70"/>
        <v>4.8</v>
      </c>
      <c r="BT40" s="62">
        <f t="shared" si="70"/>
        <v>0.5</v>
      </c>
      <c r="BU40" s="62">
        <f t="shared" si="70"/>
        <v>16</v>
      </c>
      <c r="BV40" s="63">
        <v>23</v>
      </c>
      <c r="BW40" s="62">
        <f t="shared" si="71"/>
        <v>12</v>
      </c>
      <c r="BX40" s="62">
        <f t="shared" si="72"/>
        <v>-2</v>
      </c>
      <c r="BY40" s="62">
        <f t="shared" si="72"/>
        <v>14</v>
      </c>
      <c r="BZ40" s="62">
        <f t="shared" si="72"/>
        <v>10</v>
      </c>
      <c r="CA40" s="61">
        <f t="shared" si="73"/>
        <v>34</v>
      </c>
      <c r="CB40" s="62">
        <f t="shared" si="74"/>
        <v>12</v>
      </c>
      <c r="CC40" s="62">
        <f t="shared" si="75"/>
        <v>-12</v>
      </c>
      <c r="CD40" s="62">
        <f t="shared" si="75"/>
        <v>1</v>
      </c>
      <c r="CE40" s="62">
        <f t="shared" si="75"/>
        <v>253</v>
      </c>
      <c r="CF40" s="86">
        <f t="shared" si="76"/>
        <v>254</v>
      </c>
      <c r="CG40" s="62">
        <f t="shared" si="77"/>
        <v>0</v>
      </c>
      <c r="CH40" s="62">
        <f t="shared" si="78"/>
        <v>7</v>
      </c>
      <c r="CI40" s="62">
        <f t="shared" si="78"/>
        <v>0</v>
      </c>
      <c r="CJ40" s="62">
        <f t="shared" si="78"/>
        <v>23</v>
      </c>
      <c r="CK40" s="86">
        <f t="shared" si="79"/>
        <v>30</v>
      </c>
      <c r="CL40" s="62">
        <f t="shared" si="80"/>
        <v>5</v>
      </c>
      <c r="CM40" s="62">
        <f t="shared" si="81"/>
        <v>6</v>
      </c>
      <c r="CN40" s="62">
        <f t="shared" si="81"/>
        <v>-11</v>
      </c>
      <c r="CO40" s="62">
        <f t="shared" si="81"/>
        <v>136</v>
      </c>
      <c r="CP40" s="86">
        <f t="shared" si="82"/>
        <v>136</v>
      </c>
      <c r="CQ40" s="1781">
        <f t="shared" si="97"/>
        <v>5</v>
      </c>
      <c r="CR40" s="1782">
        <f t="shared" si="97"/>
        <v>2</v>
      </c>
      <c r="CS40" s="1782">
        <f t="shared" si="97"/>
        <v>1</v>
      </c>
      <c r="CT40" s="1785">
        <f t="shared" si="97"/>
        <v>153</v>
      </c>
      <c r="CU40" s="1857">
        <f t="shared" si="83"/>
        <v>161</v>
      </c>
      <c r="CV40" s="1703">
        <v>-61</v>
      </c>
      <c r="CW40" s="1703">
        <f t="shared" si="84"/>
        <v>6</v>
      </c>
      <c r="CX40" s="1703">
        <f t="shared" si="84"/>
        <v>14</v>
      </c>
      <c r="CY40" s="1703">
        <f t="shared" si="84"/>
        <v>7</v>
      </c>
      <c r="CZ40" s="1857">
        <f t="shared" si="85"/>
        <v>-34</v>
      </c>
      <c r="DA40" s="1703">
        <f t="shared" si="98"/>
        <v>2</v>
      </c>
      <c r="DB40" s="1703">
        <f t="shared" si="98"/>
        <v>9</v>
      </c>
      <c r="DC40" s="1703">
        <f t="shared" si="98"/>
        <v>11</v>
      </c>
      <c r="DD40" s="1703">
        <f t="shared" si="98"/>
        <v>15</v>
      </c>
      <c r="DE40" s="2627">
        <f t="shared" si="86"/>
        <v>37</v>
      </c>
      <c r="DF40" s="1703">
        <f t="shared" si="87"/>
        <v>5</v>
      </c>
      <c r="DG40" s="1703">
        <f t="shared" si="87"/>
        <v>-5</v>
      </c>
      <c r="DH40" s="1703">
        <f t="shared" si="87"/>
        <v>0</v>
      </c>
      <c r="DI40" s="1703">
        <f t="shared" si="87"/>
        <v>0</v>
      </c>
      <c r="DJ40" s="86">
        <f t="shared" si="88"/>
        <v>0</v>
      </c>
      <c r="DK40" s="322">
        <v>0</v>
      </c>
      <c r="DL40" s="322">
        <v>0</v>
      </c>
      <c r="DM40" s="322">
        <v>0</v>
      </c>
      <c r="DN40" s="322">
        <v>0</v>
      </c>
      <c r="DO40" s="86">
        <f t="shared" si="90"/>
        <v>0</v>
      </c>
      <c r="DP40" s="322">
        <v>0</v>
      </c>
      <c r="DQ40" s="322">
        <v>0</v>
      </c>
      <c r="DR40" s="322">
        <v>0</v>
      </c>
      <c r="DS40" s="322">
        <v>0</v>
      </c>
      <c r="DT40" s="86">
        <f t="shared" si="92"/>
        <v>0</v>
      </c>
      <c r="DU40" s="322">
        <v>0</v>
      </c>
      <c r="DV40" s="322">
        <v>0</v>
      </c>
      <c r="DW40" s="322">
        <v>0</v>
      </c>
      <c r="DX40" s="322">
        <v>0</v>
      </c>
      <c r="DY40" s="86">
        <f t="shared" si="96"/>
        <v>0</v>
      </c>
      <c r="DZ40" s="1858"/>
      <c r="EA40" s="1858"/>
      <c r="EB40" s="1858"/>
    </row>
    <row r="41" spans="1:132" x14ac:dyDescent="0.2">
      <c r="A41" s="1853"/>
      <c r="B41" s="58" t="s">
        <v>336</v>
      </c>
      <c r="C41" s="59"/>
      <c r="D41" s="59"/>
      <c r="E41" s="59"/>
      <c r="F41" s="59"/>
      <c r="G41" s="59"/>
      <c r="H41" s="59"/>
      <c r="I41" s="63">
        <v>485.8</v>
      </c>
      <c r="J41" s="59"/>
      <c r="K41" s="59"/>
      <c r="L41" s="59"/>
      <c r="M41" s="59"/>
      <c r="N41" s="63">
        <v>309.7</v>
      </c>
      <c r="O41" s="59"/>
      <c r="P41" s="59"/>
      <c r="Q41" s="59"/>
      <c r="R41" s="59"/>
      <c r="S41" s="63">
        <v>0</v>
      </c>
      <c r="T41" s="59"/>
      <c r="U41" s="59"/>
      <c r="V41" s="59"/>
      <c r="W41" s="59"/>
      <c r="X41" s="63">
        <v>0</v>
      </c>
      <c r="Y41" s="59"/>
      <c r="Z41" s="59"/>
      <c r="AA41" s="59"/>
      <c r="AB41" s="59"/>
      <c r="AC41" s="63">
        <v>0</v>
      </c>
      <c r="AD41" s="59"/>
      <c r="AE41" s="59"/>
      <c r="AF41" s="59"/>
      <c r="AG41" s="59"/>
      <c r="AH41" s="63">
        <v>0</v>
      </c>
      <c r="AI41" s="59"/>
      <c r="AJ41" s="59"/>
      <c r="AK41" s="59"/>
      <c r="AL41" s="59"/>
      <c r="AM41" s="63">
        <v>0</v>
      </c>
      <c r="AN41" s="59"/>
      <c r="AO41" s="59"/>
      <c r="AP41" s="59"/>
      <c r="AQ41" s="59"/>
      <c r="AR41" s="63">
        <v>0</v>
      </c>
      <c r="AS41" s="59"/>
      <c r="AT41" s="59"/>
      <c r="AU41" s="59"/>
      <c r="AV41" s="59"/>
      <c r="AW41" s="63">
        <v>-32.799999999999997</v>
      </c>
      <c r="AX41" s="59"/>
      <c r="AY41" s="59"/>
      <c r="AZ41" s="59"/>
      <c r="BA41" s="59"/>
      <c r="BB41" s="63">
        <v>0</v>
      </c>
      <c r="BC41" s="59"/>
      <c r="BD41" s="59"/>
      <c r="BE41" s="59"/>
      <c r="BF41" s="59"/>
      <c r="BG41" s="63">
        <v>-5.3</v>
      </c>
      <c r="BH41" s="59"/>
      <c r="BI41" s="59"/>
      <c r="BJ41" s="59"/>
      <c r="BK41" s="59"/>
      <c r="BL41" s="63">
        <v>0</v>
      </c>
      <c r="BM41" s="62">
        <f t="shared" si="67"/>
        <v>0</v>
      </c>
      <c r="BN41" s="62">
        <f t="shared" si="68"/>
        <v>0</v>
      </c>
      <c r="BO41" s="62">
        <f t="shared" si="68"/>
        <v>13.6</v>
      </c>
      <c r="BP41" s="62">
        <f t="shared" si="68"/>
        <v>-13.6</v>
      </c>
      <c r="BQ41" s="63">
        <v>0</v>
      </c>
      <c r="BR41" s="62">
        <f t="shared" si="69"/>
        <v>0</v>
      </c>
      <c r="BS41" s="62">
        <f t="shared" si="70"/>
        <v>0</v>
      </c>
      <c r="BT41" s="62">
        <f t="shared" si="70"/>
        <v>0</v>
      </c>
      <c r="BU41" s="62">
        <f t="shared" si="70"/>
        <v>0</v>
      </c>
      <c r="BV41" s="63">
        <v>0</v>
      </c>
      <c r="BW41" s="62">
        <f t="shared" si="71"/>
        <v>1</v>
      </c>
      <c r="BX41" s="62">
        <f t="shared" si="72"/>
        <v>0</v>
      </c>
      <c r="BY41" s="62">
        <f t="shared" si="72"/>
        <v>0</v>
      </c>
      <c r="BZ41" s="62">
        <f t="shared" si="72"/>
        <v>0</v>
      </c>
      <c r="CA41" s="61">
        <f t="shared" si="73"/>
        <v>1</v>
      </c>
      <c r="CB41" s="62">
        <f t="shared" si="74"/>
        <v>0</v>
      </c>
      <c r="CC41" s="62">
        <f t="shared" si="75"/>
        <v>0</v>
      </c>
      <c r="CD41" s="62">
        <f t="shared" si="75"/>
        <v>0</v>
      </c>
      <c r="CE41" s="62">
        <f t="shared" si="75"/>
        <v>60</v>
      </c>
      <c r="CF41" s="86">
        <f t="shared" si="76"/>
        <v>60</v>
      </c>
      <c r="CG41" s="62">
        <f t="shared" si="77"/>
        <v>0</v>
      </c>
      <c r="CH41" s="62">
        <f t="shared" si="78"/>
        <v>0</v>
      </c>
      <c r="CI41" s="62">
        <f t="shared" si="78"/>
        <v>0</v>
      </c>
      <c r="CJ41" s="62">
        <f t="shared" si="78"/>
        <v>0</v>
      </c>
      <c r="CK41" s="86">
        <f t="shared" si="79"/>
        <v>0</v>
      </c>
      <c r="CL41" s="62">
        <f t="shared" si="80"/>
        <v>0</v>
      </c>
      <c r="CM41" s="62">
        <f t="shared" si="81"/>
        <v>0</v>
      </c>
      <c r="CN41" s="62">
        <f t="shared" si="81"/>
        <v>0</v>
      </c>
      <c r="CO41" s="62">
        <f t="shared" si="81"/>
        <v>54</v>
      </c>
      <c r="CP41" s="86">
        <f t="shared" si="82"/>
        <v>54</v>
      </c>
      <c r="CQ41" s="1781">
        <f t="shared" si="97"/>
        <v>55</v>
      </c>
      <c r="CR41" s="1782">
        <f t="shared" si="97"/>
        <v>48</v>
      </c>
      <c r="CS41" s="1782">
        <f t="shared" si="97"/>
        <v>-264</v>
      </c>
      <c r="CT41" s="1785">
        <f t="shared" si="97"/>
        <v>172</v>
      </c>
      <c r="CU41" s="1857">
        <f t="shared" si="83"/>
        <v>11</v>
      </c>
      <c r="CV41" s="1703">
        <v>-113</v>
      </c>
      <c r="CW41" s="1703">
        <f t="shared" si="84"/>
        <v>0</v>
      </c>
      <c r="CX41" s="1703">
        <f t="shared" si="84"/>
        <v>0</v>
      </c>
      <c r="CY41" s="1703">
        <f t="shared" si="84"/>
        <v>0</v>
      </c>
      <c r="CZ41" s="1857">
        <f t="shared" si="85"/>
        <v>-113</v>
      </c>
      <c r="DA41" s="1703">
        <f t="shared" si="98"/>
        <v>0</v>
      </c>
      <c r="DB41" s="1703">
        <f t="shared" si="98"/>
        <v>0</v>
      </c>
      <c r="DC41" s="1703">
        <f t="shared" si="98"/>
        <v>0</v>
      </c>
      <c r="DD41" s="1703">
        <f t="shared" si="98"/>
        <v>0</v>
      </c>
      <c r="DE41" s="2627">
        <f t="shared" si="86"/>
        <v>0</v>
      </c>
      <c r="DF41" s="1703">
        <f t="shared" si="87"/>
        <v>0</v>
      </c>
      <c r="DG41" s="1703">
        <f t="shared" si="87"/>
        <v>0</v>
      </c>
      <c r="DH41" s="1703">
        <f t="shared" si="87"/>
        <v>0</v>
      </c>
      <c r="DI41" s="1703">
        <f t="shared" si="87"/>
        <v>0</v>
      </c>
      <c r="DJ41" s="86">
        <f t="shared" si="88"/>
        <v>0</v>
      </c>
      <c r="DK41" s="60">
        <v>0</v>
      </c>
      <c r="DL41" s="60">
        <v>0</v>
      </c>
      <c r="DM41" s="60">
        <v>0</v>
      </c>
      <c r="DN41" s="60">
        <v>0</v>
      </c>
      <c r="DO41" s="86">
        <f t="shared" si="90"/>
        <v>0</v>
      </c>
      <c r="DP41" s="60">
        <v>0</v>
      </c>
      <c r="DQ41" s="60">
        <v>0</v>
      </c>
      <c r="DR41" s="60">
        <v>0</v>
      </c>
      <c r="DS41" s="60">
        <v>0</v>
      </c>
      <c r="DT41" s="86">
        <f t="shared" si="92"/>
        <v>0</v>
      </c>
      <c r="DU41" s="60">
        <v>0</v>
      </c>
      <c r="DV41" s="60">
        <v>0</v>
      </c>
      <c r="DW41" s="60">
        <v>0</v>
      </c>
      <c r="DX41" s="60">
        <v>0</v>
      </c>
      <c r="DY41" s="86">
        <f t="shared" si="96"/>
        <v>0</v>
      </c>
      <c r="DZ41" s="1858"/>
      <c r="EA41" s="1858"/>
      <c r="EB41" s="1858"/>
    </row>
    <row r="42" spans="1:132" x14ac:dyDescent="0.2">
      <c r="A42" s="1853"/>
      <c r="B42" s="58" t="s">
        <v>337</v>
      </c>
      <c r="C42" s="59"/>
      <c r="D42" s="59"/>
      <c r="E42" s="59"/>
      <c r="F42" s="59"/>
      <c r="G42" s="59"/>
      <c r="H42" s="59"/>
      <c r="I42" s="63">
        <v>0</v>
      </c>
      <c r="J42" s="59"/>
      <c r="K42" s="59"/>
      <c r="L42" s="59"/>
      <c r="M42" s="59"/>
      <c r="N42" s="63">
        <v>0</v>
      </c>
      <c r="O42" s="59"/>
      <c r="P42" s="59"/>
      <c r="Q42" s="59"/>
      <c r="R42" s="59"/>
      <c r="S42" s="63">
        <v>0</v>
      </c>
      <c r="T42" s="59"/>
      <c r="U42" s="59"/>
      <c r="V42" s="59"/>
      <c r="W42" s="59"/>
      <c r="X42" s="63">
        <v>0</v>
      </c>
      <c r="Y42" s="59"/>
      <c r="Z42" s="59"/>
      <c r="AA42" s="59"/>
      <c r="AB42" s="59"/>
      <c r="AC42" s="63">
        <v>0</v>
      </c>
      <c r="AD42" s="59"/>
      <c r="AE42" s="59"/>
      <c r="AF42" s="59"/>
      <c r="AG42" s="59"/>
      <c r="AH42" s="63">
        <v>0</v>
      </c>
      <c r="AI42" s="59"/>
      <c r="AJ42" s="59"/>
      <c r="AK42" s="59"/>
      <c r="AL42" s="59"/>
      <c r="AM42" s="63">
        <v>0</v>
      </c>
      <c r="AN42" s="59"/>
      <c r="AO42" s="59"/>
      <c r="AP42" s="59"/>
      <c r="AQ42" s="59"/>
      <c r="AR42" s="63">
        <v>0</v>
      </c>
      <c r="AS42" s="59"/>
      <c r="AT42" s="59"/>
      <c r="AU42" s="59"/>
      <c r="AV42" s="59"/>
      <c r="AW42" s="63">
        <v>0</v>
      </c>
      <c r="AX42" s="59"/>
      <c r="AY42" s="59"/>
      <c r="AZ42" s="59"/>
      <c r="BA42" s="59"/>
      <c r="BB42" s="63">
        <v>0</v>
      </c>
      <c r="BC42" s="59"/>
      <c r="BD42" s="59"/>
      <c r="BE42" s="59"/>
      <c r="BF42" s="59"/>
      <c r="BG42" s="63">
        <v>0</v>
      </c>
      <c r="BH42" s="59"/>
      <c r="BI42" s="59"/>
      <c r="BJ42" s="59"/>
      <c r="BK42" s="59"/>
      <c r="BL42" s="63">
        <v>0</v>
      </c>
      <c r="BM42" s="62">
        <f t="shared" si="67"/>
        <v>27.5</v>
      </c>
      <c r="BN42" s="62">
        <f t="shared" si="68"/>
        <v>0</v>
      </c>
      <c r="BO42" s="62">
        <f t="shared" si="68"/>
        <v>0</v>
      </c>
      <c r="BP42" s="62">
        <f t="shared" si="68"/>
        <v>0</v>
      </c>
      <c r="BQ42" s="63">
        <v>27.5</v>
      </c>
      <c r="BR42" s="62">
        <f t="shared" si="69"/>
        <v>0</v>
      </c>
      <c r="BS42" s="62">
        <f t="shared" si="70"/>
        <v>0</v>
      </c>
      <c r="BT42" s="62">
        <f t="shared" si="70"/>
        <v>-4.7</v>
      </c>
      <c r="BU42" s="62">
        <f t="shared" si="70"/>
        <v>-0.29999999999999982</v>
      </c>
      <c r="BV42" s="63">
        <v>-5</v>
      </c>
      <c r="BW42" s="62">
        <f t="shared" si="71"/>
        <v>0</v>
      </c>
      <c r="BX42" s="62">
        <f t="shared" si="72"/>
        <v>0</v>
      </c>
      <c r="BY42" s="62">
        <f t="shared" si="72"/>
        <v>0</v>
      </c>
      <c r="BZ42" s="62">
        <f t="shared" si="72"/>
        <v>0</v>
      </c>
      <c r="CA42" s="61">
        <f t="shared" si="73"/>
        <v>0</v>
      </c>
      <c r="CB42" s="62">
        <f t="shared" si="74"/>
        <v>-2</v>
      </c>
      <c r="CC42" s="62">
        <f t="shared" si="75"/>
        <v>1</v>
      </c>
      <c r="CD42" s="62">
        <f t="shared" si="75"/>
        <v>0</v>
      </c>
      <c r="CE42" s="62">
        <f t="shared" si="75"/>
        <v>-2</v>
      </c>
      <c r="CF42" s="86">
        <f t="shared" si="76"/>
        <v>-3</v>
      </c>
      <c r="CG42" s="62">
        <f t="shared" si="77"/>
        <v>0</v>
      </c>
      <c r="CH42" s="62">
        <f t="shared" si="78"/>
        <v>0</v>
      </c>
      <c r="CI42" s="62">
        <f t="shared" si="78"/>
        <v>0</v>
      </c>
      <c r="CJ42" s="62">
        <f t="shared" si="78"/>
        <v>0</v>
      </c>
      <c r="CK42" s="86">
        <f t="shared" si="79"/>
        <v>0</v>
      </c>
      <c r="CL42" s="62">
        <f t="shared" si="80"/>
        <v>0</v>
      </c>
      <c r="CM42" s="62">
        <f t="shared" si="81"/>
        <v>0</v>
      </c>
      <c r="CN42" s="62">
        <f t="shared" si="81"/>
        <v>-107</v>
      </c>
      <c r="CO42" s="62">
        <f t="shared" si="81"/>
        <v>0</v>
      </c>
      <c r="CP42" s="86">
        <f t="shared" si="82"/>
        <v>-107</v>
      </c>
      <c r="CQ42" s="1781">
        <f t="shared" si="97"/>
        <v>-43</v>
      </c>
      <c r="CR42" s="1782">
        <f t="shared" si="97"/>
        <v>-118</v>
      </c>
      <c r="CS42" s="1782">
        <f t="shared" si="97"/>
        <v>280</v>
      </c>
      <c r="CT42" s="1785">
        <f t="shared" si="97"/>
        <v>-119</v>
      </c>
      <c r="CU42" s="1857">
        <f t="shared" si="83"/>
        <v>0</v>
      </c>
      <c r="CV42" s="1703">
        <v>16</v>
      </c>
      <c r="CW42" s="1703">
        <f t="shared" si="84"/>
        <v>13</v>
      </c>
      <c r="CX42" s="1703">
        <f t="shared" si="84"/>
        <v>15</v>
      </c>
      <c r="CY42" s="1703">
        <f t="shared" si="84"/>
        <v>45</v>
      </c>
      <c r="CZ42" s="1857">
        <f t="shared" si="85"/>
        <v>89</v>
      </c>
      <c r="DA42" s="1703">
        <f t="shared" si="98"/>
        <v>14</v>
      </c>
      <c r="DB42" s="1703">
        <f t="shared" si="98"/>
        <v>14</v>
      </c>
      <c r="DC42" s="1703">
        <f t="shared" si="98"/>
        <v>8</v>
      </c>
      <c r="DD42" s="1703">
        <f t="shared" si="98"/>
        <v>-10</v>
      </c>
      <c r="DE42" s="2627">
        <f t="shared" si="86"/>
        <v>26</v>
      </c>
      <c r="DF42" s="1703">
        <f t="shared" si="87"/>
        <v>8</v>
      </c>
      <c r="DG42" s="1703">
        <f t="shared" si="87"/>
        <v>8</v>
      </c>
      <c r="DH42" s="1703">
        <f t="shared" si="87"/>
        <v>25</v>
      </c>
      <c r="DI42" s="1703">
        <f t="shared" si="87"/>
        <v>-66</v>
      </c>
      <c r="DJ42" s="86">
        <f t="shared" si="88"/>
        <v>-25</v>
      </c>
      <c r="DK42" s="60">
        <v>0</v>
      </c>
      <c r="DL42" s="60">
        <v>0</v>
      </c>
      <c r="DM42" s="60">
        <v>0</v>
      </c>
      <c r="DN42" s="60">
        <v>0</v>
      </c>
      <c r="DO42" s="86">
        <f t="shared" si="90"/>
        <v>0</v>
      </c>
      <c r="DP42" s="60">
        <v>0</v>
      </c>
      <c r="DQ42" s="60">
        <v>0</v>
      </c>
      <c r="DR42" s="60">
        <v>0</v>
      </c>
      <c r="DS42" s="60">
        <v>0</v>
      </c>
      <c r="DT42" s="86">
        <f t="shared" si="92"/>
        <v>0</v>
      </c>
      <c r="DU42" s="60">
        <v>0</v>
      </c>
      <c r="DV42" s="60">
        <v>0</v>
      </c>
      <c r="DW42" s="60">
        <v>0</v>
      </c>
      <c r="DX42" s="60">
        <v>0</v>
      </c>
      <c r="DY42" s="86">
        <f t="shared" si="96"/>
        <v>0</v>
      </c>
      <c r="DZ42" s="1858"/>
      <c r="EA42" s="1858"/>
      <c r="EB42" s="1858"/>
    </row>
    <row r="43" spans="1:132" outlineLevel="1" x14ac:dyDescent="0.2">
      <c r="A43" s="1853"/>
      <c r="B43" s="58" t="s">
        <v>338</v>
      </c>
      <c r="C43" s="59"/>
      <c r="D43" s="59"/>
      <c r="E43" s="59"/>
      <c r="F43" s="59"/>
      <c r="G43" s="59"/>
      <c r="H43" s="59"/>
      <c r="I43" s="63">
        <v>0</v>
      </c>
      <c r="J43" s="59"/>
      <c r="K43" s="59"/>
      <c r="L43" s="59"/>
      <c r="M43" s="59"/>
      <c r="N43" s="63">
        <v>0</v>
      </c>
      <c r="O43" s="59"/>
      <c r="P43" s="59"/>
      <c r="Q43" s="59"/>
      <c r="R43" s="59"/>
      <c r="S43" s="63">
        <v>0</v>
      </c>
      <c r="T43" s="59"/>
      <c r="U43" s="59"/>
      <c r="V43" s="59"/>
      <c r="W43" s="59"/>
      <c r="X43" s="63">
        <v>0</v>
      </c>
      <c r="Y43" s="59"/>
      <c r="Z43" s="59"/>
      <c r="AA43" s="59"/>
      <c r="AB43" s="59"/>
      <c r="AC43" s="63">
        <v>0</v>
      </c>
      <c r="AD43" s="59"/>
      <c r="AE43" s="59"/>
      <c r="AF43" s="59"/>
      <c r="AG43" s="59"/>
      <c r="AH43" s="63">
        <v>0</v>
      </c>
      <c r="AI43" s="59"/>
      <c r="AJ43" s="59"/>
      <c r="AK43" s="59"/>
      <c r="AL43" s="59"/>
      <c r="AM43" s="63">
        <v>0</v>
      </c>
      <c r="AN43" s="59"/>
      <c r="AO43" s="59"/>
      <c r="AP43" s="59"/>
      <c r="AQ43" s="59"/>
      <c r="AR43" s="63">
        <v>0</v>
      </c>
      <c r="AS43" s="59"/>
      <c r="AT43" s="59"/>
      <c r="AU43" s="59"/>
      <c r="AV43" s="59"/>
      <c r="AW43" s="63">
        <v>0</v>
      </c>
      <c r="AX43" s="59"/>
      <c r="AY43" s="59"/>
      <c r="AZ43" s="59"/>
      <c r="BA43" s="59"/>
      <c r="BB43" s="63">
        <v>0</v>
      </c>
      <c r="BC43" s="59"/>
      <c r="BD43" s="59"/>
      <c r="BE43" s="59"/>
      <c r="BF43" s="59"/>
      <c r="BG43" s="63">
        <v>0</v>
      </c>
      <c r="BH43" s="59"/>
      <c r="BI43" s="59"/>
      <c r="BJ43" s="59"/>
      <c r="BK43" s="59"/>
      <c r="BL43" s="63">
        <v>-20722.400000000001</v>
      </c>
      <c r="BM43" s="62">
        <f t="shared" si="67"/>
        <v>0</v>
      </c>
      <c r="BN43" s="62">
        <f t="shared" si="68"/>
        <v>0</v>
      </c>
      <c r="BO43" s="62">
        <f t="shared" si="68"/>
        <v>0</v>
      </c>
      <c r="BP43" s="62">
        <f t="shared" si="68"/>
        <v>0</v>
      </c>
      <c r="BQ43" s="63">
        <v>0</v>
      </c>
      <c r="BR43" s="62">
        <f t="shared" si="69"/>
        <v>0</v>
      </c>
      <c r="BS43" s="62">
        <f t="shared" si="70"/>
        <v>0</v>
      </c>
      <c r="BT43" s="62">
        <f t="shared" si="70"/>
        <v>0</v>
      </c>
      <c r="BU43" s="62">
        <f t="shared" si="70"/>
        <v>0</v>
      </c>
      <c r="BV43" s="63">
        <v>0</v>
      </c>
      <c r="BW43" s="62">
        <f t="shared" si="71"/>
        <v>0</v>
      </c>
      <c r="BX43" s="62">
        <f t="shared" si="72"/>
        <v>0</v>
      </c>
      <c r="BY43" s="62">
        <f t="shared" si="72"/>
        <v>0</v>
      </c>
      <c r="BZ43" s="62">
        <f t="shared" si="72"/>
        <v>0</v>
      </c>
      <c r="CA43" s="61">
        <f t="shared" si="73"/>
        <v>0</v>
      </c>
      <c r="CB43" s="62">
        <f t="shared" si="74"/>
        <v>0</v>
      </c>
      <c r="CC43" s="62">
        <f t="shared" si="75"/>
        <v>0</v>
      </c>
      <c r="CD43" s="62">
        <f t="shared" si="75"/>
        <v>0</v>
      </c>
      <c r="CE43" s="62">
        <f t="shared" si="75"/>
        <v>0</v>
      </c>
      <c r="CF43" s="86">
        <f t="shared" si="76"/>
        <v>0</v>
      </c>
      <c r="CG43" s="62">
        <f t="shared" si="77"/>
        <v>0</v>
      </c>
      <c r="CH43" s="62">
        <f t="shared" si="78"/>
        <v>0</v>
      </c>
      <c r="CI43" s="62">
        <f t="shared" si="78"/>
        <v>0</v>
      </c>
      <c r="CJ43" s="62">
        <f t="shared" si="78"/>
        <v>0</v>
      </c>
      <c r="CK43" s="86">
        <f t="shared" si="79"/>
        <v>0</v>
      </c>
      <c r="CL43" s="62">
        <f t="shared" si="80"/>
        <v>0</v>
      </c>
      <c r="CM43" s="62">
        <f t="shared" si="81"/>
        <v>0</v>
      </c>
      <c r="CN43" s="62">
        <f t="shared" si="81"/>
        <v>0</v>
      </c>
      <c r="CO43" s="62">
        <f t="shared" si="81"/>
        <v>0</v>
      </c>
      <c r="CP43" s="86">
        <f t="shared" si="82"/>
        <v>0</v>
      </c>
      <c r="CQ43" s="1781">
        <f t="shared" si="97"/>
        <v>0</v>
      </c>
      <c r="CR43" s="1782">
        <f t="shared" si="97"/>
        <v>0</v>
      </c>
      <c r="CS43" s="1783">
        <f t="shared" si="97"/>
        <v>0</v>
      </c>
      <c r="CT43" s="1784">
        <f t="shared" si="97"/>
        <v>0</v>
      </c>
      <c r="CU43" s="1857">
        <f t="shared" si="83"/>
        <v>0</v>
      </c>
      <c r="CV43" s="1703">
        <v>0</v>
      </c>
      <c r="CW43" s="1703">
        <f t="shared" si="84"/>
        <v>0</v>
      </c>
      <c r="CX43" s="1703">
        <f t="shared" si="84"/>
        <v>0</v>
      </c>
      <c r="CY43" s="1703">
        <f t="shared" si="84"/>
        <v>0</v>
      </c>
      <c r="CZ43" s="1857">
        <f t="shared" si="85"/>
        <v>0</v>
      </c>
      <c r="DA43" s="1703">
        <f t="shared" si="98"/>
        <v>0</v>
      </c>
      <c r="DB43" s="1703">
        <f t="shared" si="98"/>
        <v>0</v>
      </c>
      <c r="DC43" s="1703">
        <f t="shared" si="98"/>
        <v>0</v>
      </c>
      <c r="DD43" s="1703">
        <f t="shared" si="98"/>
        <v>0</v>
      </c>
      <c r="DE43" s="2627">
        <f t="shared" si="86"/>
        <v>0</v>
      </c>
      <c r="DF43" s="1703">
        <f t="shared" si="87"/>
        <v>0</v>
      </c>
      <c r="DG43" s="1703">
        <f t="shared" si="87"/>
        <v>0</v>
      </c>
      <c r="DH43" s="1703">
        <f t="shared" si="87"/>
        <v>0</v>
      </c>
      <c r="DI43" s="1703">
        <f t="shared" si="87"/>
        <v>0</v>
      </c>
      <c r="DJ43" s="86">
        <f t="shared" si="88"/>
        <v>0</v>
      </c>
      <c r="DK43" s="60">
        <v>0</v>
      </c>
      <c r="DL43" s="60">
        <v>0</v>
      </c>
      <c r="DM43" s="60">
        <v>0</v>
      </c>
      <c r="DN43" s="60">
        <v>0</v>
      </c>
      <c r="DO43" s="86">
        <f t="shared" si="90"/>
        <v>0</v>
      </c>
      <c r="DP43" s="60">
        <v>0</v>
      </c>
      <c r="DQ43" s="60">
        <v>0</v>
      </c>
      <c r="DR43" s="60">
        <v>0</v>
      </c>
      <c r="DS43" s="60">
        <v>0</v>
      </c>
      <c r="DT43" s="86">
        <f t="shared" si="92"/>
        <v>0</v>
      </c>
      <c r="DU43" s="60">
        <v>0</v>
      </c>
      <c r="DV43" s="60">
        <v>0</v>
      </c>
      <c r="DW43" s="60">
        <v>0</v>
      </c>
      <c r="DX43" s="60">
        <v>0</v>
      </c>
      <c r="DY43" s="86">
        <f t="shared" si="96"/>
        <v>0</v>
      </c>
      <c r="DZ43" s="1858"/>
      <c r="EA43" s="1858"/>
      <c r="EB43" s="1858"/>
    </row>
    <row r="44" spans="1:132" outlineLevel="1" x14ac:dyDescent="0.2">
      <c r="A44" s="1853"/>
      <c r="B44" s="65" t="s">
        <v>339</v>
      </c>
      <c r="C44" s="66"/>
      <c r="D44" s="66"/>
      <c r="E44" s="66"/>
      <c r="F44" s="66"/>
      <c r="G44" s="66"/>
      <c r="H44" s="66"/>
      <c r="I44" s="70">
        <v>0</v>
      </c>
      <c r="J44" s="66"/>
      <c r="K44" s="66"/>
      <c r="L44" s="66"/>
      <c r="M44" s="66"/>
      <c r="N44" s="70">
        <v>0</v>
      </c>
      <c r="O44" s="66"/>
      <c r="P44" s="66"/>
      <c r="Q44" s="66"/>
      <c r="R44" s="66"/>
      <c r="S44" s="70">
        <v>0</v>
      </c>
      <c r="T44" s="66"/>
      <c r="U44" s="66"/>
      <c r="V44" s="66"/>
      <c r="W44" s="66"/>
      <c r="X44" s="70">
        <v>0</v>
      </c>
      <c r="Y44" s="66"/>
      <c r="Z44" s="66"/>
      <c r="AA44" s="66"/>
      <c r="AB44" s="66"/>
      <c r="AC44" s="70">
        <v>0</v>
      </c>
      <c r="AD44" s="66"/>
      <c r="AE44" s="66"/>
      <c r="AF44" s="66"/>
      <c r="AG44" s="66"/>
      <c r="AH44" s="70">
        <v>0</v>
      </c>
      <c r="AI44" s="66"/>
      <c r="AJ44" s="66"/>
      <c r="AK44" s="66"/>
      <c r="AL44" s="66"/>
      <c r="AM44" s="70">
        <v>0</v>
      </c>
      <c r="AN44" s="66"/>
      <c r="AO44" s="66"/>
      <c r="AP44" s="66"/>
      <c r="AQ44" s="66"/>
      <c r="AR44" s="70">
        <v>0</v>
      </c>
      <c r="AS44" s="66"/>
      <c r="AT44" s="66"/>
      <c r="AU44" s="66"/>
      <c r="AV44" s="66"/>
      <c r="AW44" s="70">
        <v>0</v>
      </c>
      <c r="AX44" s="66"/>
      <c r="AY44" s="66"/>
      <c r="AZ44" s="66"/>
      <c r="BA44" s="66"/>
      <c r="BB44" s="70">
        <v>0</v>
      </c>
      <c r="BC44" s="66"/>
      <c r="BD44" s="66"/>
      <c r="BE44" s="66"/>
      <c r="BF44" s="66"/>
      <c r="BG44" s="70">
        <v>0</v>
      </c>
      <c r="BH44" s="66"/>
      <c r="BI44" s="66"/>
      <c r="BJ44" s="66"/>
      <c r="BK44" s="66"/>
      <c r="BL44" s="70">
        <v>-9942</v>
      </c>
      <c r="BM44" s="69">
        <f t="shared" si="67"/>
        <v>0</v>
      </c>
      <c r="BN44" s="69">
        <f t="shared" si="68"/>
        <v>0</v>
      </c>
      <c r="BO44" s="69">
        <f t="shared" si="68"/>
        <v>0</v>
      </c>
      <c r="BP44" s="69">
        <f t="shared" si="68"/>
        <v>0</v>
      </c>
      <c r="BQ44" s="70">
        <v>0</v>
      </c>
      <c r="BR44" s="69">
        <f t="shared" si="69"/>
        <v>0</v>
      </c>
      <c r="BS44" s="69">
        <f t="shared" si="70"/>
        <v>0</v>
      </c>
      <c r="BT44" s="69">
        <f t="shared" si="70"/>
        <v>0</v>
      </c>
      <c r="BU44" s="69">
        <f t="shared" si="70"/>
        <v>0</v>
      </c>
      <c r="BV44" s="70">
        <v>0</v>
      </c>
      <c r="BW44" s="69">
        <f t="shared" si="71"/>
        <v>0</v>
      </c>
      <c r="BX44" s="69">
        <f t="shared" si="72"/>
        <v>0</v>
      </c>
      <c r="BY44" s="69">
        <f t="shared" si="72"/>
        <v>0</v>
      </c>
      <c r="BZ44" s="69">
        <f t="shared" si="72"/>
        <v>0</v>
      </c>
      <c r="CA44" s="68">
        <f t="shared" si="73"/>
        <v>0</v>
      </c>
      <c r="CB44" s="69">
        <f t="shared" si="74"/>
        <v>0</v>
      </c>
      <c r="CC44" s="69">
        <f t="shared" si="75"/>
        <v>0</v>
      </c>
      <c r="CD44" s="69">
        <f t="shared" si="75"/>
        <v>0</v>
      </c>
      <c r="CE44" s="69">
        <f t="shared" si="75"/>
        <v>0</v>
      </c>
      <c r="CF44" s="90">
        <f t="shared" si="76"/>
        <v>0</v>
      </c>
      <c r="CG44" s="69">
        <f t="shared" si="77"/>
        <v>0</v>
      </c>
      <c r="CH44" s="69">
        <f t="shared" si="78"/>
        <v>0</v>
      </c>
      <c r="CI44" s="69">
        <f t="shared" si="78"/>
        <v>0</v>
      </c>
      <c r="CJ44" s="69">
        <f t="shared" si="78"/>
        <v>0</v>
      </c>
      <c r="CK44" s="90">
        <f t="shared" si="79"/>
        <v>0</v>
      </c>
      <c r="CL44" s="69">
        <f t="shared" si="80"/>
        <v>0</v>
      </c>
      <c r="CM44" s="69">
        <f t="shared" si="81"/>
        <v>0</v>
      </c>
      <c r="CN44" s="69">
        <f t="shared" si="81"/>
        <v>0</v>
      </c>
      <c r="CO44" s="69">
        <f t="shared" si="81"/>
        <v>0</v>
      </c>
      <c r="CP44" s="90">
        <f t="shared" si="82"/>
        <v>0</v>
      </c>
      <c r="CQ44" s="1787">
        <f t="shared" si="97"/>
        <v>0</v>
      </c>
      <c r="CR44" s="1754">
        <f t="shared" si="97"/>
        <v>0</v>
      </c>
      <c r="CS44" s="1755">
        <f t="shared" si="97"/>
        <v>0</v>
      </c>
      <c r="CT44" s="1788">
        <f t="shared" si="97"/>
        <v>0</v>
      </c>
      <c r="CU44" s="1799">
        <f t="shared" si="83"/>
        <v>0</v>
      </c>
      <c r="CV44" s="1755">
        <v>0</v>
      </c>
      <c r="CW44" s="1755">
        <f t="shared" si="84"/>
        <v>0</v>
      </c>
      <c r="CX44" s="1755">
        <f t="shared" si="84"/>
        <v>0</v>
      </c>
      <c r="CY44" s="1755">
        <f t="shared" si="84"/>
        <v>0</v>
      </c>
      <c r="CZ44" s="1875">
        <f t="shared" si="85"/>
        <v>0</v>
      </c>
      <c r="DA44" s="1755">
        <f t="shared" si="98"/>
        <v>0</v>
      </c>
      <c r="DB44" s="1755">
        <f t="shared" si="98"/>
        <v>0</v>
      </c>
      <c r="DC44" s="1755">
        <f t="shared" si="98"/>
        <v>0</v>
      </c>
      <c r="DD44" s="1755">
        <f t="shared" si="98"/>
        <v>0</v>
      </c>
      <c r="DE44" s="90">
        <f t="shared" si="86"/>
        <v>0</v>
      </c>
      <c r="DF44" s="1755">
        <f t="shared" si="87"/>
        <v>0</v>
      </c>
      <c r="DG44" s="1755">
        <f t="shared" si="87"/>
        <v>0</v>
      </c>
      <c r="DH44" s="1755">
        <f t="shared" si="87"/>
        <v>0</v>
      </c>
      <c r="DI44" s="1755">
        <f t="shared" si="87"/>
        <v>0</v>
      </c>
      <c r="DJ44" s="90">
        <f t="shared" si="88"/>
        <v>0</v>
      </c>
      <c r="DK44" s="67">
        <v>0</v>
      </c>
      <c r="DL44" s="67">
        <v>0</v>
      </c>
      <c r="DM44" s="67">
        <v>0</v>
      </c>
      <c r="DN44" s="67">
        <v>0</v>
      </c>
      <c r="DO44" s="90">
        <f t="shared" si="90"/>
        <v>0</v>
      </c>
      <c r="DP44" s="67">
        <v>0</v>
      </c>
      <c r="DQ44" s="67">
        <v>0</v>
      </c>
      <c r="DR44" s="67">
        <v>0</v>
      </c>
      <c r="DS44" s="67">
        <v>0</v>
      </c>
      <c r="DT44" s="90">
        <f t="shared" si="92"/>
        <v>0</v>
      </c>
      <c r="DU44" s="67">
        <v>0</v>
      </c>
      <c r="DV44" s="67">
        <v>0</v>
      </c>
      <c r="DW44" s="67">
        <v>0</v>
      </c>
      <c r="DX44" s="67">
        <v>0</v>
      </c>
      <c r="DY44" s="90">
        <f t="shared" si="96"/>
        <v>0</v>
      </c>
      <c r="DZ44" s="1858"/>
      <c r="EA44" s="1858"/>
      <c r="EB44" s="1858"/>
    </row>
    <row r="45" spans="1:132" x14ac:dyDescent="0.2">
      <c r="A45" s="1853"/>
      <c r="B45" s="318" t="s">
        <v>340</v>
      </c>
      <c r="C45" s="80"/>
      <c r="D45" s="80"/>
      <c r="E45" s="78"/>
      <c r="F45" s="78"/>
      <c r="G45" s="78"/>
      <c r="H45" s="78"/>
      <c r="I45" s="320">
        <f>SUM(I37:I44)</f>
        <v>23.400000000000034</v>
      </c>
      <c r="J45" s="78"/>
      <c r="K45" s="78"/>
      <c r="L45" s="78"/>
      <c r="M45" s="78"/>
      <c r="N45" s="320">
        <f>SUM(N37:N42)</f>
        <v>160.79999999999995</v>
      </c>
      <c r="O45" s="78"/>
      <c r="P45" s="78"/>
      <c r="Q45" s="78"/>
      <c r="R45" s="78"/>
      <c r="S45" s="320">
        <f>SUM(S37:S44)</f>
        <v>-585.4</v>
      </c>
      <c r="T45" s="78"/>
      <c r="U45" s="78"/>
      <c r="V45" s="78"/>
      <c r="W45" s="78"/>
      <c r="X45" s="320">
        <f>SUM(X37:X42)</f>
        <v>-566.4</v>
      </c>
      <c r="Y45" s="78"/>
      <c r="Z45" s="78"/>
      <c r="AA45" s="78"/>
      <c r="AB45" s="78"/>
      <c r="AC45" s="320">
        <f>SUM(AC37:AC44)</f>
        <v>-640.5</v>
      </c>
      <c r="AD45" s="78"/>
      <c r="AE45" s="78"/>
      <c r="AF45" s="78"/>
      <c r="AG45" s="78"/>
      <c r="AH45" s="320">
        <f>SUM(AH37:AH42)</f>
        <v>-536.79999999999995</v>
      </c>
      <c r="AI45" s="78"/>
      <c r="AJ45" s="78"/>
      <c r="AK45" s="78"/>
      <c r="AL45" s="78"/>
      <c r="AM45" s="320">
        <f>SUM(AM37:AM44)</f>
        <v>-735.8</v>
      </c>
      <c r="AN45" s="78"/>
      <c r="AO45" s="78"/>
      <c r="AP45" s="78"/>
      <c r="AQ45" s="78"/>
      <c r="AR45" s="320">
        <f>SUM(AR37:AR42)</f>
        <v>-753.60000000000014</v>
      </c>
      <c r="AS45" s="78"/>
      <c r="AT45" s="78"/>
      <c r="AU45" s="78"/>
      <c r="AV45" s="78"/>
      <c r="AW45" s="320">
        <f>SUM(AW37:AW44)</f>
        <v>-3163.2999999999997</v>
      </c>
      <c r="AX45" s="78"/>
      <c r="AY45" s="78"/>
      <c r="AZ45" s="78"/>
      <c r="BA45" s="78"/>
      <c r="BB45" s="320">
        <f>SUM(BB37:BB42)</f>
        <v>-911.60000000000014</v>
      </c>
      <c r="BC45" s="78"/>
      <c r="BD45" s="78"/>
      <c r="BE45" s="78"/>
      <c r="BF45" s="78"/>
      <c r="BG45" s="320">
        <f>SUM(BG37:BG42)</f>
        <v>-4593.2</v>
      </c>
      <c r="BH45" s="78"/>
      <c r="BI45" s="78"/>
      <c r="BJ45" s="78"/>
      <c r="BK45" s="78"/>
      <c r="BL45" s="320">
        <f>SUM(BL37:BL42)</f>
        <v>-3081.7000000000003</v>
      </c>
      <c r="BM45" s="319">
        <f>SUM(BM37:BM42)</f>
        <v>-346.8</v>
      </c>
      <c r="BN45" s="319">
        <f>SUM(BN37:BN42)</f>
        <v>-515.9</v>
      </c>
      <c r="BO45" s="319">
        <f>SUM(BO37:BO42)</f>
        <v>-410.40000000000003</v>
      </c>
      <c r="BP45" s="319">
        <f>SUM(BP37:BP42)</f>
        <v>-3307.5</v>
      </c>
      <c r="BQ45" s="320">
        <f>SUM(BQ37:BQ44)</f>
        <v>-4580.6000000000004</v>
      </c>
      <c r="BR45" s="319">
        <f>SUM(BR37:BR42)</f>
        <v>-445.79999999999995</v>
      </c>
      <c r="BS45" s="319">
        <f>SUM(BS37:BS42)</f>
        <v>-162.19999999999996</v>
      </c>
      <c r="BT45" s="319">
        <f>SUM(BT37:BT42)</f>
        <v>-437.3</v>
      </c>
      <c r="BU45" s="319">
        <f>SUM(BU37:BU44)</f>
        <v>-23.700000000000049</v>
      </c>
      <c r="BV45" s="320">
        <f>SUM(BV37:BV42)</f>
        <v>-1069</v>
      </c>
      <c r="BW45" s="319">
        <f t="shared" ref="BW45:DJ45" si="102">SUM(BW37:BW44)</f>
        <v>-397</v>
      </c>
      <c r="BX45" s="319">
        <f t="shared" si="102"/>
        <v>-483</v>
      </c>
      <c r="BY45" s="319">
        <f t="shared" si="102"/>
        <v>-508</v>
      </c>
      <c r="BZ45" s="319">
        <f t="shared" si="102"/>
        <v>-252</v>
      </c>
      <c r="CA45" s="320">
        <f t="shared" si="102"/>
        <v>-1640</v>
      </c>
      <c r="CB45" s="319">
        <f t="shared" si="102"/>
        <v>-299</v>
      </c>
      <c r="CC45" s="319">
        <f t="shared" si="102"/>
        <v>-1767</v>
      </c>
      <c r="CD45" s="319">
        <f t="shared" si="102"/>
        <v>-497</v>
      </c>
      <c r="CE45" s="319">
        <f t="shared" si="102"/>
        <v>153</v>
      </c>
      <c r="CF45" s="321">
        <f t="shared" si="102"/>
        <v>-2410</v>
      </c>
      <c r="CG45" s="319">
        <f t="shared" si="102"/>
        <v>-443</v>
      </c>
      <c r="CH45" s="319">
        <f t="shared" si="102"/>
        <v>-642</v>
      </c>
      <c r="CI45" s="319">
        <f t="shared" si="102"/>
        <v>-98</v>
      </c>
      <c r="CJ45" s="80">
        <f t="shared" si="102"/>
        <v>-666</v>
      </c>
      <c r="CK45" s="321">
        <f t="shared" si="102"/>
        <v>-1849</v>
      </c>
      <c r="CL45" s="80">
        <f t="shared" si="102"/>
        <v>-567</v>
      </c>
      <c r="CM45" s="319">
        <f t="shared" si="102"/>
        <v>-526</v>
      </c>
      <c r="CN45" s="319">
        <f t="shared" si="102"/>
        <v>-529</v>
      </c>
      <c r="CO45" s="319">
        <f>SUM(CO37:CO44)</f>
        <v>-320</v>
      </c>
      <c r="CP45" s="321">
        <f t="shared" si="102"/>
        <v>-1942</v>
      </c>
      <c r="CQ45" s="1771">
        <f>SUM(CQ37:CQ44)</f>
        <v>-2560</v>
      </c>
      <c r="CR45" s="1772">
        <f>SUM(CR37:CR44)</f>
        <v>-625</v>
      </c>
      <c r="CS45" s="1772">
        <f>SUM(CS37:CS44)</f>
        <v>-349</v>
      </c>
      <c r="CT45" s="1773">
        <f>SUM(CT37:CT44)</f>
        <v>-511</v>
      </c>
      <c r="CU45" s="1790">
        <f t="shared" si="102"/>
        <v>-4045</v>
      </c>
      <c r="CV45" s="1874">
        <f t="shared" si="102"/>
        <v>-544</v>
      </c>
      <c r="CW45" s="1874">
        <f>SUM(CW37:CW44)</f>
        <v>-546</v>
      </c>
      <c r="CX45" s="1874">
        <f>SUM(CX37:CX44)</f>
        <v>-9910</v>
      </c>
      <c r="CY45" s="1874">
        <f>SUM(CY37:CY44)</f>
        <v>-2420</v>
      </c>
      <c r="CZ45" s="1873">
        <f t="shared" si="102"/>
        <v>-13420</v>
      </c>
      <c r="DA45" s="1874">
        <f t="shared" ref="DA45:DF45" si="103">SUM(DA37:DA44)</f>
        <v>-633</v>
      </c>
      <c r="DB45" s="1874">
        <f t="shared" si="103"/>
        <v>-598</v>
      </c>
      <c r="DC45" s="1874">
        <f t="shared" si="103"/>
        <v>-421</v>
      </c>
      <c r="DD45" s="1874">
        <f t="shared" si="103"/>
        <v>-818</v>
      </c>
      <c r="DE45" s="2687">
        <f t="shared" si="103"/>
        <v>-2470</v>
      </c>
      <c r="DF45" s="1874">
        <f t="shared" si="103"/>
        <v>-554</v>
      </c>
      <c r="DG45" s="1874">
        <f>SUM(DG37:DG44)</f>
        <v>-620</v>
      </c>
      <c r="DH45" s="1874">
        <f>SUM(DH37:DH44)</f>
        <v>-434</v>
      </c>
      <c r="DI45" s="1874">
        <f>SUM(DI37:DI44)</f>
        <v>-1324</v>
      </c>
      <c r="DJ45" s="321">
        <f t="shared" si="102"/>
        <v>-2932</v>
      </c>
      <c r="DK45" s="80">
        <f t="shared" ref="DK45:DT45" si="104">SUM(DK37:DK44)</f>
        <v>-382</v>
      </c>
      <c r="DL45" s="80">
        <f t="shared" si="104"/>
        <v>-356</v>
      </c>
      <c r="DM45" s="80">
        <f t="shared" si="104"/>
        <v>-449</v>
      </c>
      <c r="DN45" s="80">
        <f t="shared" si="104"/>
        <v>-431</v>
      </c>
      <c r="DO45" s="321">
        <f t="shared" si="104"/>
        <v>-1618</v>
      </c>
      <c r="DP45" s="80">
        <f t="shared" si="104"/>
        <v>-395.71000000000004</v>
      </c>
      <c r="DQ45" s="80">
        <f t="shared" si="104"/>
        <v>-368.93</v>
      </c>
      <c r="DR45" s="80">
        <f t="shared" si="104"/>
        <v>-464.72</v>
      </c>
      <c r="DS45" s="80">
        <f t="shared" si="104"/>
        <v>-446.18000000000006</v>
      </c>
      <c r="DT45" s="321">
        <f t="shared" si="104"/>
        <v>-1675.5400000000002</v>
      </c>
      <c r="DU45" s="80">
        <f t="shared" ref="DU45:DY45" si="105">SUM(DU37:DU44)</f>
        <v>-409.83130000000006</v>
      </c>
      <c r="DV45" s="80">
        <f t="shared" si="105"/>
        <v>-382.24790000000002</v>
      </c>
      <c r="DW45" s="80">
        <f t="shared" si="105"/>
        <v>-480.91160000000002</v>
      </c>
      <c r="DX45" s="80">
        <f t="shared" si="105"/>
        <v>-461.81540000000007</v>
      </c>
      <c r="DY45" s="321">
        <f t="shared" si="105"/>
        <v>-1734.8062</v>
      </c>
      <c r="DZ45" s="1858"/>
      <c r="EA45" s="1858"/>
      <c r="EB45" s="1858"/>
    </row>
    <row r="46" spans="1:132" x14ac:dyDescent="0.2">
      <c r="A46" s="1853"/>
      <c r="B46" s="72"/>
      <c r="C46" s="73"/>
      <c r="D46" s="73"/>
      <c r="E46" s="59"/>
      <c r="F46" s="59"/>
      <c r="G46" s="59"/>
      <c r="H46" s="59"/>
      <c r="I46" s="74"/>
      <c r="J46" s="59"/>
      <c r="K46" s="59"/>
      <c r="L46" s="59"/>
      <c r="M46" s="59"/>
      <c r="N46" s="74"/>
      <c r="O46" s="59"/>
      <c r="P46" s="59"/>
      <c r="Q46" s="59"/>
      <c r="R46" s="59"/>
      <c r="S46" s="74"/>
      <c r="T46" s="59"/>
      <c r="U46" s="59"/>
      <c r="V46" s="59"/>
      <c r="W46" s="59"/>
      <c r="X46" s="74"/>
      <c r="Y46" s="59"/>
      <c r="Z46" s="59"/>
      <c r="AA46" s="59"/>
      <c r="AB46" s="59"/>
      <c r="AC46" s="74"/>
      <c r="AD46" s="59"/>
      <c r="AE46" s="59"/>
      <c r="AF46" s="59"/>
      <c r="AG46" s="59"/>
      <c r="AH46" s="74"/>
      <c r="AI46" s="59"/>
      <c r="AJ46" s="59"/>
      <c r="AK46" s="59"/>
      <c r="AL46" s="59"/>
      <c r="AM46" s="74"/>
      <c r="AN46" s="59"/>
      <c r="AO46" s="59"/>
      <c r="AP46" s="59"/>
      <c r="AQ46" s="59"/>
      <c r="AR46" s="74"/>
      <c r="AS46" s="59"/>
      <c r="AT46" s="59"/>
      <c r="AU46" s="59"/>
      <c r="AV46" s="59"/>
      <c r="AW46" s="74"/>
      <c r="AX46" s="59"/>
      <c r="AY46" s="59"/>
      <c r="AZ46" s="59"/>
      <c r="BA46" s="59"/>
      <c r="BB46" s="74"/>
      <c r="BC46" s="59"/>
      <c r="BD46" s="59"/>
      <c r="BE46" s="59"/>
      <c r="BF46" s="59"/>
      <c r="BG46" s="74"/>
      <c r="BH46" s="59"/>
      <c r="BI46" s="59"/>
      <c r="BJ46" s="59"/>
      <c r="BK46" s="59"/>
      <c r="BL46" s="74"/>
      <c r="BM46" s="73"/>
      <c r="BN46" s="73"/>
      <c r="BO46" s="73"/>
      <c r="BP46" s="73"/>
      <c r="BQ46" s="74"/>
      <c r="BR46" s="73"/>
      <c r="BS46" s="73"/>
      <c r="BT46" s="73"/>
      <c r="BU46" s="73"/>
      <c r="BV46" s="74"/>
      <c r="BW46" s="73"/>
      <c r="BX46" s="73"/>
      <c r="BY46" s="73"/>
      <c r="BZ46" s="73"/>
      <c r="CA46" s="74"/>
      <c r="CB46" s="73"/>
      <c r="CC46" s="73"/>
      <c r="CD46" s="73"/>
      <c r="CE46" s="73"/>
      <c r="CF46" s="323"/>
      <c r="CG46" s="73"/>
      <c r="CH46" s="73"/>
      <c r="CI46" s="73"/>
      <c r="CJ46" s="1627"/>
      <c r="CK46" s="323"/>
      <c r="CL46" s="73"/>
      <c r="CM46" s="73"/>
      <c r="CN46" s="73"/>
      <c r="CO46" s="73"/>
      <c r="CP46" s="323"/>
      <c r="CQ46" s="72"/>
      <c r="CR46" s="1789"/>
      <c r="CS46" s="1789"/>
      <c r="CT46" s="1790"/>
      <c r="CU46" s="1790"/>
      <c r="CV46" s="1874"/>
      <c r="CW46" s="1874"/>
      <c r="CX46" s="1874"/>
      <c r="CY46" s="1874"/>
      <c r="CZ46" s="1873"/>
      <c r="DA46" s="1874"/>
      <c r="DB46" s="1874"/>
      <c r="DC46" s="1874"/>
      <c r="DD46" s="1874"/>
      <c r="DE46" s="2688"/>
      <c r="DF46" s="1874"/>
      <c r="DG46" s="1874"/>
      <c r="DH46" s="1874"/>
      <c r="DI46" s="1874"/>
      <c r="DJ46" s="323"/>
      <c r="DK46" s="73"/>
      <c r="DL46" s="73"/>
      <c r="DM46" s="73"/>
      <c r="DN46" s="73"/>
      <c r="DO46" s="323"/>
      <c r="DP46" s="73"/>
      <c r="DQ46" s="73"/>
      <c r="DR46" s="73"/>
      <c r="DS46" s="73"/>
      <c r="DT46" s="323"/>
      <c r="DU46" s="73"/>
      <c r="DV46" s="73"/>
      <c r="DW46" s="73"/>
      <c r="DX46" s="73"/>
      <c r="DY46" s="323"/>
      <c r="DZ46" s="1858"/>
      <c r="EA46" s="1858"/>
      <c r="EB46" s="1858"/>
    </row>
    <row r="47" spans="1:132" x14ac:dyDescent="0.2">
      <c r="A47" s="1853"/>
      <c r="B47" s="58" t="s">
        <v>341</v>
      </c>
      <c r="C47" s="59"/>
      <c r="D47" s="59"/>
      <c r="E47" s="59"/>
      <c r="F47" s="59"/>
      <c r="G47" s="59"/>
      <c r="H47" s="59"/>
      <c r="I47" s="63">
        <v>0</v>
      </c>
      <c r="J47" s="59"/>
      <c r="K47" s="59"/>
      <c r="L47" s="59"/>
      <c r="M47" s="59"/>
      <c r="N47" s="63">
        <v>0</v>
      </c>
      <c r="O47" s="59"/>
      <c r="P47" s="59"/>
      <c r="Q47" s="59"/>
      <c r="R47" s="59"/>
      <c r="S47" s="63">
        <v>0</v>
      </c>
      <c r="T47" s="59"/>
      <c r="U47" s="59"/>
      <c r="V47" s="59"/>
      <c r="W47" s="59"/>
      <c r="X47" s="63">
        <v>0</v>
      </c>
      <c r="Y47" s="59"/>
      <c r="Z47" s="59"/>
      <c r="AA47" s="59"/>
      <c r="AB47" s="59"/>
      <c r="AC47" s="63">
        <v>0</v>
      </c>
      <c r="AD47" s="59"/>
      <c r="AE47" s="59"/>
      <c r="AF47" s="59"/>
      <c r="AG47" s="59"/>
      <c r="AH47" s="63">
        <v>0</v>
      </c>
      <c r="AI47" s="59"/>
      <c r="AJ47" s="59"/>
      <c r="AK47" s="59"/>
      <c r="AL47" s="59"/>
      <c r="AM47" s="63">
        <v>0</v>
      </c>
      <c r="AN47" s="59"/>
      <c r="AO47" s="59"/>
      <c r="AP47" s="59"/>
      <c r="AQ47" s="59"/>
      <c r="AR47" s="63">
        <v>0</v>
      </c>
      <c r="AS47" s="59"/>
      <c r="AT47" s="59"/>
      <c r="AU47" s="59"/>
      <c r="AV47" s="59"/>
      <c r="AW47" s="63">
        <v>0</v>
      </c>
      <c r="AX47" s="59"/>
      <c r="AY47" s="59"/>
      <c r="AZ47" s="59"/>
      <c r="BA47" s="59"/>
      <c r="BB47" s="63">
        <v>0</v>
      </c>
      <c r="BC47" s="59"/>
      <c r="BD47" s="59"/>
      <c r="BE47" s="59"/>
      <c r="BF47" s="59"/>
      <c r="BG47" s="63">
        <v>0</v>
      </c>
      <c r="BH47" s="59"/>
      <c r="BI47" s="59"/>
      <c r="BJ47" s="59"/>
      <c r="BK47" s="59"/>
      <c r="BL47" s="63">
        <v>0</v>
      </c>
      <c r="BM47" s="62">
        <f>BM113</f>
        <v>0</v>
      </c>
      <c r="BN47" s="62">
        <f t="shared" ref="BN47:BP49" si="106">BN113-BM113</f>
        <v>0</v>
      </c>
      <c r="BO47" s="62">
        <f t="shared" si="106"/>
        <v>0</v>
      </c>
      <c r="BP47" s="62">
        <f t="shared" si="106"/>
        <v>-352.8</v>
      </c>
      <c r="BQ47" s="63">
        <v>-352.8</v>
      </c>
      <c r="BR47" s="62">
        <f>BR113</f>
        <v>0</v>
      </c>
      <c r="BS47" s="62">
        <f t="shared" ref="BS47:BU49" si="107">BS113-BR113</f>
        <v>0</v>
      </c>
      <c r="BT47" s="62">
        <f t="shared" si="107"/>
        <v>0</v>
      </c>
      <c r="BU47" s="62">
        <f t="shared" si="107"/>
        <v>0</v>
      </c>
      <c r="BV47" s="63">
        <v>0</v>
      </c>
      <c r="BW47" s="62">
        <f>BW113</f>
        <v>0</v>
      </c>
      <c r="BX47" s="62">
        <f t="shared" ref="BX47:BZ49" si="108">BX113-BW113</f>
        <v>0</v>
      </c>
      <c r="BY47" s="62">
        <f t="shared" si="108"/>
        <v>0</v>
      </c>
      <c r="BZ47" s="62">
        <f t="shared" si="108"/>
        <v>0</v>
      </c>
      <c r="CA47" s="61">
        <f>SUM(BW47:BZ47)</f>
        <v>0</v>
      </c>
      <c r="CB47" s="62">
        <f>CB113</f>
        <v>0</v>
      </c>
      <c r="CC47" s="62">
        <f t="shared" ref="CC47:CE49" si="109">CC113-CB113</f>
        <v>0</v>
      </c>
      <c r="CD47" s="62">
        <f t="shared" si="109"/>
        <v>0</v>
      </c>
      <c r="CE47" s="62">
        <f t="shared" si="109"/>
        <v>0</v>
      </c>
      <c r="CF47" s="86">
        <f>SUM(CB47:CE47)</f>
        <v>0</v>
      </c>
      <c r="CG47" s="62">
        <f>CG113</f>
        <v>0</v>
      </c>
      <c r="CH47" s="62">
        <f t="shared" ref="CH47:CJ49" si="110">CH113-CG113</f>
        <v>0</v>
      </c>
      <c r="CI47" s="62">
        <f t="shared" si="110"/>
        <v>-26</v>
      </c>
      <c r="CJ47" s="62">
        <v>-0.375</v>
      </c>
      <c r="CK47" s="86">
        <f>SUM(CG47:CJ47)</f>
        <v>-26.375</v>
      </c>
      <c r="CL47" s="62">
        <f>CL113</f>
        <v>-390</v>
      </c>
      <c r="CM47" s="62">
        <f t="shared" ref="CM47:CT49" si="111">CM113-CL113</f>
        <v>-300</v>
      </c>
      <c r="CN47" s="62">
        <f>CN113-CM113+48.7</f>
        <v>743.7</v>
      </c>
      <c r="CO47" s="62">
        <f>CO113-CN113+48.7+58.1</f>
        <v>101.80000000000001</v>
      </c>
      <c r="CP47" s="86">
        <f>SUM(CL47:CO47)</f>
        <v>155.50000000000006</v>
      </c>
      <c r="CQ47" s="1781">
        <v>0</v>
      </c>
      <c r="CR47" s="1782">
        <v>0</v>
      </c>
      <c r="CS47" s="1782">
        <v>0</v>
      </c>
      <c r="CT47" s="1785">
        <v>0</v>
      </c>
      <c r="CU47" s="1780">
        <f>SUM(CQ47:CT47)</f>
        <v>0</v>
      </c>
      <c r="CV47" s="1703">
        <v>0</v>
      </c>
      <c r="CW47" s="1703">
        <v>0</v>
      </c>
      <c r="CX47" s="1703">
        <v>0</v>
      </c>
      <c r="CY47" s="1703">
        <v>0</v>
      </c>
      <c r="CZ47" s="1857">
        <f>SUM(CV47:CY47)</f>
        <v>0</v>
      </c>
      <c r="DA47" s="1703">
        <v>8.6</v>
      </c>
      <c r="DB47" s="1703">
        <v>8.6</v>
      </c>
      <c r="DC47" s="1703">
        <v>0</v>
      </c>
      <c r="DD47" s="1703">
        <v>0</v>
      </c>
      <c r="DE47" s="2627">
        <f>SUM(DA47:DD47)</f>
        <v>17.2</v>
      </c>
      <c r="DF47" s="1703">
        <v>0</v>
      </c>
      <c r="DG47" s="1703">
        <v>0</v>
      </c>
      <c r="DH47" s="1703">
        <v>0</v>
      </c>
      <c r="DI47" s="1703">
        <v>0</v>
      </c>
      <c r="DJ47" s="86">
        <f>SUM(DF47:DI47)</f>
        <v>0</v>
      </c>
      <c r="DK47" s="60">
        <v>0</v>
      </c>
      <c r="DL47" s="60">
        <v>0</v>
      </c>
      <c r="DM47" s="60">
        <v>0</v>
      </c>
      <c r="DN47" s="60">
        <v>0</v>
      </c>
      <c r="DO47" s="86">
        <f>SUM(DK47:DN47)</f>
        <v>0</v>
      </c>
      <c r="DP47" s="60">
        <v>0</v>
      </c>
      <c r="DQ47" s="60">
        <v>0</v>
      </c>
      <c r="DR47" s="60">
        <v>0</v>
      </c>
      <c r="DS47" s="60">
        <v>0</v>
      </c>
      <c r="DT47" s="86">
        <f>SUM(DP47:DS47)</f>
        <v>0</v>
      </c>
      <c r="DU47" s="60">
        <v>0</v>
      </c>
      <c r="DV47" s="60">
        <v>0</v>
      </c>
      <c r="DW47" s="60">
        <v>0</v>
      </c>
      <c r="DX47" s="60">
        <v>0</v>
      </c>
      <c r="DY47" s="86">
        <f>SUM(DU47:DX47)</f>
        <v>0</v>
      </c>
      <c r="DZ47" s="1858"/>
      <c r="EA47" s="1858"/>
      <c r="EB47" s="1858"/>
    </row>
    <row r="48" spans="1:132" outlineLevel="1" x14ac:dyDescent="0.2">
      <c r="A48" s="1853"/>
      <c r="B48" s="58" t="s">
        <v>342</v>
      </c>
      <c r="C48" s="59"/>
      <c r="D48" s="59"/>
      <c r="E48" s="59"/>
      <c r="F48" s="59"/>
      <c r="G48" s="59"/>
      <c r="H48" s="59"/>
      <c r="I48" s="63">
        <v>128.5</v>
      </c>
      <c r="J48" s="59"/>
      <c r="K48" s="59"/>
      <c r="L48" s="59"/>
      <c r="M48" s="59"/>
      <c r="N48" s="63">
        <v>-917.2</v>
      </c>
      <c r="O48" s="59"/>
      <c r="P48" s="59"/>
      <c r="Q48" s="59"/>
      <c r="R48" s="59"/>
      <c r="S48" s="63">
        <v>-41.9</v>
      </c>
      <c r="T48" s="59"/>
      <c r="U48" s="59"/>
      <c r="V48" s="59"/>
      <c r="W48" s="59"/>
      <c r="X48" s="63">
        <v>298.10000000000002</v>
      </c>
      <c r="Y48" s="59"/>
      <c r="Z48" s="59"/>
      <c r="AA48" s="59"/>
      <c r="AB48" s="59"/>
      <c r="AC48" s="63">
        <v>-0.9</v>
      </c>
      <c r="AD48" s="59"/>
      <c r="AE48" s="59"/>
      <c r="AF48" s="59"/>
      <c r="AG48" s="59"/>
      <c r="AH48" s="63">
        <v>295.89999999999998</v>
      </c>
      <c r="AI48" s="59"/>
      <c r="AJ48" s="59"/>
      <c r="AK48" s="59"/>
      <c r="AL48" s="59"/>
      <c r="AM48" s="63">
        <v>296.89999999999998</v>
      </c>
      <c r="AN48" s="59"/>
      <c r="AO48" s="59"/>
      <c r="AP48" s="59"/>
      <c r="AQ48" s="59"/>
      <c r="AR48" s="63">
        <v>-0.8</v>
      </c>
      <c r="AS48" s="59"/>
      <c r="AT48" s="59"/>
      <c r="AU48" s="59"/>
      <c r="AV48" s="59"/>
      <c r="AW48" s="63">
        <f>1204.1-301.5</f>
        <v>902.59999999999991</v>
      </c>
      <c r="AX48" s="59"/>
      <c r="AY48" s="59"/>
      <c r="AZ48" s="59"/>
      <c r="BA48" s="59"/>
      <c r="BB48" s="63">
        <f>16.5-10.5</f>
        <v>6</v>
      </c>
      <c r="BC48" s="59"/>
      <c r="BD48" s="59"/>
      <c r="BE48" s="59"/>
      <c r="BF48" s="59"/>
      <c r="BG48" s="63">
        <v>1500</v>
      </c>
      <c r="BH48" s="59"/>
      <c r="BI48" s="59"/>
      <c r="BJ48" s="59"/>
      <c r="BK48" s="59"/>
      <c r="BL48" s="63">
        <f>6000-821.8</f>
        <v>5178.2</v>
      </c>
      <c r="BM48" s="62">
        <f>BM114</f>
        <v>0</v>
      </c>
      <c r="BN48" s="62">
        <f t="shared" si="106"/>
        <v>0</v>
      </c>
      <c r="BO48" s="62">
        <f t="shared" si="106"/>
        <v>350</v>
      </c>
      <c r="BP48" s="62">
        <f t="shared" si="106"/>
        <v>0</v>
      </c>
      <c r="BQ48" s="63">
        <v>350</v>
      </c>
      <c r="BR48" s="62">
        <f>BR114</f>
        <v>999.1</v>
      </c>
      <c r="BS48" s="62">
        <f t="shared" si="107"/>
        <v>0.89999999999997726</v>
      </c>
      <c r="BT48" s="62">
        <f t="shared" si="107"/>
        <v>1800</v>
      </c>
      <c r="BU48" s="62">
        <f t="shared" si="107"/>
        <v>0</v>
      </c>
      <c r="BV48" s="63">
        <v>2800</v>
      </c>
      <c r="BW48" s="62">
        <f>BW114</f>
        <v>0</v>
      </c>
      <c r="BX48" s="62">
        <f t="shared" si="108"/>
        <v>991</v>
      </c>
      <c r="BY48" s="62">
        <f t="shared" si="108"/>
        <v>0</v>
      </c>
      <c r="BZ48" s="62">
        <f t="shared" si="108"/>
        <v>0</v>
      </c>
      <c r="CA48" s="61">
        <f>SUM(BW48:BZ48)</f>
        <v>991</v>
      </c>
      <c r="CB48" s="62">
        <f>CB114</f>
        <v>0</v>
      </c>
      <c r="CC48" s="62">
        <f t="shared" si="109"/>
        <v>1463</v>
      </c>
      <c r="CD48" s="62">
        <f t="shared" si="109"/>
        <v>0</v>
      </c>
      <c r="CE48" s="62">
        <f t="shared" si="109"/>
        <v>0</v>
      </c>
      <c r="CF48" s="86">
        <f>SUM(CB48:CE48)</f>
        <v>1463</v>
      </c>
      <c r="CG48" s="62">
        <f>CG114</f>
        <v>0</v>
      </c>
      <c r="CH48" s="62">
        <f t="shared" si="110"/>
        <v>0</v>
      </c>
      <c r="CI48" s="62">
        <f t="shared" si="110"/>
        <v>0</v>
      </c>
      <c r="CJ48" s="62">
        <f t="shared" si="110"/>
        <v>1239</v>
      </c>
      <c r="CK48" s="86">
        <f>SUM(CG48:CJ48)</f>
        <v>1239</v>
      </c>
      <c r="CL48" s="62">
        <f>CL114</f>
        <v>0</v>
      </c>
      <c r="CM48" s="62">
        <f t="shared" si="111"/>
        <v>0</v>
      </c>
      <c r="CN48" s="62">
        <f t="shared" si="111"/>
        <v>0</v>
      </c>
      <c r="CO48" s="62">
        <f t="shared" si="111"/>
        <v>3964</v>
      </c>
      <c r="CP48" s="86">
        <f>SUM(CL48:CO48)</f>
        <v>3964</v>
      </c>
      <c r="CQ48" s="1781">
        <f t="shared" si="111"/>
        <v>0</v>
      </c>
      <c r="CR48" s="1782">
        <f t="shared" si="111"/>
        <v>0</v>
      </c>
      <c r="CS48" s="1779">
        <f t="shared" si="111"/>
        <v>1483</v>
      </c>
      <c r="CT48" s="1780">
        <f t="shared" si="111"/>
        <v>0</v>
      </c>
      <c r="CU48" s="1780">
        <f>SUM(CQ48:CT48)</f>
        <v>1483</v>
      </c>
      <c r="CV48" s="1856">
        <f>IF(Debt!CV438&gt;0,Debt!CV438,0)</f>
        <v>0</v>
      </c>
      <c r="CW48" s="1856">
        <f t="shared" ref="CW48:CY49" si="112">CW114-CV114</f>
        <v>0</v>
      </c>
      <c r="CX48" s="1856">
        <f t="shared" si="112"/>
        <v>14808</v>
      </c>
      <c r="CY48" s="1856">
        <f t="shared" si="112"/>
        <v>-3</v>
      </c>
      <c r="CZ48" s="1857">
        <f>SUM(CV48:CY48)</f>
        <v>14805</v>
      </c>
      <c r="DA48" s="1856">
        <f t="shared" ref="DA48:DD49" si="113">DA114-CZ114</f>
        <v>0</v>
      </c>
      <c r="DB48" s="1856">
        <f t="shared" si="113"/>
        <v>3455</v>
      </c>
      <c r="DC48" s="1856">
        <f t="shared" si="113"/>
        <v>0</v>
      </c>
      <c r="DD48" s="1856">
        <f t="shared" si="113"/>
        <v>0</v>
      </c>
      <c r="DE48" s="2627">
        <f>SUM(DA48:DD48)</f>
        <v>3455</v>
      </c>
      <c r="DF48" s="1856">
        <f t="shared" ref="DF48:DI49" si="114">DF114-DE114</f>
        <v>0</v>
      </c>
      <c r="DG48" s="1856">
        <f t="shared" si="114"/>
        <v>0</v>
      </c>
      <c r="DH48" s="1856">
        <f t="shared" si="114"/>
        <v>0</v>
      </c>
      <c r="DI48" s="1856">
        <f t="shared" si="114"/>
        <v>0</v>
      </c>
      <c r="DJ48" s="86">
        <f>SUM(DF48:DI48)</f>
        <v>0</v>
      </c>
      <c r="DK48" s="1856">
        <f>IF(Debt!DK438&gt;0,Debt!DK438,0)</f>
        <v>0</v>
      </c>
      <c r="DL48" s="1856">
        <f>IF(Debt!DL438&gt;0,Debt!DL438,0)</f>
        <v>38320</v>
      </c>
      <c r="DM48" s="1856">
        <f>IF(Debt!DM438&gt;0,Debt!DM438,0)</f>
        <v>0</v>
      </c>
      <c r="DN48" s="1856">
        <f>IF(Debt!DN438&gt;0,Debt!DN438,0)</f>
        <v>0</v>
      </c>
      <c r="DO48" s="86">
        <f>SUM(DK48:DN48)</f>
        <v>38320</v>
      </c>
      <c r="DP48" s="1856">
        <f>IF(Debt!DP438&gt;0,Debt!DP438,0)</f>
        <v>0</v>
      </c>
      <c r="DQ48" s="1856">
        <f>IF(Debt!DQ438&gt;0,Debt!DQ438,0)</f>
        <v>0</v>
      </c>
      <c r="DR48" s="1856">
        <f>IF(Debt!DR438&gt;0,Debt!DR438,0)</f>
        <v>0</v>
      </c>
      <c r="DS48" s="1856">
        <f>IF(Debt!DS438&gt;0,Debt!DS438,0)</f>
        <v>0</v>
      </c>
      <c r="DT48" s="86">
        <f>SUM(DP48:DS48)</f>
        <v>0</v>
      </c>
      <c r="DU48" s="1856">
        <f>IF(Debt!DU438&gt;0,Debt!DU438,0)</f>
        <v>0</v>
      </c>
      <c r="DV48" s="1856">
        <f>IF(Debt!DV438&gt;0,Debt!DV438,0)</f>
        <v>0</v>
      </c>
      <c r="DW48" s="1856">
        <f>IF(Debt!DW438&gt;0,Debt!DW438,0)</f>
        <v>0</v>
      </c>
      <c r="DX48" s="1856">
        <f>IF(Debt!DX438&gt;0,Debt!DX438,0)</f>
        <v>0</v>
      </c>
      <c r="DY48" s="86">
        <f>SUM(DU48:DX48)</f>
        <v>0</v>
      </c>
      <c r="DZ48" s="1858"/>
      <c r="EA48" s="1858"/>
      <c r="EB48" s="1858"/>
    </row>
    <row r="49" spans="1:132" outlineLevel="1" x14ac:dyDescent="0.2">
      <c r="A49" s="1853"/>
      <c r="B49" s="58" t="s">
        <v>343</v>
      </c>
      <c r="C49" s="59"/>
      <c r="D49" s="310"/>
      <c r="E49" s="310"/>
      <c r="F49" s="310"/>
      <c r="G49" s="310"/>
      <c r="H49" s="310"/>
      <c r="I49" s="314"/>
      <c r="J49" s="310"/>
      <c r="K49" s="310"/>
      <c r="L49" s="310"/>
      <c r="M49" s="310"/>
      <c r="N49" s="314"/>
      <c r="O49" s="310"/>
      <c r="P49" s="310"/>
      <c r="Q49" s="310"/>
      <c r="R49" s="310"/>
      <c r="S49" s="314"/>
      <c r="T49" s="310"/>
      <c r="U49" s="310"/>
      <c r="V49" s="310"/>
      <c r="W49" s="310"/>
      <c r="X49" s="314"/>
      <c r="Y49" s="310"/>
      <c r="Z49" s="310"/>
      <c r="AA49" s="310"/>
      <c r="AB49" s="310"/>
      <c r="AC49" s="314"/>
      <c r="AD49" s="310"/>
      <c r="AE49" s="310"/>
      <c r="AF49" s="310"/>
      <c r="AG49" s="310"/>
      <c r="AH49" s="314"/>
      <c r="AI49" s="310"/>
      <c r="AJ49" s="310"/>
      <c r="AK49" s="310"/>
      <c r="AL49" s="310"/>
      <c r="AM49" s="314"/>
      <c r="AN49" s="310"/>
      <c r="AO49" s="310"/>
      <c r="AP49" s="310"/>
      <c r="AQ49" s="310"/>
      <c r="AR49" s="314"/>
      <c r="AS49" s="310"/>
      <c r="AT49" s="310"/>
      <c r="AU49" s="310"/>
      <c r="AV49" s="310"/>
      <c r="AW49" s="314"/>
      <c r="AX49" s="310"/>
      <c r="AY49" s="310"/>
      <c r="AZ49" s="310"/>
      <c r="BA49" s="310"/>
      <c r="BB49" s="314"/>
      <c r="BC49" s="310"/>
      <c r="BD49" s="310"/>
      <c r="BE49" s="310"/>
      <c r="BF49" s="310"/>
      <c r="BG49" s="311">
        <v>-310.5</v>
      </c>
      <c r="BH49" s="310"/>
      <c r="BI49" s="310"/>
      <c r="BJ49" s="310"/>
      <c r="BK49" s="310"/>
      <c r="BL49" s="311">
        <v>0</v>
      </c>
      <c r="BM49" s="313">
        <f>BM115</f>
        <v>-0.6</v>
      </c>
      <c r="BN49" s="313">
        <f t="shared" si="106"/>
        <v>-0.70000000000000007</v>
      </c>
      <c r="BO49" s="313">
        <f t="shared" si="106"/>
        <v>-0.7</v>
      </c>
      <c r="BP49" s="313">
        <f t="shared" si="106"/>
        <v>0.19999999999999996</v>
      </c>
      <c r="BQ49" s="311">
        <v>-1.8</v>
      </c>
      <c r="BR49" s="313">
        <f>BR115</f>
        <v>0</v>
      </c>
      <c r="BS49" s="313">
        <f t="shared" si="107"/>
        <v>-1.7</v>
      </c>
      <c r="BT49" s="313">
        <f t="shared" si="107"/>
        <v>-650.59999999999991</v>
      </c>
      <c r="BU49" s="313">
        <f t="shared" si="107"/>
        <v>-0.70000000000004547</v>
      </c>
      <c r="BV49" s="311">
        <v>-653</v>
      </c>
      <c r="BW49" s="313">
        <f>BW115</f>
        <v>-1</v>
      </c>
      <c r="BX49" s="313">
        <f t="shared" si="108"/>
        <v>-1750</v>
      </c>
      <c r="BY49" s="313">
        <f t="shared" si="108"/>
        <v>-351</v>
      </c>
      <c r="BZ49" s="313">
        <f t="shared" si="108"/>
        <v>-1</v>
      </c>
      <c r="CA49" s="312">
        <f>SUM(BW49:BZ49)</f>
        <v>-2103</v>
      </c>
      <c r="CB49" s="313">
        <f>CB115</f>
        <v>-301</v>
      </c>
      <c r="CC49" s="313">
        <f t="shared" si="109"/>
        <v>-1</v>
      </c>
      <c r="CD49" s="313">
        <f t="shared" si="109"/>
        <v>-847</v>
      </c>
      <c r="CE49" s="313">
        <f t="shared" si="109"/>
        <v>-973</v>
      </c>
      <c r="CF49" s="314">
        <f>SUM(CB49:CE49)</f>
        <v>-2122</v>
      </c>
      <c r="CG49" s="313">
        <f>CG115</f>
        <v>-52</v>
      </c>
      <c r="CH49" s="313">
        <f t="shared" si="110"/>
        <v>-2</v>
      </c>
      <c r="CI49" s="313">
        <f t="shared" si="110"/>
        <v>-2</v>
      </c>
      <c r="CJ49" s="313">
        <f t="shared" si="110"/>
        <v>-1662</v>
      </c>
      <c r="CK49" s="314">
        <f>SUM(CG49:CJ49)</f>
        <v>-1718</v>
      </c>
      <c r="CL49" s="313">
        <f>CL115</f>
        <v>0</v>
      </c>
      <c r="CM49" s="313">
        <f t="shared" si="111"/>
        <v>0</v>
      </c>
      <c r="CN49" s="313">
        <f t="shared" si="111"/>
        <v>0</v>
      </c>
      <c r="CO49" s="313">
        <f t="shared" si="111"/>
        <v>0</v>
      </c>
      <c r="CP49" s="314">
        <f>SUM(CL49:CO49)</f>
        <v>0</v>
      </c>
      <c r="CQ49" s="1791">
        <f t="shared" si="111"/>
        <v>0</v>
      </c>
      <c r="CR49" s="1758">
        <f t="shared" si="111"/>
        <v>-41</v>
      </c>
      <c r="CS49" s="1757">
        <f t="shared" si="111"/>
        <v>-3045</v>
      </c>
      <c r="CT49" s="1792">
        <f t="shared" si="111"/>
        <v>-14</v>
      </c>
      <c r="CU49" s="1792">
        <f>SUM(CQ49:CT49)</f>
        <v>-3100</v>
      </c>
      <c r="CV49" s="1757">
        <f>CV115-CU115</f>
        <v>-185</v>
      </c>
      <c r="CW49" s="1757">
        <f t="shared" si="112"/>
        <v>-365</v>
      </c>
      <c r="CX49" s="1757">
        <f t="shared" si="112"/>
        <v>-2348</v>
      </c>
      <c r="CY49" s="1757">
        <f t="shared" si="112"/>
        <v>-62</v>
      </c>
      <c r="CZ49" s="1866">
        <f>SUM(CV49:CY49)</f>
        <v>-2960</v>
      </c>
      <c r="DA49" s="1757">
        <f t="shared" si="113"/>
        <v>0</v>
      </c>
      <c r="DB49" s="1757">
        <f t="shared" si="113"/>
        <v>-3579</v>
      </c>
      <c r="DC49" s="1757">
        <f t="shared" si="113"/>
        <v>-1606</v>
      </c>
      <c r="DD49" s="1757">
        <f t="shared" si="113"/>
        <v>-758</v>
      </c>
      <c r="DE49" s="314">
        <f>SUM(DA49:DD49)</f>
        <v>-5943</v>
      </c>
      <c r="DF49" s="1757">
        <f t="shared" si="114"/>
        <v>0</v>
      </c>
      <c r="DG49" s="1757">
        <f t="shared" si="114"/>
        <v>0</v>
      </c>
      <c r="DH49" s="1757">
        <f t="shared" si="114"/>
        <v>0</v>
      </c>
      <c r="DI49" s="1757">
        <f t="shared" si="114"/>
        <v>0</v>
      </c>
      <c r="DJ49" s="314">
        <f>SUM(DF49:DI49)</f>
        <v>0</v>
      </c>
      <c r="DK49" s="310">
        <f>IF(Debt!DU427&lt;0,Debt!DU427,0)</f>
        <v>0</v>
      </c>
      <c r="DL49" s="310">
        <f>IF(Debt!DV427&lt;0,Debt!DV427,0)</f>
        <v>0</v>
      </c>
      <c r="DM49" s="310">
        <f>IF(Debt!DW427&lt;0,Debt!DW427,0)</f>
        <v>0</v>
      </c>
      <c r="DN49" s="310">
        <f>IF(Debt!DX427&lt;0,Debt!DX427,0)</f>
        <v>0</v>
      </c>
      <c r="DO49" s="314">
        <f>SUM(DK49:DN49)</f>
        <v>0</v>
      </c>
      <c r="DP49" s="310">
        <f>IF(Debt!DZ427&lt;0,Debt!DZ427,0)</f>
        <v>0</v>
      </c>
      <c r="DQ49" s="310">
        <f>IF(Debt!EA427&lt;0,Debt!EA427,0)</f>
        <v>0</v>
      </c>
      <c r="DR49" s="310">
        <f>IF(Debt!EB427&lt;0,Debt!EB427,0)</f>
        <v>0</v>
      </c>
      <c r="DS49" s="310">
        <f>IF(Debt!EC427&lt;0,Debt!EC427,0)</f>
        <v>0</v>
      </c>
      <c r="DT49" s="314">
        <f>SUM(DP49:DS49)</f>
        <v>0</v>
      </c>
      <c r="DU49" s="310">
        <f>IF(Debt!EE427&lt;0,Debt!EE427,0)</f>
        <v>0</v>
      </c>
      <c r="DV49" s="310">
        <f>IF(Debt!EF427&lt;0,Debt!EF427,0)</f>
        <v>0</v>
      </c>
      <c r="DW49" s="310">
        <f>IF(Debt!EG427&lt;0,Debt!EG427,0)</f>
        <v>0</v>
      </c>
      <c r="DX49" s="310">
        <f>IF(Debt!EH427&lt;0,Debt!EH427,0)</f>
        <v>0</v>
      </c>
      <c r="DY49" s="314">
        <f>SUM(DU49:DX49)</f>
        <v>0</v>
      </c>
      <c r="DZ49" s="1858"/>
      <c r="EA49" s="1858"/>
      <c r="EB49" s="1858"/>
    </row>
    <row r="50" spans="1:132" x14ac:dyDescent="0.2">
      <c r="A50" s="1853"/>
      <c r="B50" s="58" t="s">
        <v>344</v>
      </c>
      <c r="C50" s="59"/>
      <c r="D50" s="59"/>
      <c r="E50" s="59"/>
      <c r="F50" s="59"/>
      <c r="G50" s="59"/>
      <c r="H50" s="59"/>
      <c r="I50" s="61">
        <f>SUM(I48:I49)</f>
        <v>128.5</v>
      </c>
      <c r="J50" s="59"/>
      <c r="K50" s="59"/>
      <c r="L50" s="59"/>
      <c r="M50" s="59"/>
      <c r="N50" s="61">
        <f>SUM(N48:N49)</f>
        <v>-917.2</v>
      </c>
      <c r="O50" s="59"/>
      <c r="P50" s="59"/>
      <c r="Q50" s="59"/>
      <c r="R50" s="59"/>
      <c r="S50" s="61">
        <f>SUM(S48:S49)</f>
        <v>-41.9</v>
      </c>
      <c r="T50" s="59"/>
      <c r="U50" s="59"/>
      <c r="V50" s="59"/>
      <c r="W50" s="59"/>
      <c r="X50" s="61">
        <f>SUM(X48:X49)</f>
        <v>298.10000000000002</v>
      </c>
      <c r="Y50" s="59"/>
      <c r="Z50" s="59"/>
      <c r="AA50" s="59"/>
      <c r="AB50" s="59"/>
      <c r="AC50" s="61">
        <f>SUM(AC48:AC49)</f>
        <v>-0.9</v>
      </c>
      <c r="AD50" s="59"/>
      <c r="AE50" s="59"/>
      <c r="AF50" s="59"/>
      <c r="AG50" s="59"/>
      <c r="AH50" s="61">
        <f>SUM(AH48:AH49)</f>
        <v>295.89999999999998</v>
      </c>
      <c r="AI50" s="59"/>
      <c r="AJ50" s="59"/>
      <c r="AK50" s="59"/>
      <c r="AL50" s="59"/>
      <c r="AM50" s="61">
        <f>SUM(AM48:AM49)</f>
        <v>296.89999999999998</v>
      </c>
      <c r="AN50" s="59"/>
      <c r="AO50" s="59"/>
      <c r="AP50" s="59"/>
      <c r="AQ50" s="59"/>
      <c r="AR50" s="61">
        <f>SUM(AR48:AR49)</f>
        <v>-0.8</v>
      </c>
      <c r="AS50" s="59"/>
      <c r="AT50" s="59"/>
      <c r="AU50" s="59"/>
      <c r="AV50" s="59"/>
      <c r="AW50" s="61">
        <f>SUM(AW48:AW49)</f>
        <v>902.59999999999991</v>
      </c>
      <c r="AX50" s="59"/>
      <c r="AY50" s="59"/>
      <c r="AZ50" s="59"/>
      <c r="BA50" s="59"/>
      <c r="BB50" s="61">
        <f>SUM(BB48:BB49)</f>
        <v>6</v>
      </c>
      <c r="BC50" s="59"/>
      <c r="BD50" s="59"/>
      <c r="BE50" s="59"/>
      <c r="BF50" s="59"/>
      <c r="BG50" s="61">
        <f>SUM(BG48:BG49)</f>
        <v>1189.5</v>
      </c>
      <c r="BH50" s="59"/>
      <c r="BI50" s="59"/>
      <c r="BJ50" s="59"/>
      <c r="BK50" s="59"/>
      <c r="BL50" s="61">
        <f t="shared" ref="BL50:DJ50" si="115">SUM(BL48:BL49)</f>
        <v>5178.2</v>
      </c>
      <c r="BM50" s="62">
        <f t="shared" si="115"/>
        <v>-0.6</v>
      </c>
      <c r="BN50" s="62">
        <f t="shared" si="115"/>
        <v>-0.70000000000000007</v>
      </c>
      <c r="BO50" s="62">
        <f t="shared" si="115"/>
        <v>349.3</v>
      </c>
      <c r="BP50" s="62">
        <f t="shared" si="115"/>
        <v>0.19999999999999996</v>
      </c>
      <c r="BQ50" s="61">
        <f t="shared" si="115"/>
        <v>348.2</v>
      </c>
      <c r="BR50" s="62">
        <f t="shared" si="115"/>
        <v>999.1</v>
      </c>
      <c r="BS50" s="62">
        <f t="shared" si="115"/>
        <v>-0.80000000000002269</v>
      </c>
      <c r="BT50" s="62">
        <f t="shared" si="115"/>
        <v>1149.4000000000001</v>
      </c>
      <c r="BU50" s="62">
        <f t="shared" si="115"/>
        <v>-0.70000000000004547</v>
      </c>
      <c r="BV50" s="61">
        <f t="shared" si="115"/>
        <v>2147</v>
      </c>
      <c r="BW50" s="62">
        <f t="shared" si="115"/>
        <v>-1</v>
      </c>
      <c r="BX50" s="91">
        <f t="shared" si="115"/>
        <v>-759</v>
      </c>
      <c r="BY50" s="62">
        <f t="shared" si="115"/>
        <v>-351</v>
      </c>
      <c r="BZ50" s="62">
        <f t="shared" si="115"/>
        <v>-1</v>
      </c>
      <c r="CA50" s="61">
        <f t="shared" si="115"/>
        <v>-1112</v>
      </c>
      <c r="CB50" s="62">
        <f t="shared" si="115"/>
        <v>-301</v>
      </c>
      <c r="CC50" s="91">
        <f t="shared" si="115"/>
        <v>1462</v>
      </c>
      <c r="CD50" s="91">
        <f t="shared" si="115"/>
        <v>-847</v>
      </c>
      <c r="CE50" s="91">
        <f t="shared" si="115"/>
        <v>-973</v>
      </c>
      <c r="CF50" s="86">
        <f t="shared" si="115"/>
        <v>-659</v>
      </c>
      <c r="CG50" s="62">
        <f t="shared" si="115"/>
        <v>-52</v>
      </c>
      <c r="CH50" s="91">
        <f t="shared" si="115"/>
        <v>-2</v>
      </c>
      <c r="CI50" s="91">
        <f t="shared" si="115"/>
        <v>-2</v>
      </c>
      <c r="CJ50" s="91">
        <f t="shared" si="115"/>
        <v>-423</v>
      </c>
      <c r="CK50" s="86">
        <f t="shared" si="115"/>
        <v>-479</v>
      </c>
      <c r="CL50" s="62">
        <f t="shared" si="115"/>
        <v>0</v>
      </c>
      <c r="CM50" s="91">
        <f t="shared" si="115"/>
        <v>0</v>
      </c>
      <c r="CN50" s="91">
        <f t="shared" si="115"/>
        <v>0</v>
      </c>
      <c r="CO50" s="91">
        <f>SUM(CO48:CO49)</f>
        <v>3964</v>
      </c>
      <c r="CP50" s="86">
        <f t="shared" si="115"/>
        <v>3964</v>
      </c>
      <c r="CQ50" s="1786">
        <f>SUM(CQ48:CQ49)</f>
        <v>0</v>
      </c>
      <c r="CR50" s="1782">
        <f>SUM(CR48:CR49)</f>
        <v>-41</v>
      </c>
      <c r="CS50" s="1782">
        <f>SUM(CS48:CS49)</f>
        <v>-1562</v>
      </c>
      <c r="CT50" s="1785">
        <f>SUM(CT48:CT49)</f>
        <v>-14</v>
      </c>
      <c r="CU50" s="1780">
        <f t="shared" si="115"/>
        <v>-1617</v>
      </c>
      <c r="CV50" s="1856">
        <f t="shared" si="115"/>
        <v>-185</v>
      </c>
      <c r="CW50" s="1856">
        <f>SUM(CW48:CW49)</f>
        <v>-365</v>
      </c>
      <c r="CX50" s="1856">
        <f>SUM(CX48:CX49)</f>
        <v>12460</v>
      </c>
      <c r="CY50" s="1856">
        <f>SUM(CY48:CY49)</f>
        <v>-65</v>
      </c>
      <c r="CZ50" s="1857">
        <f t="shared" si="115"/>
        <v>11845</v>
      </c>
      <c r="DA50" s="1856">
        <f t="shared" ref="DA50:DF50" si="116">SUM(DA48:DA49)</f>
        <v>0</v>
      </c>
      <c r="DB50" s="1856">
        <f t="shared" si="116"/>
        <v>-124</v>
      </c>
      <c r="DC50" s="1856">
        <f t="shared" si="116"/>
        <v>-1606</v>
      </c>
      <c r="DD50" s="1856">
        <f t="shared" si="116"/>
        <v>-758</v>
      </c>
      <c r="DE50" s="2627">
        <f t="shared" si="116"/>
        <v>-2488</v>
      </c>
      <c r="DF50" s="1856">
        <f t="shared" si="116"/>
        <v>0</v>
      </c>
      <c r="DG50" s="1856">
        <f>SUM(DG48:DG49)</f>
        <v>0</v>
      </c>
      <c r="DH50" s="1856">
        <f>SUM(DH48:DH49)</f>
        <v>0</v>
      </c>
      <c r="DI50" s="1856">
        <f>SUM(DI48:DI49)</f>
        <v>0</v>
      </c>
      <c r="DJ50" s="86">
        <f t="shared" si="115"/>
        <v>0</v>
      </c>
      <c r="DK50" s="59">
        <f t="shared" ref="DK50:DT50" si="117">SUM(DK48:DK49)</f>
        <v>0</v>
      </c>
      <c r="DL50" s="59">
        <f t="shared" si="117"/>
        <v>38320</v>
      </c>
      <c r="DM50" s="59">
        <f t="shared" si="117"/>
        <v>0</v>
      </c>
      <c r="DN50" s="59">
        <f t="shared" si="117"/>
        <v>0</v>
      </c>
      <c r="DO50" s="86">
        <f t="shared" si="117"/>
        <v>38320</v>
      </c>
      <c r="DP50" s="59">
        <f t="shared" si="117"/>
        <v>0</v>
      </c>
      <c r="DQ50" s="59">
        <f t="shared" si="117"/>
        <v>0</v>
      </c>
      <c r="DR50" s="59">
        <f t="shared" si="117"/>
        <v>0</v>
      </c>
      <c r="DS50" s="59">
        <f t="shared" si="117"/>
        <v>0</v>
      </c>
      <c r="DT50" s="86">
        <f t="shared" si="117"/>
        <v>0</v>
      </c>
      <c r="DU50" s="59">
        <f t="shared" ref="DU50:DY50" si="118">SUM(DU48:DU49)</f>
        <v>0</v>
      </c>
      <c r="DV50" s="59">
        <f t="shared" si="118"/>
        <v>0</v>
      </c>
      <c r="DW50" s="59">
        <f t="shared" si="118"/>
        <v>0</v>
      </c>
      <c r="DX50" s="59">
        <f t="shared" si="118"/>
        <v>0</v>
      </c>
      <c r="DY50" s="86">
        <f t="shared" si="118"/>
        <v>0</v>
      </c>
      <c r="DZ50" s="1858"/>
      <c r="EA50" s="1858"/>
      <c r="EB50" s="1858"/>
    </row>
    <row r="51" spans="1:132" outlineLevel="1" x14ac:dyDescent="0.2">
      <c r="A51" s="1853"/>
      <c r="B51" s="58" t="s">
        <v>345</v>
      </c>
      <c r="C51" s="59"/>
      <c r="D51" s="59"/>
      <c r="E51" s="59"/>
      <c r="F51" s="59"/>
      <c r="G51" s="59"/>
      <c r="H51" s="59"/>
      <c r="I51" s="63">
        <v>-52</v>
      </c>
      <c r="J51" s="59"/>
      <c r="K51" s="59"/>
      <c r="L51" s="59"/>
      <c r="M51" s="59"/>
      <c r="N51" s="63">
        <v>466.4</v>
      </c>
      <c r="O51" s="59"/>
      <c r="P51" s="59"/>
      <c r="Q51" s="59"/>
      <c r="R51" s="59"/>
      <c r="S51" s="63">
        <v>304.60000000000002</v>
      </c>
      <c r="T51" s="59"/>
      <c r="U51" s="59"/>
      <c r="V51" s="59"/>
      <c r="W51" s="59"/>
      <c r="X51" s="63">
        <v>-324.5</v>
      </c>
      <c r="Y51" s="59"/>
      <c r="Z51" s="59"/>
      <c r="AA51" s="59"/>
      <c r="AB51" s="59"/>
      <c r="AC51" s="63">
        <v>138.69999999999999</v>
      </c>
      <c r="AD51" s="59"/>
      <c r="AE51" s="59"/>
      <c r="AF51" s="59"/>
      <c r="AG51" s="59"/>
      <c r="AH51" s="63">
        <v>-353.8</v>
      </c>
      <c r="AI51" s="59"/>
      <c r="AJ51" s="59"/>
      <c r="AK51" s="59"/>
      <c r="AL51" s="59"/>
      <c r="AM51" s="63">
        <v>-230.9</v>
      </c>
      <c r="AN51" s="59"/>
      <c r="AO51" s="59"/>
      <c r="AP51" s="59"/>
      <c r="AQ51" s="59"/>
      <c r="AR51" s="63">
        <v>-4.8</v>
      </c>
      <c r="AS51" s="59"/>
      <c r="AT51" s="59"/>
      <c r="AU51" s="59"/>
      <c r="AV51" s="59"/>
      <c r="AW51" s="63">
        <v>885.6</v>
      </c>
      <c r="AX51" s="59"/>
      <c r="AY51" s="59"/>
      <c r="AZ51" s="59"/>
      <c r="BA51" s="59"/>
      <c r="BB51" s="63">
        <v>-632.20000000000005</v>
      </c>
      <c r="BC51" s="59"/>
      <c r="BD51" s="59"/>
      <c r="BE51" s="59"/>
      <c r="BF51" s="59"/>
      <c r="BG51" s="63">
        <v>1589.3</v>
      </c>
      <c r="BH51" s="59"/>
      <c r="BI51" s="59"/>
      <c r="BJ51" s="59"/>
      <c r="BK51" s="59"/>
      <c r="BL51" s="63">
        <v>242.3</v>
      </c>
      <c r="BM51" s="62">
        <f>BM117</f>
        <v>0</v>
      </c>
      <c r="BN51" s="62">
        <f t="shared" ref="BN51:BP52" si="119">BN117-BM117</f>
        <v>0</v>
      </c>
      <c r="BO51" s="62">
        <f t="shared" si="119"/>
        <v>0</v>
      </c>
      <c r="BP51" s="62">
        <f t="shared" si="119"/>
        <v>959</v>
      </c>
      <c r="BQ51" s="63">
        <v>959</v>
      </c>
      <c r="BR51" s="62">
        <f>BR117</f>
        <v>0</v>
      </c>
      <c r="BS51" s="62">
        <f t="shared" ref="BS51:BU52" si="120">BS117-BR117</f>
        <v>0</v>
      </c>
      <c r="BT51" s="62">
        <f t="shared" si="120"/>
        <v>0</v>
      </c>
      <c r="BU51" s="62">
        <f t="shared" si="120"/>
        <v>0</v>
      </c>
      <c r="BV51" s="63">
        <v>0</v>
      </c>
      <c r="BW51" s="62">
        <f>BW117</f>
        <v>200</v>
      </c>
      <c r="BX51" s="62">
        <f t="shared" ref="BX51:BZ52" si="121">BX117-BW117</f>
        <v>1337</v>
      </c>
      <c r="BY51" s="62">
        <f t="shared" si="121"/>
        <v>-468</v>
      </c>
      <c r="BZ51" s="62">
        <f t="shared" si="121"/>
        <v>-1069</v>
      </c>
      <c r="CA51" s="61">
        <f>SUM(BW51:BZ51)</f>
        <v>0</v>
      </c>
      <c r="CB51" s="62">
        <f>CB117</f>
        <v>0</v>
      </c>
      <c r="CC51" s="62">
        <f t="shared" ref="CC51:CE52" si="122">CC117-CB117</f>
        <v>0</v>
      </c>
      <c r="CD51" s="62">
        <f t="shared" si="122"/>
        <v>230</v>
      </c>
      <c r="CE51" s="62">
        <f t="shared" si="122"/>
        <v>220</v>
      </c>
      <c r="CF51" s="86">
        <f>SUM(CB51:CE51)</f>
        <v>450</v>
      </c>
      <c r="CG51" s="62">
        <f>CG117</f>
        <v>0</v>
      </c>
      <c r="CH51" s="62">
        <f t="shared" ref="CH51:CJ52" si="123">CH117-CG117</f>
        <v>0</v>
      </c>
      <c r="CI51" s="62">
        <f t="shared" si="123"/>
        <v>75</v>
      </c>
      <c r="CJ51" s="62">
        <f t="shared" si="123"/>
        <v>-75</v>
      </c>
      <c r="CK51" s="86">
        <f>SUM(CG51:CJ51)</f>
        <v>0</v>
      </c>
      <c r="CL51" s="62">
        <f>CL117</f>
        <v>0</v>
      </c>
      <c r="CM51" s="62">
        <f t="shared" ref="CM51:CO52" si="124">CM117-CL117</f>
        <v>0</v>
      </c>
      <c r="CN51" s="62">
        <f t="shared" si="124"/>
        <v>124</v>
      </c>
      <c r="CO51" s="62">
        <f t="shared" si="124"/>
        <v>-124</v>
      </c>
      <c r="CP51" s="86">
        <f>SUM(CL51:CO51)</f>
        <v>0</v>
      </c>
      <c r="CQ51" s="1781">
        <f t="shared" ref="CQ51:CT52" si="125">CQ117-CP117</f>
        <v>0</v>
      </c>
      <c r="CR51" s="1782">
        <f t="shared" si="125"/>
        <v>0</v>
      </c>
      <c r="CS51" s="1783">
        <f t="shared" si="125"/>
        <v>775</v>
      </c>
      <c r="CT51" s="1784">
        <f t="shared" si="125"/>
        <v>-90</v>
      </c>
      <c r="CU51" s="1780">
        <f>SUM(CQ51:CT51)</f>
        <v>685</v>
      </c>
      <c r="CV51" s="1703">
        <v>0</v>
      </c>
      <c r="CW51" s="1703">
        <f t="shared" ref="CW51:CY52" si="126">CW117-CV117</f>
        <v>803</v>
      </c>
      <c r="CX51" s="1703">
        <f t="shared" si="126"/>
        <v>-1488</v>
      </c>
      <c r="CY51" s="1703">
        <f t="shared" si="126"/>
        <v>0</v>
      </c>
      <c r="CZ51" s="1857">
        <f>SUM(CV51:CY51)</f>
        <v>-685</v>
      </c>
      <c r="DA51" s="1703">
        <f t="shared" ref="DA51:DD52" si="127">DA117-CZ117</f>
        <v>0</v>
      </c>
      <c r="DB51" s="1703">
        <f t="shared" si="127"/>
        <v>745</v>
      </c>
      <c r="DC51" s="1703">
        <f t="shared" si="127"/>
        <v>-405</v>
      </c>
      <c r="DD51" s="1703">
        <f t="shared" si="127"/>
        <v>1534</v>
      </c>
      <c r="DE51" s="2627">
        <f>SUM(DA51:DD51)</f>
        <v>1874</v>
      </c>
      <c r="DF51" s="1703">
        <f t="shared" ref="DF51:DI52" si="128">DF117-DE117</f>
        <v>0</v>
      </c>
      <c r="DG51" s="1703">
        <f t="shared" si="128"/>
        <v>-774</v>
      </c>
      <c r="DH51" s="1703">
        <f t="shared" si="128"/>
        <v>-990</v>
      </c>
      <c r="DI51" s="1703">
        <f t="shared" si="128"/>
        <v>1166</v>
      </c>
      <c r="DJ51" s="86">
        <f>SUM(DF51:DI51)</f>
        <v>-598</v>
      </c>
      <c r="DK51" s="60">
        <v>0</v>
      </c>
      <c r="DL51" s="60">
        <v>0</v>
      </c>
      <c r="DM51" s="60">
        <v>0</v>
      </c>
      <c r="DN51" s="60">
        <v>0</v>
      </c>
      <c r="DO51" s="86">
        <f>SUM(DK51:DN51)</f>
        <v>0</v>
      </c>
      <c r="DP51" s="60">
        <v>0</v>
      </c>
      <c r="DQ51" s="60">
        <v>0</v>
      </c>
      <c r="DR51" s="60">
        <v>0</v>
      </c>
      <c r="DS51" s="60">
        <v>0</v>
      </c>
      <c r="DT51" s="86">
        <f>SUM(DP51:DS51)</f>
        <v>0</v>
      </c>
      <c r="DU51" s="60">
        <v>0</v>
      </c>
      <c r="DV51" s="60">
        <v>0</v>
      </c>
      <c r="DW51" s="60">
        <v>0</v>
      </c>
      <c r="DX51" s="60">
        <v>0</v>
      </c>
      <c r="DY51" s="86">
        <f>SUM(DU51:DX51)</f>
        <v>0</v>
      </c>
      <c r="DZ51" s="1858"/>
      <c r="EA51" s="1858"/>
      <c r="EB51" s="1858"/>
    </row>
    <row r="52" spans="1:132" outlineLevel="1" x14ac:dyDescent="0.2">
      <c r="A52" s="1853"/>
      <c r="B52" s="58" t="s">
        <v>346</v>
      </c>
      <c r="C52" s="59"/>
      <c r="D52" s="310"/>
      <c r="E52" s="310"/>
      <c r="F52" s="310"/>
      <c r="G52" s="310"/>
      <c r="H52" s="310"/>
      <c r="I52" s="314"/>
      <c r="J52" s="310"/>
      <c r="K52" s="310"/>
      <c r="L52" s="310"/>
      <c r="M52" s="310"/>
      <c r="N52" s="314"/>
      <c r="O52" s="310"/>
      <c r="P52" s="310"/>
      <c r="Q52" s="310"/>
      <c r="R52" s="310"/>
      <c r="S52" s="314"/>
      <c r="T52" s="310"/>
      <c r="U52" s="310"/>
      <c r="V52" s="310"/>
      <c r="W52" s="310"/>
      <c r="X52" s="314"/>
      <c r="Y52" s="310"/>
      <c r="Z52" s="310"/>
      <c r="AA52" s="310"/>
      <c r="AB52" s="310"/>
      <c r="AC52" s="314"/>
      <c r="AD52" s="310"/>
      <c r="AE52" s="310"/>
      <c r="AF52" s="310"/>
      <c r="AG52" s="310"/>
      <c r="AH52" s="314"/>
      <c r="AI52" s="310"/>
      <c r="AJ52" s="310"/>
      <c r="AK52" s="310"/>
      <c r="AL52" s="310"/>
      <c r="AM52" s="314"/>
      <c r="AN52" s="310"/>
      <c r="AO52" s="310"/>
      <c r="AP52" s="310"/>
      <c r="AQ52" s="310"/>
      <c r="AR52" s="314"/>
      <c r="AS52" s="310"/>
      <c r="AT52" s="310"/>
      <c r="AU52" s="310"/>
      <c r="AV52" s="310"/>
      <c r="AW52" s="314"/>
      <c r="AX52" s="310"/>
      <c r="AY52" s="310"/>
      <c r="AZ52" s="310"/>
      <c r="BA52" s="310"/>
      <c r="BB52" s="314"/>
      <c r="BC52" s="310"/>
      <c r="BD52" s="310"/>
      <c r="BE52" s="310"/>
      <c r="BF52" s="310"/>
      <c r="BG52" s="311">
        <v>0</v>
      </c>
      <c r="BH52" s="310"/>
      <c r="BI52" s="310"/>
      <c r="BJ52" s="310"/>
      <c r="BK52" s="310"/>
      <c r="BL52" s="311">
        <v>0</v>
      </c>
      <c r="BM52" s="313">
        <f>BM118</f>
        <v>-743.1</v>
      </c>
      <c r="BN52" s="313">
        <f t="shared" si="119"/>
        <v>-361.9</v>
      </c>
      <c r="BO52" s="313">
        <f t="shared" si="119"/>
        <v>2</v>
      </c>
      <c r="BP52" s="313">
        <f t="shared" si="119"/>
        <v>1103</v>
      </c>
      <c r="BQ52" s="311">
        <v>0</v>
      </c>
      <c r="BR52" s="313">
        <f>BR118</f>
        <v>-1626.1</v>
      </c>
      <c r="BS52" s="313">
        <f t="shared" si="120"/>
        <v>-90</v>
      </c>
      <c r="BT52" s="313">
        <f t="shared" si="120"/>
        <v>-228</v>
      </c>
      <c r="BU52" s="313">
        <f t="shared" si="120"/>
        <v>-784.90000000000009</v>
      </c>
      <c r="BV52" s="311">
        <v>-2729</v>
      </c>
      <c r="BW52" s="313">
        <f>BW118</f>
        <v>0</v>
      </c>
      <c r="BX52" s="313">
        <f t="shared" si="121"/>
        <v>0</v>
      </c>
      <c r="BY52" s="313">
        <f t="shared" si="121"/>
        <v>0</v>
      </c>
      <c r="BZ52" s="313">
        <f t="shared" si="121"/>
        <v>-15</v>
      </c>
      <c r="CA52" s="312">
        <f>SUM(BW52:BZ52)</f>
        <v>-15</v>
      </c>
      <c r="CB52" s="313">
        <f>CB118</f>
        <v>0</v>
      </c>
      <c r="CC52" s="313">
        <f t="shared" si="122"/>
        <v>-300</v>
      </c>
      <c r="CD52" s="313">
        <f t="shared" si="122"/>
        <v>300</v>
      </c>
      <c r="CE52" s="313">
        <f t="shared" si="122"/>
        <v>0</v>
      </c>
      <c r="CF52" s="314">
        <f>SUM(CB52:CE52)</f>
        <v>0</v>
      </c>
      <c r="CG52" s="313">
        <f>CG118</f>
        <v>-750</v>
      </c>
      <c r="CH52" s="313">
        <f t="shared" si="123"/>
        <v>200</v>
      </c>
      <c r="CI52" s="313">
        <f t="shared" si="123"/>
        <v>550</v>
      </c>
      <c r="CJ52" s="313">
        <f t="shared" si="123"/>
        <v>-60</v>
      </c>
      <c r="CK52" s="314">
        <f>SUM(CG52:CJ52)</f>
        <v>-60</v>
      </c>
      <c r="CL52" s="313">
        <f>CL118</f>
        <v>0</v>
      </c>
      <c r="CM52" s="313">
        <f t="shared" si="124"/>
        <v>0</v>
      </c>
      <c r="CN52" s="313">
        <f t="shared" si="124"/>
        <v>0</v>
      </c>
      <c r="CO52" s="313">
        <f t="shared" si="124"/>
        <v>-690</v>
      </c>
      <c r="CP52" s="314">
        <f>SUM(CL52:CO52)</f>
        <v>-690</v>
      </c>
      <c r="CQ52" s="1791">
        <f t="shared" si="125"/>
        <v>0</v>
      </c>
      <c r="CR52" s="1758">
        <f t="shared" si="125"/>
        <v>0</v>
      </c>
      <c r="CS52" s="1759">
        <f t="shared" si="125"/>
        <v>0</v>
      </c>
      <c r="CT52" s="1793">
        <f t="shared" si="125"/>
        <v>0</v>
      </c>
      <c r="CU52" s="1792">
        <f>SUM(CQ52:CT52)</f>
        <v>0</v>
      </c>
      <c r="CV52" s="1759">
        <v>0</v>
      </c>
      <c r="CW52" s="1759">
        <f t="shared" si="126"/>
        <v>0</v>
      </c>
      <c r="CX52" s="1759">
        <f t="shared" si="126"/>
        <v>0</v>
      </c>
      <c r="CY52" s="1759">
        <f t="shared" si="126"/>
        <v>0</v>
      </c>
      <c r="CZ52" s="1866">
        <f>SUM(CV52:CY52)</f>
        <v>0</v>
      </c>
      <c r="DA52" s="1759">
        <f t="shared" si="127"/>
        <v>0</v>
      </c>
      <c r="DB52" s="1759">
        <f t="shared" si="127"/>
        <v>0</v>
      </c>
      <c r="DC52" s="1759">
        <f t="shared" si="127"/>
        <v>0</v>
      </c>
      <c r="DD52" s="1759">
        <f t="shared" si="127"/>
        <v>0</v>
      </c>
      <c r="DE52" s="314">
        <f>SUM(DA52:DD52)</f>
        <v>0</v>
      </c>
      <c r="DF52" s="1759">
        <f t="shared" si="128"/>
        <v>-106</v>
      </c>
      <c r="DG52" s="1759">
        <f t="shared" si="128"/>
        <v>106</v>
      </c>
      <c r="DH52" s="1759">
        <f t="shared" si="128"/>
        <v>0</v>
      </c>
      <c r="DI52" s="1759">
        <f t="shared" si="128"/>
        <v>0</v>
      </c>
      <c r="DJ52" s="314">
        <f>SUM(DF52:DI52)</f>
        <v>0</v>
      </c>
      <c r="DK52" s="324">
        <v>0</v>
      </c>
      <c r="DL52" s="324">
        <v>0</v>
      </c>
      <c r="DM52" s="324">
        <v>0</v>
      </c>
      <c r="DN52" s="324">
        <v>0</v>
      </c>
      <c r="DO52" s="314">
        <f>SUM(DK52:DN52)</f>
        <v>0</v>
      </c>
      <c r="DP52" s="324">
        <v>0</v>
      </c>
      <c r="DQ52" s="324">
        <v>0</v>
      </c>
      <c r="DR52" s="324">
        <v>0</v>
      </c>
      <c r="DS52" s="324">
        <v>0</v>
      </c>
      <c r="DT52" s="314">
        <f>SUM(DP52:DS52)</f>
        <v>0</v>
      </c>
      <c r="DU52" s="324">
        <v>0</v>
      </c>
      <c r="DV52" s="324">
        <v>0</v>
      </c>
      <c r="DW52" s="324">
        <v>0</v>
      </c>
      <c r="DX52" s="324">
        <v>0</v>
      </c>
      <c r="DY52" s="314">
        <f>SUM(DU52:DX52)</f>
        <v>0</v>
      </c>
      <c r="DZ52" s="1858"/>
      <c r="EA52" s="1858"/>
      <c r="EB52" s="1858"/>
    </row>
    <row r="53" spans="1:132" x14ac:dyDescent="0.2">
      <c r="A53" s="1853"/>
      <c r="B53" s="58" t="s">
        <v>347</v>
      </c>
      <c r="C53" s="59"/>
      <c r="D53" s="59"/>
      <c r="E53" s="59"/>
      <c r="F53" s="59"/>
      <c r="G53" s="59"/>
      <c r="H53" s="59"/>
      <c r="I53" s="61">
        <f>SUM(I51:I52)</f>
        <v>-52</v>
      </c>
      <c r="J53" s="59"/>
      <c r="K53" s="59"/>
      <c r="L53" s="59"/>
      <c r="M53" s="59"/>
      <c r="N53" s="61">
        <f>SUM(N51:N52)</f>
        <v>466.4</v>
      </c>
      <c r="O53" s="59"/>
      <c r="P53" s="59"/>
      <c r="Q53" s="59"/>
      <c r="R53" s="59"/>
      <c r="S53" s="61">
        <f>SUM(S51:S52)</f>
        <v>304.60000000000002</v>
      </c>
      <c r="T53" s="59"/>
      <c r="U53" s="59"/>
      <c r="V53" s="59"/>
      <c r="W53" s="59"/>
      <c r="X53" s="61">
        <f>SUM(X51:X52)</f>
        <v>-324.5</v>
      </c>
      <c r="Y53" s="59"/>
      <c r="Z53" s="59"/>
      <c r="AA53" s="59"/>
      <c r="AB53" s="59"/>
      <c r="AC53" s="61">
        <f>SUM(AC51:AC52)</f>
        <v>138.69999999999999</v>
      </c>
      <c r="AD53" s="59"/>
      <c r="AE53" s="59"/>
      <c r="AF53" s="59"/>
      <c r="AG53" s="59"/>
      <c r="AH53" s="61">
        <f>SUM(AH51:AH52)</f>
        <v>-353.8</v>
      </c>
      <c r="AI53" s="59"/>
      <c r="AJ53" s="59"/>
      <c r="AK53" s="59"/>
      <c r="AL53" s="59"/>
      <c r="AM53" s="61">
        <f>SUM(AM51:AM52)</f>
        <v>-230.9</v>
      </c>
      <c r="AN53" s="59"/>
      <c r="AO53" s="59"/>
      <c r="AP53" s="59"/>
      <c r="AQ53" s="59"/>
      <c r="AR53" s="61">
        <f>SUM(AR51:AR52)</f>
        <v>-4.8</v>
      </c>
      <c r="AS53" s="59"/>
      <c r="AT53" s="59"/>
      <c r="AU53" s="59"/>
      <c r="AV53" s="59"/>
      <c r="AW53" s="61">
        <f>SUM(AW51:AW52)</f>
        <v>885.6</v>
      </c>
      <c r="AX53" s="59"/>
      <c r="AY53" s="59"/>
      <c r="AZ53" s="59"/>
      <c r="BA53" s="59"/>
      <c r="BB53" s="61">
        <f>SUM(BB51:BB52)</f>
        <v>-632.20000000000005</v>
      </c>
      <c r="BC53" s="59"/>
      <c r="BD53" s="59"/>
      <c r="BE53" s="59"/>
      <c r="BF53" s="59"/>
      <c r="BG53" s="61">
        <f>SUM(BG51:BG52)</f>
        <v>1589.3</v>
      </c>
      <c r="BH53" s="59"/>
      <c r="BI53" s="59"/>
      <c r="BJ53" s="59"/>
      <c r="BK53" s="59"/>
      <c r="BL53" s="61">
        <f t="shared" ref="BL53:DJ53" si="129">SUM(BL51:BL52)</f>
        <v>242.3</v>
      </c>
      <c r="BM53" s="62">
        <f t="shared" si="129"/>
        <v>-743.1</v>
      </c>
      <c r="BN53" s="62">
        <f t="shared" si="129"/>
        <v>-361.9</v>
      </c>
      <c r="BO53" s="62">
        <f t="shared" si="129"/>
        <v>2</v>
      </c>
      <c r="BP53" s="62">
        <f t="shared" si="129"/>
        <v>2062</v>
      </c>
      <c r="BQ53" s="61">
        <f t="shared" si="129"/>
        <v>959</v>
      </c>
      <c r="BR53" s="62">
        <f t="shared" si="129"/>
        <v>-1626.1</v>
      </c>
      <c r="BS53" s="62">
        <f t="shared" si="129"/>
        <v>-90</v>
      </c>
      <c r="BT53" s="62">
        <f t="shared" si="129"/>
        <v>-228</v>
      </c>
      <c r="BU53" s="62">
        <f t="shared" si="129"/>
        <v>-784.90000000000009</v>
      </c>
      <c r="BV53" s="61">
        <f t="shared" si="129"/>
        <v>-2729</v>
      </c>
      <c r="BW53" s="62">
        <f t="shared" si="129"/>
        <v>200</v>
      </c>
      <c r="BX53" s="62">
        <f t="shared" si="129"/>
        <v>1337</v>
      </c>
      <c r="BY53" s="62">
        <f t="shared" si="129"/>
        <v>-468</v>
      </c>
      <c r="BZ53" s="62">
        <f t="shared" si="129"/>
        <v>-1084</v>
      </c>
      <c r="CA53" s="61">
        <f t="shared" si="129"/>
        <v>-15</v>
      </c>
      <c r="CB53" s="62">
        <f t="shared" si="129"/>
        <v>0</v>
      </c>
      <c r="CC53" s="62">
        <f t="shared" si="129"/>
        <v>-300</v>
      </c>
      <c r="CD53" s="62">
        <f t="shared" si="129"/>
        <v>530</v>
      </c>
      <c r="CE53" s="62">
        <f t="shared" si="129"/>
        <v>220</v>
      </c>
      <c r="CF53" s="86">
        <f t="shared" si="129"/>
        <v>450</v>
      </c>
      <c r="CG53" s="62">
        <f t="shared" si="129"/>
        <v>-750</v>
      </c>
      <c r="CH53" s="62">
        <f t="shared" si="129"/>
        <v>200</v>
      </c>
      <c r="CI53" s="62">
        <f t="shared" si="129"/>
        <v>625</v>
      </c>
      <c r="CJ53" s="62">
        <f t="shared" si="129"/>
        <v>-135</v>
      </c>
      <c r="CK53" s="86">
        <f t="shared" si="129"/>
        <v>-60</v>
      </c>
      <c r="CL53" s="62">
        <f t="shared" si="129"/>
        <v>0</v>
      </c>
      <c r="CM53" s="62">
        <f t="shared" si="129"/>
        <v>0</v>
      </c>
      <c r="CN53" s="62">
        <f t="shared" si="129"/>
        <v>124</v>
      </c>
      <c r="CO53" s="62">
        <f>SUM(CO51:CO52)</f>
        <v>-814</v>
      </c>
      <c r="CP53" s="86">
        <f t="shared" si="129"/>
        <v>-690</v>
      </c>
      <c r="CQ53" s="1781">
        <f>SUM(CQ51:CQ52)</f>
        <v>0</v>
      </c>
      <c r="CR53" s="1782">
        <f>SUM(CR51:CR52)</f>
        <v>0</v>
      </c>
      <c r="CS53" s="1779">
        <f>SUM(CS51:CS52)</f>
        <v>775</v>
      </c>
      <c r="CT53" s="1780">
        <f>SUM(CT51:CT52)</f>
        <v>-90</v>
      </c>
      <c r="CU53" s="1780">
        <f>SUM(CU51:CU52)</f>
        <v>685</v>
      </c>
      <c r="CV53" s="1856">
        <f t="shared" si="129"/>
        <v>0</v>
      </c>
      <c r="CW53" s="1856">
        <f>SUM(CW51:CW52)</f>
        <v>803</v>
      </c>
      <c r="CX53" s="1856">
        <f>SUM(CX51:CX52)</f>
        <v>-1488</v>
      </c>
      <c r="CY53" s="1856">
        <f>SUM(CY51:CY52)</f>
        <v>0</v>
      </c>
      <c r="CZ53" s="1857">
        <f t="shared" si="129"/>
        <v>-685</v>
      </c>
      <c r="DA53" s="1856">
        <f t="shared" ref="DA53:DF53" si="130">SUM(DA51:DA52)</f>
        <v>0</v>
      </c>
      <c r="DB53" s="1856">
        <f t="shared" si="130"/>
        <v>745</v>
      </c>
      <c r="DC53" s="1856">
        <f t="shared" si="130"/>
        <v>-405</v>
      </c>
      <c r="DD53" s="1856">
        <f t="shared" si="130"/>
        <v>1534</v>
      </c>
      <c r="DE53" s="2627">
        <f t="shared" si="130"/>
        <v>1874</v>
      </c>
      <c r="DF53" s="1856">
        <f t="shared" si="130"/>
        <v>-106</v>
      </c>
      <c r="DG53" s="1856">
        <f>SUM(DG51:DG52)</f>
        <v>-668</v>
      </c>
      <c r="DH53" s="1856">
        <f>SUM(DH51:DH52)</f>
        <v>-990</v>
      </c>
      <c r="DI53" s="1856">
        <f>SUM(DI51:DI52)</f>
        <v>1166</v>
      </c>
      <c r="DJ53" s="86">
        <f t="shared" si="129"/>
        <v>-598</v>
      </c>
      <c r="DK53" s="59">
        <f t="shared" ref="DK53:DT53" si="131">SUM(DK51:DK52)</f>
        <v>0</v>
      </c>
      <c r="DL53" s="59">
        <f t="shared" si="131"/>
        <v>0</v>
      </c>
      <c r="DM53" s="59">
        <f t="shared" si="131"/>
        <v>0</v>
      </c>
      <c r="DN53" s="59">
        <f t="shared" si="131"/>
        <v>0</v>
      </c>
      <c r="DO53" s="86">
        <f t="shared" si="131"/>
        <v>0</v>
      </c>
      <c r="DP53" s="59">
        <f t="shared" si="131"/>
        <v>0</v>
      </c>
      <c r="DQ53" s="59">
        <f t="shared" si="131"/>
        <v>0</v>
      </c>
      <c r="DR53" s="59">
        <f t="shared" si="131"/>
        <v>0</v>
      </c>
      <c r="DS53" s="59">
        <f t="shared" si="131"/>
        <v>0</v>
      </c>
      <c r="DT53" s="86">
        <f t="shared" si="131"/>
        <v>0</v>
      </c>
      <c r="DU53" s="59">
        <f t="shared" ref="DU53:DY53" si="132">SUM(DU51:DU52)</f>
        <v>0</v>
      </c>
      <c r="DV53" s="59">
        <f t="shared" si="132"/>
        <v>0</v>
      </c>
      <c r="DW53" s="59">
        <f t="shared" si="132"/>
        <v>0</v>
      </c>
      <c r="DX53" s="59">
        <f t="shared" si="132"/>
        <v>0</v>
      </c>
      <c r="DY53" s="86">
        <f t="shared" si="132"/>
        <v>0</v>
      </c>
      <c r="DZ53" s="1858"/>
      <c r="EA53" s="1858"/>
      <c r="EB53" s="1858"/>
    </row>
    <row r="54" spans="1:132" outlineLevel="1" x14ac:dyDescent="0.2">
      <c r="A54" s="1853"/>
      <c r="B54" s="58" t="s">
        <v>348</v>
      </c>
      <c r="C54" s="59"/>
      <c r="D54" s="59"/>
      <c r="E54" s="59"/>
      <c r="F54" s="59"/>
      <c r="G54" s="59"/>
      <c r="H54" s="59"/>
      <c r="I54" s="86"/>
      <c r="J54" s="59"/>
      <c r="K54" s="59"/>
      <c r="L54" s="59"/>
      <c r="M54" s="59"/>
      <c r="N54" s="86"/>
      <c r="O54" s="59"/>
      <c r="P54" s="59"/>
      <c r="Q54" s="59"/>
      <c r="R54" s="59"/>
      <c r="S54" s="86"/>
      <c r="T54" s="59"/>
      <c r="U54" s="59"/>
      <c r="V54" s="59"/>
      <c r="W54" s="59"/>
      <c r="X54" s="86"/>
      <c r="Y54" s="59"/>
      <c r="Z54" s="59"/>
      <c r="AA54" s="59"/>
      <c r="AB54" s="59"/>
      <c r="AC54" s="86"/>
      <c r="AD54" s="59"/>
      <c r="AE54" s="59"/>
      <c r="AF54" s="59"/>
      <c r="AG54" s="59"/>
      <c r="AH54" s="86"/>
      <c r="AI54" s="59"/>
      <c r="AJ54" s="59"/>
      <c r="AK54" s="59"/>
      <c r="AL54" s="59"/>
      <c r="AM54" s="86"/>
      <c r="AN54" s="59"/>
      <c r="AO54" s="59"/>
      <c r="AP54" s="59"/>
      <c r="AQ54" s="59"/>
      <c r="AR54" s="86"/>
      <c r="AS54" s="59"/>
      <c r="AT54" s="59"/>
      <c r="AU54" s="59"/>
      <c r="AV54" s="59"/>
      <c r="AW54" s="86"/>
      <c r="AX54" s="59"/>
      <c r="AY54" s="59"/>
      <c r="AZ54" s="59"/>
      <c r="BA54" s="59"/>
      <c r="BB54" s="86"/>
      <c r="BC54" s="59"/>
      <c r="BD54" s="59"/>
      <c r="BE54" s="59"/>
      <c r="BF54" s="59"/>
      <c r="BG54" s="86"/>
      <c r="BH54" s="59"/>
      <c r="BI54" s="59"/>
      <c r="BJ54" s="59"/>
      <c r="BK54" s="59"/>
      <c r="BL54" s="86"/>
      <c r="BM54" s="59"/>
      <c r="BN54" s="59"/>
      <c r="BO54" s="59"/>
      <c r="BP54" s="59"/>
      <c r="BQ54" s="86"/>
      <c r="BR54" s="59"/>
      <c r="BS54" s="59"/>
      <c r="BT54" s="59"/>
      <c r="BU54" s="59"/>
      <c r="BV54" s="86"/>
      <c r="BW54" s="60">
        <v>0</v>
      </c>
      <c r="BX54" s="60">
        <v>0</v>
      </c>
      <c r="BY54" s="60">
        <v>0</v>
      </c>
      <c r="BZ54" s="60">
        <v>0</v>
      </c>
      <c r="CA54" s="86"/>
      <c r="CB54" s="60">
        <v>0</v>
      </c>
      <c r="CC54" s="60">
        <v>0</v>
      </c>
      <c r="CD54" s="60">
        <v>0</v>
      </c>
      <c r="CE54" s="60">
        <v>0</v>
      </c>
      <c r="CF54" s="86"/>
      <c r="CG54" s="60">
        <v>0</v>
      </c>
      <c r="CH54" s="60">
        <v>0</v>
      </c>
      <c r="CI54" s="60">
        <v>0</v>
      </c>
      <c r="CJ54" s="60">
        <v>0</v>
      </c>
      <c r="CK54" s="86"/>
      <c r="CL54" s="60">
        <v>0</v>
      </c>
      <c r="CM54" s="60">
        <v>0</v>
      </c>
      <c r="CN54" s="60">
        <v>0</v>
      </c>
      <c r="CO54" s="60">
        <v>0</v>
      </c>
      <c r="CP54" s="86"/>
      <c r="CQ54" s="1794">
        <v>0</v>
      </c>
      <c r="CR54" s="1783">
        <v>0</v>
      </c>
      <c r="CS54" s="1783">
        <v>0</v>
      </c>
      <c r="CT54" s="1784">
        <v>0</v>
      </c>
      <c r="CU54" s="1780"/>
      <c r="CV54" s="1703">
        <v>0</v>
      </c>
      <c r="CW54" s="1703">
        <v>0</v>
      </c>
      <c r="CX54" s="1703">
        <v>0</v>
      </c>
      <c r="CY54" s="1703">
        <v>0</v>
      </c>
      <c r="CZ54" s="1857"/>
      <c r="DA54" s="1703">
        <v>0</v>
      </c>
      <c r="DB54" s="1703">
        <v>0</v>
      </c>
      <c r="DC54" s="1703">
        <v>0</v>
      </c>
      <c r="DD54" s="1703">
        <v>0</v>
      </c>
      <c r="DE54" s="2627"/>
      <c r="DF54" s="1703">
        <v>0</v>
      </c>
      <c r="DG54" s="1703">
        <v>0</v>
      </c>
      <c r="DH54" s="1703">
        <v>0</v>
      </c>
      <c r="DI54" s="1703">
        <v>0</v>
      </c>
      <c r="DJ54" s="86"/>
      <c r="DK54" s="60">
        <v>0</v>
      </c>
      <c r="DL54" s="60">
        <v>0</v>
      </c>
      <c r="DM54" s="60">
        <v>0</v>
      </c>
      <c r="DN54" s="60">
        <v>0</v>
      </c>
      <c r="DO54" s="86"/>
      <c r="DP54" s="60">
        <v>0</v>
      </c>
      <c r="DQ54" s="60">
        <v>0</v>
      </c>
      <c r="DR54" s="60">
        <v>0</v>
      </c>
      <c r="DS54" s="60">
        <v>0</v>
      </c>
      <c r="DT54" s="86"/>
      <c r="DU54" s="60">
        <v>0</v>
      </c>
      <c r="DV54" s="60">
        <v>0</v>
      </c>
      <c r="DW54" s="60">
        <v>0</v>
      </c>
      <c r="DX54" s="60">
        <v>0</v>
      </c>
      <c r="DY54" s="86"/>
      <c r="DZ54" s="1858"/>
      <c r="EA54" s="1858"/>
      <c r="EB54" s="1858"/>
    </row>
    <row r="55" spans="1:132" outlineLevel="1" x14ac:dyDescent="0.2">
      <c r="A55" s="1853"/>
      <c r="B55" s="58" t="s">
        <v>349</v>
      </c>
      <c r="C55" s="59"/>
      <c r="D55" s="310"/>
      <c r="E55" s="310"/>
      <c r="F55" s="310"/>
      <c r="G55" s="310"/>
      <c r="H55" s="310"/>
      <c r="I55" s="314"/>
      <c r="J55" s="310"/>
      <c r="K55" s="310"/>
      <c r="L55" s="310"/>
      <c r="M55" s="310"/>
      <c r="N55" s="314"/>
      <c r="O55" s="310"/>
      <c r="P55" s="310"/>
      <c r="Q55" s="310"/>
      <c r="R55" s="310"/>
      <c r="S55" s="314"/>
      <c r="T55" s="310"/>
      <c r="U55" s="310"/>
      <c r="V55" s="310"/>
      <c r="W55" s="310"/>
      <c r="X55" s="314"/>
      <c r="Y55" s="310"/>
      <c r="Z55" s="310"/>
      <c r="AA55" s="310"/>
      <c r="AB55" s="310"/>
      <c r="AC55" s="314"/>
      <c r="AD55" s="310"/>
      <c r="AE55" s="310"/>
      <c r="AF55" s="310"/>
      <c r="AG55" s="310"/>
      <c r="AH55" s="314"/>
      <c r="AI55" s="310"/>
      <c r="AJ55" s="310"/>
      <c r="AK55" s="310"/>
      <c r="AL55" s="310"/>
      <c r="AM55" s="314"/>
      <c r="AN55" s="310"/>
      <c r="AO55" s="310"/>
      <c r="AP55" s="310"/>
      <c r="AQ55" s="310"/>
      <c r="AR55" s="314"/>
      <c r="AS55" s="310"/>
      <c r="AT55" s="310"/>
      <c r="AU55" s="310"/>
      <c r="AV55" s="310"/>
      <c r="AW55" s="314"/>
      <c r="AX55" s="310"/>
      <c r="AY55" s="310"/>
      <c r="AZ55" s="310"/>
      <c r="BA55" s="310"/>
      <c r="BB55" s="314"/>
      <c r="BC55" s="310"/>
      <c r="BD55" s="310"/>
      <c r="BE55" s="310"/>
      <c r="BF55" s="310"/>
      <c r="BG55" s="314"/>
      <c r="BH55" s="310"/>
      <c r="BI55" s="310"/>
      <c r="BJ55" s="310"/>
      <c r="BK55" s="310"/>
      <c r="BL55" s="314"/>
      <c r="BM55" s="310"/>
      <c r="BN55" s="310"/>
      <c r="BO55" s="310"/>
      <c r="BP55" s="310"/>
      <c r="BQ55" s="314"/>
      <c r="BR55" s="310"/>
      <c r="BS55" s="310"/>
      <c r="BT55" s="310"/>
      <c r="BU55" s="310"/>
      <c r="BV55" s="314"/>
      <c r="BW55" s="324">
        <v>0</v>
      </c>
      <c r="BX55" s="324">
        <v>0</v>
      </c>
      <c r="BY55" s="324">
        <v>0</v>
      </c>
      <c r="BZ55" s="324">
        <v>0</v>
      </c>
      <c r="CA55" s="314"/>
      <c r="CB55" s="324">
        <v>0</v>
      </c>
      <c r="CC55" s="324">
        <v>0</v>
      </c>
      <c r="CD55" s="324">
        <v>0</v>
      </c>
      <c r="CE55" s="324">
        <v>0</v>
      </c>
      <c r="CF55" s="314"/>
      <c r="CG55" s="324">
        <v>0</v>
      </c>
      <c r="CH55" s="324">
        <v>0</v>
      </c>
      <c r="CI55" s="324">
        <v>0</v>
      </c>
      <c r="CJ55" s="324">
        <v>0</v>
      </c>
      <c r="CK55" s="314"/>
      <c r="CL55" s="324">
        <v>0</v>
      </c>
      <c r="CM55" s="324">
        <v>0</v>
      </c>
      <c r="CN55" s="324">
        <v>0</v>
      </c>
      <c r="CO55" s="324">
        <v>0</v>
      </c>
      <c r="CP55" s="314"/>
      <c r="CQ55" s="1795">
        <v>0</v>
      </c>
      <c r="CR55" s="1759">
        <v>0</v>
      </c>
      <c r="CS55" s="1759">
        <v>0</v>
      </c>
      <c r="CT55" s="1793">
        <v>0</v>
      </c>
      <c r="CU55" s="1792"/>
      <c r="CV55" s="1759">
        <v>0</v>
      </c>
      <c r="CW55" s="1759">
        <v>0</v>
      </c>
      <c r="CX55" s="1759">
        <v>0</v>
      </c>
      <c r="CY55" s="1759">
        <v>0</v>
      </c>
      <c r="CZ55" s="1866"/>
      <c r="DA55" s="1759">
        <v>0</v>
      </c>
      <c r="DB55" s="1759">
        <v>0</v>
      </c>
      <c r="DC55" s="1759">
        <v>0</v>
      </c>
      <c r="DD55" s="1759">
        <v>0</v>
      </c>
      <c r="DE55" s="314"/>
      <c r="DF55" s="1759">
        <v>0</v>
      </c>
      <c r="DG55" s="1759">
        <v>0</v>
      </c>
      <c r="DH55" s="1759">
        <v>0</v>
      </c>
      <c r="DI55" s="1759">
        <v>0</v>
      </c>
      <c r="DJ55" s="314"/>
      <c r="DK55" s="324">
        <v>0</v>
      </c>
      <c r="DL55" s="324">
        <v>0</v>
      </c>
      <c r="DM55" s="324">
        <v>0</v>
      </c>
      <c r="DN55" s="324">
        <v>0</v>
      </c>
      <c r="DO55" s="314"/>
      <c r="DP55" s="324">
        <v>0</v>
      </c>
      <c r="DQ55" s="324">
        <v>0</v>
      </c>
      <c r="DR55" s="324">
        <v>0</v>
      </c>
      <c r="DS55" s="324">
        <v>0</v>
      </c>
      <c r="DT55" s="314"/>
      <c r="DU55" s="324">
        <v>0</v>
      </c>
      <c r="DV55" s="324">
        <v>0</v>
      </c>
      <c r="DW55" s="324">
        <v>0</v>
      </c>
      <c r="DX55" s="324">
        <v>0</v>
      </c>
      <c r="DY55" s="314"/>
      <c r="DZ55" s="1858"/>
      <c r="EA55" s="1858"/>
      <c r="EB55" s="1858"/>
    </row>
    <row r="56" spans="1:132" x14ac:dyDescent="0.2">
      <c r="A56" s="1853"/>
      <c r="B56" s="58" t="s">
        <v>350</v>
      </c>
      <c r="C56" s="59"/>
      <c r="D56" s="59"/>
      <c r="E56" s="59"/>
      <c r="F56" s="59"/>
      <c r="G56" s="59"/>
      <c r="H56" s="59"/>
      <c r="I56" s="86"/>
      <c r="J56" s="59"/>
      <c r="K56" s="59"/>
      <c r="L56" s="59"/>
      <c r="M56" s="59"/>
      <c r="N56" s="86"/>
      <c r="O56" s="59"/>
      <c r="P56" s="59"/>
      <c r="Q56" s="59"/>
      <c r="R56" s="59"/>
      <c r="S56" s="86"/>
      <c r="T56" s="59"/>
      <c r="U56" s="59"/>
      <c r="V56" s="59"/>
      <c r="W56" s="59"/>
      <c r="X56" s="86"/>
      <c r="Y56" s="59"/>
      <c r="Z56" s="59"/>
      <c r="AA56" s="59"/>
      <c r="AB56" s="59"/>
      <c r="AC56" s="86"/>
      <c r="AD56" s="59"/>
      <c r="AE56" s="59"/>
      <c r="AF56" s="59"/>
      <c r="AG56" s="59"/>
      <c r="AH56" s="86"/>
      <c r="AI56" s="59"/>
      <c r="AJ56" s="59"/>
      <c r="AK56" s="59"/>
      <c r="AL56" s="59"/>
      <c r="AM56" s="86"/>
      <c r="AN56" s="59"/>
      <c r="AO56" s="59"/>
      <c r="AP56" s="59"/>
      <c r="AQ56" s="59"/>
      <c r="AR56" s="86"/>
      <c r="AS56" s="59"/>
      <c r="AT56" s="59"/>
      <c r="AU56" s="59"/>
      <c r="AV56" s="59"/>
      <c r="AW56" s="86"/>
      <c r="AX56" s="59"/>
      <c r="AY56" s="59"/>
      <c r="AZ56" s="59"/>
      <c r="BA56" s="59"/>
      <c r="BB56" s="86"/>
      <c r="BC56" s="59"/>
      <c r="BD56" s="59"/>
      <c r="BE56" s="59"/>
      <c r="BF56" s="59"/>
      <c r="BG56" s="86"/>
      <c r="BH56" s="59"/>
      <c r="BI56" s="59"/>
      <c r="BJ56" s="59"/>
      <c r="BK56" s="59"/>
      <c r="BL56" s="86"/>
      <c r="BM56" s="59"/>
      <c r="BN56" s="59"/>
      <c r="BO56" s="59"/>
      <c r="BP56" s="59"/>
      <c r="BQ56" s="86"/>
      <c r="BR56" s="59"/>
      <c r="BS56" s="59"/>
      <c r="BT56" s="59"/>
      <c r="BU56" s="59"/>
      <c r="BV56" s="86"/>
      <c r="BW56" s="62">
        <f t="shared" ref="BW56:DJ56" si="133">SUM(BW54:BW55)</f>
        <v>0</v>
      </c>
      <c r="BX56" s="91">
        <f t="shared" si="133"/>
        <v>0</v>
      </c>
      <c r="BY56" s="62">
        <f t="shared" si="133"/>
        <v>0</v>
      </c>
      <c r="BZ56" s="62">
        <f t="shared" si="133"/>
        <v>0</v>
      </c>
      <c r="CA56" s="61">
        <f t="shared" si="133"/>
        <v>0</v>
      </c>
      <c r="CB56" s="62">
        <f t="shared" si="133"/>
        <v>0</v>
      </c>
      <c r="CC56" s="91">
        <f t="shared" si="133"/>
        <v>0</v>
      </c>
      <c r="CD56" s="91">
        <f t="shared" si="133"/>
        <v>0</v>
      </c>
      <c r="CE56" s="91">
        <f t="shared" si="133"/>
        <v>0</v>
      </c>
      <c r="CF56" s="86">
        <f t="shared" si="133"/>
        <v>0</v>
      </c>
      <c r="CG56" s="62">
        <f t="shared" si="133"/>
        <v>0</v>
      </c>
      <c r="CH56" s="91">
        <f t="shared" si="133"/>
        <v>0</v>
      </c>
      <c r="CI56" s="91">
        <f t="shared" si="133"/>
        <v>0</v>
      </c>
      <c r="CJ56" s="91">
        <f t="shared" si="133"/>
        <v>0</v>
      </c>
      <c r="CK56" s="86">
        <f t="shared" si="133"/>
        <v>0</v>
      </c>
      <c r="CL56" s="62">
        <f t="shared" si="133"/>
        <v>0</v>
      </c>
      <c r="CM56" s="91">
        <f t="shared" si="133"/>
        <v>0</v>
      </c>
      <c r="CN56" s="91">
        <f t="shared" si="133"/>
        <v>0</v>
      </c>
      <c r="CO56" s="91">
        <f>SUM(CO54:CO55)</f>
        <v>0</v>
      </c>
      <c r="CP56" s="86">
        <f t="shared" si="133"/>
        <v>0</v>
      </c>
      <c r="CQ56" s="1786">
        <f>SUM(CQ54:CQ55)</f>
        <v>0</v>
      </c>
      <c r="CR56" s="1782">
        <f>SUM(CR54:CR55)</f>
        <v>0</v>
      </c>
      <c r="CS56" s="1779">
        <f>SUM(CS54:CS55)</f>
        <v>0</v>
      </c>
      <c r="CT56" s="1780">
        <f>SUM(CT54:CT55)</f>
        <v>0</v>
      </c>
      <c r="CU56" s="1780">
        <f t="shared" si="133"/>
        <v>0</v>
      </c>
      <c r="CV56" s="1856">
        <f t="shared" si="133"/>
        <v>0</v>
      </c>
      <c r="CW56" s="1856">
        <f>SUM(CW54:CW55)</f>
        <v>0</v>
      </c>
      <c r="CX56" s="1856">
        <f>SUM(CX54:CX55)</f>
        <v>0</v>
      </c>
      <c r="CY56" s="1856">
        <f>SUM(CY54:CY55)</f>
        <v>0</v>
      </c>
      <c r="CZ56" s="1857">
        <f t="shared" si="133"/>
        <v>0</v>
      </c>
      <c r="DA56" s="1856">
        <f t="shared" ref="DA56:DF56" si="134">SUM(DA54:DA55)</f>
        <v>0</v>
      </c>
      <c r="DB56" s="1856">
        <f t="shared" si="134"/>
        <v>0</v>
      </c>
      <c r="DC56" s="1856">
        <f t="shared" si="134"/>
        <v>0</v>
      </c>
      <c r="DD56" s="1856">
        <f t="shared" si="134"/>
        <v>0</v>
      </c>
      <c r="DE56" s="2627">
        <f t="shared" si="134"/>
        <v>0</v>
      </c>
      <c r="DF56" s="1856">
        <f t="shared" si="134"/>
        <v>0</v>
      </c>
      <c r="DG56" s="1856">
        <f>SUM(DG54:DG55)</f>
        <v>0</v>
      </c>
      <c r="DH56" s="1856">
        <f>SUM(DH54:DH55)</f>
        <v>0</v>
      </c>
      <c r="DI56" s="1856">
        <f>SUM(DI54:DI55)</f>
        <v>0</v>
      </c>
      <c r="DJ56" s="86">
        <f t="shared" si="133"/>
        <v>0</v>
      </c>
      <c r="DK56" s="78">
        <f t="shared" ref="DK56:DT56" si="135">SUM(DK54:DK55)</f>
        <v>0</v>
      </c>
      <c r="DL56" s="78">
        <f t="shared" si="135"/>
        <v>0</v>
      </c>
      <c r="DM56" s="78">
        <f t="shared" si="135"/>
        <v>0</v>
      </c>
      <c r="DN56" s="78">
        <f t="shared" si="135"/>
        <v>0</v>
      </c>
      <c r="DO56" s="86">
        <f t="shared" si="135"/>
        <v>0</v>
      </c>
      <c r="DP56" s="78">
        <f t="shared" si="135"/>
        <v>0</v>
      </c>
      <c r="DQ56" s="78">
        <f t="shared" si="135"/>
        <v>0</v>
      </c>
      <c r="DR56" s="78">
        <f t="shared" si="135"/>
        <v>0</v>
      </c>
      <c r="DS56" s="78">
        <f t="shared" si="135"/>
        <v>0</v>
      </c>
      <c r="DT56" s="86">
        <f t="shared" si="135"/>
        <v>0</v>
      </c>
      <c r="DU56" s="78">
        <f t="shared" ref="DU56:DY56" si="136">SUM(DU54:DU55)</f>
        <v>0</v>
      </c>
      <c r="DV56" s="78">
        <f t="shared" si="136"/>
        <v>0</v>
      </c>
      <c r="DW56" s="78">
        <f t="shared" si="136"/>
        <v>0</v>
      </c>
      <c r="DX56" s="78">
        <f t="shared" si="136"/>
        <v>0</v>
      </c>
      <c r="DY56" s="86">
        <f t="shared" si="136"/>
        <v>0</v>
      </c>
      <c r="DZ56" s="1858"/>
      <c r="EA56" s="1858"/>
      <c r="EB56" s="1858"/>
    </row>
    <row r="57" spans="1:132" x14ac:dyDescent="0.2">
      <c r="A57" s="1853"/>
      <c r="B57" s="58" t="s">
        <v>351</v>
      </c>
      <c r="C57" s="59"/>
      <c r="D57" s="59"/>
      <c r="E57" s="59"/>
      <c r="F57" s="59"/>
      <c r="G57" s="59"/>
      <c r="H57" s="59"/>
      <c r="I57" s="63">
        <v>62.1</v>
      </c>
      <c r="J57" s="59"/>
      <c r="K57" s="59"/>
      <c r="L57" s="59"/>
      <c r="M57" s="59"/>
      <c r="N57" s="63">
        <v>169.1</v>
      </c>
      <c r="O57" s="59"/>
      <c r="P57" s="59"/>
      <c r="Q57" s="59"/>
      <c r="R57" s="59"/>
      <c r="S57" s="63">
        <v>121.1</v>
      </c>
      <c r="T57" s="59"/>
      <c r="U57" s="59"/>
      <c r="V57" s="59"/>
      <c r="W57" s="59"/>
      <c r="X57" s="63">
        <v>20.399999999999999</v>
      </c>
      <c r="Y57" s="59"/>
      <c r="Z57" s="59"/>
      <c r="AA57" s="59"/>
      <c r="AB57" s="59"/>
      <c r="AC57" s="63">
        <v>97.8</v>
      </c>
      <c r="AD57" s="59"/>
      <c r="AE57" s="59"/>
      <c r="AF57" s="59"/>
      <c r="AG57" s="59"/>
      <c r="AH57" s="63">
        <v>47.3</v>
      </c>
      <c r="AI57" s="59"/>
      <c r="AJ57" s="59"/>
      <c r="AK57" s="59"/>
      <c r="AL57" s="59"/>
      <c r="AM57" s="63">
        <v>34</v>
      </c>
      <c r="AN57" s="59"/>
      <c r="AO57" s="59"/>
      <c r="AP57" s="59"/>
      <c r="AQ57" s="59"/>
      <c r="AR57" s="63">
        <v>38.299999999999997</v>
      </c>
      <c r="AS57" s="59"/>
      <c r="AT57" s="59"/>
      <c r="AU57" s="59"/>
      <c r="AV57" s="59"/>
      <c r="AW57" s="63">
        <v>129.80000000000001</v>
      </c>
      <c r="AX57" s="59"/>
      <c r="AY57" s="59"/>
      <c r="AZ57" s="59"/>
      <c r="BA57" s="59"/>
      <c r="BB57" s="63">
        <v>178.4</v>
      </c>
      <c r="BC57" s="59"/>
      <c r="BD57" s="59"/>
      <c r="BE57" s="59"/>
      <c r="BF57" s="59"/>
      <c r="BG57" s="63">
        <v>187.6</v>
      </c>
      <c r="BH57" s="59"/>
      <c r="BI57" s="59"/>
      <c r="BJ57" s="59"/>
      <c r="BK57" s="59"/>
      <c r="BL57" s="63">
        <v>552.4</v>
      </c>
      <c r="BM57" s="62">
        <f>BM120</f>
        <v>170.1</v>
      </c>
      <c r="BN57" s="62">
        <f t="shared" ref="BN57:BP59" si="137">BN120-BM120</f>
        <v>108.79999999999998</v>
      </c>
      <c r="BO57" s="62">
        <f t="shared" si="137"/>
        <v>34.800000000000011</v>
      </c>
      <c r="BP57" s="62">
        <f t="shared" si="137"/>
        <v>14.100000000000023</v>
      </c>
      <c r="BQ57" s="63">
        <v>327.8</v>
      </c>
      <c r="BR57" s="62">
        <f>BR120</f>
        <v>55</v>
      </c>
      <c r="BS57" s="62">
        <f t="shared" ref="BS57:BU59" si="138">BS120-BR120</f>
        <v>36.400000000000006</v>
      </c>
      <c r="BT57" s="62">
        <f t="shared" si="138"/>
        <v>145.1</v>
      </c>
      <c r="BU57" s="62">
        <f t="shared" si="138"/>
        <v>13.5</v>
      </c>
      <c r="BV57" s="63">
        <v>250</v>
      </c>
      <c r="BW57" s="62">
        <f>BW120</f>
        <v>97</v>
      </c>
      <c r="BX57" s="62">
        <f t="shared" ref="BX57:BZ59" si="139">BX120-BW120</f>
        <v>48</v>
      </c>
      <c r="BY57" s="62">
        <f t="shared" si="139"/>
        <v>26</v>
      </c>
      <c r="BZ57" s="62">
        <f t="shared" si="139"/>
        <v>114</v>
      </c>
      <c r="CA57" s="61">
        <f>SUM(BW57:BZ57)</f>
        <v>285</v>
      </c>
      <c r="CB57" s="62">
        <f>CB120</f>
        <v>107</v>
      </c>
      <c r="CC57" s="62">
        <f t="shared" ref="CC57:CE59" si="140">CC120-CB120</f>
        <v>157</v>
      </c>
      <c r="CD57" s="62">
        <f t="shared" si="140"/>
        <v>77</v>
      </c>
      <c r="CE57" s="62">
        <f t="shared" si="140"/>
        <v>90</v>
      </c>
      <c r="CF57" s="86">
        <f>SUM(CB57:CE57)</f>
        <v>431</v>
      </c>
      <c r="CG57" s="62">
        <f>CG120</f>
        <v>278</v>
      </c>
      <c r="CH57" s="62">
        <f t="shared" ref="CH57:CJ59" si="141">CH120-CG120</f>
        <v>240</v>
      </c>
      <c r="CI57" s="62">
        <f t="shared" si="141"/>
        <v>159</v>
      </c>
      <c r="CJ57" s="62">
        <f t="shared" si="141"/>
        <v>159</v>
      </c>
      <c r="CK57" s="86">
        <f>SUM(CG57:CJ57)</f>
        <v>836</v>
      </c>
      <c r="CL57" s="62">
        <f>CL120</f>
        <v>150</v>
      </c>
      <c r="CM57" s="62">
        <f t="shared" ref="CM57:CT59" si="142">CM120-CL120</f>
        <v>159</v>
      </c>
      <c r="CN57" s="62">
        <f t="shared" si="142"/>
        <v>122</v>
      </c>
      <c r="CO57" s="62">
        <f t="shared" si="142"/>
        <v>69</v>
      </c>
      <c r="CP57" s="86">
        <f>SUM(CL57:CO57)</f>
        <v>500</v>
      </c>
      <c r="CQ57" s="1781">
        <f t="shared" si="142"/>
        <v>154</v>
      </c>
      <c r="CR57" s="1782">
        <f t="shared" si="142"/>
        <v>112</v>
      </c>
      <c r="CS57" s="1782">
        <f t="shared" si="142"/>
        <v>112</v>
      </c>
      <c r="CT57" s="1785">
        <f t="shared" si="142"/>
        <v>43</v>
      </c>
      <c r="CU57" s="1780">
        <f>SUM(CQ57:CT57)</f>
        <v>421</v>
      </c>
      <c r="CV57" s="1703">
        <f t="shared" ref="CV57:CY58" si="143">CV120-CU120</f>
        <v>126</v>
      </c>
      <c r="CW57" s="1703">
        <f t="shared" si="143"/>
        <v>85</v>
      </c>
      <c r="CX57" s="1703">
        <f t="shared" si="143"/>
        <v>66</v>
      </c>
      <c r="CY57" s="1703">
        <f t="shared" si="143"/>
        <v>22</v>
      </c>
      <c r="CZ57" s="1857">
        <f>SUM(CV57:CY57)</f>
        <v>299</v>
      </c>
      <c r="DA57" s="1703">
        <f t="shared" ref="DA57:DD60" si="144">DA120-CZ120</f>
        <v>92</v>
      </c>
      <c r="DB57" s="1703">
        <f t="shared" si="144"/>
        <v>30</v>
      </c>
      <c r="DC57" s="1703">
        <f t="shared" si="144"/>
        <v>83</v>
      </c>
      <c r="DD57" s="1703">
        <f t="shared" si="144"/>
        <v>19</v>
      </c>
      <c r="DE57" s="2627">
        <f>SUM(DA57:DD57)</f>
        <v>224</v>
      </c>
      <c r="DF57" s="1703">
        <f t="shared" ref="DF57:DI60" si="145">DF120-DE120</f>
        <v>121</v>
      </c>
      <c r="DG57" s="1703">
        <f t="shared" si="145"/>
        <v>68</v>
      </c>
      <c r="DH57" s="1703">
        <f t="shared" si="145"/>
        <v>125</v>
      </c>
      <c r="DI57" s="1703">
        <f t="shared" si="145"/>
        <v>15</v>
      </c>
      <c r="DJ57" s="86">
        <f>SUM(DF57:DI57)</f>
        <v>329</v>
      </c>
      <c r="DK57" s="60">
        <v>0</v>
      </c>
      <c r="DL57" s="60">
        <v>0</v>
      </c>
      <c r="DM57" s="60">
        <v>0</v>
      </c>
      <c r="DN57" s="60">
        <v>0</v>
      </c>
      <c r="DO57" s="86">
        <f>SUM(DK57:DN57)</f>
        <v>0</v>
      </c>
      <c r="DP57" s="60">
        <v>0</v>
      </c>
      <c r="DQ57" s="60">
        <v>0</v>
      </c>
      <c r="DR57" s="60">
        <v>0</v>
      </c>
      <c r="DS57" s="60">
        <v>0</v>
      </c>
      <c r="DT57" s="86">
        <f>SUM(DP57:DS57)</f>
        <v>0</v>
      </c>
      <c r="DU57" s="60">
        <v>0</v>
      </c>
      <c r="DV57" s="60">
        <v>0</v>
      </c>
      <c r="DW57" s="60">
        <v>0</v>
      </c>
      <c r="DX57" s="60">
        <v>0</v>
      </c>
      <c r="DY57" s="86">
        <f>SUM(DU57:DX57)</f>
        <v>0</v>
      </c>
      <c r="DZ57" s="1858"/>
      <c r="EA57" s="1858"/>
      <c r="EB57" s="1858"/>
    </row>
    <row r="58" spans="1:132" x14ac:dyDescent="0.2">
      <c r="A58" s="1853"/>
      <c r="B58" s="58" t="s">
        <v>352</v>
      </c>
      <c r="C58" s="59"/>
      <c r="D58" s="59"/>
      <c r="E58" s="59"/>
      <c r="F58" s="59"/>
      <c r="G58" s="59"/>
      <c r="H58" s="59"/>
      <c r="I58" s="63">
        <v>-137.5</v>
      </c>
      <c r="J58" s="59"/>
      <c r="K58" s="59"/>
      <c r="L58" s="59"/>
      <c r="M58" s="59"/>
      <c r="N58" s="63">
        <v>-87.6</v>
      </c>
      <c r="O58" s="59"/>
      <c r="P58" s="59"/>
      <c r="Q58" s="59"/>
      <c r="R58" s="59"/>
      <c r="S58" s="63">
        <v>-102.5</v>
      </c>
      <c r="T58" s="59"/>
      <c r="U58" s="59"/>
      <c r="V58" s="59"/>
      <c r="W58" s="59"/>
      <c r="X58" s="63">
        <v>-104.7</v>
      </c>
      <c r="Y58" s="59"/>
      <c r="Z58" s="59"/>
      <c r="AA58" s="59"/>
      <c r="AB58" s="59"/>
      <c r="AC58" s="63">
        <v>-104.8</v>
      </c>
      <c r="AD58" s="59"/>
      <c r="AE58" s="59"/>
      <c r="AF58" s="59"/>
      <c r="AG58" s="59"/>
      <c r="AH58" s="63">
        <v>-105.2</v>
      </c>
      <c r="AI58" s="59"/>
      <c r="AJ58" s="59"/>
      <c r="AK58" s="59"/>
      <c r="AL58" s="59"/>
      <c r="AM58" s="63">
        <v>-104.9</v>
      </c>
      <c r="AN58" s="59"/>
      <c r="AO58" s="59"/>
      <c r="AP58" s="59"/>
      <c r="AQ58" s="59"/>
      <c r="AR58" s="63">
        <v>-105.2</v>
      </c>
      <c r="AS58" s="59"/>
      <c r="AT58" s="59"/>
      <c r="AU58" s="59"/>
      <c r="AV58" s="59"/>
      <c r="AW58" s="63">
        <v>-119.8</v>
      </c>
      <c r="AX58" s="59"/>
      <c r="AY58" s="59"/>
      <c r="AZ58" s="59"/>
      <c r="BA58" s="59"/>
      <c r="BB58" s="63">
        <v>-131.6</v>
      </c>
      <c r="BC58" s="59"/>
      <c r="BD58" s="59"/>
      <c r="BE58" s="59"/>
      <c r="BF58" s="59"/>
      <c r="BG58" s="63">
        <v>-140.9</v>
      </c>
      <c r="BH58" s="59"/>
      <c r="BI58" s="59"/>
      <c r="BJ58" s="59"/>
      <c r="BK58" s="59"/>
      <c r="BL58" s="63">
        <v>-322.39999999999998</v>
      </c>
      <c r="BM58" s="62">
        <f>BM121</f>
        <v>-85.9</v>
      </c>
      <c r="BN58" s="62">
        <f t="shared" si="137"/>
        <v>-86.199999999999989</v>
      </c>
      <c r="BO58" s="62">
        <f t="shared" si="137"/>
        <v>-98.4</v>
      </c>
      <c r="BP58" s="62">
        <f t="shared" si="137"/>
        <v>-112.5</v>
      </c>
      <c r="BQ58" s="63">
        <v>-383</v>
      </c>
      <c r="BR58" s="62">
        <f>BR121</f>
        <v>-109.7</v>
      </c>
      <c r="BS58" s="62">
        <f t="shared" si="138"/>
        <v>-110.99999999999999</v>
      </c>
      <c r="BT58" s="62">
        <f t="shared" si="138"/>
        <v>-110.10000000000002</v>
      </c>
      <c r="BU58" s="62">
        <f t="shared" si="138"/>
        <v>-108.19999999999999</v>
      </c>
      <c r="BV58" s="63">
        <v>-439</v>
      </c>
      <c r="BW58" s="62">
        <f>BW121</f>
        <v>-122</v>
      </c>
      <c r="BX58" s="62">
        <f t="shared" si="139"/>
        <v>-119</v>
      </c>
      <c r="BY58" s="62">
        <f t="shared" si="139"/>
        <v>-119</v>
      </c>
      <c r="BZ58" s="62">
        <f t="shared" si="139"/>
        <v>-119</v>
      </c>
      <c r="CA58" s="61">
        <f>SUM(BW58:BZ58)</f>
        <v>-479</v>
      </c>
      <c r="CB58" s="62">
        <f>CB121</f>
        <v>-171</v>
      </c>
      <c r="CC58" s="62">
        <f t="shared" si="140"/>
        <v>-170</v>
      </c>
      <c r="CD58" s="62">
        <f t="shared" si="140"/>
        <v>-167</v>
      </c>
      <c r="CE58" s="62">
        <f t="shared" si="140"/>
        <v>-166</v>
      </c>
      <c r="CF58" s="86">
        <f>SUM(CB58:CE58)</f>
        <v>-674</v>
      </c>
      <c r="CG58" s="62">
        <f>CG121</f>
        <v>-211</v>
      </c>
      <c r="CH58" s="62">
        <f t="shared" si="141"/>
        <v>-209</v>
      </c>
      <c r="CI58" s="62">
        <f t="shared" si="141"/>
        <v>-207</v>
      </c>
      <c r="CJ58" s="62">
        <f t="shared" si="141"/>
        <v>-202</v>
      </c>
      <c r="CK58" s="86">
        <f>SUM(CG58:CJ58)</f>
        <v>-829</v>
      </c>
      <c r="CL58" s="62">
        <f>CL121</f>
        <v>-277</v>
      </c>
      <c r="CM58" s="62">
        <f t="shared" si="142"/>
        <v>-276</v>
      </c>
      <c r="CN58" s="62">
        <f t="shared" si="142"/>
        <v>-276</v>
      </c>
      <c r="CO58" s="62">
        <f t="shared" si="142"/>
        <v>-268</v>
      </c>
      <c r="CP58" s="86">
        <f>SUM(CL58:CO58)</f>
        <v>-1097</v>
      </c>
      <c r="CQ58" s="1781">
        <f t="shared" si="142"/>
        <v>-325</v>
      </c>
      <c r="CR58" s="1782">
        <f t="shared" si="142"/>
        <v>-322</v>
      </c>
      <c r="CS58" s="1782">
        <f t="shared" si="142"/>
        <v>-324</v>
      </c>
      <c r="CT58" s="1785">
        <f t="shared" si="142"/>
        <v>-317</v>
      </c>
      <c r="CU58" s="1780">
        <f>SUM(CQ58:CT58)</f>
        <v>-1288</v>
      </c>
      <c r="CV58" s="1876">
        <f t="shared" si="143"/>
        <v>-399</v>
      </c>
      <c r="CW58" s="1782">
        <f t="shared" si="143"/>
        <v>-395</v>
      </c>
      <c r="CX58" s="1782">
        <f t="shared" si="143"/>
        <v>-391</v>
      </c>
      <c r="CY58" s="1782">
        <f t="shared" si="143"/>
        <v>-391</v>
      </c>
      <c r="CZ58" s="1857">
        <f>SUM(CV58:CY58)</f>
        <v>-1576</v>
      </c>
      <c r="DA58" s="1782">
        <f t="shared" si="144"/>
        <v>-470</v>
      </c>
      <c r="DB58" s="1782">
        <f t="shared" si="144"/>
        <v>-459</v>
      </c>
      <c r="DC58" s="1782">
        <f t="shared" si="144"/>
        <v>-455</v>
      </c>
      <c r="DD58" s="1782">
        <f t="shared" si="144"/>
        <v>-456</v>
      </c>
      <c r="DE58" s="2627">
        <f>SUM(DA58:DD58)</f>
        <v>-1840</v>
      </c>
      <c r="DF58" s="1782">
        <f t="shared" si="145"/>
        <v>-516</v>
      </c>
      <c r="DG58" s="1782">
        <f t="shared" si="145"/>
        <v>-512</v>
      </c>
      <c r="DH58" s="1782">
        <f t="shared" si="145"/>
        <v>-511</v>
      </c>
      <c r="DI58" s="1782">
        <f t="shared" si="145"/>
        <v>-510</v>
      </c>
      <c r="DJ58" s="86">
        <f>SUM(DF58:DI58)</f>
        <v>-2049</v>
      </c>
      <c r="DK58" s="78">
        <f>DK204</f>
        <v>-695.56669807434082</v>
      </c>
      <c r="DL58" s="78">
        <f>DL204</f>
        <v>-695.56669807434082</v>
      </c>
      <c r="DM58" s="78">
        <f>DM204</f>
        <v>-695.56669807434082</v>
      </c>
      <c r="DN58" s="78">
        <f>DN204</f>
        <v>-695.56669807434082</v>
      </c>
      <c r="DO58" s="86">
        <f>SUM(DK58:DN58)</f>
        <v>-2782.2667922973633</v>
      </c>
      <c r="DP58" s="78">
        <f>DP204</f>
        <v>-869.45837259292603</v>
      </c>
      <c r="DQ58" s="78">
        <f>DQ204</f>
        <v>-869.45837259292603</v>
      </c>
      <c r="DR58" s="78">
        <f>DR204</f>
        <v>-869.45837259292603</v>
      </c>
      <c r="DS58" s="78">
        <f>DS204</f>
        <v>-869.45837259292603</v>
      </c>
      <c r="DT58" s="86">
        <f>SUM(DP58:DS58)</f>
        <v>-3477.8334903717041</v>
      </c>
      <c r="DU58" s="78">
        <f>DU204</f>
        <v>-1086.8229657411575</v>
      </c>
      <c r="DV58" s="78">
        <f>DV204</f>
        <v>-1086.8229657411575</v>
      </c>
      <c r="DW58" s="78">
        <f>DW204</f>
        <v>-1086.8229657411575</v>
      </c>
      <c r="DX58" s="78">
        <f>DX204</f>
        <v>-1086.8229657411575</v>
      </c>
      <c r="DY58" s="86">
        <f>SUM(DU58:DX58)</f>
        <v>-4347.2918629646301</v>
      </c>
      <c r="DZ58" s="1858"/>
      <c r="EA58" s="1858"/>
      <c r="EB58" s="1858"/>
    </row>
    <row r="59" spans="1:132" x14ac:dyDescent="0.2">
      <c r="A59" s="1853"/>
      <c r="B59" s="58" t="s">
        <v>353</v>
      </c>
      <c r="C59" s="59"/>
      <c r="D59" s="59"/>
      <c r="E59" s="59"/>
      <c r="F59" s="59"/>
      <c r="G59" s="59"/>
      <c r="H59" s="59"/>
      <c r="I59" s="63">
        <v>-25.8</v>
      </c>
      <c r="J59" s="59"/>
      <c r="K59" s="59"/>
      <c r="L59" s="59"/>
      <c r="M59" s="59"/>
      <c r="N59" s="63">
        <v>0</v>
      </c>
      <c r="O59" s="59"/>
      <c r="P59" s="59"/>
      <c r="Q59" s="59"/>
      <c r="R59" s="59"/>
      <c r="S59" s="63">
        <v>0</v>
      </c>
      <c r="T59" s="59"/>
      <c r="U59" s="59"/>
      <c r="V59" s="59"/>
      <c r="W59" s="59"/>
      <c r="X59" s="63">
        <v>0</v>
      </c>
      <c r="Y59" s="59"/>
      <c r="Z59" s="59"/>
      <c r="AA59" s="59"/>
      <c r="AB59" s="59"/>
      <c r="AC59" s="63">
        <v>-163.19999999999999</v>
      </c>
      <c r="AD59" s="59"/>
      <c r="AE59" s="59"/>
      <c r="AF59" s="59"/>
      <c r="AG59" s="59"/>
      <c r="AH59" s="63">
        <v>-129</v>
      </c>
      <c r="AI59" s="59"/>
      <c r="AJ59" s="59"/>
      <c r="AK59" s="59"/>
      <c r="AL59" s="59"/>
      <c r="AM59" s="63">
        <v>0</v>
      </c>
      <c r="AN59" s="59"/>
      <c r="AO59" s="59"/>
      <c r="AP59" s="59"/>
      <c r="AQ59" s="59"/>
      <c r="AR59" s="63">
        <v>0</v>
      </c>
      <c r="AS59" s="59"/>
      <c r="AT59" s="59"/>
      <c r="AU59" s="59"/>
      <c r="AV59" s="59"/>
      <c r="AW59" s="63">
        <v>0</v>
      </c>
      <c r="AX59" s="59"/>
      <c r="AY59" s="59"/>
      <c r="AZ59" s="59"/>
      <c r="BA59" s="59"/>
      <c r="BB59" s="63">
        <v>0</v>
      </c>
      <c r="BC59" s="59"/>
      <c r="BD59" s="59"/>
      <c r="BE59" s="59"/>
      <c r="BF59" s="59"/>
      <c r="BG59" s="63">
        <v>0</v>
      </c>
      <c r="BH59" s="59"/>
      <c r="BI59" s="59"/>
      <c r="BJ59" s="59"/>
      <c r="BK59" s="59"/>
      <c r="BL59" s="63">
        <v>-5370.4</v>
      </c>
      <c r="BM59" s="62">
        <f>BM122</f>
        <v>0</v>
      </c>
      <c r="BN59" s="62">
        <f t="shared" si="137"/>
        <v>-23</v>
      </c>
      <c r="BO59" s="62">
        <f t="shared" si="137"/>
        <v>0</v>
      </c>
      <c r="BP59" s="62">
        <f t="shared" si="137"/>
        <v>0</v>
      </c>
      <c r="BQ59" s="63">
        <v>-23</v>
      </c>
      <c r="BR59" s="62">
        <f>BR122</f>
        <v>0</v>
      </c>
      <c r="BS59" s="62">
        <f t="shared" si="138"/>
        <v>0</v>
      </c>
      <c r="BT59" s="62">
        <f t="shared" si="138"/>
        <v>-1538.9</v>
      </c>
      <c r="BU59" s="62">
        <f t="shared" si="138"/>
        <v>-938.09999999999991</v>
      </c>
      <c r="BV59" s="63">
        <v>-2477</v>
      </c>
      <c r="BW59" s="62">
        <f>BW122</f>
        <v>-887</v>
      </c>
      <c r="BX59" s="62">
        <f t="shared" si="139"/>
        <v>-613</v>
      </c>
      <c r="BY59" s="62">
        <f t="shared" si="139"/>
        <v>0</v>
      </c>
      <c r="BZ59" s="62">
        <f t="shared" si="139"/>
        <v>0</v>
      </c>
      <c r="CA59" s="61">
        <f>SUM(BW59:BZ59)</f>
        <v>-1500</v>
      </c>
      <c r="CB59" s="62">
        <f>CB122</f>
        <v>-467</v>
      </c>
      <c r="CC59" s="62">
        <f t="shared" si="140"/>
        <v>-504</v>
      </c>
      <c r="CD59" s="62">
        <f t="shared" si="140"/>
        <v>-1582</v>
      </c>
      <c r="CE59" s="62">
        <f t="shared" si="140"/>
        <v>-448</v>
      </c>
      <c r="CF59" s="86">
        <f>SUM(CB59:CE59)</f>
        <v>-3001</v>
      </c>
      <c r="CG59" s="62">
        <f>CG122</f>
        <v>-810</v>
      </c>
      <c r="CH59" s="62">
        <f t="shared" si="141"/>
        <v>-1188</v>
      </c>
      <c r="CI59" s="62">
        <f t="shared" si="141"/>
        <v>-2003</v>
      </c>
      <c r="CJ59" s="62">
        <f t="shared" si="141"/>
        <v>-329</v>
      </c>
      <c r="CK59" s="86">
        <f>SUM(CG59:CJ59)</f>
        <v>-4330</v>
      </c>
      <c r="CL59" s="62">
        <f>CL122</f>
        <v>-393</v>
      </c>
      <c r="CM59" s="62">
        <f t="shared" si="142"/>
        <v>-355</v>
      </c>
      <c r="CN59" s="62">
        <f t="shared" si="142"/>
        <v>-1524</v>
      </c>
      <c r="CO59" s="62">
        <f t="shared" si="142"/>
        <v>-1704</v>
      </c>
      <c r="CP59" s="86">
        <f>SUM(CL59:CO59)</f>
        <v>-3976</v>
      </c>
      <c r="CQ59" s="1781">
        <f t="shared" si="142"/>
        <v>-801</v>
      </c>
      <c r="CR59" s="1782">
        <f t="shared" si="142"/>
        <v>-1200</v>
      </c>
      <c r="CS59" s="1782">
        <f t="shared" si="142"/>
        <v>-800</v>
      </c>
      <c r="CT59" s="1785">
        <f t="shared" si="142"/>
        <v>-1200</v>
      </c>
      <c r="CU59" s="1780">
        <f>SUM(CQ59:CT59)</f>
        <v>-4001</v>
      </c>
      <c r="CV59" s="1856">
        <f>CV122</f>
        <v>-2007</v>
      </c>
      <c r="CW59" s="1856">
        <f t="shared" ref="CW59:CY60" si="146">CW122-CV122</f>
        <v>-927</v>
      </c>
      <c r="CX59" s="1856">
        <f t="shared" si="146"/>
        <v>-937</v>
      </c>
      <c r="CY59" s="1856">
        <f t="shared" si="146"/>
        <v>-1130</v>
      </c>
      <c r="CZ59" s="1857">
        <f>SUM(CV59:CY59)</f>
        <v>-5001</v>
      </c>
      <c r="DA59" s="1856">
        <f t="shared" si="144"/>
        <v>-2066</v>
      </c>
      <c r="DB59" s="1856">
        <f t="shared" si="144"/>
        <v>-1894</v>
      </c>
      <c r="DC59" s="1856">
        <f t="shared" si="144"/>
        <v>-40</v>
      </c>
      <c r="DD59" s="1856">
        <f t="shared" si="144"/>
        <v>-461</v>
      </c>
      <c r="DE59" s="2627">
        <f>SUM(DA59:DD59)</f>
        <v>-4461</v>
      </c>
      <c r="DF59" s="1856">
        <f t="shared" si="145"/>
        <v>-3621</v>
      </c>
      <c r="DG59" s="1856">
        <f t="shared" si="145"/>
        <v>-340</v>
      </c>
      <c r="DH59" s="1856">
        <f t="shared" si="145"/>
        <v>-400</v>
      </c>
      <c r="DI59" s="1856">
        <f t="shared" si="145"/>
        <v>0</v>
      </c>
      <c r="DJ59" s="86">
        <f>SUM(DF59:DI59)</f>
        <v>-4361</v>
      </c>
      <c r="DK59" s="78">
        <f>DK197</f>
        <v>0</v>
      </c>
      <c r="DL59" s="78">
        <f>DL197</f>
        <v>0</v>
      </c>
      <c r="DM59" s="78">
        <f>DM197</f>
        <v>0</v>
      </c>
      <c r="DN59" s="78">
        <f>DN197</f>
        <v>0</v>
      </c>
      <c r="DO59" s="86">
        <f>SUM(DK59:DN59)</f>
        <v>0</v>
      </c>
      <c r="DP59" s="78">
        <f>DP197</f>
        <v>0</v>
      </c>
      <c r="DQ59" s="78">
        <f>DQ197</f>
        <v>0</v>
      </c>
      <c r="DR59" s="78">
        <f>DR197</f>
        <v>0</v>
      </c>
      <c r="DS59" s="78">
        <f>DS197</f>
        <v>0</v>
      </c>
      <c r="DT59" s="86">
        <f>SUM(DP59:DS59)</f>
        <v>0</v>
      </c>
      <c r="DU59" s="78">
        <f>DU197</f>
        <v>0</v>
      </c>
      <c r="DV59" s="78">
        <f>DV197</f>
        <v>0</v>
      </c>
      <c r="DW59" s="78">
        <f>DW197</f>
        <v>0</v>
      </c>
      <c r="DX59" s="78">
        <f>DX197</f>
        <v>0</v>
      </c>
      <c r="DY59" s="86">
        <f>SUM(DU59:DX59)</f>
        <v>0</v>
      </c>
      <c r="DZ59" s="1858"/>
      <c r="EA59" s="1858"/>
      <c r="EB59" s="1858"/>
    </row>
    <row r="60" spans="1:132" x14ac:dyDescent="0.2">
      <c r="A60" s="1853"/>
      <c r="B60" s="58" t="s">
        <v>354</v>
      </c>
      <c r="C60" s="59"/>
      <c r="D60" s="66"/>
      <c r="E60" s="66"/>
      <c r="F60" s="66"/>
      <c r="G60" s="66"/>
      <c r="H60" s="66"/>
      <c r="I60" s="90"/>
      <c r="J60" s="66"/>
      <c r="K60" s="66"/>
      <c r="L60" s="66"/>
      <c r="M60" s="66"/>
      <c r="N60" s="90"/>
      <c r="O60" s="66"/>
      <c r="P60" s="66"/>
      <c r="Q60" s="66"/>
      <c r="R60" s="66"/>
      <c r="S60" s="90"/>
      <c r="T60" s="66"/>
      <c r="U60" s="66"/>
      <c r="V60" s="66"/>
      <c r="W60" s="66"/>
      <c r="X60" s="90"/>
      <c r="Y60" s="66"/>
      <c r="Z60" s="66"/>
      <c r="AA60" s="66"/>
      <c r="AB60" s="66"/>
      <c r="AC60" s="90"/>
      <c r="AD60" s="66"/>
      <c r="AE60" s="66"/>
      <c r="AF60" s="66"/>
      <c r="AG60" s="66"/>
      <c r="AH60" s="90"/>
      <c r="AI60" s="66"/>
      <c r="AJ60" s="66"/>
      <c r="AK60" s="66"/>
      <c r="AL60" s="66"/>
      <c r="AM60" s="90"/>
      <c r="AN60" s="66"/>
      <c r="AO60" s="66"/>
      <c r="AP60" s="66"/>
      <c r="AQ60" s="66"/>
      <c r="AR60" s="90"/>
      <c r="AS60" s="66"/>
      <c r="AT60" s="66"/>
      <c r="AU60" s="66"/>
      <c r="AV60" s="66"/>
      <c r="AW60" s="90"/>
      <c r="AX60" s="66"/>
      <c r="AY60" s="66"/>
      <c r="AZ60" s="66"/>
      <c r="BA60" s="66"/>
      <c r="BB60" s="70">
        <v>0</v>
      </c>
      <c r="BC60" s="66"/>
      <c r="BD60" s="66"/>
      <c r="BE60" s="66"/>
      <c r="BF60" s="66"/>
      <c r="BG60" s="70">
        <v>42.6</v>
      </c>
      <c r="BH60" s="66"/>
      <c r="BI60" s="66"/>
      <c r="BJ60" s="66"/>
      <c r="BK60" s="66"/>
      <c r="BL60" s="70">
        <v>97.8</v>
      </c>
      <c r="BM60" s="69">
        <f>BM123</f>
        <v>27.1</v>
      </c>
      <c r="BN60" s="69">
        <f>BN123-BM123</f>
        <v>25.1</v>
      </c>
      <c r="BO60" s="69">
        <f>BO123-BN123</f>
        <v>3.0999999999999943</v>
      </c>
      <c r="BP60" s="69">
        <f>BP123-BO123</f>
        <v>-2.1999999999999957</v>
      </c>
      <c r="BQ60" s="70">
        <v>53.1</v>
      </c>
      <c r="BR60" s="69">
        <f>BR123</f>
        <v>1.2</v>
      </c>
      <c r="BS60" s="69">
        <f>BS123-BR123</f>
        <v>3.5999999999999996</v>
      </c>
      <c r="BT60" s="69">
        <f>BT123-BS123</f>
        <v>17.7</v>
      </c>
      <c r="BU60" s="69">
        <f>BU123-BT123</f>
        <v>-6.5</v>
      </c>
      <c r="BV60" s="70">
        <f>19-3</f>
        <v>16</v>
      </c>
      <c r="BW60" s="69">
        <f>BW123</f>
        <v>11</v>
      </c>
      <c r="BX60" s="69">
        <f>BX123-BW123</f>
        <v>-3</v>
      </c>
      <c r="BY60" s="69">
        <f>BY123-BX123</f>
        <v>0</v>
      </c>
      <c r="BZ60" s="69">
        <f>BZ123-BY123</f>
        <v>15</v>
      </c>
      <c r="CA60" s="68">
        <f>SUM(BW60:BZ60)</f>
        <v>23</v>
      </c>
      <c r="CB60" s="69">
        <f>CB123</f>
        <v>0</v>
      </c>
      <c r="CC60" s="69">
        <f>CC123-CB123</f>
        <v>-19</v>
      </c>
      <c r="CD60" s="69">
        <f>CD123-CC123</f>
        <v>3</v>
      </c>
      <c r="CE60" s="69">
        <f>CE123-CD123</f>
        <v>9</v>
      </c>
      <c r="CF60" s="90">
        <f>SUM(CB60:CE60)</f>
        <v>-7</v>
      </c>
      <c r="CG60" s="69">
        <f>CG123</f>
        <v>0</v>
      </c>
      <c r="CH60" s="69">
        <f>CH123-CG123</f>
        <v>-18</v>
      </c>
      <c r="CI60" s="69">
        <f>CI123-CH123</f>
        <v>39</v>
      </c>
      <c r="CJ60" s="69">
        <f>CJ123-CI123</f>
        <v>7</v>
      </c>
      <c r="CK60" s="90">
        <f>SUM(CG60:CJ60)</f>
        <v>28</v>
      </c>
      <c r="CL60" s="69">
        <f>CL123</f>
        <v>13</v>
      </c>
      <c r="CM60" s="69">
        <f>CM123-CL123</f>
        <v>19</v>
      </c>
      <c r="CN60" s="69">
        <f>CN123-CM123</f>
        <v>16</v>
      </c>
      <c r="CO60" s="69">
        <f>CO123-CN123</f>
        <v>14</v>
      </c>
      <c r="CP60" s="90">
        <f>SUM(CL60:CO60)</f>
        <v>62</v>
      </c>
      <c r="CQ60" s="1787">
        <f>CQ123-CP123</f>
        <v>37</v>
      </c>
      <c r="CR60" s="1754">
        <f>CR123-CQ123</f>
        <v>28</v>
      </c>
      <c r="CS60" s="1754">
        <f>CS123-CR123</f>
        <v>24</v>
      </c>
      <c r="CT60" s="1797">
        <f>CT123-CS123</f>
        <v>17</v>
      </c>
      <c r="CU60" s="1799">
        <f>SUM(CQ60:CT60)</f>
        <v>106</v>
      </c>
      <c r="CV60" s="1877">
        <f>CV123-CU123</f>
        <v>59</v>
      </c>
      <c r="CW60" s="1782">
        <f t="shared" si="146"/>
        <v>35</v>
      </c>
      <c r="CX60" s="1754">
        <f t="shared" si="146"/>
        <v>36</v>
      </c>
      <c r="CY60" s="1754">
        <f t="shared" si="146"/>
        <v>-6</v>
      </c>
      <c r="CZ60" s="1875">
        <f>SUM(CV60:CY60)</f>
        <v>124</v>
      </c>
      <c r="DA60" s="1754">
        <f t="shared" si="144"/>
        <v>-16</v>
      </c>
      <c r="DB60" s="1754">
        <f t="shared" si="144"/>
        <v>36</v>
      </c>
      <c r="DC60" s="1754">
        <f t="shared" si="144"/>
        <v>-19</v>
      </c>
      <c r="DD60" s="1754">
        <f t="shared" si="144"/>
        <v>1</v>
      </c>
      <c r="DE60" s="90">
        <f>SUM(DA60:DD60)</f>
        <v>2</v>
      </c>
      <c r="DF60" s="1754">
        <f t="shared" si="145"/>
        <v>-11</v>
      </c>
      <c r="DG60" s="1754">
        <f t="shared" si="145"/>
        <v>-50</v>
      </c>
      <c r="DH60" s="1754">
        <f t="shared" si="145"/>
        <v>-10</v>
      </c>
      <c r="DI60" s="1754">
        <f t="shared" si="145"/>
        <v>-1</v>
      </c>
      <c r="DJ60" s="90">
        <f>SUM(DF60:DI60)</f>
        <v>-72</v>
      </c>
      <c r="DK60" s="67">
        <v>0</v>
      </c>
      <c r="DL60" s="67">
        <v>0</v>
      </c>
      <c r="DM60" s="67">
        <v>0</v>
      </c>
      <c r="DN60" s="67">
        <v>0</v>
      </c>
      <c r="DO60" s="90">
        <f>SUM(DK60:DN60)</f>
        <v>0</v>
      </c>
      <c r="DP60" s="67">
        <v>0</v>
      </c>
      <c r="DQ60" s="67">
        <v>0</v>
      </c>
      <c r="DR60" s="67">
        <v>0</v>
      </c>
      <c r="DS60" s="67">
        <v>0</v>
      </c>
      <c r="DT60" s="90">
        <f>SUM(DP60:DS60)</f>
        <v>0</v>
      </c>
      <c r="DU60" s="67">
        <v>0</v>
      </c>
      <c r="DV60" s="67">
        <v>0</v>
      </c>
      <c r="DW60" s="67">
        <v>0</v>
      </c>
      <c r="DX60" s="67">
        <v>0</v>
      </c>
      <c r="DY60" s="90">
        <f>SUM(DU60:DX60)</f>
        <v>0</v>
      </c>
      <c r="DZ60" s="1858"/>
      <c r="EA60" s="1858"/>
      <c r="EB60" s="1858"/>
    </row>
    <row r="61" spans="1:132" x14ac:dyDescent="0.2">
      <c r="A61" s="1853"/>
      <c r="B61" s="325" t="s">
        <v>355</v>
      </c>
      <c r="C61" s="326"/>
      <c r="D61" s="80">
        <f>SUM(D56:D60,D53,D50,D47)</f>
        <v>0</v>
      </c>
      <c r="E61" s="78"/>
      <c r="F61" s="78"/>
      <c r="G61" s="78"/>
      <c r="H61" s="78"/>
      <c r="I61" s="320">
        <f>SUM(I56:I60,I53,I50,I47)</f>
        <v>-24.699999999999989</v>
      </c>
      <c r="J61" s="78"/>
      <c r="K61" s="78"/>
      <c r="L61" s="78"/>
      <c r="M61" s="78"/>
      <c r="N61" s="320">
        <f>SUM(N56:N60,N53,N50,N47)</f>
        <v>-369.30000000000007</v>
      </c>
      <c r="O61" s="78"/>
      <c r="P61" s="78"/>
      <c r="Q61" s="78"/>
      <c r="R61" s="78"/>
      <c r="S61" s="320">
        <f>SUM(S56:S60,S53,S50,S47)</f>
        <v>281.30000000000007</v>
      </c>
      <c r="T61" s="78"/>
      <c r="U61" s="78"/>
      <c r="V61" s="78"/>
      <c r="W61" s="78"/>
      <c r="X61" s="320">
        <f>SUM(X56:X60,X53,X50,X47)</f>
        <v>-110.69999999999999</v>
      </c>
      <c r="Y61" s="78"/>
      <c r="Z61" s="78"/>
      <c r="AA61" s="78"/>
      <c r="AB61" s="78"/>
      <c r="AC61" s="320">
        <f>SUM(AC56:AC60,AC53,AC50,AC47)</f>
        <v>-32.4</v>
      </c>
      <c r="AD61" s="78"/>
      <c r="AE61" s="78"/>
      <c r="AF61" s="78"/>
      <c r="AG61" s="78"/>
      <c r="AH61" s="320">
        <f>SUM(AH56:AH60,AH53,AH50,AH47)</f>
        <v>-244.80000000000007</v>
      </c>
      <c r="AI61" s="78"/>
      <c r="AJ61" s="78"/>
      <c r="AK61" s="78"/>
      <c r="AL61" s="78"/>
      <c r="AM61" s="320">
        <f>SUM(AM56:AM60,AM53,AM50,AM47)</f>
        <v>-4.9000000000000341</v>
      </c>
      <c r="AN61" s="78"/>
      <c r="AO61" s="78"/>
      <c r="AP61" s="78"/>
      <c r="AQ61" s="78"/>
      <c r="AR61" s="320">
        <f>SUM(AR56:AR60,AR53,AR50,AR47)</f>
        <v>-72.5</v>
      </c>
      <c r="AS61" s="78"/>
      <c r="AT61" s="78"/>
      <c r="AU61" s="78"/>
      <c r="AV61" s="78"/>
      <c r="AW61" s="320">
        <f>SUM(AW56:AW60,AW53,AW50,AW47)</f>
        <v>1798.1999999999998</v>
      </c>
      <c r="AX61" s="78"/>
      <c r="AY61" s="78"/>
      <c r="AZ61" s="78"/>
      <c r="BA61" s="78"/>
      <c r="BB61" s="320">
        <f>SUM(BB56:BB60,BB53,BB50,BB47)</f>
        <v>-579.40000000000009</v>
      </c>
      <c r="BC61" s="78"/>
      <c r="BD61" s="78"/>
      <c r="BE61" s="78"/>
      <c r="BF61" s="78"/>
      <c r="BG61" s="320">
        <f>SUM(BG56:BG60,BG53,BG50,BG47)</f>
        <v>2868.1</v>
      </c>
      <c r="BH61" s="78"/>
      <c r="BI61" s="78"/>
      <c r="BJ61" s="78"/>
      <c r="BK61" s="78"/>
      <c r="BL61" s="320">
        <f>SUM(BL56:BL60,BL53,BL50,BL47)</f>
        <v>377.90000000000055</v>
      </c>
      <c r="BM61" s="319">
        <f>SUM(BM53:BM60,BM50,BM47)</f>
        <v>-632.4</v>
      </c>
      <c r="BN61" s="319">
        <f>SUM(BN53:BN60,BN50,BN47)</f>
        <v>-337.89999999999992</v>
      </c>
      <c r="BO61" s="319">
        <f>SUM(BO53:BO60,BO50,BO47)</f>
        <v>290.8</v>
      </c>
      <c r="BP61" s="319">
        <f>SUM(BP53:BP60,BP50,BP47)</f>
        <v>1608.8</v>
      </c>
      <c r="BQ61" s="320">
        <f>SUM(BQ56:BQ60,BQ53,BQ50,BQ47)</f>
        <v>929.3</v>
      </c>
      <c r="BR61" s="319">
        <f>SUM(BR53:BR60,BR50,BR47)</f>
        <v>-680.49999999999989</v>
      </c>
      <c r="BS61" s="319">
        <f>SUM(BS53:BS60,BS50,BS47)</f>
        <v>-161.79999999999998</v>
      </c>
      <c r="BT61" s="319">
        <f>SUM(BT53:BT60,BT50,BT47)</f>
        <v>-564.79999999999995</v>
      </c>
      <c r="BU61" s="319">
        <f>SUM(BU53:BU60,BU50,BU47)</f>
        <v>-1824.9</v>
      </c>
      <c r="BV61" s="320">
        <f t="shared" ref="BV61:DJ61" si="147">SUM(BV56:BV60,BV53,BV50,BV47)</f>
        <v>-3232</v>
      </c>
      <c r="BW61" s="319">
        <f t="shared" si="147"/>
        <v>-702</v>
      </c>
      <c r="BX61" s="319">
        <f t="shared" si="147"/>
        <v>-109</v>
      </c>
      <c r="BY61" s="319">
        <f t="shared" si="147"/>
        <v>-912</v>
      </c>
      <c r="BZ61" s="319">
        <f t="shared" si="147"/>
        <v>-1075</v>
      </c>
      <c r="CA61" s="320">
        <f t="shared" si="147"/>
        <v>-2798</v>
      </c>
      <c r="CB61" s="319">
        <f t="shared" si="147"/>
        <v>-832</v>
      </c>
      <c r="CC61" s="319">
        <f t="shared" si="147"/>
        <v>626</v>
      </c>
      <c r="CD61" s="319">
        <f t="shared" si="147"/>
        <v>-1986</v>
      </c>
      <c r="CE61" s="319">
        <f t="shared" si="147"/>
        <v>-1268</v>
      </c>
      <c r="CF61" s="321">
        <f t="shared" si="147"/>
        <v>-3460</v>
      </c>
      <c r="CG61" s="319">
        <f t="shared" si="147"/>
        <v>-1545</v>
      </c>
      <c r="CH61" s="319">
        <f t="shared" si="147"/>
        <v>-977</v>
      </c>
      <c r="CI61" s="319">
        <f t="shared" si="147"/>
        <v>-1415</v>
      </c>
      <c r="CJ61" s="80">
        <f t="shared" si="147"/>
        <v>-923.375</v>
      </c>
      <c r="CK61" s="321">
        <f t="shared" si="147"/>
        <v>-4860.375</v>
      </c>
      <c r="CL61" s="80">
        <f t="shared" si="147"/>
        <v>-897</v>
      </c>
      <c r="CM61" s="80">
        <f t="shared" si="147"/>
        <v>-753</v>
      </c>
      <c r="CN61" s="80">
        <f t="shared" si="147"/>
        <v>-794.3</v>
      </c>
      <c r="CO61" s="80">
        <f>SUM(CO56:CO60,CO53,CO50,CO47)</f>
        <v>1362.8</v>
      </c>
      <c r="CP61" s="321">
        <f t="shared" si="147"/>
        <v>-1081.5</v>
      </c>
      <c r="CQ61" s="318">
        <f>SUM(CQ56:CQ60,CQ53,CQ50,CQ47)</f>
        <v>-935</v>
      </c>
      <c r="CR61" s="1789">
        <f t="shared" si="147"/>
        <v>-1423</v>
      </c>
      <c r="CS61" s="1789">
        <f t="shared" si="147"/>
        <v>-1775</v>
      </c>
      <c r="CT61" s="1790">
        <f>SUM(CT56:CT60,CT53,CT50,CT47)</f>
        <v>-1561</v>
      </c>
      <c r="CU61" s="1762">
        <f t="shared" si="147"/>
        <v>-5694</v>
      </c>
      <c r="CV61" s="80">
        <f t="shared" si="147"/>
        <v>-2406</v>
      </c>
      <c r="CW61" s="80">
        <f>SUM(CW56:CW60,CW53,CW50,CW47)</f>
        <v>-764</v>
      </c>
      <c r="CX61" s="80">
        <f>SUM(CX56:CX60,CX53,CX50,CX47)</f>
        <v>9746</v>
      </c>
      <c r="CY61" s="80">
        <f>SUM(CY56:CY60,CY53,CY50,CY47)</f>
        <v>-1570</v>
      </c>
      <c r="CZ61" s="321">
        <f t="shared" si="147"/>
        <v>5006</v>
      </c>
      <c r="DA61" s="80">
        <f t="shared" ref="DA61:DF61" si="148">SUM(DA56:DA60,DA53,DA50,DA47)</f>
        <v>-2451.4</v>
      </c>
      <c r="DB61" s="80">
        <f t="shared" si="148"/>
        <v>-1657.4</v>
      </c>
      <c r="DC61" s="80">
        <f t="shared" si="148"/>
        <v>-2442</v>
      </c>
      <c r="DD61" s="80">
        <f t="shared" si="148"/>
        <v>-121</v>
      </c>
      <c r="DE61" s="2687">
        <f t="shared" si="148"/>
        <v>-6671.8</v>
      </c>
      <c r="DF61" s="80">
        <f t="shared" si="148"/>
        <v>-4133</v>
      </c>
      <c r="DG61" s="80">
        <f>SUM(DG56:DG60,DG53,DG50,DG47)</f>
        <v>-1502</v>
      </c>
      <c r="DH61" s="80">
        <f>SUM(DH56:DH60,DH53,DH50,DH47)</f>
        <v>-1786</v>
      </c>
      <c r="DI61" s="80">
        <f>SUM(DI56:DI60,DI53,DI50,DI47)</f>
        <v>670</v>
      </c>
      <c r="DJ61" s="321">
        <f t="shared" si="147"/>
        <v>-6751</v>
      </c>
      <c r="DK61" s="80">
        <f t="shared" ref="DK61:DT61" si="149">SUM(DK56:DK60,DK53,DK50,DK47)</f>
        <v>-695.56669807434082</v>
      </c>
      <c r="DL61" s="80">
        <f t="shared" si="149"/>
        <v>37624.433301925659</v>
      </c>
      <c r="DM61" s="80">
        <f t="shared" si="149"/>
        <v>-695.56669807434082</v>
      </c>
      <c r="DN61" s="80">
        <f t="shared" si="149"/>
        <v>-695.56669807434082</v>
      </c>
      <c r="DO61" s="321">
        <f t="shared" si="149"/>
        <v>35537.733207702637</v>
      </c>
      <c r="DP61" s="80">
        <f t="shared" si="149"/>
        <v>-869.45837259292603</v>
      </c>
      <c r="DQ61" s="80">
        <f t="shared" si="149"/>
        <v>-869.45837259292603</v>
      </c>
      <c r="DR61" s="80">
        <f t="shared" si="149"/>
        <v>-869.45837259292603</v>
      </c>
      <c r="DS61" s="80">
        <f t="shared" si="149"/>
        <v>-869.45837259292603</v>
      </c>
      <c r="DT61" s="321">
        <f t="shared" si="149"/>
        <v>-3477.8334903717041</v>
      </c>
      <c r="DU61" s="80">
        <f t="shared" ref="DU61:DY61" si="150">SUM(DU56:DU60,DU53,DU50,DU47)</f>
        <v>-1086.8229657411575</v>
      </c>
      <c r="DV61" s="80">
        <f t="shared" si="150"/>
        <v>-1086.8229657411575</v>
      </c>
      <c r="DW61" s="80">
        <f t="shared" si="150"/>
        <v>-1086.8229657411575</v>
      </c>
      <c r="DX61" s="80">
        <f t="shared" si="150"/>
        <v>-1086.8229657411575</v>
      </c>
      <c r="DY61" s="321">
        <f t="shared" si="150"/>
        <v>-4347.2918629646301</v>
      </c>
      <c r="DZ61" s="1858"/>
      <c r="EA61" s="1858"/>
      <c r="EB61" s="1858"/>
    </row>
    <row r="62" spans="1:132" x14ac:dyDescent="0.2">
      <c r="A62" s="1853"/>
      <c r="B62" s="58" t="s">
        <v>1283</v>
      </c>
      <c r="C62" s="59"/>
      <c r="D62" s="59"/>
      <c r="E62" s="59"/>
      <c r="F62" s="59"/>
      <c r="G62" s="59"/>
      <c r="H62" s="59"/>
      <c r="I62" s="86"/>
      <c r="J62" s="59"/>
      <c r="K62" s="59"/>
      <c r="L62" s="59"/>
      <c r="M62" s="59"/>
      <c r="N62" s="86"/>
      <c r="O62" s="59"/>
      <c r="P62" s="59"/>
      <c r="Q62" s="59"/>
      <c r="R62" s="59"/>
      <c r="S62" s="86"/>
      <c r="T62" s="59"/>
      <c r="U62" s="59"/>
      <c r="V62" s="59"/>
      <c r="W62" s="59"/>
      <c r="X62" s="86"/>
      <c r="Y62" s="59"/>
      <c r="Z62" s="59"/>
      <c r="AA62" s="59"/>
      <c r="AB62" s="59"/>
      <c r="AC62" s="86"/>
      <c r="AD62" s="59"/>
      <c r="AE62" s="59"/>
      <c r="AF62" s="59"/>
      <c r="AG62" s="59"/>
      <c r="AH62" s="86"/>
      <c r="AI62" s="59"/>
      <c r="AJ62" s="59"/>
      <c r="AK62" s="59"/>
      <c r="AL62" s="59"/>
      <c r="AM62" s="86"/>
      <c r="AN62" s="59"/>
      <c r="AO62" s="59"/>
      <c r="AP62" s="59"/>
      <c r="AQ62" s="59"/>
      <c r="AR62" s="86"/>
      <c r="AS62" s="59"/>
      <c r="AT62" s="59"/>
      <c r="AU62" s="59"/>
      <c r="AV62" s="59"/>
      <c r="AW62" s="86"/>
      <c r="AX62" s="59"/>
      <c r="AY62" s="59"/>
      <c r="AZ62" s="59"/>
      <c r="BA62" s="59"/>
      <c r="BB62" s="86"/>
      <c r="BC62" s="59"/>
      <c r="BD62" s="59"/>
      <c r="BE62" s="59"/>
      <c r="BF62" s="59"/>
      <c r="BG62" s="86"/>
      <c r="BH62" s="59"/>
      <c r="BI62" s="59"/>
      <c r="BJ62" s="59"/>
      <c r="BK62" s="59"/>
      <c r="BL62" s="86"/>
      <c r="BM62" s="59"/>
      <c r="BN62" s="59"/>
      <c r="BO62" s="59"/>
      <c r="BP62" s="59"/>
      <c r="BQ62" s="86"/>
      <c r="BR62" s="59"/>
      <c r="BS62" s="59"/>
      <c r="BT62" s="59"/>
      <c r="BU62" s="59"/>
      <c r="BV62" s="86"/>
      <c r="BW62" s="59"/>
      <c r="BX62" s="59"/>
      <c r="BY62" s="59"/>
      <c r="BZ62" s="59"/>
      <c r="CA62" s="86"/>
      <c r="CB62" s="59"/>
      <c r="CC62" s="59"/>
      <c r="CD62" s="59"/>
      <c r="CE62" s="59"/>
      <c r="CF62" s="86"/>
      <c r="CG62" s="59"/>
      <c r="CH62" s="59"/>
      <c r="CI62" s="59"/>
      <c r="CJ62" s="235"/>
      <c r="CK62" s="86"/>
      <c r="CL62" s="59"/>
      <c r="CM62" s="59"/>
      <c r="CN62" s="59"/>
      <c r="CO62" s="59"/>
      <c r="CP62" s="86"/>
      <c r="CQ62" s="58"/>
      <c r="CR62" s="1779">
        <v>-3</v>
      </c>
      <c r="CS62" s="1779">
        <f>CS126-CR126</f>
        <v>-1</v>
      </c>
      <c r="CT62" s="1780">
        <f>CT126-CS126</f>
        <v>-2</v>
      </c>
      <c r="CU62" s="1053">
        <f>SUM(CQ62:CT62)</f>
        <v>-6</v>
      </c>
      <c r="CV62" s="59">
        <v>3</v>
      </c>
      <c r="CW62" s="59">
        <v>-1</v>
      </c>
      <c r="CX62" s="59">
        <v>-9</v>
      </c>
      <c r="CY62" s="59">
        <v>-13</v>
      </c>
      <c r="CZ62" s="1053">
        <f>SUM(CV62:CY62)</f>
        <v>-20</v>
      </c>
      <c r="DA62" s="59">
        <f>DA126</f>
        <v>1</v>
      </c>
      <c r="DB62" s="59">
        <v>1</v>
      </c>
      <c r="DC62" s="59">
        <v>0</v>
      </c>
      <c r="DD62" s="59">
        <v>0</v>
      </c>
      <c r="DE62" s="2689">
        <f>SUM(DA62:DD62)</f>
        <v>2</v>
      </c>
      <c r="DF62" s="59">
        <f>DF126</f>
        <v>0</v>
      </c>
      <c r="DG62" s="59">
        <f>DG126</f>
        <v>0</v>
      </c>
      <c r="DH62" s="59">
        <f>DH126</f>
        <v>0</v>
      </c>
      <c r="DI62" s="59">
        <f>DI126</f>
        <v>1</v>
      </c>
      <c r="DJ62" s="86"/>
      <c r="DK62" s="59"/>
      <c r="DL62" s="59"/>
      <c r="DM62" s="59"/>
      <c r="DN62" s="59"/>
      <c r="DO62" s="86"/>
      <c r="DP62" s="59"/>
      <c r="DQ62" s="59"/>
      <c r="DR62" s="59"/>
      <c r="DS62" s="59"/>
      <c r="DT62" s="86"/>
      <c r="DU62" s="59"/>
      <c r="DV62" s="59"/>
      <c r="DW62" s="59"/>
      <c r="DX62" s="59"/>
      <c r="DY62" s="86"/>
      <c r="DZ62" s="1858"/>
      <c r="EA62" s="1858"/>
      <c r="EB62" s="1858"/>
    </row>
    <row r="63" spans="1:132" x14ac:dyDescent="0.2">
      <c r="A63" s="1853"/>
      <c r="B63" s="72" t="s">
        <v>356</v>
      </c>
      <c r="C63" s="73"/>
      <c r="D63" s="59"/>
      <c r="E63" s="59"/>
      <c r="F63" s="59"/>
      <c r="G63" s="59"/>
      <c r="H63" s="59"/>
      <c r="I63" s="61">
        <f>I61+I45+I35</f>
        <v>716.09499999999969</v>
      </c>
      <c r="J63" s="59"/>
      <c r="K63" s="59"/>
      <c r="L63" s="59"/>
      <c r="M63" s="59"/>
      <c r="N63" s="61">
        <f>N61+N45+N35</f>
        <v>-314.30000000000007</v>
      </c>
      <c r="O63" s="59"/>
      <c r="P63" s="59"/>
      <c r="Q63" s="59"/>
      <c r="R63" s="59"/>
      <c r="S63" s="61">
        <f>S61+S45+S35</f>
        <v>-11.699999999999818</v>
      </c>
      <c r="T63" s="59"/>
      <c r="U63" s="59"/>
      <c r="V63" s="59"/>
      <c r="W63" s="59"/>
      <c r="X63" s="61">
        <f>X61+X45+X35</f>
        <v>49.200000000000045</v>
      </c>
      <c r="Y63" s="59"/>
      <c r="Z63" s="59"/>
      <c r="AA63" s="59"/>
      <c r="AB63" s="59"/>
      <c r="AC63" s="61">
        <f>AC61+AC45+AC35</f>
        <v>107.30700000000013</v>
      </c>
      <c r="AD63" s="59"/>
      <c r="AE63" s="59"/>
      <c r="AF63" s="59"/>
      <c r="AG63" s="59"/>
      <c r="AH63" s="61">
        <f>AH61+AH45+AH35</f>
        <v>-101</v>
      </c>
      <c r="AI63" s="59"/>
      <c r="AJ63" s="59"/>
      <c r="AK63" s="59"/>
      <c r="AL63" s="59"/>
      <c r="AM63" s="61">
        <f>AM35+AM45+AM61</f>
        <v>464.10000000000019</v>
      </c>
      <c r="AN63" s="59"/>
      <c r="AO63" s="59"/>
      <c r="AP63" s="59"/>
      <c r="AQ63" s="59"/>
      <c r="AR63" s="61">
        <f>AR35+AR45+AR61</f>
        <v>142.79999999999973</v>
      </c>
      <c r="AS63" s="59"/>
      <c r="AT63" s="59"/>
      <c r="AU63" s="59"/>
      <c r="AV63" s="59"/>
      <c r="AW63" s="61">
        <f>AW35+AW45+AW61</f>
        <v>-450.89999999999964</v>
      </c>
      <c r="AX63" s="59"/>
      <c r="AY63" s="59"/>
      <c r="AZ63" s="59"/>
      <c r="BA63" s="59"/>
      <c r="BB63" s="61">
        <f>BB35+BB45+BB61</f>
        <v>121.10000000000014</v>
      </c>
      <c r="BC63" s="59"/>
      <c r="BD63" s="59"/>
      <c r="BE63" s="59"/>
      <c r="BF63" s="59"/>
      <c r="BG63" s="61">
        <f>BG35+BG45+BG61</f>
        <v>17.300000000000182</v>
      </c>
      <c r="BH63" s="59"/>
      <c r="BI63" s="59"/>
      <c r="BJ63" s="59"/>
      <c r="BK63" s="59"/>
      <c r="BL63" s="61">
        <f t="shared" ref="BL63:CL63" si="151">BL35+BL45+BL61</f>
        <v>525.90000000000009</v>
      </c>
      <c r="BM63" s="62">
        <f t="shared" si="151"/>
        <v>-238.40000000000026</v>
      </c>
      <c r="BN63" s="62">
        <f t="shared" si="151"/>
        <v>-202.49999999999574</v>
      </c>
      <c r="BO63" s="62">
        <f t="shared" si="151"/>
        <v>666.59999999999866</v>
      </c>
      <c r="BP63" s="62">
        <f t="shared" si="151"/>
        <v>70.100000000001955</v>
      </c>
      <c r="BQ63" s="61">
        <f t="shared" si="151"/>
        <v>295.80000000000086</v>
      </c>
      <c r="BR63" s="62">
        <f t="shared" si="151"/>
        <v>-355.00000000000011</v>
      </c>
      <c r="BS63" s="62">
        <f t="shared" si="151"/>
        <v>227.89999999999699</v>
      </c>
      <c r="BT63" s="62">
        <f t="shared" si="151"/>
        <v>-94.699999999999875</v>
      </c>
      <c r="BU63" s="62">
        <f t="shared" si="151"/>
        <v>-44.599999999998545</v>
      </c>
      <c r="BV63" s="61">
        <f t="shared" si="151"/>
        <v>-266.40000000001146</v>
      </c>
      <c r="BW63" s="62">
        <f t="shared" si="151"/>
        <v>-39</v>
      </c>
      <c r="BX63" s="62">
        <f t="shared" si="151"/>
        <v>60</v>
      </c>
      <c r="BY63" s="62">
        <f t="shared" si="151"/>
        <v>-128</v>
      </c>
      <c r="BZ63" s="62">
        <f t="shared" si="151"/>
        <v>448</v>
      </c>
      <c r="CA63" s="61">
        <f t="shared" si="151"/>
        <v>341</v>
      </c>
      <c r="CB63" s="62">
        <f t="shared" si="151"/>
        <v>735</v>
      </c>
      <c r="CC63" s="62">
        <f t="shared" si="151"/>
        <v>65</v>
      </c>
      <c r="CD63" s="62">
        <f t="shared" si="151"/>
        <v>-521</v>
      </c>
      <c r="CE63" s="62">
        <f t="shared" si="151"/>
        <v>-293.00000000000273</v>
      </c>
      <c r="CF63" s="86">
        <f t="shared" si="151"/>
        <v>-14.000000000009095</v>
      </c>
      <c r="CG63" s="62">
        <f t="shared" si="151"/>
        <v>798</v>
      </c>
      <c r="CH63" s="62">
        <f t="shared" si="151"/>
        <v>-387.59999999999923</v>
      </c>
      <c r="CI63" s="62">
        <f t="shared" si="151"/>
        <v>-590.72500000000173</v>
      </c>
      <c r="CJ63" s="59">
        <f>CJ35+CJ45+CJ61</f>
        <v>142.32500000000005</v>
      </c>
      <c r="CK63" s="86">
        <f>CK35+CK45+CK61</f>
        <v>-38.000000000000909</v>
      </c>
      <c r="CL63" s="59">
        <f t="shared" si="151"/>
        <v>176</v>
      </c>
      <c r="CM63" s="59">
        <f>CM35+CM45+CM61</f>
        <v>-376.30000000000064</v>
      </c>
      <c r="CN63" s="59">
        <f>CN35+CN45+CN61</f>
        <v>331.60000000000127</v>
      </c>
      <c r="CO63" s="59">
        <f>CO35+CO45+CO61</f>
        <v>2583.8000000000015</v>
      </c>
      <c r="CP63" s="86">
        <f>CL63+CM63+CN63+CO63</f>
        <v>2715.1000000000022</v>
      </c>
      <c r="CQ63" s="58">
        <f>CQ35+CQ45+CQ61+CQ62</f>
        <v>-1323</v>
      </c>
      <c r="CR63" s="1779">
        <f>CR35+CR45+CR61+CR62</f>
        <v>-1154</v>
      </c>
      <c r="CS63" s="1779">
        <f>CS35+CS45+CS61+CS62</f>
        <v>-480</v>
      </c>
      <c r="CT63" s="1780">
        <f>CT35+CT45+CT61+CT62</f>
        <v>1349</v>
      </c>
      <c r="CU63" s="1053">
        <f>SUM(CQ63:CT63)</f>
        <v>-1608</v>
      </c>
      <c r="CV63" s="59">
        <f>CV35+CV45+CV61+CV62</f>
        <v>-963</v>
      </c>
      <c r="CW63" s="59">
        <f>CW35+CW45+CW61+CW62</f>
        <v>-274</v>
      </c>
      <c r="CX63" s="59">
        <f>CX35+CX45+CX61+CX62</f>
        <v>1646</v>
      </c>
      <c r="CY63" s="59">
        <f>CY35+CY45+CY61+CY62</f>
        <v>-431</v>
      </c>
      <c r="CZ63" s="86">
        <f>SUM(CV63:CY63)</f>
        <v>-22</v>
      </c>
      <c r="DA63" s="59">
        <f>DA35+DA45+DA61+DA62</f>
        <v>-671.40000000000009</v>
      </c>
      <c r="DB63" s="59">
        <f>DB35+DB45+DB61+DB62</f>
        <v>-643.40000000000009</v>
      </c>
      <c r="DC63" s="59">
        <f>DC35+DC45+DC61+DC62</f>
        <v>1062</v>
      </c>
      <c r="DD63" s="59">
        <f>DD35+DD45+DD61+DD62</f>
        <v>1182</v>
      </c>
      <c r="DE63" s="2627">
        <f>SUM(DA63:DD63)</f>
        <v>929.19999999999982</v>
      </c>
      <c r="DF63" s="59">
        <f>DF35+DF45+DF61+DF62</f>
        <v>-1154</v>
      </c>
      <c r="DG63" s="59">
        <f>DG35+DG45+DG61+DG62</f>
        <v>-123</v>
      </c>
      <c r="DH63" s="59">
        <f>DH35+DH45+DH61+DH62</f>
        <v>391</v>
      </c>
      <c r="DI63" s="59">
        <f>DI35+DI45+DI61+DI62</f>
        <v>-789</v>
      </c>
      <c r="DJ63" s="86">
        <f>SUM(DF63:DI63)</f>
        <v>-1675</v>
      </c>
      <c r="DK63" s="59">
        <f ca="1">DK35+DK45+DK61</f>
        <v>-885.4907740744502</v>
      </c>
      <c r="DL63" s="59">
        <f ca="1">DL35+DL45+DL61</f>
        <v>40067.516998023428</v>
      </c>
      <c r="DM63" s="59">
        <f ca="1">DM35+DM45+DM61</f>
        <v>1043.0689581877359</v>
      </c>
      <c r="DN63" s="59">
        <f ca="1">DN35+DN45+DN61</f>
        <v>1583.2666181507429</v>
      </c>
      <c r="DO63" s="86">
        <f ca="1">SUM(DK63:DN63)</f>
        <v>41808.361800287457</v>
      </c>
      <c r="DP63" s="59">
        <f ca="1">DP35+DP45+DP61</f>
        <v>-1047.5787519904316</v>
      </c>
      <c r="DQ63" s="59">
        <f ca="1">DQ35+DQ45+DQ61</f>
        <v>1705.9351188238898</v>
      </c>
      <c r="DR63" s="59">
        <f ca="1">DR35+DR45+DR61</f>
        <v>932.74284340979034</v>
      </c>
      <c r="DS63" s="59">
        <f ca="1">DS35+DS45+DS61</f>
        <v>1516.8129084557131</v>
      </c>
      <c r="DT63" s="86">
        <f ca="1">SUM(DP63:DS63)</f>
        <v>3107.9121186989614</v>
      </c>
      <c r="DU63" s="59">
        <f ca="1">DU35+DU45+DU61</f>
        <v>-859.45918792613134</v>
      </c>
      <c r="DV63" s="59">
        <f ca="1">DV35+DV45+DV61</f>
        <v>1626.8670553922702</v>
      </c>
      <c r="DW63" s="59">
        <f ca="1">DW35+DW45+DW61</f>
        <v>805.90063783096184</v>
      </c>
      <c r="DX63" s="59">
        <f ca="1">DX35+DX45+DX61</f>
        <v>1428.9632170725977</v>
      </c>
      <c r="DY63" s="86">
        <f ca="1">SUM(DU63:DX63)</f>
        <v>3002.2717223696982</v>
      </c>
      <c r="DZ63" s="1858"/>
      <c r="EA63" s="1858"/>
      <c r="EB63" s="1858"/>
    </row>
    <row r="64" spans="1:132" x14ac:dyDescent="0.2">
      <c r="A64" s="1853"/>
      <c r="B64" s="72" t="s">
        <v>357</v>
      </c>
      <c r="C64" s="73"/>
      <c r="D64" s="66"/>
      <c r="E64" s="66"/>
      <c r="F64" s="66"/>
      <c r="G64" s="66"/>
      <c r="H64" s="66"/>
      <c r="I64" s="70">
        <v>180.9</v>
      </c>
      <c r="J64" s="66"/>
      <c r="K64" s="66"/>
      <c r="L64" s="66"/>
      <c r="M64" s="66"/>
      <c r="N64" s="70">
        <v>506.8</v>
      </c>
      <c r="O64" s="66"/>
      <c r="P64" s="66"/>
      <c r="Q64" s="66"/>
      <c r="R64" s="66"/>
      <c r="S64" s="70">
        <v>192.5</v>
      </c>
      <c r="T64" s="66"/>
      <c r="U64" s="66"/>
      <c r="V64" s="66"/>
      <c r="W64" s="66"/>
      <c r="X64" s="70">
        <v>180.8</v>
      </c>
      <c r="Y64" s="66"/>
      <c r="Z64" s="66"/>
      <c r="AA64" s="66"/>
      <c r="AB64" s="66"/>
      <c r="AC64" s="68">
        <f>X65</f>
        <v>230.00000000000006</v>
      </c>
      <c r="AD64" s="66"/>
      <c r="AE64" s="66"/>
      <c r="AF64" s="66"/>
      <c r="AG64" s="66"/>
      <c r="AH64" s="68">
        <f>AC65</f>
        <v>337.30700000000019</v>
      </c>
      <c r="AI64" s="66"/>
      <c r="AJ64" s="66"/>
      <c r="AK64" s="66"/>
      <c r="AL64" s="66"/>
      <c r="AM64" s="68">
        <f>+'BS and CFS'!AH137</f>
        <v>236.3</v>
      </c>
      <c r="AN64" s="66"/>
      <c r="AO64" s="66"/>
      <c r="AP64" s="66"/>
      <c r="AQ64" s="66"/>
      <c r="AR64" s="68">
        <f>AM65</f>
        <v>700.4000000000002</v>
      </c>
      <c r="AS64" s="66"/>
      <c r="AT64" s="66"/>
      <c r="AU64" s="66"/>
      <c r="AV64" s="66"/>
      <c r="AW64" s="68">
        <f>AR65</f>
        <v>843.19999999999993</v>
      </c>
      <c r="AX64" s="66"/>
      <c r="AY64" s="66"/>
      <c r="AZ64" s="66"/>
      <c r="BA64" s="66"/>
      <c r="BB64" s="68">
        <f>AW65</f>
        <v>392.3000000000003</v>
      </c>
      <c r="BC64" s="66"/>
      <c r="BD64" s="66"/>
      <c r="BE64" s="66"/>
      <c r="BF64" s="66"/>
      <c r="BG64" s="68">
        <f>BB65</f>
        <v>513.40000000000043</v>
      </c>
      <c r="BH64" s="66"/>
      <c r="BI64" s="66"/>
      <c r="BJ64" s="66"/>
      <c r="BK64" s="66"/>
      <c r="BL64" s="68">
        <f>BG65</f>
        <v>530.70000000000061</v>
      </c>
      <c r="BM64" s="69">
        <f>BL65</f>
        <v>1056.6000000000008</v>
      </c>
      <c r="BN64" s="69">
        <f>BM65</f>
        <v>818.2000000000005</v>
      </c>
      <c r="BO64" s="69">
        <f>BN65</f>
        <v>615.70000000000482</v>
      </c>
      <c r="BP64" s="69">
        <f>BO65</f>
        <v>1282.3000000000034</v>
      </c>
      <c r="BQ64" s="68">
        <f>BL65</f>
        <v>1056.6000000000008</v>
      </c>
      <c r="BR64" s="69">
        <f>BP65</f>
        <v>1352.4000000000053</v>
      </c>
      <c r="BS64" s="69">
        <f>BR65</f>
        <v>997.40000000000521</v>
      </c>
      <c r="BT64" s="69">
        <f>BS65</f>
        <v>1225.3000000000022</v>
      </c>
      <c r="BU64" s="69">
        <f>BT65</f>
        <v>1130.6000000000024</v>
      </c>
      <c r="BV64" s="68">
        <f>BQ65</f>
        <v>1352.4000000000017</v>
      </c>
      <c r="BW64" s="69">
        <f>BU65</f>
        <v>1086.0000000000039</v>
      </c>
      <c r="BX64" s="69">
        <f>BW65</f>
        <v>1047.0000000000039</v>
      </c>
      <c r="BY64" s="69">
        <f>BX65</f>
        <v>1107.0000000000039</v>
      </c>
      <c r="BZ64" s="69">
        <f>BY65</f>
        <v>979.00000000000387</v>
      </c>
      <c r="CA64" s="68">
        <f>BV65</f>
        <v>1085.9999999999902</v>
      </c>
      <c r="CB64" s="69">
        <f>BZ65</f>
        <v>1427.0000000000039</v>
      </c>
      <c r="CC64" s="69">
        <f>CB65</f>
        <v>2162.0000000000036</v>
      </c>
      <c r="CD64" s="69">
        <f>CC65</f>
        <v>2227.0000000000036</v>
      </c>
      <c r="CE64" s="69">
        <f>CD65</f>
        <v>1706.0000000000036</v>
      </c>
      <c r="CF64" s="90">
        <f>CA65</f>
        <v>1426.9999999999902</v>
      </c>
      <c r="CG64" s="69">
        <f>CE65</f>
        <v>1413.0000000000009</v>
      </c>
      <c r="CH64" s="69">
        <f>CG65</f>
        <v>2211.0000000000009</v>
      </c>
      <c r="CI64" s="69">
        <f>CH65</f>
        <v>1823.4000000000017</v>
      </c>
      <c r="CJ64" s="66">
        <f>CI65</f>
        <v>1232.675</v>
      </c>
      <c r="CK64" s="90">
        <f>CF65</f>
        <v>1412.9999999999811</v>
      </c>
      <c r="CL64" s="66">
        <f>CJ65</f>
        <v>1375</v>
      </c>
      <c r="CM64" s="66">
        <f>CL65</f>
        <v>1551</v>
      </c>
      <c r="CN64" s="66">
        <f>CM65</f>
        <v>1174.6999999999994</v>
      </c>
      <c r="CO64" s="66">
        <f>CN65</f>
        <v>1506.3000000000006</v>
      </c>
      <c r="CP64" s="90">
        <f>CK65</f>
        <v>1374.9999999999802</v>
      </c>
      <c r="CQ64" s="65">
        <f>CO137</f>
        <v>4089</v>
      </c>
      <c r="CR64" s="66">
        <f>CQ65</f>
        <v>2766</v>
      </c>
      <c r="CS64" s="66">
        <f>CR137</f>
        <v>1612</v>
      </c>
      <c r="CT64" s="1763">
        <f>CS137</f>
        <v>1132</v>
      </c>
      <c r="CU64" s="1763">
        <f>CQ64</f>
        <v>4089</v>
      </c>
      <c r="CV64" s="66">
        <f>CT65</f>
        <v>2481</v>
      </c>
      <c r="CW64" s="66">
        <f>CV65</f>
        <v>1518</v>
      </c>
      <c r="CX64" s="66">
        <f>CW65</f>
        <v>1244</v>
      </c>
      <c r="CY64" s="66">
        <f>CX65</f>
        <v>2890</v>
      </c>
      <c r="CZ64" s="90">
        <f>CU65</f>
        <v>2481</v>
      </c>
      <c r="DA64" s="66">
        <f>CZ65</f>
        <v>2459</v>
      </c>
      <c r="DB64" s="66">
        <f>DA65</f>
        <v>1779</v>
      </c>
      <c r="DC64" s="66">
        <f>DB65</f>
        <v>1127</v>
      </c>
      <c r="DD64" s="66">
        <f>DC65</f>
        <v>2189</v>
      </c>
      <c r="DE64" s="90">
        <f>CZ65</f>
        <v>2459</v>
      </c>
      <c r="DF64" s="66">
        <f>DE65</f>
        <v>3371</v>
      </c>
      <c r="DG64" s="66">
        <f>DF65</f>
        <v>2217</v>
      </c>
      <c r="DH64" s="66">
        <f>DG65</f>
        <v>2094</v>
      </c>
      <c r="DI64" s="66">
        <f>DH65</f>
        <v>2485</v>
      </c>
      <c r="DJ64" s="90">
        <f>DE65</f>
        <v>3371</v>
      </c>
      <c r="DK64" s="66">
        <f>DI65</f>
        <v>1696</v>
      </c>
      <c r="DL64" s="66">
        <f ca="1">DK65</f>
        <v>810.5092259255498</v>
      </c>
      <c r="DM64" s="66">
        <f ca="1">DL65</f>
        <v>40878.026223948975</v>
      </c>
      <c r="DN64" s="66">
        <f ca="1">DM65</f>
        <v>41921.095182136713</v>
      </c>
      <c r="DO64" s="90">
        <f>DJ65</f>
        <v>1696</v>
      </c>
      <c r="DP64" s="66">
        <f ca="1">DN65</f>
        <v>43504.361800287457</v>
      </c>
      <c r="DQ64" s="66">
        <f ca="1">DP65</f>
        <v>42456.783048297024</v>
      </c>
      <c r="DR64" s="66">
        <f ca="1">DQ65</f>
        <v>44162.718167120911</v>
      </c>
      <c r="DS64" s="66">
        <f ca="1">DR65</f>
        <v>45095.4610105307</v>
      </c>
      <c r="DT64" s="90">
        <f ca="1">DO65</f>
        <v>43504.361800287457</v>
      </c>
      <c r="DU64" s="66">
        <f ca="1">DS65</f>
        <v>46612.273918986415</v>
      </c>
      <c r="DV64" s="66">
        <f ca="1">DU65</f>
        <v>45752.814731060287</v>
      </c>
      <c r="DW64" s="66">
        <f ca="1">DV65</f>
        <v>47379.681786452558</v>
      </c>
      <c r="DX64" s="66">
        <f ca="1">DW65</f>
        <v>48185.582424283522</v>
      </c>
      <c r="DY64" s="90">
        <f ca="1">DT65</f>
        <v>46612.273918986415</v>
      </c>
      <c r="DZ64" s="1858"/>
      <c r="EA64" s="1858"/>
      <c r="EB64" s="1858"/>
    </row>
    <row r="65" spans="1:132" ht="12" thickBot="1" x14ac:dyDescent="0.25">
      <c r="A65" s="1869"/>
      <c r="B65" s="327" t="s">
        <v>358</v>
      </c>
      <c r="C65" s="328"/>
      <c r="D65" s="329"/>
      <c r="E65" s="329"/>
      <c r="F65" s="329"/>
      <c r="G65" s="329"/>
      <c r="H65" s="329"/>
      <c r="I65" s="330">
        <f>I64+I63</f>
        <v>896.99499999999966</v>
      </c>
      <c r="J65" s="329"/>
      <c r="K65" s="329"/>
      <c r="L65" s="329"/>
      <c r="M65" s="329"/>
      <c r="N65" s="330">
        <f>N64+N63</f>
        <v>192.49999999999994</v>
      </c>
      <c r="O65" s="329"/>
      <c r="P65" s="329"/>
      <c r="Q65" s="329"/>
      <c r="R65" s="329"/>
      <c r="S65" s="330">
        <f>S64+S63</f>
        <v>180.80000000000018</v>
      </c>
      <c r="T65" s="329"/>
      <c r="U65" s="329"/>
      <c r="V65" s="329"/>
      <c r="W65" s="329"/>
      <c r="X65" s="330">
        <f>X64+X63</f>
        <v>230.00000000000006</v>
      </c>
      <c r="Y65" s="329"/>
      <c r="Z65" s="329"/>
      <c r="AA65" s="329"/>
      <c r="AB65" s="329"/>
      <c r="AC65" s="330">
        <f>AC64+AC63</f>
        <v>337.30700000000019</v>
      </c>
      <c r="AD65" s="329"/>
      <c r="AE65" s="329"/>
      <c r="AF65" s="329"/>
      <c r="AG65" s="329"/>
      <c r="AH65" s="330">
        <f>AH63+AH64</f>
        <v>236.30700000000019</v>
      </c>
      <c r="AI65" s="329"/>
      <c r="AJ65" s="329"/>
      <c r="AK65" s="329"/>
      <c r="AL65" s="329"/>
      <c r="AM65" s="330">
        <f>AM64+AM63</f>
        <v>700.4000000000002</v>
      </c>
      <c r="AN65" s="329"/>
      <c r="AO65" s="329"/>
      <c r="AP65" s="329"/>
      <c r="AQ65" s="329"/>
      <c r="AR65" s="330">
        <f>AR64+AR63</f>
        <v>843.19999999999993</v>
      </c>
      <c r="AS65" s="329"/>
      <c r="AT65" s="329"/>
      <c r="AU65" s="329"/>
      <c r="AV65" s="329"/>
      <c r="AW65" s="330">
        <f>AW64+AW63</f>
        <v>392.3000000000003</v>
      </c>
      <c r="AX65" s="329"/>
      <c r="AY65" s="329"/>
      <c r="AZ65" s="329"/>
      <c r="BA65" s="329"/>
      <c r="BB65" s="330">
        <f>BB64+BB63</f>
        <v>513.40000000000043</v>
      </c>
      <c r="BC65" s="329"/>
      <c r="BD65" s="329"/>
      <c r="BE65" s="329"/>
      <c r="BF65" s="329"/>
      <c r="BG65" s="330">
        <f>BG64+BG63</f>
        <v>530.70000000000061</v>
      </c>
      <c r="BH65" s="329"/>
      <c r="BI65" s="329"/>
      <c r="BJ65" s="329"/>
      <c r="BK65" s="329"/>
      <c r="BL65" s="330">
        <f>BL64+BL63</f>
        <v>1056.6000000000008</v>
      </c>
      <c r="BM65" s="331">
        <f>SUM(BM63:BM64)</f>
        <v>818.2000000000005</v>
      </c>
      <c r="BN65" s="331">
        <f>SUM(BN63:BN64)</f>
        <v>615.70000000000482</v>
      </c>
      <c r="BO65" s="331">
        <f>SUM(BO63:BO64)</f>
        <v>1282.3000000000034</v>
      </c>
      <c r="BP65" s="331">
        <f>SUM(BP63:BP64)</f>
        <v>1352.4000000000053</v>
      </c>
      <c r="BQ65" s="330">
        <f>BQ64+BQ63</f>
        <v>1352.4000000000017</v>
      </c>
      <c r="BR65" s="331">
        <f>SUM(BR63:BR64)</f>
        <v>997.40000000000521</v>
      </c>
      <c r="BS65" s="331">
        <f>SUM(BS63:BS64)</f>
        <v>1225.3000000000022</v>
      </c>
      <c r="BT65" s="331">
        <f>SUM(BT63:BT64)</f>
        <v>1130.6000000000024</v>
      </c>
      <c r="BU65" s="331">
        <f>SUM(BU63:BU64)</f>
        <v>1086.0000000000039</v>
      </c>
      <c r="BV65" s="330">
        <f>BV64+BV63</f>
        <v>1085.9999999999902</v>
      </c>
      <c r="BW65" s="331">
        <f>SUM(BW63:BW64)</f>
        <v>1047.0000000000039</v>
      </c>
      <c r="BX65" s="331">
        <f>SUM(BX63:BX64)</f>
        <v>1107.0000000000039</v>
      </c>
      <c r="BY65" s="331">
        <f>SUM(BY63:BY64)</f>
        <v>979.00000000000387</v>
      </c>
      <c r="BZ65" s="331">
        <f>SUM(BZ63:BZ64)</f>
        <v>1427.0000000000039</v>
      </c>
      <c r="CA65" s="330">
        <f>CA64+CA63</f>
        <v>1426.9999999999902</v>
      </c>
      <c r="CB65" s="331">
        <f>SUM(CB63:CB64)</f>
        <v>2162.0000000000036</v>
      </c>
      <c r="CC65" s="331">
        <f>SUM(CC63:CC64)</f>
        <v>2227.0000000000036</v>
      </c>
      <c r="CD65" s="331">
        <f>SUM(CD63:CD64)</f>
        <v>1706.0000000000036</v>
      </c>
      <c r="CE65" s="331">
        <f>SUM(CE63:CE64)</f>
        <v>1413.0000000000009</v>
      </c>
      <c r="CF65" s="332">
        <f>CF64+CF63</f>
        <v>1412.9999999999811</v>
      </c>
      <c r="CG65" s="331">
        <f>SUM(CG63:CG64)</f>
        <v>2211.0000000000009</v>
      </c>
      <c r="CH65" s="331">
        <f>SUM(CH63:CH64)</f>
        <v>1823.4000000000017</v>
      </c>
      <c r="CI65" s="331">
        <f>SUM(CI63:CI64)</f>
        <v>1232.675</v>
      </c>
      <c r="CJ65" s="329">
        <f>SUM(CJ63:CJ64)</f>
        <v>1375</v>
      </c>
      <c r="CK65" s="332">
        <f>CK64+CK63</f>
        <v>1374.9999999999802</v>
      </c>
      <c r="CL65" s="329">
        <f>SUM(CL63:CL64)</f>
        <v>1551</v>
      </c>
      <c r="CM65" s="329">
        <f>SUM(CM63:CM64)</f>
        <v>1174.6999999999994</v>
      </c>
      <c r="CN65" s="329">
        <f>SUM(CN63:CN64)</f>
        <v>1506.3000000000006</v>
      </c>
      <c r="CO65" s="329">
        <f>SUM(CO63:CO64)</f>
        <v>4090.1000000000022</v>
      </c>
      <c r="CP65" s="332">
        <f>CP64+CP63</f>
        <v>4090.0999999999822</v>
      </c>
      <c r="CQ65" s="1796">
        <f>SUM(CQ63:CQ64)</f>
        <v>2766</v>
      </c>
      <c r="CR65" s="329">
        <f>SUM(CR63:CR64)</f>
        <v>1612</v>
      </c>
      <c r="CS65" s="329">
        <f>SUM(CS63:CS64)</f>
        <v>1132</v>
      </c>
      <c r="CT65" s="1764">
        <f>SUM(CT63:CT64)</f>
        <v>2481</v>
      </c>
      <c r="CU65" s="1764">
        <f>CT65</f>
        <v>2481</v>
      </c>
      <c r="CV65" s="329">
        <f>SUM(CV63:CV64)</f>
        <v>1518</v>
      </c>
      <c r="CW65" s="329">
        <f>SUM(CW63:CW64)</f>
        <v>1244</v>
      </c>
      <c r="CX65" s="329">
        <f>SUM(CX63:CX64)</f>
        <v>2890</v>
      </c>
      <c r="CY65" s="329">
        <f>SUM(CY63:CY64)</f>
        <v>2459</v>
      </c>
      <c r="CZ65" s="332">
        <f>CY65</f>
        <v>2459</v>
      </c>
      <c r="DA65" s="329">
        <f>SUM(DA63:DA64)-8.6</f>
        <v>1779</v>
      </c>
      <c r="DB65" s="329">
        <f>SUM(DB63:DB64)-8.6</f>
        <v>1127</v>
      </c>
      <c r="DC65" s="329">
        <f>SUM(DC63:DC64)</f>
        <v>2189</v>
      </c>
      <c r="DD65" s="329">
        <f>SUM(DD63:DD64)</f>
        <v>3371</v>
      </c>
      <c r="DE65" s="332">
        <f>DD65</f>
        <v>3371</v>
      </c>
      <c r="DF65" s="329">
        <f>SUM(DF63:DF64)</f>
        <v>2217</v>
      </c>
      <c r="DG65" s="329">
        <f>SUM(DG63:DG64)</f>
        <v>2094</v>
      </c>
      <c r="DH65" s="329">
        <f>SUM(DH63:DH64)</f>
        <v>2485</v>
      </c>
      <c r="DI65" s="329">
        <f>SUM(DI63:DI64)</f>
        <v>1696</v>
      </c>
      <c r="DJ65" s="332">
        <f>DI65</f>
        <v>1696</v>
      </c>
      <c r="DK65" s="329">
        <f ca="1">SUM(DK63:DK64)</f>
        <v>810.5092259255498</v>
      </c>
      <c r="DL65" s="329">
        <f ca="1">SUM(DL63:DL64)</f>
        <v>40878.026223948975</v>
      </c>
      <c r="DM65" s="329">
        <f ca="1">SUM(DM63:DM64)</f>
        <v>41921.095182136713</v>
      </c>
      <c r="DN65" s="329">
        <f ca="1">SUM(DN63:DN64)</f>
        <v>43504.361800287457</v>
      </c>
      <c r="DO65" s="332">
        <f ca="1">DN65</f>
        <v>43504.361800287457</v>
      </c>
      <c r="DP65" s="329">
        <f ca="1">SUM(DP63:DP64)</f>
        <v>42456.783048297024</v>
      </c>
      <c r="DQ65" s="329">
        <f ca="1">SUM(DQ63:DQ64)</f>
        <v>44162.718167120911</v>
      </c>
      <c r="DR65" s="329">
        <f ca="1">SUM(DR63:DR64)</f>
        <v>45095.4610105307</v>
      </c>
      <c r="DS65" s="329">
        <f ca="1">SUM(DS63:DS64)</f>
        <v>46612.273918986415</v>
      </c>
      <c r="DT65" s="332">
        <f ca="1">DS65</f>
        <v>46612.273918986415</v>
      </c>
      <c r="DU65" s="329">
        <f ca="1">SUM(DU63:DU64)</f>
        <v>45752.814731060287</v>
      </c>
      <c r="DV65" s="329">
        <f ca="1">SUM(DV63:DV64)</f>
        <v>47379.681786452558</v>
      </c>
      <c r="DW65" s="329">
        <f ca="1">SUM(DW63:DW64)</f>
        <v>48185.582424283522</v>
      </c>
      <c r="DX65" s="329">
        <f ca="1">SUM(DX63:DX64)</f>
        <v>49614.545641356119</v>
      </c>
      <c r="DY65" s="332">
        <f ca="1">DX65</f>
        <v>49614.545641356119</v>
      </c>
      <c r="DZ65" s="1872"/>
      <c r="EA65" s="1872"/>
      <c r="EB65" s="1872"/>
    </row>
    <row r="66" spans="1:132" x14ac:dyDescent="0.2">
      <c r="A66" s="1878"/>
      <c r="B66" s="333"/>
      <c r="C66" s="333"/>
      <c r="D66" s="333"/>
      <c r="E66" s="333"/>
      <c r="F66" s="333"/>
      <c r="G66" s="333"/>
      <c r="H66" s="333"/>
      <c r="I66" s="333"/>
      <c r="J66" s="333"/>
      <c r="K66" s="333"/>
      <c r="L66" s="333"/>
      <c r="M66" s="333"/>
      <c r="N66" s="333"/>
      <c r="O66" s="333"/>
      <c r="P66" s="333"/>
      <c r="Q66" s="333"/>
      <c r="R66" s="333"/>
      <c r="S66" s="333"/>
      <c r="T66" s="333"/>
      <c r="U66" s="333"/>
      <c r="V66" s="333"/>
      <c r="W66" s="333"/>
      <c r="X66" s="333"/>
      <c r="Y66" s="333"/>
      <c r="Z66" s="333"/>
      <c r="AA66" s="333"/>
      <c r="AB66" s="333"/>
      <c r="AC66" s="333"/>
      <c r="AD66" s="333"/>
      <c r="AE66" s="333"/>
      <c r="AF66" s="333"/>
      <c r="AG66" s="333"/>
      <c r="AH66" s="333"/>
      <c r="AI66" s="333"/>
      <c r="AJ66" s="333"/>
      <c r="AK66" s="333"/>
      <c r="AL66" s="333"/>
      <c r="AM66" s="333"/>
      <c r="AN66" s="333"/>
      <c r="AO66" s="333"/>
      <c r="AP66" s="333"/>
      <c r="AQ66" s="333"/>
      <c r="AR66" s="333"/>
      <c r="AS66" s="333"/>
      <c r="AT66" s="333"/>
      <c r="AU66" s="333"/>
      <c r="AV66" s="333"/>
      <c r="AW66" s="333"/>
      <c r="AX66" s="333"/>
      <c r="AY66" s="333"/>
      <c r="AZ66" s="333"/>
      <c r="BA66" s="333"/>
      <c r="BB66" s="333"/>
      <c r="BC66" s="333"/>
      <c r="BD66" s="333"/>
      <c r="BE66" s="333"/>
      <c r="BF66" s="333"/>
      <c r="BG66" s="333"/>
      <c r="BH66" s="333"/>
      <c r="BI66" s="333"/>
      <c r="BJ66" s="333"/>
      <c r="BK66" s="333"/>
      <c r="BL66" s="333"/>
      <c r="BM66" s="333"/>
      <c r="BN66" s="333"/>
      <c r="BO66" s="333"/>
      <c r="BP66" s="333"/>
      <c r="BQ66" s="333"/>
      <c r="BR66" s="333"/>
      <c r="BS66" s="333"/>
      <c r="BT66" s="333"/>
      <c r="BU66" s="333"/>
      <c r="BV66" s="333"/>
      <c r="BW66" s="333"/>
      <c r="BX66" s="333"/>
      <c r="BY66" s="333"/>
      <c r="BZ66" s="333"/>
      <c r="CA66" s="333"/>
      <c r="CB66" s="333"/>
      <c r="CC66" s="333"/>
      <c r="CD66" s="333"/>
      <c r="CE66" s="333"/>
      <c r="CF66" s="333"/>
      <c r="CG66" s="333"/>
      <c r="CH66" s="333"/>
      <c r="CI66" s="333"/>
      <c r="CJ66" s="333"/>
      <c r="CK66" s="333"/>
      <c r="CL66" s="333"/>
      <c r="CM66" s="333"/>
      <c r="CN66" s="333"/>
      <c r="CO66" s="333"/>
      <c r="CP66" s="333"/>
      <c r="CQ66" s="333"/>
      <c r="CR66" s="333"/>
      <c r="CS66" s="333"/>
      <c r="CT66" s="333"/>
      <c r="CU66" s="333"/>
      <c r="CV66" s="333"/>
      <c r="CW66" s="333"/>
      <c r="CX66" s="333"/>
      <c r="CY66" s="333"/>
      <c r="CZ66" s="333"/>
      <c r="DA66" s="333"/>
      <c r="DB66" s="333"/>
      <c r="DC66" s="80"/>
      <c r="DD66" s="80"/>
      <c r="DE66" s="333"/>
      <c r="DF66" s="333"/>
      <c r="DG66" s="333"/>
      <c r="DH66" s="333"/>
      <c r="DI66" s="333"/>
      <c r="DJ66" s="333"/>
      <c r="DK66" s="333"/>
      <c r="DL66" s="333"/>
      <c r="DM66" s="333"/>
      <c r="DN66" s="333"/>
      <c r="DO66" s="333"/>
      <c r="DP66" s="333"/>
      <c r="DQ66" s="333"/>
      <c r="DR66" s="333"/>
      <c r="DS66" s="333"/>
      <c r="DT66" s="333"/>
      <c r="DU66" s="333"/>
      <c r="DV66" s="333"/>
      <c r="DW66" s="333"/>
      <c r="DX66" s="333"/>
      <c r="DY66" s="333"/>
      <c r="DZ66" s="1879"/>
      <c r="EA66" s="1879"/>
      <c r="EB66" s="1879"/>
    </row>
    <row r="67" spans="1:132" outlineLevel="1" x14ac:dyDescent="0.2">
      <c r="A67" s="1842"/>
      <c r="B67" s="334" t="s">
        <v>359</v>
      </c>
      <c r="C67" s="335"/>
      <c r="D67" s="334"/>
      <c r="E67" s="1880"/>
      <c r="F67" s="1880"/>
      <c r="G67" s="1880"/>
      <c r="H67" s="1880"/>
      <c r="I67" s="336">
        <f>IF((ABS((I65-'BS and CFS'!I137))&lt;0.01),"OK",I65-'BS and CFS'!I137)</f>
        <v>243.79499999999962</v>
      </c>
      <c r="J67" s="1880"/>
      <c r="K67" s="1880"/>
      <c r="L67" s="1880"/>
      <c r="M67" s="1880"/>
      <c r="N67" s="336" t="str">
        <f>IF((ABS((N65-'BS and CFS'!N137))&lt;0.01),"OK",N65-'BS and CFS'!N137)</f>
        <v>OK</v>
      </c>
      <c r="O67" s="1880"/>
      <c r="P67" s="1880"/>
      <c r="Q67" s="1880"/>
      <c r="R67" s="1880"/>
      <c r="S67" s="336" t="str">
        <f>IF((ABS((S65-'BS and CFS'!S137))&lt;0.01),"OK",S65-'BS and CFS'!S137)</f>
        <v>OK</v>
      </c>
      <c r="T67" s="1880"/>
      <c r="U67" s="1880"/>
      <c r="V67" s="1880"/>
      <c r="W67" s="1880"/>
      <c r="X67" s="336" t="str">
        <f>IF((ABS((X65-'BS and CFS'!X137))&lt;0.01),"OK",X65-'BS and CFS'!X137)</f>
        <v>OK</v>
      </c>
      <c r="Y67" s="1880"/>
      <c r="Z67" s="1880"/>
      <c r="AA67" s="1880"/>
      <c r="AB67" s="1880"/>
      <c r="AC67" s="336" t="str">
        <f>IF((ABS((AC65-'BS and CFS'!AC137))&lt;0.01),"OK",AC65-'BS and CFS'!AC137)</f>
        <v>OK</v>
      </c>
      <c r="AD67" s="1880"/>
      <c r="AE67" s="1880"/>
      <c r="AF67" s="1880"/>
      <c r="AG67" s="1880"/>
      <c r="AH67" s="336" t="str">
        <f>IF((ABS((AH65-'BS and CFS'!AH137))&lt;0.01),"OK",AH65-'BS and CFS'!AH137)</f>
        <v>OK</v>
      </c>
      <c r="AI67" s="1880"/>
      <c r="AJ67" s="1880"/>
      <c r="AK67" s="1880"/>
      <c r="AL67" s="1880"/>
      <c r="AM67" s="336" t="str">
        <f>IF((ABS((AM65-'BS and CFS'!AM137))&lt;0.01),"OK",AM65-'BS and CFS'!AM137)</f>
        <v>OK</v>
      </c>
      <c r="AN67" s="1880"/>
      <c r="AO67" s="1880"/>
      <c r="AP67" s="1880"/>
      <c r="AQ67" s="1880"/>
      <c r="AR67" s="336" t="str">
        <f>IF((ABS((AR65-'BS and CFS'!AR137))&lt;0.01),"OK",AR65-'BS and CFS'!AR137)</f>
        <v>OK</v>
      </c>
      <c r="AS67" s="1880"/>
      <c r="AT67" s="1880"/>
      <c r="AU67" s="1880"/>
      <c r="AV67" s="1880"/>
      <c r="AW67" s="336" t="str">
        <f>IF((ABS((AW65-'BS and CFS'!AW137))&lt;0.01),"OK",AW65-'BS and CFS'!AW137)</f>
        <v>OK</v>
      </c>
      <c r="AX67" s="1880"/>
      <c r="AY67" s="1880"/>
      <c r="AZ67" s="1880"/>
      <c r="BA67" s="1880"/>
      <c r="BB67" s="336" t="str">
        <f>IF((ABS((BB65-'BS and CFS'!BB137))&lt;0.01),"OK",BB65-'BS and CFS'!BB137)</f>
        <v>OK</v>
      </c>
      <c r="BC67" s="337"/>
      <c r="BD67" s="337"/>
      <c r="BE67" s="337"/>
      <c r="BF67" s="337"/>
      <c r="BG67" s="336" t="str">
        <f>IF((ABS((BG65-'BS and CFS'!BG137))&lt;0.01),"OK",BG65-'BS and CFS'!BG137)</f>
        <v>OK</v>
      </c>
      <c r="BH67" s="337"/>
      <c r="BI67" s="337"/>
      <c r="BJ67" s="337"/>
      <c r="BK67" s="337"/>
      <c r="BL67" s="336" t="str">
        <f>IF((ABS((BL65-'BS and CFS'!BL137))&lt;0.01),"OK",BL65-'BS and CFS'!BL137)</f>
        <v>OK</v>
      </c>
      <c r="BM67" s="336" t="str">
        <f>IF((ABS((BM65-'BS and CFS'!BM137))&lt;0.01),"OK",BM65-'BS and CFS'!BM137)</f>
        <v>OK</v>
      </c>
      <c r="BN67" s="336" t="str">
        <f>IF((ABS((BN65-'BS and CFS'!BN137))&lt;0.01),"OK",BN65-'BS and CFS'!BN137)</f>
        <v>OK</v>
      </c>
      <c r="BO67" s="336" t="str">
        <f>IF((ABS((BO65-'BS and CFS'!BO137))&lt;0.01),"OK",BO65-'BS and CFS'!BO137)</f>
        <v>OK</v>
      </c>
      <c r="BP67" s="336" t="str">
        <f>IF((ABS((BP65-'BS and CFS'!BP137))&lt;0.01),"OK",BP65-'BS and CFS'!BP137)</f>
        <v>OK</v>
      </c>
      <c r="BQ67" s="336" t="str">
        <f>IF((ABS((BQ65-'BS and CFS'!BQ137))&lt;0.01),"OK",BQ65-'BS and CFS'!BQ137)</f>
        <v>OK</v>
      </c>
      <c r="BR67" s="336" t="str">
        <f>IF((ABS((BR65-'BS and CFS'!BR137))&lt;0.01),"OK",BR65-'BS and CFS'!BR137)</f>
        <v>OK</v>
      </c>
      <c r="BS67" s="336" t="str">
        <f>IF((ABS((BS65-'BS and CFS'!BS137))&lt;0.01),"OK",BS65-'BS and CFS'!BS137)</f>
        <v>OK</v>
      </c>
      <c r="BT67" s="336" t="str">
        <f>IF((ABS((BT65-'BS and CFS'!BT137))&lt;0.01),"OK",BT65-'BS and CFS'!BT137)</f>
        <v>OK</v>
      </c>
      <c r="BU67" s="338" t="str">
        <f>IF((ABS((BU65-'BS and CFS'!BU137))&lt;0.01),"OK",BU65-'BS and CFS'!BU137)</f>
        <v>OK</v>
      </c>
      <c r="BV67" s="336" t="str">
        <f>IF((ABS((BV65-'BS and CFS'!BV137))&lt;0.01),"OK",BV65-'BS and CFS'!BV137)</f>
        <v>OK</v>
      </c>
      <c r="BW67" s="338" t="str">
        <f>IF((ABS((BW65-'BS and CFS'!BW137))&lt;0.01),"OK",BW65-'BS and CFS'!BW137)</f>
        <v>OK</v>
      </c>
      <c r="BX67" s="338" t="str">
        <f>IF((ABS((BX65-'BS and CFS'!BX137))&lt;0.01),"OK",BX65-'BS and CFS'!BX137)</f>
        <v>OK</v>
      </c>
      <c r="BY67" s="338" t="str">
        <f>IF((ABS((BY65-'BS and CFS'!BY137))&lt;0.01),"OK",BY65-'BS and CFS'!BY137)</f>
        <v>OK</v>
      </c>
      <c r="BZ67" s="338" t="str">
        <f>IF((ABS((BZ65-'BS and CFS'!BZ137))&lt;0.01),"OK",BZ65-'BS and CFS'!BZ137)</f>
        <v>OK</v>
      </c>
      <c r="CA67" s="339" t="str">
        <f>IF((ABS((CA65-'BS and CFS'!CA137))&lt;0.01),"OK",CA65-'BS and CFS'!CA137)</f>
        <v>OK</v>
      </c>
      <c r="CB67" s="338" t="str">
        <f>IF((ABS((CB65-'BS and CFS'!CB137))&lt;0.01),"OK",CB65-'BS and CFS'!CB137)</f>
        <v>OK</v>
      </c>
      <c r="CC67" s="338">
        <f>IF((ABS((CC65-'BS and CFS'!CC137))&lt;0.01),"OK",CC65-'BS and CFS'!CC137)</f>
        <v>-0.99999999999636202</v>
      </c>
      <c r="CD67" s="338">
        <f>IF((ABS((CD65-'BS and CFS'!CD137))&lt;0.01),"OK",CD65-'BS and CFS'!CD137)</f>
        <v>-0.99999999999636202</v>
      </c>
      <c r="CE67" s="338" t="str">
        <f>IF((ABS((CE65-'BS and CFS'!CE137))&lt;0.01),"OK",CE65-'BS and CFS'!CE137)</f>
        <v>OK</v>
      </c>
      <c r="CF67" s="339" t="str">
        <f>IF((ABS((CF65-'BS and CFS'!CF137))&lt;0.01),"OK",CF65-'BS and CFS'!CF137)</f>
        <v>OK</v>
      </c>
      <c r="CG67" s="338" t="str">
        <f>IF((ABS((CG65-'BS and CFS'!CG137))&lt;0.01),"OK",CG65-'BS and CFS'!CG137)</f>
        <v>OK</v>
      </c>
      <c r="CH67" s="338">
        <f>IF((ABS((CH65-'BS and CFS'!CH137))&lt;0.01),"OK",CH65-'BS and CFS'!CH137)</f>
        <v>0.40000000000168257</v>
      </c>
      <c r="CI67" s="338">
        <f>IF((ABS((CI65-'BS and CFS'!CI137))&lt;0.01),"OK",CI65-'BS and CFS'!CI137)</f>
        <v>-0.32500000000004547</v>
      </c>
      <c r="CJ67" s="1628" t="str">
        <f>IF((ABS((CJ65-'BS and CFS'!CJ137))&lt;0.01),"OK",CJ65-'BS and CFS'!CJ137)</f>
        <v>OK</v>
      </c>
      <c r="CK67" s="339" t="str">
        <f>IF((ABS((CK65-'BS and CFS'!CK137))&lt;0.01),"OK",CK65-'BS and CFS'!CK137)</f>
        <v>OK</v>
      </c>
      <c r="CL67" s="1628" t="str">
        <f>IF((ABS((CL65-'BS and CFS'!CL137))&lt;0.01),"OK",CL65-'BS and CFS'!CL137)</f>
        <v>OK</v>
      </c>
      <c r="CM67" s="338">
        <f>IF((ABS((CM65-'BS and CFS'!CM137))&lt;0.01),"OK",CM65-'BS and CFS'!CM137)</f>
        <v>0.69999999999936335</v>
      </c>
      <c r="CN67" s="338">
        <f>IF((ABS((CN65-'BS and CFS'!CN137))&lt;0.01),"OK",CN65-'BS and CFS'!CN137)</f>
        <v>1.3000000000006366</v>
      </c>
      <c r="CO67" s="338">
        <f>IF((ABS((CO65-'BS and CFS'!CO137))&lt;0.01),"OK",CO65-'BS and CFS'!CO137)</f>
        <v>1.1000000000021828</v>
      </c>
      <c r="CP67" s="336">
        <f>IF((ABS((CP65-'BS and CFS'!CP137))&lt;0.01),"OK",CP65-'BS and CFS'!CP137)</f>
        <v>1.0999999999821739</v>
      </c>
      <c r="CQ67" s="338" t="str">
        <f>IF((ABS((CQ65-'BS and CFS'!CQ137))&lt;0.01),"OK",CQ65-'BS and CFS'!CQ137)</f>
        <v>OK</v>
      </c>
      <c r="CR67" s="338" t="str">
        <f>IF((ABS((CR65-'BS and CFS'!CR137))&lt;0.01),"OK",CR65-'BS and CFS'!CR137)</f>
        <v>OK</v>
      </c>
      <c r="CS67" s="338" t="str">
        <f>IF((ABS((CS65-'BS and CFS'!CS137))&lt;0.01),"OK",CS65-'BS and CFS'!CS137)</f>
        <v>OK</v>
      </c>
      <c r="CT67" s="1800" t="str">
        <f>IF((ABS((CT65-'BS and CFS'!CT137))&lt;0.01),"OK",CT65-'BS and CFS'!CT137)</f>
        <v>OK</v>
      </c>
      <c r="CU67" s="336" t="str">
        <f>IF((ABS((CU65-'BS and CFS'!CU137))&lt;0.01),"OK",CU65-'BS and CFS'!CU137)</f>
        <v>OK</v>
      </c>
      <c r="CV67" s="338" t="str">
        <f>IF((ABS((CV65-'BS and CFS'!CV137))&lt;0.01),"OK",CV65-'BS and CFS'!CV137)</f>
        <v>OK</v>
      </c>
      <c r="CW67" s="338" t="str">
        <f>IF((ABS((CW65-'BS and CFS'!CW137))&lt;0.01),"OK",CW65-'BS and CFS'!CW137)</f>
        <v>OK</v>
      </c>
      <c r="CX67" s="338" t="str">
        <f>IF((ABS((CX65-'BS and CFS'!CX137))&lt;0.01),"OK",CX65-'BS and CFS'!CX137)</f>
        <v>OK</v>
      </c>
      <c r="CY67" s="338" t="str">
        <f>IF((ABS((CY65-'BS and CFS'!CY137))&lt;0.01),"OK",CY65-'BS and CFS'!CY137)</f>
        <v>OK</v>
      </c>
      <c r="CZ67" s="336" t="str">
        <f>IF((ABS((CZ65-'BS and CFS'!CZ137))&lt;0.01),"OK",CZ65-'BS and CFS'!CZ137)</f>
        <v>OK</v>
      </c>
      <c r="DA67" s="338" t="s">
        <v>1670</v>
      </c>
      <c r="DB67" s="338" t="s">
        <v>1670</v>
      </c>
      <c r="DC67" s="338" t="s">
        <v>1670</v>
      </c>
      <c r="DD67" s="338" t="s">
        <v>1670</v>
      </c>
      <c r="DE67" s="336" t="s">
        <v>1670</v>
      </c>
      <c r="DF67" s="338" t="str">
        <f>IF((ABS((DF65-'BS and CFS'!DF137))&lt;0.01),"OK",DF65-'BS and CFS'!DF137)</f>
        <v>OK</v>
      </c>
      <c r="DG67" s="338" t="str">
        <f>IF((ABS((DG65-'BS and CFS'!DG137))&lt;0.01),"OK",DG65-'BS and CFS'!DG137)</f>
        <v>OK</v>
      </c>
      <c r="DH67" s="338" t="str">
        <f>IF((ABS((DH65-'BS and CFS'!DH137))&lt;0.01),"OK",DH65-'BS and CFS'!DH137)</f>
        <v>OK</v>
      </c>
      <c r="DI67" s="338" t="str">
        <f>IF((ABS((DI65-'BS and CFS'!DI137))&lt;0.01),"OK",DI65-'BS and CFS'!DI137)</f>
        <v>OK</v>
      </c>
      <c r="DJ67" s="336" t="str">
        <f>IF((ABS((DJ65-'BS and CFS'!DJ137))&lt;0.01),"OK",DJ65-'BS and CFS'!DJ137)</f>
        <v>OK</v>
      </c>
      <c r="DK67" s="338" t="str">
        <f ca="1">IF((ABS((DK65-'BS and CFS'!DK137))&lt;0.01),"OK",DK65-'BS and CFS'!DK137)</f>
        <v>OK</v>
      </c>
      <c r="DL67" s="338" t="str">
        <f ca="1">IF((ABS((DL65-'BS and CFS'!DL137))&lt;0.01),"OK",DL65-'BS and CFS'!DL137)</f>
        <v>OK</v>
      </c>
      <c r="DM67" s="338" t="str">
        <f ca="1">IF((ABS((DM65-'BS and CFS'!DM137))&lt;0.01),"OK",DM65-'BS and CFS'!DM137)</f>
        <v>OK</v>
      </c>
      <c r="DN67" s="338" t="str">
        <f ca="1">IF((ABS((DN65-'BS and CFS'!DN137))&lt;0.01),"OK",DN65-'BS and CFS'!DN137)</f>
        <v>OK</v>
      </c>
      <c r="DO67" s="336" t="str">
        <f ca="1">IF((ABS((DO65-'BS and CFS'!DO137))&lt;0.01),"OK",DO65-'BS and CFS'!DO137)</f>
        <v>OK</v>
      </c>
      <c r="DP67" s="338" t="str">
        <f ca="1">IF((ABS((DP65-'BS and CFS'!DP137))&lt;0.01),"OK",DP65-'BS and CFS'!DP137)</f>
        <v>OK</v>
      </c>
      <c r="DQ67" s="338" t="str">
        <f ca="1">IF((ABS((DQ65-'BS and CFS'!DQ137))&lt;0.01),"OK",DQ65-'BS and CFS'!DQ137)</f>
        <v>OK</v>
      </c>
      <c r="DR67" s="338" t="str">
        <f ca="1">IF((ABS((DR65-'BS and CFS'!DR137))&lt;0.01),"OK",DR65-'BS and CFS'!DR137)</f>
        <v>OK</v>
      </c>
      <c r="DS67" s="338" t="str">
        <f ca="1">IF((ABS((DS65-'BS and CFS'!DS137))&lt;0.01),"OK",DS65-'BS and CFS'!DS137)</f>
        <v>OK</v>
      </c>
      <c r="DT67" s="336" t="str">
        <f ca="1">IF((ABS((DT65-'BS and CFS'!DT137))&lt;0.01),"OK",DT65-'BS and CFS'!DT137)</f>
        <v>OK</v>
      </c>
      <c r="DU67" s="338" t="str">
        <f ca="1">IF((ABS((DU65-'BS and CFS'!DU137))&lt;0.01),"OK",DU65-'BS and CFS'!DU137)</f>
        <v>OK</v>
      </c>
      <c r="DV67" s="338" t="str">
        <f ca="1">IF((ABS((DV65-'BS and CFS'!DV137))&lt;0.01),"OK",DV65-'BS and CFS'!DV137)</f>
        <v>OK</v>
      </c>
      <c r="DW67" s="338" t="str">
        <f ca="1">IF((ABS((DW65-'BS and CFS'!DW137))&lt;0.01),"OK",DW65-'BS and CFS'!DW137)</f>
        <v>OK</v>
      </c>
      <c r="DX67" s="338" t="str">
        <f ca="1">IF((ABS((DX65-'BS and CFS'!DX137))&lt;0.01),"OK",DX65-'BS and CFS'!DX137)</f>
        <v>OK</v>
      </c>
      <c r="DY67" s="336" t="str">
        <f ca="1">IF((ABS((DY65-'BS and CFS'!DY137))&lt;0.01),"OK",DY65-'BS and CFS'!DY137)</f>
        <v>OK</v>
      </c>
      <c r="DZ67" s="1848"/>
      <c r="EA67" s="1848"/>
      <c r="EB67" s="1848"/>
    </row>
    <row r="68" spans="1:132" ht="12" thickBot="1" x14ac:dyDescent="0.25">
      <c r="A68" s="1842"/>
      <c r="B68" s="240"/>
      <c r="C68" s="340"/>
      <c r="D68" s="240"/>
      <c r="E68" s="1848"/>
      <c r="F68" s="1848"/>
      <c r="G68" s="1848"/>
      <c r="H68" s="1848"/>
      <c r="I68" s="341"/>
      <c r="J68" s="1848"/>
      <c r="K68" s="1848"/>
      <c r="L68" s="1848"/>
      <c r="M68" s="1848"/>
      <c r="N68" s="341"/>
      <c r="O68" s="1848"/>
      <c r="P68" s="1848"/>
      <c r="Q68" s="1848"/>
      <c r="R68" s="1848"/>
      <c r="S68" s="341"/>
      <c r="T68" s="1848"/>
      <c r="U68" s="1848"/>
      <c r="V68" s="1848"/>
      <c r="W68" s="1848"/>
      <c r="X68" s="341"/>
      <c r="Y68" s="1848"/>
      <c r="Z68" s="1848"/>
      <c r="AA68" s="1848"/>
      <c r="AB68" s="1848"/>
      <c r="AC68" s="341"/>
      <c r="AD68" s="1848"/>
      <c r="AE68" s="1848"/>
      <c r="AF68" s="1848"/>
      <c r="AG68" s="1848"/>
      <c r="AH68" s="341"/>
      <c r="AI68" s="1848"/>
      <c r="AJ68" s="1848"/>
      <c r="AK68" s="1848"/>
      <c r="AL68" s="1848"/>
      <c r="AM68" s="341"/>
      <c r="AN68" s="1848"/>
      <c r="AO68" s="1848"/>
      <c r="AP68" s="1848"/>
      <c r="AQ68" s="1848"/>
      <c r="AR68" s="341"/>
      <c r="AS68" s="1848"/>
      <c r="AT68" s="1848"/>
      <c r="AU68" s="1848"/>
      <c r="AV68" s="1848"/>
      <c r="AW68" s="341"/>
      <c r="AX68" s="1848"/>
      <c r="AY68" s="1848"/>
      <c r="AZ68" s="1848"/>
      <c r="BA68" s="1848"/>
      <c r="BB68" s="342"/>
      <c r="BC68" s="342"/>
      <c r="BD68" s="342"/>
      <c r="BE68" s="342"/>
      <c r="BF68" s="342"/>
      <c r="BG68" s="342"/>
      <c r="BH68" s="342"/>
      <c r="BI68" s="342"/>
      <c r="BJ68" s="342"/>
      <c r="BK68" s="342"/>
      <c r="BL68" s="342"/>
      <c r="BM68" s="342"/>
      <c r="BN68" s="342"/>
      <c r="BO68" s="342"/>
      <c r="BP68" s="342"/>
      <c r="BQ68" s="342"/>
      <c r="BR68" s="342"/>
      <c r="BS68" s="342"/>
      <c r="BT68" s="342"/>
      <c r="BU68" s="343"/>
      <c r="BV68" s="341"/>
      <c r="BW68" s="344"/>
      <c r="BX68" s="344"/>
      <c r="BY68" s="344"/>
      <c r="BZ68" s="344"/>
      <c r="CA68" s="341"/>
      <c r="CB68" s="344"/>
      <c r="CC68" s="344"/>
      <c r="CD68" s="344"/>
      <c r="CE68" s="344"/>
      <c r="CF68" s="341"/>
      <c r="CG68" s="344"/>
      <c r="CH68" s="344"/>
      <c r="CI68" s="344"/>
      <c r="CJ68" s="344"/>
      <c r="CK68" s="341"/>
      <c r="CL68" s="344"/>
      <c r="CM68" s="344"/>
      <c r="CN68" s="344"/>
      <c r="CO68" s="344"/>
      <c r="CP68" s="341"/>
      <c r="CQ68" s="344"/>
      <c r="CR68" s="344"/>
      <c r="CS68" s="344"/>
      <c r="CT68" s="344"/>
      <c r="CU68" s="341"/>
      <c r="CV68" s="344"/>
      <c r="CW68" s="344"/>
      <c r="CX68" s="344"/>
      <c r="CY68" s="344"/>
      <c r="CZ68" s="341"/>
      <c r="DA68" s="344"/>
      <c r="DB68" s="344"/>
      <c r="DC68" s="344"/>
      <c r="DD68" s="344"/>
      <c r="DE68" s="341"/>
      <c r="DF68" s="344"/>
      <c r="DG68" s="344"/>
      <c r="DH68" s="344"/>
      <c r="DI68" s="344"/>
      <c r="DJ68" s="341"/>
      <c r="DK68" s="344"/>
      <c r="DL68" s="344"/>
      <c r="DM68" s="344"/>
      <c r="DN68" s="344"/>
      <c r="DO68" s="341"/>
      <c r="DP68" s="344"/>
      <c r="DQ68" s="344"/>
      <c r="DR68" s="344"/>
      <c r="DS68" s="344"/>
      <c r="DT68" s="341"/>
      <c r="DU68" s="344"/>
      <c r="DV68" s="344"/>
      <c r="DW68" s="344"/>
      <c r="DX68" s="344"/>
      <c r="DY68" s="341"/>
      <c r="DZ68" s="1848"/>
      <c r="EA68" s="1848"/>
      <c r="EB68" s="1848"/>
    </row>
    <row r="69" spans="1:132" ht="12.75" outlineLevel="1" thickBot="1" x14ac:dyDescent="0.25">
      <c r="A69" s="1842"/>
      <c r="B69" s="301" t="s">
        <v>360</v>
      </c>
      <c r="C69" s="345"/>
      <c r="D69" s="345"/>
      <c r="E69" s="346" t="s">
        <v>54</v>
      </c>
      <c r="F69" s="347"/>
      <c r="G69" s="347"/>
      <c r="H69" s="347"/>
      <c r="I69" s="348"/>
      <c r="J69" s="347" t="s">
        <v>55</v>
      </c>
      <c r="K69" s="347"/>
      <c r="L69" s="347"/>
      <c r="M69" s="347"/>
      <c r="N69" s="348"/>
      <c r="O69" s="347" t="s">
        <v>56</v>
      </c>
      <c r="P69" s="347"/>
      <c r="Q69" s="347"/>
      <c r="R69" s="347"/>
      <c r="S69" s="348"/>
      <c r="T69" s="347" t="s">
        <v>57</v>
      </c>
      <c r="U69" s="347"/>
      <c r="V69" s="347"/>
      <c r="W69" s="347"/>
      <c r="X69" s="348"/>
      <c r="Y69" s="347" t="s">
        <v>58</v>
      </c>
      <c r="Z69" s="347"/>
      <c r="AA69" s="347"/>
      <c r="AB69" s="347"/>
      <c r="AC69" s="348"/>
      <c r="AD69" s="347" t="s">
        <v>59</v>
      </c>
      <c r="AE69" s="347"/>
      <c r="AF69" s="347"/>
      <c r="AG69" s="347"/>
      <c r="AH69" s="348"/>
      <c r="AI69" s="347" t="s">
        <v>60</v>
      </c>
      <c r="AJ69" s="347"/>
      <c r="AK69" s="347"/>
      <c r="AL69" s="347"/>
      <c r="AM69" s="348"/>
      <c r="AN69" s="347" t="s">
        <v>61</v>
      </c>
      <c r="AO69" s="347"/>
      <c r="AP69" s="347"/>
      <c r="AQ69" s="347"/>
      <c r="AR69" s="348"/>
      <c r="AS69" s="347" t="s">
        <v>62</v>
      </c>
      <c r="AT69" s="347"/>
      <c r="AU69" s="347"/>
      <c r="AV69" s="347"/>
      <c r="AW69" s="348"/>
      <c r="AX69" s="347" t="s">
        <v>63</v>
      </c>
      <c r="AY69" s="347"/>
      <c r="AZ69" s="347"/>
      <c r="BA69" s="347"/>
      <c r="BB69" s="348"/>
      <c r="BC69" s="347" t="s">
        <v>64</v>
      </c>
      <c r="BD69" s="347"/>
      <c r="BE69" s="347"/>
      <c r="BF69" s="347"/>
      <c r="BG69" s="348"/>
      <c r="BH69" s="347" t="s">
        <v>65</v>
      </c>
      <c r="BI69" s="347"/>
      <c r="BJ69" s="347"/>
      <c r="BK69" s="347"/>
      <c r="BL69" s="348"/>
      <c r="BM69" s="347" t="s">
        <v>66</v>
      </c>
      <c r="BN69" s="347"/>
      <c r="BO69" s="347"/>
      <c r="BP69" s="347"/>
      <c r="BQ69" s="348"/>
      <c r="BR69" s="347" t="s">
        <v>67</v>
      </c>
      <c r="BS69" s="347"/>
      <c r="BT69" s="347"/>
      <c r="BU69" s="347"/>
      <c r="BV69" s="348"/>
      <c r="BW69" s="347" t="s">
        <v>68</v>
      </c>
      <c r="BX69" s="347"/>
      <c r="BY69" s="347"/>
      <c r="BZ69" s="347"/>
      <c r="CA69" s="348"/>
      <c r="CB69" s="347" t="s">
        <v>69</v>
      </c>
      <c r="CC69" s="347"/>
      <c r="CD69" s="347"/>
      <c r="CE69" s="347"/>
      <c r="CF69" s="348"/>
      <c r="CG69" s="347" t="s">
        <v>70</v>
      </c>
      <c r="CH69" s="347"/>
      <c r="CI69" s="347"/>
      <c r="CJ69" s="347"/>
      <c r="CK69" s="348"/>
      <c r="CL69" s="347" t="s">
        <v>71</v>
      </c>
      <c r="CM69" s="347"/>
      <c r="CN69" s="347"/>
      <c r="CO69" s="347"/>
      <c r="CP69" s="348"/>
      <c r="CQ69" s="347"/>
      <c r="CR69" s="347"/>
      <c r="CS69" s="347"/>
      <c r="CT69" s="347"/>
      <c r="CU69" s="348"/>
      <c r="CV69" s="347" t="s">
        <v>73</v>
      </c>
      <c r="CW69" s="347"/>
      <c r="CX69" s="347"/>
      <c r="CY69" s="347"/>
      <c r="CZ69" s="348"/>
      <c r="DA69" s="347" t="s">
        <v>674</v>
      </c>
      <c r="DB69" s="347"/>
      <c r="DC69" s="347"/>
      <c r="DD69" s="347"/>
      <c r="DE69" s="348"/>
      <c r="DF69" s="347" t="str">
        <f>DF5</f>
        <v>Fiscal Year End, Dec 31 2017</v>
      </c>
      <c r="DG69" s="347"/>
      <c r="DH69" s="347"/>
      <c r="DI69" s="347"/>
      <c r="DJ69" s="348"/>
      <c r="DK69" s="347" t="s">
        <v>674</v>
      </c>
      <c r="DL69" s="347"/>
      <c r="DM69" s="347"/>
      <c r="DN69" s="347"/>
      <c r="DO69" s="348"/>
      <c r="DP69" s="347" t="s">
        <v>674</v>
      </c>
      <c r="DQ69" s="347"/>
      <c r="DR69" s="347"/>
      <c r="DS69" s="347"/>
      <c r="DT69" s="348"/>
      <c r="DU69" s="347" t="s">
        <v>674</v>
      </c>
      <c r="DV69" s="347"/>
      <c r="DW69" s="347"/>
      <c r="DX69" s="347"/>
      <c r="DY69" s="348"/>
      <c r="DZ69" s="1848"/>
      <c r="EA69" s="1848"/>
      <c r="EB69" s="1848"/>
    </row>
    <row r="70" spans="1:132" ht="12.75" outlineLevel="1" thickBot="1" x14ac:dyDescent="0.25">
      <c r="A70" s="1842"/>
      <c r="B70" s="1845" t="s">
        <v>74</v>
      </c>
      <c r="C70" s="1881"/>
      <c r="D70" s="1846"/>
      <c r="E70" s="349" t="s">
        <v>75</v>
      </c>
      <c r="F70" s="350" t="s">
        <v>76</v>
      </c>
      <c r="G70" s="350" t="s">
        <v>77</v>
      </c>
      <c r="H70" s="350" t="s">
        <v>78</v>
      </c>
      <c r="I70" s="55" t="s">
        <v>79</v>
      </c>
      <c r="J70" s="350" t="s">
        <v>80</v>
      </c>
      <c r="K70" s="350" t="s">
        <v>81</v>
      </c>
      <c r="L70" s="350" t="s">
        <v>116</v>
      </c>
      <c r="M70" s="350" t="s">
        <v>117</v>
      </c>
      <c r="N70" s="55" t="s">
        <v>118</v>
      </c>
      <c r="O70" s="350" t="s">
        <v>119</v>
      </c>
      <c r="P70" s="350" t="s">
        <v>120</v>
      </c>
      <c r="Q70" s="350" t="s">
        <v>121</v>
      </c>
      <c r="R70" s="350" t="s">
        <v>122</v>
      </c>
      <c r="S70" s="55" t="s">
        <v>123</v>
      </c>
      <c r="T70" s="350" t="s">
        <v>124</v>
      </c>
      <c r="U70" s="350" t="s">
        <v>125</v>
      </c>
      <c r="V70" s="350" t="s">
        <v>126</v>
      </c>
      <c r="W70" s="350" t="s">
        <v>127</v>
      </c>
      <c r="X70" s="55" t="s">
        <v>128</v>
      </c>
      <c r="Y70" s="350" t="s">
        <v>129</v>
      </c>
      <c r="Z70" s="350" t="s">
        <v>130</v>
      </c>
      <c r="AA70" s="350" t="s">
        <v>131</v>
      </c>
      <c r="AB70" s="350" t="s">
        <v>132</v>
      </c>
      <c r="AC70" s="55" t="s">
        <v>133</v>
      </c>
      <c r="AD70" s="350" t="s">
        <v>134</v>
      </c>
      <c r="AE70" s="350" t="s">
        <v>135</v>
      </c>
      <c r="AF70" s="350" t="s">
        <v>136</v>
      </c>
      <c r="AG70" s="350" t="s">
        <v>137</v>
      </c>
      <c r="AH70" s="55" t="s">
        <v>138</v>
      </c>
      <c r="AI70" s="350" t="s">
        <v>139</v>
      </c>
      <c r="AJ70" s="350" t="s">
        <v>140</v>
      </c>
      <c r="AK70" s="350" t="s">
        <v>141</v>
      </c>
      <c r="AL70" s="350" t="s">
        <v>142</v>
      </c>
      <c r="AM70" s="55" t="s">
        <v>143</v>
      </c>
      <c r="AN70" s="350" t="s">
        <v>144</v>
      </c>
      <c r="AO70" s="350" t="s">
        <v>145</v>
      </c>
      <c r="AP70" s="350" t="s">
        <v>146</v>
      </c>
      <c r="AQ70" s="350" t="s">
        <v>147</v>
      </c>
      <c r="AR70" s="55" t="s">
        <v>148</v>
      </c>
      <c r="AS70" s="350" t="s">
        <v>149</v>
      </c>
      <c r="AT70" s="350" t="s">
        <v>150</v>
      </c>
      <c r="AU70" s="350" t="s">
        <v>151</v>
      </c>
      <c r="AV70" s="350" t="s">
        <v>152</v>
      </c>
      <c r="AW70" s="55" t="s">
        <v>153</v>
      </c>
      <c r="AX70" s="350" t="s">
        <v>149</v>
      </c>
      <c r="AY70" s="350" t="s">
        <v>150</v>
      </c>
      <c r="AZ70" s="350" t="s">
        <v>151</v>
      </c>
      <c r="BA70" s="350" t="s">
        <v>152</v>
      </c>
      <c r="BB70" s="55" t="s">
        <v>154</v>
      </c>
      <c r="BC70" s="350" t="s">
        <v>149</v>
      </c>
      <c r="BD70" s="350" t="s">
        <v>150</v>
      </c>
      <c r="BE70" s="350" t="s">
        <v>151</v>
      </c>
      <c r="BF70" s="350" t="s">
        <v>152</v>
      </c>
      <c r="BG70" s="55" t="s">
        <v>155</v>
      </c>
      <c r="BH70" s="350" t="s">
        <v>149</v>
      </c>
      <c r="BI70" s="350" t="s">
        <v>150</v>
      </c>
      <c r="BJ70" s="350" t="s">
        <v>151</v>
      </c>
      <c r="BK70" s="350" t="s">
        <v>152</v>
      </c>
      <c r="BL70" s="55" t="s">
        <v>156</v>
      </c>
      <c r="BM70" s="350" t="s">
        <v>149</v>
      </c>
      <c r="BN70" s="350" t="s">
        <v>150</v>
      </c>
      <c r="BO70" s="350" t="s">
        <v>151</v>
      </c>
      <c r="BP70" s="350" t="s">
        <v>152</v>
      </c>
      <c r="BQ70" s="55" t="s">
        <v>157</v>
      </c>
      <c r="BR70" s="350" t="s">
        <v>149</v>
      </c>
      <c r="BS70" s="350" t="s">
        <v>150</v>
      </c>
      <c r="BT70" s="350" t="s">
        <v>151</v>
      </c>
      <c r="BU70" s="350" t="s">
        <v>152</v>
      </c>
      <c r="BV70" s="55" t="s">
        <v>158</v>
      </c>
      <c r="BW70" s="350" t="s">
        <v>149</v>
      </c>
      <c r="BX70" s="350" t="s">
        <v>150</v>
      </c>
      <c r="BY70" s="350" t="s">
        <v>151</v>
      </c>
      <c r="BZ70" s="350" t="s">
        <v>152</v>
      </c>
      <c r="CA70" s="55" t="s">
        <v>159</v>
      </c>
      <c r="CB70" s="350" t="s">
        <v>149</v>
      </c>
      <c r="CC70" s="350" t="s">
        <v>150</v>
      </c>
      <c r="CD70" s="350" t="s">
        <v>165</v>
      </c>
      <c r="CE70" s="350" t="s">
        <v>161</v>
      </c>
      <c r="CF70" s="55" t="s">
        <v>205</v>
      </c>
      <c r="CG70" s="350" t="s">
        <v>163</v>
      </c>
      <c r="CH70" s="350" t="s">
        <v>164</v>
      </c>
      <c r="CI70" s="350" t="s">
        <v>165</v>
      </c>
      <c r="CJ70" s="350" t="s">
        <v>161</v>
      </c>
      <c r="CK70" s="55" t="s">
        <v>162</v>
      </c>
      <c r="CL70" s="350" t="s">
        <v>149</v>
      </c>
      <c r="CM70" s="350" t="str">
        <f>CM6</f>
        <v>2QA</v>
      </c>
      <c r="CN70" s="350" t="str">
        <f>CN6</f>
        <v>3QA</v>
      </c>
      <c r="CO70" s="350" t="str">
        <f>CO6</f>
        <v>4QA</v>
      </c>
      <c r="CP70" s="55" t="s">
        <v>166</v>
      </c>
      <c r="CQ70" s="350" t="str">
        <f>CQ6</f>
        <v>1QA</v>
      </c>
      <c r="CR70" s="350" t="str">
        <f>CR6</f>
        <v>2QA</v>
      </c>
      <c r="CS70" s="350" t="str">
        <f>CS6</f>
        <v>3QA</v>
      </c>
      <c r="CT70" s="350" t="str">
        <f>CT6</f>
        <v>4QA</v>
      </c>
      <c r="CU70" s="55" t="s">
        <v>167</v>
      </c>
      <c r="CV70" s="350" t="str">
        <f>CV6</f>
        <v>1QA</v>
      </c>
      <c r="CW70" s="350" t="s">
        <v>150</v>
      </c>
      <c r="CX70" s="350" t="s">
        <v>151</v>
      </c>
      <c r="CY70" s="350" t="s">
        <v>152</v>
      </c>
      <c r="CZ70" s="55" t="s">
        <v>1469</v>
      </c>
      <c r="DA70" s="350" t="s">
        <v>163</v>
      </c>
      <c r="DB70" s="350" t="s">
        <v>164</v>
      </c>
      <c r="DC70" s="350" t="s">
        <v>165</v>
      </c>
      <c r="DD70" s="350" t="s">
        <v>161</v>
      </c>
      <c r="DE70" s="55" t="s">
        <v>675</v>
      </c>
      <c r="DF70" s="350" t="str">
        <f>DF6</f>
        <v>1QA</v>
      </c>
      <c r="DG70" s="350" t="str">
        <f t="shared" ref="DG70:DJ70" si="152">DG6</f>
        <v>2QA</v>
      </c>
      <c r="DH70" s="350" t="str">
        <f t="shared" si="152"/>
        <v>3QA</v>
      </c>
      <c r="DI70" s="350" t="str">
        <f t="shared" si="152"/>
        <v>4QA</v>
      </c>
      <c r="DJ70" s="55" t="str">
        <f t="shared" si="152"/>
        <v>2017A</v>
      </c>
      <c r="DK70" s="350" t="s">
        <v>163</v>
      </c>
      <c r="DL70" s="350" t="s">
        <v>164</v>
      </c>
      <c r="DM70" s="350" t="s">
        <v>165</v>
      </c>
      <c r="DN70" s="350" t="s">
        <v>161</v>
      </c>
      <c r="DO70" s="55" t="s">
        <v>675</v>
      </c>
      <c r="DP70" s="350" t="s">
        <v>163</v>
      </c>
      <c r="DQ70" s="350" t="s">
        <v>164</v>
      </c>
      <c r="DR70" s="350" t="s">
        <v>165</v>
      </c>
      <c r="DS70" s="350" t="s">
        <v>161</v>
      </c>
      <c r="DT70" s="55" t="s">
        <v>675</v>
      </c>
      <c r="DU70" s="350" t="s">
        <v>163</v>
      </c>
      <c r="DV70" s="350" t="s">
        <v>164</v>
      </c>
      <c r="DW70" s="350" t="s">
        <v>165</v>
      </c>
      <c r="DX70" s="350" t="s">
        <v>161</v>
      </c>
      <c r="DY70" s="55" t="s">
        <v>675</v>
      </c>
      <c r="DZ70" s="1848"/>
      <c r="EA70" s="1848"/>
      <c r="EB70" s="1848"/>
    </row>
    <row r="71" spans="1:132" outlineLevel="1" x14ac:dyDescent="0.2">
      <c r="A71" s="1842"/>
      <c r="B71" s="1882"/>
      <c r="C71" s="1850"/>
      <c r="D71" s="1850"/>
      <c r="E71" s="1850"/>
      <c r="F71" s="1850"/>
      <c r="G71" s="1850"/>
      <c r="H71" s="1850"/>
      <c r="I71" s="1851"/>
      <c r="J71" s="1850"/>
      <c r="K71" s="1850"/>
      <c r="L71" s="1850"/>
      <c r="M71" s="1850"/>
      <c r="N71" s="1851"/>
      <c r="O71" s="1850"/>
      <c r="P71" s="1850"/>
      <c r="Q71" s="1850"/>
      <c r="R71" s="1850"/>
      <c r="S71" s="1851"/>
      <c r="T71" s="1850"/>
      <c r="U71" s="1850"/>
      <c r="V71" s="1850"/>
      <c r="W71" s="1850"/>
      <c r="X71" s="1851"/>
      <c r="Y71" s="1850"/>
      <c r="Z71" s="1850"/>
      <c r="AA71" s="1850"/>
      <c r="AB71" s="1850"/>
      <c r="AC71" s="1851"/>
      <c r="AD71" s="1850"/>
      <c r="AE71" s="1850"/>
      <c r="AF71" s="1850"/>
      <c r="AG71" s="1850"/>
      <c r="AH71" s="1851"/>
      <c r="AI71" s="1850"/>
      <c r="AJ71" s="1850"/>
      <c r="AK71" s="1850"/>
      <c r="AL71" s="1850"/>
      <c r="AM71" s="1851"/>
      <c r="AN71" s="1850"/>
      <c r="AO71" s="1850"/>
      <c r="AP71" s="1850"/>
      <c r="AQ71" s="1850"/>
      <c r="AR71" s="1851"/>
      <c r="AS71" s="1850"/>
      <c r="AT71" s="1850"/>
      <c r="AU71" s="1850"/>
      <c r="AV71" s="1850"/>
      <c r="AW71" s="1851"/>
      <c r="AX71" s="1850"/>
      <c r="AY71" s="1850"/>
      <c r="AZ71" s="1850"/>
      <c r="BA71" s="1850"/>
      <c r="BB71" s="1851"/>
      <c r="BC71" s="1850"/>
      <c r="BD71" s="1850"/>
      <c r="BE71" s="1850"/>
      <c r="BF71" s="1850"/>
      <c r="BG71" s="1851"/>
      <c r="BH71" s="1850"/>
      <c r="BI71" s="1850"/>
      <c r="BJ71" s="1850"/>
      <c r="BK71" s="1850"/>
      <c r="BL71" s="1851"/>
      <c r="BM71" s="1883"/>
      <c r="BN71" s="1883"/>
      <c r="BO71" s="1883"/>
      <c r="BP71" s="1883"/>
      <c r="BQ71" s="1851"/>
      <c r="BR71" s="1883"/>
      <c r="BS71" s="1883"/>
      <c r="BT71" s="1883"/>
      <c r="BU71" s="1883"/>
      <c r="BV71" s="1851"/>
      <c r="BW71" s="1883"/>
      <c r="BX71" s="1883"/>
      <c r="BY71" s="1883"/>
      <c r="BZ71" s="1883"/>
      <c r="CA71" s="1851"/>
      <c r="CB71" s="1883"/>
      <c r="CC71" s="1883"/>
      <c r="CD71" s="1883"/>
      <c r="CE71" s="1883"/>
      <c r="CF71" s="1851"/>
      <c r="CG71" s="1883"/>
      <c r="CH71" s="1883"/>
      <c r="CI71" s="1883"/>
      <c r="CJ71" s="1883"/>
      <c r="CK71" s="1851"/>
      <c r="CL71" s="1850"/>
      <c r="CM71" s="1850"/>
      <c r="CN71" s="1850"/>
      <c r="CO71" s="1850"/>
      <c r="CP71" s="1851"/>
      <c r="CQ71" s="1850"/>
      <c r="CR71" s="1850"/>
      <c r="CS71" s="1850"/>
      <c r="CT71" s="1850"/>
      <c r="CU71" s="1851"/>
      <c r="CV71" s="1850"/>
      <c r="CW71" s="1850"/>
      <c r="CX71" s="1850"/>
      <c r="CY71" s="1850"/>
      <c r="CZ71" s="1851"/>
      <c r="DA71" s="1850"/>
      <c r="DB71" s="1850"/>
      <c r="DC71" s="1850"/>
      <c r="DD71" s="1850"/>
      <c r="DE71" s="2597"/>
      <c r="DF71" s="1850"/>
      <c r="DG71" s="1850"/>
      <c r="DH71" s="1850"/>
      <c r="DI71" s="1850"/>
      <c r="DJ71" s="1851"/>
      <c r="DK71" s="1850"/>
      <c r="DL71" s="1850"/>
      <c r="DM71" s="1850"/>
      <c r="DN71" s="1850"/>
      <c r="DO71" s="1851"/>
      <c r="DP71" s="1850"/>
      <c r="DQ71" s="1850"/>
      <c r="DR71" s="1850"/>
      <c r="DS71" s="1850"/>
      <c r="DT71" s="1851"/>
      <c r="DU71" s="1850"/>
      <c r="DV71" s="1850"/>
      <c r="DW71" s="1850"/>
      <c r="DX71" s="1850"/>
      <c r="DY71" s="1851"/>
      <c r="DZ71" s="1848"/>
      <c r="EA71" s="1848"/>
      <c r="EB71" s="1848"/>
    </row>
    <row r="72" spans="1:132" outlineLevel="1" x14ac:dyDescent="0.2">
      <c r="A72" s="1853"/>
      <c r="B72" s="86" t="s">
        <v>209</v>
      </c>
      <c r="C72" s="1884"/>
      <c r="D72" s="1884"/>
      <c r="E72" s="1884"/>
      <c r="F72" s="1884"/>
      <c r="G72" s="1884"/>
      <c r="H72" s="1884"/>
      <c r="I72" s="1885"/>
      <c r="J72" s="1884"/>
      <c r="K72" s="1884"/>
      <c r="L72" s="1884"/>
      <c r="M72" s="1884"/>
      <c r="N72" s="1885"/>
      <c r="O72" s="1884"/>
      <c r="P72" s="1884"/>
      <c r="Q72" s="1884"/>
      <c r="R72" s="1884"/>
      <c r="S72" s="1885"/>
      <c r="T72" s="1884"/>
      <c r="U72" s="1884"/>
      <c r="V72" s="1884"/>
      <c r="W72" s="1884"/>
      <c r="X72" s="1885"/>
      <c r="Y72" s="1884"/>
      <c r="Z72" s="1884"/>
      <c r="AA72" s="1884"/>
      <c r="AB72" s="1884"/>
      <c r="AC72" s="1885"/>
      <c r="AD72" s="1884"/>
      <c r="AE72" s="1884"/>
      <c r="AF72" s="1884"/>
      <c r="AG72" s="1884"/>
      <c r="AH72" s="1885"/>
      <c r="AI72" s="1884"/>
      <c r="AJ72" s="1884"/>
      <c r="AK72" s="1884"/>
      <c r="AL72" s="1884"/>
      <c r="AM72" s="1885"/>
      <c r="AN72" s="1884"/>
      <c r="AO72" s="1884"/>
      <c r="AP72" s="1884"/>
      <c r="AQ72" s="1884"/>
      <c r="AR72" s="1885"/>
      <c r="AS72" s="1884"/>
      <c r="AT72" s="1884"/>
      <c r="AU72" s="1884"/>
      <c r="AV72" s="1884"/>
      <c r="AW72" s="1885"/>
      <c r="AX72" s="1884"/>
      <c r="AY72" s="1884"/>
      <c r="AZ72" s="1884"/>
      <c r="BA72" s="1884"/>
      <c r="BB72" s="1885"/>
      <c r="BC72" s="1884"/>
      <c r="BD72" s="1884"/>
      <c r="BE72" s="1884"/>
      <c r="BF72" s="1884"/>
      <c r="BG72" s="1885"/>
      <c r="BH72" s="1884"/>
      <c r="BI72" s="1884"/>
      <c r="BJ72" s="1884"/>
      <c r="BK72" s="1884"/>
      <c r="BL72" s="1885"/>
      <c r="BM72" s="62">
        <f>BM8</f>
        <v>748.49999999999977</v>
      </c>
      <c r="BN72" s="62">
        <f>SUM(BM8:BN8)</f>
        <v>1523.3000000000043</v>
      </c>
      <c r="BO72" s="62">
        <f>SUM(BM8:BO8)</f>
        <v>2259.3000000000029</v>
      </c>
      <c r="BP72" s="62">
        <f>BQ8</f>
        <v>3212.1</v>
      </c>
      <c r="BQ72" s="1885"/>
      <c r="BR72" s="62">
        <f>BR8</f>
        <v>738.39999999999986</v>
      </c>
      <c r="BS72" s="62">
        <f>SUM($BR8:BS8)</f>
        <v>1624.8999999999969</v>
      </c>
      <c r="BT72" s="62">
        <f>SUM($BR8:BT8)</f>
        <v>2646.1999999999975</v>
      </c>
      <c r="BU72" s="62">
        <f>SUM($BR8:BU8)</f>
        <v>3695.599999999999</v>
      </c>
      <c r="BV72" s="1885"/>
      <c r="BW72" s="62">
        <f>BW8</f>
        <v>770</v>
      </c>
      <c r="BX72" s="62">
        <f>SUM($BW8:BX8)</f>
        <v>1591</v>
      </c>
      <c r="BY72" s="62">
        <f>SUM($BW8:BY8)</f>
        <v>2399</v>
      </c>
      <c r="BZ72" s="62">
        <f>SUM($BW8:BZ8)</f>
        <v>3424</v>
      </c>
      <c r="CA72" s="1885"/>
      <c r="CB72" s="62">
        <f>CB8</f>
        <v>712</v>
      </c>
      <c r="CC72" s="62">
        <f>SUM($CB8:CC8)</f>
        <v>1526</v>
      </c>
      <c r="CD72" s="62">
        <f>SUM($CB8:CD8)</f>
        <v>2393</v>
      </c>
      <c r="CE72" s="62">
        <f>SUM($CB8:CE8)</f>
        <v>3456.8000000000011</v>
      </c>
      <c r="CF72" s="1885"/>
      <c r="CG72" s="62">
        <f>SUM($CG8:CG8)</f>
        <v>775</v>
      </c>
      <c r="CH72" s="62">
        <f>SUM($CG8:CH8)</f>
        <v>1740.4000000000008</v>
      </c>
      <c r="CI72" s="62">
        <f>SUM($CG8:CI8)</f>
        <v>2746.3749999999991</v>
      </c>
      <c r="CJ72" s="62">
        <f>SUM($CG8:CJ8)</f>
        <v>3875.3749999999991</v>
      </c>
      <c r="CK72" s="1885"/>
      <c r="CL72" s="62">
        <f>SUM($CL8:CL8)</f>
        <v>956</v>
      </c>
      <c r="CM72" s="62">
        <f>SUM($CL8:CM8)</f>
        <v>2077.2999999999993</v>
      </c>
      <c r="CN72" s="62">
        <f>SUM($CL8:CN8)</f>
        <v>3283.7000000000007</v>
      </c>
      <c r="CO72" s="62">
        <f>SUM($CL8:CO8)</f>
        <v>4547.9000000000024</v>
      </c>
      <c r="CP72" s="1885"/>
      <c r="CQ72" s="62">
        <f>SUM($CQ8:CQ8)</f>
        <v>1129</v>
      </c>
      <c r="CR72" s="62">
        <v>2375</v>
      </c>
      <c r="CS72" s="1886">
        <v>3323</v>
      </c>
      <c r="CT72" s="1886">
        <v>4644</v>
      </c>
      <c r="CU72" s="1885"/>
      <c r="CV72" s="62">
        <v>1221</v>
      </c>
      <c r="CW72" s="1884">
        <v>2493</v>
      </c>
      <c r="CX72" s="1884">
        <v>3740</v>
      </c>
      <c r="CY72" s="1884">
        <v>5239</v>
      </c>
      <c r="CZ72" s="1885"/>
      <c r="DA72" s="62">
        <v>1147</v>
      </c>
      <c r="DB72" s="1884">
        <v>2071</v>
      </c>
      <c r="DC72" s="1884">
        <v>3612</v>
      </c>
      <c r="DD72" s="1884">
        <v>5319</v>
      </c>
      <c r="DE72" s="2690"/>
      <c r="DF72" s="62">
        <v>953</v>
      </c>
      <c r="DG72" s="1884">
        <v>2051</v>
      </c>
      <c r="DH72" s="1884">
        <v>3336</v>
      </c>
      <c r="DI72" s="1884">
        <f>6623</f>
        <v>6623</v>
      </c>
      <c r="DJ72" s="1885"/>
      <c r="DK72" s="1884"/>
      <c r="DL72" s="1884"/>
      <c r="DM72" s="1884"/>
      <c r="DN72" s="1884"/>
      <c r="DO72" s="1885"/>
      <c r="DP72" s="1884"/>
      <c r="DQ72" s="1884"/>
      <c r="DR72" s="1884"/>
      <c r="DS72" s="1884"/>
      <c r="DT72" s="1885"/>
      <c r="DU72" s="1884"/>
      <c r="DV72" s="1884"/>
      <c r="DW72" s="1884"/>
      <c r="DX72" s="1884"/>
      <c r="DY72" s="1885"/>
      <c r="DZ72" s="1858"/>
      <c r="EA72" s="1858"/>
      <c r="EB72" s="1858"/>
    </row>
    <row r="73" spans="1:132" outlineLevel="1" x14ac:dyDescent="0.2">
      <c r="A73" s="1853"/>
      <c r="B73" s="86" t="s">
        <v>301</v>
      </c>
      <c r="C73" s="1884"/>
      <c r="D73" s="1884"/>
      <c r="E73" s="1884"/>
      <c r="F73" s="1884"/>
      <c r="G73" s="1884"/>
      <c r="H73" s="1884"/>
      <c r="I73" s="1885"/>
      <c r="J73" s="1884"/>
      <c r="K73" s="1884"/>
      <c r="L73" s="1884"/>
      <c r="M73" s="1884"/>
      <c r="N73" s="1885"/>
      <c r="O73" s="1884"/>
      <c r="P73" s="1884"/>
      <c r="Q73" s="1884"/>
      <c r="R73" s="1884"/>
      <c r="S73" s="1885"/>
      <c r="T73" s="1884"/>
      <c r="U73" s="1884"/>
      <c r="V73" s="1884"/>
      <c r="W73" s="1884"/>
      <c r="X73" s="1885"/>
      <c r="Y73" s="1884"/>
      <c r="Z73" s="1884"/>
      <c r="AA73" s="1884"/>
      <c r="AB73" s="1884"/>
      <c r="AC73" s="1885"/>
      <c r="AD73" s="1884"/>
      <c r="AE73" s="1884"/>
      <c r="AF73" s="1884"/>
      <c r="AG73" s="1884"/>
      <c r="AH73" s="1885"/>
      <c r="AI73" s="1884"/>
      <c r="AJ73" s="1884"/>
      <c r="AK73" s="1884"/>
      <c r="AL73" s="1884"/>
      <c r="AM73" s="1885"/>
      <c r="AN73" s="1884"/>
      <c r="AO73" s="1884"/>
      <c r="AP73" s="1884"/>
      <c r="AQ73" s="1884"/>
      <c r="AR73" s="1885"/>
      <c r="AS73" s="1884"/>
      <c r="AT73" s="1884"/>
      <c r="AU73" s="1884"/>
      <c r="AV73" s="1884"/>
      <c r="AW73" s="1885"/>
      <c r="AX73" s="1884"/>
      <c r="AY73" s="1884"/>
      <c r="AZ73" s="1884"/>
      <c r="BA73" s="1884"/>
      <c r="BB73" s="1885"/>
      <c r="BC73" s="1884"/>
      <c r="BD73" s="1884"/>
      <c r="BE73" s="1884"/>
      <c r="BF73" s="1884"/>
      <c r="BG73" s="1885"/>
      <c r="BH73" s="1884"/>
      <c r="BI73" s="1884"/>
      <c r="BJ73" s="1884"/>
      <c r="BK73" s="1884"/>
      <c r="BL73" s="1885"/>
      <c r="BM73" s="60">
        <v>0</v>
      </c>
      <c r="BN73" s="60">
        <v>0</v>
      </c>
      <c r="BO73" s="60">
        <v>0</v>
      </c>
      <c r="BP73" s="62">
        <f>BQ9</f>
        <v>0</v>
      </c>
      <c r="BQ73" s="1885"/>
      <c r="BR73" s="59"/>
      <c r="BS73" s="59"/>
      <c r="BT73" s="59"/>
      <c r="BU73" s="62">
        <f>BV9</f>
        <v>0</v>
      </c>
      <c r="BV73" s="1885"/>
      <c r="BW73" s="59"/>
      <c r="BX73" s="59"/>
      <c r="BY73" s="59"/>
      <c r="BZ73" s="59"/>
      <c r="CA73" s="1885"/>
      <c r="CB73" s="59"/>
      <c r="CC73" s="59"/>
      <c r="CD73" s="78"/>
      <c r="CE73" s="78"/>
      <c r="CF73" s="1885"/>
      <c r="CG73" s="59"/>
      <c r="CH73" s="78"/>
      <c r="CI73" s="78"/>
      <c r="CJ73" s="78"/>
      <c r="CK73" s="1885"/>
      <c r="CL73" s="59"/>
      <c r="CM73" s="78"/>
      <c r="CN73" s="1884"/>
      <c r="CO73" s="1884"/>
      <c r="CP73" s="1885"/>
      <c r="CQ73" s="1884"/>
      <c r="CR73" s="1884"/>
      <c r="CS73" s="1884"/>
      <c r="CT73" s="1884"/>
      <c r="CU73" s="1885"/>
      <c r="CV73" s="1884"/>
      <c r="CW73" s="1884"/>
      <c r="CX73" s="1884"/>
      <c r="CY73" s="1884"/>
      <c r="CZ73" s="1885"/>
      <c r="DA73" s="1884"/>
      <c r="DB73" s="1884"/>
      <c r="DC73" s="1884"/>
      <c r="DD73" s="1884"/>
      <c r="DE73" s="2690"/>
      <c r="DF73" s="1884"/>
      <c r="DG73" s="1884"/>
      <c r="DH73" s="1884"/>
      <c r="DI73" s="1884"/>
      <c r="DJ73" s="1885"/>
      <c r="DK73" s="1884"/>
      <c r="DL73" s="1884"/>
      <c r="DM73" s="1884"/>
      <c r="DN73" s="1884"/>
      <c r="DO73" s="1885"/>
      <c r="DP73" s="1884"/>
      <c r="DQ73" s="1884"/>
      <c r="DR73" s="1884"/>
      <c r="DS73" s="1884"/>
      <c r="DT73" s="1885"/>
      <c r="DU73" s="1884"/>
      <c r="DV73" s="1884"/>
      <c r="DW73" s="1884"/>
      <c r="DX73" s="1884"/>
      <c r="DY73" s="1885"/>
      <c r="DZ73" s="1858"/>
      <c r="EA73" s="1858"/>
      <c r="EB73" s="1858"/>
    </row>
    <row r="74" spans="1:132" outlineLevel="1" x14ac:dyDescent="0.2">
      <c r="A74" s="1853"/>
      <c r="B74" s="86"/>
      <c r="C74" s="1884"/>
      <c r="D74" s="1884"/>
      <c r="E74" s="1884"/>
      <c r="F74" s="1884"/>
      <c r="G74" s="1884"/>
      <c r="H74" s="1884"/>
      <c r="I74" s="1885"/>
      <c r="J74" s="1884"/>
      <c r="K74" s="1884"/>
      <c r="L74" s="1884"/>
      <c r="M74" s="1884"/>
      <c r="N74" s="1885"/>
      <c r="O74" s="1884"/>
      <c r="P74" s="1884"/>
      <c r="Q74" s="1884"/>
      <c r="R74" s="1884"/>
      <c r="S74" s="1885"/>
      <c r="T74" s="1884"/>
      <c r="U74" s="1884"/>
      <c r="V74" s="1884"/>
      <c r="W74" s="1884"/>
      <c r="X74" s="1885"/>
      <c r="Y74" s="1884"/>
      <c r="Z74" s="1884"/>
      <c r="AA74" s="1884"/>
      <c r="AB74" s="1884"/>
      <c r="AC74" s="1885"/>
      <c r="AD74" s="1884"/>
      <c r="AE74" s="1884"/>
      <c r="AF74" s="1884"/>
      <c r="AG74" s="1884"/>
      <c r="AH74" s="1885"/>
      <c r="AI74" s="1884"/>
      <c r="AJ74" s="1884"/>
      <c r="AK74" s="1884"/>
      <c r="AL74" s="1884"/>
      <c r="AM74" s="1885"/>
      <c r="AN74" s="1884"/>
      <c r="AO74" s="1884"/>
      <c r="AP74" s="1884"/>
      <c r="AQ74" s="1884"/>
      <c r="AR74" s="1885"/>
      <c r="AS74" s="1884"/>
      <c r="AT74" s="1884"/>
      <c r="AU74" s="1884"/>
      <c r="AV74" s="1884"/>
      <c r="AW74" s="1885"/>
      <c r="AX74" s="1884"/>
      <c r="AY74" s="1884"/>
      <c r="AZ74" s="1884"/>
      <c r="BA74" s="1884"/>
      <c r="BB74" s="1885"/>
      <c r="BC74" s="1884"/>
      <c r="BD74" s="1884"/>
      <c r="BE74" s="1884"/>
      <c r="BF74" s="1884"/>
      <c r="BG74" s="1885"/>
      <c r="BH74" s="1884"/>
      <c r="BI74" s="1884"/>
      <c r="BJ74" s="1884"/>
      <c r="BK74" s="1884"/>
      <c r="BL74" s="1885"/>
      <c r="BM74" s="59"/>
      <c r="BN74" s="59"/>
      <c r="BO74" s="59"/>
      <c r="BP74" s="59"/>
      <c r="BQ74" s="1885"/>
      <c r="BR74" s="59"/>
      <c r="BS74" s="59"/>
      <c r="BT74" s="59"/>
      <c r="BU74" s="59"/>
      <c r="BV74" s="1885"/>
      <c r="BW74" s="59"/>
      <c r="BX74" s="59"/>
      <c r="BY74" s="59"/>
      <c r="BZ74" s="59"/>
      <c r="CA74" s="1885"/>
      <c r="CB74" s="59"/>
      <c r="CC74" s="59"/>
      <c r="CD74" s="78"/>
      <c r="CE74" s="78"/>
      <c r="CF74" s="1885"/>
      <c r="CG74" s="59"/>
      <c r="CH74" s="78"/>
      <c r="CI74" s="78"/>
      <c r="CJ74" s="78"/>
      <c r="CK74" s="1885"/>
      <c r="CL74" s="59"/>
      <c r="CM74" s="78"/>
      <c r="CN74" s="1884"/>
      <c r="CO74" s="1884"/>
      <c r="CP74" s="1885"/>
      <c r="CQ74" s="1884"/>
      <c r="CR74" s="1884"/>
      <c r="CS74" s="1884"/>
      <c r="CT74" s="1884"/>
      <c r="CU74" s="1885"/>
      <c r="CV74" s="1884"/>
      <c r="CW74" s="1884"/>
      <c r="CX74" s="1884"/>
      <c r="CY74" s="1884"/>
      <c r="CZ74" s="1885"/>
      <c r="DA74" s="1884"/>
      <c r="DB74" s="1884"/>
      <c r="DC74" s="1884"/>
      <c r="DD74" s="1884"/>
      <c r="DE74" s="2690"/>
      <c r="DF74" s="1884"/>
      <c r="DG74" s="1884"/>
      <c r="DH74" s="1884"/>
      <c r="DI74" s="1884"/>
      <c r="DJ74" s="1885"/>
      <c r="DK74" s="1884"/>
      <c r="DL74" s="1884"/>
      <c r="DM74" s="1884"/>
      <c r="DN74" s="1884"/>
      <c r="DO74" s="1885"/>
      <c r="DP74" s="1884"/>
      <c r="DQ74" s="1884"/>
      <c r="DR74" s="1884"/>
      <c r="DS74" s="1884"/>
      <c r="DT74" s="1885"/>
      <c r="DU74" s="1884"/>
      <c r="DV74" s="1884"/>
      <c r="DW74" s="1884"/>
      <c r="DX74" s="1884"/>
      <c r="DY74" s="1885"/>
      <c r="DZ74" s="1858"/>
      <c r="EA74" s="1858"/>
      <c r="EB74" s="1858"/>
    </row>
    <row r="75" spans="1:132" outlineLevel="1" x14ac:dyDescent="0.2">
      <c r="A75" s="1853"/>
      <c r="B75" s="86" t="s">
        <v>302</v>
      </c>
      <c r="C75" s="1884"/>
      <c r="D75" s="1884"/>
      <c r="E75" s="1884"/>
      <c r="F75" s="1884"/>
      <c r="G75" s="1884"/>
      <c r="H75" s="1884"/>
      <c r="I75" s="1885"/>
      <c r="J75" s="1884"/>
      <c r="K75" s="1884"/>
      <c r="L75" s="1884"/>
      <c r="M75" s="1884"/>
      <c r="N75" s="1885"/>
      <c r="O75" s="1884"/>
      <c r="P75" s="1884"/>
      <c r="Q75" s="1884"/>
      <c r="R75" s="1884"/>
      <c r="S75" s="1885"/>
      <c r="T75" s="1884"/>
      <c r="U75" s="1884"/>
      <c r="V75" s="1884"/>
      <c r="W75" s="1884"/>
      <c r="X75" s="1885"/>
      <c r="Y75" s="1884"/>
      <c r="Z75" s="1884"/>
      <c r="AA75" s="1884"/>
      <c r="AB75" s="1884"/>
      <c r="AC75" s="1885"/>
      <c r="AD75" s="1884"/>
      <c r="AE75" s="1884"/>
      <c r="AF75" s="1884"/>
      <c r="AG75" s="1884"/>
      <c r="AH75" s="1885"/>
      <c r="AI75" s="1884"/>
      <c r="AJ75" s="1884"/>
      <c r="AK75" s="1884"/>
      <c r="AL75" s="1884"/>
      <c r="AM75" s="1885"/>
      <c r="AN75" s="1884"/>
      <c r="AO75" s="1884"/>
      <c r="AP75" s="1884"/>
      <c r="AQ75" s="1884"/>
      <c r="AR75" s="1885"/>
      <c r="AS75" s="1884"/>
      <c r="AT75" s="1884"/>
      <c r="AU75" s="1884"/>
      <c r="AV75" s="1884"/>
      <c r="AW75" s="1885"/>
      <c r="AX75" s="1884"/>
      <c r="AY75" s="1884"/>
      <c r="AZ75" s="1884"/>
      <c r="BA75" s="1884"/>
      <c r="BB75" s="1885"/>
      <c r="BC75" s="1884"/>
      <c r="BD75" s="1884"/>
      <c r="BE75" s="1884"/>
      <c r="BF75" s="1884"/>
      <c r="BG75" s="1885"/>
      <c r="BH75" s="1884"/>
      <c r="BI75" s="1884"/>
      <c r="BJ75" s="1884"/>
      <c r="BK75" s="1884"/>
      <c r="BL75" s="1885"/>
      <c r="BM75" s="62">
        <f>BM78-BM77</f>
        <v>201.8</v>
      </c>
      <c r="BN75" s="62">
        <f>BN78-BN77</f>
        <v>413.59999999999997</v>
      </c>
      <c r="BO75" s="62">
        <f>BO78-BO77</f>
        <v>626.30000000000007</v>
      </c>
      <c r="BP75" s="62">
        <f t="shared" ref="BP75:BP88" si="153">BQ11</f>
        <v>869.2</v>
      </c>
      <c r="BQ75" s="1885"/>
      <c r="BR75" s="62">
        <f>BR78-BR77</f>
        <v>246.39999999999998</v>
      </c>
      <c r="BS75" s="62">
        <f>BS78-BS77</f>
        <v>521.40000000000009</v>
      </c>
      <c r="BT75" s="62">
        <f>BT78-BT77</f>
        <v>713.7</v>
      </c>
      <c r="BU75" s="62">
        <f t="shared" ref="BU75:BU88" si="154">BV11</f>
        <v>959</v>
      </c>
      <c r="BV75" s="1885"/>
      <c r="BW75" s="62">
        <f>BW78-BW77</f>
        <v>253</v>
      </c>
      <c r="BX75" s="62">
        <f>BX78-BX77</f>
        <v>515</v>
      </c>
      <c r="BY75" s="62">
        <f>BY78-BY77</f>
        <v>777</v>
      </c>
      <c r="BZ75" s="62">
        <f>BZ78-BZ77</f>
        <v>1042</v>
      </c>
      <c r="CA75" s="1885"/>
      <c r="CB75" s="62">
        <f>CB78-CB77</f>
        <v>268</v>
      </c>
      <c r="CC75" s="62">
        <f>CC78-CC77</f>
        <v>545</v>
      </c>
      <c r="CD75" s="62">
        <f>CD78-CD77</f>
        <v>834</v>
      </c>
      <c r="CE75" s="62">
        <f>CE78-CE77</f>
        <v>1115.4000000000001</v>
      </c>
      <c r="CF75" s="1885"/>
      <c r="CG75" s="62">
        <f>CG78-CG77</f>
        <v>305</v>
      </c>
      <c r="CH75" s="62">
        <f>CH78-CH77</f>
        <v>613.1</v>
      </c>
      <c r="CI75" s="62">
        <f>CI78-CI77</f>
        <v>934.8</v>
      </c>
      <c r="CJ75" s="62">
        <f>CJ78-CJ77</f>
        <v>1266.8</v>
      </c>
      <c r="CK75" s="1885"/>
      <c r="CL75" s="62">
        <f>CL78-CL77</f>
        <v>380</v>
      </c>
      <c r="CM75" s="62">
        <f>CM78-CM77</f>
        <v>705.1</v>
      </c>
      <c r="CN75" s="62">
        <f>CN78-CN77</f>
        <v>1041.5999999999999</v>
      </c>
      <c r="CO75" s="62">
        <f>CO78-CO77</f>
        <v>1375.9</v>
      </c>
      <c r="CP75" s="1885"/>
      <c r="CQ75" s="62">
        <f>CQ78-CQ77</f>
        <v>346.4</v>
      </c>
      <c r="CR75" s="62">
        <f>CR78-CR77</f>
        <v>701.4</v>
      </c>
      <c r="CS75" s="62">
        <f>CS78-CS77</f>
        <v>1052</v>
      </c>
      <c r="CT75" s="62">
        <f>CT78-CT77</f>
        <v>1413.1</v>
      </c>
      <c r="CU75" s="1885"/>
      <c r="CV75" s="62">
        <f>CV78-CV77</f>
        <v>360.8</v>
      </c>
      <c r="CW75" s="62">
        <f>CW78-CW77</f>
        <v>718.1</v>
      </c>
      <c r="CX75" s="62">
        <f>CX78-CX77</f>
        <v>1090.5481219263875</v>
      </c>
      <c r="CY75" s="62">
        <f>CY78-CY77</f>
        <v>1481.0481219263875</v>
      </c>
      <c r="CZ75" s="1885"/>
      <c r="DA75" s="62">
        <f>DA78-DA77</f>
        <v>486.4</v>
      </c>
      <c r="DB75" s="62">
        <f>DB78-DB77</f>
        <v>1105.4000000000001</v>
      </c>
      <c r="DC75" s="62">
        <f>DC78-DC77</f>
        <v>1716.4</v>
      </c>
      <c r="DD75" s="62">
        <f>DD78-DD77</f>
        <v>2344.4</v>
      </c>
      <c r="DE75" s="2690"/>
      <c r="DF75" s="62">
        <f>DF78-DF77</f>
        <v>418.6</v>
      </c>
      <c r="DG75" s="62">
        <f>DG78-DG77</f>
        <v>1039.0999999999999</v>
      </c>
      <c r="DH75" s="1884">
        <f>DH78-DH77</f>
        <v>1651.6641700299999</v>
      </c>
      <c r="DI75" s="1884">
        <f>DI78-DI77</f>
        <v>2270.2861183999999</v>
      </c>
      <c r="DJ75" s="1885"/>
      <c r="DK75" s="1884"/>
      <c r="DL75" s="1884"/>
      <c r="DM75" s="1884"/>
      <c r="DN75" s="1884"/>
      <c r="DO75" s="1885"/>
      <c r="DP75" s="1884"/>
      <c r="DQ75" s="1884"/>
      <c r="DR75" s="1884"/>
      <c r="DS75" s="1884"/>
      <c r="DT75" s="1885"/>
      <c r="DU75" s="1884"/>
      <c r="DV75" s="1884"/>
      <c r="DW75" s="1884"/>
      <c r="DX75" s="1884"/>
      <c r="DY75" s="1885"/>
      <c r="DZ75" s="1858"/>
      <c r="EA75" s="1858"/>
      <c r="EB75" s="1858"/>
    </row>
    <row r="76" spans="1:132" outlineLevel="1" x14ac:dyDescent="0.2">
      <c r="A76" s="1853"/>
      <c r="B76" s="352"/>
      <c r="C76" s="1884"/>
      <c r="D76" s="1884"/>
      <c r="E76" s="1884"/>
      <c r="F76" s="1884"/>
      <c r="G76" s="1884"/>
      <c r="H76" s="1884"/>
      <c r="I76" s="1885"/>
      <c r="J76" s="1884"/>
      <c r="K76" s="1884"/>
      <c r="L76" s="1884"/>
      <c r="M76" s="1884"/>
      <c r="N76" s="1885"/>
      <c r="O76" s="1884"/>
      <c r="P76" s="1884"/>
      <c r="Q76" s="1884"/>
      <c r="R76" s="1884"/>
      <c r="S76" s="1885"/>
      <c r="T76" s="1884"/>
      <c r="U76" s="1884"/>
      <c r="V76" s="1884"/>
      <c r="W76" s="1884"/>
      <c r="X76" s="1885"/>
      <c r="Y76" s="1884"/>
      <c r="Z76" s="1884"/>
      <c r="AA76" s="1884"/>
      <c r="AB76" s="1884"/>
      <c r="AC76" s="1885"/>
      <c r="AD76" s="1884"/>
      <c r="AE76" s="1884"/>
      <c r="AF76" s="1884"/>
      <c r="AG76" s="1884"/>
      <c r="AH76" s="1885"/>
      <c r="AI76" s="1884"/>
      <c r="AJ76" s="1884"/>
      <c r="AK76" s="1884"/>
      <c r="AL76" s="1884"/>
      <c r="AM76" s="1885"/>
      <c r="AN76" s="1884"/>
      <c r="AO76" s="1884"/>
      <c r="AP76" s="1884"/>
      <c r="AQ76" s="1884"/>
      <c r="AR76" s="1885"/>
      <c r="AS76" s="1884"/>
      <c r="AT76" s="1884"/>
      <c r="AU76" s="1884"/>
      <c r="AV76" s="1884"/>
      <c r="AW76" s="1885"/>
      <c r="AX76" s="1884"/>
      <c r="AY76" s="1884"/>
      <c r="AZ76" s="1884"/>
      <c r="BA76" s="1884"/>
      <c r="BB76" s="1885"/>
      <c r="BC76" s="1884"/>
      <c r="BD76" s="1884"/>
      <c r="BE76" s="1884"/>
      <c r="BF76" s="1884"/>
      <c r="BG76" s="1885"/>
      <c r="BH76" s="1884"/>
      <c r="BI76" s="1884"/>
      <c r="BJ76" s="1884"/>
      <c r="BK76" s="1884"/>
      <c r="BL76" s="1885"/>
      <c r="BM76" s="353"/>
      <c r="BN76" s="353"/>
      <c r="BO76" s="353"/>
      <c r="BP76" s="354">
        <f t="shared" si="153"/>
        <v>0.14851011481683982</v>
      </c>
      <c r="BQ76" s="1885"/>
      <c r="BR76" s="353"/>
      <c r="BS76" s="353"/>
      <c r="BT76" s="353"/>
      <c r="BU76" s="354">
        <f t="shared" si="154"/>
        <v>0.11802786392950328</v>
      </c>
      <c r="BV76" s="1885"/>
      <c r="BW76" s="353"/>
      <c r="BX76" s="353"/>
      <c r="BY76" s="353"/>
      <c r="BZ76" s="353"/>
      <c r="CA76" s="1885"/>
      <c r="CB76" s="353"/>
      <c r="CC76" s="353"/>
      <c r="CD76" s="353"/>
      <c r="CE76" s="353"/>
      <c r="CF76" s="1885"/>
      <c r="CG76" s="355"/>
      <c r="CH76" s="356"/>
      <c r="CI76" s="356"/>
      <c r="CJ76" s="356"/>
      <c r="CK76" s="1885"/>
      <c r="CL76" s="355"/>
      <c r="CM76" s="356"/>
      <c r="CN76" s="356"/>
      <c r="CO76" s="356"/>
      <c r="CP76" s="1885"/>
      <c r="CQ76" s="356"/>
      <c r="CR76" s="1884"/>
      <c r="CS76" s="1884"/>
      <c r="CT76" s="1884"/>
      <c r="CU76" s="1885"/>
      <c r="CV76" s="356"/>
      <c r="CW76" s="1884"/>
      <c r="CX76" s="1884"/>
      <c r="CY76" s="1884"/>
      <c r="CZ76" s="1885"/>
      <c r="DA76" s="356"/>
      <c r="DB76" s="1884"/>
      <c r="DC76" s="1884"/>
      <c r="DD76" s="1884"/>
      <c r="DE76" s="2690"/>
      <c r="DF76" s="356"/>
      <c r="DG76" s="356"/>
      <c r="DH76" s="1884"/>
      <c r="DI76" s="1884"/>
      <c r="DJ76" s="1885"/>
      <c r="DK76" s="1884"/>
      <c r="DL76" s="1884"/>
      <c r="DM76" s="1884"/>
      <c r="DN76" s="1884"/>
      <c r="DO76" s="1885"/>
      <c r="DP76" s="1884"/>
      <c r="DQ76" s="1884"/>
      <c r="DR76" s="1884"/>
      <c r="DS76" s="1884"/>
      <c r="DT76" s="1885"/>
      <c r="DU76" s="1884"/>
      <c r="DV76" s="1884"/>
      <c r="DW76" s="1884"/>
      <c r="DX76" s="1884"/>
      <c r="DY76" s="1885"/>
      <c r="DZ76" s="1887"/>
      <c r="EA76" s="1858"/>
      <c r="EB76" s="1858"/>
    </row>
    <row r="77" spans="1:132" outlineLevel="1" x14ac:dyDescent="0.2">
      <c r="A77" s="1853"/>
      <c r="B77" s="314" t="s">
        <v>304</v>
      </c>
      <c r="C77" s="1888"/>
      <c r="D77" s="1888"/>
      <c r="E77" s="1888"/>
      <c r="F77" s="1888"/>
      <c r="G77" s="1888"/>
      <c r="H77" s="1888"/>
      <c r="I77" s="1889"/>
      <c r="J77" s="1888"/>
      <c r="K77" s="1888"/>
      <c r="L77" s="1888"/>
      <c r="M77" s="1888"/>
      <c r="N77" s="1889"/>
      <c r="O77" s="1888"/>
      <c r="P77" s="1888"/>
      <c r="Q77" s="1888"/>
      <c r="R77" s="1888"/>
      <c r="S77" s="1889"/>
      <c r="T77" s="1888"/>
      <c r="U77" s="1888"/>
      <c r="V77" s="1888"/>
      <c r="W77" s="1888"/>
      <c r="X77" s="1889"/>
      <c r="Y77" s="1888"/>
      <c r="Z77" s="1888"/>
      <c r="AA77" s="1888"/>
      <c r="AB77" s="1888"/>
      <c r="AC77" s="1889"/>
      <c r="AD77" s="1888"/>
      <c r="AE77" s="1888"/>
      <c r="AF77" s="1888"/>
      <c r="AG77" s="1888"/>
      <c r="AH77" s="1889"/>
      <c r="AI77" s="1888"/>
      <c r="AJ77" s="1888"/>
      <c r="AK77" s="1888"/>
      <c r="AL77" s="1888"/>
      <c r="AM77" s="1889"/>
      <c r="AN77" s="1888"/>
      <c r="AO77" s="1888"/>
      <c r="AP77" s="1888"/>
      <c r="AQ77" s="1888"/>
      <c r="AR77" s="1889"/>
      <c r="AS77" s="1888"/>
      <c r="AT77" s="1888"/>
      <c r="AU77" s="1888"/>
      <c r="AV77" s="1888"/>
      <c r="AW77" s="1889"/>
      <c r="AX77" s="1888"/>
      <c r="AY77" s="1888"/>
      <c r="AZ77" s="1888"/>
      <c r="BA77" s="1888"/>
      <c r="BB77" s="1889"/>
      <c r="BC77" s="1888"/>
      <c r="BD77" s="1888"/>
      <c r="BE77" s="1888"/>
      <c r="BF77" s="1888"/>
      <c r="BG77" s="1889"/>
      <c r="BH77" s="1888"/>
      <c r="BI77" s="1888"/>
      <c r="BJ77" s="1888"/>
      <c r="BK77" s="1888"/>
      <c r="BL77" s="1889"/>
      <c r="BM77" s="324">
        <v>97.5</v>
      </c>
      <c r="BN77" s="324">
        <v>195.7</v>
      </c>
      <c r="BO77" s="324">
        <v>293.89999999999998</v>
      </c>
      <c r="BP77" s="313">
        <f t="shared" si="153"/>
        <v>405</v>
      </c>
      <c r="BQ77" s="1889"/>
      <c r="BR77" s="324">
        <v>107.5</v>
      </c>
      <c r="BS77" s="324">
        <v>214.8</v>
      </c>
      <c r="BT77" s="324">
        <v>322.8</v>
      </c>
      <c r="BU77" s="313">
        <f t="shared" si="154"/>
        <v>430</v>
      </c>
      <c r="BV77" s="1889"/>
      <c r="BW77" s="313">
        <f>SUM(IS!$BW42:BW42)</f>
        <v>105</v>
      </c>
      <c r="BX77" s="313">
        <f>SUM(IS!$BW42:BX42)</f>
        <v>211</v>
      </c>
      <c r="BY77" s="313">
        <f>SUM(IS!$BW42:BY42)</f>
        <v>319</v>
      </c>
      <c r="BZ77" s="313">
        <f>SUM(IS!$BW42:BZ42)</f>
        <v>427</v>
      </c>
      <c r="CA77" s="1889"/>
      <c r="CB77" s="313">
        <f>SUM(IS!$CB42:CB42)</f>
        <v>106</v>
      </c>
      <c r="CC77" s="313">
        <f>SUM(IS!$CB42:CC42)</f>
        <v>220</v>
      </c>
      <c r="CD77" s="313">
        <f>SUM(IS!$CB42:CD42)</f>
        <v>338</v>
      </c>
      <c r="CE77" s="313">
        <f>SUM(IS!$CB42:CE42)</f>
        <v>452.3</v>
      </c>
      <c r="CF77" s="1889"/>
      <c r="CG77" s="313">
        <f>SUM(IS!$CG42:CG42)</f>
        <v>118</v>
      </c>
      <c r="CH77" s="313">
        <f>SUM(IS!$CG42:CH42)</f>
        <v>240.9</v>
      </c>
      <c r="CI77" s="313">
        <f>SUM(IS!$CG42:CI42)</f>
        <v>362.2</v>
      </c>
      <c r="CJ77" s="313">
        <f>SUM(IS!$CG42:CJ42)</f>
        <v>486.2</v>
      </c>
      <c r="CK77" s="1889"/>
      <c r="CL77" s="313">
        <f>SUM(IS!$CL42:CL42)</f>
        <v>122</v>
      </c>
      <c r="CM77" s="313">
        <f>SUM(IS!$CL42:CM42)</f>
        <v>245.9</v>
      </c>
      <c r="CN77" s="313">
        <f>SUM(IS!$CL42:CN42)</f>
        <v>370.4</v>
      </c>
      <c r="CO77" s="313">
        <f>SUM(IS!$CL42:CO42)</f>
        <v>494.09999999999997</v>
      </c>
      <c r="CP77" s="1889"/>
      <c r="CQ77" s="313">
        <f>SUM(IS!$CQ42)</f>
        <v>130.6</v>
      </c>
      <c r="CR77" s="313">
        <f>SUM(IS!$CQ42:CR42)</f>
        <v>263.60000000000002</v>
      </c>
      <c r="CS77" s="313">
        <f>SUM(IS!$CQ42:CS42)</f>
        <v>390</v>
      </c>
      <c r="CT77" s="313">
        <f>SUM(IS!$CQ42:CT42)</f>
        <v>517.9</v>
      </c>
      <c r="CU77" s="1889"/>
      <c r="CV77" s="313">
        <f>SUM(IS!CV42)</f>
        <v>129.19999999999999</v>
      </c>
      <c r="CW77" s="313">
        <f>SUM(IS!$CV42:CW42)</f>
        <v>259.89999999999998</v>
      </c>
      <c r="CX77" s="313">
        <f>SUM(IS!$CV42:CX42)</f>
        <v>419.45187807361265</v>
      </c>
      <c r="CY77" s="313">
        <f>SUM(IS!$CV42:CY42)</f>
        <v>610.95187807361265</v>
      </c>
      <c r="CZ77" s="1889"/>
      <c r="DA77" s="313">
        <v>130.6</v>
      </c>
      <c r="DB77" s="313">
        <v>130.6</v>
      </c>
      <c r="DC77" s="313">
        <v>130.6</v>
      </c>
      <c r="DD77" s="313">
        <v>130.6</v>
      </c>
      <c r="DE77" s="1889"/>
      <c r="DF77" s="313">
        <f>SUM(IS!DF42)</f>
        <v>200.4</v>
      </c>
      <c r="DG77" s="313">
        <f>SUM(IS!DG42)</f>
        <v>202.9</v>
      </c>
      <c r="DH77" s="1888">
        <f>SUM(IS!DH42)</f>
        <v>205.33582996999999</v>
      </c>
      <c r="DI77" s="1888">
        <f>SUM(IS!DI42)</f>
        <v>208.71388160000001</v>
      </c>
      <c r="DJ77" s="1889"/>
      <c r="DK77" s="1888"/>
      <c r="DL77" s="1888"/>
      <c r="DM77" s="1888"/>
      <c r="DN77" s="1888"/>
      <c r="DO77" s="1889"/>
      <c r="DP77" s="1888"/>
      <c r="DQ77" s="1888"/>
      <c r="DR77" s="1888"/>
      <c r="DS77" s="1888"/>
      <c r="DT77" s="1889"/>
      <c r="DU77" s="1888"/>
      <c r="DV77" s="1888"/>
      <c r="DW77" s="1888"/>
      <c r="DX77" s="1888"/>
      <c r="DY77" s="1889"/>
      <c r="DZ77" s="1858"/>
      <c r="EA77" s="1858"/>
      <c r="EB77" s="1858"/>
    </row>
    <row r="78" spans="1:132" outlineLevel="1" x14ac:dyDescent="0.2">
      <c r="A78" s="1853"/>
      <c r="B78" s="86" t="s">
        <v>239</v>
      </c>
      <c r="C78" s="1884"/>
      <c r="D78" s="1884"/>
      <c r="E78" s="1884"/>
      <c r="F78" s="1884"/>
      <c r="G78" s="1884"/>
      <c r="H78" s="1884"/>
      <c r="I78" s="1885"/>
      <c r="J78" s="1884"/>
      <c r="K78" s="1884"/>
      <c r="L78" s="1884"/>
      <c r="M78" s="1884"/>
      <c r="N78" s="1885"/>
      <c r="O78" s="1884"/>
      <c r="P78" s="1884"/>
      <c r="Q78" s="1884"/>
      <c r="R78" s="1884"/>
      <c r="S78" s="1885"/>
      <c r="T78" s="1884"/>
      <c r="U78" s="1884"/>
      <c r="V78" s="1884"/>
      <c r="W78" s="1884"/>
      <c r="X78" s="1885"/>
      <c r="Y78" s="1884"/>
      <c r="Z78" s="1884"/>
      <c r="AA78" s="1884"/>
      <c r="AB78" s="1884"/>
      <c r="AC78" s="1885"/>
      <c r="AD78" s="1884"/>
      <c r="AE78" s="1884"/>
      <c r="AF78" s="1884"/>
      <c r="AG78" s="1884"/>
      <c r="AH78" s="1885"/>
      <c r="AI78" s="1884"/>
      <c r="AJ78" s="1884"/>
      <c r="AK78" s="1884"/>
      <c r="AL78" s="1884"/>
      <c r="AM78" s="1885"/>
      <c r="AN78" s="1884"/>
      <c r="AO78" s="1884"/>
      <c r="AP78" s="1884"/>
      <c r="AQ78" s="1884"/>
      <c r="AR78" s="1885"/>
      <c r="AS78" s="1884"/>
      <c r="AT78" s="1884"/>
      <c r="AU78" s="1884"/>
      <c r="AV78" s="1884"/>
      <c r="AW78" s="1885"/>
      <c r="AX78" s="1884"/>
      <c r="AY78" s="1884"/>
      <c r="AZ78" s="1884"/>
      <c r="BA78" s="1884"/>
      <c r="BB78" s="1885"/>
      <c r="BC78" s="1884"/>
      <c r="BD78" s="1884"/>
      <c r="BE78" s="1884"/>
      <c r="BF78" s="1884"/>
      <c r="BG78" s="1885"/>
      <c r="BH78" s="1884"/>
      <c r="BI78" s="1884"/>
      <c r="BJ78" s="1884"/>
      <c r="BK78" s="1884"/>
      <c r="BL78" s="1885"/>
      <c r="BM78" s="60">
        <v>299.3</v>
      </c>
      <c r="BN78" s="60">
        <v>609.29999999999995</v>
      </c>
      <c r="BO78" s="60">
        <v>920.2</v>
      </c>
      <c r="BP78" s="62">
        <f t="shared" si="153"/>
        <v>1274.2</v>
      </c>
      <c r="BQ78" s="1885"/>
      <c r="BR78" s="60">
        <v>353.9</v>
      </c>
      <c r="BS78" s="60">
        <v>736.2</v>
      </c>
      <c r="BT78" s="60">
        <v>1036.5</v>
      </c>
      <c r="BU78" s="62">
        <f t="shared" si="154"/>
        <v>1389</v>
      </c>
      <c r="BV78" s="1885"/>
      <c r="BW78" s="60">
        <v>358</v>
      </c>
      <c r="BX78" s="60">
        <v>726</v>
      </c>
      <c r="BY78" s="60">
        <v>1096</v>
      </c>
      <c r="BZ78" s="60">
        <v>1469</v>
      </c>
      <c r="CA78" s="1885"/>
      <c r="CB78" s="60">
        <v>374</v>
      </c>
      <c r="CC78" s="60">
        <v>765</v>
      </c>
      <c r="CD78" s="322">
        <v>1172</v>
      </c>
      <c r="CE78" s="322">
        <v>1567.7</v>
      </c>
      <c r="CF78" s="1885"/>
      <c r="CG78" s="322">
        <v>423</v>
      </c>
      <c r="CH78" s="322">
        <v>854</v>
      </c>
      <c r="CI78" s="322">
        <v>1297</v>
      </c>
      <c r="CJ78" s="322">
        <v>1753</v>
      </c>
      <c r="CK78" s="1885"/>
      <c r="CL78" s="1890">
        <v>502</v>
      </c>
      <c r="CM78" s="322">
        <v>951</v>
      </c>
      <c r="CN78" s="1703">
        <v>1412</v>
      </c>
      <c r="CO78" s="1703">
        <v>1870</v>
      </c>
      <c r="CP78" s="1885"/>
      <c r="CQ78" s="1703">
        <v>477</v>
      </c>
      <c r="CR78" s="1703">
        <v>965</v>
      </c>
      <c r="CS78" s="1703">
        <v>1442</v>
      </c>
      <c r="CT78" s="1703">
        <v>1931</v>
      </c>
      <c r="CU78" s="1885"/>
      <c r="CV78" s="1703">
        <v>490</v>
      </c>
      <c r="CW78" s="1703">
        <v>978</v>
      </c>
      <c r="CX78" s="1884">
        <v>1510</v>
      </c>
      <c r="CY78" s="1884">
        <v>2092</v>
      </c>
      <c r="CZ78" s="1885"/>
      <c r="DA78" s="1703">
        <v>617</v>
      </c>
      <c r="DB78" s="1884">
        <v>1236</v>
      </c>
      <c r="DC78" s="1884">
        <v>1847</v>
      </c>
      <c r="DD78" s="1884">
        <v>2475</v>
      </c>
      <c r="DE78" s="2690"/>
      <c r="DF78" s="1703">
        <v>619</v>
      </c>
      <c r="DG78" s="1884">
        <v>1242</v>
      </c>
      <c r="DH78" s="1884">
        <v>1857</v>
      </c>
      <c r="DI78" s="1884">
        <v>2479</v>
      </c>
      <c r="DJ78" s="1885"/>
      <c r="DK78" s="1884"/>
      <c r="DL78" s="1884"/>
      <c r="DM78" s="1884"/>
      <c r="DN78" s="1884"/>
      <c r="DO78" s="1885"/>
      <c r="DP78" s="1884"/>
      <c r="DQ78" s="1884"/>
      <c r="DR78" s="1884"/>
      <c r="DS78" s="1884"/>
      <c r="DT78" s="1885"/>
      <c r="DU78" s="1884"/>
      <c r="DV78" s="1884"/>
      <c r="DW78" s="1884"/>
      <c r="DX78" s="1884"/>
      <c r="DY78" s="1885"/>
      <c r="DZ78" s="1858"/>
      <c r="EA78" s="1858"/>
      <c r="EB78" s="1858"/>
    </row>
    <row r="79" spans="1:132" outlineLevel="1" x14ac:dyDescent="0.2">
      <c r="A79" s="1853"/>
      <c r="B79" s="86" t="s">
        <v>305</v>
      </c>
      <c r="C79" s="1884"/>
      <c r="D79" s="1884"/>
      <c r="E79" s="1884"/>
      <c r="F79" s="1884"/>
      <c r="G79" s="1884"/>
      <c r="H79" s="1884"/>
      <c r="I79" s="1885"/>
      <c r="J79" s="1884"/>
      <c r="K79" s="1884"/>
      <c r="L79" s="1884"/>
      <c r="M79" s="1884"/>
      <c r="N79" s="1885"/>
      <c r="O79" s="1884"/>
      <c r="P79" s="1884"/>
      <c r="Q79" s="1884"/>
      <c r="R79" s="1884"/>
      <c r="S79" s="1885"/>
      <c r="T79" s="1884"/>
      <c r="U79" s="1884"/>
      <c r="V79" s="1884"/>
      <c r="W79" s="1884"/>
      <c r="X79" s="1885"/>
      <c r="Y79" s="1884"/>
      <c r="Z79" s="1884"/>
      <c r="AA79" s="1884"/>
      <c r="AB79" s="1884"/>
      <c r="AC79" s="1885"/>
      <c r="AD79" s="1884"/>
      <c r="AE79" s="1884"/>
      <c r="AF79" s="1884"/>
      <c r="AG79" s="1884"/>
      <c r="AH79" s="1885"/>
      <c r="AI79" s="1884"/>
      <c r="AJ79" s="1884"/>
      <c r="AK79" s="1884"/>
      <c r="AL79" s="1884"/>
      <c r="AM79" s="1885"/>
      <c r="AN79" s="1884"/>
      <c r="AO79" s="1884"/>
      <c r="AP79" s="1884"/>
      <c r="AQ79" s="1884"/>
      <c r="AR79" s="1885"/>
      <c r="AS79" s="1884"/>
      <c r="AT79" s="1884"/>
      <c r="AU79" s="1884"/>
      <c r="AV79" s="1884"/>
      <c r="AW79" s="1885"/>
      <c r="AX79" s="1884"/>
      <c r="AY79" s="1884"/>
      <c r="AZ79" s="1884"/>
      <c r="BA79" s="1884"/>
      <c r="BB79" s="1885"/>
      <c r="BC79" s="1884"/>
      <c r="BD79" s="1884"/>
      <c r="BE79" s="1884"/>
      <c r="BF79" s="1884"/>
      <c r="BG79" s="1885"/>
      <c r="BH79" s="1884"/>
      <c r="BI79" s="1884"/>
      <c r="BJ79" s="1884"/>
      <c r="BK79" s="1884"/>
      <c r="BL79" s="1885"/>
      <c r="BM79" s="60">
        <v>0</v>
      </c>
      <c r="BN79" s="60">
        <v>0</v>
      </c>
      <c r="BO79" s="60">
        <v>0</v>
      </c>
      <c r="BP79" s="62">
        <f t="shared" si="153"/>
        <v>0</v>
      </c>
      <c r="BQ79" s="1885"/>
      <c r="BR79" s="59"/>
      <c r="BS79" s="59"/>
      <c r="BT79" s="59"/>
      <c r="BU79" s="62">
        <f t="shared" si="154"/>
        <v>0</v>
      </c>
      <c r="BV79" s="1885"/>
      <c r="BW79" s="59"/>
      <c r="BX79" s="59"/>
      <c r="BY79" s="59"/>
      <c r="BZ79" s="59"/>
      <c r="CA79" s="1885"/>
      <c r="CB79" s="59"/>
      <c r="CC79" s="59"/>
      <c r="CD79" s="78"/>
      <c r="CE79" s="78"/>
      <c r="CF79" s="1885"/>
      <c r="CG79" s="78"/>
      <c r="CH79" s="78"/>
      <c r="CI79" s="78"/>
      <c r="CJ79" s="78"/>
      <c r="CK79" s="1885"/>
      <c r="CL79" s="1884"/>
      <c r="CM79" s="78"/>
      <c r="CN79" s="78"/>
      <c r="CO79" s="78"/>
      <c r="CP79" s="1885"/>
      <c r="CQ79" s="78"/>
      <c r="CR79" s="78"/>
      <c r="CS79" s="1884"/>
      <c r="CT79" s="1884"/>
      <c r="CU79" s="1885"/>
      <c r="CV79" s="78"/>
      <c r="CW79" s="1884"/>
      <c r="CX79" s="1884"/>
      <c r="CY79" s="1884"/>
      <c r="CZ79" s="1885"/>
      <c r="DA79" s="78"/>
      <c r="DB79" s="1884"/>
      <c r="DC79" s="1884"/>
      <c r="DD79" s="1884"/>
      <c r="DE79" s="2690"/>
      <c r="DF79" s="78"/>
      <c r="DG79" s="1884">
        <v>135</v>
      </c>
      <c r="DH79" s="1884">
        <v>135</v>
      </c>
      <c r="DI79" s="1884">
        <v>181</v>
      </c>
      <c r="DJ79" s="1885"/>
      <c r="DK79" s="1884"/>
      <c r="DL79" s="1884"/>
      <c r="DM79" s="1884"/>
      <c r="DN79" s="1884"/>
      <c r="DO79" s="1885"/>
      <c r="DP79" s="1884"/>
      <c r="DQ79" s="1884"/>
      <c r="DR79" s="1884"/>
      <c r="DS79" s="1884"/>
      <c r="DT79" s="1885"/>
      <c r="DU79" s="1884"/>
      <c r="DV79" s="1884"/>
      <c r="DW79" s="1884"/>
      <c r="DX79" s="1884"/>
      <c r="DY79" s="1885"/>
      <c r="DZ79" s="1858"/>
      <c r="EA79" s="1858"/>
      <c r="EB79" s="1858"/>
    </row>
    <row r="80" spans="1:132" outlineLevel="1" x14ac:dyDescent="0.2">
      <c r="A80" s="1853"/>
      <c r="B80" s="86" t="s">
        <v>306</v>
      </c>
      <c r="C80" s="1884"/>
      <c r="D80" s="1884"/>
      <c r="E80" s="1884"/>
      <c r="F80" s="1884"/>
      <c r="G80" s="1884"/>
      <c r="H80" s="1884"/>
      <c r="I80" s="1885"/>
      <c r="J80" s="1884"/>
      <c r="K80" s="1884"/>
      <c r="L80" s="1884"/>
      <c r="M80" s="1884"/>
      <c r="N80" s="1885"/>
      <c r="O80" s="1884"/>
      <c r="P80" s="1884"/>
      <c r="Q80" s="1884"/>
      <c r="R80" s="1884"/>
      <c r="S80" s="1885"/>
      <c r="T80" s="1884"/>
      <c r="U80" s="1884"/>
      <c r="V80" s="1884"/>
      <c r="W80" s="1884"/>
      <c r="X80" s="1885"/>
      <c r="Y80" s="1884"/>
      <c r="Z80" s="1884"/>
      <c r="AA80" s="1884"/>
      <c r="AB80" s="1884"/>
      <c r="AC80" s="1885"/>
      <c r="AD80" s="1884"/>
      <c r="AE80" s="1884"/>
      <c r="AF80" s="1884"/>
      <c r="AG80" s="1884"/>
      <c r="AH80" s="1885"/>
      <c r="AI80" s="1884"/>
      <c r="AJ80" s="1884"/>
      <c r="AK80" s="1884"/>
      <c r="AL80" s="1884"/>
      <c r="AM80" s="1885"/>
      <c r="AN80" s="1884"/>
      <c r="AO80" s="1884"/>
      <c r="AP80" s="1884"/>
      <c r="AQ80" s="1884"/>
      <c r="AR80" s="1885"/>
      <c r="AS80" s="1884"/>
      <c r="AT80" s="1884"/>
      <c r="AU80" s="1884"/>
      <c r="AV80" s="1884"/>
      <c r="AW80" s="1885"/>
      <c r="AX80" s="1884"/>
      <c r="AY80" s="1884"/>
      <c r="AZ80" s="1884"/>
      <c r="BA80" s="1884"/>
      <c r="BB80" s="1885"/>
      <c r="BC80" s="1884"/>
      <c r="BD80" s="1884"/>
      <c r="BE80" s="1884"/>
      <c r="BF80" s="1884"/>
      <c r="BG80" s="1885"/>
      <c r="BH80" s="1884"/>
      <c r="BI80" s="1884"/>
      <c r="BJ80" s="1884"/>
      <c r="BK80" s="1884"/>
      <c r="BL80" s="1885"/>
      <c r="BM80" s="60">
        <v>0</v>
      </c>
      <c r="BN80" s="60">
        <v>0</v>
      </c>
      <c r="BO80" s="60">
        <v>0</v>
      </c>
      <c r="BP80" s="62">
        <f t="shared" si="153"/>
        <v>0</v>
      </c>
      <c r="BQ80" s="1885"/>
      <c r="BR80" s="59"/>
      <c r="BS80" s="59"/>
      <c r="BT80" s="59"/>
      <c r="BU80" s="62">
        <f t="shared" si="154"/>
        <v>0</v>
      </c>
      <c r="BV80" s="1885"/>
      <c r="BW80" s="59"/>
      <c r="BX80" s="59"/>
      <c r="BY80" s="59"/>
      <c r="BZ80" s="59"/>
      <c r="CA80" s="1885"/>
      <c r="CB80" s="59"/>
      <c r="CC80" s="59"/>
      <c r="CD80" s="78"/>
      <c r="CE80" s="78"/>
      <c r="CF80" s="1885"/>
      <c r="CG80" s="78"/>
      <c r="CH80" s="78"/>
      <c r="CI80" s="78"/>
      <c r="CJ80" s="78"/>
      <c r="CK80" s="1885"/>
      <c r="CL80" s="1884"/>
      <c r="CM80" s="78"/>
      <c r="CN80" s="78"/>
      <c r="CO80" s="78"/>
      <c r="CP80" s="1885"/>
      <c r="CQ80" s="78"/>
      <c r="CR80" s="78"/>
      <c r="CS80" s="1884"/>
      <c r="CT80" s="1884"/>
      <c r="CU80" s="1885"/>
      <c r="CV80" s="78"/>
      <c r="CW80" s="1884"/>
      <c r="CX80" s="1884"/>
      <c r="CY80" s="1884"/>
      <c r="CZ80" s="1885"/>
      <c r="DA80" s="78"/>
      <c r="DB80" s="1884"/>
      <c r="DC80" s="1884"/>
      <c r="DD80" s="1884"/>
      <c r="DE80" s="2690"/>
      <c r="DF80" s="78"/>
      <c r="DG80" s="1884"/>
      <c r="DH80" s="1884"/>
      <c r="DI80" s="1884"/>
      <c r="DJ80" s="1885"/>
      <c r="DK80" s="1884"/>
      <c r="DL80" s="1884"/>
      <c r="DM80" s="1884"/>
      <c r="DN80" s="1884"/>
      <c r="DO80" s="1885"/>
      <c r="DP80" s="1884"/>
      <c r="DQ80" s="1884"/>
      <c r="DR80" s="1884"/>
      <c r="DS80" s="1884"/>
      <c r="DT80" s="1885"/>
      <c r="DU80" s="1884"/>
      <c r="DV80" s="1884"/>
      <c r="DW80" s="1884"/>
      <c r="DX80" s="1884"/>
      <c r="DY80" s="1885"/>
      <c r="DZ80" s="1858"/>
      <c r="EA80" s="1858"/>
      <c r="EB80" s="1858"/>
    </row>
    <row r="81" spans="1:132" outlineLevel="1" x14ac:dyDescent="0.2">
      <c r="A81" s="1853"/>
      <c r="B81" s="86" t="s">
        <v>307</v>
      </c>
      <c r="C81" s="1884"/>
      <c r="D81" s="1884"/>
      <c r="E81" s="1884"/>
      <c r="F81" s="1884"/>
      <c r="G81" s="1884"/>
      <c r="H81" s="1884"/>
      <c r="I81" s="1885"/>
      <c r="J81" s="1884"/>
      <c r="K81" s="1884"/>
      <c r="L81" s="1884"/>
      <c r="M81" s="1884"/>
      <c r="N81" s="1885"/>
      <c r="O81" s="1884"/>
      <c r="P81" s="1884"/>
      <c r="Q81" s="1884"/>
      <c r="R81" s="1884"/>
      <c r="S81" s="1885"/>
      <c r="T81" s="1884"/>
      <c r="U81" s="1884"/>
      <c r="V81" s="1884"/>
      <c r="W81" s="1884"/>
      <c r="X81" s="1885"/>
      <c r="Y81" s="1884"/>
      <c r="Z81" s="1884"/>
      <c r="AA81" s="1884"/>
      <c r="AB81" s="1884"/>
      <c r="AC81" s="1885"/>
      <c r="AD81" s="1884"/>
      <c r="AE81" s="1884"/>
      <c r="AF81" s="1884"/>
      <c r="AG81" s="1884"/>
      <c r="AH81" s="1885"/>
      <c r="AI81" s="1884"/>
      <c r="AJ81" s="1884"/>
      <c r="AK81" s="1884"/>
      <c r="AL81" s="1884"/>
      <c r="AM81" s="1885"/>
      <c r="AN81" s="1884"/>
      <c r="AO81" s="1884"/>
      <c r="AP81" s="1884"/>
      <c r="AQ81" s="1884"/>
      <c r="AR81" s="1885"/>
      <c r="AS81" s="1884"/>
      <c r="AT81" s="1884"/>
      <c r="AU81" s="1884"/>
      <c r="AV81" s="1884"/>
      <c r="AW81" s="1885"/>
      <c r="AX81" s="1884"/>
      <c r="AY81" s="1884"/>
      <c r="AZ81" s="1884"/>
      <c r="BA81" s="1884"/>
      <c r="BB81" s="1885"/>
      <c r="BC81" s="1884"/>
      <c r="BD81" s="1884"/>
      <c r="BE81" s="1884"/>
      <c r="BF81" s="1884"/>
      <c r="BG81" s="1885"/>
      <c r="BH81" s="1884"/>
      <c r="BI81" s="1884"/>
      <c r="BJ81" s="1884"/>
      <c r="BK81" s="1884"/>
      <c r="BL81" s="1885"/>
      <c r="BM81" s="60">
        <v>0</v>
      </c>
      <c r="BN81" s="60">
        <v>0</v>
      </c>
      <c r="BO81" s="60">
        <v>0</v>
      </c>
      <c r="BP81" s="62">
        <f t="shared" si="153"/>
        <v>0</v>
      </c>
      <c r="BQ81" s="1885"/>
      <c r="BR81" s="59"/>
      <c r="BS81" s="59"/>
      <c r="BT81" s="59"/>
      <c r="BU81" s="62">
        <f t="shared" si="154"/>
        <v>0</v>
      </c>
      <c r="BV81" s="1885"/>
      <c r="BW81" s="59"/>
      <c r="BX81" s="59"/>
      <c r="BY81" s="59"/>
      <c r="BZ81" s="59"/>
      <c r="CA81" s="1885"/>
      <c r="CB81" s="59"/>
      <c r="CC81" s="59"/>
      <c r="CD81" s="78"/>
      <c r="CE81" s="78"/>
      <c r="CF81" s="1885"/>
      <c r="CG81" s="78"/>
      <c r="CH81" s="78"/>
      <c r="CI81" s="78"/>
      <c r="CJ81" s="78"/>
      <c r="CK81" s="1885"/>
      <c r="CL81" s="1884"/>
      <c r="CM81" s="78"/>
      <c r="CN81" s="78"/>
      <c r="CO81" s="78"/>
      <c r="CP81" s="1885"/>
      <c r="CQ81" s="78"/>
      <c r="CR81" s="78"/>
      <c r="CS81" s="1884"/>
      <c r="CT81" s="1884"/>
      <c r="CU81" s="1885"/>
      <c r="CV81" s="78"/>
      <c r="CW81" s="1884"/>
      <c r="CX81" s="1884"/>
      <c r="CY81" s="1884"/>
      <c r="CZ81" s="1885"/>
      <c r="DA81" s="78"/>
      <c r="DB81" s="1884"/>
      <c r="DC81" s="1884"/>
      <c r="DD81" s="1884"/>
      <c r="DE81" s="2690"/>
      <c r="DF81" s="78"/>
      <c r="DG81" s="1884"/>
      <c r="DH81" s="1884"/>
      <c r="DI81" s="1884"/>
      <c r="DJ81" s="1885"/>
      <c r="DK81" s="1884"/>
      <c r="DL81" s="1884"/>
      <c r="DM81" s="1884"/>
      <c r="DN81" s="1884"/>
      <c r="DO81" s="1885"/>
      <c r="DP81" s="1884"/>
      <c r="DQ81" s="1884"/>
      <c r="DR81" s="1884"/>
      <c r="DS81" s="1884"/>
      <c r="DT81" s="1885"/>
      <c r="DU81" s="1884"/>
      <c r="DV81" s="1884"/>
      <c r="DW81" s="1884"/>
      <c r="DX81" s="1884"/>
      <c r="DY81" s="1885"/>
      <c r="DZ81" s="1858"/>
      <c r="EA81" s="1858"/>
      <c r="EB81" s="1858"/>
    </row>
    <row r="82" spans="1:132" outlineLevel="1" x14ac:dyDescent="0.2">
      <c r="A82" s="1853"/>
      <c r="B82" s="86" t="s">
        <v>308</v>
      </c>
      <c r="C82" s="1884"/>
      <c r="D82" s="1884"/>
      <c r="E82" s="1884"/>
      <c r="F82" s="1884"/>
      <c r="G82" s="1884"/>
      <c r="H82" s="1884"/>
      <c r="I82" s="1885"/>
      <c r="J82" s="1884"/>
      <c r="K82" s="1884"/>
      <c r="L82" s="1884"/>
      <c r="M82" s="1884"/>
      <c r="N82" s="1885"/>
      <c r="O82" s="1884"/>
      <c r="P82" s="1884"/>
      <c r="Q82" s="1884"/>
      <c r="R82" s="1884"/>
      <c r="S82" s="1885"/>
      <c r="T82" s="1884"/>
      <c r="U82" s="1884"/>
      <c r="V82" s="1884"/>
      <c r="W82" s="1884"/>
      <c r="X82" s="1885"/>
      <c r="Y82" s="1884"/>
      <c r="Z82" s="1884"/>
      <c r="AA82" s="1884"/>
      <c r="AB82" s="1884"/>
      <c r="AC82" s="1885"/>
      <c r="AD82" s="1884"/>
      <c r="AE82" s="1884"/>
      <c r="AF82" s="1884"/>
      <c r="AG82" s="1884"/>
      <c r="AH82" s="1885"/>
      <c r="AI82" s="1884"/>
      <c r="AJ82" s="1884"/>
      <c r="AK82" s="1884"/>
      <c r="AL82" s="1884"/>
      <c r="AM82" s="1885"/>
      <c r="AN82" s="1884"/>
      <c r="AO82" s="1884"/>
      <c r="AP82" s="1884"/>
      <c r="AQ82" s="1884"/>
      <c r="AR82" s="1885"/>
      <c r="AS82" s="1884"/>
      <c r="AT82" s="1884"/>
      <c r="AU82" s="1884"/>
      <c r="AV82" s="1884"/>
      <c r="AW82" s="1885"/>
      <c r="AX82" s="1884"/>
      <c r="AY82" s="1884"/>
      <c r="AZ82" s="1884"/>
      <c r="BA82" s="1884"/>
      <c r="BB82" s="1885"/>
      <c r="BC82" s="1884"/>
      <c r="BD82" s="1884"/>
      <c r="BE82" s="1884"/>
      <c r="BF82" s="1884"/>
      <c r="BG82" s="1885"/>
      <c r="BH82" s="1884"/>
      <c r="BI82" s="1884"/>
      <c r="BJ82" s="1884"/>
      <c r="BK82" s="1884"/>
      <c r="BL82" s="1885"/>
      <c r="BM82" s="60">
        <v>0</v>
      </c>
      <c r="BN82" s="60">
        <v>0</v>
      </c>
      <c r="BO82" s="60">
        <v>0</v>
      </c>
      <c r="BP82" s="62">
        <f t="shared" si="153"/>
        <v>0</v>
      </c>
      <c r="BQ82" s="1885"/>
      <c r="BR82" s="59"/>
      <c r="BS82" s="59"/>
      <c r="BT82" s="59"/>
      <c r="BU82" s="62">
        <f t="shared" si="154"/>
        <v>0</v>
      </c>
      <c r="BV82" s="1885"/>
      <c r="BW82" s="59"/>
      <c r="BX82" s="59"/>
      <c r="BY82" s="59"/>
      <c r="BZ82" s="59"/>
      <c r="CA82" s="1885"/>
      <c r="CB82" s="59"/>
      <c r="CC82" s="59"/>
      <c r="CD82" s="78"/>
      <c r="CE82" s="78"/>
      <c r="CF82" s="1885"/>
      <c r="CG82" s="78"/>
      <c r="CH82" s="78"/>
      <c r="CI82" s="78"/>
      <c r="CJ82" s="1626"/>
      <c r="CK82" s="1885"/>
      <c r="CL82" s="1884"/>
      <c r="CM82" s="78"/>
      <c r="CN82" s="78"/>
      <c r="CO82" s="78"/>
      <c r="CP82" s="1885"/>
      <c r="CQ82" s="78"/>
      <c r="CR82" s="78"/>
      <c r="CS82" s="1884"/>
      <c r="CT82" s="1884"/>
      <c r="CU82" s="1885"/>
      <c r="CV82" s="78"/>
      <c r="CW82" s="1884"/>
      <c r="CX82" s="1884"/>
      <c r="CY82" s="1884"/>
      <c r="CZ82" s="1885"/>
      <c r="DA82" s="78"/>
      <c r="DB82" s="1884"/>
      <c r="DC82" s="1884"/>
      <c r="DD82" s="1884"/>
      <c r="DE82" s="2690"/>
      <c r="DF82" s="78"/>
      <c r="DG82" s="1884"/>
      <c r="DH82" s="1884"/>
      <c r="DI82" s="1884"/>
      <c r="DJ82" s="1885"/>
      <c r="DK82" s="1884"/>
      <c r="DL82" s="1884"/>
      <c r="DM82" s="1884"/>
      <c r="DN82" s="1884"/>
      <c r="DO82" s="1885"/>
      <c r="DP82" s="1884"/>
      <c r="DQ82" s="1884"/>
      <c r="DR82" s="1884"/>
      <c r="DS82" s="1884"/>
      <c r="DT82" s="1885"/>
      <c r="DU82" s="1884"/>
      <c r="DV82" s="1884"/>
      <c r="DW82" s="1884"/>
      <c r="DX82" s="1884"/>
      <c r="DY82" s="1885"/>
      <c r="DZ82" s="1858"/>
      <c r="EA82" s="1858"/>
      <c r="EB82" s="1858"/>
    </row>
    <row r="83" spans="1:132" outlineLevel="1" x14ac:dyDescent="0.2">
      <c r="A83" s="1853"/>
      <c r="B83" s="86" t="s">
        <v>309</v>
      </c>
      <c r="C83" s="1884"/>
      <c r="D83" s="1884"/>
      <c r="E83" s="1884"/>
      <c r="F83" s="1884"/>
      <c r="G83" s="1884"/>
      <c r="H83" s="1884"/>
      <c r="I83" s="1885"/>
      <c r="J83" s="1884"/>
      <c r="K83" s="1884"/>
      <c r="L83" s="1884"/>
      <c r="M83" s="1884"/>
      <c r="N83" s="1885"/>
      <c r="O83" s="1884"/>
      <c r="P83" s="1884"/>
      <c r="Q83" s="1884"/>
      <c r="R83" s="1884"/>
      <c r="S83" s="1885"/>
      <c r="T83" s="1884"/>
      <c r="U83" s="1884"/>
      <c r="V83" s="1884"/>
      <c r="W83" s="1884"/>
      <c r="X83" s="1885"/>
      <c r="Y83" s="1884"/>
      <c r="Z83" s="1884"/>
      <c r="AA83" s="1884"/>
      <c r="AB83" s="1884"/>
      <c r="AC83" s="1885"/>
      <c r="AD83" s="1884"/>
      <c r="AE83" s="1884"/>
      <c r="AF83" s="1884"/>
      <c r="AG83" s="1884"/>
      <c r="AH83" s="1885"/>
      <c r="AI83" s="1884"/>
      <c r="AJ83" s="1884"/>
      <c r="AK83" s="1884"/>
      <c r="AL83" s="1884"/>
      <c r="AM83" s="1885"/>
      <c r="AN83" s="1884"/>
      <c r="AO83" s="1884"/>
      <c r="AP83" s="1884"/>
      <c r="AQ83" s="1884"/>
      <c r="AR83" s="1885"/>
      <c r="AS83" s="1884"/>
      <c r="AT83" s="1884"/>
      <c r="AU83" s="1884"/>
      <c r="AV83" s="1884"/>
      <c r="AW83" s="1885"/>
      <c r="AX83" s="1884"/>
      <c r="AY83" s="1884"/>
      <c r="AZ83" s="1884"/>
      <c r="BA83" s="1884"/>
      <c r="BB83" s="1885"/>
      <c r="BC83" s="1884"/>
      <c r="BD83" s="1884"/>
      <c r="BE83" s="1884"/>
      <c r="BF83" s="1884"/>
      <c r="BG83" s="1885"/>
      <c r="BH83" s="1884"/>
      <c r="BI83" s="1884"/>
      <c r="BJ83" s="1884"/>
      <c r="BK83" s="1884"/>
      <c r="BL83" s="1885"/>
      <c r="BM83" s="60">
        <v>13.2</v>
      </c>
      <c r="BN83" s="60">
        <v>61.8</v>
      </c>
      <c r="BO83" s="60">
        <v>67.7</v>
      </c>
      <c r="BP83" s="62">
        <f t="shared" si="153"/>
        <v>92.5</v>
      </c>
      <c r="BQ83" s="1885"/>
      <c r="BR83" s="60">
        <v>22</v>
      </c>
      <c r="BS83" s="60">
        <v>74.8</v>
      </c>
      <c r="BT83" s="60">
        <v>112.6</v>
      </c>
      <c r="BU83" s="62">
        <f t="shared" si="154"/>
        <v>165</v>
      </c>
      <c r="BV83" s="1885"/>
      <c r="BW83" s="60">
        <v>37</v>
      </c>
      <c r="BX83" s="60">
        <v>75</v>
      </c>
      <c r="BY83" s="60">
        <v>112</v>
      </c>
      <c r="BZ83" s="60">
        <v>150</v>
      </c>
      <c r="CA83" s="1885"/>
      <c r="CB83" s="60">
        <v>36</v>
      </c>
      <c r="CC83" s="60">
        <v>65</v>
      </c>
      <c r="CD83" s="322">
        <v>100</v>
      </c>
      <c r="CE83" s="322">
        <v>135</v>
      </c>
      <c r="CF83" s="1885"/>
      <c r="CG83" s="322">
        <v>36</v>
      </c>
      <c r="CH83" s="322">
        <v>64</v>
      </c>
      <c r="CI83" s="322">
        <v>97</v>
      </c>
      <c r="CJ83" s="1629">
        <v>132</v>
      </c>
      <c r="CK83" s="1885"/>
      <c r="CL83" s="1890">
        <v>34</v>
      </c>
      <c r="CM83" s="322">
        <v>66</v>
      </c>
      <c r="CN83" s="322">
        <v>101</v>
      </c>
      <c r="CO83" s="322">
        <v>141</v>
      </c>
      <c r="CP83" s="1885"/>
      <c r="CQ83" s="322">
        <v>35</v>
      </c>
      <c r="CR83" s="322">
        <v>77</v>
      </c>
      <c r="CS83" s="322">
        <v>121</v>
      </c>
      <c r="CT83" s="322">
        <v>165</v>
      </c>
      <c r="CU83" s="1885"/>
      <c r="CV83" s="322">
        <v>44</v>
      </c>
      <c r="CW83" s="1884">
        <v>88</v>
      </c>
      <c r="CX83" s="1884">
        <v>174</v>
      </c>
      <c r="CY83" s="1884">
        <v>230</v>
      </c>
      <c r="CZ83" s="1885"/>
      <c r="DA83" s="322">
        <v>57</v>
      </c>
      <c r="DB83" s="1884">
        <v>107</v>
      </c>
      <c r="DC83" s="1884">
        <v>166</v>
      </c>
      <c r="DD83" s="1884">
        <v>222</v>
      </c>
      <c r="DE83" s="2690"/>
      <c r="DF83" s="322">
        <v>55</v>
      </c>
      <c r="DG83" s="1884">
        <v>108</v>
      </c>
      <c r="DH83" s="1884">
        <v>173</v>
      </c>
      <c r="DI83" s="1884">
        <v>234</v>
      </c>
      <c r="DJ83" s="1885"/>
      <c r="DK83" s="1884"/>
      <c r="DL83" s="1884"/>
      <c r="DM83" s="1884"/>
      <c r="DN83" s="1884"/>
      <c r="DO83" s="1885"/>
      <c r="DP83" s="1884"/>
      <c r="DQ83" s="1884"/>
      <c r="DR83" s="1884"/>
      <c r="DS83" s="1884"/>
      <c r="DT83" s="1885"/>
      <c r="DU83" s="1884"/>
      <c r="DV83" s="1884"/>
      <c r="DW83" s="1884"/>
      <c r="DX83" s="1884"/>
      <c r="DY83" s="1885"/>
      <c r="DZ83" s="1858"/>
      <c r="EA83" s="1858"/>
      <c r="EB83" s="1858"/>
    </row>
    <row r="84" spans="1:132" outlineLevel="1" x14ac:dyDescent="0.2">
      <c r="A84" s="1853"/>
      <c r="B84" s="86" t="s">
        <v>310</v>
      </c>
      <c r="C84" s="1884"/>
      <c r="D84" s="1884"/>
      <c r="E84" s="1884"/>
      <c r="F84" s="1884"/>
      <c r="G84" s="1884"/>
      <c r="H84" s="1884"/>
      <c r="I84" s="1885"/>
      <c r="J84" s="1884"/>
      <c r="K84" s="1884"/>
      <c r="L84" s="1884"/>
      <c r="M84" s="1884"/>
      <c r="N84" s="1885"/>
      <c r="O84" s="1884"/>
      <c r="P84" s="1884"/>
      <c r="Q84" s="1884"/>
      <c r="R84" s="1884"/>
      <c r="S84" s="1885"/>
      <c r="T84" s="1884"/>
      <c r="U84" s="1884"/>
      <c r="V84" s="1884"/>
      <c r="W84" s="1884"/>
      <c r="X84" s="1885"/>
      <c r="Y84" s="1884"/>
      <c r="Z84" s="1884"/>
      <c r="AA84" s="1884"/>
      <c r="AB84" s="1884"/>
      <c r="AC84" s="1885"/>
      <c r="AD84" s="1884"/>
      <c r="AE84" s="1884"/>
      <c r="AF84" s="1884"/>
      <c r="AG84" s="1884"/>
      <c r="AH84" s="1885"/>
      <c r="AI84" s="1884"/>
      <c r="AJ84" s="1884"/>
      <c r="AK84" s="1884"/>
      <c r="AL84" s="1884"/>
      <c r="AM84" s="1885"/>
      <c r="AN84" s="1884"/>
      <c r="AO84" s="1884"/>
      <c r="AP84" s="1884"/>
      <c r="AQ84" s="1884"/>
      <c r="AR84" s="1885"/>
      <c r="AS84" s="1884"/>
      <c r="AT84" s="1884"/>
      <c r="AU84" s="1884"/>
      <c r="AV84" s="1884"/>
      <c r="AW84" s="1885"/>
      <c r="AX84" s="1884"/>
      <c r="AY84" s="1884"/>
      <c r="AZ84" s="1884"/>
      <c r="BA84" s="1884"/>
      <c r="BB84" s="1885"/>
      <c r="BC84" s="1884"/>
      <c r="BD84" s="1884"/>
      <c r="BE84" s="1884"/>
      <c r="BF84" s="1884"/>
      <c r="BG84" s="1885"/>
      <c r="BH84" s="1884"/>
      <c r="BI84" s="1884"/>
      <c r="BJ84" s="1884"/>
      <c r="BK84" s="1884"/>
      <c r="BL84" s="1885"/>
      <c r="BM84" s="60">
        <v>-1.6</v>
      </c>
      <c r="BN84" s="60">
        <v>-8.1</v>
      </c>
      <c r="BO84" s="60">
        <v>24.1</v>
      </c>
      <c r="BP84" s="62">
        <f t="shared" si="153"/>
        <v>-3.4</v>
      </c>
      <c r="BQ84" s="1885"/>
      <c r="BR84" s="60">
        <v>33.799999999999997</v>
      </c>
      <c r="BS84" s="60">
        <v>60.9</v>
      </c>
      <c r="BT84" s="60">
        <v>69.900000000000006</v>
      </c>
      <c r="BU84" s="62">
        <f t="shared" si="154"/>
        <v>48</v>
      </c>
      <c r="BV84" s="1885"/>
      <c r="BW84" s="60">
        <v>2</v>
      </c>
      <c r="BX84" s="60">
        <v>-20</v>
      </c>
      <c r="BY84" s="60">
        <v>43</v>
      </c>
      <c r="BZ84" s="60">
        <v>30</v>
      </c>
      <c r="CA84" s="1885"/>
      <c r="CB84" s="60">
        <v>70</v>
      </c>
      <c r="CC84" s="60">
        <v>129</v>
      </c>
      <c r="CD84" s="322">
        <v>134</v>
      </c>
      <c r="CE84" s="322">
        <v>144</v>
      </c>
      <c r="CF84" s="1885"/>
      <c r="CG84" s="322">
        <v>21</v>
      </c>
      <c r="CH84" s="322">
        <v>83</v>
      </c>
      <c r="CI84" s="322">
        <v>87</v>
      </c>
      <c r="CJ84" s="1629">
        <v>-106</v>
      </c>
      <c r="CK84" s="1885"/>
      <c r="CL84" s="1890">
        <v>66</v>
      </c>
      <c r="CM84" s="322">
        <v>82</v>
      </c>
      <c r="CN84" s="322">
        <v>129</v>
      </c>
      <c r="CO84" s="322">
        <v>-86</v>
      </c>
      <c r="CP84" s="1885"/>
      <c r="CQ84" s="322">
        <v>16</v>
      </c>
      <c r="CR84" s="322">
        <v>44</v>
      </c>
      <c r="CS84" s="322">
        <v>-64</v>
      </c>
      <c r="CT84" s="322">
        <v>-58</v>
      </c>
      <c r="CU84" s="1885"/>
      <c r="CV84" s="322">
        <v>-31</v>
      </c>
      <c r="CW84" s="1884">
        <v>6</v>
      </c>
      <c r="CX84" s="1884">
        <v>-184</v>
      </c>
      <c r="CY84" s="1884">
        <v>-266</v>
      </c>
      <c r="CZ84" s="1885"/>
      <c r="DA84" s="322">
        <v>17</v>
      </c>
      <c r="DB84" s="1884">
        <v>75</v>
      </c>
      <c r="DC84" s="1884">
        <v>119</v>
      </c>
      <c r="DD84" s="1884">
        <v>153</v>
      </c>
      <c r="DE84" s="2690"/>
      <c r="DF84" s="322">
        <v>14</v>
      </c>
      <c r="DG84" s="1884">
        <v>21</v>
      </c>
      <c r="DH84" s="1884">
        <v>271</v>
      </c>
      <c r="DI84" s="1884">
        <f>-1334</f>
        <v>-1334</v>
      </c>
      <c r="DJ84" s="1885"/>
      <c r="DK84" s="1884"/>
      <c r="DL84" s="1884"/>
      <c r="DM84" s="1884"/>
      <c r="DN84" s="1884"/>
      <c r="DO84" s="1885"/>
      <c r="DP84" s="1884"/>
      <c r="DQ84" s="1884"/>
      <c r="DR84" s="1884"/>
      <c r="DS84" s="1884"/>
      <c r="DT84" s="1885"/>
      <c r="DU84" s="1884"/>
      <c r="DV84" s="1884"/>
      <c r="DW84" s="1884"/>
      <c r="DX84" s="1884"/>
      <c r="DY84" s="1885"/>
      <c r="DZ84" s="1858"/>
      <c r="EA84" s="1858"/>
      <c r="EB84" s="1858"/>
    </row>
    <row r="85" spans="1:132" outlineLevel="1" x14ac:dyDescent="0.2">
      <c r="A85" s="1853"/>
      <c r="B85" s="86" t="s">
        <v>311</v>
      </c>
      <c r="C85" s="1884"/>
      <c r="D85" s="1884"/>
      <c r="E85" s="1884"/>
      <c r="F85" s="1884"/>
      <c r="G85" s="1884"/>
      <c r="H85" s="1884"/>
      <c r="I85" s="1885"/>
      <c r="J85" s="1884"/>
      <c r="K85" s="1884"/>
      <c r="L85" s="1884"/>
      <c r="M85" s="1884"/>
      <c r="N85" s="1885"/>
      <c r="O85" s="1884"/>
      <c r="P85" s="1884"/>
      <c r="Q85" s="1884"/>
      <c r="R85" s="1884"/>
      <c r="S85" s="1885"/>
      <c r="T85" s="1884"/>
      <c r="U85" s="1884"/>
      <c r="V85" s="1884"/>
      <c r="W85" s="1884"/>
      <c r="X85" s="1885"/>
      <c r="Y85" s="1884"/>
      <c r="Z85" s="1884"/>
      <c r="AA85" s="1884"/>
      <c r="AB85" s="1884"/>
      <c r="AC85" s="1885"/>
      <c r="AD85" s="1884"/>
      <c r="AE85" s="1884"/>
      <c r="AF85" s="1884"/>
      <c r="AG85" s="1884"/>
      <c r="AH85" s="1885"/>
      <c r="AI85" s="1884"/>
      <c r="AJ85" s="1884"/>
      <c r="AK85" s="1884"/>
      <c r="AL85" s="1884"/>
      <c r="AM85" s="1885"/>
      <c r="AN85" s="1884"/>
      <c r="AO85" s="1884"/>
      <c r="AP85" s="1884"/>
      <c r="AQ85" s="1884"/>
      <c r="AR85" s="1885"/>
      <c r="AS85" s="1884"/>
      <c r="AT85" s="1884"/>
      <c r="AU85" s="1884"/>
      <c r="AV85" s="1884"/>
      <c r="AW85" s="1885"/>
      <c r="AX85" s="1884"/>
      <c r="AY85" s="1884"/>
      <c r="AZ85" s="1884"/>
      <c r="BA85" s="1884"/>
      <c r="BB85" s="1885"/>
      <c r="BC85" s="1884"/>
      <c r="BD85" s="1884"/>
      <c r="BE85" s="1884"/>
      <c r="BF85" s="1884"/>
      <c r="BG85" s="1885"/>
      <c r="BH85" s="1884"/>
      <c r="BI85" s="1884"/>
      <c r="BJ85" s="1884"/>
      <c r="BK85" s="1884"/>
      <c r="BL85" s="1885"/>
      <c r="BM85" s="60">
        <v>3.1</v>
      </c>
      <c r="BN85" s="60">
        <v>10.3</v>
      </c>
      <c r="BO85" s="60">
        <v>5.0999999999999996</v>
      </c>
      <c r="BP85" s="62">
        <f t="shared" si="153"/>
        <v>19.100000000000001</v>
      </c>
      <c r="BQ85" s="1885"/>
      <c r="BR85" s="60">
        <v>-24</v>
      </c>
      <c r="BS85" s="60">
        <v>-2.5</v>
      </c>
      <c r="BT85" s="60">
        <v>-6.9</v>
      </c>
      <c r="BU85" s="62">
        <f t="shared" si="154"/>
        <v>-2</v>
      </c>
      <c r="BV85" s="1885"/>
      <c r="BW85" s="59"/>
      <c r="BX85" s="59"/>
      <c r="BY85" s="60">
        <v>11</v>
      </c>
      <c r="BZ85" s="60">
        <v>-210</v>
      </c>
      <c r="CA85" s="1885"/>
      <c r="CB85" s="60">
        <v>-52</v>
      </c>
      <c r="CC85" s="60">
        <v>-62</v>
      </c>
      <c r="CD85" s="322">
        <v>-52</v>
      </c>
      <c r="CE85" s="322">
        <v>-53</v>
      </c>
      <c r="CF85" s="1885"/>
      <c r="CG85" s="322">
        <v>-189</v>
      </c>
      <c r="CH85" s="322">
        <v>-181</v>
      </c>
      <c r="CI85" s="322">
        <v>-142</v>
      </c>
      <c r="CJ85" s="1629">
        <v>-99</v>
      </c>
      <c r="CK85" s="1885"/>
      <c r="CL85" s="1891">
        <v>-135</v>
      </c>
      <c r="CM85" s="322">
        <v>-138</v>
      </c>
      <c r="CN85" s="322">
        <v>-125</v>
      </c>
      <c r="CO85" s="322">
        <v>-135</v>
      </c>
      <c r="CP85" s="1885"/>
      <c r="CQ85" s="322">
        <v>-39</v>
      </c>
      <c r="CR85" s="322">
        <v>-23</v>
      </c>
      <c r="CS85" s="322">
        <f>521-19</f>
        <v>502</v>
      </c>
      <c r="CT85" s="322">
        <v>9</v>
      </c>
      <c r="CU85" s="1885"/>
      <c r="CV85" s="322">
        <v>0</v>
      </c>
      <c r="CW85" s="1884"/>
      <c r="CX85" s="1884"/>
      <c r="CY85" s="1884"/>
      <c r="CZ85" s="1885"/>
      <c r="DA85" s="322">
        <v>0</v>
      </c>
      <c r="DB85" s="1884"/>
      <c r="DC85" s="1884"/>
      <c r="DD85" s="1884"/>
      <c r="DE85" s="2690"/>
      <c r="DF85" s="322">
        <v>0</v>
      </c>
      <c r="DG85" s="1884"/>
      <c r="DH85" s="1884">
        <v>187</v>
      </c>
      <c r="DI85" s="1884">
        <f>187+53</f>
        <v>240</v>
      </c>
      <c r="DJ85" s="1885"/>
      <c r="DK85" s="1884"/>
      <c r="DL85" s="1884"/>
      <c r="DM85" s="1884"/>
      <c r="DN85" s="1884"/>
      <c r="DO85" s="1885"/>
      <c r="DP85" s="1884"/>
      <c r="DQ85" s="1884"/>
      <c r="DR85" s="1884"/>
      <c r="DS85" s="1884"/>
      <c r="DT85" s="1885"/>
      <c r="DU85" s="1884"/>
      <c r="DV85" s="1884"/>
      <c r="DW85" s="1884"/>
      <c r="DX85" s="1884"/>
      <c r="DY85" s="1885"/>
      <c r="DZ85" s="1858"/>
      <c r="EA85" s="1858"/>
      <c r="EB85" s="1858"/>
    </row>
    <row r="86" spans="1:132" outlineLevel="1" x14ac:dyDescent="0.2">
      <c r="A86" s="1853"/>
      <c r="B86" s="86" t="s">
        <v>312</v>
      </c>
      <c r="C86" s="1884"/>
      <c r="D86" s="1884"/>
      <c r="E86" s="1884"/>
      <c r="F86" s="1884"/>
      <c r="G86" s="1884"/>
      <c r="H86" s="1884"/>
      <c r="I86" s="1885"/>
      <c r="J86" s="1884"/>
      <c r="K86" s="1884"/>
      <c r="L86" s="1884"/>
      <c r="M86" s="1884"/>
      <c r="N86" s="1885"/>
      <c r="O86" s="1884"/>
      <c r="P86" s="1884"/>
      <c r="Q86" s="1884"/>
      <c r="R86" s="1884"/>
      <c r="S86" s="1885"/>
      <c r="T86" s="1884"/>
      <c r="U86" s="1884"/>
      <c r="V86" s="1884"/>
      <c r="W86" s="1884"/>
      <c r="X86" s="1885"/>
      <c r="Y86" s="1884"/>
      <c r="Z86" s="1884"/>
      <c r="AA86" s="1884"/>
      <c r="AB86" s="1884"/>
      <c r="AC86" s="1885"/>
      <c r="AD86" s="1884"/>
      <c r="AE86" s="1884"/>
      <c r="AF86" s="1884"/>
      <c r="AG86" s="1884"/>
      <c r="AH86" s="1885"/>
      <c r="AI86" s="1884"/>
      <c r="AJ86" s="1884"/>
      <c r="AK86" s="1884"/>
      <c r="AL86" s="1884"/>
      <c r="AM86" s="1885"/>
      <c r="AN86" s="1884"/>
      <c r="AO86" s="1884"/>
      <c r="AP86" s="1884"/>
      <c r="AQ86" s="1884"/>
      <c r="AR86" s="1885"/>
      <c r="AS86" s="1884"/>
      <c r="AT86" s="1884"/>
      <c r="AU86" s="1884"/>
      <c r="AV86" s="1884"/>
      <c r="AW86" s="1885"/>
      <c r="AX86" s="1884"/>
      <c r="AY86" s="1884"/>
      <c r="AZ86" s="1884"/>
      <c r="BA86" s="1884"/>
      <c r="BB86" s="1885"/>
      <c r="BC86" s="1884"/>
      <c r="BD86" s="1884"/>
      <c r="BE86" s="1884"/>
      <c r="BF86" s="1884"/>
      <c r="BG86" s="1885"/>
      <c r="BH86" s="1884"/>
      <c r="BI86" s="1884"/>
      <c r="BJ86" s="1884"/>
      <c r="BK86" s="1884"/>
      <c r="BL86" s="1885"/>
      <c r="BM86" s="60">
        <v>0</v>
      </c>
      <c r="BN86" s="60">
        <v>0</v>
      </c>
      <c r="BO86" s="60">
        <v>0</v>
      </c>
      <c r="BP86" s="62">
        <f t="shared" si="153"/>
        <v>0</v>
      </c>
      <c r="BQ86" s="1885"/>
      <c r="BR86" s="59"/>
      <c r="BS86" s="59"/>
      <c r="BT86" s="59"/>
      <c r="BU86" s="62">
        <f t="shared" si="154"/>
        <v>0</v>
      </c>
      <c r="BV86" s="1885"/>
      <c r="BW86" s="59"/>
      <c r="BX86" s="59"/>
      <c r="BY86" s="59"/>
      <c r="BZ86" s="59"/>
      <c r="CA86" s="1885"/>
      <c r="CB86" s="59"/>
      <c r="CC86" s="59"/>
      <c r="CD86" s="322"/>
      <c r="CE86" s="322"/>
      <c r="CF86" s="1885"/>
      <c r="CG86" s="322"/>
      <c r="CH86" s="322"/>
      <c r="CI86" s="322"/>
      <c r="CJ86" s="1629">
        <v>348</v>
      </c>
      <c r="CK86" s="1885"/>
      <c r="CL86" s="1884"/>
      <c r="CM86" s="322"/>
      <c r="CN86" s="322"/>
      <c r="CO86" s="322"/>
      <c r="CP86" s="1885"/>
      <c r="CQ86" s="322"/>
      <c r="CR86" s="322"/>
      <c r="CS86" s="322"/>
      <c r="CT86" s="322">
        <v>521</v>
      </c>
      <c r="CU86" s="1885">
        <f>CT86</f>
        <v>521</v>
      </c>
      <c r="CV86" s="322">
        <v>0</v>
      </c>
      <c r="CW86" s="1884"/>
      <c r="CX86" s="1884"/>
      <c r="CY86" s="1884"/>
      <c r="CZ86" s="1885"/>
      <c r="DA86" s="322">
        <v>0</v>
      </c>
      <c r="DB86" s="1884">
        <v>542</v>
      </c>
      <c r="DC86" s="1884">
        <v>643</v>
      </c>
      <c r="DD86" s="1884">
        <v>643</v>
      </c>
      <c r="DE86" s="2690"/>
      <c r="DF86" s="322">
        <v>0</v>
      </c>
      <c r="DG86" s="1884"/>
      <c r="DH86" s="1884"/>
      <c r="DI86" s="1884"/>
      <c r="DJ86" s="1885"/>
      <c r="DK86" s="1884"/>
      <c r="DL86" s="1884"/>
      <c r="DM86" s="1884"/>
      <c r="DN86" s="1884"/>
      <c r="DO86" s="1885"/>
      <c r="DP86" s="1884"/>
      <c r="DQ86" s="1884"/>
      <c r="DR86" s="1884"/>
      <c r="DS86" s="1884"/>
      <c r="DT86" s="1885"/>
      <c r="DU86" s="1884"/>
      <c r="DV86" s="1884"/>
      <c r="DW86" s="1884"/>
      <c r="DX86" s="1884"/>
      <c r="DY86" s="1885"/>
      <c r="DZ86" s="1858"/>
      <c r="EA86" s="1858"/>
      <c r="EB86" s="1858"/>
    </row>
    <row r="87" spans="1:132" outlineLevel="1" x14ac:dyDescent="0.2">
      <c r="A87" s="1853"/>
      <c r="B87" s="86" t="s">
        <v>313</v>
      </c>
      <c r="C87" s="1884"/>
      <c r="D87" s="1884"/>
      <c r="E87" s="1884"/>
      <c r="F87" s="1884"/>
      <c r="G87" s="1884"/>
      <c r="H87" s="1884"/>
      <c r="I87" s="1885"/>
      <c r="J87" s="1884"/>
      <c r="K87" s="1884"/>
      <c r="L87" s="1884"/>
      <c r="M87" s="1884"/>
      <c r="N87" s="1885"/>
      <c r="O87" s="1884"/>
      <c r="P87" s="1884"/>
      <c r="Q87" s="1884"/>
      <c r="R87" s="1884"/>
      <c r="S87" s="1885"/>
      <c r="T87" s="1884"/>
      <c r="U87" s="1884"/>
      <c r="V87" s="1884"/>
      <c r="W87" s="1884"/>
      <c r="X87" s="1885"/>
      <c r="Y87" s="1884"/>
      <c r="Z87" s="1884"/>
      <c r="AA87" s="1884"/>
      <c r="AB87" s="1884"/>
      <c r="AC87" s="1885"/>
      <c r="AD87" s="1884"/>
      <c r="AE87" s="1884"/>
      <c r="AF87" s="1884"/>
      <c r="AG87" s="1884"/>
      <c r="AH87" s="1885"/>
      <c r="AI87" s="1884"/>
      <c r="AJ87" s="1884"/>
      <c r="AK87" s="1884"/>
      <c r="AL87" s="1884"/>
      <c r="AM87" s="1885"/>
      <c r="AN87" s="1884"/>
      <c r="AO87" s="1884"/>
      <c r="AP87" s="1884"/>
      <c r="AQ87" s="1884"/>
      <c r="AR87" s="1885"/>
      <c r="AS87" s="1884"/>
      <c r="AT87" s="1884"/>
      <c r="AU87" s="1884"/>
      <c r="AV87" s="1884"/>
      <c r="AW87" s="1885"/>
      <c r="AX87" s="1884"/>
      <c r="AY87" s="1884"/>
      <c r="AZ87" s="1884"/>
      <c r="BA87" s="1884"/>
      <c r="BB87" s="1885"/>
      <c r="BC87" s="1884"/>
      <c r="BD87" s="1884"/>
      <c r="BE87" s="1884"/>
      <c r="BF87" s="1884"/>
      <c r="BG87" s="1885"/>
      <c r="BH87" s="1884"/>
      <c r="BI87" s="1884"/>
      <c r="BJ87" s="1884"/>
      <c r="BK87" s="1884"/>
      <c r="BL87" s="1885"/>
      <c r="BM87" s="60">
        <v>-1.9</v>
      </c>
      <c r="BN87" s="60">
        <v>2.6</v>
      </c>
      <c r="BO87" s="60">
        <v>-12.2</v>
      </c>
      <c r="BP87" s="62">
        <f t="shared" si="153"/>
        <v>0.6</v>
      </c>
      <c r="BQ87" s="1885"/>
      <c r="BR87" s="60">
        <v>-21.8</v>
      </c>
      <c r="BS87" s="60">
        <v>46.5</v>
      </c>
      <c r="BT87" s="60">
        <v>90.6</v>
      </c>
      <c r="BU87" s="62">
        <f t="shared" si="154"/>
        <v>38</v>
      </c>
      <c r="BV87" s="1885"/>
      <c r="BW87" s="59"/>
      <c r="BX87" s="60">
        <v>-32</v>
      </c>
      <c r="BY87" s="60">
        <v>-41</v>
      </c>
      <c r="BZ87" s="60">
        <v>-44</v>
      </c>
      <c r="CA87" s="1885"/>
      <c r="CB87" s="60">
        <v>-26</v>
      </c>
      <c r="CC87" s="60">
        <v>-75</v>
      </c>
      <c r="CD87" s="322">
        <v>-73</v>
      </c>
      <c r="CE87" s="322">
        <v>2</v>
      </c>
      <c r="CF87" s="1885"/>
      <c r="CG87" s="322">
        <v>-14</v>
      </c>
      <c r="CH87" s="322">
        <v>-7</v>
      </c>
      <c r="CI87" s="322">
        <v>68</v>
      </c>
      <c r="CJ87" s="1629">
        <v>110</v>
      </c>
      <c r="CK87" s="1885"/>
      <c r="CL87" s="1890">
        <v>24</v>
      </c>
      <c r="CM87" s="322">
        <v>24</v>
      </c>
      <c r="CN87" s="322">
        <v>49</v>
      </c>
      <c r="CO87" s="322">
        <v>-1</v>
      </c>
      <c r="CP87" s="1885"/>
      <c r="CQ87" s="322">
        <v>-14</v>
      </c>
      <c r="CR87" s="322">
        <v>-30</v>
      </c>
      <c r="CS87" s="322">
        <v>-27</v>
      </c>
      <c r="CT87" s="322">
        <v>13</v>
      </c>
      <c r="CU87" s="1885"/>
      <c r="CV87" s="322">
        <v>-72</v>
      </c>
      <c r="CW87" s="1884">
        <v>-93</v>
      </c>
      <c r="CX87" s="1884">
        <v>-116</v>
      </c>
      <c r="CY87" s="1884">
        <v>-104</v>
      </c>
      <c r="CZ87" s="1885"/>
      <c r="DA87" s="322">
        <v>0</v>
      </c>
      <c r="DB87" s="1884"/>
      <c r="DC87" s="1884"/>
      <c r="DD87" s="1884"/>
      <c r="DE87" s="2690"/>
      <c r="DF87" s="322">
        <v>0</v>
      </c>
      <c r="DG87" s="1884"/>
      <c r="DH87" s="1884"/>
      <c r="DI87" s="1884"/>
      <c r="DJ87" s="1885"/>
      <c r="DK87" s="1884"/>
      <c r="DL87" s="1884"/>
      <c r="DM87" s="1884"/>
      <c r="DN87" s="1884"/>
      <c r="DO87" s="1885"/>
      <c r="DP87" s="1884"/>
      <c r="DQ87" s="1884"/>
      <c r="DR87" s="1884"/>
      <c r="DS87" s="1884"/>
      <c r="DT87" s="1885"/>
      <c r="DU87" s="1884"/>
      <c r="DV87" s="1884"/>
      <c r="DW87" s="1884"/>
      <c r="DX87" s="1884"/>
      <c r="DY87" s="1885"/>
      <c r="DZ87" s="1858"/>
      <c r="EA87" s="1858"/>
      <c r="EB87" s="1858"/>
    </row>
    <row r="88" spans="1:132" outlineLevel="1" x14ac:dyDescent="0.2">
      <c r="A88" s="1853"/>
      <c r="B88" s="86" t="s">
        <v>314</v>
      </c>
      <c r="C88" s="1884"/>
      <c r="D88" s="1884"/>
      <c r="E88" s="1884"/>
      <c r="F88" s="1884"/>
      <c r="G88" s="1884"/>
      <c r="H88" s="1884"/>
      <c r="I88" s="1885"/>
      <c r="J88" s="1884"/>
      <c r="K88" s="1884"/>
      <c r="L88" s="1884"/>
      <c r="M88" s="1884"/>
      <c r="N88" s="1885"/>
      <c r="O88" s="1884"/>
      <c r="P88" s="1884"/>
      <c r="Q88" s="1884"/>
      <c r="R88" s="1884"/>
      <c r="S88" s="1885"/>
      <c r="T88" s="1884"/>
      <c r="U88" s="1884"/>
      <c r="V88" s="1884"/>
      <c r="W88" s="1884"/>
      <c r="X88" s="1885"/>
      <c r="Y88" s="1884"/>
      <c r="Z88" s="1884"/>
      <c r="AA88" s="1884"/>
      <c r="AB88" s="1884"/>
      <c r="AC88" s="1885"/>
      <c r="AD88" s="1884"/>
      <c r="AE88" s="1884"/>
      <c r="AF88" s="1884"/>
      <c r="AG88" s="1884"/>
      <c r="AH88" s="1885"/>
      <c r="AI88" s="1884"/>
      <c r="AJ88" s="1884"/>
      <c r="AK88" s="1884"/>
      <c r="AL88" s="1884"/>
      <c r="AM88" s="1885"/>
      <c r="AN88" s="1884"/>
      <c r="AO88" s="1884"/>
      <c r="AP88" s="1884"/>
      <c r="AQ88" s="1884"/>
      <c r="AR88" s="1885"/>
      <c r="AS88" s="1884"/>
      <c r="AT88" s="1884"/>
      <c r="AU88" s="1884"/>
      <c r="AV88" s="1884"/>
      <c r="AW88" s="1885"/>
      <c r="AX88" s="1884"/>
      <c r="AY88" s="1884"/>
      <c r="AZ88" s="1884"/>
      <c r="BA88" s="1884"/>
      <c r="BB88" s="1885"/>
      <c r="BC88" s="1884"/>
      <c r="BD88" s="1884"/>
      <c r="BE88" s="1884"/>
      <c r="BF88" s="1884"/>
      <c r="BG88" s="1885"/>
      <c r="BH88" s="1884"/>
      <c r="BI88" s="1884"/>
      <c r="BJ88" s="1884"/>
      <c r="BK88" s="1884"/>
      <c r="BL88" s="1885"/>
      <c r="BM88" s="60">
        <v>0</v>
      </c>
      <c r="BN88" s="60">
        <v>0</v>
      </c>
      <c r="BO88" s="60">
        <v>0</v>
      </c>
      <c r="BP88" s="62">
        <f t="shared" si="153"/>
        <v>0</v>
      </c>
      <c r="BQ88" s="1885"/>
      <c r="BR88" s="59"/>
      <c r="BS88" s="59"/>
      <c r="BT88" s="59"/>
      <c r="BU88" s="62">
        <f t="shared" si="154"/>
        <v>0</v>
      </c>
      <c r="BV88" s="1885"/>
      <c r="BW88" s="60">
        <v>6</v>
      </c>
      <c r="BX88" s="59"/>
      <c r="BY88" s="59"/>
      <c r="BZ88" s="59"/>
      <c r="CA88" s="1885"/>
      <c r="CB88" s="59"/>
      <c r="CC88" s="59"/>
      <c r="CD88" s="322"/>
      <c r="CE88" s="322"/>
      <c r="CF88" s="1885"/>
      <c r="CG88" s="322"/>
      <c r="CH88" s="78"/>
      <c r="CI88" s="322"/>
      <c r="CJ88" s="1626"/>
      <c r="CK88" s="1885"/>
      <c r="CL88" s="1884"/>
      <c r="CM88" s="78"/>
      <c r="CN88" s="78"/>
      <c r="CO88" s="78"/>
      <c r="CP88" s="1885"/>
      <c r="CQ88" s="78"/>
      <c r="CR88" s="78"/>
      <c r="CS88" s="78"/>
      <c r="CT88" s="78"/>
      <c r="CU88" s="1885"/>
      <c r="CV88" s="78"/>
      <c r="CW88" s="1884"/>
      <c r="CX88" s="1884"/>
      <c r="CY88" s="1884"/>
      <c r="CZ88" s="1885"/>
      <c r="DA88" s="78"/>
      <c r="DB88" s="1884"/>
      <c r="DC88" s="1884"/>
      <c r="DD88" s="1884"/>
      <c r="DE88" s="2690"/>
      <c r="DF88" s="78">
        <v>0</v>
      </c>
      <c r="DG88" s="1884"/>
      <c r="DH88" s="1884"/>
      <c r="DI88" s="1884"/>
      <c r="DJ88" s="1885"/>
      <c r="DK88" s="1884"/>
      <c r="DL88" s="1884"/>
      <c r="DM88" s="1884"/>
      <c r="DN88" s="1884"/>
      <c r="DO88" s="1885"/>
      <c r="DP88" s="1884"/>
      <c r="DQ88" s="1884"/>
      <c r="DR88" s="1884"/>
      <c r="DS88" s="1884"/>
      <c r="DT88" s="1885"/>
      <c r="DU88" s="1884"/>
      <c r="DV88" s="1884"/>
      <c r="DW88" s="1884"/>
      <c r="DX88" s="1884"/>
      <c r="DY88" s="1885"/>
      <c r="DZ88" s="1858"/>
      <c r="EA88" s="1858"/>
      <c r="EB88" s="1858"/>
    </row>
    <row r="89" spans="1:132" outlineLevel="1" x14ac:dyDescent="0.2">
      <c r="A89" s="1853"/>
      <c r="B89" s="86"/>
      <c r="C89" s="1884"/>
      <c r="D89" s="1884"/>
      <c r="E89" s="1884"/>
      <c r="F89" s="1884"/>
      <c r="G89" s="1884"/>
      <c r="H89" s="1884"/>
      <c r="I89" s="1885"/>
      <c r="J89" s="1884"/>
      <c r="K89" s="1884"/>
      <c r="L89" s="1884"/>
      <c r="M89" s="1884"/>
      <c r="N89" s="1885"/>
      <c r="O89" s="1884"/>
      <c r="P89" s="1884"/>
      <c r="Q89" s="1884"/>
      <c r="R89" s="1884"/>
      <c r="S89" s="1885"/>
      <c r="T89" s="1884"/>
      <c r="U89" s="1884"/>
      <c r="V89" s="1884"/>
      <c r="W89" s="1884"/>
      <c r="X89" s="1885"/>
      <c r="Y89" s="1884"/>
      <c r="Z89" s="1884"/>
      <c r="AA89" s="1884"/>
      <c r="AB89" s="1884"/>
      <c r="AC89" s="1885"/>
      <c r="AD89" s="1884"/>
      <c r="AE89" s="1884"/>
      <c r="AF89" s="1884"/>
      <c r="AG89" s="1884"/>
      <c r="AH89" s="1885"/>
      <c r="AI89" s="1884"/>
      <c r="AJ89" s="1884"/>
      <c r="AK89" s="1884"/>
      <c r="AL89" s="1884"/>
      <c r="AM89" s="1885"/>
      <c r="AN89" s="1884"/>
      <c r="AO89" s="1884"/>
      <c r="AP89" s="1884"/>
      <c r="AQ89" s="1884"/>
      <c r="AR89" s="1885"/>
      <c r="AS89" s="1884"/>
      <c r="AT89" s="1884"/>
      <c r="AU89" s="1884"/>
      <c r="AV89" s="1884"/>
      <c r="AW89" s="1885"/>
      <c r="AX89" s="1884"/>
      <c r="AY89" s="1884"/>
      <c r="AZ89" s="1884"/>
      <c r="BA89" s="1884"/>
      <c r="BB89" s="1885"/>
      <c r="BC89" s="1884"/>
      <c r="BD89" s="1884"/>
      <c r="BE89" s="1884"/>
      <c r="BF89" s="1884"/>
      <c r="BG89" s="1885"/>
      <c r="BH89" s="1884"/>
      <c r="BI89" s="1884"/>
      <c r="BJ89" s="1884"/>
      <c r="BK89" s="1884"/>
      <c r="BL89" s="1885"/>
      <c r="BM89" s="59"/>
      <c r="BN89" s="59"/>
      <c r="BO89" s="59"/>
      <c r="BP89" s="59"/>
      <c r="BQ89" s="1885"/>
      <c r="BR89" s="59"/>
      <c r="BS89" s="59"/>
      <c r="BT89" s="59"/>
      <c r="BU89" s="59"/>
      <c r="BV89" s="1885"/>
      <c r="BW89" s="59"/>
      <c r="BX89" s="59"/>
      <c r="BY89" s="59"/>
      <c r="BZ89" s="59"/>
      <c r="CA89" s="1885"/>
      <c r="CB89" s="59"/>
      <c r="CC89" s="59"/>
      <c r="CD89" s="322"/>
      <c r="CE89" s="322"/>
      <c r="CF89" s="1885"/>
      <c r="CG89" s="322"/>
      <c r="CH89" s="78"/>
      <c r="CI89" s="322"/>
      <c r="CJ89" s="78"/>
      <c r="CK89" s="1885"/>
      <c r="CL89" s="1884"/>
      <c r="CM89" s="78"/>
      <c r="CN89" s="78"/>
      <c r="CO89" s="78"/>
      <c r="CP89" s="1885"/>
      <c r="CQ89" s="78"/>
      <c r="CR89" s="78"/>
      <c r="CS89" s="78"/>
      <c r="CT89" s="78"/>
      <c r="CU89" s="1885"/>
      <c r="CV89" s="78"/>
      <c r="CW89" s="1884"/>
      <c r="CX89" s="1884"/>
      <c r="CY89" s="1884"/>
      <c r="CZ89" s="1885"/>
      <c r="DA89" s="78"/>
      <c r="DB89" s="1884"/>
      <c r="DC89" s="1884"/>
      <c r="DD89" s="1884"/>
      <c r="DE89" s="2690"/>
      <c r="DF89" s="78"/>
      <c r="DG89" s="1884"/>
      <c r="DH89" s="1884"/>
      <c r="DI89" s="1884"/>
      <c r="DJ89" s="1885"/>
      <c r="DK89" s="1884"/>
      <c r="DL89" s="1884"/>
      <c r="DM89" s="1884"/>
      <c r="DN89" s="1884"/>
      <c r="DO89" s="1885"/>
      <c r="DP89" s="1884"/>
      <c r="DQ89" s="1884"/>
      <c r="DR89" s="1884"/>
      <c r="DS89" s="1884"/>
      <c r="DT89" s="1885"/>
      <c r="DU89" s="1884"/>
      <c r="DV89" s="1884"/>
      <c r="DW89" s="1884"/>
      <c r="DX89" s="1884"/>
      <c r="DY89" s="1885"/>
      <c r="DZ89" s="1858"/>
      <c r="EA89" s="1858"/>
      <c r="EB89" s="1858"/>
    </row>
    <row r="90" spans="1:132" outlineLevel="1" x14ac:dyDescent="0.2">
      <c r="A90" s="1853"/>
      <c r="B90" s="357" t="s">
        <v>315</v>
      </c>
      <c r="C90" s="1884"/>
      <c r="D90" s="1884"/>
      <c r="E90" s="1884"/>
      <c r="F90" s="1884"/>
      <c r="G90" s="1884"/>
      <c r="H90" s="1884"/>
      <c r="I90" s="1885"/>
      <c r="J90" s="1884"/>
      <c r="K90" s="1884"/>
      <c r="L90" s="1884"/>
      <c r="M90" s="1884"/>
      <c r="N90" s="1885"/>
      <c r="O90" s="1884"/>
      <c r="P90" s="1884"/>
      <c r="Q90" s="1884"/>
      <c r="R90" s="1884"/>
      <c r="S90" s="1885"/>
      <c r="T90" s="1884"/>
      <c r="U90" s="1884"/>
      <c r="V90" s="1884"/>
      <c r="W90" s="1884"/>
      <c r="X90" s="1885"/>
      <c r="Y90" s="1884"/>
      <c r="Z90" s="1884"/>
      <c r="AA90" s="1884"/>
      <c r="AB90" s="1884"/>
      <c r="AC90" s="1885"/>
      <c r="AD90" s="1884"/>
      <c r="AE90" s="1884"/>
      <c r="AF90" s="1884"/>
      <c r="AG90" s="1884"/>
      <c r="AH90" s="1885"/>
      <c r="AI90" s="1884"/>
      <c r="AJ90" s="1884"/>
      <c r="AK90" s="1884"/>
      <c r="AL90" s="1884"/>
      <c r="AM90" s="1885"/>
      <c r="AN90" s="1884"/>
      <c r="AO90" s="1884"/>
      <c r="AP90" s="1884"/>
      <c r="AQ90" s="1884"/>
      <c r="AR90" s="1885"/>
      <c r="AS90" s="1884"/>
      <c r="AT90" s="1884"/>
      <c r="AU90" s="1884"/>
      <c r="AV90" s="1884"/>
      <c r="AW90" s="1885"/>
      <c r="AX90" s="1884"/>
      <c r="AY90" s="1884"/>
      <c r="AZ90" s="1884"/>
      <c r="BA90" s="1884"/>
      <c r="BB90" s="1885"/>
      <c r="BC90" s="1884"/>
      <c r="BD90" s="1884"/>
      <c r="BE90" s="1884"/>
      <c r="BF90" s="1884"/>
      <c r="BG90" s="1885"/>
      <c r="BH90" s="1884"/>
      <c r="BI90" s="1884"/>
      <c r="BJ90" s="1884"/>
      <c r="BK90" s="1884"/>
      <c r="BL90" s="1885"/>
      <c r="BM90" s="59"/>
      <c r="BN90" s="59"/>
      <c r="BO90" s="59"/>
      <c r="BP90" s="59"/>
      <c r="BQ90" s="1885"/>
      <c r="BR90" s="59"/>
      <c r="BS90" s="59"/>
      <c r="BT90" s="59"/>
      <c r="BU90" s="59"/>
      <c r="BV90" s="1885"/>
      <c r="BW90" s="59"/>
      <c r="BX90" s="59"/>
      <c r="BY90" s="59"/>
      <c r="BZ90" s="59"/>
      <c r="CA90" s="1885"/>
      <c r="CB90" s="59"/>
      <c r="CC90" s="59"/>
      <c r="CD90" s="322"/>
      <c r="CE90" s="322"/>
      <c r="CF90" s="1885"/>
      <c r="CG90" s="322"/>
      <c r="CH90" s="78"/>
      <c r="CI90" s="322"/>
      <c r="CJ90" s="78"/>
      <c r="CK90" s="1885"/>
      <c r="CL90" s="1884"/>
      <c r="CM90" s="78"/>
      <c r="CN90" s="78"/>
      <c r="CO90" s="78"/>
      <c r="CP90" s="1885"/>
      <c r="CQ90" s="78"/>
      <c r="CR90" s="78"/>
      <c r="CS90" s="78"/>
      <c r="CT90" s="78"/>
      <c r="CU90" s="1885"/>
      <c r="CV90" s="78"/>
      <c r="CW90" s="1884"/>
      <c r="CX90" s="1884"/>
      <c r="CY90" s="1884"/>
      <c r="CZ90" s="1885"/>
      <c r="DA90" s="78"/>
      <c r="DB90" s="1884"/>
      <c r="DC90" s="1884"/>
      <c r="DD90" s="1884"/>
      <c r="DE90" s="2690"/>
      <c r="DF90" s="78"/>
      <c r="DG90" s="1884"/>
      <c r="DH90" s="1884"/>
      <c r="DI90" s="1884"/>
      <c r="DJ90" s="1885"/>
      <c r="DK90" s="1884"/>
      <c r="DL90" s="1884"/>
      <c r="DM90" s="1884"/>
      <c r="DN90" s="1884"/>
      <c r="DO90" s="1885"/>
      <c r="DP90" s="1884"/>
      <c r="DQ90" s="1884"/>
      <c r="DR90" s="1884"/>
      <c r="DS90" s="1884"/>
      <c r="DT90" s="1885"/>
      <c r="DU90" s="1884"/>
      <c r="DV90" s="1884"/>
      <c r="DW90" s="1884"/>
      <c r="DX90" s="1884"/>
      <c r="DY90" s="1885"/>
      <c r="DZ90" s="1858"/>
      <c r="EA90" s="1858"/>
      <c r="EB90" s="1858"/>
    </row>
    <row r="91" spans="1:132" outlineLevel="1" x14ac:dyDescent="0.2">
      <c r="A91" s="1853"/>
      <c r="B91" s="86"/>
      <c r="C91" s="1884"/>
      <c r="D91" s="1884"/>
      <c r="E91" s="1884"/>
      <c r="F91" s="1884"/>
      <c r="G91" s="1884"/>
      <c r="H91" s="1884"/>
      <c r="I91" s="1885"/>
      <c r="J91" s="1884"/>
      <c r="K91" s="1884"/>
      <c r="L91" s="1884"/>
      <c r="M91" s="1884"/>
      <c r="N91" s="1885"/>
      <c r="O91" s="1884"/>
      <c r="P91" s="1884"/>
      <c r="Q91" s="1884"/>
      <c r="R91" s="1884"/>
      <c r="S91" s="1885"/>
      <c r="T91" s="1884"/>
      <c r="U91" s="1884"/>
      <c r="V91" s="1884"/>
      <c r="W91" s="1884"/>
      <c r="X91" s="1885"/>
      <c r="Y91" s="1884"/>
      <c r="Z91" s="1884"/>
      <c r="AA91" s="1884"/>
      <c r="AB91" s="1884"/>
      <c r="AC91" s="1885"/>
      <c r="AD91" s="1884"/>
      <c r="AE91" s="1884"/>
      <c r="AF91" s="1884"/>
      <c r="AG91" s="1884"/>
      <c r="AH91" s="1885"/>
      <c r="AI91" s="1884"/>
      <c r="AJ91" s="1884"/>
      <c r="AK91" s="1884"/>
      <c r="AL91" s="1884"/>
      <c r="AM91" s="1885"/>
      <c r="AN91" s="1884"/>
      <c r="AO91" s="1884"/>
      <c r="AP91" s="1884"/>
      <c r="AQ91" s="1884"/>
      <c r="AR91" s="1885"/>
      <c r="AS91" s="1884"/>
      <c r="AT91" s="1884"/>
      <c r="AU91" s="1884"/>
      <c r="AV91" s="1884"/>
      <c r="AW91" s="1885"/>
      <c r="AX91" s="1884"/>
      <c r="AY91" s="1884"/>
      <c r="AZ91" s="1884"/>
      <c r="BA91" s="1884"/>
      <c r="BB91" s="1885"/>
      <c r="BC91" s="1884"/>
      <c r="BD91" s="1884"/>
      <c r="BE91" s="1884"/>
      <c r="BF91" s="1884"/>
      <c r="BG91" s="1885"/>
      <c r="BH91" s="1884"/>
      <c r="BI91" s="1884"/>
      <c r="BJ91" s="1884"/>
      <c r="BK91" s="1884"/>
      <c r="BL91" s="1885"/>
      <c r="BM91" s="59"/>
      <c r="BN91" s="59"/>
      <c r="BO91" s="59"/>
      <c r="BP91" s="59"/>
      <c r="BQ91" s="1885"/>
      <c r="BR91" s="59"/>
      <c r="BS91" s="59"/>
      <c r="BT91" s="59"/>
      <c r="BU91" s="59"/>
      <c r="BV91" s="1885"/>
      <c r="BW91" s="59"/>
      <c r="BX91" s="59"/>
      <c r="BY91" s="59"/>
      <c r="BZ91" s="59"/>
      <c r="CA91" s="1885"/>
      <c r="CB91" s="59"/>
      <c r="CC91" s="59"/>
      <c r="CD91" s="322"/>
      <c r="CE91" s="322"/>
      <c r="CF91" s="1885"/>
      <c r="CG91" s="322"/>
      <c r="CH91" s="78"/>
      <c r="CI91" s="322"/>
      <c r="CJ91" s="78"/>
      <c r="CK91" s="1885"/>
      <c r="CL91" s="1884"/>
      <c r="CM91" s="78"/>
      <c r="CN91" s="78"/>
      <c r="CO91" s="78"/>
      <c r="CP91" s="1885"/>
      <c r="CQ91" s="78"/>
      <c r="CR91" s="78"/>
      <c r="CS91" s="78"/>
      <c r="CT91" s="78"/>
      <c r="CU91" s="1885"/>
      <c r="CV91" s="78"/>
      <c r="CW91" s="1884"/>
      <c r="CX91" s="1884"/>
      <c r="CY91" s="1884"/>
      <c r="CZ91" s="1885"/>
      <c r="DA91" s="78"/>
      <c r="DB91" s="1884"/>
      <c r="DC91" s="1884"/>
      <c r="DD91" s="1884"/>
      <c r="DE91" s="2690"/>
      <c r="DF91" s="78"/>
      <c r="DG91" s="1884"/>
      <c r="DH91" s="1884"/>
      <c r="DI91" s="1884"/>
      <c r="DJ91" s="1885"/>
      <c r="DK91" s="1884"/>
      <c r="DL91" s="1884"/>
      <c r="DM91" s="1884"/>
      <c r="DN91" s="1884"/>
      <c r="DO91" s="1885"/>
      <c r="DP91" s="1884"/>
      <c r="DQ91" s="1884"/>
      <c r="DR91" s="1884"/>
      <c r="DS91" s="1884"/>
      <c r="DT91" s="1885"/>
      <c r="DU91" s="1884"/>
      <c r="DV91" s="1884"/>
      <c r="DW91" s="1884"/>
      <c r="DX91" s="1884"/>
      <c r="DY91" s="1885"/>
      <c r="DZ91" s="1858"/>
      <c r="EA91" s="1858"/>
      <c r="EB91" s="1858"/>
    </row>
    <row r="92" spans="1:132" outlineLevel="1" x14ac:dyDescent="0.2">
      <c r="A92" s="1853"/>
      <c r="B92" s="86" t="s">
        <v>316</v>
      </c>
      <c r="C92" s="1884"/>
      <c r="D92" s="1884"/>
      <c r="E92" s="1884"/>
      <c r="F92" s="1884"/>
      <c r="G92" s="1884"/>
      <c r="H92" s="1884"/>
      <c r="I92" s="1885"/>
      <c r="J92" s="1884"/>
      <c r="K92" s="1884"/>
      <c r="L92" s="1884"/>
      <c r="M92" s="1884"/>
      <c r="N92" s="1885"/>
      <c r="O92" s="1884"/>
      <c r="P92" s="1884"/>
      <c r="Q92" s="1884"/>
      <c r="R92" s="1884"/>
      <c r="S92" s="1885"/>
      <c r="T92" s="1884"/>
      <c r="U92" s="1884"/>
      <c r="V92" s="1884"/>
      <c r="W92" s="1884"/>
      <c r="X92" s="1885"/>
      <c r="Y92" s="1884"/>
      <c r="Z92" s="1884"/>
      <c r="AA92" s="1884"/>
      <c r="AB92" s="1884"/>
      <c r="AC92" s="1885"/>
      <c r="AD92" s="1884"/>
      <c r="AE92" s="1884"/>
      <c r="AF92" s="1884"/>
      <c r="AG92" s="1884"/>
      <c r="AH92" s="1885"/>
      <c r="AI92" s="1884"/>
      <c r="AJ92" s="1884"/>
      <c r="AK92" s="1884"/>
      <c r="AL92" s="1884"/>
      <c r="AM92" s="1885"/>
      <c r="AN92" s="1884"/>
      <c r="AO92" s="1884"/>
      <c r="AP92" s="1884"/>
      <c r="AQ92" s="1884"/>
      <c r="AR92" s="1885"/>
      <c r="AS92" s="1884"/>
      <c r="AT92" s="1884"/>
      <c r="AU92" s="1884"/>
      <c r="AV92" s="1884"/>
      <c r="AW92" s="1885"/>
      <c r="AX92" s="1884"/>
      <c r="AY92" s="1884"/>
      <c r="AZ92" s="1884"/>
      <c r="BA92" s="1884"/>
      <c r="BB92" s="1885"/>
      <c r="BC92" s="1884"/>
      <c r="BD92" s="1884"/>
      <c r="BE92" s="1884"/>
      <c r="BF92" s="1884"/>
      <c r="BG92" s="1885"/>
      <c r="BH92" s="1884"/>
      <c r="BI92" s="1884"/>
      <c r="BJ92" s="1884"/>
      <c r="BK92" s="1884"/>
      <c r="BL92" s="1885"/>
      <c r="BM92" s="60">
        <v>-43.8</v>
      </c>
      <c r="BN92" s="60">
        <v>121.9</v>
      </c>
      <c r="BO92" s="60">
        <v>-219.7</v>
      </c>
      <c r="BP92" s="62">
        <f t="shared" ref="BP92:BP97" si="155">BQ28</f>
        <v>-291</v>
      </c>
      <c r="BQ92" s="1885"/>
      <c r="BR92" s="60">
        <v>26.1</v>
      </c>
      <c r="BS92" s="60">
        <v>-135.6</v>
      </c>
      <c r="BT92" s="60">
        <v>-320.8</v>
      </c>
      <c r="BU92" s="62">
        <f t="shared" ref="BU92:BU97" si="156">BV28</f>
        <v>-86</v>
      </c>
      <c r="BV92" s="1885"/>
      <c r="BW92" s="60">
        <v>308</v>
      </c>
      <c r="BX92" s="60">
        <v>356</v>
      </c>
      <c r="BY92" s="60">
        <v>346</v>
      </c>
      <c r="BZ92" s="60">
        <v>532</v>
      </c>
      <c r="CA92" s="1885"/>
      <c r="CB92" s="60">
        <v>-423</v>
      </c>
      <c r="CC92" s="60">
        <v>-472</v>
      </c>
      <c r="CD92" s="322">
        <v>-479</v>
      </c>
      <c r="CE92" s="322">
        <v>-748</v>
      </c>
      <c r="CF92" s="1885"/>
      <c r="CG92" s="322">
        <v>-70</v>
      </c>
      <c r="CH92" s="322">
        <v>-13</v>
      </c>
      <c r="CI92" s="322">
        <v>-296</v>
      </c>
      <c r="CJ92" s="322">
        <v>-387</v>
      </c>
      <c r="CK92" s="1885"/>
      <c r="CL92" s="1890">
        <v>-113</v>
      </c>
      <c r="CM92" s="322">
        <v>-575</v>
      </c>
      <c r="CN92" s="322">
        <v>-1518</v>
      </c>
      <c r="CO92" s="322">
        <v>-2210</v>
      </c>
      <c r="CP92" s="1885"/>
      <c r="CQ92" s="322">
        <v>-139</v>
      </c>
      <c r="CR92" s="322">
        <v>-584</v>
      </c>
      <c r="CS92" s="322">
        <v>-1872</v>
      </c>
      <c r="CT92" s="322">
        <v>-737</v>
      </c>
      <c r="CU92" s="1885"/>
      <c r="CV92" s="322">
        <v>-481</v>
      </c>
      <c r="CW92" s="1884">
        <v>-1211</v>
      </c>
      <c r="CX92" s="1884">
        <v>-2530</v>
      </c>
      <c r="CY92" s="1884">
        <v>-1594</v>
      </c>
      <c r="CZ92" s="1885"/>
      <c r="DA92" s="322">
        <v>-1131</v>
      </c>
      <c r="DB92" s="1884">
        <v>-1279</v>
      </c>
      <c r="DC92" s="1884">
        <f>-1714</f>
        <v>-1714</v>
      </c>
      <c r="DD92" s="1884">
        <v>-243</v>
      </c>
      <c r="DE92" s="2690"/>
      <c r="DF92" s="322">
        <v>48</v>
      </c>
      <c r="DG92" s="1884">
        <v>-114</v>
      </c>
      <c r="DH92" s="1884">
        <v>-280</v>
      </c>
      <c r="DI92" s="1884">
        <v>-941</v>
      </c>
      <c r="DJ92" s="1885"/>
      <c r="DK92" s="1884"/>
      <c r="DL92" s="1884"/>
      <c r="DM92" s="1884"/>
      <c r="DN92" s="1884"/>
      <c r="DO92" s="1885"/>
      <c r="DP92" s="1884"/>
      <c r="DQ92" s="1884"/>
      <c r="DR92" s="1884"/>
      <c r="DS92" s="1884"/>
      <c r="DT92" s="1885"/>
      <c r="DU92" s="1884"/>
      <c r="DV92" s="1884"/>
      <c r="DW92" s="1884"/>
      <c r="DX92" s="1884"/>
      <c r="DY92" s="1885"/>
      <c r="DZ92" s="1858"/>
      <c r="EA92" s="1858"/>
      <c r="EB92" s="1858"/>
    </row>
    <row r="93" spans="1:132" outlineLevel="1" x14ac:dyDescent="0.2">
      <c r="A93" s="1853"/>
      <c r="B93" s="86" t="s">
        <v>317</v>
      </c>
      <c r="C93" s="1884"/>
      <c r="D93" s="1884"/>
      <c r="E93" s="1884"/>
      <c r="F93" s="1884"/>
      <c r="G93" s="1884"/>
      <c r="H93" s="1884"/>
      <c r="I93" s="1885"/>
      <c r="J93" s="1884"/>
      <c r="K93" s="1884"/>
      <c r="L93" s="1884"/>
      <c r="M93" s="1884"/>
      <c r="N93" s="1885"/>
      <c r="O93" s="1884"/>
      <c r="P93" s="1884"/>
      <c r="Q93" s="1884"/>
      <c r="R93" s="1884"/>
      <c r="S93" s="1885"/>
      <c r="T93" s="1884"/>
      <c r="U93" s="1884"/>
      <c r="V93" s="1884"/>
      <c r="W93" s="1884"/>
      <c r="X93" s="1885"/>
      <c r="Y93" s="1884"/>
      <c r="Z93" s="1884"/>
      <c r="AA93" s="1884"/>
      <c r="AB93" s="1884"/>
      <c r="AC93" s="1885"/>
      <c r="AD93" s="1884"/>
      <c r="AE93" s="1884"/>
      <c r="AF93" s="1884"/>
      <c r="AG93" s="1884"/>
      <c r="AH93" s="1885"/>
      <c r="AI93" s="1884"/>
      <c r="AJ93" s="1884"/>
      <c r="AK93" s="1884"/>
      <c r="AL93" s="1884"/>
      <c r="AM93" s="1885"/>
      <c r="AN93" s="1884"/>
      <c r="AO93" s="1884"/>
      <c r="AP93" s="1884"/>
      <c r="AQ93" s="1884"/>
      <c r="AR93" s="1885"/>
      <c r="AS93" s="1884"/>
      <c r="AT93" s="1884"/>
      <c r="AU93" s="1884"/>
      <c r="AV93" s="1884"/>
      <c r="AW93" s="1885"/>
      <c r="AX93" s="1884"/>
      <c r="AY93" s="1884"/>
      <c r="AZ93" s="1884"/>
      <c r="BA93" s="1884"/>
      <c r="BB93" s="1885"/>
      <c r="BC93" s="1884"/>
      <c r="BD93" s="1884"/>
      <c r="BE93" s="1884"/>
      <c r="BF93" s="1884"/>
      <c r="BG93" s="1885"/>
      <c r="BH93" s="1884"/>
      <c r="BI93" s="1884"/>
      <c r="BJ93" s="1884"/>
      <c r="BK93" s="1884"/>
      <c r="BL93" s="1885"/>
      <c r="BM93" s="60">
        <v>18.8</v>
      </c>
      <c r="BN93" s="60">
        <v>6.9</v>
      </c>
      <c r="BO93" s="60">
        <v>-337.1</v>
      </c>
      <c r="BP93" s="62">
        <f t="shared" si="155"/>
        <v>-488.1</v>
      </c>
      <c r="BQ93" s="1885"/>
      <c r="BR93" s="60">
        <v>92.8</v>
      </c>
      <c r="BS93" s="60">
        <v>-255</v>
      </c>
      <c r="BT93" s="60">
        <v>-832</v>
      </c>
      <c r="BU93" s="62">
        <f t="shared" si="156"/>
        <v>-1199</v>
      </c>
      <c r="BV93" s="1885"/>
      <c r="BW93" s="60">
        <v>68</v>
      </c>
      <c r="BX93" s="60">
        <v>-46</v>
      </c>
      <c r="BY93" s="60">
        <v>-242</v>
      </c>
      <c r="BZ93" s="60">
        <v>-352</v>
      </c>
      <c r="CA93" s="1885"/>
      <c r="CB93" s="60">
        <v>514</v>
      </c>
      <c r="CC93" s="60">
        <v>584</v>
      </c>
      <c r="CD93" s="322">
        <v>316</v>
      </c>
      <c r="CE93" s="322">
        <v>607</v>
      </c>
      <c r="CF93" s="1885"/>
      <c r="CG93" s="322">
        <v>-776</v>
      </c>
      <c r="CH93" s="322">
        <v>-527</v>
      </c>
      <c r="CI93" s="322">
        <v>-586</v>
      </c>
      <c r="CJ93" s="322">
        <v>-858</v>
      </c>
      <c r="CK93" s="1885"/>
      <c r="CL93" s="1890">
        <v>193</v>
      </c>
      <c r="CM93" s="322">
        <v>204</v>
      </c>
      <c r="CN93" s="322">
        <v>-39</v>
      </c>
      <c r="CO93" s="322">
        <v>12</v>
      </c>
      <c r="CP93" s="1885"/>
      <c r="CQ93" s="322">
        <v>-64</v>
      </c>
      <c r="CR93" s="322">
        <v>-235</v>
      </c>
      <c r="CS93" s="322">
        <v>-449</v>
      </c>
      <c r="CT93" s="322">
        <v>-770</v>
      </c>
      <c r="CU93" s="1885"/>
      <c r="CV93" s="322">
        <v>-313</v>
      </c>
      <c r="CW93" s="1884">
        <v>-465</v>
      </c>
      <c r="CX93" s="1884">
        <v>-893</v>
      </c>
      <c r="CY93" s="1884">
        <v>-1141</v>
      </c>
      <c r="CZ93" s="1885"/>
      <c r="DA93" s="322">
        <v>89</v>
      </c>
      <c r="DB93" s="1884">
        <v>-167</v>
      </c>
      <c r="DC93" s="1884">
        <v>-337</v>
      </c>
      <c r="DD93" s="1884">
        <v>-742</v>
      </c>
      <c r="DE93" s="2690"/>
      <c r="DF93" s="322">
        <v>456</v>
      </c>
      <c r="DG93" s="1884">
        <v>492</v>
      </c>
      <c r="DH93" s="1884">
        <v>620</v>
      </c>
      <c r="DI93" s="1884">
        <v>-514</v>
      </c>
      <c r="DJ93" s="1885"/>
      <c r="DK93" s="1884"/>
      <c r="DL93" s="1884"/>
      <c r="DM93" s="1884"/>
      <c r="DN93" s="1884"/>
      <c r="DO93" s="1885"/>
      <c r="DP93" s="1884"/>
      <c r="DQ93" s="1884"/>
      <c r="DR93" s="1884"/>
      <c r="DS93" s="1884"/>
      <c r="DT93" s="1885"/>
      <c r="DU93" s="1884"/>
      <c r="DV93" s="1884"/>
      <c r="DW93" s="1884"/>
      <c r="DX93" s="1884"/>
      <c r="DY93" s="1885"/>
      <c r="DZ93" s="1858"/>
      <c r="EA93" s="1858"/>
      <c r="EB93" s="1858"/>
    </row>
    <row r="94" spans="1:132" outlineLevel="1" x14ac:dyDescent="0.2">
      <c r="A94" s="1853"/>
      <c r="B94" s="86" t="s">
        <v>318</v>
      </c>
      <c r="C94" s="1884"/>
      <c r="D94" s="1884"/>
      <c r="E94" s="1884"/>
      <c r="F94" s="1884"/>
      <c r="G94" s="1884"/>
      <c r="H94" s="1884"/>
      <c r="I94" s="1885"/>
      <c r="J94" s="1884"/>
      <c r="K94" s="1884"/>
      <c r="L94" s="1884"/>
      <c r="M94" s="1884"/>
      <c r="N94" s="1885"/>
      <c r="O94" s="1884"/>
      <c r="P94" s="1884"/>
      <c r="Q94" s="1884"/>
      <c r="R94" s="1884"/>
      <c r="S94" s="1885"/>
      <c r="T94" s="1884"/>
      <c r="U94" s="1884"/>
      <c r="V94" s="1884"/>
      <c r="W94" s="1884"/>
      <c r="X94" s="1885"/>
      <c r="Y94" s="1884"/>
      <c r="Z94" s="1884"/>
      <c r="AA94" s="1884"/>
      <c r="AB94" s="1884"/>
      <c r="AC94" s="1885"/>
      <c r="AD94" s="1884"/>
      <c r="AE94" s="1884"/>
      <c r="AF94" s="1884"/>
      <c r="AG94" s="1884"/>
      <c r="AH94" s="1885"/>
      <c r="AI94" s="1884"/>
      <c r="AJ94" s="1884"/>
      <c r="AK94" s="1884"/>
      <c r="AL94" s="1884"/>
      <c r="AM94" s="1885"/>
      <c r="AN94" s="1884"/>
      <c r="AO94" s="1884"/>
      <c r="AP94" s="1884"/>
      <c r="AQ94" s="1884"/>
      <c r="AR94" s="1885"/>
      <c r="AS94" s="1884"/>
      <c r="AT94" s="1884"/>
      <c r="AU94" s="1884"/>
      <c r="AV94" s="1884"/>
      <c r="AW94" s="1885"/>
      <c r="AX94" s="1884"/>
      <c r="AY94" s="1884"/>
      <c r="AZ94" s="1884"/>
      <c r="BA94" s="1884"/>
      <c r="BB94" s="1885"/>
      <c r="BC94" s="1884"/>
      <c r="BD94" s="1884"/>
      <c r="BE94" s="1884"/>
      <c r="BF94" s="1884"/>
      <c r="BG94" s="1885"/>
      <c r="BH94" s="1884"/>
      <c r="BI94" s="1884"/>
      <c r="BJ94" s="1884"/>
      <c r="BK94" s="1884"/>
      <c r="BL94" s="1885"/>
      <c r="BM94" s="60">
        <v>4.0999999999999996</v>
      </c>
      <c r="BN94" s="60">
        <v>-30.3</v>
      </c>
      <c r="BO94" s="60">
        <v>-42.9</v>
      </c>
      <c r="BP94" s="62">
        <f t="shared" si="155"/>
        <v>12.5</v>
      </c>
      <c r="BQ94" s="1885"/>
      <c r="BR94" s="60">
        <v>-64.7</v>
      </c>
      <c r="BS94" s="60">
        <v>-31.1</v>
      </c>
      <c r="BT94" s="60">
        <v>-11.9</v>
      </c>
      <c r="BU94" s="62">
        <f t="shared" si="156"/>
        <v>48</v>
      </c>
      <c r="BV94" s="1885"/>
      <c r="BW94" s="60">
        <v>-39</v>
      </c>
      <c r="BX94" s="60">
        <v>-31</v>
      </c>
      <c r="BY94" s="60">
        <v>-41</v>
      </c>
      <c r="BZ94" s="60">
        <v>-4</v>
      </c>
      <c r="CA94" s="1885"/>
      <c r="CB94" s="60">
        <v>-30</v>
      </c>
      <c r="CC94" s="60">
        <v>-164</v>
      </c>
      <c r="CD94" s="322">
        <v>-173</v>
      </c>
      <c r="CE94" s="322">
        <f>-420-49</f>
        <v>-469</v>
      </c>
      <c r="CF94" s="1885"/>
      <c r="CG94" s="322">
        <v>286</v>
      </c>
      <c r="CH94" s="322">
        <v>254</v>
      </c>
      <c r="CI94" s="322">
        <v>425</v>
      </c>
      <c r="CJ94" s="322">
        <v>3</v>
      </c>
      <c r="CK94" s="1885"/>
      <c r="CL94" s="1890">
        <f>238</f>
        <v>238</v>
      </c>
      <c r="CM94" s="322">
        <v>165</v>
      </c>
      <c r="CN94" s="322">
        <v>176</v>
      </c>
      <c r="CO94" s="322">
        <v>105</v>
      </c>
      <c r="CP94" s="1885"/>
      <c r="CQ94" s="322">
        <v>70</v>
      </c>
      <c r="CR94" s="322">
        <v>-74</v>
      </c>
      <c r="CS94" s="322">
        <v>-160</v>
      </c>
      <c r="CT94" s="322">
        <v>-383</v>
      </c>
      <c r="CU94" s="1885"/>
      <c r="CV94" s="322">
        <v>269</v>
      </c>
      <c r="CW94" s="1884">
        <f>131-48</f>
        <v>83</v>
      </c>
      <c r="CX94" s="1884">
        <f>591-13</f>
        <v>578</v>
      </c>
      <c r="CY94" s="1884">
        <f>355+2</f>
        <v>357</v>
      </c>
      <c r="CZ94" s="1885"/>
      <c r="DA94" s="322">
        <f>106-52</f>
        <v>54</v>
      </c>
      <c r="DB94" s="1884">
        <f>-170-53</f>
        <v>-223</v>
      </c>
      <c r="DC94" s="1884">
        <f>-86+2</f>
        <v>-84</v>
      </c>
      <c r="DD94" s="1884">
        <f>35-43</f>
        <v>-8</v>
      </c>
      <c r="DE94" s="2690"/>
      <c r="DF94" s="322">
        <f>-74-1</f>
        <v>-75</v>
      </c>
      <c r="DG94" s="1884">
        <f>-31-38</f>
        <v>-69</v>
      </c>
      <c r="DH94" s="1884">
        <f>-212-15+71</f>
        <v>-156</v>
      </c>
      <c r="DI94" s="1884">
        <f>-341+3+38</f>
        <v>-300</v>
      </c>
      <c r="DJ94" s="1885"/>
      <c r="DK94" s="1884"/>
      <c r="DL94" s="1884"/>
      <c r="DM94" s="1884"/>
      <c r="DN94" s="1884"/>
      <c r="DO94" s="1885"/>
      <c r="DP94" s="1884"/>
      <c r="DQ94" s="1884"/>
      <c r="DR94" s="1884"/>
      <c r="DS94" s="1884"/>
      <c r="DT94" s="1885"/>
      <c r="DU94" s="1884"/>
      <c r="DV94" s="1884"/>
      <c r="DW94" s="1884"/>
      <c r="DX94" s="1884"/>
      <c r="DY94" s="1885"/>
      <c r="DZ94" s="1858"/>
      <c r="EA94" s="1858"/>
      <c r="EB94" s="1858"/>
    </row>
    <row r="95" spans="1:132" outlineLevel="1" x14ac:dyDescent="0.2">
      <c r="A95" s="1853"/>
      <c r="B95" s="86" t="s">
        <v>319</v>
      </c>
      <c r="C95" s="1884"/>
      <c r="D95" s="1884"/>
      <c r="E95" s="1884"/>
      <c r="F95" s="1884"/>
      <c r="G95" s="1884"/>
      <c r="H95" s="1884"/>
      <c r="I95" s="1885"/>
      <c r="J95" s="1884"/>
      <c r="K95" s="1884"/>
      <c r="L95" s="1884"/>
      <c r="M95" s="1884"/>
      <c r="N95" s="1885"/>
      <c r="O95" s="1884"/>
      <c r="P95" s="1884"/>
      <c r="Q95" s="1884"/>
      <c r="R95" s="1884"/>
      <c r="S95" s="1885"/>
      <c r="T95" s="1884"/>
      <c r="U95" s="1884"/>
      <c r="V95" s="1884"/>
      <c r="W95" s="1884"/>
      <c r="X95" s="1885"/>
      <c r="Y95" s="1884"/>
      <c r="Z95" s="1884"/>
      <c r="AA95" s="1884"/>
      <c r="AB95" s="1884"/>
      <c r="AC95" s="1885"/>
      <c r="AD95" s="1884"/>
      <c r="AE95" s="1884"/>
      <c r="AF95" s="1884"/>
      <c r="AG95" s="1884"/>
      <c r="AH95" s="1885"/>
      <c r="AI95" s="1884"/>
      <c r="AJ95" s="1884"/>
      <c r="AK95" s="1884"/>
      <c r="AL95" s="1884"/>
      <c r="AM95" s="1885"/>
      <c r="AN95" s="1884"/>
      <c r="AO95" s="1884"/>
      <c r="AP95" s="1884"/>
      <c r="AQ95" s="1884"/>
      <c r="AR95" s="1885"/>
      <c r="AS95" s="1884"/>
      <c r="AT95" s="1884"/>
      <c r="AU95" s="1884"/>
      <c r="AV95" s="1884"/>
      <c r="AW95" s="1885"/>
      <c r="AX95" s="1884"/>
      <c r="AY95" s="1884"/>
      <c r="AZ95" s="1884"/>
      <c r="BA95" s="1884"/>
      <c r="BB95" s="1885"/>
      <c r="BC95" s="1884"/>
      <c r="BD95" s="1884"/>
      <c r="BE95" s="1884"/>
      <c r="BF95" s="1884"/>
      <c r="BG95" s="1885"/>
      <c r="BH95" s="1884"/>
      <c r="BI95" s="1884"/>
      <c r="BJ95" s="1884"/>
      <c r="BK95" s="1884"/>
      <c r="BL95" s="1885"/>
      <c r="BM95" s="60">
        <v>-190.9</v>
      </c>
      <c r="BN95" s="60">
        <v>-544.6</v>
      </c>
      <c r="BO95" s="60">
        <v>-364.7</v>
      </c>
      <c r="BP95" s="62">
        <f t="shared" si="155"/>
        <v>-63.9</v>
      </c>
      <c r="BQ95" s="1885"/>
      <c r="BR95" s="60">
        <v>-114.8</v>
      </c>
      <c r="BS95" s="60">
        <v>-52.1</v>
      </c>
      <c r="BT95" s="60">
        <v>240.2</v>
      </c>
      <c r="BU95" s="62">
        <f t="shared" si="156"/>
        <v>4</v>
      </c>
      <c r="BV95" s="1885"/>
      <c r="BW95" s="60">
        <v>-115</v>
      </c>
      <c r="BX95" s="60">
        <v>-4</v>
      </c>
      <c r="BY95" s="60">
        <f>-112</f>
        <v>-112</v>
      </c>
      <c r="BZ95" s="60">
        <v>-40</v>
      </c>
      <c r="CA95" s="1885"/>
      <c r="CB95" s="60">
        <v>535</v>
      </c>
      <c r="CC95" s="60">
        <v>722</v>
      </c>
      <c r="CD95" s="322">
        <v>716</v>
      </c>
      <c r="CE95" s="322">
        <v>1128</v>
      </c>
      <c r="CF95" s="1885"/>
      <c r="CG95" s="322">
        <v>1044</v>
      </c>
      <c r="CH95" s="322">
        <v>655</v>
      </c>
      <c r="CI95" s="322">
        <v>919</v>
      </c>
      <c r="CJ95" s="322">
        <v>1147</v>
      </c>
      <c r="CK95" s="1885"/>
      <c r="CL95" s="1890">
        <v>-230</v>
      </c>
      <c r="CM95" s="322">
        <v>98</v>
      </c>
      <c r="CN95" s="322">
        <v>697</v>
      </c>
      <c r="CO95" s="322">
        <v>1024</v>
      </c>
      <c r="CP95" s="1885"/>
      <c r="CQ95" s="322">
        <v>339</v>
      </c>
      <c r="CR95" s="322">
        <v>521</v>
      </c>
      <c r="CS95" s="322">
        <v>1222</v>
      </c>
      <c r="CT95" s="322">
        <v>1742</v>
      </c>
      <c r="CU95" s="1885"/>
      <c r="CV95" s="322">
        <v>-52</v>
      </c>
      <c r="CW95" s="1884">
        <v>1383</v>
      </c>
      <c r="CX95" s="1884">
        <v>2038</v>
      </c>
      <c r="CY95" s="1884">
        <v>2834</v>
      </c>
      <c r="CZ95" s="1885"/>
      <c r="DA95" s="322">
        <v>798</v>
      </c>
      <c r="DB95" s="1884">
        <v>1164</v>
      </c>
      <c r="DC95" s="1884">
        <v>1570</v>
      </c>
      <c r="DD95" s="1884">
        <v>2189</v>
      </c>
      <c r="DE95" s="2690"/>
      <c r="DF95" s="322">
        <v>-539</v>
      </c>
      <c r="DG95" s="1884">
        <v>180</v>
      </c>
      <c r="DH95" s="1884">
        <v>330</v>
      </c>
      <c r="DI95" s="1884">
        <v>1710</v>
      </c>
      <c r="DJ95" s="1885"/>
      <c r="DK95" s="1884"/>
      <c r="DL95" s="1884"/>
      <c r="DM95" s="1884"/>
      <c r="DN95" s="1884"/>
      <c r="DO95" s="1885"/>
      <c r="DP95" s="1884"/>
      <c r="DQ95" s="1884"/>
      <c r="DR95" s="1884"/>
      <c r="DS95" s="1884"/>
      <c r="DT95" s="1885"/>
      <c r="DU95" s="1884"/>
      <c r="DV95" s="1884"/>
      <c r="DW95" s="1884"/>
      <c r="DX95" s="1884"/>
      <c r="DY95" s="1885"/>
      <c r="DZ95" s="1858"/>
      <c r="EA95" s="1858"/>
      <c r="EB95" s="1858"/>
    </row>
    <row r="96" spans="1:132" outlineLevel="1" x14ac:dyDescent="0.2">
      <c r="A96" s="1853"/>
      <c r="B96" s="86" t="s">
        <v>320</v>
      </c>
      <c r="C96" s="1884"/>
      <c r="D96" s="1884"/>
      <c r="E96" s="1884"/>
      <c r="F96" s="1884"/>
      <c r="G96" s="1884"/>
      <c r="H96" s="1884"/>
      <c r="I96" s="1885"/>
      <c r="J96" s="1884"/>
      <c r="K96" s="1884"/>
      <c r="L96" s="1884"/>
      <c r="M96" s="1884"/>
      <c r="N96" s="1885"/>
      <c r="O96" s="1884"/>
      <c r="P96" s="1884"/>
      <c r="Q96" s="1884"/>
      <c r="R96" s="1884"/>
      <c r="S96" s="1885"/>
      <c r="T96" s="1884"/>
      <c r="U96" s="1884"/>
      <c r="V96" s="1884"/>
      <c r="W96" s="1884"/>
      <c r="X96" s="1885"/>
      <c r="Y96" s="1884"/>
      <c r="Z96" s="1884"/>
      <c r="AA96" s="1884"/>
      <c r="AB96" s="1884"/>
      <c r="AC96" s="1885"/>
      <c r="AD96" s="1884"/>
      <c r="AE96" s="1884"/>
      <c r="AF96" s="1884"/>
      <c r="AG96" s="1884"/>
      <c r="AH96" s="1885"/>
      <c r="AI96" s="1884"/>
      <c r="AJ96" s="1884"/>
      <c r="AK96" s="1884"/>
      <c r="AL96" s="1884"/>
      <c r="AM96" s="1885"/>
      <c r="AN96" s="1884"/>
      <c r="AO96" s="1884"/>
      <c r="AP96" s="1884"/>
      <c r="AQ96" s="1884"/>
      <c r="AR96" s="1885"/>
      <c r="AS96" s="1884"/>
      <c r="AT96" s="1884"/>
      <c r="AU96" s="1884"/>
      <c r="AV96" s="1884"/>
      <c r="AW96" s="1885"/>
      <c r="AX96" s="1884"/>
      <c r="AY96" s="1884"/>
      <c r="AZ96" s="1884"/>
      <c r="BA96" s="1884"/>
      <c r="BB96" s="1885"/>
      <c r="BC96" s="1884"/>
      <c r="BD96" s="1884"/>
      <c r="BE96" s="1884"/>
      <c r="BF96" s="1884"/>
      <c r="BG96" s="1885"/>
      <c r="BH96" s="1884"/>
      <c r="BI96" s="1884"/>
      <c r="BJ96" s="1884"/>
      <c r="BK96" s="1884"/>
      <c r="BL96" s="1885"/>
      <c r="BM96" s="60">
        <v>0</v>
      </c>
      <c r="BN96" s="60">
        <v>0</v>
      </c>
      <c r="BO96" s="60">
        <v>0</v>
      </c>
      <c r="BP96" s="62">
        <f t="shared" si="155"/>
        <v>0</v>
      </c>
      <c r="BQ96" s="1885"/>
      <c r="BR96" s="60">
        <v>0</v>
      </c>
      <c r="BS96" s="60">
        <v>0</v>
      </c>
      <c r="BT96" s="60">
        <v>0</v>
      </c>
      <c r="BU96" s="62">
        <f t="shared" si="156"/>
        <v>0</v>
      </c>
      <c r="BV96" s="1885"/>
      <c r="BW96" s="60">
        <v>0</v>
      </c>
      <c r="BX96" s="60">
        <v>-286</v>
      </c>
      <c r="BY96" s="59"/>
      <c r="BZ96" s="59"/>
      <c r="CA96" s="1885"/>
      <c r="CB96" s="59"/>
      <c r="CC96" s="59"/>
      <c r="CD96" s="322"/>
      <c r="CE96" s="322"/>
      <c r="CF96" s="1885"/>
      <c r="CG96" s="322"/>
      <c r="CH96" s="322"/>
      <c r="CI96" s="322"/>
      <c r="CJ96" s="322"/>
      <c r="CK96" s="1885"/>
      <c r="CL96" s="1890"/>
      <c r="CM96" s="322"/>
      <c r="CN96" s="322"/>
      <c r="CO96" s="322"/>
      <c r="CP96" s="1885"/>
      <c r="CQ96" s="322"/>
      <c r="CR96" s="322"/>
      <c r="CS96" s="322"/>
      <c r="CT96" s="322"/>
      <c r="CU96" s="1885"/>
      <c r="CV96" s="322">
        <v>756</v>
      </c>
      <c r="CW96" s="1884"/>
      <c r="CX96" s="1884"/>
      <c r="CY96" s="1884"/>
      <c r="CZ96" s="1885"/>
      <c r="DA96" s="322"/>
      <c r="DB96" s="1884"/>
      <c r="DC96" s="1884"/>
      <c r="DD96" s="1884"/>
      <c r="DE96" s="2690"/>
      <c r="DF96" s="322"/>
      <c r="DG96" s="1884"/>
      <c r="DH96" s="1884"/>
      <c r="DI96" s="1884"/>
      <c r="DJ96" s="1885"/>
      <c r="DK96" s="1884"/>
      <c r="DL96" s="1884"/>
      <c r="DM96" s="1884"/>
      <c r="DN96" s="1884"/>
      <c r="DO96" s="1885"/>
      <c r="DP96" s="1884"/>
      <c r="DQ96" s="1884"/>
      <c r="DR96" s="1884"/>
      <c r="DS96" s="1884"/>
      <c r="DT96" s="1885"/>
      <c r="DU96" s="1884"/>
      <c r="DV96" s="1884"/>
      <c r="DW96" s="1884"/>
      <c r="DX96" s="1884"/>
      <c r="DY96" s="1885"/>
      <c r="DZ96" s="1858"/>
      <c r="EA96" s="1858"/>
      <c r="EB96" s="1858"/>
    </row>
    <row r="97" spans="1:132" outlineLevel="1" x14ac:dyDescent="0.2">
      <c r="A97" s="1853"/>
      <c r="B97" s="86" t="s">
        <v>321</v>
      </c>
      <c r="C97" s="1884"/>
      <c r="D97" s="1884"/>
      <c r="E97" s="1884"/>
      <c r="F97" s="1884"/>
      <c r="G97" s="1884"/>
      <c r="H97" s="1884"/>
      <c r="I97" s="1885"/>
      <c r="J97" s="1884"/>
      <c r="K97" s="1884"/>
      <c r="L97" s="1884"/>
      <c r="M97" s="1884"/>
      <c r="N97" s="1885"/>
      <c r="O97" s="1884"/>
      <c r="P97" s="1884"/>
      <c r="Q97" s="1884"/>
      <c r="R97" s="1884"/>
      <c r="S97" s="1885"/>
      <c r="T97" s="1884"/>
      <c r="U97" s="1884"/>
      <c r="V97" s="1884"/>
      <c r="W97" s="1884"/>
      <c r="X97" s="1885"/>
      <c r="Y97" s="1884"/>
      <c r="Z97" s="1884"/>
      <c r="AA97" s="1884"/>
      <c r="AB97" s="1884"/>
      <c r="AC97" s="1885"/>
      <c r="AD97" s="1884"/>
      <c r="AE97" s="1884"/>
      <c r="AF97" s="1884"/>
      <c r="AG97" s="1884"/>
      <c r="AH97" s="1885"/>
      <c r="AI97" s="1884"/>
      <c r="AJ97" s="1884"/>
      <c r="AK97" s="1884"/>
      <c r="AL97" s="1884"/>
      <c r="AM97" s="1885"/>
      <c r="AN97" s="1884"/>
      <c r="AO97" s="1884"/>
      <c r="AP97" s="1884"/>
      <c r="AQ97" s="1884"/>
      <c r="AR97" s="1885"/>
      <c r="AS97" s="1884"/>
      <c r="AT97" s="1884"/>
      <c r="AU97" s="1884"/>
      <c r="AV97" s="1884"/>
      <c r="AW97" s="1885"/>
      <c r="AX97" s="1884"/>
      <c r="AY97" s="1884"/>
      <c r="AZ97" s="1884"/>
      <c r="BA97" s="1884"/>
      <c r="BB97" s="1885"/>
      <c r="BC97" s="1884"/>
      <c r="BD97" s="1884"/>
      <c r="BE97" s="1884"/>
      <c r="BF97" s="1884"/>
      <c r="BG97" s="1885"/>
      <c r="BH97" s="1884"/>
      <c r="BI97" s="1884"/>
      <c r="BJ97" s="1884"/>
      <c r="BK97" s="1884"/>
      <c r="BL97" s="1885"/>
      <c r="BM97" s="60">
        <v>-108</v>
      </c>
      <c r="BN97" s="60">
        <v>-361</v>
      </c>
      <c r="BO97" s="60">
        <v>-121.5</v>
      </c>
      <c r="BP97" s="62">
        <f t="shared" si="155"/>
        <v>182.5</v>
      </c>
      <c r="BQ97" s="1885"/>
      <c r="BR97" s="60">
        <v>-270.39999999999998</v>
      </c>
      <c r="BS97" s="60">
        <v>-743.8</v>
      </c>
      <c r="BT97" s="60">
        <v>-793.8</v>
      </c>
      <c r="BU97" s="62">
        <f t="shared" si="156"/>
        <v>-66</v>
      </c>
      <c r="BV97" s="1885"/>
      <c r="BW97" s="60">
        <v>-335</v>
      </c>
      <c r="BX97" s="60">
        <v>-617</v>
      </c>
      <c r="BY97" s="60">
        <v>-567</v>
      </c>
      <c r="BZ97" s="60">
        <v>-176</v>
      </c>
      <c r="CA97" s="1885"/>
      <c r="CB97" s="60">
        <v>156</v>
      </c>
      <c r="CC97" s="60">
        <v>54</v>
      </c>
      <c r="CD97" s="322">
        <v>980</v>
      </c>
      <c r="CE97" s="322">
        <v>85</v>
      </c>
      <c r="CF97" s="1885"/>
      <c r="CG97" s="322">
        <v>1250</v>
      </c>
      <c r="CH97" s="322">
        <v>1095</v>
      </c>
      <c r="CI97" s="322">
        <v>325</v>
      </c>
      <c r="CJ97" s="322">
        <v>753</v>
      </c>
      <c r="CK97" s="1885"/>
      <c r="CL97" s="1890">
        <v>105</v>
      </c>
      <c r="CM97" s="322">
        <v>-412</v>
      </c>
      <c r="CN97" s="322">
        <v>32</v>
      </c>
      <c r="CO97" s="322">
        <v>471</v>
      </c>
      <c r="CP97" s="1885"/>
      <c r="CQ97" s="322">
        <v>362</v>
      </c>
      <c r="CR97" s="322">
        <v>33</v>
      </c>
      <c r="CS97" s="322">
        <v>676</v>
      </c>
      <c r="CT97" s="322">
        <v>1060</v>
      </c>
      <c r="CU97" s="1885"/>
      <c r="CV97" s="322">
        <v>153</v>
      </c>
      <c r="CW97" s="1884">
        <f>-241</f>
        <v>-241</v>
      </c>
      <c r="CX97" s="1884">
        <v>523</v>
      </c>
      <c r="CY97" s="1884">
        <v>765</v>
      </c>
      <c r="CZ97" s="1885"/>
      <c r="DA97" s="322">
        <f>741+23</f>
        <v>764</v>
      </c>
      <c r="DB97" s="1884">
        <f>492+5</f>
        <v>497</v>
      </c>
      <c r="DC97" s="1884">
        <f>2077+49</f>
        <v>2126</v>
      </c>
      <c r="DD97" s="1884">
        <f>59+2</f>
        <v>61</v>
      </c>
      <c r="DE97" s="2690"/>
      <c r="DF97" s="322">
        <f>1848+154</f>
        <v>2002</v>
      </c>
      <c r="DG97" s="1884">
        <f>1345+141</f>
        <v>1486</v>
      </c>
      <c r="DH97" s="1884">
        <v>1670</v>
      </c>
      <c r="DI97" s="1884">
        <v>-371</v>
      </c>
      <c r="DJ97" s="1885"/>
      <c r="DK97" s="1884"/>
      <c r="DL97" s="1884"/>
      <c r="DM97" s="1884"/>
      <c r="DN97" s="1884"/>
      <c r="DO97" s="1885"/>
      <c r="DP97" s="1884"/>
      <c r="DQ97" s="1884"/>
      <c r="DR97" s="1884"/>
      <c r="DS97" s="1884"/>
      <c r="DT97" s="1885"/>
      <c r="DU97" s="1884"/>
      <c r="DV97" s="1884"/>
      <c r="DW97" s="1884"/>
      <c r="DX97" s="1884"/>
      <c r="DY97" s="1885"/>
      <c r="DZ97" s="1858"/>
      <c r="EA97" s="1858"/>
      <c r="EB97" s="1858"/>
    </row>
    <row r="98" spans="1:132" outlineLevel="1" x14ac:dyDescent="0.2">
      <c r="A98" s="1853"/>
      <c r="B98" s="317" t="s">
        <v>330</v>
      </c>
      <c r="C98" s="1884"/>
      <c r="D98" s="1884"/>
      <c r="E98" s="1892"/>
      <c r="F98" s="1892"/>
      <c r="G98" s="1892"/>
      <c r="H98" s="1892"/>
      <c r="I98" s="1893"/>
      <c r="J98" s="1892"/>
      <c r="K98" s="1892"/>
      <c r="L98" s="1892"/>
      <c r="M98" s="1892"/>
      <c r="N98" s="1893"/>
      <c r="O98" s="1892"/>
      <c r="P98" s="1892"/>
      <c r="Q98" s="1892"/>
      <c r="R98" s="1892"/>
      <c r="S98" s="1893"/>
      <c r="T98" s="1892"/>
      <c r="U98" s="1892"/>
      <c r="V98" s="1892"/>
      <c r="W98" s="1892"/>
      <c r="X98" s="1893"/>
      <c r="Y98" s="1892"/>
      <c r="Z98" s="1892"/>
      <c r="AA98" s="1892"/>
      <c r="AB98" s="1892"/>
      <c r="AC98" s="1893"/>
      <c r="AD98" s="1892"/>
      <c r="AE98" s="1892"/>
      <c r="AF98" s="1892"/>
      <c r="AG98" s="1892"/>
      <c r="AH98" s="1893"/>
      <c r="AI98" s="1892"/>
      <c r="AJ98" s="1892"/>
      <c r="AK98" s="1892"/>
      <c r="AL98" s="1892"/>
      <c r="AM98" s="1893"/>
      <c r="AN98" s="1892"/>
      <c r="AO98" s="1892"/>
      <c r="AP98" s="1892"/>
      <c r="AQ98" s="1892"/>
      <c r="AR98" s="1893"/>
      <c r="AS98" s="1892"/>
      <c r="AT98" s="1892"/>
      <c r="AU98" s="1892"/>
      <c r="AV98" s="1892"/>
      <c r="AW98" s="1893"/>
      <c r="AX98" s="1892"/>
      <c r="AY98" s="1892"/>
      <c r="AZ98" s="1892"/>
      <c r="BA98" s="1892"/>
      <c r="BB98" s="1893"/>
      <c r="BC98" s="1892"/>
      <c r="BD98" s="1892"/>
      <c r="BE98" s="1892"/>
      <c r="BF98" s="1892"/>
      <c r="BG98" s="1893"/>
      <c r="BH98" s="1892"/>
      <c r="BI98" s="1892"/>
      <c r="BJ98" s="1892"/>
      <c r="BK98" s="1892"/>
      <c r="BL98" s="1893"/>
      <c r="BM98" s="83">
        <f>SUM(BM92:BM97)</f>
        <v>-319.8</v>
      </c>
      <c r="BN98" s="83">
        <f>SUM(BN92:BN97)</f>
        <v>-807.1</v>
      </c>
      <c r="BO98" s="83">
        <f>SUM(BO92:BO97)</f>
        <v>-1085.8999999999999</v>
      </c>
      <c r="BP98" s="83">
        <f>SUM(BP92:BP97)</f>
        <v>-648</v>
      </c>
      <c r="BQ98" s="1893"/>
      <c r="BR98" s="83">
        <f>SUM(BR92:BR97)</f>
        <v>-331</v>
      </c>
      <c r="BS98" s="83">
        <f>SUM(BS92:BS97)</f>
        <v>-1217.5999999999999</v>
      </c>
      <c r="BT98" s="83">
        <f>SUM(BT92:BT97)</f>
        <v>-1718.3</v>
      </c>
      <c r="BU98" s="83">
        <f>SUM(BU92:BU97)</f>
        <v>-1299</v>
      </c>
      <c r="BV98" s="1893"/>
      <c r="BW98" s="83">
        <f>SUM(BW92:BW97)</f>
        <v>-113</v>
      </c>
      <c r="BX98" s="83">
        <f>SUM(BX92:BX97)</f>
        <v>-628</v>
      </c>
      <c r="BY98" s="83">
        <f>SUM(BY92:BY97)</f>
        <v>-616</v>
      </c>
      <c r="BZ98" s="83">
        <f>SUM(BZ92:BZ97)</f>
        <v>-40</v>
      </c>
      <c r="CA98" s="1893"/>
      <c r="CB98" s="83">
        <f>SUM(CB92:CB97)</f>
        <v>752</v>
      </c>
      <c r="CC98" s="83">
        <f>SUM(CC92:CC97)</f>
        <v>724</v>
      </c>
      <c r="CD98" s="83">
        <f>SUM(CD92:CD97)</f>
        <v>1360</v>
      </c>
      <c r="CE98" s="83">
        <f>SUM(CE92:CE97)</f>
        <v>603</v>
      </c>
      <c r="CF98" s="1893"/>
      <c r="CG98" s="83">
        <f>SUM(CG92:CG97)</f>
        <v>1734</v>
      </c>
      <c r="CH98" s="83">
        <f>SUM(CH92:CH97)</f>
        <v>1464</v>
      </c>
      <c r="CI98" s="83">
        <f>SUM(CI92:CI97)</f>
        <v>787</v>
      </c>
      <c r="CJ98" s="83">
        <f>SUM(CJ92:CJ97)</f>
        <v>658</v>
      </c>
      <c r="CK98" s="1893"/>
      <c r="CL98" s="83">
        <f>SUM(CL92:CL97)</f>
        <v>193</v>
      </c>
      <c r="CM98" s="83">
        <f>SUM(CM92:CM97)</f>
        <v>-520</v>
      </c>
      <c r="CN98" s="83">
        <f>SUM(CN92:CN97)</f>
        <v>-652</v>
      </c>
      <c r="CO98" s="83">
        <f>SUM(CO92:CO97)</f>
        <v>-598</v>
      </c>
      <c r="CP98" s="1893"/>
      <c r="CQ98" s="83">
        <f>SUM(CQ92:CQ97)</f>
        <v>568</v>
      </c>
      <c r="CR98" s="83">
        <f>SUM(CR92:CR97)</f>
        <v>-339</v>
      </c>
      <c r="CS98" s="83">
        <f>SUM(CS92:CS97)</f>
        <v>-583</v>
      </c>
      <c r="CT98" s="83">
        <f>SUM(CT92:CT97)</f>
        <v>912</v>
      </c>
      <c r="CU98" s="1893"/>
      <c r="CV98" s="83">
        <f>SUM(CV92:CV97)</f>
        <v>332</v>
      </c>
      <c r="CW98" s="83">
        <f>SUM(CW92:CW97)</f>
        <v>-451</v>
      </c>
      <c r="CX98" s="83">
        <f>SUM(CX92:CX97)</f>
        <v>-284</v>
      </c>
      <c r="CY98" s="83">
        <f>SUM(CY92:CY97)</f>
        <v>1221</v>
      </c>
      <c r="CZ98" s="1893"/>
      <c r="DA98" s="83">
        <f>SUM(DA92:DA97)</f>
        <v>574</v>
      </c>
      <c r="DB98" s="83">
        <f>SUM(DB92:DB97)</f>
        <v>-8</v>
      </c>
      <c r="DC98" s="83">
        <f>SUM(DC92:DC97)</f>
        <v>1561</v>
      </c>
      <c r="DD98" s="83">
        <f>SUM(DD92:DD97)</f>
        <v>1257</v>
      </c>
      <c r="DE98" s="1893"/>
      <c r="DF98" s="83">
        <f>SUM(DF92:DF97)</f>
        <v>1892</v>
      </c>
      <c r="DG98" s="83">
        <f>SUM(DG92:DG97)</f>
        <v>1975</v>
      </c>
      <c r="DH98" s="2765">
        <f>SUM(DH92:DH97)</f>
        <v>2184</v>
      </c>
      <c r="DI98" s="2765">
        <f>SUM(DI92:DI97)</f>
        <v>-416</v>
      </c>
      <c r="DJ98" s="1893"/>
      <c r="DK98" s="1892"/>
      <c r="DL98" s="1892"/>
      <c r="DM98" s="1892"/>
      <c r="DN98" s="1892"/>
      <c r="DO98" s="1893"/>
      <c r="DP98" s="1892"/>
      <c r="DQ98" s="1892"/>
      <c r="DR98" s="1892"/>
      <c r="DS98" s="1892"/>
      <c r="DT98" s="1893"/>
      <c r="DU98" s="1892"/>
      <c r="DV98" s="1892"/>
      <c r="DW98" s="1892"/>
      <c r="DX98" s="1892"/>
      <c r="DY98" s="1893"/>
      <c r="DZ98" s="1869"/>
      <c r="EA98" s="1858"/>
      <c r="EB98" s="1858"/>
    </row>
    <row r="99" spans="1:132" outlineLevel="1" x14ac:dyDescent="0.2">
      <c r="A99" s="1853"/>
      <c r="B99" s="358" t="s">
        <v>331</v>
      </c>
      <c r="C99" s="1858"/>
      <c r="D99" s="1858"/>
      <c r="E99" s="1858"/>
      <c r="F99" s="1858"/>
      <c r="G99" s="1858"/>
      <c r="H99" s="1858"/>
      <c r="I99" s="1894"/>
      <c r="J99" s="1858"/>
      <c r="K99" s="1858"/>
      <c r="L99" s="1858"/>
      <c r="M99" s="1858"/>
      <c r="N99" s="1894"/>
      <c r="O99" s="1858"/>
      <c r="P99" s="1858"/>
      <c r="Q99" s="1858"/>
      <c r="R99" s="1858"/>
      <c r="S99" s="1894"/>
      <c r="T99" s="1858"/>
      <c r="U99" s="1858"/>
      <c r="V99" s="1858"/>
      <c r="W99" s="1858"/>
      <c r="X99" s="1894"/>
      <c r="Y99" s="1858"/>
      <c r="Z99" s="1858"/>
      <c r="AA99" s="1858"/>
      <c r="AB99" s="1858"/>
      <c r="AC99" s="1894"/>
      <c r="AD99" s="1858"/>
      <c r="AE99" s="1858"/>
      <c r="AF99" s="1858"/>
      <c r="AG99" s="1858"/>
      <c r="AH99" s="1894"/>
      <c r="AI99" s="1858"/>
      <c r="AJ99" s="1858"/>
      <c r="AK99" s="1858"/>
      <c r="AL99" s="1858"/>
      <c r="AM99" s="1894"/>
      <c r="AN99" s="1858"/>
      <c r="AO99" s="1858"/>
      <c r="AP99" s="1858"/>
      <c r="AQ99" s="1858"/>
      <c r="AR99" s="1894"/>
      <c r="AS99" s="1858"/>
      <c r="AT99" s="1858"/>
      <c r="AU99" s="1858"/>
      <c r="AV99" s="1858"/>
      <c r="AW99" s="1894"/>
      <c r="AX99" s="1858"/>
      <c r="AY99" s="1858"/>
      <c r="AZ99" s="1858"/>
      <c r="BA99" s="1858"/>
      <c r="BB99" s="1894"/>
      <c r="BC99" s="1858"/>
      <c r="BD99" s="1858"/>
      <c r="BE99" s="1858"/>
      <c r="BF99" s="1858"/>
      <c r="BG99" s="1894"/>
      <c r="BH99" s="1858"/>
      <c r="BI99" s="1858"/>
      <c r="BJ99" s="1858"/>
      <c r="BK99" s="1858"/>
      <c r="BL99" s="1894"/>
      <c r="BM99" s="359">
        <f>SUM(BM72:BM73,BM78:BM88,BM98)</f>
        <v>740.79999999999973</v>
      </c>
      <c r="BN99" s="359">
        <f>SUM(BN72:BN73,BN78:BN88,BN98)</f>
        <v>1392.1000000000045</v>
      </c>
      <c r="BO99" s="359">
        <f>SUM(BO72:BO73,BO78:BO88,BO98)</f>
        <v>2178.3000000000029</v>
      </c>
      <c r="BP99" s="359">
        <f>SUM(BP72:BP73,BP78:BP88,BP98)</f>
        <v>3947.1000000000013</v>
      </c>
      <c r="BQ99" s="1894"/>
      <c r="BR99" s="359">
        <f>SUM(BR72:BR73,BR78:BR88,BR98)</f>
        <v>771.29999999999973</v>
      </c>
      <c r="BS99" s="359">
        <f>SUM(BS72:BS73,BS78:BS88,BS98)</f>
        <v>1323.1999999999971</v>
      </c>
      <c r="BT99" s="359">
        <f>SUM(BT72:BT73,BT78:BT88,BT98)</f>
        <v>2230.5999999999976</v>
      </c>
      <c r="BU99" s="359">
        <f>SUM(BU72:BU73,BU78:BU88,BU98)</f>
        <v>4034.5999999999985</v>
      </c>
      <c r="BV99" s="1894"/>
      <c r="BW99" s="359">
        <f>SUM(BW72:BW73,BW78:BW88,BW98)</f>
        <v>1060</v>
      </c>
      <c r="BX99" s="359">
        <f>SUM(BX72:BX73,BX78:BX88,BX98)</f>
        <v>1712</v>
      </c>
      <c r="BY99" s="359">
        <f>SUM(BY72:BY73,BY78:BY88,BY98)</f>
        <v>3004</v>
      </c>
      <c r="BZ99" s="359">
        <f>SUM(BZ72:BZ73,BZ78:BZ88,BZ98)</f>
        <v>4779</v>
      </c>
      <c r="CA99" s="1894"/>
      <c r="CB99" s="359">
        <f>SUM(CB72:CB73,CB78:CB88,CB98)</f>
        <v>1866</v>
      </c>
      <c r="CC99" s="359">
        <f>SUM(CC72:CC73,CC78:CC88,CC98)</f>
        <v>3072</v>
      </c>
      <c r="CD99" s="359">
        <f>SUM(CD72:CD73,CD78:CD88,CD98)</f>
        <v>5034</v>
      </c>
      <c r="CE99" s="359">
        <f>SUM(CE72:CE73,CE78:CE88,CE98)</f>
        <v>5855.5000000000009</v>
      </c>
      <c r="CF99" s="1894"/>
      <c r="CG99" s="359">
        <f>SUM(CG72:CG73,CG78:CG88,CG98)</f>
        <v>2786</v>
      </c>
      <c r="CH99" s="359">
        <f>SUM(CH72:CH73,CH78:CH88,CH98)</f>
        <v>4017.4000000000005</v>
      </c>
      <c r="CI99" s="359">
        <f>SUM(CI72:CI73,CI78:CI88,CI98)</f>
        <v>4940.3749999999991</v>
      </c>
      <c r="CJ99" s="359">
        <f>SUM(CJ72:CJ73,CJ78:CJ88,CJ98)</f>
        <v>6671.3749999999991</v>
      </c>
      <c r="CK99" s="1894"/>
      <c r="CL99" s="359">
        <f>SUM(CL72:CL73,CL78:CL88,CL98)</f>
        <v>1640</v>
      </c>
      <c r="CM99" s="359">
        <f>SUM(CM72:CM73,CM78:CM88,CM98)</f>
        <v>2542.2999999999993</v>
      </c>
      <c r="CN99" s="359">
        <f>SUM(CN72:CN73,CN78:CN88,CN98)</f>
        <v>4197.7000000000007</v>
      </c>
      <c r="CO99" s="359">
        <f>SUM(CO72:CO73,CO78:CO88,CO98)</f>
        <v>5738.9000000000024</v>
      </c>
      <c r="CP99" s="1894"/>
      <c r="CQ99" s="359">
        <f>SUM(CQ72:CQ73,CQ78:CQ88,CQ98)</f>
        <v>2172</v>
      </c>
      <c r="CR99" s="359">
        <f>SUM(CR72:CR73,CR78:CR88,CR98)</f>
        <v>3069</v>
      </c>
      <c r="CS99" s="359">
        <f>SUM(CS72:CS73,CS78:CS88,CS98)</f>
        <v>4714</v>
      </c>
      <c r="CT99" s="359">
        <f>SUM(CT72:CT73,CT78:CT88,CT98)</f>
        <v>8137</v>
      </c>
      <c r="CU99" s="1894"/>
      <c r="CV99" s="359">
        <f>SUM(CV72:CV73,CV78:CV88,CV98)</f>
        <v>1984</v>
      </c>
      <c r="CW99" s="359">
        <f>SUM(CW72:CW73,CW78:CW88,CW98)</f>
        <v>3021</v>
      </c>
      <c r="CX99" s="359">
        <f>SUM(CX72:CX73,CX78:CX88,CX98)</f>
        <v>4840</v>
      </c>
      <c r="CY99" s="359">
        <f>SUM(CY72:CY73,CY78:CY88,CY98)</f>
        <v>8412</v>
      </c>
      <c r="CZ99" s="1894"/>
      <c r="DA99" s="359">
        <f>SUM(DA72:DA73,DA78:DA88,DA98)</f>
        <v>2412</v>
      </c>
      <c r="DB99" s="359">
        <f>SUM(DB72:DB73,DB78:DB88,DB98)</f>
        <v>4023</v>
      </c>
      <c r="DC99" s="359">
        <f>SUM(DC72:DC73,DC78:DC88,DC98)</f>
        <v>7948</v>
      </c>
      <c r="DD99" s="359">
        <f>SUM(DD72:DD73,DD78:DD88,DD98)</f>
        <v>10069</v>
      </c>
      <c r="DE99" s="2691"/>
      <c r="DF99" s="359">
        <f>SUM(DF72:DF73,DF78:DF88,DF98)</f>
        <v>3533</v>
      </c>
      <c r="DG99" s="359">
        <f>SUM(DG72:DG73,DG78:DG88,DG98)</f>
        <v>5532</v>
      </c>
      <c r="DH99" s="1872">
        <f>SUM(DH72:DH73,DH78:DH88,DH98)</f>
        <v>8143</v>
      </c>
      <c r="DI99" s="1872">
        <f>SUM(DI72:DI73,DI78:DI88,DI98)</f>
        <v>8007</v>
      </c>
      <c r="DJ99" s="1894"/>
      <c r="DK99" s="1858"/>
      <c r="DL99" s="1858"/>
      <c r="DM99" s="1858"/>
      <c r="DN99" s="1858"/>
      <c r="DO99" s="1894"/>
      <c r="DP99" s="1858"/>
      <c r="DQ99" s="1858"/>
      <c r="DR99" s="1858"/>
      <c r="DS99" s="1858"/>
      <c r="DT99" s="1894"/>
      <c r="DU99" s="1858"/>
      <c r="DV99" s="1858"/>
      <c r="DW99" s="1858"/>
      <c r="DX99" s="1858"/>
      <c r="DY99" s="1894"/>
      <c r="DZ99" s="1895"/>
      <c r="EA99" s="1858"/>
      <c r="EB99" s="1858"/>
    </row>
    <row r="100" spans="1:132" outlineLevel="1" x14ac:dyDescent="0.2">
      <c r="A100" s="1853"/>
      <c r="B100" s="358"/>
      <c r="C100" s="1858"/>
      <c r="D100" s="1858"/>
      <c r="E100" s="1858"/>
      <c r="F100" s="1858"/>
      <c r="G100" s="1858"/>
      <c r="H100" s="1858"/>
      <c r="I100" s="1894"/>
      <c r="J100" s="1858"/>
      <c r="K100" s="1858"/>
      <c r="L100" s="1858"/>
      <c r="M100" s="1858"/>
      <c r="N100" s="1894"/>
      <c r="O100" s="1858"/>
      <c r="P100" s="1858"/>
      <c r="Q100" s="1858"/>
      <c r="R100" s="1858"/>
      <c r="S100" s="1894"/>
      <c r="T100" s="1858"/>
      <c r="U100" s="1858"/>
      <c r="V100" s="1858"/>
      <c r="W100" s="1858"/>
      <c r="X100" s="1894"/>
      <c r="Y100" s="1858"/>
      <c r="Z100" s="1858"/>
      <c r="AA100" s="1858"/>
      <c r="AB100" s="1858"/>
      <c r="AC100" s="1894"/>
      <c r="AD100" s="1858"/>
      <c r="AE100" s="1858"/>
      <c r="AF100" s="1858"/>
      <c r="AG100" s="1858"/>
      <c r="AH100" s="1894"/>
      <c r="AI100" s="1858"/>
      <c r="AJ100" s="1858"/>
      <c r="AK100" s="1858"/>
      <c r="AL100" s="1858"/>
      <c r="AM100" s="1894"/>
      <c r="AN100" s="1858"/>
      <c r="AO100" s="1858"/>
      <c r="AP100" s="1858"/>
      <c r="AQ100" s="1858"/>
      <c r="AR100" s="1894"/>
      <c r="AS100" s="1858"/>
      <c r="AT100" s="1858"/>
      <c r="AU100" s="1858"/>
      <c r="AV100" s="1858"/>
      <c r="AW100" s="1894"/>
      <c r="AX100" s="1858"/>
      <c r="AY100" s="1858"/>
      <c r="AZ100" s="1858"/>
      <c r="BA100" s="1858"/>
      <c r="BB100" s="1894"/>
      <c r="BC100" s="1858"/>
      <c r="BD100" s="1858"/>
      <c r="BE100" s="1858"/>
      <c r="BF100" s="1858"/>
      <c r="BG100" s="1894"/>
      <c r="BH100" s="1858"/>
      <c r="BI100" s="1858"/>
      <c r="BJ100" s="1858"/>
      <c r="BK100" s="1858"/>
      <c r="BL100" s="1894"/>
      <c r="BM100" s="360"/>
      <c r="BN100" s="360"/>
      <c r="BO100" s="360"/>
      <c r="BP100" s="360"/>
      <c r="BQ100" s="1894"/>
      <c r="BR100" s="360"/>
      <c r="BS100" s="360"/>
      <c r="BT100" s="360"/>
      <c r="BU100" s="360"/>
      <c r="BV100" s="1894"/>
      <c r="BW100" s="360"/>
      <c r="BX100" s="360"/>
      <c r="BY100" s="360"/>
      <c r="BZ100" s="360"/>
      <c r="CA100" s="1894"/>
      <c r="CB100" s="360"/>
      <c r="CC100" s="360"/>
      <c r="CD100" s="360"/>
      <c r="CE100" s="360"/>
      <c r="CF100" s="1894"/>
      <c r="CG100" s="360"/>
      <c r="CH100" s="360"/>
      <c r="CI100" s="360"/>
      <c r="CJ100" s="360"/>
      <c r="CK100" s="1894"/>
      <c r="CL100" s="1858"/>
      <c r="CM100" s="360"/>
      <c r="CN100" s="360"/>
      <c r="CO100" s="360"/>
      <c r="CP100" s="1894"/>
      <c r="CQ100" s="360"/>
      <c r="CR100" s="1884">
        <f>CR99-CQ99</f>
        <v>897</v>
      </c>
      <c r="CS100" s="1884">
        <f>CS99-CR99</f>
        <v>1645</v>
      </c>
      <c r="CT100" s="1884">
        <f>CT99-CS99</f>
        <v>3423</v>
      </c>
      <c r="CU100" s="1894"/>
      <c r="CV100" s="1858"/>
      <c r="CW100" s="1858"/>
      <c r="CX100" s="1884"/>
      <c r="CY100" s="1858"/>
      <c r="CZ100" s="1894"/>
      <c r="DA100" s="1858"/>
      <c r="DB100" s="1858"/>
      <c r="DC100" s="1858"/>
      <c r="DD100" s="1858"/>
      <c r="DE100" s="2691"/>
      <c r="DF100" s="1858"/>
      <c r="DG100" s="1858"/>
      <c r="DH100" s="1858"/>
      <c r="DI100" s="1858"/>
      <c r="DJ100" s="1894"/>
      <c r="DK100" s="1858"/>
      <c r="DL100" s="1858"/>
      <c r="DM100" s="1858"/>
      <c r="DN100" s="1858"/>
      <c r="DO100" s="1894"/>
      <c r="DP100" s="1858"/>
      <c r="DQ100" s="1858"/>
      <c r="DR100" s="1858"/>
      <c r="DS100" s="1858"/>
      <c r="DT100" s="1894"/>
      <c r="DU100" s="1858"/>
      <c r="DV100" s="1858"/>
      <c r="DW100" s="1858"/>
      <c r="DX100" s="1858"/>
      <c r="DY100" s="1894"/>
      <c r="DZ100" s="1895"/>
      <c r="EA100" s="1858"/>
      <c r="EB100" s="1858"/>
    </row>
    <row r="101" spans="1:132" outlineLevel="1" x14ac:dyDescent="0.2">
      <c r="A101" s="1853"/>
      <c r="B101" s="1896"/>
      <c r="C101" s="1884"/>
      <c r="D101" s="1884"/>
      <c r="E101" s="1884"/>
      <c r="F101" s="1884"/>
      <c r="G101" s="1884"/>
      <c r="H101" s="1884"/>
      <c r="I101" s="1885"/>
      <c r="J101" s="1884"/>
      <c r="K101" s="1884"/>
      <c r="L101" s="1884"/>
      <c r="M101" s="1884"/>
      <c r="N101" s="1885"/>
      <c r="O101" s="1884"/>
      <c r="P101" s="1884"/>
      <c r="Q101" s="1884"/>
      <c r="R101" s="1884"/>
      <c r="S101" s="1885"/>
      <c r="T101" s="1884"/>
      <c r="U101" s="1884"/>
      <c r="V101" s="1884"/>
      <c r="W101" s="1884"/>
      <c r="X101" s="1885"/>
      <c r="Y101" s="1884"/>
      <c r="Z101" s="1884"/>
      <c r="AA101" s="1884"/>
      <c r="AB101" s="1884"/>
      <c r="AC101" s="1885"/>
      <c r="AD101" s="1884"/>
      <c r="AE101" s="1884"/>
      <c r="AF101" s="1884"/>
      <c r="AG101" s="1884"/>
      <c r="AH101" s="1885"/>
      <c r="AI101" s="1884"/>
      <c r="AJ101" s="1884"/>
      <c r="AK101" s="1884"/>
      <c r="AL101" s="1884"/>
      <c r="AM101" s="1885"/>
      <c r="AN101" s="1884"/>
      <c r="AO101" s="1884"/>
      <c r="AP101" s="1884"/>
      <c r="AQ101" s="1884"/>
      <c r="AR101" s="1885"/>
      <c r="AS101" s="1884"/>
      <c r="AT101" s="1884"/>
      <c r="AU101" s="1884"/>
      <c r="AV101" s="1884"/>
      <c r="AW101" s="1885"/>
      <c r="AX101" s="1884"/>
      <c r="AY101" s="1884"/>
      <c r="AZ101" s="1884"/>
      <c r="BA101" s="1884"/>
      <c r="BB101" s="1885"/>
      <c r="BC101" s="1884"/>
      <c r="BD101" s="1884"/>
      <c r="BE101" s="1884"/>
      <c r="BF101" s="1884"/>
      <c r="BG101" s="1885"/>
      <c r="BH101" s="1884"/>
      <c r="BI101" s="1884"/>
      <c r="BJ101" s="1884"/>
      <c r="BK101" s="1884"/>
      <c r="BL101" s="1885"/>
      <c r="BM101" s="1884"/>
      <c r="BN101" s="1884"/>
      <c r="BO101" s="1884"/>
      <c r="BP101" s="1884"/>
      <c r="BQ101" s="1885"/>
      <c r="BR101" s="1884"/>
      <c r="BS101" s="1884"/>
      <c r="BT101" s="1884"/>
      <c r="BU101" s="1884"/>
      <c r="BV101" s="1885"/>
      <c r="BW101" s="1884"/>
      <c r="BX101" s="1884"/>
      <c r="BY101" s="1884"/>
      <c r="BZ101" s="1884"/>
      <c r="CA101" s="1885"/>
      <c r="CB101" s="1884"/>
      <c r="CC101" s="1884"/>
      <c r="CD101" s="1884"/>
      <c r="CE101" s="1884"/>
      <c r="CF101" s="1885"/>
      <c r="CG101" s="1884"/>
      <c r="CH101" s="1884"/>
      <c r="CI101" s="1884"/>
      <c r="CJ101" s="1884"/>
      <c r="CK101" s="1885"/>
      <c r="CL101" s="1884"/>
      <c r="CM101" s="1884"/>
      <c r="CN101" s="1884"/>
      <c r="CO101" s="1884"/>
      <c r="CP101" s="1885"/>
      <c r="CQ101" s="1884"/>
      <c r="CR101" s="1884"/>
      <c r="CS101" s="1884"/>
      <c r="CT101" s="1884"/>
      <c r="CU101" s="1885"/>
      <c r="CV101" s="1884"/>
      <c r="CW101" s="1884"/>
      <c r="CX101" s="1884"/>
      <c r="CY101" s="1884"/>
      <c r="CZ101" s="1885"/>
      <c r="DA101" s="1884"/>
      <c r="DB101" s="1884"/>
      <c r="DC101" s="1884"/>
      <c r="DD101" s="1884"/>
      <c r="DE101" s="2690"/>
      <c r="DF101" s="1884"/>
      <c r="DG101" s="1884"/>
      <c r="DH101" s="1884"/>
      <c r="DI101" s="1884"/>
      <c r="DJ101" s="1885"/>
      <c r="DK101" s="1884"/>
      <c r="DL101" s="1884"/>
      <c r="DM101" s="1884"/>
      <c r="DN101" s="1884"/>
      <c r="DO101" s="1885"/>
      <c r="DP101" s="1884"/>
      <c r="DQ101" s="1884"/>
      <c r="DR101" s="1884"/>
      <c r="DS101" s="1884"/>
      <c r="DT101" s="1885"/>
      <c r="DU101" s="1884"/>
      <c r="DV101" s="1884"/>
      <c r="DW101" s="1884"/>
      <c r="DX101" s="1884"/>
      <c r="DY101" s="1885"/>
      <c r="DZ101" s="1858"/>
      <c r="EA101" s="1858"/>
      <c r="EB101" s="1858"/>
    </row>
    <row r="102" spans="1:132" outlineLevel="1" x14ac:dyDescent="0.2">
      <c r="A102" s="1853"/>
      <c r="B102" s="1885" t="s">
        <v>332</v>
      </c>
      <c r="C102" s="1884"/>
      <c r="D102" s="1884"/>
      <c r="E102" s="1884"/>
      <c r="F102" s="1884"/>
      <c r="G102" s="1884"/>
      <c r="H102" s="1884"/>
      <c r="I102" s="1885"/>
      <c r="J102" s="1884"/>
      <c r="K102" s="1884"/>
      <c r="L102" s="1884"/>
      <c r="M102" s="1884"/>
      <c r="N102" s="1885"/>
      <c r="O102" s="1884"/>
      <c r="P102" s="1884"/>
      <c r="Q102" s="1884"/>
      <c r="R102" s="1884"/>
      <c r="S102" s="1885"/>
      <c r="T102" s="1884"/>
      <c r="U102" s="1884"/>
      <c r="V102" s="1884"/>
      <c r="W102" s="1884"/>
      <c r="X102" s="1885"/>
      <c r="Y102" s="1884"/>
      <c r="Z102" s="1884"/>
      <c r="AA102" s="1884"/>
      <c r="AB102" s="1884"/>
      <c r="AC102" s="1885"/>
      <c r="AD102" s="1884"/>
      <c r="AE102" s="1884"/>
      <c r="AF102" s="1884"/>
      <c r="AG102" s="1884"/>
      <c r="AH102" s="1885"/>
      <c r="AI102" s="1884"/>
      <c r="AJ102" s="1884"/>
      <c r="AK102" s="1884"/>
      <c r="AL102" s="1884"/>
      <c r="AM102" s="1885"/>
      <c r="AN102" s="1884"/>
      <c r="AO102" s="1884"/>
      <c r="AP102" s="1884"/>
      <c r="AQ102" s="1884"/>
      <c r="AR102" s="1885"/>
      <c r="AS102" s="1884"/>
      <c r="AT102" s="1884"/>
      <c r="AU102" s="1884"/>
      <c r="AV102" s="1884"/>
      <c r="AW102" s="1885"/>
      <c r="AX102" s="1884"/>
      <c r="AY102" s="1884"/>
      <c r="AZ102" s="1884"/>
      <c r="BA102" s="1884"/>
      <c r="BB102" s="1885"/>
      <c r="BC102" s="1884"/>
      <c r="BD102" s="1884"/>
      <c r="BE102" s="1884"/>
      <c r="BF102" s="1884"/>
      <c r="BG102" s="1885"/>
      <c r="BH102" s="1884"/>
      <c r="BI102" s="1884"/>
      <c r="BJ102" s="1884"/>
      <c r="BK102" s="1884"/>
      <c r="BL102" s="1885"/>
      <c r="BM102" s="1897">
        <v>-400.3</v>
      </c>
      <c r="BN102" s="1897">
        <v>-955.3</v>
      </c>
      <c r="BO102" s="1897">
        <v>-1483.2</v>
      </c>
      <c r="BP102" s="1854">
        <f t="shared" ref="BP102:BP109" si="157">BQ37</f>
        <v>-2179.9</v>
      </c>
      <c r="BQ102" s="1885"/>
      <c r="BR102" s="1897">
        <v>-466.4</v>
      </c>
      <c r="BS102" s="1897">
        <v>-1091.3</v>
      </c>
      <c r="BT102" s="1897">
        <v>-1752.5</v>
      </c>
      <c r="BU102" s="1854">
        <f t="shared" ref="BU102:BU109" si="158">BV37</f>
        <v>-2548</v>
      </c>
      <c r="BV102" s="1885"/>
      <c r="BW102" s="1897">
        <v>-401</v>
      </c>
      <c r="BX102" s="1897">
        <v>-866</v>
      </c>
      <c r="BY102" s="1897">
        <v>-1379</v>
      </c>
      <c r="BZ102" s="1897">
        <v>-2005</v>
      </c>
      <c r="CA102" s="1885"/>
      <c r="CB102" s="1897">
        <v>-309</v>
      </c>
      <c r="CC102" s="1897">
        <v>-710</v>
      </c>
      <c r="CD102" s="1897">
        <v>-1168</v>
      </c>
      <c r="CE102" s="1897">
        <v>-1872</v>
      </c>
      <c r="CF102" s="1885"/>
      <c r="CG102" s="1897">
        <v>-376</v>
      </c>
      <c r="CH102" s="1897">
        <v>-818</v>
      </c>
      <c r="CI102" s="1897">
        <v>-1314</v>
      </c>
      <c r="CJ102" s="1897">
        <v>-2030</v>
      </c>
      <c r="CK102" s="1885"/>
      <c r="CL102" s="1890">
        <v>-318</v>
      </c>
      <c r="CM102" s="1897">
        <v>-804</v>
      </c>
      <c r="CN102" s="1897">
        <v>-1330</v>
      </c>
      <c r="CO102" s="1898">
        <v>-1984</v>
      </c>
      <c r="CP102" s="1885"/>
      <c r="CQ102" s="1898">
        <v>-388</v>
      </c>
      <c r="CR102" s="1898">
        <v>-891</v>
      </c>
      <c r="CS102" s="1898">
        <v>-1436</v>
      </c>
      <c r="CT102" s="1898">
        <v>-2136</v>
      </c>
      <c r="CU102" s="1885"/>
      <c r="CV102" s="1898">
        <v>-419</v>
      </c>
      <c r="CW102" s="1884">
        <v>-942</v>
      </c>
      <c r="CX102" s="1884">
        <v>-1490</v>
      </c>
      <c r="CY102" s="1884">
        <v>-2367</v>
      </c>
      <c r="CZ102" s="1885"/>
      <c r="DA102" s="1898">
        <v>-598</v>
      </c>
      <c r="DB102" s="1884">
        <v>-1102</v>
      </c>
      <c r="DC102" s="1884">
        <v>-1607</v>
      </c>
      <c r="DD102" s="1884">
        <v>-2224</v>
      </c>
      <c r="DE102" s="2690"/>
      <c r="DF102" s="1898">
        <v>-457</v>
      </c>
      <c r="DG102" s="1884">
        <v>-888</v>
      </c>
      <c r="DH102" s="1884">
        <v>-1412</v>
      </c>
      <c r="DI102" s="1884">
        <v>-1918</v>
      </c>
      <c r="DJ102" s="1885"/>
      <c r="DK102" s="1884"/>
      <c r="DL102" s="1884"/>
      <c r="DM102" s="1884"/>
      <c r="DN102" s="1884"/>
      <c r="DO102" s="1885"/>
      <c r="DP102" s="1884"/>
      <c r="DQ102" s="1884"/>
      <c r="DR102" s="1884"/>
      <c r="DS102" s="1884"/>
      <c r="DT102" s="1885"/>
      <c r="DU102" s="1884"/>
      <c r="DV102" s="1884"/>
      <c r="DW102" s="1884"/>
      <c r="DX102" s="1884"/>
      <c r="DY102" s="1885"/>
      <c r="DZ102" s="1858"/>
      <c r="EA102" s="1858"/>
      <c r="EB102" s="1858"/>
    </row>
    <row r="103" spans="1:132" outlineLevel="1" x14ac:dyDescent="0.2">
      <c r="A103" s="1853"/>
      <c r="B103" s="1885" t="s">
        <v>333</v>
      </c>
      <c r="C103" s="1884"/>
      <c r="D103" s="1884"/>
      <c r="E103" s="1884"/>
      <c r="F103" s="1884"/>
      <c r="G103" s="1884"/>
      <c r="H103" s="1884"/>
      <c r="I103" s="1885"/>
      <c r="J103" s="1884"/>
      <c r="K103" s="1884"/>
      <c r="L103" s="1884"/>
      <c r="M103" s="1884"/>
      <c r="N103" s="1885"/>
      <c r="O103" s="1884"/>
      <c r="P103" s="1884"/>
      <c r="Q103" s="1884"/>
      <c r="R103" s="1884"/>
      <c r="S103" s="1885"/>
      <c r="T103" s="1884"/>
      <c r="U103" s="1884"/>
      <c r="V103" s="1884"/>
      <c r="W103" s="1884"/>
      <c r="X103" s="1885"/>
      <c r="Y103" s="1884"/>
      <c r="Z103" s="1884"/>
      <c r="AA103" s="1884"/>
      <c r="AB103" s="1884"/>
      <c r="AC103" s="1885"/>
      <c r="AD103" s="1884"/>
      <c r="AE103" s="1884"/>
      <c r="AF103" s="1884"/>
      <c r="AG103" s="1884"/>
      <c r="AH103" s="1885"/>
      <c r="AI103" s="1884"/>
      <c r="AJ103" s="1884"/>
      <c r="AK103" s="1884"/>
      <c r="AL103" s="1884"/>
      <c r="AM103" s="1885"/>
      <c r="AN103" s="1884"/>
      <c r="AO103" s="1884"/>
      <c r="AP103" s="1884"/>
      <c r="AQ103" s="1884"/>
      <c r="AR103" s="1885"/>
      <c r="AS103" s="1884"/>
      <c r="AT103" s="1884"/>
      <c r="AU103" s="1884"/>
      <c r="AV103" s="1884"/>
      <c r="AW103" s="1885"/>
      <c r="AX103" s="1884"/>
      <c r="AY103" s="1884"/>
      <c r="AZ103" s="1884"/>
      <c r="BA103" s="1884"/>
      <c r="BB103" s="1885"/>
      <c r="BC103" s="1884"/>
      <c r="BD103" s="1884"/>
      <c r="BE103" s="1884"/>
      <c r="BF103" s="1884"/>
      <c r="BG103" s="1885"/>
      <c r="BH103" s="1884"/>
      <c r="BI103" s="1884"/>
      <c r="BJ103" s="1884"/>
      <c r="BK103" s="1884"/>
      <c r="BL103" s="1885"/>
      <c r="BM103" s="1826">
        <v>5.3</v>
      </c>
      <c r="BN103" s="1826">
        <v>69.599999999999994</v>
      </c>
      <c r="BO103" s="1826">
        <v>196.9</v>
      </c>
      <c r="BP103" s="1899">
        <f t="shared" si="157"/>
        <v>203.8</v>
      </c>
      <c r="BQ103" s="1885"/>
      <c r="BR103" s="1826">
        <v>5.8</v>
      </c>
      <c r="BS103" s="1826">
        <v>503.1</v>
      </c>
      <c r="BT103" s="1826">
        <v>748.2</v>
      </c>
      <c r="BU103" s="1899">
        <f t="shared" si="158"/>
        <v>1562</v>
      </c>
      <c r="BV103" s="1885"/>
      <c r="BW103" s="1826">
        <v>0</v>
      </c>
      <c r="BX103" s="1826">
        <v>0</v>
      </c>
      <c r="BY103" s="1826">
        <v>124</v>
      </c>
      <c r="BZ103" s="1826">
        <v>507</v>
      </c>
      <c r="CA103" s="1885"/>
      <c r="CB103" s="1826">
        <v>11</v>
      </c>
      <c r="CC103" s="1826">
        <v>11</v>
      </c>
      <c r="CD103" s="1826">
        <v>11</v>
      </c>
      <c r="CE103" s="1826">
        <v>592</v>
      </c>
      <c r="CF103" s="1885"/>
      <c r="CG103" s="1826">
        <v>0</v>
      </c>
      <c r="CH103" s="1826">
        <v>0</v>
      </c>
      <c r="CI103" s="1826">
        <v>427</v>
      </c>
      <c r="CJ103" s="1826">
        <v>529</v>
      </c>
      <c r="CK103" s="1885"/>
      <c r="CL103" s="1890"/>
      <c r="CM103" s="1826"/>
      <c r="CN103" s="1826">
        <v>156</v>
      </c>
      <c r="CO103" s="1826">
        <v>600</v>
      </c>
      <c r="CP103" s="1885"/>
      <c r="CQ103" s="1826">
        <v>5</v>
      </c>
      <c r="CR103" s="1826">
        <v>5</v>
      </c>
      <c r="CS103" s="1826">
        <v>328</v>
      </c>
      <c r="CT103" s="1826">
        <v>515</v>
      </c>
      <c r="CU103" s="1885"/>
      <c r="CV103" s="1826">
        <v>25</v>
      </c>
      <c r="CW103" s="1884">
        <v>34</v>
      </c>
      <c r="CX103" s="1884">
        <v>34</v>
      </c>
      <c r="CY103" s="1884">
        <v>411</v>
      </c>
      <c r="CZ103" s="1885"/>
      <c r="DA103" s="1826">
        <v>0</v>
      </c>
      <c r="DB103" s="1884"/>
      <c r="DC103" s="1884">
        <v>230</v>
      </c>
      <c r="DD103" s="1884">
        <v>230</v>
      </c>
      <c r="DE103" s="2690"/>
      <c r="DF103" s="1826">
        <v>0</v>
      </c>
      <c r="DG103" s="1884">
        <v>13</v>
      </c>
      <c r="DH103" s="1884">
        <v>265</v>
      </c>
      <c r="DI103" s="1884">
        <v>265</v>
      </c>
      <c r="DJ103" s="1885"/>
      <c r="DK103" s="1884"/>
      <c r="DL103" s="1884"/>
      <c r="DM103" s="1884"/>
      <c r="DN103" s="1884"/>
      <c r="DO103" s="1885"/>
      <c r="DP103" s="1884"/>
      <c r="DQ103" s="1884"/>
      <c r="DR103" s="1884"/>
      <c r="DS103" s="1884"/>
      <c r="DT103" s="1885"/>
      <c r="DU103" s="1884"/>
      <c r="DV103" s="1884"/>
      <c r="DW103" s="1884"/>
      <c r="DX103" s="1884"/>
      <c r="DY103" s="1885"/>
      <c r="DZ103" s="1858"/>
      <c r="EA103" s="1858"/>
      <c r="EB103" s="1858"/>
    </row>
    <row r="104" spans="1:132" outlineLevel="1" x14ac:dyDescent="0.2">
      <c r="A104" s="1853"/>
      <c r="B104" s="1885" t="s">
        <v>334</v>
      </c>
      <c r="C104" s="1884"/>
      <c r="D104" s="1884"/>
      <c r="E104" s="1884"/>
      <c r="F104" s="1884"/>
      <c r="G104" s="1884"/>
      <c r="H104" s="1884"/>
      <c r="I104" s="1885"/>
      <c r="J104" s="1884"/>
      <c r="K104" s="1884"/>
      <c r="L104" s="1884"/>
      <c r="M104" s="1884"/>
      <c r="N104" s="1885"/>
      <c r="O104" s="1884"/>
      <c r="P104" s="1884"/>
      <c r="Q104" s="1884"/>
      <c r="R104" s="1884"/>
      <c r="S104" s="1885"/>
      <c r="T104" s="1884"/>
      <c r="U104" s="1884"/>
      <c r="V104" s="1884"/>
      <c r="W104" s="1884"/>
      <c r="X104" s="1885"/>
      <c r="Y104" s="1884"/>
      <c r="Z104" s="1884"/>
      <c r="AA104" s="1884"/>
      <c r="AB104" s="1884"/>
      <c r="AC104" s="1885"/>
      <c r="AD104" s="1884"/>
      <c r="AE104" s="1884"/>
      <c r="AF104" s="1884"/>
      <c r="AG104" s="1884"/>
      <c r="AH104" s="1885"/>
      <c r="AI104" s="1884"/>
      <c r="AJ104" s="1884"/>
      <c r="AK104" s="1884"/>
      <c r="AL104" s="1884"/>
      <c r="AM104" s="1885"/>
      <c r="AN104" s="1884"/>
      <c r="AO104" s="1884"/>
      <c r="AP104" s="1884"/>
      <c r="AQ104" s="1884"/>
      <c r="AR104" s="1885"/>
      <c r="AS104" s="1884"/>
      <c r="AT104" s="1884"/>
      <c r="AU104" s="1884"/>
      <c r="AV104" s="1884"/>
      <c r="AW104" s="1885"/>
      <c r="AX104" s="1884"/>
      <c r="AY104" s="1884"/>
      <c r="AZ104" s="1884"/>
      <c r="BA104" s="1884"/>
      <c r="BB104" s="1885"/>
      <c r="BC104" s="1884"/>
      <c r="BD104" s="1884"/>
      <c r="BE104" s="1884"/>
      <c r="BF104" s="1884"/>
      <c r="BG104" s="1885"/>
      <c r="BH104" s="1884"/>
      <c r="BI104" s="1884"/>
      <c r="BJ104" s="1884"/>
      <c r="BK104" s="1884"/>
      <c r="BL104" s="1885"/>
      <c r="BM104" s="1826">
        <v>15.9</v>
      </c>
      <c r="BN104" s="1826">
        <v>-14</v>
      </c>
      <c r="BO104" s="1826">
        <v>-27.9</v>
      </c>
      <c r="BP104" s="1899">
        <f t="shared" si="157"/>
        <v>-2650.7</v>
      </c>
      <c r="BQ104" s="1885"/>
      <c r="BR104" s="1826">
        <v>13.1</v>
      </c>
      <c r="BS104" s="1826">
        <v>-26.3</v>
      </c>
      <c r="BT104" s="1826">
        <v>-43.3</v>
      </c>
      <c r="BU104" s="1899">
        <f t="shared" si="158"/>
        <v>-101</v>
      </c>
      <c r="BV104" s="1885"/>
      <c r="BW104" s="1826">
        <v>-9</v>
      </c>
      <c r="BX104" s="1826">
        <v>-25</v>
      </c>
      <c r="BY104" s="1826">
        <v>-158</v>
      </c>
      <c r="BZ104" s="1826">
        <v>-177</v>
      </c>
      <c r="CA104" s="1885"/>
      <c r="CB104" s="1826">
        <v>-11</v>
      </c>
      <c r="CC104" s="1826">
        <v>-1366</v>
      </c>
      <c r="CD104" s="1826">
        <v>-1406</v>
      </c>
      <c r="CE104" s="1826">
        <v>-1441</v>
      </c>
      <c r="CF104" s="1885"/>
      <c r="CG104" s="1826">
        <f>-74+7</f>
        <v>-67</v>
      </c>
      <c r="CH104" s="1826">
        <v>-274</v>
      </c>
      <c r="CI104" s="1826">
        <v>-303</v>
      </c>
      <c r="CJ104" s="1826">
        <v>-378</v>
      </c>
      <c r="CK104" s="1885"/>
      <c r="CL104" s="1890">
        <v>-254</v>
      </c>
      <c r="CM104" s="1826">
        <v>-300</v>
      </c>
      <c r="CN104" s="1826">
        <f>-354+13</f>
        <v>-341</v>
      </c>
      <c r="CO104" s="1826">
        <f>-415-226</f>
        <v>-641</v>
      </c>
      <c r="CP104" s="1885"/>
      <c r="CQ104" s="1826">
        <v>-2194</v>
      </c>
      <c r="CR104" s="1826">
        <v>-2248</v>
      </c>
      <c r="CS104" s="1826">
        <v>-2392</v>
      </c>
      <c r="CT104" s="1826">
        <f>-2439-157</f>
        <v>-2596</v>
      </c>
      <c r="CU104" s="1885"/>
      <c r="CV104" s="1826">
        <v>-61</v>
      </c>
      <c r="CW104" s="1884">
        <v>-112</v>
      </c>
      <c r="CX104" s="1884">
        <v>-9503</v>
      </c>
      <c r="CY104" s="1884">
        <v>-11475</v>
      </c>
      <c r="CZ104" s="1885"/>
      <c r="DA104" s="1826">
        <v>-51</v>
      </c>
      <c r="DB104" s="1884">
        <v>-168</v>
      </c>
      <c r="DC104" s="1884">
        <v>-333</v>
      </c>
      <c r="DD104" s="1884">
        <v>-539</v>
      </c>
      <c r="DE104" s="2690"/>
      <c r="DF104" s="1826">
        <v>-110</v>
      </c>
      <c r="DG104" s="1884">
        <v>-315</v>
      </c>
      <c r="DH104" s="1884">
        <v>-502</v>
      </c>
      <c r="DI104" s="1884">
        <f>-1287+33</f>
        <v>-1254</v>
      </c>
      <c r="DJ104" s="1885"/>
      <c r="DK104" s="1884"/>
      <c r="DL104" s="1884"/>
      <c r="DM104" s="1884"/>
      <c r="DN104" s="1884"/>
      <c r="DO104" s="1885"/>
      <c r="DP104" s="1884"/>
      <c r="DQ104" s="1884"/>
      <c r="DR104" s="1884"/>
      <c r="DS104" s="1884"/>
      <c r="DT104" s="1885"/>
      <c r="DU104" s="1884"/>
      <c r="DV104" s="1884"/>
      <c r="DW104" s="1884"/>
      <c r="DX104" s="1884"/>
      <c r="DY104" s="1885"/>
      <c r="DZ104" s="1858"/>
      <c r="EA104" s="1858"/>
      <c r="EB104" s="1858"/>
    </row>
    <row r="105" spans="1:132" outlineLevel="1" x14ac:dyDescent="0.2">
      <c r="A105" s="1853"/>
      <c r="B105" s="1885" t="s">
        <v>335</v>
      </c>
      <c r="C105" s="1884"/>
      <c r="D105" s="1884"/>
      <c r="E105" s="1884"/>
      <c r="F105" s="1884"/>
      <c r="G105" s="1884"/>
      <c r="H105" s="1884"/>
      <c r="I105" s="1885"/>
      <c r="J105" s="1884"/>
      <c r="K105" s="1884"/>
      <c r="L105" s="1884"/>
      <c r="M105" s="1884"/>
      <c r="N105" s="1885"/>
      <c r="O105" s="1884"/>
      <c r="P105" s="1884"/>
      <c r="Q105" s="1884"/>
      <c r="R105" s="1884"/>
      <c r="S105" s="1885"/>
      <c r="T105" s="1884"/>
      <c r="U105" s="1884"/>
      <c r="V105" s="1884"/>
      <c r="W105" s="1884"/>
      <c r="X105" s="1885"/>
      <c r="Y105" s="1884"/>
      <c r="Z105" s="1884"/>
      <c r="AA105" s="1884"/>
      <c r="AB105" s="1884"/>
      <c r="AC105" s="1885"/>
      <c r="AD105" s="1884"/>
      <c r="AE105" s="1884"/>
      <c r="AF105" s="1884"/>
      <c r="AG105" s="1884"/>
      <c r="AH105" s="1885"/>
      <c r="AI105" s="1884"/>
      <c r="AJ105" s="1884"/>
      <c r="AK105" s="1884"/>
      <c r="AL105" s="1884"/>
      <c r="AM105" s="1885"/>
      <c r="AN105" s="1884"/>
      <c r="AO105" s="1884"/>
      <c r="AP105" s="1884"/>
      <c r="AQ105" s="1884"/>
      <c r="AR105" s="1885"/>
      <c r="AS105" s="1884"/>
      <c r="AT105" s="1884"/>
      <c r="AU105" s="1884"/>
      <c r="AV105" s="1884"/>
      <c r="AW105" s="1885"/>
      <c r="AX105" s="1884"/>
      <c r="AY105" s="1884"/>
      <c r="AZ105" s="1884"/>
      <c r="BA105" s="1884"/>
      <c r="BB105" s="1885"/>
      <c r="BC105" s="1884"/>
      <c r="BD105" s="1884"/>
      <c r="BE105" s="1884"/>
      <c r="BF105" s="1884"/>
      <c r="BG105" s="1885"/>
      <c r="BH105" s="1884"/>
      <c r="BI105" s="1884"/>
      <c r="BJ105" s="1884"/>
      <c r="BK105" s="1884"/>
      <c r="BL105" s="1885"/>
      <c r="BM105" s="1826">
        <v>4.8</v>
      </c>
      <c r="BN105" s="1826">
        <v>9.5</v>
      </c>
      <c r="BO105" s="1826">
        <v>0</v>
      </c>
      <c r="BP105" s="1899">
        <f t="shared" si="157"/>
        <v>18.7</v>
      </c>
      <c r="BQ105" s="1885"/>
      <c r="BR105" s="1826">
        <v>1.7</v>
      </c>
      <c r="BS105" s="1826">
        <v>6.5</v>
      </c>
      <c r="BT105" s="1826">
        <v>7</v>
      </c>
      <c r="BU105" s="1899">
        <f t="shared" si="158"/>
        <v>23</v>
      </c>
      <c r="BV105" s="1885"/>
      <c r="BW105" s="1826">
        <v>12</v>
      </c>
      <c r="BX105" s="1826">
        <v>10</v>
      </c>
      <c r="BY105" s="1826">
        <v>24</v>
      </c>
      <c r="BZ105" s="1826">
        <v>34</v>
      </c>
      <c r="CA105" s="1885"/>
      <c r="CB105" s="1826">
        <v>12</v>
      </c>
      <c r="CC105" s="1826">
        <v>0</v>
      </c>
      <c r="CD105" s="1826">
        <v>1</v>
      </c>
      <c r="CE105" s="1826">
        <f>4+250</f>
        <v>254</v>
      </c>
      <c r="CF105" s="1885"/>
      <c r="CG105" s="1826">
        <v>0</v>
      </c>
      <c r="CH105" s="1826">
        <v>7</v>
      </c>
      <c r="CI105" s="1826">
        <v>7</v>
      </c>
      <c r="CJ105" s="1826">
        <f>7+23</f>
        <v>30</v>
      </c>
      <c r="CK105" s="1885"/>
      <c r="CL105" s="1890">
        <v>5</v>
      </c>
      <c r="CM105" s="1826">
        <v>11</v>
      </c>
      <c r="CN105" s="1826">
        <v>0</v>
      </c>
      <c r="CO105" s="1826">
        <v>136</v>
      </c>
      <c r="CP105" s="1885"/>
      <c r="CQ105" s="1826">
        <v>5</v>
      </c>
      <c r="CR105" s="1826">
        <v>7</v>
      </c>
      <c r="CS105" s="1826">
        <v>8</v>
      </c>
      <c r="CT105" s="1826">
        <v>161</v>
      </c>
      <c r="CU105" s="1885"/>
      <c r="CV105" s="1826">
        <v>8</v>
      </c>
      <c r="CW105" s="1884">
        <v>14</v>
      </c>
      <c r="CX105" s="1884">
        <v>28</v>
      </c>
      <c r="CY105" s="1884">
        <v>35</v>
      </c>
      <c r="CZ105" s="1885"/>
      <c r="DA105" s="1826">
        <v>2</v>
      </c>
      <c r="DB105" s="1884">
        <v>11</v>
      </c>
      <c r="DC105" s="1884">
        <v>22</v>
      </c>
      <c r="DD105" s="1884">
        <v>37</v>
      </c>
      <c r="DE105" s="2690"/>
      <c r="DF105" s="1826">
        <v>5</v>
      </c>
      <c r="DG105" s="1884"/>
      <c r="DH105" s="1884"/>
      <c r="DI105" s="1884"/>
      <c r="DJ105" s="1885"/>
      <c r="DK105" s="1884"/>
      <c r="DL105" s="1884"/>
      <c r="DM105" s="1884"/>
      <c r="DN105" s="1884"/>
      <c r="DO105" s="1885"/>
      <c r="DP105" s="1884"/>
      <c r="DQ105" s="1884"/>
      <c r="DR105" s="1884"/>
      <c r="DS105" s="1884"/>
      <c r="DT105" s="1885"/>
      <c r="DU105" s="1884"/>
      <c r="DV105" s="1884"/>
      <c r="DW105" s="1884"/>
      <c r="DX105" s="1884"/>
      <c r="DY105" s="1885"/>
      <c r="DZ105" s="1858"/>
      <c r="EA105" s="1858"/>
      <c r="EB105" s="1858"/>
    </row>
    <row r="106" spans="1:132" outlineLevel="1" x14ac:dyDescent="0.2">
      <c r="A106" s="1853"/>
      <c r="B106" s="1885" t="s">
        <v>336</v>
      </c>
      <c r="C106" s="1884"/>
      <c r="D106" s="1884"/>
      <c r="E106" s="1884"/>
      <c r="F106" s="1884"/>
      <c r="G106" s="1884"/>
      <c r="H106" s="1884"/>
      <c r="I106" s="1885"/>
      <c r="J106" s="1884"/>
      <c r="K106" s="1884"/>
      <c r="L106" s="1884"/>
      <c r="M106" s="1884"/>
      <c r="N106" s="1885"/>
      <c r="O106" s="1884"/>
      <c r="P106" s="1884"/>
      <c r="Q106" s="1884"/>
      <c r="R106" s="1884"/>
      <c r="S106" s="1885"/>
      <c r="T106" s="1884"/>
      <c r="U106" s="1884"/>
      <c r="V106" s="1884"/>
      <c r="W106" s="1884"/>
      <c r="X106" s="1885"/>
      <c r="Y106" s="1884"/>
      <c r="Z106" s="1884"/>
      <c r="AA106" s="1884"/>
      <c r="AB106" s="1884"/>
      <c r="AC106" s="1885"/>
      <c r="AD106" s="1884"/>
      <c r="AE106" s="1884"/>
      <c r="AF106" s="1884"/>
      <c r="AG106" s="1884"/>
      <c r="AH106" s="1885"/>
      <c r="AI106" s="1884"/>
      <c r="AJ106" s="1884"/>
      <c r="AK106" s="1884"/>
      <c r="AL106" s="1884"/>
      <c r="AM106" s="1885"/>
      <c r="AN106" s="1884"/>
      <c r="AO106" s="1884"/>
      <c r="AP106" s="1884"/>
      <c r="AQ106" s="1884"/>
      <c r="AR106" s="1885"/>
      <c r="AS106" s="1884"/>
      <c r="AT106" s="1884"/>
      <c r="AU106" s="1884"/>
      <c r="AV106" s="1884"/>
      <c r="AW106" s="1885"/>
      <c r="AX106" s="1884"/>
      <c r="AY106" s="1884"/>
      <c r="AZ106" s="1884"/>
      <c r="BA106" s="1884"/>
      <c r="BB106" s="1885"/>
      <c r="BC106" s="1884"/>
      <c r="BD106" s="1884"/>
      <c r="BE106" s="1884"/>
      <c r="BF106" s="1884"/>
      <c r="BG106" s="1885"/>
      <c r="BH106" s="1884"/>
      <c r="BI106" s="1884"/>
      <c r="BJ106" s="1884"/>
      <c r="BK106" s="1884"/>
      <c r="BL106" s="1885"/>
      <c r="BM106" s="1826">
        <v>0</v>
      </c>
      <c r="BN106" s="1826">
        <v>0</v>
      </c>
      <c r="BO106" s="1826">
        <v>13.6</v>
      </c>
      <c r="BP106" s="1899">
        <f t="shared" si="157"/>
        <v>0</v>
      </c>
      <c r="BQ106" s="1885"/>
      <c r="BR106" s="1826">
        <v>0</v>
      </c>
      <c r="BS106" s="1826">
        <v>0</v>
      </c>
      <c r="BT106" s="1826">
        <v>0</v>
      </c>
      <c r="BU106" s="1899">
        <f t="shared" si="158"/>
        <v>0</v>
      </c>
      <c r="BV106" s="1885"/>
      <c r="BW106" s="1826">
        <v>1</v>
      </c>
      <c r="BX106" s="1826">
        <v>1</v>
      </c>
      <c r="BY106" s="1826">
        <v>1</v>
      </c>
      <c r="BZ106" s="1826">
        <v>1</v>
      </c>
      <c r="CA106" s="1885"/>
      <c r="CB106" s="1900"/>
      <c r="CC106" s="1901"/>
      <c r="CD106" s="1901"/>
      <c r="CE106" s="1826">
        <v>60</v>
      </c>
      <c r="CF106" s="1885"/>
      <c r="CG106" s="1826">
        <v>0</v>
      </c>
      <c r="CH106" s="1826">
        <v>0</v>
      </c>
      <c r="CI106" s="1826">
        <v>0</v>
      </c>
      <c r="CJ106" s="1826"/>
      <c r="CK106" s="1885"/>
      <c r="CL106" s="1890"/>
      <c r="CM106" s="1826"/>
      <c r="CN106" s="1826"/>
      <c r="CO106" s="1826">
        <v>54</v>
      </c>
      <c r="CP106" s="1885"/>
      <c r="CQ106" s="1826">
        <v>55</v>
      </c>
      <c r="CR106" s="1826">
        <v>103</v>
      </c>
      <c r="CS106" s="1826">
        <v>-161</v>
      </c>
      <c r="CT106" s="1826">
        <v>11</v>
      </c>
      <c r="CU106" s="1885"/>
      <c r="CV106" s="1826"/>
      <c r="CW106" s="1884"/>
      <c r="CX106" s="1884"/>
      <c r="CY106" s="1884"/>
      <c r="CZ106" s="1885"/>
      <c r="DA106" s="1826"/>
      <c r="DB106" s="1884"/>
      <c r="DC106" s="1884"/>
      <c r="DD106" s="1884"/>
      <c r="DE106" s="2690"/>
      <c r="DF106" s="1826"/>
      <c r="DG106" s="1884"/>
      <c r="DH106" s="1884"/>
      <c r="DI106" s="1884"/>
      <c r="DJ106" s="1885"/>
      <c r="DK106" s="1884"/>
      <c r="DL106" s="1884"/>
      <c r="DM106" s="1884"/>
      <c r="DN106" s="1884"/>
      <c r="DO106" s="1885"/>
      <c r="DP106" s="1884"/>
      <c r="DQ106" s="1884"/>
      <c r="DR106" s="1884"/>
      <c r="DS106" s="1884"/>
      <c r="DT106" s="1885"/>
      <c r="DU106" s="1884"/>
      <c r="DV106" s="1884"/>
      <c r="DW106" s="1884"/>
      <c r="DX106" s="1884"/>
      <c r="DY106" s="1885"/>
      <c r="DZ106" s="1858"/>
      <c r="EA106" s="1858"/>
      <c r="EB106" s="1858"/>
    </row>
    <row r="107" spans="1:132" outlineLevel="1" x14ac:dyDescent="0.2">
      <c r="A107" s="1853"/>
      <c r="B107" s="1885" t="s">
        <v>337</v>
      </c>
      <c r="C107" s="1884"/>
      <c r="D107" s="1884"/>
      <c r="E107" s="1884"/>
      <c r="F107" s="1884"/>
      <c r="G107" s="1884"/>
      <c r="H107" s="1884"/>
      <c r="I107" s="1885"/>
      <c r="J107" s="1884"/>
      <c r="K107" s="1884"/>
      <c r="L107" s="1884"/>
      <c r="M107" s="1884"/>
      <c r="N107" s="1885"/>
      <c r="O107" s="1884"/>
      <c r="P107" s="1884"/>
      <c r="Q107" s="1884"/>
      <c r="R107" s="1884"/>
      <c r="S107" s="1885"/>
      <c r="T107" s="1884"/>
      <c r="U107" s="1884"/>
      <c r="V107" s="1884"/>
      <c r="W107" s="1884"/>
      <c r="X107" s="1885"/>
      <c r="Y107" s="1884"/>
      <c r="Z107" s="1884"/>
      <c r="AA107" s="1884"/>
      <c r="AB107" s="1884"/>
      <c r="AC107" s="1885"/>
      <c r="AD107" s="1884"/>
      <c r="AE107" s="1884"/>
      <c r="AF107" s="1884"/>
      <c r="AG107" s="1884"/>
      <c r="AH107" s="1885"/>
      <c r="AI107" s="1884"/>
      <c r="AJ107" s="1884"/>
      <c r="AK107" s="1884"/>
      <c r="AL107" s="1884"/>
      <c r="AM107" s="1885"/>
      <c r="AN107" s="1884"/>
      <c r="AO107" s="1884"/>
      <c r="AP107" s="1884"/>
      <c r="AQ107" s="1884"/>
      <c r="AR107" s="1885"/>
      <c r="AS107" s="1884"/>
      <c r="AT107" s="1884"/>
      <c r="AU107" s="1884"/>
      <c r="AV107" s="1884"/>
      <c r="AW107" s="1885"/>
      <c r="AX107" s="1884"/>
      <c r="AY107" s="1884"/>
      <c r="AZ107" s="1884"/>
      <c r="BA107" s="1884"/>
      <c r="BB107" s="1885"/>
      <c r="BC107" s="1884"/>
      <c r="BD107" s="1884"/>
      <c r="BE107" s="1884"/>
      <c r="BF107" s="1884"/>
      <c r="BG107" s="1885"/>
      <c r="BH107" s="1884"/>
      <c r="BI107" s="1884"/>
      <c r="BJ107" s="1884"/>
      <c r="BK107" s="1884"/>
      <c r="BL107" s="1885"/>
      <c r="BM107" s="1826">
        <v>27.5</v>
      </c>
      <c r="BN107" s="1826">
        <v>27.5</v>
      </c>
      <c r="BO107" s="1826">
        <v>27.5</v>
      </c>
      <c r="BP107" s="1899">
        <f t="shared" si="157"/>
        <v>27.5</v>
      </c>
      <c r="BQ107" s="1885"/>
      <c r="BR107" s="1826">
        <v>0</v>
      </c>
      <c r="BS107" s="1826">
        <v>0</v>
      </c>
      <c r="BT107" s="1826">
        <v>-4.7</v>
      </c>
      <c r="BU107" s="1899">
        <f t="shared" si="158"/>
        <v>-5</v>
      </c>
      <c r="BV107" s="1885"/>
      <c r="BW107" s="1902"/>
      <c r="BX107" s="1902"/>
      <c r="BY107" s="1902"/>
      <c r="BZ107" s="1902"/>
      <c r="CA107" s="1885"/>
      <c r="CB107" s="1826">
        <v>-2</v>
      </c>
      <c r="CC107" s="1826">
        <f>-2+1</f>
        <v>-1</v>
      </c>
      <c r="CD107" s="1826">
        <f>-3+2</f>
        <v>-1</v>
      </c>
      <c r="CE107" s="1826">
        <v>-3</v>
      </c>
      <c r="CF107" s="1885"/>
      <c r="CG107" s="1826">
        <v>0</v>
      </c>
      <c r="CH107" s="1826">
        <v>0</v>
      </c>
      <c r="CI107" s="1826">
        <v>0</v>
      </c>
      <c r="CJ107" s="1826"/>
      <c r="CK107" s="1885"/>
      <c r="CL107" s="1890"/>
      <c r="CM107" s="1826"/>
      <c r="CN107" s="1826">
        <v>-107</v>
      </c>
      <c r="CO107" s="1826">
        <v>-107</v>
      </c>
      <c r="CP107" s="1885"/>
      <c r="CQ107" s="1826">
        <v>-43</v>
      </c>
      <c r="CR107" s="1826">
        <v>-161</v>
      </c>
      <c r="CS107" s="1826">
        <v>119</v>
      </c>
      <c r="CT107" s="1826">
        <v>0</v>
      </c>
      <c r="CU107" s="1885"/>
      <c r="CV107" s="1826">
        <f>-113+16</f>
        <v>-97</v>
      </c>
      <c r="CW107" s="1884">
        <f>-124+40</f>
        <v>-84</v>
      </c>
      <c r="CX107" s="1884">
        <f>-184+115</f>
        <v>-69</v>
      </c>
      <c r="CY107" s="1884">
        <f>-267+243</f>
        <v>-24</v>
      </c>
      <c r="CZ107" s="1885"/>
      <c r="DA107" s="1826">
        <f>-36+50</f>
        <v>14</v>
      </c>
      <c r="DB107" s="1884">
        <f>-39+67</f>
        <v>28</v>
      </c>
      <c r="DC107" s="1884">
        <f>-40+76</f>
        <v>36</v>
      </c>
      <c r="DD107" s="1884">
        <f>-65+91</f>
        <v>26</v>
      </c>
      <c r="DE107" s="2690"/>
      <c r="DF107" s="1826">
        <v>8</v>
      </c>
      <c r="DG107" s="1884">
        <v>16</v>
      </c>
      <c r="DH107" s="1884">
        <f>20+21</f>
        <v>41</v>
      </c>
      <c r="DI107" s="1884">
        <f>-86+61</f>
        <v>-25</v>
      </c>
      <c r="DJ107" s="1885"/>
      <c r="DK107" s="1884"/>
      <c r="DL107" s="1884"/>
      <c r="DM107" s="1884"/>
      <c r="DN107" s="1884"/>
      <c r="DO107" s="1885"/>
      <c r="DP107" s="1884"/>
      <c r="DQ107" s="1884"/>
      <c r="DR107" s="1884"/>
      <c r="DS107" s="1884"/>
      <c r="DT107" s="1885"/>
      <c r="DU107" s="1884"/>
      <c r="DV107" s="1884"/>
      <c r="DW107" s="1884"/>
      <c r="DX107" s="1884"/>
      <c r="DY107" s="1885"/>
      <c r="DZ107" s="1858"/>
      <c r="EA107" s="1858"/>
      <c r="EB107" s="1858"/>
    </row>
    <row r="108" spans="1:132" outlineLevel="1" x14ac:dyDescent="0.2">
      <c r="A108" s="1853"/>
      <c r="B108" s="1885" t="s">
        <v>338</v>
      </c>
      <c r="C108" s="1884"/>
      <c r="D108" s="1884"/>
      <c r="E108" s="1884"/>
      <c r="F108" s="1884"/>
      <c r="G108" s="1884"/>
      <c r="H108" s="1884"/>
      <c r="I108" s="1885"/>
      <c r="J108" s="1884"/>
      <c r="K108" s="1884"/>
      <c r="L108" s="1884"/>
      <c r="M108" s="1884"/>
      <c r="N108" s="1885"/>
      <c r="O108" s="1884"/>
      <c r="P108" s="1884"/>
      <c r="Q108" s="1884"/>
      <c r="R108" s="1884"/>
      <c r="S108" s="1885"/>
      <c r="T108" s="1884"/>
      <c r="U108" s="1884"/>
      <c r="V108" s="1884"/>
      <c r="W108" s="1884"/>
      <c r="X108" s="1885"/>
      <c r="Y108" s="1884"/>
      <c r="Z108" s="1884"/>
      <c r="AA108" s="1884"/>
      <c r="AB108" s="1884"/>
      <c r="AC108" s="1885"/>
      <c r="AD108" s="1884"/>
      <c r="AE108" s="1884"/>
      <c r="AF108" s="1884"/>
      <c r="AG108" s="1884"/>
      <c r="AH108" s="1885"/>
      <c r="AI108" s="1884"/>
      <c r="AJ108" s="1884"/>
      <c r="AK108" s="1884"/>
      <c r="AL108" s="1884"/>
      <c r="AM108" s="1885"/>
      <c r="AN108" s="1884"/>
      <c r="AO108" s="1884"/>
      <c r="AP108" s="1884"/>
      <c r="AQ108" s="1884"/>
      <c r="AR108" s="1885"/>
      <c r="AS108" s="1884"/>
      <c r="AT108" s="1884"/>
      <c r="AU108" s="1884"/>
      <c r="AV108" s="1884"/>
      <c r="AW108" s="1885"/>
      <c r="AX108" s="1884"/>
      <c r="AY108" s="1884"/>
      <c r="AZ108" s="1884"/>
      <c r="BA108" s="1884"/>
      <c r="BB108" s="1885"/>
      <c r="BC108" s="1884"/>
      <c r="BD108" s="1884"/>
      <c r="BE108" s="1884"/>
      <c r="BF108" s="1884"/>
      <c r="BG108" s="1885"/>
      <c r="BH108" s="1884"/>
      <c r="BI108" s="1884"/>
      <c r="BJ108" s="1884"/>
      <c r="BK108" s="1884"/>
      <c r="BL108" s="1885"/>
      <c r="BM108" s="1826">
        <v>0</v>
      </c>
      <c r="BN108" s="1826">
        <v>0</v>
      </c>
      <c r="BO108" s="1826">
        <v>0</v>
      </c>
      <c r="BP108" s="1899">
        <f t="shared" si="157"/>
        <v>0</v>
      </c>
      <c r="BQ108" s="1885"/>
      <c r="BR108" s="1826">
        <v>0</v>
      </c>
      <c r="BS108" s="1826">
        <v>0</v>
      </c>
      <c r="BT108" s="1826">
        <v>0</v>
      </c>
      <c r="BU108" s="1899">
        <f t="shared" si="158"/>
        <v>0</v>
      </c>
      <c r="BV108" s="1885"/>
      <c r="BW108" s="1902"/>
      <c r="BX108" s="1902"/>
      <c r="BY108" s="1902"/>
      <c r="BZ108" s="1902"/>
      <c r="CA108" s="1885"/>
      <c r="CB108" s="1902"/>
      <c r="CC108" s="1902"/>
      <c r="CD108" s="1903"/>
      <c r="CE108" s="1903"/>
      <c r="CF108" s="1885"/>
      <c r="CG108" s="1903"/>
      <c r="CH108" s="1903"/>
      <c r="CI108" s="1903"/>
      <c r="CJ108" s="1903"/>
      <c r="CK108" s="1885"/>
      <c r="CL108" s="1884"/>
      <c r="CM108" s="1903"/>
      <c r="CN108" s="1903"/>
      <c r="CO108" s="1903"/>
      <c r="CP108" s="1885"/>
      <c r="CQ108" s="1903"/>
      <c r="CR108" s="1884"/>
      <c r="CS108" s="1884"/>
      <c r="CT108" s="1884"/>
      <c r="CU108" s="1885"/>
      <c r="CV108" s="1884"/>
      <c r="CW108" s="1884"/>
      <c r="CX108" s="1884"/>
      <c r="CY108" s="1884"/>
      <c r="CZ108" s="1885"/>
      <c r="DA108" s="1884"/>
      <c r="DB108" s="1884"/>
      <c r="DC108" s="1884"/>
      <c r="DD108" s="1884"/>
      <c r="DE108" s="2690"/>
      <c r="DF108" s="1884"/>
      <c r="DG108" s="1884"/>
      <c r="DH108" s="1884"/>
      <c r="DI108" s="1884"/>
      <c r="DJ108" s="1885"/>
      <c r="DK108" s="1884"/>
      <c r="DL108" s="1884"/>
      <c r="DM108" s="1884"/>
      <c r="DN108" s="1884"/>
      <c r="DO108" s="1885"/>
      <c r="DP108" s="1884"/>
      <c r="DQ108" s="1884"/>
      <c r="DR108" s="1884"/>
      <c r="DS108" s="1884"/>
      <c r="DT108" s="1885"/>
      <c r="DU108" s="1884"/>
      <c r="DV108" s="1884"/>
      <c r="DW108" s="1884"/>
      <c r="DX108" s="1884"/>
      <c r="DY108" s="1885"/>
      <c r="DZ108" s="1858"/>
      <c r="EA108" s="1858"/>
      <c r="EB108" s="1858"/>
    </row>
    <row r="109" spans="1:132" outlineLevel="1" x14ac:dyDescent="0.2">
      <c r="A109" s="1853"/>
      <c r="B109" s="1893" t="s">
        <v>339</v>
      </c>
      <c r="C109" s="1884"/>
      <c r="D109" s="1884"/>
      <c r="E109" s="1892"/>
      <c r="F109" s="1892"/>
      <c r="G109" s="1892"/>
      <c r="H109" s="1892"/>
      <c r="I109" s="1893"/>
      <c r="J109" s="1892"/>
      <c r="K109" s="1892"/>
      <c r="L109" s="1892"/>
      <c r="M109" s="1892"/>
      <c r="N109" s="1893"/>
      <c r="O109" s="1892"/>
      <c r="P109" s="1892"/>
      <c r="Q109" s="1892"/>
      <c r="R109" s="1892"/>
      <c r="S109" s="1893"/>
      <c r="T109" s="1892"/>
      <c r="U109" s="1892"/>
      <c r="V109" s="1892"/>
      <c r="W109" s="1892"/>
      <c r="X109" s="1893"/>
      <c r="Y109" s="1892"/>
      <c r="Z109" s="1892"/>
      <c r="AA109" s="1892"/>
      <c r="AB109" s="1892"/>
      <c r="AC109" s="1893"/>
      <c r="AD109" s="1892"/>
      <c r="AE109" s="1892"/>
      <c r="AF109" s="1892"/>
      <c r="AG109" s="1892"/>
      <c r="AH109" s="1893"/>
      <c r="AI109" s="1892"/>
      <c r="AJ109" s="1892"/>
      <c r="AK109" s="1892"/>
      <c r="AL109" s="1892"/>
      <c r="AM109" s="1893"/>
      <c r="AN109" s="1892"/>
      <c r="AO109" s="1892"/>
      <c r="AP109" s="1892"/>
      <c r="AQ109" s="1892"/>
      <c r="AR109" s="1893"/>
      <c r="AS109" s="1892"/>
      <c r="AT109" s="1892"/>
      <c r="AU109" s="1892"/>
      <c r="AV109" s="1892"/>
      <c r="AW109" s="1893"/>
      <c r="AX109" s="1892"/>
      <c r="AY109" s="1892"/>
      <c r="AZ109" s="1892"/>
      <c r="BA109" s="1892"/>
      <c r="BB109" s="1893"/>
      <c r="BC109" s="1892"/>
      <c r="BD109" s="1892"/>
      <c r="BE109" s="1892"/>
      <c r="BF109" s="1892"/>
      <c r="BG109" s="1893"/>
      <c r="BH109" s="1892"/>
      <c r="BI109" s="1892"/>
      <c r="BJ109" s="1892"/>
      <c r="BK109" s="1892"/>
      <c r="BL109" s="1893"/>
      <c r="BM109" s="1904">
        <v>0</v>
      </c>
      <c r="BN109" s="1904">
        <v>0</v>
      </c>
      <c r="BO109" s="1904">
        <v>0</v>
      </c>
      <c r="BP109" s="1905">
        <f t="shared" si="157"/>
        <v>0</v>
      </c>
      <c r="BQ109" s="1893"/>
      <c r="BR109" s="1904">
        <v>0</v>
      </c>
      <c r="BS109" s="1904">
        <v>0</v>
      </c>
      <c r="BT109" s="1904">
        <v>0</v>
      </c>
      <c r="BU109" s="1905">
        <f t="shared" si="158"/>
        <v>0</v>
      </c>
      <c r="BV109" s="1893"/>
      <c r="BW109" s="1906"/>
      <c r="BX109" s="1906"/>
      <c r="BY109" s="1906"/>
      <c r="BZ109" s="1906"/>
      <c r="CA109" s="1893"/>
      <c r="CB109" s="1906"/>
      <c r="CC109" s="1906"/>
      <c r="CD109" s="1907"/>
      <c r="CE109" s="1907"/>
      <c r="CF109" s="1893"/>
      <c r="CG109" s="1907"/>
      <c r="CH109" s="1907"/>
      <c r="CI109" s="1907"/>
      <c r="CJ109" s="1907"/>
      <c r="CK109" s="1893"/>
      <c r="CL109" s="1892"/>
      <c r="CM109" s="1907"/>
      <c r="CN109" s="1907"/>
      <c r="CO109" s="1907"/>
      <c r="CP109" s="1893"/>
      <c r="CQ109" s="1907"/>
      <c r="CR109" s="1892"/>
      <c r="CS109" s="1892"/>
      <c r="CT109" s="1892"/>
      <c r="CU109" s="1893"/>
      <c r="CV109" s="1892"/>
      <c r="CW109" s="1892"/>
      <c r="CX109" s="1892"/>
      <c r="CY109" s="1892"/>
      <c r="CZ109" s="1893"/>
      <c r="DA109" s="1892"/>
      <c r="DB109" s="1892"/>
      <c r="DC109" s="1892"/>
      <c r="DD109" s="1892"/>
      <c r="DE109" s="1893"/>
      <c r="DF109" s="1892"/>
      <c r="DG109" s="1892"/>
      <c r="DH109" s="1892"/>
      <c r="DI109" s="1892"/>
      <c r="DJ109" s="1893"/>
      <c r="DK109" s="1892"/>
      <c r="DL109" s="1892"/>
      <c r="DM109" s="1892"/>
      <c r="DN109" s="1892"/>
      <c r="DO109" s="1893"/>
      <c r="DP109" s="1892"/>
      <c r="DQ109" s="1892"/>
      <c r="DR109" s="1892"/>
      <c r="DS109" s="1892"/>
      <c r="DT109" s="1893"/>
      <c r="DU109" s="1892"/>
      <c r="DV109" s="1892"/>
      <c r="DW109" s="1892"/>
      <c r="DX109" s="1892"/>
      <c r="DY109" s="1893"/>
      <c r="DZ109" s="1858"/>
      <c r="EA109" s="1858"/>
      <c r="EB109" s="1858"/>
    </row>
    <row r="110" spans="1:132" outlineLevel="1" x14ac:dyDescent="0.2">
      <c r="A110" s="1853"/>
      <c r="B110" s="358" t="s">
        <v>340</v>
      </c>
      <c r="C110" s="1858"/>
      <c r="D110" s="1858"/>
      <c r="E110" s="1858"/>
      <c r="F110" s="1858"/>
      <c r="G110" s="1858"/>
      <c r="H110" s="1858"/>
      <c r="I110" s="1894"/>
      <c r="J110" s="1858"/>
      <c r="K110" s="1858"/>
      <c r="L110" s="1858"/>
      <c r="M110" s="1858"/>
      <c r="N110" s="1894"/>
      <c r="O110" s="1858"/>
      <c r="P110" s="1858"/>
      <c r="Q110" s="1858"/>
      <c r="R110" s="1858"/>
      <c r="S110" s="1894"/>
      <c r="T110" s="1858"/>
      <c r="U110" s="1858"/>
      <c r="V110" s="1858"/>
      <c r="W110" s="1858"/>
      <c r="X110" s="1894"/>
      <c r="Y110" s="1858"/>
      <c r="Z110" s="1858"/>
      <c r="AA110" s="1858"/>
      <c r="AB110" s="1858"/>
      <c r="AC110" s="1894"/>
      <c r="AD110" s="1858"/>
      <c r="AE110" s="1858"/>
      <c r="AF110" s="1858"/>
      <c r="AG110" s="1858"/>
      <c r="AH110" s="1894"/>
      <c r="AI110" s="1858"/>
      <c r="AJ110" s="1858"/>
      <c r="AK110" s="1858"/>
      <c r="AL110" s="1858"/>
      <c r="AM110" s="1894"/>
      <c r="AN110" s="1858"/>
      <c r="AO110" s="1858"/>
      <c r="AP110" s="1858"/>
      <c r="AQ110" s="1858"/>
      <c r="AR110" s="1894"/>
      <c r="AS110" s="1858"/>
      <c r="AT110" s="1858"/>
      <c r="AU110" s="1858"/>
      <c r="AV110" s="1858"/>
      <c r="AW110" s="1894"/>
      <c r="AX110" s="1858"/>
      <c r="AY110" s="1858"/>
      <c r="AZ110" s="1858"/>
      <c r="BA110" s="1858"/>
      <c r="BB110" s="1894"/>
      <c r="BC110" s="1858"/>
      <c r="BD110" s="1858"/>
      <c r="BE110" s="1858"/>
      <c r="BF110" s="1858"/>
      <c r="BG110" s="1894"/>
      <c r="BH110" s="1858"/>
      <c r="BI110" s="1858"/>
      <c r="BJ110" s="1858"/>
      <c r="BK110" s="1858"/>
      <c r="BL110" s="1894"/>
      <c r="BM110" s="359">
        <f>SUM(BM102:BM109)</f>
        <v>-346.8</v>
      </c>
      <c r="BN110" s="359">
        <f>SUM(BN102:BN109)</f>
        <v>-862.69999999999993</v>
      </c>
      <c r="BO110" s="359">
        <f>SUM(BO102:BO109)</f>
        <v>-1273.1000000000001</v>
      </c>
      <c r="BP110" s="359">
        <f>SUM(BP102:BP107)</f>
        <v>-4580.6000000000004</v>
      </c>
      <c r="BQ110" s="1894"/>
      <c r="BR110" s="359">
        <f>SUM(BR102:BR109)</f>
        <v>-445.79999999999995</v>
      </c>
      <c r="BS110" s="359">
        <f>SUM(BS102:BS109)</f>
        <v>-607.99999999999989</v>
      </c>
      <c r="BT110" s="359">
        <f>SUM(BT102:BT109)</f>
        <v>-1045.3</v>
      </c>
      <c r="BU110" s="359">
        <f>SUM(BU102:BU107)</f>
        <v>-1069</v>
      </c>
      <c r="BV110" s="1894"/>
      <c r="BW110" s="359">
        <f>SUM(BW102:BW107)</f>
        <v>-397</v>
      </c>
      <c r="BX110" s="359">
        <f>SUM(BX102:BX107)</f>
        <v>-880</v>
      </c>
      <c r="BY110" s="359">
        <f>SUM(BY102:BY107)</f>
        <v>-1388</v>
      </c>
      <c r="BZ110" s="359">
        <f>SUM(BZ102:BZ107)</f>
        <v>-1640</v>
      </c>
      <c r="CA110" s="1894"/>
      <c r="CB110" s="359">
        <f>SUM(CB102:CB107)</f>
        <v>-299</v>
      </c>
      <c r="CC110" s="359">
        <f>SUM(CC102:CC107)</f>
        <v>-2066</v>
      </c>
      <c r="CD110" s="359">
        <f>SUM(CD102:CD107)</f>
        <v>-2563</v>
      </c>
      <c r="CE110" s="359">
        <f>SUM(CE102:CE107)</f>
        <v>-2410</v>
      </c>
      <c r="CF110" s="1894"/>
      <c r="CG110" s="359">
        <f>SUM(CG102:CG107)</f>
        <v>-443</v>
      </c>
      <c r="CH110" s="359">
        <f>SUM(CH102:CH107)</f>
        <v>-1085</v>
      </c>
      <c r="CI110" s="359">
        <f>SUM(CI102:CI107)</f>
        <v>-1183</v>
      </c>
      <c r="CJ110" s="359">
        <f>SUM(CJ102:CJ107)</f>
        <v>-1849</v>
      </c>
      <c r="CK110" s="1894"/>
      <c r="CL110" s="359">
        <f>SUM(CL102:CL107)</f>
        <v>-567</v>
      </c>
      <c r="CM110" s="359">
        <f>SUM(CM102:CM107)</f>
        <v>-1093</v>
      </c>
      <c r="CN110" s="359">
        <f>SUM(CN102:CN107)</f>
        <v>-1622</v>
      </c>
      <c r="CO110" s="359">
        <f>SUM(CO102:CO107)</f>
        <v>-1942</v>
      </c>
      <c r="CP110" s="1894"/>
      <c r="CQ110" s="359">
        <f>SUM(CQ102:CQ107)</f>
        <v>-2560</v>
      </c>
      <c r="CR110" s="359">
        <f>SUM(CR102:CR107)</f>
        <v>-3185</v>
      </c>
      <c r="CS110" s="359">
        <f>SUM(CS102:CS107)</f>
        <v>-3534</v>
      </c>
      <c r="CT110" s="359">
        <f>SUM(CT102:CT107)</f>
        <v>-4045</v>
      </c>
      <c r="CU110" s="1894"/>
      <c r="CV110" s="359">
        <f>SUM(CV102:CV107)</f>
        <v>-544</v>
      </c>
      <c r="CW110" s="359">
        <f>SUM(CW102:CW107)</f>
        <v>-1090</v>
      </c>
      <c r="CX110" s="359">
        <f>SUM(CX102:CX107)</f>
        <v>-11000</v>
      </c>
      <c r="CY110" s="359">
        <f>SUM(CY102:CY107)</f>
        <v>-13420</v>
      </c>
      <c r="CZ110" s="1894"/>
      <c r="DA110" s="359">
        <f>SUM(DA102:DA107)</f>
        <v>-633</v>
      </c>
      <c r="DB110" s="359">
        <f>SUM(DB102:DB107)</f>
        <v>-1231</v>
      </c>
      <c r="DC110" s="359">
        <f>SUM(DC102:DC107)</f>
        <v>-1652</v>
      </c>
      <c r="DD110" s="359">
        <f>SUM(DD102:DD107)</f>
        <v>-2470</v>
      </c>
      <c r="DE110" s="2691"/>
      <c r="DF110" s="359">
        <f>SUM(DF102:DF107)</f>
        <v>-554</v>
      </c>
      <c r="DG110" s="359">
        <f>SUM(DG102:DG107)</f>
        <v>-1174</v>
      </c>
      <c r="DH110" s="1872">
        <f>SUM(DH102:DH107)</f>
        <v>-1608</v>
      </c>
      <c r="DI110" s="1872">
        <f>SUM(DI102:DI107)</f>
        <v>-2932</v>
      </c>
      <c r="DJ110" s="1894"/>
      <c r="DK110" s="1858"/>
      <c r="DL110" s="1858"/>
      <c r="DM110" s="1858"/>
      <c r="DN110" s="1858"/>
      <c r="DO110" s="1894"/>
      <c r="DP110" s="1858"/>
      <c r="DQ110" s="1858"/>
      <c r="DR110" s="1858"/>
      <c r="DS110" s="1858"/>
      <c r="DT110" s="1894"/>
      <c r="DU110" s="1858"/>
      <c r="DV110" s="1858"/>
      <c r="DW110" s="1858"/>
      <c r="DX110" s="1858"/>
      <c r="DY110" s="1894"/>
      <c r="DZ110" s="1858"/>
      <c r="EA110" s="1858"/>
      <c r="EB110" s="1858"/>
    </row>
    <row r="111" spans="1:132" outlineLevel="1" x14ac:dyDescent="0.2">
      <c r="A111" s="1853"/>
      <c r="B111" s="1896"/>
      <c r="C111" s="1884"/>
      <c r="D111" s="1884"/>
      <c r="E111" s="1884"/>
      <c r="F111" s="1884"/>
      <c r="G111" s="1884"/>
      <c r="H111" s="1884"/>
      <c r="I111" s="1885"/>
      <c r="J111" s="1884"/>
      <c r="K111" s="1884"/>
      <c r="L111" s="1884"/>
      <c r="M111" s="1884"/>
      <c r="N111" s="1885"/>
      <c r="O111" s="1884"/>
      <c r="P111" s="1884"/>
      <c r="Q111" s="1884"/>
      <c r="R111" s="1884"/>
      <c r="S111" s="1885"/>
      <c r="T111" s="1884"/>
      <c r="U111" s="1884"/>
      <c r="V111" s="1884"/>
      <c r="W111" s="1884"/>
      <c r="X111" s="1885"/>
      <c r="Y111" s="1884"/>
      <c r="Z111" s="1884"/>
      <c r="AA111" s="1884"/>
      <c r="AB111" s="1884"/>
      <c r="AC111" s="1885"/>
      <c r="AD111" s="1884"/>
      <c r="AE111" s="1884"/>
      <c r="AF111" s="1884"/>
      <c r="AG111" s="1884"/>
      <c r="AH111" s="1885"/>
      <c r="AI111" s="1884"/>
      <c r="AJ111" s="1884"/>
      <c r="AK111" s="1884"/>
      <c r="AL111" s="1884"/>
      <c r="AM111" s="1885"/>
      <c r="AN111" s="1884"/>
      <c r="AO111" s="1884"/>
      <c r="AP111" s="1884"/>
      <c r="AQ111" s="1884"/>
      <c r="AR111" s="1885"/>
      <c r="AS111" s="1884"/>
      <c r="AT111" s="1884"/>
      <c r="AU111" s="1884"/>
      <c r="AV111" s="1884"/>
      <c r="AW111" s="1885"/>
      <c r="AX111" s="1884"/>
      <c r="AY111" s="1884"/>
      <c r="AZ111" s="1884"/>
      <c r="BA111" s="1884"/>
      <c r="BB111" s="1885"/>
      <c r="BC111" s="1884"/>
      <c r="BD111" s="1884"/>
      <c r="BE111" s="1884"/>
      <c r="BF111" s="1884"/>
      <c r="BG111" s="1885"/>
      <c r="BH111" s="1884"/>
      <c r="BI111" s="1884"/>
      <c r="BJ111" s="1884"/>
      <c r="BK111" s="1884"/>
      <c r="BL111" s="1885"/>
      <c r="BM111" s="1908"/>
      <c r="BN111" s="1908"/>
      <c r="BO111" s="1908"/>
      <c r="BP111" s="1908"/>
      <c r="BQ111" s="1885"/>
      <c r="BR111" s="1908"/>
      <c r="BS111" s="1908"/>
      <c r="BT111" s="1908"/>
      <c r="BU111" s="1908"/>
      <c r="BV111" s="1885"/>
      <c r="BW111" s="1908"/>
      <c r="BX111" s="1908"/>
      <c r="BY111" s="1908"/>
      <c r="BZ111" s="1908"/>
      <c r="CA111" s="1885"/>
      <c r="CB111" s="1908"/>
      <c r="CC111" s="1908"/>
      <c r="CD111" s="1909"/>
      <c r="CE111" s="1909"/>
      <c r="CF111" s="1885"/>
      <c r="CG111" s="1846"/>
      <c r="CH111" s="1909"/>
      <c r="CI111" s="1909"/>
      <c r="CJ111" s="1909"/>
      <c r="CK111" s="1885"/>
      <c r="CL111" s="1884"/>
      <c r="CM111" s="1909"/>
      <c r="CN111" s="1909"/>
      <c r="CO111" s="1909"/>
      <c r="CP111" s="1885"/>
      <c r="CQ111" s="1909"/>
      <c r="CR111" s="1884">
        <f>CR110-CQ110</f>
        <v>-625</v>
      </c>
      <c r="CS111" s="1884">
        <f>CS110-CR110</f>
        <v>-349</v>
      </c>
      <c r="CT111" s="1884">
        <f>CT110-CS110</f>
        <v>-511</v>
      </c>
      <c r="CU111" s="1885"/>
      <c r="CV111" s="1884"/>
      <c r="CW111" s="1884"/>
      <c r="CX111" s="1884"/>
      <c r="CY111" s="1884"/>
      <c r="CZ111" s="1885"/>
      <c r="DA111" s="1884"/>
      <c r="DB111" s="1884"/>
      <c r="DC111" s="1884"/>
      <c r="DD111" s="1884"/>
      <c r="DE111" s="2690"/>
      <c r="DF111" s="1884"/>
      <c r="DG111" s="1884"/>
      <c r="DH111" s="1884"/>
      <c r="DI111" s="1884"/>
      <c r="DJ111" s="1885"/>
      <c r="DK111" s="1884"/>
      <c r="DL111" s="1884"/>
      <c r="DM111" s="1884"/>
      <c r="DN111" s="1884"/>
      <c r="DO111" s="1885"/>
      <c r="DP111" s="1884"/>
      <c r="DQ111" s="1884"/>
      <c r="DR111" s="1884"/>
      <c r="DS111" s="1884"/>
      <c r="DT111" s="1885"/>
      <c r="DU111" s="1884"/>
      <c r="DV111" s="1884"/>
      <c r="DW111" s="1884"/>
      <c r="DX111" s="1884"/>
      <c r="DY111" s="1885"/>
      <c r="DZ111" s="1858"/>
      <c r="EA111" s="1858"/>
      <c r="EB111" s="1858"/>
    </row>
    <row r="112" spans="1:132" outlineLevel="1" x14ac:dyDescent="0.2">
      <c r="A112" s="1853"/>
      <c r="B112" s="1910"/>
      <c r="C112" s="1884"/>
      <c r="D112" s="1884"/>
      <c r="E112" s="1884"/>
      <c r="F112" s="1884"/>
      <c r="G112" s="1884"/>
      <c r="H112" s="1884"/>
      <c r="I112" s="1885"/>
      <c r="J112" s="1884"/>
      <c r="K112" s="1884"/>
      <c r="L112" s="1884"/>
      <c r="M112" s="1884"/>
      <c r="N112" s="1885"/>
      <c r="O112" s="1884"/>
      <c r="P112" s="1884"/>
      <c r="Q112" s="1884"/>
      <c r="R112" s="1884"/>
      <c r="S112" s="1885"/>
      <c r="T112" s="1884"/>
      <c r="U112" s="1884"/>
      <c r="V112" s="1884"/>
      <c r="W112" s="1884"/>
      <c r="X112" s="1885"/>
      <c r="Y112" s="1884"/>
      <c r="Z112" s="1884"/>
      <c r="AA112" s="1884"/>
      <c r="AB112" s="1884"/>
      <c r="AC112" s="1885"/>
      <c r="AD112" s="1884"/>
      <c r="AE112" s="1884"/>
      <c r="AF112" s="1884"/>
      <c r="AG112" s="1884"/>
      <c r="AH112" s="1885"/>
      <c r="AI112" s="1884"/>
      <c r="AJ112" s="1884"/>
      <c r="AK112" s="1884"/>
      <c r="AL112" s="1884"/>
      <c r="AM112" s="1885"/>
      <c r="AN112" s="1884"/>
      <c r="AO112" s="1884"/>
      <c r="AP112" s="1884"/>
      <c r="AQ112" s="1884"/>
      <c r="AR112" s="1885"/>
      <c r="AS112" s="1884"/>
      <c r="AT112" s="1884"/>
      <c r="AU112" s="1884"/>
      <c r="AV112" s="1884"/>
      <c r="AW112" s="1885"/>
      <c r="AX112" s="1884"/>
      <c r="AY112" s="1884"/>
      <c r="AZ112" s="1884"/>
      <c r="BA112" s="1884"/>
      <c r="BB112" s="1885"/>
      <c r="BC112" s="1884"/>
      <c r="BD112" s="1884"/>
      <c r="BE112" s="1884"/>
      <c r="BF112" s="1884"/>
      <c r="BG112" s="1885"/>
      <c r="BH112" s="1884"/>
      <c r="BI112" s="1884"/>
      <c r="BJ112" s="1884"/>
      <c r="BK112" s="1884"/>
      <c r="BL112" s="1885"/>
      <c r="BM112" s="1908"/>
      <c r="BN112" s="1908"/>
      <c r="BO112" s="1908"/>
      <c r="BP112" s="1908"/>
      <c r="BQ112" s="1885"/>
      <c r="BR112" s="1908"/>
      <c r="BS112" s="1908"/>
      <c r="BT112" s="1908"/>
      <c r="BU112" s="1908"/>
      <c r="BV112" s="1885"/>
      <c r="BW112" s="1908"/>
      <c r="BX112" s="1908"/>
      <c r="BY112" s="1908"/>
      <c r="BZ112" s="1908"/>
      <c r="CA112" s="1885"/>
      <c r="CB112" s="1908"/>
      <c r="CC112" s="1908"/>
      <c r="CD112" s="1909"/>
      <c r="CE112" s="1909"/>
      <c r="CF112" s="1885"/>
      <c r="CG112" s="1846"/>
      <c r="CH112" s="1909"/>
      <c r="CI112" s="1909"/>
      <c r="CJ112" s="1909"/>
      <c r="CK112" s="1885"/>
      <c r="CL112" s="1884"/>
      <c r="CM112" s="1909"/>
      <c r="CN112" s="1909"/>
      <c r="CO112" s="1909"/>
      <c r="CP112" s="1885"/>
      <c r="CQ112" s="1909"/>
      <c r="CR112" s="1884"/>
      <c r="CS112" s="1890"/>
      <c r="CT112" s="1890"/>
      <c r="CU112" s="1885"/>
      <c r="CV112" s="1884"/>
      <c r="CW112" s="1884"/>
      <c r="CX112" s="1884"/>
      <c r="CY112" s="1884"/>
      <c r="CZ112" s="1885"/>
      <c r="DA112" s="1884"/>
      <c r="DB112" s="1884"/>
      <c r="DC112" s="1884"/>
      <c r="DD112" s="1884"/>
      <c r="DE112" s="2690"/>
      <c r="DF112" s="1884"/>
      <c r="DG112" s="1884"/>
      <c r="DH112" s="1884"/>
      <c r="DI112" s="1884"/>
      <c r="DJ112" s="1885"/>
      <c r="DK112" s="1884"/>
      <c r="DL112" s="1884"/>
      <c r="DM112" s="1884"/>
      <c r="DN112" s="1884"/>
      <c r="DO112" s="1885"/>
      <c r="DP112" s="1884"/>
      <c r="DQ112" s="1884"/>
      <c r="DR112" s="1884"/>
      <c r="DS112" s="1884"/>
      <c r="DT112" s="1885"/>
      <c r="DU112" s="1884"/>
      <c r="DV112" s="1884"/>
      <c r="DW112" s="1884"/>
      <c r="DX112" s="1884"/>
      <c r="DY112" s="1885"/>
      <c r="DZ112" s="1858"/>
      <c r="EA112" s="1858"/>
      <c r="EB112" s="1858"/>
    </row>
    <row r="113" spans="1:132" outlineLevel="1" x14ac:dyDescent="0.2">
      <c r="A113" s="1853"/>
      <c r="B113" s="1885" t="s">
        <v>361</v>
      </c>
      <c r="C113" s="1884"/>
      <c r="D113" s="1884"/>
      <c r="E113" s="1884"/>
      <c r="F113" s="1884"/>
      <c r="G113" s="1884"/>
      <c r="H113" s="1884"/>
      <c r="I113" s="1885"/>
      <c r="J113" s="1884"/>
      <c r="K113" s="1884"/>
      <c r="L113" s="1884"/>
      <c r="M113" s="1884"/>
      <c r="N113" s="1885"/>
      <c r="O113" s="1884"/>
      <c r="P113" s="1884"/>
      <c r="Q113" s="1884"/>
      <c r="R113" s="1884"/>
      <c r="S113" s="1885"/>
      <c r="T113" s="1884"/>
      <c r="U113" s="1884"/>
      <c r="V113" s="1884"/>
      <c r="W113" s="1884"/>
      <c r="X113" s="1885"/>
      <c r="Y113" s="1884"/>
      <c r="Z113" s="1884"/>
      <c r="AA113" s="1884"/>
      <c r="AB113" s="1884"/>
      <c r="AC113" s="1885"/>
      <c r="AD113" s="1884"/>
      <c r="AE113" s="1884"/>
      <c r="AF113" s="1884"/>
      <c r="AG113" s="1884"/>
      <c r="AH113" s="1885"/>
      <c r="AI113" s="1884"/>
      <c r="AJ113" s="1884"/>
      <c r="AK113" s="1884"/>
      <c r="AL113" s="1884"/>
      <c r="AM113" s="1885"/>
      <c r="AN113" s="1884"/>
      <c r="AO113" s="1884"/>
      <c r="AP113" s="1884"/>
      <c r="AQ113" s="1884"/>
      <c r="AR113" s="1885"/>
      <c r="AS113" s="1884"/>
      <c r="AT113" s="1884"/>
      <c r="AU113" s="1884"/>
      <c r="AV113" s="1884"/>
      <c r="AW113" s="1885"/>
      <c r="AX113" s="1884"/>
      <c r="AY113" s="1884"/>
      <c r="AZ113" s="1884"/>
      <c r="BA113" s="1884"/>
      <c r="BB113" s="1885"/>
      <c r="BC113" s="1884"/>
      <c r="BD113" s="1884"/>
      <c r="BE113" s="1884"/>
      <c r="BF113" s="1884"/>
      <c r="BG113" s="1885"/>
      <c r="BH113" s="1884"/>
      <c r="BI113" s="1884"/>
      <c r="BJ113" s="1884"/>
      <c r="BK113" s="1884"/>
      <c r="BL113" s="1885"/>
      <c r="BM113" s="1897">
        <v>0</v>
      </c>
      <c r="BN113" s="1897">
        <v>0</v>
      </c>
      <c r="BO113" s="1897">
        <v>0</v>
      </c>
      <c r="BP113" s="1854">
        <f>BQ47</f>
        <v>-352.8</v>
      </c>
      <c r="BQ113" s="1885"/>
      <c r="BR113" s="1897">
        <v>0</v>
      </c>
      <c r="BS113" s="1897">
        <v>0</v>
      </c>
      <c r="BT113" s="1897">
        <v>0</v>
      </c>
      <c r="BU113" s="1854">
        <f>BV47</f>
        <v>0</v>
      </c>
      <c r="BV113" s="1885"/>
      <c r="BW113" s="1884"/>
      <c r="BX113" s="1884"/>
      <c r="BY113" s="1884"/>
      <c r="BZ113" s="1884"/>
      <c r="CA113" s="1885"/>
      <c r="CB113" s="1884"/>
      <c r="CC113" s="1884"/>
      <c r="CD113" s="1858"/>
      <c r="CE113" s="1858"/>
      <c r="CF113" s="1885"/>
      <c r="CG113" s="1911"/>
      <c r="CH113" s="1853"/>
      <c r="CI113" s="1912">
        <v>-26</v>
      </c>
      <c r="CJ113" s="1912">
        <v>-26</v>
      </c>
      <c r="CK113" s="1885"/>
      <c r="CL113" s="1890">
        <v>-390</v>
      </c>
      <c r="CM113" s="1890">
        <v>-690</v>
      </c>
      <c r="CN113" s="1890">
        <v>5</v>
      </c>
      <c r="CO113" s="1890">
        <v>0</v>
      </c>
      <c r="CP113" s="1885"/>
      <c r="CQ113" s="1890">
        <v>0</v>
      </c>
      <c r="CR113" s="1890">
        <v>0</v>
      </c>
      <c r="CS113" s="1890"/>
      <c r="CT113" s="1890"/>
      <c r="CU113" s="1885"/>
      <c r="CV113" s="1884"/>
      <c r="CW113" s="1884"/>
      <c r="CX113" s="1884"/>
      <c r="CY113" s="1884"/>
      <c r="CZ113" s="1885"/>
      <c r="DA113" s="1884"/>
      <c r="DB113" s="1884"/>
      <c r="DC113" s="1884"/>
      <c r="DD113" s="1884"/>
      <c r="DE113" s="2690"/>
      <c r="DF113" s="1884"/>
      <c r="DG113" s="1884"/>
      <c r="DH113" s="1884"/>
      <c r="DI113" s="1884"/>
      <c r="DJ113" s="1885"/>
      <c r="DK113" s="1884"/>
      <c r="DL113" s="1884"/>
      <c r="DM113" s="1884"/>
      <c r="DN113" s="1884"/>
      <c r="DO113" s="1885"/>
      <c r="DP113" s="1884"/>
      <c r="DQ113" s="1884"/>
      <c r="DR113" s="1884"/>
      <c r="DS113" s="1884"/>
      <c r="DT113" s="1885"/>
      <c r="DU113" s="1884"/>
      <c r="DV113" s="1884"/>
      <c r="DW113" s="1884"/>
      <c r="DX113" s="1884"/>
      <c r="DY113" s="1885"/>
      <c r="DZ113" s="1858"/>
      <c r="EA113" s="1858"/>
      <c r="EB113" s="1858"/>
    </row>
    <row r="114" spans="1:132" outlineLevel="1" x14ac:dyDescent="0.2">
      <c r="A114" s="1853"/>
      <c r="B114" s="1885" t="s">
        <v>342</v>
      </c>
      <c r="C114" s="1884"/>
      <c r="D114" s="1884"/>
      <c r="E114" s="1884"/>
      <c r="F114" s="1884"/>
      <c r="G114" s="1884"/>
      <c r="H114" s="1884"/>
      <c r="I114" s="1885"/>
      <c r="J114" s="1884"/>
      <c r="K114" s="1884"/>
      <c r="L114" s="1884"/>
      <c r="M114" s="1884"/>
      <c r="N114" s="1885"/>
      <c r="O114" s="1884"/>
      <c r="P114" s="1884"/>
      <c r="Q114" s="1884"/>
      <c r="R114" s="1884"/>
      <c r="S114" s="1885"/>
      <c r="T114" s="1884"/>
      <c r="U114" s="1884"/>
      <c r="V114" s="1884"/>
      <c r="W114" s="1884"/>
      <c r="X114" s="1885"/>
      <c r="Y114" s="1884"/>
      <c r="Z114" s="1884"/>
      <c r="AA114" s="1884"/>
      <c r="AB114" s="1884"/>
      <c r="AC114" s="1885"/>
      <c r="AD114" s="1884"/>
      <c r="AE114" s="1884"/>
      <c r="AF114" s="1884"/>
      <c r="AG114" s="1884"/>
      <c r="AH114" s="1885"/>
      <c r="AI114" s="1884"/>
      <c r="AJ114" s="1884"/>
      <c r="AK114" s="1884"/>
      <c r="AL114" s="1884"/>
      <c r="AM114" s="1885"/>
      <c r="AN114" s="1884"/>
      <c r="AO114" s="1884"/>
      <c r="AP114" s="1884"/>
      <c r="AQ114" s="1884"/>
      <c r="AR114" s="1885"/>
      <c r="AS114" s="1884"/>
      <c r="AT114" s="1884"/>
      <c r="AU114" s="1884"/>
      <c r="AV114" s="1884"/>
      <c r="AW114" s="1885"/>
      <c r="AX114" s="1884"/>
      <c r="AY114" s="1884"/>
      <c r="AZ114" s="1884"/>
      <c r="BA114" s="1884"/>
      <c r="BB114" s="1885"/>
      <c r="BC114" s="1884"/>
      <c r="BD114" s="1884"/>
      <c r="BE114" s="1884"/>
      <c r="BF114" s="1884"/>
      <c r="BG114" s="1885"/>
      <c r="BH114" s="1884"/>
      <c r="BI114" s="1884"/>
      <c r="BJ114" s="1884"/>
      <c r="BK114" s="1884"/>
      <c r="BL114" s="1885"/>
      <c r="BM114" s="1826">
        <v>0</v>
      </c>
      <c r="BN114" s="1826">
        <v>0</v>
      </c>
      <c r="BO114" s="1826">
        <v>350</v>
      </c>
      <c r="BP114" s="1899">
        <f>BQ48</f>
        <v>350</v>
      </c>
      <c r="BQ114" s="1885"/>
      <c r="BR114" s="1826">
        <v>999.1</v>
      </c>
      <c r="BS114" s="1826">
        <v>1000</v>
      </c>
      <c r="BT114" s="1826">
        <v>2800</v>
      </c>
      <c r="BU114" s="1899">
        <f>BV48</f>
        <v>2800</v>
      </c>
      <c r="BV114" s="1885"/>
      <c r="BW114" s="1826">
        <v>0</v>
      </c>
      <c r="BX114" s="1826">
        <v>991</v>
      </c>
      <c r="BY114" s="1826">
        <v>991</v>
      </c>
      <c r="BZ114" s="1826">
        <v>991</v>
      </c>
      <c r="CA114" s="1885"/>
      <c r="CB114" s="1900"/>
      <c r="CC114" s="1826">
        <v>1463</v>
      </c>
      <c r="CD114" s="1913">
        <v>1463</v>
      </c>
      <c r="CE114" s="1913">
        <v>1463</v>
      </c>
      <c r="CF114" s="1885"/>
      <c r="CG114" s="1900">
        <v>0</v>
      </c>
      <c r="CH114" s="1900">
        <v>0</v>
      </c>
      <c r="CI114" s="1914"/>
      <c r="CJ114" s="1914">
        <v>1239</v>
      </c>
      <c r="CK114" s="1885"/>
      <c r="CL114" s="1890">
        <v>0</v>
      </c>
      <c r="CM114" s="1890">
        <v>0</v>
      </c>
      <c r="CN114" s="1890">
        <v>0</v>
      </c>
      <c r="CO114" s="1890">
        <v>3964</v>
      </c>
      <c r="CP114" s="1885"/>
      <c r="CQ114" s="1890">
        <v>0</v>
      </c>
      <c r="CR114" s="1890"/>
      <c r="CS114" s="1890">
        <v>1483</v>
      </c>
      <c r="CT114" s="1890">
        <v>1483</v>
      </c>
      <c r="CU114" s="1885"/>
      <c r="CV114" s="1884"/>
      <c r="CW114" s="1884"/>
      <c r="CX114" s="1884">
        <v>14808</v>
      </c>
      <c r="CY114" s="1884">
        <v>14805</v>
      </c>
      <c r="CZ114" s="1885"/>
      <c r="DA114" s="1884"/>
      <c r="DB114" s="1884">
        <v>3455</v>
      </c>
      <c r="DC114" s="1884">
        <f>3455</f>
        <v>3455</v>
      </c>
      <c r="DD114" s="1884">
        <f>3455</f>
        <v>3455</v>
      </c>
      <c r="DE114" s="2690"/>
      <c r="DF114" s="1884"/>
      <c r="DG114" s="1884"/>
      <c r="DH114" s="1884"/>
      <c r="DI114" s="1884"/>
      <c r="DJ114" s="1885"/>
      <c r="DK114" s="1884"/>
      <c r="DL114" s="1884"/>
      <c r="DM114" s="1884"/>
      <c r="DN114" s="1884"/>
      <c r="DO114" s="1885"/>
      <c r="DP114" s="1884"/>
      <c r="DQ114" s="1884"/>
      <c r="DR114" s="1884"/>
      <c r="DS114" s="1884"/>
      <c r="DT114" s="1885"/>
      <c r="DU114" s="1884"/>
      <c r="DV114" s="1884"/>
      <c r="DW114" s="1884"/>
      <c r="DX114" s="1884"/>
      <c r="DY114" s="1885"/>
      <c r="DZ114" s="1858"/>
      <c r="EA114" s="1858"/>
      <c r="EB114" s="1858"/>
    </row>
    <row r="115" spans="1:132" outlineLevel="1" x14ac:dyDescent="0.2">
      <c r="A115" s="1853"/>
      <c r="B115" s="1885" t="s">
        <v>343</v>
      </c>
      <c r="C115" s="1884"/>
      <c r="D115" s="1884"/>
      <c r="E115" s="1884"/>
      <c r="F115" s="1884"/>
      <c r="G115" s="1884"/>
      <c r="H115" s="1884"/>
      <c r="I115" s="1885"/>
      <c r="J115" s="1884"/>
      <c r="K115" s="1884"/>
      <c r="L115" s="1884"/>
      <c r="M115" s="1884"/>
      <c r="N115" s="1885"/>
      <c r="O115" s="1884"/>
      <c r="P115" s="1884"/>
      <c r="Q115" s="1884"/>
      <c r="R115" s="1884"/>
      <c r="S115" s="1885"/>
      <c r="T115" s="1884"/>
      <c r="U115" s="1884"/>
      <c r="V115" s="1884"/>
      <c r="W115" s="1884"/>
      <c r="X115" s="1885"/>
      <c r="Y115" s="1884"/>
      <c r="Z115" s="1884"/>
      <c r="AA115" s="1884"/>
      <c r="AB115" s="1884"/>
      <c r="AC115" s="1885"/>
      <c r="AD115" s="1884"/>
      <c r="AE115" s="1884"/>
      <c r="AF115" s="1884"/>
      <c r="AG115" s="1884"/>
      <c r="AH115" s="1885"/>
      <c r="AI115" s="1884"/>
      <c r="AJ115" s="1884"/>
      <c r="AK115" s="1884"/>
      <c r="AL115" s="1884"/>
      <c r="AM115" s="1885"/>
      <c r="AN115" s="1884"/>
      <c r="AO115" s="1884"/>
      <c r="AP115" s="1884"/>
      <c r="AQ115" s="1884"/>
      <c r="AR115" s="1885"/>
      <c r="AS115" s="1884"/>
      <c r="AT115" s="1884"/>
      <c r="AU115" s="1884"/>
      <c r="AV115" s="1884"/>
      <c r="AW115" s="1885"/>
      <c r="AX115" s="1884"/>
      <c r="AY115" s="1884"/>
      <c r="AZ115" s="1884"/>
      <c r="BA115" s="1884"/>
      <c r="BB115" s="1885"/>
      <c r="BC115" s="1884"/>
      <c r="BD115" s="1884"/>
      <c r="BE115" s="1884"/>
      <c r="BF115" s="1884"/>
      <c r="BG115" s="1885"/>
      <c r="BH115" s="1884"/>
      <c r="BI115" s="1884"/>
      <c r="BJ115" s="1884"/>
      <c r="BK115" s="1884"/>
      <c r="BL115" s="1885"/>
      <c r="BM115" s="1826">
        <v>-0.6</v>
      </c>
      <c r="BN115" s="1826">
        <v>-1.3</v>
      </c>
      <c r="BO115" s="1826">
        <v>-2</v>
      </c>
      <c r="BP115" s="1899">
        <f>BQ49</f>
        <v>-1.8</v>
      </c>
      <c r="BQ115" s="1885"/>
      <c r="BR115" s="1826">
        <v>0</v>
      </c>
      <c r="BS115" s="1826">
        <v>-1.7</v>
      </c>
      <c r="BT115" s="1826">
        <v>-652.29999999999995</v>
      </c>
      <c r="BU115" s="1899">
        <f>BV49</f>
        <v>-653</v>
      </c>
      <c r="BV115" s="1885"/>
      <c r="BW115" s="1826">
        <v>-1</v>
      </c>
      <c r="BX115" s="1826">
        <v>-1751</v>
      </c>
      <c r="BY115" s="1826">
        <v>-2102</v>
      </c>
      <c r="BZ115" s="1826">
        <v>-2103</v>
      </c>
      <c r="CA115" s="1885"/>
      <c r="CB115" s="1826">
        <v>-301</v>
      </c>
      <c r="CC115" s="1826">
        <v>-302</v>
      </c>
      <c r="CD115" s="1913">
        <v>-1149</v>
      </c>
      <c r="CE115" s="1913">
        <v>-2122</v>
      </c>
      <c r="CF115" s="1885"/>
      <c r="CG115" s="1826">
        <v>-52</v>
      </c>
      <c r="CH115" s="1913">
        <v>-54</v>
      </c>
      <c r="CI115" s="1913">
        <v>-56</v>
      </c>
      <c r="CJ115" s="1913">
        <v>-1718</v>
      </c>
      <c r="CK115" s="1885"/>
      <c r="CL115" s="1890">
        <v>0</v>
      </c>
      <c r="CM115" s="1890">
        <v>0</v>
      </c>
      <c r="CN115" s="1890">
        <v>0</v>
      </c>
      <c r="CO115" s="1890">
        <v>0</v>
      </c>
      <c r="CP115" s="1885"/>
      <c r="CQ115" s="1890">
        <v>0</v>
      </c>
      <c r="CR115" s="1891">
        <v>-41</v>
      </c>
      <c r="CS115" s="1899">
        <v>-3086</v>
      </c>
      <c r="CT115" s="1899">
        <v>-3100</v>
      </c>
      <c r="CU115" s="1885"/>
      <c r="CV115" s="1884">
        <v>-185</v>
      </c>
      <c r="CW115" s="1884">
        <v>-550</v>
      </c>
      <c r="CX115" s="1884">
        <v>-2898</v>
      </c>
      <c r="CY115" s="1884">
        <f>-2902-58</f>
        <v>-2960</v>
      </c>
      <c r="CZ115" s="1885"/>
      <c r="DA115" s="1884">
        <v>0</v>
      </c>
      <c r="DB115" s="1884">
        <v>-3579</v>
      </c>
      <c r="DC115" s="1884">
        <v>-5185</v>
      </c>
      <c r="DD115" s="1884">
        <v>-5943</v>
      </c>
      <c r="DE115" s="2690"/>
      <c r="DF115" s="1884">
        <v>0</v>
      </c>
      <c r="DG115" s="1884"/>
      <c r="DH115" s="1884"/>
      <c r="DI115" s="1884"/>
      <c r="DJ115" s="1885"/>
      <c r="DK115" s="1884"/>
      <c r="DL115" s="1884"/>
      <c r="DM115" s="1884"/>
      <c r="DN115" s="1884"/>
      <c r="DO115" s="1885"/>
      <c r="DP115" s="1884"/>
      <c r="DQ115" s="1884"/>
      <c r="DR115" s="1884"/>
      <c r="DS115" s="1884"/>
      <c r="DT115" s="1885"/>
      <c r="DU115" s="1884"/>
      <c r="DV115" s="1884"/>
      <c r="DW115" s="1884"/>
      <c r="DX115" s="1884"/>
      <c r="DY115" s="1885"/>
      <c r="DZ115" s="1858"/>
      <c r="EA115" s="1858"/>
      <c r="EB115" s="1858"/>
    </row>
    <row r="116" spans="1:132" outlineLevel="1" x14ac:dyDescent="0.2">
      <c r="A116" s="1853"/>
      <c r="B116" s="1915" t="s">
        <v>344</v>
      </c>
      <c r="C116" s="1884"/>
      <c r="D116" s="1884"/>
      <c r="E116" s="1884"/>
      <c r="F116" s="1884"/>
      <c r="G116" s="1884"/>
      <c r="H116" s="1884"/>
      <c r="I116" s="1885"/>
      <c r="J116" s="1884"/>
      <c r="K116" s="1884"/>
      <c r="L116" s="1884"/>
      <c r="M116" s="1884"/>
      <c r="N116" s="1885"/>
      <c r="O116" s="1884"/>
      <c r="P116" s="1884"/>
      <c r="Q116" s="1884"/>
      <c r="R116" s="1884"/>
      <c r="S116" s="1885"/>
      <c r="T116" s="1884"/>
      <c r="U116" s="1884"/>
      <c r="V116" s="1884"/>
      <c r="W116" s="1884"/>
      <c r="X116" s="1885"/>
      <c r="Y116" s="1884"/>
      <c r="Z116" s="1884"/>
      <c r="AA116" s="1884"/>
      <c r="AB116" s="1884"/>
      <c r="AC116" s="1885"/>
      <c r="AD116" s="1884"/>
      <c r="AE116" s="1884"/>
      <c r="AF116" s="1884"/>
      <c r="AG116" s="1884"/>
      <c r="AH116" s="1885"/>
      <c r="AI116" s="1884"/>
      <c r="AJ116" s="1884"/>
      <c r="AK116" s="1884"/>
      <c r="AL116" s="1884"/>
      <c r="AM116" s="1885"/>
      <c r="AN116" s="1884"/>
      <c r="AO116" s="1884"/>
      <c r="AP116" s="1884"/>
      <c r="AQ116" s="1884"/>
      <c r="AR116" s="1885"/>
      <c r="AS116" s="1884"/>
      <c r="AT116" s="1884"/>
      <c r="AU116" s="1884"/>
      <c r="AV116" s="1884"/>
      <c r="AW116" s="1885"/>
      <c r="AX116" s="1884"/>
      <c r="AY116" s="1884"/>
      <c r="AZ116" s="1884"/>
      <c r="BA116" s="1884"/>
      <c r="BB116" s="1885"/>
      <c r="BC116" s="1884"/>
      <c r="BD116" s="1884"/>
      <c r="BE116" s="1884"/>
      <c r="BF116" s="1884"/>
      <c r="BG116" s="1885"/>
      <c r="BH116" s="1884"/>
      <c r="BI116" s="1884"/>
      <c r="BJ116" s="1884"/>
      <c r="BK116" s="1884"/>
      <c r="BL116" s="1885"/>
      <c r="BM116" s="1899">
        <f>SUM(BM114:BM115)</f>
        <v>-0.6</v>
      </c>
      <c r="BN116" s="1899">
        <f>SUM(BN114:BN115)</f>
        <v>-1.3</v>
      </c>
      <c r="BO116" s="1899">
        <f>SUM(BO114:BO115)</f>
        <v>348</v>
      </c>
      <c r="BP116" s="1899">
        <f>SUM(BP114:BP115)</f>
        <v>348.2</v>
      </c>
      <c r="BQ116" s="1885"/>
      <c r="BR116" s="1899">
        <f>SUM(BR114:BR115)</f>
        <v>999.1</v>
      </c>
      <c r="BS116" s="1899">
        <f>SUM(BS114:BS115)</f>
        <v>998.3</v>
      </c>
      <c r="BT116" s="1899">
        <f>SUM(BT114:BT115)</f>
        <v>2147.6999999999998</v>
      </c>
      <c r="BU116" s="1899">
        <f>SUM(BU114:BU115)</f>
        <v>2147</v>
      </c>
      <c r="BV116" s="1885"/>
      <c r="BW116" s="1899">
        <f>SUM(BW114:BW115)</f>
        <v>-1</v>
      </c>
      <c r="BX116" s="1899">
        <f>SUM(BX114:BX115)</f>
        <v>-760</v>
      </c>
      <c r="BY116" s="1899">
        <f>SUM(BY114:BY115)</f>
        <v>-1111</v>
      </c>
      <c r="BZ116" s="1899">
        <f>SUM(BZ114:BZ115)</f>
        <v>-1112</v>
      </c>
      <c r="CA116" s="1885"/>
      <c r="CB116" s="1899">
        <f>SUM(CB114:CB115)</f>
        <v>-301</v>
      </c>
      <c r="CC116" s="1899">
        <f>SUM(CC114:CC115)</f>
        <v>1161</v>
      </c>
      <c r="CD116" s="1899">
        <f>SUM(CD114:CD115)</f>
        <v>314</v>
      </c>
      <c r="CE116" s="1899">
        <f>SUM(CE114:CE115)</f>
        <v>-659</v>
      </c>
      <c r="CF116" s="1885"/>
      <c r="CG116" s="1899">
        <f>SUM(CG114:CG115)</f>
        <v>-52</v>
      </c>
      <c r="CH116" s="1899">
        <f>SUM(CH114:CH115)</f>
        <v>-54</v>
      </c>
      <c r="CI116" s="1899">
        <f>SUM(CI114:CI115)</f>
        <v>-56</v>
      </c>
      <c r="CJ116" s="1899">
        <f>SUM(CJ114:CJ115)</f>
        <v>-479</v>
      </c>
      <c r="CK116" s="1885"/>
      <c r="CL116" s="1899">
        <f>SUM(CL114:CL115)</f>
        <v>0</v>
      </c>
      <c r="CM116" s="1899">
        <f>SUM(CM114:CM115)</f>
        <v>0</v>
      </c>
      <c r="CN116" s="1899">
        <f>SUM(CN114:CN115)</f>
        <v>0</v>
      </c>
      <c r="CO116" s="1899">
        <f>SUM(CO114:CO115)</f>
        <v>3964</v>
      </c>
      <c r="CP116" s="1885"/>
      <c r="CQ116" s="1899">
        <f>SUM(CQ114:CQ115)</f>
        <v>0</v>
      </c>
      <c r="CR116" s="1916"/>
      <c r="CS116" s="1890"/>
      <c r="CT116" s="1890">
        <v>0</v>
      </c>
      <c r="CU116" s="1885"/>
      <c r="CV116" s="1884"/>
      <c r="CW116" s="1884"/>
      <c r="CX116" s="1884"/>
      <c r="CY116" s="1884"/>
      <c r="CZ116" s="1885"/>
      <c r="DA116" s="1884"/>
      <c r="DB116" s="1884"/>
      <c r="DC116" s="1884"/>
      <c r="DD116" s="1884"/>
      <c r="DE116" s="2690"/>
      <c r="DF116" s="1884"/>
      <c r="DG116" s="1884"/>
      <c r="DH116" s="1884"/>
      <c r="DI116" s="1884"/>
      <c r="DJ116" s="1885"/>
      <c r="DK116" s="1884"/>
      <c r="DL116" s="1884"/>
      <c r="DM116" s="1884"/>
      <c r="DN116" s="1884"/>
      <c r="DO116" s="1885"/>
      <c r="DP116" s="1884"/>
      <c r="DQ116" s="1884"/>
      <c r="DR116" s="1884"/>
      <c r="DS116" s="1884"/>
      <c r="DT116" s="1885"/>
      <c r="DU116" s="1884"/>
      <c r="DV116" s="1884"/>
      <c r="DW116" s="1884"/>
      <c r="DX116" s="1884"/>
      <c r="DY116" s="1885"/>
      <c r="DZ116" s="1858"/>
      <c r="EA116" s="1858"/>
      <c r="EB116" s="1858"/>
    </row>
    <row r="117" spans="1:132" outlineLevel="1" x14ac:dyDescent="0.2">
      <c r="A117" s="1853"/>
      <c r="B117" s="1885" t="s">
        <v>345</v>
      </c>
      <c r="C117" s="1884"/>
      <c r="D117" s="1884"/>
      <c r="E117" s="1884"/>
      <c r="F117" s="1884"/>
      <c r="G117" s="1884"/>
      <c r="H117" s="1884"/>
      <c r="I117" s="1885"/>
      <c r="J117" s="1884"/>
      <c r="K117" s="1884"/>
      <c r="L117" s="1884"/>
      <c r="M117" s="1884"/>
      <c r="N117" s="1885"/>
      <c r="O117" s="1884"/>
      <c r="P117" s="1884"/>
      <c r="Q117" s="1884"/>
      <c r="R117" s="1884"/>
      <c r="S117" s="1885"/>
      <c r="T117" s="1884"/>
      <c r="U117" s="1884"/>
      <c r="V117" s="1884"/>
      <c r="W117" s="1884"/>
      <c r="X117" s="1885"/>
      <c r="Y117" s="1884"/>
      <c r="Z117" s="1884"/>
      <c r="AA117" s="1884"/>
      <c r="AB117" s="1884"/>
      <c r="AC117" s="1885"/>
      <c r="AD117" s="1884"/>
      <c r="AE117" s="1884"/>
      <c r="AF117" s="1884"/>
      <c r="AG117" s="1884"/>
      <c r="AH117" s="1885"/>
      <c r="AI117" s="1884"/>
      <c r="AJ117" s="1884"/>
      <c r="AK117" s="1884"/>
      <c r="AL117" s="1884"/>
      <c r="AM117" s="1885"/>
      <c r="AN117" s="1884"/>
      <c r="AO117" s="1884"/>
      <c r="AP117" s="1884"/>
      <c r="AQ117" s="1884"/>
      <c r="AR117" s="1885"/>
      <c r="AS117" s="1884"/>
      <c r="AT117" s="1884"/>
      <c r="AU117" s="1884"/>
      <c r="AV117" s="1884"/>
      <c r="AW117" s="1885"/>
      <c r="AX117" s="1884"/>
      <c r="AY117" s="1884"/>
      <c r="AZ117" s="1884"/>
      <c r="BA117" s="1884"/>
      <c r="BB117" s="1885"/>
      <c r="BC117" s="1884"/>
      <c r="BD117" s="1884"/>
      <c r="BE117" s="1884"/>
      <c r="BF117" s="1884"/>
      <c r="BG117" s="1885"/>
      <c r="BH117" s="1884"/>
      <c r="BI117" s="1884"/>
      <c r="BJ117" s="1884"/>
      <c r="BK117" s="1884"/>
      <c r="BL117" s="1885"/>
      <c r="BM117" s="1897">
        <v>0</v>
      </c>
      <c r="BN117" s="1897">
        <v>0</v>
      </c>
      <c r="BO117" s="1897">
        <v>0</v>
      </c>
      <c r="BP117" s="1854">
        <f>BQ51</f>
        <v>959</v>
      </c>
      <c r="BQ117" s="1885"/>
      <c r="BR117" s="1897">
        <v>0</v>
      </c>
      <c r="BS117" s="1897">
        <v>0</v>
      </c>
      <c r="BT117" s="1897">
        <v>0</v>
      </c>
      <c r="BU117" s="1854">
        <f>BV51</f>
        <v>0</v>
      </c>
      <c r="BV117" s="1885"/>
      <c r="BW117" s="1897">
        <v>200</v>
      </c>
      <c r="BX117" s="1897">
        <v>1537</v>
      </c>
      <c r="BY117" s="1897">
        <v>1069</v>
      </c>
      <c r="BZ117" s="1911"/>
      <c r="CA117" s="1885"/>
      <c r="CB117" s="1884"/>
      <c r="CC117" s="1884"/>
      <c r="CD117" s="1912">
        <v>230</v>
      </c>
      <c r="CE117" s="1912">
        <v>450</v>
      </c>
      <c r="CF117" s="1885"/>
      <c r="CG117" s="1897">
        <v>0</v>
      </c>
      <c r="CH117" s="1897">
        <v>0</v>
      </c>
      <c r="CI117" s="1912">
        <v>75</v>
      </c>
      <c r="CJ117" s="1912">
        <v>0</v>
      </c>
      <c r="CK117" s="1885"/>
      <c r="CL117" s="1890">
        <v>0</v>
      </c>
      <c r="CM117" s="1890">
        <v>0</v>
      </c>
      <c r="CN117" s="1890">
        <v>124</v>
      </c>
      <c r="CO117" s="1890">
        <v>0</v>
      </c>
      <c r="CP117" s="1885"/>
      <c r="CQ117" s="1890">
        <v>0</v>
      </c>
      <c r="CR117" s="1891"/>
      <c r="CS117" s="1890">
        <v>775</v>
      </c>
      <c r="CT117" s="1890">
        <v>685</v>
      </c>
      <c r="CU117" s="1885"/>
      <c r="CV117" s="1884"/>
      <c r="CW117" s="1884">
        <v>803</v>
      </c>
      <c r="CX117" s="1884">
        <v>-685</v>
      </c>
      <c r="CY117" s="1884">
        <v>-685</v>
      </c>
      <c r="CZ117" s="1885"/>
      <c r="DA117" s="1884"/>
      <c r="DB117" s="1884">
        <v>745</v>
      </c>
      <c r="DC117" s="1884">
        <v>340</v>
      </c>
      <c r="DD117" s="1884">
        <v>1874</v>
      </c>
      <c r="DE117" s="2690"/>
      <c r="DF117" s="1884"/>
      <c r="DG117" s="1884">
        <v>-774</v>
      </c>
      <c r="DH117" s="1884">
        <v>-1764</v>
      </c>
      <c r="DI117" s="1884">
        <f>-598</f>
        <v>-598</v>
      </c>
      <c r="DJ117" s="1885"/>
      <c r="DK117" s="1884"/>
      <c r="DL117" s="1884"/>
      <c r="DM117" s="1884"/>
      <c r="DN117" s="1884"/>
      <c r="DO117" s="1885"/>
      <c r="DP117" s="1884"/>
      <c r="DQ117" s="1884"/>
      <c r="DR117" s="1884"/>
      <c r="DS117" s="1884"/>
      <c r="DT117" s="1885"/>
      <c r="DU117" s="1884"/>
      <c r="DV117" s="1884"/>
      <c r="DW117" s="1884"/>
      <c r="DX117" s="1884"/>
      <c r="DY117" s="1885"/>
      <c r="DZ117" s="1858"/>
      <c r="EA117" s="1858"/>
      <c r="EB117" s="1858"/>
    </row>
    <row r="118" spans="1:132" outlineLevel="1" x14ac:dyDescent="0.2">
      <c r="A118" s="1853"/>
      <c r="B118" s="1885" t="s">
        <v>346</v>
      </c>
      <c r="C118" s="1884"/>
      <c r="D118" s="1884"/>
      <c r="E118" s="1884"/>
      <c r="F118" s="1884"/>
      <c r="G118" s="1884"/>
      <c r="H118" s="1884"/>
      <c r="I118" s="1885"/>
      <c r="J118" s="1884"/>
      <c r="K118" s="1884"/>
      <c r="L118" s="1884"/>
      <c r="M118" s="1884"/>
      <c r="N118" s="1885"/>
      <c r="O118" s="1884"/>
      <c r="P118" s="1884"/>
      <c r="Q118" s="1884"/>
      <c r="R118" s="1884"/>
      <c r="S118" s="1885"/>
      <c r="T118" s="1884"/>
      <c r="U118" s="1884"/>
      <c r="V118" s="1884"/>
      <c r="W118" s="1884"/>
      <c r="X118" s="1885"/>
      <c r="Y118" s="1884"/>
      <c r="Z118" s="1884"/>
      <c r="AA118" s="1884"/>
      <c r="AB118" s="1884"/>
      <c r="AC118" s="1885"/>
      <c r="AD118" s="1884"/>
      <c r="AE118" s="1884"/>
      <c r="AF118" s="1884"/>
      <c r="AG118" s="1884"/>
      <c r="AH118" s="1885"/>
      <c r="AI118" s="1884"/>
      <c r="AJ118" s="1884"/>
      <c r="AK118" s="1884"/>
      <c r="AL118" s="1884"/>
      <c r="AM118" s="1885"/>
      <c r="AN118" s="1884"/>
      <c r="AO118" s="1884"/>
      <c r="AP118" s="1884"/>
      <c r="AQ118" s="1884"/>
      <c r="AR118" s="1885"/>
      <c r="AS118" s="1884"/>
      <c r="AT118" s="1884"/>
      <c r="AU118" s="1884"/>
      <c r="AV118" s="1884"/>
      <c r="AW118" s="1885"/>
      <c r="AX118" s="1884"/>
      <c r="AY118" s="1884"/>
      <c r="AZ118" s="1884"/>
      <c r="BA118" s="1884"/>
      <c r="BB118" s="1885"/>
      <c r="BC118" s="1884"/>
      <c r="BD118" s="1884"/>
      <c r="BE118" s="1884"/>
      <c r="BF118" s="1884"/>
      <c r="BG118" s="1885"/>
      <c r="BH118" s="1884"/>
      <c r="BI118" s="1884"/>
      <c r="BJ118" s="1884"/>
      <c r="BK118" s="1884"/>
      <c r="BL118" s="1885"/>
      <c r="BM118" s="1897">
        <v>-743.1</v>
      </c>
      <c r="BN118" s="1897">
        <v>-1105</v>
      </c>
      <c r="BO118" s="1897">
        <v>-1103</v>
      </c>
      <c r="BP118" s="1854">
        <f>BQ52</f>
        <v>0</v>
      </c>
      <c r="BQ118" s="1885"/>
      <c r="BR118" s="1897">
        <v>-1626.1</v>
      </c>
      <c r="BS118" s="1897">
        <v>-1716.1</v>
      </c>
      <c r="BT118" s="1897">
        <v>-1944.1</v>
      </c>
      <c r="BU118" s="1854">
        <f>BV52</f>
        <v>-2729</v>
      </c>
      <c r="BV118" s="1885"/>
      <c r="BW118" s="1897">
        <v>0</v>
      </c>
      <c r="BX118" s="1897">
        <v>0</v>
      </c>
      <c r="BY118" s="1911"/>
      <c r="BZ118" s="1897">
        <v>-15</v>
      </c>
      <c r="CA118" s="1885"/>
      <c r="CB118" s="1911"/>
      <c r="CC118" s="1897">
        <v>-300</v>
      </c>
      <c r="CD118" s="1912"/>
      <c r="CE118" s="1853">
        <v>0</v>
      </c>
      <c r="CF118" s="1885"/>
      <c r="CG118" s="1897">
        <v>-750</v>
      </c>
      <c r="CH118" s="1912">
        <v>-550</v>
      </c>
      <c r="CI118" s="1912">
        <v>0</v>
      </c>
      <c r="CJ118" s="1912">
        <v>-60</v>
      </c>
      <c r="CK118" s="1885"/>
      <c r="CL118" s="1890">
        <v>0</v>
      </c>
      <c r="CM118" s="1890">
        <v>0</v>
      </c>
      <c r="CN118" s="1890">
        <v>0</v>
      </c>
      <c r="CO118" s="1890">
        <v>-690</v>
      </c>
      <c r="CP118" s="1885"/>
      <c r="CQ118" s="1890">
        <v>0</v>
      </c>
      <c r="CR118" s="1891"/>
      <c r="CS118" s="1899"/>
      <c r="CT118" s="1899">
        <v>0</v>
      </c>
      <c r="CU118" s="1885"/>
      <c r="CV118" s="1884"/>
      <c r="CW118" s="1884"/>
      <c r="CX118" s="1884"/>
      <c r="CY118" s="1884"/>
      <c r="CZ118" s="1885"/>
      <c r="DA118" s="1884"/>
      <c r="DB118" s="1884"/>
      <c r="DC118" s="1884"/>
      <c r="DD118" s="1884"/>
      <c r="DE118" s="2690"/>
      <c r="DF118" s="1912">
        <v>-106</v>
      </c>
      <c r="DG118" s="1884"/>
      <c r="DH118" s="1884"/>
      <c r="DI118" s="1884"/>
      <c r="DJ118" s="1885"/>
      <c r="DK118" s="1884"/>
      <c r="DL118" s="1884"/>
      <c r="DM118" s="1884"/>
      <c r="DN118" s="1884"/>
      <c r="DO118" s="1885"/>
      <c r="DP118" s="1884"/>
      <c r="DQ118" s="1884"/>
      <c r="DR118" s="1884"/>
      <c r="DS118" s="1884"/>
      <c r="DT118" s="1885"/>
      <c r="DU118" s="1884"/>
      <c r="DV118" s="1884"/>
      <c r="DW118" s="1884"/>
      <c r="DX118" s="1884"/>
      <c r="DY118" s="1885"/>
      <c r="DZ118" s="1858"/>
      <c r="EA118" s="1858"/>
      <c r="EB118" s="1858"/>
    </row>
    <row r="119" spans="1:132" outlineLevel="1" x14ac:dyDescent="0.2">
      <c r="A119" s="1853"/>
      <c r="B119" s="1915" t="s">
        <v>347</v>
      </c>
      <c r="C119" s="1884"/>
      <c r="D119" s="1884"/>
      <c r="E119" s="1884"/>
      <c r="F119" s="1884"/>
      <c r="G119" s="1884"/>
      <c r="H119" s="1884"/>
      <c r="I119" s="1885"/>
      <c r="J119" s="1884"/>
      <c r="K119" s="1884"/>
      <c r="L119" s="1884"/>
      <c r="M119" s="1884"/>
      <c r="N119" s="1885"/>
      <c r="O119" s="1884"/>
      <c r="P119" s="1884"/>
      <c r="Q119" s="1884"/>
      <c r="R119" s="1884"/>
      <c r="S119" s="1885"/>
      <c r="T119" s="1884"/>
      <c r="U119" s="1884"/>
      <c r="V119" s="1884"/>
      <c r="W119" s="1884"/>
      <c r="X119" s="1885"/>
      <c r="Y119" s="1884"/>
      <c r="Z119" s="1884"/>
      <c r="AA119" s="1884"/>
      <c r="AB119" s="1884"/>
      <c r="AC119" s="1885"/>
      <c r="AD119" s="1884"/>
      <c r="AE119" s="1884"/>
      <c r="AF119" s="1884"/>
      <c r="AG119" s="1884"/>
      <c r="AH119" s="1885"/>
      <c r="AI119" s="1884"/>
      <c r="AJ119" s="1884"/>
      <c r="AK119" s="1884"/>
      <c r="AL119" s="1884"/>
      <c r="AM119" s="1885"/>
      <c r="AN119" s="1884"/>
      <c r="AO119" s="1884"/>
      <c r="AP119" s="1884"/>
      <c r="AQ119" s="1884"/>
      <c r="AR119" s="1885"/>
      <c r="AS119" s="1884"/>
      <c r="AT119" s="1884"/>
      <c r="AU119" s="1884"/>
      <c r="AV119" s="1884"/>
      <c r="AW119" s="1885"/>
      <c r="AX119" s="1884"/>
      <c r="AY119" s="1884"/>
      <c r="AZ119" s="1884"/>
      <c r="BA119" s="1884"/>
      <c r="BB119" s="1885"/>
      <c r="BC119" s="1884"/>
      <c r="BD119" s="1884"/>
      <c r="BE119" s="1884"/>
      <c r="BF119" s="1884"/>
      <c r="BG119" s="1885"/>
      <c r="BH119" s="1884"/>
      <c r="BI119" s="1884"/>
      <c r="BJ119" s="1884"/>
      <c r="BK119" s="1884"/>
      <c r="BL119" s="1885"/>
      <c r="BM119" s="1899">
        <f>SUM(BM117:BM118)</f>
        <v>-743.1</v>
      </c>
      <c r="BN119" s="1899">
        <f>SUM(BN117:BN118)</f>
        <v>-1105</v>
      </c>
      <c r="BO119" s="1899">
        <f>SUM(BO117:BO118)</f>
        <v>-1103</v>
      </c>
      <c r="BP119" s="1899">
        <f>SUM(BP117:BP118)</f>
        <v>959</v>
      </c>
      <c r="BQ119" s="1885"/>
      <c r="BR119" s="1899">
        <f>SUM(BR117:BR118)</f>
        <v>-1626.1</v>
      </c>
      <c r="BS119" s="1899">
        <f>SUM(BS117:BS118)</f>
        <v>-1716.1</v>
      </c>
      <c r="BT119" s="1899">
        <f>SUM(BT117:BT118)</f>
        <v>-1944.1</v>
      </c>
      <c r="BU119" s="1899">
        <f>SUM(BU117:BU118)</f>
        <v>-2729</v>
      </c>
      <c r="BV119" s="1885"/>
      <c r="BW119" s="1899">
        <f>SUM(BW117:BW118)</f>
        <v>200</v>
      </c>
      <c r="BX119" s="1899">
        <f>SUM(BX117:BX118)</f>
        <v>1537</v>
      </c>
      <c r="BY119" s="1899">
        <f>SUM(BY117:BY118)</f>
        <v>1069</v>
      </c>
      <c r="BZ119" s="1899">
        <f>SUM(BZ117:BZ118)</f>
        <v>-15</v>
      </c>
      <c r="CA119" s="1885"/>
      <c r="CB119" s="1899">
        <f>SUM(CB117:CB118)</f>
        <v>0</v>
      </c>
      <c r="CC119" s="1899">
        <f>SUM(CC117:CC118)</f>
        <v>-300</v>
      </c>
      <c r="CD119" s="1899">
        <f>SUM(CD117:CD118)</f>
        <v>230</v>
      </c>
      <c r="CE119" s="1899">
        <f>SUM(CE117:CE118)</f>
        <v>450</v>
      </c>
      <c r="CF119" s="1885"/>
      <c r="CG119" s="1899">
        <f>SUM(CG117:CG118)</f>
        <v>-750</v>
      </c>
      <c r="CH119" s="1899">
        <f>SUM(CH117:CH118)</f>
        <v>-550</v>
      </c>
      <c r="CI119" s="1899">
        <f>SUM(CI117:CI118)</f>
        <v>75</v>
      </c>
      <c r="CJ119" s="1899">
        <f>SUM(CJ117:CJ118)</f>
        <v>-60</v>
      </c>
      <c r="CK119" s="1885"/>
      <c r="CL119" s="1899">
        <f>SUM(CL117:CL118)</f>
        <v>0</v>
      </c>
      <c r="CM119" s="1899">
        <f>SUM(CM117:CM118)</f>
        <v>0</v>
      </c>
      <c r="CN119" s="1899">
        <f>SUM(CN117:CN118)</f>
        <v>124</v>
      </c>
      <c r="CO119" s="1899">
        <f>SUM(CO117:CO118)</f>
        <v>-690</v>
      </c>
      <c r="CP119" s="1885"/>
      <c r="CQ119" s="1899">
        <f>SUM(CQ117:CQ118)</f>
        <v>0</v>
      </c>
      <c r="CR119" s="1916"/>
      <c r="CS119" s="1913"/>
      <c r="CT119" s="1913">
        <v>0</v>
      </c>
      <c r="CU119" s="1885"/>
      <c r="CV119" s="1884"/>
      <c r="CW119" s="1884"/>
      <c r="CX119" s="1884"/>
      <c r="CY119" s="1884"/>
      <c r="CZ119" s="1885"/>
      <c r="DA119" s="1884"/>
      <c r="DB119" s="1884"/>
      <c r="DC119" s="1884"/>
      <c r="DD119" s="1884"/>
      <c r="DE119" s="2690"/>
      <c r="DF119" s="1884"/>
      <c r="DG119" s="1884"/>
      <c r="DH119" s="1884"/>
      <c r="DI119" s="1884"/>
      <c r="DJ119" s="1885"/>
      <c r="DK119" s="1884"/>
      <c r="DL119" s="1884"/>
      <c r="DM119" s="1884"/>
      <c r="DN119" s="1884"/>
      <c r="DO119" s="1885"/>
      <c r="DP119" s="1884"/>
      <c r="DQ119" s="1884"/>
      <c r="DR119" s="1884"/>
      <c r="DS119" s="1884"/>
      <c r="DT119" s="1885"/>
      <c r="DU119" s="1884"/>
      <c r="DV119" s="1884"/>
      <c r="DW119" s="1884"/>
      <c r="DX119" s="1884"/>
      <c r="DY119" s="1885"/>
      <c r="DZ119" s="1858"/>
      <c r="EA119" s="1858"/>
      <c r="EB119" s="1858"/>
    </row>
    <row r="120" spans="1:132" outlineLevel="1" x14ac:dyDescent="0.2">
      <c r="A120" s="1853"/>
      <c r="B120" s="1885" t="s">
        <v>351</v>
      </c>
      <c r="C120" s="1884"/>
      <c r="D120" s="1884"/>
      <c r="E120" s="1884"/>
      <c r="F120" s="1884"/>
      <c r="G120" s="1884"/>
      <c r="H120" s="1884"/>
      <c r="I120" s="1885"/>
      <c r="J120" s="1884"/>
      <c r="K120" s="1884"/>
      <c r="L120" s="1884"/>
      <c r="M120" s="1884"/>
      <c r="N120" s="1885"/>
      <c r="O120" s="1884"/>
      <c r="P120" s="1884"/>
      <c r="Q120" s="1884"/>
      <c r="R120" s="1884"/>
      <c r="S120" s="1885"/>
      <c r="T120" s="1884"/>
      <c r="U120" s="1884"/>
      <c r="V120" s="1884"/>
      <c r="W120" s="1884"/>
      <c r="X120" s="1885"/>
      <c r="Y120" s="1884"/>
      <c r="Z120" s="1884"/>
      <c r="AA120" s="1884"/>
      <c r="AB120" s="1884"/>
      <c r="AC120" s="1885"/>
      <c r="AD120" s="1884"/>
      <c r="AE120" s="1884"/>
      <c r="AF120" s="1884"/>
      <c r="AG120" s="1884"/>
      <c r="AH120" s="1885"/>
      <c r="AI120" s="1884"/>
      <c r="AJ120" s="1884"/>
      <c r="AK120" s="1884"/>
      <c r="AL120" s="1884"/>
      <c r="AM120" s="1885"/>
      <c r="AN120" s="1884"/>
      <c r="AO120" s="1884"/>
      <c r="AP120" s="1884"/>
      <c r="AQ120" s="1884"/>
      <c r="AR120" s="1885"/>
      <c r="AS120" s="1884"/>
      <c r="AT120" s="1884"/>
      <c r="AU120" s="1884"/>
      <c r="AV120" s="1884"/>
      <c r="AW120" s="1885"/>
      <c r="AX120" s="1884"/>
      <c r="AY120" s="1884"/>
      <c r="AZ120" s="1884"/>
      <c r="BA120" s="1884"/>
      <c r="BB120" s="1885"/>
      <c r="BC120" s="1884"/>
      <c r="BD120" s="1884"/>
      <c r="BE120" s="1884"/>
      <c r="BF120" s="1884"/>
      <c r="BG120" s="1885"/>
      <c r="BH120" s="1884"/>
      <c r="BI120" s="1884"/>
      <c r="BJ120" s="1884"/>
      <c r="BK120" s="1884"/>
      <c r="BL120" s="1885"/>
      <c r="BM120" s="1826">
        <v>170.1</v>
      </c>
      <c r="BN120" s="1826">
        <v>278.89999999999998</v>
      </c>
      <c r="BO120" s="1826">
        <v>313.7</v>
      </c>
      <c r="BP120" s="1899">
        <f>BQ57</f>
        <v>327.8</v>
      </c>
      <c r="BQ120" s="1885"/>
      <c r="BR120" s="1826">
        <v>55</v>
      </c>
      <c r="BS120" s="1826">
        <v>91.4</v>
      </c>
      <c r="BT120" s="1826">
        <v>236.5</v>
      </c>
      <c r="BU120" s="1899">
        <f>BV57</f>
        <v>250</v>
      </c>
      <c r="BV120" s="1885"/>
      <c r="BW120" s="1826">
        <v>97</v>
      </c>
      <c r="BX120" s="1826">
        <v>145</v>
      </c>
      <c r="BY120" s="1826">
        <v>171</v>
      </c>
      <c r="BZ120" s="1826">
        <v>285</v>
      </c>
      <c r="CA120" s="1885"/>
      <c r="CB120" s="1826">
        <v>107</v>
      </c>
      <c r="CC120" s="1826">
        <v>264</v>
      </c>
      <c r="CD120" s="1913">
        <v>341</v>
      </c>
      <c r="CE120" s="1913">
        <v>431</v>
      </c>
      <c r="CF120" s="1885"/>
      <c r="CG120" s="1826">
        <v>278</v>
      </c>
      <c r="CH120" s="1913">
        <v>518</v>
      </c>
      <c r="CI120" s="1913">
        <v>677</v>
      </c>
      <c r="CJ120" s="1913">
        <v>836</v>
      </c>
      <c r="CK120" s="1885"/>
      <c r="CL120" s="1890">
        <v>150</v>
      </c>
      <c r="CM120" s="1913">
        <v>309</v>
      </c>
      <c r="CN120" s="1913">
        <v>431</v>
      </c>
      <c r="CO120" s="1913">
        <v>500</v>
      </c>
      <c r="CP120" s="1885"/>
      <c r="CQ120" s="1913">
        <v>154</v>
      </c>
      <c r="CR120" s="1917">
        <v>266</v>
      </c>
      <c r="CS120" s="1912">
        <v>378</v>
      </c>
      <c r="CT120" s="1912">
        <v>421</v>
      </c>
      <c r="CU120" s="1885"/>
      <c r="CV120" s="1912">
        <v>126</v>
      </c>
      <c r="CW120" s="1884">
        <v>211</v>
      </c>
      <c r="CX120" s="1884">
        <v>277</v>
      </c>
      <c r="CY120" s="1884">
        <v>299</v>
      </c>
      <c r="CZ120" s="1885"/>
      <c r="DA120" s="1912">
        <v>92</v>
      </c>
      <c r="DB120" s="1884">
        <v>122</v>
      </c>
      <c r="DC120" s="1884">
        <v>205</v>
      </c>
      <c r="DD120" s="1884">
        <v>224</v>
      </c>
      <c r="DE120" s="2690"/>
      <c r="DF120" s="1912">
        <v>121</v>
      </c>
      <c r="DG120" s="1884">
        <v>189</v>
      </c>
      <c r="DH120" s="1884">
        <v>314</v>
      </c>
      <c r="DI120" s="1884">
        <v>329</v>
      </c>
      <c r="DJ120" s="1885"/>
      <c r="DK120" s="1884"/>
      <c r="DL120" s="1884"/>
      <c r="DM120" s="1884"/>
      <c r="DN120" s="1884"/>
      <c r="DO120" s="1885"/>
      <c r="DP120" s="1884"/>
      <c r="DQ120" s="1884"/>
      <c r="DR120" s="1884"/>
      <c r="DS120" s="1884"/>
      <c r="DT120" s="1885"/>
      <c r="DU120" s="1884"/>
      <c r="DV120" s="1884"/>
      <c r="DW120" s="1884"/>
      <c r="DX120" s="1884"/>
      <c r="DY120" s="1885"/>
      <c r="DZ120" s="1858"/>
      <c r="EA120" s="1858"/>
      <c r="EB120" s="1858"/>
    </row>
    <row r="121" spans="1:132" outlineLevel="1" x14ac:dyDescent="0.2">
      <c r="A121" s="1853"/>
      <c r="B121" s="1885" t="s">
        <v>352</v>
      </c>
      <c r="C121" s="1884"/>
      <c r="D121" s="1884"/>
      <c r="E121" s="1884"/>
      <c r="F121" s="1884"/>
      <c r="G121" s="1884"/>
      <c r="H121" s="1884"/>
      <c r="I121" s="1885"/>
      <c r="J121" s="1884"/>
      <c r="K121" s="1884"/>
      <c r="L121" s="1884"/>
      <c r="M121" s="1884"/>
      <c r="N121" s="1885"/>
      <c r="O121" s="1884"/>
      <c r="P121" s="1884"/>
      <c r="Q121" s="1884"/>
      <c r="R121" s="1884"/>
      <c r="S121" s="1885"/>
      <c r="T121" s="1884"/>
      <c r="U121" s="1884"/>
      <c r="V121" s="1884"/>
      <c r="W121" s="1884"/>
      <c r="X121" s="1885"/>
      <c r="Y121" s="1884"/>
      <c r="Z121" s="1884"/>
      <c r="AA121" s="1884"/>
      <c r="AB121" s="1884"/>
      <c r="AC121" s="1885"/>
      <c r="AD121" s="1884"/>
      <c r="AE121" s="1884"/>
      <c r="AF121" s="1884"/>
      <c r="AG121" s="1884"/>
      <c r="AH121" s="1885"/>
      <c r="AI121" s="1884"/>
      <c r="AJ121" s="1884"/>
      <c r="AK121" s="1884"/>
      <c r="AL121" s="1884"/>
      <c r="AM121" s="1885"/>
      <c r="AN121" s="1884"/>
      <c r="AO121" s="1884"/>
      <c r="AP121" s="1884"/>
      <c r="AQ121" s="1884"/>
      <c r="AR121" s="1885"/>
      <c r="AS121" s="1884"/>
      <c r="AT121" s="1884"/>
      <c r="AU121" s="1884"/>
      <c r="AV121" s="1884"/>
      <c r="AW121" s="1885"/>
      <c r="AX121" s="1884"/>
      <c r="AY121" s="1884"/>
      <c r="AZ121" s="1884"/>
      <c r="BA121" s="1884"/>
      <c r="BB121" s="1885"/>
      <c r="BC121" s="1884"/>
      <c r="BD121" s="1884"/>
      <c r="BE121" s="1884"/>
      <c r="BF121" s="1884"/>
      <c r="BG121" s="1885"/>
      <c r="BH121" s="1884"/>
      <c r="BI121" s="1884"/>
      <c r="BJ121" s="1884"/>
      <c r="BK121" s="1884"/>
      <c r="BL121" s="1885"/>
      <c r="BM121" s="1897">
        <v>-85.9</v>
      </c>
      <c r="BN121" s="1897">
        <v>-172.1</v>
      </c>
      <c r="BO121" s="1897">
        <v>-270.5</v>
      </c>
      <c r="BP121" s="1854">
        <f>BQ58</f>
        <v>-383</v>
      </c>
      <c r="BQ121" s="1885"/>
      <c r="BR121" s="1897">
        <v>-109.7</v>
      </c>
      <c r="BS121" s="1897">
        <v>-220.7</v>
      </c>
      <c r="BT121" s="1897">
        <v>-330.8</v>
      </c>
      <c r="BU121" s="1854">
        <f>BV58</f>
        <v>-439</v>
      </c>
      <c r="BV121" s="1885"/>
      <c r="BW121" s="1897">
        <v>-122</v>
      </c>
      <c r="BX121" s="1897">
        <v>-241</v>
      </c>
      <c r="BY121" s="1897">
        <v>-360</v>
      </c>
      <c r="BZ121" s="1897">
        <v>-479</v>
      </c>
      <c r="CA121" s="1885"/>
      <c r="CB121" s="1897">
        <v>-171</v>
      </c>
      <c r="CC121" s="1897">
        <v>-341</v>
      </c>
      <c r="CD121" s="1912">
        <v>-508</v>
      </c>
      <c r="CE121" s="1912">
        <v>-674</v>
      </c>
      <c r="CF121" s="1885"/>
      <c r="CG121" s="1897">
        <v>-211</v>
      </c>
      <c r="CH121" s="1912">
        <v>-420</v>
      </c>
      <c r="CI121" s="1912">
        <v>-627</v>
      </c>
      <c r="CJ121" s="1912">
        <v>-829</v>
      </c>
      <c r="CK121" s="1885"/>
      <c r="CL121" s="1890">
        <v>-277</v>
      </c>
      <c r="CM121" s="1912">
        <v>-553</v>
      </c>
      <c r="CN121" s="1912">
        <v>-829</v>
      </c>
      <c r="CO121" s="1912">
        <v>-1097</v>
      </c>
      <c r="CP121" s="1885"/>
      <c r="CQ121" s="1912">
        <v>-325</v>
      </c>
      <c r="CR121" s="1898">
        <v>-647</v>
      </c>
      <c r="CS121" s="1913">
        <v>-971</v>
      </c>
      <c r="CT121" s="1913">
        <v>-1288</v>
      </c>
      <c r="CU121" s="1885"/>
      <c r="CV121" s="1912">
        <v>-399</v>
      </c>
      <c r="CW121" s="1884">
        <v>-794</v>
      </c>
      <c r="CX121" s="1884">
        <v>-1185</v>
      </c>
      <c r="CY121" s="1884">
        <v>-1576</v>
      </c>
      <c r="CZ121" s="1885"/>
      <c r="DA121" s="1912">
        <v>-470</v>
      </c>
      <c r="DB121" s="1884">
        <v>-929</v>
      </c>
      <c r="DC121" s="1884">
        <v>-1384</v>
      </c>
      <c r="DD121" s="1884">
        <v>-1840</v>
      </c>
      <c r="DE121" s="2690"/>
      <c r="DF121" s="1912">
        <v>-516</v>
      </c>
      <c r="DG121" s="1884">
        <v>-1028</v>
      </c>
      <c r="DH121" s="1884">
        <v>-1539</v>
      </c>
      <c r="DI121" s="1884">
        <v>-2049</v>
      </c>
      <c r="DJ121" s="1885"/>
      <c r="DK121" s="1884"/>
      <c r="DL121" s="1884"/>
      <c r="DM121" s="1884"/>
      <c r="DN121" s="1884"/>
      <c r="DO121" s="1885"/>
      <c r="DP121" s="1884"/>
      <c r="DQ121" s="1884"/>
      <c r="DR121" s="1884"/>
      <c r="DS121" s="1884"/>
      <c r="DT121" s="1885"/>
      <c r="DU121" s="1884"/>
      <c r="DV121" s="1884"/>
      <c r="DW121" s="1884"/>
      <c r="DX121" s="1884"/>
      <c r="DY121" s="1885"/>
      <c r="DZ121" s="1858"/>
      <c r="EA121" s="1858"/>
      <c r="EB121" s="1858"/>
    </row>
    <row r="122" spans="1:132" outlineLevel="1" x14ac:dyDescent="0.2">
      <c r="A122" s="1853"/>
      <c r="B122" s="1885" t="s">
        <v>353</v>
      </c>
      <c r="C122" s="1884"/>
      <c r="D122" s="1884"/>
      <c r="E122" s="1884"/>
      <c r="F122" s="1884"/>
      <c r="G122" s="1884"/>
      <c r="H122" s="1884"/>
      <c r="I122" s="1885"/>
      <c r="J122" s="1884"/>
      <c r="K122" s="1884"/>
      <c r="L122" s="1884"/>
      <c r="M122" s="1884"/>
      <c r="N122" s="1885"/>
      <c r="O122" s="1884"/>
      <c r="P122" s="1884"/>
      <c r="Q122" s="1884"/>
      <c r="R122" s="1884"/>
      <c r="S122" s="1885"/>
      <c r="T122" s="1884"/>
      <c r="U122" s="1884"/>
      <c r="V122" s="1884"/>
      <c r="W122" s="1884"/>
      <c r="X122" s="1885"/>
      <c r="Y122" s="1884"/>
      <c r="Z122" s="1884"/>
      <c r="AA122" s="1884"/>
      <c r="AB122" s="1884"/>
      <c r="AC122" s="1885"/>
      <c r="AD122" s="1884"/>
      <c r="AE122" s="1884"/>
      <c r="AF122" s="1884"/>
      <c r="AG122" s="1884"/>
      <c r="AH122" s="1885"/>
      <c r="AI122" s="1884"/>
      <c r="AJ122" s="1884"/>
      <c r="AK122" s="1884"/>
      <c r="AL122" s="1884"/>
      <c r="AM122" s="1885"/>
      <c r="AN122" s="1884"/>
      <c r="AO122" s="1884"/>
      <c r="AP122" s="1884"/>
      <c r="AQ122" s="1884"/>
      <c r="AR122" s="1885"/>
      <c r="AS122" s="1884"/>
      <c r="AT122" s="1884"/>
      <c r="AU122" s="1884"/>
      <c r="AV122" s="1884"/>
      <c r="AW122" s="1885"/>
      <c r="AX122" s="1884"/>
      <c r="AY122" s="1884"/>
      <c r="AZ122" s="1884"/>
      <c r="BA122" s="1884"/>
      <c r="BB122" s="1885"/>
      <c r="BC122" s="1884"/>
      <c r="BD122" s="1884"/>
      <c r="BE122" s="1884"/>
      <c r="BF122" s="1884"/>
      <c r="BG122" s="1885"/>
      <c r="BH122" s="1884"/>
      <c r="BI122" s="1884"/>
      <c r="BJ122" s="1884"/>
      <c r="BK122" s="1884"/>
      <c r="BL122" s="1885"/>
      <c r="BM122" s="1826">
        <v>0</v>
      </c>
      <c r="BN122" s="1826">
        <v>-23</v>
      </c>
      <c r="BO122" s="1826">
        <v>-23</v>
      </c>
      <c r="BP122" s="1899">
        <f>BQ59</f>
        <v>-23</v>
      </c>
      <c r="BQ122" s="1885"/>
      <c r="BR122" s="1826">
        <v>0</v>
      </c>
      <c r="BS122" s="1826">
        <v>0</v>
      </c>
      <c r="BT122" s="1826">
        <v>-1538.9</v>
      </c>
      <c r="BU122" s="1899">
        <f>BV59</f>
        <v>-2477</v>
      </c>
      <c r="BV122" s="1885"/>
      <c r="BW122" s="1826">
        <v>-887</v>
      </c>
      <c r="BX122" s="1826">
        <v>-1500</v>
      </c>
      <c r="BY122" s="1826">
        <v>-1500</v>
      </c>
      <c r="BZ122" s="1826">
        <v>-1500</v>
      </c>
      <c r="CA122" s="1885"/>
      <c r="CB122" s="1826">
        <v>-467</v>
      </c>
      <c r="CC122" s="1826">
        <v>-971</v>
      </c>
      <c r="CD122" s="1913">
        <v>-2553</v>
      </c>
      <c r="CE122" s="1913">
        <v>-3001</v>
      </c>
      <c r="CF122" s="1885"/>
      <c r="CG122" s="1826">
        <v>-810</v>
      </c>
      <c r="CH122" s="1913">
        <v>-1998</v>
      </c>
      <c r="CI122" s="1913">
        <v>-4001</v>
      </c>
      <c r="CJ122" s="1913">
        <v>-4330</v>
      </c>
      <c r="CK122" s="1885"/>
      <c r="CL122" s="1890">
        <v>-393</v>
      </c>
      <c r="CM122" s="1913">
        <v>-748</v>
      </c>
      <c r="CN122" s="1913">
        <v>-2272</v>
      </c>
      <c r="CO122" s="1913">
        <v>-3976</v>
      </c>
      <c r="CP122" s="1885"/>
      <c r="CQ122" s="1913">
        <v>-801</v>
      </c>
      <c r="CR122" s="1917">
        <v>-2001</v>
      </c>
      <c r="CS122" s="1918">
        <v>-2801</v>
      </c>
      <c r="CT122" s="1918">
        <v>-4001</v>
      </c>
      <c r="CU122" s="1885"/>
      <c r="CV122" s="1912">
        <v>-2007</v>
      </c>
      <c r="CW122" s="1884">
        <v>-2934</v>
      </c>
      <c r="CX122" s="1884">
        <v>-3871</v>
      </c>
      <c r="CY122" s="1884">
        <v>-5001</v>
      </c>
      <c r="CZ122" s="1885"/>
      <c r="DA122" s="1912">
        <v>-2066</v>
      </c>
      <c r="DB122" s="1884">
        <v>-3960</v>
      </c>
      <c r="DC122" s="1884">
        <v>-4000</v>
      </c>
      <c r="DD122" s="1884">
        <v>-4461</v>
      </c>
      <c r="DE122" s="2690"/>
      <c r="DF122" s="1912">
        <v>-3621</v>
      </c>
      <c r="DG122" s="1884">
        <v>-3961</v>
      </c>
      <c r="DH122" s="1884">
        <v>-4361</v>
      </c>
      <c r="DI122" s="1884">
        <v>-4361</v>
      </c>
      <c r="DJ122" s="1885"/>
      <c r="DK122" s="1884"/>
      <c r="DL122" s="1884"/>
      <c r="DM122" s="1884"/>
      <c r="DN122" s="1884"/>
      <c r="DO122" s="1885"/>
      <c r="DP122" s="1884"/>
      <c r="DQ122" s="1884"/>
      <c r="DR122" s="1884"/>
      <c r="DS122" s="1884"/>
      <c r="DT122" s="1885"/>
      <c r="DU122" s="1884"/>
      <c r="DV122" s="1884"/>
      <c r="DW122" s="1884"/>
      <c r="DX122" s="1884"/>
      <c r="DY122" s="1885"/>
      <c r="DZ122" s="1858"/>
      <c r="EA122" s="1858"/>
      <c r="EB122" s="1858"/>
    </row>
    <row r="123" spans="1:132" outlineLevel="1" x14ac:dyDescent="0.2">
      <c r="A123" s="1853"/>
      <c r="B123" s="1893" t="s">
        <v>354</v>
      </c>
      <c r="C123" s="1892"/>
      <c r="D123" s="1892"/>
      <c r="E123" s="1892"/>
      <c r="F123" s="1892"/>
      <c r="G123" s="1892"/>
      <c r="H123" s="1892"/>
      <c r="I123" s="1893"/>
      <c r="J123" s="1892"/>
      <c r="K123" s="1892"/>
      <c r="L123" s="1892"/>
      <c r="M123" s="1892"/>
      <c r="N123" s="1893"/>
      <c r="O123" s="1892"/>
      <c r="P123" s="1892"/>
      <c r="Q123" s="1892"/>
      <c r="R123" s="1892"/>
      <c r="S123" s="1893"/>
      <c r="T123" s="1892"/>
      <c r="U123" s="1892"/>
      <c r="V123" s="1892"/>
      <c r="W123" s="1892"/>
      <c r="X123" s="1893"/>
      <c r="Y123" s="1892"/>
      <c r="Z123" s="1892"/>
      <c r="AA123" s="1892"/>
      <c r="AB123" s="1892"/>
      <c r="AC123" s="1893"/>
      <c r="AD123" s="1892"/>
      <c r="AE123" s="1892"/>
      <c r="AF123" s="1892"/>
      <c r="AG123" s="1892"/>
      <c r="AH123" s="1893"/>
      <c r="AI123" s="1892"/>
      <c r="AJ123" s="1892"/>
      <c r="AK123" s="1892"/>
      <c r="AL123" s="1892"/>
      <c r="AM123" s="1893"/>
      <c r="AN123" s="1892"/>
      <c r="AO123" s="1892"/>
      <c r="AP123" s="1892"/>
      <c r="AQ123" s="1892"/>
      <c r="AR123" s="1893"/>
      <c r="AS123" s="1892"/>
      <c r="AT123" s="1892"/>
      <c r="AU123" s="1892"/>
      <c r="AV123" s="1892"/>
      <c r="AW123" s="1893"/>
      <c r="AX123" s="1892"/>
      <c r="AY123" s="1892"/>
      <c r="AZ123" s="1892"/>
      <c r="BA123" s="1892"/>
      <c r="BB123" s="1893"/>
      <c r="BC123" s="1892"/>
      <c r="BD123" s="1892"/>
      <c r="BE123" s="1892"/>
      <c r="BF123" s="1892"/>
      <c r="BG123" s="1893"/>
      <c r="BH123" s="1892"/>
      <c r="BI123" s="1892"/>
      <c r="BJ123" s="1892"/>
      <c r="BK123" s="1892"/>
      <c r="BL123" s="1893"/>
      <c r="BM123" s="1919">
        <v>27.1</v>
      </c>
      <c r="BN123" s="1919">
        <v>52.2</v>
      </c>
      <c r="BO123" s="1919">
        <v>55.3</v>
      </c>
      <c r="BP123" s="1920">
        <f>BQ60</f>
        <v>53.1</v>
      </c>
      <c r="BQ123" s="1893"/>
      <c r="BR123" s="1919">
        <v>1.2</v>
      </c>
      <c r="BS123" s="1919">
        <v>4.8</v>
      </c>
      <c r="BT123" s="1919">
        <f>25.9+-3.4</f>
        <v>22.5</v>
      </c>
      <c r="BU123" s="1920">
        <f>BV60</f>
        <v>16</v>
      </c>
      <c r="BV123" s="1893"/>
      <c r="BW123" s="1919">
        <v>11</v>
      </c>
      <c r="BX123" s="1919">
        <f>13-5</f>
        <v>8</v>
      </c>
      <c r="BY123" s="1919">
        <f>13-5</f>
        <v>8</v>
      </c>
      <c r="BZ123" s="1919">
        <f>28-5</f>
        <v>23</v>
      </c>
      <c r="CA123" s="1893"/>
      <c r="CB123" s="1892"/>
      <c r="CC123" s="1919">
        <v>-19</v>
      </c>
      <c r="CD123" s="1921">
        <f>-19+12-9</f>
        <v>-16</v>
      </c>
      <c r="CE123" s="1921">
        <f>21-9-19</f>
        <v>-7</v>
      </c>
      <c r="CF123" s="1893"/>
      <c r="CG123" s="1919">
        <v>0</v>
      </c>
      <c r="CH123" s="1921">
        <f>8-26</f>
        <v>-18</v>
      </c>
      <c r="CI123" s="1921">
        <v>21</v>
      </c>
      <c r="CJ123" s="1921">
        <v>28</v>
      </c>
      <c r="CK123" s="1885"/>
      <c r="CL123" s="1919">
        <v>13</v>
      </c>
      <c r="CM123" s="1921">
        <f>34-2</f>
        <v>32</v>
      </c>
      <c r="CN123" s="1921">
        <v>48</v>
      </c>
      <c r="CO123" s="1921">
        <v>62</v>
      </c>
      <c r="CP123" s="1893"/>
      <c r="CQ123" s="1921">
        <v>37</v>
      </c>
      <c r="CR123" s="1922">
        <v>65</v>
      </c>
      <c r="CS123" s="1921">
        <v>89</v>
      </c>
      <c r="CT123" s="1921">
        <v>106</v>
      </c>
      <c r="CU123" s="1893"/>
      <c r="CV123" s="1921">
        <v>59</v>
      </c>
      <c r="CW123" s="1892">
        <v>94</v>
      </c>
      <c r="CX123" s="1892">
        <f>132-2</f>
        <v>130</v>
      </c>
      <c r="CY123" s="1892">
        <f>127-3</f>
        <v>124</v>
      </c>
      <c r="CZ123" s="1893"/>
      <c r="DA123" s="1921">
        <f>27-4-39</f>
        <v>-16</v>
      </c>
      <c r="DB123" s="1892">
        <f>63-4-39</f>
        <v>20</v>
      </c>
      <c r="DC123" s="1892">
        <f>72-6-39-26</f>
        <v>1</v>
      </c>
      <c r="DD123" s="1892">
        <f>72-39-26-5</f>
        <v>2</v>
      </c>
      <c r="DE123" s="1893"/>
      <c r="DF123" s="1921">
        <v>-11</v>
      </c>
      <c r="DG123" s="1892">
        <f>-60-1</f>
        <v>-61</v>
      </c>
      <c r="DH123" s="1892">
        <v>-71</v>
      </c>
      <c r="DI123" s="1892">
        <f>-71-1</f>
        <v>-72</v>
      </c>
      <c r="DJ123" s="1893"/>
      <c r="DK123" s="1892"/>
      <c r="DL123" s="1892"/>
      <c r="DM123" s="1892"/>
      <c r="DN123" s="1892"/>
      <c r="DO123" s="1893"/>
      <c r="DP123" s="1892"/>
      <c r="DQ123" s="1892"/>
      <c r="DR123" s="1892"/>
      <c r="DS123" s="1892"/>
      <c r="DT123" s="1893"/>
      <c r="DU123" s="1892"/>
      <c r="DV123" s="1892"/>
      <c r="DW123" s="1892"/>
      <c r="DX123" s="1892"/>
      <c r="DY123" s="1893"/>
      <c r="DZ123" s="1858"/>
      <c r="EA123" s="1858"/>
      <c r="EB123" s="1858"/>
    </row>
    <row r="124" spans="1:132" outlineLevel="1" x14ac:dyDescent="0.2">
      <c r="A124" s="1853"/>
      <c r="B124" s="358" t="s">
        <v>355</v>
      </c>
      <c r="C124" s="1858"/>
      <c r="D124" s="1858"/>
      <c r="E124" s="1858"/>
      <c r="F124" s="1858"/>
      <c r="G124" s="1858"/>
      <c r="H124" s="1858"/>
      <c r="I124" s="1894"/>
      <c r="J124" s="1858"/>
      <c r="K124" s="1858"/>
      <c r="L124" s="1858"/>
      <c r="M124" s="1858"/>
      <c r="N124" s="1894"/>
      <c r="O124" s="1858"/>
      <c r="P124" s="1858"/>
      <c r="Q124" s="1858"/>
      <c r="R124" s="1858"/>
      <c r="S124" s="1894"/>
      <c r="T124" s="1858"/>
      <c r="U124" s="1858"/>
      <c r="V124" s="1858"/>
      <c r="W124" s="1858"/>
      <c r="X124" s="1894"/>
      <c r="Y124" s="1858"/>
      <c r="Z124" s="1858"/>
      <c r="AA124" s="1858"/>
      <c r="AB124" s="1858"/>
      <c r="AC124" s="1894"/>
      <c r="AD124" s="1858"/>
      <c r="AE124" s="1858"/>
      <c r="AF124" s="1858"/>
      <c r="AG124" s="1858"/>
      <c r="AH124" s="1894"/>
      <c r="AI124" s="1858"/>
      <c r="AJ124" s="1858"/>
      <c r="AK124" s="1858"/>
      <c r="AL124" s="1858"/>
      <c r="AM124" s="1894"/>
      <c r="AN124" s="1858"/>
      <c r="AO124" s="1858"/>
      <c r="AP124" s="1858"/>
      <c r="AQ124" s="1858"/>
      <c r="AR124" s="1894"/>
      <c r="AS124" s="1858"/>
      <c r="AT124" s="1858"/>
      <c r="AU124" s="1858"/>
      <c r="AV124" s="1858"/>
      <c r="AW124" s="1894"/>
      <c r="AX124" s="1858"/>
      <c r="AY124" s="1858"/>
      <c r="AZ124" s="1858"/>
      <c r="BA124" s="1858"/>
      <c r="BB124" s="1894"/>
      <c r="BC124" s="1858"/>
      <c r="BD124" s="1858"/>
      <c r="BE124" s="1858"/>
      <c r="BF124" s="1858"/>
      <c r="BG124" s="1894"/>
      <c r="BH124" s="1858"/>
      <c r="BI124" s="1858"/>
      <c r="BJ124" s="1858"/>
      <c r="BK124" s="1858"/>
      <c r="BL124" s="1894"/>
      <c r="BM124" s="359">
        <f>SUM(BM119:BM123,BM116,BM113)</f>
        <v>-632.4</v>
      </c>
      <c r="BN124" s="359">
        <f>SUM(BN119:BN123,BN116,BN113)</f>
        <v>-970.3</v>
      </c>
      <c r="BO124" s="359">
        <f>SUM(BO119:BO123,BO116,BO113)</f>
        <v>-679.5</v>
      </c>
      <c r="BP124" s="359">
        <f>SUM(BP119:BP123,BP116,BP113)</f>
        <v>929.3</v>
      </c>
      <c r="BQ124" s="1894"/>
      <c r="BR124" s="359">
        <f>SUM(BR119:BR123,BR116,BR113)</f>
        <v>-680.49999999999989</v>
      </c>
      <c r="BS124" s="359">
        <f>SUM(BS119:BS123,BS116,BS113)</f>
        <v>-842.3</v>
      </c>
      <c r="BT124" s="359">
        <f>SUM(BT119:BT123,BT116,BT113)</f>
        <v>-1407.1000000000004</v>
      </c>
      <c r="BU124" s="359">
        <f>SUM(BU119:BU123,BU116,BU113)</f>
        <v>-3232</v>
      </c>
      <c r="BV124" s="1894"/>
      <c r="BW124" s="359">
        <f>SUM(BW119:BW123,BW116,BW113)</f>
        <v>-702</v>
      </c>
      <c r="BX124" s="359">
        <f>SUM(BX119:BX123,BX116,BX113)</f>
        <v>-811</v>
      </c>
      <c r="BY124" s="359">
        <f>SUM(BY119:BY123,BY116,BY113)</f>
        <v>-1723</v>
      </c>
      <c r="BZ124" s="359">
        <f>SUM(BZ119:BZ123,BZ116,BZ113)</f>
        <v>-2798</v>
      </c>
      <c r="CA124" s="1894"/>
      <c r="CB124" s="359">
        <f>SUM(CB119:CB123,CB116,CB113)</f>
        <v>-832</v>
      </c>
      <c r="CC124" s="359">
        <f>SUM(CC119:CC123,CC116,CC113)</f>
        <v>-206</v>
      </c>
      <c r="CD124" s="359">
        <f>SUM(CD119:CD123,CD116,CD113)</f>
        <v>-2192</v>
      </c>
      <c r="CE124" s="359">
        <f>SUM(CE119:CE123,CE116,CE113)</f>
        <v>-3460</v>
      </c>
      <c r="CF124" s="1894"/>
      <c r="CG124" s="359">
        <f>SUM(CG119:CG123,CG116,CG113)</f>
        <v>-1545</v>
      </c>
      <c r="CH124" s="359">
        <f>SUM(CH119:CH123,CH116,CH113)</f>
        <v>-2522</v>
      </c>
      <c r="CI124" s="359">
        <f>SUM(CI119:CI123,CI116,CI113)</f>
        <v>-3937</v>
      </c>
      <c r="CJ124" s="359">
        <f>SUM(CJ119:CJ123,CJ116,CJ113)</f>
        <v>-4860</v>
      </c>
      <c r="CK124" s="1894"/>
      <c r="CL124" s="359">
        <f>SUM(CL119:CL123,CL116,CL113)</f>
        <v>-897</v>
      </c>
      <c r="CM124" s="359">
        <f>SUM(CM119:CM123,CM116,CM113)</f>
        <v>-1650</v>
      </c>
      <c r="CN124" s="359">
        <f>SUM(CN119:CN123,CN116,CN113)</f>
        <v>-2493</v>
      </c>
      <c r="CO124" s="359">
        <f>SUM(CO119:CO123,CO116,CO113)</f>
        <v>-1237</v>
      </c>
      <c r="CP124" s="1894"/>
      <c r="CQ124" s="359">
        <f>SUM(CQ119:CQ123,CQ116,CQ113)</f>
        <v>-935</v>
      </c>
      <c r="CR124" s="359">
        <f>SUM(CR113:CR123)</f>
        <v>-2358</v>
      </c>
      <c r="CS124" s="359">
        <f>SUM(CS113:CS123)</f>
        <v>-4133</v>
      </c>
      <c r="CT124" s="359">
        <f>SUM(CT113:CT123)</f>
        <v>-5694</v>
      </c>
      <c r="CU124" s="1894"/>
      <c r="CV124" s="359">
        <f>SUM(CV113:CV123)</f>
        <v>-2406</v>
      </c>
      <c r="CW124" s="359">
        <f>SUM(CW113:CW123)</f>
        <v>-3170</v>
      </c>
      <c r="CX124" s="359">
        <f>SUM(CX113:CX123)</f>
        <v>6576</v>
      </c>
      <c r="CY124" s="359">
        <f>SUM(CY113:CY123)</f>
        <v>5006</v>
      </c>
      <c r="CZ124" s="1894"/>
      <c r="DA124" s="359">
        <f>SUM(DA113:DA123)</f>
        <v>-2460</v>
      </c>
      <c r="DB124" s="359">
        <f>SUM(DB113:DB123)</f>
        <v>-4126</v>
      </c>
      <c r="DC124" s="359">
        <f>SUM(DC113:DC123)</f>
        <v>-6568</v>
      </c>
      <c r="DD124" s="359">
        <f>SUM(DD113:DD123)</f>
        <v>-6689</v>
      </c>
      <c r="DE124" s="2691"/>
      <c r="DF124" s="359">
        <f>SUM(DF113:DF123)</f>
        <v>-4133</v>
      </c>
      <c r="DG124" s="359">
        <f>SUM(DG113:DG123)</f>
        <v>-5635</v>
      </c>
      <c r="DH124" s="1872">
        <f>SUM(DH113:DH123)</f>
        <v>-7421</v>
      </c>
      <c r="DI124" s="1872">
        <f>SUM(DI113:DI123)</f>
        <v>-6751</v>
      </c>
      <c r="DJ124" s="1894"/>
      <c r="DK124" s="1858"/>
      <c r="DL124" s="1858"/>
      <c r="DM124" s="1858"/>
      <c r="DN124" s="1858"/>
      <c r="DO124" s="1894"/>
      <c r="DP124" s="1858"/>
      <c r="DQ124" s="1858"/>
      <c r="DR124" s="1858"/>
      <c r="DS124" s="1858"/>
      <c r="DT124" s="1894"/>
      <c r="DU124" s="1858"/>
      <c r="DV124" s="1858"/>
      <c r="DW124" s="1858"/>
      <c r="DX124" s="1858"/>
      <c r="DY124" s="1894"/>
      <c r="DZ124" s="1858"/>
      <c r="EA124" s="1858"/>
      <c r="EB124" s="1858"/>
    </row>
    <row r="125" spans="1:132" outlineLevel="1" x14ac:dyDescent="0.2">
      <c r="A125" s="1853"/>
      <c r="B125" s="358"/>
      <c r="C125" s="1858"/>
      <c r="D125" s="1858"/>
      <c r="E125" s="1858"/>
      <c r="F125" s="1858"/>
      <c r="G125" s="1858"/>
      <c r="H125" s="1858"/>
      <c r="I125" s="1894"/>
      <c r="J125" s="1858"/>
      <c r="K125" s="1858"/>
      <c r="L125" s="1858"/>
      <c r="M125" s="1858"/>
      <c r="N125" s="1894"/>
      <c r="O125" s="1858"/>
      <c r="P125" s="1858"/>
      <c r="Q125" s="1858"/>
      <c r="R125" s="1858"/>
      <c r="S125" s="1894"/>
      <c r="T125" s="1858"/>
      <c r="U125" s="1858"/>
      <c r="V125" s="1858"/>
      <c r="W125" s="1858"/>
      <c r="X125" s="1894"/>
      <c r="Y125" s="1858"/>
      <c r="Z125" s="1858"/>
      <c r="AA125" s="1858"/>
      <c r="AB125" s="1858"/>
      <c r="AC125" s="1894"/>
      <c r="AD125" s="1858"/>
      <c r="AE125" s="1858"/>
      <c r="AF125" s="1858"/>
      <c r="AG125" s="1858"/>
      <c r="AH125" s="1894"/>
      <c r="AI125" s="1858"/>
      <c r="AJ125" s="1858"/>
      <c r="AK125" s="1858"/>
      <c r="AL125" s="1858"/>
      <c r="AM125" s="1894"/>
      <c r="AN125" s="1858"/>
      <c r="AO125" s="1858"/>
      <c r="AP125" s="1858"/>
      <c r="AQ125" s="1858"/>
      <c r="AR125" s="1894"/>
      <c r="AS125" s="1858"/>
      <c r="AT125" s="1858"/>
      <c r="AU125" s="1858"/>
      <c r="AV125" s="1858"/>
      <c r="AW125" s="1894"/>
      <c r="AX125" s="1858"/>
      <c r="AY125" s="1858"/>
      <c r="AZ125" s="1858"/>
      <c r="BA125" s="1858"/>
      <c r="BB125" s="1894"/>
      <c r="BC125" s="1858"/>
      <c r="BD125" s="1858"/>
      <c r="BE125" s="1858"/>
      <c r="BF125" s="1858"/>
      <c r="BG125" s="1894"/>
      <c r="BH125" s="1858"/>
      <c r="BI125" s="1858"/>
      <c r="BJ125" s="1858"/>
      <c r="BK125" s="1858"/>
      <c r="BL125" s="1894"/>
      <c r="BM125" s="359"/>
      <c r="BN125" s="359"/>
      <c r="BO125" s="359"/>
      <c r="BP125" s="359"/>
      <c r="BQ125" s="1894"/>
      <c r="BR125" s="359"/>
      <c r="BS125" s="359"/>
      <c r="BT125" s="359"/>
      <c r="BU125" s="359"/>
      <c r="BV125" s="1894"/>
      <c r="BW125" s="359"/>
      <c r="BX125" s="359"/>
      <c r="BY125" s="359"/>
      <c r="BZ125" s="359"/>
      <c r="CA125" s="1894"/>
      <c r="CB125" s="359"/>
      <c r="CC125" s="359"/>
      <c r="CD125" s="359"/>
      <c r="CE125" s="359"/>
      <c r="CF125" s="1894"/>
      <c r="CG125" s="359"/>
      <c r="CH125" s="359"/>
      <c r="CI125" s="359"/>
      <c r="CJ125" s="359"/>
      <c r="CK125" s="1894"/>
      <c r="CL125" s="359"/>
      <c r="CM125" s="359"/>
      <c r="CN125" s="359"/>
      <c r="CO125" s="359"/>
      <c r="CP125" s="1894"/>
      <c r="CQ125" s="359"/>
      <c r="CR125" s="1884">
        <f>CR124-CQ124</f>
        <v>-1423</v>
      </c>
      <c r="CS125" s="1884">
        <f>CS124-CR124</f>
        <v>-1775</v>
      </c>
      <c r="CT125" s="1884">
        <f>CT124-CS124</f>
        <v>-1561</v>
      </c>
      <c r="CU125" s="1894"/>
      <c r="CV125" s="1858"/>
      <c r="CW125" s="1858"/>
      <c r="CX125" s="1858"/>
      <c r="CY125" s="1858"/>
      <c r="CZ125" s="1894"/>
      <c r="DA125" s="1858"/>
      <c r="DB125" s="1858"/>
      <c r="DC125" s="1858"/>
      <c r="DD125" s="1858"/>
      <c r="DE125" s="2691"/>
      <c r="DF125" s="1858"/>
      <c r="DG125" s="1858"/>
      <c r="DH125" s="1858"/>
      <c r="DI125" s="1858"/>
      <c r="DJ125" s="1894"/>
      <c r="DK125" s="1858"/>
      <c r="DL125" s="1858"/>
      <c r="DM125" s="1858"/>
      <c r="DN125" s="1858"/>
      <c r="DO125" s="1894"/>
      <c r="DP125" s="1858"/>
      <c r="DQ125" s="1858"/>
      <c r="DR125" s="1858"/>
      <c r="DS125" s="1858"/>
      <c r="DT125" s="1894"/>
      <c r="DU125" s="1858"/>
      <c r="DV125" s="1858"/>
      <c r="DW125" s="1858"/>
      <c r="DX125" s="1858"/>
      <c r="DY125" s="1894"/>
      <c r="DZ125" s="1858"/>
      <c r="EA125" s="1858"/>
      <c r="EB125" s="1858"/>
    </row>
    <row r="126" spans="1:132" outlineLevel="1" x14ac:dyDescent="0.2">
      <c r="A126" s="1853"/>
      <c r="B126" s="358" t="s">
        <v>3</v>
      </c>
      <c r="C126" s="1858"/>
      <c r="D126" s="1858"/>
      <c r="E126" s="1858"/>
      <c r="F126" s="1858"/>
      <c r="G126" s="1858"/>
      <c r="H126" s="1858"/>
      <c r="I126" s="1894"/>
      <c r="J126" s="1858"/>
      <c r="K126" s="1858"/>
      <c r="L126" s="1858"/>
      <c r="M126" s="1858"/>
      <c r="N126" s="1894"/>
      <c r="O126" s="1858"/>
      <c r="P126" s="1858"/>
      <c r="Q126" s="1858"/>
      <c r="R126" s="1858"/>
      <c r="S126" s="1894"/>
      <c r="T126" s="1858"/>
      <c r="U126" s="1858"/>
      <c r="V126" s="1858"/>
      <c r="W126" s="1858"/>
      <c r="X126" s="1894"/>
      <c r="Y126" s="1858"/>
      <c r="Z126" s="1858"/>
      <c r="AA126" s="1858"/>
      <c r="AB126" s="1858"/>
      <c r="AC126" s="1894"/>
      <c r="AD126" s="1858"/>
      <c r="AE126" s="1858"/>
      <c r="AF126" s="1858"/>
      <c r="AG126" s="1858"/>
      <c r="AH126" s="1894"/>
      <c r="AI126" s="1858"/>
      <c r="AJ126" s="1858"/>
      <c r="AK126" s="1858"/>
      <c r="AL126" s="1858"/>
      <c r="AM126" s="1894"/>
      <c r="AN126" s="1858"/>
      <c r="AO126" s="1858"/>
      <c r="AP126" s="1858"/>
      <c r="AQ126" s="1858"/>
      <c r="AR126" s="1894"/>
      <c r="AS126" s="1858"/>
      <c r="AT126" s="1858"/>
      <c r="AU126" s="1858"/>
      <c r="AV126" s="1858"/>
      <c r="AW126" s="1894"/>
      <c r="AX126" s="1858"/>
      <c r="AY126" s="1858"/>
      <c r="AZ126" s="1858"/>
      <c r="BA126" s="1858"/>
      <c r="BB126" s="1894"/>
      <c r="BC126" s="1858"/>
      <c r="BD126" s="1858"/>
      <c r="BE126" s="1858"/>
      <c r="BF126" s="1858"/>
      <c r="BG126" s="1894"/>
      <c r="BH126" s="1858"/>
      <c r="BI126" s="1858"/>
      <c r="BJ126" s="1858"/>
      <c r="BK126" s="1858"/>
      <c r="BL126" s="1894"/>
      <c r="BM126" s="359"/>
      <c r="BN126" s="359"/>
      <c r="BO126" s="359"/>
      <c r="BP126" s="359"/>
      <c r="BQ126" s="1894"/>
      <c r="BR126" s="359"/>
      <c r="BS126" s="359"/>
      <c r="BT126" s="359"/>
      <c r="BU126" s="359"/>
      <c r="BV126" s="1894"/>
      <c r="BW126" s="359"/>
      <c r="BX126" s="359"/>
      <c r="BY126" s="359"/>
      <c r="BZ126" s="359"/>
      <c r="CA126" s="1894"/>
      <c r="CB126" s="359"/>
      <c r="CC126" s="359"/>
      <c r="CD126" s="359"/>
      <c r="CE126" s="359"/>
      <c r="CF126" s="1894"/>
      <c r="CG126" s="359"/>
      <c r="CH126" s="359"/>
      <c r="CI126" s="359"/>
      <c r="CJ126" s="359"/>
      <c r="CK126" s="1894"/>
      <c r="CL126" s="359"/>
      <c r="CM126" s="359"/>
      <c r="CN126" s="359"/>
      <c r="CO126" s="359"/>
      <c r="CP126" s="1894"/>
      <c r="CQ126" s="359"/>
      <c r="CR126" s="1890">
        <v>-3</v>
      </c>
      <c r="CS126" s="1858">
        <v>-4</v>
      </c>
      <c r="CT126" s="1858">
        <v>-6</v>
      </c>
      <c r="CU126" s="1894"/>
      <c r="CV126" s="1858">
        <v>3</v>
      </c>
      <c r="CW126" s="1858">
        <v>-1</v>
      </c>
      <c r="CX126" s="1858">
        <v>-8</v>
      </c>
      <c r="CY126" s="1858">
        <v>-20</v>
      </c>
      <c r="CZ126" s="1894"/>
      <c r="DA126" s="1858">
        <v>1</v>
      </c>
      <c r="DB126" s="1858">
        <v>2</v>
      </c>
      <c r="DC126" s="1858">
        <v>2</v>
      </c>
      <c r="DD126" s="1858">
        <v>2</v>
      </c>
      <c r="DE126" s="2691"/>
      <c r="DF126" s="1858">
        <v>0</v>
      </c>
      <c r="DG126" s="1858">
        <v>0</v>
      </c>
      <c r="DH126" s="1858">
        <v>0</v>
      </c>
      <c r="DI126" s="1858">
        <v>1</v>
      </c>
      <c r="DJ126" s="1894"/>
      <c r="DK126" s="1858"/>
      <c r="DL126" s="1858"/>
      <c r="DM126" s="1858"/>
      <c r="DN126" s="1858"/>
      <c r="DO126" s="1894"/>
      <c r="DP126" s="1858"/>
      <c r="DQ126" s="1858"/>
      <c r="DR126" s="1858"/>
      <c r="DS126" s="1858"/>
      <c r="DT126" s="1894"/>
      <c r="DU126" s="1858"/>
      <c r="DV126" s="1858"/>
      <c r="DW126" s="1858"/>
      <c r="DX126" s="1858"/>
      <c r="DY126" s="1894"/>
      <c r="DZ126" s="1858"/>
      <c r="EA126" s="1858"/>
      <c r="EB126" s="1858"/>
    </row>
    <row r="127" spans="1:132" outlineLevel="1" x14ac:dyDescent="0.2">
      <c r="A127" s="1853"/>
      <c r="B127" s="1885"/>
      <c r="C127" s="1884"/>
      <c r="D127" s="1884"/>
      <c r="E127" s="1884"/>
      <c r="F127" s="1884"/>
      <c r="G127" s="1884"/>
      <c r="H127" s="1884"/>
      <c r="I127" s="1885"/>
      <c r="J127" s="1884"/>
      <c r="K127" s="1884"/>
      <c r="L127" s="1884"/>
      <c r="M127" s="1884"/>
      <c r="N127" s="1885"/>
      <c r="O127" s="1884"/>
      <c r="P127" s="1884"/>
      <c r="Q127" s="1884"/>
      <c r="R127" s="1884"/>
      <c r="S127" s="1885"/>
      <c r="T127" s="1884"/>
      <c r="U127" s="1884"/>
      <c r="V127" s="1884"/>
      <c r="W127" s="1884"/>
      <c r="X127" s="1885"/>
      <c r="Y127" s="1884"/>
      <c r="Z127" s="1884"/>
      <c r="AA127" s="1884"/>
      <c r="AB127" s="1884"/>
      <c r="AC127" s="1885"/>
      <c r="AD127" s="1884"/>
      <c r="AE127" s="1884"/>
      <c r="AF127" s="1884"/>
      <c r="AG127" s="1884"/>
      <c r="AH127" s="1885"/>
      <c r="AI127" s="1884"/>
      <c r="AJ127" s="1884"/>
      <c r="AK127" s="1884"/>
      <c r="AL127" s="1884"/>
      <c r="AM127" s="1885"/>
      <c r="AN127" s="1884"/>
      <c r="AO127" s="1884"/>
      <c r="AP127" s="1884"/>
      <c r="AQ127" s="1884"/>
      <c r="AR127" s="1885"/>
      <c r="AS127" s="1884"/>
      <c r="AT127" s="1884"/>
      <c r="AU127" s="1884"/>
      <c r="AV127" s="1884"/>
      <c r="AW127" s="1885"/>
      <c r="AX127" s="1884"/>
      <c r="AY127" s="1884"/>
      <c r="AZ127" s="1884"/>
      <c r="BA127" s="1884"/>
      <c r="BB127" s="1885"/>
      <c r="BC127" s="1884"/>
      <c r="BD127" s="1884"/>
      <c r="BE127" s="1884"/>
      <c r="BF127" s="1884"/>
      <c r="BG127" s="1885"/>
      <c r="BH127" s="1884"/>
      <c r="BI127" s="1884"/>
      <c r="BJ127" s="1884"/>
      <c r="BK127" s="1884"/>
      <c r="BL127" s="1885"/>
      <c r="BM127" s="1884"/>
      <c r="BN127" s="1884"/>
      <c r="BO127" s="1884"/>
      <c r="BP127" s="1854">
        <f>BQ62</f>
        <v>0</v>
      </c>
      <c r="BQ127" s="1885"/>
      <c r="BR127" s="1884"/>
      <c r="BS127" s="1884"/>
      <c r="BT127" s="1884"/>
      <c r="BU127" s="1884"/>
      <c r="BV127" s="1885"/>
      <c r="BW127" s="1884"/>
      <c r="BX127" s="1884"/>
      <c r="BY127" s="1884"/>
      <c r="BZ127" s="1884"/>
      <c r="CA127" s="1885"/>
      <c r="CB127" s="1884"/>
      <c r="CC127" s="1884"/>
      <c r="CD127" s="1858"/>
      <c r="CE127" s="1858"/>
      <c r="CF127" s="1885"/>
      <c r="CG127" s="1911"/>
      <c r="CH127" s="1858"/>
      <c r="CI127" s="1858"/>
      <c r="CJ127" s="1858"/>
      <c r="CK127" s="1885"/>
      <c r="CL127" s="1884"/>
      <c r="CM127" s="1858"/>
      <c r="CN127" s="1858"/>
      <c r="CO127" s="1858"/>
      <c r="CP127" s="1885"/>
      <c r="CQ127" s="1858"/>
      <c r="CR127" s="1858"/>
      <c r="CS127" s="1884"/>
      <c r="CT127" s="1884"/>
      <c r="CU127" s="1885"/>
      <c r="CV127" s="1884"/>
      <c r="CW127" s="1884"/>
      <c r="CX127" s="1884"/>
      <c r="CY127" s="1884"/>
      <c r="CZ127" s="1885"/>
      <c r="DA127" s="1884"/>
      <c r="DB127" s="1884"/>
      <c r="DC127" s="1884"/>
      <c r="DD127" s="1884"/>
      <c r="DE127" s="2690"/>
      <c r="DF127" s="1884"/>
      <c r="DG127" s="1884"/>
      <c r="DH127" s="1884"/>
      <c r="DI127" s="1884"/>
      <c r="DJ127" s="1885"/>
      <c r="DK127" s="1884"/>
      <c r="DL127" s="1884"/>
      <c r="DM127" s="1884"/>
      <c r="DN127" s="1884"/>
      <c r="DO127" s="1885"/>
      <c r="DP127" s="1884"/>
      <c r="DQ127" s="1884"/>
      <c r="DR127" s="1884"/>
      <c r="DS127" s="1884"/>
      <c r="DT127" s="1885"/>
      <c r="DU127" s="1884"/>
      <c r="DV127" s="1884"/>
      <c r="DW127" s="1884"/>
      <c r="DX127" s="1884"/>
      <c r="DY127" s="1885"/>
      <c r="DZ127" s="1858"/>
      <c r="EA127" s="1858"/>
      <c r="EB127" s="1858"/>
    </row>
    <row r="128" spans="1:132" outlineLevel="1" x14ac:dyDescent="0.2">
      <c r="A128" s="1853"/>
      <c r="B128" s="1896" t="s">
        <v>356</v>
      </c>
      <c r="C128" s="1884"/>
      <c r="D128" s="1884"/>
      <c r="E128" s="1884"/>
      <c r="F128" s="1884"/>
      <c r="G128" s="1884"/>
      <c r="H128" s="1884"/>
      <c r="I128" s="1885"/>
      <c r="J128" s="1884"/>
      <c r="K128" s="1884"/>
      <c r="L128" s="1884"/>
      <c r="M128" s="1884"/>
      <c r="N128" s="1885"/>
      <c r="O128" s="1884"/>
      <c r="P128" s="1884"/>
      <c r="Q128" s="1884"/>
      <c r="R128" s="1884"/>
      <c r="S128" s="1885"/>
      <c r="T128" s="1884"/>
      <c r="U128" s="1884"/>
      <c r="V128" s="1884"/>
      <c r="W128" s="1884"/>
      <c r="X128" s="1885"/>
      <c r="Y128" s="1884"/>
      <c r="Z128" s="1884"/>
      <c r="AA128" s="1884"/>
      <c r="AB128" s="1884"/>
      <c r="AC128" s="1885"/>
      <c r="AD128" s="1884"/>
      <c r="AE128" s="1884"/>
      <c r="AF128" s="1884"/>
      <c r="AG128" s="1884"/>
      <c r="AH128" s="1885"/>
      <c r="AI128" s="1884"/>
      <c r="AJ128" s="1884"/>
      <c r="AK128" s="1884"/>
      <c r="AL128" s="1884"/>
      <c r="AM128" s="1885"/>
      <c r="AN128" s="1884"/>
      <c r="AO128" s="1884"/>
      <c r="AP128" s="1884"/>
      <c r="AQ128" s="1884"/>
      <c r="AR128" s="1885"/>
      <c r="AS128" s="1884"/>
      <c r="AT128" s="1884"/>
      <c r="AU128" s="1884"/>
      <c r="AV128" s="1884"/>
      <c r="AW128" s="1885"/>
      <c r="AX128" s="1884"/>
      <c r="AY128" s="1884"/>
      <c r="AZ128" s="1884"/>
      <c r="BA128" s="1884"/>
      <c r="BB128" s="1885"/>
      <c r="BC128" s="1884"/>
      <c r="BD128" s="1884"/>
      <c r="BE128" s="1884"/>
      <c r="BF128" s="1884"/>
      <c r="BG128" s="1885"/>
      <c r="BH128" s="1884"/>
      <c r="BI128" s="1884"/>
      <c r="BJ128" s="1884"/>
      <c r="BK128" s="1884"/>
      <c r="BL128" s="1885"/>
      <c r="BM128" s="1854">
        <f>BM99+BM110+BM124</f>
        <v>-238.40000000000026</v>
      </c>
      <c r="BN128" s="1854">
        <f>BN99+BN110+BN124</f>
        <v>-440.89999999999543</v>
      </c>
      <c r="BO128" s="1854">
        <f>BO99+BO110+BO124</f>
        <v>225.70000000000277</v>
      </c>
      <c r="BP128" s="1854">
        <f>BP99+BP110+BP124</f>
        <v>295.80000000000086</v>
      </c>
      <c r="BQ128" s="1885"/>
      <c r="BR128" s="1854">
        <f>BR99+BR110+BR124</f>
        <v>-355.00000000000011</v>
      </c>
      <c r="BS128" s="1854">
        <f>BS99+BS110+BS124</f>
        <v>-127.10000000000275</v>
      </c>
      <c r="BT128" s="1854">
        <f>BT99+BT110+BT124</f>
        <v>-221.80000000000268</v>
      </c>
      <c r="BU128" s="1854">
        <f>BU99+BU110+BU124</f>
        <v>-266.40000000000146</v>
      </c>
      <c r="BV128" s="1885"/>
      <c r="BW128" s="1854">
        <f>BW99+BW110+BW124</f>
        <v>-39</v>
      </c>
      <c r="BX128" s="1854">
        <f>BX99+BX110+BX124</f>
        <v>21</v>
      </c>
      <c r="BY128" s="1854">
        <f>BY99+BY110+BY124</f>
        <v>-107</v>
      </c>
      <c r="BZ128" s="1854">
        <f>BZ99+BZ110+BZ124</f>
        <v>341</v>
      </c>
      <c r="CA128" s="1885"/>
      <c r="CB128" s="1854">
        <f>CB99+CB110+CB124</f>
        <v>735</v>
      </c>
      <c r="CC128" s="1854">
        <f>CC99+CC110+CC124</f>
        <v>800</v>
      </c>
      <c r="CD128" s="1854">
        <f>CD99+CD110+CD124</f>
        <v>279</v>
      </c>
      <c r="CE128" s="1854">
        <f>CE99+CE110+CE124</f>
        <v>-14.499999999999091</v>
      </c>
      <c r="CF128" s="1885"/>
      <c r="CG128" s="1854">
        <f>CG99+CG110+CG124</f>
        <v>798</v>
      </c>
      <c r="CH128" s="1854">
        <f>CH99+CH110+CH124</f>
        <v>410.40000000000055</v>
      </c>
      <c r="CI128" s="1854">
        <f>CI99+CI110+CI124</f>
        <v>-179.62500000000091</v>
      </c>
      <c r="CJ128" s="1854">
        <f>CJ99+CJ110+CJ124</f>
        <v>-37.625000000000909</v>
      </c>
      <c r="CK128" s="1885"/>
      <c r="CL128" s="1854">
        <f>CL99+CL110+CL124</f>
        <v>176</v>
      </c>
      <c r="CM128" s="1854">
        <f>CM99+CM110+CM124</f>
        <v>-200.70000000000073</v>
      </c>
      <c r="CN128" s="1854">
        <f>CN99+CN110+CN124</f>
        <v>82.700000000000728</v>
      </c>
      <c r="CO128" s="1854">
        <f>CO99+CO110+CO124</f>
        <v>2559.9000000000024</v>
      </c>
      <c r="CP128" s="1885"/>
      <c r="CQ128" s="1854">
        <f>CQ99+CQ110+CQ124</f>
        <v>-1323</v>
      </c>
      <c r="CR128" s="1854">
        <f>CR99+CR110+CR124+CR126</f>
        <v>-2477</v>
      </c>
      <c r="CS128" s="1854">
        <f>CS99+CS110+CS124+CS126</f>
        <v>-2957</v>
      </c>
      <c r="CT128" s="1854">
        <f>CT99+CT110+CT124+CT126</f>
        <v>-1608</v>
      </c>
      <c r="CU128" s="1885"/>
      <c r="CV128" s="1854">
        <f>CV99+CV110+CV124</f>
        <v>-966</v>
      </c>
      <c r="CW128" s="1854">
        <f>CW99+CW110+CW124</f>
        <v>-1239</v>
      </c>
      <c r="CX128" s="1854">
        <f>CX99+CX110+CX124+CX126</f>
        <v>408</v>
      </c>
      <c r="CY128" s="1854">
        <f>CY99+CY110+CY124+CY126</f>
        <v>-22</v>
      </c>
      <c r="CZ128" s="1885"/>
      <c r="DA128" s="1854">
        <f>DA99+DA110+DA124+DA126</f>
        <v>-680</v>
      </c>
      <c r="DB128" s="1854">
        <f>DB99+DB110+DB124+DB126</f>
        <v>-1332</v>
      </c>
      <c r="DC128" s="1854">
        <f>DC99+DC110+DC124+DC126</f>
        <v>-270</v>
      </c>
      <c r="DD128" s="1854">
        <f>DD99+DD110+DD124+DD126</f>
        <v>912</v>
      </c>
      <c r="DE128" s="2690"/>
      <c r="DF128" s="1854">
        <f>DF99+DF110+DF124+DF126</f>
        <v>-1154</v>
      </c>
      <c r="DG128" s="1854">
        <f>DG99+DG110+DG124+DG126</f>
        <v>-1277</v>
      </c>
      <c r="DH128" s="1884">
        <f>DH99+DH110+DH124+DH126</f>
        <v>-886</v>
      </c>
      <c r="DI128" s="1884">
        <f>DI99+DI110+DI124+DI126</f>
        <v>-1675</v>
      </c>
      <c r="DJ128" s="1885"/>
      <c r="DK128" s="1884"/>
      <c r="DL128" s="1884"/>
      <c r="DM128" s="1884"/>
      <c r="DN128" s="1884"/>
      <c r="DO128" s="1885"/>
      <c r="DP128" s="1884"/>
      <c r="DQ128" s="1884"/>
      <c r="DR128" s="1884"/>
      <c r="DS128" s="1884"/>
      <c r="DT128" s="1885"/>
      <c r="DU128" s="1884"/>
      <c r="DV128" s="1884"/>
      <c r="DW128" s="1884"/>
      <c r="DX128" s="1884"/>
      <c r="DY128" s="1885"/>
      <c r="DZ128" s="1858"/>
      <c r="EA128" s="1858"/>
      <c r="EB128" s="1858"/>
    </row>
    <row r="129" spans="1:132" outlineLevel="1" x14ac:dyDescent="0.2">
      <c r="A129" s="1853"/>
      <c r="B129" s="1923" t="s">
        <v>357</v>
      </c>
      <c r="C129" s="1892"/>
      <c r="D129" s="1892"/>
      <c r="E129" s="1892"/>
      <c r="F129" s="1892"/>
      <c r="G129" s="1892"/>
      <c r="H129" s="1892"/>
      <c r="I129" s="1893"/>
      <c r="J129" s="1892"/>
      <c r="K129" s="1892"/>
      <c r="L129" s="1892"/>
      <c r="M129" s="1892"/>
      <c r="N129" s="1893"/>
      <c r="O129" s="1892"/>
      <c r="P129" s="1892"/>
      <c r="Q129" s="1892"/>
      <c r="R129" s="1892"/>
      <c r="S129" s="1893"/>
      <c r="T129" s="1892"/>
      <c r="U129" s="1892"/>
      <c r="V129" s="1892"/>
      <c r="W129" s="1892"/>
      <c r="X129" s="1893"/>
      <c r="Y129" s="1892"/>
      <c r="Z129" s="1892"/>
      <c r="AA129" s="1892"/>
      <c r="AB129" s="1892"/>
      <c r="AC129" s="1893"/>
      <c r="AD129" s="1892"/>
      <c r="AE129" s="1892"/>
      <c r="AF129" s="1892"/>
      <c r="AG129" s="1892"/>
      <c r="AH129" s="1893"/>
      <c r="AI129" s="1892"/>
      <c r="AJ129" s="1892"/>
      <c r="AK129" s="1892"/>
      <c r="AL129" s="1892"/>
      <c r="AM129" s="1893"/>
      <c r="AN129" s="1892"/>
      <c r="AO129" s="1892"/>
      <c r="AP129" s="1892"/>
      <c r="AQ129" s="1892"/>
      <c r="AR129" s="1893"/>
      <c r="AS129" s="1892"/>
      <c r="AT129" s="1892"/>
      <c r="AU129" s="1892"/>
      <c r="AV129" s="1892"/>
      <c r="AW129" s="1893"/>
      <c r="AX129" s="1892"/>
      <c r="AY129" s="1892"/>
      <c r="AZ129" s="1892"/>
      <c r="BA129" s="1892"/>
      <c r="BB129" s="1893"/>
      <c r="BC129" s="1892"/>
      <c r="BD129" s="1892"/>
      <c r="BE129" s="1892"/>
      <c r="BF129" s="1892"/>
      <c r="BG129" s="1893"/>
      <c r="BH129" s="1892"/>
      <c r="BI129" s="1892"/>
      <c r="BJ129" s="1892"/>
      <c r="BK129" s="1892"/>
      <c r="BL129" s="1893"/>
      <c r="BM129" s="1920">
        <f>BL65</f>
        <v>1056.6000000000008</v>
      </c>
      <c r="BN129" s="1920">
        <f>BM129</f>
        <v>1056.6000000000008</v>
      </c>
      <c r="BO129" s="1920">
        <f>BN129</f>
        <v>1056.6000000000008</v>
      </c>
      <c r="BP129" s="1920">
        <f>BO129</f>
        <v>1056.6000000000008</v>
      </c>
      <c r="BQ129" s="1893"/>
      <c r="BR129" s="1920">
        <f>BP130</f>
        <v>1352.4000000000017</v>
      </c>
      <c r="BS129" s="1920">
        <f>BR129</f>
        <v>1352.4000000000017</v>
      </c>
      <c r="BT129" s="1920">
        <f>BS129</f>
        <v>1352.4000000000017</v>
      </c>
      <c r="BU129" s="1920">
        <f>BT129</f>
        <v>1352.4000000000017</v>
      </c>
      <c r="BV129" s="1893"/>
      <c r="BW129" s="1920">
        <f>BU130</f>
        <v>1086.0000000000002</v>
      </c>
      <c r="BX129" s="1920">
        <f>BW129</f>
        <v>1086.0000000000002</v>
      </c>
      <c r="BY129" s="1920">
        <f>BX129</f>
        <v>1086.0000000000002</v>
      </c>
      <c r="BZ129" s="1920">
        <f>BY129</f>
        <v>1086.0000000000002</v>
      </c>
      <c r="CA129" s="1893"/>
      <c r="CB129" s="1920">
        <f>BZ130</f>
        <v>1427.0000000000002</v>
      </c>
      <c r="CC129" s="1920">
        <f>CB129</f>
        <v>1427.0000000000002</v>
      </c>
      <c r="CD129" s="1920">
        <f>CC129</f>
        <v>1427.0000000000002</v>
      </c>
      <c r="CE129" s="1920">
        <f>CD129</f>
        <v>1427.0000000000002</v>
      </c>
      <c r="CF129" s="1893"/>
      <c r="CG129" s="1920">
        <f>CE130</f>
        <v>1412.5000000000011</v>
      </c>
      <c r="CH129" s="1920">
        <f>$CE$130</f>
        <v>1412.5000000000011</v>
      </c>
      <c r="CI129" s="1920">
        <f>$CE$130</f>
        <v>1412.5000000000011</v>
      </c>
      <c r="CJ129" s="1920">
        <f>$CE$130</f>
        <v>1412.5000000000011</v>
      </c>
      <c r="CK129" s="1893"/>
      <c r="CL129" s="1920">
        <f>CJ130</f>
        <v>1374.8750000000002</v>
      </c>
      <c r="CM129" s="1920">
        <f>CL130</f>
        <v>1550.8750000000002</v>
      </c>
      <c r="CN129" s="1920">
        <f>CM130</f>
        <v>1350.1749999999995</v>
      </c>
      <c r="CO129" s="1920">
        <f>CN130</f>
        <v>1432.8750000000002</v>
      </c>
      <c r="CP129" s="1893"/>
      <c r="CQ129" s="1920">
        <f>CO130</f>
        <v>3992.7750000000024</v>
      </c>
      <c r="CR129" s="1920">
        <f>CO130</f>
        <v>3992.7750000000024</v>
      </c>
      <c r="CS129" s="1920">
        <f>CR130</f>
        <v>1515.7750000000024</v>
      </c>
      <c r="CT129" s="1920">
        <f>CS130</f>
        <v>-1441.2249999999976</v>
      </c>
      <c r="CU129" s="1893"/>
      <c r="CV129" s="1920">
        <f>CU130</f>
        <v>2481</v>
      </c>
      <c r="CW129" s="1920">
        <f>CU130</f>
        <v>2481</v>
      </c>
      <c r="CX129" s="1920">
        <f>CU130</f>
        <v>2481</v>
      </c>
      <c r="CY129" s="1920">
        <f>CU130</f>
        <v>2481</v>
      </c>
      <c r="CZ129" s="1893"/>
      <c r="DA129" s="1920">
        <f>CY130</f>
        <v>2459</v>
      </c>
      <c r="DB129" s="1920">
        <f>CY130</f>
        <v>2459</v>
      </c>
      <c r="DC129" s="1920">
        <f>CZ130</f>
        <v>2459</v>
      </c>
      <c r="DD129" s="1920">
        <f>DA130</f>
        <v>1779</v>
      </c>
      <c r="DE129" s="1893"/>
      <c r="DF129" s="1920">
        <f>DD130</f>
        <v>2691</v>
      </c>
      <c r="DG129" s="1920">
        <f>DF130</f>
        <v>1537</v>
      </c>
      <c r="DH129" s="1892">
        <f>DG130</f>
        <v>260</v>
      </c>
      <c r="DI129" s="1892">
        <f>DH130</f>
        <v>-626</v>
      </c>
      <c r="DJ129" s="1893"/>
      <c r="DK129" s="1892"/>
      <c r="DL129" s="1892"/>
      <c r="DM129" s="1892"/>
      <c r="DN129" s="1892"/>
      <c r="DO129" s="1893"/>
      <c r="DP129" s="1892"/>
      <c r="DQ129" s="1892"/>
      <c r="DR129" s="1892"/>
      <c r="DS129" s="1892"/>
      <c r="DT129" s="1893"/>
      <c r="DU129" s="1892"/>
      <c r="DV129" s="1892"/>
      <c r="DW129" s="1892"/>
      <c r="DX129" s="1892"/>
      <c r="DY129" s="1893"/>
      <c r="DZ129" s="1858"/>
      <c r="EA129" s="1858"/>
      <c r="EB129" s="1858"/>
    </row>
    <row r="130" spans="1:132" ht="12" outlineLevel="1" thickBot="1" x14ac:dyDescent="0.25">
      <c r="A130" s="1853"/>
      <c r="B130" s="332" t="s">
        <v>358</v>
      </c>
      <c r="C130" s="1924"/>
      <c r="D130" s="1924"/>
      <c r="E130" s="1924"/>
      <c r="F130" s="1924"/>
      <c r="G130" s="1924"/>
      <c r="H130" s="1924"/>
      <c r="I130" s="1925"/>
      <c r="J130" s="1924"/>
      <c r="K130" s="1924"/>
      <c r="L130" s="1924"/>
      <c r="M130" s="1924"/>
      <c r="N130" s="1925"/>
      <c r="O130" s="1924"/>
      <c r="P130" s="1924"/>
      <c r="Q130" s="1924"/>
      <c r="R130" s="1924"/>
      <c r="S130" s="1925"/>
      <c r="T130" s="1924"/>
      <c r="U130" s="1924"/>
      <c r="V130" s="1924"/>
      <c r="W130" s="1924"/>
      <c r="X130" s="1925"/>
      <c r="Y130" s="1924"/>
      <c r="Z130" s="1924"/>
      <c r="AA130" s="1924"/>
      <c r="AB130" s="1924"/>
      <c r="AC130" s="1925"/>
      <c r="AD130" s="1924"/>
      <c r="AE130" s="1924"/>
      <c r="AF130" s="1924"/>
      <c r="AG130" s="1924"/>
      <c r="AH130" s="1925"/>
      <c r="AI130" s="1924"/>
      <c r="AJ130" s="1924"/>
      <c r="AK130" s="1924"/>
      <c r="AL130" s="1924"/>
      <c r="AM130" s="1925"/>
      <c r="AN130" s="1924"/>
      <c r="AO130" s="1924"/>
      <c r="AP130" s="1924"/>
      <c r="AQ130" s="1924"/>
      <c r="AR130" s="1925"/>
      <c r="AS130" s="1924"/>
      <c r="AT130" s="1924"/>
      <c r="AU130" s="1924"/>
      <c r="AV130" s="1924"/>
      <c r="AW130" s="1925"/>
      <c r="AX130" s="1924"/>
      <c r="AY130" s="1924"/>
      <c r="AZ130" s="1924"/>
      <c r="BA130" s="1924"/>
      <c r="BB130" s="1925"/>
      <c r="BC130" s="1924"/>
      <c r="BD130" s="1924"/>
      <c r="BE130" s="1924"/>
      <c r="BF130" s="1924"/>
      <c r="BG130" s="1925"/>
      <c r="BH130" s="1924"/>
      <c r="BI130" s="1924"/>
      <c r="BJ130" s="1924"/>
      <c r="BK130" s="1924"/>
      <c r="BL130" s="1925"/>
      <c r="BM130" s="362">
        <f>SUM(BM128:BM129)</f>
        <v>818.2000000000005</v>
      </c>
      <c r="BN130" s="362">
        <f>SUM(BN128:BN129)</f>
        <v>615.70000000000539</v>
      </c>
      <c r="BO130" s="362">
        <f>SUM(BO128:BO129)</f>
        <v>1282.3000000000036</v>
      </c>
      <c r="BP130" s="362">
        <f>SUM(BP128:BP129)</f>
        <v>1352.4000000000017</v>
      </c>
      <c r="BQ130" s="1925"/>
      <c r="BR130" s="362">
        <f>SUM(BR128:BR129)</f>
        <v>997.40000000000157</v>
      </c>
      <c r="BS130" s="362">
        <f>SUM(BS128:BS129)</f>
        <v>1225.2999999999988</v>
      </c>
      <c r="BT130" s="362">
        <f>SUM(BT128:BT129)</f>
        <v>1130.599999999999</v>
      </c>
      <c r="BU130" s="362">
        <f>SUM(BU128:BU129)</f>
        <v>1086.0000000000002</v>
      </c>
      <c r="BV130" s="1925"/>
      <c r="BW130" s="362">
        <f>SUM(BW128:BW129)</f>
        <v>1047.0000000000002</v>
      </c>
      <c r="BX130" s="362">
        <f>SUM(BX128:BX129)</f>
        <v>1107.0000000000002</v>
      </c>
      <c r="BY130" s="362">
        <f>SUM(BY128:BY129)</f>
        <v>979.00000000000023</v>
      </c>
      <c r="BZ130" s="362">
        <f>SUM(BZ128:BZ129)</f>
        <v>1427.0000000000002</v>
      </c>
      <c r="CA130" s="1925"/>
      <c r="CB130" s="362">
        <f>SUM(CB128:CB129)</f>
        <v>2162</v>
      </c>
      <c r="CC130" s="362">
        <f>SUM(CC128:CC129)</f>
        <v>2227</v>
      </c>
      <c r="CD130" s="362">
        <f>SUM(CD128:CD129)</f>
        <v>1706.0000000000002</v>
      </c>
      <c r="CE130" s="362">
        <f>SUM(CE128:CE129)</f>
        <v>1412.5000000000011</v>
      </c>
      <c r="CF130" s="1925"/>
      <c r="CG130" s="362">
        <f>SUM(CG128:CG129)</f>
        <v>2210.5000000000009</v>
      </c>
      <c r="CH130" s="362">
        <f>SUM(CH128:CH129)</f>
        <v>1822.9000000000017</v>
      </c>
      <c r="CI130" s="362">
        <f>SUM(CI128:CI129)</f>
        <v>1232.8750000000002</v>
      </c>
      <c r="CJ130" s="362">
        <f>SUM(CJ128:CJ129)</f>
        <v>1374.8750000000002</v>
      </c>
      <c r="CK130" s="1925"/>
      <c r="CL130" s="362">
        <f>SUM(CL128:CL129)</f>
        <v>1550.8750000000002</v>
      </c>
      <c r="CM130" s="362">
        <f>SUM(CM128:CM129)</f>
        <v>1350.1749999999995</v>
      </c>
      <c r="CN130" s="362">
        <f>SUM(CN128:CN129)</f>
        <v>1432.8750000000002</v>
      </c>
      <c r="CO130" s="362">
        <f>SUM(CO128:CO129)</f>
        <v>3992.7750000000024</v>
      </c>
      <c r="CP130" s="1925"/>
      <c r="CQ130" s="362">
        <f>SUM(CQ128:CQ129)</f>
        <v>2669.7750000000024</v>
      </c>
      <c r="CR130" s="362">
        <f>SUM(CR128:CR129)</f>
        <v>1515.7750000000024</v>
      </c>
      <c r="CS130" s="362">
        <f>SUM(CS128:CS129)</f>
        <v>-1441.2249999999976</v>
      </c>
      <c r="CT130" s="362">
        <f>SUM(CT128:CT129)</f>
        <v>-3049.2249999999976</v>
      </c>
      <c r="CU130" s="1925">
        <f>CU65</f>
        <v>2481</v>
      </c>
      <c r="CV130" s="362">
        <f>SUM(CV128:CV129)</f>
        <v>1515</v>
      </c>
      <c r="CW130" s="362">
        <f>SUM(CW128:CW129)</f>
        <v>1242</v>
      </c>
      <c r="CX130" s="362">
        <f>SUM(CX128:CX129)</f>
        <v>2889</v>
      </c>
      <c r="CY130" s="362">
        <f>SUM(CY128:CY129)</f>
        <v>2459</v>
      </c>
      <c r="CZ130" s="1925">
        <f>CZ65</f>
        <v>2459</v>
      </c>
      <c r="DA130" s="362">
        <f>SUM(DA128:DA129)</f>
        <v>1779</v>
      </c>
      <c r="DB130" s="362">
        <f>SUM(DB128:DB129)</f>
        <v>1127</v>
      </c>
      <c r="DC130" s="362">
        <f>SUM(DC128:DC129)</f>
        <v>2189</v>
      </c>
      <c r="DD130" s="362">
        <f>SUM(DD128:DD129)</f>
        <v>2691</v>
      </c>
      <c r="DE130" s="1925"/>
      <c r="DF130" s="362">
        <f>SUM(DF128:DF129)</f>
        <v>1537</v>
      </c>
      <c r="DG130" s="362">
        <f>SUM(DG128:DG129)</f>
        <v>260</v>
      </c>
      <c r="DH130" s="2905">
        <f>SUM(DH128:DH129)</f>
        <v>-626</v>
      </c>
      <c r="DI130" s="2905">
        <f>SUM(DI128:DI129)</f>
        <v>-2301</v>
      </c>
      <c r="DJ130" s="1925"/>
      <c r="DK130" s="1924"/>
      <c r="DL130" s="1924"/>
      <c r="DM130" s="1924"/>
      <c r="DN130" s="1924"/>
      <c r="DO130" s="1925"/>
      <c r="DP130" s="1924"/>
      <c r="DQ130" s="1924"/>
      <c r="DR130" s="1924"/>
      <c r="DS130" s="1924"/>
      <c r="DT130" s="1925"/>
      <c r="DU130" s="1924"/>
      <c r="DV130" s="1924"/>
      <c r="DW130" s="1924"/>
      <c r="DX130" s="1924"/>
      <c r="DY130" s="1925"/>
      <c r="DZ130" s="1869"/>
      <c r="EA130" s="1858"/>
      <c r="EB130" s="1858"/>
    </row>
    <row r="131" spans="1:132" outlineLevel="1" x14ac:dyDescent="0.2">
      <c r="A131" s="1842"/>
      <c r="B131" s="363"/>
      <c r="C131" s="1848"/>
      <c r="D131" s="1848"/>
      <c r="E131" s="1848"/>
      <c r="F131" s="1848"/>
      <c r="G131" s="1848"/>
      <c r="H131" s="1848"/>
      <c r="I131" s="1848"/>
      <c r="J131" s="1848"/>
      <c r="K131" s="1848"/>
      <c r="L131" s="1848"/>
      <c r="M131" s="1848"/>
      <c r="N131" s="1848"/>
      <c r="O131" s="1848"/>
      <c r="P131" s="1848"/>
      <c r="Q131" s="1848"/>
      <c r="R131" s="1848"/>
      <c r="S131" s="1848"/>
      <c r="T131" s="1848"/>
      <c r="U131" s="1848"/>
      <c r="V131" s="1848"/>
      <c r="W131" s="1848"/>
      <c r="X131" s="1848"/>
      <c r="Y131" s="1848"/>
      <c r="Z131" s="1848"/>
      <c r="AA131" s="1848"/>
      <c r="AB131" s="1848"/>
      <c r="AC131" s="1848"/>
      <c r="AD131" s="1848"/>
      <c r="AE131" s="1848"/>
      <c r="AF131" s="1848"/>
      <c r="AG131" s="1848"/>
      <c r="AH131" s="1848"/>
      <c r="AI131" s="1848"/>
      <c r="AJ131" s="1848"/>
      <c r="AK131" s="1848"/>
      <c r="AL131" s="1848"/>
      <c r="AM131" s="1848"/>
      <c r="AN131" s="1848"/>
      <c r="AO131" s="1848"/>
      <c r="AP131" s="1848"/>
      <c r="AQ131" s="1848"/>
      <c r="AR131" s="1848"/>
      <c r="AS131" s="1848"/>
      <c r="AT131" s="1848"/>
      <c r="AU131" s="1848"/>
      <c r="AV131" s="1848"/>
      <c r="AW131" s="1848"/>
      <c r="AX131" s="1848"/>
      <c r="AY131" s="1848"/>
      <c r="AZ131" s="1848"/>
      <c r="BA131" s="1848"/>
      <c r="BB131" s="1848"/>
      <c r="BC131" s="1848"/>
      <c r="BD131" s="1848"/>
      <c r="BE131" s="1848"/>
      <c r="BF131" s="1848"/>
      <c r="BG131" s="1848"/>
      <c r="BH131" s="1848"/>
      <c r="BI131" s="1848"/>
      <c r="BJ131" s="1848"/>
      <c r="BK131" s="1848"/>
      <c r="BL131" s="1848"/>
      <c r="BM131" s="364"/>
      <c r="BN131" s="364"/>
      <c r="BO131" s="364"/>
      <c r="BP131" s="364"/>
      <c r="BQ131" s="1842"/>
      <c r="BR131" s="364"/>
      <c r="BS131" s="364"/>
      <c r="BT131" s="364"/>
      <c r="BU131" s="364"/>
      <c r="BV131" s="1842"/>
      <c r="BW131" s="364"/>
      <c r="BX131" s="364"/>
      <c r="BY131" s="364"/>
      <c r="BZ131" s="364"/>
      <c r="CA131" s="1842"/>
      <c r="CB131" s="364"/>
      <c r="CC131" s="364"/>
      <c r="CD131" s="364"/>
      <c r="CE131" s="364"/>
      <c r="CF131" s="1842"/>
      <c r="CG131" s="364"/>
      <c r="CH131" s="364"/>
      <c r="CI131" s="364"/>
      <c r="CJ131" s="364"/>
      <c r="CK131" s="1848"/>
      <c r="CL131" s="1848"/>
      <c r="CM131" s="364"/>
      <c r="CN131" s="1848"/>
      <c r="CO131" s="1848"/>
      <c r="CP131" s="1848"/>
      <c r="CQ131" s="1848"/>
      <c r="CR131" s="1848"/>
      <c r="CS131" s="1848"/>
      <c r="CT131" s="1848"/>
      <c r="CU131" s="1848"/>
      <c r="CV131" s="1848"/>
      <c r="CW131" s="1848"/>
      <c r="CX131" s="1848"/>
      <c r="CY131" s="1848"/>
      <c r="CZ131" s="1848"/>
      <c r="DA131" s="1848"/>
      <c r="DB131" s="1848"/>
      <c r="DC131" s="1848"/>
      <c r="DD131" s="1848"/>
      <c r="DE131" s="1848"/>
      <c r="DF131" s="1848"/>
      <c r="DG131" s="1858"/>
      <c r="DH131" s="1848"/>
      <c r="DI131" s="1848"/>
      <c r="DJ131" s="1848"/>
      <c r="DK131" s="1848"/>
      <c r="DL131" s="1848"/>
      <c r="DM131" s="1848"/>
      <c r="DN131" s="1848"/>
      <c r="DO131" s="1848"/>
      <c r="DP131" s="1848"/>
      <c r="DQ131" s="1848"/>
      <c r="DR131" s="1848"/>
      <c r="DS131" s="1848"/>
      <c r="DT131" s="1848"/>
      <c r="DU131" s="1848"/>
      <c r="DV131" s="1848"/>
      <c r="DW131" s="1848"/>
      <c r="DX131" s="1848"/>
      <c r="DY131" s="1848"/>
      <c r="DZ131" s="1843"/>
      <c r="EA131" s="1848"/>
      <c r="EB131" s="1848"/>
    </row>
    <row r="132" spans="1:132" outlineLevel="2" x14ac:dyDescent="0.2">
      <c r="A132" s="1842"/>
      <c r="B132" s="334" t="s">
        <v>362</v>
      </c>
      <c r="C132" s="1880"/>
      <c r="D132" s="1880"/>
      <c r="E132" s="1880"/>
      <c r="F132" s="1880"/>
      <c r="G132" s="1880"/>
      <c r="H132" s="1880"/>
      <c r="I132" s="1880"/>
      <c r="J132" s="1880"/>
      <c r="K132" s="1880"/>
      <c r="L132" s="1880"/>
      <c r="M132" s="1880"/>
      <c r="N132" s="1880"/>
      <c r="O132" s="1880"/>
      <c r="P132" s="1880"/>
      <c r="Q132" s="1880"/>
      <c r="R132" s="1880"/>
      <c r="S132" s="1880"/>
      <c r="T132" s="1880"/>
      <c r="U132" s="1880"/>
      <c r="V132" s="1880"/>
      <c r="W132" s="1880"/>
      <c r="X132" s="1880"/>
      <c r="Y132" s="1880"/>
      <c r="Z132" s="1880"/>
      <c r="AA132" s="1880"/>
      <c r="AB132" s="1880"/>
      <c r="AC132" s="1880"/>
      <c r="AD132" s="1880"/>
      <c r="AE132" s="1880"/>
      <c r="AF132" s="1880"/>
      <c r="AG132" s="1880"/>
      <c r="AH132" s="1880"/>
      <c r="AI132" s="1880"/>
      <c r="AJ132" s="1880"/>
      <c r="AK132" s="1880"/>
      <c r="AL132" s="1880"/>
      <c r="AM132" s="1880"/>
      <c r="AN132" s="1880"/>
      <c r="AO132" s="1880"/>
      <c r="AP132" s="1880"/>
      <c r="AQ132" s="1880"/>
      <c r="AR132" s="1880"/>
      <c r="AS132" s="1880"/>
      <c r="AT132" s="1880"/>
      <c r="AU132" s="1880"/>
      <c r="AV132" s="1880"/>
      <c r="AW132" s="1880"/>
      <c r="AX132" s="1880"/>
      <c r="AY132" s="1880"/>
      <c r="AZ132" s="1880"/>
      <c r="BA132" s="1880"/>
      <c r="BB132" s="1880"/>
      <c r="BC132" s="1880"/>
      <c r="BD132" s="1880"/>
      <c r="BE132" s="1880"/>
      <c r="BF132" s="1880"/>
      <c r="BG132" s="1880"/>
      <c r="BH132" s="1880"/>
      <c r="BI132" s="1880"/>
      <c r="BJ132" s="1880"/>
      <c r="BK132" s="1880"/>
      <c r="BL132" s="1880"/>
      <c r="BM132" s="336" t="str">
        <f>IF((ABS((BM130-BM65))&lt;0.01),"OK",BM130-BM65)</f>
        <v>OK</v>
      </c>
      <c r="BN132" s="336" t="str">
        <f>IF((ABS((BN130-BN65))&lt;0.01),"OK",BN130-BN65)</f>
        <v>OK</v>
      </c>
      <c r="BO132" s="336" t="str">
        <f>IF((ABS((BO130-BO65))&lt;0.01),"OK",BO130-BO65)</f>
        <v>OK</v>
      </c>
      <c r="BP132" s="336" t="str">
        <f>IF((ABS((BP130-BP65))&lt;0.01),"OK",BP130-BP65)</f>
        <v>OK</v>
      </c>
      <c r="BQ132" s="1926"/>
      <c r="BR132" s="336" t="str">
        <f>IF((ABS((BR130-BR65))&lt;0.01),"OK",BR130-BR65)</f>
        <v>OK</v>
      </c>
      <c r="BS132" s="336" t="str">
        <f>IF((ABS((BS130-BS65))&lt;0.01),"OK",BS130-BS65)</f>
        <v>OK</v>
      </c>
      <c r="BT132" s="336" t="str">
        <f>IF((ABS((BT130-BT65))&lt;0.01),"OK",BT130-BT65)</f>
        <v>OK</v>
      </c>
      <c r="BU132" s="336" t="str">
        <f>IF((ABS((BU130-BU65))&lt;0.01),"OK",BU130-BU65)</f>
        <v>OK</v>
      </c>
      <c r="BV132" s="1926"/>
      <c r="BW132" s="336" t="str">
        <f>IF((ABS((BW130-BW65))&lt;0.01),"OK",BW130-BW65)</f>
        <v>OK</v>
      </c>
      <c r="BX132" s="336" t="str">
        <f>IF((ABS((BX130-BX65))&lt;0.01),"OK",BX130-BX65)</f>
        <v>OK</v>
      </c>
      <c r="BY132" s="336" t="str">
        <f>IF((ABS((BY130-BY65))&lt;0.01),"OK",BY130-BY65)</f>
        <v>OK</v>
      </c>
      <c r="BZ132" s="336" t="str">
        <f>IF((ABS((BZ130-BZ65))&lt;0.01),"OK",BZ130-BZ65)</f>
        <v>OK</v>
      </c>
      <c r="CA132" s="1926"/>
      <c r="CB132" s="336" t="str">
        <f>IF((ABS((CB130-CB65))&lt;0.01),"OK",CB130-CB65)</f>
        <v>OK</v>
      </c>
      <c r="CC132" s="336" t="str">
        <f>IF((ABS((CC130-CC65))&lt;0.01),"OK",CC130-CC65)</f>
        <v>OK</v>
      </c>
      <c r="CD132" s="336" t="str">
        <f>IF((ABS((CD130-CD65))&lt;0.01),"OK",CD130-CD65)</f>
        <v>OK</v>
      </c>
      <c r="CE132" s="336">
        <f>IF((ABS((CE130-CE65))&lt;0.01),"OK",CE130-CE65)</f>
        <v>-0.49999999999977263</v>
      </c>
      <c r="CF132" s="1926"/>
      <c r="CG132" s="336">
        <f>IF((ABS((CG130-CG65))&lt;0.01),"OK",CG130-CG65)</f>
        <v>-0.5</v>
      </c>
      <c r="CH132" s="336">
        <f>IF((ABS((CH130-CH65))&lt;0.01),"OK",CH130-CH65)</f>
        <v>-0.5</v>
      </c>
      <c r="CI132" s="336">
        <f>IF((ABS((CI130-CI65))&lt;0.01),"OK",CI130-CI65)</f>
        <v>0.20000000000027285</v>
      </c>
      <c r="CJ132" s="336">
        <f>IF((ABS((CJ130-CJ65))&lt;0.01),"OK",CJ130-CJ65)</f>
        <v>-0.12499999999977263</v>
      </c>
      <c r="CK132" s="1880"/>
      <c r="CL132" s="336">
        <f>IF((ABS((CL130-CL65))&lt;0.01),"OK",CL130-CL65)</f>
        <v>-0.12499999999977263</v>
      </c>
      <c r="CM132" s="336">
        <f>IF((ABS((CM130-CM65))&lt;0.01),"OK",CM130-CM65)</f>
        <v>175.47500000000014</v>
      </c>
      <c r="CN132" s="336">
        <f>IF((ABS((CN130-CN65))&lt;0.01),"OK",CN130-CN65)</f>
        <v>-73.425000000000409</v>
      </c>
      <c r="CO132" s="1880"/>
      <c r="CP132" s="1880"/>
      <c r="CQ132" s="1880"/>
      <c r="CR132" s="1880"/>
      <c r="CS132" s="1880"/>
      <c r="CT132" s="1880"/>
      <c r="CU132" s="1880"/>
      <c r="CV132" s="1880"/>
      <c r="CW132" s="1880"/>
      <c r="CX132" s="1880"/>
      <c r="CY132" s="1880"/>
      <c r="CZ132" s="1880"/>
      <c r="DA132" s="1880"/>
      <c r="DB132" s="1880"/>
      <c r="DC132" s="1880"/>
      <c r="DD132" s="1880"/>
      <c r="DE132" s="1880"/>
      <c r="DF132" s="1880"/>
      <c r="DG132" s="1880"/>
      <c r="DH132" s="1880"/>
      <c r="DI132" s="1880"/>
      <c r="DJ132" s="1880"/>
      <c r="DK132" s="1880"/>
      <c r="DL132" s="1880"/>
      <c r="DM132" s="1880"/>
      <c r="DN132" s="1880"/>
      <c r="DO132" s="1880"/>
      <c r="DP132" s="1880"/>
      <c r="DQ132" s="1880"/>
      <c r="DR132" s="1880"/>
      <c r="DS132" s="1880"/>
      <c r="DT132" s="1880"/>
      <c r="DU132" s="1880"/>
      <c r="DV132" s="1880"/>
      <c r="DW132" s="1880"/>
      <c r="DX132" s="1880"/>
      <c r="DY132" s="1880"/>
      <c r="DZ132" s="1848"/>
      <c r="EA132" s="1848"/>
      <c r="EB132" s="1848"/>
    </row>
    <row r="133" spans="1:132" ht="12" customHeight="1" thickBot="1" x14ac:dyDescent="0.25">
      <c r="A133" s="1842"/>
      <c r="B133" s="1850"/>
      <c r="C133" s="1850"/>
      <c r="D133" s="1850"/>
      <c r="E133" s="1850"/>
      <c r="F133" s="1850"/>
      <c r="G133" s="1850"/>
      <c r="H133" s="1850"/>
      <c r="I133" s="1850"/>
      <c r="J133" s="1850"/>
      <c r="K133" s="1850"/>
      <c r="L133" s="1850"/>
      <c r="M133" s="1850"/>
      <c r="N133" s="1850"/>
      <c r="O133" s="1850"/>
      <c r="P133" s="1850"/>
      <c r="Q133" s="1850"/>
      <c r="R133" s="1850"/>
      <c r="S133" s="1850"/>
      <c r="T133" s="1850"/>
      <c r="U133" s="1850"/>
      <c r="V133" s="1850"/>
      <c r="W133" s="1850"/>
      <c r="X133" s="1850"/>
      <c r="Y133" s="1850"/>
      <c r="Z133" s="1850"/>
      <c r="AA133" s="1850"/>
      <c r="AB133" s="1850"/>
      <c r="AC133" s="1850"/>
      <c r="AD133" s="1850"/>
      <c r="AE133" s="1850"/>
      <c r="AF133" s="1850"/>
      <c r="AG133" s="1850"/>
      <c r="AH133" s="1850"/>
      <c r="AI133" s="1850"/>
      <c r="AJ133" s="1850"/>
      <c r="AK133" s="1850"/>
      <c r="AL133" s="1850"/>
      <c r="AM133" s="1850"/>
      <c r="AN133" s="1850"/>
      <c r="AO133" s="1850"/>
      <c r="AP133" s="1850"/>
      <c r="AQ133" s="1850"/>
      <c r="AR133" s="1850"/>
      <c r="AS133" s="1850"/>
      <c r="AT133" s="1850"/>
      <c r="AU133" s="1850"/>
      <c r="AV133" s="1850"/>
      <c r="AW133" s="1850"/>
      <c r="AX133" s="1850"/>
      <c r="AY133" s="1850"/>
      <c r="AZ133" s="1850"/>
      <c r="BA133" s="1850"/>
      <c r="BB133" s="1850"/>
      <c r="BC133" s="1850"/>
      <c r="BD133" s="1850"/>
      <c r="BE133" s="1850"/>
      <c r="BF133" s="1850"/>
      <c r="BG133" s="1850"/>
      <c r="BH133" s="1850"/>
      <c r="BI133" s="1850"/>
      <c r="BJ133" s="1850"/>
      <c r="BK133" s="1850"/>
      <c r="BL133" s="1850"/>
      <c r="BM133" s="1850"/>
      <c r="BN133" s="1850"/>
      <c r="BO133" s="1850"/>
      <c r="BP133" s="1850"/>
      <c r="BQ133" s="1850"/>
      <c r="BR133" s="1850"/>
      <c r="BS133" s="1850"/>
      <c r="BT133" s="1850"/>
      <c r="BU133" s="1850"/>
      <c r="BV133" s="1850"/>
      <c r="BW133" s="1850"/>
      <c r="BX133" s="1850"/>
      <c r="BY133" s="1850"/>
      <c r="BZ133" s="1850"/>
      <c r="CA133" s="1850"/>
      <c r="CB133" s="1850"/>
      <c r="CC133" s="1850"/>
      <c r="CD133" s="1850"/>
      <c r="CE133" s="1850"/>
      <c r="CF133" s="1850"/>
      <c r="CG133" s="1850"/>
      <c r="CH133" s="1850"/>
      <c r="CI133" s="1850"/>
      <c r="CJ133" s="1850"/>
      <c r="CK133" s="1850"/>
      <c r="CL133" s="1850"/>
      <c r="CM133" s="1850"/>
      <c r="CN133" s="1850"/>
      <c r="CO133" s="1850"/>
      <c r="CP133" s="1850"/>
      <c r="CQ133" s="1850"/>
      <c r="CR133" s="1850"/>
      <c r="CS133" s="1850"/>
      <c r="CT133" s="1850"/>
      <c r="CU133" s="1850"/>
      <c r="CV133" s="1850"/>
      <c r="CW133" s="1850"/>
      <c r="CX133" s="1850"/>
      <c r="CY133" s="1850"/>
      <c r="CZ133" s="1850"/>
      <c r="DA133" s="1850"/>
      <c r="DB133" s="1850"/>
      <c r="DC133" s="1850"/>
      <c r="DD133" s="1850"/>
      <c r="DE133" s="1850"/>
      <c r="DF133" s="1850"/>
      <c r="DG133" s="1850"/>
      <c r="DH133" s="1850"/>
      <c r="DI133" s="1850"/>
      <c r="DJ133" s="1850"/>
      <c r="DK133" s="1850"/>
      <c r="DL133" s="1850"/>
      <c r="DM133" s="1850"/>
      <c r="DN133" s="1850"/>
      <c r="DO133" s="1850"/>
      <c r="DP133" s="1850"/>
      <c r="DQ133" s="1850"/>
      <c r="DR133" s="1850"/>
      <c r="DS133" s="1850"/>
      <c r="DT133" s="1850"/>
      <c r="DU133" s="1850"/>
      <c r="DV133" s="1850"/>
      <c r="DW133" s="1850"/>
      <c r="DX133" s="1850"/>
      <c r="DY133" s="1850"/>
      <c r="DZ133" s="1848"/>
      <c r="EA133" s="1848"/>
      <c r="EB133" s="1848"/>
    </row>
    <row r="134" spans="1:132" ht="12.75" thickBot="1" x14ac:dyDescent="0.25">
      <c r="A134" s="1843"/>
      <c r="B134" s="301" t="s">
        <v>363</v>
      </c>
      <c r="C134" s="302"/>
      <c r="D134" s="302"/>
      <c r="E134" s="47" t="s">
        <v>54</v>
      </c>
      <c r="F134" s="48"/>
      <c r="G134" s="48"/>
      <c r="H134" s="48"/>
      <c r="I134" s="49"/>
      <c r="J134" s="48" t="s">
        <v>55</v>
      </c>
      <c r="K134" s="48"/>
      <c r="L134" s="48"/>
      <c r="M134" s="48"/>
      <c r="N134" s="49"/>
      <c r="O134" s="48" t="s">
        <v>56</v>
      </c>
      <c r="P134" s="48"/>
      <c r="Q134" s="48"/>
      <c r="R134" s="48"/>
      <c r="S134" s="49"/>
      <c r="T134" s="48" t="s">
        <v>57</v>
      </c>
      <c r="U134" s="48"/>
      <c r="V134" s="48"/>
      <c r="W134" s="48"/>
      <c r="X134" s="49"/>
      <c r="Y134" s="48" t="s">
        <v>58</v>
      </c>
      <c r="Z134" s="48"/>
      <c r="AA134" s="48"/>
      <c r="AB134" s="48"/>
      <c r="AC134" s="49"/>
      <c r="AD134" s="48" t="s">
        <v>59</v>
      </c>
      <c r="AE134" s="48"/>
      <c r="AF134" s="48"/>
      <c r="AG134" s="48"/>
      <c r="AH134" s="49"/>
      <c r="AI134" s="48" t="s">
        <v>60</v>
      </c>
      <c r="AJ134" s="48"/>
      <c r="AK134" s="48"/>
      <c r="AL134" s="48"/>
      <c r="AM134" s="49"/>
      <c r="AN134" s="48" t="s">
        <v>61</v>
      </c>
      <c r="AO134" s="48"/>
      <c r="AP134" s="48"/>
      <c r="AQ134" s="48"/>
      <c r="AR134" s="49"/>
      <c r="AS134" s="48" t="s">
        <v>62</v>
      </c>
      <c r="AT134" s="48"/>
      <c r="AU134" s="48"/>
      <c r="AV134" s="48"/>
      <c r="AW134" s="49"/>
      <c r="AX134" s="48" t="s">
        <v>63</v>
      </c>
      <c r="AY134" s="48"/>
      <c r="AZ134" s="48"/>
      <c r="BA134" s="48"/>
      <c r="BB134" s="49"/>
      <c r="BC134" s="48" t="s">
        <v>64</v>
      </c>
      <c r="BD134" s="48"/>
      <c r="BE134" s="48"/>
      <c r="BF134" s="48"/>
      <c r="BG134" s="49"/>
      <c r="BH134" s="48" t="s">
        <v>65</v>
      </c>
      <c r="BI134" s="48"/>
      <c r="BJ134" s="48"/>
      <c r="BK134" s="48"/>
      <c r="BL134" s="49"/>
      <c r="BM134" s="48" t="s">
        <v>66</v>
      </c>
      <c r="BN134" s="48"/>
      <c r="BO134" s="48"/>
      <c r="BP134" s="48"/>
      <c r="BQ134" s="49"/>
      <c r="BR134" s="48" t="s">
        <v>67</v>
      </c>
      <c r="BS134" s="48"/>
      <c r="BT134" s="48"/>
      <c r="BU134" s="48"/>
      <c r="BV134" s="49"/>
      <c r="BW134" s="48" t="s">
        <v>68</v>
      </c>
      <c r="BX134" s="48"/>
      <c r="BY134" s="48"/>
      <c r="BZ134" s="48"/>
      <c r="CA134" s="49"/>
      <c r="CB134" s="48" t="s">
        <v>69</v>
      </c>
      <c r="CC134" s="48"/>
      <c r="CD134" s="48"/>
      <c r="CE134" s="48"/>
      <c r="CF134" s="49"/>
      <c r="CG134" s="48" t="s">
        <v>70</v>
      </c>
      <c r="CH134" s="48"/>
      <c r="CI134" s="48"/>
      <c r="CJ134" s="48"/>
      <c r="CK134" s="49"/>
      <c r="CL134" s="48" t="s">
        <v>71</v>
      </c>
      <c r="CM134" s="48"/>
      <c r="CN134" s="48"/>
      <c r="CO134" s="48"/>
      <c r="CP134" s="49"/>
      <c r="CQ134" s="48"/>
      <c r="CR134" s="48"/>
      <c r="CS134" s="48"/>
      <c r="CT134" s="48"/>
      <c r="CU134" s="49"/>
      <c r="CV134" s="48" t="s">
        <v>73</v>
      </c>
      <c r="CW134" s="48"/>
      <c r="CX134" s="48"/>
      <c r="CY134" s="48"/>
      <c r="CZ134" s="49"/>
      <c r="DA134" s="48" t="s">
        <v>674</v>
      </c>
      <c r="DB134" s="48"/>
      <c r="DC134" s="48"/>
      <c r="DD134" s="48"/>
      <c r="DE134" s="49"/>
      <c r="DF134" s="48" t="s">
        <v>1322</v>
      </c>
      <c r="DG134" s="48"/>
      <c r="DH134" s="48"/>
      <c r="DI134" s="48"/>
      <c r="DJ134" s="49"/>
      <c r="DK134" s="48" t="s">
        <v>674</v>
      </c>
      <c r="DL134" s="48"/>
      <c r="DM134" s="48"/>
      <c r="DN134" s="48"/>
      <c r="DO134" s="49"/>
      <c r="DP134" s="48" t="s">
        <v>674</v>
      </c>
      <c r="DQ134" s="48"/>
      <c r="DR134" s="48"/>
      <c r="DS134" s="48"/>
      <c r="DT134" s="49"/>
      <c r="DU134" s="48" t="s">
        <v>674</v>
      </c>
      <c r="DV134" s="48"/>
      <c r="DW134" s="48"/>
      <c r="DX134" s="48"/>
      <c r="DY134" s="49"/>
      <c r="DZ134" s="1842"/>
      <c r="EA134" s="1844"/>
      <c r="EB134" s="1844"/>
    </row>
    <row r="135" spans="1:132" ht="10.5" customHeight="1" thickBot="1" x14ac:dyDescent="0.25">
      <c r="A135" s="1842"/>
      <c r="B135" s="1845" t="s">
        <v>74</v>
      </c>
      <c r="C135" s="1818"/>
      <c r="D135" s="1846"/>
      <c r="E135" s="53" t="s">
        <v>75</v>
      </c>
      <c r="F135" s="54" t="s">
        <v>76</v>
      </c>
      <c r="G135" s="54" t="s">
        <v>77</v>
      </c>
      <c r="H135" s="54" t="s">
        <v>78</v>
      </c>
      <c r="I135" s="55" t="s">
        <v>79</v>
      </c>
      <c r="J135" s="54" t="s">
        <v>80</v>
      </c>
      <c r="K135" s="54" t="s">
        <v>81</v>
      </c>
      <c r="L135" s="54" t="s">
        <v>116</v>
      </c>
      <c r="M135" s="54" t="s">
        <v>117</v>
      </c>
      <c r="N135" s="55" t="s">
        <v>118</v>
      </c>
      <c r="O135" s="54" t="s">
        <v>119</v>
      </c>
      <c r="P135" s="54" t="s">
        <v>120</v>
      </c>
      <c r="Q135" s="54" t="s">
        <v>121</v>
      </c>
      <c r="R135" s="54" t="s">
        <v>122</v>
      </c>
      <c r="S135" s="55" t="s">
        <v>123</v>
      </c>
      <c r="T135" s="54" t="s">
        <v>124</v>
      </c>
      <c r="U135" s="54" t="s">
        <v>125</v>
      </c>
      <c r="V135" s="54" t="s">
        <v>126</v>
      </c>
      <c r="W135" s="54" t="s">
        <v>127</v>
      </c>
      <c r="X135" s="55" t="s">
        <v>128</v>
      </c>
      <c r="Y135" s="54" t="s">
        <v>129</v>
      </c>
      <c r="Z135" s="54" t="s">
        <v>130</v>
      </c>
      <c r="AA135" s="54" t="s">
        <v>131</v>
      </c>
      <c r="AB135" s="54" t="s">
        <v>132</v>
      </c>
      <c r="AC135" s="55" t="s">
        <v>133</v>
      </c>
      <c r="AD135" s="54" t="s">
        <v>134</v>
      </c>
      <c r="AE135" s="54" t="s">
        <v>135</v>
      </c>
      <c r="AF135" s="54" t="s">
        <v>136</v>
      </c>
      <c r="AG135" s="54" t="s">
        <v>137</v>
      </c>
      <c r="AH135" s="55" t="s">
        <v>138</v>
      </c>
      <c r="AI135" s="54" t="s">
        <v>139</v>
      </c>
      <c r="AJ135" s="54" t="s">
        <v>140</v>
      </c>
      <c r="AK135" s="54" t="s">
        <v>141</v>
      </c>
      <c r="AL135" s="54" t="s">
        <v>142</v>
      </c>
      <c r="AM135" s="55" t="s">
        <v>143</v>
      </c>
      <c r="AN135" s="54" t="s">
        <v>144</v>
      </c>
      <c r="AO135" s="54" t="s">
        <v>145</v>
      </c>
      <c r="AP135" s="54" t="s">
        <v>146</v>
      </c>
      <c r="AQ135" s="54" t="s">
        <v>147</v>
      </c>
      <c r="AR135" s="55" t="s">
        <v>148</v>
      </c>
      <c r="AS135" s="54" t="s">
        <v>149</v>
      </c>
      <c r="AT135" s="54" t="s">
        <v>150</v>
      </c>
      <c r="AU135" s="54" t="s">
        <v>151</v>
      </c>
      <c r="AV135" s="54" t="s">
        <v>152</v>
      </c>
      <c r="AW135" s="55" t="s">
        <v>153</v>
      </c>
      <c r="AX135" s="54" t="s">
        <v>149</v>
      </c>
      <c r="AY135" s="54" t="s">
        <v>150</v>
      </c>
      <c r="AZ135" s="54" t="s">
        <v>151</v>
      </c>
      <c r="BA135" s="54" t="s">
        <v>152</v>
      </c>
      <c r="BB135" s="55" t="s">
        <v>154</v>
      </c>
      <c r="BC135" s="54" t="s">
        <v>149</v>
      </c>
      <c r="BD135" s="54" t="s">
        <v>150</v>
      </c>
      <c r="BE135" s="54" t="s">
        <v>151</v>
      </c>
      <c r="BF135" s="54" t="s">
        <v>152</v>
      </c>
      <c r="BG135" s="55" t="s">
        <v>155</v>
      </c>
      <c r="BH135" s="54" t="s">
        <v>149</v>
      </c>
      <c r="BI135" s="54" t="s">
        <v>150</v>
      </c>
      <c r="BJ135" s="54" t="s">
        <v>151</v>
      </c>
      <c r="BK135" s="54" t="s">
        <v>152</v>
      </c>
      <c r="BL135" s="55" t="s">
        <v>156</v>
      </c>
      <c r="BM135" s="54" t="s">
        <v>149</v>
      </c>
      <c r="BN135" s="54" t="s">
        <v>150</v>
      </c>
      <c r="BO135" s="54" t="s">
        <v>151</v>
      </c>
      <c r="BP135" s="54" t="s">
        <v>152</v>
      </c>
      <c r="BQ135" s="55" t="s">
        <v>157</v>
      </c>
      <c r="BR135" s="54" t="s">
        <v>149</v>
      </c>
      <c r="BS135" s="54" t="s">
        <v>150</v>
      </c>
      <c r="BT135" s="54" t="s">
        <v>151</v>
      </c>
      <c r="BU135" s="54" t="s">
        <v>152</v>
      </c>
      <c r="BV135" s="55" t="str">
        <f t="shared" ref="BV135:DE135" si="159">BV6</f>
        <v>2009A</v>
      </c>
      <c r="BW135" s="304" t="str">
        <f t="shared" si="159"/>
        <v>1QA</v>
      </c>
      <c r="BX135" s="304" t="str">
        <f t="shared" si="159"/>
        <v>2QA</v>
      </c>
      <c r="BY135" s="304" t="str">
        <f t="shared" si="159"/>
        <v>3QA</v>
      </c>
      <c r="BZ135" s="304" t="str">
        <f t="shared" si="159"/>
        <v>4QA</v>
      </c>
      <c r="CA135" s="55" t="str">
        <f t="shared" si="159"/>
        <v>2010A</v>
      </c>
      <c r="CB135" s="304" t="str">
        <f t="shared" si="159"/>
        <v>1QA</v>
      </c>
      <c r="CC135" s="304" t="str">
        <f t="shared" si="159"/>
        <v>2QA</v>
      </c>
      <c r="CD135" s="304" t="str">
        <f t="shared" si="159"/>
        <v>3QA</v>
      </c>
      <c r="CE135" s="304" t="str">
        <f t="shared" si="159"/>
        <v>4QA</v>
      </c>
      <c r="CF135" s="55" t="str">
        <f t="shared" si="159"/>
        <v>2011A</v>
      </c>
      <c r="CG135" s="304" t="str">
        <f t="shared" si="159"/>
        <v>1QA</v>
      </c>
      <c r="CH135" s="304" t="str">
        <f t="shared" si="159"/>
        <v>2QA</v>
      </c>
      <c r="CI135" s="304" t="str">
        <f t="shared" si="159"/>
        <v>3QA</v>
      </c>
      <c r="CJ135" s="304" t="str">
        <f t="shared" si="159"/>
        <v>4QA</v>
      </c>
      <c r="CK135" s="55" t="str">
        <f t="shared" si="159"/>
        <v>2012A</v>
      </c>
      <c r="CL135" s="304" t="str">
        <f t="shared" si="159"/>
        <v>1QA</v>
      </c>
      <c r="CM135" s="304" t="str">
        <f t="shared" si="159"/>
        <v>2QA</v>
      </c>
      <c r="CN135" s="304" t="str">
        <f t="shared" si="159"/>
        <v>3QA</v>
      </c>
      <c r="CO135" s="304" t="str">
        <f t="shared" si="159"/>
        <v>4QA</v>
      </c>
      <c r="CP135" s="55" t="str">
        <f t="shared" si="159"/>
        <v>2013A</v>
      </c>
      <c r="CQ135" s="304" t="str">
        <f t="shared" si="159"/>
        <v>1QA</v>
      </c>
      <c r="CR135" s="304" t="str">
        <f t="shared" si="159"/>
        <v>2QA</v>
      </c>
      <c r="CS135" s="304" t="str">
        <f t="shared" si="159"/>
        <v>3QA</v>
      </c>
      <c r="CT135" s="304" t="str">
        <f t="shared" si="159"/>
        <v>4QA</v>
      </c>
      <c r="CU135" s="55" t="str">
        <f t="shared" si="159"/>
        <v>2014A</v>
      </c>
      <c r="CV135" s="304" t="str">
        <f t="shared" si="159"/>
        <v>1QA</v>
      </c>
      <c r="CW135" s="304" t="str">
        <f t="shared" si="159"/>
        <v>2QA</v>
      </c>
      <c r="CX135" s="304" t="str">
        <f t="shared" si="159"/>
        <v>3QA</v>
      </c>
      <c r="CY135" s="304" t="str">
        <f t="shared" si="159"/>
        <v>4QA</v>
      </c>
      <c r="CZ135" s="55" t="str">
        <f t="shared" si="159"/>
        <v>2015A</v>
      </c>
      <c r="DA135" s="304" t="str">
        <f t="shared" si="159"/>
        <v>1QA</v>
      </c>
      <c r="DB135" s="304" t="str">
        <f t="shared" si="159"/>
        <v>2QA</v>
      </c>
      <c r="DC135" s="304" t="str">
        <f t="shared" si="159"/>
        <v>3QA</v>
      </c>
      <c r="DD135" s="304" t="str">
        <f t="shared" si="159"/>
        <v>4QA</v>
      </c>
      <c r="DE135" s="55" t="str">
        <f t="shared" si="159"/>
        <v>2016A</v>
      </c>
      <c r="DF135" s="304" t="str">
        <f t="shared" ref="DF135:DO135" si="160">DF6</f>
        <v>1QA</v>
      </c>
      <c r="DG135" s="304" t="str">
        <f t="shared" si="160"/>
        <v>2QA</v>
      </c>
      <c r="DH135" s="304" t="str">
        <f t="shared" si="160"/>
        <v>3QA</v>
      </c>
      <c r="DI135" s="304" t="str">
        <f t="shared" si="160"/>
        <v>4QA</v>
      </c>
      <c r="DJ135" s="55" t="str">
        <f t="shared" si="160"/>
        <v>2017A</v>
      </c>
      <c r="DK135" s="304" t="str">
        <f t="shared" si="160"/>
        <v>1QE</v>
      </c>
      <c r="DL135" s="304" t="str">
        <f t="shared" si="160"/>
        <v>2QE</v>
      </c>
      <c r="DM135" s="304" t="str">
        <f t="shared" si="160"/>
        <v>3QE</v>
      </c>
      <c r="DN135" s="304" t="str">
        <f t="shared" si="160"/>
        <v>4QE</v>
      </c>
      <c r="DO135" s="55" t="str">
        <f t="shared" si="160"/>
        <v>2018E</v>
      </c>
      <c r="DP135" s="304" t="str">
        <f t="shared" ref="DP135:DY135" si="161">DP6</f>
        <v>1QE</v>
      </c>
      <c r="DQ135" s="304" t="str">
        <f t="shared" si="161"/>
        <v>2QE</v>
      </c>
      <c r="DR135" s="304" t="str">
        <f t="shared" si="161"/>
        <v>3QE</v>
      </c>
      <c r="DS135" s="304" t="str">
        <f t="shared" si="161"/>
        <v>4QE</v>
      </c>
      <c r="DT135" s="55" t="str">
        <f t="shared" si="161"/>
        <v>2019E</v>
      </c>
      <c r="DU135" s="304" t="str">
        <f t="shared" si="161"/>
        <v>1QE</v>
      </c>
      <c r="DV135" s="304" t="str">
        <f t="shared" si="161"/>
        <v>2QE</v>
      </c>
      <c r="DW135" s="304" t="str">
        <f t="shared" si="161"/>
        <v>3QE</v>
      </c>
      <c r="DX135" s="304" t="str">
        <f t="shared" si="161"/>
        <v>4QE</v>
      </c>
      <c r="DY135" s="55" t="str">
        <f t="shared" si="161"/>
        <v>2020E</v>
      </c>
      <c r="DZ135" s="1847"/>
      <c r="EA135" s="1848"/>
      <c r="EB135" s="1848"/>
    </row>
    <row r="136" spans="1:132" x14ac:dyDescent="0.2">
      <c r="A136" s="1842"/>
      <c r="B136" s="1927" t="s">
        <v>364</v>
      </c>
      <c r="C136" s="1928"/>
      <c r="D136" s="238"/>
      <c r="E136" s="240"/>
      <c r="F136" s="240"/>
      <c r="G136" s="240"/>
      <c r="H136" s="240"/>
      <c r="I136" s="365"/>
      <c r="J136" s="240"/>
      <c r="K136" s="240"/>
      <c r="L136" s="240"/>
      <c r="M136" s="240"/>
      <c r="N136" s="365"/>
      <c r="O136" s="240"/>
      <c r="P136" s="240"/>
      <c r="Q136" s="240"/>
      <c r="R136" s="240"/>
      <c r="S136" s="365"/>
      <c r="T136" s="240"/>
      <c r="U136" s="240"/>
      <c r="V136" s="240"/>
      <c r="W136" s="240"/>
      <c r="X136" s="365"/>
      <c r="Y136" s="240"/>
      <c r="Z136" s="240"/>
      <c r="AA136" s="240"/>
      <c r="AB136" s="240"/>
      <c r="AC136" s="365"/>
      <c r="AD136" s="240"/>
      <c r="AE136" s="240"/>
      <c r="AF136" s="240"/>
      <c r="AG136" s="240"/>
      <c r="AH136" s="365"/>
      <c r="AI136" s="240"/>
      <c r="AJ136" s="240"/>
      <c r="AK136" s="240"/>
      <c r="AL136" s="240"/>
      <c r="AM136" s="365"/>
      <c r="AN136" s="240"/>
      <c r="AO136" s="240"/>
      <c r="AP136" s="240"/>
      <c r="AQ136" s="240"/>
      <c r="AR136" s="365"/>
      <c r="AS136" s="240"/>
      <c r="AT136" s="240"/>
      <c r="AU136" s="240"/>
      <c r="AV136" s="240"/>
      <c r="AW136" s="365"/>
      <c r="AX136" s="240"/>
      <c r="AY136" s="240"/>
      <c r="AZ136" s="240"/>
      <c r="BA136" s="240"/>
      <c r="BB136" s="365"/>
      <c r="BC136" s="240"/>
      <c r="BD136" s="240"/>
      <c r="BE136" s="240"/>
      <c r="BF136" s="240"/>
      <c r="BG136" s="365"/>
      <c r="BH136" s="240"/>
      <c r="BI136" s="240"/>
      <c r="BJ136" s="240"/>
      <c r="BK136" s="240"/>
      <c r="BL136" s="239"/>
      <c r="BM136" s="1884"/>
      <c r="BN136" s="1884"/>
      <c r="BO136" s="1884"/>
      <c r="BP136" s="1884"/>
      <c r="BQ136" s="239"/>
      <c r="BR136" s="1929"/>
      <c r="BS136" s="1929"/>
      <c r="BT136" s="1929"/>
      <c r="BU136" s="1929"/>
      <c r="BV136" s="366"/>
      <c r="BW136" s="1930"/>
      <c r="BX136" s="1931"/>
      <c r="BY136" s="1929"/>
      <c r="BZ136" s="1929"/>
      <c r="CA136" s="366"/>
      <c r="CB136" s="1884"/>
      <c r="CC136" s="1884"/>
      <c r="CD136" s="1884"/>
      <c r="CE136" s="1884"/>
      <c r="CF136" s="239"/>
      <c r="CG136" s="1884"/>
      <c r="CH136" s="1884"/>
      <c r="CI136" s="1884"/>
      <c r="CJ136" s="1884"/>
      <c r="CK136" s="366"/>
      <c r="CL136" s="367"/>
      <c r="CM136" s="367"/>
      <c r="CN136" s="367"/>
      <c r="CO136" s="367"/>
      <c r="CP136" s="368"/>
      <c r="CQ136" s="367"/>
      <c r="CR136" s="367"/>
      <c r="CS136" s="367"/>
      <c r="CT136" s="367"/>
      <c r="CU136" s="368"/>
      <c r="CV136" s="367"/>
      <c r="CW136" s="367"/>
      <c r="CX136" s="367"/>
      <c r="CY136" s="367"/>
      <c r="CZ136" s="368"/>
      <c r="DA136" s="367"/>
      <c r="DB136" s="367"/>
      <c r="DC136" s="2639"/>
      <c r="DD136" s="2639"/>
      <c r="DE136" s="368"/>
      <c r="DF136" s="367"/>
      <c r="DG136" s="367"/>
      <c r="DH136" s="367"/>
      <c r="DI136" s="367"/>
      <c r="DJ136" s="368"/>
      <c r="DK136" s="367"/>
      <c r="DL136" s="367"/>
      <c r="DM136" s="367"/>
      <c r="DN136" s="367"/>
      <c r="DO136" s="368"/>
      <c r="DP136" s="367"/>
      <c r="DQ136" s="367"/>
      <c r="DR136" s="367"/>
      <c r="DS136" s="367"/>
      <c r="DT136" s="368"/>
      <c r="DU136" s="367"/>
      <c r="DV136" s="367"/>
      <c r="DW136" s="367"/>
      <c r="DX136" s="367"/>
      <c r="DY136" s="368"/>
      <c r="DZ136" s="1858"/>
      <c r="EA136" s="1858"/>
      <c r="EB136" s="1858"/>
    </row>
    <row r="137" spans="1:132" x14ac:dyDescent="0.2">
      <c r="A137" s="1853"/>
      <c r="B137" s="1932" t="s">
        <v>365</v>
      </c>
      <c r="C137" s="1911"/>
      <c r="D137" s="59"/>
      <c r="E137" s="59"/>
      <c r="F137" s="59"/>
      <c r="G137" s="59"/>
      <c r="H137" s="59"/>
      <c r="I137" s="63">
        <f>471.8+181.4</f>
        <v>653.20000000000005</v>
      </c>
      <c r="J137" s="59"/>
      <c r="K137" s="59"/>
      <c r="L137" s="59"/>
      <c r="M137" s="59"/>
      <c r="N137" s="63">
        <v>192.5</v>
      </c>
      <c r="O137" s="59"/>
      <c r="P137" s="59"/>
      <c r="Q137" s="59"/>
      <c r="R137" s="59"/>
      <c r="S137" s="61">
        <f>'BS and CFS'!S65</f>
        <v>180.80000000000018</v>
      </c>
      <c r="T137" s="59"/>
      <c r="U137" s="59"/>
      <c r="V137" s="59"/>
      <c r="W137" s="59"/>
      <c r="X137" s="61">
        <f>'BS and CFS'!X65</f>
        <v>230.00000000000006</v>
      </c>
      <c r="Y137" s="59"/>
      <c r="Z137" s="59"/>
      <c r="AA137" s="59"/>
      <c r="AB137" s="59"/>
      <c r="AC137" s="63">
        <v>337.3</v>
      </c>
      <c r="AD137" s="59"/>
      <c r="AE137" s="59"/>
      <c r="AF137" s="59"/>
      <c r="AG137" s="59"/>
      <c r="AH137" s="63">
        <v>236.3</v>
      </c>
      <c r="AI137" s="59"/>
      <c r="AJ137" s="59"/>
      <c r="AK137" s="59"/>
      <c r="AL137" s="59"/>
      <c r="AM137" s="63">
        <v>700.4</v>
      </c>
      <c r="AN137" s="59"/>
      <c r="AO137" s="59"/>
      <c r="AP137" s="59"/>
      <c r="AQ137" s="59"/>
      <c r="AR137" s="63">
        <v>843.2</v>
      </c>
      <c r="AS137" s="59"/>
      <c r="AT137" s="59"/>
      <c r="AU137" s="59"/>
      <c r="AV137" s="59"/>
      <c r="AW137" s="63">
        <v>392.3</v>
      </c>
      <c r="AX137" s="59"/>
      <c r="AY137" s="59"/>
      <c r="AZ137" s="59"/>
      <c r="BA137" s="59"/>
      <c r="BB137" s="63">
        <v>513.4</v>
      </c>
      <c r="BC137" s="60">
        <v>387.1</v>
      </c>
      <c r="BD137" s="60">
        <v>532.29999999999995</v>
      </c>
      <c r="BE137" s="60">
        <v>394.6</v>
      </c>
      <c r="BF137" s="60">
        <v>530.70000000000005</v>
      </c>
      <c r="BG137" s="63">
        <v>530.70000000000005</v>
      </c>
      <c r="BH137" s="60">
        <v>710.7</v>
      </c>
      <c r="BI137" s="60">
        <v>812.3</v>
      </c>
      <c r="BJ137" s="60">
        <v>727.1</v>
      </c>
      <c r="BK137" s="60">
        <v>1056.5999999999999</v>
      </c>
      <c r="BL137" s="63">
        <f>1056.6</f>
        <v>1056.5999999999999</v>
      </c>
      <c r="BM137" s="60">
        <v>818.2</v>
      </c>
      <c r="BN137" s="60">
        <v>615.70000000000005</v>
      </c>
      <c r="BO137" s="60">
        <v>1282.3</v>
      </c>
      <c r="BP137" s="60">
        <v>1352.4</v>
      </c>
      <c r="BQ137" s="63">
        <v>1352.4</v>
      </c>
      <c r="BR137" s="60">
        <v>997.4</v>
      </c>
      <c r="BS137" s="60">
        <v>1225.3</v>
      </c>
      <c r="BT137" s="60">
        <v>1130.5999999999999</v>
      </c>
      <c r="BU137" s="60">
        <v>1086</v>
      </c>
      <c r="BV137" s="61">
        <f t="shared" ref="BV137:BV142" si="162">BU137</f>
        <v>1086</v>
      </c>
      <c r="BW137" s="60">
        <v>1047</v>
      </c>
      <c r="BX137" s="62">
        <f>'BS and CFS'!BX65</f>
        <v>1107.0000000000039</v>
      </c>
      <c r="BY137" s="62">
        <f>'BS and CFS'!BY65</f>
        <v>979.00000000000387</v>
      </c>
      <c r="BZ137" s="62">
        <f>'BS and CFS'!BZ65</f>
        <v>1427.0000000000039</v>
      </c>
      <c r="CA137" s="61">
        <f t="shared" ref="CA137:CA142" si="163">BZ137</f>
        <v>1427.0000000000039</v>
      </c>
      <c r="CB137" s="60">
        <v>2162</v>
      </c>
      <c r="CC137" s="60">
        <v>2228</v>
      </c>
      <c r="CD137" s="60">
        <v>1707</v>
      </c>
      <c r="CE137" s="60">
        <v>1413</v>
      </c>
      <c r="CF137" s="86">
        <f t="shared" ref="CF137:CF142" si="164">CE137</f>
        <v>1413</v>
      </c>
      <c r="CG137" s="60">
        <v>2211</v>
      </c>
      <c r="CH137" s="60">
        <v>1823</v>
      </c>
      <c r="CI137" s="60">
        <v>1233</v>
      </c>
      <c r="CJ137" s="60">
        <v>1375</v>
      </c>
      <c r="CK137" s="86">
        <f t="shared" ref="CK137:CK142" si="165">CJ137</f>
        <v>1375</v>
      </c>
      <c r="CL137" s="60">
        <v>1551</v>
      </c>
      <c r="CM137" s="60">
        <v>1174</v>
      </c>
      <c r="CN137" s="60">
        <v>1505</v>
      </c>
      <c r="CO137" s="60">
        <v>4089</v>
      </c>
      <c r="CP137" s="86">
        <f t="shared" ref="CP137:CP142" si="166">CO137</f>
        <v>4089</v>
      </c>
      <c r="CQ137" s="60">
        <v>2766</v>
      </c>
      <c r="CR137" s="60">
        <v>1612</v>
      </c>
      <c r="CS137" s="60">
        <v>1132</v>
      </c>
      <c r="CT137" s="60">
        <v>2481</v>
      </c>
      <c r="CU137" s="86">
        <f t="shared" ref="CU137:CU142" si="167">CT137</f>
        <v>2481</v>
      </c>
      <c r="CV137" s="60">
        <v>1518</v>
      </c>
      <c r="CW137" s="60">
        <v>1244</v>
      </c>
      <c r="CX137" s="60">
        <v>2890</v>
      </c>
      <c r="CY137" s="60">
        <v>2459</v>
      </c>
      <c r="CZ137" s="86">
        <f t="shared" ref="CZ137:CZ142" si="168">CY137</f>
        <v>2459</v>
      </c>
      <c r="DA137" s="60">
        <v>1779</v>
      </c>
      <c r="DB137" s="60">
        <v>1127</v>
      </c>
      <c r="DC137" s="60">
        <v>2189</v>
      </c>
      <c r="DD137" s="60">
        <v>3371</v>
      </c>
      <c r="DE137" s="86">
        <f t="shared" ref="DE137:DE142" si="169">DD137</f>
        <v>3371</v>
      </c>
      <c r="DF137" s="60">
        <v>2217</v>
      </c>
      <c r="DG137" s="60">
        <v>2094</v>
      </c>
      <c r="DH137" s="60">
        <v>2485</v>
      </c>
      <c r="DI137" s="60">
        <v>1696</v>
      </c>
      <c r="DJ137" s="86">
        <f t="shared" ref="DJ137:DJ142" si="170">DI137</f>
        <v>1696</v>
      </c>
      <c r="DK137" s="59">
        <v>810.5092259255498</v>
      </c>
      <c r="DL137" s="59">
        <v>40878.026223948975</v>
      </c>
      <c r="DM137" s="59">
        <v>41921.095182136713</v>
      </c>
      <c r="DN137" s="59">
        <v>43504.361800287457</v>
      </c>
      <c r="DO137" s="86">
        <f t="shared" ref="DO137:DO142" si="171">DN137</f>
        <v>43504.361800287457</v>
      </c>
      <c r="DP137" s="59">
        <v>42456.783048297024</v>
      </c>
      <c r="DQ137" s="59">
        <v>44162.718167120911</v>
      </c>
      <c r="DR137" s="59">
        <v>45095.4610105307</v>
      </c>
      <c r="DS137" s="59">
        <v>46612.273918986415</v>
      </c>
      <c r="DT137" s="86">
        <f t="shared" ref="DT137:DT142" si="172">DS137</f>
        <v>46612.273918986415</v>
      </c>
      <c r="DU137" s="59">
        <v>45752.814731060287</v>
      </c>
      <c r="DV137" s="59">
        <v>47379.681786452558</v>
      </c>
      <c r="DW137" s="59">
        <v>48185.582424283522</v>
      </c>
      <c r="DX137" s="59">
        <v>49614.545641356119</v>
      </c>
      <c r="DY137" s="86">
        <f t="shared" ref="DY137:DY142" si="173">DX137</f>
        <v>49614.545641356119</v>
      </c>
      <c r="DZ137" s="1858"/>
      <c r="EA137" s="1858">
        <v>40</v>
      </c>
      <c r="EB137" s="1858"/>
    </row>
    <row r="138" spans="1:132" x14ac:dyDescent="0.2">
      <c r="A138" s="1853"/>
      <c r="B138" s="1932" t="s">
        <v>366</v>
      </c>
      <c r="C138" s="1911"/>
      <c r="D138" s="59"/>
      <c r="E138" s="59"/>
      <c r="F138" s="59"/>
      <c r="G138" s="59"/>
      <c r="H138" s="59"/>
      <c r="I138" s="63">
        <v>0</v>
      </c>
      <c r="J138" s="59"/>
      <c r="K138" s="59"/>
      <c r="L138" s="59"/>
      <c r="M138" s="59"/>
      <c r="N138" s="63">
        <v>0</v>
      </c>
      <c r="O138" s="59"/>
      <c r="P138" s="59"/>
      <c r="Q138" s="59"/>
      <c r="R138" s="59"/>
      <c r="S138" s="63">
        <v>0</v>
      </c>
      <c r="T138" s="59"/>
      <c r="U138" s="59"/>
      <c r="V138" s="59"/>
      <c r="W138" s="59"/>
      <c r="X138" s="63">
        <v>0</v>
      </c>
      <c r="Y138" s="59"/>
      <c r="Z138" s="59"/>
      <c r="AA138" s="59"/>
      <c r="AB138" s="59"/>
      <c r="AC138" s="63">
        <v>0</v>
      </c>
      <c r="AD138" s="59"/>
      <c r="AE138" s="59"/>
      <c r="AF138" s="59"/>
      <c r="AG138" s="59"/>
      <c r="AH138" s="63">
        <v>0</v>
      </c>
      <c r="AI138" s="59"/>
      <c r="AJ138" s="59"/>
      <c r="AK138" s="59"/>
      <c r="AL138" s="59"/>
      <c r="AM138" s="63">
        <v>0</v>
      </c>
      <c r="AN138" s="59"/>
      <c r="AO138" s="59"/>
      <c r="AP138" s="59"/>
      <c r="AQ138" s="59"/>
      <c r="AR138" s="63">
        <v>0</v>
      </c>
      <c r="AS138" s="59"/>
      <c r="AT138" s="59"/>
      <c r="AU138" s="59"/>
      <c r="AV138" s="59"/>
      <c r="AW138" s="63">
        <v>0</v>
      </c>
      <c r="AX138" s="59"/>
      <c r="AY138" s="59"/>
      <c r="AZ138" s="59"/>
      <c r="BA138" s="59"/>
      <c r="BB138" s="63">
        <v>0</v>
      </c>
      <c r="BC138" s="60">
        <v>0</v>
      </c>
      <c r="BD138" s="60">
        <v>0</v>
      </c>
      <c r="BE138" s="60">
        <v>0</v>
      </c>
      <c r="BF138" s="60">
        <v>0</v>
      </c>
      <c r="BG138" s="63">
        <v>0</v>
      </c>
      <c r="BH138" s="60">
        <v>27.5</v>
      </c>
      <c r="BI138" s="60">
        <v>123.5</v>
      </c>
      <c r="BJ138" s="60">
        <v>27.5</v>
      </c>
      <c r="BK138" s="60">
        <v>27.5</v>
      </c>
      <c r="BL138" s="63">
        <v>27.5</v>
      </c>
      <c r="BM138" s="60">
        <v>0</v>
      </c>
      <c r="BN138" s="60">
        <v>0</v>
      </c>
      <c r="BO138" s="60">
        <v>0</v>
      </c>
      <c r="BP138" s="60">
        <v>0</v>
      </c>
      <c r="BQ138" s="63">
        <v>0</v>
      </c>
      <c r="BR138" s="60">
        <v>0</v>
      </c>
      <c r="BS138" s="60">
        <v>0</v>
      </c>
      <c r="BT138" s="60">
        <v>4.7</v>
      </c>
      <c r="BU138" s="60">
        <v>5</v>
      </c>
      <c r="BV138" s="61">
        <f t="shared" si="162"/>
        <v>5</v>
      </c>
      <c r="BW138" s="60">
        <v>4</v>
      </c>
      <c r="BX138" s="62">
        <f>BW138</f>
        <v>4</v>
      </c>
      <c r="BY138" s="60">
        <v>4</v>
      </c>
      <c r="BZ138" s="60">
        <v>4</v>
      </c>
      <c r="CA138" s="61">
        <f t="shared" si="163"/>
        <v>4</v>
      </c>
      <c r="CB138" s="60">
        <v>6</v>
      </c>
      <c r="CC138" s="60">
        <v>5</v>
      </c>
      <c r="CD138" s="60">
        <v>5</v>
      </c>
      <c r="CE138" s="60">
        <v>5</v>
      </c>
      <c r="CF138" s="86">
        <f t="shared" si="164"/>
        <v>5</v>
      </c>
      <c r="CG138" s="60">
        <v>5</v>
      </c>
      <c r="CH138" s="60">
        <v>5</v>
      </c>
      <c r="CI138" s="60">
        <v>5</v>
      </c>
      <c r="CJ138" s="60">
        <v>5</v>
      </c>
      <c r="CK138" s="86">
        <f t="shared" si="165"/>
        <v>5</v>
      </c>
      <c r="CL138" s="60">
        <v>5</v>
      </c>
      <c r="CM138" s="60">
        <v>5</v>
      </c>
      <c r="CN138" s="60">
        <v>108</v>
      </c>
      <c r="CO138" s="60">
        <v>88</v>
      </c>
      <c r="CP138" s="86">
        <f t="shared" si="166"/>
        <v>88</v>
      </c>
      <c r="CQ138" s="60">
        <v>82</v>
      </c>
      <c r="CR138" s="60">
        <v>100</v>
      </c>
      <c r="CS138" s="60">
        <v>78</v>
      </c>
      <c r="CT138" s="60">
        <v>34</v>
      </c>
      <c r="CU138" s="86">
        <f t="shared" si="167"/>
        <v>34</v>
      </c>
      <c r="CV138" s="60">
        <v>116</v>
      </c>
      <c r="CW138" s="60">
        <v>160</v>
      </c>
      <c r="CX138" s="60">
        <v>121</v>
      </c>
      <c r="CY138" s="60">
        <v>88</v>
      </c>
      <c r="CZ138" s="86">
        <f t="shared" si="168"/>
        <v>88</v>
      </c>
      <c r="DA138" s="60">
        <v>85</v>
      </c>
      <c r="DB138" s="60">
        <v>80</v>
      </c>
      <c r="DC138" s="60">
        <v>74</v>
      </c>
      <c r="DD138" s="60">
        <v>87</v>
      </c>
      <c r="DE138" s="86">
        <f t="shared" si="169"/>
        <v>87</v>
      </c>
      <c r="DF138" s="60">
        <v>85</v>
      </c>
      <c r="DG138" s="60">
        <v>75</v>
      </c>
      <c r="DH138" s="60">
        <v>75</v>
      </c>
      <c r="DI138" s="60">
        <v>111</v>
      </c>
      <c r="DJ138" s="86">
        <f t="shared" si="170"/>
        <v>111</v>
      </c>
      <c r="DK138" s="59">
        <f>DJ138</f>
        <v>111</v>
      </c>
      <c r="DL138" s="59">
        <f>DK138</f>
        <v>111</v>
      </c>
      <c r="DM138" s="59">
        <f>DL138</f>
        <v>111</v>
      </c>
      <c r="DN138" s="59">
        <f>DM138</f>
        <v>111</v>
      </c>
      <c r="DO138" s="86">
        <f t="shared" si="171"/>
        <v>111</v>
      </c>
      <c r="DP138" s="59">
        <f>DO138</f>
        <v>111</v>
      </c>
      <c r="DQ138" s="59">
        <f>DP138</f>
        <v>111</v>
      </c>
      <c r="DR138" s="59">
        <f>DQ138</f>
        <v>111</v>
      </c>
      <c r="DS138" s="59">
        <f>DR138</f>
        <v>111</v>
      </c>
      <c r="DT138" s="86">
        <f t="shared" si="172"/>
        <v>111</v>
      </c>
      <c r="DU138" s="59">
        <f>DT138</f>
        <v>111</v>
      </c>
      <c r="DV138" s="59">
        <f>DU138</f>
        <v>111</v>
      </c>
      <c r="DW138" s="59">
        <f>DV138</f>
        <v>111</v>
      </c>
      <c r="DX138" s="59">
        <f>DW138</f>
        <v>111</v>
      </c>
      <c r="DY138" s="86">
        <f t="shared" si="173"/>
        <v>111</v>
      </c>
      <c r="DZ138" s="1858">
        <v>0.4</v>
      </c>
      <c r="EA138" s="1858">
        <f>EA$137*DZ138</f>
        <v>16</v>
      </c>
      <c r="EB138" s="1858"/>
    </row>
    <row r="139" spans="1:132" x14ac:dyDescent="0.2">
      <c r="A139" s="1853"/>
      <c r="B139" s="58" t="s">
        <v>367</v>
      </c>
      <c r="C139" s="59"/>
      <c r="D139" s="59"/>
      <c r="E139" s="59"/>
      <c r="F139" s="59"/>
      <c r="G139" s="59"/>
      <c r="H139" s="59"/>
      <c r="I139" s="63">
        <v>350.7</v>
      </c>
      <c r="J139" s="59"/>
      <c r="K139" s="59"/>
      <c r="L139" s="59"/>
      <c r="M139" s="59"/>
      <c r="N139" s="63">
        <v>452.4</v>
      </c>
      <c r="O139" s="59"/>
      <c r="P139" s="59"/>
      <c r="Q139" s="59"/>
      <c r="R139" s="59"/>
      <c r="S139" s="63">
        <v>650.29999999999995</v>
      </c>
      <c r="T139" s="59"/>
      <c r="U139" s="59"/>
      <c r="V139" s="59"/>
      <c r="W139" s="59"/>
      <c r="X139" s="63">
        <v>699.3</v>
      </c>
      <c r="Y139" s="59"/>
      <c r="Z139" s="59"/>
      <c r="AA139" s="59"/>
      <c r="AB139" s="59"/>
      <c r="AC139" s="63">
        <v>824.5</v>
      </c>
      <c r="AD139" s="59"/>
      <c r="AE139" s="59"/>
      <c r="AF139" s="59"/>
      <c r="AG139" s="59"/>
      <c r="AH139" s="63">
        <v>966.2</v>
      </c>
      <c r="AI139" s="59"/>
      <c r="AJ139" s="59"/>
      <c r="AK139" s="59"/>
      <c r="AL139" s="59"/>
      <c r="AM139" s="63">
        <v>1019.3</v>
      </c>
      <c r="AN139" s="59"/>
      <c r="AO139" s="59"/>
      <c r="AP139" s="59"/>
      <c r="AQ139" s="59"/>
      <c r="AR139" s="63">
        <v>1349.6</v>
      </c>
      <c r="AS139" s="59"/>
      <c r="AT139" s="59"/>
      <c r="AU139" s="59"/>
      <c r="AV139" s="59"/>
      <c r="AW139" s="63">
        <v>1764.2</v>
      </c>
      <c r="AX139" s="59"/>
      <c r="AY139" s="59"/>
      <c r="AZ139" s="59"/>
      <c r="BA139" s="59"/>
      <c r="BB139" s="63">
        <v>1839.6</v>
      </c>
      <c r="BC139" s="60">
        <v>2015</v>
      </c>
      <c r="BD139" s="60">
        <v>2031.5</v>
      </c>
      <c r="BE139" s="60">
        <v>2197.4</v>
      </c>
      <c r="BF139" s="60">
        <v>2377.4</v>
      </c>
      <c r="BG139" s="63">
        <v>2377.4</v>
      </c>
      <c r="BH139" s="60">
        <v>4485.3999999999996</v>
      </c>
      <c r="BI139" s="60">
        <v>4283.7</v>
      </c>
      <c r="BJ139" s="60">
        <v>4512.8999999999996</v>
      </c>
      <c r="BK139" s="60">
        <v>4579.6000000000004</v>
      </c>
      <c r="BL139" s="63">
        <v>4579.6000000000004</v>
      </c>
      <c r="BM139" s="60">
        <v>4623.5</v>
      </c>
      <c r="BN139" s="60">
        <v>4457.7</v>
      </c>
      <c r="BO139" s="60">
        <v>4799.5</v>
      </c>
      <c r="BP139" s="60">
        <v>5384.3</v>
      </c>
      <c r="BQ139" s="63">
        <v>5384.3</v>
      </c>
      <c r="BR139" s="60">
        <v>5358.2</v>
      </c>
      <c r="BS139" s="60">
        <v>5519.8</v>
      </c>
      <c r="BT139" s="60">
        <v>5692.9</v>
      </c>
      <c r="BU139" s="60">
        <v>5457</v>
      </c>
      <c r="BV139" s="61">
        <f t="shared" si="162"/>
        <v>5457</v>
      </c>
      <c r="BW139" s="60">
        <v>5149</v>
      </c>
      <c r="BX139" s="60">
        <v>5101</v>
      </c>
      <c r="BY139" s="60">
        <v>5111</v>
      </c>
      <c r="BZ139" s="60">
        <v>4925</v>
      </c>
      <c r="CA139" s="61">
        <f t="shared" si="163"/>
        <v>4925</v>
      </c>
      <c r="CB139" s="60">
        <v>5348</v>
      </c>
      <c r="CC139" s="60">
        <v>5892</v>
      </c>
      <c r="CD139" s="60">
        <v>5901</v>
      </c>
      <c r="CE139" s="60">
        <v>6047</v>
      </c>
      <c r="CF139" s="86">
        <f t="shared" si="164"/>
        <v>6047</v>
      </c>
      <c r="CG139" s="60">
        <v>6109</v>
      </c>
      <c r="CH139" s="60">
        <v>6124</v>
      </c>
      <c r="CI139" s="60">
        <v>6407</v>
      </c>
      <c r="CJ139" s="60">
        <v>6473</v>
      </c>
      <c r="CK139" s="86">
        <f t="shared" si="165"/>
        <v>6473</v>
      </c>
      <c r="CL139" s="60">
        <v>6635</v>
      </c>
      <c r="CM139" s="60">
        <v>7093</v>
      </c>
      <c r="CN139" s="60">
        <v>8035</v>
      </c>
      <c r="CO139" s="60">
        <v>8729</v>
      </c>
      <c r="CP139" s="86">
        <f t="shared" si="166"/>
        <v>8729</v>
      </c>
      <c r="CQ139" s="60">
        <v>9086</v>
      </c>
      <c r="CR139" s="60">
        <v>9533</v>
      </c>
      <c r="CS139" s="60">
        <v>10828</v>
      </c>
      <c r="CT139" s="60">
        <v>9687</v>
      </c>
      <c r="CU139" s="86">
        <f t="shared" si="167"/>
        <v>9687</v>
      </c>
      <c r="CV139" s="60">
        <v>10162</v>
      </c>
      <c r="CW139" s="60">
        <v>10892</v>
      </c>
      <c r="CX139" s="60">
        <v>12804</v>
      </c>
      <c r="CY139" s="60">
        <v>11888</v>
      </c>
      <c r="CZ139" s="86">
        <f t="shared" si="168"/>
        <v>11888</v>
      </c>
      <c r="DA139" s="60">
        <v>13025</v>
      </c>
      <c r="DB139" s="60">
        <v>13183</v>
      </c>
      <c r="DC139" s="60">
        <v>13625</v>
      </c>
      <c r="DD139" s="60">
        <v>12164</v>
      </c>
      <c r="DE139" s="86">
        <f t="shared" si="169"/>
        <v>12164</v>
      </c>
      <c r="DF139" s="60">
        <v>12114</v>
      </c>
      <c r="DG139" s="60">
        <v>12274</v>
      </c>
      <c r="DH139" s="60">
        <v>12440</v>
      </c>
      <c r="DI139" s="60">
        <v>13181</v>
      </c>
      <c r="DJ139" s="86">
        <f t="shared" si="170"/>
        <v>13181</v>
      </c>
      <c r="DK139" s="59">
        <f ca="1">DK183*DK184*4</f>
        <v>12478.42396699768</v>
      </c>
      <c r="DL139" s="59">
        <f ca="1">DL183*DL184*4</f>
        <v>12936.610244353511</v>
      </c>
      <c r="DM139" s="59">
        <f ca="1">DM183*DM184*4</f>
        <v>12872.83895539237</v>
      </c>
      <c r="DN139" s="59">
        <f ca="1">DN183*DN184*4</f>
        <v>13370.4947690187</v>
      </c>
      <c r="DO139" s="86">
        <f t="shared" ca="1" si="171"/>
        <v>13370.4947690187</v>
      </c>
      <c r="DP139" s="59">
        <f ca="1">DP183*DP184*4</f>
        <v>12949.278211259929</v>
      </c>
      <c r="DQ139" s="59">
        <f ca="1">DQ183*DQ184*4</f>
        <v>13419.689874293694</v>
      </c>
      <c r="DR139" s="59">
        <f ca="1">DR183*DR184*4</f>
        <v>13347.231723514144</v>
      </c>
      <c r="DS139" s="59">
        <f ca="1">DS183*DS184*4</f>
        <v>13842.304265083638</v>
      </c>
      <c r="DT139" s="86">
        <f t="shared" ca="1" si="172"/>
        <v>13842.304265083638</v>
      </c>
      <c r="DU139" s="59">
        <f ca="1">DU183*DU184*4</f>
        <v>13148.319521834692</v>
      </c>
      <c r="DV139" s="59">
        <f ca="1">DV183*DV184*4</f>
        <v>13607.028050279065</v>
      </c>
      <c r="DW139" s="59">
        <f ca="1">DW183*DW184*4</f>
        <v>13522.401584392012</v>
      </c>
      <c r="DX139" s="59">
        <f ca="1">DX183*DX184*4</f>
        <v>14004.113741316161</v>
      </c>
      <c r="DY139" s="86">
        <f t="shared" ca="1" si="173"/>
        <v>14004.113741316161</v>
      </c>
      <c r="DZ139" s="1858">
        <v>0.4</v>
      </c>
      <c r="EA139" s="1858">
        <f>EA$137*DZ139</f>
        <v>16</v>
      </c>
      <c r="EB139" s="1858"/>
    </row>
    <row r="140" spans="1:132" x14ac:dyDescent="0.2">
      <c r="A140" s="1853"/>
      <c r="B140" s="1932" t="s">
        <v>368</v>
      </c>
      <c r="C140" s="1911"/>
      <c r="D140" s="59"/>
      <c r="E140" s="59"/>
      <c r="F140" s="59"/>
      <c r="G140" s="59"/>
      <c r="H140" s="59"/>
      <c r="I140" s="63">
        <v>2328.1999999999998</v>
      </c>
      <c r="J140" s="59"/>
      <c r="K140" s="59"/>
      <c r="L140" s="59"/>
      <c r="M140" s="59"/>
      <c r="N140" s="63">
        <v>2882.4</v>
      </c>
      <c r="O140" s="59"/>
      <c r="P140" s="59"/>
      <c r="Q140" s="59"/>
      <c r="R140" s="59"/>
      <c r="S140" s="63">
        <v>3190.2</v>
      </c>
      <c r="T140" s="59"/>
      <c r="U140" s="59"/>
      <c r="V140" s="59"/>
      <c r="W140" s="59"/>
      <c r="X140" s="63">
        <v>3445.5</v>
      </c>
      <c r="Y140" s="59"/>
      <c r="Z140" s="59"/>
      <c r="AA140" s="59"/>
      <c r="AB140" s="59"/>
      <c r="AC140" s="63">
        <v>3557.6</v>
      </c>
      <c r="AD140" s="59"/>
      <c r="AE140" s="59"/>
      <c r="AF140" s="59"/>
      <c r="AG140" s="59"/>
      <c r="AH140" s="63">
        <v>3918.6</v>
      </c>
      <c r="AI140" s="59"/>
      <c r="AJ140" s="59"/>
      <c r="AK140" s="59"/>
      <c r="AL140" s="59"/>
      <c r="AM140" s="63">
        <v>4013.9</v>
      </c>
      <c r="AN140" s="59"/>
      <c r="AO140" s="59"/>
      <c r="AP140" s="59"/>
      <c r="AQ140" s="59"/>
      <c r="AR140" s="63">
        <v>4016.5</v>
      </c>
      <c r="AS140" s="59"/>
      <c r="AT140" s="59"/>
      <c r="AU140" s="59"/>
      <c r="AV140" s="59"/>
      <c r="AW140" s="63">
        <v>5453.9</v>
      </c>
      <c r="AX140" s="59"/>
      <c r="AY140" s="59"/>
      <c r="AZ140" s="59"/>
      <c r="BA140" s="59"/>
      <c r="BB140" s="63">
        <v>5719.8</v>
      </c>
      <c r="BC140" s="60">
        <v>5704.8</v>
      </c>
      <c r="BD140" s="60">
        <v>6638.8</v>
      </c>
      <c r="BE140" s="60">
        <v>7014.5</v>
      </c>
      <c r="BF140" s="60">
        <v>7108.9</v>
      </c>
      <c r="BG140" s="63">
        <v>7108.9</v>
      </c>
      <c r="BH140" s="60">
        <v>7427.1</v>
      </c>
      <c r="BI140" s="60">
        <v>7749</v>
      </c>
      <c r="BJ140" s="60">
        <v>7891.6</v>
      </c>
      <c r="BK140" s="60">
        <v>8008.2</v>
      </c>
      <c r="BL140" s="63">
        <v>8008.2</v>
      </c>
      <c r="BM140" s="60">
        <v>7989.3</v>
      </c>
      <c r="BN140" s="60">
        <v>8001.4</v>
      </c>
      <c r="BO140" s="60">
        <v>8345.4</v>
      </c>
      <c r="BP140" s="60">
        <v>9152.6</v>
      </c>
      <c r="BQ140" s="63">
        <v>9152.6</v>
      </c>
      <c r="BR140" s="60">
        <v>9052.4</v>
      </c>
      <c r="BS140" s="60">
        <v>9400.5</v>
      </c>
      <c r="BT140" s="60">
        <v>9975.9</v>
      </c>
      <c r="BU140" s="60">
        <v>10343</v>
      </c>
      <c r="BV140" s="61">
        <f t="shared" si="162"/>
        <v>10343</v>
      </c>
      <c r="BW140" s="60">
        <v>10275</v>
      </c>
      <c r="BX140" s="60">
        <v>10389</v>
      </c>
      <c r="BY140" s="60">
        <v>10585</v>
      </c>
      <c r="BZ140" s="60">
        <v>10695</v>
      </c>
      <c r="CA140" s="61">
        <f t="shared" si="163"/>
        <v>10695</v>
      </c>
      <c r="CB140" s="60">
        <v>10181</v>
      </c>
      <c r="CC140" s="60">
        <v>10111</v>
      </c>
      <c r="CD140" s="60">
        <v>10379</v>
      </c>
      <c r="CE140" s="60">
        <v>10046</v>
      </c>
      <c r="CF140" s="86">
        <f t="shared" si="164"/>
        <v>10046</v>
      </c>
      <c r="CG140" s="60">
        <v>10677</v>
      </c>
      <c r="CH140" s="60">
        <v>10428</v>
      </c>
      <c r="CI140" s="60">
        <v>10487</v>
      </c>
      <c r="CJ140" s="60">
        <v>10759</v>
      </c>
      <c r="CK140" s="86">
        <f t="shared" si="165"/>
        <v>10759</v>
      </c>
      <c r="CL140" s="60">
        <v>10592</v>
      </c>
      <c r="CM140" s="60">
        <v>10578</v>
      </c>
      <c r="CN140" s="60">
        <v>10825</v>
      </c>
      <c r="CO140" s="60">
        <v>11045</v>
      </c>
      <c r="CP140" s="86">
        <f t="shared" si="166"/>
        <v>11045</v>
      </c>
      <c r="CQ140" s="60">
        <v>11188</v>
      </c>
      <c r="CR140" s="60">
        <v>11360</v>
      </c>
      <c r="CS140" s="60">
        <v>11613</v>
      </c>
      <c r="CT140" s="60">
        <v>11930</v>
      </c>
      <c r="CU140" s="86">
        <f t="shared" si="167"/>
        <v>11930</v>
      </c>
      <c r="CV140" s="60">
        <v>12231</v>
      </c>
      <c r="CW140" s="60">
        <v>12384</v>
      </c>
      <c r="CX140" s="60">
        <v>13282</v>
      </c>
      <c r="CY140" s="60">
        <v>14001</v>
      </c>
      <c r="CZ140" s="86">
        <f t="shared" si="168"/>
        <v>14001</v>
      </c>
      <c r="DA140" s="60">
        <v>13912</v>
      </c>
      <c r="DB140" s="60">
        <v>14177</v>
      </c>
      <c r="DC140" s="60">
        <v>14348</v>
      </c>
      <c r="DD140" s="60">
        <v>14760</v>
      </c>
      <c r="DE140" s="86">
        <f t="shared" si="169"/>
        <v>14760</v>
      </c>
      <c r="DF140" s="60">
        <v>14306</v>
      </c>
      <c r="DG140" s="60">
        <v>14271</v>
      </c>
      <c r="DH140" s="60">
        <v>14147</v>
      </c>
      <c r="DI140" s="60">
        <v>15296</v>
      </c>
      <c r="DJ140" s="86">
        <f t="shared" si="170"/>
        <v>15296</v>
      </c>
      <c r="DK140" s="59">
        <f ca="1">DK185*DK186</f>
        <v>15871.350821380678</v>
      </c>
      <c r="DL140" s="59">
        <f ca="1">DL185*DL186</f>
        <v>16228.000862203897</v>
      </c>
      <c r="DM140" s="59">
        <f ca="1">DM185*DM186</f>
        <v>16025.930496649098</v>
      </c>
      <c r="DN140" s="59">
        <f ca="1">DN185*DN186</f>
        <v>16337.412913919163</v>
      </c>
      <c r="DO140" s="86">
        <f t="shared" ca="1" si="171"/>
        <v>16337.412913919163</v>
      </c>
      <c r="DP140" s="59">
        <f ca="1">DP185*DP186</f>
        <v>16907.859381380138</v>
      </c>
      <c r="DQ140" s="59">
        <f ca="1">DQ185*DQ186</f>
        <v>17293.350565533146</v>
      </c>
      <c r="DR140" s="59">
        <f ca="1">DR185*DR186</f>
        <v>17067.6911836244</v>
      </c>
      <c r="DS140" s="59">
        <f ca="1">DS185*DS186</f>
        <v>17371.202722859278</v>
      </c>
      <c r="DT140" s="86">
        <f t="shared" ca="1" si="172"/>
        <v>17371.202722859278</v>
      </c>
      <c r="DU140" s="59">
        <f ca="1">DU185*DU186</f>
        <v>17572.379109355654</v>
      </c>
      <c r="DV140" s="59">
        <f ca="1">DV185*DV186</f>
        <v>17944.549764455995</v>
      </c>
      <c r="DW140" s="59">
        <f ca="1">DW185*DW186</f>
        <v>17689.590422109457</v>
      </c>
      <c r="DX140" s="59">
        <f ca="1">DX185*DX186</f>
        <v>17973.634931637855</v>
      </c>
      <c r="DY140" s="86">
        <f t="shared" ca="1" si="173"/>
        <v>17973.634931637855</v>
      </c>
      <c r="DZ140" s="1858">
        <v>0.2</v>
      </c>
      <c r="EA140" s="1858">
        <f>EA$137*DZ140</f>
        <v>8</v>
      </c>
      <c r="EB140" s="1858"/>
    </row>
    <row r="141" spans="1:132" x14ac:dyDescent="0.2">
      <c r="A141" s="1853"/>
      <c r="B141" s="1932" t="s">
        <v>369</v>
      </c>
      <c r="C141" s="1911"/>
      <c r="D141" s="59"/>
      <c r="E141" s="59"/>
      <c r="F141" s="59"/>
      <c r="G141" s="59"/>
      <c r="H141" s="59"/>
      <c r="I141" s="63">
        <v>0</v>
      </c>
      <c r="J141" s="59"/>
      <c r="K141" s="59"/>
      <c r="L141" s="59"/>
      <c r="M141" s="59"/>
      <c r="N141" s="63">
        <v>0</v>
      </c>
      <c r="O141" s="59"/>
      <c r="P141" s="59"/>
      <c r="Q141" s="59"/>
      <c r="R141" s="59"/>
      <c r="S141" s="63">
        <v>248.7</v>
      </c>
      <c r="T141" s="59"/>
      <c r="U141" s="59"/>
      <c r="V141" s="59"/>
      <c r="W141" s="59"/>
      <c r="X141" s="63">
        <v>139.4</v>
      </c>
      <c r="Y141" s="59"/>
      <c r="Z141" s="59"/>
      <c r="AA141" s="59"/>
      <c r="AB141" s="59"/>
      <c r="AC141" s="63">
        <v>124.9</v>
      </c>
      <c r="AD141" s="59"/>
      <c r="AE141" s="59"/>
      <c r="AF141" s="59"/>
      <c r="AG141" s="59"/>
      <c r="AH141" s="63">
        <v>242.6</v>
      </c>
      <c r="AI141" s="59"/>
      <c r="AJ141" s="59"/>
      <c r="AK141" s="59"/>
      <c r="AL141" s="59"/>
      <c r="AM141" s="63">
        <v>216.4</v>
      </c>
      <c r="AN141" s="59"/>
      <c r="AO141" s="59"/>
      <c r="AP141" s="59"/>
      <c r="AQ141" s="59"/>
      <c r="AR141" s="63">
        <v>252.1</v>
      </c>
      <c r="AS141" s="59"/>
      <c r="AT141" s="59"/>
      <c r="AU141" s="59"/>
      <c r="AV141" s="59"/>
      <c r="AW141" s="63">
        <v>243.1</v>
      </c>
      <c r="AX141" s="59"/>
      <c r="AY141" s="59"/>
      <c r="AZ141" s="59"/>
      <c r="BA141" s="59"/>
      <c r="BB141" s="63">
        <v>240.9</v>
      </c>
      <c r="BC141" s="60">
        <v>233.3</v>
      </c>
      <c r="BD141" s="60">
        <v>235.6</v>
      </c>
      <c r="BE141" s="60">
        <v>222.8</v>
      </c>
      <c r="BF141" s="60">
        <v>274.3</v>
      </c>
      <c r="BG141" s="63">
        <v>274.3</v>
      </c>
      <c r="BH141" s="60">
        <v>427.7</v>
      </c>
      <c r="BI141" s="60">
        <v>415.2</v>
      </c>
      <c r="BJ141" s="60">
        <v>430</v>
      </c>
      <c r="BK141" s="60">
        <v>280</v>
      </c>
      <c r="BL141" s="63">
        <v>329.4</v>
      </c>
      <c r="BM141" s="60">
        <v>342.2</v>
      </c>
      <c r="BN141" s="60">
        <v>360.4</v>
      </c>
      <c r="BO141" s="60">
        <v>360.2</v>
      </c>
      <c r="BP141" s="60">
        <v>435.2</v>
      </c>
      <c r="BQ141" s="63">
        <v>435.2</v>
      </c>
      <c r="BR141" s="60">
        <v>419.6</v>
      </c>
      <c r="BS141" s="60">
        <v>405.2</v>
      </c>
      <c r="BT141" s="60">
        <v>424.3</v>
      </c>
      <c r="BU141" s="60">
        <v>506</v>
      </c>
      <c r="BV141" s="61">
        <f t="shared" si="162"/>
        <v>506</v>
      </c>
      <c r="BW141" s="60">
        <v>501</v>
      </c>
      <c r="BX141" s="60">
        <v>498</v>
      </c>
      <c r="BY141" s="60">
        <v>479</v>
      </c>
      <c r="BZ141" s="60">
        <v>511</v>
      </c>
      <c r="CA141" s="61">
        <f t="shared" si="163"/>
        <v>511</v>
      </c>
      <c r="CB141" s="60">
        <v>509</v>
      </c>
      <c r="CC141" s="60">
        <v>502</v>
      </c>
      <c r="CD141" s="60">
        <v>444</v>
      </c>
      <c r="CE141" s="60">
        <v>503</v>
      </c>
      <c r="CF141" s="86">
        <f t="shared" si="164"/>
        <v>503</v>
      </c>
      <c r="CG141" s="60">
        <v>538</v>
      </c>
      <c r="CH141" s="60">
        <v>535</v>
      </c>
      <c r="CI141" s="60">
        <v>535</v>
      </c>
      <c r="CJ141" s="60">
        <v>663</v>
      </c>
      <c r="CK141" s="86">
        <f t="shared" si="165"/>
        <v>663</v>
      </c>
      <c r="CL141" s="60">
        <v>604</v>
      </c>
      <c r="CM141" s="60">
        <v>606</v>
      </c>
      <c r="CN141" s="60">
        <v>558</v>
      </c>
      <c r="CO141" s="60">
        <v>902</v>
      </c>
      <c r="CP141" s="86">
        <f t="shared" si="166"/>
        <v>902</v>
      </c>
      <c r="CQ141" s="60">
        <v>929</v>
      </c>
      <c r="CR141" s="60">
        <v>979</v>
      </c>
      <c r="CS141" s="60">
        <v>1042</v>
      </c>
      <c r="CT141" s="60">
        <v>985</v>
      </c>
      <c r="CU141" s="86">
        <f t="shared" si="167"/>
        <v>985</v>
      </c>
      <c r="CV141" s="60">
        <v>1001</v>
      </c>
      <c r="CW141" s="60">
        <v>989</v>
      </c>
      <c r="CX141" s="60">
        <v>1077</v>
      </c>
      <c r="CY141" s="60">
        <v>1220</v>
      </c>
      <c r="CZ141" s="86">
        <f t="shared" si="168"/>
        <v>1220</v>
      </c>
      <c r="DA141" s="60">
        <v>0</v>
      </c>
      <c r="DB141" s="60">
        <v>0</v>
      </c>
      <c r="DC141" s="60">
        <v>0</v>
      </c>
      <c r="DD141" s="60">
        <v>0</v>
      </c>
      <c r="DE141" s="86">
        <f t="shared" si="169"/>
        <v>0</v>
      </c>
      <c r="DF141" s="60">
        <v>0</v>
      </c>
      <c r="DG141" s="60">
        <v>0</v>
      </c>
      <c r="DH141" s="60">
        <v>0</v>
      </c>
      <c r="DI141" s="60">
        <v>0</v>
      </c>
      <c r="DJ141" s="86">
        <f t="shared" si="170"/>
        <v>0</v>
      </c>
      <c r="DK141" s="59">
        <f t="shared" ref="DK141:DN142" si="174">DJ141</f>
        <v>0</v>
      </c>
      <c r="DL141" s="59">
        <f t="shared" si="174"/>
        <v>0</v>
      </c>
      <c r="DM141" s="59">
        <f t="shared" si="174"/>
        <v>0</v>
      </c>
      <c r="DN141" s="59">
        <f t="shared" si="174"/>
        <v>0</v>
      </c>
      <c r="DO141" s="86">
        <f t="shared" si="171"/>
        <v>0</v>
      </c>
      <c r="DP141" s="59">
        <f t="shared" ref="DP141:DS142" si="175">DO141</f>
        <v>0</v>
      </c>
      <c r="DQ141" s="59">
        <f t="shared" si="175"/>
        <v>0</v>
      </c>
      <c r="DR141" s="59">
        <f t="shared" si="175"/>
        <v>0</v>
      </c>
      <c r="DS141" s="59">
        <f t="shared" si="175"/>
        <v>0</v>
      </c>
      <c r="DT141" s="86">
        <f t="shared" si="172"/>
        <v>0</v>
      </c>
      <c r="DU141" s="59">
        <f t="shared" ref="DU141:DU142" si="176">DT141</f>
        <v>0</v>
      </c>
      <c r="DV141" s="59">
        <f t="shared" ref="DV141:DV142" si="177">DU141</f>
        <v>0</v>
      </c>
      <c r="DW141" s="59">
        <f t="shared" ref="DW141:DW142" si="178">DV141</f>
        <v>0</v>
      </c>
      <c r="DX141" s="59">
        <f t="shared" ref="DX141:DX142" si="179">DW141</f>
        <v>0</v>
      </c>
      <c r="DY141" s="86">
        <f t="shared" si="173"/>
        <v>0</v>
      </c>
      <c r="DZ141" s="1858"/>
      <c r="EA141" s="1858"/>
      <c r="EB141" s="1858"/>
    </row>
    <row r="142" spans="1:132" x14ac:dyDescent="0.2">
      <c r="A142" s="1853"/>
      <c r="B142" s="1933" t="s">
        <v>341</v>
      </c>
      <c r="C142" s="1934"/>
      <c r="D142" s="369"/>
      <c r="E142" s="369"/>
      <c r="F142" s="369"/>
      <c r="G142" s="369"/>
      <c r="H142" s="369"/>
      <c r="I142" s="370">
        <v>196.8</v>
      </c>
      <c r="J142" s="369"/>
      <c r="K142" s="369"/>
      <c r="L142" s="369"/>
      <c r="M142" s="369"/>
      <c r="N142" s="370">
        <v>364.8</v>
      </c>
      <c r="O142" s="369"/>
      <c r="P142" s="369"/>
      <c r="Q142" s="369"/>
      <c r="R142" s="369"/>
      <c r="S142" s="370">
        <v>79.2</v>
      </c>
      <c r="T142" s="369"/>
      <c r="U142" s="369"/>
      <c r="V142" s="369"/>
      <c r="W142" s="369"/>
      <c r="X142" s="370">
        <v>93.8</v>
      </c>
      <c r="Y142" s="369"/>
      <c r="Z142" s="369"/>
      <c r="AA142" s="369"/>
      <c r="AB142" s="369"/>
      <c r="AC142" s="370">
        <v>92.3</v>
      </c>
      <c r="AD142" s="369"/>
      <c r="AE142" s="369"/>
      <c r="AF142" s="369"/>
      <c r="AG142" s="369"/>
      <c r="AH142" s="370">
        <v>90.4</v>
      </c>
      <c r="AI142" s="369"/>
      <c r="AJ142" s="369"/>
      <c r="AK142" s="369"/>
      <c r="AL142" s="369"/>
      <c r="AM142" s="370">
        <v>32.1</v>
      </c>
      <c r="AN142" s="369"/>
      <c r="AO142" s="369"/>
      <c r="AP142" s="369"/>
      <c r="AQ142" s="369"/>
      <c r="AR142" s="370">
        <v>35.1</v>
      </c>
      <c r="AS142" s="369"/>
      <c r="AT142" s="369"/>
      <c r="AU142" s="369"/>
      <c r="AV142" s="369"/>
      <c r="AW142" s="370">
        <v>66</v>
      </c>
      <c r="AX142" s="369"/>
      <c r="AY142" s="369"/>
      <c r="AZ142" s="369"/>
      <c r="BA142" s="369"/>
      <c r="BB142" s="370">
        <v>79</v>
      </c>
      <c r="BC142" s="371">
        <v>91.1</v>
      </c>
      <c r="BD142" s="371">
        <v>111.5</v>
      </c>
      <c r="BE142" s="371">
        <v>113.8</v>
      </c>
      <c r="BF142" s="371">
        <v>100.2</v>
      </c>
      <c r="BG142" s="370">
        <v>100.2</v>
      </c>
      <c r="BH142" s="371">
        <v>153.69999999999999</v>
      </c>
      <c r="BI142" s="371">
        <v>146.69999999999999</v>
      </c>
      <c r="BJ142" s="371">
        <v>146.30000000000001</v>
      </c>
      <c r="BK142" s="371">
        <v>148.1</v>
      </c>
      <c r="BL142" s="370">
        <v>148.1</v>
      </c>
      <c r="BM142" s="371">
        <v>141</v>
      </c>
      <c r="BN142" s="371">
        <v>170.2</v>
      </c>
      <c r="BO142" s="371">
        <v>181.4</v>
      </c>
      <c r="BP142" s="371">
        <f>201.7</f>
        <v>201.7</v>
      </c>
      <c r="BQ142" s="370">
        <v>201.7</v>
      </c>
      <c r="BR142" s="371">
        <v>261</v>
      </c>
      <c r="BS142" s="371">
        <v>220.8</v>
      </c>
      <c r="BT142" s="371">
        <v>169.5</v>
      </c>
      <c r="BU142" s="371">
        <v>140</v>
      </c>
      <c r="BV142" s="372">
        <f t="shared" si="162"/>
        <v>140</v>
      </c>
      <c r="BW142" s="371">
        <v>179</v>
      </c>
      <c r="BX142" s="371">
        <v>171</v>
      </c>
      <c r="BY142" s="371">
        <v>181</v>
      </c>
      <c r="BZ142" s="371">
        <v>144</v>
      </c>
      <c r="CA142" s="372">
        <f t="shared" si="163"/>
        <v>144</v>
      </c>
      <c r="CB142" s="371">
        <v>174</v>
      </c>
      <c r="CC142" s="371">
        <v>327</v>
      </c>
      <c r="CD142" s="371">
        <v>502</v>
      </c>
      <c r="CE142" s="371">
        <v>580</v>
      </c>
      <c r="CF142" s="373">
        <f t="shared" si="164"/>
        <v>580</v>
      </c>
      <c r="CG142" s="371">
        <v>351</v>
      </c>
      <c r="CH142" s="371">
        <v>384</v>
      </c>
      <c r="CI142" s="371">
        <v>212</v>
      </c>
      <c r="CJ142" s="371">
        <v>577</v>
      </c>
      <c r="CK142" s="373">
        <f t="shared" si="165"/>
        <v>577</v>
      </c>
      <c r="CL142" s="371">
        <v>340</v>
      </c>
      <c r="CM142" s="371">
        <v>413</v>
      </c>
      <c r="CN142" s="371">
        <v>401</v>
      </c>
      <c r="CO142" s="371">
        <v>472</v>
      </c>
      <c r="CP142" s="373">
        <f t="shared" si="166"/>
        <v>472</v>
      </c>
      <c r="CQ142" s="371">
        <v>409</v>
      </c>
      <c r="CR142" s="371">
        <v>554</v>
      </c>
      <c r="CS142" s="371">
        <v>644</v>
      </c>
      <c r="CT142" s="371">
        <v>866</v>
      </c>
      <c r="CU142" s="373">
        <f t="shared" si="167"/>
        <v>866</v>
      </c>
      <c r="CV142" s="371">
        <v>594</v>
      </c>
      <c r="CW142" s="371">
        <v>732</v>
      </c>
      <c r="CX142" s="371">
        <v>579</v>
      </c>
      <c r="CY142" s="371">
        <v>722</v>
      </c>
      <c r="CZ142" s="373">
        <f t="shared" si="168"/>
        <v>722</v>
      </c>
      <c r="DA142" s="371">
        <v>612</v>
      </c>
      <c r="DB142" s="371">
        <v>881</v>
      </c>
      <c r="DC142" s="371">
        <v>703</v>
      </c>
      <c r="DD142" s="371">
        <v>660</v>
      </c>
      <c r="DE142" s="373">
        <f t="shared" si="169"/>
        <v>660</v>
      </c>
      <c r="DF142" s="371">
        <v>735</v>
      </c>
      <c r="DG142" s="371">
        <v>690</v>
      </c>
      <c r="DH142" s="371">
        <v>776</v>
      </c>
      <c r="DI142" s="371">
        <v>945</v>
      </c>
      <c r="DJ142" s="373">
        <f t="shared" si="170"/>
        <v>945</v>
      </c>
      <c r="DK142" s="369">
        <f t="shared" si="174"/>
        <v>945</v>
      </c>
      <c r="DL142" s="369">
        <f t="shared" si="174"/>
        <v>945</v>
      </c>
      <c r="DM142" s="369">
        <f t="shared" si="174"/>
        <v>945</v>
      </c>
      <c r="DN142" s="369">
        <f t="shared" si="174"/>
        <v>945</v>
      </c>
      <c r="DO142" s="373">
        <f t="shared" si="171"/>
        <v>945</v>
      </c>
      <c r="DP142" s="369">
        <f t="shared" si="175"/>
        <v>945</v>
      </c>
      <c r="DQ142" s="369">
        <f t="shared" si="175"/>
        <v>945</v>
      </c>
      <c r="DR142" s="369">
        <f t="shared" si="175"/>
        <v>945</v>
      </c>
      <c r="DS142" s="369">
        <f t="shared" si="175"/>
        <v>945</v>
      </c>
      <c r="DT142" s="373">
        <f t="shared" si="172"/>
        <v>945</v>
      </c>
      <c r="DU142" s="369">
        <f t="shared" si="176"/>
        <v>945</v>
      </c>
      <c r="DV142" s="369">
        <f t="shared" si="177"/>
        <v>945</v>
      </c>
      <c r="DW142" s="369">
        <f t="shared" si="178"/>
        <v>945</v>
      </c>
      <c r="DX142" s="369">
        <f t="shared" si="179"/>
        <v>945</v>
      </c>
      <c r="DY142" s="373">
        <f t="shared" si="173"/>
        <v>945</v>
      </c>
      <c r="DZ142" s="1858"/>
      <c r="EA142" s="1858"/>
      <c r="EB142" s="1858"/>
    </row>
    <row r="143" spans="1:132" x14ac:dyDescent="0.2">
      <c r="A143" s="1869"/>
      <c r="B143" s="1935" t="s">
        <v>370</v>
      </c>
      <c r="C143" s="1936"/>
      <c r="D143" s="73"/>
      <c r="E143" s="73"/>
      <c r="F143" s="73"/>
      <c r="G143" s="73"/>
      <c r="H143" s="73"/>
      <c r="I143" s="76">
        <f>SUM(I137:I139)+I140+I141+I142</f>
        <v>3528.9</v>
      </c>
      <c r="J143" s="73"/>
      <c r="K143" s="73"/>
      <c r="L143" s="73"/>
      <c r="M143" s="73"/>
      <c r="N143" s="76">
        <f>SUM(N137:N139)+N140+N141+N142</f>
        <v>3892.1000000000004</v>
      </c>
      <c r="O143" s="73"/>
      <c r="P143" s="73"/>
      <c r="Q143" s="73"/>
      <c r="R143" s="73"/>
      <c r="S143" s="76">
        <f>SUM(S137:S139)+S140+S141+S142</f>
        <v>4349.2</v>
      </c>
      <c r="T143" s="73"/>
      <c r="U143" s="73"/>
      <c r="V143" s="73"/>
      <c r="W143" s="73"/>
      <c r="X143" s="76">
        <f>SUM(X137:X139)+X140+X141+X142</f>
        <v>4608</v>
      </c>
      <c r="Y143" s="73"/>
      <c r="Z143" s="73"/>
      <c r="AA143" s="73"/>
      <c r="AB143" s="73"/>
      <c r="AC143" s="76">
        <f>SUM(AC137:AC139)+AC140+AC141+AC142</f>
        <v>4936.5999999999995</v>
      </c>
      <c r="AD143" s="73"/>
      <c r="AE143" s="73"/>
      <c r="AF143" s="73"/>
      <c r="AG143" s="73"/>
      <c r="AH143" s="76">
        <f>SUM(AH137:AH139)+AH140+AH141+AH142</f>
        <v>5454.1</v>
      </c>
      <c r="AI143" s="73"/>
      <c r="AJ143" s="73"/>
      <c r="AK143" s="73"/>
      <c r="AL143" s="73"/>
      <c r="AM143" s="76">
        <f>SUM(AM137:AM139)+AM140+AM141+AM142</f>
        <v>5982.1</v>
      </c>
      <c r="AN143" s="73"/>
      <c r="AO143" s="73"/>
      <c r="AP143" s="73"/>
      <c r="AQ143" s="73"/>
      <c r="AR143" s="76">
        <f>SUM(AR137:AR139)+AR140+AR141+AR142</f>
        <v>6496.5000000000009</v>
      </c>
      <c r="AS143" s="73"/>
      <c r="AT143" s="73"/>
      <c r="AU143" s="73"/>
      <c r="AV143" s="73"/>
      <c r="AW143" s="76">
        <f>SUM(AW137:AW139)+AW140+AW141+AW142</f>
        <v>7919.5</v>
      </c>
      <c r="AX143" s="73"/>
      <c r="AY143" s="73"/>
      <c r="AZ143" s="73"/>
      <c r="BA143" s="73"/>
      <c r="BB143" s="76">
        <f t="shared" ref="BB143:DJ143" si="180">SUM(BB137:BB139)+BB140+BB141+BB142</f>
        <v>8392.7000000000007</v>
      </c>
      <c r="BC143" s="75">
        <f t="shared" si="180"/>
        <v>8431.2999999999993</v>
      </c>
      <c r="BD143" s="75">
        <f t="shared" si="180"/>
        <v>9549.7000000000007</v>
      </c>
      <c r="BE143" s="75">
        <f t="shared" si="180"/>
        <v>9943.0999999999985</v>
      </c>
      <c r="BF143" s="75">
        <f t="shared" si="180"/>
        <v>10391.5</v>
      </c>
      <c r="BG143" s="76">
        <f t="shared" si="180"/>
        <v>10391.5</v>
      </c>
      <c r="BH143" s="75">
        <f t="shared" si="180"/>
        <v>13232.100000000002</v>
      </c>
      <c r="BI143" s="75">
        <f t="shared" si="180"/>
        <v>13530.400000000001</v>
      </c>
      <c r="BJ143" s="75">
        <f t="shared" si="180"/>
        <v>13735.4</v>
      </c>
      <c r="BK143" s="75">
        <f t="shared" si="180"/>
        <v>14100.000000000002</v>
      </c>
      <c r="BL143" s="76">
        <f t="shared" si="180"/>
        <v>14149.400000000001</v>
      </c>
      <c r="BM143" s="75">
        <f t="shared" si="180"/>
        <v>13914.2</v>
      </c>
      <c r="BN143" s="75">
        <f t="shared" si="180"/>
        <v>13605.4</v>
      </c>
      <c r="BO143" s="75">
        <f t="shared" si="180"/>
        <v>14968.800000000001</v>
      </c>
      <c r="BP143" s="75">
        <f t="shared" si="180"/>
        <v>16526.2</v>
      </c>
      <c r="BQ143" s="76">
        <f t="shared" si="180"/>
        <v>16526.2</v>
      </c>
      <c r="BR143" s="75">
        <f t="shared" si="180"/>
        <v>16088.6</v>
      </c>
      <c r="BS143" s="75">
        <f t="shared" si="180"/>
        <v>16771.599999999999</v>
      </c>
      <c r="BT143" s="75">
        <f t="shared" si="180"/>
        <v>17397.899999999998</v>
      </c>
      <c r="BU143" s="75">
        <f t="shared" si="180"/>
        <v>17537</v>
      </c>
      <c r="BV143" s="76">
        <f t="shared" si="180"/>
        <v>17537</v>
      </c>
      <c r="BW143" s="75">
        <f t="shared" si="180"/>
        <v>17155</v>
      </c>
      <c r="BX143" s="75">
        <f t="shared" si="180"/>
        <v>17270.000000000004</v>
      </c>
      <c r="BY143" s="75">
        <f t="shared" si="180"/>
        <v>17339.000000000004</v>
      </c>
      <c r="BZ143" s="75">
        <f t="shared" si="180"/>
        <v>17706.000000000004</v>
      </c>
      <c r="CA143" s="76">
        <f t="shared" si="180"/>
        <v>17706.000000000004</v>
      </c>
      <c r="CB143" s="75">
        <f t="shared" si="180"/>
        <v>18380</v>
      </c>
      <c r="CC143" s="75">
        <f t="shared" si="180"/>
        <v>19065</v>
      </c>
      <c r="CD143" s="73">
        <f t="shared" si="180"/>
        <v>18938</v>
      </c>
      <c r="CE143" s="73">
        <f t="shared" si="180"/>
        <v>18594</v>
      </c>
      <c r="CF143" s="323">
        <f t="shared" si="180"/>
        <v>18594</v>
      </c>
      <c r="CG143" s="73">
        <f t="shared" si="180"/>
        <v>19891</v>
      </c>
      <c r="CH143" s="73">
        <f t="shared" si="180"/>
        <v>19299</v>
      </c>
      <c r="CI143" s="73">
        <f t="shared" si="180"/>
        <v>18879</v>
      </c>
      <c r="CJ143" s="73">
        <f t="shared" si="180"/>
        <v>19852</v>
      </c>
      <c r="CK143" s="323">
        <f t="shared" si="180"/>
        <v>19852</v>
      </c>
      <c r="CL143" s="73">
        <f t="shared" si="180"/>
        <v>19727</v>
      </c>
      <c r="CM143" s="73">
        <f t="shared" si="180"/>
        <v>19869</v>
      </c>
      <c r="CN143" s="73">
        <f t="shared" si="180"/>
        <v>21432</v>
      </c>
      <c r="CO143" s="73">
        <f>SUM(CO137:CO139)+CO140+CO141+CO142</f>
        <v>25325</v>
      </c>
      <c r="CP143" s="323">
        <f t="shared" si="180"/>
        <v>25325</v>
      </c>
      <c r="CQ143" s="73">
        <f t="shared" si="180"/>
        <v>24460</v>
      </c>
      <c r="CR143" s="73">
        <f t="shared" si="180"/>
        <v>24138</v>
      </c>
      <c r="CS143" s="73">
        <f t="shared" si="180"/>
        <v>25337</v>
      </c>
      <c r="CT143" s="73">
        <f t="shared" si="180"/>
        <v>25983</v>
      </c>
      <c r="CU143" s="323">
        <f t="shared" si="180"/>
        <v>25983</v>
      </c>
      <c r="CV143" s="73">
        <f t="shared" si="180"/>
        <v>25622</v>
      </c>
      <c r="CW143" s="73">
        <f>SUM(CW137:CW139)+CW140+CW141+CW142</f>
        <v>26401</v>
      </c>
      <c r="CX143" s="73">
        <f>SUM(CX137:CX139)+CX140+CX141+CX142</f>
        <v>30753</v>
      </c>
      <c r="CY143" s="73">
        <f>SUM(CY137:CY139)+CY140+CY141+CY142</f>
        <v>30378</v>
      </c>
      <c r="CZ143" s="323">
        <f t="shared" si="180"/>
        <v>30378</v>
      </c>
      <c r="DA143" s="73">
        <f>SUM(DA137:DA139)+DA140+DA141+DA142</f>
        <v>29413</v>
      </c>
      <c r="DB143" s="73">
        <f>SUM(DB137:DB139)+DB140+DB141+DB142</f>
        <v>29448</v>
      </c>
      <c r="DC143" s="73">
        <f>SUM(DC137:DC139)+DC140+DC141+DC142</f>
        <v>30939</v>
      </c>
      <c r="DD143" s="73">
        <f>SUM(DD137:DD139)+DD140+DD141+DD142</f>
        <v>31042</v>
      </c>
      <c r="DE143" s="323">
        <f t="shared" si="180"/>
        <v>31042</v>
      </c>
      <c r="DF143" s="73">
        <f>SUM(DF137:DF139)+DF140+DF141+DF142</f>
        <v>29457</v>
      </c>
      <c r="DG143" s="73">
        <f>SUM(DG137:DG139)+DG140+DG141+DG142</f>
        <v>29404</v>
      </c>
      <c r="DH143" s="73">
        <f>SUM(DH137:DH139)+DH140+DH141+DH142</f>
        <v>29923</v>
      </c>
      <c r="DI143" s="73">
        <f>SUM(DI137:DI139)+DI140+DI141+DI142</f>
        <v>31229</v>
      </c>
      <c r="DJ143" s="323">
        <f t="shared" si="180"/>
        <v>31229</v>
      </c>
      <c r="DK143" s="73">
        <f t="shared" ref="DK143:DT143" ca="1" si="181">SUM(DK137:DK139)+DK140+DK141+DK142</f>
        <v>30216.284014303907</v>
      </c>
      <c r="DL143" s="73">
        <f t="shared" ca="1" si="181"/>
        <v>71098.63733050639</v>
      </c>
      <c r="DM143" s="73">
        <f t="shared" ca="1" si="181"/>
        <v>71875.864634178186</v>
      </c>
      <c r="DN143" s="73">
        <f t="shared" ca="1" si="181"/>
        <v>74268.269483225318</v>
      </c>
      <c r="DO143" s="323">
        <f t="shared" ca="1" si="181"/>
        <v>74268.269483225318</v>
      </c>
      <c r="DP143" s="73">
        <f t="shared" ca="1" si="181"/>
        <v>73369.920640937096</v>
      </c>
      <c r="DQ143" s="73">
        <f t="shared" ca="1" si="181"/>
        <v>75931.758606947755</v>
      </c>
      <c r="DR143" s="73">
        <f t="shared" ca="1" si="181"/>
        <v>76566.383917669242</v>
      </c>
      <c r="DS143" s="73">
        <f t="shared" ca="1" si="181"/>
        <v>78881.780906929329</v>
      </c>
      <c r="DT143" s="323">
        <f t="shared" ca="1" si="181"/>
        <v>78881.780906929329</v>
      </c>
      <c r="DU143" s="73">
        <f t="shared" ref="DU143:DY143" ca="1" si="182">SUM(DU137:DU139)+DU140+DU141+DU142</f>
        <v>77529.513362250626</v>
      </c>
      <c r="DV143" s="73">
        <f t="shared" ca="1" si="182"/>
        <v>79987.259601187616</v>
      </c>
      <c r="DW143" s="73">
        <f t="shared" ca="1" si="182"/>
        <v>80453.574430784996</v>
      </c>
      <c r="DX143" s="73">
        <f t="shared" ca="1" si="182"/>
        <v>82648.294314310129</v>
      </c>
      <c r="DY143" s="323">
        <f t="shared" ca="1" si="182"/>
        <v>82648.294314310129</v>
      </c>
      <c r="DZ143" s="1858"/>
      <c r="EA143" s="1872"/>
      <c r="EB143" s="1872"/>
    </row>
    <row r="144" spans="1:132" x14ac:dyDescent="0.2">
      <c r="A144" s="1853"/>
      <c r="B144" s="1932"/>
      <c r="C144" s="1911"/>
      <c r="D144" s="59"/>
      <c r="E144" s="59"/>
      <c r="F144" s="59"/>
      <c r="G144" s="59"/>
      <c r="H144" s="59"/>
      <c r="I144" s="86"/>
      <c r="J144" s="59"/>
      <c r="K144" s="59"/>
      <c r="L144" s="59"/>
      <c r="M144" s="59"/>
      <c r="N144" s="86"/>
      <c r="O144" s="59"/>
      <c r="P144" s="59"/>
      <c r="Q144" s="59"/>
      <c r="R144" s="59"/>
      <c r="S144" s="86"/>
      <c r="T144" s="59"/>
      <c r="U144" s="59"/>
      <c r="V144" s="59"/>
      <c r="W144" s="59"/>
      <c r="X144" s="86"/>
      <c r="Y144" s="59"/>
      <c r="Z144" s="59"/>
      <c r="AA144" s="59"/>
      <c r="AB144" s="59"/>
      <c r="AC144" s="86"/>
      <c r="AD144" s="59"/>
      <c r="AE144" s="59"/>
      <c r="AF144" s="59"/>
      <c r="AG144" s="59"/>
      <c r="AH144" s="86"/>
      <c r="AI144" s="59"/>
      <c r="AJ144" s="59"/>
      <c r="AK144" s="59"/>
      <c r="AL144" s="59"/>
      <c r="AM144" s="61">
        <f>AM148+AM142</f>
        <v>249.2</v>
      </c>
      <c r="AN144" s="59"/>
      <c r="AO144" s="59"/>
      <c r="AP144" s="59"/>
      <c r="AQ144" s="59"/>
      <c r="AR144" s="86"/>
      <c r="AS144" s="59"/>
      <c r="AT144" s="59"/>
      <c r="AU144" s="59"/>
      <c r="AV144" s="59"/>
      <c r="AW144" s="86"/>
      <c r="AX144" s="59"/>
      <c r="AY144" s="59"/>
      <c r="AZ144" s="59"/>
      <c r="BA144" s="59"/>
      <c r="BB144" s="86"/>
      <c r="BC144" s="59"/>
      <c r="BD144" s="59"/>
      <c r="BE144" s="59"/>
      <c r="BF144" s="59"/>
      <c r="BG144" s="86"/>
      <c r="BH144" s="59"/>
      <c r="BI144" s="59"/>
      <c r="BJ144" s="59"/>
      <c r="BK144" s="59"/>
      <c r="BL144" s="86"/>
      <c r="BM144" s="59"/>
      <c r="BN144" s="59"/>
      <c r="BO144" s="59"/>
      <c r="BP144" s="59"/>
      <c r="BQ144" s="86"/>
      <c r="BR144" s="59"/>
      <c r="BS144" s="59"/>
      <c r="BT144" s="59"/>
      <c r="BU144" s="59"/>
      <c r="BV144" s="86"/>
      <c r="BW144" s="59"/>
      <c r="BX144" s="59"/>
      <c r="BY144" s="59"/>
      <c r="BZ144" s="59"/>
      <c r="CA144" s="86"/>
      <c r="CB144" s="59"/>
      <c r="CC144" s="59"/>
      <c r="CD144" s="59"/>
      <c r="CE144" s="59"/>
      <c r="CF144" s="86"/>
      <c r="CG144" s="59"/>
      <c r="CH144" s="59"/>
      <c r="CI144" s="59"/>
      <c r="CJ144" s="59"/>
      <c r="CK144" s="86"/>
      <c r="CL144" s="59"/>
      <c r="CM144" s="59"/>
      <c r="CN144" s="59"/>
      <c r="CO144" s="59"/>
      <c r="CP144" s="86"/>
      <c r="CQ144" s="59"/>
      <c r="CR144" s="59"/>
      <c r="CS144" s="59"/>
      <c r="CT144" s="59"/>
      <c r="CU144" s="86"/>
      <c r="CV144" s="59"/>
      <c r="CW144" s="59"/>
      <c r="CX144" s="59"/>
      <c r="CY144" s="59"/>
      <c r="CZ144" s="86"/>
      <c r="DA144" s="59"/>
      <c r="DB144" s="59"/>
      <c r="DC144" s="59"/>
      <c r="DD144" s="59"/>
      <c r="DE144" s="86"/>
      <c r="DF144" s="59"/>
      <c r="DG144" s="59"/>
      <c r="DH144" s="59"/>
      <c r="DI144" s="59"/>
      <c r="DJ144" s="86"/>
      <c r="DK144" s="59"/>
      <c r="DL144" s="59"/>
      <c r="DM144" s="59"/>
      <c r="DN144" s="59"/>
      <c r="DO144" s="86"/>
      <c r="DP144" s="59"/>
      <c r="DQ144" s="59"/>
      <c r="DR144" s="59"/>
      <c r="DS144" s="59"/>
      <c r="DT144" s="86"/>
      <c r="DU144" s="59"/>
      <c r="DV144" s="59"/>
      <c r="DW144" s="59"/>
      <c r="DX144" s="59"/>
      <c r="DY144" s="86"/>
      <c r="DZ144" s="1858"/>
      <c r="EA144" s="1858"/>
      <c r="EB144" s="1858"/>
    </row>
    <row r="145" spans="1:132" x14ac:dyDescent="0.2">
      <c r="A145" s="1853"/>
      <c r="B145" s="58" t="s">
        <v>371</v>
      </c>
      <c r="C145" s="59"/>
      <c r="D145" s="59"/>
      <c r="E145" s="59"/>
      <c r="F145" s="59"/>
      <c r="G145" s="59"/>
      <c r="H145" s="59"/>
      <c r="I145" s="63">
        <v>965.5</v>
      </c>
      <c r="J145" s="59"/>
      <c r="K145" s="59"/>
      <c r="L145" s="59"/>
      <c r="M145" s="59"/>
      <c r="N145" s="63">
        <v>1072.3</v>
      </c>
      <c r="O145" s="59"/>
      <c r="P145" s="59"/>
      <c r="Q145" s="59"/>
      <c r="R145" s="59"/>
      <c r="S145" s="61">
        <f>S146-S147</f>
        <v>1351.1999999999998</v>
      </c>
      <c r="T145" s="59"/>
      <c r="U145" s="59"/>
      <c r="V145" s="59"/>
      <c r="W145" s="59"/>
      <c r="X145" s="61">
        <f>X146-X147</f>
        <v>1601</v>
      </c>
      <c r="Y145" s="59"/>
      <c r="Z145" s="59"/>
      <c r="AA145" s="59"/>
      <c r="AB145" s="59"/>
      <c r="AC145" s="61">
        <f>AC146-AC147</f>
        <v>1742.1000000000001</v>
      </c>
      <c r="AD145" s="59"/>
      <c r="AE145" s="59"/>
      <c r="AF145" s="59"/>
      <c r="AG145" s="59"/>
      <c r="AH145" s="61">
        <f>AH146-AH147</f>
        <v>1847.3</v>
      </c>
      <c r="AI145" s="59"/>
      <c r="AJ145" s="59"/>
      <c r="AK145" s="59"/>
      <c r="AL145" s="59"/>
      <c r="AM145" s="61">
        <f>AM146-AM147</f>
        <v>2215.8000000000002</v>
      </c>
      <c r="AN145" s="59"/>
      <c r="AO145" s="59"/>
      <c r="AP145" s="59"/>
      <c r="AQ145" s="59"/>
      <c r="AR145" s="63">
        <v>2542.1</v>
      </c>
      <c r="AS145" s="59"/>
      <c r="AT145" s="59"/>
      <c r="AU145" s="59"/>
      <c r="AV145" s="59"/>
      <c r="AW145" s="63">
        <v>3505.9</v>
      </c>
      <c r="AX145" s="59"/>
      <c r="AY145" s="59"/>
      <c r="AZ145" s="59"/>
      <c r="BA145" s="59"/>
      <c r="BB145" s="63">
        <v>3952.6</v>
      </c>
      <c r="BC145" s="60">
        <v>4096.3999999999996</v>
      </c>
      <c r="BD145" s="60">
        <v>5839.5</v>
      </c>
      <c r="BE145" s="60">
        <v>6192.6</v>
      </c>
      <c r="BF145" s="60">
        <v>5333.6</v>
      </c>
      <c r="BG145" s="63">
        <v>5333.6</v>
      </c>
      <c r="BH145" s="60">
        <v>5675.2</v>
      </c>
      <c r="BI145" s="60">
        <v>5870.7</v>
      </c>
      <c r="BJ145" s="60">
        <v>6075.1</v>
      </c>
      <c r="BK145" s="60">
        <v>5852.8</v>
      </c>
      <c r="BL145" s="63">
        <v>5852.8</v>
      </c>
      <c r="BM145" s="60">
        <v>6021.5</v>
      </c>
      <c r="BN145" s="60">
        <v>6305.1</v>
      </c>
      <c r="BO145" s="60">
        <v>6489.5</v>
      </c>
      <c r="BP145" s="60">
        <v>8125.2</v>
      </c>
      <c r="BQ145" s="63">
        <v>8125.2</v>
      </c>
      <c r="BR145" s="60">
        <v>8325.4</v>
      </c>
      <c r="BS145" s="60">
        <v>8119.7</v>
      </c>
      <c r="BT145" s="60">
        <v>8277.4</v>
      </c>
      <c r="BU145" s="60">
        <v>7923</v>
      </c>
      <c r="BV145" s="61">
        <f>BU145</f>
        <v>7923</v>
      </c>
      <c r="BW145" s="60">
        <v>8044</v>
      </c>
      <c r="BX145" s="60">
        <v>8248</v>
      </c>
      <c r="BY145" s="60">
        <v>8356</v>
      </c>
      <c r="BZ145" s="60">
        <v>8322</v>
      </c>
      <c r="CA145" s="61">
        <f>BZ145</f>
        <v>8322</v>
      </c>
      <c r="CB145" s="60">
        <v>8350</v>
      </c>
      <c r="CC145" s="60">
        <v>8483</v>
      </c>
      <c r="CD145" s="60">
        <v>8642</v>
      </c>
      <c r="CE145" s="60">
        <v>8467</v>
      </c>
      <c r="CF145" s="86">
        <f>CE145</f>
        <v>8467</v>
      </c>
      <c r="CG145" s="59">
        <v>8517</v>
      </c>
      <c r="CH145" s="59">
        <v>8614</v>
      </c>
      <c r="CI145" s="59">
        <v>8369</v>
      </c>
      <c r="CJ145" s="59">
        <v>8632</v>
      </c>
      <c r="CK145" s="86">
        <f>CJ145</f>
        <v>8632</v>
      </c>
      <c r="CL145" s="60">
        <v>8556</v>
      </c>
      <c r="CM145" s="60">
        <v>8708</v>
      </c>
      <c r="CN145" s="60">
        <v>8749</v>
      </c>
      <c r="CO145" s="60">
        <v>8615</v>
      </c>
      <c r="CP145" s="86">
        <f>CO145</f>
        <v>8615</v>
      </c>
      <c r="CQ145" s="60">
        <v>8676</v>
      </c>
      <c r="CR145" s="60">
        <v>8820</v>
      </c>
      <c r="CS145" s="60">
        <v>8694</v>
      </c>
      <c r="CT145" s="60">
        <v>8843</v>
      </c>
      <c r="CU145" s="86">
        <f>CT145</f>
        <v>8843</v>
      </c>
      <c r="CV145" s="60">
        <v>8871</v>
      </c>
      <c r="CW145" s="60">
        <v>9019</v>
      </c>
      <c r="CX145" s="60">
        <v>9494</v>
      </c>
      <c r="CY145" s="60">
        <v>9855</v>
      </c>
      <c r="CZ145" s="86">
        <f>CY145</f>
        <v>9855</v>
      </c>
      <c r="DA145" s="60">
        <v>9862</v>
      </c>
      <c r="DB145" s="60">
        <v>9981</v>
      </c>
      <c r="DC145" s="60">
        <v>9901</v>
      </c>
      <c r="DD145" s="60">
        <v>10175</v>
      </c>
      <c r="DE145" s="86">
        <f>DD145</f>
        <v>10175</v>
      </c>
      <c r="DF145" s="60">
        <v>10057</v>
      </c>
      <c r="DG145" s="60">
        <v>10073</v>
      </c>
      <c r="DH145" s="60">
        <v>9914</v>
      </c>
      <c r="DI145" s="60">
        <v>10292</v>
      </c>
      <c r="DJ145" s="86">
        <f>DI145</f>
        <v>10292</v>
      </c>
      <c r="DK145" s="59">
        <f>DJ145-'BS and CFS'!DK11-'BS and CFS'!DK37-'BS and CFS'!DK39-'BS and CFS'!DK40-'BS and CFS'!DK38</f>
        <v>10241.736000000001</v>
      </c>
      <c r="DL145" s="59">
        <f>DK145-'BS and CFS'!DL11-'BS and CFS'!DL37-'BS and CFS'!DL39-'BS and CFS'!DL40-'BS and CFS'!DL38</f>
        <v>10174.67</v>
      </c>
      <c r="DM145" s="59">
        <f>DL145-'BS and CFS'!DM11-'BS and CFS'!DM37-'BS and CFS'!DM39-'BS and CFS'!DM40-'BS and CFS'!DM38</f>
        <v>10207.281999999999</v>
      </c>
      <c r="DN145" s="59">
        <f>DM145-'BS and CFS'!DN11-'BS and CFS'!DN37-'BS and CFS'!DN39-'BS and CFS'!DN40-'BS and CFS'!DN38</f>
        <v>10206.018</v>
      </c>
      <c r="DO145" s="86">
        <f>DN145</f>
        <v>10206.018</v>
      </c>
      <c r="DP145" s="59">
        <f>DO145-'BS and CFS'!DP11-'BS and CFS'!DP37-'BS and CFS'!DP39-'BS and CFS'!DP40-'BS and CFS'!DP38</f>
        <v>10171.575088000001</v>
      </c>
      <c r="DQ145" s="59">
        <f>DP145-'BS and CFS'!DQ11-'BS and CFS'!DQ37-'BS and CFS'!DQ39-'BS and CFS'!DQ40-'BS and CFS'!DQ38</f>
        <v>10113.168948000002</v>
      </c>
      <c r="DR145" s="59">
        <f>DQ145-'BS and CFS'!DR11-'BS and CFS'!DR37-'BS and CFS'!DR39-'BS and CFS'!DR40-'BS and CFS'!DR38</f>
        <v>10149.183104000002</v>
      </c>
      <c r="DS145" s="59">
        <f>DR145-'BS and CFS'!DS11-'BS and CFS'!DS37-'BS and CFS'!DS39-'BS and CFS'!DS40-'BS and CFS'!DS38</f>
        <v>10166.710348000002</v>
      </c>
      <c r="DT145" s="86">
        <f>DS145</f>
        <v>10166.710348000002</v>
      </c>
      <c r="DU145" s="59">
        <f>DT145-'BS and CFS'!DU11-'BS and CFS'!DU37-'BS and CFS'!DU39-'BS and CFS'!DU40-'BS and CFS'!DU38</f>
        <v>10149.335494304001</v>
      </c>
      <c r="DV145" s="59">
        <f>DU145-'BS and CFS'!DV11-'BS and CFS'!DV37-'BS and CFS'!DV39-'BS and CFS'!DV40-'BS and CFS'!DV38</f>
        <v>10106.830298488001</v>
      </c>
      <c r="DW145" s="59">
        <f>DV145-'BS and CFS'!DW11-'BS and CFS'!DW37-'BS and CFS'!DW39-'BS and CFS'!DW40-'BS and CFS'!DW38</f>
        <v>10161.476208120001</v>
      </c>
      <c r="DX145" s="59">
        <f>DW145-'BS and CFS'!DX11-'BS and CFS'!DX37-'BS and CFS'!DX39-'BS and CFS'!DX40-'BS and CFS'!DX38</f>
        <v>10196.289773504001</v>
      </c>
      <c r="DY145" s="86">
        <f>DX145</f>
        <v>10196.289773504001</v>
      </c>
      <c r="DZ145" s="1858"/>
      <c r="EA145" s="1858"/>
      <c r="EB145" s="1858"/>
    </row>
    <row r="146" spans="1:132" outlineLevel="1" x14ac:dyDescent="0.2">
      <c r="A146" s="1853"/>
      <c r="B146" s="58" t="s">
        <v>372</v>
      </c>
      <c r="C146" s="59"/>
      <c r="D146" s="59"/>
      <c r="E146" s="59"/>
      <c r="F146" s="59"/>
      <c r="G146" s="59"/>
      <c r="H146" s="59"/>
      <c r="I146" s="63">
        <v>1471.6</v>
      </c>
      <c r="J146" s="59"/>
      <c r="K146" s="59"/>
      <c r="L146" s="59"/>
      <c r="M146" s="59"/>
      <c r="N146" s="63">
        <v>1630</v>
      </c>
      <c r="O146" s="59"/>
      <c r="P146" s="59"/>
      <c r="Q146" s="59"/>
      <c r="R146" s="59"/>
      <c r="S146" s="63">
        <v>2039.8</v>
      </c>
      <c r="T146" s="59"/>
      <c r="U146" s="59"/>
      <c r="V146" s="59"/>
      <c r="W146" s="59"/>
      <c r="X146" s="63">
        <v>2404.6</v>
      </c>
      <c r="Y146" s="59"/>
      <c r="Z146" s="59"/>
      <c r="AA146" s="59"/>
      <c r="AB146" s="59"/>
      <c r="AC146" s="63">
        <v>2601.3000000000002</v>
      </c>
      <c r="AD146" s="59"/>
      <c r="AE146" s="59"/>
      <c r="AF146" s="59"/>
      <c r="AG146" s="59"/>
      <c r="AH146" s="63">
        <v>2818.1</v>
      </c>
      <c r="AI146" s="59"/>
      <c r="AJ146" s="59"/>
      <c r="AK146" s="59"/>
      <c r="AL146" s="59"/>
      <c r="AM146" s="63">
        <v>3405.6</v>
      </c>
      <c r="AN146" s="59"/>
      <c r="AO146" s="59"/>
      <c r="AP146" s="59"/>
      <c r="AQ146" s="59"/>
      <c r="AR146" s="86"/>
      <c r="AS146" s="59"/>
      <c r="AT146" s="59"/>
      <c r="AU146" s="59"/>
      <c r="AV146" s="59"/>
      <c r="AW146" s="86"/>
      <c r="AX146" s="59"/>
      <c r="AY146" s="59"/>
      <c r="AZ146" s="59"/>
      <c r="BA146" s="59"/>
      <c r="BB146" s="86"/>
      <c r="BC146" s="59"/>
      <c r="BD146" s="59"/>
      <c r="BE146" s="59"/>
      <c r="BF146" s="59"/>
      <c r="BG146" s="86"/>
      <c r="BH146" s="59"/>
      <c r="BI146" s="59"/>
      <c r="BJ146" s="59"/>
      <c r="BK146" s="59"/>
      <c r="BL146" s="86"/>
      <c r="BM146" s="59"/>
      <c r="BN146" s="59"/>
      <c r="BO146" s="59"/>
      <c r="BP146" s="59"/>
      <c r="BQ146" s="61">
        <f>BL146-'BS and CFS'!BQ37</f>
        <v>2179.9</v>
      </c>
      <c r="BR146" s="59"/>
      <c r="BS146" s="59"/>
      <c r="BT146" s="59"/>
      <c r="BU146" s="62">
        <f>BT146-'BS and CFS'!BU37</f>
        <v>795.5</v>
      </c>
      <c r="BV146" s="61">
        <f>BQ146-'BS and CFS'!BV37</f>
        <v>4727.8999999999996</v>
      </c>
      <c r="BW146" s="62">
        <f>DZ146-'BS and CFS'!BW37</f>
        <v>401</v>
      </c>
      <c r="BX146" s="62">
        <f>BW146-'BS and CFS'!BX37</f>
        <v>866</v>
      </c>
      <c r="BY146" s="62">
        <f>BX146-'BS and CFS'!BY37</f>
        <v>1379</v>
      </c>
      <c r="BZ146" s="62">
        <f>BY146-'BS and CFS'!BZ37</f>
        <v>2005</v>
      </c>
      <c r="CA146" s="61">
        <f>BV146-'BS and CFS'!CA37</f>
        <v>6732.9</v>
      </c>
      <c r="CB146" s="59"/>
      <c r="CC146" s="59"/>
      <c r="CD146" s="60"/>
      <c r="CE146" s="60"/>
      <c r="CF146" s="86"/>
      <c r="CG146" s="59"/>
      <c r="CH146" s="59"/>
      <c r="CI146" s="59"/>
      <c r="CJ146" s="59"/>
      <c r="CK146" s="86"/>
      <c r="CL146" s="60"/>
      <c r="CM146" s="60"/>
      <c r="CN146" s="60"/>
      <c r="CO146" s="60"/>
      <c r="CP146" s="86"/>
      <c r="CQ146" s="60"/>
      <c r="CR146" s="60"/>
      <c r="CS146" s="60"/>
      <c r="CT146" s="60"/>
      <c r="CU146" s="86"/>
      <c r="CV146" s="60"/>
      <c r="CW146" s="60"/>
      <c r="CX146" s="60"/>
      <c r="CY146" s="60"/>
      <c r="CZ146" s="86"/>
      <c r="DA146" s="60"/>
      <c r="DB146" s="60"/>
      <c r="DC146" s="60"/>
      <c r="DD146" s="60"/>
      <c r="DE146" s="86"/>
      <c r="DF146" s="60"/>
      <c r="DG146" s="60"/>
      <c r="DH146" s="60"/>
      <c r="DI146" s="60"/>
      <c r="DJ146" s="86"/>
      <c r="DK146" s="59"/>
      <c r="DL146" s="59"/>
      <c r="DM146" s="59"/>
      <c r="DN146" s="59"/>
      <c r="DO146" s="86"/>
      <c r="DP146" s="59"/>
      <c r="DQ146" s="59"/>
      <c r="DR146" s="59"/>
      <c r="DS146" s="59"/>
      <c r="DT146" s="86"/>
      <c r="DU146" s="59"/>
      <c r="DV146" s="59"/>
      <c r="DW146" s="59"/>
      <c r="DX146" s="59"/>
      <c r="DY146" s="86"/>
      <c r="DZ146" s="1858"/>
      <c r="EA146" s="1858"/>
      <c r="EB146" s="1858"/>
    </row>
    <row r="147" spans="1:132" outlineLevel="1" x14ac:dyDescent="0.2">
      <c r="A147" s="1853"/>
      <c r="B147" s="58" t="s">
        <v>373</v>
      </c>
      <c r="C147" s="59"/>
      <c r="D147" s="59"/>
      <c r="E147" s="59"/>
      <c r="F147" s="59"/>
      <c r="G147" s="59"/>
      <c r="H147" s="59"/>
      <c r="I147" s="63">
        <v>506.1</v>
      </c>
      <c r="J147" s="59"/>
      <c r="K147" s="59"/>
      <c r="L147" s="59"/>
      <c r="M147" s="59"/>
      <c r="N147" s="63">
        <v>557.70000000000005</v>
      </c>
      <c r="O147" s="59"/>
      <c r="P147" s="59"/>
      <c r="Q147" s="59"/>
      <c r="R147" s="59"/>
      <c r="S147" s="63">
        <v>688.6</v>
      </c>
      <c r="T147" s="59"/>
      <c r="U147" s="59"/>
      <c r="V147" s="59"/>
      <c r="W147" s="59"/>
      <c r="X147" s="63">
        <v>803.6</v>
      </c>
      <c r="Y147" s="59"/>
      <c r="Z147" s="59"/>
      <c r="AA147" s="59"/>
      <c r="AB147" s="59"/>
      <c r="AC147" s="63">
        <v>859.2</v>
      </c>
      <c r="AD147" s="59"/>
      <c r="AE147" s="59"/>
      <c r="AF147" s="59"/>
      <c r="AG147" s="59"/>
      <c r="AH147" s="63">
        <v>970.8</v>
      </c>
      <c r="AI147" s="59"/>
      <c r="AJ147" s="59"/>
      <c r="AK147" s="59"/>
      <c r="AL147" s="59"/>
      <c r="AM147" s="63">
        <v>1189.8</v>
      </c>
      <c r="AN147" s="59"/>
      <c r="AO147" s="59"/>
      <c r="AP147" s="59"/>
      <c r="AQ147" s="59"/>
      <c r="AR147" s="86"/>
      <c r="AS147" s="59"/>
      <c r="AT147" s="59"/>
      <c r="AU147" s="59"/>
      <c r="AV147" s="59"/>
      <c r="AW147" s="86"/>
      <c r="AX147" s="59"/>
      <c r="AY147" s="59"/>
      <c r="AZ147" s="59"/>
      <c r="BA147" s="59"/>
      <c r="BB147" s="86"/>
      <c r="BC147" s="59"/>
      <c r="BD147" s="59"/>
      <c r="BE147" s="59"/>
      <c r="BF147" s="59"/>
      <c r="BG147" s="86"/>
      <c r="BH147" s="59"/>
      <c r="BI147" s="59"/>
      <c r="BJ147" s="59"/>
      <c r="BK147" s="59"/>
      <c r="BL147" s="86"/>
      <c r="BM147" s="59"/>
      <c r="BN147" s="59"/>
      <c r="BO147" s="59"/>
      <c r="BP147" s="59"/>
      <c r="BQ147" s="61">
        <f>BL147+'BS and CFS'!BQ11</f>
        <v>869.2</v>
      </c>
      <c r="BR147" s="59"/>
      <c r="BS147" s="59"/>
      <c r="BT147" s="59"/>
      <c r="BU147" s="62">
        <f>BT147+'BS and CFS'!BU11</f>
        <v>244.5</v>
      </c>
      <c r="BV147" s="61">
        <f>BQ147+'BS and CFS'!BV11</f>
        <v>1828.2</v>
      </c>
      <c r="BW147" s="62">
        <f>DZ147+'BS and CFS'!BW11</f>
        <v>253</v>
      </c>
      <c r="BX147" s="62">
        <f>BW147+'BS and CFS'!BX11</f>
        <v>515</v>
      </c>
      <c r="BY147" s="62">
        <f>BX147+'BS and CFS'!BY11</f>
        <v>777</v>
      </c>
      <c r="BZ147" s="62">
        <f>BY147+'BS and CFS'!BZ11</f>
        <v>1042</v>
      </c>
      <c r="CA147" s="61">
        <f>BV147+'BS and CFS'!CA11</f>
        <v>2870.2</v>
      </c>
      <c r="CB147" s="59"/>
      <c r="CC147" s="59"/>
      <c r="CD147" s="60"/>
      <c r="CE147" s="60"/>
      <c r="CF147" s="86"/>
      <c r="CG147" s="59"/>
      <c r="CH147" s="59"/>
      <c r="CI147" s="59"/>
      <c r="CJ147" s="59"/>
      <c r="CK147" s="86"/>
      <c r="CL147" s="60"/>
      <c r="CM147" s="60"/>
      <c r="CN147" s="60"/>
      <c r="CO147" s="60"/>
      <c r="CP147" s="86"/>
      <c r="CQ147" s="60"/>
      <c r="CR147" s="60"/>
      <c r="CS147" s="60"/>
      <c r="CT147" s="60"/>
      <c r="CU147" s="86"/>
      <c r="CV147" s="60"/>
      <c r="CW147" s="60"/>
      <c r="CX147" s="60"/>
      <c r="CY147" s="60"/>
      <c r="CZ147" s="86"/>
      <c r="DA147" s="60"/>
      <c r="DB147" s="60"/>
      <c r="DC147" s="60"/>
      <c r="DD147" s="60"/>
      <c r="DE147" s="86"/>
      <c r="DF147" s="60"/>
      <c r="DG147" s="60"/>
      <c r="DH147" s="60"/>
      <c r="DI147" s="60"/>
      <c r="DJ147" s="86"/>
      <c r="DK147" s="59"/>
      <c r="DL147" s="59"/>
      <c r="DM147" s="59"/>
      <c r="DN147" s="59"/>
      <c r="DO147" s="86"/>
      <c r="DP147" s="59"/>
      <c r="DQ147" s="59"/>
      <c r="DR147" s="59"/>
      <c r="DS147" s="59"/>
      <c r="DT147" s="86"/>
      <c r="DU147" s="59"/>
      <c r="DV147" s="59"/>
      <c r="DW147" s="59"/>
      <c r="DX147" s="59"/>
      <c r="DY147" s="86"/>
      <c r="DZ147" s="1858"/>
      <c r="EA147" s="1858"/>
      <c r="EB147" s="1858"/>
    </row>
    <row r="148" spans="1:132" x14ac:dyDescent="0.2">
      <c r="A148" s="1853"/>
      <c r="B148" s="58" t="s">
        <v>374</v>
      </c>
      <c r="C148" s="59"/>
      <c r="D148" s="59"/>
      <c r="E148" s="59"/>
      <c r="F148" s="59"/>
      <c r="G148" s="59"/>
      <c r="H148" s="59"/>
      <c r="I148" s="63">
        <v>282.8</v>
      </c>
      <c r="J148" s="59"/>
      <c r="K148" s="59"/>
      <c r="L148" s="59"/>
      <c r="M148" s="59"/>
      <c r="N148" s="63">
        <v>303</v>
      </c>
      <c r="O148" s="59"/>
      <c r="P148" s="59"/>
      <c r="Q148" s="59"/>
      <c r="R148" s="59"/>
      <c r="S148" s="63">
        <v>261.2</v>
      </c>
      <c r="T148" s="59"/>
      <c r="U148" s="59"/>
      <c r="V148" s="59"/>
      <c r="W148" s="59"/>
      <c r="X148" s="63">
        <v>359.5</v>
      </c>
      <c r="Y148" s="59"/>
      <c r="Z148" s="59"/>
      <c r="AA148" s="59"/>
      <c r="AB148" s="59"/>
      <c r="AC148" s="63">
        <v>452.3</v>
      </c>
      <c r="AD148" s="59"/>
      <c r="AE148" s="59"/>
      <c r="AF148" s="59"/>
      <c r="AG148" s="59"/>
      <c r="AH148" s="63">
        <v>499.8</v>
      </c>
      <c r="AI148" s="59"/>
      <c r="AJ148" s="59"/>
      <c r="AK148" s="59"/>
      <c r="AL148" s="59"/>
      <c r="AM148" s="63">
        <f>6.6+210.5</f>
        <v>217.1</v>
      </c>
      <c r="AN148" s="59"/>
      <c r="AO148" s="59"/>
      <c r="AP148" s="59"/>
      <c r="AQ148" s="59"/>
      <c r="AR148" s="63">
        <v>211.8</v>
      </c>
      <c r="AS148" s="59"/>
      <c r="AT148" s="59"/>
      <c r="AU148" s="59"/>
      <c r="AV148" s="59"/>
      <c r="AW148" s="63">
        <f>217.4+137.6</f>
        <v>355</v>
      </c>
      <c r="AX148" s="59"/>
      <c r="AY148" s="59"/>
      <c r="AZ148" s="59"/>
      <c r="BA148" s="59"/>
      <c r="BB148" s="63">
        <f>122.5+223.5</f>
        <v>346</v>
      </c>
      <c r="BC148" s="60">
        <f>125.5+228.9</f>
        <v>354.4</v>
      </c>
      <c r="BD148" s="60">
        <f>221.5+149.3</f>
        <v>370.8</v>
      </c>
      <c r="BE148" s="60">
        <f>152.8+226.8</f>
        <v>379.6</v>
      </c>
      <c r="BF148" s="60">
        <f>90.8+240.5</f>
        <v>331.3</v>
      </c>
      <c r="BG148" s="63">
        <f>90.8+240.5</f>
        <v>331.3</v>
      </c>
      <c r="BH148" s="60">
        <f>290.5</f>
        <v>290.5</v>
      </c>
      <c r="BI148" s="60">
        <f>355.1</f>
        <v>355.1</v>
      </c>
      <c r="BJ148" s="60">
        <f>367.5</f>
        <v>367.5</v>
      </c>
      <c r="BK148" s="60">
        <f>367.8</f>
        <v>367.8</v>
      </c>
      <c r="BL148" s="63">
        <v>367.8</v>
      </c>
      <c r="BM148" s="60">
        <v>364.9</v>
      </c>
      <c r="BN148" s="60">
        <f>359.3</f>
        <v>359.3</v>
      </c>
      <c r="BO148" s="60">
        <v>371</v>
      </c>
      <c r="BP148" s="60">
        <v>368.4</v>
      </c>
      <c r="BQ148" s="63">
        <v>368.4</v>
      </c>
      <c r="BR148" s="60">
        <v>385.4</v>
      </c>
      <c r="BS148" s="60">
        <v>364.1</v>
      </c>
      <c r="BT148" s="60">
        <v>377.6</v>
      </c>
      <c r="BU148" s="60">
        <v>374</v>
      </c>
      <c r="BV148" s="61">
        <f>BU148</f>
        <v>374</v>
      </c>
      <c r="BW148" s="60">
        <v>374</v>
      </c>
      <c r="BX148" s="60">
        <v>385</v>
      </c>
      <c r="BY148" s="60">
        <v>469</v>
      </c>
      <c r="BZ148" s="60">
        <v>688</v>
      </c>
      <c r="CA148" s="61">
        <f>BZ148</f>
        <v>688</v>
      </c>
      <c r="CB148" s="60">
        <v>740</v>
      </c>
      <c r="CC148" s="60">
        <v>1220</v>
      </c>
      <c r="CD148" s="60">
        <v>1218</v>
      </c>
      <c r="CE148" s="60">
        <v>1155</v>
      </c>
      <c r="CF148" s="86">
        <f>CE148</f>
        <v>1155</v>
      </c>
      <c r="CG148" s="60">
        <v>1368</v>
      </c>
      <c r="CH148" s="60">
        <v>1360</v>
      </c>
      <c r="CI148" s="60">
        <v>1325</v>
      </c>
      <c r="CJ148" s="60">
        <v>1280</v>
      </c>
      <c r="CK148" s="86">
        <f>CJ148</f>
        <v>1280</v>
      </c>
      <c r="CL148" s="60">
        <v>1472</v>
      </c>
      <c r="CM148" s="60">
        <v>1496</v>
      </c>
      <c r="CN148" s="60">
        <v>1487</v>
      </c>
      <c r="CO148" s="60">
        <v>1515</v>
      </c>
      <c r="CP148" s="86">
        <f>CO148</f>
        <v>1515</v>
      </c>
      <c r="CQ148" s="60">
        <v>1561</v>
      </c>
      <c r="CR148" s="60">
        <v>1603</v>
      </c>
      <c r="CS148" s="60">
        <v>1540</v>
      </c>
      <c r="CT148" s="60">
        <v>1510</v>
      </c>
      <c r="CU148" s="86">
        <f>CT148</f>
        <v>1510</v>
      </c>
      <c r="CV148" s="60">
        <v>1555</v>
      </c>
      <c r="CW148" s="60">
        <v>1443</v>
      </c>
      <c r="CX148" s="60">
        <v>1476</v>
      </c>
      <c r="CY148" s="60">
        <v>1440</v>
      </c>
      <c r="CZ148" s="86">
        <f>CY148</f>
        <v>1440</v>
      </c>
      <c r="DA148" s="60">
        <v>1494</v>
      </c>
      <c r="DB148" s="60">
        <v>1490</v>
      </c>
      <c r="DC148" s="60">
        <v>1535</v>
      </c>
      <c r="DD148" s="60">
        <v>1485</v>
      </c>
      <c r="DE148" s="86">
        <f t="shared" ref="DE148:DJ148" si="183">DD148</f>
        <v>1485</v>
      </c>
      <c r="DF148" s="60">
        <v>1503</v>
      </c>
      <c r="DG148" s="60">
        <v>1564</v>
      </c>
      <c r="DH148" s="60">
        <v>1544</v>
      </c>
      <c r="DI148" s="60">
        <v>1529</v>
      </c>
      <c r="DJ148" s="86">
        <f t="shared" si="183"/>
        <v>1529</v>
      </c>
      <c r="DK148" s="59">
        <f t="shared" ref="DK148:DT148" si="184">DJ148</f>
        <v>1529</v>
      </c>
      <c r="DL148" s="59">
        <f t="shared" si="184"/>
        <v>1529</v>
      </c>
      <c r="DM148" s="59">
        <f t="shared" si="184"/>
        <v>1529</v>
      </c>
      <c r="DN148" s="59">
        <f t="shared" si="184"/>
        <v>1529</v>
      </c>
      <c r="DO148" s="86">
        <f t="shared" si="184"/>
        <v>1529</v>
      </c>
      <c r="DP148" s="59">
        <f t="shared" si="184"/>
        <v>1529</v>
      </c>
      <c r="DQ148" s="59">
        <f t="shared" si="184"/>
        <v>1529</v>
      </c>
      <c r="DR148" s="59">
        <f t="shared" si="184"/>
        <v>1529</v>
      </c>
      <c r="DS148" s="59">
        <f t="shared" si="184"/>
        <v>1529</v>
      </c>
      <c r="DT148" s="86">
        <f t="shared" si="184"/>
        <v>1529</v>
      </c>
      <c r="DU148" s="59">
        <f t="shared" ref="DU148" si="185">DT148</f>
        <v>1529</v>
      </c>
      <c r="DV148" s="59">
        <f t="shared" ref="DV148" si="186">DU148</f>
        <v>1529</v>
      </c>
      <c r="DW148" s="59">
        <f t="shared" ref="DW148" si="187">DV148</f>
        <v>1529</v>
      </c>
      <c r="DX148" s="59">
        <f t="shared" ref="DX148" si="188">DW148</f>
        <v>1529</v>
      </c>
      <c r="DY148" s="86">
        <f t="shared" ref="DY148" si="189">DX148</f>
        <v>1529</v>
      </c>
      <c r="DZ148" s="1858"/>
      <c r="EA148" s="1858"/>
      <c r="EB148" s="1858"/>
    </row>
    <row r="149" spans="1:132" x14ac:dyDescent="0.2">
      <c r="A149" s="1853"/>
      <c r="B149" s="58" t="s">
        <v>375</v>
      </c>
      <c r="C149" s="59"/>
      <c r="D149" s="59"/>
      <c r="E149" s="59"/>
      <c r="F149" s="59"/>
      <c r="G149" s="59"/>
      <c r="H149" s="59"/>
      <c r="I149" s="63">
        <v>194.8</v>
      </c>
      <c r="J149" s="59"/>
      <c r="K149" s="59"/>
      <c r="L149" s="59"/>
      <c r="M149" s="59"/>
      <c r="N149" s="63">
        <v>0</v>
      </c>
      <c r="O149" s="59"/>
      <c r="P149" s="59"/>
      <c r="Q149" s="59"/>
      <c r="R149" s="59"/>
      <c r="S149" s="63">
        <v>0</v>
      </c>
      <c r="T149" s="59"/>
      <c r="U149" s="59"/>
      <c r="V149" s="59"/>
      <c r="W149" s="59"/>
      <c r="X149" s="63">
        <v>0</v>
      </c>
      <c r="Y149" s="59"/>
      <c r="Z149" s="59"/>
      <c r="AA149" s="59"/>
      <c r="AB149" s="59"/>
      <c r="AC149" s="63">
        <v>0</v>
      </c>
      <c r="AD149" s="59"/>
      <c r="AE149" s="59"/>
      <c r="AF149" s="59"/>
      <c r="AG149" s="59"/>
      <c r="AH149" s="63">
        <v>0</v>
      </c>
      <c r="AI149" s="59"/>
      <c r="AJ149" s="59"/>
      <c r="AK149" s="59"/>
      <c r="AL149" s="59"/>
      <c r="AM149" s="63">
        <v>351.4</v>
      </c>
      <c r="AN149" s="59"/>
      <c r="AO149" s="59"/>
      <c r="AP149" s="59"/>
      <c r="AQ149" s="59"/>
      <c r="AR149" s="63">
        <v>403.7</v>
      </c>
      <c r="AS149" s="59"/>
      <c r="AT149" s="59"/>
      <c r="AU149" s="59"/>
      <c r="AV149" s="59"/>
      <c r="AW149" s="63">
        <v>867.9</v>
      </c>
      <c r="AX149" s="59"/>
      <c r="AY149" s="59"/>
      <c r="AZ149" s="59"/>
      <c r="BA149" s="59"/>
      <c r="BB149" s="63">
        <v>802.2</v>
      </c>
      <c r="BC149" s="60">
        <v>784.6</v>
      </c>
      <c r="BD149" s="60">
        <v>1076.8</v>
      </c>
      <c r="BE149" s="60">
        <v>1346.9</v>
      </c>
      <c r="BF149" s="60">
        <v>1318.2</v>
      </c>
      <c r="BG149" s="63">
        <v>1318.2</v>
      </c>
      <c r="BH149" s="60">
        <v>3304.8</v>
      </c>
      <c r="BI149" s="60">
        <v>11377.8</v>
      </c>
      <c r="BJ149" s="60">
        <v>11288.9</v>
      </c>
      <c r="BK149" s="60">
        <v>10429.6</v>
      </c>
      <c r="BL149" s="63">
        <v>10429.6</v>
      </c>
      <c r="BM149" s="60">
        <v>10344.299999999999</v>
      </c>
      <c r="BN149" s="60">
        <v>10271.200000000001</v>
      </c>
      <c r="BO149" s="60">
        <v>10197.200000000001</v>
      </c>
      <c r="BP149" s="60">
        <v>10446.200000000001</v>
      </c>
      <c r="BQ149" s="63">
        <v>10446.200000000001</v>
      </c>
      <c r="BR149" s="60">
        <v>10365.299999999999</v>
      </c>
      <c r="BS149" s="60">
        <v>10296.799999999999</v>
      </c>
      <c r="BT149" s="60">
        <v>10204.299999999999</v>
      </c>
      <c r="BU149" s="60">
        <v>10127</v>
      </c>
      <c r="BV149" s="61">
        <f>BU149</f>
        <v>10127</v>
      </c>
      <c r="BW149" s="60">
        <v>10037</v>
      </c>
      <c r="BX149" s="60">
        <v>9949</v>
      </c>
      <c r="BY149" s="60">
        <v>9876</v>
      </c>
      <c r="BZ149" s="60">
        <v>9784</v>
      </c>
      <c r="CA149" s="61">
        <f>BZ149</f>
        <v>9784</v>
      </c>
      <c r="CB149" s="60">
        <v>9692</v>
      </c>
      <c r="CC149" s="60">
        <v>10022</v>
      </c>
      <c r="CD149" s="60">
        <v>9947</v>
      </c>
      <c r="CE149" s="60">
        <v>9869</v>
      </c>
      <c r="CF149" s="86">
        <f>CE149</f>
        <v>9869</v>
      </c>
      <c r="CG149" s="60">
        <v>9799</v>
      </c>
      <c r="CH149" s="60">
        <v>9891</v>
      </c>
      <c r="CI149" s="60">
        <v>9801</v>
      </c>
      <c r="CJ149" s="60">
        <v>9753</v>
      </c>
      <c r="CK149" s="86">
        <f>CJ149</f>
        <v>9753</v>
      </c>
      <c r="CL149" s="60">
        <v>9738</v>
      </c>
      <c r="CM149" s="60">
        <v>9657</v>
      </c>
      <c r="CN149" s="60">
        <v>9587</v>
      </c>
      <c r="CO149" s="60">
        <v>9529</v>
      </c>
      <c r="CP149" s="86">
        <f>CO149</f>
        <v>9529</v>
      </c>
      <c r="CQ149" s="60">
        <v>9986</v>
      </c>
      <c r="CR149" s="60">
        <v>9906</v>
      </c>
      <c r="CS149" s="60">
        <v>9854</v>
      </c>
      <c r="CT149" s="60">
        <v>9774</v>
      </c>
      <c r="CU149" s="86">
        <f>CT149</f>
        <v>9774</v>
      </c>
      <c r="CV149" s="60">
        <v>9759</v>
      </c>
      <c r="CW149" s="60">
        <v>9683</v>
      </c>
      <c r="CX149" s="60">
        <v>13504</v>
      </c>
      <c r="CY149" s="60">
        <v>13878</v>
      </c>
      <c r="CZ149" s="86">
        <f>CY149</f>
        <v>13878</v>
      </c>
      <c r="DA149" s="60">
        <v>13750</v>
      </c>
      <c r="DB149" s="60">
        <v>13639</v>
      </c>
      <c r="DC149" s="60">
        <v>13567</v>
      </c>
      <c r="DD149" s="60">
        <v>13511</v>
      </c>
      <c r="DE149" s="86">
        <f>DD149</f>
        <v>13511</v>
      </c>
      <c r="DF149" s="60">
        <v>13390</v>
      </c>
      <c r="DG149" s="60">
        <v>13354</v>
      </c>
      <c r="DH149" s="60">
        <v>13303</v>
      </c>
      <c r="DI149" s="60">
        <v>13630</v>
      </c>
      <c r="DJ149" s="86">
        <f>DI149</f>
        <v>13630</v>
      </c>
      <c r="DK149" s="59">
        <f>DJ149-'BS and CFS'!DK13</f>
        <v>13421.286118399999</v>
      </c>
      <c r="DL149" s="59">
        <f>DK149-'BS and CFS'!DL13</f>
        <v>13212.572236799999</v>
      </c>
      <c r="DM149" s="59">
        <f>DL149-'BS and CFS'!DM13</f>
        <v>13003.858355199998</v>
      </c>
      <c r="DN149" s="59">
        <f>DM149-'BS and CFS'!DN13</f>
        <v>12795.144473599998</v>
      </c>
      <c r="DO149" s="86">
        <f>DN149</f>
        <v>12795.144473599998</v>
      </c>
      <c r="DP149" s="59">
        <f>DO149-'BS and CFS'!DP13</f>
        <v>12586.430591999997</v>
      </c>
      <c r="DQ149" s="59">
        <f>DP149-'BS and CFS'!DQ13</f>
        <v>12377.716710399996</v>
      </c>
      <c r="DR149" s="59">
        <f>DQ149-'BS and CFS'!DR13</f>
        <v>12169.002828799996</v>
      </c>
      <c r="DS149" s="59">
        <f>DR149-'BS and CFS'!DS13</f>
        <v>11960.288947199995</v>
      </c>
      <c r="DT149" s="86">
        <f>DS149</f>
        <v>11960.288947199995</v>
      </c>
      <c r="DU149" s="59">
        <f>DT149-'BS and CFS'!DU13</f>
        <v>11751.575065599995</v>
      </c>
      <c r="DV149" s="59">
        <f>DU149-'BS and CFS'!DV13</f>
        <v>11542.861183999994</v>
      </c>
      <c r="DW149" s="59">
        <f>DV149-'BS and CFS'!DW13</f>
        <v>11334.147302399993</v>
      </c>
      <c r="DX149" s="59">
        <f>DW149-'BS and CFS'!DX13</f>
        <v>11125.433420799993</v>
      </c>
      <c r="DY149" s="86">
        <f>DX149</f>
        <v>11125.433420799993</v>
      </c>
      <c r="DZ149" s="1858"/>
      <c r="EA149" s="1858"/>
      <c r="EB149" s="1858"/>
    </row>
    <row r="150" spans="1:132" x14ac:dyDescent="0.2">
      <c r="A150" s="1853"/>
      <c r="B150" s="58" t="s">
        <v>376</v>
      </c>
      <c r="C150" s="59"/>
      <c r="D150" s="59"/>
      <c r="E150" s="59"/>
      <c r="F150" s="59"/>
      <c r="G150" s="59"/>
      <c r="H150" s="59"/>
      <c r="I150" s="63">
        <v>721.7</v>
      </c>
      <c r="J150" s="59"/>
      <c r="K150" s="59"/>
      <c r="L150" s="59"/>
      <c r="M150" s="59"/>
      <c r="N150" s="63">
        <v>711.5</v>
      </c>
      <c r="O150" s="59"/>
      <c r="P150" s="59"/>
      <c r="Q150" s="59"/>
      <c r="R150" s="59"/>
      <c r="S150" s="63">
        <v>724.6</v>
      </c>
      <c r="T150" s="59"/>
      <c r="U150" s="59"/>
      <c r="V150" s="59"/>
      <c r="W150" s="59"/>
      <c r="X150" s="63">
        <v>706.9</v>
      </c>
      <c r="Y150" s="59"/>
      <c r="Z150" s="59"/>
      <c r="AA150" s="59"/>
      <c r="AB150" s="59"/>
      <c r="AC150" s="63">
        <v>818.5</v>
      </c>
      <c r="AD150" s="59"/>
      <c r="AE150" s="59"/>
      <c r="AF150" s="59"/>
      <c r="AG150" s="59"/>
      <c r="AH150" s="63">
        <v>827</v>
      </c>
      <c r="AI150" s="59"/>
      <c r="AJ150" s="59"/>
      <c r="AK150" s="59"/>
      <c r="AL150" s="59"/>
      <c r="AM150" s="63">
        <v>878.9</v>
      </c>
      <c r="AN150" s="59"/>
      <c r="AO150" s="59"/>
      <c r="AP150" s="59"/>
      <c r="AQ150" s="59"/>
      <c r="AR150" s="63">
        <v>889</v>
      </c>
      <c r="AS150" s="59"/>
      <c r="AT150" s="59"/>
      <c r="AU150" s="59"/>
      <c r="AV150" s="59"/>
      <c r="AW150" s="63">
        <v>1898.5</v>
      </c>
      <c r="AX150" s="59"/>
      <c r="AY150" s="59"/>
      <c r="AZ150" s="59"/>
      <c r="BA150" s="59"/>
      <c r="BB150" s="63">
        <v>1789.9</v>
      </c>
      <c r="BC150" s="60">
        <v>1781.5</v>
      </c>
      <c r="BD150" s="60">
        <v>3464.6</v>
      </c>
      <c r="BE150" s="60">
        <v>3265.2</v>
      </c>
      <c r="BF150" s="60">
        <v>3195.2</v>
      </c>
      <c r="BG150" s="63">
        <v>3195.2</v>
      </c>
      <c r="BH150" s="60">
        <v>28533.200000000001</v>
      </c>
      <c r="BI150" s="60">
        <v>23472.1</v>
      </c>
      <c r="BJ150" s="60">
        <v>23424.7</v>
      </c>
      <c r="BK150" s="60">
        <v>23922.3</v>
      </c>
      <c r="BL150" s="63">
        <v>23922.3</v>
      </c>
      <c r="BM150" s="60">
        <v>23922.1</v>
      </c>
      <c r="BN150" s="60">
        <v>23926</v>
      </c>
      <c r="BO150" s="60">
        <v>23925</v>
      </c>
      <c r="BP150" s="60">
        <v>25493.9</v>
      </c>
      <c r="BQ150" s="63">
        <v>25493.9</v>
      </c>
      <c r="BR150" s="60">
        <v>25491.4</v>
      </c>
      <c r="BS150" s="60">
        <v>25483.8</v>
      </c>
      <c r="BT150" s="60">
        <v>25622.1</v>
      </c>
      <c r="BU150" s="60">
        <v>25680</v>
      </c>
      <c r="BV150" s="61">
        <f>BU150</f>
        <v>25680</v>
      </c>
      <c r="BW150" s="60">
        <v>25674</v>
      </c>
      <c r="BX150" s="60">
        <v>25672</v>
      </c>
      <c r="BY150" s="60">
        <v>25673</v>
      </c>
      <c r="BZ150" s="60">
        <v>25669</v>
      </c>
      <c r="CA150" s="61">
        <f>BZ150</f>
        <v>25669</v>
      </c>
      <c r="CB150" s="60">
        <v>25666</v>
      </c>
      <c r="CC150" s="60">
        <v>26697</v>
      </c>
      <c r="CD150" s="60">
        <v>26506</v>
      </c>
      <c r="CE150" s="60">
        <v>26458</v>
      </c>
      <c r="CF150" s="86">
        <f>CE150</f>
        <v>26458</v>
      </c>
      <c r="CG150" s="60">
        <v>26431</v>
      </c>
      <c r="CH150" s="60">
        <v>26425</v>
      </c>
      <c r="CI150" s="60">
        <v>26422</v>
      </c>
      <c r="CJ150" s="60">
        <v>26395</v>
      </c>
      <c r="CK150" s="86">
        <f>CJ150</f>
        <v>26395</v>
      </c>
      <c r="CL150" s="60">
        <v>26575</v>
      </c>
      <c r="CM150" s="60">
        <v>26554</v>
      </c>
      <c r="CN150" s="60">
        <v>26550</v>
      </c>
      <c r="CO150" s="60">
        <v>26542</v>
      </c>
      <c r="CP150" s="86">
        <f>CO150</f>
        <v>26542</v>
      </c>
      <c r="CQ150" s="60">
        <v>28139</v>
      </c>
      <c r="CR150" s="60">
        <v>28126</v>
      </c>
      <c r="CS150" s="60">
        <v>28151</v>
      </c>
      <c r="CT150" s="60">
        <v>28142</v>
      </c>
      <c r="CU150" s="86">
        <f>CT150</f>
        <v>28142</v>
      </c>
      <c r="CV150" s="60">
        <v>28123</v>
      </c>
      <c r="CW150" s="60">
        <v>28122</v>
      </c>
      <c r="CX150" s="60">
        <v>37135</v>
      </c>
      <c r="CY150" s="60">
        <v>38106</v>
      </c>
      <c r="CZ150" s="86">
        <f>CY150</f>
        <v>38106</v>
      </c>
      <c r="DA150" s="60">
        <v>38115</v>
      </c>
      <c r="DB150" s="60">
        <v>38190</v>
      </c>
      <c r="DC150" s="60">
        <v>38214</v>
      </c>
      <c r="DD150" s="60">
        <v>38249</v>
      </c>
      <c r="DE150" s="86">
        <f>DD150</f>
        <v>38249</v>
      </c>
      <c r="DF150" s="60">
        <v>38263</v>
      </c>
      <c r="DG150" s="60">
        <v>38130</v>
      </c>
      <c r="DH150" s="60">
        <v>38169</v>
      </c>
      <c r="DI150" s="60">
        <v>38451</v>
      </c>
      <c r="DJ150" s="86">
        <f>DI150</f>
        <v>38451</v>
      </c>
      <c r="DK150" s="59">
        <f>DJ150</f>
        <v>38451</v>
      </c>
      <c r="DL150" s="59">
        <f>DK150</f>
        <v>38451</v>
      </c>
      <c r="DM150" s="59">
        <f>DL150</f>
        <v>38451</v>
      </c>
      <c r="DN150" s="59">
        <f>DM150</f>
        <v>38451</v>
      </c>
      <c r="DO150" s="86">
        <f>DN150</f>
        <v>38451</v>
      </c>
      <c r="DP150" s="59">
        <f>DO150</f>
        <v>38451</v>
      </c>
      <c r="DQ150" s="59">
        <f>DP150</f>
        <v>38451</v>
      </c>
      <c r="DR150" s="59">
        <f>DQ150</f>
        <v>38451</v>
      </c>
      <c r="DS150" s="59">
        <f>DR150</f>
        <v>38451</v>
      </c>
      <c r="DT150" s="86">
        <f>DS150</f>
        <v>38451</v>
      </c>
      <c r="DU150" s="59">
        <f>DT150</f>
        <v>38451</v>
      </c>
      <c r="DV150" s="59">
        <f>DU150</f>
        <v>38451</v>
      </c>
      <c r="DW150" s="59">
        <f>DV150</f>
        <v>38451</v>
      </c>
      <c r="DX150" s="59">
        <f>DW150</f>
        <v>38451</v>
      </c>
      <c r="DY150" s="86">
        <f>DX150</f>
        <v>38451</v>
      </c>
      <c r="DZ150" s="1858"/>
      <c r="EA150" s="1858"/>
      <c r="EB150" s="1858"/>
    </row>
    <row r="151" spans="1:132" x14ac:dyDescent="0.2">
      <c r="A151" s="1853"/>
      <c r="B151" s="1933" t="s">
        <v>377</v>
      </c>
      <c r="C151" s="1934"/>
      <c r="D151" s="1934"/>
      <c r="E151" s="1934"/>
      <c r="F151" s="1934"/>
      <c r="G151" s="1934"/>
      <c r="H151" s="1934"/>
      <c r="I151" s="1937">
        <v>0</v>
      </c>
      <c r="J151" s="1934"/>
      <c r="K151" s="1934"/>
      <c r="L151" s="1934"/>
      <c r="M151" s="1934"/>
      <c r="N151" s="1937">
        <v>0</v>
      </c>
      <c r="O151" s="1934"/>
      <c r="P151" s="1934"/>
      <c r="Q151" s="1934"/>
      <c r="R151" s="1934"/>
      <c r="S151" s="1937">
        <v>0</v>
      </c>
      <c r="T151" s="1934"/>
      <c r="U151" s="1934"/>
      <c r="V151" s="1934"/>
      <c r="W151" s="1934"/>
      <c r="X151" s="1937">
        <v>0</v>
      </c>
      <c r="Y151" s="1934"/>
      <c r="Z151" s="1934"/>
      <c r="AA151" s="1934"/>
      <c r="AB151" s="1934"/>
      <c r="AC151" s="1937">
        <v>0</v>
      </c>
      <c r="AD151" s="1934"/>
      <c r="AE151" s="1934"/>
      <c r="AF151" s="1934"/>
      <c r="AG151" s="1934"/>
      <c r="AH151" s="1937">
        <v>0</v>
      </c>
      <c r="AI151" s="1934"/>
      <c r="AJ151" s="1934"/>
      <c r="AK151" s="1934"/>
      <c r="AL151" s="1934"/>
      <c r="AM151" s="1937">
        <v>0</v>
      </c>
      <c r="AN151" s="1934"/>
      <c r="AO151" s="1934"/>
      <c r="AP151" s="1934"/>
      <c r="AQ151" s="1934"/>
      <c r="AR151" s="1937">
        <v>0</v>
      </c>
      <c r="AS151" s="1934"/>
      <c r="AT151" s="1934"/>
      <c r="AU151" s="1934"/>
      <c r="AV151" s="1934"/>
      <c r="AW151" s="1937">
        <v>0</v>
      </c>
      <c r="AX151" s="1934"/>
      <c r="AY151" s="1934"/>
      <c r="AZ151" s="1934"/>
      <c r="BA151" s="1934"/>
      <c r="BB151" s="1937">
        <v>0</v>
      </c>
      <c r="BC151" s="1934"/>
      <c r="BD151" s="1934"/>
      <c r="BE151" s="1934"/>
      <c r="BF151" s="1934"/>
      <c r="BG151" s="1937">
        <v>0</v>
      </c>
      <c r="BH151" s="1934"/>
      <c r="BI151" s="1934"/>
      <c r="BJ151" s="1934"/>
      <c r="BK151" s="1934"/>
      <c r="BL151" s="1937">
        <v>0</v>
      </c>
      <c r="BM151" s="1934"/>
      <c r="BN151" s="1934"/>
      <c r="BO151" s="1934"/>
      <c r="BP151" s="1934"/>
      <c r="BQ151" s="1937">
        <v>0</v>
      </c>
      <c r="BR151" s="1934"/>
      <c r="BS151" s="1934"/>
      <c r="BT151" s="1934"/>
      <c r="BU151" s="1934"/>
      <c r="BV151" s="1937">
        <v>0</v>
      </c>
      <c r="BW151" s="1934"/>
      <c r="BX151" s="1934"/>
      <c r="BY151" s="1934"/>
      <c r="BZ151" s="1934"/>
      <c r="CA151" s="1937">
        <v>0</v>
      </c>
      <c r="CB151" s="1934"/>
      <c r="CC151" s="1934"/>
      <c r="CD151" s="1938">
        <v>0</v>
      </c>
      <c r="CE151" s="1938">
        <v>0</v>
      </c>
      <c r="CF151" s="1939">
        <v>0</v>
      </c>
      <c r="CG151" s="1938">
        <v>0</v>
      </c>
      <c r="CH151" s="1938">
        <v>0</v>
      </c>
      <c r="CI151" s="1938">
        <v>0</v>
      </c>
      <c r="CJ151" s="1938">
        <v>0</v>
      </c>
      <c r="CK151" s="1939">
        <v>0</v>
      </c>
      <c r="CL151" s="1938">
        <v>0</v>
      </c>
      <c r="CM151" s="1938">
        <v>0</v>
      </c>
      <c r="CN151" s="1938">
        <v>0</v>
      </c>
      <c r="CO151" s="1938">
        <v>0</v>
      </c>
      <c r="CP151" s="1939">
        <v>0</v>
      </c>
      <c r="CQ151" s="1938">
        <v>0</v>
      </c>
      <c r="CR151" s="1938">
        <v>0</v>
      </c>
      <c r="CS151" s="1938">
        <v>0</v>
      </c>
      <c r="CT151" s="1938">
        <v>0</v>
      </c>
      <c r="CU151" s="1939">
        <v>0</v>
      </c>
      <c r="CV151" s="2594">
        <v>0</v>
      </c>
      <c r="CW151" s="2595">
        <v>0</v>
      </c>
      <c r="CX151" s="2595">
        <v>0</v>
      </c>
      <c r="CY151" s="2595">
        <v>0</v>
      </c>
      <c r="CZ151" s="1893">
        <v>0</v>
      </c>
      <c r="DA151" s="2595">
        <v>0</v>
      </c>
      <c r="DB151" s="2595">
        <v>0</v>
      </c>
      <c r="DC151" s="2595">
        <v>0</v>
      </c>
      <c r="DD151" s="2595">
        <v>0</v>
      </c>
      <c r="DE151" s="1939">
        <v>0</v>
      </c>
      <c r="DF151" s="2595">
        <v>0</v>
      </c>
      <c r="DG151" s="2595">
        <v>0</v>
      </c>
      <c r="DH151" s="2595">
        <v>0</v>
      </c>
      <c r="DI151" s="2595">
        <v>0</v>
      </c>
      <c r="DJ151" s="1939">
        <v>0</v>
      </c>
      <c r="DK151" s="1934">
        <v>0</v>
      </c>
      <c r="DL151" s="1934">
        <v>0</v>
      </c>
      <c r="DM151" s="1934">
        <v>0</v>
      </c>
      <c r="DN151" s="1934">
        <v>0</v>
      </c>
      <c r="DO151" s="1939">
        <v>0</v>
      </c>
      <c r="DP151" s="1934">
        <v>0</v>
      </c>
      <c r="DQ151" s="1934">
        <v>0</v>
      </c>
      <c r="DR151" s="1934">
        <v>0</v>
      </c>
      <c r="DS151" s="1934">
        <v>0</v>
      </c>
      <c r="DT151" s="1939">
        <v>0</v>
      </c>
      <c r="DU151" s="1934">
        <v>0</v>
      </c>
      <c r="DV151" s="1934">
        <v>0</v>
      </c>
      <c r="DW151" s="1934">
        <v>0</v>
      </c>
      <c r="DX151" s="1934">
        <v>0</v>
      </c>
      <c r="DY151" s="1939">
        <v>0</v>
      </c>
      <c r="DZ151" s="1858"/>
      <c r="EA151" s="1858"/>
      <c r="EB151" s="1858"/>
    </row>
    <row r="152" spans="1:132" x14ac:dyDescent="0.2">
      <c r="A152" s="1869"/>
      <c r="B152" s="318" t="s">
        <v>378</v>
      </c>
      <c r="C152" s="80"/>
      <c r="D152" s="80"/>
      <c r="E152" s="80"/>
      <c r="F152" s="80"/>
      <c r="G152" s="80"/>
      <c r="H152" s="80"/>
      <c r="I152" s="320">
        <f>I143+I145+SUM(I148:I150)</f>
        <v>5693.7</v>
      </c>
      <c r="J152" s="80"/>
      <c r="K152" s="80"/>
      <c r="L152" s="80"/>
      <c r="M152" s="80"/>
      <c r="N152" s="320">
        <f>N143+N145+SUM(N148:N150)</f>
        <v>5978.9000000000005</v>
      </c>
      <c r="O152" s="80"/>
      <c r="P152" s="80"/>
      <c r="Q152" s="80"/>
      <c r="R152" s="80"/>
      <c r="S152" s="320">
        <f>S143+S145+SUM(S148:S150)</f>
        <v>6686.2</v>
      </c>
      <c r="T152" s="80"/>
      <c r="U152" s="80"/>
      <c r="V152" s="80"/>
      <c r="W152" s="80"/>
      <c r="X152" s="320">
        <f>X143+X145+SUM(X148:X150)</f>
        <v>7275.4</v>
      </c>
      <c r="Y152" s="80"/>
      <c r="Z152" s="80"/>
      <c r="AA152" s="80"/>
      <c r="AB152" s="80"/>
      <c r="AC152" s="320">
        <f>AC143+AC145+SUM(AC148:AC150)</f>
        <v>7949.5</v>
      </c>
      <c r="AD152" s="80"/>
      <c r="AE152" s="80"/>
      <c r="AF152" s="80"/>
      <c r="AG152" s="80"/>
      <c r="AH152" s="320">
        <f>AH143+AH145+SUM(AH148:AH150)</f>
        <v>8628.2000000000007</v>
      </c>
      <c r="AI152" s="80"/>
      <c r="AJ152" s="80"/>
      <c r="AK152" s="80"/>
      <c r="AL152" s="80"/>
      <c r="AM152" s="320">
        <f>AM143+AM145+SUM(AM148:AM150)</f>
        <v>9645.3000000000011</v>
      </c>
      <c r="AN152" s="80"/>
      <c r="AO152" s="80"/>
      <c r="AP152" s="80"/>
      <c r="AQ152" s="80"/>
      <c r="AR152" s="320">
        <f>AR143+AR145+SUM(AR148:AR150)</f>
        <v>10543.1</v>
      </c>
      <c r="AS152" s="80"/>
      <c r="AT152" s="80"/>
      <c r="AU152" s="80"/>
      <c r="AV152" s="80"/>
      <c r="AW152" s="320">
        <f>AW143+AW145+SUM(AW148:AW150)</f>
        <v>14546.8</v>
      </c>
      <c r="AX152" s="80"/>
      <c r="AY152" s="80"/>
      <c r="AZ152" s="80"/>
      <c r="BA152" s="80"/>
      <c r="BB152" s="320">
        <f t="shared" ref="BB152:DJ152" si="190">BB143+BB145+SUM(BB148:BB150)</f>
        <v>15283.400000000001</v>
      </c>
      <c r="BC152" s="319">
        <f t="shared" si="190"/>
        <v>15448.199999999999</v>
      </c>
      <c r="BD152" s="319">
        <f t="shared" si="190"/>
        <v>20301.400000000001</v>
      </c>
      <c r="BE152" s="319">
        <f t="shared" si="190"/>
        <v>21127.399999999998</v>
      </c>
      <c r="BF152" s="319">
        <f t="shared" si="190"/>
        <v>20569.8</v>
      </c>
      <c r="BG152" s="320">
        <f t="shared" si="190"/>
        <v>20569.8</v>
      </c>
      <c r="BH152" s="319">
        <f t="shared" si="190"/>
        <v>51035.8</v>
      </c>
      <c r="BI152" s="319">
        <f t="shared" si="190"/>
        <v>54606.100000000006</v>
      </c>
      <c r="BJ152" s="319">
        <f t="shared" si="190"/>
        <v>54891.6</v>
      </c>
      <c r="BK152" s="319">
        <f t="shared" si="190"/>
        <v>54672.5</v>
      </c>
      <c r="BL152" s="320">
        <f t="shared" si="190"/>
        <v>54721.899999999994</v>
      </c>
      <c r="BM152" s="319">
        <f t="shared" si="190"/>
        <v>54567</v>
      </c>
      <c r="BN152" s="319">
        <f t="shared" si="190"/>
        <v>54467</v>
      </c>
      <c r="BO152" s="319">
        <f t="shared" si="190"/>
        <v>55951.5</v>
      </c>
      <c r="BP152" s="319">
        <f t="shared" si="190"/>
        <v>60959.9</v>
      </c>
      <c r="BQ152" s="320">
        <f t="shared" si="190"/>
        <v>60959.9</v>
      </c>
      <c r="BR152" s="319">
        <f t="shared" si="190"/>
        <v>60656.1</v>
      </c>
      <c r="BS152" s="319">
        <f t="shared" si="190"/>
        <v>61036</v>
      </c>
      <c r="BT152" s="319">
        <f t="shared" si="190"/>
        <v>61879.299999999996</v>
      </c>
      <c r="BU152" s="319">
        <f t="shared" si="190"/>
        <v>61641</v>
      </c>
      <c r="BV152" s="320">
        <f t="shared" si="190"/>
        <v>61641</v>
      </c>
      <c r="BW152" s="319">
        <f t="shared" si="190"/>
        <v>61284</v>
      </c>
      <c r="BX152" s="319">
        <f t="shared" si="190"/>
        <v>61524</v>
      </c>
      <c r="BY152" s="319">
        <f t="shared" si="190"/>
        <v>61713</v>
      </c>
      <c r="BZ152" s="319">
        <f t="shared" si="190"/>
        <v>62169</v>
      </c>
      <c r="CA152" s="320">
        <f t="shared" si="190"/>
        <v>62169</v>
      </c>
      <c r="CB152" s="319">
        <f t="shared" si="190"/>
        <v>62828</v>
      </c>
      <c r="CC152" s="319">
        <f t="shared" si="190"/>
        <v>65487</v>
      </c>
      <c r="CD152" s="80">
        <f t="shared" si="190"/>
        <v>65251</v>
      </c>
      <c r="CE152" s="80">
        <f t="shared" si="190"/>
        <v>64543</v>
      </c>
      <c r="CF152" s="321">
        <f t="shared" si="190"/>
        <v>64543</v>
      </c>
      <c r="CG152" s="80">
        <f t="shared" si="190"/>
        <v>66006</v>
      </c>
      <c r="CH152" s="80">
        <f t="shared" si="190"/>
        <v>65589</v>
      </c>
      <c r="CI152" s="80">
        <f t="shared" si="190"/>
        <v>64796</v>
      </c>
      <c r="CJ152" s="80">
        <f t="shared" si="190"/>
        <v>65912</v>
      </c>
      <c r="CK152" s="321">
        <f t="shared" si="190"/>
        <v>65912</v>
      </c>
      <c r="CL152" s="80">
        <f t="shared" si="190"/>
        <v>66068</v>
      </c>
      <c r="CM152" s="80">
        <f t="shared" si="190"/>
        <v>66284</v>
      </c>
      <c r="CN152" s="80">
        <f>CN143+CN145+SUM(CN148:CN150)</f>
        <v>67805</v>
      </c>
      <c r="CO152" s="80">
        <f>CO143+CO145+SUM(CO148:CO150)</f>
        <v>71526</v>
      </c>
      <c r="CP152" s="321">
        <f t="shared" si="190"/>
        <v>71526</v>
      </c>
      <c r="CQ152" s="80">
        <f>CQ143+CQ145+SUM(CQ148:CQ150)</f>
        <v>72822</v>
      </c>
      <c r="CR152" s="80">
        <f t="shared" si="190"/>
        <v>72593</v>
      </c>
      <c r="CS152" s="80">
        <f t="shared" si="190"/>
        <v>73576</v>
      </c>
      <c r="CT152" s="80">
        <f t="shared" si="190"/>
        <v>74252</v>
      </c>
      <c r="CU152" s="321">
        <f t="shared" si="190"/>
        <v>74252</v>
      </c>
      <c r="CV152" s="80">
        <f t="shared" si="190"/>
        <v>73930</v>
      </c>
      <c r="CW152" s="80">
        <f>CW143+CW145+SUM(CW148:CW150)</f>
        <v>74668</v>
      </c>
      <c r="CX152" s="80">
        <f>CX143+CX145+SUM(CX148:CX150)</f>
        <v>92362</v>
      </c>
      <c r="CY152" s="80">
        <f>CY143+CY145+SUM(CY148:CY150)</f>
        <v>93657</v>
      </c>
      <c r="CZ152" s="321">
        <f t="shared" si="190"/>
        <v>93657</v>
      </c>
      <c r="DA152" s="80">
        <f>DA143+DA145+SUM(DA148:DA150)</f>
        <v>92634</v>
      </c>
      <c r="DB152" s="80">
        <f>DB143+DB145+SUM(DB148:DB150)</f>
        <v>92748</v>
      </c>
      <c r="DC152" s="80">
        <f>DC143+DC145+SUM(DC148:DC150)</f>
        <v>94156</v>
      </c>
      <c r="DD152" s="80">
        <f>DD143+DD145+SUM(DD148:DD150)</f>
        <v>94462</v>
      </c>
      <c r="DE152" s="321">
        <f t="shared" si="190"/>
        <v>94462</v>
      </c>
      <c r="DF152" s="80">
        <f t="shared" si="190"/>
        <v>92670</v>
      </c>
      <c r="DG152" s="80">
        <f>DG143+DG145+SUM(DG148:DG150)</f>
        <v>92525</v>
      </c>
      <c r="DH152" s="80">
        <f>DH143+DH145+SUM(DH148:DH150)</f>
        <v>92853</v>
      </c>
      <c r="DI152" s="80">
        <f>DI143+DI145+SUM(DI148:DI150)</f>
        <v>95131</v>
      </c>
      <c r="DJ152" s="321">
        <f t="shared" si="190"/>
        <v>95131</v>
      </c>
      <c r="DK152" s="80">
        <f t="shared" ref="DK152:DT152" ca="1" si="191">DK143+DK145+SUM(DK148:DK150)</f>
        <v>93859.306132703903</v>
      </c>
      <c r="DL152" s="80">
        <f t="shared" ca="1" si="191"/>
        <v>134465.87956730637</v>
      </c>
      <c r="DM152" s="80">
        <f t="shared" ca="1" si="191"/>
        <v>135067.00498937818</v>
      </c>
      <c r="DN152" s="80">
        <f t="shared" ca="1" si="191"/>
        <v>137249.43195682531</v>
      </c>
      <c r="DO152" s="321">
        <f t="shared" ca="1" si="191"/>
        <v>137249.43195682531</v>
      </c>
      <c r="DP152" s="80">
        <f t="shared" ca="1" si="191"/>
        <v>136107.92632093708</v>
      </c>
      <c r="DQ152" s="80">
        <f t="shared" ca="1" si="191"/>
        <v>138402.64426534774</v>
      </c>
      <c r="DR152" s="80">
        <f t="shared" ca="1" si="191"/>
        <v>138864.56985046924</v>
      </c>
      <c r="DS152" s="80">
        <f t="shared" ca="1" si="191"/>
        <v>140988.78020212933</v>
      </c>
      <c r="DT152" s="321">
        <f t="shared" ca="1" si="191"/>
        <v>140988.78020212933</v>
      </c>
      <c r="DU152" s="80">
        <f t="shared" ref="DU152:DY152" ca="1" si="192">DU143+DU145+SUM(DU148:DU150)</f>
        <v>139410.42392215462</v>
      </c>
      <c r="DV152" s="80">
        <f t="shared" ca="1" si="192"/>
        <v>141616.95108367561</v>
      </c>
      <c r="DW152" s="80">
        <f t="shared" ca="1" si="192"/>
        <v>141929.197941305</v>
      </c>
      <c r="DX152" s="80">
        <f t="shared" ca="1" si="192"/>
        <v>143950.01750861411</v>
      </c>
      <c r="DY152" s="321">
        <f t="shared" ca="1" si="192"/>
        <v>143950.01750861411</v>
      </c>
      <c r="DZ152" s="1858"/>
      <c r="EA152" s="1872"/>
      <c r="EB152" s="1872"/>
    </row>
    <row r="153" spans="1:132" x14ac:dyDescent="0.2">
      <c r="A153" s="1842"/>
      <c r="B153" s="1849"/>
      <c r="C153" s="1850"/>
      <c r="D153" s="1850"/>
      <c r="E153" s="1850"/>
      <c r="F153" s="1850"/>
      <c r="G153" s="1850"/>
      <c r="H153" s="1850"/>
      <c r="I153" s="1940"/>
      <c r="J153" s="1850"/>
      <c r="K153" s="1850"/>
      <c r="L153" s="1850"/>
      <c r="M153" s="1850"/>
      <c r="N153" s="1940"/>
      <c r="O153" s="1850"/>
      <c r="P153" s="1850"/>
      <c r="Q153" s="1850"/>
      <c r="R153" s="1850"/>
      <c r="S153" s="1940"/>
      <c r="T153" s="1850"/>
      <c r="U153" s="1850"/>
      <c r="V153" s="1850"/>
      <c r="W153" s="1850"/>
      <c r="X153" s="1940"/>
      <c r="Y153" s="1850"/>
      <c r="Z153" s="1850"/>
      <c r="AA153" s="1850"/>
      <c r="AB153" s="1850"/>
      <c r="AC153" s="1940"/>
      <c r="AD153" s="1850"/>
      <c r="AE153" s="1850"/>
      <c r="AF153" s="1850"/>
      <c r="AG153" s="1850"/>
      <c r="AH153" s="1941"/>
      <c r="AI153" s="1850"/>
      <c r="AJ153" s="1850"/>
      <c r="AK153" s="1850"/>
      <c r="AL153" s="1850"/>
      <c r="AM153" s="1941"/>
      <c r="AN153" s="1850"/>
      <c r="AO153" s="1850"/>
      <c r="AP153" s="1850"/>
      <c r="AQ153" s="1850"/>
      <c r="AR153" s="1940"/>
      <c r="AS153" s="1850"/>
      <c r="AT153" s="1850"/>
      <c r="AU153" s="1850"/>
      <c r="AV153" s="1850"/>
      <c r="AW153" s="1940"/>
      <c r="AX153" s="1850"/>
      <c r="AY153" s="1850"/>
      <c r="AZ153" s="1850"/>
      <c r="BA153" s="1850"/>
      <c r="BB153" s="1941"/>
      <c r="BC153" s="1850"/>
      <c r="BD153" s="1850"/>
      <c r="BE153" s="1850"/>
      <c r="BF153" s="1850"/>
      <c r="BG153" s="1851"/>
      <c r="BH153" s="1850"/>
      <c r="BI153" s="1850"/>
      <c r="BJ153" s="1850"/>
      <c r="BK153" s="1850"/>
      <c r="BL153" s="1851"/>
      <c r="BM153" s="1850"/>
      <c r="BN153" s="1850"/>
      <c r="BO153" s="1850"/>
      <c r="BP153" s="1850"/>
      <c r="BQ153" s="1851"/>
      <c r="BR153" s="1850"/>
      <c r="BS153" s="1850"/>
      <c r="BT153" s="1850"/>
      <c r="BU153" s="1850"/>
      <c r="BV153" s="1851"/>
      <c r="BW153" s="1850"/>
      <c r="BX153" s="1850"/>
      <c r="BY153" s="1850"/>
      <c r="BZ153" s="1850"/>
      <c r="CA153" s="1851"/>
      <c r="CB153" s="1850"/>
      <c r="CC153" s="1850"/>
      <c r="CD153" s="1850"/>
      <c r="CE153" s="1850"/>
      <c r="CF153" s="1851"/>
      <c r="CG153" s="1850"/>
      <c r="CH153" s="1850"/>
      <c r="CI153" s="1850"/>
      <c r="CJ153" s="1850"/>
      <c r="CK153" s="1851"/>
      <c r="CL153" s="1850"/>
      <c r="CM153" s="1850"/>
      <c r="CN153" s="1850"/>
      <c r="CO153" s="1850"/>
      <c r="CP153" s="1851"/>
      <c r="CQ153" s="1850"/>
      <c r="CR153" s="1850"/>
      <c r="CS153" s="1850"/>
      <c r="CT153" s="1850"/>
      <c r="CU153" s="1851"/>
      <c r="CV153" s="1850"/>
      <c r="CW153" s="1850"/>
      <c r="CX153" s="1850"/>
      <c r="CY153" s="1850"/>
      <c r="CZ153" s="1851"/>
      <c r="DA153" s="1850"/>
      <c r="DB153" s="1850"/>
      <c r="DC153" s="1850"/>
      <c r="DD153" s="1850"/>
      <c r="DE153" s="1851"/>
      <c r="DF153" s="1850"/>
      <c r="DG153" s="1850"/>
      <c r="DH153" s="1850"/>
      <c r="DI153" s="1850"/>
      <c r="DJ153" s="1851"/>
      <c r="DK153" s="1850"/>
      <c r="DL153" s="1850"/>
      <c r="DM153" s="1850"/>
      <c r="DN153" s="1850"/>
      <c r="DO153" s="1851"/>
      <c r="DP153" s="1850"/>
      <c r="DQ153" s="1850"/>
      <c r="DR153" s="1850"/>
      <c r="DS153" s="1850"/>
      <c r="DT153" s="1851"/>
      <c r="DU153" s="1850"/>
      <c r="DV153" s="1850"/>
      <c r="DW153" s="1850"/>
      <c r="DX153" s="1850"/>
      <c r="DY153" s="1851"/>
      <c r="DZ153" s="1858"/>
      <c r="EA153" s="1848"/>
      <c r="EB153" s="1848"/>
    </row>
    <row r="154" spans="1:132" x14ac:dyDescent="0.2">
      <c r="A154" s="1842"/>
      <c r="B154" s="1942" t="s">
        <v>379</v>
      </c>
      <c r="C154" s="1943"/>
      <c r="D154" s="1943"/>
      <c r="E154" s="238"/>
      <c r="F154" s="238"/>
      <c r="G154" s="238"/>
      <c r="H154" s="238"/>
      <c r="I154" s="239"/>
      <c r="J154" s="238"/>
      <c r="K154" s="238"/>
      <c r="L154" s="238"/>
      <c r="M154" s="238"/>
      <c r="N154" s="239"/>
      <c r="O154" s="238"/>
      <c r="P154" s="238"/>
      <c r="Q154" s="238"/>
      <c r="R154" s="238"/>
      <c r="S154" s="239"/>
      <c r="T154" s="238"/>
      <c r="U154" s="238"/>
      <c r="V154" s="238"/>
      <c r="W154" s="238"/>
      <c r="X154" s="239"/>
      <c r="Y154" s="238"/>
      <c r="Z154" s="238"/>
      <c r="AA154" s="238"/>
      <c r="AB154" s="238"/>
      <c r="AC154" s="239"/>
      <c r="AD154" s="238"/>
      <c r="AE154" s="238"/>
      <c r="AF154" s="238"/>
      <c r="AG154" s="238"/>
      <c r="AH154" s="239"/>
      <c r="AI154" s="238"/>
      <c r="AJ154" s="238"/>
      <c r="AK154" s="238"/>
      <c r="AL154" s="238"/>
      <c r="AM154" s="239"/>
      <c r="AN154" s="238"/>
      <c r="AO154" s="238"/>
      <c r="AP154" s="238"/>
      <c r="AQ154" s="238"/>
      <c r="AR154" s="239"/>
      <c r="AS154" s="238"/>
      <c r="AT154" s="238"/>
      <c r="AU154" s="238"/>
      <c r="AV154" s="238"/>
      <c r="AW154" s="239"/>
      <c r="AX154" s="238"/>
      <c r="AY154" s="238"/>
      <c r="AZ154" s="238"/>
      <c r="BA154" s="238"/>
      <c r="BB154" s="239"/>
      <c r="BC154" s="238"/>
      <c r="BD154" s="238"/>
      <c r="BE154" s="238"/>
      <c r="BF154" s="238"/>
      <c r="BG154" s="239"/>
      <c r="BH154" s="238"/>
      <c r="BI154" s="238"/>
      <c r="BJ154" s="238"/>
      <c r="BK154" s="238"/>
      <c r="BL154" s="239"/>
      <c r="BM154" s="238"/>
      <c r="BN154" s="238"/>
      <c r="BO154" s="238"/>
      <c r="BP154" s="238"/>
      <c r="BQ154" s="239"/>
      <c r="BR154" s="238"/>
      <c r="BS154" s="238"/>
      <c r="BT154" s="238"/>
      <c r="BU154" s="238"/>
      <c r="BV154" s="239"/>
      <c r="BW154" s="238"/>
      <c r="BX154" s="238"/>
      <c r="BY154" s="238"/>
      <c r="BZ154" s="238"/>
      <c r="CA154" s="239"/>
      <c r="CB154" s="238"/>
      <c r="CC154" s="238"/>
      <c r="CD154" s="238"/>
      <c r="CE154" s="238"/>
      <c r="CF154" s="239"/>
      <c r="CG154" s="238"/>
      <c r="CH154" s="238"/>
      <c r="CI154" s="238"/>
      <c r="CJ154" s="238"/>
      <c r="CK154" s="239"/>
      <c r="CL154" s="238"/>
      <c r="CM154" s="238"/>
      <c r="CN154" s="238"/>
      <c r="CO154" s="238"/>
      <c r="CP154" s="239"/>
      <c r="CQ154" s="238"/>
      <c r="CR154" s="238"/>
      <c r="CS154" s="238"/>
      <c r="CT154" s="238"/>
      <c r="CU154" s="239"/>
      <c r="CV154" s="238"/>
      <c r="CW154" s="238"/>
      <c r="CX154" s="238"/>
      <c r="CY154" s="238"/>
      <c r="CZ154" s="239"/>
      <c r="DA154" s="238"/>
      <c r="DB154" s="238"/>
      <c r="DC154" s="238"/>
      <c r="DD154" s="238"/>
      <c r="DE154" s="239"/>
      <c r="DF154" s="238"/>
      <c r="DG154" s="238"/>
      <c r="DH154" s="238"/>
      <c r="DI154" s="238"/>
      <c r="DJ154" s="239"/>
      <c r="DK154" s="238"/>
      <c r="DL154" s="238"/>
      <c r="DM154" s="238"/>
      <c r="DN154" s="238"/>
      <c r="DO154" s="239"/>
      <c r="DP154" s="238"/>
      <c r="DQ154" s="238"/>
      <c r="DR154" s="238"/>
      <c r="DS154" s="238"/>
      <c r="DT154" s="239"/>
      <c r="DU154" s="238"/>
      <c r="DV154" s="238"/>
      <c r="DW154" s="238"/>
      <c r="DX154" s="238"/>
      <c r="DY154" s="239"/>
      <c r="DZ154" s="1858"/>
      <c r="EA154" s="1858"/>
      <c r="EB154" s="1858"/>
    </row>
    <row r="155" spans="1:132" x14ac:dyDescent="0.2">
      <c r="A155" s="1944"/>
      <c r="B155" s="1945" t="s">
        <v>380</v>
      </c>
      <c r="C155" s="1946"/>
      <c r="D155" s="1854"/>
      <c r="E155" s="59"/>
      <c r="F155" s="59"/>
      <c r="G155" s="59"/>
      <c r="H155" s="59"/>
      <c r="I155" s="63">
        <v>1046.3</v>
      </c>
      <c r="J155" s="59"/>
      <c r="K155" s="59"/>
      <c r="L155" s="59"/>
      <c r="M155" s="59"/>
      <c r="N155" s="63">
        <v>1233.7</v>
      </c>
      <c r="O155" s="59"/>
      <c r="P155" s="59"/>
      <c r="Q155" s="59"/>
      <c r="R155" s="59"/>
      <c r="S155" s="63">
        <v>1286.3</v>
      </c>
      <c r="T155" s="59"/>
      <c r="U155" s="59"/>
      <c r="V155" s="59"/>
      <c r="W155" s="59"/>
      <c r="X155" s="63">
        <v>1454.2</v>
      </c>
      <c r="Y155" s="59"/>
      <c r="Z155" s="59"/>
      <c r="AA155" s="59"/>
      <c r="AB155" s="59"/>
      <c r="AC155" s="63">
        <v>1351.5</v>
      </c>
      <c r="AD155" s="59"/>
      <c r="AE155" s="59"/>
      <c r="AF155" s="59"/>
      <c r="AG155" s="59"/>
      <c r="AH155" s="63">
        <v>1535.8</v>
      </c>
      <c r="AI155" s="59"/>
      <c r="AJ155" s="59"/>
      <c r="AK155" s="59"/>
      <c r="AL155" s="59"/>
      <c r="AM155" s="63">
        <v>1707.9</v>
      </c>
      <c r="AN155" s="59"/>
      <c r="AO155" s="59"/>
      <c r="AP155" s="59"/>
      <c r="AQ155" s="59"/>
      <c r="AR155" s="63">
        <v>1666.4</v>
      </c>
      <c r="AS155" s="59"/>
      <c r="AT155" s="59"/>
      <c r="AU155" s="59"/>
      <c r="AV155" s="59"/>
      <c r="AW155" s="63">
        <v>2275.9</v>
      </c>
      <c r="AX155" s="59"/>
      <c r="AY155" s="59"/>
      <c r="AZ155" s="59"/>
      <c r="BA155" s="59"/>
      <c r="BB155" s="63">
        <v>2467.5</v>
      </c>
      <c r="BC155" s="60">
        <v>2437.6</v>
      </c>
      <c r="BD155" s="60">
        <v>2707.1</v>
      </c>
      <c r="BE155" s="60">
        <v>2816.7</v>
      </c>
      <c r="BF155" s="60">
        <v>2863.5</v>
      </c>
      <c r="BG155" s="63">
        <v>2863.5</v>
      </c>
      <c r="BH155" s="60">
        <v>3371.1</v>
      </c>
      <c r="BI155" s="60">
        <v>3352.3</v>
      </c>
      <c r="BJ155" s="60">
        <v>3414.2</v>
      </c>
      <c r="BK155" s="60">
        <v>3593</v>
      </c>
      <c r="BL155" s="63">
        <v>3593</v>
      </c>
      <c r="BM155" s="60">
        <v>3405</v>
      </c>
      <c r="BN155" s="60">
        <v>3287</v>
      </c>
      <c r="BO155" s="60">
        <v>3284.4</v>
      </c>
      <c r="BP155" s="60">
        <v>3800.7</v>
      </c>
      <c r="BQ155" s="63">
        <v>3800.7</v>
      </c>
      <c r="BR155" s="60">
        <v>3566.3</v>
      </c>
      <c r="BS155" s="60">
        <v>3599.9</v>
      </c>
      <c r="BT155" s="60">
        <v>3963.2</v>
      </c>
      <c r="BU155" s="60">
        <v>3560</v>
      </c>
      <c r="BV155" s="61">
        <f>BU155</f>
        <v>3560</v>
      </c>
      <c r="BW155" s="60">
        <v>4043</v>
      </c>
      <c r="BX155" s="60">
        <v>3867</v>
      </c>
      <c r="BY155" s="60">
        <v>4162</v>
      </c>
      <c r="BZ155" s="60">
        <v>4026</v>
      </c>
      <c r="CA155" s="61">
        <f>BZ155</f>
        <v>4026</v>
      </c>
      <c r="CB155" s="60">
        <v>4354</v>
      </c>
      <c r="CC155" s="60">
        <v>4446</v>
      </c>
      <c r="CD155" s="60">
        <v>4387</v>
      </c>
      <c r="CE155" s="60">
        <v>4370</v>
      </c>
      <c r="CF155" s="86">
        <f>CE155</f>
        <v>4370</v>
      </c>
      <c r="CG155" s="60">
        <v>5240</v>
      </c>
      <c r="CH155" s="60">
        <v>4903</v>
      </c>
      <c r="CI155" s="60">
        <v>5091</v>
      </c>
      <c r="CJ155" s="60">
        <v>5070</v>
      </c>
      <c r="CK155" s="86">
        <f>CJ155</f>
        <v>5070</v>
      </c>
      <c r="CL155" s="60">
        <v>5506</v>
      </c>
      <c r="CM155" s="60">
        <v>5178</v>
      </c>
      <c r="CN155" s="60">
        <v>5412</v>
      </c>
      <c r="CO155" s="60">
        <v>5548</v>
      </c>
      <c r="CP155" s="86">
        <f>CO155</f>
        <v>5548</v>
      </c>
      <c r="CQ155" s="60">
        <v>5638</v>
      </c>
      <c r="CR155" s="60">
        <v>5780</v>
      </c>
      <c r="CS155" s="60">
        <v>6033</v>
      </c>
      <c r="CT155" s="60">
        <v>6547</v>
      </c>
      <c r="CU155" s="86">
        <f>CT155</f>
        <v>6547</v>
      </c>
      <c r="CV155" s="60">
        <v>6431</v>
      </c>
      <c r="CW155" s="60">
        <v>6370</v>
      </c>
      <c r="CX155" s="60">
        <v>7064</v>
      </c>
      <c r="CY155" s="60">
        <v>7490</v>
      </c>
      <c r="CZ155" s="86">
        <f>CY155</f>
        <v>7490</v>
      </c>
      <c r="DA155" s="60">
        <v>7361</v>
      </c>
      <c r="DB155" s="60">
        <v>7351</v>
      </c>
      <c r="DC155" s="60">
        <v>7584</v>
      </c>
      <c r="DD155" s="60">
        <v>7946</v>
      </c>
      <c r="DE155" s="86">
        <f>DD155</f>
        <v>7946</v>
      </c>
      <c r="DF155" s="60">
        <v>7344</v>
      </c>
      <c r="DG155" s="60">
        <v>7874</v>
      </c>
      <c r="DH155" s="60">
        <v>7899</v>
      </c>
      <c r="DI155" s="60">
        <v>8863</v>
      </c>
      <c r="DJ155" s="86">
        <f>DI155</f>
        <v>8863</v>
      </c>
      <c r="DK155" s="59">
        <f ca="1">DK187*DK188</f>
        <v>7578.1032413765442</v>
      </c>
      <c r="DL155" s="59">
        <f ca="1">DL187*DL188</f>
        <v>8359.4006319780729</v>
      </c>
      <c r="DM155" s="59">
        <f ca="1">DM187*DM188</f>
        <v>8216.2572888280392</v>
      </c>
      <c r="DN155" s="59">
        <f ca="1">DN187*DN188</f>
        <v>9065.4695302548516</v>
      </c>
      <c r="DO155" s="86">
        <f ca="1">DN155</f>
        <v>9065.4695302548516</v>
      </c>
      <c r="DP155" s="59">
        <f ca="1">DP187*DP188</f>
        <v>8073.0055950983906</v>
      </c>
      <c r="DQ155" s="59">
        <f ca="1">DQ187*DQ188</f>
        <v>8908.1857262671765</v>
      </c>
      <c r="DR155" s="59">
        <f ca="1">DR187*DR188</f>
        <v>8750.3525689345533</v>
      </c>
      <c r="DS155" s="59">
        <f ca="1">DS187*DS188</f>
        <v>9639.1093141676411</v>
      </c>
      <c r="DT155" s="86">
        <f ca="1">DS155</f>
        <v>9639.1093141676411</v>
      </c>
      <c r="DU155" s="59">
        <f ca="1">DU187*DU188</f>
        <v>8390.2942217064083</v>
      </c>
      <c r="DV155" s="59">
        <f ca="1">DV187*DV188</f>
        <v>9243.6327749358661</v>
      </c>
      <c r="DW155" s="59">
        <f ca="1">DW187*DW188</f>
        <v>9069.1911007869057</v>
      </c>
      <c r="DX155" s="59">
        <f ca="1">DX187*DX188</f>
        <v>9973.3930138881369</v>
      </c>
      <c r="DY155" s="86">
        <f ca="1">DX155</f>
        <v>9973.3930138881369</v>
      </c>
      <c r="DZ155" s="1858"/>
      <c r="EA155" s="1858"/>
      <c r="EB155" s="1858"/>
    </row>
    <row r="156" spans="1:132" x14ac:dyDescent="0.2">
      <c r="A156" s="1853"/>
      <c r="B156" s="1932" t="s">
        <v>381</v>
      </c>
      <c r="C156" s="1911"/>
      <c r="D156" s="1947"/>
      <c r="E156" s="59"/>
      <c r="F156" s="59"/>
      <c r="G156" s="59"/>
      <c r="H156" s="59"/>
      <c r="I156" s="86"/>
      <c r="J156" s="59"/>
      <c r="K156" s="59"/>
      <c r="L156" s="59"/>
      <c r="M156" s="59"/>
      <c r="N156" s="86"/>
      <c r="O156" s="59"/>
      <c r="P156" s="59"/>
      <c r="Q156" s="59"/>
      <c r="R156" s="59"/>
      <c r="S156" s="86"/>
      <c r="T156" s="59"/>
      <c r="U156" s="59"/>
      <c r="V156" s="59"/>
      <c r="W156" s="59"/>
      <c r="X156" s="86"/>
      <c r="Y156" s="59"/>
      <c r="Z156" s="59"/>
      <c r="AA156" s="59"/>
      <c r="AB156" s="59"/>
      <c r="AC156" s="86"/>
      <c r="AD156" s="59"/>
      <c r="AE156" s="59"/>
      <c r="AF156" s="59"/>
      <c r="AG156" s="59"/>
      <c r="AH156" s="86"/>
      <c r="AI156" s="59"/>
      <c r="AJ156" s="59"/>
      <c r="AK156" s="59"/>
      <c r="AL156" s="59"/>
      <c r="AM156" s="86"/>
      <c r="AN156" s="59"/>
      <c r="AO156" s="59"/>
      <c r="AP156" s="59"/>
      <c r="AQ156" s="59"/>
      <c r="AR156" s="86"/>
      <c r="AS156" s="59"/>
      <c r="AT156" s="59"/>
      <c r="AU156" s="59"/>
      <c r="AV156" s="59"/>
      <c r="AW156" s="86"/>
      <c r="AX156" s="59"/>
      <c r="AY156" s="59"/>
      <c r="AZ156" s="59"/>
      <c r="BA156" s="59"/>
      <c r="BB156" s="86"/>
      <c r="BC156" s="60">
        <v>0</v>
      </c>
      <c r="BD156" s="60">
        <v>0</v>
      </c>
      <c r="BE156" s="60">
        <v>0</v>
      </c>
      <c r="BF156" s="60">
        <v>0</v>
      </c>
      <c r="BG156" s="86"/>
      <c r="BH156" s="60">
        <v>2568.9</v>
      </c>
      <c r="BI156" s="60">
        <v>2650.5</v>
      </c>
      <c r="BJ156" s="60">
        <v>2471.4</v>
      </c>
      <c r="BK156" s="60">
        <v>2484.3000000000002</v>
      </c>
      <c r="BL156" s="63">
        <v>2484.3000000000002</v>
      </c>
      <c r="BM156" s="60">
        <v>2481.3000000000002</v>
      </c>
      <c r="BN156" s="60">
        <v>2245.6</v>
      </c>
      <c r="BO156" s="60">
        <v>2428.1999999999998</v>
      </c>
      <c r="BP156" s="60">
        <v>2814.2</v>
      </c>
      <c r="BQ156" s="63">
        <v>2814.2</v>
      </c>
      <c r="BR156" s="60">
        <v>2933.8</v>
      </c>
      <c r="BS156" s="60">
        <v>2963.3</v>
      </c>
      <c r="BT156" s="60">
        <v>2907.8</v>
      </c>
      <c r="BU156" s="60">
        <v>3075</v>
      </c>
      <c r="BV156" s="61">
        <f>BU156</f>
        <v>3075</v>
      </c>
      <c r="BW156" s="60">
        <v>2477</v>
      </c>
      <c r="BX156" s="60">
        <v>2482</v>
      </c>
      <c r="BY156" s="60">
        <v>2360</v>
      </c>
      <c r="BZ156" s="60">
        <v>2569</v>
      </c>
      <c r="CA156" s="61">
        <f>BZ156</f>
        <v>2569</v>
      </c>
      <c r="CB156" s="60">
        <v>2776</v>
      </c>
      <c r="CC156" s="60">
        <v>3061</v>
      </c>
      <c r="CD156" s="60">
        <v>3103</v>
      </c>
      <c r="CE156" s="60">
        <v>3487</v>
      </c>
      <c r="CF156" s="86">
        <f>CE156</f>
        <v>3487</v>
      </c>
      <c r="CG156" s="60">
        <v>3661</v>
      </c>
      <c r="CH156" s="60">
        <v>3648</v>
      </c>
      <c r="CI156" s="60">
        <v>3724</v>
      </c>
      <c r="CJ156" s="60">
        <v>3974</v>
      </c>
      <c r="CK156" s="86">
        <f>CJ156</f>
        <v>3974</v>
      </c>
      <c r="CL156" s="60">
        <v>3854</v>
      </c>
      <c r="CM156" s="60">
        <v>3993</v>
      </c>
      <c r="CN156" s="60">
        <v>4360</v>
      </c>
      <c r="CO156" s="60">
        <v>4548</v>
      </c>
      <c r="CP156" s="86">
        <f>CO156</f>
        <v>4548</v>
      </c>
      <c r="CQ156" s="60">
        <v>4878</v>
      </c>
      <c r="CR156" s="60">
        <v>4918</v>
      </c>
      <c r="CS156" s="60">
        <v>5400</v>
      </c>
      <c r="CT156" s="60">
        <v>5404</v>
      </c>
      <c r="CU156" s="86">
        <f>CT156</f>
        <v>5404</v>
      </c>
      <c r="CV156" s="60">
        <v>6273</v>
      </c>
      <c r="CW156" s="60">
        <v>6961</v>
      </c>
      <c r="CX156" s="60">
        <v>7283</v>
      </c>
      <c r="CY156" s="60">
        <v>7653</v>
      </c>
      <c r="CZ156" s="86">
        <f>CY156</f>
        <v>7653</v>
      </c>
      <c r="DA156" s="60">
        <v>8530</v>
      </c>
      <c r="DB156" s="60">
        <v>8938</v>
      </c>
      <c r="DC156" s="60">
        <v>9178</v>
      </c>
      <c r="DD156" s="60">
        <v>9451</v>
      </c>
      <c r="DE156" s="86">
        <f>DD156</f>
        <v>9451</v>
      </c>
      <c r="DF156" s="60">
        <v>9453</v>
      </c>
      <c r="DG156" s="60">
        <v>9708</v>
      </c>
      <c r="DH156" s="60">
        <v>9807</v>
      </c>
      <c r="DI156" s="60">
        <v>10355</v>
      </c>
      <c r="DJ156" s="86">
        <f>DI156</f>
        <v>10355</v>
      </c>
      <c r="DK156" s="59">
        <f ca="1">DK189*DK190</f>
        <v>9729.7725875217438</v>
      </c>
      <c r="DL156" s="59">
        <f ca="1">DL189*DL190</f>
        <v>10588.861710176252</v>
      </c>
      <c r="DM156" s="59">
        <f ca="1">DM189*DM190</f>
        <v>10539.093562514536</v>
      </c>
      <c r="DN156" s="59">
        <f ca="1">DN189*DN190</f>
        <v>10736.629133465653</v>
      </c>
      <c r="DO156" s="86">
        <f ca="1">DN156</f>
        <v>10736.629133465653</v>
      </c>
      <c r="DP156" s="59">
        <f ca="1">DP189*DP190</f>
        <v>10220.513351144742</v>
      </c>
      <c r="DQ156" s="59">
        <f ca="1">DQ189*DQ190</f>
        <v>11119.310959676151</v>
      </c>
      <c r="DR156" s="59">
        <f ca="1">DR189*DR190</f>
        <v>11053.748831580406</v>
      </c>
      <c r="DS156" s="59">
        <f ca="1">DS189*DS190</f>
        <v>11246.532117372753</v>
      </c>
      <c r="DT156" s="86">
        <f ca="1">DS156</f>
        <v>11246.532117372753</v>
      </c>
      <c r="DU156" s="59">
        <f ca="1">DU189*DU190</f>
        <v>10686.600223047926</v>
      </c>
      <c r="DV156" s="59">
        <f ca="1">DV189*DV190</f>
        <v>11602.656114501884</v>
      </c>
      <c r="DW156" s="59">
        <f ca="1">DW189*DW190</f>
        <v>11517.741556769841</v>
      </c>
      <c r="DX156" s="59">
        <f ca="1">DX189*DX190</f>
        <v>11702.057738587158</v>
      </c>
      <c r="DY156" s="86">
        <f ca="1">DX156</f>
        <v>11702.057738587158</v>
      </c>
      <c r="DZ156" s="1858"/>
      <c r="EA156" s="1858"/>
      <c r="EB156" s="1858"/>
    </row>
    <row r="157" spans="1:132" x14ac:dyDescent="0.2">
      <c r="A157" s="1853"/>
      <c r="B157" s="1932" t="s">
        <v>382</v>
      </c>
      <c r="C157" s="1884"/>
      <c r="D157" s="1884"/>
      <c r="E157" s="59"/>
      <c r="F157" s="59"/>
      <c r="G157" s="59"/>
      <c r="H157" s="59"/>
      <c r="I157" s="63">
        <v>1007.1</v>
      </c>
      <c r="J157" s="59"/>
      <c r="K157" s="59"/>
      <c r="L157" s="59"/>
      <c r="M157" s="59"/>
      <c r="N157" s="63">
        <v>1168.5999999999999</v>
      </c>
      <c r="O157" s="59"/>
      <c r="P157" s="59"/>
      <c r="Q157" s="59"/>
      <c r="R157" s="59"/>
      <c r="S157" s="63">
        <v>1061.3</v>
      </c>
      <c r="T157" s="59"/>
      <c r="U157" s="59"/>
      <c r="V157" s="59"/>
      <c r="W157" s="59"/>
      <c r="X157" s="63">
        <v>967.4</v>
      </c>
      <c r="Y157" s="59"/>
      <c r="Z157" s="59"/>
      <c r="AA157" s="59"/>
      <c r="AB157" s="59"/>
      <c r="AC157" s="63">
        <v>1001.4</v>
      </c>
      <c r="AD157" s="59"/>
      <c r="AE157" s="59"/>
      <c r="AF157" s="59"/>
      <c r="AG157" s="59"/>
      <c r="AH157" s="63">
        <v>1267.9000000000001</v>
      </c>
      <c r="AI157" s="59"/>
      <c r="AJ157" s="59"/>
      <c r="AK157" s="59"/>
      <c r="AL157" s="59"/>
      <c r="AM157" s="63">
        <v>1361.2</v>
      </c>
      <c r="AN157" s="59"/>
      <c r="AO157" s="59"/>
      <c r="AP157" s="59"/>
      <c r="AQ157" s="59"/>
      <c r="AR157" s="63">
        <v>1499.6</v>
      </c>
      <c r="AS157" s="59"/>
      <c r="AT157" s="59"/>
      <c r="AU157" s="59"/>
      <c r="AV157" s="59"/>
      <c r="AW157" s="63">
        <v>1666.7</v>
      </c>
      <c r="AX157" s="59"/>
      <c r="AY157" s="59"/>
      <c r="AZ157" s="59"/>
      <c r="BA157" s="59"/>
      <c r="BB157" s="63">
        <v>1521.4</v>
      </c>
      <c r="BC157" s="60">
        <v>1384.3</v>
      </c>
      <c r="BD157" s="60">
        <v>1415.7</v>
      </c>
      <c r="BE157" s="60">
        <v>1592.9</v>
      </c>
      <c r="BF157" s="60">
        <v>1950.2</v>
      </c>
      <c r="BG157" s="63">
        <v>1950.2</v>
      </c>
      <c r="BH157" s="60">
        <v>2755.9</v>
      </c>
      <c r="BI157" s="60">
        <v>2512.3000000000002</v>
      </c>
      <c r="BJ157" s="60">
        <v>2432</v>
      </c>
      <c r="BK157" s="60">
        <v>2556.8000000000002</v>
      </c>
      <c r="BL157" s="63">
        <v>2556.8000000000002</v>
      </c>
      <c r="BM157" s="60">
        <v>2504.6</v>
      </c>
      <c r="BN157" s="60">
        <v>2250.9</v>
      </c>
      <c r="BO157" s="60">
        <v>2491.5</v>
      </c>
      <c r="BP157" s="60">
        <v>3177.6</v>
      </c>
      <c r="BQ157" s="63">
        <v>3177.6</v>
      </c>
      <c r="BR157" s="60">
        <v>2927.4</v>
      </c>
      <c r="BS157" s="60">
        <v>2469</v>
      </c>
      <c r="BT157" s="60">
        <v>2625.5</v>
      </c>
      <c r="BU157" s="60">
        <v>3246</v>
      </c>
      <c r="BV157" s="61">
        <f>BU157</f>
        <v>3246</v>
      </c>
      <c r="BW157" s="60">
        <v>2898</v>
      </c>
      <c r="BX157" s="60">
        <v>2603</v>
      </c>
      <c r="BY157" s="60">
        <v>2664</v>
      </c>
      <c r="BZ157" s="60">
        <v>3070</v>
      </c>
      <c r="CA157" s="61">
        <f>BZ157</f>
        <v>3070</v>
      </c>
      <c r="CB157" s="60">
        <v>3229</v>
      </c>
      <c r="CC157" s="60">
        <v>3329</v>
      </c>
      <c r="CD157" s="60">
        <v>4259</v>
      </c>
      <c r="CE157" s="60">
        <v>3293</v>
      </c>
      <c r="CF157" s="86">
        <f>CE157</f>
        <v>3293</v>
      </c>
      <c r="CG157" s="60">
        <v>4506</v>
      </c>
      <c r="CH157" s="60">
        <v>4380</v>
      </c>
      <c r="CI157" s="60">
        <v>3618</v>
      </c>
      <c r="CJ157" s="60">
        <v>4051</v>
      </c>
      <c r="CK157" s="86">
        <f>CJ157</f>
        <v>4051</v>
      </c>
      <c r="CL157" s="60">
        <v>3523</v>
      </c>
      <c r="CM157" s="60">
        <v>3501</v>
      </c>
      <c r="CN157" s="60">
        <v>3940</v>
      </c>
      <c r="CO157" s="60">
        <v>4768</v>
      </c>
      <c r="CP157" s="86">
        <f>CO157</f>
        <v>4768</v>
      </c>
      <c r="CQ157" s="60">
        <v>5132</v>
      </c>
      <c r="CR157" s="60">
        <v>4812</v>
      </c>
      <c r="CS157" s="60">
        <v>5433</v>
      </c>
      <c r="CT157" s="60">
        <v>5816</v>
      </c>
      <c r="CU157" s="86">
        <f>CT157</f>
        <v>5816</v>
      </c>
      <c r="CV157" s="60">
        <v>5936</v>
      </c>
      <c r="CW157" s="60">
        <v>5543</v>
      </c>
      <c r="CX157" s="60">
        <v>6636</v>
      </c>
      <c r="CY157" s="60">
        <v>6829</v>
      </c>
      <c r="CZ157" s="86">
        <f>CY157</f>
        <v>6829</v>
      </c>
      <c r="DA157" s="60">
        <v>7444</v>
      </c>
      <c r="DB157" s="60">
        <v>7244</v>
      </c>
      <c r="DC157" s="60">
        <v>8856</v>
      </c>
      <c r="DD157" s="60">
        <v>6937</v>
      </c>
      <c r="DE157" s="86">
        <f>DD157</f>
        <v>6937</v>
      </c>
      <c r="DF157" s="60">
        <v>8680</v>
      </c>
      <c r="DG157" s="60">
        <v>8133</v>
      </c>
      <c r="DH157" s="60">
        <v>8404</v>
      </c>
      <c r="DI157" s="60">
        <v>6609</v>
      </c>
      <c r="DJ157" s="86">
        <f>DI157</f>
        <v>6609</v>
      </c>
      <c r="DK157" s="59">
        <f>DJ157</f>
        <v>6609</v>
      </c>
      <c r="DL157" s="59">
        <f>DK157</f>
        <v>6609</v>
      </c>
      <c r="DM157" s="59">
        <f>DL157</f>
        <v>6609</v>
      </c>
      <c r="DN157" s="59">
        <f>DM157</f>
        <v>6609</v>
      </c>
      <c r="DO157" s="86">
        <f>DN157</f>
        <v>6609</v>
      </c>
      <c r="DP157" s="59">
        <f>DO157</f>
        <v>6609</v>
      </c>
      <c r="DQ157" s="59">
        <f>DP157</f>
        <v>6609</v>
      </c>
      <c r="DR157" s="59">
        <f>DQ157</f>
        <v>6609</v>
      </c>
      <c r="DS157" s="59">
        <f>DR157</f>
        <v>6609</v>
      </c>
      <c r="DT157" s="86">
        <f>DS157</f>
        <v>6609</v>
      </c>
      <c r="DU157" s="59">
        <f>DT157</f>
        <v>6609</v>
      </c>
      <c r="DV157" s="59">
        <f>DU157</f>
        <v>6609</v>
      </c>
      <c r="DW157" s="59">
        <f>DV157</f>
        <v>6609</v>
      </c>
      <c r="DX157" s="59">
        <f>DW157</f>
        <v>6609</v>
      </c>
      <c r="DY157" s="86">
        <f>DX157</f>
        <v>6609</v>
      </c>
      <c r="DZ157" s="1858"/>
      <c r="EA157" s="1858"/>
      <c r="EB157" s="1858"/>
    </row>
    <row r="158" spans="1:132" x14ac:dyDescent="0.2">
      <c r="A158" s="1853"/>
      <c r="B158" s="1932" t="s">
        <v>383</v>
      </c>
      <c r="C158" s="1884"/>
      <c r="D158" s="1884"/>
      <c r="E158" s="59"/>
      <c r="F158" s="59"/>
      <c r="G158" s="59"/>
      <c r="H158" s="59"/>
      <c r="I158" s="63">
        <v>0</v>
      </c>
      <c r="J158" s="59"/>
      <c r="K158" s="59"/>
      <c r="L158" s="59"/>
      <c r="M158" s="59"/>
      <c r="N158" s="63">
        <v>466.4</v>
      </c>
      <c r="O158" s="59"/>
      <c r="P158" s="59"/>
      <c r="Q158" s="59"/>
      <c r="R158" s="59"/>
      <c r="S158" s="63">
        <v>771.1</v>
      </c>
      <c r="T158" s="59"/>
      <c r="U158" s="59"/>
      <c r="V158" s="59"/>
      <c r="W158" s="59"/>
      <c r="X158" s="63">
        <v>451</v>
      </c>
      <c r="Y158" s="59"/>
      <c r="Z158" s="59"/>
      <c r="AA158" s="59"/>
      <c r="AB158" s="59"/>
      <c r="AC158" s="63">
        <v>589.6</v>
      </c>
      <c r="AD158" s="59"/>
      <c r="AE158" s="59"/>
      <c r="AF158" s="59"/>
      <c r="AG158" s="59"/>
      <c r="AH158" s="63">
        <v>235.8</v>
      </c>
      <c r="AI158" s="59"/>
      <c r="AJ158" s="59"/>
      <c r="AK158" s="59"/>
      <c r="AL158" s="59"/>
      <c r="AM158" s="63">
        <v>4.8</v>
      </c>
      <c r="AN158" s="59"/>
      <c r="AO158" s="59"/>
      <c r="AP158" s="59"/>
      <c r="AQ158" s="59"/>
      <c r="AR158" s="63">
        <v>0</v>
      </c>
      <c r="AS158" s="59"/>
      <c r="AT158" s="59"/>
      <c r="AU158" s="59"/>
      <c r="AV158" s="59"/>
      <c r="AW158" s="63">
        <v>885.6</v>
      </c>
      <c r="AX158" s="59"/>
      <c r="AY158" s="59"/>
      <c r="AZ158" s="59"/>
      <c r="BA158" s="59"/>
      <c r="BB158" s="63">
        <v>253.4</v>
      </c>
      <c r="BC158" s="60">
        <v>512</v>
      </c>
      <c r="BD158" s="60">
        <v>4461.2</v>
      </c>
      <c r="BE158" s="60">
        <v>3160.2</v>
      </c>
      <c r="BF158" s="60">
        <v>1842.7</v>
      </c>
      <c r="BG158" s="63">
        <v>1842.7</v>
      </c>
      <c r="BH158" s="60">
        <v>3072.8</v>
      </c>
      <c r="BI158" s="60">
        <v>660.4</v>
      </c>
      <c r="BJ158" s="60">
        <v>425</v>
      </c>
      <c r="BK158" s="60">
        <v>2085</v>
      </c>
      <c r="BL158" s="63">
        <v>2085</v>
      </c>
      <c r="BM158" s="60">
        <v>1341.9</v>
      </c>
      <c r="BN158" s="60">
        <v>980</v>
      </c>
      <c r="BO158" s="60">
        <v>982</v>
      </c>
      <c r="BP158" s="60">
        <v>3044.1</v>
      </c>
      <c r="BQ158" s="63">
        <v>3044.1</v>
      </c>
      <c r="BR158" s="60">
        <v>1419.9</v>
      </c>
      <c r="BS158" s="60">
        <v>1328</v>
      </c>
      <c r="BT158" s="60">
        <v>1100</v>
      </c>
      <c r="BU158" s="60">
        <v>315</v>
      </c>
      <c r="BV158" s="61">
        <f>BU158</f>
        <v>315</v>
      </c>
      <c r="BW158" s="60">
        <v>515</v>
      </c>
      <c r="BX158" s="60">
        <v>1852</v>
      </c>
      <c r="BY158" s="60">
        <v>1384</v>
      </c>
      <c r="BZ158" s="60">
        <v>300</v>
      </c>
      <c r="CA158" s="61">
        <f>BZ158</f>
        <v>300</v>
      </c>
      <c r="CB158" s="60">
        <v>300</v>
      </c>
      <c r="CC158" s="60">
        <v>0</v>
      </c>
      <c r="CD158" s="60">
        <v>530</v>
      </c>
      <c r="CE158" s="60">
        <v>750</v>
      </c>
      <c r="CF158" s="86">
        <f>CE158</f>
        <v>750</v>
      </c>
      <c r="CG158" s="60">
        <v>0</v>
      </c>
      <c r="CH158" s="60">
        <v>200</v>
      </c>
      <c r="CI158" s="60">
        <v>825</v>
      </c>
      <c r="CJ158" s="60">
        <v>690</v>
      </c>
      <c r="CK158" s="86">
        <f>CJ158</f>
        <v>690</v>
      </c>
      <c r="CL158" s="60">
        <v>300</v>
      </c>
      <c r="CM158" s="60">
        <v>0</v>
      </c>
      <c r="CN158" s="60">
        <v>814</v>
      </c>
      <c r="CO158" s="60">
        <v>0</v>
      </c>
      <c r="CP158" s="86">
        <f>CO158</f>
        <v>0</v>
      </c>
      <c r="CQ158" s="60">
        <f>CP158+CQ53</f>
        <v>0</v>
      </c>
      <c r="CR158" s="60">
        <v>0</v>
      </c>
      <c r="CS158" s="60">
        <v>775</v>
      </c>
      <c r="CT158" s="60">
        <v>685</v>
      </c>
      <c r="CU158" s="86">
        <f>CT158</f>
        <v>685</v>
      </c>
      <c r="CV158" s="60">
        <v>500</v>
      </c>
      <c r="CW158" s="60">
        <v>1488</v>
      </c>
      <c r="CX158" s="60">
        <v>0</v>
      </c>
      <c r="CY158" s="60">
        <v>0</v>
      </c>
      <c r="CZ158" s="86">
        <f>CY158</f>
        <v>0</v>
      </c>
      <c r="DA158" s="60">
        <v>0</v>
      </c>
      <c r="DB158" s="60">
        <v>745</v>
      </c>
      <c r="DC158" s="60">
        <v>340</v>
      </c>
      <c r="DD158" s="60">
        <v>1874</v>
      </c>
      <c r="DE158" s="86">
        <f>DD158</f>
        <v>1874</v>
      </c>
      <c r="DF158" s="60">
        <v>1768</v>
      </c>
      <c r="DG158" s="60">
        <v>1100</v>
      </c>
      <c r="DH158" s="60">
        <v>110</v>
      </c>
      <c r="DI158" s="60">
        <v>1276</v>
      </c>
      <c r="DJ158" s="86">
        <f>DI158</f>
        <v>1276</v>
      </c>
      <c r="DK158" s="59">
        <f>DJ158+DK53</f>
        <v>1276</v>
      </c>
      <c r="DL158" s="59">
        <f>DK158+DL53</f>
        <v>1276</v>
      </c>
      <c r="DM158" s="59">
        <f>DL158+DM53</f>
        <v>1276</v>
      </c>
      <c r="DN158" s="59">
        <f>DM158+DN53</f>
        <v>1276</v>
      </c>
      <c r="DO158" s="86">
        <f>DN158</f>
        <v>1276</v>
      </c>
      <c r="DP158" s="59">
        <f>DO158+DP53</f>
        <v>1276</v>
      </c>
      <c r="DQ158" s="59">
        <f>DP158+DQ53</f>
        <v>1276</v>
      </c>
      <c r="DR158" s="59">
        <f>DQ158+DR53</f>
        <v>1276</v>
      </c>
      <c r="DS158" s="59">
        <f>DR158+DS53</f>
        <v>1276</v>
      </c>
      <c r="DT158" s="86">
        <f>DS158</f>
        <v>1276</v>
      </c>
      <c r="DU158" s="59">
        <f>DT158+DU53</f>
        <v>1276</v>
      </c>
      <c r="DV158" s="59">
        <f>DU158+DV53</f>
        <v>1276</v>
      </c>
      <c r="DW158" s="59">
        <f>DV158+DW53</f>
        <v>1276</v>
      </c>
      <c r="DX158" s="59">
        <f>DW158+DX53</f>
        <v>1276</v>
      </c>
      <c r="DY158" s="86">
        <f>DX158</f>
        <v>1276</v>
      </c>
      <c r="DZ158" s="1858"/>
      <c r="EA158" s="1858"/>
      <c r="EB158" s="1858"/>
    </row>
    <row r="159" spans="1:132" x14ac:dyDescent="0.2">
      <c r="A159" s="1853"/>
      <c r="B159" s="374" t="s">
        <v>384</v>
      </c>
      <c r="C159" s="369"/>
      <c r="D159" s="369"/>
      <c r="E159" s="369"/>
      <c r="F159" s="369"/>
      <c r="G159" s="369"/>
      <c r="H159" s="369"/>
      <c r="I159" s="370">
        <v>69.400000000000006</v>
      </c>
      <c r="J159" s="369"/>
      <c r="K159" s="369"/>
      <c r="L159" s="369"/>
      <c r="M159" s="369"/>
      <c r="N159" s="370">
        <v>41.9</v>
      </c>
      <c r="O159" s="369"/>
      <c r="P159" s="369"/>
      <c r="Q159" s="369"/>
      <c r="R159" s="369"/>
      <c r="S159" s="370">
        <v>14.6</v>
      </c>
      <c r="T159" s="369"/>
      <c r="U159" s="369"/>
      <c r="V159" s="369"/>
      <c r="W159" s="369"/>
      <c r="X159" s="370">
        <v>17.3</v>
      </c>
      <c r="Y159" s="369"/>
      <c r="Z159" s="369"/>
      <c r="AA159" s="369"/>
      <c r="AB159" s="369"/>
      <c r="AC159" s="370">
        <v>21.6</v>
      </c>
      <c r="AD159" s="369"/>
      <c r="AE159" s="369"/>
      <c r="AF159" s="369"/>
      <c r="AG159" s="369"/>
      <c r="AH159" s="370">
        <v>26.4</v>
      </c>
      <c r="AI159" s="369"/>
      <c r="AJ159" s="369"/>
      <c r="AK159" s="369"/>
      <c r="AL159" s="369"/>
      <c r="AM159" s="370">
        <v>32</v>
      </c>
      <c r="AN159" s="369"/>
      <c r="AO159" s="369"/>
      <c r="AP159" s="369"/>
      <c r="AQ159" s="369"/>
      <c r="AR159" s="370">
        <v>323.2</v>
      </c>
      <c r="AS159" s="369"/>
      <c r="AT159" s="369"/>
      <c r="AU159" s="369"/>
      <c r="AV159" s="369"/>
      <c r="AW159" s="370">
        <v>30.6</v>
      </c>
      <c r="AX159" s="369"/>
      <c r="AY159" s="369"/>
      <c r="AZ159" s="369"/>
      <c r="BA159" s="369"/>
      <c r="BB159" s="370">
        <v>341.6</v>
      </c>
      <c r="BC159" s="371">
        <v>41</v>
      </c>
      <c r="BD159" s="371">
        <v>48.1</v>
      </c>
      <c r="BE159" s="371">
        <v>46.4</v>
      </c>
      <c r="BF159" s="371">
        <v>344.3</v>
      </c>
      <c r="BG159" s="370">
        <v>344.3</v>
      </c>
      <c r="BH159" s="371">
        <v>842.6</v>
      </c>
      <c r="BI159" s="371">
        <v>340.1</v>
      </c>
      <c r="BJ159" s="371">
        <v>340.2</v>
      </c>
      <c r="BK159" s="371">
        <v>47.2</v>
      </c>
      <c r="BL159" s="370">
        <v>47.2</v>
      </c>
      <c r="BM159" s="371">
        <v>47.3</v>
      </c>
      <c r="BN159" s="371">
        <v>47.3</v>
      </c>
      <c r="BO159" s="371">
        <v>697.4</v>
      </c>
      <c r="BP159" s="371">
        <v>653.29999999999995</v>
      </c>
      <c r="BQ159" s="370">
        <v>653.29999999999995</v>
      </c>
      <c r="BR159" s="371">
        <v>651.4</v>
      </c>
      <c r="BS159" s="371">
        <v>2403.6</v>
      </c>
      <c r="BT159" s="371">
        <v>2103.9</v>
      </c>
      <c r="BU159" s="371">
        <v>2104</v>
      </c>
      <c r="BV159" s="372">
        <f>BU159</f>
        <v>2104</v>
      </c>
      <c r="BW159" s="371">
        <v>2404</v>
      </c>
      <c r="BX159" s="371">
        <v>655</v>
      </c>
      <c r="BY159" s="371">
        <v>1104</v>
      </c>
      <c r="BZ159" s="371">
        <v>1105</v>
      </c>
      <c r="CA159" s="372">
        <f>BZ159</f>
        <v>1105</v>
      </c>
      <c r="CB159" s="371">
        <v>806</v>
      </c>
      <c r="CC159" s="371">
        <v>916</v>
      </c>
      <c r="CD159" s="371">
        <v>71</v>
      </c>
      <c r="CE159" s="371">
        <v>56</v>
      </c>
      <c r="CF159" s="373">
        <f>CE159</f>
        <v>56</v>
      </c>
      <c r="CG159" s="371">
        <v>5</v>
      </c>
      <c r="CH159" s="371">
        <v>5</v>
      </c>
      <c r="CI159" s="371">
        <v>5</v>
      </c>
      <c r="CJ159" s="371">
        <v>5</v>
      </c>
      <c r="CK159" s="373">
        <f>CJ159</f>
        <v>5</v>
      </c>
      <c r="CL159" s="371">
        <v>12</v>
      </c>
      <c r="CM159" s="371">
        <v>18</v>
      </c>
      <c r="CN159" s="371">
        <v>572</v>
      </c>
      <c r="CO159" s="371">
        <v>561</v>
      </c>
      <c r="CP159" s="373">
        <f>CO159</f>
        <v>561</v>
      </c>
      <c r="CQ159" s="371">
        <v>565</v>
      </c>
      <c r="CR159" s="371">
        <v>1119</v>
      </c>
      <c r="CS159" s="371">
        <v>572</v>
      </c>
      <c r="CT159" s="371">
        <v>575</v>
      </c>
      <c r="CU159" s="373">
        <f>CT159</f>
        <v>575</v>
      </c>
      <c r="CV159" s="371">
        <v>573</v>
      </c>
      <c r="CW159" s="371">
        <v>24</v>
      </c>
      <c r="CX159" s="371">
        <v>451</v>
      </c>
      <c r="CY159" s="371">
        <v>1197</v>
      </c>
      <c r="CZ159" s="373">
        <f>CY159</f>
        <v>1197</v>
      </c>
      <c r="DA159" s="371">
        <v>1202</v>
      </c>
      <c r="DB159" s="371">
        <v>2291</v>
      </c>
      <c r="DC159" s="371">
        <v>783</v>
      </c>
      <c r="DD159" s="371">
        <v>42</v>
      </c>
      <c r="DE159" s="373">
        <f>DD159</f>
        <v>42</v>
      </c>
      <c r="DF159" s="371">
        <v>43</v>
      </c>
      <c r="DG159" s="371">
        <v>42</v>
      </c>
      <c r="DH159" s="371">
        <v>2293</v>
      </c>
      <c r="DI159" s="371">
        <v>3545</v>
      </c>
      <c r="DJ159" s="373">
        <f>DI159</f>
        <v>3545</v>
      </c>
      <c r="DK159" s="369">
        <f>DJ159</f>
        <v>3545</v>
      </c>
      <c r="DL159" s="369">
        <f>DK159</f>
        <v>3545</v>
      </c>
      <c r="DM159" s="369">
        <f>DL159</f>
        <v>3545</v>
      </c>
      <c r="DN159" s="369">
        <f>DM159</f>
        <v>3545</v>
      </c>
      <c r="DO159" s="373">
        <f>DN159</f>
        <v>3545</v>
      </c>
      <c r="DP159" s="369">
        <f>DO159</f>
        <v>3545</v>
      </c>
      <c r="DQ159" s="369">
        <f>DP159</f>
        <v>3545</v>
      </c>
      <c r="DR159" s="369">
        <f>DQ159</f>
        <v>3545</v>
      </c>
      <c r="DS159" s="369">
        <f>DR159</f>
        <v>3545</v>
      </c>
      <c r="DT159" s="373">
        <f>DS159</f>
        <v>3545</v>
      </c>
      <c r="DU159" s="369">
        <f>DT159</f>
        <v>3545</v>
      </c>
      <c r="DV159" s="369">
        <f>DU159</f>
        <v>3545</v>
      </c>
      <c r="DW159" s="369">
        <f>DV159</f>
        <v>3545</v>
      </c>
      <c r="DX159" s="369">
        <f>DW159</f>
        <v>3545</v>
      </c>
      <c r="DY159" s="373">
        <f>DX159</f>
        <v>3545</v>
      </c>
      <c r="DZ159" s="1858"/>
      <c r="EA159" s="1858"/>
      <c r="EB159" s="1858"/>
    </row>
    <row r="160" spans="1:132" x14ac:dyDescent="0.2">
      <c r="A160" s="1869"/>
      <c r="B160" s="1935" t="s">
        <v>385</v>
      </c>
      <c r="C160" s="1948"/>
      <c r="D160" s="1948"/>
      <c r="E160" s="73"/>
      <c r="F160" s="73"/>
      <c r="G160" s="73"/>
      <c r="H160" s="73"/>
      <c r="I160" s="76">
        <f>SUM(I157:I159,I155,I156)</f>
        <v>2122.8000000000002</v>
      </c>
      <c r="J160" s="73"/>
      <c r="K160" s="73"/>
      <c r="L160" s="73"/>
      <c r="M160" s="73"/>
      <c r="N160" s="76">
        <f>SUM(N157:N159,N155,N156)</f>
        <v>2910.6000000000004</v>
      </c>
      <c r="O160" s="73"/>
      <c r="P160" s="73"/>
      <c r="Q160" s="73"/>
      <c r="R160" s="73"/>
      <c r="S160" s="76">
        <f>SUM(S157:S159,S155,S156)</f>
        <v>3133.3</v>
      </c>
      <c r="T160" s="73"/>
      <c r="U160" s="73"/>
      <c r="V160" s="73"/>
      <c r="W160" s="73"/>
      <c r="X160" s="76">
        <f>SUM(X157:X159,X155,X156)</f>
        <v>2889.9</v>
      </c>
      <c r="Y160" s="73"/>
      <c r="Z160" s="73"/>
      <c r="AA160" s="73"/>
      <c r="AB160" s="73"/>
      <c r="AC160" s="76">
        <f>SUM(AC157:AC159,AC155,AC156)</f>
        <v>2964.1</v>
      </c>
      <c r="AD160" s="73"/>
      <c r="AE160" s="73"/>
      <c r="AF160" s="73"/>
      <c r="AG160" s="73"/>
      <c r="AH160" s="76">
        <f>SUM(AH157:AH159,AH155,AH156)</f>
        <v>3065.9</v>
      </c>
      <c r="AI160" s="73"/>
      <c r="AJ160" s="73"/>
      <c r="AK160" s="73"/>
      <c r="AL160" s="73"/>
      <c r="AM160" s="76">
        <f>SUM(AM157:AM159,AM155,AM156)</f>
        <v>3105.9</v>
      </c>
      <c r="AN160" s="73"/>
      <c r="AO160" s="73"/>
      <c r="AP160" s="73"/>
      <c r="AQ160" s="73"/>
      <c r="AR160" s="76">
        <f>SUM(AR157:AR159,AR155,AR156)</f>
        <v>3489.2</v>
      </c>
      <c r="AS160" s="73"/>
      <c r="AT160" s="73"/>
      <c r="AU160" s="73"/>
      <c r="AV160" s="73"/>
      <c r="AW160" s="76">
        <f>SUM(AW157:AW159,AW155,AW156)</f>
        <v>4858.8</v>
      </c>
      <c r="AX160" s="73"/>
      <c r="AY160" s="73"/>
      <c r="AZ160" s="73"/>
      <c r="BA160" s="73"/>
      <c r="BB160" s="76">
        <f t="shared" ref="BB160:DJ160" si="193">SUM(BB157:BB159,BB155,BB156)</f>
        <v>4583.8999999999996</v>
      </c>
      <c r="BC160" s="75">
        <f t="shared" si="193"/>
        <v>4374.8999999999996</v>
      </c>
      <c r="BD160" s="75">
        <f t="shared" si="193"/>
        <v>8632.1</v>
      </c>
      <c r="BE160" s="75">
        <f t="shared" si="193"/>
        <v>7616.2</v>
      </c>
      <c r="BF160" s="75">
        <f t="shared" si="193"/>
        <v>7000.7</v>
      </c>
      <c r="BG160" s="76">
        <f t="shared" si="193"/>
        <v>7000.7</v>
      </c>
      <c r="BH160" s="75">
        <f t="shared" si="193"/>
        <v>12611.300000000001</v>
      </c>
      <c r="BI160" s="75">
        <f t="shared" si="193"/>
        <v>9515.6</v>
      </c>
      <c r="BJ160" s="75">
        <f t="shared" si="193"/>
        <v>9082.7999999999993</v>
      </c>
      <c r="BK160" s="75">
        <f t="shared" si="193"/>
        <v>10766.3</v>
      </c>
      <c r="BL160" s="76">
        <f t="shared" si="193"/>
        <v>10766.3</v>
      </c>
      <c r="BM160" s="75">
        <f t="shared" si="193"/>
        <v>9780.1</v>
      </c>
      <c r="BN160" s="75">
        <f t="shared" si="193"/>
        <v>8810.8000000000011</v>
      </c>
      <c r="BO160" s="75">
        <f t="shared" si="193"/>
        <v>9883.5</v>
      </c>
      <c r="BP160" s="75">
        <f t="shared" si="193"/>
        <v>13489.900000000001</v>
      </c>
      <c r="BQ160" s="76">
        <f t="shared" si="193"/>
        <v>13489.900000000001</v>
      </c>
      <c r="BR160" s="75">
        <f t="shared" si="193"/>
        <v>11498.8</v>
      </c>
      <c r="BS160" s="75">
        <f t="shared" si="193"/>
        <v>12763.8</v>
      </c>
      <c r="BT160" s="75">
        <f t="shared" si="193"/>
        <v>12700.399999999998</v>
      </c>
      <c r="BU160" s="75">
        <f t="shared" si="193"/>
        <v>12300</v>
      </c>
      <c r="BV160" s="76">
        <f t="shared" si="193"/>
        <v>12300</v>
      </c>
      <c r="BW160" s="75">
        <f t="shared" si="193"/>
        <v>12337</v>
      </c>
      <c r="BX160" s="75">
        <f t="shared" si="193"/>
        <v>11459</v>
      </c>
      <c r="BY160" s="75">
        <f t="shared" si="193"/>
        <v>11674</v>
      </c>
      <c r="BZ160" s="75">
        <f t="shared" si="193"/>
        <v>11070</v>
      </c>
      <c r="CA160" s="76">
        <f t="shared" si="193"/>
        <v>11070</v>
      </c>
      <c r="CB160" s="75">
        <f t="shared" si="193"/>
        <v>11465</v>
      </c>
      <c r="CC160" s="75">
        <f t="shared" si="193"/>
        <v>11752</v>
      </c>
      <c r="CD160" s="73">
        <f t="shared" si="193"/>
        <v>12350</v>
      </c>
      <c r="CE160" s="73">
        <f t="shared" si="193"/>
        <v>11956</v>
      </c>
      <c r="CF160" s="323">
        <f t="shared" si="193"/>
        <v>11956</v>
      </c>
      <c r="CG160" s="73">
        <f t="shared" si="193"/>
        <v>13412</v>
      </c>
      <c r="CH160" s="73">
        <f t="shared" si="193"/>
        <v>13136</v>
      </c>
      <c r="CI160" s="73">
        <f t="shared" si="193"/>
        <v>13263</v>
      </c>
      <c r="CJ160" s="73">
        <f t="shared" si="193"/>
        <v>13790</v>
      </c>
      <c r="CK160" s="323">
        <f t="shared" si="193"/>
        <v>13790</v>
      </c>
      <c r="CL160" s="73">
        <f t="shared" si="193"/>
        <v>13195</v>
      </c>
      <c r="CM160" s="73">
        <f t="shared" si="193"/>
        <v>12690</v>
      </c>
      <c r="CN160" s="73">
        <f t="shared" si="193"/>
        <v>15098</v>
      </c>
      <c r="CO160" s="73">
        <f>SUM(CO157:CO159,CO155,CO156)</f>
        <v>15425</v>
      </c>
      <c r="CP160" s="323">
        <f t="shared" si="193"/>
        <v>15425</v>
      </c>
      <c r="CQ160" s="73">
        <f t="shared" si="193"/>
        <v>16213</v>
      </c>
      <c r="CR160" s="73">
        <f t="shared" si="193"/>
        <v>16629</v>
      </c>
      <c r="CS160" s="73">
        <f t="shared" si="193"/>
        <v>18213</v>
      </c>
      <c r="CT160" s="73">
        <f t="shared" si="193"/>
        <v>19027</v>
      </c>
      <c r="CU160" s="323">
        <f t="shared" si="193"/>
        <v>19027</v>
      </c>
      <c r="CV160" s="73">
        <f t="shared" si="193"/>
        <v>19713</v>
      </c>
      <c r="CW160" s="73">
        <f>SUM(CW157:CW159,CW155,CW156)</f>
        <v>20386</v>
      </c>
      <c r="CX160" s="73">
        <f>SUM(CX157:CX159,CX155,CX156)</f>
        <v>21434</v>
      </c>
      <c r="CY160" s="73">
        <f>SUM(CY157:CY159,CY155,CY156)</f>
        <v>23169</v>
      </c>
      <c r="CZ160" s="323">
        <f t="shared" si="193"/>
        <v>23169</v>
      </c>
      <c r="DA160" s="73">
        <f>SUM(DA157:DA159,DA155,DA156)</f>
        <v>24537</v>
      </c>
      <c r="DB160" s="73">
        <f>SUM(DB157:DB159,DB155,DB156)</f>
        <v>26569</v>
      </c>
      <c r="DC160" s="73">
        <f>SUM(DC157:DC159,DC155,DC156)</f>
        <v>26741</v>
      </c>
      <c r="DD160" s="73">
        <f>SUM(DD157:DD159,DD155,DD156)</f>
        <v>26250</v>
      </c>
      <c r="DE160" s="323">
        <f t="shared" si="193"/>
        <v>26250</v>
      </c>
      <c r="DF160" s="73">
        <f t="shared" si="193"/>
        <v>27288</v>
      </c>
      <c r="DG160" s="73">
        <f>SUM(DG157:DG159,DG155,DG156)</f>
        <v>26857</v>
      </c>
      <c r="DH160" s="73">
        <f>SUM(DH157:DH159,DH155,DH156)</f>
        <v>28513</v>
      </c>
      <c r="DI160" s="73">
        <f>SUM(DI157:DI159,DI155,DI156)</f>
        <v>30648</v>
      </c>
      <c r="DJ160" s="323">
        <f t="shared" si="193"/>
        <v>30648</v>
      </c>
      <c r="DK160" s="73">
        <f t="shared" ref="DK160:DT160" ca="1" si="194">SUM(DK157:DK159,DK155,DK156)</f>
        <v>28737.875828898286</v>
      </c>
      <c r="DL160" s="73">
        <f t="shared" ca="1" si="194"/>
        <v>30378.262342154325</v>
      </c>
      <c r="DM160" s="73">
        <f t="shared" ca="1" si="194"/>
        <v>30185.350851342577</v>
      </c>
      <c r="DN160" s="73">
        <f t="shared" ca="1" si="194"/>
        <v>31232.098663720502</v>
      </c>
      <c r="DO160" s="323">
        <f t="shared" ca="1" si="194"/>
        <v>31232.098663720502</v>
      </c>
      <c r="DP160" s="73">
        <f t="shared" ca="1" si="194"/>
        <v>29723.518946243134</v>
      </c>
      <c r="DQ160" s="73">
        <f t="shared" ca="1" si="194"/>
        <v>31457.496685943326</v>
      </c>
      <c r="DR160" s="73">
        <f t="shared" ca="1" si="194"/>
        <v>31234.101400514963</v>
      </c>
      <c r="DS160" s="73">
        <f t="shared" ca="1" si="194"/>
        <v>32315.641431540393</v>
      </c>
      <c r="DT160" s="323">
        <f t="shared" ca="1" si="194"/>
        <v>32315.641431540393</v>
      </c>
      <c r="DU160" s="73">
        <f t="shared" ref="DU160:DY160" ca="1" si="195">SUM(DU157:DU159,DU155,DU156)</f>
        <v>30506.894444754333</v>
      </c>
      <c r="DV160" s="73">
        <f t="shared" ca="1" si="195"/>
        <v>32276.288889437754</v>
      </c>
      <c r="DW160" s="73">
        <f t="shared" ca="1" si="195"/>
        <v>32016.932657556747</v>
      </c>
      <c r="DX160" s="73">
        <f t="shared" ca="1" si="195"/>
        <v>33105.450752475299</v>
      </c>
      <c r="DY160" s="323">
        <f t="shared" ca="1" si="195"/>
        <v>33105.450752475299</v>
      </c>
      <c r="DZ160" s="1858"/>
      <c r="EA160" s="1872"/>
      <c r="EB160" s="1872"/>
    </row>
    <row r="161" spans="1:132" x14ac:dyDescent="0.2">
      <c r="A161" s="1853"/>
      <c r="B161" s="1932"/>
      <c r="C161" s="1884"/>
      <c r="D161" s="1884"/>
      <c r="E161" s="59"/>
      <c r="F161" s="59"/>
      <c r="G161" s="59"/>
      <c r="H161" s="59"/>
      <c r="I161" s="86"/>
      <c r="J161" s="59"/>
      <c r="K161" s="59"/>
      <c r="L161" s="59"/>
      <c r="M161" s="59"/>
      <c r="N161" s="86"/>
      <c r="O161" s="59"/>
      <c r="P161" s="59"/>
      <c r="Q161" s="59"/>
      <c r="R161" s="59"/>
      <c r="S161" s="86"/>
      <c r="T161" s="59"/>
      <c r="U161" s="59"/>
      <c r="V161" s="59"/>
      <c r="W161" s="59"/>
      <c r="X161" s="86"/>
      <c r="Y161" s="59"/>
      <c r="Z161" s="59"/>
      <c r="AA161" s="59"/>
      <c r="AB161" s="59"/>
      <c r="AC161" s="86"/>
      <c r="AD161" s="59"/>
      <c r="AE161" s="59"/>
      <c r="AF161" s="59"/>
      <c r="AG161" s="59"/>
      <c r="AH161" s="86"/>
      <c r="AI161" s="59"/>
      <c r="AJ161" s="59"/>
      <c r="AK161" s="59"/>
      <c r="AL161" s="59"/>
      <c r="AM161" s="86"/>
      <c r="AN161" s="59"/>
      <c r="AO161" s="59"/>
      <c r="AP161" s="59"/>
      <c r="AQ161" s="59"/>
      <c r="AR161" s="86"/>
      <c r="AS161" s="59"/>
      <c r="AT161" s="59"/>
      <c r="AU161" s="59"/>
      <c r="AV161" s="59"/>
      <c r="AW161" s="86"/>
      <c r="AX161" s="59"/>
      <c r="AY161" s="59"/>
      <c r="AZ161" s="59"/>
      <c r="BA161" s="59"/>
      <c r="BB161" s="86"/>
      <c r="BC161" s="59"/>
      <c r="BD161" s="59"/>
      <c r="BE161" s="59"/>
      <c r="BF161" s="59"/>
      <c r="BG161" s="86"/>
      <c r="BH161" s="59"/>
      <c r="BI161" s="59"/>
      <c r="BJ161" s="59"/>
      <c r="BK161" s="59"/>
      <c r="BL161" s="86"/>
      <c r="BM161" s="59"/>
      <c r="BN161" s="59"/>
      <c r="BO161" s="59"/>
      <c r="BP161" s="59"/>
      <c r="BQ161" s="86"/>
      <c r="BR161" s="59"/>
      <c r="BS161" s="59"/>
      <c r="BT161" s="59"/>
      <c r="BU161" s="59"/>
      <c r="BV161" s="86"/>
      <c r="BW161" s="59"/>
      <c r="BX161" s="59"/>
      <c r="BY161" s="59"/>
      <c r="BZ161" s="59"/>
      <c r="CA161" s="86"/>
      <c r="CB161" s="59"/>
      <c r="CC161" s="59"/>
      <c r="CD161" s="59"/>
      <c r="CE161" s="59"/>
      <c r="CF161" s="86"/>
      <c r="CG161" s="59"/>
      <c r="CH161" s="59"/>
      <c r="CI161" s="59"/>
      <c r="CJ161" s="59"/>
      <c r="CK161" s="86"/>
      <c r="CL161" s="59"/>
      <c r="CM161" s="59"/>
      <c r="CN161" s="59"/>
      <c r="CO161" s="59"/>
      <c r="CP161" s="86"/>
      <c r="CQ161" s="59"/>
      <c r="CR161" s="59"/>
      <c r="CS161" s="60"/>
      <c r="CT161" s="60"/>
      <c r="CU161" s="86"/>
      <c r="CV161" s="59"/>
      <c r="CW161" s="59"/>
      <c r="CX161" s="59"/>
      <c r="CY161" s="59"/>
      <c r="CZ161" s="86"/>
      <c r="DA161" s="59"/>
      <c r="DB161" s="59"/>
      <c r="DC161" s="59"/>
      <c r="DD161" s="59"/>
      <c r="DE161" s="86"/>
      <c r="DF161" s="59"/>
      <c r="DG161" s="59"/>
      <c r="DH161" s="59"/>
      <c r="DI161" s="59"/>
      <c r="DJ161" s="86"/>
      <c r="DK161" s="59"/>
      <c r="DL161" s="59"/>
      <c r="DM161" s="59"/>
      <c r="DN161" s="59"/>
      <c r="DO161" s="86"/>
      <c r="DP161" s="59"/>
      <c r="DQ161" s="59"/>
      <c r="DR161" s="59"/>
      <c r="DS161" s="59"/>
      <c r="DT161" s="86"/>
      <c r="DU161" s="59"/>
      <c r="DV161" s="59"/>
      <c r="DW161" s="59"/>
      <c r="DX161" s="59"/>
      <c r="DY161" s="86"/>
      <c r="DZ161" s="1858"/>
      <c r="EA161" s="1858"/>
      <c r="EB161" s="1858"/>
    </row>
    <row r="162" spans="1:132" x14ac:dyDescent="0.2">
      <c r="A162" s="1853"/>
      <c r="B162" s="1932" t="s">
        <v>386</v>
      </c>
      <c r="C162" s="1884"/>
      <c r="D162" s="1884"/>
      <c r="E162" s="59"/>
      <c r="F162" s="59"/>
      <c r="G162" s="59"/>
      <c r="H162" s="59"/>
      <c r="I162" s="63">
        <v>1184.3</v>
      </c>
      <c r="J162" s="59"/>
      <c r="K162" s="59"/>
      <c r="L162" s="59"/>
      <c r="M162" s="59"/>
      <c r="N162" s="63">
        <v>290.39999999999998</v>
      </c>
      <c r="O162" s="59"/>
      <c r="P162" s="59"/>
      <c r="Q162" s="59"/>
      <c r="R162" s="59"/>
      <c r="S162" s="63">
        <v>275.7</v>
      </c>
      <c r="T162" s="59"/>
      <c r="U162" s="59"/>
      <c r="V162" s="59"/>
      <c r="W162" s="59"/>
      <c r="X162" s="63">
        <v>558.5</v>
      </c>
      <c r="Y162" s="59"/>
      <c r="Z162" s="59"/>
      <c r="AA162" s="59"/>
      <c r="AB162" s="59"/>
      <c r="AC162" s="63">
        <v>536.79999999999995</v>
      </c>
      <c r="AD162" s="59"/>
      <c r="AE162" s="59"/>
      <c r="AF162" s="59"/>
      <c r="AG162" s="59"/>
      <c r="AH162" s="63">
        <v>810.4</v>
      </c>
      <c r="AI162" s="59"/>
      <c r="AJ162" s="59"/>
      <c r="AK162" s="59"/>
      <c r="AL162" s="59"/>
      <c r="AM162" s="63">
        <v>1076.3</v>
      </c>
      <c r="AN162" s="59"/>
      <c r="AO162" s="59"/>
      <c r="AP162" s="59"/>
      <c r="AQ162" s="59"/>
      <c r="AR162" s="63">
        <v>753.1</v>
      </c>
      <c r="AS162" s="59"/>
      <c r="AT162" s="59"/>
      <c r="AU162" s="59"/>
      <c r="AV162" s="59"/>
      <c r="AW162" s="63">
        <v>1925.9</v>
      </c>
      <c r="AX162" s="59"/>
      <c r="AY162" s="59"/>
      <c r="AZ162" s="59"/>
      <c r="BA162" s="59"/>
      <c r="BB162" s="63">
        <v>1594.1</v>
      </c>
      <c r="BC162" s="60">
        <v>1592.2</v>
      </c>
      <c r="BD162" s="60">
        <v>1780.2</v>
      </c>
      <c r="BE162" s="60">
        <v>3279.9</v>
      </c>
      <c r="BF162" s="60">
        <v>2870.4</v>
      </c>
      <c r="BG162" s="63">
        <v>2870.4</v>
      </c>
      <c r="BH162" s="60">
        <v>2895.4</v>
      </c>
      <c r="BI162" s="60">
        <v>8395.6</v>
      </c>
      <c r="BJ162" s="60">
        <v>8395</v>
      </c>
      <c r="BK162" s="60">
        <v>8349.7000000000007</v>
      </c>
      <c r="BL162" s="63">
        <v>8349.7000000000007</v>
      </c>
      <c r="BM162" s="60">
        <v>8349</v>
      </c>
      <c r="BN162" s="60">
        <v>8348.2999999999993</v>
      </c>
      <c r="BO162" s="60">
        <v>8047.5</v>
      </c>
      <c r="BP162" s="60">
        <v>8057.2</v>
      </c>
      <c r="BQ162" s="63">
        <v>8057.2</v>
      </c>
      <c r="BR162" s="60">
        <v>9056.2999999999993</v>
      </c>
      <c r="BS162" s="60">
        <v>7305.2</v>
      </c>
      <c r="BT162" s="60">
        <v>8756.2000000000007</v>
      </c>
      <c r="BU162" s="60">
        <v>8756</v>
      </c>
      <c r="BV162" s="61">
        <f>BU162</f>
        <v>8756</v>
      </c>
      <c r="BW162" s="60">
        <v>8454</v>
      </c>
      <c r="BX162" s="60">
        <v>9454</v>
      </c>
      <c r="BY162" s="60">
        <v>8653</v>
      </c>
      <c r="BZ162" s="60">
        <v>8652</v>
      </c>
      <c r="CA162" s="61">
        <f>BZ162</f>
        <v>8652</v>
      </c>
      <c r="CB162" s="60">
        <v>8669</v>
      </c>
      <c r="CC162" s="60">
        <v>10168</v>
      </c>
      <c r="CD162" s="60">
        <v>10167</v>
      </c>
      <c r="CE162" s="60">
        <v>9208</v>
      </c>
      <c r="CF162" s="86">
        <f>CE162</f>
        <v>9208</v>
      </c>
      <c r="CG162" s="60">
        <v>9206</v>
      </c>
      <c r="CH162" s="60">
        <v>9208</v>
      </c>
      <c r="CI162" s="60">
        <v>9210</v>
      </c>
      <c r="CJ162" s="60">
        <v>9133</v>
      </c>
      <c r="CK162" s="86">
        <f>CJ162</f>
        <v>9133</v>
      </c>
      <c r="CL162" s="60">
        <v>9352</v>
      </c>
      <c r="CM162" s="60">
        <v>9358</v>
      </c>
      <c r="CN162" s="60">
        <v>8819</v>
      </c>
      <c r="CO162" s="60">
        <v>12841</v>
      </c>
      <c r="CP162" s="86">
        <f>CO162</f>
        <v>12841</v>
      </c>
      <c r="CQ162" s="60">
        <v>12845</v>
      </c>
      <c r="CR162" s="60">
        <v>12252</v>
      </c>
      <c r="CS162" s="60">
        <v>11709</v>
      </c>
      <c r="CT162" s="60">
        <v>11695</v>
      </c>
      <c r="CU162" s="86">
        <f>CT162</f>
        <v>11695</v>
      </c>
      <c r="CV162" s="60">
        <v>11689</v>
      </c>
      <c r="CW162" s="60">
        <v>11633</v>
      </c>
      <c r="CX162" s="60">
        <v>26771</v>
      </c>
      <c r="CY162" s="60">
        <v>26267</v>
      </c>
      <c r="CZ162" s="86">
        <f>CY162</f>
        <v>26267</v>
      </c>
      <c r="DA162" s="60">
        <v>26267</v>
      </c>
      <c r="DB162" s="60">
        <v>25600</v>
      </c>
      <c r="DC162" s="60">
        <v>25610</v>
      </c>
      <c r="DD162" s="60">
        <v>25615</v>
      </c>
      <c r="DE162" s="86">
        <f>DD162</f>
        <v>25615</v>
      </c>
      <c r="DF162" s="60">
        <v>25622</v>
      </c>
      <c r="DG162" s="60">
        <v>25622</v>
      </c>
      <c r="DH162" s="60">
        <v>23386</v>
      </c>
      <c r="DI162" s="60">
        <v>22181</v>
      </c>
      <c r="DJ162" s="86">
        <f>DI162</f>
        <v>22181</v>
      </c>
      <c r="DK162" s="59">
        <f>DJ162+DK50</f>
        <v>22181</v>
      </c>
      <c r="DL162" s="59">
        <f>DK162+DL50</f>
        <v>60501</v>
      </c>
      <c r="DM162" s="59">
        <f>DL162+DM50</f>
        <v>60501</v>
      </c>
      <c r="DN162" s="59">
        <f>DM162+DN50</f>
        <v>60501</v>
      </c>
      <c r="DO162" s="86">
        <f>DN162</f>
        <v>60501</v>
      </c>
      <c r="DP162" s="59">
        <f>DO162+DP50</f>
        <v>60501</v>
      </c>
      <c r="DQ162" s="59">
        <f>DP162+DQ50</f>
        <v>60501</v>
      </c>
      <c r="DR162" s="59">
        <f>DQ162+DR50</f>
        <v>60501</v>
      </c>
      <c r="DS162" s="59">
        <f>DR162+DS50</f>
        <v>60501</v>
      </c>
      <c r="DT162" s="86">
        <f>DS162</f>
        <v>60501</v>
      </c>
      <c r="DU162" s="59">
        <f>DT162+DU50</f>
        <v>60501</v>
      </c>
      <c r="DV162" s="59">
        <f>DU162+DV50</f>
        <v>60501</v>
      </c>
      <c r="DW162" s="59">
        <f>DV162+DW50</f>
        <v>60501</v>
      </c>
      <c r="DX162" s="59">
        <f>DW162+DX50</f>
        <v>60501</v>
      </c>
      <c r="DY162" s="86">
        <f>DX162</f>
        <v>60501</v>
      </c>
      <c r="DZ162" s="1858"/>
      <c r="EA162" s="1858"/>
      <c r="EB162" s="1858"/>
    </row>
    <row r="163" spans="1:132" x14ac:dyDescent="0.2">
      <c r="A163" s="1853"/>
      <c r="B163" s="1932" t="s">
        <v>387</v>
      </c>
      <c r="C163" s="1884"/>
      <c r="D163" s="1884"/>
      <c r="E163" s="59"/>
      <c r="F163" s="59"/>
      <c r="G163" s="59"/>
      <c r="H163" s="59"/>
      <c r="I163" s="63">
        <v>0</v>
      </c>
      <c r="J163" s="59"/>
      <c r="K163" s="59"/>
      <c r="L163" s="59"/>
      <c r="M163" s="59"/>
      <c r="N163" s="63">
        <v>0</v>
      </c>
      <c r="O163" s="59"/>
      <c r="P163" s="59"/>
      <c r="Q163" s="59"/>
      <c r="R163" s="59"/>
      <c r="S163" s="63">
        <v>24.3</v>
      </c>
      <c r="T163" s="59"/>
      <c r="U163" s="59"/>
      <c r="V163" s="59"/>
      <c r="W163" s="59"/>
      <c r="X163" s="63">
        <v>27.2</v>
      </c>
      <c r="Y163" s="59"/>
      <c r="Z163" s="59"/>
      <c r="AA163" s="59"/>
      <c r="AB163" s="59"/>
      <c r="AC163" s="63">
        <v>28</v>
      </c>
      <c r="AD163" s="59"/>
      <c r="AE163" s="59"/>
      <c r="AF163" s="59"/>
      <c r="AG163" s="59"/>
      <c r="AH163" s="63">
        <v>35.299999999999997</v>
      </c>
      <c r="AI163" s="59"/>
      <c r="AJ163" s="59"/>
      <c r="AK163" s="59"/>
      <c r="AL163" s="59"/>
      <c r="AM163" s="63">
        <v>0</v>
      </c>
      <c r="AN163" s="59"/>
      <c r="AO163" s="59"/>
      <c r="AP163" s="59"/>
      <c r="AQ163" s="59"/>
      <c r="AR163" s="63">
        <v>0</v>
      </c>
      <c r="AS163" s="59"/>
      <c r="AT163" s="59"/>
      <c r="AU163" s="59"/>
      <c r="AV163" s="59"/>
      <c r="AW163" s="63">
        <v>0</v>
      </c>
      <c r="AX163" s="59"/>
      <c r="AY163" s="59"/>
      <c r="AZ163" s="59"/>
      <c r="BA163" s="59"/>
      <c r="BB163" s="63">
        <v>0</v>
      </c>
      <c r="BC163" s="60">
        <v>0</v>
      </c>
      <c r="BD163" s="60">
        <v>0</v>
      </c>
      <c r="BE163" s="60">
        <v>0</v>
      </c>
      <c r="BF163" s="60">
        <v>0</v>
      </c>
      <c r="BG163" s="63">
        <v>0</v>
      </c>
      <c r="BH163" s="60">
        <v>594.20000000000005</v>
      </c>
      <c r="BI163" s="60">
        <v>3772.4</v>
      </c>
      <c r="BJ163" s="60">
        <v>3740.2</v>
      </c>
      <c r="BK163" s="60">
        <v>3376.7</v>
      </c>
      <c r="BL163" s="63">
        <v>3426.1</v>
      </c>
      <c r="BM163" s="60">
        <v>3430.2</v>
      </c>
      <c r="BN163" s="60">
        <v>3437.7</v>
      </c>
      <c r="BO163" s="60">
        <v>3445.6</v>
      </c>
      <c r="BP163" s="60">
        <v>3701.7</v>
      </c>
      <c r="BQ163" s="63">
        <v>3701.7</v>
      </c>
      <c r="BR163" s="60">
        <v>3703.5</v>
      </c>
      <c r="BS163" s="60">
        <v>3707.1</v>
      </c>
      <c r="BT163" s="60">
        <v>3595.5</v>
      </c>
      <c r="BU163" s="60">
        <v>3678</v>
      </c>
      <c r="BV163" s="61">
        <f>BU163</f>
        <v>3678</v>
      </c>
      <c r="BW163" s="60">
        <v>3655</v>
      </c>
      <c r="BX163" s="60">
        <v>3633</v>
      </c>
      <c r="BY163" s="60">
        <v>3653</v>
      </c>
      <c r="BZ163" s="60">
        <v>3655</v>
      </c>
      <c r="CA163" s="61">
        <f>BZ163</f>
        <v>3655</v>
      </c>
      <c r="CB163" s="60">
        <v>3710</v>
      </c>
      <c r="CC163" s="60">
        <v>3948</v>
      </c>
      <c r="CD163" s="60">
        <v>3868</v>
      </c>
      <c r="CE163" s="60">
        <v>3853</v>
      </c>
      <c r="CF163" s="86">
        <f>CE163</f>
        <v>3853</v>
      </c>
      <c r="CG163" s="60">
        <v>3875</v>
      </c>
      <c r="CH163" s="60">
        <v>3894</v>
      </c>
      <c r="CI163" s="60">
        <v>3894</v>
      </c>
      <c r="CJ163" s="60">
        <v>3784</v>
      </c>
      <c r="CK163" s="86">
        <f>CJ163</f>
        <v>3784</v>
      </c>
      <c r="CL163" s="60">
        <v>3774</v>
      </c>
      <c r="CM163" s="60">
        <v>3796</v>
      </c>
      <c r="CN163" s="60">
        <v>3791</v>
      </c>
      <c r="CO163" s="60">
        <v>3901</v>
      </c>
      <c r="CP163" s="86">
        <f>CO163</f>
        <v>3901</v>
      </c>
      <c r="CQ163" s="60">
        <v>4053</v>
      </c>
      <c r="CR163" s="60">
        <v>4091</v>
      </c>
      <c r="CS163" s="60">
        <v>4051</v>
      </c>
      <c r="CT163" s="60">
        <v>4036</v>
      </c>
      <c r="CU163" s="86">
        <f>CT163</f>
        <v>4036</v>
      </c>
      <c r="CV163" s="60">
        <v>4020</v>
      </c>
      <c r="CW163" s="60">
        <v>4026</v>
      </c>
      <c r="CX163" s="60">
        <v>5449</v>
      </c>
      <c r="CY163" s="60">
        <v>5437</v>
      </c>
      <c r="CZ163" s="86">
        <f>CY163</f>
        <v>5437</v>
      </c>
      <c r="DA163" s="60">
        <v>4232</v>
      </c>
      <c r="DB163" s="60">
        <v>4260</v>
      </c>
      <c r="DC163" s="60">
        <v>4254</v>
      </c>
      <c r="DD163" s="60">
        <v>4214</v>
      </c>
      <c r="DE163" s="86">
        <f>DD163</f>
        <v>4214</v>
      </c>
      <c r="DF163" s="60">
        <v>4214</v>
      </c>
      <c r="DG163" s="60">
        <v>4210</v>
      </c>
      <c r="DH163" s="60">
        <v>4442</v>
      </c>
      <c r="DI163" s="60">
        <v>2996</v>
      </c>
      <c r="DJ163" s="86">
        <f>DI163</f>
        <v>2996</v>
      </c>
      <c r="DK163" s="59">
        <f t="shared" ref="DK163:DN164" si="196">DJ163</f>
        <v>2996</v>
      </c>
      <c r="DL163" s="59">
        <f t="shared" si="196"/>
        <v>2996</v>
      </c>
      <c r="DM163" s="59">
        <f t="shared" si="196"/>
        <v>2996</v>
      </c>
      <c r="DN163" s="59">
        <f t="shared" si="196"/>
        <v>2996</v>
      </c>
      <c r="DO163" s="86">
        <f>DN163</f>
        <v>2996</v>
      </c>
      <c r="DP163" s="59">
        <f t="shared" ref="DP163:DS164" si="197">DO163</f>
        <v>2996</v>
      </c>
      <c r="DQ163" s="59">
        <f t="shared" si="197"/>
        <v>2996</v>
      </c>
      <c r="DR163" s="59">
        <f t="shared" si="197"/>
        <v>2996</v>
      </c>
      <c r="DS163" s="59">
        <f t="shared" si="197"/>
        <v>2996</v>
      </c>
      <c r="DT163" s="86">
        <f>DS163</f>
        <v>2996</v>
      </c>
      <c r="DU163" s="59">
        <f t="shared" ref="DU163:DU164" si="198">DT163</f>
        <v>2996</v>
      </c>
      <c r="DV163" s="59">
        <f t="shared" ref="DV163:DV164" si="199">DU163</f>
        <v>2996</v>
      </c>
      <c r="DW163" s="59">
        <f t="shared" ref="DW163:DW164" si="200">DV163</f>
        <v>2996</v>
      </c>
      <c r="DX163" s="59">
        <f t="shared" ref="DX163:DX164" si="201">DW163</f>
        <v>2996</v>
      </c>
      <c r="DY163" s="86">
        <f>DX163</f>
        <v>2996</v>
      </c>
      <c r="DZ163" s="1858"/>
      <c r="EA163" s="1858"/>
      <c r="EB163" s="1858"/>
    </row>
    <row r="164" spans="1:132" x14ac:dyDescent="0.2">
      <c r="A164" s="1853"/>
      <c r="B164" s="1933" t="s">
        <v>401</v>
      </c>
      <c r="C164" s="1934"/>
      <c r="D164" s="1934"/>
      <c r="E164" s="369"/>
      <c r="F164" s="369"/>
      <c r="G164" s="369"/>
      <c r="H164" s="369"/>
      <c r="I164" s="370">
        <v>190.2</v>
      </c>
      <c r="J164" s="369"/>
      <c r="K164" s="369"/>
      <c r="L164" s="369"/>
      <c r="M164" s="369"/>
      <c r="N164" s="370">
        <v>163.30000000000001</v>
      </c>
      <c r="O164" s="369"/>
      <c r="P164" s="369"/>
      <c r="Q164" s="369"/>
      <c r="R164" s="369"/>
      <c r="S164" s="370">
        <v>142.30000000000001</v>
      </c>
      <c r="T164" s="369"/>
      <c r="U164" s="369"/>
      <c r="V164" s="369"/>
      <c r="W164" s="369"/>
      <c r="X164" s="370">
        <v>120.1</v>
      </c>
      <c r="Y164" s="369"/>
      <c r="Z164" s="369"/>
      <c r="AA164" s="369"/>
      <c r="AB164" s="369"/>
      <c r="AC164" s="370">
        <v>116</v>
      </c>
      <c r="AD164" s="369"/>
      <c r="AE164" s="369"/>
      <c r="AF164" s="369"/>
      <c r="AG164" s="369"/>
      <c r="AH164" s="370">
        <v>149.69999999999999</v>
      </c>
      <c r="AI164" s="369"/>
      <c r="AJ164" s="369"/>
      <c r="AK164" s="369"/>
      <c r="AL164" s="369"/>
      <c r="AM164" s="372">
        <f>AM152-(AM160+AM162+AM178)</f>
        <v>266.10000000000036</v>
      </c>
      <c r="AN164" s="369"/>
      <c r="AO164" s="369"/>
      <c r="AP164" s="369"/>
      <c r="AQ164" s="369"/>
      <c r="AR164" s="370">
        <f>237.4+41.6</f>
        <v>279</v>
      </c>
      <c r="AS164" s="369"/>
      <c r="AT164" s="369"/>
      <c r="AU164" s="369"/>
      <c r="AV164" s="369"/>
      <c r="AW164" s="370">
        <v>774.9</v>
      </c>
      <c r="AX164" s="369"/>
      <c r="AY164" s="369"/>
      <c r="AZ164" s="369"/>
      <c r="BA164" s="369"/>
      <c r="BB164" s="370">
        <v>774.2</v>
      </c>
      <c r="BC164" s="371">
        <v>761.3</v>
      </c>
      <c r="BD164" s="371">
        <v>807.1</v>
      </c>
      <c r="BE164" s="371">
        <v>796.9</v>
      </c>
      <c r="BF164" s="371">
        <v>781.1</v>
      </c>
      <c r="BG164" s="370">
        <v>781.1</v>
      </c>
      <c r="BH164" s="371">
        <v>903.5</v>
      </c>
      <c r="BI164" s="371">
        <v>897.6</v>
      </c>
      <c r="BJ164" s="371">
        <v>887.9</v>
      </c>
      <c r="BK164" s="371">
        <v>857.9</v>
      </c>
      <c r="BL164" s="370">
        <v>857.9</v>
      </c>
      <c r="BM164" s="371">
        <v>855.9</v>
      </c>
      <c r="BN164" s="371">
        <v>860</v>
      </c>
      <c r="BO164" s="371">
        <v>839.1</v>
      </c>
      <c r="BP164" s="371">
        <v>1136.7</v>
      </c>
      <c r="BQ164" s="370">
        <v>1136.7</v>
      </c>
      <c r="BR164" s="371">
        <v>1108.3</v>
      </c>
      <c r="BS164" s="371">
        <v>1108.3</v>
      </c>
      <c r="BT164" s="371">
        <v>1152.3</v>
      </c>
      <c r="BU164" s="371">
        <f>1102+36.9</f>
        <v>1138.9000000000001</v>
      </c>
      <c r="BV164" s="372">
        <f>BU164</f>
        <v>1138.9000000000001</v>
      </c>
      <c r="BW164" s="371">
        <v>1108</v>
      </c>
      <c r="BX164" s="371">
        <v>1070</v>
      </c>
      <c r="BY164" s="371">
        <f>1061</f>
        <v>1061</v>
      </c>
      <c r="BZ164" s="371">
        <v>1058</v>
      </c>
      <c r="CA164" s="372">
        <f>BZ164</f>
        <v>1058</v>
      </c>
      <c r="CB164" s="371">
        <v>1032</v>
      </c>
      <c r="CC164" s="371">
        <v>1343</v>
      </c>
      <c r="CD164" s="371">
        <v>1348</v>
      </c>
      <c r="CE164" s="371">
        <v>1445</v>
      </c>
      <c r="CF164" s="373">
        <f>CE164</f>
        <v>1445</v>
      </c>
      <c r="CG164" s="371">
        <v>1431</v>
      </c>
      <c r="CH164" s="371">
        <v>1438</v>
      </c>
      <c r="CI164" s="371">
        <v>1513</v>
      </c>
      <c r="CJ164" s="371">
        <v>1501</v>
      </c>
      <c r="CK164" s="373">
        <f>CJ164</f>
        <v>1501</v>
      </c>
      <c r="CL164" s="371">
        <v>1538</v>
      </c>
      <c r="CM164" s="371">
        <v>1534</v>
      </c>
      <c r="CN164" s="371">
        <v>1563</v>
      </c>
      <c r="CO164" s="371">
        <v>1421</v>
      </c>
      <c r="CP164" s="373">
        <f>CO164</f>
        <v>1421</v>
      </c>
      <c r="CQ164" s="371">
        <v>1499</v>
      </c>
      <c r="CR164" s="371">
        <v>1489</v>
      </c>
      <c r="CS164" s="371">
        <v>1494</v>
      </c>
      <c r="CT164" s="371">
        <v>1531</v>
      </c>
      <c r="CU164" s="373">
        <f>CT164</f>
        <v>1531</v>
      </c>
      <c r="CV164" s="371">
        <v>1513</v>
      </c>
      <c r="CW164" s="371">
        <v>1490</v>
      </c>
      <c r="CX164" s="371">
        <v>1528</v>
      </c>
      <c r="CY164" s="371">
        <f>1542+39</f>
        <v>1581</v>
      </c>
      <c r="CZ164" s="90">
        <f>CY164</f>
        <v>1581</v>
      </c>
      <c r="DA164" s="371">
        <v>1567</v>
      </c>
      <c r="DB164" s="371">
        <v>1553</v>
      </c>
      <c r="DC164" s="371">
        <v>1597</v>
      </c>
      <c r="DD164" s="371">
        <v>1549</v>
      </c>
      <c r="DE164" s="373">
        <f>DD164</f>
        <v>1549</v>
      </c>
      <c r="DF164" s="371">
        <v>1704</v>
      </c>
      <c r="DG164" s="371">
        <v>1689</v>
      </c>
      <c r="DH164" s="371">
        <v>1644</v>
      </c>
      <c r="DI164" s="371">
        <v>1611</v>
      </c>
      <c r="DJ164" s="373">
        <f>DI164</f>
        <v>1611</v>
      </c>
      <c r="DK164" s="369">
        <f t="shared" si="196"/>
        <v>1611</v>
      </c>
      <c r="DL164" s="369">
        <f t="shared" si="196"/>
        <v>1611</v>
      </c>
      <c r="DM164" s="369">
        <f t="shared" si="196"/>
        <v>1611</v>
      </c>
      <c r="DN164" s="369">
        <f t="shared" si="196"/>
        <v>1611</v>
      </c>
      <c r="DO164" s="373">
        <f>DN164</f>
        <v>1611</v>
      </c>
      <c r="DP164" s="369">
        <f t="shared" si="197"/>
        <v>1611</v>
      </c>
      <c r="DQ164" s="369">
        <f t="shared" si="197"/>
        <v>1611</v>
      </c>
      <c r="DR164" s="369">
        <f t="shared" si="197"/>
        <v>1611</v>
      </c>
      <c r="DS164" s="369">
        <f t="shared" si="197"/>
        <v>1611</v>
      </c>
      <c r="DT164" s="373">
        <f>DS164</f>
        <v>1611</v>
      </c>
      <c r="DU164" s="369">
        <f t="shared" si="198"/>
        <v>1611</v>
      </c>
      <c r="DV164" s="369">
        <f t="shared" si="199"/>
        <v>1611</v>
      </c>
      <c r="DW164" s="369">
        <f t="shared" si="200"/>
        <v>1611</v>
      </c>
      <c r="DX164" s="369">
        <f t="shared" si="201"/>
        <v>1611</v>
      </c>
      <c r="DY164" s="373">
        <f>DX164</f>
        <v>1611</v>
      </c>
      <c r="DZ164" s="1858"/>
      <c r="EA164" s="1858"/>
      <c r="EB164" s="1858"/>
    </row>
    <row r="165" spans="1:132" x14ac:dyDescent="0.2">
      <c r="A165" s="1853"/>
      <c r="B165" s="375" t="s">
        <v>402</v>
      </c>
      <c r="C165" s="376"/>
      <c r="D165" s="376"/>
      <c r="E165" s="79"/>
      <c r="F165" s="79"/>
      <c r="G165" s="79"/>
      <c r="H165" s="79"/>
      <c r="I165" s="377">
        <f>I160+I162+I164+I163</f>
        <v>3497.3</v>
      </c>
      <c r="J165" s="79"/>
      <c r="K165" s="79"/>
      <c r="L165" s="79"/>
      <c r="M165" s="79"/>
      <c r="N165" s="377">
        <f>N160+N162+N164+N163</f>
        <v>3364.3000000000006</v>
      </c>
      <c r="O165" s="79"/>
      <c r="P165" s="79"/>
      <c r="Q165" s="79"/>
      <c r="R165" s="79"/>
      <c r="S165" s="377">
        <f>S160+S162+S164+S163</f>
        <v>3575.6000000000004</v>
      </c>
      <c r="T165" s="79"/>
      <c r="U165" s="79"/>
      <c r="V165" s="79"/>
      <c r="W165" s="79"/>
      <c r="X165" s="377">
        <f>X160+X162+X164+X163</f>
        <v>3595.7</v>
      </c>
      <c r="Y165" s="79"/>
      <c r="Z165" s="79"/>
      <c r="AA165" s="79"/>
      <c r="AB165" s="79"/>
      <c r="AC165" s="377">
        <f>AC160+AC162+AC164+AC163</f>
        <v>3644.8999999999996</v>
      </c>
      <c r="AD165" s="79"/>
      <c r="AE165" s="79"/>
      <c r="AF165" s="79"/>
      <c r="AG165" s="79"/>
      <c r="AH165" s="377">
        <f>AH160+AH162+AH164+AH163</f>
        <v>4061.3</v>
      </c>
      <c r="AI165" s="79"/>
      <c r="AJ165" s="79"/>
      <c r="AK165" s="79"/>
      <c r="AL165" s="79"/>
      <c r="AM165" s="377">
        <f>AM160+AM162+AM164+AM163</f>
        <v>4448.3</v>
      </c>
      <c r="AN165" s="79"/>
      <c r="AO165" s="79"/>
      <c r="AP165" s="79"/>
      <c r="AQ165" s="79"/>
      <c r="AR165" s="377">
        <f>AR160+AR162+AR164+AR163</f>
        <v>4521.3</v>
      </c>
      <c r="AS165" s="79"/>
      <c r="AT165" s="79"/>
      <c r="AU165" s="79"/>
      <c r="AV165" s="79"/>
      <c r="AW165" s="377">
        <f>AW160+AW162+AW164+AW163</f>
        <v>7559.6</v>
      </c>
      <c r="AX165" s="79"/>
      <c r="AY165" s="79"/>
      <c r="AZ165" s="79"/>
      <c r="BA165" s="79"/>
      <c r="BB165" s="377">
        <f t="shared" ref="BB165:DJ165" si="202">BB160+BB162+BB164+BB163</f>
        <v>6952.2</v>
      </c>
      <c r="BC165" s="378">
        <f t="shared" si="202"/>
        <v>6728.4</v>
      </c>
      <c r="BD165" s="378">
        <f t="shared" si="202"/>
        <v>11219.400000000001</v>
      </c>
      <c r="BE165" s="378">
        <f t="shared" si="202"/>
        <v>11693</v>
      </c>
      <c r="BF165" s="378">
        <f t="shared" si="202"/>
        <v>10652.2</v>
      </c>
      <c r="BG165" s="377">
        <f t="shared" si="202"/>
        <v>10652.2</v>
      </c>
      <c r="BH165" s="378">
        <f t="shared" si="202"/>
        <v>17004.400000000001</v>
      </c>
      <c r="BI165" s="378">
        <f t="shared" si="202"/>
        <v>22581.200000000001</v>
      </c>
      <c r="BJ165" s="378">
        <f t="shared" si="202"/>
        <v>22105.9</v>
      </c>
      <c r="BK165" s="378">
        <f t="shared" si="202"/>
        <v>23350.600000000002</v>
      </c>
      <c r="BL165" s="377">
        <f t="shared" si="202"/>
        <v>23400</v>
      </c>
      <c r="BM165" s="378">
        <f t="shared" si="202"/>
        <v>22415.200000000001</v>
      </c>
      <c r="BN165" s="378">
        <f t="shared" si="202"/>
        <v>21456.799999999999</v>
      </c>
      <c r="BO165" s="378">
        <f t="shared" si="202"/>
        <v>22215.699999999997</v>
      </c>
      <c r="BP165" s="378">
        <f t="shared" si="202"/>
        <v>26385.500000000004</v>
      </c>
      <c r="BQ165" s="377">
        <f t="shared" si="202"/>
        <v>26385.500000000004</v>
      </c>
      <c r="BR165" s="378">
        <f t="shared" si="202"/>
        <v>25366.899999999998</v>
      </c>
      <c r="BS165" s="378">
        <f t="shared" si="202"/>
        <v>24884.399999999998</v>
      </c>
      <c r="BT165" s="378">
        <f t="shared" si="202"/>
        <v>26204.399999999998</v>
      </c>
      <c r="BU165" s="378">
        <f t="shared" si="202"/>
        <v>25872.9</v>
      </c>
      <c r="BV165" s="377">
        <f t="shared" si="202"/>
        <v>25872.9</v>
      </c>
      <c r="BW165" s="378">
        <f t="shared" si="202"/>
        <v>25554</v>
      </c>
      <c r="BX165" s="378">
        <f t="shared" si="202"/>
        <v>25616</v>
      </c>
      <c r="BY165" s="378">
        <f t="shared" si="202"/>
        <v>25041</v>
      </c>
      <c r="BZ165" s="378">
        <f t="shared" si="202"/>
        <v>24435</v>
      </c>
      <c r="CA165" s="377">
        <f t="shared" si="202"/>
        <v>24435</v>
      </c>
      <c r="CB165" s="378">
        <f t="shared" si="202"/>
        <v>24876</v>
      </c>
      <c r="CC165" s="378">
        <f t="shared" si="202"/>
        <v>27211</v>
      </c>
      <c r="CD165" s="376">
        <f t="shared" si="202"/>
        <v>27733</v>
      </c>
      <c r="CE165" s="376">
        <f t="shared" si="202"/>
        <v>26462</v>
      </c>
      <c r="CF165" s="379">
        <f t="shared" si="202"/>
        <v>26462</v>
      </c>
      <c r="CG165" s="376">
        <f t="shared" si="202"/>
        <v>27924</v>
      </c>
      <c r="CH165" s="376">
        <f t="shared" si="202"/>
        <v>27676</v>
      </c>
      <c r="CI165" s="376">
        <f t="shared" si="202"/>
        <v>27880</v>
      </c>
      <c r="CJ165" s="376">
        <f t="shared" si="202"/>
        <v>28208</v>
      </c>
      <c r="CK165" s="379">
        <f t="shared" si="202"/>
        <v>28208</v>
      </c>
      <c r="CL165" s="376">
        <f t="shared" si="202"/>
        <v>27859</v>
      </c>
      <c r="CM165" s="376">
        <f t="shared" si="202"/>
        <v>27378</v>
      </c>
      <c r="CN165" s="376">
        <f t="shared" si="202"/>
        <v>29271</v>
      </c>
      <c r="CO165" s="376">
        <f>CO160+CO162+CO164+CO163</f>
        <v>33588</v>
      </c>
      <c r="CP165" s="379">
        <f t="shared" si="202"/>
        <v>33588</v>
      </c>
      <c r="CQ165" s="376">
        <f t="shared" si="202"/>
        <v>34610</v>
      </c>
      <c r="CR165" s="376">
        <f t="shared" si="202"/>
        <v>34461</v>
      </c>
      <c r="CS165" s="376">
        <f t="shared" si="202"/>
        <v>35467</v>
      </c>
      <c r="CT165" s="376">
        <f t="shared" si="202"/>
        <v>36289</v>
      </c>
      <c r="CU165" s="379">
        <f t="shared" si="202"/>
        <v>36289</v>
      </c>
      <c r="CV165" s="376">
        <f t="shared" si="202"/>
        <v>36935</v>
      </c>
      <c r="CW165" s="376">
        <f>CW160+CW162+CW164+CW163</f>
        <v>37535</v>
      </c>
      <c r="CX165" s="376">
        <f>CX160+CX162+CX164+CX163</f>
        <v>55182</v>
      </c>
      <c r="CY165" s="376">
        <f>CY160+CY162+CY164+CY163</f>
        <v>56454</v>
      </c>
      <c r="CZ165" s="379">
        <f t="shared" si="202"/>
        <v>56454</v>
      </c>
      <c r="DA165" s="376">
        <f>DA160+DA162+DA164+DA163</f>
        <v>56603</v>
      </c>
      <c r="DB165" s="376">
        <f>DB160+DB162+DB164+DB163</f>
        <v>57982</v>
      </c>
      <c r="DC165" s="376">
        <f>DC160+DC162+DC164+DC163</f>
        <v>58202</v>
      </c>
      <c r="DD165" s="376">
        <f>DD160+DD162+DD164+DD163</f>
        <v>57628</v>
      </c>
      <c r="DE165" s="379">
        <f t="shared" si="202"/>
        <v>57628</v>
      </c>
      <c r="DF165" s="376">
        <f t="shared" si="202"/>
        <v>58828</v>
      </c>
      <c r="DG165" s="376">
        <f>DG160+DG162+DG164+DG163</f>
        <v>58378</v>
      </c>
      <c r="DH165" s="376">
        <f>DH160+DH162+DH164+DH163</f>
        <v>57985</v>
      </c>
      <c r="DI165" s="376">
        <f>DI160+DI162+DI164+DI163</f>
        <v>57436</v>
      </c>
      <c r="DJ165" s="379">
        <f t="shared" si="202"/>
        <v>57436</v>
      </c>
      <c r="DK165" s="376">
        <f t="shared" ref="DK165:DT165" ca="1" si="203">DK160+DK162+DK164+DK163</f>
        <v>55525.875828898286</v>
      </c>
      <c r="DL165" s="376">
        <f t="shared" ca="1" si="203"/>
        <v>95486.262342154325</v>
      </c>
      <c r="DM165" s="376">
        <f t="shared" ca="1" si="203"/>
        <v>95293.350851342577</v>
      </c>
      <c r="DN165" s="376">
        <f t="shared" ca="1" si="203"/>
        <v>96340.098663720506</v>
      </c>
      <c r="DO165" s="379">
        <f t="shared" ca="1" si="203"/>
        <v>96340.098663720506</v>
      </c>
      <c r="DP165" s="376">
        <f t="shared" ca="1" si="203"/>
        <v>94831.51894624313</v>
      </c>
      <c r="DQ165" s="376">
        <f t="shared" ca="1" si="203"/>
        <v>96565.496685943333</v>
      </c>
      <c r="DR165" s="376">
        <f t="shared" ca="1" si="203"/>
        <v>96342.101400514963</v>
      </c>
      <c r="DS165" s="376">
        <f t="shared" ca="1" si="203"/>
        <v>97423.641431540396</v>
      </c>
      <c r="DT165" s="379">
        <f t="shared" ca="1" si="203"/>
        <v>97423.641431540396</v>
      </c>
      <c r="DU165" s="376">
        <f t="shared" ref="DU165:DY165" ca="1" si="204">DU160+DU162+DU164+DU163</f>
        <v>95614.894444754333</v>
      </c>
      <c r="DV165" s="376">
        <f t="shared" ca="1" si="204"/>
        <v>97384.288889437754</v>
      </c>
      <c r="DW165" s="376">
        <f t="shared" ca="1" si="204"/>
        <v>97124.932657556754</v>
      </c>
      <c r="DX165" s="376">
        <f t="shared" ca="1" si="204"/>
        <v>98213.450752475299</v>
      </c>
      <c r="DY165" s="379">
        <f t="shared" ca="1" si="204"/>
        <v>98213.450752475299</v>
      </c>
      <c r="DZ165" s="1858"/>
      <c r="EA165" s="1858"/>
      <c r="EB165" s="1858"/>
    </row>
    <row r="166" spans="1:132" ht="6.75" customHeight="1" x14ac:dyDescent="0.2">
      <c r="A166" s="1853"/>
      <c r="B166" s="1932"/>
      <c r="C166" s="1884"/>
      <c r="D166" s="1884"/>
      <c r="E166" s="59"/>
      <c r="F166" s="59"/>
      <c r="G166" s="59"/>
      <c r="H166" s="59"/>
      <c r="I166" s="86"/>
      <c r="J166" s="59"/>
      <c r="K166" s="59"/>
      <c r="L166" s="59"/>
      <c r="M166" s="59"/>
      <c r="N166" s="86"/>
      <c r="O166" s="59"/>
      <c r="P166" s="59"/>
      <c r="Q166" s="59"/>
      <c r="R166" s="59"/>
      <c r="S166" s="86"/>
      <c r="T166" s="59"/>
      <c r="U166" s="59"/>
      <c r="V166" s="59"/>
      <c r="W166" s="59"/>
      <c r="X166" s="86"/>
      <c r="Y166" s="59"/>
      <c r="Z166" s="59"/>
      <c r="AA166" s="59"/>
      <c r="AB166" s="59"/>
      <c r="AC166" s="86"/>
      <c r="AD166" s="59"/>
      <c r="AE166" s="59"/>
      <c r="AF166" s="59"/>
      <c r="AG166" s="59"/>
      <c r="AH166" s="86"/>
      <c r="AI166" s="59"/>
      <c r="AJ166" s="59"/>
      <c r="AK166" s="59"/>
      <c r="AL166" s="59"/>
      <c r="AM166" s="86"/>
      <c r="AN166" s="59"/>
      <c r="AO166" s="59"/>
      <c r="AP166" s="59"/>
      <c r="AQ166" s="59"/>
      <c r="AR166" s="86"/>
      <c r="AS166" s="59"/>
      <c r="AT166" s="59"/>
      <c r="AU166" s="59"/>
      <c r="AV166" s="59"/>
      <c r="AW166" s="86"/>
      <c r="AX166" s="59"/>
      <c r="AY166" s="59"/>
      <c r="AZ166" s="59"/>
      <c r="BA166" s="59"/>
      <c r="BB166" s="86"/>
      <c r="BC166" s="59"/>
      <c r="BD166" s="59"/>
      <c r="BE166" s="59"/>
      <c r="BF166" s="59"/>
      <c r="BG166" s="86"/>
      <c r="BH166" s="59"/>
      <c r="BI166" s="59"/>
      <c r="BJ166" s="59"/>
      <c r="BK166" s="59"/>
      <c r="BL166" s="86"/>
      <c r="BM166" s="59"/>
      <c r="BN166" s="59"/>
      <c r="BO166" s="59"/>
      <c r="BP166" s="59"/>
      <c r="BQ166" s="86"/>
      <c r="BR166" s="59"/>
      <c r="BS166" s="59"/>
      <c r="BT166" s="59"/>
      <c r="BU166" s="59"/>
      <c r="BV166" s="86"/>
      <c r="BW166" s="59"/>
      <c r="BX166" s="59"/>
      <c r="BY166" s="59"/>
      <c r="BZ166" s="59"/>
      <c r="CA166" s="86"/>
      <c r="CB166" s="59"/>
      <c r="CC166" s="59"/>
      <c r="CD166" s="59"/>
      <c r="CE166" s="59"/>
      <c r="CF166" s="86"/>
      <c r="CG166" s="59"/>
      <c r="CH166" s="59"/>
      <c r="CI166" s="59"/>
      <c r="CJ166" s="59"/>
      <c r="CK166" s="86"/>
      <c r="CL166" s="59"/>
      <c r="CM166" s="59"/>
      <c r="CN166" s="59"/>
      <c r="CO166" s="59"/>
      <c r="CP166" s="86"/>
      <c r="CQ166" s="59"/>
      <c r="CR166" s="59"/>
      <c r="CS166" s="59"/>
      <c r="CT166" s="59"/>
      <c r="CU166" s="86"/>
      <c r="CV166" s="59"/>
      <c r="CW166" s="59"/>
      <c r="CX166" s="59"/>
      <c r="CY166" s="59"/>
      <c r="CZ166" s="86"/>
      <c r="DA166" s="59"/>
      <c r="DB166" s="59"/>
      <c r="DC166" s="59"/>
      <c r="DD166" s="59"/>
      <c r="DE166" s="86"/>
      <c r="DF166" s="59"/>
      <c r="DG166" s="59"/>
      <c r="DH166" s="59"/>
      <c r="DI166" s="59"/>
      <c r="DJ166" s="86"/>
      <c r="DK166" s="59"/>
      <c r="DL166" s="59"/>
      <c r="DM166" s="59"/>
      <c r="DN166" s="59"/>
      <c r="DO166" s="86"/>
      <c r="DP166" s="59"/>
      <c r="DQ166" s="59"/>
      <c r="DR166" s="59"/>
      <c r="DS166" s="59"/>
      <c r="DT166" s="86"/>
      <c r="DU166" s="59"/>
      <c r="DV166" s="59"/>
      <c r="DW166" s="59"/>
      <c r="DX166" s="59"/>
      <c r="DY166" s="86"/>
      <c r="DZ166" s="1858"/>
      <c r="EA166" s="1858"/>
      <c r="EB166" s="1858"/>
    </row>
    <row r="167" spans="1:132" x14ac:dyDescent="0.2">
      <c r="A167" s="1944"/>
      <c r="B167" s="1945" t="s">
        <v>403</v>
      </c>
      <c r="C167" s="1949"/>
      <c r="D167" s="1949"/>
      <c r="E167" s="59"/>
      <c r="F167" s="59"/>
      <c r="G167" s="59"/>
      <c r="H167" s="59"/>
      <c r="I167" s="63">
        <v>1.7</v>
      </c>
      <c r="J167" s="59"/>
      <c r="K167" s="59"/>
      <c r="L167" s="59"/>
      <c r="M167" s="59"/>
      <c r="N167" s="63">
        <v>3.9</v>
      </c>
      <c r="O167" s="59"/>
      <c r="P167" s="59"/>
      <c r="Q167" s="59"/>
      <c r="R167" s="59"/>
      <c r="S167" s="63">
        <v>4</v>
      </c>
      <c r="T167" s="59"/>
      <c r="U167" s="59"/>
      <c r="V167" s="59"/>
      <c r="W167" s="59"/>
      <c r="X167" s="63">
        <v>4</v>
      </c>
      <c r="Y167" s="59"/>
      <c r="Z167" s="59"/>
      <c r="AA167" s="59"/>
      <c r="AB167" s="59"/>
      <c r="AC167" s="63">
        <v>4.0999999999999996</v>
      </c>
      <c r="AD167" s="59"/>
      <c r="AE167" s="59"/>
      <c r="AF167" s="59"/>
      <c r="AG167" s="59"/>
      <c r="AH167" s="63">
        <v>4.0999999999999996</v>
      </c>
      <c r="AI167" s="59"/>
      <c r="AJ167" s="59"/>
      <c r="AK167" s="59"/>
      <c r="AL167" s="59"/>
      <c r="AM167" s="63">
        <v>4.0999999999999996</v>
      </c>
      <c r="AN167" s="59"/>
      <c r="AO167" s="59"/>
      <c r="AP167" s="59"/>
      <c r="AQ167" s="59"/>
      <c r="AR167" s="380">
        <f>AM167</f>
        <v>4.0999999999999996</v>
      </c>
      <c r="AS167" s="59"/>
      <c r="AT167" s="59"/>
      <c r="AU167" s="59"/>
      <c r="AV167" s="59"/>
      <c r="AW167" s="63">
        <v>4.2</v>
      </c>
      <c r="AX167" s="59"/>
      <c r="AY167" s="59"/>
      <c r="AZ167" s="59"/>
      <c r="BA167" s="59"/>
      <c r="BB167" s="63">
        <v>8.4</v>
      </c>
      <c r="BC167" s="60">
        <v>8.4</v>
      </c>
      <c r="BD167" s="60">
        <v>8.4</v>
      </c>
      <c r="BE167" s="60">
        <v>8.5</v>
      </c>
      <c r="BF167" s="60">
        <v>8.5</v>
      </c>
      <c r="BG167" s="63">
        <v>8.5</v>
      </c>
      <c r="BH167" s="60">
        <v>15.6</v>
      </c>
      <c r="BI167" s="60">
        <v>15.7</v>
      </c>
      <c r="BJ167" s="60">
        <v>15.8</v>
      </c>
      <c r="BK167" s="60">
        <v>15.9</v>
      </c>
      <c r="BL167" s="1950">
        <v>15.9</v>
      </c>
      <c r="BM167" s="60">
        <v>16</v>
      </c>
      <c r="BN167" s="60">
        <v>16</v>
      </c>
      <c r="BO167" s="60">
        <v>16</v>
      </c>
      <c r="BP167" s="60">
        <v>16</v>
      </c>
      <c r="BQ167" s="63">
        <v>16</v>
      </c>
      <c r="BR167" s="60">
        <v>16</v>
      </c>
      <c r="BS167" s="60">
        <v>16</v>
      </c>
      <c r="BT167" s="60">
        <v>16.100000000000001</v>
      </c>
      <c r="BU167" s="62">
        <f t="shared" ref="BU167:BV170" si="205">BT167</f>
        <v>16.100000000000001</v>
      </c>
      <c r="BV167" s="61">
        <f t="shared" si="205"/>
        <v>16.100000000000001</v>
      </c>
      <c r="BW167" s="60">
        <v>16</v>
      </c>
      <c r="BX167" s="60">
        <v>16</v>
      </c>
      <c r="BY167" s="60">
        <v>16</v>
      </c>
      <c r="BZ167" s="60">
        <v>16</v>
      </c>
      <c r="CA167" s="61">
        <f t="shared" ref="CA167:CA176" si="206">BZ167</f>
        <v>16</v>
      </c>
      <c r="CB167" s="60">
        <v>16</v>
      </c>
      <c r="CC167" s="60">
        <v>16</v>
      </c>
      <c r="CD167" s="60">
        <v>16</v>
      </c>
      <c r="CE167" s="60">
        <v>16</v>
      </c>
      <c r="CF167" s="86">
        <f t="shared" ref="CF167:CG170" si="207">CE167</f>
        <v>16</v>
      </c>
      <c r="CG167" s="60">
        <f t="shared" si="207"/>
        <v>16</v>
      </c>
      <c r="CH167" s="60">
        <v>17</v>
      </c>
      <c r="CI167" s="60">
        <v>17</v>
      </c>
      <c r="CJ167" s="60">
        <v>17</v>
      </c>
      <c r="CK167" s="86">
        <f t="shared" ref="CK167:CK174" si="208">CJ167</f>
        <v>17</v>
      </c>
      <c r="CL167" s="60">
        <v>17</v>
      </c>
      <c r="CM167" s="60">
        <v>17</v>
      </c>
      <c r="CN167" s="60">
        <v>17</v>
      </c>
      <c r="CO167" s="60">
        <v>17</v>
      </c>
      <c r="CP167" s="86">
        <f t="shared" ref="CP167:CQ170" si="209">CO167</f>
        <v>17</v>
      </c>
      <c r="CQ167" s="60">
        <f t="shared" si="209"/>
        <v>17</v>
      </c>
      <c r="CR167" s="60">
        <v>17</v>
      </c>
      <c r="CS167" s="60">
        <v>17</v>
      </c>
      <c r="CT167" s="60">
        <v>17</v>
      </c>
      <c r="CU167" s="1857">
        <f t="shared" ref="CU167:CU176" si="210">CT167</f>
        <v>17</v>
      </c>
      <c r="CV167" s="59">
        <v>17</v>
      </c>
      <c r="CW167" s="59">
        <v>17</v>
      </c>
      <c r="CX167" s="59">
        <v>17</v>
      </c>
      <c r="CY167" s="59">
        <v>17</v>
      </c>
      <c r="CZ167" s="86">
        <f t="shared" ref="CZ167:CZ174" si="211">CY167</f>
        <v>17</v>
      </c>
      <c r="DA167" s="59">
        <v>17</v>
      </c>
      <c r="DB167" s="59">
        <v>17</v>
      </c>
      <c r="DC167" s="59">
        <v>17</v>
      </c>
      <c r="DD167" s="59">
        <v>17</v>
      </c>
      <c r="DE167" s="86">
        <f t="shared" ref="DE167:DJ170" si="212">DD167</f>
        <v>17</v>
      </c>
      <c r="DF167" s="59">
        <v>17</v>
      </c>
      <c r="DG167" s="59">
        <v>17</v>
      </c>
      <c r="DH167" s="59">
        <v>17</v>
      </c>
      <c r="DI167" s="59">
        <v>17</v>
      </c>
      <c r="DJ167" s="86">
        <f t="shared" si="212"/>
        <v>17</v>
      </c>
      <c r="DK167" s="59">
        <f t="shared" ref="DK167:DT167" si="213">DJ167</f>
        <v>17</v>
      </c>
      <c r="DL167" s="59">
        <f t="shared" si="213"/>
        <v>17</v>
      </c>
      <c r="DM167" s="59">
        <f t="shared" si="213"/>
        <v>17</v>
      </c>
      <c r="DN167" s="59">
        <f t="shared" si="213"/>
        <v>17</v>
      </c>
      <c r="DO167" s="86">
        <f t="shared" si="213"/>
        <v>17</v>
      </c>
      <c r="DP167" s="59">
        <f t="shared" si="213"/>
        <v>17</v>
      </c>
      <c r="DQ167" s="59">
        <f t="shared" si="213"/>
        <v>17</v>
      </c>
      <c r="DR167" s="59">
        <f t="shared" si="213"/>
        <v>17</v>
      </c>
      <c r="DS167" s="59">
        <f t="shared" si="213"/>
        <v>17</v>
      </c>
      <c r="DT167" s="86">
        <f t="shared" si="213"/>
        <v>17</v>
      </c>
      <c r="DU167" s="59">
        <f t="shared" ref="DU167:DU170" si="214">DT167</f>
        <v>17</v>
      </c>
      <c r="DV167" s="59">
        <f t="shared" ref="DV167:DV170" si="215">DU167</f>
        <v>17</v>
      </c>
      <c r="DW167" s="59">
        <f t="shared" ref="DW167:DW170" si="216">DV167</f>
        <v>17</v>
      </c>
      <c r="DX167" s="59">
        <f t="shared" ref="DX167:DX170" si="217">DW167</f>
        <v>17</v>
      </c>
      <c r="DY167" s="86">
        <f t="shared" ref="DY167:DY176" si="218">DX167</f>
        <v>17</v>
      </c>
      <c r="DZ167" s="1858"/>
      <c r="EA167" s="1858"/>
      <c r="EB167" s="1858"/>
    </row>
    <row r="168" spans="1:132" x14ac:dyDescent="0.2">
      <c r="A168" s="1944"/>
      <c r="B168" s="1945" t="s">
        <v>404</v>
      </c>
      <c r="C168" s="1949"/>
      <c r="D168" s="1949"/>
      <c r="E168" s="59"/>
      <c r="F168" s="59"/>
      <c r="G168" s="59"/>
      <c r="H168" s="59"/>
      <c r="I168" s="63">
        <v>0</v>
      </c>
      <c r="J168" s="59"/>
      <c r="K168" s="59"/>
      <c r="L168" s="59"/>
      <c r="M168" s="59"/>
      <c r="N168" s="63">
        <v>0</v>
      </c>
      <c r="O168" s="59"/>
      <c r="P168" s="59"/>
      <c r="Q168" s="59"/>
      <c r="R168" s="59"/>
      <c r="S168" s="63">
        <v>280</v>
      </c>
      <c r="T168" s="59"/>
      <c r="U168" s="59"/>
      <c r="V168" s="59"/>
      <c r="W168" s="59"/>
      <c r="X168" s="63">
        <v>276</v>
      </c>
      <c r="Y168" s="59"/>
      <c r="Z168" s="59"/>
      <c r="AA168" s="59"/>
      <c r="AB168" s="59"/>
      <c r="AC168" s="63">
        <v>267.5</v>
      </c>
      <c r="AD168" s="59"/>
      <c r="AE168" s="59"/>
      <c r="AF168" s="59"/>
      <c r="AG168" s="59"/>
      <c r="AH168" s="63">
        <v>261.2</v>
      </c>
      <c r="AI168" s="59"/>
      <c r="AJ168" s="59"/>
      <c r="AK168" s="59"/>
      <c r="AL168" s="59"/>
      <c r="AM168" s="63">
        <v>250.4</v>
      </c>
      <c r="AN168" s="59"/>
      <c r="AO168" s="59"/>
      <c r="AP168" s="59"/>
      <c r="AQ168" s="59"/>
      <c r="AR168" s="381">
        <v>242.7</v>
      </c>
      <c r="AS168" s="59"/>
      <c r="AT168" s="59"/>
      <c r="AU168" s="59"/>
      <c r="AV168" s="59"/>
      <c r="AW168" s="63">
        <v>228.4</v>
      </c>
      <c r="AX168" s="59"/>
      <c r="AY168" s="59"/>
      <c r="AZ168" s="59"/>
      <c r="BA168" s="59"/>
      <c r="BB168" s="63">
        <v>222.6</v>
      </c>
      <c r="BC168" s="60">
        <v>0</v>
      </c>
      <c r="BD168" s="60">
        <v>0</v>
      </c>
      <c r="BE168" s="60">
        <v>0</v>
      </c>
      <c r="BF168" s="60">
        <v>0</v>
      </c>
      <c r="BG168" s="63">
        <v>213.3</v>
      </c>
      <c r="BH168" s="60">
        <v>0</v>
      </c>
      <c r="BI168" s="60">
        <v>0</v>
      </c>
      <c r="BJ168" s="60">
        <v>0</v>
      </c>
      <c r="BK168" s="60">
        <v>0</v>
      </c>
      <c r="BL168" s="1950">
        <v>203</v>
      </c>
      <c r="BM168" s="60">
        <v>0</v>
      </c>
      <c r="BN168" s="60">
        <v>0</v>
      </c>
      <c r="BO168" s="60">
        <v>0</v>
      </c>
      <c r="BP168" s="60">
        <v>0</v>
      </c>
      <c r="BQ168" s="63">
        <v>0</v>
      </c>
      <c r="BR168" s="60">
        <v>0</v>
      </c>
      <c r="BS168" s="60">
        <v>0</v>
      </c>
      <c r="BT168" s="60">
        <v>0</v>
      </c>
      <c r="BU168" s="62">
        <f t="shared" si="205"/>
        <v>0</v>
      </c>
      <c r="BV168" s="61">
        <f t="shared" si="205"/>
        <v>0</v>
      </c>
      <c r="BW168" s="62">
        <f>BU168</f>
        <v>0</v>
      </c>
      <c r="BX168" s="62">
        <f>BW168</f>
        <v>0</v>
      </c>
      <c r="BY168" s="62">
        <f>BX168</f>
        <v>0</v>
      </c>
      <c r="BZ168" s="60">
        <v>0</v>
      </c>
      <c r="CA168" s="61">
        <f t="shared" si="206"/>
        <v>0</v>
      </c>
      <c r="CB168" s="60">
        <v>0</v>
      </c>
      <c r="CC168" s="60">
        <v>0</v>
      </c>
      <c r="CD168" s="60">
        <v>0</v>
      </c>
      <c r="CE168" s="60">
        <v>0</v>
      </c>
      <c r="CF168" s="86">
        <f t="shared" si="207"/>
        <v>0</v>
      </c>
      <c r="CG168" s="60">
        <f t="shared" si="207"/>
        <v>0</v>
      </c>
      <c r="CH168" s="60">
        <v>0</v>
      </c>
      <c r="CI168" s="60">
        <v>0</v>
      </c>
      <c r="CJ168" s="60">
        <f>CI168</f>
        <v>0</v>
      </c>
      <c r="CK168" s="86">
        <f t="shared" si="208"/>
        <v>0</v>
      </c>
      <c r="CL168" s="60">
        <v>0</v>
      </c>
      <c r="CM168" s="60">
        <v>0</v>
      </c>
      <c r="CN168" s="60">
        <v>0</v>
      </c>
      <c r="CO168" s="60">
        <v>0</v>
      </c>
      <c r="CP168" s="86">
        <f t="shared" si="209"/>
        <v>0</v>
      </c>
      <c r="CQ168" s="60">
        <f t="shared" si="209"/>
        <v>0</v>
      </c>
      <c r="CR168" s="60">
        <v>0</v>
      </c>
      <c r="CS168" s="60">
        <f t="shared" ref="CS168:CT170" si="219">CR168</f>
        <v>0</v>
      </c>
      <c r="CT168" s="60">
        <f t="shared" si="219"/>
        <v>0</v>
      </c>
      <c r="CU168" s="1857">
        <f t="shared" si="210"/>
        <v>0</v>
      </c>
      <c r="CV168" s="59">
        <v>0</v>
      </c>
      <c r="CW168" s="59">
        <v>0</v>
      </c>
      <c r="CX168" s="59">
        <v>0</v>
      </c>
      <c r="CY168" s="59">
        <v>0</v>
      </c>
      <c r="CZ168" s="86">
        <f t="shared" si="211"/>
        <v>0</v>
      </c>
      <c r="DA168" s="59">
        <v>0</v>
      </c>
      <c r="DB168" s="59">
        <v>0</v>
      </c>
      <c r="DC168" s="59">
        <v>0</v>
      </c>
      <c r="DD168" s="59">
        <v>0</v>
      </c>
      <c r="DE168" s="86">
        <f t="shared" si="212"/>
        <v>0</v>
      </c>
      <c r="DF168" s="59">
        <v>0</v>
      </c>
      <c r="DG168" s="59">
        <v>0</v>
      </c>
      <c r="DH168" s="59">
        <v>0</v>
      </c>
      <c r="DI168" s="59">
        <v>0</v>
      </c>
      <c r="DJ168" s="86">
        <f t="shared" si="212"/>
        <v>0</v>
      </c>
      <c r="DK168" s="59">
        <f t="shared" ref="DK168:DT168" si="220">DJ168</f>
        <v>0</v>
      </c>
      <c r="DL168" s="59">
        <f t="shared" si="220"/>
        <v>0</v>
      </c>
      <c r="DM168" s="59">
        <f t="shared" si="220"/>
        <v>0</v>
      </c>
      <c r="DN168" s="59">
        <f t="shared" si="220"/>
        <v>0</v>
      </c>
      <c r="DO168" s="86">
        <f t="shared" si="220"/>
        <v>0</v>
      </c>
      <c r="DP168" s="59">
        <f t="shared" si="220"/>
        <v>0</v>
      </c>
      <c r="DQ168" s="59">
        <f t="shared" si="220"/>
        <v>0</v>
      </c>
      <c r="DR168" s="59">
        <f t="shared" si="220"/>
        <v>0</v>
      </c>
      <c r="DS168" s="59">
        <f t="shared" si="220"/>
        <v>0</v>
      </c>
      <c r="DT168" s="86">
        <f t="shared" si="220"/>
        <v>0</v>
      </c>
      <c r="DU168" s="59">
        <f t="shared" si="214"/>
        <v>0</v>
      </c>
      <c r="DV168" s="59">
        <f t="shared" si="215"/>
        <v>0</v>
      </c>
      <c r="DW168" s="59">
        <f t="shared" si="216"/>
        <v>0</v>
      </c>
      <c r="DX168" s="59">
        <f t="shared" si="217"/>
        <v>0</v>
      </c>
      <c r="DY168" s="86">
        <f t="shared" si="218"/>
        <v>0</v>
      </c>
      <c r="DZ168" s="1858"/>
      <c r="EA168" s="1858"/>
      <c r="EB168" s="1858"/>
    </row>
    <row r="169" spans="1:132" x14ac:dyDescent="0.2">
      <c r="A169" s="1944"/>
      <c r="B169" s="1945" t="s">
        <v>405</v>
      </c>
      <c r="C169" s="1949"/>
      <c r="D169" s="1949"/>
      <c r="E169" s="59"/>
      <c r="F169" s="59"/>
      <c r="G169" s="59"/>
      <c r="H169" s="59"/>
      <c r="I169" s="63">
        <v>298.60000000000002</v>
      </c>
      <c r="J169" s="59"/>
      <c r="K169" s="59"/>
      <c r="L169" s="59"/>
      <c r="M169" s="59"/>
      <c r="N169" s="63">
        <v>284.60000000000002</v>
      </c>
      <c r="O169" s="59"/>
      <c r="P169" s="59"/>
      <c r="Q169" s="59"/>
      <c r="R169" s="59"/>
      <c r="S169" s="63">
        <v>0</v>
      </c>
      <c r="T169" s="59"/>
      <c r="U169" s="59"/>
      <c r="V169" s="59"/>
      <c r="W169" s="59"/>
      <c r="X169" s="63">
        <v>0</v>
      </c>
      <c r="Y169" s="59"/>
      <c r="Z169" s="59"/>
      <c r="AA169" s="59"/>
      <c r="AB169" s="59"/>
      <c r="AC169" s="63">
        <v>0</v>
      </c>
      <c r="AD169" s="59"/>
      <c r="AE169" s="59"/>
      <c r="AF169" s="59"/>
      <c r="AG169" s="59"/>
      <c r="AH169" s="63">
        <v>0</v>
      </c>
      <c r="AI169" s="59"/>
      <c r="AJ169" s="59"/>
      <c r="AK169" s="59"/>
      <c r="AL169" s="59"/>
      <c r="AM169" s="63">
        <v>0</v>
      </c>
      <c r="AN169" s="59"/>
      <c r="AO169" s="59"/>
      <c r="AP169" s="59"/>
      <c r="AQ169" s="59"/>
      <c r="AR169" s="381">
        <v>0</v>
      </c>
      <c r="AS169" s="59"/>
      <c r="AT169" s="59"/>
      <c r="AU169" s="59"/>
      <c r="AV169" s="59"/>
      <c r="AW169" s="63">
        <v>0</v>
      </c>
      <c r="AX169" s="59"/>
      <c r="AY169" s="59"/>
      <c r="AZ169" s="59"/>
      <c r="BA169" s="59"/>
      <c r="BB169" s="63">
        <v>0</v>
      </c>
      <c r="BC169" s="60">
        <v>220.7</v>
      </c>
      <c r="BD169" s="60">
        <v>217.9</v>
      </c>
      <c r="BE169" s="60">
        <v>215.6</v>
      </c>
      <c r="BF169" s="60">
        <v>213.3</v>
      </c>
      <c r="BG169" s="63">
        <v>0</v>
      </c>
      <c r="BH169" s="60">
        <v>210.9</v>
      </c>
      <c r="BI169" s="60">
        <v>208.3</v>
      </c>
      <c r="BJ169" s="60">
        <v>206</v>
      </c>
      <c r="BK169" s="60">
        <v>203</v>
      </c>
      <c r="BL169" s="1950">
        <v>0</v>
      </c>
      <c r="BM169" s="60">
        <v>200.6</v>
      </c>
      <c r="BN169" s="60">
        <v>197.9</v>
      </c>
      <c r="BO169" s="60">
        <v>195.5</v>
      </c>
      <c r="BP169" s="60">
        <v>191.5</v>
      </c>
      <c r="BQ169" s="63">
        <v>191.5</v>
      </c>
      <c r="BR169" s="60">
        <v>0</v>
      </c>
      <c r="BS169" s="60">
        <v>0</v>
      </c>
      <c r="BT169" s="60">
        <v>0</v>
      </c>
      <c r="BU169" s="62">
        <f t="shared" si="205"/>
        <v>0</v>
      </c>
      <c r="BV169" s="61">
        <f t="shared" si="205"/>
        <v>0</v>
      </c>
      <c r="BW169" s="62">
        <f>BU169</f>
        <v>0</v>
      </c>
      <c r="BX169" s="62">
        <f>BW169</f>
        <v>0</v>
      </c>
      <c r="BY169" s="62">
        <f>BX169</f>
        <v>0</v>
      </c>
      <c r="BZ169" s="60">
        <v>0</v>
      </c>
      <c r="CA169" s="61">
        <f t="shared" si="206"/>
        <v>0</v>
      </c>
      <c r="CB169" s="60">
        <v>0</v>
      </c>
      <c r="CC169" s="60">
        <v>0</v>
      </c>
      <c r="CD169" s="60">
        <v>0</v>
      </c>
      <c r="CE169" s="60">
        <v>0</v>
      </c>
      <c r="CF169" s="86">
        <f t="shared" si="207"/>
        <v>0</v>
      </c>
      <c r="CG169" s="60">
        <f t="shared" si="207"/>
        <v>0</v>
      </c>
      <c r="CH169" s="60">
        <v>0</v>
      </c>
      <c r="CI169" s="60">
        <v>0</v>
      </c>
      <c r="CJ169" s="60">
        <f>CI169</f>
        <v>0</v>
      </c>
      <c r="CK169" s="86">
        <f t="shared" si="208"/>
        <v>0</v>
      </c>
      <c r="CL169" s="60">
        <v>0</v>
      </c>
      <c r="CM169" s="60">
        <v>0</v>
      </c>
      <c r="CN169" s="60">
        <v>0</v>
      </c>
      <c r="CO169" s="60">
        <v>0</v>
      </c>
      <c r="CP169" s="86">
        <f t="shared" si="209"/>
        <v>0</v>
      </c>
      <c r="CQ169" s="60">
        <f t="shared" si="209"/>
        <v>0</v>
      </c>
      <c r="CR169" s="60">
        <v>0</v>
      </c>
      <c r="CS169" s="60">
        <f t="shared" si="219"/>
        <v>0</v>
      </c>
      <c r="CT169" s="60">
        <f t="shared" si="219"/>
        <v>0</v>
      </c>
      <c r="CU169" s="1857">
        <f t="shared" si="210"/>
        <v>0</v>
      </c>
      <c r="CV169" s="59">
        <v>0</v>
      </c>
      <c r="CW169" s="59">
        <v>0</v>
      </c>
      <c r="CX169" s="59">
        <v>0</v>
      </c>
      <c r="CY169" s="59">
        <v>0</v>
      </c>
      <c r="CZ169" s="86">
        <f t="shared" si="211"/>
        <v>0</v>
      </c>
      <c r="DA169" s="59">
        <v>0</v>
      </c>
      <c r="DB169" s="59">
        <v>0</v>
      </c>
      <c r="DC169" s="59">
        <v>0</v>
      </c>
      <c r="DD169" s="59">
        <v>0</v>
      </c>
      <c r="DE169" s="86">
        <f t="shared" si="212"/>
        <v>0</v>
      </c>
      <c r="DF169" s="59">
        <v>0</v>
      </c>
      <c r="DG169" s="59">
        <v>0</v>
      </c>
      <c r="DH169" s="59">
        <v>0</v>
      </c>
      <c r="DI169" s="59">
        <v>0</v>
      </c>
      <c r="DJ169" s="86">
        <f t="shared" si="212"/>
        <v>0</v>
      </c>
      <c r="DK169" s="59">
        <f t="shared" ref="DK169:DT169" si="221">DJ169</f>
        <v>0</v>
      </c>
      <c r="DL169" s="59">
        <f t="shared" si="221"/>
        <v>0</v>
      </c>
      <c r="DM169" s="59">
        <f t="shared" si="221"/>
        <v>0</v>
      </c>
      <c r="DN169" s="59">
        <f t="shared" si="221"/>
        <v>0</v>
      </c>
      <c r="DO169" s="86">
        <f t="shared" si="221"/>
        <v>0</v>
      </c>
      <c r="DP169" s="59">
        <f t="shared" si="221"/>
        <v>0</v>
      </c>
      <c r="DQ169" s="59">
        <f t="shared" si="221"/>
        <v>0</v>
      </c>
      <c r="DR169" s="59">
        <f t="shared" si="221"/>
        <v>0</v>
      </c>
      <c r="DS169" s="59">
        <f t="shared" si="221"/>
        <v>0</v>
      </c>
      <c r="DT169" s="86">
        <f t="shared" si="221"/>
        <v>0</v>
      </c>
      <c r="DU169" s="59">
        <f t="shared" si="214"/>
        <v>0</v>
      </c>
      <c r="DV169" s="59">
        <f t="shared" si="215"/>
        <v>0</v>
      </c>
      <c r="DW169" s="59">
        <f t="shared" si="216"/>
        <v>0</v>
      </c>
      <c r="DX169" s="59">
        <f t="shared" si="217"/>
        <v>0</v>
      </c>
      <c r="DY169" s="86">
        <f t="shared" si="218"/>
        <v>0</v>
      </c>
      <c r="DZ169" s="1858"/>
      <c r="EA169" s="1858"/>
      <c r="EB169" s="1858"/>
    </row>
    <row r="170" spans="1:132" x14ac:dyDescent="0.2">
      <c r="A170" s="1944"/>
      <c r="B170" s="1945" t="s">
        <v>406</v>
      </c>
      <c r="C170" s="1949"/>
      <c r="D170" s="1949"/>
      <c r="E170" s="59"/>
      <c r="F170" s="59"/>
      <c r="G170" s="59"/>
      <c r="H170" s="59"/>
      <c r="I170" s="63">
        <v>-292.10000000000002</v>
      </c>
      <c r="J170" s="59"/>
      <c r="K170" s="59"/>
      <c r="L170" s="59"/>
      <c r="M170" s="59"/>
      <c r="N170" s="63">
        <v>-292.2</v>
      </c>
      <c r="O170" s="59"/>
      <c r="P170" s="59"/>
      <c r="Q170" s="59"/>
      <c r="R170" s="59"/>
      <c r="S170" s="63">
        <v>-270.7</v>
      </c>
      <c r="T170" s="59"/>
      <c r="U170" s="59"/>
      <c r="V170" s="59"/>
      <c r="W170" s="59"/>
      <c r="X170" s="63">
        <v>-257</v>
      </c>
      <c r="Y170" s="59"/>
      <c r="Z170" s="59"/>
      <c r="AA170" s="59"/>
      <c r="AB170" s="59"/>
      <c r="AC170" s="63">
        <v>-240.6</v>
      </c>
      <c r="AD170" s="59"/>
      <c r="AE170" s="59"/>
      <c r="AF170" s="59"/>
      <c r="AG170" s="59"/>
      <c r="AH170" s="63">
        <v>-219.9</v>
      </c>
      <c r="AI170" s="59"/>
      <c r="AJ170" s="59"/>
      <c r="AK170" s="59"/>
      <c r="AL170" s="59"/>
      <c r="AM170" s="63">
        <v>-194.4</v>
      </c>
      <c r="AN170" s="59"/>
      <c r="AO170" s="59"/>
      <c r="AP170" s="59"/>
      <c r="AQ170" s="59"/>
      <c r="AR170" s="381">
        <v>-163.19999999999999</v>
      </c>
      <c r="AS170" s="59"/>
      <c r="AT170" s="59"/>
      <c r="AU170" s="59"/>
      <c r="AV170" s="59"/>
      <c r="AW170" s="63">
        <v>-140.9</v>
      </c>
      <c r="AX170" s="59"/>
      <c r="AY170" s="59"/>
      <c r="AZ170" s="59"/>
      <c r="BA170" s="59"/>
      <c r="BB170" s="63">
        <v>-114</v>
      </c>
      <c r="BC170" s="60">
        <v>-114</v>
      </c>
      <c r="BD170" s="60">
        <v>-114</v>
      </c>
      <c r="BE170" s="60">
        <v>-114</v>
      </c>
      <c r="BF170" s="60">
        <v>-82.1</v>
      </c>
      <c r="BG170" s="63">
        <v>-82.1</v>
      </c>
      <c r="BH170" s="60">
        <v>-82.1</v>
      </c>
      <c r="BI170" s="60">
        <v>-82.1</v>
      </c>
      <c r="BJ170" s="60">
        <v>-82.1</v>
      </c>
      <c r="BK170" s="60">
        <v>-44.5</v>
      </c>
      <c r="BL170" s="1950">
        <v>-44.5</v>
      </c>
      <c r="BM170" s="60">
        <v>-44.5</v>
      </c>
      <c r="BN170" s="60">
        <v>-44.5</v>
      </c>
      <c r="BO170" s="60">
        <v>-44.5</v>
      </c>
      <c r="BP170" s="60">
        <v>0</v>
      </c>
      <c r="BQ170" s="63">
        <v>0</v>
      </c>
      <c r="BR170" s="60">
        <v>0</v>
      </c>
      <c r="BS170" s="60">
        <v>0</v>
      </c>
      <c r="BT170" s="60">
        <v>0</v>
      </c>
      <c r="BU170" s="62">
        <f t="shared" si="205"/>
        <v>0</v>
      </c>
      <c r="BV170" s="61">
        <f t="shared" si="205"/>
        <v>0</v>
      </c>
      <c r="BW170" s="60">
        <v>36</v>
      </c>
      <c r="BX170" s="60">
        <v>36</v>
      </c>
      <c r="BY170" s="60">
        <v>35</v>
      </c>
      <c r="BZ170" s="60">
        <v>34</v>
      </c>
      <c r="CA170" s="61">
        <f t="shared" si="206"/>
        <v>34</v>
      </c>
      <c r="CB170" s="60">
        <v>33</v>
      </c>
      <c r="CC170" s="60">
        <v>32</v>
      </c>
      <c r="CD170" s="60">
        <v>31</v>
      </c>
      <c r="CE170" s="60">
        <v>30</v>
      </c>
      <c r="CF170" s="86">
        <f t="shared" si="207"/>
        <v>30</v>
      </c>
      <c r="CG170" s="60">
        <f t="shared" si="207"/>
        <v>30</v>
      </c>
      <c r="CH170" s="60">
        <v>0</v>
      </c>
      <c r="CI170" s="60">
        <v>0</v>
      </c>
      <c r="CJ170" s="60">
        <f>CI170</f>
        <v>0</v>
      </c>
      <c r="CK170" s="86">
        <f t="shared" si="208"/>
        <v>0</v>
      </c>
      <c r="CL170" s="60">
        <v>0</v>
      </c>
      <c r="CM170" s="60">
        <v>0</v>
      </c>
      <c r="CN170" s="60">
        <v>0</v>
      </c>
      <c r="CO170" s="60">
        <v>0</v>
      </c>
      <c r="CP170" s="86">
        <f t="shared" si="209"/>
        <v>0</v>
      </c>
      <c r="CQ170" s="60">
        <f t="shared" si="209"/>
        <v>0</v>
      </c>
      <c r="CR170" s="60">
        <v>0</v>
      </c>
      <c r="CS170" s="60">
        <f t="shared" si="219"/>
        <v>0</v>
      </c>
      <c r="CT170" s="60">
        <f t="shared" si="219"/>
        <v>0</v>
      </c>
      <c r="CU170" s="1857">
        <f t="shared" si="210"/>
        <v>0</v>
      </c>
      <c r="CV170" s="59">
        <v>0</v>
      </c>
      <c r="CW170" s="59">
        <v>0</v>
      </c>
      <c r="CX170" s="59">
        <v>0</v>
      </c>
      <c r="CY170" s="59">
        <v>0</v>
      </c>
      <c r="CZ170" s="86">
        <f t="shared" si="211"/>
        <v>0</v>
      </c>
      <c r="DA170" s="59">
        <v>0</v>
      </c>
      <c r="DB170" s="59">
        <v>0</v>
      </c>
      <c r="DC170" s="59">
        <v>0</v>
      </c>
      <c r="DD170" s="59">
        <v>0</v>
      </c>
      <c r="DE170" s="86">
        <f t="shared" si="212"/>
        <v>0</v>
      </c>
      <c r="DF170" s="59">
        <v>0</v>
      </c>
      <c r="DG170" s="59">
        <v>0</v>
      </c>
      <c r="DH170" s="59">
        <v>0</v>
      </c>
      <c r="DI170" s="59">
        <v>0</v>
      </c>
      <c r="DJ170" s="86">
        <f t="shared" si="212"/>
        <v>0</v>
      </c>
      <c r="DK170" s="59">
        <f t="shared" ref="DK170:DT170" si="222">DJ170</f>
        <v>0</v>
      </c>
      <c r="DL170" s="59">
        <f t="shared" si="222"/>
        <v>0</v>
      </c>
      <c r="DM170" s="59">
        <f t="shared" si="222"/>
        <v>0</v>
      </c>
      <c r="DN170" s="59">
        <f t="shared" si="222"/>
        <v>0</v>
      </c>
      <c r="DO170" s="86">
        <f t="shared" si="222"/>
        <v>0</v>
      </c>
      <c r="DP170" s="59">
        <f t="shared" si="222"/>
        <v>0</v>
      </c>
      <c r="DQ170" s="59">
        <f t="shared" si="222"/>
        <v>0</v>
      </c>
      <c r="DR170" s="59">
        <f t="shared" si="222"/>
        <v>0</v>
      </c>
      <c r="DS170" s="59">
        <f t="shared" si="222"/>
        <v>0</v>
      </c>
      <c r="DT170" s="86">
        <f t="shared" si="222"/>
        <v>0</v>
      </c>
      <c r="DU170" s="59">
        <f t="shared" si="214"/>
        <v>0</v>
      </c>
      <c r="DV170" s="59">
        <f t="shared" si="215"/>
        <v>0</v>
      </c>
      <c r="DW170" s="59">
        <f t="shared" si="216"/>
        <v>0</v>
      </c>
      <c r="DX170" s="59">
        <f t="shared" si="217"/>
        <v>0</v>
      </c>
      <c r="DY170" s="86">
        <f t="shared" si="218"/>
        <v>0</v>
      </c>
      <c r="DZ170" s="1858"/>
      <c r="EA170" s="1858"/>
      <c r="EB170" s="1858"/>
    </row>
    <row r="171" spans="1:132" x14ac:dyDescent="0.2">
      <c r="A171" s="1944"/>
      <c r="B171" s="1945" t="s">
        <v>407</v>
      </c>
      <c r="C171" s="1949"/>
      <c r="D171" s="1949"/>
      <c r="E171" s="59"/>
      <c r="F171" s="59"/>
      <c r="G171" s="59"/>
      <c r="H171" s="59"/>
      <c r="I171" s="63">
        <v>875.9</v>
      </c>
      <c r="J171" s="59"/>
      <c r="K171" s="59"/>
      <c r="L171" s="59"/>
      <c r="M171" s="59"/>
      <c r="N171" s="63">
        <v>1154</v>
      </c>
      <c r="O171" s="59"/>
      <c r="P171" s="59"/>
      <c r="Q171" s="59"/>
      <c r="R171" s="59"/>
      <c r="S171" s="63">
        <v>1336.4</v>
      </c>
      <c r="T171" s="59"/>
      <c r="U171" s="59"/>
      <c r="V171" s="59"/>
      <c r="W171" s="59"/>
      <c r="X171" s="63">
        <v>1371.7</v>
      </c>
      <c r="Y171" s="59"/>
      <c r="Z171" s="59"/>
      <c r="AA171" s="59"/>
      <c r="AB171" s="59"/>
      <c r="AC171" s="63">
        <v>1493.8</v>
      </c>
      <c r="AD171" s="59"/>
      <c r="AE171" s="59"/>
      <c r="AF171" s="59"/>
      <c r="AG171" s="59"/>
      <c r="AH171" s="63">
        <v>1539.6</v>
      </c>
      <c r="AI171" s="59"/>
      <c r="AJ171" s="59"/>
      <c r="AK171" s="59"/>
      <c r="AL171" s="59"/>
      <c r="AM171" s="63">
        <v>1546.6</v>
      </c>
      <c r="AN171" s="59"/>
      <c r="AO171" s="59"/>
      <c r="AP171" s="59"/>
      <c r="AQ171" s="59"/>
      <c r="AR171" s="381">
        <v>1557.2</v>
      </c>
      <c r="AS171" s="59"/>
      <c r="AT171" s="59"/>
      <c r="AU171" s="59"/>
      <c r="AV171" s="59"/>
      <c r="AW171" s="63">
        <v>1691.4</v>
      </c>
      <c r="AX171" s="59"/>
      <c r="AY171" s="59"/>
      <c r="AZ171" s="59"/>
      <c r="BA171" s="59"/>
      <c r="BB171" s="63">
        <v>1922.4</v>
      </c>
      <c r="BC171" s="60">
        <v>1998.2</v>
      </c>
      <c r="BD171" s="60">
        <v>2048.6</v>
      </c>
      <c r="BE171" s="60">
        <v>2140</v>
      </c>
      <c r="BF171" s="60">
        <v>2198.4</v>
      </c>
      <c r="BG171" s="63">
        <v>2198.4</v>
      </c>
      <c r="BH171" s="60">
        <v>26224.3</v>
      </c>
      <c r="BI171" s="60">
        <v>26451.1</v>
      </c>
      <c r="BJ171" s="60">
        <v>26569.3</v>
      </c>
      <c r="BK171" s="60">
        <v>26831.9</v>
      </c>
      <c r="BL171" s="1950">
        <f>26831.9</f>
        <v>26831.9</v>
      </c>
      <c r="BM171" s="60">
        <v>27019</v>
      </c>
      <c r="BN171" s="60">
        <v>27205.599999999999</v>
      </c>
      <c r="BO171" s="60">
        <v>27250.2</v>
      </c>
      <c r="BP171" s="60">
        <v>27279.599999999999</v>
      </c>
      <c r="BQ171" s="63">
        <v>27279.599999999999</v>
      </c>
      <c r="BR171" s="60">
        <v>26925</v>
      </c>
      <c r="BS171" s="60">
        <v>27013.200000000001</v>
      </c>
      <c r="BT171" s="60">
        <v>27114.400000000001</v>
      </c>
      <c r="BU171" s="60">
        <v>27198</v>
      </c>
      <c r="BV171" s="61">
        <f>BU171</f>
        <v>27198</v>
      </c>
      <c r="BW171" s="60">
        <v>27314</v>
      </c>
      <c r="BX171" s="60">
        <v>27413</v>
      </c>
      <c r="BY171" s="60">
        <v>27443</v>
      </c>
      <c r="BZ171" s="60">
        <v>27610</v>
      </c>
      <c r="CA171" s="61">
        <f t="shared" si="206"/>
        <v>27610</v>
      </c>
      <c r="CB171" s="60">
        <v>27706</v>
      </c>
      <c r="CC171" s="60">
        <v>27902</v>
      </c>
      <c r="CD171" s="60">
        <v>27987</v>
      </c>
      <c r="CE171" s="60">
        <v>28126</v>
      </c>
      <c r="CF171" s="86">
        <f>CE171</f>
        <v>28126</v>
      </c>
      <c r="CG171" s="60">
        <v>28450</v>
      </c>
      <c r="CH171" s="60">
        <v>28744</v>
      </c>
      <c r="CI171" s="60">
        <v>28914</v>
      </c>
      <c r="CJ171" s="60">
        <v>29120</v>
      </c>
      <c r="CK171" s="86">
        <f t="shared" si="208"/>
        <v>29120</v>
      </c>
      <c r="CL171" s="60">
        <v>29302</v>
      </c>
      <c r="CM171" s="60">
        <v>29532</v>
      </c>
      <c r="CN171" s="60">
        <v>29653</v>
      </c>
      <c r="CO171" s="60">
        <v>29777</v>
      </c>
      <c r="CP171" s="86">
        <f>CO171</f>
        <v>29777</v>
      </c>
      <c r="CQ171" s="60">
        <f>29985+2</f>
        <v>29987</v>
      </c>
      <c r="CR171" s="60">
        <v>30186</v>
      </c>
      <c r="CS171" s="60">
        <v>30310</v>
      </c>
      <c r="CT171" s="60">
        <v>30418</v>
      </c>
      <c r="CU171" s="1857">
        <f t="shared" si="210"/>
        <v>30418</v>
      </c>
      <c r="CV171" s="59">
        <v>30235</v>
      </c>
      <c r="CW171" s="59">
        <v>30840</v>
      </c>
      <c r="CX171" s="59">
        <v>31005</v>
      </c>
      <c r="CY171" s="59">
        <v>30948</v>
      </c>
      <c r="CZ171" s="86">
        <f t="shared" si="211"/>
        <v>30948</v>
      </c>
      <c r="DA171" s="59">
        <v>31254</v>
      </c>
      <c r="DB171" s="59">
        <v>31454</v>
      </c>
      <c r="DC171" s="59">
        <v>31541</v>
      </c>
      <c r="DD171" s="59">
        <v>31618</v>
      </c>
      <c r="DE171" s="86">
        <f>DD171</f>
        <v>31618</v>
      </c>
      <c r="DF171" s="59">
        <v>31034</v>
      </c>
      <c r="DG171" s="59">
        <v>31871</v>
      </c>
      <c r="DH171" s="59">
        <v>32009</v>
      </c>
      <c r="DI171" s="59">
        <v>32079</v>
      </c>
      <c r="DJ171" s="86">
        <f>DI171</f>
        <v>32079</v>
      </c>
      <c r="DK171" s="59">
        <f>DJ171+DK19</f>
        <v>32137.5</v>
      </c>
      <c r="DL171" s="59">
        <f>DK171+DL19</f>
        <v>32196</v>
      </c>
      <c r="DM171" s="59">
        <f>DL171+DM19</f>
        <v>32254.5</v>
      </c>
      <c r="DN171" s="59">
        <f>DM171+DN19</f>
        <v>32313</v>
      </c>
      <c r="DO171" s="86">
        <f t="shared" ref="DO171:DO176" si="223">DN171</f>
        <v>32313</v>
      </c>
      <c r="DP171" s="59">
        <f>DO171+DP19</f>
        <v>32371.5</v>
      </c>
      <c r="DQ171" s="59">
        <f>DP171+DQ19</f>
        <v>32430</v>
      </c>
      <c r="DR171" s="59">
        <f>DQ171+DR19</f>
        <v>32488.5</v>
      </c>
      <c r="DS171" s="59">
        <f>DR171+DS19</f>
        <v>32547</v>
      </c>
      <c r="DT171" s="86">
        <f t="shared" ref="DT171:DT176" si="224">DS171</f>
        <v>32547</v>
      </c>
      <c r="DU171" s="59">
        <f>DT171+DU19</f>
        <v>32605.5</v>
      </c>
      <c r="DV171" s="59">
        <f>DU171+DV19</f>
        <v>32664</v>
      </c>
      <c r="DW171" s="59">
        <f>DV171+DW19</f>
        <v>32722.5</v>
      </c>
      <c r="DX171" s="59">
        <f>DW171+DX19</f>
        <v>32781</v>
      </c>
      <c r="DY171" s="86">
        <f t="shared" si="218"/>
        <v>32781</v>
      </c>
      <c r="DZ171" s="1858"/>
      <c r="EA171" s="1858"/>
      <c r="EB171" s="1858"/>
    </row>
    <row r="172" spans="1:132" x14ac:dyDescent="0.2">
      <c r="A172" s="1944"/>
      <c r="B172" s="1945" t="s">
        <v>408</v>
      </c>
      <c r="C172" s="1949"/>
      <c r="D172" s="1949"/>
      <c r="E172" s="59"/>
      <c r="F172" s="59"/>
      <c r="G172" s="59"/>
      <c r="H172" s="59"/>
      <c r="I172" s="63">
        <v>0</v>
      </c>
      <c r="J172" s="59"/>
      <c r="K172" s="59"/>
      <c r="L172" s="59"/>
      <c r="M172" s="59"/>
      <c r="N172" s="63">
        <v>0</v>
      </c>
      <c r="O172" s="59"/>
      <c r="P172" s="59"/>
      <c r="Q172" s="59"/>
      <c r="R172" s="59"/>
      <c r="S172" s="63">
        <v>0</v>
      </c>
      <c r="T172" s="59"/>
      <c r="U172" s="59"/>
      <c r="V172" s="59"/>
      <c r="W172" s="59"/>
      <c r="X172" s="63">
        <v>0</v>
      </c>
      <c r="Y172" s="59"/>
      <c r="Z172" s="59"/>
      <c r="AA172" s="59"/>
      <c r="AB172" s="59"/>
      <c r="AC172" s="63">
        <v>0</v>
      </c>
      <c r="AD172" s="59"/>
      <c r="AE172" s="59"/>
      <c r="AF172" s="59"/>
      <c r="AG172" s="59"/>
      <c r="AH172" s="63">
        <v>0</v>
      </c>
      <c r="AI172" s="59"/>
      <c r="AJ172" s="59"/>
      <c r="AK172" s="59"/>
      <c r="AL172" s="59"/>
      <c r="AM172" s="63">
        <v>0</v>
      </c>
      <c r="AN172" s="59"/>
      <c r="AO172" s="59"/>
      <c r="AP172" s="59"/>
      <c r="AQ172" s="59"/>
      <c r="AR172" s="381">
        <v>0</v>
      </c>
      <c r="AS172" s="59"/>
      <c r="AT172" s="59"/>
      <c r="AU172" s="59"/>
      <c r="AV172" s="59"/>
      <c r="AW172" s="63">
        <v>0</v>
      </c>
      <c r="AX172" s="59"/>
      <c r="AY172" s="59"/>
      <c r="AZ172" s="59"/>
      <c r="BA172" s="59"/>
      <c r="BB172" s="63">
        <v>0</v>
      </c>
      <c r="BC172" s="60">
        <v>0</v>
      </c>
      <c r="BD172" s="60">
        <v>0</v>
      </c>
      <c r="BE172" s="60">
        <v>0</v>
      </c>
      <c r="BF172" s="60">
        <v>0</v>
      </c>
      <c r="BG172" s="63">
        <v>0</v>
      </c>
      <c r="BH172" s="60">
        <v>-301.3</v>
      </c>
      <c r="BI172" s="60">
        <v>-301.3</v>
      </c>
      <c r="BJ172" s="60">
        <v>-301.3</v>
      </c>
      <c r="BK172" s="60">
        <v>-301.3</v>
      </c>
      <c r="BL172" s="1950">
        <v>-301.3</v>
      </c>
      <c r="BM172" s="60">
        <v>-55.5</v>
      </c>
      <c r="BN172" s="60">
        <v>-55.5</v>
      </c>
      <c r="BO172" s="60">
        <v>-55.5</v>
      </c>
      <c r="BP172" s="60">
        <v>-55.5</v>
      </c>
      <c r="BQ172" s="63">
        <v>-55.5</v>
      </c>
      <c r="BR172" s="60">
        <v>-55.5</v>
      </c>
      <c r="BS172" s="60">
        <v>-55.5</v>
      </c>
      <c r="BT172" s="60">
        <v>-55.5</v>
      </c>
      <c r="BU172" s="60">
        <v>-56</v>
      </c>
      <c r="BV172" s="61">
        <f>BU172</f>
        <v>-56</v>
      </c>
      <c r="BW172" s="60">
        <v>-56</v>
      </c>
      <c r="BX172" s="60">
        <v>-56</v>
      </c>
      <c r="BY172" s="60">
        <v>-56</v>
      </c>
      <c r="BZ172" s="60">
        <v>-56</v>
      </c>
      <c r="CA172" s="61">
        <f t="shared" si="206"/>
        <v>-56</v>
      </c>
      <c r="CB172" s="60">
        <v>-56</v>
      </c>
      <c r="CC172" s="60">
        <v>-56</v>
      </c>
      <c r="CD172" s="60">
        <v>-56</v>
      </c>
      <c r="CE172" s="60">
        <v>-56</v>
      </c>
      <c r="CF172" s="86">
        <f>CE172</f>
        <v>-56</v>
      </c>
      <c r="CG172" s="60">
        <v>-56</v>
      </c>
      <c r="CH172" s="60">
        <v>-56</v>
      </c>
      <c r="CI172" s="60">
        <v>-31</v>
      </c>
      <c r="CJ172" s="60">
        <v>-31</v>
      </c>
      <c r="CK172" s="86">
        <f t="shared" si="208"/>
        <v>-31</v>
      </c>
      <c r="CL172" s="60">
        <v>-31</v>
      </c>
      <c r="CM172" s="60">
        <v>-31</v>
      </c>
      <c r="CN172" s="60">
        <v>-31</v>
      </c>
      <c r="CO172" s="60">
        <v>-31</v>
      </c>
      <c r="CP172" s="86">
        <f>CO172</f>
        <v>-31</v>
      </c>
      <c r="CQ172" s="60">
        <f>CP172</f>
        <v>-31</v>
      </c>
      <c r="CR172" s="60">
        <v>-31</v>
      </c>
      <c r="CS172" s="60">
        <v>-31</v>
      </c>
      <c r="CT172" s="60">
        <v>-31</v>
      </c>
      <c r="CU172" s="1857">
        <f t="shared" si="210"/>
        <v>-31</v>
      </c>
      <c r="CV172" s="59">
        <v>-31</v>
      </c>
      <c r="CW172" s="59">
        <v>-31</v>
      </c>
      <c r="CX172" s="59">
        <v>-31</v>
      </c>
      <c r="CY172" s="59">
        <v>-31</v>
      </c>
      <c r="CZ172" s="86">
        <f t="shared" si="211"/>
        <v>-31</v>
      </c>
      <c r="DA172" s="59">
        <v>-31</v>
      </c>
      <c r="DB172" s="59">
        <v>-31</v>
      </c>
      <c r="DC172" s="59">
        <v>-31</v>
      </c>
      <c r="DD172" s="59">
        <v>-31</v>
      </c>
      <c r="DE172" s="86">
        <f>DD172</f>
        <v>-31</v>
      </c>
      <c r="DF172" s="59">
        <v>-31</v>
      </c>
      <c r="DG172" s="59">
        <v>-31</v>
      </c>
      <c r="DH172" s="59">
        <v>-31</v>
      </c>
      <c r="DI172" s="59">
        <v>-31</v>
      </c>
      <c r="DJ172" s="86">
        <f>DI172</f>
        <v>-31</v>
      </c>
      <c r="DK172" s="59">
        <f t="shared" ref="DK172:DN173" si="225">DJ172</f>
        <v>-31</v>
      </c>
      <c r="DL172" s="59">
        <f t="shared" si="225"/>
        <v>-31</v>
      </c>
      <c r="DM172" s="59">
        <f t="shared" si="225"/>
        <v>-31</v>
      </c>
      <c r="DN172" s="59">
        <f t="shared" si="225"/>
        <v>-31</v>
      </c>
      <c r="DO172" s="86">
        <f t="shared" si="223"/>
        <v>-31</v>
      </c>
      <c r="DP172" s="59">
        <f t="shared" ref="DP172:DS173" si="226">DO172</f>
        <v>-31</v>
      </c>
      <c r="DQ172" s="59">
        <f t="shared" si="226"/>
        <v>-31</v>
      </c>
      <c r="DR172" s="59">
        <f t="shared" si="226"/>
        <v>-31</v>
      </c>
      <c r="DS172" s="59">
        <f t="shared" si="226"/>
        <v>-31</v>
      </c>
      <c r="DT172" s="86">
        <f t="shared" si="224"/>
        <v>-31</v>
      </c>
      <c r="DU172" s="59">
        <f t="shared" ref="DU172:DU173" si="227">DT172</f>
        <v>-31</v>
      </c>
      <c r="DV172" s="59">
        <f t="shared" ref="DV172:DV173" si="228">DU172</f>
        <v>-31</v>
      </c>
      <c r="DW172" s="59">
        <f t="shared" ref="DW172:DW173" si="229">DV172</f>
        <v>-31</v>
      </c>
      <c r="DX172" s="59">
        <f t="shared" ref="DX172:DX173" si="230">DW172</f>
        <v>-31</v>
      </c>
      <c r="DY172" s="86">
        <f t="shared" si="218"/>
        <v>-31</v>
      </c>
      <c r="DZ172" s="1858"/>
      <c r="EA172" s="1858"/>
      <c r="EB172" s="1858"/>
    </row>
    <row r="173" spans="1:132" x14ac:dyDescent="0.2">
      <c r="A173" s="1944"/>
      <c r="B173" s="1945" t="s">
        <v>409</v>
      </c>
      <c r="C173" s="1949"/>
      <c r="D173" s="1949"/>
      <c r="E173" s="59"/>
      <c r="F173" s="59"/>
      <c r="G173" s="59"/>
      <c r="H173" s="59"/>
      <c r="I173" s="63">
        <v>-2.4</v>
      </c>
      <c r="J173" s="59"/>
      <c r="K173" s="59"/>
      <c r="L173" s="59"/>
      <c r="M173" s="59"/>
      <c r="N173" s="63">
        <v>0</v>
      </c>
      <c r="O173" s="59"/>
      <c r="P173" s="59"/>
      <c r="Q173" s="59"/>
      <c r="R173" s="59"/>
      <c r="S173" s="63">
        <v>0</v>
      </c>
      <c r="T173" s="59"/>
      <c r="U173" s="59"/>
      <c r="V173" s="59"/>
      <c r="W173" s="59"/>
      <c r="X173" s="63">
        <v>0</v>
      </c>
      <c r="Y173" s="59"/>
      <c r="Z173" s="59"/>
      <c r="AA173" s="59"/>
      <c r="AB173" s="59"/>
      <c r="AC173" s="63">
        <v>0</v>
      </c>
      <c r="AD173" s="59"/>
      <c r="AE173" s="59"/>
      <c r="AF173" s="59"/>
      <c r="AG173" s="59"/>
      <c r="AH173" s="63">
        <v>0</v>
      </c>
      <c r="AI173" s="59"/>
      <c r="AJ173" s="59"/>
      <c r="AK173" s="59"/>
      <c r="AL173" s="59"/>
      <c r="AM173" s="63">
        <v>-44.6</v>
      </c>
      <c r="AN173" s="59"/>
      <c r="AO173" s="59"/>
      <c r="AP173" s="59"/>
      <c r="AQ173" s="59"/>
      <c r="AR173" s="381">
        <v>-36.9</v>
      </c>
      <c r="AS173" s="59"/>
      <c r="AT173" s="59"/>
      <c r="AU173" s="59"/>
      <c r="AV173" s="59"/>
      <c r="AW173" s="63">
        <v>-55.5</v>
      </c>
      <c r="AX173" s="59"/>
      <c r="AY173" s="59"/>
      <c r="AZ173" s="59"/>
      <c r="BA173" s="59"/>
      <c r="BB173" s="63">
        <v>-90.3</v>
      </c>
      <c r="BC173" s="60">
        <v>-89.6</v>
      </c>
      <c r="BD173" s="60">
        <v>-84.6</v>
      </c>
      <c r="BE173" s="60">
        <v>-91.4</v>
      </c>
      <c r="BF173" s="60">
        <v>-72.599999999999994</v>
      </c>
      <c r="BG173" s="63">
        <v>-72.599999999999994</v>
      </c>
      <c r="BH173" s="60">
        <v>-71.8</v>
      </c>
      <c r="BI173" s="60">
        <v>-70.900000000000006</v>
      </c>
      <c r="BJ173" s="60">
        <v>-70.099999999999994</v>
      </c>
      <c r="BK173" s="60">
        <v>-49.7</v>
      </c>
      <c r="BL173" s="1950">
        <v>-49.7</v>
      </c>
      <c r="BM173" s="60">
        <v>-48.9</v>
      </c>
      <c r="BN173" s="60">
        <v>-48</v>
      </c>
      <c r="BO173" s="60">
        <v>-47.2</v>
      </c>
      <c r="BP173" s="60">
        <v>-142.69999999999999</v>
      </c>
      <c r="BQ173" s="63">
        <v>-142.69999999999999</v>
      </c>
      <c r="BR173" s="60">
        <v>-141.9</v>
      </c>
      <c r="BS173" s="60">
        <v>-141</v>
      </c>
      <c r="BT173" s="60">
        <v>-143.69999999999999</v>
      </c>
      <c r="BU173" s="60">
        <v>-135</v>
      </c>
      <c r="BV173" s="61">
        <f>BU173</f>
        <v>-135</v>
      </c>
      <c r="BW173" s="60">
        <v>-130</v>
      </c>
      <c r="BX173" s="60">
        <v>-133</v>
      </c>
      <c r="BY173" s="62">
        <f>BX173</f>
        <v>-133</v>
      </c>
      <c r="BZ173" s="60">
        <v>-143</v>
      </c>
      <c r="CA173" s="61">
        <f t="shared" si="206"/>
        <v>-143</v>
      </c>
      <c r="CB173" s="60">
        <v>-143</v>
      </c>
      <c r="CC173" s="60">
        <v>-153</v>
      </c>
      <c r="CD173" s="60">
        <v>-152</v>
      </c>
      <c r="CE173" s="60">
        <v>-172</v>
      </c>
      <c r="CF173" s="86">
        <f>CE173</f>
        <v>-172</v>
      </c>
      <c r="CG173" s="60">
        <f>CF173</f>
        <v>-172</v>
      </c>
      <c r="CH173" s="60">
        <v>-171</v>
      </c>
      <c r="CI173" s="60">
        <v>-170</v>
      </c>
      <c r="CJ173" s="60">
        <v>-181</v>
      </c>
      <c r="CK173" s="86">
        <f t="shared" si="208"/>
        <v>-181</v>
      </c>
      <c r="CL173" s="60">
        <v>-182</v>
      </c>
      <c r="CM173" s="60">
        <v>-198</v>
      </c>
      <c r="CN173" s="60">
        <v>-194</v>
      </c>
      <c r="CO173" s="60">
        <v>-149</v>
      </c>
      <c r="CP173" s="86">
        <f>CO173</f>
        <v>-149</v>
      </c>
      <c r="CQ173" s="60">
        <v>-139</v>
      </c>
      <c r="CR173" s="60">
        <v>-132</v>
      </c>
      <c r="CS173" s="60">
        <v>-160</v>
      </c>
      <c r="CT173" s="60">
        <v>-217</v>
      </c>
      <c r="CU173" s="1857">
        <f t="shared" si="210"/>
        <v>-217</v>
      </c>
      <c r="CV173" s="59">
        <v>-264</v>
      </c>
      <c r="CW173" s="59">
        <v>-255</v>
      </c>
      <c r="CX173" s="59">
        <v>-316</v>
      </c>
      <c r="CY173" s="59">
        <v>-358</v>
      </c>
      <c r="CZ173" s="86">
        <f t="shared" si="211"/>
        <v>-358</v>
      </c>
      <c r="DA173" s="59">
        <v>-339</v>
      </c>
      <c r="DB173" s="59">
        <v>-317</v>
      </c>
      <c r="DC173" s="59">
        <v>-319</v>
      </c>
      <c r="DD173" s="59">
        <v>-305</v>
      </c>
      <c r="DE173" s="86">
        <f>DD173</f>
        <v>-305</v>
      </c>
      <c r="DF173" s="59">
        <v>-296</v>
      </c>
      <c r="DG173" s="59">
        <v>-306</v>
      </c>
      <c r="DH173" s="59">
        <v>-147</v>
      </c>
      <c r="DI173" s="59">
        <v>-165</v>
      </c>
      <c r="DJ173" s="86">
        <f>DI173</f>
        <v>-165</v>
      </c>
      <c r="DK173" s="59">
        <f t="shared" si="225"/>
        <v>-165</v>
      </c>
      <c r="DL173" s="59">
        <f t="shared" si="225"/>
        <v>-165</v>
      </c>
      <c r="DM173" s="59">
        <f t="shared" si="225"/>
        <v>-165</v>
      </c>
      <c r="DN173" s="59">
        <f t="shared" si="225"/>
        <v>-165</v>
      </c>
      <c r="DO173" s="86">
        <f t="shared" si="223"/>
        <v>-165</v>
      </c>
      <c r="DP173" s="59">
        <f t="shared" si="226"/>
        <v>-165</v>
      </c>
      <c r="DQ173" s="59">
        <f t="shared" si="226"/>
        <v>-165</v>
      </c>
      <c r="DR173" s="59">
        <f t="shared" si="226"/>
        <v>-165</v>
      </c>
      <c r="DS173" s="59">
        <f t="shared" si="226"/>
        <v>-165</v>
      </c>
      <c r="DT173" s="86">
        <f t="shared" si="224"/>
        <v>-165</v>
      </c>
      <c r="DU173" s="59">
        <f t="shared" si="227"/>
        <v>-165</v>
      </c>
      <c r="DV173" s="59">
        <f t="shared" si="228"/>
        <v>-165</v>
      </c>
      <c r="DW173" s="59">
        <f t="shared" si="229"/>
        <v>-165</v>
      </c>
      <c r="DX173" s="59">
        <f t="shared" si="230"/>
        <v>-165</v>
      </c>
      <c r="DY173" s="86">
        <f t="shared" si="218"/>
        <v>-165</v>
      </c>
      <c r="DZ173" s="1858"/>
      <c r="EA173" s="1858"/>
      <c r="EB173" s="1858"/>
    </row>
    <row r="174" spans="1:132" x14ac:dyDescent="0.2">
      <c r="A174" s="1944"/>
      <c r="B174" s="1945" t="s">
        <v>410</v>
      </c>
      <c r="C174" s="1949"/>
      <c r="D174" s="1949"/>
      <c r="E174" s="59"/>
      <c r="F174" s="59"/>
      <c r="G174" s="59"/>
      <c r="H174" s="59"/>
      <c r="I174" s="63">
        <v>1587.8</v>
      </c>
      <c r="J174" s="59"/>
      <c r="K174" s="59"/>
      <c r="L174" s="59"/>
      <c r="M174" s="59"/>
      <c r="N174" s="63">
        <v>1727</v>
      </c>
      <c r="O174" s="59"/>
      <c r="P174" s="59"/>
      <c r="Q174" s="59"/>
      <c r="R174" s="59"/>
      <c r="S174" s="63">
        <v>2021.1</v>
      </c>
      <c r="T174" s="59"/>
      <c r="U174" s="59"/>
      <c r="V174" s="59"/>
      <c r="W174" s="59"/>
      <c r="X174" s="63">
        <v>2543.5</v>
      </c>
      <c r="Y174" s="59"/>
      <c r="Z174" s="59"/>
      <c r="AA174" s="59"/>
      <c r="AB174" s="59"/>
      <c r="AC174" s="63">
        <v>3184.7</v>
      </c>
      <c r="AD174" s="59"/>
      <c r="AE174" s="59"/>
      <c r="AF174" s="59"/>
      <c r="AG174" s="59"/>
      <c r="AH174" s="63">
        <v>3492.7</v>
      </c>
      <c r="AI174" s="59"/>
      <c r="AJ174" s="59"/>
      <c r="AK174" s="59"/>
      <c r="AL174" s="59"/>
      <c r="AM174" s="63">
        <v>4104.3999999999996</v>
      </c>
      <c r="AN174" s="59"/>
      <c r="AO174" s="59"/>
      <c r="AP174" s="59"/>
      <c r="AQ174" s="59"/>
      <c r="AR174" s="381">
        <v>4846.5</v>
      </c>
      <c r="AS174" s="59"/>
      <c r="AT174" s="59"/>
      <c r="AU174" s="59"/>
      <c r="AV174" s="59"/>
      <c r="AW174" s="63">
        <v>5645.5</v>
      </c>
      <c r="AX174" s="59"/>
      <c r="AY174" s="59"/>
      <c r="AZ174" s="59"/>
      <c r="BA174" s="59"/>
      <c r="BB174" s="63">
        <v>6738.6</v>
      </c>
      <c r="BC174" s="60">
        <v>7036.6</v>
      </c>
      <c r="BD174" s="60">
        <v>7342.8</v>
      </c>
      <c r="BE174" s="60">
        <v>7595.2</v>
      </c>
      <c r="BF174" s="60">
        <v>7966.6</v>
      </c>
      <c r="BG174" s="63">
        <v>7966.6</v>
      </c>
      <c r="BH174" s="60">
        <v>8341</v>
      </c>
      <c r="BI174" s="60">
        <v>8972.5</v>
      </c>
      <c r="BJ174" s="60">
        <v>9573.7999999999993</v>
      </c>
      <c r="BK174" s="60">
        <v>10287</v>
      </c>
      <c r="BL174" s="1950">
        <v>10287</v>
      </c>
      <c r="BM174" s="60">
        <v>10919.7</v>
      </c>
      <c r="BN174" s="60">
        <v>11608.3</v>
      </c>
      <c r="BO174" s="60">
        <v>12245.7</v>
      </c>
      <c r="BP174" s="60">
        <v>13097.8</v>
      </c>
      <c r="BQ174" s="63">
        <v>13097.8</v>
      </c>
      <c r="BR174" s="60">
        <v>13726.5</v>
      </c>
      <c r="BS174" s="60">
        <v>14501.4</v>
      </c>
      <c r="BT174" s="60">
        <v>15412.7</v>
      </c>
      <c r="BU174" s="60">
        <v>16355</v>
      </c>
      <c r="BV174" s="61">
        <f>BU174</f>
        <v>16355</v>
      </c>
      <c r="BW174" s="60">
        <v>17004</v>
      </c>
      <c r="BX174" s="60">
        <v>17705</v>
      </c>
      <c r="BY174" s="60">
        <v>18396</v>
      </c>
      <c r="BZ174" s="62">
        <f>BY174+'BS and CFS'!BZ8+'BS and CFS'!BZ58</f>
        <v>19302</v>
      </c>
      <c r="CA174" s="61">
        <f t="shared" si="206"/>
        <v>19302</v>
      </c>
      <c r="CB174" s="60">
        <v>19845</v>
      </c>
      <c r="CC174" s="60">
        <v>20491</v>
      </c>
      <c r="CD174" s="60">
        <v>21192</v>
      </c>
      <c r="CE174" s="60">
        <v>22090</v>
      </c>
      <c r="CF174" s="86">
        <f>CE174</f>
        <v>22090</v>
      </c>
      <c r="CG174" s="60">
        <v>22566</v>
      </c>
      <c r="CH174" s="60">
        <v>23324</v>
      </c>
      <c r="CI174" s="60">
        <v>24123</v>
      </c>
      <c r="CJ174" s="60">
        <v>25049</v>
      </c>
      <c r="CK174" s="86">
        <f t="shared" si="208"/>
        <v>25049</v>
      </c>
      <c r="CL174" s="60">
        <v>25728</v>
      </c>
      <c r="CM174" s="60">
        <v>26573</v>
      </c>
      <c r="CN174" s="60">
        <v>27551</v>
      </c>
      <c r="CO174" s="60">
        <v>28493</v>
      </c>
      <c r="CP174" s="86">
        <f>CO174</f>
        <v>28493</v>
      </c>
      <c r="CQ174" s="60">
        <v>29297</v>
      </c>
      <c r="CR174" s="60">
        <v>30221</v>
      </c>
      <c r="CS174" s="60">
        <v>30845</v>
      </c>
      <c r="CT174" s="60">
        <v>31849</v>
      </c>
      <c r="CU174" s="1857">
        <f t="shared" si="210"/>
        <v>31849</v>
      </c>
      <c r="CV174" s="59">
        <v>32667</v>
      </c>
      <c r="CW174" s="59">
        <v>33544</v>
      </c>
      <c r="CX174" s="59">
        <v>34398</v>
      </c>
      <c r="CY174" s="59">
        <v>35506</v>
      </c>
      <c r="CZ174" s="86">
        <f t="shared" si="211"/>
        <v>35506</v>
      </c>
      <c r="DA174" s="59">
        <v>36182</v>
      </c>
      <c r="DB174" s="59">
        <v>36647</v>
      </c>
      <c r="DC174" s="59">
        <v>37732</v>
      </c>
      <c r="DD174" s="59">
        <v>38983</v>
      </c>
      <c r="DE174" s="86">
        <f>DD174</f>
        <v>38983</v>
      </c>
      <c r="DF174" s="59">
        <v>39419</v>
      </c>
      <c r="DG174" s="59">
        <v>40005</v>
      </c>
      <c r="DH174" s="59">
        <v>40779</v>
      </c>
      <c r="DI174" s="59">
        <v>43556</v>
      </c>
      <c r="DJ174" s="86">
        <f>DI174</f>
        <v>43556</v>
      </c>
      <c r="DK174" s="59">
        <f ca="1">DJ174+'BS and CFS'!DK8+'BS and CFS'!DK58</f>
        <v>44135.930303805617</v>
      </c>
      <c r="DL174" s="59">
        <f ca="1">DK174+'BS and CFS'!DL8+'BS and CFS'!DL58</f>
        <v>44723.617225152055</v>
      </c>
      <c r="DM174" s="59">
        <f ca="1">DL174+'BS and CFS'!DM8+'BS and CFS'!DM58</f>
        <v>45459.154138035599</v>
      </c>
      <c r="DN174" s="59">
        <f ca="1">DM174+'BS and CFS'!DN8+'BS and CFS'!DN58</f>
        <v>46536.333293104806</v>
      </c>
      <c r="DO174" s="86">
        <f t="shared" ca="1" si="223"/>
        <v>46536.333293104806</v>
      </c>
      <c r="DP174" s="59">
        <f ca="1">DO174+'BS and CFS'!DP8+'BS and CFS'!DP58</f>
        <v>46844.907374693954</v>
      </c>
      <c r="DQ174" s="59">
        <f ca="1">DP174+'BS and CFS'!DQ8+'BS and CFS'!DQ58</f>
        <v>47347.147579404424</v>
      </c>
      <c r="DR174" s="59">
        <f ca="1">DQ174+'BS and CFS'!DR8+'BS and CFS'!DR58</f>
        <v>47973.968449954285</v>
      </c>
      <c r="DS174" s="59">
        <f ca="1">DR174+'BS and CFS'!DS8+'BS and CFS'!DS58</f>
        <v>48958.138770588936</v>
      </c>
      <c r="DT174" s="86">
        <f t="shared" ca="1" si="224"/>
        <v>48958.138770588936</v>
      </c>
      <c r="DU174" s="59">
        <f ca="1">DT174+'BS and CFS'!DU8+'BS and CFS'!DU58</f>
        <v>49130.029477400298</v>
      </c>
      <c r="DV174" s="59">
        <f ca="1">DU174+'BS and CFS'!DV8+'BS and CFS'!DV58</f>
        <v>49508.662194237862</v>
      </c>
      <c r="DW174" s="59">
        <f ca="1">DV174+'BS and CFS'!DW8+'BS and CFS'!DW58</f>
        <v>50021.765283748238</v>
      </c>
      <c r="DX174" s="59">
        <f ca="1">DW174+'BS and CFS'!DX8+'BS and CFS'!DX58</f>
        <v>50895.566756138833</v>
      </c>
      <c r="DY174" s="86">
        <f t="shared" ca="1" si="218"/>
        <v>50895.566756138833</v>
      </c>
      <c r="DZ174" s="1858"/>
      <c r="EA174" s="1858"/>
      <c r="EB174" s="1858"/>
    </row>
    <row r="175" spans="1:132" x14ac:dyDescent="0.2">
      <c r="A175" s="1944"/>
      <c r="B175" s="1945" t="s">
        <v>2</v>
      </c>
      <c r="C175" s="1949"/>
      <c r="D175" s="1949"/>
      <c r="E175" s="59"/>
      <c r="F175" s="59"/>
      <c r="G175" s="59"/>
      <c r="H175" s="59"/>
      <c r="I175" s="63"/>
      <c r="J175" s="59"/>
      <c r="K175" s="59"/>
      <c r="L175" s="59"/>
      <c r="M175" s="59"/>
      <c r="N175" s="63"/>
      <c r="O175" s="59"/>
      <c r="P175" s="59"/>
      <c r="Q175" s="59"/>
      <c r="R175" s="59"/>
      <c r="S175" s="63"/>
      <c r="T175" s="59"/>
      <c r="U175" s="59"/>
      <c r="V175" s="59"/>
      <c r="W175" s="59"/>
      <c r="X175" s="63"/>
      <c r="Y175" s="59"/>
      <c r="Z175" s="59"/>
      <c r="AA175" s="59"/>
      <c r="AB175" s="59"/>
      <c r="AC175" s="63"/>
      <c r="AD175" s="59"/>
      <c r="AE175" s="59"/>
      <c r="AF175" s="59"/>
      <c r="AG175" s="59"/>
      <c r="AH175" s="63"/>
      <c r="AI175" s="59"/>
      <c r="AJ175" s="59"/>
      <c r="AK175" s="59"/>
      <c r="AL175" s="59"/>
      <c r="AM175" s="63"/>
      <c r="AN175" s="59"/>
      <c r="AO175" s="59"/>
      <c r="AP175" s="59"/>
      <c r="AQ175" s="59"/>
      <c r="AR175" s="381"/>
      <c r="AS175" s="59"/>
      <c r="AT175" s="59"/>
      <c r="AU175" s="59"/>
      <c r="AV175" s="59"/>
      <c r="AW175" s="63"/>
      <c r="AX175" s="59"/>
      <c r="AY175" s="59"/>
      <c r="AZ175" s="59"/>
      <c r="BA175" s="59"/>
      <c r="BB175" s="63"/>
      <c r="BC175" s="60"/>
      <c r="BD175" s="60"/>
      <c r="BE175" s="60"/>
      <c r="BF175" s="60"/>
      <c r="BG175" s="63"/>
      <c r="BH175" s="60"/>
      <c r="BI175" s="60"/>
      <c r="BJ175" s="60"/>
      <c r="BK175" s="60"/>
      <c r="BL175" s="1950"/>
      <c r="BM175" s="60"/>
      <c r="BN175" s="60"/>
      <c r="BO175" s="60"/>
      <c r="BP175" s="60"/>
      <c r="BQ175" s="63"/>
      <c r="BR175" s="60"/>
      <c r="BS175" s="60"/>
      <c r="BT175" s="60"/>
      <c r="BU175" s="60"/>
      <c r="BV175" s="61"/>
      <c r="BW175" s="60"/>
      <c r="BX175" s="60"/>
      <c r="BY175" s="60"/>
      <c r="BZ175" s="62"/>
      <c r="CA175" s="61"/>
      <c r="CB175" s="60"/>
      <c r="CC175" s="60"/>
      <c r="CD175" s="60"/>
      <c r="CE175" s="60"/>
      <c r="CF175" s="86"/>
      <c r="CG175" s="60"/>
      <c r="CH175" s="60"/>
      <c r="CI175" s="60"/>
      <c r="CJ175" s="60"/>
      <c r="CK175" s="86"/>
      <c r="CL175" s="60"/>
      <c r="CM175" s="60"/>
      <c r="CN175" s="60"/>
      <c r="CO175" s="60"/>
      <c r="CP175" s="86"/>
      <c r="CQ175" s="60"/>
      <c r="CR175" s="60">
        <v>2</v>
      </c>
      <c r="CS175" s="60">
        <v>5</v>
      </c>
      <c r="CT175" s="60">
        <v>5</v>
      </c>
      <c r="CU175" s="1857">
        <f t="shared" si="210"/>
        <v>5</v>
      </c>
      <c r="CV175" s="60">
        <v>5</v>
      </c>
      <c r="CW175" s="60">
        <v>6</v>
      </c>
      <c r="CX175" s="60">
        <v>6</v>
      </c>
      <c r="CY175" s="60">
        <v>7</v>
      </c>
      <c r="CZ175" s="86">
        <f t="shared" ref="CZ175:DJ175" si="231">CY175</f>
        <v>7</v>
      </c>
      <c r="DA175" s="60">
        <v>6</v>
      </c>
      <c r="DB175" s="60">
        <v>6</v>
      </c>
      <c r="DC175" s="60">
        <v>5</v>
      </c>
      <c r="DD175" s="60">
        <v>4</v>
      </c>
      <c r="DE175" s="86">
        <f t="shared" si="231"/>
        <v>4</v>
      </c>
      <c r="DF175" s="60">
        <v>5</v>
      </c>
      <c r="DG175" s="60">
        <v>5</v>
      </c>
      <c r="DH175" s="60">
        <v>5</v>
      </c>
      <c r="DI175" s="60">
        <v>4</v>
      </c>
      <c r="DJ175" s="86">
        <f t="shared" si="231"/>
        <v>4</v>
      </c>
      <c r="DK175" s="59">
        <f>DJ175</f>
        <v>4</v>
      </c>
      <c r="DL175" s="59">
        <f>DK175</f>
        <v>4</v>
      </c>
      <c r="DM175" s="59">
        <f>DL175</f>
        <v>4</v>
      </c>
      <c r="DN175" s="59">
        <f>DM175</f>
        <v>4</v>
      </c>
      <c r="DO175" s="86">
        <f t="shared" si="223"/>
        <v>4</v>
      </c>
      <c r="DP175" s="59">
        <f>DO175</f>
        <v>4</v>
      </c>
      <c r="DQ175" s="59">
        <f>DP175</f>
        <v>4</v>
      </c>
      <c r="DR175" s="59">
        <f>DQ175</f>
        <v>4</v>
      </c>
      <c r="DS175" s="59">
        <f>DR175</f>
        <v>4</v>
      </c>
      <c r="DT175" s="86">
        <f t="shared" si="224"/>
        <v>4</v>
      </c>
      <c r="DU175" s="59">
        <f>DT175</f>
        <v>4</v>
      </c>
      <c r="DV175" s="59">
        <f>DU175</f>
        <v>4</v>
      </c>
      <c r="DW175" s="59">
        <f>DV175</f>
        <v>4</v>
      </c>
      <c r="DX175" s="59">
        <f>DW175</f>
        <v>4</v>
      </c>
      <c r="DY175" s="86">
        <f t="shared" si="218"/>
        <v>4</v>
      </c>
      <c r="DZ175" s="1858"/>
      <c r="EA175" s="1858"/>
      <c r="EB175" s="1858"/>
    </row>
    <row r="176" spans="1:132" x14ac:dyDescent="0.2">
      <c r="A176" s="1944"/>
      <c r="B176" s="1945" t="s">
        <v>411</v>
      </c>
      <c r="C176" s="1949"/>
      <c r="D176" s="1949"/>
      <c r="E176" s="59"/>
      <c r="F176" s="59"/>
      <c r="G176" s="59"/>
      <c r="H176" s="59"/>
      <c r="I176" s="63">
        <v>-273.10000000000002</v>
      </c>
      <c r="J176" s="59"/>
      <c r="K176" s="59"/>
      <c r="L176" s="59"/>
      <c r="M176" s="59"/>
      <c r="N176" s="63">
        <v>-262.89999999999998</v>
      </c>
      <c r="O176" s="59"/>
      <c r="P176" s="59"/>
      <c r="Q176" s="59"/>
      <c r="R176" s="59"/>
      <c r="S176" s="63">
        <v>-260.2</v>
      </c>
      <c r="T176" s="59"/>
      <c r="U176" s="59"/>
      <c r="V176" s="59"/>
      <c r="W176" s="59"/>
      <c r="X176" s="63">
        <v>-258.5</v>
      </c>
      <c r="Y176" s="59"/>
      <c r="Z176" s="59"/>
      <c r="AA176" s="59"/>
      <c r="AB176" s="59"/>
      <c r="AC176" s="63">
        <v>-404.9</v>
      </c>
      <c r="AD176" s="59"/>
      <c r="AE176" s="59"/>
      <c r="AF176" s="59"/>
      <c r="AG176" s="59"/>
      <c r="AH176" s="63">
        <v>-510.8</v>
      </c>
      <c r="AI176" s="59"/>
      <c r="AJ176" s="59"/>
      <c r="AK176" s="59"/>
      <c r="AL176" s="59"/>
      <c r="AM176" s="63">
        <v>-469.5</v>
      </c>
      <c r="AN176" s="59"/>
      <c r="AO176" s="59"/>
      <c r="AP176" s="59"/>
      <c r="AQ176" s="59"/>
      <c r="AR176" s="381">
        <v>-428.6</v>
      </c>
      <c r="AS176" s="59"/>
      <c r="AT176" s="59"/>
      <c r="AU176" s="59"/>
      <c r="AV176" s="59"/>
      <c r="AW176" s="63">
        <v>-385.9</v>
      </c>
      <c r="AX176" s="59"/>
      <c r="AY176" s="59"/>
      <c r="AZ176" s="59"/>
      <c r="BA176" s="59"/>
      <c r="BB176" s="63">
        <v>-356.5</v>
      </c>
      <c r="BC176" s="60">
        <v>-340.5</v>
      </c>
      <c r="BD176" s="60">
        <v>-337.1</v>
      </c>
      <c r="BE176" s="60">
        <v>-319.5</v>
      </c>
      <c r="BF176" s="60">
        <v>-314.5</v>
      </c>
      <c r="BG176" s="63">
        <v>-314.5</v>
      </c>
      <c r="BH176" s="60">
        <v>-305.2</v>
      </c>
      <c r="BI176" s="60">
        <v>-3168.4</v>
      </c>
      <c r="BJ176" s="60">
        <v>-3125.7</v>
      </c>
      <c r="BK176" s="60">
        <v>-5620.4</v>
      </c>
      <c r="BL176" s="1950">
        <v>-5620.4</v>
      </c>
      <c r="BM176" s="60">
        <v>-5854.6</v>
      </c>
      <c r="BN176" s="60">
        <v>-5869.6</v>
      </c>
      <c r="BO176" s="60">
        <v>-5824.4</v>
      </c>
      <c r="BP176" s="60">
        <v>-5812.3</v>
      </c>
      <c r="BQ176" s="63">
        <v>-5812.3</v>
      </c>
      <c r="BR176" s="60">
        <v>-5180.8999999999996</v>
      </c>
      <c r="BS176" s="60">
        <v>-5182.5</v>
      </c>
      <c r="BT176" s="60">
        <v>-6669.1</v>
      </c>
      <c r="BU176" s="60">
        <v>-7610</v>
      </c>
      <c r="BV176" s="61">
        <f>BU176</f>
        <v>-7610</v>
      </c>
      <c r="BW176" s="60">
        <v>-8454</v>
      </c>
      <c r="BX176" s="60">
        <v>-9073</v>
      </c>
      <c r="BY176" s="60">
        <v>-9029</v>
      </c>
      <c r="BZ176" s="62">
        <f>BY176+'BS and CFS'!BZ59</f>
        <v>-9029</v>
      </c>
      <c r="CA176" s="61">
        <f t="shared" si="206"/>
        <v>-9029</v>
      </c>
      <c r="CB176" s="60">
        <v>-9449</v>
      </c>
      <c r="CC176" s="60">
        <v>-9956</v>
      </c>
      <c r="CD176" s="60">
        <v>-11500</v>
      </c>
      <c r="CE176" s="60">
        <v>-11953</v>
      </c>
      <c r="CF176" s="86">
        <f>CE176</f>
        <v>-11953</v>
      </c>
      <c r="CG176" s="60">
        <v>-12752</v>
      </c>
      <c r="CH176" s="60">
        <v>-13945</v>
      </c>
      <c r="CI176" s="60">
        <v>-15937</v>
      </c>
      <c r="CJ176" s="60">
        <v>-16270</v>
      </c>
      <c r="CK176" s="86">
        <f>CJ176</f>
        <v>-16270</v>
      </c>
      <c r="CL176" s="60">
        <v>-16625</v>
      </c>
      <c r="CM176" s="60">
        <v>-16987</v>
      </c>
      <c r="CN176" s="60">
        <v>-18462</v>
      </c>
      <c r="CO176" s="60">
        <v>-20169</v>
      </c>
      <c r="CP176" s="86">
        <f>CO176</f>
        <v>-20169</v>
      </c>
      <c r="CQ176" s="60">
        <v>-20919</v>
      </c>
      <c r="CR176" s="60">
        <v>-22131</v>
      </c>
      <c r="CS176" s="60">
        <v>-22877</v>
      </c>
      <c r="CT176" s="60">
        <v>-24078</v>
      </c>
      <c r="CU176" s="1857">
        <f t="shared" si="210"/>
        <v>-24078</v>
      </c>
      <c r="CV176" s="59">
        <v>-25634</v>
      </c>
      <c r="CW176" s="59">
        <v>-26988</v>
      </c>
      <c r="CX176" s="59">
        <v>-27899</v>
      </c>
      <c r="CY176" s="59">
        <v>-28886</v>
      </c>
      <c r="CZ176" s="86">
        <f>CY176</f>
        <v>-28886</v>
      </c>
      <c r="DA176" s="59">
        <v>-31058</v>
      </c>
      <c r="DB176" s="59">
        <v>-33010</v>
      </c>
      <c r="DC176" s="59">
        <v>-32991</v>
      </c>
      <c r="DD176" s="59">
        <v>-33452</v>
      </c>
      <c r="DE176" s="86">
        <f>DD176</f>
        <v>-33452</v>
      </c>
      <c r="DF176" s="59">
        <v>-36306</v>
      </c>
      <c r="DG176" s="59">
        <v>-37414</v>
      </c>
      <c r="DH176" s="59">
        <v>-37764</v>
      </c>
      <c r="DI176" s="59">
        <v>-37765</v>
      </c>
      <c r="DJ176" s="86">
        <f>DI176</f>
        <v>-37765</v>
      </c>
      <c r="DK176" s="59">
        <f>DJ176+'BS and CFS'!DK59</f>
        <v>-37765</v>
      </c>
      <c r="DL176" s="59">
        <f>DK176+'BS and CFS'!DL59</f>
        <v>-37765</v>
      </c>
      <c r="DM176" s="59">
        <f>DL176+'BS and CFS'!DM59</f>
        <v>-37765</v>
      </c>
      <c r="DN176" s="59">
        <f>DM176+'BS and CFS'!DN59</f>
        <v>-37765</v>
      </c>
      <c r="DO176" s="86">
        <f t="shared" si="223"/>
        <v>-37765</v>
      </c>
      <c r="DP176" s="59">
        <f>DO176+'BS and CFS'!DP59</f>
        <v>-37765</v>
      </c>
      <c r="DQ176" s="59">
        <f>DP176+'BS and CFS'!DQ59</f>
        <v>-37765</v>
      </c>
      <c r="DR176" s="59">
        <f>DQ176+'BS and CFS'!DR59</f>
        <v>-37765</v>
      </c>
      <c r="DS176" s="59">
        <f>DR176+'BS and CFS'!DS59</f>
        <v>-37765</v>
      </c>
      <c r="DT176" s="86">
        <f t="shared" si="224"/>
        <v>-37765</v>
      </c>
      <c r="DU176" s="59">
        <f>DT176+'BS and CFS'!DU59</f>
        <v>-37765</v>
      </c>
      <c r="DV176" s="59">
        <f>DU176+'BS and CFS'!DV59</f>
        <v>-37765</v>
      </c>
      <c r="DW176" s="59">
        <f>DV176+'BS and CFS'!DW59</f>
        <v>-37765</v>
      </c>
      <c r="DX176" s="59">
        <f>DW176+'BS and CFS'!DX59</f>
        <v>-37765</v>
      </c>
      <c r="DY176" s="86">
        <f t="shared" si="218"/>
        <v>-37765</v>
      </c>
      <c r="DZ176" s="1858"/>
      <c r="EA176" s="1858"/>
      <c r="EB176" s="1858"/>
    </row>
    <row r="177" spans="1:132" ht="6" customHeight="1" x14ac:dyDescent="0.2">
      <c r="A177" s="1944"/>
      <c r="B177" s="1945"/>
      <c r="C177" s="1951"/>
      <c r="D177" s="1952"/>
      <c r="E177" s="66"/>
      <c r="F177" s="66"/>
      <c r="G177" s="66"/>
      <c r="H177" s="66"/>
      <c r="I177" s="90"/>
      <c r="J177" s="66"/>
      <c r="K177" s="66"/>
      <c r="L177" s="66"/>
      <c r="M177" s="66"/>
      <c r="N177" s="90"/>
      <c r="O177" s="66"/>
      <c r="P177" s="66"/>
      <c r="Q177" s="66"/>
      <c r="R177" s="66"/>
      <c r="S177" s="90"/>
      <c r="T177" s="66"/>
      <c r="U177" s="66"/>
      <c r="V177" s="66"/>
      <c r="W177" s="66"/>
      <c r="X177" s="90"/>
      <c r="Y177" s="66"/>
      <c r="Z177" s="66"/>
      <c r="AA177" s="66"/>
      <c r="AB177" s="66"/>
      <c r="AC177" s="90"/>
      <c r="AD177" s="66"/>
      <c r="AE177" s="66"/>
      <c r="AF177" s="66"/>
      <c r="AG177" s="66"/>
      <c r="AH177" s="90"/>
      <c r="AI177" s="66"/>
      <c r="AJ177" s="66"/>
      <c r="AK177" s="66"/>
      <c r="AL177" s="66"/>
      <c r="AM177" s="90"/>
      <c r="AN177" s="66"/>
      <c r="AO177" s="66"/>
      <c r="AP177" s="66"/>
      <c r="AQ177" s="66"/>
      <c r="AR177" s="90"/>
      <c r="AS177" s="66"/>
      <c r="AT177" s="66"/>
      <c r="AU177" s="66"/>
      <c r="AV177" s="66"/>
      <c r="AW177" s="90"/>
      <c r="AX177" s="66"/>
      <c r="AY177" s="66"/>
      <c r="AZ177" s="66"/>
      <c r="BA177" s="66"/>
      <c r="BB177" s="90"/>
      <c r="BC177" s="66"/>
      <c r="BD177" s="66"/>
      <c r="BE177" s="66"/>
      <c r="BF177" s="66"/>
      <c r="BG177" s="90"/>
      <c r="BH177" s="66"/>
      <c r="BI177" s="66"/>
      <c r="BJ177" s="66"/>
      <c r="BK177" s="66"/>
      <c r="BL177" s="90"/>
      <c r="BM177" s="66"/>
      <c r="BN177" s="66"/>
      <c r="BO177" s="66"/>
      <c r="BP177" s="66"/>
      <c r="BQ177" s="90"/>
      <c r="BR177" s="66"/>
      <c r="BS177" s="66"/>
      <c r="BT177" s="66"/>
      <c r="BU177" s="66"/>
      <c r="BV177" s="90"/>
      <c r="BW177" s="66"/>
      <c r="BX177" s="66"/>
      <c r="BY177" s="66"/>
      <c r="BZ177" s="66"/>
      <c r="CA177" s="90"/>
      <c r="CB177" s="66"/>
      <c r="CC177" s="66"/>
      <c r="CD177" s="66"/>
      <c r="CE177" s="66"/>
      <c r="CF177" s="90"/>
      <c r="CG177" s="66"/>
      <c r="CH177" s="66"/>
      <c r="CI177" s="66"/>
      <c r="CJ177" s="66"/>
      <c r="CK177" s="90"/>
      <c r="CL177" s="66"/>
      <c r="CM177" s="66"/>
      <c r="CN177" s="66"/>
      <c r="CO177" s="66"/>
      <c r="CP177" s="90"/>
      <c r="CQ177" s="66"/>
      <c r="CR177" s="66"/>
      <c r="CS177" s="66"/>
      <c r="CT177" s="66"/>
      <c r="CU177" s="90"/>
      <c r="CV177" s="66"/>
      <c r="CW177" s="66"/>
      <c r="CX177" s="66"/>
      <c r="CY177" s="66"/>
      <c r="CZ177" s="90"/>
      <c r="DA177" s="66"/>
      <c r="DB177" s="66"/>
      <c r="DC177" s="66"/>
      <c r="DD177" s="66"/>
      <c r="DE177" s="90"/>
      <c r="DF177" s="66"/>
      <c r="DG177" s="66"/>
      <c r="DH177" s="66"/>
      <c r="DI177" s="66"/>
      <c r="DJ177" s="90"/>
      <c r="DK177" s="66"/>
      <c r="DL177" s="66"/>
      <c r="DM177" s="66"/>
      <c r="DN177" s="66"/>
      <c r="DO177" s="90"/>
      <c r="DP177" s="66"/>
      <c r="DQ177" s="66"/>
      <c r="DR177" s="66"/>
      <c r="DS177" s="66"/>
      <c r="DT177" s="90"/>
      <c r="DU177" s="66"/>
      <c r="DV177" s="66"/>
      <c r="DW177" s="66"/>
      <c r="DX177" s="66"/>
      <c r="DY177" s="90"/>
      <c r="DZ177" s="1858"/>
      <c r="EA177" s="1858"/>
      <c r="EB177" s="1858"/>
    </row>
    <row r="178" spans="1:132" x14ac:dyDescent="0.2">
      <c r="A178" s="1869"/>
      <c r="B178" s="382" t="s">
        <v>414</v>
      </c>
      <c r="C178" s="383"/>
      <c r="D178" s="376"/>
      <c r="E178" s="376"/>
      <c r="F178" s="376"/>
      <c r="G178" s="376"/>
      <c r="H178" s="376"/>
      <c r="I178" s="377">
        <f>SUM(I167:I176)</f>
        <v>2196.4</v>
      </c>
      <c r="J178" s="376"/>
      <c r="K178" s="376"/>
      <c r="L178" s="376"/>
      <c r="M178" s="376"/>
      <c r="N178" s="377">
        <f>SUM(N167:N176)</f>
        <v>2614.4</v>
      </c>
      <c r="O178" s="376"/>
      <c r="P178" s="376"/>
      <c r="Q178" s="376"/>
      <c r="R178" s="376"/>
      <c r="S178" s="377">
        <f>SUM(S167:S176)</f>
        <v>3110.6000000000004</v>
      </c>
      <c r="T178" s="376"/>
      <c r="U178" s="376"/>
      <c r="V178" s="376"/>
      <c r="W178" s="376"/>
      <c r="X178" s="377">
        <f>SUM(X167:X176)</f>
        <v>3679.7</v>
      </c>
      <c r="Y178" s="376"/>
      <c r="Z178" s="376"/>
      <c r="AA178" s="376"/>
      <c r="AB178" s="376"/>
      <c r="AC178" s="377">
        <f>SUM(AC167:AC176)</f>
        <v>4304.6000000000004</v>
      </c>
      <c r="AD178" s="376"/>
      <c r="AE178" s="376"/>
      <c r="AF178" s="376"/>
      <c r="AG178" s="376"/>
      <c r="AH178" s="377">
        <f>SUM(AH167:AH176)</f>
        <v>4566.8999999999996</v>
      </c>
      <c r="AI178" s="376"/>
      <c r="AJ178" s="376"/>
      <c r="AK178" s="376"/>
      <c r="AL178" s="376"/>
      <c r="AM178" s="377">
        <f>SUM(AM167:AM176)</f>
        <v>5197</v>
      </c>
      <c r="AN178" s="376"/>
      <c r="AO178" s="376"/>
      <c r="AP178" s="376"/>
      <c r="AQ178" s="376"/>
      <c r="AR178" s="377">
        <f>SUM(AR167:AR176)</f>
        <v>6021.7999999999993</v>
      </c>
      <c r="AS178" s="376"/>
      <c r="AT178" s="376"/>
      <c r="AU178" s="376"/>
      <c r="AV178" s="376"/>
      <c r="AW178" s="377">
        <f>SUM(AW167:AW176)</f>
        <v>6987.2000000000007</v>
      </c>
      <c r="AX178" s="376"/>
      <c r="AY178" s="376"/>
      <c r="AZ178" s="376"/>
      <c r="BA178" s="376"/>
      <c r="BB178" s="377">
        <f t="shared" ref="BB178:DJ178" si="232">SUM(BB167:BB176)</f>
        <v>8331.2000000000007</v>
      </c>
      <c r="BC178" s="378">
        <f t="shared" si="232"/>
        <v>8719.8000000000011</v>
      </c>
      <c r="BD178" s="378">
        <f t="shared" si="232"/>
        <v>9082</v>
      </c>
      <c r="BE178" s="378">
        <f t="shared" si="232"/>
        <v>9434.4</v>
      </c>
      <c r="BF178" s="378">
        <f t="shared" si="232"/>
        <v>9917.6</v>
      </c>
      <c r="BG178" s="377">
        <f t="shared" si="232"/>
        <v>9917.6</v>
      </c>
      <c r="BH178" s="378">
        <f t="shared" si="232"/>
        <v>34031.400000000009</v>
      </c>
      <c r="BI178" s="378">
        <f t="shared" si="232"/>
        <v>32024.9</v>
      </c>
      <c r="BJ178" s="378">
        <f t="shared" si="232"/>
        <v>32785.700000000004</v>
      </c>
      <c r="BK178" s="378">
        <f t="shared" si="232"/>
        <v>31321.9</v>
      </c>
      <c r="BL178" s="377">
        <f t="shared" si="232"/>
        <v>31321.9</v>
      </c>
      <c r="BM178" s="378">
        <f t="shared" si="232"/>
        <v>32151.799999999996</v>
      </c>
      <c r="BN178" s="378">
        <f t="shared" si="232"/>
        <v>33010.200000000004</v>
      </c>
      <c r="BO178" s="378">
        <f t="shared" si="232"/>
        <v>33735.799999999996</v>
      </c>
      <c r="BP178" s="378">
        <f t="shared" si="232"/>
        <v>34574.399999999994</v>
      </c>
      <c r="BQ178" s="377">
        <f t="shared" si="232"/>
        <v>34574.399999999994</v>
      </c>
      <c r="BR178" s="378">
        <f t="shared" si="232"/>
        <v>35289.199999999997</v>
      </c>
      <c r="BS178" s="378">
        <f t="shared" si="232"/>
        <v>36151.599999999999</v>
      </c>
      <c r="BT178" s="378">
        <f t="shared" si="232"/>
        <v>35674.9</v>
      </c>
      <c r="BU178" s="378">
        <f t="shared" si="232"/>
        <v>35768.1</v>
      </c>
      <c r="BV178" s="377">
        <f t="shared" si="232"/>
        <v>35768.1</v>
      </c>
      <c r="BW178" s="378">
        <f t="shared" si="232"/>
        <v>35730</v>
      </c>
      <c r="BX178" s="378">
        <f t="shared" si="232"/>
        <v>35908</v>
      </c>
      <c r="BY178" s="378">
        <f t="shared" si="232"/>
        <v>36672</v>
      </c>
      <c r="BZ178" s="378">
        <f t="shared" si="232"/>
        <v>37734</v>
      </c>
      <c r="CA178" s="377">
        <f t="shared" si="232"/>
        <v>37734</v>
      </c>
      <c r="CB178" s="378">
        <f t="shared" si="232"/>
        <v>37952</v>
      </c>
      <c r="CC178" s="378">
        <f t="shared" si="232"/>
        <v>38276</v>
      </c>
      <c r="CD178" s="376">
        <f t="shared" si="232"/>
        <v>37518</v>
      </c>
      <c r="CE178" s="376">
        <f t="shared" si="232"/>
        <v>38081</v>
      </c>
      <c r="CF178" s="379">
        <f t="shared" si="232"/>
        <v>38081</v>
      </c>
      <c r="CG178" s="376">
        <f t="shared" si="232"/>
        <v>38082</v>
      </c>
      <c r="CH178" s="376">
        <f t="shared" si="232"/>
        <v>37913</v>
      </c>
      <c r="CI178" s="376">
        <f t="shared" si="232"/>
        <v>36916</v>
      </c>
      <c r="CJ178" s="376">
        <f t="shared" si="232"/>
        <v>37704</v>
      </c>
      <c r="CK178" s="379">
        <f t="shared" si="232"/>
        <v>37704</v>
      </c>
      <c r="CL178" s="376">
        <f t="shared" si="232"/>
        <v>38209</v>
      </c>
      <c r="CM178" s="376">
        <f t="shared" si="232"/>
        <v>38906</v>
      </c>
      <c r="CN178" s="376">
        <f>SUM(CN167:CN176)</f>
        <v>38534</v>
      </c>
      <c r="CO178" s="376">
        <f>SUM(CO167:CO176)</f>
        <v>37938</v>
      </c>
      <c r="CP178" s="379">
        <f t="shared" si="232"/>
        <v>37938</v>
      </c>
      <c r="CQ178" s="376">
        <f>SUM(CQ167:CQ176)</f>
        <v>38212</v>
      </c>
      <c r="CR178" s="376">
        <f t="shared" si="232"/>
        <v>38132</v>
      </c>
      <c r="CS178" s="376">
        <f t="shared" si="232"/>
        <v>38109</v>
      </c>
      <c r="CT178" s="376">
        <f t="shared" si="232"/>
        <v>37963</v>
      </c>
      <c r="CU178" s="379">
        <f t="shared" si="232"/>
        <v>37963</v>
      </c>
      <c r="CV178" s="376">
        <f t="shared" si="232"/>
        <v>36995</v>
      </c>
      <c r="CW178" s="376">
        <f>SUM(CW167:CW176)</f>
        <v>37133</v>
      </c>
      <c r="CX178" s="376">
        <f>SUM(CX167:CX176)</f>
        <v>37180</v>
      </c>
      <c r="CY178" s="376">
        <f>SUM(CY167:CY176)</f>
        <v>37203</v>
      </c>
      <c r="CZ178" s="379">
        <f t="shared" si="232"/>
        <v>37203</v>
      </c>
      <c r="DA178" s="376">
        <f>SUM(DA167:DA176)</f>
        <v>36031</v>
      </c>
      <c r="DB178" s="376">
        <f>SUM(DB167:DB176)</f>
        <v>34766</v>
      </c>
      <c r="DC178" s="376">
        <f>SUM(DC167:DC176)</f>
        <v>35954</v>
      </c>
      <c r="DD178" s="376">
        <f>SUM(DD167:DD176)</f>
        <v>36834</v>
      </c>
      <c r="DE178" s="379">
        <f t="shared" si="232"/>
        <v>36834</v>
      </c>
      <c r="DF178" s="376">
        <f t="shared" si="232"/>
        <v>33842</v>
      </c>
      <c r="DG178" s="376">
        <f t="shared" si="232"/>
        <v>34147</v>
      </c>
      <c r="DH178" s="376">
        <f t="shared" ref="DH178:DI178" si="233">SUM(DH167:DH176)</f>
        <v>34868</v>
      </c>
      <c r="DI178" s="376">
        <f t="shared" si="233"/>
        <v>37695</v>
      </c>
      <c r="DJ178" s="379">
        <f t="shared" si="232"/>
        <v>37695</v>
      </c>
      <c r="DK178" s="376">
        <f t="shared" ref="DK178:DT178" ca="1" si="234">SUM(DK167:DK176)</f>
        <v>38333.430303805624</v>
      </c>
      <c r="DL178" s="376">
        <f t="shared" ca="1" si="234"/>
        <v>38979.617225152062</v>
      </c>
      <c r="DM178" s="376">
        <f t="shared" ca="1" si="234"/>
        <v>39773.654138035607</v>
      </c>
      <c r="DN178" s="376">
        <f t="shared" ca="1" si="234"/>
        <v>40909.333293104806</v>
      </c>
      <c r="DO178" s="379">
        <f t="shared" ca="1" si="234"/>
        <v>40909.333293104806</v>
      </c>
      <c r="DP178" s="376">
        <f t="shared" ca="1" si="234"/>
        <v>41276.407374693954</v>
      </c>
      <c r="DQ178" s="376">
        <f t="shared" ca="1" si="234"/>
        <v>41837.147579404424</v>
      </c>
      <c r="DR178" s="376">
        <f t="shared" ca="1" si="234"/>
        <v>42522.468449954293</v>
      </c>
      <c r="DS178" s="376">
        <f t="shared" ca="1" si="234"/>
        <v>43565.138770588936</v>
      </c>
      <c r="DT178" s="379">
        <f t="shared" ca="1" si="234"/>
        <v>43565.138770588936</v>
      </c>
      <c r="DU178" s="376">
        <f t="shared" ref="DU178:DY178" ca="1" si="235">SUM(DU167:DU176)</f>
        <v>43795.529477400298</v>
      </c>
      <c r="DV178" s="376">
        <f t="shared" ca="1" si="235"/>
        <v>44232.66219423787</v>
      </c>
      <c r="DW178" s="376">
        <f t="shared" ca="1" si="235"/>
        <v>44804.265283748246</v>
      </c>
      <c r="DX178" s="376">
        <f t="shared" ca="1" si="235"/>
        <v>45736.56675613884</v>
      </c>
      <c r="DY178" s="379">
        <f t="shared" ca="1" si="235"/>
        <v>45736.56675613884</v>
      </c>
      <c r="DZ178" s="1858"/>
      <c r="EA178" s="1872"/>
      <c r="EB178" s="1872"/>
    </row>
    <row r="179" spans="1:132" ht="12" thickBot="1" x14ac:dyDescent="0.25">
      <c r="A179" s="1853"/>
      <c r="B179" s="384" t="s">
        <v>415</v>
      </c>
      <c r="C179" s="385"/>
      <c r="D179" s="385"/>
      <c r="E179" s="386"/>
      <c r="F179" s="386"/>
      <c r="G179" s="386"/>
      <c r="H179" s="386"/>
      <c r="I179" s="387">
        <f>'BS and CFS'!I178+'BS and CFS'!I165</f>
        <v>5693.7000000000007</v>
      </c>
      <c r="J179" s="386"/>
      <c r="K179" s="386"/>
      <c r="L179" s="386"/>
      <c r="M179" s="386"/>
      <c r="N179" s="387">
        <f>'BS and CFS'!N178+'BS and CFS'!N165</f>
        <v>5978.7000000000007</v>
      </c>
      <c r="O179" s="386"/>
      <c r="P179" s="386"/>
      <c r="Q179" s="386"/>
      <c r="R179" s="386"/>
      <c r="S179" s="387">
        <f>'BS and CFS'!S178+'BS and CFS'!S165</f>
        <v>6686.2000000000007</v>
      </c>
      <c r="T179" s="386"/>
      <c r="U179" s="386"/>
      <c r="V179" s="386"/>
      <c r="W179" s="386"/>
      <c r="X179" s="387">
        <f>'BS and CFS'!X178+'BS and CFS'!X165</f>
        <v>7275.4</v>
      </c>
      <c r="Y179" s="386"/>
      <c r="Z179" s="386"/>
      <c r="AA179" s="386"/>
      <c r="AB179" s="386"/>
      <c r="AC179" s="387">
        <f>'BS and CFS'!AC178+'BS and CFS'!AC165</f>
        <v>7949.5</v>
      </c>
      <c r="AD179" s="386"/>
      <c r="AE179" s="386"/>
      <c r="AF179" s="386"/>
      <c r="AG179" s="386"/>
      <c r="AH179" s="387">
        <f>'BS and CFS'!AH178+'BS and CFS'!AH165</f>
        <v>8628.2000000000007</v>
      </c>
      <c r="AI179" s="386"/>
      <c r="AJ179" s="386"/>
      <c r="AK179" s="386"/>
      <c r="AL179" s="386"/>
      <c r="AM179" s="387">
        <f>'BS and CFS'!AM178+'BS and CFS'!AM165</f>
        <v>9645.2999999999993</v>
      </c>
      <c r="AN179" s="386"/>
      <c r="AO179" s="386"/>
      <c r="AP179" s="386"/>
      <c r="AQ179" s="386"/>
      <c r="AR179" s="387">
        <f>'BS and CFS'!AR178+'BS and CFS'!AR165</f>
        <v>10543.099999999999</v>
      </c>
      <c r="AS179" s="386"/>
      <c r="AT179" s="386"/>
      <c r="AU179" s="386"/>
      <c r="AV179" s="386"/>
      <c r="AW179" s="387">
        <f>'BS and CFS'!AW178+'BS and CFS'!AW165</f>
        <v>14546.800000000001</v>
      </c>
      <c r="AX179" s="386"/>
      <c r="AY179" s="386"/>
      <c r="AZ179" s="386"/>
      <c r="BA179" s="386"/>
      <c r="BB179" s="387">
        <f>'BS and CFS'!BB178+'BS and CFS'!BB165</f>
        <v>15283.400000000001</v>
      </c>
      <c r="BC179" s="388">
        <f>'BS and CFS'!BC178+'BS and CFS'!BC165</f>
        <v>15448.2</v>
      </c>
      <c r="BD179" s="388">
        <f>'BS and CFS'!BD178+'BS and CFS'!BD165</f>
        <v>20301.400000000001</v>
      </c>
      <c r="BE179" s="388">
        <f>'BS and CFS'!BE178+'BS and CFS'!BE165</f>
        <v>21127.4</v>
      </c>
      <c r="BF179" s="388">
        <f>'BS and CFS'!BF178+'BS and CFS'!BF165</f>
        <v>20569.800000000003</v>
      </c>
      <c r="BG179" s="387">
        <f>'BS and CFS'!BG178+'BS and CFS'!BG165</f>
        <v>20569.800000000003</v>
      </c>
      <c r="BH179" s="388">
        <f>'BS and CFS'!BH178+'BS and CFS'!BH165</f>
        <v>51035.80000000001</v>
      </c>
      <c r="BI179" s="388">
        <f>'BS and CFS'!BI178+'BS and CFS'!BI165</f>
        <v>54606.100000000006</v>
      </c>
      <c r="BJ179" s="388">
        <f>'BS and CFS'!BJ178+'BS and CFS'!BJ165</f>
        <v>54891.600000000006</v>
      </c>
      <c r="BK179" s="388">
        <f>'BS and CFS'!BK178+'BS and CFS'!BK165</f>
        <v>54672.5</v>
      </c>
      <c r="BL179" s="387">
        <f>'BS and CFS'!BL178+'BS and CFS'!BL165</f>
        <v>54721.9</v>
      </c>
      <c r="BM179" s="388">
        <f>'BS and CFS'!BM178+'BS and CFS'!BM165</f>
        <v>54567</v>
      </c>
      <c r="BN179" s="388">
        <f>'BS and CFS'!BN178+'BS and CFS'!BN165</f>
        <v>54467</v>
      </c>
      <c r="BO179" s="388">
        <f>'BS and CFS'!BO178+'BS and CFS'!BO165</f>
        <v>55951.499999999993</v>
      </c>
      <c r="BP179" s="388">
        <f>'BS and CFS'!BP178+'BS and CFS'!BP165</f>
        <v>60959.899999999994</v>
      </c>
      <c r="BQ179" s="387">
        <f>'BS and CFS'!BQ178+'BS and CFS'!BQ165</f>
        <v>60959.899999999994</v>
      </c>
      <c r="BR179" s="388">
        <f>'BS and CFS'!BR178+'BS and CFS'!BR165</f>
        <v>60656.099999999991</v>
      </c>
      <c r="BS179" s="388">
        <f>'BS and CFS'!BS178+'BS and CFS'!BS165</f>
        <v>61036</v>
      </c>
      <c r="BT179" s="388">
        <f>'BS and CFS'!BT178+'BS and CFS'!BT165</f>
        <v>61879.3</v>
      </c>
      <c r="BU179" s="388">
        <f>'BS and CFS'!BU178+'BS and CFS'!BU165</f>
        <v>61641</v>
      </c>
      <c r="BV179" s="387">
        <f>'BS and CFS'!BV178+'BS and CFS'!BV165</f>
        <v>61641</v>
      </c>
      <c r="BW179" s="388">
        <f>'BS and CFS'!BW178+'BS and CFS'!BW165</f>
        <v>61284</v>
      </c>
      <c r="BX179" s="388">
        <f>'BS and CFS'!BX178+'BS and CFS'!BX165</f>
        <v>61524</v>
      </c>
      <c r="BY179" s="388">
        <f>'BS and CFS'!BY178+'BS and CFS'!BY165</f>
        <v>61713</v>
      </c>
      <c r="BZ179" s="388">
        <f>'BS and CFS'!BZ178+'BS and CFS'!BZ165</f>
        <v>62169</v>
      </c>
      <c r="CA179" s="387">
        <f>'BS and CFS'!CA178+'BS and CFS'!CA165</f>
        <v>62169</v>
      </c>
      <c r="CB179" s="388">
        <f>'BS and CFS'!CB178+'BS and CFS'!CB165</f>
        <v>62828</v>
      </c>
      <c r="CC179" s="388">
        <f>'BS and CFS'!CC178+'BS and CFS'!CC165</f>
        <v>65487</v>
      </c>
      <c r="CD179" s="385">
        <f>'BS and CFS'!CD178+'BS and CFS'!CD165</f>
        <v>65251</v>
      </c>
      <c r="CE179" s="385">
        <f>'BS and CFS'!CE178+'BS and CFS'!CE165</f>
        <v>64543</v>
      </c>
      <c r="CF179" s="389">
        <f>'BS and CFS'!CF178+'BS and CFS'!CF165</f>
        <v>64543</v>
      </c>
      <c r="CG179" s="385">
        <f>'BS and CFS'!CG178+'BS and CFS'!CG165</f>
        <v>66006</v>
      </c>
      <c r="CH179" s="385">
        <f>'BS and CFS'!CH178+'BS and CFS'!CH165</f>
        <v>65589</v>
      </c>
      <c r="CI179" s="385">
        <f>'BS and CFS'!CI178+'BS and CFS'!CI165</f>
        <v>64796</v>
      </c>
      <c r="CJ179" s="385">
        <f>'BS and CFS'!CJ178+'BS and CFS'!CJ165</f>
        <v>65912</v>
      </c>
      <c r="CK179" s="389">
        <f>'BS and CFS'!CK178+'BS and CFS'!CK165</f>
        <v>65912</v>
      </c>
      <c r="CL179" s="385">
        <f>'BS and CFS'!CL178+'BS and CFS'!CL165</f>
        <v>66068</v>
      </c>
      <c r="CM179" s="385">
        <f>'BS and CFS'!CM178+'BS and CFS'!CM165</f>
        <v>66284</v>
      </c>
      <c r="CN179" s="385">
        <f>'BS and CFS'!CN178+'BS and CFS'!CN165</f>
        <v>67805</v>
      </c>
      <c r="CO179" s="385">
        <f>'BS and CFS'!CO178+'BS and CFS'!CO165</f>
        <v>71526</v>
      </c>
      <c r="CP179" s="389">
        <f>'BS and CFS'!CP178+'BS and CFS'!CP165</f>
        <v>71526</v>
      </c>
      <c r="CQ179" s="385">
        <f>'BS and CFS'!CQ178+'BS and CFS'!CQ165</f>
        <v>72822</v>
      </c>
      <c r="CR179" s="385">
        <f>'BS and CFS'!CR178+'BS and CFS'!CR165</f>
        <v>72593</v>
      </c>
      <c r="CS179" s="385">
        <f>'BS and CFS'!CS178+'BS and CFS'!CS165</f>
        <v>73576</v>
      </c>
      <c r="CT179" s="385">
        <f>'BS and CFS'!CT178+'BS and CFS'!CT165</f>
        <v>74252</v>
      </c>
      <c r="CU179" s="389">
        <f>'BS and CFS'!CU178+'BS and CFS'!CU165</f>
        <v>74252</v>
      </c>
      <c r="CV179" s="385">
        <f>'BS and CFS'!CV178+'BS and CFS'!CV165</f>
        <v>73930</v>
      </c>
      <c r="CW179" s="385">
        <f>'BS and CFS'!CW178+'BS and CFS'!CW165</f>
        <v>74668</v>
      </c>
      <c r="CX179" s="385">
        <f>'BS and CFS'!CX178+'BS and CFS'!CX165</f>
        <v>92362</v>
      </c>
      <c r="CY179" s="385">
        <f>'BS and CFS'!CY178+'BS and CFS'!CY165</f>
        <v>93657</v>
      </c>
      <c r="CZ179" s="389">
        <f>'BS and CFS'!CZ178+'BS and CFS'!CZ165</f>
        <v>93657</v>
      </c>
      <c r="DA179" s="385">
        <f>'BS and CFS'!DA178+'BS and CFS'!DA165</f>
        <v>92634</v>
      </c>
      <c r="DB179" s="385">
        <f>'BS and CFS'!DB178+'BS and CFS'!DB165</f>
        <v>92748</v>
      </c>
      <c r="DC179" s="385">
        <f>'BS and CFS'!DC178+'BS and CFS'!DC165</f>
        <v>94156</v>
      </c>
      <c r="DD179" s="385">
        <f>'BS and CFS'!DD178+'BS and CFS'!DD165</f>
        <v>94462</v>
      </c>
      <c r="DE179" s="389">
        <f>'BS and CFS'!DE178+'BS and CFS'!DE165</f>
        <v>94462</v>
      </c>
      <c r="DF179" s="385">
        <f>'BS and CFS'!DF178+'BS and CFS'!DF165</f>
        <v>92670</v>
      </c>
      <c r="DG179" s="385">
        <f>'BS and CFS'!DG178+'BS and CFS'!DG165</f>
        <v>92525</v>
      </c>
      <c r="DH179" s="385">
        <f>'BS and CFS'!DH178+'BS and CFS'!DH165</f>
        <v>92853</v>
      </c>
      <c r="DI179" s="385">
        <f>'BS and CFS'!DI178+'BS and CFS'!DI165</f>
        <v>95131</v>
      </c>
      <c r="DJ179" s="389">
        <f>'BS and CFS'!DJ178+'BS and CFS'!DJ165</f>
        <v>95131</v>
      </c>
      <c r="DK179" s="385">
        <f ca="1">'BS and CFS'!DK178+'BS and CFS'!DK165</f>
        <v>93859.306132703903</v>
      </c>
      <c r="DL179" s="385">
        <f ca="1">'BS and CFS'!DL178+'BS and CFS'!DL165</f>
        <v>134465.87956730637</v>
      </c>
      <c r="DM179" s="385">
        <f ca="1">'BS and CFS'!DM178+'BS and CFS'!DM165</f>
        <v>135067.00498937818</v>
      </c>
      <c r="DN179" s="385">
        <f ca="1">'BS and CFS'!DN178+'BS and CFS'!DN165</f>
        <v>137249.43195682531</v>
      </c>
      <c r="DO179" s="389">
        <f ca="1">'BS and CFS'!DO178+'BS and CFS'!DO165</f>
        <v>137249.43195682531</v>
      </c>
      <c r="DP179" s="385">
        <f ca="1">'BS and CFS'!DP178+'BS and CFS'!DP165</f>
        <v>136107.92632093708</v>
      </c>
      <c r="DQ179" s="385">
        <f ca="1">'BS and CFS'!DQ178+'BS and CFS'!DQ165</f>
        <v>138402.64426534774</v>
      </c>
      <c r="DR179" s="385">
        <f ca="1">'BS and CFS'!DR178+'BS and CFS'!DR165</f>
        <v>138864.56985046924</v>
      </c>
      <c r="DS179" s="385">
        <f ca="1">'BS and CFS'!DS178+'BS and CFS'!DS165</f>
        <v>140988.78020212933</v>
      </c>
      <c r="DT179" s="389">
        <f ca="1">'BS and CFS'!DT178+'BS and CFS'!DT165</f>
        <v>140988.78020212933</v>
      </c>
      <c r="DU179" s="385">
        <f ca="1">'BS and CFS'!DU178+'BS and CFS'!DU165</f>
        <v>139410.42392215464</v>
      </c>
      <c r="DV179" s="385">
        <f ca="1">'BS and CFS'!DV178+'BS and CFS'!DV165</f>
        <v>141616.95108367561</v>
      </c>
      <c r="DW179" s="385">
        <f ca="1">'BS and CFS'!DW178+'BS and CFS'!DW165</f>
        <v>141929.197941305</v>
      </c>
      <c r="DX179" s="385">
        <f ca="1">'BS and CFS'!DX178+'BS and CFS'!DX165</f>
        <v>143950.01750861414</v>
      </c>
      <c r="DY179" s="389">
        <f ca="1">'BS and CFS'!DY178+'BS and CFS'!DY165</f>
        <v>143950.01750861414</v>
      </c>
      <c r="DZ179" s="1858"/>
      <c r="EA179" s="1858"/>
      <c r="EB179" s="1858"/>
    </row>
    <row r="180" spans="1:132" x14ac:dyDescent="0.2">
      <c r="A180" s="1853"/>
      <c r="B180" s="390"/>
      <c r="C180" s="390"/>
      <c r="D180" s="390"/>
      <c r="E180" s="78"/>
      <c r="F180" s="78"/>
      <c r="G180" s="78"/>
      <c r="H180" s="78"/>
      <c r="I180" s="390"/>
      <c r="J180" s="78"/>
      <c r="K180" s="78"/>
      <c r="L180" s="78"/>
      <c r="M180" s="78"/>
      <c r="N180" s="390"/>
      <c r="O180" s="78"/>
      <c r="P180" s="78"/>
      <c r="Q180" s="78"/>
      <c r="R180" s="78"/>
      <c r="S180" s="390"/>
      <c r="T180" s="78"/>
      <c r="U180" s="78"/>
      <c r="V180" s="78"/>
      <c r="W180" s="78"/>
      <c r="X180" s="390"/>
      <c r="Y180" s="78"/>
      <c r="Z180" s="78"/>
      <c r="AA180" s="78"/>
      <c r="AB180" s="78"/>
      <c r="AC180" s="390"/>
      <c r="AD180" s="78"/>
      <c r="AE180" s="78"/>
      <c r="AF180" s="78"/>
      <c r="AG180" s="78"/>
      <c r="AH180" s="390"/>
      <c r="AI180" s="78"/>
      <c r="AJ180" s="78"/>
      <c r="AK180" s="78"/>
      <c r="AL180" s="78"/>
      <c r="AM180" s="390"/>
      <c r="AN180" s="78"/>
      <c r="AO180" s="78"/>
      <c r="AP180" s="78"/>
      <c r="AQ180" s="78"/>
      <c r="AR180" s="390"/>
      <c r="AS180" s="78"/>
      <c r="AT180" s="78"/>
      <c r="AU180" s="78"/>
      <c r="AV180" s="78"/>
      <c r="AW180" s="390"/>
      <c r="AX180" s="78"/>
      <c r="AY180" s="78"/>
      <c r="AZ180" s="78"/>
      <c r="BA180" s="78"/>
      <c r="BB180" s="390"/>
      <c r="BC180" s="390"/>
      <c r="BD180" s="390"/>
      <c r="BE180" s="390"/>
      <c r="BF180" s="390"/>
      <c r="BG180" s="390"/>
      <c r="BH180" s="390"/>
      <c r="BI180" s="390"/>
      <c r="BJ180" s="390"/>
      <c r="BK180" s="390"/>
      <c r="BL180" s="390"/>
      <c r="BM180" s="390"/>
      <c r="BN180" s="390"/>
      <c r="BO180" s="390"/>
      <c r="BP180" s="390"/>
      <c r="BQ180" s="390"/>
      <c r="BR180" s="390"/>
      <c r="BS180" s="390"/>
      <c r="BT180" s="390"/>
      <c r="BU180" s="390"/>
      <c r="BV180" s="390"/>
      <c r="BW180" s="390"/>
      <c r="BX180" s="390"/>
      <c r="BY180" s="390"/>
      <c r="BZ180" s="390"/>
      <c r="CA180" s="390"/>
      <c r="CB180" s="390"/>
      <c r="CC180" s="390"/>
      <c r="CD180" s="390"/>
      <c r="CE180" s="390"/>
      <c r="CF180" s="390"/>
      <c r="CG180" s="390"/>
      <c r="CH180" s="390"/>
      <c r="CI180" s="390"/>
      <c r="CJ180" s="390"/>
      <c r="CK180" s="390"/>
      <c r="CL180" s="390"/>
      <c r="CM180" s="390"/>
      <c r="CN180" s="390"/>
      <c r="CO180" s="390"/>
      <c r="CP180" s="390"/>
      <c r="CQ180" s="390"/>
      <c r="CR180" s="390"/>
      <c r="CS180" s="390"/>
      <c r="CT180" s="390"/>
      <c r="CU180" s="390"/>
      <c r="CV180" s="390"/>
      <c r="CW180" s="390"/>
      <c r="CX180" s="390"/>
      <c r="CY180" s="390"/>
      <c r="CZ180" s="390"/>
      <c r="DA180" s="390"/>
      <c r="DB180" s="390"/>
      <c r="DC180" s="390"/>
      <c r="DD180" s="390"/>
      <c r="DE180" s="390"/>
      <c r="DF180" s="390"/>
      <c r="DG180" s="390"/>
      <c r="DH180" s="390"/>
      <c r="DI180" s="390"/>
      <c r="DJ180" s="390"/>
      <c r="DK180" s="390"/>
      <c r="DL180" s="390"/>
      <c r="DM180" s="390"/>
      <c r="DN180" s="390"/>
      <c r="DO180" s="390"/>
      <c r="DP180" s="390"/>
      <c r="DQ180" s="390"/>
      <c r="DR180" s="390"/>
      <c r="DS180" s="390"/>
      <c r="DT180" s="390"/>
      <c r="DU180" s="390"/>
      <c r="DV180" s="390"/>
      <c r="DW180" s="390"/>
      <c r="DX180" s="390"/>
      <c r="DY180" s="390"/>
      <c r="DZ180" s="1858"/>
      <c r="EA180" s="1858"/>
      <c r="EB180" s="1858"/>
    </row>
    <row r="181" spans="1:132" outlineLevel="1" x14ac:dyDescent="0.2">
      <c r="A181" s="1842"/>
      <c r="B181" s="391" t="s">
        <v>416</v>
      </c>
      <c r="C181" s="392"/>
      <c r="D181" s="334"/>
      <c r="E181" s="1880"/>
      <c r="F181" s="1880"/>
      <c r="G181" s="1880"/>
      <c r="H181" s="1880"/>
      <c r="I181" s="393" t="str">
        <f>IF((ABS((I179-'BS and CFS'!I152))&lt;0.01),"OK",'BS and CFS'!I152-I179)</f>
        <v>OK</v>
      </c>
      <c r="J181" s="1880"/>
      <c r="K181" s="1880"/>
      <c r="L181" s="1880"/>
      <c r="M181" s="1880"/>
      <c r="N181" s="393">
        <f>IF((ABS((N179-'BS and CFS'!N152))&lt;0.01),"OK",'BS and CFS'!N152-N179)</f>
        <v>0.1999999999998181</v>
      </c>
      <c r="O181" s="1880"/>
      <c r="P181" s="1880"/>
      <c r="Q181" s="1880"/>
      <c r="R181" s="1880"/>
      <c r="S181" s="393" t="str">
        <f>IF((ABS((S179-'BS and CFS'!S152))&lt;0.01),"OK",'BS and CFS'!S152-S179)</f>
        <v>OK</v>
      </c>
      <c r="T181" s="1880"/>
      <c r="U181" s="1880"/>
      <c r="V181" s="1880"/>
      <c r="W181" s="1880"/>
      <c r="X181" s="393" t="str">
        <f>IF((ABS((X179-'BS and CFS'!X152))&lt;0.01),"OK",'BS and CFS'!X152-X179)</f>
        <v>OK</v>
      </c>
      <c r="Y181" s="1880"/>
      <c r="Z181" s="1880"/>
      <c r="AA181" s="1880"/>
      <c r="AB181" s="1880"/>
      <c r="AC181" s="393" t="str">
        <f>IF((ABS((AC179-'BS and CFS'!AC152))&lt;0.01),"OK",'BS and CFS'!AC152-AC179)</f>
        <v>OK</v>
      </c>
      <c r="AD181" s="1880"/>
      <c r="AE181" s="1880"/>
      <c r="AF181" s="1880"/>
      <c r="AG181" s="1880"/>
      <c r="AH181" s="393" t="str">
        <f>IF((ABS((AH179-'BS and CFS'!AH152))&lt;0.01),"OK",'BS and CFS'!AH152-AH179)</f>
        <v>OK</v>
      </c>
      <c r="AI181" s="1880"/>
      <c r="AJ181" s="1880"/>
      <c r="AK181" s="1880"/>
      <c r="AL181" s="1880"/>
      <c r="AM181" s="393" t="str">
        <f>IF((ABS((AM179-'BS and CFS'!AM152))&lt;0.01),"OK",'BS and CFS'!AM152-AM179)</f>
        <v>OK</v>
      </c>
      <c r="AN181" s="1880"/>
      <c r="AO181" s="1880"/>
      <c r="AP181" s="1880"/>
      <c r="AQ181" s="1880"/>
      <c r="AR181" s="393" t="str">
        <f>IF((ABS((AR179-'BS and CFS'!AR152))&lt;0.01),"OK",'BS and CFS'!AR152-AR179)</f>
        <v>OK</v>
      </c>
      <c r="AS181" s="1880"/>
      <c r="AT181" s="1880"/>
      <c r="AU181" s="1880"/>
      <c r="AV181" s="1880"/>
      <c r="AW181" s="393" t="str">
        <f>IF((ABS((AW179-'BS and CFS'!AW152))&lt;0.01),"OK",'BS and CFS'!AW152-AW179)</f>
        <v>OK</v>
      </c>
      <c r="AX181" s="1880"/>
      <c r="AY181" s="1880"/>
      <c r="AZ181" s="1880"/>
      <c r="BA181" s="1880"/>
      <c r="BB181" s="393" t="str">
        <f>IF((ABS((BB179-'BS and CFS'!BB152))&lt;0.01),"OK",'BS and CFS'!BB152-BB179)</f>
        <v>OK</v>
      </c>
      <c r="BC181" s="393" t="str">
        <f>IF((ABS((BC179-'BS and CFS'!BC152))&lt;0.001),"OK",'BS and CFS'!BC152-BC179)</f>
        <v>OK</v>
      </c>
      <c r="BD181" s="393" t="str">
        <f>IF((ABS((BD179-'BS and CFS'!BD152))&lt;0.001),"OK",'BS and CFS'!BD152-BD179)</f>
        <v>OK</v>
      </c>
      <c r="BE181" s="393" t="str">
        <f>IF((ABS((BE179-'BS and CFS'!BE152))&lt;0.001),"OK",'BS and CFS'!BE152-BE179)</f>
        <v>OK</v>
      </c>
      <c r="BF181" s="393" t="str">
        <f>IF((ABS((BF179-'BS and CFS'!BF152))&lt;0.001),"OK",'BS and CFS'!BF152-BF179)</f>
        <v>OK</v>
      </c>
      <c r="BG181" s="393" t="str">
        <f>IF((ABS((BG179-'BS and CFS'!BG152))&lt;0.01),"OK",'BS and CFS'!BG152-BG179)</f>
        <v>OK</v>
      </c>
      <c r="BH181" s="393" t="str">
        <f>IF((ABS((BH179-'BS and CFS'!BH152))&lt;0.001),"OK",'BS and CFS'!BH152-BH179)</f>
        <v>OK</v>
      </c>
      <c r="BI181" s="393" t="str">
        <f>IF((ABS((BI179-'BS and CFS'!BI152))&lt;0.001),"OK",'BS and CFS'!BI152-BI179)</f>
        <v>OK</v>
      </c>
      <c r="BJ181" s="393" t="str">
        <f>IF((ABS((BJ179-'BS and CFS'!BJ152))&lt;0.001),"OK",'BS and CFS'!BJ152-BJ179)</f>
        <v>OK</v>
      </c>
      <c r="BK181" s="393" t="str">
        <f>IF((ABS((BK179-'BS and CFS'!BK152))&lt;0.001),"OK",'BS and CFS'!BK152-BK179)</f>
        <v>OK</v>
      </c>
      <c r="BL181" s="393" t="str">
        <f>IF((ABS((BL179-'BS and CFS'!BL152))&lt;0.01),"OK",'BS and CFS'!BL152-BL179)</f>
        <v>OK</v>
      </c>
      <c r="BM181" s="393" t="str">
        <f>IF((ABS((BM179-'BS and CFS'!BM152))&lt;0.001),"OK",'BS and CFS'!BM152-BM179)</f>
        <v>OK</v>
      </c>
      <c r="BN181" s="393" t="str">
        <f>IF((ABS((BN179-'BS and CFS'!BN152))&lt;0.001),"OK",'BS and CFS'!BN152-BN179)</f>
        <v>OK</v>
      </c>
      <c r="BO181" s="393" t="str">
        <f>IF((ABS((BO179-'BS and CFS'!BO152))&lt;0.001),"OK",'BS and CFS'!BO152-BO179)</f>
        <v>OK</v>
      </c>
      <c r="BP181" s="393" t="str">
        <f>IF((ABS((BP179-'BS and CFS'!BP152))&lt;0.001),"OK",'BS and CFS'!BP152-BP179)</f>
        <v>OK</v>
      </c>
      <c r="BQ181" s="393" t="str">
        <f>IF((ABS((BQ179-'BS and CFS'!BQ152))&lt;0.01),"OK",'BS and CFS'!BQ152-BQ179)</f>
        <v>OK</v>
      </c>
      <c r="BR181" s="393" t="str">
        <f>IF((ABS((BR179-'BS and CFS'!BR152))&lt;0.001),"OK",'BS and CFS'!BR152-BR179)</f>
        <v>OK</v>
      </c>
      <c r="BS181" s="393" t="str">
        <f>IF((ABS((BS179-'BS and CFS'!BS152))&lt;0.001),"OK",'BS and CFS'!BS152-BS179)</f>
        <v>OK</v>
      </c>
      <c r="BT181" s="393" t="str">
        <f>IF((ABS((BT179-'BS and CFS'!BT152))&lt;0.001),"OK",'BS and CFS'!BT152-BT179)</f>
        <v>OK</v>
      </c>
      <c r="BU181" s="393" t="str">
        <f>IF((ABS((BU179-'BS and CFS'!BU152))&lt;0.001),"OK",'BS and CFS'!BU152-BU179)</f>
        <v>OK</v>
      </c>
      <c r="BV181" s="393" t="str">
        <f>IF((ABS((BV179-'BS and CFS'!BV152))&lt;0.01),"OK",'BS and CFS'!BV152-BV179)</f>
        <v>OK</v>
      </c>
      <c r="BW181" s="393" t="str">
        <f>IF((ABS((BW179-'BS and CFS'!BW152))&lt;0.001),"OK",'BS and CFS'!BW152-BW179)</f>
        <v>OK</v>
      </c>
      <c r="BX181" s="393" t="str">
        <f>IF((ABS((BX179-'BS and CFS'!BX152))&lt;0.001),"OK",'BS and CFS'!BX152-BX179)</f>
        <v>OK</v>
      </c>
      <c r="BY181" s="393" t="str">
        <f>IF((ABS((BY179-'BS and CFS'!BY152))&lt;0.001),"OK",'BS and CFS'!BY152-BY179)</f>
        <v>OK</v>
      </c>
      <c r="BZ181" s="393" t="str">
        <f>IF((ABS((BZ179-'BS and CFS'!BZ152))&lt;0.001),"OK",'BS and CFS'!BZ152-BZ179)</f>
        <v>OK</v>
      </c>
      <c r="CA181" s="393" t="str">
        <f>IF((ABS((CA179-'BS and CFS'!CA152))&lt;0.01),"OK",'BS and CFS'!CA152-CA179)</f>
        <v>OK</v>
      </c>
      <c r="CB181" s="393" t="str">
        <f>IF((ABS((CB179-'BS and CFS'!CB152))&lt;0.001),"OK",'BS and CFS'!CB152-CB179)</f>
        <v>OK</v>
      </c>
      <c r="CC181" s="393" t="str">
        <f>IF((ABS((CC179-'BS and CFS'!CC152))&lt;0.001),"OK",'BS and CFS'!CC152-CC179)</f>
        <v>OK</v>
      </c>
      <c r="CD181" s="393" t="str">
        <f>IF((ABS((CD179-'BS and CFS'!CD152))&lt;0.001),"OK",'BS and CFS'!CD152-CD179)</f>
        <v>OK</v>
      </c>
      <c r="CE181" s="393" t="str">
        <f>IF((ABS((CE179-'BS and CFS'!CE152))&lt;0.001),"OK",'BS and CFS'!CE152-CE179)</f>
        <v>OK</v>
      </c>
      <c r="CF181" s="393" t="str">
        <f>IF((ABS((CF179-'BS and CFS'!CF152))&lt;0.01),"OK",'BS and CFS'!CF152-CF179)</f>
        <v>OK</v>
      </c>
      <c r="CG181" s="393" t="str">
        <f>IF((ABS((CG179-'BS and CFS'!CG152))&lt;0.001),"OK",'BS and CFS'!CG152-CG179)</f>
        <v>OK</v>
      </c>
      <c r="CH181" s="393" t="str">
        <f>IF((ABS((CH179-'BS and CFS'!CH152))&lt;0.001),"OK",'BS and CFS'!CH152-CH179)</f>
        <v>OK</v>
      </c>
      <c r="CI181" s="393" t="str">
        <f>IF((ABS((CI179-'BS and CFS'!CI152))&lt;0.001),"OK",'BS and CFS'!CI152-CI179)</f>
        <v>OK</v>
      </c>
      <c r="CJ181" s="393" t="str">
        <f>IF((ABS((CJ179-'BS and CFS'!CJ152))&lt;0.001),"OK",'BS and CFS'!CJ152-CJ179)</f>
        <v>OK</v>
      </c>
      <c r="CK181" s="393" t="str">
        <f>IF((ABS((CK179-'BS and CFS'!CK152))&lt;0.01),"OK",'BS and CFS'!CK152-CK179)</f>
        <v>OK</v>
      </c>
      <c r="CL181" s="393" t="str">
        <f>IF((ABS((CL179-'BS and CFS'!CL152))&lt;0.001),"OK",'BS and CFS'!CL152-CL179)</f>
        <v>OK</v>
      </c>
      <c r="CM181" s="393" t="str">
        <f>IF((ABS((CM179-'BS and CFS'!CM152))&lt;0.001),"OK",'BS and CFS'!CM152-CM179)</f>
        <v>OK</v>
      </c>
      <c r="CN181" s="393" t="str">
        <f>IF((ABS((CN179-'BS and CFS'!CN152))&lt;0.001),"OK",'BS and CFS'!CN152-CN179)</f>
        <v>OK</v>
      </c>
      <c r="CO181" s="393" t="str">
        <f>IF((ABS((CO179-'BS and CFS'!CO152))&lt;0.001),"OK",'BS and CFS'!CO152-CO179)</f>
        <v>OK</v>
      </c>
      <c r="CP181" s="393" t="str">
        <f>IF((ABS((CP179-'BS and CFS'!CP152))&lt;0.01),"OK",'BS and CFS'!CP152-CP179)</f>
        <v>OK</v>
      </c>
      <c r="CQ181" s="393" t="str">
        <f>IF((ABS((CQ179-'BS and CFS'!CQ152))&lt;0.001),"OK",'BS and CFS'!CQ152-CQ179)</f>
        <v>OK</v>
      </c>
      <c r="CR181" s="393" t="str">
        <f>IF((ABS((CR179-'BS and CFS'!CR152))&lt;0.001),"OK",'BS and CFS'!CR152-CR179)</f>
        <v>OK</v>
      </c>
      <c r="CS181" s="393" t="str">
        <f>IF((ABS((CS179-'BS and CFS'!CS152))&lt;0.001),"OK",'BS and CFS'!CS152-CS179)</f>
        <v>OK</v>
      </c>
      <c r="CT181" s="393" t="str">
        <f>IF((ABS((CT179-'BS and CFS'!CT152))&lt;0.001),"OK",'BS and CFS'!CT152-CT179)</f>
        <v>OK</v>
      </c>
      <c r="CU181" s="393" t="str">
        <f>IF((ABS((CU179-'BS and CFS'!CU152))&lt;0.01),"OK",'BS and CFS'!CU152-CU179)</f>
        <v>OK</v>
      </c>
      <c r="CV181" s="393" t="str">
        <f>IF((ABS((CV179-'BS and CFS'!CV152))&lt;0.001),"OK",'BS and CFS'!CV152-CV179)</f>
        <v>OK</v>
      </c>
      <c r="CW181" s="393" t="str">
        <f>IF((ABS((CW179-'BS and CFS'!CW152))&lt;0.001),"OK",'BS and CFS'!CW152-CW179)</f>
        <v>OK</v>
      </c>
      <c r="CX181" s="393" t="str">
        <f>IF((ABS((CX179-'BS and CFS'!CX152))&lt;0.001),"OK",'BS and CFS'!CX152-CX179)</f>
        <v>OK</v>
      </c>
      <c r="CY181" s="393" t="str">
        <f>IF((ABS((CY179-'BS and CFS'!CY152))&lt;0.001),"OK",'BS and CFS'!CY152-CY179)</f>
        <v>OK</v>
      </c>
      <c r="CZ181" s="2128" t="str">
        <f>IF((ABS((CZ179-'BS and CFS'!CZ152))&lt;0.01),"OK",'BS and CFS'!CZ152-CZ179)</f>
        <v>OK</v>
      </c>
      <c r="DA181" s="2128" t="str">
        <f>IF((ABS((DA179-'BS and CFS'!DA152))&lt;0.001),"OK",'BS and CFS'!DA152-DA179)</f>
        <v>OK</v>
      </c>
      <c r="DB181" s="2128" t="str">
        <f>IF((ABS((DB179-'BS and CFS'!DB152))&lt;0.001),"OK",'BS and CFS'!DB152-DB179)</f>
        <v>OK</v>
      </c>
      <c r="DC181" s="2128" t="str">
        <f>IF((ABS((DC179-'BS and CFS'!DC152))&lt;0.001),"OK",'BS and CFS'!DC152-DC179)</f>
        <v>OK</v>
      </c>
      <c r="DD181" s="2128" t="str">
        <f>IF((ABS((DD179-'BS and CFS'!DD152))&lt;0.001),"OK",'BS and CFS'!DD152-DD179)</f>
        <v>OK</v>
      </c>
      <c r="DE181" s="2128" t="str">
        <f>IF((ABS((DE179-'BS and CFS'!DE152))&lt;0.01),"OK",'BS and CFS'!DE152-DE179)</f>
        <v>OK</v>
      </c>
      <c r="DF181" s="2128" t="str">
        <f>IF((ABS((DF179-'BS and CFS'!DF152))&lt;0.001),"OK",'BS and CFS'!DF152-DF179)</f>
        <v>OK</v>
      </c>
      <c r="DG181" s="2128" t="str">
        <f>IF((ABS((DG179-'BS and CFS'!DG152))&lt;0.001),"OK",'BS and CFS'!DG152-DG179)</f>
        <v>OK</v>
      </c>
      <c r="DH181" s="2128" t="str">
        <f>IF((ABS((DH179-'BS and CFS'!DH152))&lt;0.001),"OK",'BS and CFS'!DH152-DH179)</f>
        <v>OK</v>
      </c>
      <c r="DI181" s="2128" t="str">
        <f>IF((ABS((DI179-'BS and CFS'!DI152))&lt;0.001),"OK",'BS and CFS'!DI152-DI179)</f>
        <v>OK</v>
      </c>
      <c r="DJ181" s="2128" t="str">
        <f>IF((ABS((DJ179-'BS and CFS'!DJ152))&lt;0.01),"OK",'BS and CFS'!DJ152-DJ179)</f>
        <v>OK</v>
      </c>
      <c r="DK181" s="2128" t="str">
        <f ca="1">IF((ABS((DK179-'BS and CFS'!DK152))&lt;0.001),"OK",'BS and CFS'!DK152-DK179)</f>
        <v>OK</v>
      </c>
      <c r="DL181" s="2128" t="str">
        <f ca="1">IF((ABS((DL179-'BS and CFS'!DL152))&lt;0.001),"OK",'BS and CFS'!DL152-DL179)</f>
        <v>OK</v>
      </c>
      <c r="DM181" s="2128" t="str">
        <f ca="1">IF((ABS((DM179-'BS and CFS'!DM152))&lt;0.001),"OK",'BS and CFS'!DM152-DM179)</f>
        <v>OK</v>
      </c>
      <c r="DN181" s="2128" t="str">
        <f ca="1">IF((ABS((DN179-'BS and CFS'!DN152))&lt;0.001),"OK",'BS and CFS'!DN152-DN179)</f>
        <v>OK</v>
      </c>
      <c r="DO181" s="2128" t="str">
        <f ca="1">IF((ABS((DO179-'BS and CFS'!DO152))&lt;0.01),"OK",'BS and CFS'!DO152-DO179)</f>
        <v>OK</v>
      </c>
      <c r="DP181" s="2128" t="str">
        <f ca="1">IF((ABS((DP179-'BS and CFS'!DP152))&lt;0.001),"OK",'BS and CFS'!DP152-DP179)</f>
        <v>OK</v>
      </c>
      <c r="DQ181" s="2128" t="str">
        <f ca="1">IF((ABS((DQ179-'BS and CFS'!DQ152))&lt;0.001),"OK",'BS and CFS'!DQ152-DQ179)</f>
        <v>OK</v>
      </c>
      <c r="DR181" s="2128" t="str">
        <f ca="1">IF((ABS((DR179-'BS and CFS'!DR152))&lt;0.001),"OK",'BS and CFS'!DR152-DR179)</f>
        <v>OK</v>
      </c>
      <c r="DS181" s="2128" t="str">
        <f ca="1">IF((ABS((DS179-'BS and CFS'!DS152))&lt;0.001),"OK",'BS and CFS'!DS152-DS179)</f>
        <v>OK</v>
      </c>
      <c r="DT181" s="2128" t="str">
        <f ca="1">IF((ABS((DT179-'BS and CFS'!DT152))&lt;0.01),"OK",'BS and CFS'!DT152-DT179)</f>
        <v>OK</v>
      </c>
      <c r="DU181" s="2128" t="str">
        <f ca="1">IF((ABS((DU179-'BS and CFS'!DU152))&lt;0.001),"OK",'BS and CFS'!DU152-DU179)</f>
        <v>OK</v>
      </c>
      <c r="DV181" s="2128" t="str">
        <f ca="1">IF((ABS((DV179-'BS and CFS'!DV152))&lt;0.001),"OK",'BS and CFS'!DV152-DV179)</f>
        <v>OK</v>
      </c>
      <c r="DW181" s="2128" t="str">
        <f ca="1">IF((ABS((DW179-'BS and CFS'!DW152))&lt;0.001),"OK",'BS and CFS'!DW152-DW179)</f>
        <v>OK</v>
      </c>
      <c r="DX181" s="2128" t="str">
        <f ca="1">IF((ABS((DX179-'BS and CFS'!DX152))&lt;0.001),"OK",'BS and CFS'!DX152-DX179)</f>
        <v>OK</v>
      </c>
      <c r="DY181" s="2128" t="str">
        <f ca="1">IF((ABS((DY179-'BS and CFS'!DY152))&lt;0.01),"OK",'BS and CFS'!DY152-DY179)</f>
        <v>OK</v>
      </c>
      <c r="DZ181" s="1848"/>
      <c r="EA181" s="1848"/>
      <c r="EB181" s="1848"/>
    </row>
    <row r="182" spans="1:132" ht="12" outlineLevel="1" thickBot="1" x14ac:dyDescent="0.25">
      <c r="A182" s="1833"/>
      <c r="B182" s="1953"/>
      <c r="C182" s="1841"/>
      <c r="D182" s="1841"/>
      <c r="E182" s="1841"/>
      <c r="F182" s="1841"/>
      <c r="G182" s="1841"/>
      <c r="H182" s="1841"/>
      <c r="I182" s="1841"/>
      <c r="J182" s="1841"/>
      <c r="K182" s="1841"/>
      <c r="L182" s="1841"/>
      <c r="M182" s="1841"/>
      <c r="N182" s="1841"/>
      <c r="O182" s="1841"/>
      <c r="P182" s="1841"/>
      <c r="Q182" s="1841"/>
      <c r="R182" s="1841"/>
      <c r="S182" s="1954"/>
      <c r="T182" s="1841"/>
      <c r="U182" s="1841"/>
      <c r="V182" s="1841"/>
      <c r="W182" s="1841"/>
      <c r="X182" s="1954"/>
      <c r="Y182" s="1841"/>
      <c r="Z182" s="1841"/>
      <c r="AA182" s="1841"/>
      <c r="AB182" s="1841"/>
      <c r="AC182" s="1954"/>
      <c r="AD182" s="1841"/>
      <c r="AE182" s="1841"/>
      <c r="AF182" s="1841"/>
      <c r="AG182" s="1841"/>
      <c r="AH182" s="1954"/>
      <c r="AI182" s="1841"/>
      <c r="AJ182" s="1841"/>
      <c r="AK182" s="1841"/>
      <c r="AL182" s="1841"/>
      <c r="AM182" s="1954"/>
      <c r="AN182" s="1841"/>
      <c r="AO182" s="1841"/>
      <c r="AP182" s="1841"/>
      <c r="AQ182" s="1841"/>
      <c r="AR182" s="1954"/>
      <c r="AS182" s="1841"/>
      <c r="AT182" s="1841"/>
      <c r="AU182" s="1841"/>
      <c r="AV182" s="1841"/>
      <c r="AW182" s="1954"/>
      <c r="AX182" s="1841"/>
      <c r="AY182" s="1841"/>
      <c r="AZ182" s="1841"/>
      <c r="BA182" s="1841"/>
      <c r="BB182" s="1954"/>
      <c r="BC182" s="1841"/>
      <c r="BD182" s="1841"/>
      <c r="BE182" s="1841"/>
      <c r="BF182" s="1841"/>
      <c r="BG182" s="1954"/>
      <c r="BH182" s="1841"/>
      <c r="BI182" s="1841"/>
      <c r="BJ182" s="1841"/>
      <c r="BK182" s="1841"/>
      <c r="BL182" s="1954"/>
      <c r="BM182" s="1841"/>
      <c r="BN182" s="1841"/>
      <c r="BO182" s="1841"/>
      <c r="BP182" s="1841"/>
      <c r="BQ182" s="1954"/>
      <c r="BR182" s="1841"/>
      <c r="BS182" s="1841"/>
      <c r="BT182" s="1841"/>
      <c r="BU182" s="1841"/>
      <c r="BV182" s="1841"/>
      <c r="BW182" s="1841"/>
      <c r="BX182" s="1841"/>
      <c r="BY182" s="1841"/>
      <c r="BZ182" s="1841"/>
      <c r="CA182" s="1841"/>
      <c r="CB182" s="1841"/>
      <c r="CC182" s="1841"/>
      <c r="CD182" s="1841"/>
      <c r="CE182" s="1841"/>
      <c r="CF182" s="1841"/>
      <c r="CG182" s="1841"/>
      <c r="CH182" s="1841"/>
      <c r="CI182" s="1841"/>
      <c r="CJ182" s="1841"/>
      <c r="CK182" s="1841"/>
      <c r="CL182" s="1841"/>
      <c r="CM182" s="1841"/>
      <c r="CN182" s="1841"/>
      <c r="CO182" s="1841"/>
      <c r="CP182" s="1841"/>
      <c r="CQ182" s="1841"/>
      <c r="CR182" s="1841"/>
      <c r="CS182" s="1841"/>
      <c r="CT182" s="1841"/>
      <c r="CU182" s="1841"/>
      <c r="CV182" s="1841"/>
      <c r="CW182" s="1841"/>
      <c r="CX182" s="1841"/>
      <c r="CY182" s="1841"/>
      <c r="CZ182" s="1974"/>
      <c r="DA182" s="1974"/>
      <c r="DB182" s="1974"/>
      <c r="DC182" s="1974"/>
      <c r="DD182" s="1974"/>
      <c r="DE182" s="1974"/>
      <c r="DF182" s="1974"/>
      <c r="DG182" s="2638"/>
      <c r="DH182" s="1974"/>
      <c r="DI182" s="1974"/>
      <c r="DJ182" s="1974"/>
      <c r="DK182" s="1974"/>
      <c r="DL182" s="1974"/>
      <c r="DM182" s="1974"/>
      <c r="DN182" s="1974"/>
      <c r="DO182" s="1974"/>
      <c r="DP182" s="1974"/>
      <c r="DQ182" s="1974"/>
      <c r="DR182" s="1974"/>
      <c r="DS182" s="1974"/>
      <c r="DT182" s="1974"/>
      <c r="DU182" s="1974"/>
      <c r="DV182" s="1974"/>
      <c r="DW182" s="1974"/>
      <c r="DX182" s="1974"/>
      <c r="DY182" s="1974"/>
      <c r="DZ182" s="1838"/>
      <c r="EA182" s="1838"/>
      <c r="EB182" s="1838"/>
    </row>
    <row r="183" spans="1:132" x14ac:dyDescent="0.2">
      <c r="A183" s="1842"/>
      <c r="B183" s="1955" t="s">
        <v>417</v>
      </c>
      <c r="C183" s="1956"/>
      <c r="D183" s="395"/>
      <c r="E183" s="395"/>
      <c r="F183" s="395"/>
      <c r="G183" s="395"/>
      <c r="H183" s="395"/>
      <c r="I183" s="396">
        <f>IS!I10/365</f>
        <v>32.415342465753426</v>
      </c>
      <c r="J183" s="395"/>
      <c r="K183" s="395"/>
      <c r="L183" s="395"/>
      <c r="M183" s="395"/>
      <c r="N183" s="396">
        <f>IS!N10/365</f>
        <v>37.670210958904107</v>
      </c>
      <c r="O183" s="395"/>
      <c r="P183" s="395"/>
      <c r="Q183" s="395"/>
      <c r="R183" s="395"/>
      <c r="S183" s="396">
        <f>IS!S10/365</f>
        <v>41.845479452054803</v>
      </c>
      <c r="T183" s="395"/>
      <c r="U183" s="395"/>
      <c r="V183" s="395"/>
      <c r="W183" s="395"/>
      <c r="X183" s="396">
        <f>IS!X10/365</f>
        <v>49.584383561643833</v>
      </c>
      <c r="Y183" s="395"/>
      <c r="Z183" s="395"/>
      <c r="AA183" s="395"/>
      <c r="AB183" s="395"/>
      <c r="AC183" s="396">
        <f>IS!AC10/365</f>
        <v>55.034246575342465</v>
      </c>
      <c r="AD183" s="395"/>
      <c r="AE183" s="395"/>
      <c r="AF183" s="395"/>
      <c r="AG183" s="395"/>
      <c r="AH183" s="396">
        <f>IS!AH10/365</f>
        <v>60.935342465753429</v>
      </c>
      <c r="AI183" s="395"/>
      <c r="AJ183" s="395"/>
      <c r="AK183" s="395"/>
      <c r="AL183" s="395"/>
      <c r="AM183" s="396">
        <f>IS!AM10/365</f>
        <v>66.250684931506854</v>
      </c>
      <c r="AN183" s="395"/>
      <c r="AO183" s="395"/>
      <c r="AP183" s="395"/>
      <c r="AQ183" s="395"/>
      <c r="AR183" s="396">
        <f>IS!AR10/365</f>
        <v>72.843835616438369</v>
      </c>
      <c r="AS183" s="395"/>
      <c r="AT183" s="395"/>
      <c r="AU183" s="395"/>
      <c r="AV183" s="395"/>
      <c r="AW183" s="396">
        <f>IS!AW10/365</f>
        <v>83.82</v>
      </c>
      <c r="AX183" s="395"/>
      <c r="AY183" s="395"/>
      <c r="AZ183" s="395"/>
      <c r="BA183" s="395"/>
      <c r="BB183" s="396">
        <f>IS!BB10/365</f>
        <v>101.38821917808221</v>
      </c>
      <c r="BC183" s="395">
        <f>(IS!BC10*4)/365</f>
        <v>109.36876712328767</v>
      </c>
      <c r="BD183" s="395">
        <f>(IS!BD10*4)/365</f>
        <v>115.77424657534246</v>
      </c>
      <c r="BE183" s="395">
        <f>(IS!BE10*4)/365</f>
        <v>122.83616438356165</v>
      </c>
      <c r="BF183" s="395">
        <f>(IS!BF10*4)/365</f>
        <v>132.25534246575342</v>
      </c>
      <c r="BG183" s="396">
        <f>IS!BG10/365</f>
        <v>119.63260273972602</v>
      </c>
      <c r="BH183" s="395">
        <f>IS!BH10/365</f>
        <v>36.122191780821922</v>
      </c>
      <c r="BI183" s="395">
        <f>IS!BI10/365</f>
        <v>56.721369863013706</v>
      </c>
      <c r="BJ183" s="395">
        <f>IS!BJ10/365</f>
        <v>56.151232876712328</v>
      </c>
      <c r="BK183" s="395">
        <f>IS!BK10/365</f>
        <v>60.116164383561639</v>
      </c>
      <c r="BL183" s="396">
        <f>IS!BL10/365</f>
        <v>209.12191780821917</v>
      </c>
      <c r="BM183" s="395">
        <f>IS!BM10/365</f>
        <v>58.42739726027397</v>
      </c>
      <c r="BN183" s="395">
        <f>IS!BN10/365</f>
        <v>57.918630136986309</v>
      </c>
      <c r="BO183" s="395">
        <f>IS!BO10/365</f>
        <v>57.16</v>
      </c>
      <c r="BP183" s="395">
        <f>IS!BP10/365</f>
        <v>66.143013698630142</v>
      </c>
      <c r="BQ183" s="396">
        <f>IS!BQ10/365</f>
        <v>239.6490410958904</v>
      </c>
      <c r="BR183" s="395">
        <f>IS!BR10/365</f>
        <v>64.092876712328774</v>
      </c>
      <c r="BS183" s="395">
        <f>IS!BS10/365</f>
        <v>68.14</v>
      </c>
      <c r="BT183" s="395">
        <f>IS!BT10/365</f>
        <v>67.512054794520552</v>
      </c>
      <c r="BU183" s="395">
        <f>IS!BU10/365</f>
        <v>70.745205479452054</v>
      </c>
      <c r="BV183" s="396">
        <f>IS!BV10/365</f>
        <v>270.49013698630137</v>
      </c>
      <c r="BW183" s="395">
        <f>IS!BW10/365</f>
        <v>65.095890410958901</v>
      </c>
      <c r="BX183" s="395">
        <f>IS!BX10/365</f>
        <v>65.772602739726025</v>
      </c>
      <c r="BY183" s="395">
        <f>IS!BY10/365</f>
        <v>65.410958904109592</v>
      </c>
      <c r="BZ183" s="395">
        <f>IS!BZ10/365</f>
        <v>67.865753424657541</v>
      </c>
      <c r="CA183" s="396">
        <f>IS!CA10/365</f>
        <v>264.14520547945204</v>
      </c>
      <c r="CB183" s="395">
        <f>IS!CB10/365</f>
        <v>70.904109589041099</v>
      </c>
      <c r="CC183" s="395">
        <f>IS!CC10/365</f>
        <v>72.956164383561642</v>
      </c>
      <c r="CD183" s="395">
        <f>IS!CD10/365</f>
        <v>73.079452054794515</v>
      </c>
      <c r="CE183" s="395">
        <f>IS!CE10/365</f>
        <v>77.580821917808223</v>
      </c>
      <c r="CF183" s="396">
        <f>IS!CF10/365</f>
        <v>294.52054794520546</v>
      </c>
      <c r="CG183" s="395">
        <f>IS!CG10/365</f>
        <v>84.37808219178082</v>
      </c>
      <c r="CH183" s="395">
        <f>IS!CH10/365</f>
        <v>84.149041095890411</v>
      </c>
      <c r="CI183" s="395">
        <f>IS!CI10/365</f>
        <v>82.814520547945193</v>
      </c>
      <c r="CJ183" s="395">
        <f>IS!CJ10/365</f>
        <v>86.010958904109586</v>
      </c>
      <c r="CK183" s="396">
        <f>IS!CK10/365</f>
        <v>337.35260273972608</v>
      </c>
      <c r="CL183" s="395">
        <f>IS!CL10/365</f>
        <v>84.282191780821918</v>
      </c>
      <c r="CM183" s="395">
        <f>IS!CM10/365</f>
        <v>85.611780821917804</v>
      </c>
      <c r="CN183" s="395">
        <f>IS!CN10/365</f>
        <v>87.583835616438364</v>
      </c>
      <c r="CO183" s="395">
        <f>IS!CO10/365</f>
        <v>89.944931506849315</v>
      </c>
      <c r="CP183" s="396">
        <f>IS!CP10/365</f>
        <v>347.42273972602743</v>
      </c>
      <c r="CQ183" s="395">
        <f>IS!CQ10/365</f>
        <v>89.558630136986295</v>
      </c>
      <c r="CR183" s="395">
        <f>IS!CR10/365</f>
        <v>94.797808219178094</v>
      </c>
      <c r="CS183" s="395">
        <f>IS!CS10/365</f>
        <v>95.948219178082184</v>
      </c>
      <c r="CT183" s="395">
        <f>IS!CT10/365</f>
        <v>101.5213698630137</v>
      </c>
      <c r="CU183" s="396">
        <f>IS!CU10/365</f>
        <v>381.82602739726025</v>
      </c>
      <c r="CV183" s="395">
        <f>IS!CV10/365</f>
        <v>99.538630136986313</v>
      </c>
      <c r="CW183" s="395">
        <f>IS!CW10/365</f>
        <v>101.83260273972601</v>
      </c>
      <c r="CX183" s="395">
        <f>IS!CX10/365</f>
        <v>105.87284788698631</v>
      </c>
      <c r="CY183" s="395">
        <f>IS!CY10/365</f>
        <v>112.72768418591781</v>
      </c>
      <c r="CZ183" s="396">
        <f>IS!CZ10/365</f>
        <v>419.97176494961644</v>
      </c>
      <c r="DA183" s="395">
        <f>IS!DA10/365</f>
        <v>118.39726027397261</v>
      </c>
      <c r="DB183" s="395">
        <f>IS!DB10/365</f>
        <v>119.79534246575344</v>
      </c>
      <c r="DC183" s="395">
        <f>IS!DC10/365</f>
        <v>122.23287671232876</v>
      </c>
      <c r="DD183" s="395">
        <f>IS!DD10/365</f>
        <v>125.94849315068493</v>
      </c>
      <c r="DE183" s="396">
        <f>IS!DE10/365</f>
        <v>486.37397260273974</v>
      </c>
      <c r="DF183" s="395">
        <f>IS!DF10/365</f>
        <v>121.95506849315068</v>
      </c>
      <c r="DG183" s="395">
        <f>IS!DG10/365</f>
        <v>125.16470913687439</v>
      </c>
      <c r="DH183" s="395">
        <f>IS!DH10/365</f>
        <v>126.52441380358317</v>
      </c>
      <c r="DI183" s="395">
        <f>IS!DI10/365</f>
        <v>132.56205313936988</v>
      </c>
      <c r="DJ183" s="396">
        <f>IS!DJ10/365</f>
        <v>506.20624457297811</v>
      </c>
      <c r="DK183" s="395">
        <f ca="1">IS!DK10/365</f>
        <v>125.6238277680184</v>
      </c>
      <c r="DL183" s="395">
        <f ca="1">IS!DL10/365</f>
        <v>131.92170917806882</v>
      </c>
      <c r="DM183" s="395">
        <f ca="1">IS!DM10/365</f>
        <v>130.92672048383838</v>
      </c>
      <c r="DN183" s="395">
        <f ca="1">IS!DN10/365</f>
        <v>134.46781261439375</v>
      </c>
      <c r="DO183" s="396">
        <f ca="1">IS!DO10/365</f>
        <v>522.94007004431933</v>
      </c>
      <c r="DP183" s="395">
        <f ca="1">IS!DP10/365</f>
        <v>133.04281007272149</v>
      </c>
      <c r="DQ183" s="395">
        <f ca="1">IS!DQ10/365</f>
        <v>139.69707240448002</v>
      </c>
      <c r="DR183" s="395">
        <f ca="1">IS!DR10/365</f>
        <v>138.57039761870485</v>
      </c>
      <c r="DS183" s="395">
        <f ca="1">IS!DS10/365</f>
        <v>142.07044792458612</v>
      </c>
      <c r="DT183" s="396">
        <f ca="1">IS!DT10/365</f>
        <v>553.3807280204926</v>
      </c>
      <c r="DU183" s="395">
        <f ca="1">IS!DU10/365</f>
        <v>137.92184927826577</v>
      </c>
      <c r="DV183" s="395">
        <f ca="1">IS!DV10/365</f>
        <v>144.65899564835465</v>
      </c>
      <c r="DW183" s="395">
        <f ca="1">IS!DW10/365</f>
        <v>143.36583996176245</v>
      </c>
      <c r="DX183" s="395">
        <f ca="1">IS!DX10/365</f>
        <v>146.74337945582491</v>
      </c>
      <c r="DY183" s="396">
        <f ca="1">IS!DY10/365</f>
        <v>572.69006434420771</v>
      </c>
      <c r="DZ183" s="1858"/>
      <c r="EA183" s="1858"/>
      <c r="EB183" s="1858"/>
    </row>
    <row r="184" spans="1:132" x14ac:dyDescent="0.2">
      <c r="A184" s="1957"/>
      <c r="B184" s="1958" t="s">
        <v>418</v>
      </c>
      <c r="C184" s="1957"/>
      <c r="D184" s="397"/>
      <c r="E184" s="397"/>
      <c r="F184" s="397"/>
      <c r="G184" s="397"/>
      <c r="H184" s="397"/>
      <c r="I184" s="398">
        <f>I139/I183</f>
        <v>10.818950944927144</v>
      </c>
      <c r="J184" s="397"/>
      <c r="K184" s="397"/>
      <c r="L184" s="397"/>
      <c r="M184" s="397"/>
      <c r="N184" s="398">
        <f>N139/N183</f>
        <v>12.009489421058477</v>
      </c>
      <c r="O184" s="397"/>
      <c r="P184" s="397"/>
      <c r="Q184" s="397"/>
      <c r="R184" s="397"/>
      <c r="S184" s="398">
        <f>S139/S183</f>
        <v>15.54050780431594</v>
      </c>
      <c r="T184" s="397"/>
      <c r="U184" s="397"/>
      <c r="V184" s="397"/>
      <c r="W184" s="397"/>
      <c r="X184" s="398">
        <f>X139/X183</f>
        <v>14.103230690175319</v>
      </c>
      <c r="Y184" s="397"/>
      <c r="Z184" s="397"/>
      <c r="AA184" s="397"/>
      <c r="AB184" s="397"/>
      <c r="AC184" s="398">
        <f>AC139/AC183</f>
        <v>14.981580584940884</v>
      </c>
      <c r="AD184" s="397"/>
      <c r="AE184" s="397"/>
      <c r="AF184" s="397"/>
      <c r="AG184" s="397"/>
      <c r="AH184" s="398">
        <f>AH139/AH183</f>
        <v>15.85615114156483</v>
      </c>
      <c r="AI184" s="397"/>
      <c r="AJ184" s="397"/>
      <c r="AK184" s="397"/>
      <c r="AL184" s="397"/>
      <c r="AM184" s="398">
        <f>AM139/AM183</f>
        <v>15.385501312987198</v>
      </c>
      <c r="AN184" s="397"/>
      <c r="AO184" s="397"/>
      <c r="AP184" s="397"/>
      <c r="AQ184" s="397"/>
      <c r="AR184" s="398">
        <f>AR139/AR183</f>
        <v>18.527305551376557</v>
      </c>
      <c r="AS184" s="397"/>
      <c r="AT184" s="397"/>
      <c r="AU184" s="397"/>
      <c r="AV184" s="397"/>
      <c r="AW184" s="398">
        <f>AW139/AW183</f>
        <v>21.047482701026009</v>
      </c>
      <c r="AX184" s="397"/>
      <c r="AY184" s="397"/>
      <c r="AZ184" s="397"/>
      <c r="BA184" s="397"/>
      <c r="BB184" s="398">
        <f>BB139/BB183</f>
        <v>18.144119848567957</v>
      </c>
      <c r="BC184" s="397">
        <f>BC139/(BC183*4)</f>
        <v>4.6059767632942217</v>
      </c>
      <c r="BD184" s="397">
        <f>BD139/(BD183*4)</f>
        <v>4.3867700721290372</v>
      </c>
      <c r="BE184" s="397">
        <f>BE139/(BE183*4)</f>
        <v>4.4722171418885157</v>
      </c>
      <c r="BF184" s="397">
        <f>BF139/(BF183*4)</f>
        <v>4.4939583454173331</v>
      </c>
      <c r="BG184" s="398">
        <f>BG139/BG183</f>
        <v>19.872509211993801</v>
      </c>
      <c r="BH184" s="397">
        <f>BH139/(BH183*4)</f>
        <v>31.043243632723019</v>
      </c>
      <c r="BI184" s="397">
        <f>BI139/(BI183*4)</f>
        <v>18.880450218081172</v>
      </c>
      <c r="BJ184" s="397">
        <f>BJ139/(BJ183*4)</f>
        <v>20.092613148444514</v>
      </c>
      <c r="BK184" s="397">
        <f>BK139/(BK183*4)</f>
        <v>19.044794553011524</v>
      </c>
      <c r="BL184" s="398">
        <f>BL139/BL183</f>
        <v>21.899187077080292</v>
      </c>
      <c r="BM184" s="397">
        <f>BM139/(BM183*4)</f>
        <v>19.783099268498546</v>
      </c>
      <c r="BN184" s="397">
        <f>BN139/(BN183*4)</f>
        <v>19.241218194632996</v>
      </c>
      <c r="BO184" s="397">
        <f>BO139/(BO183*4)</f>
        <v>20.991515045486356</v>
      </c>
      <c r="BP184" s="397">
        <f>BP139/(BP183*4)</f>
        <v>20.350977748506764</v>
      </c>
      <c r="BQ184" s="398">
        <f>BQ139/BQ183</f>
        <v>22.467438114411603</v>
      </c>
      <c r="BR184" s="397">
        <f>BR139/(BR183*4)</f>
        <v>20.900138497642544</v>
      </c>
      <c r="BS184" s="397">
        <f>BS139/(BS183*4)</f>
        <v>20.251687701790431</v>
      </c>
      <c r="BT184" s="397">
        <f>BT139/(BT183*4)</f>
        <v>21.081049959621616</v>
      </c>
      <c r="BU184" s="397">
        <f>BU139/(BU183*4)</f>
        <v>19.283992332119897</v>
      </c>
      <c r="BV184" s="398">
        <f>BV139/BV183</f>
        <v>20.174487915898993</v>
      </c>
      <c r="BW184" s="397">
        <f>BW139/(BW183*4)</f>
        <v>19.774673821548824</v>
      </c>
      <c r="BX184" s="397">
        <f>BX139/(BX183*4)</f>
        <v>19.388772024826093</v>
      </c>
      <c r="BY184" s="397">
        <f>BY139/(BY183*4)</f>
        <v>19.534188481675393</v>
      </c>
      <c r="BZ184" s="397">
        <f>BZ139/(BZ183*4)</f>
        <v>18.142434701869121</v>
      </c>
      <c r="CA184" s="398">
        <f>CA139/CA183</f>
        <v>18.645047866988893</v>
      </c>
      <c r="CB184" s="397">
        <f>CB139/(CB183*4)</f>
        <v>18.856452859350849</v>
      </c>
      <c r="CC184" s="397">
        <f>CC139/(CC183*4)</f>
        <v>20.190206166209773</v>
      </c>
      <c r="CD184" s="397">
        <f>CD139/(CD183*4)</f>
        <v>20.18693296843368</v>
      </c>
      <c r="CE184" s="397">
        <f>CE139/(CE183*4)</f>
        <v>19.486130239785286</v>
      </c>
      <c r="CF184" s="398">
        <f>CF139/CF183</f>
        <v>20.531674418604652</v>
      </c>
      <c r="CG184" s="1695">
        <f>CG139/(CG183*4)</f>
        <v>18.100079550620169</v>
      </c>
      <c r="CH184" s="1695">
        <f>CH139/(CH183*4)</f>
        <v>18.193909045919828</v>
      </c>
      <c r="CI184" s="1695">
        <f>CI139/(CI183*4)</f>
        <v>19.341414879926425</v>
      </c>
      <c r="CJ184" s="1695">
        <f>CJ139/(CJ183*4)</f>
        <v>18.814462954704723</v>
      </c>
      <c r="CK184" s="398">
        <f>CK139/CK183</f>
        <v>19.187639127225118</v>
      </c>
      <c r="CL184" s="397">
        <f>CL139/(CL183*4)</f>
        <v>19.680907258719891</v>
      </c>
      <c r="CM184" s="1695">
        <f>CM139/(CM183*4)</f>
        <v>20.712686770160296</v>
      </c>
      <c r="CN184" s="1695">
        <f>CN139/(CN183*4)</f>
        <v>22.935168183282709</v>
      </c>
      <c r="CO184" s="1695">
        <f>CO139/(CO183*4)</f>
        <v>24.262067505536113</v>
      </c>
      <c r="CP184" s="398">
        <f>CP139/CP183</f>
        <v>25.12501054733367</v>
      </c>
      <c r="CQ184" s="1695">
        <f>CQ139/(CQ183*4)</f>
        <v>25.363273160002326</v>
      </c>
      <c r="CR184" s="1695">
        <f>CR139/(CR183*4)</f>
        <v>25.140349178641198</v>
      </c>
      <c r="CS184" s="1695">
        <f>CS139/(CS183*4)</f>
        <v>28.213134367566983</v>
      </c>
      <c r="CT184" s="1695">
        <f>CT139/(CT183*4)</f>
        <v>23.854583554849103</v>
      </c>
      <c r="CU184" s="398">
        <f>CU139/CU183</f>
        <v>25.370192980379073</v>
      </c>
      <c r="CV184" s="1695">
        <f>CV139/(CV183*4)</f>
        <v>25.522754296535243</v>
      </c>
      <c r="CW184" s="1695">
        <f>CW139/(CW183*4)</f>
        <v>26.739962710760881</v>
      </c>
      <c r="CX184" s="1695">
        <f>CX139/(CX183*4)</f>
        <v>30.23438080570855</v>
      </c>
      <c r="CY184" s="1695">
        <f>CY139/(CY183*4)</f>
        <v>26.364419897940817</v>
      </c>
      <c r="CZ184" s="398">
        <f>CZ139/CZ183</f>
        <v>28.306664857401046</v>
      </c>
      <c r="DA184" s="1695">
        <f>DA139/(DA183*4)</f>
        <v>27.502747888464654</v>
      </c>
      <c r="DB184" s="1695">
        <f>DB139/(DB183*4)</f>
        <v>27.511503637482189</v>
      </c>
      <c r="DC184" s="1695">
        <f>DC139/(DC183*4)</f>
        <v>27.866888938697748</v>
      </c>
      <c r="DD184" s="1695">
        <f>DD139/(DD183*4)</f>
        <v>24.144790651538354</v>
      </c>
      <c r="DE184" s="398">
        <f>DE139/DE183</f>
        <v>25.009561952722549</v>
      </c>
      <c r="DF184" s="1695">
        <f>DF139/(DF183*4)</f>
        <v>24.832916232342477</v>
      </c>
      <c r="DG184" s="1695">
        <f>DG139/(DG183*4)</f>
        <v>24.515696326545442</v>
      </c>
      <c r="DH184" s="1695">
        <f>DH139/(DH183*4)</f>
        <v>24.580236386852359</v>
      </c>
      <c r="DI184" s="1695">
        <f>DI139/(DI183*4)</f>
        <v>24.85816960405343</v>
      </c>
      <c r="DJ184" s="398">
        <f>DJ139/DJ183</f>
        <v>26.038793755140524</v>
      </c>
      <c r="DK184" s="399">
        <f>DF184</f>
        <v>24.832916232342477</v>
      </c>
      <c r="DL184" s="399">
        <f>DG184</f>
        <v>24.515696326545442</v>
      </c>
      <c r="DM184" s="399">
        <f t="shared" ref="DM184:DN184" si="236">DH184</f>
        <v>24.580236386852359</v>
      </c>
      <c r="DN184" s="399">
        <f t="shared" si="236"/>
        <v>24.85816960405343</v>
      </c>
      <c r="DO184" s="398">
        <f ca="1">DO139/DO183</f>
        <v>25.56792935734595</v>
      </c>
      <c r="DP184" s="399">
        <f>DK184-0.5</f>
        <v>24.332916232342477</v>
      </c>
      <c r="DQ184" s="399">
        <f t="shared" ref="DQ184:DS184" si="237">DL184-0.5</f>
        <v>24.015696326545442</v>
      </c>
      <c r="DR184" s="399">
        <f t="shared" si="237"/>
        <v>24.080236386852359</v>
      </c>
      <c r="DS184" s="399">
        <f t="shared" si="237"/>
        <v>24.35816960405343</v>
      </c>
      <c r="DT184" s="398">
        <f ca="1">DT139/DT183</f>
        <v>25.014069995894463</v>
      </c>
      <c r="DU184" s="399">
        <f>DP184-0.5</f>
        <v>23.832916232342477</v>
      </c>
      <c r="DV184" s="399">
        <f t="shared" ref="DV184" si="238">DQ184-0.5</f>
        <v>23.515696326545442</v>
      </c>
      <c r="DW184" s="399">
        <f t="shared" ref="DW184" si="239">DR184-0.5</f>
        <v>23.580236386852359</v>
      </c>
      <c r="DX184" s="399">
        <f t="shared" ref="DX184" si="240">DS184-0.5</f>
        <v>23.85816960405343</v>
      </c>
      <c r="DY184" s="398">
        <f ca="1">DY139/DY183</f>
        <v>24.453215819890978</v>
      </c>
      <c r="DZ184" s="1959"/>
      <c r="EA184" s="1959"/>
      <c r="EB184" s="1959"/>
    </row>
    <row r="185" spans="1:132" x14ac:dyDescent="0.2">
      <c r="A185" s="1842"/>
      <c r="B185" s="1960" t="s">
        <v>419</v>
      </c>
      <c r="C185" s="1961"/>
      <c r="D185" s="240"/>
      <c r="E185" s="240"/>
      <c r="F185" s="240"/>
      <c r="G185" s="240"/>
      <c r="H185" s="240"/>
      <c r="I185" s="365">
        <f>IS!I11/365</f>
        <v>22.949909589041098</v>
      </c>
      <c r="J185" s="240"/>
      <c r="K185" s="240"/>
      <c r="L185" s="240"/>
      <c r="M185" s="240"/>
      <c r="N185" s="365">
        <f>IS!N11/365</f>
        <v>27.277652054794519</v>
      </c>
      <c r="O185" s="240"/>
      <c r="P185" s="240"/>
      <c r="Q185" s="240"/>
      <c r="R185" s="240"/>
      <c r="S185" s="365">
        <f>IS!S11/365</f>
        <v>30.532602739726027</v>
      </c>
      <c r="T185" s="240"/>
      <c r="U185" s="240"/>
      <c r="V185" s="240"/>
      <c r="W185" s="240"/>
      <c r="X185" s="365">
        <f>IS!X11/365</f>
        <v>36.265479452054791</v>
      </c>
      <c r="Y185" s="240"/>
      <c r="Z185" s="240"/>
      <c r="AA185" s="240"/>
      <c r="AB185" s="240"/>
      <c r="AC185" s="365">
        <f>IS!AC11/365</f>
        <v>40.344657534246572</v>
      </c>
      <c r="AD185" s="240"/>
      <c r="AE185" s="240"/>
      <c r="AF185" s="240"/>
      <c r="AG185" s="240"/>
      <c r="AH185" s="365">
        <f>IS!AH11/365</f>
        <v>45.343561643835621</v>
      </c>
      <c r="AI185" s="240"/>
      <c r="AJ185" s="240"/>
      <c r="AK185" s="240"/>
      <c r="AL185" s="240"/>
      <c r="AM185" s="365">
        <f>IS!AM11/365</f>
        <v>49.623835616438356</v>
      </c>
      <c r="AN185" s="240"/>
      <c r="AO185" s="240"/>
      <c r="AP185" s="240"/>
      <c r="AQ185" s="240"/>
      <c r="AR185" s="365">
        <f>IS!AR11/365</f>
        <v>54.041095890410958</v>
      </c>
      <c r="AS185" s="240"/>
      <c r="AT185" s="240"/>
      <c r="AU185" s="240"/>
      <c r="AV185" s="240"/>
      <c r="AW185" s="365">
        <f>IS!AW11/365</f>
        <v>61.816712328767117</v>
      </c>
      <c r="AX185" s="240"/>
      <c r="AY185" s="240"/>
      <c r="AZ185" s="240"/>
      <c r="BA185" s="240"/>
      <c r="BB185" s="365">
        <f>IS!BB11/365</f>
        <v>74.82767123287671</v>
      </c>
      <c r="BC185" s="240">
        <f>(IS!BC11*4)/365</f>
        <v>80.330958904109593</v>
      </c>
      <c r="BD185" s="240">
        <f>(IS!BD11*4)/365</f>
        <v>84.569863013698637</v>
      </c>
      <c r="BE185" s="240">
        <f>(IS!BE11*4)/365</f>
        <v>89.058630136986309</v>
      </c>
      <c r="BF185" s="240">
        <f>(IS!BF11*4)/365</f>
        <v>95.353424657534248</v>
      </c>
      <c r="BG185" s="365">
        <f>IS!BG11/365</f>
        <v>87.888219178082196</v>
      </c>
      <c r="BH185" s="240">
        <f>(IS!BH11*4)/365</f>
        <v>107.78630136986301</v>
      </c>
      <c r="BI185" s="240">
        <f>(IS!BI11*4)/365</f>
        <v>181.31287671232877</v>
      </c>
      <c r="BJ185" s="240">
        <f>(IS!BJ11*4)/365</f>
        <v>178.63013698630138</v>
      </c>
      <c r="BK185" s="240">
        <f>(IS!BK11*4)/365</f>
        <v>191.68876712328765</v>
      </c>
      <c r="BL185" s="365">
        <f>IS!BL11/365</f>
        <v>164.99123287671233</v>
      </c>
      <c r="BM185" s="240">
        <f>(IS!BM11*4)/365</f>
        <v>186.66301369863012</v>
      </c>
      <c r="BN185" s="240">
        <f>(IS!BN11*4)/365</f>
        <v>183.74904109589039</v>
      </c>
      <c r="BO185" s="240">
        <f>(IS!BO11*4)/365</f>
        <v>180.41424657534245</v>
      </c>
      <c r="BP185" s="240">
        <f>(IS!BP11*4)/365</f>
        <v>207.32712328767121</v>
      </c>
      <c r="BQ185" s="365">
        <f>IS!BQ11/365</f>
        <v>189.53835616438357</v>
      </c>
      <c r="BR185" s="240">
        <f>(IS!BR11*4)/365</f>
        <v>204.33863013698632</v>
      </c>
      <c r="BS185" s="240">
        <f>(IS!BS11*4)/365</f>
        <v>217.19342465753425</v>
      </c>
      <c r="BT185" s="240">
        <f>(IS!BT11*4)/365</f>
        <v>215.1254794520548</v>
      </c>
      <c r="BU185" s="240">
        <f>(IS!BU11*4)/365</f>
        <v>221.95726027397259</v>
      </c>
      <c r="BV185" s="365">
        <f>IS!BV11/365</f>
        <v>214.653698630137</v>
      </c>
      <c r="BW185" s="240">
        <f>(IS!BW11*4)/365</f>
        <v>208.37260273972603</v>
      </c>
      <c r="BX185" s="240">
        <f>(IS!BX11*4)/365</f>
        <v>208.07671232876712</v>
      </c>
      <c r="BY185" s="240">
        <f>(IS!BY11*4)/365</f>
        <v>206.58630136986301</v>
      </c>
      <c r="BZ185" s="240">
        <f>(IS!BZ11*4)/365</f>
        <v>211.55068493150685</v>
      </c>
      <c r="CA185" s="365">
        <f>IS!CA11/365</f>
        <v>208.64657534246575</v>
      </c>
      <c r="CB185" s="240">
        <f>(IS!CB11*4)/365</f>
        <v>231.55068493150685</v>
      </c>
      <c r="CC185" s="240">
        <f>(IS!CC11*4)/365</f>
        <v>235.9890410958904</v>
      </c>
      <c r="CD185" s="240">
        <f>(IS!CD11*4)/365</f>
        <v>235.57260273972602</v>
      </c>
      <c r="CE185" s="240">
        <f>(IS!CE11*4)/365</f>
        <v>249.4421917808219</v>
      </c>
      <c r="CF185" s="365">
        <f>IS!CF11/365</f>
        <v>238.13863013698631</v>
      </c>
      <c r="CG185" s="240">
        <f>(IS!CG11*4)/365</f>
        <v>281.47945205479454</v>
      </c>
      <c r="CH185" s="240">
        <f>(IS!CH11*4)/365</f>
        <v>276.87890410958903</v>
      </c>
      <c r="CI185" s="240">
        <f>(IS!CI11*4)/365</f>
        <v>269.37265753424657</v>
      </c>
      <c r="CJ185" s="240">
        <f>(IS!CJ11*4)/365</f>
        <v>275.03561643835616</v>
      </c>
      <c r="CK185" s="365">
        <f>IS!CK11/365</f>
        <v>275.69165753424653</v>
      </c>
      <c r="CL185" s="240">
        <f>(IS!CL11*4)/365</f>
        <v>275.95616438356166</v>
      </c>
      <c r="CM185" s="240">
        <f>(IS!CM11*4)/365</f>
        <v>278.48767123287672</v>
      </c>
      <c r="CN185" s="240">
        <f>(IS!CN11*4)/365</f>
        <v>284.19397260273973</v>
      </c>
      <c r="CO185" s="240">
        <f>(IS!CO11*4)/365</f>
        <v>290.32328767123289</v>
      </c>
      <c r="CP185" s="365">
        <f>IS!CP11/365</f>
        <v>282.24027397260272</v>
      </c>
      <c r="CQ185" s="240">
        <f>(IS!CQ11*4)/365</f>
        <v>293.1123287671233</v>
      </c>
      <c r="CR185" s="240">
        <f>(IS!CR11*4)/365</f>
        <v>309.89808219178082</v>
      </c>
      <c r="CS185" s="240">
        <f>(IS!CS11*4)/365</f>
        <v>312.91561643835615</v>
      </c>
      <c r="CT185" s="240">
        <f>(IS!CT11*4)/365</f>
        <v>333.38630136986302</v>
      </c>
      <c r="CU185" s="365">
        <f>IS!CU11/365</f>
        <v>312.32808219178082</v>
      </c>
      <c r="CV185" s="240">
        <f>(IS!CV11*4)/365</f>
        <v>330.60493150684931</v>
      </c>
      <c r="CW185" s="240">
        <f>(IS!CW11*4)/365</f>
        <v>337.16821917808215</v>
      </c>
      <c r="CX185" s="240">
        <f>(IS!CX11*4)/365</f>
        <v>350.4962078306167</v>
      </c>
      <c r="CY185" s="240">
        <f>(IS!CY11*4)/365</f>
        <v>370.9019178082192</v>
      </c>
      <c r="CZ185" s="365">
        <f>IS!CZ11/365</f>
        <v>347.29281908094185</v>
      </c>
      <c r="DA185" s="240">
        <f>(IS!DA11*4)/365</f>
        <v>399.63726027397263</v>
      </c>
      <c r="DB185" s="240">
        <f>(IS!DB11*4)/365</f>
        <v>402.23342465753427</v>
      </c>
      <c r="DC185" s="240">
        <f>(IS!DC11*4)/365</f>
        <v>406.77041095890416</v>
      </c>
      <c r="DD185" s="240">
        <f>(IS!DD11*4)/365</f>
        <v>420.11616438356162</v>
      </c>
      <c r="DE185" s="365">
        <f>IS!DE11/365</f>
        <v>407.18931506849316</v>
      </c>
      <c r="DF185" s="240">
        <f>(IS!DF11*4)/365</f>
        <v>415.70410958904108</v>
      </c>
      <c r="DG185" s="240">
        <f>(IS!DG11*4)/365</f>
        <v>424.60273972602738</v>
      </c>
      <c r="DH185" s="240">
        <f>(IS!DH11*4)/365</f>
        <v>427.97543044175939</v>
      </c>
      <c r="DI185" s="240">
        <f>(IS!DI11*4)/365</f>
        <v>443.68140917338098</v>
      </c>
      <c r="DJ185" s="365">
        <f>IS!DJ11/365</f>
        <v>427.99092223255224</v>
      </c>
      <c r="DK185" s="240">
        <f ca="1">(IS!DK11*4)/365</f>
        <v>428.9554276048832</v>
      </c>
      <c r="DL185" s="240">
        <f ca="1">(IS!DL11*4)/365</f>
        <v>450.77780172788601</v>
      </c>
      <c r="DM185" s="240">
        <f ca="1">(IS!DM11*4)/365</f>
        <v>445.16473601803051</v>
      </c>
      <c r="DN185" s="240">
        <f ca="1">(IS!DN11*4)/365</f>
        <v>453.81702538664342</v>
      </c>
      <c r="DO185" s="365">
        <f ca="1">IS!DO11/365</f>
        <v>444.67874768436081</v>
      </c>
      <c r="DP185" s="240">
        <f ca="1">(IS!DP11*4)/365</f>
        <v>456.96917246973351</v>
      </c>
      <c r="DQ185" s="240">
        <f ca="1">(IS!DQ11*4)/365</f>
        <v>480.37084904258745</v>
      </c>
      <c r="DR185" s="240">
        <f ca="1">(IS!DR11*4)/365</f>
        <v>474.10253287845552</v>
      </c>
      <c r="DS185" s="240">
        <f ca="1">(IS!DS11*4)/365</f>
        <v>482.53340896831327</v>
      </c>
      <c r="DT185" s="365">
        <f ca="1">IS!DT11/365</f>
        <v>473.49399083977244</v>
      </c>
      <c r="DU185" s="240">
        <f ca="1">(IS!DU11*4)/365</f>
        <v>474.9291651177204</v>
      </c>
      <c r="DV185" s="240">
        <f ca="1">(IS!DV11*4)/365</f>
        <v>498.45971567933321</v>
      </c>
      <c r="DW185" s="240">
        <f ca="1">(IS!DW11*4)/365</f>
        <v>491.37751172526265</v>
      </c>
      <c r="DX185" s="240">
        <f ca="1">(IS!DX11*4)/365</f>
        <v>499.2676369899404</v>
      </c>
      <c r="DY185" s="365">
        <f ca="1">IS!DY11/365</f>
        <v>491.00850737806417</v>
      </c>
      <c r="DZ185" s="1858"/>
      <c r="EA185" s="1858"/>
      <c r="EB185" s="1858"/>
    </row>
    <row r="186" spans="1:132" x14ac:dyDescent="0.2">
      <c r="A186" s="1957"/>
      <c r="B186" s="1958" t="s">
        <v>420</v>
      </c>
      <c r="C186" s="1957"/>
      <c r="D186" s="397"/>
      <c r="E186" s="397"/>
      <c r="F186" s="397"/>
      <c r="G186" s="397"/>
      <c r="H186" s="397"/>
      <c r="I186" s="398">
        <f>I140/I185</f>
        <v>101.44702274172565</v>
      </c>
      <c r="J186" s="397"/>
      <c r="K186" s="397"/>
      <c r="L186" s="397"/>
      <c r="M186" s="397"/>
      <c r="N186" s="398">
        <f>N140/N185</f>
        <v>105.66891879879994</v>
      </c>
      <c r="O186" s="397"/>
      <c r="P186" s="397"/>
      <c r="Q186" s="397"/>
      <c r="R186" s="397"/>
      <c r="S186" s="398">
        <f>S140/S185</f>
        <v>104.48503284160654</v>
      </c>
      <c r="T186" s="397"/>
      <c r="U186" s="397"/>
      <c r="V186" s="397"/>
      <c r="W186" s="397"/>
      <c r="X186" s="398">
        <f>X140/X185</f>
        <v>95.007705731704561</v>
      </c>
      <c r="Y186" s="397"/>
      <c r="Z186" s="397"/>
      <c r="AA186" s="397"/>
      <c r="AB186" s="397"/>
      <c r="AC186" s="398">
        <f>AC140/AC185</f>
        <v>88.180200736122998</v>
      </c>
      <c r="AD186" s="397"/>
      <c r="AE186" s="397"/>
      <c r="AF186" s="397"/>
      <c r="AG186" s="397"/>
      <c r="AH186" s="398">
        <f>AH140/AH185</f>
        <v>86.420207366589324</v>
      </c>
      <c r="AI186" s="397"/>
      <c r="AJ186" s="397"/>
      <c r="AK186" s="397"/>
      <c r="AL186" s="397"/>
      <c r="AM186" s="398">
        <f>AM140/AM185</f>
        <v>80.886532653883748</v>
      </c>
      <c r="AN186" s="397"/>
      <c r="AO186" s="397"/>
      <c r="AP186" s="397"/>
      <c r="AQ186" s="397"/>
      <c r="AR186" s="398">
        <f>AR140/AR185</f>
        <v>74.323067173637511</v>
      </c>
      <c r="AS186" s="397"/>
      <c r="AT186" s="397"/>
      <c r="AU186" s="397"/>
      <c r="AV186" s="397"/>
      <c r="AW186" s="398">
        <f>AW140/AW185</f>
        <v>88.226950197446271</v>
      </c>
      <c r="AX186" s="397"/>
      <c r="AY186" s="397"/>
      <c r="AZ186" s="397"/>
      <c r="BA186" s="397"/>
      <c r="BB186" s="398">
        <f>BB140/BB185</f>
        <v>76.439636644564132</v>
      </c>
      <c r="BC186" s="397">
        <f>BC140/(BC185*4)</f>
        <v>17.754051731194238</v>
      </c>
      <c r="BD186" s="397">
        <f>BD140/(BD185*4)</f>
        <v>19.625194376052868</v>
      </c>
      <c r="BE186" s="397">
        <f>BE140/(BE185*4)</f>
        <v>19.690680142987226</v>
      </c>
      <c r="BF186" s="397">
        <f>BF140/(BF185*4)</f>
        <v>18.638292293989196</v>
      </c>
      <c r="BG186" s="398">
        <f>BG140/BG185</f>
        <v>80.885698521160123</v>
      </c>
      <c r="BH186" s="397">
        <f>BH140/(BH185*4)</f>
        <v>17.226446926948302</v>
      </c>
      <c r="BI186" s="397">
        <f>BI140/(BI185*4)</f>
        <v>10.684569320874232</v>
      </c>
      <c r="BJ186" s="397">
        <f>BJ140/(BJ185*4)</f>
        <v>11.044608895705521</v>
      </c>
      <c r="BK186" s="397">
        <f>BK140/(BK185*4)</f>
        <v>10.444273965789295</v>
      </c>
      <c r="BL186" s="398">
        <f>BL140/BL185</f>
        <v>48.537124430023674</v>
      </c>
      <c r="BM186" s="397">
        <f>BM140/(BM185)</f>
        <v>42.800659014853522</v>
      </c>
      <c r="BN186" s="397">
        <f>BN140/(BN185)</f>
        <v>43.545261255673317</v>
      </c>
      <c r="BO186" s="397">
        <f>BO140/(BO185)</f>
        <v>46.256879145710329</v>
      </c>
      <c r="BP186" s="397">
        <f>BP140/(BP185)</f>
        <v>44.145695241719793</v>
      </c>
      <c r="BQ186" s="398">
        <f>BQ140/BQ185</f>
        <v>48.28890671639094</v>
      </c>
      <c r="BR186" s="397">
        <f>BR140/(BR185)</f>
        <v>44.300972331719031</v>
      </c>
      <c r="BS186" s="397">
        <f>BS140/(BS185)</f>
        <v>43.281697016484266</v>
      </c>
      <c r="BT186" s="397">
        <f>BT140/(BT185)</f>
        <v>46.372470733869235</v>
      </c>
      <c r="BU186" s="397">
        <f>BU140/(BU185)</f>
        <v>46.599061401429871</v>
      </c>
      <c r="BV186" s="398">
        <f>BV140/BV185</f>
        <v>48.184587854792554</v>
      </c>
      <c r="BW186" s="397">
        <f>BW140/(BW185)</f>
        <v>49.310705269801197</v>
      </c>
      <c r="BX186" s="397">
        <f>BX140/(BX185)</f>
        <v>49.928701216621903</v>
      </c>
      <c r="BY186" s="397">
        <f>BY140/(BY185)</f>
        <v>51.237666436793802</v>
      </c>
      <c r="BZ186" s="397">
        <f>BZ140/(BZ185)</f>
        <v>50.555260567757976</v>
      </c>
      <c r="CA186" s="398">
        <f t="shared" ref="CA186:CU186" si="241">CA140/CA185</f>
        <v>51.258929040390775</v>
      </c>
      <c r="CB186" s="397">
        <f t="shared" si="241"/>
        <v>43.968775143168159</v>
      </c>
      <c r="CC186" s="397">
        <f t="shared" si="241"/>
        <v>42.845209900622272</v>
      </c>
      <c r="CD186" s="397">
        <f t="shared" si="241"/>
        <v>44.058603926311875</v>
      </c>
      <c r="CE186" s="397">
        <f t="shared" si="241"/>
        <v>40.273860361310277</v>
      </c>
      <c r="CF186" s="398">
        <f t="shared" si="241"/>
        <v>42.185511834939014</v>
      </c>
      <c r="CG186" s="397">
        <f t="shared" si="241"/>
        <v>37.931720848744405</v>
      </c>
      <c r="CH186" s="397">
        <f t="shared" si="241"/>
        <v>37.662674350490001</v>
      </c>
      <c r="CI186" s="397">
        <f t="shared" si="241"/>
        <v>38.931197011585112</v>
      </c>
      <c r="CJ186" s="397">
        <f t="shared" si="241"/>
        <v>39.118569948599436</v>
      </c>
      <c r="CK186" s="398">
        <f>CK140/CK185</f>
        <v>39.025482657789574</v>
      </c>
      <c r="CL186" s="397">
        <f t="shared" si="241"/>
        <v>38.382907747905165</v>
      </c>
      <c r="CM186" s="397">
        <f t="shared" si="241"/>
        <v>37.983728159924446</v>
      </c>
      <c r="CN186" s="397">
        <f t="shared" si="241"/>
        <v>38.090181508288765</v>
      </c>
      <c r="CO186" s="397">
        <f t="shared" si="241"/>
        <v>38.043796240374448</v>
      </c>
      <c r="CP186" s="398">
        <f t="shared" si="241"/>
        <v>39.133323690977377</v>
      </c>
      <c r="CQ186" s="397">
        <f t="shared" si="241"/>
        <v>38.169667059241391</v>
      </c>
      <c r="CR186" s="397">
        <f t="shared" si="241"/>
        <v>36.657212976780698</v>
      </c>
      <c r="CS186" s="397">
        <f t="shared" si="241"/>
        <v>37.112241735265847</v>
      </c>
      <c r="CT186" s="397">
        <f t="shared" si="241"/>
        <v>35.784313725490193</v>
      </c>
      <c r="CU186" s="398">
        <f t="shared" si="241"/>
        <v>38.197013589942081</v>
      </c>
      <c r="CV186" s="397">
        <f t="shared" ref="CV186:DA186" si="242">CV140/CV185</f>
        <v>36.99581837528217</v>
      </c>
      <c r="CW186" s="397">
        <f t="shared" si="242"/>
        <v>36.729440367151398</v>
      </c>
      <c r="CX186" s="397">
        <f t="shared" si="242"/>
        <v>37.894846515482854</v>
      </c>
      <c r="CY186" s="397">
        <f t="shared" si="242"/>
        <v>37.748524145511276</v>
      </c>
      <c r="CZ186" s="398">
        <f t="shared" si="242"/>
        <v>40.314683260804351</v>
      </c>
      <c r="DA186" s="397">
        <f t="shared" si="242"/>
        <v>34.811568847365692</v>
      </c>
      <c r="DB186" s="397">
        <f t="shared" ref="DB186:DG186" si="243">DB140/DB185</f>
        <v>35.245703442150401</v>
      </c>
      <c r="DC186" s="397">
        <f t="shared" si="243"/>
        <v>35.272968764312537</v>
      </c>
      <c r="DD186" s="397">
        <f t="shared" si="243"/>
        <v>35.133139953463626</v>
      </c>
      <c r="DE186" s="398">
        <f t="shared" si="243"/>
        <v>36.248495365152756</v>
      </c>
      <c r="DF186" s="397">
        <f t="shared" si="243"/>
        <v>34.413900825139059</v>
      </c>
      <c r="DG186" s="397">
        <f t="shared" si="243"/>
        <v>33.610240030971738</v>
      </c>
      <c r="DH186" s="397">
        <f t="shared" ref="DH186:DI186" si="244">DH140/DH185</f>
        <v>33.0556358933908</v>
      </c>
      <c r="DI186" s="397">
        <f t="shared" si="244"/>
        <v>34.475188014971927</v>
      </c>
      <c r="DJ186" s="398">
        <f>DJ140/DJ185</f>
        <v>35.739075773408103</v>
      </c>
      <c r="DK186" s="399">
        <v>37</v>
      </c>
      <c r="DL186" s="399">
        <v>36</v>
      </c>
      <c r="DM186" s="399">
        <v>36</v>
      </c>
      <c r="DN186" s="399">
        <v>36</v>
      </c>
      <c r="DO186" s="398">
        <f ca="1">DO140/DO185</f>
        <v>36.739810478902598</v>
      </c>
      <c r="DP186" s="399">
        <f>DK186</f>
        <v>37</v>
      </c>
      <c r="DQ186" s="399">
        <f t="shared" ref="DQ186:DS186" si="245">DL186</f>
        <v>36</v>
      </c>
      <c r="DR186" s="399">
        <f t="shared" si="245"/>
        <v>36</v>
      </c>
      <c r="DS186" s="399">
        <f t="shared" si="245"/>
        <v>36</v>
      </c>
      <c r="DT186" s="398">
        <f ca="1">DT140/DT185</f>
        <v>36.687271768856704</v>
      </c>
      <c r="DU186" s="399">
        <f>DP186</f>
        <v>37</v>
      </c>
      <c r="DV186" s="399">
        <f t="shared" ref="DV186" si="246">DQ186</f>
        <v>36</v>
      </c>
      <c r="DW186" s="399">
        <f t="shared" ref="DW186" si="247">DR186</f>
        <v>36</v>
      </c>
      <c r="DX186" s="399">
        <f t="shared" ref="DX186" si="248">DS186</f>
        <v>36</v>
      </c>
      <c r="DY186" s="398">
        <f ca="1">DY140/DY185</f>
        <v>36.605546872528237</v>
      </c>
      <c r="DZ186" s="1959"/>
      <c r="EA186" s="1959"/>
      <c r="EB186" s="1959"/>
    </row>
    <row r="187" spans="1:132" x14ac:dyDescent="0.2">
      <c r="A187" s="1962"/>
      <c r="B187" s="1963" t="s">
        <v>419</v>
      </c>
      <c r="C187" s="1964"/>
      <c r="D187" s="1965"/>
      <c r="E187" s="240"/>
      <c r="F187" s="240"/>
      <c r="G187" s="240"/>
      <c r="H187" s="240"/>
      <c r="I187" s="400">
        <f>I185</f>
        <v>22.949909589041098</v>
      </c>
      <c r="J187" s="240"/>
      <c r="K187" s="240"/>
      <c r="L187" s="240"/>
      <c r="M187" s="240"/>
      <c r="N187" s="400">
        <f>N185</f>
        <v>27.277652054794519</v>
      </c>
      <c r="O187" s="240"/>
      <c r="P187" s="240"/>
      <c r="Q187" s="240"/>
      <c r="R187" s="240"/>
      <c r="S187" s="400">
        <f>S185</f>
        <v>30.532602739726027</v>
      </c>
      <c r="T187" s="240"/>
      <c r="U187" s="240"/>
      <c r="V187" s="240"/>
      <c r="W187" s="240"/>
      <c r="X187" s="400">
        <f>X185</f>
        <v>36.265479452054791</v>
      </c>
      <c r="Y187" s="240"/>
      <c r="Z187" s="240"/>
      <c r="AA187" s="240"/>
      <c r="AB187" s="240"/>
      <c r="AC187" s="400">
        <f>AC185</f>
        <v>40.344657534246572</v>
      </c>
      <c r="AD187" s="240"/>
      <c r="AE187" s="240"/>
      <c r="AF187" s="240"/>
      <c r="AG187" s="240"/>
      <c r="AH187" s="400">
        <f>AH185</f>
        <v>45.343561643835621</v>
      </c>
      <c r="AI187" s="240"/>
      <c r="AJ187" s="240"/>
      <c r="AK187" s="240"/>
      <c r="AL187" s="240"/>
      <c r="AM187" s="400">
        <f>AM185</f>
        <v>49.623835616438356</v>
      </c>
      <c r="AN187" s="240"/>
      <c r="AO187" s="240"/>
      <c r="AP187" s="240"/>
      <c r="AQ187" s="240"/>
      <c r="AR187" s="400">
        <f>AR185</f>
        <v>54.041095890410958</v>
      </c>
      <c r="AS187" s="240"/>
      <c r="AT187" s="240"/>
      <c r="AU187" s="240"/>
      <c r="AV187" s="240"/>
      <c r="AW187" s="400">
        <f>AW185</f>
        <v>61.816712328767117</v>
      </c>
      <c r="AX187" s="240"/>
      <c r="AY187" s="240"/>
      <c r="AZ187" s="240"/>
      <c r="BA187" s="240"/>
      <c r="BB187" s="400">
        <f t="shared" ref="BB187:DJ187" si="249">BB185</f>
        <v>74.82767123287671</v>
      </c>
      <c r="BC187" s="401">
        <f t="shared" si="249"/>
        <v>80.330958904109593</v>
      </c>
      <c r="BD187" s="401">
        <f t="shared" si="249"/>
        <v>84.569863013698637</v>
      </c>
      <c r="BE187" s="401">
        <f t="shared" si="249"/>
        <v>89.058630136986309</v>
      </c>
      <c r="BF187" s="401">
        <f t="shared" si="249"/>
        <v>95.353424657534248</v>
      </c>
      <c r="BG187" s="400">
        <f t="shared" si="249"/>
        <v>87.888219178082196</v>
      </c>
      <c r="BH187" s="401">
        <f t="shared" si="249"/>
        <v>107.78630136986301</v>
      </c>
      <c r="BI187" s="401">
        <f t="shared" si="249"/>
        <v>181.31287671232877</v>
      </c>
      <c r="BJ187" s="401">
        <f t="shared" si="249"/>
        <v>178.63013698630138</v>
      </c>
      <c r="BK187" s="401">
        <f t="shared" si="249"/>
        <v>191.68876712328765</v>
      </c>
      <c r="BL187" s="400">
        <f t="shared" si="249"/>
        <v>164.99123287671233</v>
      </c>
      <c r="BM187" s="401">
        <f t="shared" si="249"/>
        <v>186.66301369863012</v>
      </c>
      <c r="BN187" s="401">
        <f t="shared" si="249"/>
        <v>183.74904109589039</v>
      </c>
      <c r="BO187" s="401">
        <f t="shared" si="249"/>
        <v>180.41424657534245</v>
      </c>
      <c r="BP187" s="401">
        <f t="shared" si="249"/>
        <v>207.32712328767121</v>
      </c>
      <c r="BQ187" s="400">
        <f t="shared" si="249"/>
        <v>189.53835616438357</v>
      </c>
      <c r="BR187" s="401">
        <f t="shared" si="249"/>
        <v>204.33863013698632</v>
      </c>
      <c r="BS187" s="401">
        <f t="shared" si="249"/>
        <v>217.19342465753425</v>
      </c>
      <c r="BT187" s="401">
        <f t="shared" si="249"/>
        <v>215.1254794520548</v>
      </c>
      <c r="BU187" s="401">
        <f t="shared" si="249"/>
        <v>221.95726027397259</v>
      </c>
      <c r="BV187" s="400">
        <f t="shared" si="249"/>
        <v>214.653698630137</v>
      </c>
      <c r="BW187" s="401">
        <f t="shared" si="249"/>
        <v>208.37260273972603</v>
      </c>
      <c r="BX187" s="401">
        <f t="shared" si="249"/>
        <v>208.07671232876712</v>
      </c>
      <c r="BY187" s="401">
        <f t="shared" si="249"/>
        <v>206.58630136986301</v>
      </c>
      <c r="BZ187" s="401">
        <f t="shared" si="249"/>
        <v>211.55068493150685</v>
      </c>
      <c r="CA187" s="400">
        <f t="shared" si="249"/>
        <v>208.64657534246575</v>
      </c>
      <c r="CB187" s="401">
        <f t="shared" si="249"/>
        <v>231.55068493150685</v>
      </c>
      <c r="CC187" s="401">
        <f t="shared" si="249"/>
        <v>235.9890410958904</v>
      </c>
      <c r="CD187" s="401">
        <f t="shared" si="249"/>
        <v>235.57260273972602</v>
      </c>
      <c r="CE187" s="401">
        <f t="shared" si="249"/>
        <v>249.4421917808219</v>
      </c>
      <c r="CF187" s="365">
        <f t="shared" si="249"/>
        <v>238.13863013698631</v>
      </c>
      <c r="CG187" s="401">
        <f t="shared" si="249"/>
        <v>281.47945205479454</v>
      </c>
      <c r="CH187" s="401">
        <f t="shared" si="249"/>
        <v>276.87890410958903</v>
      </c>
      <c r="CI187" s="401">
        <f t="shared" si="249"/>
        <v>269.37265753424657</v>
      </c>
      <c r="CJ187" s="401">
        <f>CJ185</f>
        <v>275.03561643835616</v>
      </c>
      <c r="CK187" s="365">
        <f t="shared" si="249"/>
        <v>275.69165753424653</v>
      </c>
      <c r="CL187" s="401">
        <f t="shared" si="249"/>
        <v>275.95616438356166</v>
      </c>
      <c r="CM187" s="401">
        <f>CM185</f>
        <v>278.48767123287672</v>
      </c>
      <c r="CN187" s="401">
        <f>CN185</f>
        <v>284.19397260273973</v>
      </c>
      <c r="CO187" s="401">
        <f>CO185</f>
        <v>290.32328767123289</v>
      </c>
      <c r="CP187" s="365">
        <f t="shared" si="249"/>
        <v>282.24027397260272</v>
      </c>
      <c r="CQ187" s="401">
        <f>CQ185</f>
        <v>293.1123287671233</v>
      </c>
      <c r="CR187" s="401">
        <f>CR185</f>
        <v>309.89808219178082</v>
      </c>
      <c r="CS187" s="401">
        <f>CS185</f>
        <v>312.91561643835615</v>
      </c>
      <c r="CT187" s="401">
        <f>CT185</f>
        <v>333.38630136986302</v>
      </c>
      <c r="CU187" s="365">
        <f t="shared" si="249"/>
        <v>312.32808219178082</v>
      </c>
      <c r="CV187" s="401">
        <f t="shared" si="249"/>
        <v>330.60493150684931</v>
      </c>
      <c r="CW187" s="401">
        <f t="shared" si="249"/>
        <v>337.16821917808215</v>
      </c>
      <c r="CX187" s="401">
        <f t="shared" si="249"/>
        <v>350.4962078306167</v>
      </c>
      <c r="CY187" s="401">
        <f>CY185</f>
        <v>370.9019178082192</v>
      </c>
      <c r="CZ187" s="365">
        <f t="shared" si="249"/>
        <v>347.29281908094185</v>
      </c>
      <c r="DA187" s="401">
        <f>DA185</f>
        <v>399.63726027397263</v>
      </c>
      <c r="DB187" s="401">
        <f>DB185</f>
        <v>402.23342465753427</v>
      </c>
      <c r="DC187" s="401">
        <f>DC185</f>
        <v>406.77041095890416</v>
      </c>
      <c r="DD187" s="401">
        <f>DD185</f>
        <v>420.11616438356162</v>
      </c>
      <c r="DE187" s="365">
        <f t="shared" si="249"/>
        <v>407.18931506849316</v>
      </c>
      <c r="DF187" s="401">
        <f t="shared" si="249"/>
        <v>415.70410958904108</v>
      </c>
      <c r="DG187" s="401">
        <f>DG185</f>
        <v>424.60273972602738</v>
      </c>
      <c r="DH187" s="401">
        <f>DH185</f>
        <v>427.97543044175939</v>
      </c>
      <c r="DI187" s="401">
        <f>DI185</f>
        <v>443.68140917338098</v>
      </c>
      <c r="DJ187" s="365">
        <f t="shared" si="249"/>
        <v>427.99092223255224</v>
      </c>
      <c r="DK187" s="240">
        <f t="shared" ref="DK187:DT187" ca="1" si="250">DK185</f>
        <v>428.9554276048832</v>
      </c>
      <c r="DL187" s="240">
        <f t="shared" ca="1" si="250"/>
        <v>450.77780172788601</v>
      </c>
      <c r="DM187" s="240">
        <f t="shared" ca="1" si="250"/>
        <v>445.16473601803051</v>
      </c>
      <c r="DN187" s="240">
        <f t="shared" ca="1" si="250"/>
        <v>453.81702538664342</v>
      </c>
      <c r="DO187" s="365">
        <f t="shared" ca="1" si="250"/>
        <v>444.67874768436081</v>
      </c>
      <c r="DP187" s="240">
        <f t="shared" ca="1" si="250"/>
        <v>456.96917246973351</v>
      </c>
      <c r="DQ187" s="240">
        <f t="shared" ca="1" si="250"/>
        <v>480.37084904258745</v>
      </c>
      <c r="DR187" s="240">
        <f t="shared" ca="1" si="250"/>
        <v>474.10253287845552</v>
      </c>
      <c r="DS187" s="240">
        <f t="shared" ca="1" si="250"/>
        <v>482.53340896831327</v>
      </c>
      <c r="DT187" s="365">
        <f t="shared" ca="1" si="250"/>
        <v>473.49399083977244</v>
      </c>
      <c r="DU187" s="240">
        <f t="shared" ref="DU187:DY187" ca="1" si="251">DU185</f>
        <v>474.9291651177204</v>
      </c>
      <c r="DV187" s="240">
        <f t="shared" ca="1" si="251"/>
        <v>498.45971567933321</v>
      </c>
      <c r="DW187" s="240">
        <f t="shared" ca="1" si="251"/>
        <v>491.37751172526265</v>
      </c>
      <c r="DX187" s="240">
        <f t="shared" ca="1" si="251"/>
        <v>499.2676369899404</v>
      </c>
      <c r="DY187" s="365">
        <f t="shared" ca="1" si="251"/>
        <v>491.00850737806417</v>
      </c>
      <c r="DZ187" s="1858"/>
      <c r="EA187" s="1858"/>
      <c r="EB187" s="1858"/>
    </row>
    <row r="188" spans="1:132" x14ac:dyDescent="0.2">
      <c r="A188" s="1966"/>
      <c r="B188" s="1967" t="s">
        <v>421</v>
      </c>
      <c r="C188" s="1968"/>
      <c r="D188" s="1968"/>
      <c r="E188" s="397"/>
      <c r="F188" s="397"/>
      <c r="G188" s="397"/>
      <c r="H188" s="397"/>
      <c r="I188" s="398">
        <f>I155/I187</f>
        <v>45.590593546373832</v>
      </c>
      <c r="J188" s="397"/>
      <c r="K188" s="397"/>
      <c r="L188" s="397"/>
      <c r="M188" s="397"/>
      <c r="N188" s="398">
        <f>N155/N187</f>
        <v>45.227499695420299</v>
      </c>
      <c r="O188" s="397"/>
      <c r="P188" s="397"/>
      <c r="Q188" s="397"/>
      <c r="R188" s="397"/>
      <c r="S188" s="398">
        <f>S155/S187</f>
        <v>42.12873730304009</v>
      </c>
      <c r="T188" s="397"/>
      <c r="U188" s="397"/>
      <c r="V188" s="397"/>
      <c r="W188" s="397"/>
      <c r="X188" s="398">
        <f>X155/X187</f>
        <v>40.098739130763249</v>
      </c>
      <c r="Y188" s="397"/>
      <c r="Z188" s="397"/>
      <c r="AA188" s="397"/>
      <c r="AB188" s="397"/>
      <c r="AC188" s="398">
        <f>AC155/AC187</f>
        <v>33.498859145173782</v>
      </c>
      <c r="AD188" s="397"/>
      <c r="AE188" s="397"/>
      <c r="AF188" s="397"/>
      <c r="AG188" s="397"/>
      <c r="AH188" s="398">
        <f>AH155/AH187</f>
        <v>33.870299207269909</v>
      </c>
      <c r="AI188" s="397"/>
      <c r="AJ188" s="397"/>
      <c r="AK188" s="397"/>
      <c r="AL188" s="397"/>
      <c r="AM188" s="398">
        <f>AM155/AM187</f>
        <v>34.416928453516043</v>
      </c>
      <c r="AN188" s="397"/>
      <c r="AO188" s="397"/>
      <c r="AP188" s="397"/>
      <c r="AQ188" s="397"/>
      <c r="AR188" s="398">
        <f>AR155/AR187</f>
        <v>30.835792141951838</v>
      </c>
      <c r="AS188" s="397"/>
      <c r="AT188" s="397"/>
      <c r="AU188" s="397"/>
      <c r="AV188" s="397"/>
      <c r="AW188" s="398">
        <f>AW155/AW187</f>
        <v>36.816904592010857</v>
      </c>
      <c r="AX188" s="397"/>
      <c r="AY188" s="397"/>
      <c r="AZ188" s="397"/>
      <c r="BA188" s="397"/>
      <c r="BB188" s="398">
        <f>BB155/BB187</f>
        <v>32.975768981513689</v>
      </c>
      <c r="BC188" s="397">
        <f>BC155/(BC187*4)</f>
        <v>7.5861163406182639</v>
      </c>
      <c r="BD188" s="397">
        <f>BD155/(BD187*4)</f>
        <v>8.0025552351950235</v>
      </c>
      <c r="BE188" s="397">
        <f>BE155/(BE187*4)</f>
        <v>7.9068698779317295</v>
      </c>
      <c r="BF188" s="397">
        <f>BF155/(BF187*4)</f>
        <v>7.5075961096425701</v>
      </c>
      <c r="BG188" s="398">
        <f>BG155/BG187</f>
        <v>32.581158507693459</v>
      </c>
      <c r="BH188" s="397">
        <f>BH155/(BH187*4)</f>
        <v>7.8189434955009913</v>
      </c>
      <c r="BI188" s="397">
        <f>BI155/(BI187*4)</f>
        <v>4.6222585797350222</v>
      </c>
      <c r="BJ188" s="397">
        <f>BJ155/(BJ187*4)</f>
        <v>4.7783090490797537</v>
      </c>
      <c r="BK188" s="397">
        <f>BK155/(BK187*4)</f>
        <v>4.6859814139358322</v>
      </c>
      <c r="BL188" s="398">
        <f>BL155/BL187</f>
        <v>21.776914672095486</v>
      </c>
      <c r="BM188" s="397">
        <f>BM155/(BM187)</f>
        <v>18.24142840368696</v>
      </c>
      <c r="BN188" s="397">
        <f>BN155/(BN187)</f>
        <v>17.888528725897743</v>
      </c>
      <c r="BO188" s="397">
        <f>BO155/(BO187)</f>
        <v>18.204770755885999</v>
      </c>
      <c r="BP188" s="397">
        <f>BP155/(BP187)</f>
        <v>18.331899559163997</v>
      </c>
      <c r="BQ188" s="398">
        <f>BQ155/BQ187</f>
        <v>20.052405628672403</v>
      </c>
      <c r="BR188" s="397">
        <f>BR155/(BR187)</f>
        <v>17.452891788543326</v>
      </c>
      <c r="BS188" s="397">
        <f>BS155/(BS187)</f>
        <v>16.574626997462019</v>
      </c>
      <c r="BT188" s="397">
        <f>BT155/(BT187)</f>
        <v>18.422736395961323</v>
      </c>
      <c r="BU188" s="397">
        <f>BU155/(BU187)</f>
        <v>16.039123908835961</v>
      </c>
      <c r="BV188" s="398">
        <f>BV155/BV187</f>
        <v>16.58485282442826</v>
      </c>
      <c r="BW188" s="397">
        <f>BW155/(BW187)</f>
        <v>19.402742715893552</v>
      </c>
      <c r="BX188" s="397">
        <f>BX155/(BX187)</f>
        <v>18.584492020856377</v>
      </c>
      <c r="BY188" s="397">
        <f>BY155/(BY187)</f>
        <v>20.146543949923082</v>
      </c>
      <c r="BZ188" s="397">
        <f>BZ155/(BZ187)</f>
        <v>19.030900331537506</v>
      </c>
      <c r="CA188" s="398">
        <f t="shared" ref="CA188:CU188" si="252">CA155/CA187</f>
        <v>19.295787593886235</v>
      </c>
      <c r="CB188" s="397">
        <f t="shared" si="252"/>
        <v>18.803658478867906</v>
      </c>
      <c r="CC188" s="397">
        <f t="shared" si="252"/>
        <v>18.839857899136252</v>
      </c>
      <c r="CD188" s="397">
        <f t="shared" si="252"/>
        <v>18.622708876069968</v>
      </c>
      <c r="CE188" s="397">
        <f t="shared" si="252"/>
        <v>17.519089167721074</v>
      </c>
      <c r="CF188" s="398">
        <f t="shared" si="252"/>
        <v>18.350655655851433</v>
      </c>
      <c r="CG188" s="397">
        <f t="shared" si="252"/>
        <v>18.615923690870158</v>
      </c>
      <c r="CH188" s="397">
        <f t="shared" si="252"/>
        <v>17.708102449218689</v>
      </c>
      <c r="CI188" s="397">
        <f t="shared" si="252"/>
        <v>18.899468292741471</v>
      </c>
      <c r="CJ188" s="397">
        <f t="shared" si="252"/>
        <v>18.43397617245089</v>
      </c>
      <c r="CK188" s="398">
        <f>CK155/CK187</f>
        <v>18.390110333208767</v>
      </c>
      <c r="CL188" s="397">
        <f t="shared" si="252"/>
        <v>19.952444303244508</v>
      </c>
      <c r="CM188" s="397">
        <f t="shared" si="252"/>
        <v>18.5932827010861</v>
      </c>
      <c r="CN188" s="397">
        <f t="shared" si="252"/>
        <v>19.043331392411897</v>
      </c>
      <c r="CO188" s="397">
        <f t="shared" si="252"/>
        <v>19.109731239619506</v>
      </c>
      <c r="CP188" s="398">
        <f t="shared" si="252"/>
        <v>19.657010397242416</v>
      </c>
      <c r="CQ188" s="397">
        <f t="shared" si="252"/>
        <v>19.234946628530835</v>
      </c>
      <c r="CR188" s="397">
        <f t="shared" si="252"/>
        <v>18.651293222340886</v>
      </c>
      <c r="CS188" s="397">
        <f t="shared" si="252"/>
        <v>19.279958183833536</v>
      </c>
      <c r="CT188" s="397">
        <f t="shared" si="252"/>
        <v>19.637879460250151</v>
      </c>
      <c r="CU188" s="398">
        <f t="shared" si="252"/>
        <v>20.961931934061258</v>
      </c>
      <c r="CV188" s="397">
        <f t="shared" ref="CV188:DA188" si="253">CV155/CV187</f>
        <v>19.452220421178943</v>
      </c>
      <c r="CW188" s="397">
        <f t="shared" si="253"/>
        <v>18.892646571281848</v>
      </c>
      <c r="CX188" s="397">
        <f t="shared" si="253"/>
        <v>20.154283676055631</v>
      </c>
      <c r="CY188" s="397">
        <f t="shared" si="253"/>
        <v>20.194017987992247</v>
      </c>
      <c r="CZ188" s="398">
        <f t="shared" si="253"/>
        <v>21.566815057740488</v>
      </c>
      <c r="DA188" s="397">
        <f t="shared" si="253"/>
        <v>18.419203442025506</v>
      </c>
      <c r="DB188" s="397">
        <f t="shared" ref="DB188:DG188" si="254">DB155/DB187</f>
        <v>18.275457854500079</v>
      </c>
      <c r="DC188" s="397">
        <f t="shared" si="254"/>
        <v>18.644423969092994</v>
      </c>
      <c r="DD188" s="397">
        <f t="shared" si="254"/>
        <v>18.913816400421542</v>
      </c>
      <c r="DE188" s="398">
        <f t="shared" si="254"/>
        <v>19.514264510264486</v>
      </c>
      <c r="DF188" s="397">
        <f t="shared" si="254"/>
        <v>17.66641183138692</v>
      </c>
      <c r="DG188" s="397">
        <f t="shared" si="254"/>
        <v>18.544392824880632</v>
      </c>
      <c r="DH188" s="397">
        <f t="shared" ref="DH188:DI188" si="255">DH155/DH187</f>
        <v>18.456666991015336</v>
      </c>
      <c r="DI188" s="397">
        <f t="shared" si="255"/>
        <v>19.976045461342586</v>
      </c>
      <c r="DJ188" s="398">
        <f>DJ155/DJ187</f>
        <v>20.708383144594407</v>
      </c>
      <c r="DK188" s="399">
        <f>DF188</f>
        <v>17.66641183138692</v>
      </c>
      <c r="DL188" s="399">
        <f t="shared" ref="DL188:DN188" si="256">DG188</f>
        <v>18.544392824880632</v>
      </c>
      <c r="DM188" s="399">
        <f t="shared" si="256"/>
        <v>18.456666991015336</v>
      </c>
      <c r="DN188" s="399">
        <f t="shared" si="256"/>
        <v>19.976045461342586</v>
      </c>
      <c r="DO188" s="398">
        <f ca="1">DO155/DO187</f>
        <v>20.386559010213027</v>
      </c>
      <c r="DP188" s="399">
        <f>DK188</f>
        <v>17.66641183138692</v>
      </c>
      <c r="DQ188" s="399">
        <f t="shared" ref="DQ188:DS188" si="257">DL188</f>
        <v>18.544392824880632</v>
      </c>
      <c r="DR188" s="399">
        <f t="shared" si="257"/>
        <v>18.456666991015336</v>
      </c>
      <c r="DS188" s="399">
        <f t="shared" si="257"/>
        <v>19.976045461342586</v>
      </c>
      <c r="DT188" s="398">
        <f ca="1">DT155/DT187</f>
        <v>20.357405797425333</v>
      </c>
      <c r="DU188" s="399">
        <f>DP188</f>
        <v>17.66641183138692</v>
      </c>
      <c r="DV188" s="399">
        <f t="shared" ref="DV188" si="258">DQ188</f>
        <v>18.544392824880632</v>
      </c>
      <c r="DW188" s="399">
        <f t="shared" ref="DW188" si="259">DR188</f>
        <v>18.456666991015336</v>
      </c>
      <c r="DX188" s="399">
        <f t="shared" ref="DX188" si="260">DS188</f>
        <v>19.976045461342586</v>
      </c>
      <c r="DY188" s="398">
        <f ca="1">DY155/DY187</f>
        <v>20.312057457303638</v>
      </c>
      <c r="DZ188" s="1959"/>
      <c r="EA188" s="1959"/>
      <c r="EB188" s="1959"/>
    </row>
    <row r="189" spans="1:132" x14ac:dyDescent="0.2">
      <c r="A189" s="1962"/>
      <c r="B189" s="1963" t="s">
        <v>422</v>
      </c>
      <c r="C189" s="1964"/>
      <c r="D189" s="1966"/>
      <c r="E189" s="240"/>
      <c r="F189" s="240"/>
      <c r="G189" s="240"/>
      <c r="H189" s="240"/>
      <c r="I189" s="365"/>
      <c r="J189" s="240"/>
      <c r="K189" s="240"/>
      <c r="L189" s="240"/>
      <c r="M189" s="240"/>
      <c r="N189" s="365"/>
      <c r="O189" s="240"/>
      <c r="P189" s="240"/>
      <c r="Q189" s="240"/>
      <c r="R189" s="240"/>
      <c r="S189" s="365"/>
      <c r="T189" s="240"/>
      <c r="U189" s="240"/>
      <c r="V189" s="240"/>
      <c r="W189" s="240"/>
      <c r="X189" s="365"/>
      <c r="Y189" s="240"/>
      <c r="Z189" s="240"/>
      <c r="AA189" s="240"/>
      <c r="AB189" s="240"/>
      <c r="AC189" s="365"/>
      <c r="AD189" s="240"/>
      <c r="AE189" s="240"/>
      <c r="AF189" s="240"/>
      <c r="AG189" s="240"/>
      <c r="AH189" s="365"/>
      <c r="AI189" s="240"/>
      <c r="AJ189" s="240"/>
      <c r="AK189" s="240"/>
      <c r="AL189" s="240"/>
      <c r="AM189" s="365"/>
      <c r="AN189" s="240"/>
      <c r="AO189" s="240"/>
      <c r="AP189" s="240"/>
      <c r="AQ189" s="240"/>
      <c r="AR189" s="365"/>
      <c r="AS189" s="240"/>
      <c r="AT189" s="240"/>
      <c r="AU189" s="240"/>
      <c r="AV189" s="240"/>
      <c r="AW189" s="365"/>
      <c r="AX189" s="240"/>
      <c r="AY189" s="240"/>
      <c r="AZ189" s="240"/>
      <c r="BA189" s="240"/>
      <c r="BB189" s="365"/>
      <c r="BC189" s="240">
        <f>(PBM!BC17*4)/365</f>
        <v>8.7200000000000006</v>
      </c>
      <c r="BD189" s="240">
        <f>(PBM!BD17*4)/365</f>
        <v>8.1884931506849306</v>
      </c>
      <c r="BE189" s="240">
        <f>(PBM!BE17*4)/365</f>
        <v>8.8394520547945206</v>
      </c>
      <c r="BF189" s="240">
        <f>(PBM!BF17*4)/365</f>
        <v>9.6767123287671239</v>
      </c>
      <c r="BG189" s="365"/>
      <c r="BH189" s="240">
        <f>(PBM!BH17*4)/365</f>
        <v>20.414246575342467</v>
      </c>
      <c r="BI189" s="240">
        <f>(PBM!BI17*4)/365</f>
        <v>106.20602739726029</v>
      </c>
      <c r="BJ189" s="240">
        <f>(PBM!BJ17*4)/365</f>
        <v>106.60054794520549</v>
      </c>
      <c r="BK189" s="240">
        <f>(PBM!BK17*4)/365</f>
        <v>116.27287671232874</v>
      </c>
      <c r="BL189" s="365">
        <f>PBM!BL17/365</f>
        <v>87.510410958904103</v>
      </c>
      <c r="BM189" s="240">
        <f>(PBM!BM17*4)/365</f>
        <v>109.33369863013698</v>
      </c>
      <c r="BN189" s="240">
        <f>(PBM!BN17*4)/365</f>
        <v>107.47287671232878</v>
      </c>
      <c r="BO189" s="240">
        <f>(PBM!BO17*4)/365</f>
        <v>105.98246575342463</v>
      </c>
      <c r="BP189" s="240">
        <f>(PBM!BP17*4)/365</f>
        <v>117.96931506849316</v>
      </c>
      <c r="BQ189" s="365">
        <f>PBM!BQ17/365</f>
        <v>110.18821917808218</v>
      </c>
      <c r="BR189" s="240">
        <f>(PBM!BR17*4)/365</f>
        <v>117.73150684931508</v>
      </c>
      <c r="BS189" s="240">
        <f>(PBM!BS17*4)/365</f>
        <v>132.45808219178079</v>
      </c>
      <c r="BT189" s="240">
        <f>(PBM!BT17*4)/365</f>
        <v>131.6482191780822</v>
      </c>
      <c r="BU189" s="240">
        <f>(PBM!BU17*4)/365</f>
        <v>136.27397260273972</v>
      </c>
      <c r="BV189" s="365">
        <f>PBM!BV17/365</f>
        <v>129.39698630136988</v>
      </c>
      <c r="BW189" s="240">
        <f>(PBM!BW17*4)/365</f>
        <v>121.13972602739726</v>
      </c>
      <c r="BX189" s="240">
        <f>(PBM!BX17*4)/365</f>
        <v>120.75616438356164</v>
      </c>
      <c r="BY189" s="240">
        <f>(PBM!BY17*4)/365</f>
        <v>121.03013698630137</v>
      </c>
      <c r="BZ189" s="240">
        <f>(PBM!BZ17*4)/365</f>
        <v>123.93424657534247</v>
      </c>
      <c r="CA189" s="365">
        <f>PBM!CA17/365</f>
        <v>121.71506849315068</v>
      </c>
      <c r="CB189" s="240">
        <f>(PBM!CB17*4)/365</f>
        <v>146.57534246575344</v>
      </c>
      <c r="CC189" s="240">
        <f>(PBM!CC17*4)/365</f>
        <v>151.89041095890411</v>
      </c>
      <c r="CD189" s="240">
        <f>(PBM!CD17*4)/365</f>
        <v>152.15342465753426</v>
      </c>
      <c r="CE189" s="240">
        <f>(PBM!CE17*4)/365</f>
        <v>162.82520547945205</v>
      </c>
      <c r="CF189" s="365">
        <f>PBM!CF17/365</f>
        <v>153.36109589041098</v>
      </c>
      <c r="CG189" s="240">
        <f>(PBM!CG17*4)/365</f>
        <v>194.61917808219178</v>
      </c>
      <c r="CH189" s="240">
        <f>(PBM!CH17*4)/365</f>
        <v>194.43945205479454</v>
      </c>
      <c r="CI189" s="240">
        <f>(PBM!CI17*4)/365</f>
        <v>187.44876712328764</v>
      </c>
      <c r="CJ189" s="240">
        <f>(PBM!CJ17*4)/365</f>
        <v>191.12328767123287</v>
      </c>
      <c r="CK189" s="365">
        <f>PBM!CK17/365</f>
        <v>190.78356164383561</v>
      </c>
      <c r="CL189" s="240">
        <f>(PBM!CL17*4)/365</f>
        <v>193.76438356164383</v>
      </c>
      <c r="CM189" s="240">
        <f>(PBM!CM17*4)/365</f>
        <v>196.8635616438356</v>
      </c>
      <c r="CN189" s="240">
        <f>(PBM!CN17*4)/365</f>
        <v>200.89643835616442</v>
      </c>
      <c r="CO189" s="240">
        <f>(PBM!CO17*4)/365</f>
        <v>203.40712328767125</v>
      </c>
      <c r="CP189" s="365">
        <f>PBM!CP17/365</f>
        <v>197.18082191780823</v>
      </c>
      <c r="CQ189" s="240">
        <f>(PBM!CQ17*4)/365</f>
        <v>211.07287671232874</v>
      </c>
      <c r="CR189" s="240">
        <f>(PBM!CR17*4)/365</f>
        <v>226.2060273972603</v>
      </c>
      <c r="CS189" s="240">
        <f>(PBM!CS17*4)/365</f>
        <v>231.57479452054795</v>
      </c>
      <c r="CT189" s="240">
        <f>(PBM!CT17*4)/365</f>
        <v>248.06684931506851</v>
      </c>
      <c r="CU189" s="365">
        <f>PBM!CU17/365</f>
        <v>229.2301369863014</v>
      </c>
      <c r="CV189" s="240">
        <f>(PBM!CV17*4)/365</f>
        <v>250.44383561643835</v>
      </c>
      <c r="CW189" s="240">
        <f>(PBM!CW17*4)/365</f>
        <v>254.25534246575342</v>
      </c>
      <c r="CX189" s="240">
        <f>(PBM!CX17*4)/365</f>
        <v>263.67242654663016</v>
      </c>
      <c r="CY189" s="240">
        <f>(PBM!CY17*4)/365</f>
        <v>274.21135195857534</v>
      </c>
      <c r="CZ189" s="365">
        <f>PBM!CZ17/365</f>
        <v>260.64573914684934</v>
      </c>
      <c r="DA189" s="240">
        <f>(PBM!DA17*4)/365</f>
        <v>303.15835616438358</v>
      </c>
      <c r="DB189" s="240">
        <f>(PBM!DB17*4)/365</f>
        <v>308.40876712328765</v>
      </c>
      <c r="DC189" s="240">
        <f>(PBM!DC17*4)/365</f>
        <v>313.77972602739726</v>
      </c>
      <c r="DD189" s="240">
        <f>(PBM!DD17*4)/365</f>
        <v>324.65095890410959</v>
      </c>
      <c r="DE189" s="365">
        <f>PBM!DE17/365</f>
        <v>312.49972602739723</v>
      </c>
      <c r="DF189" s="240">
        <f>(PBM!DF17*4)/365</f>
        <v>330.1512328767123</v>
      </c>
      <c r="DG189" s="240">
        <f>(PBM!DG17*4)/365</f>
        <v>338.1545205479452</v>
      </c>
      <c r="DH189" s="240">
        <f>(PBM!DH17*4)/365</f>
        <v>342.47378719057537</v>
      </c>
      <c r="DI189" s="240">
        <f>(PBM!DI17*4)/365</f>
        <v>354.22107428602743</v>
      </c>
      <c r="DJ189" s="365">
        <f>PBM!DJ17/365</f>
        <v>341.25010563898633</v>
      </c>
      <c r="DK189" s="240">
        <f ca="1">(PBM!DK17*4)/365</f>
        <v>339.81766797634009</v>
      </c>
      <c r="DL189" s="240">
        <f ca="1">(PBM!DL17*4)/365</f>
        <v>365.13316241987076</v>
      </c>
      <c r="DM189" s="240">
        <f ca="1">(PBM!DM17*4)/365</f>
        <v>363.41701939705297</v>
      </c>
      <c r="DN189" s="240">
        <f ca="1">(PBM!DN17*4)/365</f>
        <v>370.22859080916044</v>
      </c>
      <c r="DO189" s="365">
        <f ca="1">PBM!DO17/365</f>
        <v>359.64911015060608</v>
      </c>
      <c r="DP189" s="240">
        <f ca="1">(PBM!DP17*4)/365</f>
        <v>356.9570595063297</v>
      </c>
      <c r="DQ189" s="240">
        <f ca="1">(PBM!DQ17*4)/365</f>
        <v>383.4245158509018</v>
      </c>
      <c r="DR189" s="240">
        <f ca="1">(PBM!DR17*4)/365</f>
        <v>381.16375281311747</v>
      </c>
      <c r="DS189" s="240">
        <f ca="1">(PBM!DS17*4)/365</f>
        <v>387.81145232319841</v>
      </c>
      <c r="DT189" s="365">
        <f ca="1">PBM!DT17/365</f>
        <v>377.33919512338684</v>
      </c>
      <c r="DU189" s="240">
        <f ca="1">(PBM!DU17*4)/365</f>
        <v>373.23540028560473</v>
      </c>
      <c r="DV189" s="240">
        <f ca="1">(PBM!DV17*4)/365</f>
        <v>400.09159015523738</v>
      </c>
      <c r="DW189" s="240">
        <f ca="1">(PBM!DW17*4)/365</f>
        <v>397.16350195758071</v>
      </c>
      <c r="DX189" s="240">
        <f ca="1">(PBM!DX17*4)/365</f>
        <v>403.5192323650744</v>
      </c>
      <c r="DY189" s="365">
        <f ca="1">PBM!DY17/365</f>
        <v>393.5024311908744</v>
      </c>
      <c r="DZ189" s="1858"/>
      <c r="EA189" s="1858"/>
      <c r="EB189" s="1858"/>
    </row>
    <row r="190" spans="1:132" x14ac:dyDescent="0.2">
      <c r="A190" s="1966"/>
      <c r="B190" s="1967" t="s">
        <v>423</v>
      </c>
      <c r="C190" s="1969"/>
      <c r="D190" s="1966"/>
      <c r="E190" s="397"/>
      <c r="F190" s="397"/>
      <c r="G190" s="397"/>
      <c r="H190" s="397"/>
      <c r="I190" s="398"/>
      <c r="J190" s="397"/>
      <c r="K190" s="397"/>
      <c r="L190" s="397"/>
      <c r="M190" s="397"/>
      <c r="N190" s="398"/>
      <c r="O190" s="397"/>
      <c r="P190" s="397"/>
      <c r="Q190" s="397"/>
      <c r="R190" s="397"/>
      <c r="S190" s="398"/>
      <c r="T190" s="397"/>
      <c r="U190" s="397"/>
      <c r="V190" s="397"/>
      <c r="W190" s="397"/>
      <c r="X190" s="398"/>
      <c r="Y190" s="397"/>
      <c r="Z190" s="397"/>
      <c r="AA190" s="397"/>
      <c r="AB190" s="397"/>
      <c r="AC190" s="398"/>
      <c r="AD190" s="397"/>
      <c r="AE190" s="397"/>
      <c r="AF190" s="397"/>
      <c r="AG190" s="397"/>
      <c r="AH190" s="398"/>
      <c r="AI190" s="397"/>
      <c r="AJ190" s="397"/>
      <c r="AK190" s="397"/>
      <c r="AL190" s="397"/>
      <c r="AM190" s="398"/>
      <c r="AN190" s="397"/>
      <c r="AO190" s="397"/>
      <c r="AP190" s="397"/>
      <c r="AQ190" s="397"/>
      <c r="AR190" s="398"/>
      <c r="AS190" s="397"/>
      <c r="AT190" s="397"/>
      <c r="AU190" s="397"/>
      <c r="AV190" s="397"/>
      <c r="AW190" s="398"/>
      <c r="AX190" s="397"/>
      <c r="AY190" s="397"/>
      <c r="AZ190" s="397"/>
      <c r="BA190" s="397"/>
      <c r="BB190" s="398"/>
      <c r="BC190" s="397">
        <f>BC156/(BC189*4)</f>
        <v>0</v>
      </c>
      <c r="BD190" s="397">
        <f>BD156/(BD189*4)</f>
        <v>0</v>
      </c>
      <c r="BE190" s="397">
        <f>BE156/(BE189*4)</f>
        <v>0</v>
      </c>
      <c r="BF190" s="397">
        <f>BF156/(BF189*4)</f>
        <v>0</v>
      </c>
      <c r="BG190" s="398"/>
      <c r="BH190" s="397">
        <f>BH156/(BH189*4)</f>
        <v>31.459647439338628</v>
      </c>
      <c r="BI190" s="397">
        <f>BI156/(BI189*4)</f>
        <v>6.23905268127083</v>
      </c>
      <c r="BJ190" s="397">
        <f>BJ156/(BJ189*4)</f>
        <v>5.7959364366268131</v>
      </c>
      <c r="BK190" s="397">
        <f>BK156/(BK189*4)</f>
        <v>5.3415294913241427</v>
      </c>
      <c r="BL190" s="398">
        <f>BL156/BL189</f>
        <v>28.388622253947087</v>
      </c>
      <c r="BM190" s="397">
        <f>BM156/(BM189)</f>
        <v>22.69474124710576</v>
      </c>
      <c r="BN190" s="397">
        <f>BN156/(BN189)</f>
        <v>20.894574228349423</v>
      </c>
      <c r="BO190" s="397">
        <f>BO156/(BO189)</f>
        <v>22.911337104095796</v>
      </c>
      <c r="BP190" s="397">
        <f>BP156/(BP189)</f>
        <v>23.855355931888486</v>
      </c>
      <c r="BQ190" s="398">
        <f>BQ156/BQ189</f>
        <v>25.539935403183097</v>
      </c>
      <c r="BR190" s="397">
        <f>BR156/(BR189)</f>
        <v>24.91941264078935</v>
      </c>
      <c r="BS190" s="397">
        <f>BS156/(BS189)</f>
        <v>22.371605801370098</v>
      </c>
      <c r="BT190" s="397">
        <f>BT156/(BT189)</f>
        <v>22.087651607854887</v>
      </c>
      <c r="BU190" s="397">
        <f>BU156/(BU189)</f>
        <v>22.564837153196624</v>
      </c>
      <c r="BV190" s="398">
        <f>BV156/BV189</f>
        <v>23.764077417059951</v>
      </c>
      <c r="BW190" s="397">
        <f>BW156/(BW189)</f>
        <v>20.447462457029129</v>
      </c>
      <c r="BX190" s="397">
        <f>BX156/(BX189)</f>
        <v>20.553816135765498</v>
      </c>
      <c r="BY190" s="397">
        <f>BY156/(BY189)</f>
        <v>19.499275624773631</v>
      </c>
      <c r="BZ190" s="397">
        <f>BZ156/(BZ189)</f>
        <v>20.728733751879034</v>
      </c>
      <c r="CA190" s="398">
        <f t="shared" ref="CA190:CU190" si="261">CA156/CA189</f>
        <v>21.106671768784047</v>
      </c>
      <c r="CB190" s="397">
        <f t="shared" si="261"/>
        <v>18.939065420560745</v>
      </c>
      <c r="CC190" s="397">
        <f t="shared" si="261"/>
        <v>20.15268759018759</v>
      </c>
      <c r="CD190" s="397">
        <f t="shared" si="261"/>
        <v>20.393888648804378</v>
      </c>
      <c r="CE190" s="397">
        <f t="shared" si="261"/>
        <v>21.415603252163848</v>
      </c>
      <c r="CF190" s="398">
        <f t="shared" si="261"/>
        <v>22.737187549127494</v>
      </c>
      <c r="CG190" s="397">
        <f t="shared" si="261"/>
        <v>18.811095782420182</v>
      </c>
      <c r="CH190" s="397">
        <f t="shared" si="261"/>
        <v>18.761624564607214</v>
      </c>
      <c r="CI190" s="397">
        <f t="shared" si="261"/>
        <v>19.866761767233569</v>
      </c>
      <c r="CJ190" s="397">
        <f t="shared" si="261"/>
        <v>20.792861238532112</v>
      </c>
      <c r="CK190" s="398">
        <f>CK156/CK189</f>
        <v>20.829886840140158</v>
      </c>
      <c r="CL190" s="397">
        <f t="shared" si="261"/>
        <v>19.890136304507664</v>
      </c>
      <c r="CM190" s="1696">
        <f t="shared" si="261"/>
        <v>20.283083200659107</v>
      </c>
      <c r="CN190" s="1696">
        <f t="shared" si="261"/>
        <v>21.702724227844506</v>
      </c>
      <c r="CO190" s="1696">
        <f t="shared" si="261"/>
        <v>22.359098966106167</v>
      </c>
      <c r="CP190" s="398">
        <f t="shared" si="261"/>
        <v>23.065123452501702</v>
      </c>
      <c r="CQ190" s="1696">
        <f t="shared" si="261"/>
        <v>23.110501339536047</v>
      </c>
      <c r="CR190" s="1696">
        <f t="shared" si="261"/>
        <v>21.741242072931449</v>
      </c>
      <c r="CS190" s="1696">
        <f t="shared" si="261"/>
        <v>23.318599984856515</v>
      </c>
      <c r="CT190" s="1696">
        <f t="shared" si="261"/>
        <v>21.784450501632346</v>
      </c>
      <c r="CU190" s="398">
        <f t="shared" si="261"/>
        <v>23.574561665610915</v>
      </c>
      <c r="CV190" s="1696">
        <f t="shared" ref="CV190:DA190" si="262">CV156/CV189</f>
        <v>25.047532052684549</v>
      </c>
      <c r="CW190" s="1696">
        <f t="shared" si="262"/>
        <v>27.377989121064793</v>
      </c>
      <c r="CX190" s="1696">
        <f t="shared" si="262"/>
        <v>27.621394073649981</v>
      </c>
      <c r="CY190" s="1696">
        <f t="shared" si="262"/>
        <v>27.909129017955923</v>
      </c>
      <c r="CZ190" s="398">
        <f t="shared" si="262"/>
        <v>29.361692330171778</v>
      </c>
      <c r="DA190" s="1696">
        <f t="shared" si="262"/>
        <v>28.137109951126405</v>
      </c>
      <c r="DB190" s="1696">
        <f t="shared" ref="DB190:DG190" si="263">DB156/DB189</f>
        <v>28.981017898323877</v>
      </c>
      <c r="DC190" s="1696">
        <f t="shared" si="263"/>
        <v>29.249818387560946</v>
      </c>
      <c r="DD190" s="1696">
        <f t="shared" si="263"/>
        <v>29.111264700719676</v>
      </c>
      <c r="DE190" s="398">
        <f t="shared" si="263"/>
        <v>30.24322651460955</v>
      </c>
      <c r="DF190" s="1696">
        <f t="shared" si="263"/>
        <v>28.632332878581177</v>
      </c>
      <c r="DG190" s="1696">
        <f t="shared" si="263"/>
        <v>28.70876895056487</v>
      </c>
      <c r="DH190" s="1696">
        <f t="shared" ref="DH190:DI190" si="264">DH156/DH189</f>
        <v>28.635768245067844</v>
      </c>
      <c r="DI190" s="1696">
        <f t="shared" si="264"/>
        <v>29.233156217121387</v>
      </c>
      <c r="DJ190" s="398">
        <f>DJ156/DJ189</f>
        <v>30.344312950791323</v>
      </c>
      <c r="DK190" s="399">
        <f>DF190</f>
        <v>28.632332878581177</v>
      </c>
      <c r="DL190" s="399">
        <v>29</v>
      </c>
      <c r="DM190" s="399">
        <v>29</v>
      </c>
      <c r="DN190" s="399">
        <v>29</v>
      </c>
      <c r="DO190" s="398">
        <f ca="1">DO156/DO189</f>
        <v>29.853067421658846</v>
      </c>
      <c r="DP190" s="399">
        <f>DK190</f>
        <v>28.632332878581177</v>
      </c>
      <c r="DQ190" s="399">
        <f>DL190</f>
        <v>29</v>
      </c>
      <c r="DR190" s="399">
        <f>DM190</f>
        <v>29</v>
      </c>
      <c r="DS190" s="399">
        <f>DN190</f>
        <v>29</v>
      </c>
      <c r="DT190" s="398">
        <f ca="1">DT156/DT189</f>
        <v>29.804834119326589</v>
      </c>
      <c r="DU190" s="399">
        <f>DP190</f>
        <v>28.632332878581177</v>
      </c>
      <c r="DV190" s="399">
        <f>DQ190</f>
        <v>29</v>
      </c>
      <c r="DW190" s="399">
        <f>DR190</f>
        <v>29</v>
      </c>
      <c r="DX190" s="399">
        <f>DS190</f>
        <v>29</v>
      </c>
      <c r="DY190" s="398">
        <f ca="1">DY156/DY189</f>
        <v>29.738209502728321</v>
      </c>
      <c r="DZ190" s="1959"/>
      <c r="EA190" s="1959"/>
      <c r="EB190" s="1959"/>
    </row>
    <row r="191" spans="1:132" ht="12" thickBot="1" x14ac:dyDescent="0.25">
      <c r="A191" s="1970"/>
      <c r="B191" s="402" t="s">
        <v>424</v>
      </c>
      <c r="C191" s="403"/>
      <c r="D191" s="403"/>
      <c r="E191" s="404"/>
      <c r="F191" s="404"/>
      <c r="G191" s="404"/>
      <c r="H191" s="404"/>
      <c r="I191" s="405">
        <f>I192/I193</f>
        <v>1.245922948952638</v>
      </c>
      <c r="J191" s="404"/>
      <c r="K191" s="404"/>
      <c r="L191" s="404"/>
      <c r="M191" s="404"/>
      <c r="N191" s="405">
        <f>N192/N193</f>
        <v>0.78521626627551566</v>
      </c>
      <c r="O191" s="404"/>
      <c r="P191" s="404"/>
      <c r="Q191" s="404"/>
      <c r="R191" s="404"/>
      <c r="S191" s="405">
        <f>S192/S193</f>
        <v>0.89930556732336531</v>
      </c>
      <c r="T191" s="404"/>
      <c r="U191" s="404"/>
      <c r="V191" s="404"/>
      <c r="W191" s="404"/>
      <c r="X191" s="405">
        <f>X192/X193</f>
        <v>0.72647516626574238</v>
      </c>
      <c r="Y191" s="404"/>
      <c r="Z191" s="404"/>
      <c r="AA191" s="404"/>
      <c r="AB191" s="404"/>
      <c r="AC191" s="405">
        <f>AC192/AC193</f>
        <v>0.71745515905255886</v>
      </c>
      <c r="AD191" s="404"/>
      <c r="AE191" s="404"/>
      <c r="AF191" s="404"/>
      <c r="AG191" s="404"/>
      <c r="AH191" s="405">
        <f>AH192/AH193</f>
        <v>0.98232438868028227</v>
      </c>
      <c r="AI191" s="404"/>
      <c r="AJ191" s="404"/>
      <c r="AK191" s="404"/>
      <c r="AL191" s="404"/>
      <c r="AM191" s="405">
        <f>AM192/AM193</f>
        <v>0.73399274645565438</v>
      </c>
      <c r="AN191" s="404"/>
      <c r="AO191" s="404"/>
      <c r="AP191" s="404"/>
      <c r="AQ191" s="404"/>
      <c r="AR191" s="405">
        <f>AR192/AR193</f>
        <v>0.60969806831699858</v>
      </c>
      <c r="AS191" s="404"/>
      <c r="AT191" s="404"/>
      <c r="AU191" s="404"/>
      <c r="AV191" s="404"/>
      <c r="AW191" s="405">
        <f>AW192/AW193</f>
        <v>1.4563668972585193</v>
      </c>
      <c r="AX191" s="404"/>
      <c r="AY191" s="404"/>
      <c r="AZ191" s="404"/>
      <c r="BA191" s="404"/>
      <c r="BB191" s="405">
        <f>BB192/BB193</f>
        <v>0.83918577014490359</v>
      </c>
      <c r="BC191" s="406">
        <f>BC192/(BC193*4)</f>
        <v>0.74839519955344691</v>
      </c>
      <c r="BD191" s="406">
        <f>BD192/(BD193*4)</f>
        <v>2.0130265010882105</v>
      </c>
      <c r="BE191" s="406">
        <f>BE192/(BE193*4)</f>
        <v>2.2150320994399646</v>
      </c>
      <c r="BF191" s="406">
        <f>BF192/(BF193*4)</f>
        <v>1.3271229138238698</v>
      </c>
      <c r="BG191" s="405">
        <f>BG192/BG193</f>
        <v>1.6749685367953895</v>
      </c>
      <c r="BH191" s="406">
        <f>BH192/(BH193*4)</f>
        <v>1.801417689377909</v>
      </c>
      <c r="BI191" s="406">
        <f>BI192/(BI193*4)</f>
        <v>1.4519872666584217</v>
      </c>
      <c r="BJ191" s="406">
        <f>BJ192/(BJ193*4)</f>
        <v>1.4560338250254317</v>
      </c>
      <c r="BK191" s="406">
        <f>BK192/(BK193*4)</f>
        <v>1.4957049086758001</v>
      </c>
      <c r="BL191" s="405">
        <f>BL192/BL193</f>
        <v>1.7802442296914018</v>
      </c>
      <c r="BM191" s="407">
        <f>BM192/(BM193*4)</f>
        <v>1.4583383251467597</v>
      </c>
      <c r="BN191" s="407">
        <f>BN192/(BN193*4)</f>
        <v>1.3108327274760885</v>
      </c>
      <c r="BO191" s="407">
        <f>BO192/(BO193*4)</f>
        <v>1.3683670024196735</v>
      </c>
      <c r="BP191" s="407">
        <f>BP192/(BP193*4)</f>
        <v>1.408883881484321</v>
      </c>
      <c r="BQ191" s="405">
        <f>BQ192/BQ193</f>
        <v>1.6057319272170933</v>
      </c>
      <c r="BR191" s="407">
        <f>BR192/(BR193*4)</f>
        <v>1.6070128819825542</v>
      </c>
      <c r="BS191" s="407">
        <f>BS192/(BS193*4)</f>
        <v>1.392058927400234</v>
      </c>
      <c r="BT191" s="407">
        <f>BT192/(BT193*4)</f>
        <v>1.6021996570571211</v>
      </c>
      <c r="BU191" s="407">
        <f>BU192/(BU193*4)</f>
        <v>1.2428266381956485</v>
      </c>
      <c r="BV191" s="405">
        <f>BV192/BV193</f>
        <v>1.4276953738837168</v>
      </c>
      <c r="BW191" s="407">
        <f>BW192/(BW193*4)</f>
        <v>1.6081730769230769</v>
      </c>
      <c r="BX191" s="407">
        <f>BX192/(BX193*4)</f>
        <v>1.5999197431781702</v>
      </c>
      <c r="BY191" s="407">
        <f>BY192/(BY193*4)</f>
        <v>1.5022923408845739</v>
      </c>
      <c r="BZ191" s="407">
        <f>BZ192/(BZ193*4)</f>
        <v>1.1732384507699487</v>
      </c>
      <c r="CA191" s="405">
        <f>CA192/CA193</f>
        <v>1.3173958606235263</v>
      </c>
      <c r="CB191" s="407">
        <f>CB192/(CB193*4)</f>
        <v>1.4502967359050445</v>
      </c>
      <c r="CC191" s="407">
        <f>CC192/(CC193*4)</f>
        <v>1.4731525784157362</v>
      </c>
      <c r="CD191" s="407">
        <f>CD192/(CD193*4)</f>
        <v>1.352084379708689</v>
      </c>
      <c r="CE191" s="407">
        <f>CE192/(CE193*4)</f>
        <v>1.0640513430805842</v>
      </c>
      <c r="CF191" s="408">
        <f>CF192/CF193</f>
        <v>1.2660244253963446</v>
      </c>
      <c r="CG191" s="407">
        <f>CG192/(CG193*4)</f>
        <v>1.2603995621237001</v>
      </c>
      <c r="CH191" s="407">
        <f>CH192/(CH193*4)</f>
        <v>1.1003179501566369</v>
      </c>
      <c r="CI191" s="407">
        <f>CI192/(CI193*4)</f>
        <v>1.1125516660572019</v>
      </c>
      <c r="CJ191" s="407">
        <f>CJ192/(CJ193*4)</f>
        <v>0.89063689418929215</v>
      </c>
      <c r="CK191" s="408">
        <f>CK192/CK193</f>
        <v>1.0943741839936054</v>
      </c>
      <c r="CL191" s="407">
        <f>CL192/(CL193*4)</f>
        <v>1.0976828714220808</v>
      </c>
      <c r="CM191" s="407">
        <f>CM192/(CM193*4)</f>
        <v>0.96951648260743706</v>
      </c>
      <c r="CN191" s="407">
        <f>CN192/(CN193*4)</f>
        <v>1.0000587981654967</v>
      </c>
      <c r="CO191" s="407">
        <f>CO192/(CO193*4)</f>
        <v>1.2528980629721029</v>
      </c>
      <c r="CP191" s="408">
        <f>CP192/CP193</f>
        <v>1.3614384396586747</v>
      </c>
      <c r="CQ191" s="407">
        <f>CQ192/(CQ193*4)</f>
        <v>1.3398745054154519</v>
      </c>
      <c r="CR191" s="407">
        <f>CR192/(CR193*4)</f>
        <v>1.2404445598931257</v>
      </c>
      <c r="CS191" s="407">
        <f>CS192/(CS193*4)</f>
        <v>1.1987219508612146</v>
      </c>
      <c r="CT191" s="407">
        <f>CT192/(CT193*4)</f>
        <v>1.1527441628701582</v>
      </c>
      <c r="CU191" s="408">
        <f>CU192/CU193</f>
        <v>1.2074300520066361</v>
      </c>
      <c r="CV191" s="407">
        <f>CV192/(CV193*4)</f>
        <v>1.2165872259294543</v>
      </c>
      <c r="CW191" s="407">
        <f>CW192/(CW193*4)</f>
        <v>1.1952173122385905</v>
      </c>
      <c r="CX191" s="407">
        <f>CX192/(CX193*4)</f>
        <v>2.2758814286443378</v>
      </c>
      <c r="CY191" s="407">
        <f>CY192/(CY193*4)</f>
        <v>1.9833012574682456</v>
      </c>
      <c r="CZ191" s="408">
        <f>CZ192/CZ193</f>
        <v>2.3226990966305241</v>
      </c>
      <c r="DA191" s="407">
        <f>DA192/(DA193*4)</f>
        <v>2.4101533710034055</v>
      </c>
      <c r="DB191" s="407">
        <f>DB192/(DB193*4)</f>
        <v>2.3533085697380103</v>
      </c>
      <c r="DC191" s="407">
        <f>DC192/(DC193*4)</f>
        <v>1.9168387540870775</v>
      </c>
      <c r="DD191" s="407">
        <f>DD192/(DD193*4)</f>
        <v>1.888219801925874</v>
      </c>
      <c r="DE191" s="408">
        <f>DE192/DE193</f>
        <v>2.1140127926530559</v>
      </c>
      <c r="DF191" s="407">
        <f>DF192/(DF193*4)</f>
        <v>2.611771202254467</v>
      </c>
      <c r="DG191" s="407">
        <f>DG192/(DG193*4)</f>
        <v>2.3147292611115042</v>
      </c>
      <c r="DH191" s="407">
        <f>DH192/(DH193*4)</f>
        <v>2.0629590140523848</v>
      </c>
      <c r="DI191" s="407">
        <f>DI192/(DI193*4)</f>
        <v>1.7655950513938168</v>
      </c>
      <c r="DJ191" s="408">
        <f>DJ192/DJ193</f>
        <v>2.1662046491753726</v>
      </c>
      <c r="DK191" s="407">
        <f ca="1">DK192/(DK193*4)</f>
        <v>2.4769275408954727</v>
      </c>
      <c r="DL191" s="407">
        <f ca="1">DL192/(DL193*4)</f>
        <v>5.4525401569913887</v>
      </c>
      <c r="DM191" s="407">
        <f ca="1">DM192/(DM193*4)</f>
        <v>5.1932235888939795</v>
      </c>
      <c r="DN191" s="407">
        <f ca="1">DN192/(DN193*4)</f>
        <v>4.5037286658936466</v>
      </c>
      <c r="DO191" s="408">
        <f ca="1">DO192/DO193</f>
        <v>5.2295451491691862</v>
      </c>
      <c r="DP191" s="407">
        <f ca="1">DP192/(DP193*4)</f>
        <v>5.8142425744830657</v>
      </c>
      <c r="DQ191" s="407">
        <f ca="1">DQ192/(DQ193*4)</f>
        <v>5.3318755481554554</v>
      </c>
      <c r="DR191" s="407">
        <f ca="1">DR192/(DR193*4)</f>
        <v>5.0643525045070881</v>
      </c>
      <c r="DS191" s="407">
        <f ca="1">DS192/(DS193*4)</f>
        <v>4.399655296354597</v>
      </c>
      <c r="DT191" s="408">
        <f ca="1">DT192/DT193</f>
        <v>5.1001422182605829</v>
      </c>
      <c r="DU191" s="407">
        <f ca="1">DU192/(DU193*4)</f>
        <v>5.6414137614411421</v>
      </c>
      <c r="DV191" s="407">
        <f ca="1">DV192/(DV193*4)</f>
        <v>5.1564143376458009</v>
      </c>
      <c r="DW191" s="407">
        <f ca="1">DW192/(DW193*4)</f>
        <v>4.8854194804109543</v>
      </c>
      <c r="DX191" s="407">
        <f ca="1">DX192/(DX193*4)</f>
        <v>4.2577793637643904</v>
      </c>
      <c r="DY191" s="408">
        <f ca="1">DY192/DY193</f>
        <v>4.9337114486447886</v>
      </c>
      <c r="DZ191" s="1971"/>
      <c r="EA191" s="1971"/>
      <c r="EB191" s="1971"/>
    </row>
    <row r="192" spans="1:132" outlineLevel="1" x14ac:dyDescent="0.2">
      <c r="A192" s="1853"/>
      <c r="B192" s="1932" t="s">
        <v>425</v>
      </c>
      <c r="C192" s="1884"/>
      <c r="D192" s="1884"/>
      <c r="E192" s="59"/>
      <c r="F192" s="59"/>
      <c r="G192" s="59"/>
      <c r="H192" s="59"/>
      <c r="I192" s="61">
        <f>I158+I159+I162</f>
        <v>1253.7</v>
      </c>
      <c r="J192" s="59"/>
      <c r="K192" s="59"/>
      <c r="L192" s="59"/>
      <c r="M192" s="59"/>
      <c r="N192" s="61">
        <f>N158+N159+N162</f>
        <v>798.69999999999993</v>
      </c>
      <c r="O192" s="59"/>
      <c r="P192" s="59"/>
      <c r="Q192" s="59"/>
      <c r="R192" s="59"/>
      <c r="S192" s="61">
        <f>S158+S159+S162</f>
        <v>1061.4000000000001</v>
      </c>
      <c r="T192" s="59"/>
      <c r="U192" s="59"/>
      <c r="V192" s="59"/>
      <c r="W192" s="59"/>
      <c r="X192" s="61">
        <f>X158+X159+X162</f>
        <v>1026.8</v>
      </c>
      <c r="Y192" s="59"/>
      <c r="Z192" s="59"/>
      <c r="AA192" s="59"/>
      <c r="AB192" s="59"/>
      <c r="AC192" s="61">
        <f>AC158+AC159+AC162</f>
        <v>1148</v>
      </c>
      <c r="AD192" s="59"/>
      <c r="AE192" s="59"/>
      <c r="AF192" s="59"/>
      <c r="AG192" s="59"/>
      <c r="AH192" s="61">
        <f>AH158+AH159+AH162</f>
        <v>1072.5999999999999</v>
      </c>
      <c r="AI192" s="59"/>
      <c r="AJ192" s="59"/>
      <c r="AK192" s="59"/>
      <c r="AL192" s="59"/>
      <c r="AM192" s="61">
        <f>AM158+AM159+AM162</f>
        <v>1113.0999999999999</v>
      </c>
      <c r="AN192" s="59"/>
      <c r="AO192" s="59"/>
      <c r="AP192" s="59"/>
      <c r="AQ192" s="59"/>
      <c r="AR192" s="61">
        <f>AR158+AR159+AR162</f>
        <v>1076.3</v>
      </c>
      <c r="AS192" s="59"/>
      <c r="AT192" s="59"/>
      <c r="AU192" s="59"/>
      <c r="AV192" s="59"/>
      <c r="AW192" s="61">
        <f>AW158+AW159+AW162</f>
        <v>2842.1000000000004</v>
      </c>
      <c r="AX192" s="59"/>
      <c r="AY192" s="59"/>
      <c r="AZ192" s="59"/>
      <c r="BA192" s="59"/>
      <c r="BB192" s="61">
        <f t="shared" ref="BB192:DJ192" si="265">BB158+BB159+BB162</f>
        <v>2189.1</v>
      </c>
      <c r="BC192" s="62">
        <f t="shared" si="265"/>
        <v>2145.1999999999998</v>
      </c>
      <c r="BD192" s="62">
        <f t="shared" si="265"/>
        <v>6289.5</v>
      </c>
      <c r="BE192" s="62">
        <f t="shared" si="265"/>
        <v>6486.5</v>
      </c>
      <c r="BF192" s="62">
        <f t="shared" si="265"/>
        <v>5057.3999999999996</v>
      </c>
      <c r="BG192" s="61">
        <f t="shared" si="265"/>
        <v>5057.3999999999996</v>
      </c>
      <c r="BH192" s="62">
        <f t="shared" si="265"/>
        <v>6810.8</v>
      </c>
      <c r="BI192" s="62">
        <f t="shared" si="265"/>
        <v>9396.1</v>
      </c>
      <c r="BJ192" s="62">
        <f t="shared" si="265"/>
        <v>9160.2000000000007</v>
      </c>
      <c r="BK192" s="62">
        <f t="shared" si="265"/>
        <v>10481.900000000001</v>
      </c>
      <c r="BL192" s="61">
        <f t="shared" si="265"/>
        <v>10481.900000000001</v>
      </c>
      <c r="BM192" s="62">
        <f t="shared" si="265"/>
        <v>9738.2000000000007</v>
      </c>
      <c r="BN192" s="62">
        <f t="shared" si="265"/>
        <v>9375.5999999999985</v>
      </c>
      <c r="BO192" s="62">
        <f t="shared" si="265"/>
        <v>9726.9</v>
      </c>
      <c r="BP192" s="62">
        <f t="shared" si="265"/>
        <v>11754.599999999999</v>
      </c>
      <c r="BQ192" s="61">
        <f t="shared" si="265"/>
        <v>11754.599999999999</v>
      </c>
      <c r="BR192" s="62">
        <f t="shared" si="265"/>
        <v>11127.599999999999</v>
      </c>
      <c r="BS192" s="62">
        <f t="shared" si="265"/>
        <v>11036.8</v>
      </c>
      <c r="BT192" s="62">
        <f t="shared" si="265"/>
        <v>11960.1</v>
      </c>
      <c r="BU192" s="62">
        <f t="shared" si="265"/>
        <v>11175</v>
      </c>
      <c r="BV192" s="61">
        <f t="shared" si="265"/>
        <v>11175</v>
      </c>
      <c r="BW192" s="62">
        <f t="shared" si="265"/>
        <v>11373</v>
      </c>
      <c r="BX192" s="62">
        <f t="shared" si="265"/>
        <v>11961</v>
      </c>
      <c r="BY192" s="62">
        <f t="shared" si="265"/>
        <v>11141</v>
      </c>
      <c r="BZ192" s="62">
        <f t="shared" si="265"/>
        <v>10057</v>
      </c>
      <c r="CA192" s="61">
        <f t="shared" si="265"/>
        <v>10057</v>
      </c>
      <c r="CB192" s="62">
        <f t="shared" si="265"/>
        <v>9775</v>
      </c>
      <c r="CC192" s="62">
        <f t="shared" si="265"/>
        <v>11084</v>
      </c>
      <c r="CD192" s="59">
        <f t="shared" si="265"/>
        <v>10768</v>
      </c>
      <c r="CE192" s="59">
        <f t="shared" si="265"/>
        <v>10014</v>
      </c>
      <c r="CF192" s="86">
        <f t="shared" si="265"/>
        <v>10014</v>
      </c>
      <c r="CG192" s="62">
        <f t="shared" si="265"/>
        <v>9211</v>
      </c>
      <c r="CH192" s="62">
        <f t="shared" si="265"/>
        <v>9413</v>
      </c>
      <c r="CI192" s="59">
        <f t="shared" si="265"/>
        <v>10040</v>
      </c>
      <c r="CJ192" s="59">
        <f t="shared" si="265"/>
        <v>9828</v>
      </c>
      <c r="CK192" s="86">
        <f t="shared" si="265"/>
        <v>9828</v>
      </c>
      <c r="CL192" s="59">
        <f t="shared" si="265"/>
        <v>9664</v>
      </c>
      <c r="CM192" s="62">
        <f>CM158+CM159+CM162</f>
        <v>9376</v>
      </c>
      <c r="CN192" s="62">
        <f>CN158+CN159+CN162</f>
        <v>10205</v>
      </c>
      <c r="CO192" s="62">
        <f>CO158+CO159+CO162</f>
        <v>13402</v>
      </c>
      <c r="CP192" s="86">
        <f t="shared" si="265"/>
        <v>13402</v>
      </c>
      <c r="CQ192" s="62">
        <f>CQ158+CQ159+CQ162</f>
        <v>13410</v>
      </c>
      <c r="CR192" s="59">
        <f t="shared" si="265"/>
        <v>13371</v>
      </c>
      <c r="CS192" s="59">
        <f t="shared" si="265"/>
        <v>13056</v>
      </c>
      <c r="CT192" s="59">
        <f t="shared" si="265"/>
        <v>12955</v>
      </c>
      <c r="CU192" s="86">
        <f t="shared" si="265"/>
        <v>12955</v>
      </c>
      <c r="CV192" s="59">
        <f t="shared" si="265"/>
        <v>12762</v>
      </c>
      <c r="CW192" s="59">
        <f t="shared" si="265"/>
        <v>13145</v>
      </c>
      <c r="CX192" s="59">
        <f t="shared" si="265"/>
        <v>27222</v>
      </c>
      <c r="CY192" s="59">
        <f t="shared" si="265"/>
        <v>27464</v>
      </c>
      <c r="CZ192" s="86">
        <f t="shared" si="265"/>
        <v>27464</v>
      </c>
      <c r="DA192" s="59">
        <f t="shared" si="265"/>
        <v>27469</v>
      </c>
      <c r="DB192" s="59">
        <f t="shared" si="265"/>
        <v>28636</v>
      </c>
      <c r="DC192" s="59">
        <f>DC158+DC159+DC162</f>
        <v>26733</v>
      </c>
      <c r="DD192" s="59">
        <f>DD158+DD159+DD162</f>
        <v>27531</v>
      </c>
      <c r="DE192" s="86">
        <f t="shared" si="265"/>
        <v>27531</v>
      </c>
      <c r="DF192" s="59">
        <f>DF158+DF159+DF162</f>
        <v>27433</v>
      </c>
      <c r="DG192" s="59">
        <f>DG158+DG159+DG162</f>
        <v>26764</v>
      </c>
      <c r="DH192" s="59">
        <f>DH158+DH159+DH162</f>
        <v>25789</v>
      </c>
      <c r="DI192" s="59">
        <f>DI158+DI159+DI162</f>
        <v>27002</v>
      </c>
      <c r="DJ192" s="86">
        <f t="shared" si="265"/>
        <v>27002</v>
      </c>
      <c r="DK192" s="59">
        <f t="shared" ref="DK192:DT192" si="266">DK158+DK159+DK162</f>
        <v>27002</v>
      </c>
      <c r="DL192" s="59">
        <f t="shared" si="266"/>
        <v>65322</v>
      </c>
      <c r="DM192" s="59">
        <f t="shared" si="266"/>
        <v>65322</v>
      </c>
      <c r="DN192" s="59">
        <f t="shared" si="266"/>
        <v>65322</v>
      </c>
      <c r="DO192" s="86">
        <f t="shared" si="266"/>
        <v>65322</v>
      </c>
      <c r="DP192" s="59">
        <f t="shared" si="266"/>
        <v>65322</v>
      </c>
      <c r="DQ192" s="59">
        <f t="shared" si="266"/>
        <v>65322</v>
      </c>
      <c r="DR192" s="59">
        <f t="shared" si="266"/>
        <v>65322</v>
      </c>
      <c r="DS192" s="59">
        <f t="shared" si="266"/>
        <v>65322</v>
      </c>
      <c r="DT192" s="86">
        <f t="shared" si="266"/>
        <v>65322</v>
      </c>
      <c r="DU192" s="59">
        <f t="shared" ref="DU192:DY192" si="267">DU158+DU159+DU162</f>
        <v>65322</v>
      </c>
      <c r="DV192" s="59">
        <f t="shared" si="267"/>
        <v>65322</v>
      </c>
      <c r="DW192" s="59">
        <f t="shared" si="267"/>
        <v>65322</v>
      </c>
      <c r="DX192" s="59">
        <f t="shared" si="267"/>
        <v>65322</v>
      </c>
      <c r="DY192" s="86">
        <f t="shared" si="267"/>
        <v>65322</v>
      </c>
      <c r="DZ192" s="1858"/>
      <c r="EA192" s="1858"/>
      <c r="EB192" s="1858"/>
    </row>
    <row r="193" spans="1:132" ht="12" outlineLevel="1" thickBot="1" x14ac:dyDescent="0.25">
      <c r="A193" s="1853"/>
      <c r="B193" s="1972" t="s">
        <v>426</v>
      </c>
      <c r="C193" s="1973"/>
      <c r="D193" s="1973"/>
      <c r="E193" s="160"/>
      <c r="F193" s="160"/>
      <c r="G193" s="160"/>
      <c r="H193" s="160"/>
      <c r="I193" s="409">
        <f>IS!I15</f>
        <v>1006.2419999999997</v>
      </c>
      <c r="J193" s="160"/>
      <c r="K193" s="160"/>
      <c r="L193" s="160"/>
      <c r="M193" s="160"/>
      <c r="N193" s="409">
        <f>IS!N15</f>
        <v>1017.1720000000014</v>
      </c>
      <c r="O193" s="160"/>
      <c r="P193" s="160"/>
      <c r="Q193" s="160"/>
      <c r="R193" s="160"/>
      <c r="S193" s="409">
        <f>IS!S15</f>
        <v>1180.2440000000024</v>
      </c>
      <c r="T193" s="160"/>
      <c r="U193" s="160"/>
      <c r="V193" s="160"/>
      <c r="W193" s="160"/>
      <c r="X193" s="409">
        <f>IS!X15</f>
        <v>1413.3999999999996</v>
      </c>
      <c r="Y193" s="160"/>
      <c r="Z193" s="160"/>
      <c r="AA193" s="160"/>
      <c r="AB193" s="160"/>
      <c r="AC193" s="409">
        <f>IS!AC15</f>
        <v>1600.1000000000008</v>
      </c>
      <c r="AD193" s="160"/>
      <c r="AE193" s="160"/>
      <c r="AF193" s="160"/>
      <c r="AG193" s="160"/>
      <c r="AH193" s="409">
        <f>IS!AH15</f>
        <v>1091.8999999999996</v>
      </c>
      <c r="AI193" s="160"/>
      <c r="AJ193" s="160"/>
      <c r="AK193" s="160"/>
      <c r="AL193" s="160"/>
      <c r="AM193" s="409">
        <f>IS!AM15</f>
        <v>1516.5</v>
      </c>
      <c r="AN193" s="160"/>
      <c r="AO193" s="160"/>
      <c r="AP193" s="160"/>
      <c r="AQ193" s="160"/>
      <c r="AR193" s="409">
        <f>IS!AR15</f>
        <v>1765.3000000000038</v>
      </c>
      <c r="AS193" s="160"/>
      <c r="AT193" s="160"/>
      <c r="AU193" s="160"/>
      <c r="AV193" s="160"/>
      <c r="AW193" s="409">
        <f>IS!AW15</f>
        <v>1951.5</v>
      </c>
      <c r="AX193" s="160"/>
      <c r="AY193" s="160"/>
      <c r="AZ193" s="160"/>
      <c r="BA193" s="160"/>
      <c r="BB193" s="409">
        <f>IS!BB15</f>
        <v>2608.6000000000054</v>
      </c>
      <c r="BC193" s="410">
        <f>IS!BC15</f>
        <v>716.59999999999991</v>
      </c>
      <c r="BD193" s="410">
        <f>IS!BD15</f>
        <v>781.09999999999945</v>
      </c>
      <c r="BE193" s="410">
        <f>IS!BE15</f>
        <v>732.10000000000082</v>
      </c>
      <c r="BF193" s="410">
        <f>IS!BF15</f>
        <v>952.69999999999936</v>
      </c>
      <c r="BG193" s="409">
        <f>IS!BG15</f>
        <v>3019.4000000000005</v>
      </c>
      <c r="BH193" s="410">
        <f>IS!BH15</f>
        <v>945.20000000000027</v>
      </c>
      <c r="BI193" s="410">
        <f>IS!BI15</f>
        <v>1617.8000000000038</v>
      </c>
      <c r="BJ193" s="410">
        <f>IS!BJ15</f>
        <v>1572.8000000000009</v>
      </c>
      <c r="BK193" s="410">
        <f>IS!BK15</f>
        <v>1751.9999999999991</v>
      </c>
      <c r="BL193" s="409">
        <f>IS!BL15</f>
        <v>5887.8999999999978</v>
      </c>
      <c r="BM193" s="410">
        <f>IS!BM15</f>
        <v>1669.3999999999999</v>
      </c>
      <c r="BN193" s="410">
        <f>IS!BN15</f>
        <v>1788.1000000000045</v>
      </c>
      <c r="BO193" s="410">
        <f>IS!BO15</f>
        <v>1777.0999999999985</v>
      </c>
      <c r="BP193" s="410">
        <f>IS!BP15</f>
        <v>2085.800000000002</v>
      </c>
      <c r="BQ193" s="409">
        <f>IS!BQ15</f>
        <v>7320.3999999999933</v>
      </c>
      <c r="BR193" s="410">
        <f>IS!BR15</f>
        <v>1731.1</v>
      </c>
      <c r="BS193" s="410">
        <f>IS!BS15</f>
        <v>1982.0999999999972</v>
      </c>
      <c r="BT193" s="410">
        <f>IS!BT15</f>
        <v>1866.2000000000005</v>
      </c>
      <c r="BU193" s="410">
        <f>IS!BU15</f>
        <v>2247.9000000000015</v>
      </c>
      <c r="BV193" s="409">
        <f>IS!BV15</f>
        <v>7827.2999999999884</v>
      </c>
      <c r="BW193" s="410">
        <f>IS!BW15</f>
        <v>1768</v>
      </c>
      <c r="BX193" s="410">
        <f>IS!BX15</f>
        <v>1869</v>
      </c>
      <c r="BY193" s="410">
        <f>IS!BY15</f>
        <v>1854</v>
      </c>
      <c r="BZ193" s="410">
        <f>IS!BZ15</f>
        <v>2143</v>
      </c>
      <c r="CA193" s="409">
        <f>IS!CA15</f>
        <v>7634</v>
      </c>
      <c r="CB193" s="410">
        <f>IS!CB15</f>
        <v>1685</v>
      </c>
      <c r="CC193" s="410">
        <f>IS!CC15</f>
        <v>1881</v>
      </c>
      <c r="CD193" s="160">
        <f>IS!CD15</f>
        <v>1991</v>
      </c>
      <c r="CE193" s="160">
        <f>IS!CE15</f>
        <v>2352.8000000000011</v>
      </c>
      <c r="CF193" s="161">
        <f>IS!CF15</f>
        <v>7909.7999999999947</v>
      </c>
      <c r="CG193" s="410">
        <f>IS!CG15</f>
        <v>1827</v>
      </c>
      <c r="CH193" s="410">
        <f>IS!CH15</f>
        <v>2138.7000000000007</v>
      </c>
      <c r="CI193" s="160">
        <f>IS!CI15</f>
        <v>2256.0749999999985</v>
      </c>
      <c r="CJ193" s="160">
        <f>IS!CJ15</f>
        <v>2758.7</v>
      </c>
      <c r="CK193" s="161">
        <f>IS!CK15</f>
        <v>8980.475000000024</v>
      </c>
      <c r="CL193" s="160">
        <f>IS!CL15</f>
        <v>2201</v>
      </c>
      <c r="CM193" s="410">
        <f>IS!CM15</f>
        <v>2417.6999999999994</v>
      </c>
      <c r="CN193" s="410">
        <f>IS!CN15</f>
        <v>2551.1000000000013</v>
      </c>
      <c r="CO193" s="410">
        <f>IS!CO15</f>
        <v>2674.2000000000016</v>
      </c>
      <c r="CP193" s="161">
        <f>IS!CP15</f>
        <v>9844.0000000000036</v>
      </c>
      <c r="CQ193" s="410">
        <f>IS!CQ15</f>
        <v>2502.0999999999981</v>
      </c>
      <c r="CR193" s="160">
        <f>IS!CR15</f>
        <v>2694.8000000000038</v>
      </c>
      <c r="CS193" s="160">
        <f>IS!CS15</f>
        <v>2722.8999999999992</v>
      </c>
      <c r="CT193" s="160">
        <f>IS!CT15</f>
        <v>2809.6000000000031</v>
      </c>
      <c r="CU193" s="161">
        <f>IS!CU15</f>
        <v>10729.4</v>
      </c>
      <c r="CV193" s="160">
        <f>IS!CV15</f>
        <v>2622.500000000005</v>
      </c>
      <c r="CW193" s="160">
        <f>IS!CW15</f>
        <v>2749.4999999999959</v>
      </c>
      <c r="CX193" s="160">
        <f>IS!CX15</f>
        <v>2990.2700177371703</v>
      </c>
      <c r="CY193" s="160">
        <f>IS!CY15</f>
        <v>3461.9047278599987</v>
      </c>
      <c r="CZ193" s="161">
        <f>IS!CZ15</f>
        <v>11824.174745597169</v>
      </c>
      <c r="DA193" s="160">
        <f>IS!DA15</f>
        <v>2849.2999999999988</v>
      </c>
      <c r="DB193" s="160">
        <f>IS!DB15</f>
        <v>3042.0999999999995</v>
      </c>
      <c r="DC193" s="160">
        <f>IS!DC15</f>
        <v>3486.5999999999976</v>
      </c>
      <c r="DD193" s="160">
        <f>IS!DD15</f>
        <v>3645.0999999999981</v>
      </c>
      <c r="DE193" s="161">
        <f>IS!DE15</f>
        <v>13023.099999999995</v>
      </c>
      <c r="DF193" s="160">
        <f>IS!DF15</f>
        <v>2625.8999999999983</v>
      </c>
      <c r="DG193" s="160">
        <f>IS!DG15</f>
        <v>2890.6188349591539</v>
      </c>
      <c r="DH193" s="160">
        <f>IS!DH15</f>
        <v>3125.2438638299986</v>
      </c>
      <c r="DI193" s="160">
        <f>IS!DI15</f>
        <v>3823.3568873400168</v>
      </c>
      <c r="DJ193" s="161">
        <f>IS!DJ15</f>
        <v>12465.119586129167</v>
      </c>
      <c r="DK193" s="160">
        <f ca="1">IS!DK15</f>
        <v>2725.3522311595443</v>
      </c>
      <c r="DL193" s="160">
        <f ca="1">IS!DL15</f>
        <v>2995.0260850551663</v>
      </c>
      <c r="DM193" s="160">
        <f ca="1">IS!DM15</f>
        <v>3144.5786457035579</v>
      </c>
      <c r="DN193" s="160">
        <f ca="1">IS!DN15</f>
        <v>3625.9955275879483</v>
      </c>
      <c r="DO193" s="161">
        <f ca="1">IS!DO15</f>
        <v>12490.952489506215</v>
      </c>
      <c r="DP193" s="160">
        <f ca="1">IS!DP15</f>
        <v>2808.7063432250961</v>
      </c>
      <c r="DQ193" s="160">
        <f ca="1">IS!DQ15</f>
        <v>3062.8059212014959</v>
      </c>
      <c r="DR193" s="160">
        <f ca="1">IS!DR15</f>
        <v>3224.5978109672369</v>
      </c>
      <c r="DS193" s="160">
        <f ca="1">IS!DS15</f>
        <v>3711.7680590865584</v>
      </c>
      <c r="DT193" s="161">
        <f ca="1">IS!DT15</f>
        <v>12807.878134480383</v>
      </c>
      <c r="DU193" s="160">
        <f ca="1">IS!DU15</f>
        <v>2894.7531045530418</v>
      </c>
      <c r="DV193" s="160">
        <f ca="1">IS!DV15</f>
        <v>3167.026334709908</v>
      </c>
      <c r="DW193" s="160">
        <f ca="1">IS!DW15</f>
        <v>3342.7016995122599</v>
      </c>
      <c r="DX193" s="160">
        <f ca="1">IS!DX15</f>
        <v>3835.4500327048108</v>
      </c>
      <c r="DY193" s="161">
        <f ca="1">IS!DY15</f>
        <v>13239.931171480024</v>
      </c>
      <c r="DZ193" s="1858"/>
      <c r="EA193" s="1858"/>
      <c r="EB193" s="1858"/>
    </row>
    <row r="194" spans="1:132" ht="12" thickBot="1" x14ac:dyDescent="0.25">
      <c r="A194" s="1833"/>
      <c r="B194" s="1974"/>
      <c r="C194" s="1974"/>
      <c r="D194" s="1974"/>
      <c r="E194" s="1974"/>
      <c r="F194" s="1974"/>
      <c r="G194" s="1974"/>
      <c r="H194" s="1974"/>
      <c r="I194" s="1974"/>
      <c r="J194" s="1974"/>
      <c r="K194" s="1974"/>
      <c r="L194" s="1974"/>
      <c r="M194" s="1974"/>
      <c r="N194" s="1974"/>
      <c r="O194" s="1974"/>
      <c r="P194" s="1974"/>
      <c r="Q194" s="1974"/>
      <c r="R194" s="1974"/>
      <c r="S194" s="1974"/>
      <c r="T194" s="1974"/>
      <c r="U194" s="1974"/>
      <c r="V194" s="1974"/>
      <c r="W194" s="1974"/>
      <c r="X194" s="1974"/>
      <c r="Y194" s="1974"/>
      <c r="Z194" s="1974"/>
      <c r="AA194" s="1974"/>
      <c r="AB194" s="1974"/>
      <c r="AC194" s="1974"/>
      <c r="AD194" s="1974"/>
      <c r="AE194" s="1974"/>
      <c r="AF194" s="1974"/>
      <c r="AG194" s="1974"/>
      <c r="AH194" s="1974"/>
      <c r="AI194" s="1974"/>
      <c r="AJ194" s="1974"/>
      <c r="AK194" s="1974"/>
      <c r="AL194" s="1974"/>
      <c r="AM194" s="1974"/>
      <c r="AN194" s="1974"/>
      <c r="AO194" s="1974"/>
      <c r="AP194" s="1974"/>
      <c r="AQ194" s="1974"/>
      <c r="AR194" s="1974"/>
      <c r="AS194" s="1974"/>
      <c r="AT194" s="1974"/>
      <c r="AU194" s="1974"/>
      <c r="AV194" s="1974"/>
      <c r="AW194" s="1974"/>
      <c r="AX194" s="1974"/>
      <c r="AY194" s="1974"/>
      <c r="AZ194" s="1974"/>
      <c r="BA194" s="1974"/>
      <c r="BB194" s="1974"/>
      <c r="BC194" s="1974"/>
      <c r="BD194" s="1974"/>
      <c r="BE194" s="1974"/>
      <c r="BF194" s="1974"/>
      <c r="BG194" s="1974"/>
      <c r="BH194" s="1974"/>
      <c r="BI194" s="1974"/>
      <c r="BJ194" s="1974"/>
      <c r="BK194" s="1974"/>
      <c r="BL194" s="1974"/>
      <c r="BM194" s="1974"/>
      <c r="BN194" s="1974"/>
      <c r="BO194" s="1974"/>
      <c r="BP194" s="1974"/>
      <c r="BQ194" s="1974"/>
      <c r="BR194" s="1974"/>
      <c r="BS194" s="1974"/>
      <c r="BT194" s="1974"/>
      <c r="BU194" s="1974"/>
      <c r="BV194" s="1974"/>
      <c r="BW194" s="1974"/>
      <c r="BX194" s="1974"/>
      <c r="BY194" s="1974"/>
      <c r="BZ194" s="1974"/>
      <c r="CA194" s="1974"/>
      <c r="CB194" s="1974"/>
      <c r="CC194" s="1974"/>
      <c r="CD194" s="1974"/>
      <c r="CE194" s="1974"/>
      <c r="CF194" s="1974"/>
      <c r="CG194" s="1974"/>
      <c r="CH194" s="1974"/>
      <c r="CI194" s="1974"/>
      <c r="CJ194" s="1974"/>
      <c r="CK194" s="1974"/>
      <c r="CL194" s="1974"/>
      <c r="CM194" s="1974"/>
      <c r="CN194" s="1974"/>
      <c r="CO194" s="1974"/>
      <c r="CP194" s="1974"/>
      <c r="CQ194" s="1974"/>
      <c r="CR194" s="1974"/>
      <c r="CS194" s="1974"/>
      <c r="CT194" s="1974"/>
      <c r="CU194" s="1974"/>
      <c r="CV194" s="1974"/>
      <c r="CW194" s="1974"/>
      <c r="CX194" s="1974"/>
      <c r="CY194" s="1974"/>
      <c r="CZ194" s="1974"/>
      <c r="DA194" s="1974"/>
      <c r="DB194" s="1974"/>
      <c r="DC194" s="1974"/>
      <c r="DD194" s="1974"/>
      <c r="DE194" s="1974"/>
      <c r="DF194" s="1974"/>
      <c r="DG194" s="1974"/>
      <c r="DH194" s="1974"/>
      <c r="DI194" s="1974"/>
      <c r="DJ194" s="1974"/>
      <c r="DK194" s="1974"/>
      <c r="DL194" s="1974"/>
      <c r="DM194" s="1974"/>
      <c r="DN194" s="1974"/>
      <c r="DO194" s="1974"/>
      <c r="DP194" s="1974"/>
      <c r="DQ194" s="1974"/>
      <c r="DR194" s="1974"/>
      <c r="DS194" s="1974"/>
      <c r="DT194" s="1974"/>
      <c r="DU194" s="1974"/>
      <c r="DV194" s="1974"/>
      <c r="DW194" s="1974"/>
      <c r="DX194" s="1974"/>
      <c r="DY194" s="1974"/>
      <c r="DZ194" s="1838"/>
      <c r="EA194" s="1838"/>
      <c r="EB194" s="1838"/>
    </row>
    <row r="195" spans="1:132" ht="12" thickBot="1" x14ac:dyDescent="0.25">
      <c r="A195" s="1842"/>
      <c r="B195" s="412" t="s">
        <v>427</v>
      </c>
      <c r="C195" s="1975"/>
      <c r="D195" s="1975"/>
      <c r="E195" s="1975"/>
      <c r="F195" s="1975"/>
      <c r="G195" s="1975"/>
      <c r="H195" s="1975"/>
      <c r="I195" s="1976"/>
      <c r="J195" s="1975"/>
      <c r="K195" s="1975"/>
      <c r="L195" s="1975"/>
      <c r="M195" s="1975"/>
      <c r="N195" s="1976"/>
      <c r="O195" s="1975"/>
      <c r="P195" s="1975"/>
      <c r="Q195" s="1975"/>
      <c r="R195" s="1975"/>
      <c r="S195" s="1976"/>
      <c r="T195" s="1975"/>
      <c r="U195" s="1975"/>
      <c r="V195" s="1975"/>
      <c r="W195" s="1975"/>
      <c r="X195" s="1977"/>
      <c r="Y195" s="1975"/>
      <c r="Z195" s="1975"/>
      <c r="AA195" s="1975"/>
      <c r="AB195" s="1975"/>
      <c r="AC195" s="1977"/>
      <c r="AD195" s="1975"/>
      <c r="AE195" s="1975"/>
      <c r="AF195" s="1975"/>
      <c r="AG195" s="1975"/>
      <c r="AH195" s="1978"/>
      <c r="AI195" s="1975"/>
      <c r="AJ195" s="1975"/>
      <c r="AK195" s="1975"/>
      <c r="AL195" s="1975"/>
      <c r="AM195" s="1978"/>
      <c r="AN195" s="1975"/>
      <c r="AO195" s="1975"/>
      <c r="AP195" s="1975"/>
      <c r="AQ195" s="1975"/>
      <c r="AR195" s="1978"/>
      <c r="AS195" s="1975"/>
      <c r="AT195" s="1975"/>
      <c r="AU195" s="1975"/>
      <c r="AV195" s="1975"/>
      <c r="AW195" s="1979"/>
      <c r="AX195" s="1975"/>
      <c r="AY195" s="1975"/>
      <c r="AZ195" s="1975"/>
      <c r="BA195" s="1975"/>
      <c r="BB195" s="1979"/>
      <c r="BC195" s="1975"/>
      <c r="BD195" s="1975"/>
      <c r="BE195" s="1975"/>
      <c r="BF195" s="1975"/>
      <c r="BG195" s="1979"/>
      <c r="BH195" s="1975"/>
      <c r="BI195" s="1975"/>
      <c r="BJ195" s="1975"/>
      <c r="BK195" s="1975"/>
      <c r="BL195" s="1979"/>
      <c r="BM195" s="1975"/>
      <c r="BN195" s="1975"/>
      <c r="BO195" s="1975"/>
      <c r="BP195" s="1975"/>
      <c r="BQ195" s="1979"/>
      <c r="BR195" s="1975"/>
      <c r="BS195" s="1975"/>
      <c r="BT195" s="1975"/>
      <c r="BU195" s="1975"/>
      <c r="BV195" s="1979"/>
      <c r="BW195" s="1975"/>
      <c r="BX195" s="1975"/>
      <c r="BY195" s="1975"/>
      <c r="BZ195" s="1975"/>
      <c r="CA195" s="1979"/>
      <c r="CB195" s="1975"/>
      <c r="CC195" s="1975"/>
      <c r="CD195" s="1975"/>
      <c r="CE195" s="1975"/>
      <c r="CF195" s="1979"/>
      <c r="CG195" s="1980"/>
      <c r="CH195" s="1981"/>
      <c r="CI195" s="1981"/>
      <c r="CJ195" s="1982"/>
      <c r="CK195" s="1983"/>
      <c r="CL195" s="1975"/>
      <c r="CM195" s="1975"/>
      <c r="CN195" s="1975"/>
      <c r="CO195" s="1975"/>
      <c r="CP195" s="1979"/>
      <c r="CQ195" s="1975"/>
      <c r="CR195" s="1975"/>
      <c r="CS195" s="1975"/>
      <c r="CT195" s="1975"/>
      <c r="CU195" s="1979"/>
      <c r="CV195" s="1975"/>
      <c r="CW195" s="1975"/>
      <c r="CX195" s="1975"/>
      <c r="CY195" s="1975"/>
      <c r="CZ195" s="1979"/>
      <c r="DA195" s="1975"/>
      <c r="DB195" s="1975"/>
      <c r="DC195" s="1975"/>
      <c r="DD195" s="1975"/>
      <c r="DE195" s="1979"/>
      <c r="DF195" s="1975"/>
      <c r="DG195" s="1975"/>
      <c r="DH195" s="1975"/>
      <c r="DI195" s="1975"/>
      <c r="DJ195" s="1979"/>
      <c r="DK195" s="1975"/>
      <c r="DL195" s="1975"/>
      <c r="DM195" s="1975"/>
      <c r="DN195" s="1975"/>
      <c r="DO195" s="1979"/>
      <c r="DP195" s="1975"/>
      <c r="DQ195" s="1975"/>
      <c r="DR195" s="1975"/>
      <c r="DS195" s="1975"/>
      <c r="DT195" s="1979"/>
      <c r="DU195" s="1975"/>
      <c r="DV195" s="1975"/>
      <c r="DW195" s="1975"/>
      <c r="DX195" s="1975"/>
      <c r="DY195" s="1979"/>
      <c r="DZ195" s="1848"/>
      <c r="EA195" s="1848"/>
      <c r="EB195" s="1848"/>
    </row>
    <row r="196" spans="1:132" x14ac:dyDescent="0.2">
      <c r="A196" s="1842"/>
      <c r="B196" s="1849" t="s">
        <v>428</v>
      </c>
      <c r="C196" s="1984"/>
      <c r="D196" s="1850"/>
      <c r="E196" s="1850"/>
      <c r="F196" s="1850"/>
      <c r="G196" s="1850"/>
      <c r="H196" s="1850"/>
      <c r="I196" s="1985"/>
      <c r="J196" s="1850"/>
      <c r="K196" s="1850"/>
      <c r="L196" s="1850"/>
      <c r="M196" s="1850"/>
      <c r="N196" s="1985"/>
      <c r="O196" s="1850"/>
      <c r="P196" s="1850"/>
      <c r="Q196" s="1850"/>
      <c r="R196" s="1850"/>
      <c r="S196" s="1985"/>
      <c r="T196" s="1850"/>
      <c r="U196" s="1850"/>
      <c r="V196" s="1850"/>
      <c r="W196" s="1850"/>
      <c r="X196" s="1985"/>
      <c r="Y196" s="1850"/>
      <c r="Z196" s="1850"/>
      <c r="AA196" s="1850"/>
      <c r="AB196" s="1850"/>
      <c r="AC196" s="1985"/>
      <c r="AD196" s="1850"/>
      <c r="AE196" s="1850"/>
      <c r="AF196" s="1850"/>
      <c r="AG196" s="1850"/>
      <c r="AH196" s="1985"/>
      <c r="AI196" s="1850"/>
      <c r="AJ196" s="1850"/>
      <c r="AK196" s="1850"/>
      <c r="AL196" s="1850"/>
      <c r="AM196" s="1985"/>
      <c r="AN196" s="1850"/>
      <c r="AO196" s="1850"/>
      <c r="AP196" s="1850"/>
      <c r="AQ196" s="1850"/>
      <c r="AR196" s="1985"/>
      <c r="AS196" s="1850"/>
      <c r="AT196" s="1850"/>
      <c r="AU196" s="1850"/>
      <c r="AV196" s="1850"/>
      <c r="AW196" s="1985"/>
      <c r="AX196" s="1850"/>
      <c r="AY196" s="1850"/>
      <c r="AZ196" s="1850"/>
      <c r="BA196" s="1850"/>
      <c r="BB196" s="1985"/>
      <c r="BC196" s="1850"/>
      <c r="BD196" s="1850"/>
      <c r="BE196" s="1850"/>
      <c r="BF196" s="1850"/>
      <c r="BG196" s="1985"/>
      <c r="BH196" s="1850"/>
      <c r="BI196" s="1850"/>
      <c r="BJ196" s="1850"/>
      <c r="BK196" s="1850"/>
      <c r="BL196" s="1985">
        <f>BL197/BL198</f>
        <v>39.78074074074074</v>
      </c>
      <c r="BM196" s="1986"/>
      <c r="BN196" s="1986"/>
      <c r="BO196" s="1986"/>
      <c r="BP196" s="1986"/>
      <c r="BQ196" s="1985">
        <f>BQ197/BQ198</f>
        <v>5.0769230769230766</v>
      </c>
      <c r="BR196" s="1850"/>
      <c r="BS196" s="1850"/>
      <c r="BT196" s="1850"/>
      <c r="BU196" s="413">
        <f>-BU197/BU198</f>
        <v>36.412684858129985</v>
      </c>
      <c r="BV196" s="1985">
        <v>35</v>
      </c>
      <c r="BW196" s="1987">
        <v>34.5</v>
      </c>
      <c r="BX196" s="1987">
        <f>BW196*1.02</f>
        <v>35.19</v>
      </c>
      <c r="BY196" s="1987">
        <f>BX196*1.02</f>
        <v>35.893799999999999</v>
      </c>
      <c r="BZ196" s="1987">
        <f>BY196*1.02</f>
        <v>36.611676000000003</v>
      </c>
      <c r="CA196" s="1985">
        <f>AVERAGE(BW196:BZ196)</f>
        <v>35.548868999999996</v>
      </c>
      <c r="CB196" s="1988">
        <f t="shared" ref="CB196:CI196" si="268">CB197/CB198</f>
        <v>32.887323943661976</v>
      </c>
      <c r="CC196" s="1988">
        <f t="shared" si="268"/>
        <v>37.89473684210526</v>
      </c>
      <c r="CD196" s="1988">
        <f t="shared" si="268"/>
        <v>37.666666666666664</v>
      </c>
      <c r="CE196" s="1988">
        <f t="shared" si="268"/>
        <v>31.549295774647881</v>
      </c>
      <c r="CF196" s="1985">
        <f t="shared" si="268"/>
        <v>35.854241338112303</v>
      </c>
      <c r="CG196" s="1989">
        <f t="shared" si="268"/>
        <v>47.093023255813954</v>
      </c>
      <c r="CH196" s="1990">
        <f t="shared" si="268"/>
        <v>47.52</v>
      </c>
      <c r="CI196" s="1986">
        <f t="shared" si="268"/>
        <v>46.47331786542923</v>
      </c>
      <c r="CJ196" s="1991">
        <v>45.58</v>
      </c>
      <c r="CK196" s="1991">
        <f t="shared" ref="CK196:CP196" si="269">CK197/CK198</f>
        <v>45.578947368421055</v>
      </c>
      <c r="CL196" s="1825">
        <v>53.24</v>
      </c>
      <c r="CM196" s="1825">
        <v>55.46875</v>
      </c>
      <c r="CN196" s="1825">
        <f t="shared" si="269"/>
        <v>59.069767441860463</v>
      </c>
      <c r="CO196" s="1825">
        <v>59.950897852757564</v>
      </c>
      <c r="CP196" s="1992">
        <f t="shared" si="269"/>
        <v>60.028391194577814</v>
      </c>
      <c r="CQ196" s="1825">
        <v>72.692755521664537</v>
      </c>
      <c r="CR196" s="1825">
        <v>74.907123169450117</v>
      </c>
      <c r="CS196" s="1825">
        <v>78.507604610178603</v>
      </c>
      <c r="CT196" s="1825">
        <v>84.934051074984566</v>
      </c>
      <c r="CU196" s="1985">
        <f>CU197/CU198</f>
        <v>78.008929790013454</v>
      </c>
      <c r="CV196" s="1993">
        <v>100.64</v>
      </c>
      <c r="CW196" s="1994">
        <v>102.23</v>
      </c>
      <c r="CX196" s="1994">
        <f>CW196*((1.1)^(1/4))</f>
        <v>104.69514243510282</v>
      </c>
      <c r="CY196" s="1996">
        <f>CX196*((1.1)^(1/4))</f>
        <v>107.21972854843459</v>
      </c>
      <c r="CZ196" s="1991">
        <f>CZ197/CZ198</f>
        <v>103.20479518908228</v>
      </c>
      <c r="DA196" s="1997">
        <f>DA197/DA198</f>
        <v>92.232142857142861</v>
      </c>
      <c r="DB196" s="1995">
        <v>103</v>
      </c>
      <c r="DC196" s="1995">
        <v>82</v>
      </c>
      <c r="DD196" s="1995">
        <v>82</v>
      </c>
      <c r="DE196" s="2658">
        <f>DE197/DE198</f>
        <v>91.25746237552022</v>
      </c>
      <c r="DF196" s="1997">
        <v>80.290000000000006</v>
      </c>
      <c r="DG196" s="1997">
        <f>DF196*((1.06)^(1/4))</f>
        <v>81.468163108881654</v>
      </c>
      <c r="DH196" s="1995">
        <f>DG196*((1.06)^(1/4))</f>
        <v>82.663614401984631</v>
      </c>
      <c r="DI196" s="1998">
        <v>70</v>
      </c>
      <c r="DJ196" s="1991">
        <f>DJ197/DJ198</f>
        <v>80.593127219069913</v>
      </c>
      <c r="DK196" s="1997">
        <v>75</v>
      </c>
      <c r="DL196" s="1995">
        <f>DK196*((1.06)^(1/4))</f>
        <v>76.100538462649453</v>
      </c>
      <c r="DM196" s="1995">
        <f>DL196*((1.06)^(1/4))</f>
        <v>77.217226057402513</v>
      </c>
      <c r="DN196" s="1998">
        <f>DM196*((1.06)^(1/4))</f>
        <v>78.350299754139428</v>
      </c>
      <c r="DO196" s="1991"/>
      <c r="DP196" s="1997">
        <f>DN196*((1.06)^(1/4))</f>
        <v>79.500000000000014</v>
      </c>
      <c r="DQ196" s="1995">
        <f>DP196*((1.06)^(1/4))</f>
        <v>80.666570770408427</v>
      </c>
      <c r="DR196" s="1995">
        <f>DQ196*((1.06)^(1/4))</f>
        <v>81.850259620846671</v>
      </c>
      <c r="DS196" s="1998">
        <f>DR196*((1.06)^(1/4))</f>
        <v>83.051317739387798</v>
      </c>
      <c r="DT196" s="1991"/>
      <c r="DU196" s="1997">
        <f>DS196*((1.06)^(1/4))</f>
        <v>84.270000000000024</v>
      </c>
      <c r="DV196" s="1995">
        <f>DU196*((1.06)^(1/4))</f>
        <v>85.506565016632948</v>
      </c>
      <c r="DW196" s="1995">
        <f>DV196*((1.06)^(1/4))</f>
        <v>86.761275198097479</v>
      </c>
      <c r="DX196" s="1998">
        <f>DW196*((1.06)^(1/4))</f>
        <v>88.034396803751079</v>
      </c>
      <c r="DY196" s="1991"/>
      <c r="DZ196" s="1848"/>
      <c r="EA196" s="1848"/>
      <c r="EB196" s="1848"/>
    </row>
    <row r="197" spans="1:132" x14ac:dyDescent="0.2">
      <c r="A197" s="1999"/>
      <c r="B197" s="254" t="s">
        <v>429</v>
      </c>
      <c r="C197" s="238"/>
      <c r="D197" s="238"/>
      <c r="E197" s="238"/>
      <c r="F197" s="238"/>
      <c r="G197" s="238"/>
      <c r="H197" s="238"/>
      <c r="I197" s="239">
        <f>'BS and CFS'!I59</f>
        <v>-25.8</v>
      </c>
      <c r="J197" s="238"/>
      <c r="K197" s="238"/>
      <c r="L197" s="238"/>
      <c r="M197" s="238"/>
      <c r="N197" s="239">
        <f>'BS and CFS'!N59</f>
        <v>0</v>
      </c>
      <c r="O197" s="238"/>
      <c r="P197" s="238"/>
      <c r="Q197" s="238"/>
      <c r="R197" s="238"/>
      <c r="S197" s="239">
        <f>'BS and CFS'!S59</f>
        <v>0</v>
      </c>
      <c r="T197" s="238"/>
      <c r="U197" s="238"/>
      <c r="V197" s="238"/>
      <c r="W197" s="238"/>
      <c r="X197" s="239">
        <f>'BS and CFS'!X59</f>
        <v>0</v>
      </c>
      <c r="Y197" s="238"/>
      <c r="Z197" s="238"/>
      <c r="AA197" s="238"/>
      <c r="AB197" s="238"/>
      <c r="AC197" s="239">
        <f>'BS and CFS'!AC59</f>
        <v>-163.19999999999999</v>
      </c>
      <c r="AD197" s="238"/>
      <c r="AE197" s="238"/>
      <c r="AF197" s="238"/>
      <c r="AG197" s="238"/>
      <c r="AH197" s="239">
        <f>'BS and CFS'!AH59</f>
        <v>-129</v>
      </c>
      <c r="AI197" s="238"/>
      <c r="AJ197" s="238"/>
      <c r="AK197" s="238"/>
      <c r="AL197" s="238"/>
      <c r="AM197" s="239">
        <f>'BS and CFS'!AM59</f>
        <v>0</v>
      </c>
      <c r="AN197" s="238"/>
      <c r="AO197" s="238"/>
      <c r="AP197" s="238"/>
      <c r="AQ197" s="238"/>
      <c r="AR197" s="239">
        <f>'BS and CFS'!AR59</f>
        <v>0</v>
      </c>
      <c r="AS197" s="238"/>
      <c r="AT197" s="238"/>
      <c r="AU197" s="238"/>
      <c r="AV197" s="238"/>
      <c r="AW197" s="239">
        <f>'BS and CFS'!AW59</f>
        <v>0</v>
      </c>
      <c r="AX197" s="238"/>
      <c r="AY197" s="238"/>
      <c r="AZ197" s="238"/>
      <c r="BA197" s="238"/>
      <c r="BB197" s="239">
        <f>'BS and CFS'!BB59</f>
        <v>0</v>
      </c>
      <c r="BC197" s="238"/>
      <c r="BD197" s="238"/>
      <c r="BE197" s="238"/>
      <c r="BF197" s="238"/>
      <c r="BG197" s="239">
        <f>'BS and CFS'!BG59</f>
        <v>0</v>
      </c>
      <c r="BH197" s="238"/>
      <c r="BI197" s="238"/>
      <c r="BJ197" s="238"/>
      <c r="BK197" s="238"/>
      <c r="BL197" s="239">
        <f>'BS and CFS'!BL59</f>
        <v>-5370.4</v>
      </c>
      <c r="BM197" s="238">
        <f>'BS and CFS'!BM59</f>
        <v>0</v>
      </c>
      <c r="BN197" s="238">
        <f>'BS and CFS'!BN59</f>
        <v>-23</v>
      </c>
      <c r="BO197" s="238">
        <f>'BS and CFS'!BO59</f>
        <v>0</v>
      </c>
      <c r="BP197" s="238">
        <f>'BS and CFS'!BP59</f>
        <v>0</v>
      </c>
      <c r="BQ197" s="239">
        <v>-33</v>
      </c>
      <c r="BR197" s="238">
        <f>'BS and CFS'!BR59</f>
        <v>0</v>
      </c>
      <c r="BS197" s="238">
        <f>'BS and CFS'!BS59</f>
        <v>0</v>
      </c>
      <c r="BT197" s="238">
        <f>'BS and CFS'!BT59</f>
        <v>-1538.9</v>
      </c>
      <c r="BU197" s="238">
        <f>'BS and CFS'!BU59</f>
        <v>-938.09999999999991</v>
      </c>
      <c r="BV197" s="239">
        <f>BV59</f>
        <v>-2477</v>
      </c>
      <c r="BW197" s="238">
        <f>'BS and CFS'!BW59</f>
        <v>-887</v>
      </c>
      <c r="BX197" s="255">
        <f>-1500-BW197</f>
        <v>-613</v>
      </c>
      <c r="BY197" s="255">
        <v>0</v>
      </c>
      <c r="BZ197" s="255">
        <v>0</v>
      </c>
      <c r="CA197" s="239">
        <f>CA59</f>
        <v>-1500</v>
      </c>
      <c r="CB197" s="238">
        <f>CB59</f>
        <v>-467</v>
      </c>
      <c r="CC197" s="238">
        <f>CC59</f>
        <v>-504</v>
      </c>
      <c r="CD197" s="238">
        <f>CD59</f>
        <v>-1582</v>
      </c>
      <c r="CE197" s="238">
        <f>CE59</f>
        <v>-448</v>
      </c>
      <c r="CF197" s="239">
        <f>SUM(CB197:CE197)</f>
        <v>-3001</v>
      </c>
      <c r="CG197" s="254">
        <f>CG59</f>
        <v>-810</v>
      </c>
      <c r="CH197" s="1622">
        <f>CH59</f>
        <v>-1188</v>
      </c>
      <c r="CI197" s="1622">
        <f>CI59</f>
        <v>-2003</v>
      </c>
      <c r="CJ197" s="414">
        <f>CJ59</f>
        <v>-329</v>
      </c>
      <c r="CK197" s="414">
        <f>SUM(CG197:CJ197)</f>
        <v>-4330</v>
      </c>
      <c r="CL197" s="1622">
        <f>CL59</f>
        <v>-393</v>
      </c>
      <c r="CM197" s="1622">
        <f>CM59</f>
        <v>-355</v>
      </c>
      <c r="CN197" s="1622">
        <f>CN59</f>
        <v>-1524</v>
      </c>
      <c r="CO197" s="1622">
        <f>CO59</f>
        <v>-1704</v>
      </c>
      <c r="CP197" s="239">
        <f>SUM(CL197:CO197)</f>
        <v>-3976</v>
      </c>
      <c r="CQ197" s="1622">
        <f>CQ59</f>
        <v>-801</v>
      </c>
      <c r="CR197" s="2000">
        <f>-2001-CQ197</f>
        <v>-1200</v>
      </c>
      <c r="CS197" s="2000">
        <v>-800</v>
      </c>
      <c r="CT197" s="2001">
        <f>-4001-CS197-CR197-CQ197</f>
        <v>-1200</v>
      </c>
      <c r="CU197" s="414">
        <f>SUM(CQ197:CT197)</f>
        <v>-4001</v>
      </c>
      <c r="CV197" s="2002">
        <f>CV59</f>
        <v>-2007</v>
      </c>
      <c r="CW197" s="2003">
        <f>CW59</f>
        <v>-927</v>
      </c>
      <c r="CX197" s="2003">
        <f>CX59</f>
        <v>-937</v>
      </c>
      <c r="CY197" s="2004">
        <f>-5000-SUM(CV197:CX197)</f>
        <v>-1129</v>
      </c>
      <c r="CZ197" s="414">
        <f>SUM(CV197:CY197)</f>
        <v>-5000</v>
      </c>
      <c r="DA197" s="2002">
        <v>-2066</v>
      </c>
      <c r="DB197" s="2003">
        <v>-1894</v>
      </c>
      <c r="DC197" s="2003">
        <f>-4000-SUM(DA197:DB197)</f>
        <v>-40</v>
      </c>
      <c r="DD197" s="2003">
        <f>-4000-SUM(DB197:DC197)</f>
        <v>-2066</v>
      </c>
      <c r="DE197" s="2598">
        <f>SUM(DA197:DD197)</f>
        <v>-6066</v>
      </c>
      <c r="DF197" s="2770">
        <f>DF59</f>
        <v>-3621</v>
      </c>
      <c r="DG197" s="2770">
        <f>DG59</f>
        <v>-340</v>
      </c>
      <c r="DH197" s="2003">
        <f>DH59</f>
        <v>-400</v>
      </c>
      <c r="DI197" s="2004">
        <v>0</v>
      </c>
      <c r="DJ197" s="414">
        <f>SUM(DF197:DI197)</f>
        <v>-4361</v>
      </c>
      <c r="DK197" s="2770"/>
      <c r="DL197" s="2003"/>
      <c r="DM197" s="2003"/>
      <c r="DN197" s="2776"/>
      <c r="DO197" s="414">
        <f>SUM(DK197:DN197)</f>
        <v>0</v>
      </c>
      <c r="DP197" s="2770"/>
      <c r="DQ197" s="2003"/>
      <c r="DR197" s="2003"/>
      <c r="DS197" s="2776"/>
      <c r="DT197" s="414">
        <f>SUM(DP197:DS197)</f>
        <v>0</v>
      </c>
      <c r="DU197" s="2770"/>
      <c r="DV197" s="2003"/>
      <c r="DW197" s="2003"/>
      <c r="DX197" s="2776"/>
      <c r="DY197" s="414">
        <f>SUM(DU197:DX197)</f>
        <v>0</v>
      </c>
      <c r="DZ197" s="2005"/>
      <c r="EA197" s="2005"/>
      <c r="EB197" s="2005"/>
    </row>
    <row r="198" spans="1:132" x14ac:dyDescent="0.2">
      <c r="A198" s="1842"/>
      <c r="B198" s="1849" t="s">
        <v>430</v>
      </c>
      <c r="C198" s="1850"/>
      <c r="D198" s="1850"/>
      <c r="E198" s="1850"/>
      <c r="F198" s="1850"/>
      <c r="G198" s="1850"/>
      <c r="H198" s="1850"/>
      <c r="I198" s="2006"/>
      <c r="J198" s="1850"/>
      <c r="K198" s="1850"/>
      <c r="L198" s="1850"/>
      <c r="M198" s="1850"/>
      <c r="N198" s="2006"/>
      <c r="O198" s="1850"/>
      <c r="P198" s="1850"/>
      <c r="Q198" s="1850"/>
      <c r="R198" s="1850"/>
      <c r="S198" s="2006"/>
      <c r="T198" s="1850"/>
      <c r="U198" s="1850"/>
      <c r="V198" s="1850"/>
      <c r="W198" s="1850"/>
      <c r="X198" s="2006"/>
      <c r="Y198" s="1850"/>
      <c r="Z198" s="1850"/>
      <c r="AA198" s="1850"/>
      <c r="AB198" s="1850"/>
      <c r="AC198" s="2006"/>
      <c r="AD198" s="1850"/>
      <c r="AE198" s="1850"/>
      <c r="AF198" s="1850"/>
      <c r="AG198" s="1850"/>
      <c r="AH198" s="2006"/>
      <c r="AI198" s="1850"/>
      <c r="AJ198" s="1850"/>
      <c r="AK198" s="1850"/>
      <c r="AL198" s="1850"/>
      <c r="AM198" s="2006"/>
      <c r="AN198" s="1850"/>
      <c r="AO198" s="1850"/>
      <c r="AP198" s="1850"/>
      <c r="AQ198" s="1850"/>
      <c r="AR198" s="2006"/>
      <c r="AS198" s="1850"/>
      <c r="AT198" s="1850"/>
      <c r="AU198" s="1850"/>
      <c r="AV198" s="1850"/>
      <c r="AW198" s="2006"/>
      <c r="AX198" s="1850"/>
      <c r="AY198" s="1850"/>
      <c r="AZ198" s="1850"/>
      <c r="BA198" s="1850"/>
      <c r="BB198" s="2006"/>
      <c r="BC198" s="1850"/>
      <c r="BD198" s="1850"/>
      <c r="BE198" s="1850"/>
      <c r="BF198" s="1850"/>
      <c r="BG198" s="2006"/>
      <c r="BH198" s="1850"/>
      <c r="BI198" s="1850"/>
      <c r="BJ198" s="1850"/>
      <c r="BK198" s="1850"/>
      <c r="BL198" s="2006">
        <v>-135</v>
      </c>
      <c r="BM198" s="1902"/>
      <c r="BN198" s="1902"/>
      <c r="BO198" s="1902"/>
      <c r="BP198" s="1902"/>
      <c r="BQ198" s="2006">
        <v>-6.5</v>
      </c>
      <c r="BR198" s="1850"/>
      <c r="BS198" s="1850"/>
      <c r="BT198" s="1850"/>
      <c r="BU198" s="1900">
        <f>IS!BT50-IS!BU50</f>
        <v>25.76299999999992</v>
      </c>
      <c r="BV198" s="2006">
        <f t="shared" ref="BV198:CA198" si="270">BV197/BV196</f>
        <v>-70.771428571428572</v>
      </c>
      <c r="BW198" s="1900">
        <f t="shared" si="270"/>
        <v>-25.710144927536231</v>
      </c>
      <c r="BX198" s="1900">
        <f t="shared" si="270"/>
        <v>-17.419721511793124</v>
      </c>
      <c r="BY198" s="1900">
        <f t="shared" si="270"/>
        <v>0</v>
      </c>
      <c r="BZ198" s="1900">
        <f t="shared" si="270"/>
        <v>0</v>
      </c>
      <c r="CA198" s="2006">
        <f t="shared" si="270"/>
        <v>-42.195435247180441</v>
      </c>
      <c r="CB198" s="1900">
        <v>-14.2</v>
      </c>
      <c r="CC198" s="1900">
        <v>-13.3</v>
      </c>
      <c r="CD198" s="1900">
        <f>-16.3-25.7</f>
        <v>-42</v>
      </c>
      <c r="CE198" s="1900">
        <f>-83.7-SUM(CB198:CD198)</f>
        <v>-14.200000000000003</v>
      </c>
      <c r="CF198" s="2006">
        <f>SUM(CB198:CE198)</f>
        <v>-83.7</v>
      </c>
      <c r="CG198" s="2007">
        <v>-17.2</v>
      </c>
      <c r="CH198" s="1903">
        <v>-25</v>
      </c>
      <c r="CI198" s="1902">
        <v>-43.1</v>
      </c>
      <c r="CJ198" s="2008">
        <f>-95-SUM(CG198:CI198)</f>
        <v>-9.6999999999999886</v>
      </c>
      <c r="CK198" s="2008">
        <f>SUM(CG198:CJ198)</f>
        <v>-95</v>
      </c>
      <c r="CL198" s="1826">
        <v>-7.4</v>
      </c>
      <c r="CM198" s="1826">
        <v>-6.4</v>
      </c>
      <c r="CN198" s="1826">
        <v>-25.8</v>
      </c>
      <c r="CO198" s="1826">
        <v>-26.635325000000002</v>
      </c>
      <c r="CP198" s="2006">
        <f>SUM(CL198:CO198)</f>
        <v>-66.235325000000003</v>
      </c>
      <c r="CQ198" s="1826">
        <v>-11</v>
      </c>
      <c r="CR198" s="1826">
        <v>-16</v>
      </c>
      <c r="CS198" s="1826">
        <v>-10.189</v>
      </c>
      <c r="CT198" s="1826">
        <v>-14.1</v>
      </c>
      <c r="CU198" s="2006">
        <f>SUM(CQ198:CT198)</f>
        <v>-51.289000000000001</v>
      </c>
      <c r="CV198" s="1826">
        <f>-16.8-3.1</f>
        <v>-19.900000000000002</v>
      </c>
      <c r="CW198" s="1902">
        <f>CW197/CW196</f>
        <v>-9.0677883204538787</v>
      </c>
      <c r="CX198" s="1902">
        <f>CX197/CX196</f>
        <v>-8.9497944050347549</v>
      </c>
      <c r="CY198" s="2008">
        <f>CY197/CY196</f>
        <v>-10.529778570461447</v>
      </c>
      <c r="CZ198" s="2008">
        <f>SUM(CV198:CY198)</f>
        <v>-48.447361295950081</v>
      </c>
      <c r="DA198" s="2009">
        <v>-22.4</v>
      </c>
      <c r="DB198" s="1902">
        <f>DB197/DB196</f>
        <v>-18.388349514563107</v>
      </c>
      <c r="DC198" s="1902">
        <f>DC197/DC196</f>
        <v>-0.48780487804878048</v>
      </c>
      <c r="DD198" s="1902">
        <f>DD197/DD196</f>
        <v>-25.195121951219512</v>
      </c>
      <c r="DE198" s="2659">
        <f>SUM(DA198:DD198)</f>
        <v>-66.471276343831391</v>
      </c>
      <c r="DF198" s="2009">
        <f>DF197/DF196</f>
        <v>-45.099016066757997</v>
      </c>
      <c r="DG198" s="2009">
        <f>DG197/DG196</f>
        <v>-4.1734094279944953</v>
      </c>
      <c r="DH198" s="1902">
        <f>DH197/DH196</f>
        <v>-4.8388883415482082</v>
      </c>
      <c r="DI198" s="2008">
        <f>DI197/DI196</f>
        <v>0</v>
      </c>
      <c r="DJ198" s="2008">
        <f>SUM(DF198:DI198)</f>
        <v>-54.111313836300695</v>
      </c>
      <c r="DK198" s="2009">
        <f>DK197/DK196</f>
        <v>0</v>
      </c>
      <c r="DL198" s="1902">
        <f>DL197/DL196</f>
        <v>0</v>
      </c>
      <c r="DM198" s="1902">
        <f>DM197/DM196</f>
        <v>0</v>
      </c>
      <c r="DN198" s="2008">
        <f>DN197/DN196</f>
        <v>0</v>
      </c>
      <c r="DO198" s="2008">
        <f>SUM(DK198:DN198)</f>
        <v>0</v>
      </c>
      <c r="DP198" s="2009">
        <f>DP197/DP196</f>
        <v>0</v>
      </c>
      <c r="DQ198" s="1902">
        <f>DQ197/DQ196</f>
        <v>0</v>
      </c>
      <c r="DR198" s="1902">
        <f>DR197/DR196</f>
        <v>0</v>
      </c>
      <c r="DS198" s="2008">
        <f>DS197/DS196</f>
        <v>0</v>
      </c>
      <c r="DT198" s="2008">
        <f>SUM(DP198:DS198)</f>
        <v>0</v>
      </c>
      <c r="DU198" s="2009">
        <f>DU197/DU196</f>
        <v>0</v>
      </c>
      <c r="DV198" s="1902">
        <f>DV197/DV196</f>
        <v>0</v>
      </c>
      <c r="DW198" s="1902">
        <f>DW197/DW196</f>
        <v>0</v>
      </c>
      <c r="DX198" s="2008">
        <f>DX197/DX196</f>
        <v>0</v>
      </c>
      <c r="DY198" s="2008">
        <f>SUM(DU198:DX198)</f>
        <v>0</v>
      </c>
      <c r="DZ198" s="1848"/>
      <c r="EA198" s="1848"/>
      <c r="EB198" s="1848"/>
    </row>
    <row r="199" spans="1:132" ht="4.5" customHeight="1" x14ac:dyDescent="0.2">
      <c r="A199" s="1842"/>
      <c r="B199" s="2010"/>
      <c r="C199" s="2011"/>
      <c r="D199" s="1850"/>
      <c r="E199" s="1850"/>
      <c r="F199" s="1850"/>
      <c r="G199" s="1850"/>
      <c r="H199" s="1850"/>
      <c r="I199" s="2006"/>
      <c r="J199" s="1850"/>
      <c r="K199" s="1850"/>
      <c r="L199" s="1850"/>
      <c r="M199" s="1850"/>
      <c r="N199" s="2006"/>
      <c r="O199" s="1850"/>
      <c r="P199" s="1850"/>
      <c r="Q199" s="1850"/>
      <c r="R199" s="1850"/>
      <c r="S199" s="2006"/>
      <c r="T199" s="1850"/>
      <c r="U199" s="1850"/>
      <c r="V199" s="1850"/>
      <c r="W199" s="1850"/>
      <c r="X199" s="2006"/>
      <c r="Y199" s="1850"/>
      <c r="Z199" s="1850"/>
      <c r="AA199" s="1850"/>
      <c r="AB199" s="1850"/>
      <c r="AC199" s="2006"/>
      <c r="AD199" s="1850"/>
      <c r="AE199" s="1850"/>
      <c r="AF199" s="1850"/>
      <c r="AG199" s="1850"/>
      <c r="AH199" s="2006"/>
      <c r="AI199" s="1850"/>
      <c r="AJ199" s="1850"/>
      <c r="AK199" s="1850"/>
      <c r="AL199" s="1850"/>
      <c r="AM199" s="2006"/>
      <c r="AN199" s="1850"/>
      <c r="AO199" s="1850"/>
      <c r="AP199" s="1850"/>
      <c r="AQ199" s="1850"/>
      <c r="AR199" s="2006"/>
      <c r="AS199" s="1850"/>
      <c r="AT199" s="1850"/>
      <c r="AU199" s="1850"/>
      <c r="AV199" s="1850"/>
      <c r="AW199" s="2006"/>
      <c r="AX199" s="1850"/>
      <c r="AY199" s="1850"/>
      <c r="AZ199" s="1850"/>
      <c r="BA199" s="1850"/>
      <c r="BB199" s="2006"/>
      <c r="BC199" s="1850"/>
      <c r="BD199" s="1850"/>
      <c r="BE199" s="1850"/>
      <c r="BF199" s="1850"/>
      <c r="BG199" s="2006"/>
      <c r="BH199" s="238"/>
      <c r="BI199" s="238"/>
      <c r="BJ199" s="238"/>
      <c r="BK199" s="238"/>
      <c r="BL199" s="2006"/>
      <c r="BM199" s="1902"/>
      <c r="BN199" s="1902"/>
      <c r="BO199" s="1902"/>
      <c r="BP199" s="1902"/>
      <c r="BQ199" s="2006"/>
      <c r="BR199" s="1902"/>
      <c r="BS199" s="1902"/>
      <c r="BT199" s="1902"/>
      <c r="BU199" s="1902"/>
      <c r="BV199" s="415"/>
      <c r="BW199" s="416"/>
      <c r="BX199" s="416"/>
      <c r="BY199" s="416"/>
      <c r="BZ199" s="416"/>
      <c r="CA199" s="415"/>
      <c r="CB199" s="416"/>
      <c r="CC199" s="416"/>
      <c r="CD199" s="416"/>
      <c r="CE199" s="416"/>
      <c r="CF199" s="417"/>
      <c r="CG199" s="1632"/>
      <c r="CH199" s="416"/>
      <c r="CI199" s="416"/>
      <c r="CJ199" s="1630"/>
      <c r="CK199" s="1630"/>
      <c r="CL199" s="416"/>
      <c r="CM199" s="416"/>
      <c r="CN199" s="416"/>
      <c r="CO199" s="416"/>
      <c r="CP199" s="417"/>
      <c r="CQ199" s="416"/>
      <c r="CR199" s="416"/>
      <c r="CS199" s="416"/>
      <c r="CT199" s="416"/>
      <c r="CU199" s="417"/>
      <c r="CV199" s="1632"/>
      <c r="CW199" s="416"/>
      <c r="CX199" s="416"/>
      <c r="CY199" s="1630"/>
      <c r="CZ199" s="1630"/>
      <c r="DA199" s="1632"/>
      <c r="DB199" s="416"/>
      <c r="DC199" s="416"/>
      <c r="DD199" s="416"/>
      <c r="DE199" s="2660"/>
      <c r="DF199" s="1632"/>
      <c r="DG199" s="1632"/>
      <c r="DH199" s="416"/>
      <c r="DI199" s="1630"/>
      <c r="DJ199" s="1630"/>
      <c r="DK199" s="1632"/>
      <c r="DL199" s="416"/>
      <c r="DM199" s="416"/>
      <c r="DN199" s="1630"/>
      <c r="DO199" s="1630"/>
      <c r="DP199" s="1632"/>
      <c r="DQ199" s="416"/>
      <c r="DR199" s="416"/>
      <c r="DS199" s="1630"/>
      <c r="DT199" s="1630"/>
      <c r="DU199" s="1632"/>
      <c r="DV199" s="416"/>
      <c r="DW199" s="416"/>
      <c r="DX199" s="1630"/>
      <c r="DY199" s="1630"/>
      <c r="DZ199" s="1848"/>
      <c r="EA199" s="1848"/>
      <c r="EB199" s="1848"/>
    </row>
    <row r="200" spans="1:132" x14ac:dyDescent="0.2">
      <c r="A200" s="1842"/>
      <c r="B200" s="2010" t="s">
        <v>431</v>
      </c>
      <c r="C200" s="2011"/>
      <c r="D200" s="1850"/>
      <c r="E200" s="1850"/>
      <c r="F200" s="1850"/>
      <c r="G200" s="1850"/>
      <c r="H200" s="1850"/>
      <c r="I200" s="2006"/>
      <c r="J200" s="1850"/>
      <c r="K200" s="1850"/>
      <c r="L200" s="1850"/>
      <c r="M200" s="1850"/>
      <c r="N200" s="2006"/>
      <c r="O200" s="1850"/>
      <c r="P200" s="1850"/>
      <c r="Q200" s="1850"/>
      <c r="R200" s="1850"/>
      <c r="S200" s="2006"/>
      <c r="T200" s="1850"/>
      <c r="U200" s="1850"/>
      <c r="V200" s="1850"/>
      <c r="W200" s="1850"/>
      <c r="X200" s="2006"/>
      <c r="Y200" s="1850"/>
      <c r="Z200" s="1850"/>
      <c r="AA200" s="1850"/>
      <c r="AB200" s="1850"/>
      <c r="AC200" s="2006"/>
      <c r="AD200" s="1850"/>
      <c r="AE200" s="1850"/>
      <c r="AF200" s="1850"/>
      <c r="AG200" s="1850"/>
      <c r="AH200" s="2006"/>
      <c r="AI200" s="1850"/>
      <c r="AJ200" s="1850"/>
      <c r="AK200" s="1850"/>
      <c r="AL200" s="1850"/>
      <c r="AM200" s="2006"/>
      <c r="AN200" s="1850"/>
      <c r="AO200" s="1850"/>
      <c r="AP200" s="1850"/>
      <c r="AQ200" s="1850"/>
      <c r="AR200" s="2006"/>
      <c r="AS200" s="1850"/>
      <c r="AT200" s="1850"/>
      <c r="AU200" s="1850"/>
      <c r="AV200" s="1850"/>
      <c r="AW200" s="2006">
        <v>8.1999999999999993</v>
      </c>
      <c r="AX200" s="1850"/>
      <c r="AY200" s="1850"/>
      <c r="AZ200" s="1850"/>
      <c r="BA200" s="1850"/>
      <c r="BB200" s="2006">
        <v>10.199999999999999</v>
      </c>
      <c r="BC200" s="1850"/>
      <c r="BD200" s="1850"/>
      <c r="BE200" s="1850"/>
      <c r="BF200" s="1850"/>
      <c r="BG200" s="2006">
        <v>8.5</v>
      </c>
      <c r="BH200" s="238"/>
      <c r="BI200" s="238"/>
      <c r="BJ200" s="238"/>
      <c r="BK200" s="238"/>
      <c r="BL200" s="2006">
        <v>30.1</v>
      </c>
      <c r="BM200" s="1902"/>
      <c r="BN200" s="1902"/>
      <c r="BO200" s="1902"/>
      <c r="BP200" s="1902"/>
      <c r="BQ200" s="2006">
        <v>13.2</v>
      </c>
      <c r="BR200" s="418">
        <v>3</v>
      </c>
      <c r="BS200" s="418">
        <v>3</v>
      </c>
      <c r="BT200" s="418">
        <v>3</v>
      </c>
      <c r="BU200" s="418">
        <v>3</v>
      </c>
      <c r="BV200" s="415">
        <f>SUM(BR200:BU200)</f>
        <v>12</v>
      </c>
      <c r="BW200" s="418">
        <v>3</v>
      </c>
      <c r="BX200" s="418">
        <v>3</v>
      </c>
      <c r="BY200" s="418">
        <v>3</v>
      </c>
      <c r="BZ200" s="418">
        <v>3</v>
      </c>
      <c r="CA200" s="415">
        <f>SUM(BW200:BZ200)</f>
        <v>12</v>
      </c>
      <c r="CB200" s="419">
        <f>CB202-CB198</f>
        <v>5.1999999999999993</v>
      </c>
      <c r="CC200" s="419">
        <f>CC202-CC198</f>
        <v>5.3000000000000007</v>
      </c>
      <c r="CD200" s="419">
        <f>CD202-CD198</f>
        <v>4</v>
      </c>
      <c r="CE200" s="419">
        <f>CE202-CE198</f>
        <v>4.2000000000000028</v>
      </c>
      <c r="CF200" s="2006">
        <f>SUM(CB200:CE200)</f>
        <v>18.700000000000003</v>
      </c>
      <c r="CG200" s="1633">
        <f>CG202-CG198</f>
        <v>9.1999999999999993</v>
      </c>
      <c r="CH200" s="1634">
        <f>CH202-CH198</f>
        <v>6</v>
      </c>
      <c r="CI200" s="1634">
        <f>CI202-CI198</f>
        <v>18.100000000000001</v>
      </c>
      <c r="CJ200" s="420">
        <f>CJ202-CJ198</f>
        <v>-5.3000000000000114</v>
      </c>
      <c r="CK200" s="420">
        <f>SUM(CG200:CJ200)</f>
        <v>27.999999999999986</v>
      </c>
      <c r="CL200" s="1633">
        <f>CL202-CL198</f>
        <v>4.4000000000000004</v>
      </c>
      <c r="CM200" s="1634">
        <f>CM202-CM198</f>
        <v>5.4</v>
      </c>
      <c r="CN200" s="1634">
        <f>CN202-CN198</f>
        <v>2.8000000000000007</v>
      </c>
      <c r="CO200" s="1634">
        <f>CO202-CO198</f>
        <v>2.6353250000000017</v>
      </c>
      <c r="CP200" s="415">
        <f>SUM(CL200:CO200)</f>
        <v>15.235325000000003</v>
      </c>
      <c r="CQ200" s="1634">
        <f>CQ202-CQ198</f>
        <v>11</v>
      </c>
      <c r="CR200" s="1634">
        <f ca="1">CR202-CR198</f>
        <v>11.645839042660089</v>
      </c>
      <c r="CS200" s="1634">
        <f ca="1">CS202-CS198</f>
        <v>5.1890000000000001</v>
      </c>
      <c r="CT200" s="418">
        <f>CU200/4</f>
        <v>5</v>
      </c>
      <c r="CU200" s="417">
        <v>20</v>
      </c>
      <c r="CV200" s="418">
        <f>CZ200/4</f>
        <v>5</v>
      </c>
      <c r="CW200" s="418">
        <f>CZ200/4</f>
        <v>5</v>
      </c>
      <c r="CX200" s="418">
        <f>CZ200/4</f>
        <v>5</v>
      </c>
      <c r="CY200" s="418">
        <f>CZ200/4</f>
        <v>5</v>
      </c>
      <c r="CZ200" s="417">
        <v>20</v>
      </c>
      <c r="DA200" s="1632">
        <f>DE200/4</f>
        <v>2.5</v>
      </c>
      <c r="DB200" s="416">
        <f>DE200/4</f>
        <v>2.5</v>
      </c>
      <c r="DC200" s="416">
        <f>DF200/4</f>
        <v>1.25</v>
      </c>
      <c r="DD200" s="416">
        <f>DG200/4</f>
        <v>1.25</v>
      </c>
      <c r="DE200" s="2660">
        <v>10</v>
      </c>
      <c r="DF200" s="418">
        <f>DJ200/4</f>
        <v>5</v>
      </c>
      <c r="DG200" s="418">
        <f>DJ200/4</f>
        <v>5</v>
      </c>
      <c r="DH200" s="418">
        <f>DJ200/4</f>
        <v>5</v>
      </c>
      <c r="DI200" s="418">
        <f>DJ200/4</f>
        <v>5</v>
      </c>
      <c r="DJ200" s="417">
        <v>20</v>
      </c>
      <c r="DK200" s="418"/>
      <c r="DL200" s="418"/>
      <c r="DM200" s="418"/>
      <c r="DN200" s="418"/>
      <c r="DO200" s="417">
        <v>0</v>
      </c>
      <c r="DP200" s="418"/>
      <c r="DQ200" s="418"/>
      <c r="DR200" s="418"/>
      <c r="DS200" s="418"/>
      <c r="DT200" s="417">
        <v>0</v>
      </c>
      <c r="DU200" s="418"/>
      <c r="DV200" s="418"/>
      <c r="DW200" s="418"/>
      <c r="DX200" s="418"/>
      <c r="DY200" s="417">
        <v>0</v>
      </c>
      <c r="DZ200" s="1848"/>
      <c r="EA200" s="1848"/>
      <c r="EB200" s="1848"/>
    </row>
    <row r="201" spans="1:132" ht="6" customHeight="1" x14ac:dyDescent="0.2">
      <c r="A201" s="1842"/>
      <c r="B201" s="2010"/>
      <c r="C201" s="2011"/>
      <c r="D201" s="1850"/>
      <c r="E201" s="1850"/>
      <c r="F201" s="1850"/>
      <c r="G201" s="1850"/>
      <c r="H201" s="1850"/>
      <c r="I201" s="2006"/>
      <c r="J201" s="1850"/>
      <c r="K201" s="1850"/>
      <c r="L201" s="1850"/>
      <c r="M201" s="1850"/>
      <c r="N201" s="2006"/>
      <c r="O201" s="1850"/>
      <c r="P201" s="1850"/>
      <c r="Q201" s="1850"/>
      <c r="R201" s="1850"/>
      <c r="S201" s="2006"/>
      <c r="T201" s="1850"/>
      <c r="U201" s="1850"/>
      <c r="V201" s="1850"/>
      <c r="W201" s="1850"/>
      <c r="X201" s="2006"/>
      <c r="Y201" s="1850"/>
      <c r="Z201" s="1850"/>
      <c r="AA201" s="1850"/>
      <c r="AB201" s="1850"/>
      <c r="AC201" s="2006"/>
      <c r="AD201" s="1850"/>
      <c r="AE201" s="1850"/>
      <c r="AF201" s="1850"/>
      <c r="AG201" s="1850"/>
      <c r="AH201" s="2006"/>
      <c r="AI201" s="1850"/>
      <c r="AJ201" s="1850"/>
      <c r="AK201" s="1850"/>
      <c r="AL201" s="1850"/>
      <c r="AM201" s="2006"/>
      <c r="AN201" s="1850"/>
      <c r="AO201" s="1850"/>
      <c r="AP201" s="1850"/>
      <c r="AQ201" s="1850"/>
      <c r="AR201" s="2006"/>
      <c r="AS201" s="1850"/>
      <c r="AT201" s="1850"/>
      <c r="AU201" s="1850"/>
      <c r="AV201" s="1850"/>
      <c r="AW201" s="2006"/>
      <c r="AX201" s="1850"/>
      <c r="AY201" s="1850"/>
      <c r="AZ201" s="1850"/>
      <c r="BA201" s="1850"/>
      <c r="BB201" s="2006"/>
      <c r="BC201" s="1850"/>
      <c r="BD201" s="1850"/>
      <c r="BE201" s="1850"/>
      <c r="BF201" s="1850"/>
      <c r="BG201" s="2006"/>
      <c r="BH201" s="238"/>
      <c r="BI201" s="238"/>
      <c r="BJ201" s="238"/>
      <c r="BK201" s="238"/>
      <c r="BL201" s="2006"/>
      <c r="BM201" s="1902"/>
      <c r="BN201" s="1902"/>
      <c r="BO201" s="1902"/>
      <c r="BP201" s="1902"/>
      <c r="BQ201" s="2006"/>
      <c r="BR201" s="1902"/>
      <c r="BS201" s="1902"/>
      <c r="BT201" s="1902"/>
      <c r="BU201" s="1902"/>
      <c r="BV201" s="415"/>
      <c r="BW201" s="416"/>
      <c r="BX201" s="416"/>
      <c r="BY201" s="416"/>
      <c r="BZ201" s="416"/>
      <c r="CA201" s="415"/>
      <c r="CB201" s="416"/>
      <c r="CC201" s="416"/>
      <c r="CD201" s="416"/>
      <c r="CE201" s="416"/>
      <c r="CF201" s="417"/>
      <c r="CG201" s="1632"/>
      <c r="CH201" s="416"/>
      <c r="CI201" s="416"/>
      <c r="CJ201" s="1630"/>
      <c r="CK201" s="1630"/>
      <c r="CL201" s="416"/>
      <c r="CM201" s="416"/>
      <c r="CN201" s="416"/>
      <c r="CO201" s="416"/>
      <c r="CP201" s="417"/>
      <c r="CQ201" s="416"/>
      <c r="CR201" s="416"/>
      <c r="CS201" s="416"/>
      <c r="CT201" s="416"/>
      <c r="CU201" s="417"/>
      <c r="CV201" s="1632"/>
      <c r="CW201" s="416"/>
      <c r="CX201" s="416"/>
      <c r="CY201" s="1630"/>
      <c r="CZ201" s="1630"/>
      <c r="DA201" s="1632"/>
      <c r="DB201" s="416"/>
      <c r="DC201" s="416"/>
      <c r="DD201" s="416"/>
      <c r="DE201" s="2660"/>
      <c r="DF201" s="1632"/>
      <c r="DG201" s="1632"/>
      <c r="DH201" s="416"/>
      <c r="DI201" s="1630"/>
      <c r="DJ201" s="1630"/>
      <c r="DK201" s="1632"/>
      <c r="DL201" s="416"/>
      <c r="DM201" s="416"/>
      <c r="DN201" s="1630"/>
      <c r="DO201" s="1630"/>
      <c r="DP201" s="1632"/>
      <c r="DQ201" s="416"/>
      <c r="DR201" s="416"/>
      <c r="DS201" s="1630"/>
      <c r="DT201" s="1630"/>
      <c r="DU201" s="1632"/>
      <c r="DV201" s="416"/>
      <c r="DW201" s="416"/>
      <c r="DX201" s="1630"/>
      <c r="DY201" s="1630"/>
      <c r="DZ201" s="1848"/>
      <c r="EA201" s="1848"/>
      <c r="EB201" s="1848"/>
    </row>
    <row r="202" spans="1:132" x14ac:dyDescent="0.2">
      <c r="A202" s="1842"/>
      <c r="B202" s="2010" t="s">
        <v>432</v>
      </c>
      <c r="C202" s="2011"/>
      <c r="D202" s="1850"/>
      <c r="E202" s="1850"/>
      <c r="F202" s="1850"/>
      <c r="G202" s="1850"/>
      <c r="H202" s="1850"/>
      <c r="I202" s="2006"/>
      <c r="J202" s="1850"/>
      <c r="K202" s="1850"/>
      <c r="L202" s="1850"/>
      <c r="M202" s="1850"/>
      <c r="N202" s="2006"/>
      <c r="O202" s="1850"/>
      <c r="P202" s="1850"/>
      <c r="Q202" s="1850"/>
      <c r="R202" s="1850"/>
      <c r="S202" s="2006"/>
      <c r="T202" s="1850"/>
      <c r="U202" s="1850"/>
      <c r="V202" s="1850"/>
      <c r="W202" s="1850"/>
      <c r="X202" s="2006"/>
      <c r="Y202" s="1850"/>
      <c r="Z202" s="1850"/>
      <c r="AA202" s="1850"/>
      <c r="AB202" s="1850"/>
      <c r="AC202" s="2006"/>
      <c r="AD202" s="1850"/>
      <c r="AE202" s="1850"/>
      <c r="AF202" s="1850"/>
      <c r="AG202" s="1850"/>
      <c r="AH202" s="2006"/>
      <c r="AI202" s="1850"/>
      <c r="AJ202" s="1850"/>
      <c r="AK202" s="1850"/>
      <c r="AL202" s="1850"/>
      <c r="AM202" s="2006"/>
      <c r="AN202" s="1850"/>
      <c r="AO202" s="1850"/>
      <c r="AP202" s="1850"/>
      <c r="AQ202" s="1850"/>
      <c r="AR202" s="2006"/>
      <c r="AS202" s="1850"/>
      <c r="AT202" s="1850"/>
      <c r="AU202" s="1850"/>
      <c r="AV202" s="1850"/>
      <c r="AW202" s="2006"/>
      <c r="AX202" s="1850"/>
      <c r="AY202" s="1850"/>
      <c r="AZ202" s="1850"/>
      <c r="BA202" s="1850"/>
      <c r="BB202" s="2006"/>
      <c r="BC202" s="1850"/>
      <c r="BD202" s="1850"/>
      <c r="BE202" s="1850"/>
      <c r="BF202" s="1850"/>
      <c r="BG202" s="2006"/>
      <c r="BH202" s="238"/>
      <c r="BI202" s="238"/>
      <c r="BJ202" s="238"/>
      <c r="BK202" s="238"/>
      <c r="BL202" s="415">
        <f>BL198+BL200</f>
        <v>-104.9</v>
      </c>
      <c r="BM202" s="1902"/>
      <c r="BN202" s="1902"/>
      <c r="BO202" s="1902"/>
      <c r="BP202" s="1902"/>
      <c r="BQ202" s="415">
        <f>BQ198+BQ200</f>
        <v>6.6999999999999993</v>
      </c>
      <c r="BR202" s="1902"/>
      <c r="BS202" s="1902"/>
      <c r="BT202" s="1902"/>
      <c r="BU202" s="1902"/>
      <c r="BV202" s="415">
        <f t="shared" ref="BV202:CA202" si="271">BV198+BV200</f>
        <v>-58.771428571428572</v>
      </c>
      <c r="BW202" s="419">
        <f t="shared" si="271"/>
        <v>-22.710144927536231</v>
      </c>
      <c r="BX202" s="419">
        <f t="shared" si="271"/>
        <v>-14.419721511793124</v>
      </c>
      <c r="BY202" s="419">
        <f t="shared" si="271"/>
        <v>3</v>
      </c>
      <c r="BZ202" s="419">
        <f t="shared" si="271"/>
        <v>3</v>
      </c>
      <c r="CA202" s="415">
        <f t="shared" si="271"/>
        <v>-30.195435247180441</v>
      </c>
      <c r="CB202" s="419">
        <f>IS!CB49</f>
        <v>-9</v>
      </c>
      <c r="CC202" s="419">
        <f>IS!CC49</f>
        <v>-8</v>
      </c>
      <c r="CD202" s="419">
        <f>IS!CD49</f>
        <v>-38</v>
      </c>
      <c r="CE202" s="419">
        <f>IS!CE49</f>
        <v>-10</v>
      </c>
      <c r="CF202" s="415">
        <f>CF198+CF200</f>
        <v>-65</v>
      </c>
      <c r="CG202" s="1633">
        <f>IS!CG49</f>
        <v>-8</v>
      </c>
      <c r="CH202" s="1634">
        <f>IS!CH49</f>
        <v>-19</v>
      </c>
      <c r="CI202" s="1634">
        <f>IS!CI49</f>
        <v>-25</v>
      </c>
      <c r="CJ202" s="420">
        <f>IS!CJ49</f>
        <v>-15</v>
      </c>
      <c r="CK202" s="420">
        <f>SUM(CG202:CJ202)</f>
        <v>-67</v>
      </c>
      <c r="CL202" s="1633">
        <f>IS!CL49</f>
        <v>-3</v>
      </c>
      <c r="CM202" s="1634">
        <f>IS!CM49</f>
        <v>-1</v>
      </c>
      <c r="CN202" s="1634">
        <f>IS!CN49</f>
        <v>-23</v>
      </c>
      <c r="CO202" s="1634">
        <f>IS!CO49</f>
        <v>-24</v>
      </c>
      <c r="CP202" s="415">
        <f>SUM(CL202:CO202)</f>
        <v>-51</v>
      </c>
      <c r="CQ202" s="1634">
        <f>IS!CQ49</f>
        <v>0</v>
      </c>
      <c r="CR202" s="419">
        <f ca="1">CR198+CR200</f>
        <v>-4.3541609573399107</v>
      </c>
      <c r="CS202" s="419">
        <f ca="1">CS198+CS200</f>
        <v>-5</v>
      </c>
      <c r="CT202" s="420">
        <f>CT198+CT200</f>
        <v>-9.1</v>
      </c>
      <c r="CU202" s="420">
        <f ca="1">SUM(CQ202:CT202)</f>
        <v>-18.454160957339909</v>
      </c>
      <c r="CV202" s="1633">
        <f>CV198+CV200</f>
        <v>-14.900000000000002</v>
      </c>
      <c r="CW202" s="1634">
        <f>CW198+CW200</f>
        <v>-4.0677883204538787</v>
      </c>
      <c r="CX202" s="1634">
        <f>CX198+CX200</f>
        <v>-3.9497944050347549</v>
      </c>
      <c r="CY202" s="420">
        <f>CY198+CY200</f>
        <v>-5.5297785704614473</v>
      </c>
      <c r="CZ202" s="420">
        <f>SUM(CV202:CY202)</f>
        <v>-28.447361295950081</v>
      </c>
      <c r="DA202" s="1633">
        <f>DA198+DA200</f>
        <v>-19.899999999999999</v>
      </c>
      <c r="DB202" s="1634">
        <f>DB198+DB200</f>
        <v>-15.888349514563107</v>
      </c>
      <c r="DC202" s="1634">
        <f>DC198+DC200</f>
        <v>0.76219512195121952</v>
      </c>
      <c r="DD202" s="1634">
        <f>DD198+DD200</f>
        <v>-23.945121951219512</v>
      </c>
      <c r="DE202" s="2661">
        <f>SUM(DA202:DD202)</f>
        <v>-58.971276343831398</v>
      </c>
      <c r="DF202" s="1633">
        <f>DF198+DF200</f>
        <v>-40.099016066757997</v>
      </c>
      <c r="DG202" s="1633">
        <f>DG198+DG200</f>
        <v>0.82659057200550468</v>
      </c>
      <c r="DH202" s="1634">
        <f>DH198+DH200</f>
        <v>0.16111165845179176</v>
      </c>
      <c r="DI202" s="420">
        <f>DI198+DI200</f>
        <v>5</v>
      </c>
      <c r="DJ202" s="420">
        <f>SUM(DF202:DI202)</f>
        <v>-34.111313836300695</v>
      </c>
      <c r="DK202" s="1633">
        <f>DK198+DK200</f>
        <v>0</v>
      </c>
      <c r="DL202" s="1634">
        <f>DL198+DL200</f>
        <v>0</v>
      </c>
      <c r="DM202" s="1634">
        <f>DM198+DM200</f>
        <v>0</v>
      </c>
      <c r="DN202" s="420">
        <f>DN198+DN200</f>
        <v>0</v>
      </c>
      <c r="DO202" s="420">
        <f>SUM(DK202:DN202)</f>
        <v>0</v>
      </c>
      <c r="DP202" s="1633">
        <f>DP198+DP200</f>
        <v>0</v>
      </c>
      <c r="DQ202" s="1634">
        <f>DQ198+DQ200</f>
        <v>0</v>
      </c>
      <c r="DR202" s="1634">
        <f>DR198+DR200</f>
        <v>0</v>
      </c>
      <c r="DS202" s="420">
        <f>DS198+DS200</f>
        <v>0</v>
      </c>
      <c r="DT202" s="420">
        <f>SUM(DP202:DS202)</f>
        <v>0</v>
      </c>
      <c r="DU202" s="1633">
        <f>DU198+DU200</f>
        <v>0</v>
      </c>
      <c r="DV202" s="1634">
        <f>DV198+DV200</f>
        <v>0</v>
      </c>
      <c r="DW202" s="1634">
        <f>DW198+DW200</f>
        <v>0</v>
      </c>
      <c r="DX202" s="420">
        <f>DX198+DX200</f>
        <v>0</v>
      </c>
      <c r="DY202" s="420">
        <f>SUM(DU202:DX202)</f>
        <v>0</v>
      </c>
      <c r="DZ202" s="1848"/>
      <c r="EA202" s="1848"/>
      <c r="EB202" s="1848"/>
    </row>
    <row r="203" spans="1:132" x14ac:dyDescent="0.2">
      <c r="A203" s="1842"/>
      <c r="B203" s="2010"/>
      <c r="C203" s="2011"/>
      <c r="D203" s="1850"/>
      <c r="E203" s="1850"/>
      <c r="F203" s="1850"/>
      <c r="G203" s="1850"/>
      <c r="H203" s="1850"/>
      <c r="I203" s="2006"/>
      <c r="J203" s="1850"/>
      <c r="K203" s="1850"/>
      <c r="L203" s="1850"/>
      <c r="M203" s="1850"/>
      <c r="N203" s="2006"/>
      <c r="O203" s="1850"/>
      <c r="P203" s="1850"/>
      <c r="Q203" s="1850"/>
      <c r="R203" s="1850"/>
      <c r="S203" s="2006"/>
      <c r="T203" s="1850"/>
      <c r="U203" s="1850"/>
      <c r="V203" s="1850"/>
      <c r="W203" s="1850"/>
      <c r="X203" s="2006"/>
      <c r="Y203" s="1850"/>
      <c r="Z203" s="1850"/>
      <c r="AA203" s="1850"/>
      <c r="AB203" s="1850"/>
      <c r="AC203" s="2006"/>
      <c r="AD203" s="1850"/>
      <c r="AE203" s="1850"/>
      <c r="AF203" s="1850"/>
      <c r="AG203" s="1850"/>
      <c r="AH203" s="2006"/>
      <c r="AI203" s="1850"/>
      <c r="AJ203" s="1850"/>
      <c r="AK203" s="1850"/>
      <c r="AL203" s="1850"/>
      <c r="AM203" s="2006"/>
      <c r="AN203" s="1850"/>
      <c r="AO203" s="1850"/>
      <c r="AP203" s="1850"/>
      <c r="AQ203" s="1850"/>
      <c r="AR203" s="2006"/>
      <c r="AS203" s="1850"/>
      <c r="AT203" s="1850"/>
      <c r="AU203" s="1850"/>
      <c r="AV203" s="1850"/>
      <c r="AW203" s="2006"/>
      <c r="AX203" s="1850"/>
      <c r="AY203" s="1850"/>
      <c r="AZ203" s="1850"/>
      <c r="BA203" s="1850"/>
      <c r="BB203" s="2006"/>
      <c r="BC203" s="1850"/>
      <c r="BD203" s="1850"/>
      <c r="BE203" s="1850"/>
      <c r="BF203" s="1850"/>
      <c r="BG203" s="2006"/>
      <c r="BH203" s="238"/>
      <c r="BI203" s="238"/>
      <c r="BJ203" s="238"/>
      <c r="BK203" s="238"/>
      <c r="BL203" s="2006"/>
      <c r="BM203" s="1902"/>
      <c r="BN203" s="1902"/>
      <c r="BO203" s="1902"/>
      <c r="BP203" s="1902"/>
      <c r="BQ203" s="2006"/>
      <c r="BR203" s="1902"/>
      <c r="BS203" s="1902"/>
      <c r="BT203" s="1902"/>
      <c r="BU203" s="1902"/>
      <c r="BV203" s="415"/>
      <c r="BW203" s="416"/>
      <c r="BX203" s="416"/>
      <c r="BY203" s="416"/>
      <c r="BZ203" s="416"/>
      <c r="CA203" s="415"/>
      <c r="CB203" s="416"/>
      <c r="CC203" s="416"/>
      <c r="CD203" s="416"/>
      <c r="CE203" s="416"/>
      <c r="CF203" s="421"/>
      <c r="CG203" s="1632"/>
      <c r="CH203" s="416"/>
      <c r="CI203" s="416"/>
      <c r="CJ203" s="1630"/>
      <c r="CK203" s="1631"/>
      <c r="CL203" s="422"/>
      <c r="CM203" s="416"/>
      <c r="CN203" s="416"/>
      <c r="CO203" s="416"/>
      <c r="CP203" s="421"/>
      <c r="CQ203" s="416"/>
      <c r="CR203" s="422"/>
      <c r="CS203" s="422"/>
      <c r="CT203" s="422"/>
      <c r="CU203" s="421"/>
      <c r="CV203" s="1669"/>
      <c r="CW203" s="422"/>
      <c r="CX203" s="422"/>
      <c r="CY203" s="1631"/>
      <c r="CZ203" s="1631"/>
      <c r="DA203" s="1669"/>
      <c r="DB203" s="422"/>
      <c r="DC203" s="422"/>
      <c r="DD203" s="422"/>
      <c r="DE203" s="2662"/>
      <c r="DF203" s="1669"/>
      <c r="DG203" s="1669"/>
      <c r="DH203" s="422"/>
      <c r="DI203" s="1631"/>
      <c r="DJ203" s="1631"/>
      <c r="DK203" s="1669"/>
      <c r="DL203" s="422"/>
      <c r="DM203" s="422"/>
      <c r="DN203" s="1631"/>
      <c r="DO203" s="1631"/>
      <c r="DP203" s="1669"/>
      <c r="DQ203" s="422"/>
      <c r="DR203" s="422"/>
      <c r="DS203" s="1631"/>
      <c r="DT203" s="1631"/>
      <c r="DU203" s="1669"/>
      <c r="DV203" s="422"/>
      <c r="DW203" s="422"/>
      <c r="DX203" s="1631"/>
      <c r="DY203" s="1631"/>
      <c r="DZ203" s="1848"/>
      <c r="EA203" s="1848"/>
      <c r="EB203" s="1848"/>
    </row>
    <row r="204" spans="1:132" x14ac:dyDescent="0.2">
      <c r="A204" s="1999"/>
      <c r="B204" s="254" t="s">
        <v>433</v>
      </c>
      <c r="C204" s="238"/>
      <c r="D204" s="238"/>
      <c r="E204" s="238"/>
      <c r="F204" s="238"/>
      <c r="G204" s="238"/>
      <c r="H204" s="238"/>
      <c r="I204" s="239">
        <f>'BS and CFS'!I58</f>
        <v>-137.5</v>
      </c>
      <c r="J204" s="238"/>
      <c r="K204" s="238"/>
      <c r="L204" s="238"/>
      <c r="M204" s="238"/>
      <c r="N204" s="239">
        <f>'BS and CFS'!N58</f>
        <v>-87.6</v>
      </c>
      <c r="O204" s="238"/>
      <c r="P204" s="238"/>
      <c r="Q204" s="238"/>
      <c r="R204" s="238"/>
      <c r="S204" s="239">
        <f>'BS and CFS'!S58</f>
        <v>-102.5</v>
      </c>
      <c r="T204" s="238"/>
      <c r="U204" s="238"/>
      <c r="V204" s="238"/>
      <c r="W204" s="238"/>
      <c r="X204" s="239">
        <f>'BS and CFS'!X58</f>
        <v>-104.7</v>
      </c>
      <c r="Y204" s="238"/>
      <c r="Z204" s="238"/>
      <c r="AA204" s="238"/>
      <c r="AB204" s="238"/>
      <c r="AC204" s="239">
        <f>'BS and CFS'!AC58</f>
        <v>-104.8</v>
      </c>
      <c r="AD204" s="238"/>
      <c r="AE204" s="238"/>
      <c r="AF204" s="238"/>
      <c r="AG204" s="238"/>
      <c r="AH204" s="239">
        <f>'BS and CFS'!AH58</f>
        <v>-105.2</v>
      </c>
      <c r="AI204" s="238"/>
      <c r="AJ204" s="238"/>
      <c r="AK204" s="238"/>
      <c r="AL204" s="238"/>
      <c r="AM204" s="239">
        <f>'BS and CFS'!AM58</f>
        <v>-104.9</v>
      </c>
      <c r="AN204" s="238"/>
      <c r="AO204" s="238"/>
      <c r="AP204" s="238"/>
      <c r="AQ204" s="238"/>
      <c r="AR204" s="239">
        <f>'BS and CFS'!AR58</f>
        <v>-105.2</v>
      </c>
      <c r="AS204" s="238"/>
      <c r="AT204" s="238"/>
      <c r="AU204" s="238"/>
      <c r="AV204" s="238"/>
      <c r="AW204" s="239">
        <f>'BS and CFS'!AW58</f>
        <v>-119.8</v>
      </c>
      <c r="AX204" s="238"/>
      <c r="AY204" s="238"/>
      <c r="AZ204" s="238"/>
      <c r="BA204" s="238"/>
      <c r="BB204" s="239">
        <f>'BS and CFS'!BB58</f>
        <v>-131.6</v>
      </c>
      <c r="BC204" s="238"/>
      <c r="BD204" s="238"/>
      <c r="BE204" s="238"/>
      <c r="BF204" s="238"/>
      <c r="BG204" s="239">
        <f>'BS and CFS'!BG58</f>
        <v>-140.9</v>
      </c>
      <c r="BH204" s="238"/>
      <c r="BI204" s="238"/>
      <c r="BJ204" s="238"/>
      <c r="BK204" s="238"/>
      <c r="BL204" s="239">
        <f>'BS and CFS'!BL58</f>
        <v>-322.39999999999998</v>
      </c>
      <c r="BM204" s="238">
        <f>'BS and CFS'!BM58</f>
        <v>-85.9</v>
      </c>
      <c r="BN204" s="238">
        <f>'BS and CFS'!BN58</f>
        <v>-86.199999999999989</v>
      </c>
      <c r="BO204" s="238">
        <f>'BS and CFS'!BO58</f>
        <v>-98.4</v>
      </c>
      <c r="BP204" s="238">
        <f>'BS and CFS'!BP58</f>
        <v>-112.5</v>
      </c>
      <c r="BQ204" s="239">
        <f>'BS and CFS'!BQ58</f>
        <v>-383</v>
      </c>
      <c r="BR204" s="238">
        <f>'BS and CFS'!BR58</f>
        <v>-109.7</v>
      </c>
      <c r="BS204" s="238">
        <f>'BS and CFS'!BS58</f>
        <v>-110.99999999999999</v>
      </c>
      <c r="BT204" s="238">
        <f>'BS and CFS'!BT58</f>
        <v>-110.10000000000002</v>
      </c>
      <c r="BU204" s="238">
        <f>-IS!BU50*BU206</f>
        <v>-121.88749999999999</v>
      </c>
      <c r="BV204" s="239">
        <f>BV58</f>
        <v>-439</v>
      </c>
      <c r="BW204" s="238">
        <f>-IS!BW50*BW206</f>
        <v>-119.26249999999999</v>
      </c>
      <c r="BX204" s="238">
        <f>-IS!BX50*BX206</f>
        <v>-118.00077436771809</v>
      </c>
      <c r="BY204" s="238">
        <f>-IS!BY50*BY206</f>
        <v>-118.2632743677181</v>
      </c>
      <c r="BZ204" s="238">
        <f>-IS!BZ50*BZ206</f>
        <v>-119.26249999999999</v>
      </c>
      <c r="CA204" s="239">
        <f>CA58</f>
        <v>-479</v>
      </c>
      <c r="CB204" s="238">
        <f>CB58</f>
        <v>-171</v>
      </c>
      <c r="CC204" s="238">
        <f>CC58</f>
        <v>-170</v>
      </c>
      <c r="CD204" s="238">
        <f>CD58</f>
        <v>-167</v>
      </c>
      <c r="CE204" s="238">
        <f>CE58</f>
        <v>-166</v>
      </c>
      <c r="CF204" s="239">
        <f>SUM(CB204:CE204)</f>
        <v>-674</v>
      </c>
      <c r="CG204" s="254">
        <f>CG58</f>
        <v>-211</v>
      </c>
      <c r="CH204" s="1622">
        <f>CH58</f>
        <v>-209</v>
      </c>
      <c r="CI204" s="1622">
        <f>CI58</f>
        <v>-207</v>
      </c>
      <c r="CJ204" s="2012">
        <f>CJ58</f>
        <v>-202</v>
      </c>
      <c r="CK204" s="414">
        <f>SUM(CG204:CJ204)</f>
        <v>-829</v>
      </c>
      <c r="CL204" s="2013">
        <f>CL58</f>
        <v>-277</v>
      </c>
      <c r="CM204" s="1622">
        <f>CM58</f>
        <v>-276</v>
      </c>
      <c r="CN204" s="1622">
        <f>CN58</f>
        <v>-276</v>
      </c>
      <c r="CO204" s="1622">
        <f>CO58</f>
        <v>-268</v>
      </c>
      <c r="CP204" s="239">
        <f>SUM(CL204:CO204)</f>
        <v>-1097</v>
      </c>
      <c r="CQ204" s="1622">
        <f>CQ58</f>
        <v>-325</v>
      </c>
      <c r="CR204" s="2013">
        <f ca="1">-CR206*IS!CR50</f>
        <v>-323.1566712805768</v>
      </c>
      <c r="CS204" s="2013">
        <f ca="1">-CS206*IS!CS50</f>
        <v>-321.77955263650898</v>
      </c>
      <c r="CT204" s="2013">
        <f ca="1">-CT206*IS!CT50</f>
        <v>-319.27319670430563</v>
      </c>
      <c r="CU204" s="239">
        <f ca="1">SUM(CQ204:CT204)</f>
        <v>-1289.2094206213915</v>
      </c>
      <c r="CV204" s="2014">
        <f>-CV206*IS!CV50</f>
        <v>-396.67851562499999</v>
      </c>
      <c r="CW204" s="1886">
        <f>-CW206*IS!CW50</f>
        <v>-391.81148437500002</v>
      </c>
      <c r="CX204" s="1886">
        <f>-CX206*IS!CX50</f>
        <v>-389.2911328125</v>
      </c>
      <c r="CY204" s="2012">
        <f>-CY206*IS!CY50</f>
        <v>-386.18789062500002</v>
      </c>
      <c r="CZ204" s="414">
        <f>SUM(CV204:CY204)</f>
        <v>-1563.9690234374998</v>
      </c>
      <c r="DA204" s="2014">
        <f>-DA206*IS!DA50</f>
        <v>-471.98236464843745</v>
      </c>
      <c r="DB204" s="1886">
        <f>-DB206*IS!DB50</f>
        <v>-468.544921875</v>
      </c>
      <c r="DC204" s="1886">
        <f>-DC206*IS!DC50</f>
        <v>-468.65002763671879</v>
      </c>
      <c r="DD204" s="1886">
        <f>-DD206*IS!DD50</f>
        <v>-468.65002763671879</v>
      </c>
      <c r="DE204" s="2598">
        <f>SUM(DA204:DD204)</f>
        <v>-1877.8273417968749</v>
      </c>
      <c r="DF204" s="2014">
        <f>-DF206*IS!DF50</f>
        <v>-559.64102673339846</v>
      </c>
      <c r="DG204" s="2014">
        <f>-DG206*IS!DG50</f>
        <v>-558.4156831054687</v>
      </c>
      <c r="DH204" s="1886">
        <f>-DH206*IS!DH50</f>
        <v>-556.45335845947272</v>
      </c>
      <c r="DI204" s="2012">
        <f>-DI206*IS!DI50</f>
        <v>-556.45335845947272</v>
      </c>
      <c r="DJ204" s="414">
        <f>SUM(DF204:DI204)</f>
        <v>-2230.9634267578126</v>
      </c>
      <c r="DK204" s="2014">
        <f>-DK206*IS!DK50</f>
        <v>-695.56669807434082</v>
      </c>
      <c r="DL204" s="1886">
        <f>-DL206*IS!DL50</f>
        <v>-695.56669807434082</v>
      </c>
      <c r="DM204" s="1886">
        <f>-DM206*IS!DM50</f>
        <v>-695.56669807434082</v>
      </c>
      <c r="DN204" s="2012">
        <f>-DN206*IS!DN50</f>
        <v>-695.56669807434082</v>
      </c>
      <c r="DO204" s="414">
        <f>SUM(DK204:DN204)</f>
        <v>-2782.2667922973633</v>
      </c>
      <c r="DP204" s="2014">
        <f>-DP206*IS!DP50</f>
        <v>-869.45837259292603</v>
      </c>
      <c r="DQ204" s="1886">
        <f>-DQ206*IS!DQ50</f>
        <v>-869.45837259292603</v>
      </c>
      <c r="DR204" s="1886">
        <f>-DR206*IS!DR50</f>
        <v>-869.45837259292603</v>
      </c>
      <c r="DS204" s="2012">
        <f>-DS206*IS!DS50</f>
        <v>-869.45837259292603</v>
      </c>
      <c r="DT204" s="414">
        <f>SUM(DP204:DS204)</f>
        <v>-3477.8334903717041</v>
      </c>
      <c r="DU204" s="2014">
        <f>-DU206*IS!DU50</f>
        <v>-1086.8229657411575</v>
      </c>
      <c r="DV204" s="1886">
        <f>-DV206*IS!DV50</f>
        <v>-1086.8229657411575</v>
      </c>
      <c r="DW204" s="1886">
        <f>-DW206*IS!DW50</f>
        <v>-1086.8229657411575</v>
      </c>
      <c r="DX204" s="2012">
        <f>-DX206*IS!DX50</f>
        <v>-1086.8229657411575</v>
      </c>
      <c r="DY204" s="414">
        <f>SUM(DU204:DX204)</f>
        <v>-4347.2918629646301</v>
      </c>
      <c r="DZ204" s="2005"/>
      <c r="EA204" s="2005"/>
      <c r="EB204" s="2005"/>
    </row>
    <row r="205" spans="1:132" x14ac:dyDescent="0.2">
      <c r="A205" s="1999"/>
      <c r="B205" s="254"/>
      <c r="C205" s="238"/>
      <c r="D205" s="238"/>
      <c r="E205" s="238"/>
      <c r="F205" s="238"/>
      <c r="G205" s="238"/>
      <c r="H205" s="238"/>
      <c r="I205" s="239"/>
      <c r="J205" s="238"/>
      <c r="K205" s="238"/>
      <c r="L205" s="238"/>
      <c r="M205" s="238"/>
      <c r="N205" s="239"/>
      <c r="O205" s="238"/>
      <c r="P205" s="238"/>
      <c r="Q205" s="238"/>
      <c r="R205" s="238"/>
      <c r="S205" s="239"/>
      <c r="T205" s="238"/>
      <c r="U205" s="238"/>
      <c r="V205" s="238"/>
      <c r="W205" s="238"/>
      <c r="X205" s="239"/>
      <c r="Y205" s="238"/>
      <c r="Z205" s="238"/>
      <c r="AA205" s="238"/>
      <c r="AB205" s="238"/>
      <c r="AC205" s="239"/>
      <c r="AD205" s="238"/>
      <c r="AE205" s="238"/>
      <c r="AF205" s="238"/>
      <c r="AG205" s="238"/>
      <c r="AH205" s="239"/>
      <c r="AI205" s="238"/>
      <c r="AJ205" s="238"/>
      <c r="AK205" s="238"/>
      <c r="AL205" s="238"/>
      <c r="AM205" s="239"/>
      <c r="AN205" s="238"/>
      <c r="AO205" s="238"/>
      <c r="AP205" s="238"/>
      <c r="AQ205" s="238"/>
      <c r="AR205" s="239"/>
      <c r="AS205" s="238"/>
      <c r="AT205" s="238"/>
      <c r="AU205" s="238"/>
      <c r="AV205" s="238"/>
      <c r="AW205" s="239"/>
      <c r="AX205" s="238"/>
      <c r="AY205" s="238"/>
      <c r="AZ205" s="238"/>
      <c r="BA205" s="238"/>
      <c r="BB205" s="239"/>
      <c r="BC205" s="238"/>
      <c r="BD205" s="238"/>
      <c r="BE205" s="238"/>
      <c r="BF205" s="238"/>
      <c r="BG205" s="239"/>
      <c r="BH205" s="238"/>
      <c r="BI205" s="238"/>
      <c r="BJ205" s="238"/>
      <c r="BK205" s="238"/>
      <c r="BL205" s="239">
        <f t="shared" ref="BL205:DJ205" si="272">-BL204</f>
        <v>322.39999999999998</v>
      </c>
      <c r="BM205" s="414">
        <f t="shared" si="272"/>
        <v>85.9</v>
      </c>
      <c r="BN205" s="414">
        <f t="shared" si="272"/>
        <v>86.199999999999989</v>
      </c>
      <c r="BO205" s="414">
        <f t="shared" si="272"/>
        <v>98.4</v>
      </c>
      <c r="BP205" s="414">
        <f t="shared" si="272"/>
        <v>112.5</v>
      </c>
      <c r="BQ205" s="414">
        <f t="shared" si="272"/>
        <v>383</v>
      </c>
      <c r="BR205" s="414">
        <f t="shared" si="272"/>
        <v>109.7</v>
      </c>
      <c r="BS205" s="414">
        <f t="shared" si="272"/>
        <v>110.99999999999999</v>
      </c>
      <c r="BT205" s="414">
        <f t="shared" si="272"/>
        <v>110.10000000000002</v>
      </c>
      <c r="BU205" s="414">
        <f t="shared" si="272"/>
        <v>121.88749999999999</v>
      </c>
      <c r="BV205" s="414">
        <f t="shared" si="272"/>
        <v>439</v>
      </c>
      <c r="BW205" s="414">
        <f t="shared" si="272"/>
        <v>119.26249999999999</v>
      </c>
      <c r="BX205" s="414">
        <f t="shared" si="272"/>
        <v>118.00077436771809</v>
      </c>
      <c r="BY205" s="414">
        <f t="shared" si="272"/>
        <v>118.2632743677181</v>
      </c>
      <c r="BZ205" s="414">
        <f t="shared" si="272"/>
        <v>119.26249999999999</v>
      </c>
      <c r="CA205" s="414">
        <f t="shared" si="272"/>
        <v>479</v>
      </c>
      <c r="CB205" s="414">
        <f t="shared" si="272"/>
        <v>171</v>
      </c>
      <c r="CC205" s="414">
        <f t="shared" si="272"/>
        <v>170</v>
      </c>
      <c r="CD205" s="414">
        <f t="shared" si="272"/>
        <v>167</v>
      </c>
      <c r="CE205" s="414">
        <f t="shared" si="272"/>
        <v>166</v>
      </c>
      <c r="CF205" s="414">
        <f t="shared" si="272"/>
        <v>674</v>
      </c>
      <c r="CG205" s="254">
        <f t="shared" si="272"/>
        <v>211</v>
      </c>
      <c r="CH205" s="1622">
        <f t="shared" si="272"/>
        <v>209</v>
      </c>
      <c r="CI205" s="1622">
        <f t="shared" si="272"/>
        <v>207</v>
      </c>
      <c r="CJ205" s="414">
        <f t="shared" si="272"/>
        <v>202</v>
      </c>
      <c r="CK205" s="414">
        <f t="shared" si="272"/>
        <v>829</v>
      </c>
      <c r="CL205" s="254">
        <f t="shared" si="272"/>
        <v>277</v>
      </c>
      <c r="CM205" s="1622">
        <f t="shared" si="272"/>
        <v>276</v>
      </c>
      <c r="CN205" s="1622">
        <f t="shared" si="272"/>
        <v>276</v>
      </c>
      <c r="CO205" s="1622">
        <f>-CO204</f>
        <v>268</v>
      </c>
      <c r="CP205" s="239">
        <f t="shared" si="272"/>
        <v>1097</v>
      </c>
      <c r="CQ205" s="1622">
        <f>-CQ204</f>
        <v>325</v>
      </c>
      <c r="CR205" s="2013">
        <f t="shared" ca="1" si="272"/>
        <v>323.1566712805768</v>
      </c>
      <c r="CS205" s="2013">
        <f t="shared" ca="1" si="272"/>
        <v>321.77955263650898</v>
      </c>
      <c r="CT205" s="2013">
        <f t="shared" ca="1" si="272"/>
        <v>319.27319670430563</v>
      </c>
      <c r="CU205" s="239">
        <f t="shared" ca="1" si="272"/>
        <v>1289.2094206213915</v>
      </c>
      <c r="CV205" s="2014">
        <f t="shared" si="272"/>
        <v>396.67851562499999</v>
      </c>
      <c r="CW205" s="1886">
        <f t="shared" si="272"/>
        <v>391.81148437500002</v>
      </c>
      <c r="CX205" s="1886">
        <f t="shared" si="272"/>
        <v>389.2911328125</v>
      </c>
      <c r="CY205" s="2012">
        <f t="shared" si="272"/>
        <v>386.18789062500002</v>
      </c>
      <c r="CZ205" s="414">
        <f t="shared" si="272"/>
        <v>1563.9690234374998</v>
      </c>
      <c r="DA205" s="2014">
        <f t="shared" si="272"/>
        <v>471.98236464843745</v>
      </c>
      <c r="DB205" s="1886">
        <f t="shared" si="272"/>
        <v>468.544921875</v>
      </c>
      <c r="DC205" s="1886">
        <f>-DC204</f>
        <v>468.65002763671879</v>
      </c>
      <c r="DD205" s="1886">
        <f>-DD204</f>
        <v>468.65002763671879</v>
      </c>
      <c r="DE205" s="2598">
        <f t="shared" si="272"/>
        <v>1877.8273417968749</v>
      </c>
      <c r="DF205" s="2014">
        <f t="shared" si="272"/>
        <v>559.64102673339846</v>
      </c>
      <c r="DG205" s="2014">
        <f t="shared" si="272"/>
        <v>558.4156831054687</v>
      </c>
      <c r="DH205" s="1886">
        <f t="shared" si="272"/>
        <v>556.45335845947272</v>
      </c>
      <c r="DI205" s="2012">
        <f t="shared" si="272"/>
        <v>556.45335845947272</v>
      </c>
      <c r="DJ205" s="414">
        <f t="shared" si="272"/>
        <v>2230.9634267578126</v>
      </c>
      <c r="DK205" s="2014">
        <f t="shared" ref="DK205:DT205" si="273">-DK204</f>
        <v>695.56669807434082</v>
      </c>
      <c r="DL205" s="1886">
        <f t="shared" si="273"/>
        <v>695.56669807434082</v>
      </c>
      <c r="DM205" s="1886">
        <f t="shared" si="273"/>
        <v>695.56669807434082</v>
      </c>
      <c r="DN205" s="2012">
        <f t="shared" si="273"/>
        <v>695.56669807434082</v>
      </c>
      <c r="DO205" s="414">
        <f t="shared" si="273"/>
        <v>2782.2667922973633</v>
      </c>
      <c r="DP205" s="2014">
        <f t="shared" si="273"/>
        <v>869.45837259292603</v>
      </c>
      <c r="DQ205" s="1886">
        <f t="shared" si="273"/>
        <v>869.45837259292603</v>
      </c>
      <c r="DR205" s="1886">
        <f t="shared" si="273"/>
        <v>869.45837259292603</v>
      </c>
      <c r="DS205" s="2012">
        <f t="shared" si="273"/>
        <v>869.45837259292603</v>
      </c>
      <c r="DT205" s="414">
        <f t="shared" si="273"/>
        <v>3477.8334903717041</v>
      </c>
      <c r="DU205" s="2014">
        <f t="shared" ref="DU205:DY205" si="274">-DU204</f>
        <v>1086.8229657411575</v>
      </c>
      <c r="DV205" s="1886">
        <f t="shared" si="274"/>
        <v>1086.8229657411575</v>
      </c>
      <c r="DW205" s="1886">
        <f t="shared" si="274"/>
        <v>1086.8229657411575</v>
      </c>
      <c r="DX205" s="2012">
        <f t="shared" si="274"/>
        <v>1086.8229657411575</v>
      </c>
      <c r="DY205" s="414">
        <f t="shared" si="274"/>
        <v>4347.2918629646301</v>
      </c>
      <c r="DZ205" s="2005"/>
      <c r="EA205" s="2005"/>
      <c r="EB205" s="2005"/>
    </row>
    <row r="206" spans="1:132" x14ac:dyDescent="0.2">
      <c r="A206" s="1961"/>
      <c r="B206" s="2015" t="s">
        <v>434</v>
      </c>
      <c r="C206" s="2016"/>
      <c r="D206" s="2017"/>
      <c r="E206" s="2017"/>
      <c r="F206" s="2017"/>
      <c r="G206" s="2017"/>
      <c r="H206" s="2017"/>
      <c r="I206" s="2018">
        <f>-I204/IS!I47</f>
        <v>0.17922314911366005</v>
      </c>
      <c r="J206" s="2017"/>
      <c r="K206" s="2017"/>
      <c r="L206" s="2017"/>
      <c r="M206" s="2017"/>
      <c r="N206" s="2018">
        <f>-N204/IS!N47</f>
        <v>0.10961646749671526</v>
      </c>
      <c r="O206" s="2017"/>
      <c r="P206" s="2017"/>
      <c r="Q206" s="2017"/>
      <c r="R206" s="2017"/>
      <c r="S206" s="2018">
        <f>-S204/IS!S47</f>
        <v>0.1264807502467917</v>
      </c>
      <c r="T206" s="2017"/>
      <c r="U206" s="2017"/>
      <c r="V206" s="2017"/>
      <c r="W206" s="2017"/>
      <c r="X206" s="2018">
        <f>-X204/IS!X47</f>
        <v>0.12899648863426355</v>
      </c>
      <c r="Y206" s="2017"/>
      <c r="Z206" s="2017"/>
      <c r="AA206" s="2017"/>
      <c r="AB206" s="2017"/>
      <c r="AC206" s="2018">
        <f>-AC204/IS!AC47</f>
        <v>0.1284313725490196</v>
      </c>
      <c r="AD206" s="2017"/>
      <c r="AE206" s="2017"/>
      <c r="AF206" s="2017"/>
      <c r="AG206" s="2017"/>
      <c r="AH206" s="2018">
        <f>-AH204/IS!AH47</f>
        <v>0.12882684300759245</v>
      </c>
      <c r="AI206" s="2017"/>
      <c r="AJ206" s="2017"/>
      <c r="AK206" s="2017"/>
      <c r="AL206" s="2017"/>
      <c r="AM206" s="2018">
        <f>-AM204/IS!AM47</f>
        <v>0.12941031334813718</v>
      </c>
      <c r="AN206" s="2017"/>
      <c r="AO206" s="2017"/>
      <c r="AP206" s="2017"/>
      <c r="AQ206" s="2017"/>
      <c r="AR206" s="2018">
        <f>-AR204/IS!AR47</f>
        <v>0.12896898369498591</v>
      </c>
      <c r="AS206" s="2017"/>
      <c r="AT206" s="2017"/>
      <c r="AU206" s="2017"/>
      <c r="AV206" s="2017"/>
      <c r="AW206" s="2018">
        <f>-AW204/IS!AW47</f>
        <v>0.14426782273603084</v>
      </c>
      <c r="AX206" s="2017"/>
      <c r="AY206" s="2017"/>
      <c r="AZ206" s="2017"/>
      <c r="BA206" s="2017"/>
      <c r="BB206" s="2018">
        <f>-BB204/IS!BB47</f>
        <v>0.15636882129277566</v>
      </c>
      <c r="BC206" s="2017"/>
      <c r="BD206" s="2017"/>
      <c r="BE206" s="2017"/>
      <c r="BF206" s="2017"/>
      <c r="BG206" s="2018">
        <f>-BG204/IS!BG47</f>
        <v>0.16514299109235817</v>
      </c>
      <c r="BH206" s="238"/>
      <c r="BI206" s="238"/>
      <c r="BJ206" s="238"/>
      <c r="BK206" s="238"/>
      <c r="BL206" s="2018">
        <f>-BL204/IS!BL47</f>
        <v>0.23501968216941244</v>
      </c>
      <c r="BM206" s="2019">
        <f>-BM204/IS!BM47</f>
        <v>5.8526946923758261E-2</v>
      </c>
      <c r="BN206" s="2019">
        <f>-BN204/IS!BN47</f>
        <v>5.8691359705862318E-2</v>
      </c>
      <c r="BO206" s="2019">
        <f>-BO204/IS!BO47</f>
        <v>6.695243927332109E-2</v>
      </c>
      <c r="BP206" s="2019">
        <f>-BP204/IS!BP47</f>
        <v>7.6692344399754586E-2</v>
      </c>
      <c r="BQ206" s="2018">
        <f>-BQ204/IS!BQ47</f>
        <v>0.26109482582316446</v>
      </c>
      <c r="BR206" s="2019">
        <f>-BR204/IS!BR47</f>
        <v>7.46817346313568E-2</v>
      </c>
      <c r="BS206" s="2019">
        <f>-BS204/IS!BS47</f>
        <v>7.5417855686913976E-2</v>
      </c>
      <c r="BT206" s="2019">
        <f>-BT204/IS!BT47</f>
        <v>7.6199044916603231E-2</v>
      </c>
      <c r="BU206" s="413">
        <f>0.35/4</f>
        <v>8.7499999999999994E-2</v>
      </c>
      <c r="BV206" s="2018">
        <f>-BV204/IS!BV47</f>
        <v>0.3027586206896552</v>
      </c>
      <c r="BW206" s="413">
        <f>0.35/4</f>
        <v>8.7499999999999994E-2</v>
      </c>
      <c r="BX206" s="413">
        <f>0.35/4</f>
        <v>8.7499999999999994E-2</v>
      </c>
      <c r="BY206" s="413">
        <f>0.35/4</f>
        <v>8.7499999999999994E-2</v>
      </c>
      <c r="BZ206" s="413">
        <f>0.35/4</f>
        <v>8.7499999999999994E-2</v>
      </c>
      <c r="CA206" s="2018">
        <f>-CA204/IS!CA47</f>
        <v>0.348680618744313</v>
      </c>
      <c r="CB206" s="423">
        <f>-CB204/IS!CB50</f>
        <v>0.12629246676514033</v>
      </c>
      <c r="CC206" s="423">
        <f>-CC204/IS!CC50</f>
        <v>0.1263001485884101</v>
      </c>
      <c r="CD206" s="423">
        <f>-CD204/IS!CD50</f>
        <v>0.12767584097859327</v>
      </c>
      <c r="CE206" s="423">
        <f>-CE204/IS!CE50</f>
        <v>0.12788906009244994</v>
      </c>
      <c r="CF206" s="2018">
        <f>-CF204/IS!CF47</f>
        <v>0.50066854850690834</v>
      </c>
      <c r="CG206" s="1635">
        <f>-CG204/IS!CG50</f>
        <v>0.16356589147286821</v>
      </c>
      <c r="CH206" s="1636">
        <f>-CH204/IS!CH50</f>
        <v>0.16443745082612116</v>
      </c>
      <c r="CI206" s="1636">
        <f>-CI204/IS!CI50</f>
        <v>0.16613162118780098</v>
      </c>
      <c r="CJ206" s="1637">
        <f>-CJ204/IS!CJ50</f>
        <v>0.16409423233143786</v>
      </c>
      <c r="CK206" s="2020">
        <f>-CK204/IS!CK47</f>
        <v>0.64777011584067512</v>
      </c>
      <c r="CL206" s="423">
        <f>-CL204/IS!CL50</f>
        <v>0.22557003257328989</v>
      </c>
      <c r="CM206" s="1636">
        <f>-CM204/IS!CM50</f>
        <v>0.22493887530562348</v>
      </c>
      <c r="CN206" s="1636">
        <f>-CN204/IS!CN50</f>
        <v>0.2292358803986711</v>
      </c>
      <c r="CO206" s="1636">
        <f>-CO204/IS!CO50</f>
        <v>0.22711864406779661</v>
      </c>
      <c r="CP206" s="424">
        <v>0.9</v>
      </c>
      <c r="CQ206" s="1636">
        <f>-CQ204/IS!CQ50</f>
        <v>0.27542372881355931</v>
      </c>
      <c r="CR206" s="423">
        <f>CQ206</f>
        <v>0.27542372881355931</v>
      </c>
      <c r="CS206" s="423">
        <f>CR206</f>
        <v>0.27542372881355931</v>
      </c>
      <c r="CT206" s="423">
        <f>CS206</f>
        <v>0.27542372881355931</v>
      </c>
      <c r="CU206" s="424">
        <f>CP206*(1.25)</f>
        <v>1.125</v>
      </c>
      <c r="CV206" s="1635">
        <f>CZ206/4</f>
        <v>0.3515625</v>
      </c>
      <c r="CW206" s="1636">
        <f>CV206</f>
        <v>0.3515625</v>
      </c>
      <c r="CX206" s="1636">
        <f>CW206</f>
        <v>0.3515625</v>
      </c>
      <c r="CY206" s="1637">
        <f>CX206</f>
        <v>0.3515625</v>
      </c>
      <c r="CZ206" s="1668">
        <f>CU206*(1.25)</f>
        <v>1.40625</v>
      </c>
      <c r="DA206" s="1635">
        <f>DE206/4</f>
        <v>0.439453125</v>
      </c>
      <c r="DB206" s="1636">
        <f>DA206</f>
        <v>0.439453125</v>
      </c>
      <c r="DC206" s="1636">
        <f>DB206</f>
        <v>0.439453125</v>
      </c>
      <c r="DD206" s="1636">
        <f>DC206</f>
        <v>0.439453125</v>
      </c>
      <c r="DE206" s="2663">
        <f>CZ206*(1.25)</f>
        <v>1.7578125</v>
      </c>
      <c r="DF206" s="1635">
        <f>DJ206/4</f>
        <v>0.54931640625</v>
      </c>
      <c r="DG206" s="1635">
        <f>DF206</f>
        <v>0.54931640625</v>
      </c>
      <c r="DH206" s="1636">
        <f>DG206</f>
        <v>0.54931640625</v>
      </c>
      <c r="DI206" s="1637">
        <f>DH206</f>
        <v>0.54931640625</v>
      </c>
      <c r="DJ206" s="1668">
        <f>DE206*(1.25)</f>
        <v>2.197265625</v>
      </c>
      <c r="DK206" s="1635">
        <f>DO206/4</f>
        <v>0.6866455078125</v>
      </c>
      <c r="DL206" s="1636">
        <f>DK206</f>
        <v>0.6866455078125</v>
      </c>
      <c r="DM206" s="1636">
        <f>DL206</f>
        <v>0.6866455078125</v>
      </c>
      <c r="DN206" s="1637">
        <f>DM206</f>
        <v>0.6866455078125</v>
      </c>
      <c r="DO206" s="1668">
        <f>DJ206*(1.25)</f>
        <v>2.74658203125</v>
      </c>
      <c r="DP206" s="1635">
        <f>DT206/4</f>
        <v>0.858306884765625</v>
      </c>
      <c r="DQ206" s="1636">
        <f>DP206</f>
        <v>0.858306884765625</v>
      </c>
      <c r="DR206" s="1636">
        <f>DQ206</f>
        <v>0.858306884765625</v>
      </c>
      <c r="DS206" s="1637">
        <f>DR206</f>
        <v>0.858306884765625</v>
      </c>
      <c r="DT206" s="1668">
        <f>DO206*(1.25)</f>
        <v>3.4332275390625</v>
      </c>
      <c r="DU206" s="1635">
        <f>DY206/4</f>
        <v>1.0728836059570313</v>
      </c>
      <c r="DV206" s="1636">
        <f>DU206</f>
        <v>1.0728836059570313</v>
      </c>
      <c r="DW206" s="1636">
        <f>DV206</f>
        <v>1.0728836059570313</v>
      </c>
      <c r="DX206" s="1637">
        <f>DW206</f>
        <v>1.0728836059570313</v>
      </c>
      <c r="DY206" s="1668">
        <f>DT206*(1.25)</f>
        <v>4.291534423828125</v>
      </c>
      <c r="DZ206" s="2021"/>
      <c r="EA206" s="2021"/>
      <c r="EB206" s="2021"/>
    </row>
    <row r="207" spans="1:132" x14ac:dyDescent="0.2">
      <c r="A207" s="1961"/>
      <c r="B207" s="2015" t="s">
        <v>194</v>
      </c>
      <c r="C207" s="2016"/>
      <c r="D207" s="2017"/>
      <c r="E207" s="2017"/>
      <c r="F207" s="2017"/>
      <c r="G207" s="2017"/>
      <c r="H207" s="2017"/>
      <c r="I207" s="2022"/>
      <c r="J207" s="2017"/>
      <c r="K207" s="2017"/>
      <c r="L207" s="2017"/>
      <c r="M207" s="2017"/>
      <c r="N207" s="2022">
        <f>N206/I206-1</f>
        <v>-0.38837997190196394</v>
      </c>
      <c r="O207" s="2017"/>
      <c r="P207" s="2017"/>
      <c r="Q207" s="2017"/>
      <c r="R207" s="2017"/>
      <c r="S207" s="2022">
        <f>S206/N206-1</f>
        <v>0.15384807716579441</v>
      </c>
      <c r="T207" s="2017"/>
      <c r="U207" s="2017"/>
      <c r="V207" s="2017"/>
      <c r="W207" s="2017"/>
      <c r="X207" s="2022">
        <f>X206/S206-1</f>
        <v>1.9890286723972528E-2</v>
      </c>
      <c r="Y207" s="2017"/>
      <c r="Z207" s="2017"/>
      <c r="AA207" s="2017"/>
      <c r="AB207" s="2017"/>
      <c r="AC207" s="2022">
        <f>AC206/X206-1</f>
        <v>-4.3808640934885901E-3</v>
      </c>
      <c r="AD207" s="2017"/>
      <c r="AE207" s="2017"/>
      <c r="AF207" s="2017"/>
      <c r="AG207" s="2017"/>
      <c r="AH207" s="2022">
        <f>AH206/AC206-1</f>
        <v>3.0792356316360348E-3</v>
      </c>
      <c r="AI207" s="2017"/>
      <c r="AJ207" s="2017"/>
      <c r="AK207" s="2017"/>
      <c r="AL207" s="2017"/>
      <c r="AM207" s="2022">
        <f>AM206/AH206-1</f>
        <v>4.5291053240383849E-3</v>
      </c>
      <c r="AN207" s="2017"/>
      <c r="AO207" s="2017"/>
      <c r="AP207" s="2017"/>
      <c r="AQ207" s="2017"/>
      <c r="AR207" s="2022">
        <f>AR206/AM206-1</f>
        <v>-3.4103128393176974E-3</v>
      </c>
      <c r="AS207" s="2017"/>
      <c r="AT207" s="2017"/>
      <c r="AU207" s="2017"/>
      <c r="AV207" s="2017"/>
      <c r="AW207" s="2022">
        <f>AW206/AR206-1</f>
        <v>0.11862417305874851</v>
      </c>
      <c r="AX207" s="2017"/>
      <c r="AY207" s="2017"/>
      <c r="AZ207" s="2017"/>
      <c r="BA207" s="2017"/>
      <c r="BB207" s="2022">
        <f>BB206/AW206-1</f>
        <v>8.3878707859105894E-2</v>
      </c>
      <c r="BC207" s="2017"/>
      <c r="BD207" s="2017"/>
      <c r="BE207" s="2017"/>
      <c r="BF207" s="2017"/>
      <c r="BG207" s="2022">
        <f>BG206/BB206-1</f>
        <v>5.6112015982740404E-2</v>
      </c>
      <c r="BH207" s="2017"/>
      <c r="BI207" s="2017"/>
      <c r="BJ207" s="2017"/>
      <c r="BK207" s="2017"/>
      <c r="BL207" s="2022">
        <f>BL206/BG206-1</f>
        <v>0.42312840899178639</v>
      </c>
      <c r="BM207" s="2023"/>
      <c r="BN207" s="2023"/>
      <c r="BO207" s="2023"/>
      <c r="BP207" s="2023"/>
      <c r="BQ207" s="2022">
        <f t="shared" ref="BQ207:CQ207" si="275">BQ206/BL206-1</f>
        <v>0.11094876570786916</v>
      </c>
      <c r="BR207" s="2024">
        <f t="shared" si="275"/>
        <v>0.27602307239164592</v>
      </c>
      <c r="BS207" s="2024">
        <f t="shared" si="275"/>
        <v>0.28499077317135235</v>
      </c>
      <c r="BT207" s="2024">
        <f t="shared" si="275"/>
        <v>0.1381070763610952</v>
      </c>
      <c r="BU207" s="2024">
        <f t="shared" si="275"/>
        <v>0.14092222222222217</v>
      </c>
      <c r="BV207" s="2022">
        <f t="shared" si="275"/>
        <v>0.15957342216620174</v>
      </c>
      <c r="BW207" s="2024">
        <f t="shared" si="275"/>
        <v>0.17163855970829522</v>
      </c>
      <c r="BX207" s="2024">
        <f t="shared" si="275"/>
        <v>0.16020270270270265</v>
      </c>
      <c r="BY207" s="2024">
        <f t="shared" si="275"/>
        <v>0.1483083560399634</v>
      </c>
      <c r="BZ207" s="2024">
        <f t="shared" si="275"/>
        <v>0</v>
      </c>
      <c r="CA207" s="2022">
        <f t="shared" si="275"/>
        <v>0.15167858127392675</v>
      </c>
      <c r="CB207" s="2024">
        <f t="shared" si="275"/>
        <v>0.4433424773158896</v>
      </c>
      <c r="CC207" s="2024">
        <f t="shared" si="275"/>
        <v>0.44343026958182974</v>
      </c>
      <c r="CD207" s="2024">
        <f t="shared" si="275"/>
        <v>0.45915246832678047</v>
      </c>
      <c r="CE207" s="2024">
        <f t="shared" si="275"/>
        <v>0.46158925819942787</v>
      </c>
      <c r="CF207" s="2022">
        <f t="shared" si="275"/>
        <v>0.43589440190264162</v>
      </c>
      <c r="CG207" s="2025">
        <f t="shared" si="275"/>
        <v>0.29513577224715526</v>
      </c>
      <c r="CH207" s="2026">
        <f t="shared" si="275"/>
        <v>0.30195769889387702</v>
      </c>
      <c r="CI207" s="2026">
        <f t="shared" si="275"/>
        <v>0.30119856594996208</v>
      </c>
      <c r="CJ207" s="2027">
        <f t="shared" si="275"/>
        <v>0.28309827449521885</v>
      </c>
      <c r="CK207" s="2027">
        <f t="shared" si="275"/>
        <v>0.29381028181708735</v>
      </c>
      <c r="CL207" s="2028">
        <f t="shared" si="275"/>
        <v>0.37907745032959239</v>
      </c>
      <c r="CM207" s="2026">
        <f t="shared" si="275"/>
        <v>0.36792971537534669</v>
      </c>
      <c r="CN207" s="2026">
        <f t="shared" si="275"/>
        <v>0.37984496124031009</v>
      </c>
      <c r="CO207" s="2026">
        <f t="shared" si="275"/>
        <v>0.38407450914582975</v>
      </c>
      <c r="CP207" s="2022">
        <f>CP206/CK206-1</f>
        <v>0.389381785283474</v>
      </c>
      <c r="CQ207" s="2026">
        <f t="shared" si="275"/>
        <v>0.22101205409043634</v>
      </c>
      <c r="CR207" s="2028"/>
      <c r="CS207" s="2028"/>
      <c r="CT207" s="2028"/>
      <c r="CU207" s="2022">
        <f>CU206/CP206-1</f>
        <v>0.25</v>
      </c>
      <c r="CV207" s="2029"/>
      <c r="CW207" s="2028"/>
      <c r="CX207" s="2028"/>
      <c r="CY207" s="2030"/>
      <c r="CZ207" s="2027">
        <f>CZ206/CU206-1</f>
        <v>0.25</v>
      </c>
      <c r="DA207" s="2029"/>
      <c r="DB207" s="2028"/>
      <c r="DC207" s="2028"/>
      <c r="DD207" s="2028"/>
      <c r="DE207" s="2650">
        <f>DE206/CZ206-1</f>
        <v>0.25</v>
      </c>
      <c r="DF207" s="2029"/>
      <c r="DG207" s="2029"/>
      <c r="DH207" s="2028"/>
      <c r="DI207" s="2030"/>
      <c r="DJ207" s="2027">
        <f>DJ206/DE206-1</f>
        <v>0.25</v>
      </c>
      <c r="DK207" s="2029"/>
      <c r="DL207" s="2028"/>
      <c r="DM207" s="2028"/>
      <c r="DN207" s="2030"/>
      <c r="DO207" s="2027">
        <f>DO206/DJ206-1</f>
        <v>0.25</v>
      </c>
      <c r="DP207" s="2029"/>
      <c r="DQ207" s="2028"/>
      <c r="DR207" s="2028"/>
      <c r="DS207" s="2030"/>
      <c r="DT207" s="2027">
        <f>DT206/DO206-1</f>
        <v>0.25</v>
      </c>
      <c r="DU207" s="2029"/>
      <c r="DV207" s="2028"/>
      <c r="DW207" s="2028"/>
      <c r="DX207" s="2030"/>
      <c r="DY207" s="2027">
        <f>DY206/DT206-1</f>
        <v>0.25</v>
      </c>
      <c r="DZ207" s="2021"/>
      <c r="EA207" s="2021"/>
      <c r="EB207" s="2021"/>
    </row>
    <row r="208" spans="1:132" ht="4.5" customHeight="1" x14ac:dyDescent="0.2">
      <c r="A208" s="1842"/>
      <c r="B208" s="2031"/>
      <c r="C208" s="2032"/>
      <c r="D208" s="1850"/>
      <c r="E208" s="1850"/>
      <c r="F208" s="1850"/>
      <c r="G208" s="1850"/>
      <c r="H208" s="1850"/>
      <c r="I208" s="2006"/>
      <c r="J208" s="1850"/>
      <c r="K208" s="1850"/>
      <c r="L208" s="1850"/>
      <c r="M208" s="1850"/>
      <c r="N208" s="2006"/>
      <c r="O208" s="1850"/>
      <c r="P208" s="1850"/>
      <c r="Q208" s="1850"/>
      <c r="R208" s="1850"/>
      <c r="S208" s="2006"/>
      <c r="T208" s="1850"/>
      <c r="U208" s="1850"/>
      <c r="V208" s="1850"/>
      <c r="W208" s="1850"/>
      <c r="X208" s="2006"/>
      <c r="Y208" s="1850"/>
      <c r="Z208" s="1850"/>
      <c r="AA208" s="1850"/>
      <c r="AB208" s="1850"/>
      <c r="AC208" s="2006"/>
      <c r="AD208" s="1850"/>
      <c r="AE208" s="1850"/>
      <c r="AF208" s="1850"/>
      <c r="AG208" s="1850"/>
      <c r="AH208" s="2006"/>
      <c r="AI208" s="1850"/>
      <c r="AJ208" s="1850"/>
      <c r="AK208" s="1850"/>
      <c r="AL208" s="1850"/>
      <c r="AM208" s="2006"/>
      <c r="AN208" s="1850"/>
      <c r="AO208" s="1850"/>
      <c r="AP208" s="1850"/>
      <c r="AQ208" s="1850"/>
      <c r="AR208" s="2006"/>
      <c r="AS208" s="1850"/>
      <c r="AT208" s="1850"/>
      <c r="AU208" s="1850"/>
      <c r="AV208" s="1850"/>
      <c r="AW208" s="2006"/>
      <c r="AX208" s="1850"/>
      <c r="AY208" s="1850"/>
      <c r="AZ208" s="1850"/>
      <c r="BA208" s="1850"/>
      <c r="BB208" s="2006"/>
      <c r="BC208" s="1850"/>
      <c r="BD208" s="1850"/>
      <c r="BE208" s="1850"/>
      <c r="BF208" s="1850"/>
      <c r="BG208" s="2006"/>
      <c r="BH208" s="1850"/>
      <c r="BI208" s="1850"/>
      <c r="BJ208" s="1850"/>
      <c r="BK208" s="1850"/>
      <c r="BL208" s="2006"/>
      <c r="BM208" s="1902"/>
      <c r="BN208" s="1902"/>
      <c r="BO208" s="1902"/>
      <c r="BP208" s="1902"/>
      <c r="BQ208" s="2006"/>
      <c r="BR208" s="1902"/>
      <c r="BS208" s="1902"/>
      <c r="BT208" s="1902"/>
      <c r="BU208" s="1902"/>
      <c r="BV208" s="2006"/>
      <c r="BW208" s="1902"/>
      <c r="BX208" s="1902"/>
      <c r="BY208" s="1902"/>
      <c r="BZ208" s="1902"/>
      <c r="CA208" s="2006"/>
      <c r="CB208" s="1902"/>
      <c r="CC208" s="1902"/>
      <c r="CD208" s="1902"/>
      <c r="CE208" s="1902"/>
      <c r="CF208" s="2006"/>
      <c r="CG208" s="2009"/>
      <c r="CH208" s="1902"/>
      <c r="CI208" s="1902"/>
      <c r="CJ208" s="2008"/>
      <c r="CK208" s="2008"/>
      <c r="CL208" s="1902"/>
      <c r="CM208" s="1902"/>
      <c r="CN208" s="1902"/>
      <c r="CO208" s="1902"/>
      <c r="CP208" s="2006"/>
      <c r="CQ208" s="1902"/>
      <c r="CR208" s="1902"/>
      <c r="CS208" s="1902"/>
      <c r="CT208" s="1902"/>
      <c r="CU208" s="2006"/>
      <c r="CV208" s="2009"/>
      <c r="CW208" s="1902"/>
      <c r="CX208" s="1902"/>
      <c r="CY208" s="2008"/>
      <c r="CZ208" s="2008"/>
      <c r="DA208" s="2009"/>
      <c r="DB208" s="1902"/>
      <c r="DC208" s="1902"/>
      <c r="DD208" s="1902"/>
      <c r="DE208" s="2659"/>
      <c r="DF208" s="2009"/>
      <c r="DG208" s="2009"/>
      <c r="DH208" s="1902"/>
      <c r="DI208" s="2008"/>
      <c r="DJ208" s="2008"/>
      <c r="DK208" s="2009"/>
      <c r="DL208" s="1902"/>
      <c r="DM208" s="1902"/>
      <c r="DN208" s="2008"/>
      <c r="DO208" s="2008"/>
      <c r="DP208" s="2009"/>
      <c r="DQ208" s="1902"/>
      <c r="DR208" s="1902"/>
      <c r="DS208" s="2008"/>
      <c r="DT208" s="2008"/>
      <c r="DU208" s="2009"/>
      <c r="DV208" s="1902"/>
      <c r="DW208" s="1902"/>
      <c r="DX208" s="2008"/>
      <c r="DY208" s="2008"/>
      <c r="DZ208" s="1848"/>
      <c r="EA208" s="1848"/>
      <c r="EB208" s="1848"/>
    </row>
    <row r="209" spans="1:132" x14ac:dyDescent="0.2">
      <c r="A209" s="1842"/>
      <c r="B209" s="2031" t="s">
        <v>435</v>
      </c>
      <c r="C209" s="2032"/>
      <c r="D209" s="1850"/>
      <c r="E209" s="1850"/>
      <c r="F209" s="1850"/>
      <c r="G209" s="1850"/>
      <c r="H209" s="1850"/>
      <c r="I209" s="2033">
        <f>-I204/'BS and CFS'!I8</f>
        <v>0.22978133172904194</v>
      </c>
      <c r="J209" s="1850"/>
      <c r="K209" s="1850"/>
      <c r="L209" s="1850"/>
      <c r="M209" s="1850"/>
      <c r="N209" s="2033">
        <f>-N204/'BS and CFS'!N8</f>
        <v>1.1391417425227566</v>
      </c>
      <c r="O209" s="1850"/>
      <c r="P209" s="1850"/>
      <c r="Q209" s="1850"/>
      <c r="R209" s="1850"/>
      <c r="S209" s="2033">
        <f>-S204/'BS and CFS'!S8</f>
        <v>0.26657997399219768</v>
      </c>
      <c r="T209" s="1850"/>
      <c r="U209" s="1850"/>
      <c r="V209" s="1850"/>
      <c r="W209" s="1850"/>
      <c r="X209" s="2033">
        <f>-X204/'BS and CFS'!X8</f>
        <v>0.16485592820028341</v>
      </c>
      <c r="Y209" s="1850"/>
      <c r="Z209" s="1850"/>
      <c r="AA209" s="1850"/>
      <c r="AB209" s="1850"/>
      <c r="AC209" s="2033">
        <f>-AC204/'BS and CFS'!AC8</f>
        <v>0.14048257372654155</v>
      </c>
      <c r="AD209" s="1850"/>
      <c r="AE209" s="1850"/>
      <c r="AF209" s="1850"/>
      <c r="AG209" s="1850"/>
      <c r="AH209" s="2033">
        <f>-AH204/'BS and CFS'!AH8</f>
        <v>0.25459825750242016</v>
      </c>
      <c r="AI209" s="1850"/>
      <c r="AJ209" s="1850"/>
      <c r="AK209" s="1850"/>
      <c r="AL209" s="1850"/>
      <c r="AM209" s="2033">
        <f>-AM204/'BS and CFS'!AM8</f>
        <v>0.14638571029863243</v>
      </c>
      <c r="AN209" s="1850"/>
      <c r="AO209" s="1850"/>
      <c r="AP209" s="1850"/>
      <c r="AQ209" s="1850"/>
      <c r="AR209" s="2033">
        <f>-AR204/'BS and CFS'!AR8</f>
        <v>0.12415909359140802</v>
      </c>
      <c r="AS209" s="1850"/>
      <c r="AT209" s="1850"/>
      <c r="AU209" s="1850"/>
      <c r="AV209" s="1850"/>
      <c r="AW209" s="2033">
        <f>-AW204/'BS and CFS'!AW8</f>
        <v>0.13038746190683501</v>
      </c>
      <c r="AX209" s="1850"/>
      <c r="AY209" s="1850"/>
      <c r="AZ209" s="1850"/>
      <c r="BA209" s="1850"/>
      <c r="BB209" s="2033">
        <f>-BB204/'BS and CFS'!BB8</f>
        <v>0.10745488691108025</v>
      </c>
      <c r="BC209" s="1850"/>
      <c r="BD209" s="1850"/>
      <c r="BE209" s="1850"/>
      <c r="BF209" s="1850"/>
      <c r="BG209" s="2033">
        <f>-BG204/'BS and CFS'!BG8</f>
        <v>0.10292935933961575</v>
      </c>
      <c r="BH209" s="1850"/>
      <c r="BI209" s="1850"/>
      <c r="BJ209" s="1850"/>
      <c r="BK209" s="1850"/>
      <c r="BL209" s="2033">
        <f>-BL204/'BS and CFS'!BL8</f>
        <v>0.12226014410314751</v>
      </c>
      <c r="BM209" s="2034">
        <f>-BM204/'BS and CFS'!BM8</f>
        <v>0.11476285905143625</v>
      </c>
      <c r="BN209" s="2034">
        <f>-BN204/'BS and CFS'!BN8</f>
        <v>0.11125451729478511</v>
      </c>
      <c r="BO209" s="2034">
        <f>-BO204/'BS and CFS'!BO8</f>
        <v>0.13369565217391335</v>
      </c>
      <c r="BP209" s="2034">
        <f>-BP204/'BS and CFS'!BP8</f>
        <v>0.11807304785894182</v>
      </c>
      <c r="BQ209" s="2033">
        <f>-BQ204/'BS and CFS'!BQ8</f>
        <v>0.11923663646835404</v>
      </c>
      <c r="BR209" s="2034">
        <f>-BR204/'BS and CFS'!BR8</f>
        <v>0.14856446370530882</v>
      </c>
      <c r="BS209" s="2034">
        <f>-BS204/'BS and CFS'!BS8</f>
        <v>0.12521150592216623</v>
      </c>
      <c r="BT209" s="2034">
        <f>-BT204/'BS and CFS'!BT8</f>
        <v>0.10780377949671983</v>
      </c>
      <c r="BU209" s="426">
        <f>-BU204/'BS and CFS'!BU8</f>
        <v>0.11614970459310064</v>
      </c>
      <c r="BV209" s="2033">
        <f>-BV204/'BS and CFS'!BV8</f>
        <v>0.11878991232817442</v>
      </c>
      <c r="BW209" s="426">
        <f>-BW204/'BS and CFS'!BW8</f>
        <v>0.15488636363636363</v>
      </c>
      <c r="BX209" s="426">
        <f>-BX204/'BS and CFS'!BX8</f>
        <v>0.14372810519819501</v>
      </c>
      <c r="BY209" s="426">
        <f>-BY204/'BS and CFS'!BY8</f>
        <v>0.14636543857390855</v>
      </c>
      <c r="BZ209" s="426">
        <f>-BZ204/'BS and CFS'!BZ8</f>
        <v>0.11635365853658536</v>
      </c>
      <c r="CA209" s="2033">
        <f>-CA204/'BS and CFS'!CA8</f>
        <v>0.13989485981308411</v>
      </c>
      <c r="CB209" s="426">
        <f>-CB204/'BS and CFS'!CB8</f>
        <v>0.2401685393258427</v>
      </c>
      <c r="CC209" s="426">
        <f>-CC204/'BS and CFS'!CC8</f>
        <v>0.20884520884520885</v>
      </c>
      <c r="CD209" s="426">
        <f>-CD204/'BS and CFS'!CD8</f>
        <v>0.19261822376009227</v>
      </c>
      <c r="CE209" s="426">
        <f>-CE204/'BS and CFS'!CE8</f>
        <v>0.15604436924233858</v>
      </c>
      <c r="CF209" s="2033">
        <f>-CF204/'BS and CFS'!CF8</f>
        <v>0.19497801434853074</v>
      </c>
      <c r="CG209" s="1638">
        <f>-CG204/'BS and CFS'!CG8</f>
        <v>0.27225806451612905</v>
      </c>
      <c r="CH209" s="1639">
        <f>-CH204/'BS and CFS'!CH8</f>
        <v>0.21649057385539655</v>
      </c>
      <c r="CI209" s="1639">
        <f>-CI204/'BS and CFS'!CI8</f>
        <v>0.20577052113621147</v>
      </c>
      <c r="CJ209" s="1640">
        <f>-CJ204/'BS and CFS'!CJ8</f>
        <v>0.17891939769707707</v>
      </c>
      <c r="CK209" s="2035">
        <f>-CK204/'BS and CFS'!CK8</f>
        <v>0.19628851333352954</v>
      </c>
      <c r="CL209" s="426">
        <f>-CL204/'BS and CFS'!CL8</f>
        <v>0.28974895397489542</v>
      </c>
      <c r="CM209" s="1639">
        <f>-CM204/'BS and CFS'!CM8</f>
        <v>0.24614286988317147</v>
      </c>
      <c r="CN209" s="1639">
        <f>-CN204/'BS and CFS'!CN8</f>
        <v>0.22877984084880612</v>
      </c>
      <c r="CO209" s="1639">
        <f>-CO204/'BS and CFS'!CO8</f>
        <v>0.21199177345356721</v>
      </c>
      <c r="CP209" s="2033">
        <f>-CP204/'BS and CFS'!CP8</f>
        <v>0.24121022889685337</v>
      </c>
      <c r="CQ209" s="1639">
        <f>-CQ204/'BS and CFS'!CQ8</f>
        <v>0.28786536758193093</v>
      </c>
      <c r="CR209" s="426">
        <f ca="1">-CR204/'BS and CFS'!CR8</f>
        <v>0.25935527390094448</v>
      </c>
      <c r="CS209" s="426">
        <f ca="1">-CS204/'BS and CFS'!CS8</f>
        <v>0.33942990784441873</v>
      </c>
      <c r="CT209" s="426">
        <f ca="1">-CT204/'BS and CFS'!CT8</f>
        <v>0.24169053497676429</v>
      </c>
      <c r="CU209" s="2033">
        <f ca="1">-CU204/'BS and CFS'!CU8</f>
        <v>0.27760754104681123</v>
      </c>
      <c r="CV209" s="1638">
        <f>-CV204/'BS and CFS'!CV8</f>
        <v>0.32488002917690417</v>
      </c>
      <c r="CW209" s="1639">
        <f>-CW204/'BS and CFS'!CW8</f>
        <v>0.30802789652122642</v>
      </c>
      <c r="CX209" s="1639">
        <f>-CX204/'BS and CFS'!CX8</f>
        <v>0.31218214339414596</v>
      </c>
      <c r="CY209" s="1640">
        <f>-CY204/'BS and CFS'!CY8</f>
        <v>0.25763034731487661</v>
      </c>
      <c r="CZ209" s="2035">
        <f>-CZ204/'BS and CFS'!CZ8</f>
        <v>0.29852434117913718</v>
      </c>
      <c r="DA209" s="1638">
        <f>-DA204/'BS and CFS'!DA8</f>
        <v>0.41149290727849824</v>
      </c>
      <c r="DB209" s="1639">
        <f>-DB204/'BS and CFS'!DB8</f>
        <v>0.50708324878246758</v>
      </c>
      <c r="DC209" s="1639">
        <f>-DC204/'BS and CFS'!DC8</f>
        <v>0.30412071877788371</v>
      </c>
      <c r="DD209" s="1639">
        <f>-DD204/'BS and CFS'!DD8</f>
        <v>0.27454600330211998</v>
      </c>
      <c r="DE209" s="2653">
        <f>-DE204/'BS and CFS'!DE8</f>
        <v>0.35304142541772415</v>
      </c>
      <c r="DF209" s="1638">
        <f>-DF204/'BS and CFS'!DF8</f>
        <v>0.58724137117880215</v>
      </c>
      <c r="DG209" s="1638">
        <f>-DG204/'BS and CFS'!DG8</f>
        <v>0.50857530337474377</v>
      </c>
      <c r="DH209" s="1639">
        <f>-DH204/'BS and CFS'!DH8</f>
        <v>0.43303763304239123</v>
      </c>
      <c r="DI209" s="1640">
        <f>-DI204/'BS and CFS'!DI8</f>
        <v>0.16928912639472854</v>
      </c>
      <c r="DJ209" s="2035">
        <f>-DJ204/'BS and CFS'!DJ8</f>
        <v>0.33685088732565494</v>
      </c>
      <c r="DK209" s="1638">
        <f ca="1">-DK204/'BS and CFS'!DK8</f>
        <v>0.54532993574202238</v>
      </c>
      <c r="DL209" s="1639">
        <f ca="1">-DL204/'BS and CFS'!DL8</f>
        <v>0.54203369275381275</v>
      </c>
      <c r="DM209" s="1639">
        <f ca="1">-DM204/'BS and CFS'!DM8</f>
        <v>0.48603517785045208</v>
      </c>
      <c r="DN209" s="1640">
        <f ca="1">-DN204/'BS and CFS'!DN8</f>
        <v>0.39236684538898592</v>
      </c>
      <c r="DO209" s="2035">
        <f ca="1">-DO204/'BS and CFS'!DO8</f>
        <v>0.48281448496580642</v>
      </c>
      <c r="DP209" s="1638">
        <f ca="1">-DP204/'BS and CFS'!DP8</f>
        <v>0.73805977883402818</v>
      </c>
      <c r="DQ209" s="1639">
        <f ca="1">-DQ204/'BS and CFS'!DQ8</f>
        <v>0.63385527037739176</v>
      </c>
      <c r="DR209" s="1639">
        <f ca="1">-DR204/'BS and CFS'!DR8</f>
        <v>0.58108028737116857</v>
      </c>
      <c r="DS209" s="1640">
        <f ca="1">-DS204/'BS and CFS'!DS8</f>
        <v>0.4690574632177319</v>
      </c>
      <c r="DT209" s="2035">
        <f ca="1">-DT204/'BS and CFS'!DT8</f>
        <v>0.5894993760331223</v>
      </c>
      <c r="DU209" s="1638">
        <f ca="1">-DU204/'BS and CFS'!DU8</f>
        <v>0.86343939010149517</v>
      </c>
      <c r="DV209" s="1639">
        <f ca="1">-DV204/'BS and CFS'!DV8</f>
        <v>0.74162799916862887</v>
      </c>
      <c r="DW209" s="1639">
        <f ca="1">-DW204/'BS and CFS'!DW8</f>
        <v>0.67929574755896627</v>
      </c>
      <c r="DX209" s="1640">
        <f ca="1">-DX204/'BS and CFS'!DX8</f>
        <v>0.55432491027030806</v>
      </c>
      <c r="DY209" s="2035">
        <f ca="1">-DY204/'BS and CFS'!DY8</f>
        <v>0.69172404940089205</v>
      </c>
      <c r="DZ209" s="1848"/>
      <c r="EA209" s="1848"/>
      <c r="EB209" s="1848"/>
    </row>
    <row r="210" spans="1:132" x14ac:dyDescent="0.2">
      <c r="A210" s="1842"/>
      <c r="B210" s="2031" t="s">
        <v>436</v>
      </c>
      <c r="C210" s="2032"/>
      <c r="D210" s="1850"/>
      <c r="E210" s="1850"/>
      <c r="F210" s="1850"/>
      <c r="G210" s="1850"/>
      <c r="H210" s="1850"/>
      <c r="I210" s="2033">
        <f>-I197/'BS and CFS'!I8</f>
        <v>4.3115333517158419E-2</v>
      </c>
      <c r="J210" s="1850"/>
      <c r="K210" s="1850"/>
      <c r="L210" s="1850"/>
      <c r="M210" s="1850"/>
      <c r="N210" s="2033">
        <f>-N197/'BS and CFS'!N8</f>
        <v>0</v>
      </c>
      <c r="O210" s="1850"/>
      <c r="P210" s="1850"/>
      <c r="Q210" s="1850"/>
      <c r="R210" s="1850"/>
      <c r="S210" s="2033">
        <f>-S197/'BS and CFS'!S8</f>
        <v>0</v>
      </c>
      <c r="T210" s="1850"/>
      <c r="U210" s="1850"/>
      <c r="V210" s="1850"/>
      <c r="W210" s="1850"/>
      <c r="X210" s="2033">
        <f>-X197/'BS and CFS'!X8</f>
        <v>0</v>
      </c>
      <c r="Y210" s="1850"/>
      <c r="Z210" s="1850"/>
      <c r="AA210" s="1850"/>
      <c r="AB210" s="1850"/>
      <c r="AC210" s="2033">
        <f>-AC197/'BS and CFS'!AC8</f>
        <v>0.21876675603217158</v>
      </c>
      <c r="AD210" s="1850"/>
      <c r="AE210" s="1850"/>
      <c r="AF210" s="1850"/>
      <c r="AG210" s="1850"/>
      <c r="AH210" s="2033">
        <f>-AH197/'BS and CFS'!AH8</f>
        <v>0.31219748305905132</v>
      </c>
      <c r="AI210" s="1850"/>
      <c r="AJ210" s="1850"/>
      <c r="AK210" s="1850"/>
      <c r="AL210" s="1850"/>
      <c r="AM210" s="2033">
        <f>-AM197/'BS and CFS'!AM8</f>
        <v>0</v>
      </c>
      <c r="AN210" s="1850"/>
      <c r="AO210" s="1850"/>
      <c r="AP210" s="1850"/>
      <c r="AQ210" s="1850"/>
      <c r="AR210" s="2033">
        <f>-AR197/'BS and CFS'!AR8</f>
        <v>0</v>
      </c>
      <c r="AS210" s="1850"/>
      <c r="AT210" s="1850"/>
      <c r="AU210" s="1850"/>
      <c r="AV210" s="1850"/>
      <c r="AW210" s="2033">
        <f>-AW197/'BS and CFS'!AW8</f>
        <v>0</v>
      </c>
      <c r="AX210" s="1850"/>
      <c r="AY210" s="1850"/>
      <c r="AZ210" s="1850"/>
      <c r="BA210" s="1850"/>
      <c r="BB210" s="2033">
        <f>-BB197/'BS and CFS'!BB8</f>
        <v>0</v>
      </c>
      <c r="BC210" s="1850"/>
      <c r="BD210" s="1850"/>
      <c r="BE210" s="1850"/>
      <c r="BF210" s="1850"/>
      <c r="BG210" s="2033">
        <f>-BG197/'BS and CFS'!BG8</f>
        <v>0</v>
      </c>
      <c r="BH210" s="1850"/>
      <c r="BI210" s="1850"/>
      <c r="BJ210" s="1850"/>
      <c r="BK210" s="1850"/>
      <c r="BL210" s="2033">
        <f>-BL197/'BS and CFS'!BL8</f>
        <v>2.036556693211983</v>
      </c>
      <c r="BM210" s="2034">
        <f>-BM197/'BS and CFS'!BM8</f>
        <v>0</v>
      </c>
      <c r="BN210" s="2034">
        <f>-BN197/'BS and CFS'!BN8</f>
        <v>2.9685080020650321E-2</v>
      </c>
      <c r="BO210" s="2034">
        <f>-BO197/'BS and CFS'!BO8</f>
        <v>0</v>
      </c>
      <c r="BP210" s="2034">
        <f>-BP197/'BS and CFS'!BP8</f>
        <v>0</v>
      </c>
      <c r="BQ210" s="2033">
        <f>-BQ197/'BS and CFS'!BQ8</f>
        <v>1.0273652750537033E-2</v>
      </c>
      <c r="BR210" s="2034">
        <f>-BR197/'BS and CFS'!BR8</f>
        <v>0</v>
      </c>
      <c r="BS210" s="2034">
        <f>-BS197/'BS and CFS'!BS8</f>
        <v>0</v>
      </c>
      <c r="BT210" s="2034">
        <f>-BT197/'BS and CFS'!BT8</f>
        <v>1.5068050523842156</v>
      </c>
      <c r="BU210" s="2034">
        <f>-BU197/'BS and CFS'!BU8</f>
        <v>0.89393939393939259</v>
      </c>
      <c r="BV210" s="2033">
        <f>-BV197/'BS and CFS'!BV8</f>
        <v>0.67025652126853763</v>
      </c>
      <c r="BW210" s="2034">
        <f>-BW197/'BS and CFS'!BW8</f>
        <v>1.1519480519480521</v>
      </c>
      <c r="BX210" s="2034">
        <f>-BX197/'BS and CFS'!BX8</f>
        <v>0.74665042630937883</v>
      </c>
      <c r="BY210" s="2034">
        <f>-BY197/'BS and CFS'!BY8</f>
        <v>0</v>
      </c>
      <c r="BZ210" s="2034">
        <f>-BZ197/'BS and CFS'!BZ8</f>
        <v>0</v>
      </c>
      <c r="CA210" s="2033">
        <f>-CA197/'BS and CFS'!CA8</f>
        <v>0.43808411214953269</v>
      </c>
      <c r="CB210" s="2034">
        <f>-CB197/'BS and CFS'!CB8</f>
        <v>0.6558988764044944</v>
      </c>
      <c r="CC210" s="2034">
        <f>-CC197/'BS and CFS'!CC8</f>
        <v>0.61916461916461918</v>
      </c>
      <c r="CD210" s="2034">
        <f>-CD197/'BS and CFS'!CD8</f>
        <v>1.8246828143021914</v>
      </c>
      <c r="CE210" s="2034">
        <f>-CE197/'BS and CFS'!CE8</f>
        <v>0.42113179169016679</v>
      </c>
      <c r="CF210" s="2033">
        <f>-CF197/'BS and CFS'!CF8</f>
        <v>0.86814394816014939</v>
      </c>
      <c r="CG210" s="2036">
        <f>-CG197/'BS and CFS'!CG8</f>
        <v>1.0451612903225806</v>
      </c>
      <c r="CH210" s="2037">
        <f>-CH197/'BS and CFS'!CH8</f>
        <v>1.2305779987569909</v>
      </c>
      <c r="CI210" s="2037">
        <f>-CI197/'BS and CFS'!CI8</f>
        <v>1.9911031586272059</v>
      </c>
      <c r="CJ210" s="2035">
        <f>-CJ197/'BS and CFS'!CJ8</f>
        <v>0.29140832595217009</v>
      </c>
      <c r="CK210" s="2035">
        <f>-CK197/'BS and CFS'!CK8</f>
        <v>1.0252463965430434</v>
      </c>
      <c r="CL210" s="2034">
        <f>-CL197/'BS and CFS'!CL8</f>
        <v>0.41108786610878661</v>
      </c>
      <c r="CM210" s="2037">
        <f>-CM197/'BS and CFS'!CM8</f>
        <v>0.31659680727726769</v>
      </c>
      <c r="CN210" s="2037">
        <f>-CN197/'BS and CFS'!CN8</f>
        <v>1.2632625994694948</v>
      </c>
      <c r="CO210" s="2037">
        <f>-CO197/'BS and CFS'!CO8</f>
        <v>1.347887992406263</v>
      </c>
      <c r="CP210" s="2033">
        <f>-CP197/'BS and CFS'!CP8</f>
        <v>0.87424965368631635</v>
      </c>
      <c r="CQ210" s="2037">
        <f>-CQ197/'BS and CFS'!CQ8</f>
        <v>0.70947741364038974</v>
      </c>
      <c r="CR210" s="2034">
        <f>-CR197/'BS and CFS'!CR8</f>
        <v>0.96308186195826651</v>
      </c>
      <c r="CS210" s="2034">
        <f>-CS197/'BS and CFS'!CS8</f>
        <v>0.84388185654008441</v>
      </c>
      <c r="CT210" s="2034">
        <f>-CT197/'BS and CFS'!CT8</f>
        <v>0.90840272520817567</v>
      </c>
      <c r="CU210" s="2033">
        <f>-CU197/'BS and CFS'!CU8</f>
        <v>0.86154177433247203</v>
      </c>
      <c r="CV210" s="2036">
        <f>-CV197/'BS and CFS'!CV8</f>
        <v>1.6437346437346438</v>
      </c>
      <c r="CW210" s="2037">
        <f>-CW197/'BS and CFS'!CW8</f>
        <v>0.72877358490566035</v>
      </c>
      <c r="CX210" s="2037">
        <f>-CX197/'BS and CFS'!CX8</f>
        <v>0.75140336808340014</v>
      </c>
      <c r="CY210" s="2035">
        <f>-CY197/'BS and CFS'!CY8</f>
        <v>0.75316877918612413</v>
      </c>
      <c r="CZ210" s="2035">
        <f>-CZ197/'BS and CFS'!CZ8</f>
        <v>0.95438060698606608</v>
      </c>
      <c r="DA210" s="2036">
        <f>-DA197/'BS and CFS'!DA8</f>
        <v>1.8012205754141237</v>
      </c>
      <c r="DB210" s="2037">
        <f>-DB197/'BS and CFS'!DB8</f>
        <v>2.0497835497835499</v>
      </c>
      <c r="DC210" s="2037">
        <f>-DC197/'BS and CFS'!DC8</f>
        <v>2.5957170668397145E-2</v>
      </c>
      <c r="DD210" s="2037">
        <f>-DD197/'BS and CFS'!DD8</f>
        <v>1.2103104862331575</v>
      </c>
      <c r="DE210" s="2653">
        <f>-DE197/'BS and CFS'!DE8</f>
        <v>1.1404399323181049</v>
      </c>
      <c r="DF210" s="2036">
        <f>-DF197/'BS and CFS'!DF8</f>
        <v>3.7995802728226651</v>
      </c>
      <c r="DG210" s="2036">
        <f>-DG197/'BS and CFS'!DG8</f>
        <v>0.30965391621129323</v>
      </c>
      <c r="DH210" s="2037">
        <f>-DH197/'BS and CFS'!DH8</f>
        <v>0.31128404669260701</v>
      </c>
      <c r="DI210" s="2035">
        <f>-DI197/'BS and CFS'!DI8</f>
        <v>0</v>
      </c>
      <c r="DJ210" s="2035">
        <f>-DJ197/'BS and CFS'!DJ8</f>
        <v>0.65846293220594898</v>
      </c>
      <c r="DK210" s="2036">
        <f ca="1">-DK197/'BS and CFS'!DK8</f>
        <v>0</v>
      </c>
      <c r="DL210" s="2037">
        <f ca="1">-DL197/'BS and CFS'!DL8</f>
        <v>0</v>
      </c>
      <c r="DM210" s="2037">
        <f ca="1">-DM197/'BS and CFS'!DM8</f>
        <v>0</v>
      </c>
      <c r="DN210" s="2035">
        <f ca="1">-DN197/'BS and CFS'!DN8</f>
        <v>0</v>
      </c>
      <c r="DO210" s="2035">
        <f ca="1">-DO197/'BS and CFS'!DO8</f>
        <v>0</v>
      </c>
      <c r="DP210" s="2036">
        <f ca="1">-DP197/'BS and CFS'!DP8</f>
        <v>0</v>
      </c>
      <c r="DQ210" s="2037">
        <f ca="1">-DQ197/'BS and CFS'!DQ8</f>
        <v>0</v>
      </c>
      <c r="DR210" s="2037">
        <f ca="1">-DR197/'BS and CFS'!DR8</f>
        <v>0</v>
      </c>
      <c r="DS210" s="2035">
        <f ca="1">-DS197/'BS and CFS'!DS8</f>
        <v>0</v>
      </c>
      <c r="DT210" s="2035">
        <f ca="1">-DT197/'BS and CFS'!DT8</f>
        <v>0</v>
      </c>
      <c r="DU210" s="2036">
        <f ca="1">-DU197/'BS and CFS'!DU8</f>
        <v>0</v>
      </c>
      <c r="DV210" s="2037">
        <f ca="1">-DV197/'BS and CFS'!DV8</f>
        <v>0</v>
      </c>
      <c r="DW210" s="2037">
        <f ca="1">-DW197/'BS and CFS'!DW8</f>
        <v>0</v>
      </c>
      <c r="DX210" s="2035">
        <f ca="1">-DX197/'BS and CFS'!DX8</f>
        <v>0</v>
      </c>
      <c r="DY210" s="2035">
        <f ca="1">-DY197/'BS and CFS'!DY8</f>
        <v>0</v>
      </c>
      <c r="DZ210" s="1848"/>
      <c r="EA210" s="1848"/>
      <c r="EB210" s="1848"/>
    </row>
    <row r="211" spans="1:132" ht="12" thickBot="1" x14ac:dyDescent="0.25">
      <c r="A211" s="1842"/>
      <c r="B211" s="2038" t="s">
        <v>437</v>
      </c>
      <c r="C211" s="2039"/>
      <c r="D211" s="2040"/>
      <c r="E211" s="2040"/>
      <c r="F211" s="2040"/>
      <c r="G211" s="2040"/>
      <c r="H211" s="2040"/>
      <c r="I211" s="2041">
        <f>SUM(I209:I210)</f>
        <v>0.27289666524620038</v>
      </c>
      <c r="J211" s="2040"/>
      <c r="K211" s="2040"/>
      <c r="L211" s="2040"/>
      <c r="M211" s="2040"/>
      <c r="N211" s="2041">
        <f>SUM(N209:N210)</f>
        <v>1.1391417425227566</v>
      </c>
      <c r="O211" s="2040"/>
      <c r="P211" s="2040"/>
      <c r="Q211" s="2040"/>
      <c r="R211" s="2040"/>
      <c r="S211" s="2041">
        <f>SUM(S209:S210)</f>
        <v>0.26657997399219768</v>
      </c>
      <c r="T211" s="2040"/>
      <c r="U211" s="2040"/>
      <c r="V211" s="2040"/>
      <c r="W211" s="2040"/>
      <c r="X211" s="2041">
        <f>SUM(X209:X210)</f>
        <v>0.16485592820028341</v>
      </c>
      <c r="Y211" s="2040"/>
      <c r="Z211" s="2040"/>
      <c r="AA211" s="2040"/>
      <c r="AB211" s="2040"/>
      <c r="AC211" s="2041">
        <f>SUM(AC209:AC210)</f>
        <v>0.35924932975871315</v>
      </c>
      <c r="AD211" s="2040"/>
      <c r="AE211" s="2040"/>
      <c r="AF211" s="2040"/>
      <c r="AG211" s="2040"/>
      <c r="AH211" s="2041">
        <f>SUM(AH209:AH210)</f>
        <v>0.56679574056147142</v>
      </c>
      <c r="AI211" s="2040"/>
      <c r="AJ211" s="2040"/>
      <c r="AK211" s="2040"/>
      <c r="AL211" s="2040"/>
      <c r="AM211" s="2041">
        <f>SUM(AM209:AM210)</f>
        <v>0.14638571029863243</v>
      </c>
      <c r="AN211" s="2040"/>
      <c r="AO211" s="2040"/>
      <c r="AP211" s="2040"/>
      <c r="AQ211" s="2040"/>
      <c r="AR211" s="2041">
        <f>SUM(AR209:AR210)</f>
        <v>0.12415909359140802</v>
      </c>
      <c r="AS211" s="2040"/>
      <c r="AT211" s="2040"/>
      <c r="AU211" s="2040"/>
      <c r="AV211" s="2040"/>
      <c r="AW211" s="2041">
        <f>SUM(AW209:AW210)</f>
        <v>0.13038746190683501</v>
      </c>
      <c r="AX211" s="2040"/>
      <c r="AY211" s="2040"/>
      <c r="AZ211" s="2040"/>
      <c r="BA211" s="2040"/>
      <c r="BB211" s="2041">
        <f>SUM(BB209:BB210)</f>
        <v>0.10745488691108025</v>
      </c>
      <c r="BC211" s="2040"/>
      <c r="BD211" s="2040"/>
      <c r="BE211" s="2040"/>
      <c r="BF211" s="2040"/>
      <c r="BG211" s="2041">
        <f>SUM(BG209:BG210)</f>
        <v>0.10292935933961575</v>
      </c>
      <c r="BH211" s="2040"/>
      <c r="BI211" s="2040"/>
      <c r="BJ211" s="2040"/>
      <c r="BK211" s="2040"/>
      <c r="BL211" s="2041">
        <f t="shared" ref="BL211:DJ211" si="276">SUM(BL209:BL210)</f>
        <v>2.1588168373151304</v>
      </c>
      <c r="BM211" s="2042">
        <f t="shared" si="276"/>
        <v>0.11476285905143625</v>
      </c>
      <c r="BN211" s="2042">
        <f t="shared" si="276"/>
        <v>0.14093959731543543</v>
      </c>
      <c r="BO211" s="2042">
        <f t="shared" si="276"/>
        <v>0.13369565217391335</v>
      </c>
      <c r="BP211" s="2042">
        <f t="shared" si="276"/>
        <v>0.11807304785894182</v>
      </c>
      <c r="BQ211" s="2041">
        <f t="shared" si="276"/>
        <v>0.12951028921889107</v>
      </c>
      <c r="BR211" s="2042">
        <f t="shared" si="276"/>
        <v>0.14856446370530882</v>
      </c>
      <c r="BS211" s="2042">
        <f t="shared" si="276"/>
        <v>0.12521150592216623</v>
      </c>
      <c r="BT211" s="2042">
        <f t="shared" si="276"/>
        <v>1.6146088318809355</v>
      </c>
      <c r="BU211" s="2042">
        <f t="shared" si="276"/>
        <v>1.0100890985324933</v>
      </c>
      <c r="BV211" s="2041">
        <f t="shared" si="276"/>
        <v>0.789046433596712</v>
      </c>
      <c r="BW211" s="2042">
        <f t="shared" si="276"/>
        <v>1.3068344155844156</v>
      </c>
      <c r="BX211" s="2042">
        <f t="shared" si="276"/>
        <v>0.89037853150757384</v>
      </c>
      <c r="BY211" s="2042">
        <f t="shared" si="276"/>
        <v>0.14636543857390855</v>
      </c>
      <c r="BZ211" s="2042">
        <f t="shared" si="276"/>
        <v>0.11635365853658536</v>
      </c>
      <c r="CA211" s="2041">
        <f t="shared" si="276"/>
        <v>0.57797897196261683</v>
      </c>
      <c r="CB211" s="2042">
        <f t="shared" si="276"/>
        <v>0.8960674157303371</v>
      </c>
      <c r="CC211" s="2042">
        <f t="shared" si="276"/>
        <v>0.82800982800982803</v>
      </c>
      <c r="CD211" s="2042">
        <f t="shared" si="276"/>
        <v>2.0173010380622838</v>
      </c>
      <c r="CE211" s="2042">
        <f t="shared" si="276"/>
        <v>0.57717616093250534</v>
      </c>
      <c r="CF211" s="2041">
        <f t="shared" si="276"/>
        <v>1.0631219625086801</v>
      </c>
      <c r="CG211" s="2043">
        <f t="shared" si="276"/>
        <v>1.3174193548387096</v>
      </c>
      <c r="CH211" s="2042">
        <f t="shared" si="276"/>
        <v>1.4470685726123875</v>
      </c>
      <c r="CI211" s="2042">
        <f t="shared" si="276"/>
        <v>2.1968736797634172</v>
      </c>
      <c r="CJ211" s="2044">
        <f t="shared" si="276"/>
        <v>0.47032772364924713</v>
      </c>
      <c r="CK211" s="2044">
        <f t="shared" si="276"/>
        <v>1.2215349098765729</v>
      </c>
      <c r="CL211" s="2042">
        <f t="shared" si="276"/>
        <v>0.70083682008368209</v>
      </c>
      <c r="CM211" s="2042">
        <f t="shared" si="276"/>
        <v>0.56273967716043916</v>
      </c>
      <c r="CN211" s="2042">
        <f t="shared" si="276"/>
        <v>1.492042440318301</v>
      </c>
      <c r="CO211" s="2042">
        <f>SUM(CO209:CO210)</f>
        <v>1.5598797658598302</v>
      </c>
      <c r="CP211" s="2041">
        <f t="shared" si="276"/>
        <v>1.1154598825831696</v>
      </c>
      <c r="CQ211" s="2042">
        <f>SUM(CQ209:CQ210)</f>
        <v>0.99734278122232067</v>
      </c>
      <c r="CR211" s="2042">
        <f t="shared" ca="1" si="276"/>
        <v>1.222437135859211</v>
      </c>
      <c r="CS211" s="2042">
        <f t="shared" ca="1" si="276"/>
        <v>1.183311764384503</v>
      </c>
      <c r="CT211" s="2042">
        <f t="shared" ca="1" si="276"/>
        <v>1.1500932601849398</v>
      </c>
      <c r="CU211" s="2041">
        <f t="shared" ca="1" si="276"/>
        <v>1.1391493153792833</v>
      </c>
      <c r="CV211" s="2043">
        <f t="shared" si="276"/>
        <v>1.9686146729115479</v>
      </c>
      <c r="CW211" s="2042">
        <f t="shared" si="276"/>
        <v>1.0368014814268869</v>
      </c>
      <c r="CX211" s="2042">
        <f t="shared" si="276"/>
        <v>1.0635855114775461</v>
      </c>
      <c r="CY211" s="2044">
        <f t="shared" si="276"/>
        <v>1.0107991265010008</v>
      </c>
      <c r="CZ211" s="2044">
        <f t="shared" si="276"/>
        <v>1.2529049481652033</v>
      </c>
      <c r="DA211" s="2043">
        <f t="shared" si="276"/>
        <v>2.2127134826926218</v>
      </c>
      <c r="DB211" s="2042">
        <f t="shared" si="276"/>
        <v>2.5568667985660176</v>
      </c>
      <c r="DC211" s="2042">
        <f>SUM(DC209:DC210)</f>
        <v>0.33007788944628086</v>
      </c>
      <c r="DD211" s="2042">
        <f>SUM(DD209:DD210)</f>
        <v>1.4848564895352774</v>
      </c>
      <c r="DE211" s="2041">
        <f t="shared" si="276"/>
        <v>1.493481357735829</v>
      </c>
      <c r="DF211" s="2043">
        <f t="shared" si="276"/>
        <v>4.3868216440014676</v>
      </c>
      <c r="DG211" s="2043">
        <f t="shared" si="276"/>
        <v>0.818229219586037</v>
      </c>
      <c r="DH211" s="2042">
        <f t="shared" si="276"/>
        <v>0.7443216797349983</v>
      </c>
      <c r="DI211" s="2044">
        <f t="shared" si="276"/>
        <v>0.16928912639472854</v>
      </c>
      <c r="DJ211" s="2044">
        <f t="shared" si="276"/>
        <v>0.99531381953160392</v>
      </c>
      <c r="DK211" s="2043">
        <f t="shared" ref="DK211:DT211" ca="1" si="277">SUM(DK209:DK210)</f>
        <v>0.54532993574202238</v>
      </c>
      <c r="DL211" s="2042">
        <f t="shared" ca="1" si="277"/>
        <v>0.54203369275381275</v>
      </c>
      <c r="DM211" s="2042">
        <f t="shared" ca="1" si="277"/>
        <v>0.48603517785045208</v>
      </c>
      <c r="DN211" s="2044">
        <f t="shared" ca="1" si="277"/>
        <v>0.39236684538898592</v>
      </c>
      <c r="DO211" s="2044">
        <f t="shared" ca="1" si="277"/>
        <v>0.48281448496580642</v>
      </c>
      <c r="DP211" s="2043">
        <f t="shared" ca="1" si="277"/>
        <v>0.73805977883402818</v>
      </c>
      <c r="DQ211" s="2042">
        <f t="shared" ca="1" si="277"/>
        <v>0.63385527037739176</v>
      </c>
      <c r="DR211" s="2042">
        <f t="shared" ca="1" si="277"/>
        <v>0.58108028737116857</v>
      </c>
      <c r="DS211" s="2044">
        <f t="shared" ca="1" si="277"/>
        <v>0.4690574632177319</v>
      </c>
      <c r="DT211" s="2044">
        <f t="shared" ca="1" si="277"/>
        <v>0.5894993760331223</v>
      </c>
      <c r="DU211" s="2043">
        <f t="shared" ref="DU211:DY211" ca="1" si="278">SUM(DU209:DU210)</f>
        <v>0.86343939010149517</v>
      </c>
      <c r="DV211" s="2042">
        <f t="shared" ca="1" si="278"/>
        <v>0.74162799916862887</v>
      </c>
      <c r="DW211" s="2042">
        <f t="shared" ca="1" si="278"/>
        <v>0.67929574755896627</v>
      </c>
      <c r="DX211" s="2044">
        <f t="shared" ca="1" si="278"/>
        <v>0.55432491027030806</v>
      </c>
      <c r="DY211" s="2044">
        <f t="shared" ca="1" si="278"/>
        <v>0.69172404940089205</v>
      </c>
      <c r="DZ211" s="1848"/>
      <c r="EA211" s="1848"/>
      <c r="EB211" s="1848"/>
    </row>
    <row r="212" spans="1:132" x14ac:dyDescent="0.2">
      <c r="A212" s="1842"/>
      <c r="B212" s="1850"/>
      <c r="C212" s="1850"/>
      <c r="D212" s="1850"/>
      <c r="E212" s="1850"/>
      <c r="F212" s="1850"/>
      <c r="G212" s="1850"/>
      <c r="H212" s="1850"/>
      <c r="I212" s="2045"/>
      <c r="J212" s="1850"/>
      <c r="K212" s="1850"/>
      <c r="L212" s="1850"/>
      <c r="M212" s="1850"/>
      <c r="N212" s="2045"/>
      <c r="O212" s="1850"/>
      <c r="P212" s="1850"/>
      <c r="Q212" s="1850"/>
      <c r="R212" s="1850"/>
      <c r="S212" s="2045"/>
      <c r="T212" s="1850"/>
      <c r="U212" s="1850"/>
      <c r="V212" s="1850"/>
      <c r="W212" s="1850"/>
      <c r="X212" s="1930"/>
      <c r="Y212" s="1850"/>
      <c r="Z212" s="1850"/>
      <c r="AA212" s="1850"/>
      <c r="AB212" s="1850"/>
      <c r="AC212" s="1930"/>
      <c r="AD212" s="1850"/>
      <c r="AE212" s="1850"/>
      <c r="AF212" s="1850"/>
      <c r="AG212" s="1850"/>
      <c r="AH212" s="2046"/>
      <c r="AI212" s="1850"/>
      <c r="AJ212" s="1850"/>
      <c r="AK212" s="1850"/>
      <c r="AL212" s="1850"/>
      <c r="AM212" s="2046"/>
      <c r="AN212" s="1850"/>
      <c r="AO212" s="1850"/>
      <c r="AP212" s="1850"/>
      <c r="AQ212" s="1850"/>
      <c r="AR212" s="2047"/>
      <c r="AS212" s="1850"/>
      <c r="AT212" s="1850"/>
      <c r="AU212" s="1850"/>
      <c r="AV212" s="1850"/>
      <c r="AW212" s="2047"/>
      <c r="AX212" s="1850"/>
      <c r="AY212" s="1850"/>
      <c r="AZ212" s="1850"/>
      <c r="BA212" s="1850"/>
      <c r="BB212" s="2047"/>
      <c r="BC212" s="1850"/>
      <c r="BD212" s="1850"/>
      <c r="BE212" s="1850"/>
      <c r="BF212" s="1850"/>
      <c r="BG212" s="2048"/>
      <c r="BH212" s="1850"/>
      <c r="BI212" s="1850"/>
      <c r="BJ212" s="1850"/>
      <c r="BK212" s="1850"/>
      <c r="BL212" s="2048"/>
      <c r="BM212" s="1850"/>
      <c r="BN212" s="1850"/>
      <c r="BO212" s="1850"/>
      <c r="BP212" s="1850"/>
      <c r="BQ212" s="2048"/>
      <c r="BR212" s="1850"/>
      <c r="BS212" s="1850"/>
      <c r="BT212" s="1850"/>
      <c r="BU212" s="1850"/>
      <c r="BV212" s="2048"/>
      <c r="BW212" s="1850"/>
      <c r="BX212" s="1850"/>
      <c r="BY212" s="1850"/>
      <c r="BZ212" s="1850"/>
      <c r="CA212" s="2048"/>
      <c r="CB212" s="1850"/>
      <c r="CC212" s="1850"/>
      <c r="CD212" s="1850"/>
      <c r="CE212" s="1850"/>
      <c r="CF212" s="2048"/>
      <c r="CG212" s="1850"/>
      <c r="CH212" s="1850"/>
      <c r="CI212" s="1850"/>
      <c r="CJ212" s="1850"/>
      <c r="CK212" s="2049"/>
      <c r="CL212" s="2050"/>
      <c r="CM212" s="2050"/>
      <c r="CN212" s="2050"/>
      <c r="CO212" s="2050"/>
      <c r="CP212" s="2050"/>
      <c r="CQ212" s="2050"/>
      <c r="CR212" s="2050"/>
      <c r="CS212" s="2050"/>
      <c r="CT212" s="2050"/>
      <c r="CU212" s="2050"/>
      <c r="CV212" s="2050"/>
      <c r="CW212" s="2050"/>
      <c r="CX212" s="2050"/>
      <c r="CY212" s="2050"/>
      <c r="CZ212" s="2050"/>
      <c r="DA212" s="2050"/>
      <c r="DB212" s="2050"/>
      <c r="DC212" s="2050"/>
      <c r="DD212" s="2050"/>
      <c r="DE212" s="2050"/>
      <c r="DF212" s="2050"/>
      <c r="DG212" s="2050"/>
      <c r="DH212" s="2050"/>
      <c r="DI212" s="2050"/>
      <c r="DJ212" s="2050"/>
      <c r="DK212" s="2050"/>
      <c r="DL212" s="2050"/>
      <c r="DM212" s="2050"/>
      <c r="DN212" s="2050"/>
      <c r="DO212" s="2050"/>
      <c r="DP212" s="2050"/>
      <c r="DQ212" s="2050"/>
      <c r="DR212" s="2050"/>
      <c r="DS212" s="2050"/>
      <c r="DT212" s="2050"/>
      <c r="DU212" s="2050"/>
      <c r="DV212" s="2050"/>
      <c r="DW212" s="2050"/>
      <c r="DX212" s="2050"/>
      <c r="DY212" s="2050"/>
      <c r="DZ212" s="1848"/>
      <c r="EA212" s="1848"/>
      <c r="EB212" s="1848"/>
    </row>
    <row r="213" spans="1:132" ht="12" thickBot="1" x14ac:dyDescent="0.25">
      <c r="A213" s="1842"/>
      <c r="B213" s="1850"/>
      <c r="C213" s="1850"/>
      <c r="D213" s="1850"/>
      <c r="E213" s="1850"/>
      <c r="F213" s="1850"/>
      <c r="G213" s="1850"/>
      <c r="H213" s="1850"/>
      <c r="I213" s="2045"/>
      <c r="J213" s="1850"/>
      <c r="K213" s="1850"/>
      <c r="L213" s="1850"/>
      <c r="M213" s="1850"/>
      <c r="N213" s="2045"/>
      <c r="O213" s="1850"/>
      <c r="P213" s="1850"/>
      <c r="Q213" s="1850"/>
      <c r="R213" s="1850"/>
      <c r="S213" s="2045"/>
      <c r="T213" s="1850"/>
      <c r="U213" s="1850"/>
      <c r="V213" s="1850"/>
      <c r="W213" s="1850"/>
      <c r="X213" s="1930"/>
      <c r="Y213" s="1850"/>
      <c r="Z213" s="1850"/>
      <c r="AA213" s="1850"/>
      <c r="AB213" s="1850"/>
      <c r="AC213" s="1930"/>
      <c r="AD213" s="1850"/>
      <c r="AE213" s="1850"/>
      <c r="AF213" s="1850"/>
      <c r="AG213" s="1850"/>
      <c r="AH213" s="2046"/>
      <c r="AI213" s="1850"/>
      <c r="AJ213" s="1850"/>
      <c r="AK213" s="1850"/>
      <c r="AL213" s="1850"/>
      <c r="AM213" s="2046"/>
      <c r="AN213" s="1850"/>
      <c r="AO213" s="1850"/>
      <c r="AP213" s="1850"/>
      <c r="AQ213" s="1850"/>
      <c r="AR213" s="2047"/>
      <c r="AS213" s="1850"/>
      <c r="AT213" s="1850"/>
      <c r="AU213" s="1850"/>
      <c r="AV213" s="1850"/>
      <c r="AW213" s="2047"/>
      <c r="AX213" s="1850"/>
      <c r="AY213" s="1850"/>
      <c r="AZ213" s="1850"/>
      <c r="BA213" s="1850"/>
      <c r="BB213" s="2047"/>
      <c r="BC213" s="1850"/>
      <c r="BD213" s="1850"/>
      <c r="BE213" s="1850"/>
      <c r="BF213" s="1850"/>
      <c r="BG213" s="2048"/>
      <c r="BH213" s="1850"/>
      <c r="BI213" s="1850"/>
      <c r="BJ213" s="1850"/>
      <c r="BK213" s="1850"/>
      <c r="BL213" s="2048"/>
      <c r="BM213" s="1850"/>
      <c r="BN213" s="1850"/>
      <c r="BO213" s="1850"/>
      <c r="BP213" s="1850"/>
      <c r="BQ213" s="2048"/>
      <c r="BR213" s="1850"/>
      <c r="BS213" s="1850"/>
      <c r="BT213" s="1850"/>
      <c r="BU213" s="1850"/>
      <c r="BV213" s="2048"/>
      <c r="BW213" s="1850"/>
      <c r="BX213" s="1850"/>
      <c r="BY213" s="1850"/>
      <c r="BZ213" s="1850"/>
      <c r="CA213" s="2048"/>
      <c r="CB213" s="1850"/>
      <c r="CC213" s="1850"/>
      <c r="CD213" s="1850"/>
      <c r="CE213" s="1850"/>
      <c r="CF213" s="2048"/>
      <c r="CG213" s="1850"/>
      <c r="CH213" s="1850"/>
      <c r="CI213" s="1850"/>
      <c r="CJ213" s="1850"/>
      <c r="CK213" s="2050"/>
      <c r="CL213" s="2050"/>
      <c r="CM213" s="2050"/>
      <c r="CN213" s="2050"/>
      <c r="CO213" s="2050"/>
      <c r="CP213" s="2050"/>
      <c r="CQ213" s="2050"/>
      <c r="CR213" s="2050"/>
      <c r="CS213" s="2050"/>
      <c r="CT213" s="2050"/>
      <c r="CU213" s="2050"/>
      <c r="CV213" s="2050"/>
      <c r="CW213" s="2050"/>
      <c r="CX213" s="2050"/>
      <c r="CY213" s="2050"/>
      <c r="CZ213" s="2050"/>
      <c r="DA213" s="2050"/>
      <c r="DB213" s="2050"/>
      <c r="DC213" s="2050"/>
      <c r="DD213" s="2050"/>
      <c r="DE213" s="2050"/>
      <c r="DF213" s="2050"/>
      <c r="DG213" s="2050"/>
      <c r="DH213" s="2050"/>
      <c r="DI213" s="2050"/>
      <c r="DJ213" s="2050"/>
      <c r="DK213" s="2050"/>
      <c r="DL213" s="2050"/>
      <c r="DM213" s="2050"/>
      <c r="DN213" s="2050"/>
      <c r="DO213" s="2050"/>
      <c r="DP213" s="2050"/>
      <c r="DQ213" s="2050"/>
      <c r="DR213" s="2050"/>
      <c r="DS213" s="2050"/>
      <c r="DT213" s="2050"/>
      <c r="DU213" s="2050"/>
      <c r="DV213" s="2050"/>
      <c r="DW213" s="2050"/>
      <c r="DX213" s="2050"/>
      <c r="DY213" s="2050"/>
      <c r="DZ213" s="1848"/>
      <c r="EA213" s="1848"/>
      <c r="EB213" s="1848"/>
    </row>
    <row r="214" spans="1:132" ht="12" thickBot="1" x14ac:dyDescent="0.25">
      <c r="A214" s="1842"/>
      <c r="B214" s="427" t="s">
        <v>438</v>
      </c>
      <c r="C214" s="1981"/>
      <c r="D214" s="1981"/>
      <c r="E214" s="1981"/>
      <c r="F214" s="1981"/>
      <c r="G214" s="1981"/>
      <c r="H214" s="1981"/>
      <c r="I214" s="2051"/>
      <c r="J214" s="1981"/>
      <c r="K214" s="1981"/>
      <c r="L214" s="1981"/>
      <c r="M214" s="1981"/>
      <c r="N214" s="2051"/>
      <c r="O214" s="1981"/>
      <c r="P214" s="1981"/>
      <c r="Q214" s="1981"/>
      <c r="R214" s="1981"/>
      <c r="S214" s="2051"/>
      <c r="T214" s="1981"/>
      <c r="U214" s="1981"/>
      <c r="V214" s="1981"/>
      <c r="W214" s="1981"/>
      <c r="X214" s="2052"/>
      <c r="Y214" s="1981"/>
      <c r="Z214" s="1981"/>
      <c r="AA214" s="1981"/>
      <c r="AB214" s="1981"/>
      <c r="AC214" s="2052"/>
      <c r="AD214" s="1981"/>
      <c r="AE214" s="1981"/>
      <c r="AF214" s="1981"/>
      <c r="AG214" s="1981"/>
      <c r="AH214" s="2053"/>
      <c r="AI214" s="1981"/>
      <c r="AJ214" s="1981"/>
      <c r="AK214" s="1981"/>
      <c r="AL214" s="1981"/>
      <c r="AM214" s="2053"/>
      <c r="AN214" s="1981"/>
      <c r="AO214" s="1981"/>
      <c r="AP214" s="1981"/>
      <c r="AQ214" s="1981"/>
      <c r="AR214" s="2053"/>
      <c r="AS214" s="1981"/>
      <c r="AT214" s="1981"/>
      <c r="AU214" s="1981"/>
      <c r="AV214" s="1981"/>
      <c r="AW214" s="2054"/>
      <c r="AX214" s="1981"/>
      <c r="AY214" s="1981"/>
      <c r="AZ214" s="1981"/>
      <c r="BA214" s="1981"/>
      <c r="BB214" s="2054"/>
      <c r="BC214" s="1981"/>
      <c r="BD214" s="1981"/>
      <c r="BE214" s="1981"/>
      <c r="BF214" s="1981"/>
      <c r="BG214" s="2054"/>
      <c r="BH214" s="1981"/>
      <c r="BI214" s="1981"/>
      <c r="BJ214" s="1981"/>
      <c r="BK214" s="1981"/>
      <c r="BL214" s="2054"/>
      <c r="BM214" s="1981"/>
      <c r="BN214" s="1981"/>
      <c r="BO214" s="1981"/>
      <c r="BP214" s="1981"/>
      <c r="BQ214" s="2054"/>
      <c r="BR214" s="1981"/>
      <c r="BS214" s="1981"/>
      <c r="BT214" s="1981"/>
      <c r="BU214" s="1981"/>
      <c r="BV214" s="2054"/>
      <c r="BW214" s="1981"/>
      <c r="BX214" s="1981"/>
      <c r="BY214" s="1981"/>
      <c r="BZ214" s="1981"/>
      <c r="CA214" s="2054"/>
      <c r="CB214" s="1981"/>
      <c r="CC214" s="1981"/>
      <c r="CD214" s="1981"/>
      <c r="CE214" s="1981"/>
      <c r="CF214" s="2054"/>
      <c r="CG214" s="1981"/>
      <c r="CH214" s="1981"/>
      <c r="CI214" s="1981"/>
      <c r="CJ214" s="1981"/>
      <c r="CK214" s="2054"/>
      <c r="CL214" s="1981"/>
      <c r="CM214" s="1981"/>
      <c r="CN214" s="1981"/>
      <c r="CO214" s="1981"/>
      <c r="CP214" s="2054"/>
      <c r="CQ214" s="1981"/>
      <c r="CR214" s="1981"/>
      <c r="CS214" s="1981"/>
      <c r="CT214" s="1981"/>
      <c r="CU214" s="2054"/>
      <c r="CV214" s="1981"/>
      <c r="CW214" s="1981"/>
      <c r="CX214" s="1981"/>
      <c r="CY214" s="1981"/>
      <c r="CZ214" s="2054"/>
      <c r="DA214" s="1981"/>
      <c r="DB214" s="1981"/>
      <c r="DC214" s="1981"/>
      <c r="DD214" s="1981"/>
      <c r="DE214" s="2054"/>
      <c r="DF214" s="1981"/>
      <c r="DG214" s="1981"/>
      <c r="DH214" s="1981"/>
      <c r="DI214" s="1981"/>
      <c r="DJ214" s="2054"/>
      <c r="DK214" s="1981"/>
      <c r="DL214" s="1981"/>
      <c r="DM214" s="1981"/>
      <c r="DN214" s="1981"/>
      <c r="DO214" s="2054"/>
      <c r="DP214" s="1981"/>
      <c r="DQ214" s="1981"/>
      <c r="DR214" s="1981"/>
      <c r="DS214" s="1981"/>
      <c r="DT214" s="2054"/>
      <c r="DU214" s="1981"/>
      <c r="DV214" s="1981"/>
      <c r="DW214" s="1981"/>
      <c r="DX214" s="1981"/>
      <c r="DY214" s="2054"/>
      <c r="DZ214" s="1848"/>
      <c r="EA214" s="1848"/>
      <c r="EB214" s="1848"/>
    </row>
    <row r="215" spans="1:132" x14ac:dyDescent="0.2">
      <c r="A215" s="1842"/>
      <c r="B215" s="2055" t="s">
        <v>439</v>
      </c>
      <c r="C215" s="2056"/>
      <c r="D215" s="2057"/>
      <c r="E215" s="1850"/>
      <c r="F215" s="1850"/>
      <c r="G215" s="1850"/>
      <c r="H215" s="1850"/>
      <c r="I215" s="1850"/>
      <c r="J215" s="1850"/>
      <c r="K215" s="1850"/>
      <c r="L215" s="1850"/>
      <c r="M215" s="1850"/>
      <c r="N215" s="1851"/>
      <c r="O215" s="1850"/>
      <c r="P215" s="1850"/>
      <c r="Q215" s="1850"/>
      <c r="R215" s="1850"/>
      <c r="S215" s="1851"/>
      <c r="T215" s="1850"/>
      <c r="U215" s="1850"/>
      <c r="V215" s="1850"/>
      <c r="W215" s="1850"/>
      <c r="X215" s="1851"/>
      <c r="Y215" s="1850"/>
      <c r="Z215" s="1850"/>
      <c r="AA215" s="1850"/>
      <c r="AB215" s="1850"/>
      <c r="AC215" s="1851"/>
      <c r="AD215" s="1850"/>
      <c r="AE215" s="1850"/>
      <c r="AF215" s="1850"/>
      <c r="AG215" s="1850"/>
      <c r="AH215" s="2058"/>
      <c r="AI215" s="1850"/>
      <c r="AJ215" s="1850"/>
      <c r="AK215" s="1850"/>
      <c r="AL215" s="1850"/>
      <c r="AM215" s="2058"/>
      <c r="AN215" s="1850"/>
      <c r="AO215" s="1850"/>
      <c r="AP215" s="1850"/>
      <c r="AQ215" s="1850"/>
      <c r="AR215" s="1851"/>
      <c r="AS215" s="1850"/>
      <c r="AT215" s="1850"/>
      <c r="AU215" s="1850"/>
      <c r="AV215" s="1850"/>
      <c r="AW215" s="1851"/>
      <c r="AX215" s="1850"/>
      <c r="AY215" s="1850"/>
      <c r="AZ215" s="1850"/>
      <c r="BA215" s="1850"/>
      <c r="BB215" s="1851"/>
      <c r="BC215" s="1850"/>
      <c r="BD215" s="1850"/>
      <c r="BE215" s="1850"/>
      <c r="BF215" s="1850"/>
      <c r="BG215" s="1851"/>
      <c r="BH215" s="1850"/>
      <c r="BI215" s="1850"/>
      <c r="BJ215" s="1850"/>
      <c r="BK215" s="1850"/>
      <c r="BL215" s="1851"/>
      <c r="BM215" s="1850"/>
      <c r="BN215" s="1850"/>
      <c r="BO215" s="1850"/>
      <c r="BP215" s="1850"/>
      <c r="BQ215" s="1851"/>
      <c r="BR215" s="1850"/>
      <c r="BS215" s="1850"/>
      <c r="BT215" s="1850"/>
      <c r="BU215" s="1850"/>
      <c r="BV215" s="1851"/>
      <c r="BW215" s="1850"/>
      <c r="BX215" s="1850"/>
      <c r="BY215" s="1850"/>
      <c r="BZ215" s="1850"/>
      <c r="CA215" s="1851"/>
      <c r="CB215" s="1850"/>
      <c r="CC215" s="1850"/>
      <c r="CD215" s="1850"/>
      <c r="CE215" s="1850"/>
      <c r="CF215" s="1851"/>
      <c r="CG215" s="1850"/>
      <c r="CH215" s="1850"/>
      <c r="CI215" s="1850"/>
      <c r="CJ215" s="1850"/>
      <c r="CK215" s="1851"/>
      <c r="CL215" s="1850"/>
      <c r="CM215" s="1850"/>
      <c r="CN215" s="1850"/>
      <c r="CO215" s="1850"/>
      <c r="CP215" s="1851"/>
      <c r="CQ215" s="1850"/>
      <c r="CR215" s="1850"/>
      <c r="CS215" s="1850"/>
      <c r="CT215" s="1850"/>
      <c r="CU215" s="1851"/>
      <c r="CV215" s="1850"/>
      <c r="CW215" s="1850"/>
      <c r="CX215" s="1850"/>
      <c r="CY215" s="1850"/>
      <c r="CZ215" s="1851"/>
      <c r="DA215" s="1850"/>
      <c r="DB215" s="1850"/>
      <c r="DC215" s="1850"/>
      <c r="DD215" s="1850"/>
      <c r="DE215" s="1851"/>
      <c r="DF215" s="1850"/>
      <c r="DG215" s="1850"/>
      <c r="DH215" s="1850"/>
      <c r="DI215" s="1850"/>
      <c r="DJ215" s="1851"/>
      <c r="DK215" s="1850"/>
      <c r="DL215" s="1850"/>
      <c r="DM215" s="1850"/>
      <c r="DN215" s="1850"/>
      <c r="DO215" s="1851"/>
      <c r="DP215" s="1850"/>
      <c r="DQ215" s="1850"/>
      <c r="DR215" s="1850"/>
      <c r="DS215" s="1850"/>
      <c r="DT215" s="1851"/>
      <c r="DU215" s="1850"/>
      <c r="DV215" s="1850"/>
      <c r="DW215" s="1850"/>
      <c r="DX215" s="1850"/>
      <c r="DY215" s="1851"/>
      <c r="DZ215" s="1848"/>
      <c r="EA215" s="1848"/>
      <c r="EB215" s="1848"/>
    </row>
    <row r="216" spans="1:132" x14ac:dyDescent="0.2">
      <c r="A216" s="1853"/>
      <c r="B216" s="58" t="s">
        <v>440</v>
      </c>
      <c r="C216" s="59"/>
      <c r="D216" s="59"/>
      <c r="E216" s="59"/>
      <c r="F216" s="59"/>
      <c r="G216" s="59"/>
      <c r="H216" s="59"/>
      <c r="I216" s="59"/>
      <c r="J216" s="59"/>
      <c r="K216" s="59"/>
      <c r="L216" s="59"/>
      <c r="M216" s="59"/>
      <c r="N216" s="86">
        <f>'BS and CFS'!N192-('BS and CFS'!N137+N138)</f>
        <v>606.19999999999993</v>
      </c>
      <c r="O216" s="59"/>
      <c r="P216" s="59"/>
      <c r="Q216" s="59"/>
      <c r="R216" s="59"/>
      <c r="S216" s="86">
        <f>'BS and CFS'!S192-('BS and CFS'!S137+S138)</f>
        <v>880.59999999999991</v>
      </c>
      <c r="T216" s="59"/>
      <c r="U216" s="59"/>
      <c r="V216" s="59"/>
      <c r="W216" s="59"/>
      <c r="X216" s="86">
        <f>'BS and CFS'!X192-('BS and CFS'!X137+X138)</f>
        <v>796.8</v>
      </c>
      <c r="Y216" s="59"/>
      <c r="Z216" s="59"/>
      <c r="AA216" s="59"/>
      <c r="AB216" s="59"/>
      <c r="AC216" s="86">
        <f>'BS and CFS'!AC192-('BS and CFS'!AC137+AC138)</f>
        <v>810.7</v>
      </c>
      <c r="AD216" s="59"/>
      <c r="AE216" s="59"/>
      <c r="AF216" s="59"/>
      <c r="AG216" s="59"/>
      <c r="AH216" s="86">
        <f>'BS and CFS'!AH192-('BS and CFS'!AH137+AH138)</f>
        <v>836.3</v>
      </c>
      <c r="AI216" s="59"/>
      <c r="AJ216" s="59"/>
      <c r="AK216" s="59"/>
      <c r="AL216" s="59"/>
      <c r="AM216" s="86">
        <f>'BS and CFS'!AM192-('BS and CFS'!AM137+AM138)</f>
        <v>412.69999999999993</v>
      </c>
      <c r="AN216" s="59"/>
      <c r="AO216" s="59"/>
      <c r="AP216" s="59"/>
      <c r="AQ216" s="59"/>
      <c r="AR216" s="86">
        <f>'BS and CFS'!AR192-('BS and CFS'!AR137+AR138)</f>
        <v>233.09999999999991</v>
      </c>
      <c r="AS216" s="59"/>
      <c r="AT216" s="59"/>
      <c r="AU216" s="59"/>
      <c r="AV216" s="59"/>
      <c r="AW216" s="86">
        <f>'BS and CFS'!AW192-('BS and CFS'!AW137+AW138)</f>
        <v>2449.8000000000002</v>
      </c>
      <c r="AX216" s="59"/>
      <c r="AY216" s="59"/>
      <c r="AZ216" s="59"/>
      <c r="BA216" s="59"/>
      <c r="BB216" s="86">
        <f>'BS and CFS'!BB192-('BS and CFS'!BB137+BB138)</f>
        <v>1675.6999999999998</v>
      </c>
      <c r="BC216" s="59"/>
      <c r="BD216" s="59"/>
      <c r="BE216" s="59"/>
      <c r="BF216" s="59"/>
      <c r="BG216" s="86">
        <f>'BS and CFS'!BG192-('BS and CFS'!BG137+BG138)</f>
        <v>4526.7</v>
      </c>
      <c r="BH216" s="59"/>
      <c r="BI216" s="59"/>
      <c r="BJ216" s="59"/>
      <c r="BK216" s="59"/>
      <c r="BL216" s="86">
        <f>'BS and CFS'!BL192-('BS and CFS'!BL137+BL138)</f>
        <v>9397.8000000000011</v>
      </c>
      <c r="BM216" s="59">
        <f>'BS and CFS'!BM192-('BS and CFS'!BM137+BM138)</f>
        <v>8920</v>
      </c>
      <c r="BN216" s="59">
        <f>'BS and CFS'!BN192-('BS and CFS'!BN137+BN138)</f>
        <v>8759.8999999999978</v>
      </c>
      <c r="BO216" s="59">
        <f>'BS and CFS'!BO192-('BS and CFS'!BO137+BO138)</f>
        <v>8444.6</v>
      </c>
      <c r="BP216" s="59">
        <f>'BS and CFS'!BP192-('BS and CFS'!BP137+BP138)</f>
        <v>10402.199999999999</v>
      </c>
      <c r="BQ216" s="86">
        <f>'BS and CFS'!BQ192-('BS and CFS'!BQ137+BQ138)</f>
        <v>10402.199999999999</v>
      </c>
      <c r="BR216" s="59">
        <f>'BS and CFS'!BR192-('BS and CFS'!BR137+BR138)</f>
        <v>10130.199999999999</v>
      </c>
      <c r="BS216" s="59">
        <f>'BS and CFS'!BS192-('BS and CFS'!BS137+BS138)</f>
        <v>9811.5</v>
      </c>
      <c r="BT216" s="59">
        <f>'BS and CFS'!BT192-('BS and CFS'!BT137+BT138)</f>
        <v>10824.800000000001</v>
      </c>
      <c r="BU216" s="59">
        <f>'BS and CFS'!BU192-('BS and CFS'!BU137+BU138)</f>
        <v>10084</v>
      </c>
      <c r="BV216" s="86">
        <f>'BS and CFS'!BV192-('BS and CFS'!BV137+BV138)</f>
        <v>10084</v>
      </c>
      <c r="BW216" s="59">
        <f>'BS and CFS'!BW192-('BS and CFS'!BW137+BW138)</f>
        <v>10322</v>
      </c>
      <c r="BX216" s="59">
        <f>'BS and CFS'!BX192-('BS and CFS'!BX137+BX138)</f>
        <v>10849.999999999996</v>
      </c>
      <c r="BY216" s="59">
        <f>'BS and CFS'!BY192-('BS and CFS'!BY137+BY138)</f>
        <v>10157.999999999996</v>
      </c>
      <c r="BZ216" s="59">
        <f>'BS and CFS'!BZ192-('BS and CFS'!BZ137+BZ138)</f>
        <v>8625.9999999999964</v>
      </c>
      <c r="CA216" s="86">
        <f>'BS and CFS'!CA192-('BS and CFS'!CA137+CA138)</f>
        <v>8625.9999999999964</v>
      </c>
      <c r="CB216" s="59">
        <f>'BS and CFS'!CB192-('BS and CFS'!CB137+CB138)</f>
        <v>7607</v>
      </c>
      <c r="CC216" s="59">
        <f>'BS and CFS'!CC192-('BS and CFS'!CC137+CC138)</f>
        <v>8851</v>
      </c>
      <c r="CD216" s="59">
        <f>'BS and CFS'!CD192-('BS and CFS'!CD137+CD138)</f>
        <v>9056</v>
      </c>
      <c r="CE216" s="59">
        <f>'BS and CFS'!CE192-('BS and CFS'!CE137+CE138)</f>
        <v>8596</v>
      </c>
      <c r="CF216" s="86">
        <f>'BS and CFS'!CF192-('BS and CFS'!CF137+CF138)</f>
        <v>8596</v>
      </c>
      <c r="CG216" s="59">
        <f>'BS and CFS'!CG192-('BS and CFS'!CG137+CG138)</f>
        <v>6995</v>
      </c>
      <c r="CH216" s="59">
        <f>'BS and CFS'!CH192-('BS and CFS'!CH137+CH138)</f>
        <v>7585</v>
      </c>
      <c r="CI216" s="59">
        <f>'BS and CFS'!CI192-('BS and CFS'!CI137+CI138)</f>
        <v>8802</v>
      </c>
      <c r="CJ216" s="59">
        <f>'BS and CFS'!CJ192-('BS and CFS'!CJ137+CJ138)</f>
        <v>8448</v>
      </c>
      <c r="CK216" s="86">
        <f>'BS and CFS'!CK192-('BS and CFS'!CK137+CK138)</f>
        <v>8448</v>
      </c>
      <c r="CL216" s="59">
        <f>'BS and CFS'!CL192-('BS and CFS'!CL137+CL138)</f>
        <v>8108</v>
      </c>
      <c r="CM216" s="59">
        <f>'BS and CFS'!CM192-('BS and CFS'!CM137+CM138)</f>
        <v>8197</v>
      </c>
      <c r="CN216" s="59">
        <f>'BS and CFS'!CN192-('BS and CFS'!CN137+CN138)</f>
        <v>8592</v>
      </c>
      <c r="CO216" s="59">
        <f>'BS and CFS'!CO192-('BS and CFS'!CO137+CO138)</f>
        <v>9225</v>
      </c>
      <c r="CP216" s="86">
        <f>'BS and CFS'!CP192-('BS and CFS'!CP137+CP138)</f>
        <v>9225</v>
      </c>
      <c r="CQ216" s="59">
        <f>'BS and CFS'!CQ192-('BS and CFS'!CQ137+CQ138)</f>
        <v>10562</v>
      </c>
      <c r="CR216" s="59">
        <f>'BS and CFS'!CR192-('BS and CFS'!CR137+CR138)</f>
        <v>11659</v>
      </c>
      <c r="CS216" s="59">
        <f>'BS and CFS'!CS192-('BS and CFS'!CS137+CS138)</f>
        <v>11846</v>
      </c>
      <c r="CT216" s="59">
        <f>'BS and CFS'!CT192-('BS and CFS'!CT137+CT138)</f>
        <v>10440</v>
      </c>
      <c r="CU216" s="86">
        <f>'BS and CFS'!CU192-('BS and CFS'!CU137+CU138)</f>
        <v>10440</v>
      </c>
      <c r="CV216" s="59">
        <f>'BS and CFS'!CV192-('BS and CFS'!CV137+CV138)</f>
        <v>11128</v>
      </c>
      <c r="CW216" s="59">
        <f>'BS and CFS'!CW192-('BS and CFS'!CW137+CW138)</f>
        <v>11741</v>
      </c>
      <c r="CX216" s="59">
        <f>'BS and CFS'!CX192-('BS and CFS'!CX137+CX138)</f>
        <v>24211</v>
      </c>
      <c r="CY216" s="59">
        <f>'BS and CFS'!CY192-('BS and CFS'!CY137+CY138)</f>
        <v>24917</v>
      </c>
      <c r="CZ216" s="86">
        <f>'BS and CFS'!CZ192-('BS and CFS'!CZ137+CZ138)</f>
        <v>24917</v>
      </c>
      <c r="DA216" s="59">
        <f>'BS and CFS'!DA192-('BS and CFS'!DA137+DA138)</f>
        <v>25605</v>
      </c>
      <c r="DB216" s="59">
        <f>'BS and CFS'!DB192-('BS and CFS'!DB137+DB138)</f>
        <v>27429</v>
      </c>
      <c r="DC216" s="59">
        <f>'BS and CFS'!DC192-('BS and CFS'!DC137+DC138)</f>
        <v>24470</v>
      </c>
      <c r="DD216" s="59">
        <f>'BS and CFS'!DD192-('BS and CFS'!DD137+DD138)</f>
        <v>24073</v>
      </c>
      <c r="DE216" s="86">
        <f>'BS and CFS'!DE192-('BS and CFS'!DE137+DE138)</f>
        <v>24073</v>
      </c>
      <c r="DF216" s="59">
        <f>'BS and CFS'!DF192-('BS and CFS'!DF137+DF138)</f>
        <v>25131</v>
      </c>
      <c r="DG216" s="59">
        <f>'BS and CFS'!DG192-('BS and CFS'!DG137+DG138)</f>
        <v>24595</v>
      </c>
      <c r="DH216" s="59">
        <f>'BS and CFS'!DH192-('BS and CFS'!DH137+DH138)</f>
        <v>23229</v>
      </c>
      <c r="DI216" s="59">
        <f>'BS and CFS'!DI192-('BS and CFS'!DI137+DI138)</f>
        <v>25195</v>
      </c>
      <c r="DJ216" s="86">
        <f>'BS and CFS'!DJ192-('BS and CFS'!DJ137+DJ138)</f>
        <v>25195</v>
      </c>
      <c r="DK216" s="59">
        <f>'BS and CFS'!DK192-('BS and CFS'!DK137+DK138)</f>
        <v>26080.490774074449</v>
      </c>
      <c r="DL216" s="59">
        <f>'BS and CFS'!DL192-('BS and CFS'!DL137+DL138)</f>
        <v>24332.973776051025</v>
      </c>
      <c r="DM216" s="59">
        <f>'BS and CFS'!DM192-('BS and CFS'!DM137+DM138)</f>
        <v>23289.904817863287</v>
      </c>
      <c r="DN216" s="59">
        <f>'BS and CFS'!DN192-('BS and CFS'!DN137+DN138)</f>
        <v>21706.638199712543</v>
      </c>
      <c r="DO216" s="86">
        <f>'BS and CFS'!DO192-('BS and CFS'!DO137+DO138)</f>
        <v>21706.638199712543</v>
      </c>
      <c r="DP216" s="59">
        <f>'BS and CFS'!DP192-('BS and CFS'!DP137+DP138)</f>
        <v>22754.216951702976</v>
      </c>
      <c r="DQ216" s="59">
        <f>'BS and CFS'!DQ192-('BS and CFS'!DQ137+DQ138)</f>
        <v>21048.281832879089</v>
      </c>
      <c r="DR216" s="59">
        <f>'BS and CFS'!DR192-('BS and CFS'!DR137+DR138)</f>
        <v>20115.5389894693</v>
      </c>
      <c r="DS216" s="59">
        <f>'BS and CFS'!DS192-('BS and CFS'!DS137+DS138)</f>
        <v>18598.726081013585</v>
      </c>
      <c r="DT216" s="86">
        <f>'BS and CFS'!DT192-('BS and CFS'!DT137+DT138)</f>
        <v>18598.726081013585</v>
      </c>
      <c r="DU216" s="59">
        <f>'BS and CFS'!DU192-('BS and CFS'!DU137+DU138)</f>
        <v>19458.185268939713</v>
      </c>
      <c r="DV216" s="59">
        <f>'BS and CFS'!DV192-('BS and CFS'!DV137+DV138)</f>
        <v>17831.318213547442</v>
      </c>
      <c r="DW216" s="59">
        <f>'BS and CFS'!DW192-('BS and CFS'!DW137+DW138)</f>
        <v>17025.417575716478</v>
      </c>
      <c r="DX216" s="59">
        <f>'BS and CFS'!DX192-('BS and CFS'!DX137+DX138)</f>
        <v>15596.454358643881</v>
      </c>
      <c r="DY216" s="86">
        <f>'BS and CFS'!DY192-('BS and CFS'!DY137+DY138)</f>
        <v>15596.454358643881</v>
      </c>
      <c r="DZ216" s="1858"/>
      <c r="EA216" s="1858"/>
      <c r="EB216" s="1858"/>
    </row>
    <row r="217" spans="1:132" x14ac:dyDescent="0.2">
      <c r="A217" s="1853"/>
      <c r="B217" s="58" t="s">
        <v>441</v>
      </c>
      <c r="C217" s="66"/>
      <c r="D217" s="66"/>
      <c r="E217" s="66"/>
      <c r="F217" s="66"/>
      <c r="G217" s="66"/>
      <c r="H217" s="66"/>
      <c r="I217" s="66"/>
      <c r="J217" s="66"/>
      <c r="K217" s="66"/>
      <c r="L217" s="66"/>
      <c r="M217" s="66"/>
      <c r="N217" s="90">
        <v>2153.700873404081</v>
      </c>
      <c r="O217" s="66"/>
      <c r="P217" s="66"/>
      <c r="Q217" s="66"/>
      <c r="R217" s="66"/>
      <c r="S217" s="90">
        <v>2848.1794164146499</v>
      </c>
      <c r="T217" s="66"/>
      <c r="U217" s="66"/>
      <c r="V217" s="66"/>
      <c r="W217" s="66"/>
      <c r="X217" s="90">
        <v>3422.931218484538</v>
      </c>
      <c r="Y217" s="66"/>
      <c r="Z217" s="66"/>
      <c r="AA217" s="66"/>
      <c r="AB217" s="66"/>
      <c r="AC217" s="90">
        <v>5145.4610330521118</v>
      </c>
      <c r="AD217" s="66"/>
      <c r="AE217" s="66"/>
      <c r="AF217" s="66"/>
      <c r="AG217" s="66"/>
      <c r="AH217" s="90">
        <v>5601.3654445200536</v>
      </c>
      <c r="AI217" s="66"/>
      <c r="AJ217" s="66"/>
      <c r="AK217" s="66"/>
      <c r="AL217" s="66"/>
      <c r="AM217" s="90">
        <v>6167.6866915606806</v>
      </c>
      <c r="AN217" s="66"/>
      <c r="AO217" s="66"/>
      <c r="AP217" s="66"/>
      <c r="AQ217" s="66"/>
      <c r="AR217" s="90">
        <v>6927.1640491965627</v>
      </c>
      <c r="AS217" s="66"/>
      <c r="AT217" s="66"/>
      <c r="AU217" s="66"/>
      <c r="AV217" s="66"/>
      <c r="AW217" s="90">
        <v>10067.99310686635</v>
      </c>
      <c r="AX217" s="66"/>
      <c r="AY217" s="66"/>
      <c r="AZ217" s="66"/>
      <c r="BA217" s="66"/>
      <c r="BB217" s="90">
        <v>11322.609428830161</v>
      </c>
      <c r="BC217" s="66"/>
      <c r="BD217" s="66"/>
      <c r="BE217" s="66"/>
      <c r="BF217" s="66"/>
      <c r="BG217" s="90">
        <v>13303.673844990913</v>
      </c>
      <c r="BH217" s="66"/>
      <c r="BI217" s="66"/>
      <c r="BJ217" s="66"/>
      <c r="BK217" s="66"/>
      <c r="BL217" s="90">
        <v>15087.871471828938</v>
      </c>
      <c r="BM217" s="66">
        <f>$BQ$217</f>
        <v>16471.664967761844</v>
      </c>
      <c r="BN217" s="66">
        <f>$BQ$217</f>
        <v>16471.664967761844</v>
      </c>
      <c r="BO217" s="66">
        <f>$BQ$217</f>
        <v>16471.664967761844</v>
      </c>
      <c r="BP217" s="66">
        <f>$BQ$217</f>
        <v>16471.664967761844</v>
      </c>
      <c r="BQ217" s="90">
        <v>16471.664967761844</v>
      </c>
      <c r="BR217" s="66">
        <f>$BV$217</f>
        <v>18374.749349019803</v>
      </c>
      <c r="BS217" s="66">
        <f>$BV$217</f>
        <v>18374.749349019803</v>
      </c>
      <c r="BT217" s="66">
        <f>$BV$217</f>
        <v>18374.749349019803</v>
      </c>
      <c r="BU217" s="66">
        <f>$BV$217</f>
        <v>18374.749349019803</v>
      </c>
      <c r="BV217" s="90">
        <v>18374.749349019803</v>
      </c>
      <c r="BW217" s="66">
        <f>$CA$217</f>
        <v>19663.076540517777</v>
      </c>
      <c r="BX217" s="66">
        <f>$CA$217</f>
        <v>19663.076540517777</v>
      </c>
      <c r="BY217" s="66">
        <f>$CA$217</f>
        <v>19663.076540517777</v>
      </c>
      <c r="BZ217" s="66">
        <f>$CA$217</f>
        <v>19663.076540517777</v>
      </c>
      <c r="CA217" s="90">
        <v>19663.076540517777</v>
      </c>
      <c r="CB217" s="66">
        <f>CF217</f>
        <v>20530.884732263807</v>
      </c>
      <c r="CC217" s="66">
        <f>CF217</f>
        <v>20530.884732263807</v>
      </c>
      <c r="CD217" s="66">
        <f>CF217</f>
        <v>20530.884732263807</v>
      </c>
      <c r="CE217" s="66">
        <f>CG217</f>
        <v>20989.24854670485</v>
      </c>
      <c r="CF217" s="90">
        <v>20530.884732263807</v>
      </c>
      <c r="CG217" s="66">
        <f>CK217</f>
        <v>20989.24854670485</v>
      </c>
      <c r="CH217" s="66">
        <f>CK217</f>
        <v>20989.24854670485</v>
      </c>
      <c r="CI217" s="66">
        <f>CK217</f>
        <v>20989.24854670485</v>
      </c>
      <c r="CJ217" s="66">
        <f>CK217</f>
        <v>20989.24854670485</v>
      </c>
      <c r="CK217" s="90">
        <v>20989.24854670485</v>
      </c>
      <c r="CL217" s="66">
        <f>CP217</f>
        <v>20474.860170399963</v>
      </c>
      <c r="CM217" s="66">
        <f>CP217</f>
        <v>20474.860170399963</v>
      </c>
      <c r="CN217" s="66">
        <f>CP217</f>
        <v>20474.860170399963</v>
      </c>
      <c r="CO217" s="66">
        <f>CP217</f>
        <v>20474.860170399963</v>
      </c>
      <c r="CP217" s="86">
        <v>20474.860170399963</v>
      </c>
      <c r="CQ217" s="66">
        <f>CS217</f>
        <v>20987.084478708533</v>
      </c>
      <c r="CR217" s="66">
        <f>CU217</f>
        <v>20987.084478708533</v>
      </c>
      <c r="CS217" s="66">
        <f>CU217</f>
        <v>20987.084478708533</v>
      </c>
      <c r="CT217" s="66">
        <f>CU217</f>
        <v>20987.084478708533</v>
      </c>
      <c r="CU217" s="86">
        <v>20987.084478708533</v>
      </c>
      <c r="CV217" s="66">
        <f>CZ217</f>
        <v>21508.809280200163</v>
      </c>
      <c r="CW217" s="66">
        <f>CZ217</f>
        <v>21508.809280200163</v>
      </c>
      <c r="CX217" s="66">
        <f>CZ217</f>
        <v>21508.809280200163</v>
      </c>
      <c r="CY217" s="66">
        <f>CZ217</f>
        <v>21508.809280200163</v>
      </c>
      <c r="CZ217" s="86">
        <v>21508.809280200163</v>
      </c>
      <c r="DA217" s="66">
        <f>DE217</f>
        <v>21124.034877843937</v>
      </c>
      <c r="DB217" s="66">
        <f>DE217</f>
        <v>21124.034877843937</v>
      </c>
      <c r="DC217" s="66">
        <f>DF217</f>
        <v>20636.918199885298</v>
      </c>
      <c r="DD217" s="66">
        <f>DG217</f>
        <v>20636.918199885298</v>
      </c>
      <c r="DE217" s="86">
        <v>21124.034877843937</v>
      </c>
      <c r="DF217" s="66">
        <f>DJ217</f>
        <v>20636.918199885298</v>
      </c>
      <c r="DG217" s="66">
        <f>DJ217</f>
        <v>20636.918199885298</v>
      </c>
      <c r="DH217" s="66">
        <f>DJ217</f>
        <v>20636.918199885298</v>
      </c>
      <c r="DI217" s="66">
        <f>DJ217</f>
        <v>20636.918199885298</v>
      </c>
      <c r="DJ217" s="86">
        <v>20636.918199885298</v>
      </c>
      <c r="DK217" s="66">
        <f>DO217</f>
        <v>20036.351037468216</v>
      </c>
      <c r="DL217" s="66">
        <f>DO217</f>
        <v>20036.351037468216</v>
      </c>
      <c r="DM217" s="66">
        <f>DO217</f>
        <v>20036.351037468216</v>
      </c>
      <c r="DN217" s="66">
        <f>DO217</f>
        <v>20036.351037468216</v>
      </c>
      <c r="DO217" s="86">
        <v>20036.351037468216</v>
      </c>
      <c r="DP217" s="66">
        <f>DT217</f>
        <v>14864.140427240929</v>
      </c>
      <c r="DQ217" s="66">
        <f>DT217</f>
        <v>14864.140427240929</v>
      </c>
      <c r="DR217" s="66">
        <f>DT217</f>
        <v>14864.140427240929</v>
      </c>
      <c r="DS217" s="66">
        <f>DT217</f>
        <v>14864.140427240929</v>
      </c>
      <c r="DT217" s="86">
        <v>14864.140427240929</v>
      </c>
      <c r="DU217" s="66">
        <f>DY217</f>
        <v>0</v>
      </c>
      <c r="DV217" s="66">
        <f>DY217</f>
        <v>0</v>
      </c>
      <c r="DW217" s="66">
        <f>DY217</f>
        <v>0</v>
      </c>
      <c r="DX217" s="66">
        <f>DY217</f>
        <v>0</v>
      </c>
      <c r="DY217" s="86"/>
      <c r="DZ217" s="1858"/>
      <c r="EA217" s="1858"/>
      <c r="EB217" s="1858"/>
    </row>
    <row r="218" spans="1:132" x14ac:dyDescent="0.2">
      <c r="A218" s="1853"/>
      <c r="B218" s="429" t="s">
        <v>442</v>
      </c>
      <c r="C218" s="59"/>
      <c r="D218" s="59"/>
      <c r="E218" s="59"/>
      <c r="F218" s="59"/>
      <c r="G218" s="59"/>
      <c r="H218" s="59"/>
      <c r="I218" s="59"/>
      <c r="J218" s="59"/>
      <c r="K218" s="59"/>
      <c r="L218" s="59"/>
      <c r="M218" s="59"/>
      <c r="N218" s="86">
        <f>+N216+N217</f>
        <v>2759.9008734040808</v>
      </c>
      <c r="O218" s="59"/>
      <c r="P218" s="59"/>
      <c r="Q218" s="59"/>
      <c r="R218" s="59"/>
      <c r="S218" s="86">
        <f>+S216+S217</f>
        <v>3728.7794164146499</v>
      </c>
      <c r="T218" s="59"/>
      <c r="U218" s="59"/>
      <c r="V218" s="59"/>
      <c r="W218" s="59"/>
      <c r="X218" s="86">
        <f>+X216+X217</f>
        <v>4219.7312184845377</v>
      </c>
      <c r="Y218" s="59"/>
      <c r="Z218" s="59"/>
      <c r="AA218" s="59"/>
      <c r="AB218" s="59"/>
      <c r="AC218" s="86">
        <f>+AC216+AC217</f>
        <v>5956.1610330521116</v>
      </c>
      <c r="AD218" s="59"/>
      <c r="AE218" s="59"/>
      <c r="AF218" s="59"/>
      <c r="AG218" s="59"/>
      <c r="AH218" s="86">
        <f>+AH216+AH217</f>
        <v>6437.6654445200538</v>
      </c>
      <c r="AI218" s="59"/>
      <c r="AJ218" s="59"/>
      <c r="AK218" s="59"/>
      <c r="AL218" s="59"/>
      <c r="AM218" s="86">
        <f>+AM216+AM217</f>
        <v>6580.3866915606804</v>
      </c>
      <c r="AN218" s="59"/>
      <c r="AO218" s="59"/>
      <c r="AP218" s="59"/>
      <c r="AQ218" s="59"/>
      <c r="AR218" s="86">
        <f>+AR216+AR217</f>
        <v>7160.2640491965631</v>
      </c>
      <c r="AS218" s="59"/>
      <c r="AT218" s="59"/>
      <c r="AU218" s="59"/>
      <c r="AV218" s="59"/>
      <c r="AW218" s="86">
        <f>+AW216+AW217</f>
        <v>12517.793106866349</v>
      </c>
      <c r="AX218" s="59"/>
      <c r="AY218" s="59"/>
      <c r="AZ218" s="59"/>
      <c r="BA218" s="59"/>
      <c r="BB218" s="86">
        <f>+BB216+BB217</f>
        <v>12998.309428830162</v>
      </c>
      <c r="BC218" s="59"/>
      <c r="BD218" s="59"/>
      <c r="BE218" s="59"/>
      <c r="BF218" s="59"/>
      <c r="BG218" s="86">
        <f>+BG216+BG217</f>
        <v>17830.373844990914</v>
      </c>
      <c r="BH218" s="59"/>
      <c r="BI218" s="59"/>
      <c r="BJ218" s="59"/>
      <c r="BK218" s="59"/>
      <c r="BL218" s="86">
        <f>+BL216+BL217</f>
        <v>24485.671471828937</v>
      </c>
      <c r="BM218" s="59">
        <f t="shared" ref="BM218:DJ218" si="279">SUM(BM216:BM217)</f>
        <v>25391.664967761844</v>
      </c>
      <c r="BN218" s="59">
        <f t="shared" si="279"/>
        <v>25231.564967761842</v>
      </c>
      <c r="BO218" s="59">
        <f t="shared" si="279"/>
        <v>24916.264967761846</v>
      </c>
      <c r="BP218" s="59">
        <f t="shared" si="279"/>
        <v>26873.864967761845</v>
      </c>
      <c r="BQ218" s="86">
        <f t="shared" si="279"/>
        <v>26873.864967761845</v>
      </c>
      <c r="BR218" s="59">
        <f t="shared" si="279"/>
        <v>28504.9493490198</v>
      </c>
      <c r="BS218" s="59">
        <f t="shared" si="279"/>
        <v>28186.249349019803</v>
      </c>
      <c r="BT218" s="59">
        <f t="shared" si="279"/>
        <v>29199.549349019806</v>
      </c>
      <c r="BU218" s="59">
        <f t="shared" si="279"/>
        <v>28458.749349019803</v>
      </c>
      <c r="BV218" s="86">
        <f t="shared" si="279"/>
        <v>28458.749349019803</v>
      </c>
      <c r="BW218" s="59">
        <f t="shared" si="279"/>
        <v>29985.076540517777</v>
      </c>
      <c r="BX218" s="59">
        <f t="shared" si="279"/>
        <v>30513.076540517774</v>
      </c>
      <c r="BY218" s="59">
        <f t="shared" si="279"/>
        <v>29821.076540517774</v>
      </c>
      <c r="BZ218" s="59">
        <f t="shared" si="279"/>
        <v>28289.076540517774</v>
      </c>
      <c r="CA218" s="86">
        <f t="shared" si="279"/>
        <v>28289.076540517774</v>
      </c>
      <c r="CB218" s="59">
        <f t="shared" si="279"/>
        <v>28137.884732263807</v>
      </c>
      <c r="CC218" s="59">
        <f t="shared" si="279"/>
        <v>29381.884732263807</v>
      </c>
      <c r="CD218" s="59">
        <f t="shared" si="279"/>
        <v>29586.884732263807</v>
      </c>
      <c r="CE218" s="59">
        <f t="shared" si="279"/>
        <v>29585.24854670485</v>
      </c>
      <c r="CF218" s="86">
        <f t="shared" si="279"/>
        <v>29126.884732263807</v>
      </c>
      <c r="CG218" s="59">
        <f t="shared" si="279"/>
        <v>27984.24854670485</v>
      </c>
      <c r="CH218" s="59">
        <f t="shared" si="279"/>
        <v>28574.24854670485</v>
      </c>
      <c r="CI218" s="59">
        <f t="shared" si="279"/>
        <v>29791.24854670485</v>
      </c>
      <c r="CJ218" s="59">
        <f t="shared" si="279"/>
        <v>29437.24854670485</v>
      </c>
      <c r="CK218" s="86">
        <f t="shared" si="279"/>
        <v>29437.24854670485</v>
      </c>
      <c r="CL218" s="59">
        <f t="shared" si="279"/>
        <v>28582.860170399963</v>
      </c>
      <c r="CM218" s="59">
        <f t="shared" si="279"/>
        <v>28671.860170399963</v>
      </c>
      <c r="CN218" s="59">
        <f t="shared" si="279"/>
        <v>29066.860170399963</v>
      </c>
      <c r="CO218" s="59">
        <f t="shared" si="279"/>
        <v>29699.860170399963</v>
      </c>
      <c r="CP218" s="430">
        <f t="shared" si="279"/>
        <v>29699.860170399963</v>
      </c>
      <c r="CQ218" s="59">
        <f t="shared" si="279"/>
        <v>31549.084478708533</v>
      </c>
      <c r="CR218" s="59">
        <f t="shared" si="279"/>
        <v>32646.084478708533</v>
      </c>
      <c r="CS218" s="59">
        <f t="shared" si="279"/>
        <v>32833.084478708537</v>
      </c>
      <c r="CT218" s="59">
        <f t="shared" si="279"/>
        <v>31427.084478708533</v>
      </c>
      <c r="CU218" s="430">
        <f t="shared" si="279"/>
        <v>31427.084478708533</v>
      </c>
      <c r="CV218" s="59">
        <f t="shared" si="279"/>
        <v>32636.809280200163</v>
      </c>
      <c r="CW218" s="59">
        <f t="shared" si="279"/>
        <v>33249.809280200163</v>
      </c>
      <c r="CX218" s="59">
        <f t="shared" si="279"/>
        <v>45719.809280200163</v>
      </c>
      <c r="CY218" s="59">
        <f t="shared" si="279"/>
        <v>46425.809280200163</v>
      </c>
      <c r="CZ218" s="430">
        <f t="shared" si="279"/>
        <v>46425.809280200163</v>
      </c>
      <c r="DA218" s="59">
        <f t="shared" si="279"/>
        <v>46729.034877843937</v>
      </c>
      <c r="DB218" s="59">
        <f t="shared" si="279"/>
        <v>48553.034877843937</v>
      </c>
      <c r="DC218" s="59">
        <f>SUM(DC216:DC217)</f>
        <v>45106.918199885302</v>
      </c>
      <c r="DD218" s="59">
        <f>SUM(DD216:DD217)</f>
        <v>44709.918199885302</v>
      </c>
      <c r="DE218" s="430">
        <f t="shared" si="279"/>
        <v>45197.034877843937</v>
      </c>
      <c r="DF218" s="59">
        <f>SUM(DF216:DF217)</f>
        <v>45767.918199885302</v>
      </c>
      <c r="DG218" s="59">
        <f t="shared" si="279"/>
        <v>45231.918199885302</v>
      </c>
      <c r="DH218" s="59">
        <f t="shared" si="279"/>
        <v>43865.918199885302</v>
      </c>
      <c r="DI218" s="59">
        <f t="shared" si="279"/>
        <v>45831.918199885302</v>
      </c>
      <c r="DJ218" s="430">
        <f t="shared" si="279"/>
        <v>45831.918199885302</v>
      </c>
      <c r="DK218" s="59">
        <f t="shared" ref="DK218:DT218" si="280">SUM(DK216:DK217)</f>
        <v>46116.841811542661</v>
      </c>
      <c r="DL218" s="59">
        <f t="shared" si="280"/>
        <v>44369.324813519241</v>
      </c>
      <c r="DM218" s="59">
        <f t="shared" si="280"/>
        <v>43326.255855331503</v>
      </c>
      <c r="DN218" s="59">
        <f t="shared" si="280"/>
        <v>41742.989237180758</v>
      </c>
      <c r="DO218" s="430">
        <f t="shared" si="280"/>
        <v>41742.989237180758</v>
      </c>
      <c r="DP218" s="59">
        <f t="shared" si="280"/>
        <v>37618.357378943903</v>
      </c>
      <c r="DQ218" s="59">
        <f t="shared" si="280"/>
        <v>35912.422260120016</v>
      </c>
      <c r="DR218" s="59">
        <f t="shared" si="280"/>
        <v>34979.679416710227</v>
      </c>
      <c r="DS218" s="59">
        <f t="shared" si="280"/>
        <v>33462.866508254512</v>
      </c>
      <c r="DT218" s="430">
        <f t="shared" si="280"/>
        <v>33462.866508254512</v>
      </c>
      <c r="DU218" s="59">
        <f t="shared" ref="DU218:DY218" si="281">SUM(DU216:DU217)</f>
        <v>19458.185268939713</v>
      </c>
      <c r="DV218" s="59">
        <f t="shared" si="281"/>
        <v>17831.318213547442</v>
      </c>
      <c r="DW218" s="59">
        <f t="shared" si="281"/>
        <v>17025.417575716478</v>
      </c>
      <c r="DX218" s="59">
        <f t="shared" si="281"/>
        <v>15596.454358643881</v>
      </c>
      <c r="DY218" s="430">
        <f t="shared" si="281"/>
        <v>15596.454358643881</v>
      </c>
      <c r="DZ218" s="1858"/>
      <c r="EA218" s="1858"/>
      <c r="EB218" s="1858"/>
    </row>
    <row r="219" spans="1:132" x14ac:dyDescent="0.2">
      <c r="A219" s="1853"/>
      <c r="B219" s="58"/>
      <c r="C219" s="59"/>
      <c r="D219" s="59"/>
      <c r="E219" s="59"/>
      <c r="F219" s="59"/>
      <c r="G219" s="59"/>
      <c r="H219" s="59"/>
      <c r="I219" s="59"/>
      <c r="J219" s="59"/>
      <c r="K219" s="59"/>
      <c r="L219" s="59"/>
      <c r="M219" s="59"/>
      <c r="N219" s="86"/>
      <c r="O219" s="59"/>
      <c r="P219" s="59"/>
      <c r="Q219" s="59"/>
      <c r="R219" s="59"/>
      <c r="S219" s="86"/>
      <c r="T219" s="59"/>
      <c r="U219" s="59"/>
      <c r="V219" s="59"/>
      <c r="W219" s="59"/>
      <c r="X219" s="86"/>
      <c r="Y219" s="59"/>
      <c r="Z219" s="59"/>
      <c r="AA219" s="59"/>
      <c r="AB219" s="59"/>
      <c r="AC219" s="86"/>
      <c r="AD219" s="59"/>
      <c r="AE219" s="59"/>
      <c r="AF219" s="59"/>
      <c r="AG219" s="59"/>
      <c r="AH219" s="86"/>
      <c r="AI219" s="59"/>
      <c r="AJ219" s="59"/>
      <c r="AK219" s="59"/>
      <c r="AL219" s="59"/>
      <c r="AM219" s="86"/>
      <c r="AN219" s="59"/>
      <c r="AO219" s="59"/>
      <c r="AP219" s="59"/>
      <c r="AQ219" s="59"/>
      <c r="AR219" s="86"/>
      <c r="AS219" s="59"/>
      <c r="AT219" s="59"/>
      <c r="AU219" s="59"/>
      <c r="AV219" s="59"/>
      <c r="AW219" s="86"/>
      <c r="AX219" s="59"/>
      <c r="AY219" s="59"/>
      <c r="AZ219" s="59"/>
      <c r="BA219" s="59"/>
      <c r="BB219" s="86"/>
      <c r="BC219" s="59"/>
      <c r="BD219" s="59"/>
      <c r="BE219" s="59"/>
      <c r="BF219" s="59"/>
      <c r="BG219" s="86"/>
      <c r="BH219" s="59"/>
      <c r="BI219" s="59"/>
      <c r="BJ219" s="59"/>
      <c r="BK219" s="59"/>
      <c r="BL219" s="86"/>
      <c r="BM219" s="59"/>
      <c r="BN219" s="59"/>
      <c r="BO219" s="59"/>
      <c r="BP219" s="59"/>
      <c r="BQ219" s="86"/>
      <c r="BR219" s="59"/>
      <c r="BS219" s="59"/>
      <c r="BT219" s="59"/>
      <c r="BU219" s="59"/>
      <c r="BV219" s="86"/>
      <c r="BW219" s="59"/>
      <c r="BX219" s="59"/>
      <c r="BY219" s="59"/>
      <c r="BZ219" s="59"/>
      <c r="CA219" s="86"/>
      <c r="CB219" s="59"/>
      <c r="CC219" s="59"/>
      <c r="CD219" s="59"/>
      <c r="CE219" s="59"/>
      <c r="CF219" s="86"/>
      <c r="CG219" s="59"/>
      <c r="CH219" s="59"/>
      <c r="CI219" s="59"/>
      <c r="CJ219" s="59"/>
      <c r="CK219" s="86"/>
      <c r="CL219" s="59"/>
      <c r="CM219" s="59"/>
      <c r="CN219" s="59"/>
      <c r="CO219" s="59"/>
      <c r="CP219" s="86"/>
      <c r="CQ219" s="59"/>
      <c r="CR219" s="59"/>
      <c r="CS219" s="59"/>
      <c r="CT219" s="59"/>
      <c r="CU219" s="86"/>
      <c r="CV219" s="59"/>
      <c r="CW219" s="59"/>
      <c r="CX219" s="59"/>
      <c r="CY219" s="59"/>
      <c r="CZ219" s="86"/>
      <c r="DA219" s="59"/>
      <c r="DB219" s="59"/>
      <c r="DC219" s="59"/>
      <c r="DD219" s="59"/>
      <c r="DE219" s="86"/>
      <c r="DF219" s="59"/>
      <c r="DG219" s="59"/>
      <c r="DH219" s="59"/>
      <c r="DI219" s="59"/>
      <c r="DJ219" s="86"/>
      <c r="DK219" s="59"/>
      <c r="DL219" s="59"/>
      <c r="DM219" s="59"/>
      <c r="DN219" s="59"/>
      <c r="DO219" s="86"/>
      <c r="DP219" s="59"/>
      <c r="DQ219" s="59"/>
      <c r="DR219" s="59"/>
      <c r="DS219" s="59"/>
      <c r="DT219" s="86"/>
      <c r="DU219" s="59"/>
      <c r="DV219" s="59"/>
      <c r="DW219" s="59"/>
      <c r="DX219" s="59"/>
      <c r="DY219" s="86"/>
      <c r="DZ219" s="1858"/>
      <c r="EA219" s="1858"/>
      <c r="EB219" s="1858"/>
    </row>
    <row r="220" spans="1:132" x14ac:dyDescent="0.2">
      <c r="A220" s="1853"/>
      <c r="B220" s="58" t="s">
        <v>443</v>
      </c>
      <c r="C220" s="59"/>
      <c r="D220" s="59"/>
      <c r="E220" s="59"/>
      <c r="F220" s="59"/>
      <c r="G220" s="59"/>
      <c r="H220" s="59"/>
      <c r="I220" s="59"/>
      <c r="J220" s="59"/>
      <c r="K220" s="59"/>
      <c r="L220" s="59"/>
      <c r="M220" s="59"/>
      <c r="N220" s="86"/>
      <c r="O220" s="59"/>
      <c r="P220" s="59"/>
      <c r="Q220" s="59"/>
      <c r="R220" s="59"/>
      <c r="S220" s="86"/>
      <c r="T220" s="59"/>
      <c r="U220" s="59"/>
      <c r="V220" s="59"/>
      <c r="W220" s="59"/>
      <c r="X220" s="86"/>
      <c r="Y220" s="59"/>
      <c r="Z220" s="59"/>
      <c r="AA220" s="59"/>
      <c r="AB220" s="59"/>
      <c r="AC220" s="86"/>
      <c r="AD220" s="59"/>
      <c r="AE220" s="59"/>
      <c r="AF220" s="59"/>
      <c r="AG220" s="59"/>
      <c r="AH220" s="86"/>
      <c r="AI220" s="59"/>
      <c r="AJ220" s="59"/>
      <c r="AK220" s="59"/>
      <c r="AL220" s="59"/>
      <c r="AM220" s="86"/>
      <c r="AN220" s="59"/>
      <c r="AO220" s="59"/>
      <c r="AP220" s="59"/>
      <c r="AQ220" s="59"/>
      <c r="AR220" s="86"/>
      <c r="AS220" s="59"/>
      <c r="AT220" s="59"/>
      <c r="AU220" s="59"/>
      <c r="AV220" s="59"/>
      <c r="AW220" s="86"/>
      <c r="AX220" s="59"/>
      <c r="AY220" s="59"/>
      <c r="AZ220" s="59"/>
      <c r="BA220" s="59"/>
      <c r="BB220" s="86"/>
      <c r="BC220" s="59"/>
      <c r="BD220" s="59"/>
      <c r="BE220" s="59"/>
      <c r="BF220" s="59"/>
      <c r="BG220" s="86"/>
      <c r="BH220" s="59"/>
      <c r="BI220" s="59"/>
      <c r="BJ220" s="59"/>
      <c r="BK220" s="59"/>
      <c r="BL220" s="86">
        <v>1557</v>
      </c>
      <c r="BM220" s="59"/>
      <c r="BN220" s="59"/>
      <c r="BO220" s="59"/>
      <c r="BP220" s="59"/>
      <c r="BQ220" s="86">
        <v>1691.3</v>
      </c>
      <c r="BR220" s="59"/>
      <c r="BS220" s="59"/>
      <c r="BT220" s="59"/>
      <c r="BU220" s="59"/>
      <c r="BV220" s="86">
        <v>1889</v>
      </c>
      <c r="BW220" s="59"/>
      <c r="BX220" s="59"/>
      <c r="BY220" s="59"/>
      <c r="BZ220" s="59"/>
      <c r="CA220" s="86">
        <v>2035</v>
      </c>
      <c r="CB220" s="59"/>
      <c r="CC220" s="59"/>
      <c r="CD220" s="59"/>
      <c r="CE220" s="59"/>
      <c r="CF220" s="86">
        <v>2136</v>
      </c>
      <c r="CG220" s="59"/>
      <c r="CH220" s="59"/>
      <c r="CI220" s="59"/>
      <c r="CJ220" s="59"/>
      <c r="CK220" s="86">
        <v>2193</v>
      </c>
      <c r="CL220" s="59"/>
      <c r="CM220" s="59"/>
      <c r="CN220" s="59"/>
      <c r="CO220" s="59"/>
      <c r="CP220" s="86">
        <v>2230</v>
      </c>
      <c r="CQ220" s="59"/>
      <c r="CR220" s="59"/>
      <c r="CS220" s="59"/>
      <c r="CT220" s="59"/>
      <c r="CU220" s="86">
        <v>2296.9</v>
      </c>
      <c r="CV220" s="59"/>
      <c r="CW220" s="59"/>
      <c r="CX220" s="59"/>
      <c r="CY220" s="59"/>
      <c r="CZ220" s="86">
        <v>2365.8070000000002</v>
      </c>
      <c r="DA220" s="59"/>
      <c r="DB220" s="59"/>
      <c r="DC220" s="59"/>
      <c r="DD220" s="59"/>
      <c r="DE220" s="86">
        <v>2258.79</v>
      </c>
      <c r="DF220" s="59"/>
      <c r="DG220" s="59"/>
      <c r="DH220" s="59"/>
      <c r="DI220" s="59"/>
      <c r="DJ220" s="86">
        <v>2326.5536999999999</v>
      </c>
      <c r="DK220" s="59"/>
      <c r="DL220" s="59"/>
      <c r="DM220" s="59"/>
      <c r="DN220" s="59"/>
      <c r="DO220" s="86">
        <v>2396.3503110000001</v>
      </c>
      <c r="DP220" s="59"/>
      <c r="DQ220" s="59"/>
      <c r="DR220" s="59"/>
      <c r="DS220" s="59"/>
      <c r="DT220" s="86">
        <v>2778.0267884830423</v>
      </c>
      <c r="DU220" s="59"/>
      <c r="DV220" s="59"/>
      <c r="DW220" s="59"/>
      <c r="DX220" s="59"/>
      <c r="DY220" s="86"/>
      <c r="DZ220" s="1858"/>
      <c r="EA220" s="1858"/>
      <c r="EB220" s="1858"/>
    </row>
    <row r="221" spans="1:132" x14ac:dyDescent="0.2">
      <c r="A221" s="1843"/>
      <c r="B221" s="2059" t="s">
        <v>444</v>
      </c>
      <c r="C221" s="2060"/>
      <c r="D221" s="2061"/>
      <c r="E221" s="1943"/>
      <c r="F221" s="1943"/>
      <c r="G221" s="1943"/>
      <c r="H221" s="1943"/>
      <c r="I221" s="2062"/>
      <c r="J221" s="1943"/>
      <c r="K221" s="1943"/>
      <c r="L221" s="1943"/>
      <c r="M221" s="1943"/>
      <c r="N221" s="2063"/>
      <c r="O221" s="1943"/>
      <c r="P221" s="1943"/>
      <c r="Q221" s="1943"/>
      <c r="R221" s="1943"/>
      <c r="S221" s="2063"/>
      <c r="T221" s="1943"/>
      <c r="U221" s="1943"/>
      <c r="V221" s="1943"/>
      <c r="W221" s="1943"/>
      <c r="X221" s="2063"/>
      <c r="Y221" s="1943"/>
      <c r="Z221" s="1943"/>
      <c r="AA221" s="1943"/>
      <c r="AB221" s="1943"/>
      <c r="AC221" s="2063"/>
      <c r="AD221" s="1943"/>
      <c r="AE221" s="1943"/>
      <c r="AF221" s="1943"/>
      <c r="AG221" s="1943"/>
      <c r="AH221" s="2063"/>
      <c r="AI221" s="1943"/>
      <c r="AJ221" s="1943"/>
      <c r="AK221" s="1943"/>
      <c r="AL221" s="1943"/>
      <c r="AM221" s="2063"/>
      <c r="AN221" s="1943"/>
      <c r="AO221" s="1943"/>
      <c r="AP221" s="1943"/>
      <c r="AQ221" s="1943"/>
      <c r="AR221" s="2063"/>
      <c r="AS221" s="1943"/>
      <c r="AT221" s="1943"/>
      <c r="AU221" s="1943"/>
      <c r="AV221" s="1943"/>
      <c r="AW221" s="2064"/>
      <c r="AX221" s="1943"/>
      <c r="AY221" s="1943"/>
      <c r="AZ221" s="1943"/>
      <c r="BA221" s="1943"/>
      <c r="BB221" s="2063"/>
      <c r="BC221" s="1943"/>
      <c r="BD221" s="1943"/>
      <c r="BE221" s="1943"/>
      <c r="BF221" s="1943"/>
      <c r="BG221" s="2063"/>
      <c r="BH221" s="1943"/>
      <c r="BI221" s="1943"/>
      <c r="BJ221" s="1943"/>
      <c r="BK221" s="1943"/>
      <c r="BL221" s="2065">
        <f>BL218/(BL193+BL220)</f>
        <v>3.2889187862602514</v>
      </c>
      <c r="BM221" s="1943"/>
      <c r="BN221" s="1943"/>
      <c r="BO221" s="1943"/>
      <c r="BP221" s="1943"/>
      <c r="BQ221" s="2065">
        <f>BQ218/(BQ193+BQ220)</f>
        <v>2.9821082556855938</v>
      </c>
      <c r="BR221" s="1943"/>
      <c r="BS221" s="1943"/>
      <c r="BT221" s="1943"/>
      <c r="BU221" s="1943"/>
      <c r="BV221" s="2065">
        <f>BV218/(BV193+BV220)</f>
        <v>2.9289698083653075</v>
      </c>
      <c r="BW221" s="1943"/>
      <c r="BX221" s="1943"/>
      <c r="BY221" s="1943"/>
      <c r="BZ221" s="1943"/>
      <c r="CA221" s="2065">
        <f>CA218/(CA193+CA220)</f>
        <v>2.9257499783346543</v>
      </c>
      <c r="CB221" s="1943"/>
      <c r="CC221" s="1943"/>
      <c r="CD221" s="1943"/>
      <c r="CE221" s="1943"/>
      <c r="CF221" s="2065">
        <f>CF218/(CF193+CF220)</f>
        <v>2.8994091791857115</v>
      </c>
      <c r="CG221" s="1943"/>
      <c r="CH221" s="1943"/>
      <c r="CI221" s="1943"/>
      <c r="CJ221" s="1943"/>
      <c r="CK221" s="2065">
        <f>CK218/(CK193+CK220)</f>
        <v>2.6345652133024675</v>
      </c>
      <c r="CL221" s="2066"/>
      <c r="CM221" s="2066"/>
      <c r="CN221" s="2066"/>
      <c r="CO221" s="2066"/>
      <c r="CP221" s="2065">
        <f>CP218/(CP193+CP220)</f>
        <v>2.4598194608580384</v>
      </c>
      <c r="CQ221" s="2066"/>
      <c r="CR221" s="2066"/>
      <c r="CS221" s="2066"/>
      <c r="CT221" s="2066"/>
      <c r="CU221" s="2065">
        <f>CU218/(CU193+CU220)</f>
        <v>2.4125871873600744</v>
      </c>
      <c r="CV221" s="2066"/>
      <c r="CW221" s="2066"/>
      <c r="CX221" s="2066"/>
      <c r="CY221" s="2066"/>
      <c r="CZ221" s="2065">
        <f>CZ218/(CZ193+CZ220)</f>
        <v>3.2717314308459233</v>
      </c>
      <c r="DA221" s="2066"/>
      <c r="DB221" s="2066"/>
      <c r="DC221" s="2066"/>
      <c r="DD221" s="2066"/>
      <c r="DE221" s="2065">
        <f>DE218/(DE193+DE220)</f>
        <v>2.9575553074812047</v>
      </c>
      <c r="DF221" s="2066"/>
      <c r="DG221" s="2066"/>
      <c r="DH221" s="2066"/>
      <c r="DI221" s="2066"/>
      <c r="DJ221" s="2065">
        <f>DJ218/(DJ193+DJ220)</f>
        <v>3.09849449168567</v>
      </c>
      <c r="DK221" s="2066"/>
      <c r="DL221" s="2066"/>
      <c r="DM221" s="2066"/>
      <c r="DN221" s="2066"/>
      <c r="DO221" s="2065">
        <f ca="1">DO218/(DO193+DO220)</f>
        <v>2.8039323036917989</v>
      </c>
      <c r="DP221" s="2066"/>
      <c r="DQ221" s="2066"/>
      <c r="DR221" s="2066"/>
      <c r="DS221" s="2066"/>
      <c r="DT221" s="2065">
        <f ca="1">DT218/(DT193+DT220)</f>
        <v>2.1469954214177287</v>
      </c>
      <c r="DU221" s="2066"/>
      <c r="DV221" s="2066"/>
      <c r="DW221" s="2066"/>
      <c r="DX221" s="2066"/>
      <c r="DY221" s="2065">
        <f ca="1">DY218/(DY193+DY220)</f>
        <v>1.1779860602478067</v>
      </c>
      <c r="DZ221" s="1844"/>
      <c r="EA221" s="1844"/>
      <c r="EB221" s="1844"/>
    </row>
    <row r="222" spans="1:132" x14ac:dyDescent="0.2">
      <c r="A222" s="1842"/>
      <c r="B222" s="2055"/>
      <c r="C222" s="2056"/>
      <c r="D222" s="2057"/>
      <c r="E222" s="1850"/>
      <c r="F222" s="1850"/>
      <c r="G222" s="1850"/>
      <c r="H222" s="1850"/>
      <c r="I222" s="2067"/>
      <c r="J222" s="1850"/>
      <c r="K222" s="1850"/>
      <c r="L222" s="1850"/>
      <c r="M222" s="1850"/>
      <c r="N222" s="2068"/>
      <c r="O222" s="1850"/>
      <c r="P222" s="1850"/>
      <c r="Q222" s="1850"/>
      <c r="R222" s="1850"/>
      <c r="S222" s="2068"/>
      <c r="T222" s="1850"/>
      <c r="U222" s="1850"/>
      <c r="V222" s="1850"/>
      <c r="W222" s="1850"/>
      <c r="X222" s="2068"/>
      <c r="Y222" s="1850"/>
      <c r="Z222" s="1850"/>
      <c r="AA222" s="1850"/>
      <c r="AB222" s="1850"/>
      <c r="AC222" s="2068"/>
      <c r="AD222" s="1850"/>
      <c r="AE222" s="1850"/>
      <c r="AF222" s="1850"/>
      <c r="AG222" s="1850"/>
      <c r="AH222" s="2068"/>
      <c r="AI222" s="1850"/>
      <c r="AJ222" s="1850"/>
      <c r="AK222" s="1850"/>
      <c r="AL222" s="1850"/>
      <c r="AM222" s="2068"/>
      <c r="AN222" s="1850"/>
      <c r="AO222" s="1850"/>
      <c r="AP222" s="1850"/>
      <c r="AQ222" s="1850"/>
      <c r="AR222" s="2068"/>
      <c r="AS222" s="1850"/>
      <c r="AT222" s="1850"/>
      <c r="AU222" s="1850"/>
      <c r="AV222" s="1850"/>
      <c r="AW222" s="2069"/>
      <c r="AX222" s="1850"/>
      <c r="AY222" s="1850"/>
      <c r="AZ222" s="1850"/>
      <c r="BA222" s="1850"/>
      <c r="BB222" s="2068"/>
      <c r="BC222" s="1850"/>
      <c r="BD222" s="1850"/>
      <c r="BE222" s="1850"/>
      <c r="BF222" s="1850"/>
      <c r="BG222" s="2068"/>
      <c r="BH222" s="1850"/>
      <c r="BI222" s="1850"/>
      <c r="BJ222" s="1850"/>
      <c r="BK222" s="1850"/>
      <c r="BL222" s="2068"/>
      <c r="BM222" s="1850"/>
      <c r="BN222" s="1850"/>
      <c r="BO222" s="1850"/>
      <c r="BP222" s="1850"/>
      <c r="BQ222" s="2068"/>
      <c r="BR222" s="1850"/>
      <c r="BS222" s="1850"/>
      <c r="BT222" s="1850"/>
      <c r="BU222" s="1850"/>
      <c r="BV222" s="2068"/>
      <c r="BW222" s="1850"/>
      <c r="BX222" s="1850"/>
      <c r="BY222" s="1850"/>
      <c r="BZ222" s="1850"/>
      <c r="CA222" s="2068"/>
      <c r="CB222" s="1850"/>
      <c r="CC222" s="1850"/>
      <c r="CD222" s="1850"/>
      <c r="CE222" s="1850"/>
      <c r="CF222" s="2068"/>
      <c r="CG222" s="1850"/>
      <c r="CH222" s="1850"/>
      <c r="CI222" s="1850"/>
      <c r="CJ222" s="1850"/>
      <c r="CK222" s="2068"/>
      <c r="CL222" s="2070"/>
      <c r="CM222" s="2070"/>
      <c r="CN222" s="2070"/>
      <c r="CO222" s="2070"/>
      <c r="CP222" s="2068"/>
      <c r="CQ222" s="2070"/>
      <c r="CR222" s="2070"/>
      <c r="CS222" s="2070"/>
      <c r="CT222" s="2070"/>
      <c r="CU222" s="2068"/>
      <c r="CV222" s="2070"/>
      <c r="CW222" s="2070"/>
      <c r="CX222" s="2070"/>
      <c r="CY222" s="2070"/>
      <c r="CZ222" s="2068"/>
      <c r="DA222" s="2070"/>
      <c r="DB222" s="2070"/>
      <c r="DC222" s="2070"/>
      <c r="DD222" s="2070"/>
      <c r="DE222" s="2068"/>
      <c r="DF222" s="2070"/>
      <c r="DG222" s="2070"/>
      <c r="DH222" s="2070"/>
      <c r="DI222" s="2070"/>
      <c r="DJ222" s="2068"/>
      <c r="DK222" s="2070"/>
      <c r="DL222" s="2070"/>
      <c r="DM222" s="2070"/>
      <c r="DN222" s="2070"/>
      <c r="DO222" s="2068"/>
      <c r="DP222" s="2070"/>
      <c r="DQ222" s="2070"/>
      <c r="DR222" s="2070"/>
      <c r="DS222" s="2070"/>
      <c r="DT222" s="2068"/>
      <c r="DU222" s="2070"/>
      <c r="DV222" s="2070"/>
      <c r="DW222" s="2070"/>
      <c r="DX222" s="2070"/>
      <c r="DY222" s="2068"/>
      <c r="DZ222" s="1848"/>
      <c r="EA222" s="1848"/>
      <c r="EB222" s="1848"/>
    </row>
    <row r="223" spans="1:132" x14ac:dyDescent="0.2">
      <c r="A223" s="1853"/>
      <c r="B223" s="2010" t="s">
        <v>445</v>
      </c>
      <c r="C223" s="2011"/>
      <c r="D223" s="2071"/>
      <c r="E223" s="1884"/>
      <c r="F223" s="1884"/>
      <c r="G223" s="1884"/>
      <c r="H223" s="1884"/>
      <c r="I223" s="1884"/>
      <c r="J223" s="1884"/>
      <c r="K223" s="1884"/>
      <c r="L223" s="1884"/>
      <c r="M223" s="1884"/>
      <c r="N223" s="1885">
        <f>N178</f>
        <v>2614.4</v>
      </c>
      <c r="O223" s="1884"/>
      <c r="P223" s="1884"/>
      <c r="Q223" s="1884"/>
      <c r="R223" s="1884"/>
      <c r="S223" s="1885">
        <f>S178</f>
        <v>3110.6000000000004</v>
      </c>
      <c r="T223" s="1884"/>
      <c r="U223" s="1884"/>
      <c r="V223" s="1884"/>
      <c r="W223" s="1884"/>
      <c r="X223" s="1885">
        <f>X178</f>
        <v>3679.7</v>
      </c>
      <c r="Y223" s="1884"/>
      <c r="Z223" s="1884"/>
      <c r="AA223" s="1884"/>
      <c r="AB223" s="1884"/>
      <c r="AC223" s="1885">
        <f>AC178</f>
        <v>4304.6000000000004</v>
      </c>
      <c r="AD223" s="1884"/>
      <c r="AE223" s="1884"/>
      <c r="AF223" s="1884"/>
      <c r="AG223" s="1884"/>
      <c r="AH223" s="1885">
        <f>AH178</f>
        <v>4566.8999999999996</v>
      </c>
      <c r="AI223" s="1884"/>
      <c r="AJ223" s="1884"/>
      <c r="AK223" s="1884"/>
      <c r="AL223" s="1884"/>
      <c r="AM223" s="1885">
        <f>AM178</f>
        <v>5197</v>
      </c>
      <c r="AN223" s="1884"/>
      <c r="AO223" s="1884"/>
      <c r="AP223" s="1884"/>
      <c r="AQ223" s="1884"/>
      <c r="AR223" s="1885">
        <f>AR178</f>
        <v>6021.7999999999993</v>
      </c>
      <c r="AS223" s="1884"/>
      <c r="AT223" s="1884"/>
      <c r="AU223" s="1884"/>
      <c r="AV223" s="1884"/>
      <c r="AW223" s="1885">
        <f>AW178</f>
        <v>6987.2000000000007</v>
      </c>
      <c r="AX223" s="1884"/>
      <c r="AY223" s="1884"/>
      <c r="AZ223" s="1884"/>
      <c r="BA223" s="1884"/>
      <c r="BB223" s="1885">
        <f>BB178</f>
        <v>8331.2000000000007</v>
      </c>
      <c r="BC223" s="1884"/>
      <c r="BD223" s="1884"/>
      <c r="BE223" s="1884"/>
      <c r="BF223" s="1884"/>
      <c r="BG223" s="1885">
        <f>BG178</f>
        <v>9917.6</v>
      </c>
      <c r="BH223" s="1884"/>
      <c r="BI223" s="1884"/>
      <c r="BJ223" s="1884"/>
      <c r="BK223" s="1884"/>
      <c r="BL223" s="1885">
        <f>BL178</f>
        <v>31321.9</v>
      </c>
      <c r="BM223" s="1884"/>
      <c r="BN223" s="1884"/>
      <c r="BO223" s="1884"/>
      <c r="BP223" s="1884"/>
      <c r="BQ223" s="1885">
        <f>BQ178</f>
        <v>34574.399999999994</v>
      </c>
      <c r="BR223" s="1884"/>
      <c r="BS223" s="1884"/>
      <c r="BT223" s="1884"/>
      <c r="BU223" s="1884"/>
      <c r="BV223" s="1885">
        <f>BV178</f>
        <v>35768.1</v>
      </c>
      <c r="BW223" s="1884"/>
      <c r="BX223" s="1884"/>
      <c r="BY223" s="1884"/>
      <c r="BZ223" s="1884"/>
      <c r="CA223" s="1885">
        <f>CA178</f>
        <v>37734</v>
      </c>
      <c r="CB223" s="1884"/>
      <c r="CC223" s="1884"/>
      <c r="CD223" s="1884"/>
      <c r="CE223" s="1884"/>
      <c r="CF223" s="1885">
        <f>CF178</f>
        <v>38081</v>
      </c>
      <c r="CG223" s="1884"/>
      <c r="CH223" s="1884"/>
      <c r="CI223" s="1884"/>
      <c r="CJ223" s="1884"/>
      <c r="CK223" s="1885">
        <f>CK178</f>
        <v>37704</v>
      </c>
      <c r="CL223" s="1884"/>
      <c r="CM223" s="1884"/>
      <c r="CN223" s="1884"/>
      <c r="CO223" s="1884"/>
      <c r="CP223" s="1885">
        <f>CP178</f>
        <v>37938</v>
      </c>
      <c r="CQ223" s="1884"/>
      <c r="CR223" s="1884"/>
      <c r="CS223" s="1884"/>
      <c r="CT223" s="1884"/>
      <c r="CU223" s="1885">
        <f>CU178</f>
        <v>37963</v>
      </c>
      <c r="CV223" s="1884"/>
      <c r="CW223" s="1884"/>
      <c r="CX223" s="1884"/>
      <c r="CY223" s="1884"/>
      <c r="CZ223" s="1885">
        <f>CZ178</f>
        <v>37203</v>
      </c>
      <c r="DA223" s="1884"/>
      <c r="DB223" s="1884"/>
      <c r="DC223" s="1884"/>
      <c r="DD223" s="1884"/>
      <c r="DE223" s="1885">
        <f>DE178</f>
        <v>36834</v>
      </c>
      <c r="DF223" s="1884"/>
      <c r="DG223" s="1884"/>
      <c r="DH223" s="1884"/>
      <c r="DI223" s="1884"/>
      <c r="DJ223" s="1885">
        <f>DJ178</f>
        <v>37695</v>
      </c>
      <c r="DK223" s="1884"/>
      <c r="DL223" s="1884"/>
      <c r="DM223" s="1884"/>
      <c r="DN223" s="1884"/>
      <c r="DO223" s="1885">
        <f ca="1">DO178</f>
        <v>40909.333293104806</v>
      </c>
      <c r="DP223" s="1884"/>
      <c r="DQ223" s="1884"/>
      <c r="DR223" s="1884"/>
      <c r="DS223" s="1884"/>
      <c r="DT223" s="1885">
        <f ca="1">DT178</f>
        <v>43565.138770588936</v>
      </c>
      <c r="DU223" s="1884"/>
      <c r="DV223" s="1884"/>
      <c r="DW223" s="1884"/>
      <c r="DX223" s="1884"/>
      <c r="DY223" s="1885">
        <f ca="1">DY178</f>
        <v>45736.56675613884</v>
      </c>
      <c r="DZ223" s="1858"/>
      <c r="EA223" s="1858"/>
      <c r="EB223" s="1858"/>
    </row>
    <row r="224" spans="1:132" x14ac:dyDescent="0.2">
      <c r="A224" s="1853"/>
      <c r="B224" s="2072" t="s">
        <v>446</v>
      </c>
      <c r="C224" s="2073"/>
      <c r="D224" s="2074"/>
      <c r="E224" s="1892"/>
      <c r="F224" s="1892"/>
      <c r="G224" s="1892"/>
      <c r="H224" s="1892"/>
      <c r="I224" s="1892"/>
      <c r="J224" s="1892"/>
      <c r="K224" s="1892"/>
      <c r="L224" s="1892"/>
      <c r="M224" s="1892"/>
      <c r="N224" s="1893">
        <v>-263.45575129925749</v>
      </c>
      <c r="O224" s="1892"/>
      <c r="P224" s="1892"/>
      <c r="Q224" s="1892"/>
      <c r="R224" s="1892"/>
      <c r="S224" s="1893">
        <v>-309.00563083385924</v>
      </c>
      <c r="T224" s="1892"/>
      <c r="U224" s="1892"/>
      <c r="V224" s="1892"/>
      <c r="W224" s="1892"/>
      <c r="X224" s="1893">
        <v>-331.1738588358794</v>
      </c>
      <c r="Y224" s="1892"/>
      <c r="Z224" s="1892"/>
      <c r="AA224" s="1892"/>
      <c r="AB224" s="1892"/>
      <c r="AC224" s="1893">
        <v>-429.41985655769747</v>
      </c>
      <c r="AD224" s="1892"/>
      <c r="AE224" s="1892"/>
      <c r="AF224" s="1892"/>
      <c r="AG224" s="1892"/>
      <c r="AH224" s="1893">
        <v>-520.30769498466054</v>
      </c>
      <c r="AI224" s="1892"/>
      <c r="AJ224" s="1892"/>
      <c r="AK224" s="1892"/>
      <c r="AL224" s="1892"/>
      <c r="AM224" s="1893">
        <v>-628.19565751682819</v>
      </c>
      <c r="AN224" s="1892"/>
      <c r="AO224" s="1892"/>
      <c r="AP224" s="1892"/>
      <c r="AQ224" s="1892"/>
      <c r="AR224" s="1893">
        <v>-758.53151056808201</v>
      </c>
      <c r="AS224" s="1892"/>
      <c r="AT224" s="1892"/>
      <c r="AU224" s="1892"/>
      <c r="AV224" s="1892"/>
      <c r="AW224" s="1893">
        <v>-985.06369982904573</v>
      </c>
      <c r="AX224" s="1892"/>
      <c r="AY224" s="1892"/>
      <c r="AZ224" s="1892"/>
      <c r="BA224" s="1892"/>
      <c r="BB224" s="1893">
        <v>-1165.9682572146455</v>
      </c>
      <c r="BC224" s="1892"/>
      <c r="BD224" s="1892"/>
      <c r="BE224" s="1892"/>
      <c r="BF224" s="1892"/>
      <c r="BG224" s="1893">
        <v>-1376.2397698865625</v>
      </c>
      <c r="BH224" s="1892"/>
      <c r="BI224" s="1892"/>
      <c r="BJ224" s="1892"/>
      <c r="BK224" s="1892"/>
      <c r="BL224" s="1893">
        <v>-1622.0636413026346</v>
      </c>
      <c r="BM224" s="1892"/>
      <c r="BN224" s="1892"/>
      <c r="BO224" s="1892"/>
      <c r="BP224" s="1892"/>
      <c r="BQ224" s="1893">
        <v>-1912.6738875650672</v>
      </c>
      <c r="BR224" s="1892"/>
      <c r="BS224" s="1892"/>
      <c r="BT224" s="1892"/>
      <c r="BU224" s="1892"/>
      <c r="BV224" s="1893">
        <v>-2278.9732369392059</v>
      </c>
      <c r="BW224" s="1892"/>
      <c r="BX224" s="1892"/>
      <c r="BY224" s="1892"/>
      <c r="BZ224" s="1892"/>
      <c r="CA224" s="1893">
        <v>-2575.804928578043</v>
      </c>
      <c r="CB224" s="1892"/>
      <c r="CC224" s="1892"/>
      <c r="CD224" s="1892"/>
      <c r="CE224" s="1892"/>
      <c r="CF224" s="1893">
        <v>-2922.5961891706065</v>
      </c>
      <c r="CG224" s="1892"/>
      <c r="CH224" s="1892"/>
      <c r="CI224" s="1892"/>
      <c r="CJ224" s="1892"/>
      <c r="CK224" s="1893">
        <v>-3317.0387597549679</v>
      </c>
      <c r="CL224" s="1892"/>
      <c r="CM224" s="1892"/>
      <c r="CN224" s="1892"/>
      <c r="CO224" s="1892"/>
      <c r="CP224" s="1893">
        <v>-3632.9616351303011</v>
      </c>
      <c r="CQ224" s="1892"/>
      <c r="CR224" s="1892"/>
      <c r="CS224" s="1892"/>
      <c r="CT224" s="1892"/>
      <c r="CU224" s="1893">
        <v>-3930.6365826849151</v>
      </c>
      <c r="CV224" s="1892"/>
      <c r="CW224" s="1892"/>
      <c r="CX224" s="1892"/>
      <c r="CY224" s="1892"/>
      <c r="CZ224" s="1885">
        <v>-4172.3281082456351</v>
      </c>
      <c r="DA224" s="1892"/>
      <c r="DB224" s="1892"/>
      <c r="DC224" s="1892"/>
      <c r="DD224" s="1892"/>
      <c r="DE224" s="1885">
        <v>0</v>
      </c>
      <c r="DF224" s="1892"/>
      <c r="DG224" s="1892"/>
      <c r="DH224" s="1892"/>
      <c r="DI224" s="1892"/>
      <c r="DJ224" s="1885">
        <v>0</v>
      </c>
      <c r="DK224" s="1892"/>
      <c r="DL224" s="1892"/>
      <c r="DM224" s="1892"/>
      <c r="DN224" s="1892"/>
      <c r="DO224" s="1885">
        <v>0</v>
      </c>
      <c r="DP224" s="1892"/>
      <c r="DQ224" s="1892"/>
      <c r="DR224" s="1892"/>
      <c r="DS224" s="1892"/>
      <c r="DT224" s="1885">
        <v>0</v>
      </c>
      <c r="DU224" s="1892"/>
      <c r="DV224" s="1892"/>
      <c r="DW224" s="1892"/>
      <c r="DX224" s="1892"/>
      <c r="DY224" s="1885">
        <v>0</v>
      </c>
      <c r="DZ224" s="1858"/>
      <c r="EA224" s="1858"/>
      <c r="EB224" s="1858"/>
    </row>
    <row r="225" spans="1:132" x14ac:dyDescent="0.2">
      <c r="A225" s="1853"/>
      <c r="B225" s="2075" t="s">
        <v>447</v>
      </c>
      <c r="C225" s="2011"/>
      <c r="D225" s="2071"/>
      <c r="E225" s="1884"/>
      <c r="F225" s="1884"/>
      <c r="G225" s="1884"/>
      <c r="H225" s="1884"/>
      <c r="I225" s="1884"/>
      <c r="J225" s="1884"/>
      <c r="K225" s="1884"/>
      <c r="L225" s="1884"/>
      <c r="M225" s="1884"/>
      <c r="N225" s="1885">
        <f>SUM(N223:N224)</f>
        <v>2350.9442487007427</v>
      </c>
      <c r="O225" s="1884"/>
      <c r="P225" s="1884"/>
      <c r="Q225" s="1884"/>
      <c r="R225" s="1884"/>
      <c r="S225" s="1885">
        <f>SUM(S223:S224)</f>
        <v>2801.594369166141</v>
      </c>
      <c r="T225" s="1884"/>
      <c r="U225" s="1884"/>
      <c r="V225" s="1884"/>
      <c r="W225" s="1884"/>
      <c r="X225" s="1885">
        <f>SUM(X223:X224)</f>
        <v>3348.5261411641204</v>
      </c>
      <c r="Y225" s="1884"/>
      <c r="Z225" s="1884"/>
      <c r="AA225" s="1884"/>
      <c r="AB225" s="1884"/>
      <c r="AC225" s="1885">
        <f>SUM(AC223:AC224)</f>
        <v>3875.1801434423028</v>
      </c>
      <c r="AD225" s="1884"/>
      <c r="AE225" s="1884"/>
      <c r="AF225" s="1884"/>
      <c r="AG225" s="1884"/>
      <c r="AH225" s="1885">
        <f>SUM(AH223:AH224)</f>
        <v>4046.5923050153392</v>
      </c>
      <c r="AI225" s="1884"/>
      <c r="AJ225" s="1884"/>
      <c r="AK225" s="1884"/>
      <c r="AL225" s="1884"/>
      <c r="AM225" s="1885">
        <f>SUM(AM223:AM224)</f>
        <v>4568.8043424831721</v>
      </c>
      <c r="AN225" s="1884"/>
      <c r="AO225" s="1884"/>
      <c r="AP225" s="1884"/>
      <c r="AQ225" s="1884"/>
      <c r="AR225" s="1885">
        <f>SUM(AR223:AR224)</f>
        <v>5263.2684894319173</v>
      </c>
      <c r="AS225" s="1884"/>
      <c r="AT225" s="1884"/>
      <c r="AU225" s="1884"/>
      <c r="AV225" s="1884"/>
      <c r="AW225" s="1885">
        <f>SUM(AW223:AW224)</f>
        <v>6002.1363001709551</v>
      </c>
      <c r="AX225" s="1884"/>
      <c r="AY225" s="1884"/>
      <c r="AZ225" s="1884"/>
      <c r="BA225" s="1884"/>
      <c r="BB225" s="1885">
        <f>SUM(BB223:BB224)</f>
        <v>7165.231742785355</v>
      </c>
      <c r="BC225" s="1884"/>
      <c r="BD225" s="1884"/>
      <c r="BE225" s="1884"/>
      <c r="BF225" s="1884"/>
      <c r="BG225" s="1885">
        <f>SUM(BG223:BG224)</f>
        <v>8541.3602301134379</v>
      </c>
      <c r="BH225" s="1884"/>
      <c r="BI225" s="1884"/>
      <c r="BJ225" s="1884"/>
      <c r="BK225" s="1884"/>
      <c r="BL225" s="1885">
        <f>SUM(BL223:BL224)</f>
        <v>29699.836358697368</v>
      </c>
      <c r="BM225" s="1884"/>
      <c r="BN225" s="1884"/>
      <c r="BO225" s="1884"/>
      <c r="BP225" s="1884"/>
      <c r="BQ225" s="1885">
        <f>SUM(BQ223:BQ224)</f>
        <v>32661.726112434928</v>
      </c>
      <c r="BR225" s="1884"/>
      <c r="BS225" s="1884"/>
      <c r="BT225" s="1884"/>
      <c r="BU225" s="1884"/>
      <c r="BV225" s="1885">
        <f>SUM(BV223:BV224)</f>
        <v>33489.126763060791</v>
      </c>
      <c r="BW225" s="1884"/>
      <c r="BX225" s="1884"/>
      <c r="BY225" s="1884"/>
      <c r="BZ225" s="1884"/>
      <c r="CA225" s="1885">
        <f>SUM(CA223:CA224)</f>
        <v>35158.195071421957</v>
      </c>
      <c r="CB225" s="1884"/>
      <c r="CC225" s="1884"/>
      <c r="CD225" s="1884"/>
      <c r="CE225" s="1884"/>
      <c r="CF225" s="1885">
        <f>SUM(CF223:CF224)</f>
        <v>35158.40381082939</v>
      </c>
      <c r="CG225" s="1884"/>
      <c r="CH225" s="1884"/>
      <c r="CI225" s="1884"/>
      <c r="CJ225" s="1884"/>
      <c r="CK225" s="1885">
        <f>SUM(CK223:CK224)</f>
        <v>34386.961240245029</v>
      </c>
      <c r="CL225" s="1884"/>
      <c r="CM225" s="1884"/>
      <c r="CN225" s="1884"/>
      <c r="CO225" s="1884"/>
      <c r="CP225" s="1885">
        <f>SUM(CP223:CP224)</f>
        <v>34305.038364869702</v>
      </c>
      <c r="CQ225" s="1884"/>
      <c r="CR225" s="1884"/>
      <c r="CS225" s="1884"/>
      <c r="CT225" s="1884"/>
      <c r="CU225" s="1885">
        <f>SUM(CU223:CU224)</f>
        <v>34032.363417315086</v>
      </c>
      <c r="CV225" s="1884"/>
      <c r="CW225" s="1884"/>
      <c r="CX225" s="1884"/>
      <c r="CY225" s="1884"/>
      <c r="CZ225" s="2076">
        <f>SUM(CZ223:CZ224)</f>
        <v>33030.671891754362</v>
      </c>
      <c r="DA225" s="1884"/>
      <c r="DB225" s="1884"/>
      <c r="DC225" s="1884"/>
      <c r="DD225" s="1884"/>
      <c r="DE225" s="2076">
        <f>SUM(DE223:DE224)</f>
        <v>36834</v>
      </c>
      <c r="DF225" s="1884"/>
      <c r="DG225" s="1884"/>
      <c r="DH225" s="1884"/>
      <c r="DI225" s="1884"/>
      <c r="DJ225" s="2076">
        <f>SUM(DJ223:DJ224)</f>
        <v>37695</v>
      </c>
      <c r="DK225" s="1884"/>
      <c r="DL225" s="1884"/>
      <c r="DM225" s="1884"/>
      <c r="DN225" s="1884"/>
      <c r="DO225" s="2076">
        <f ca="1">SUM(DO223:DO224)</f>
        <v>40909.333293104806</v>
      </c>
      <c r="DP225" s="1884"/>
      <c r="DQ225" s="1884"/>
      <c r="DR225" s="1884"/>
      <c r="DS225" s="1884"/>
      <c r="DT225" s="2076">
        <f ca="1">SUM(DT223:DT224)</f>
        <v>43565.138770588936</v>
      </c>
      <c r="DU225" s="1884"/>
      <c r="DV225" s="1884"/>
      <c r="DW225" s="1884"/>
      <c r="DX225" s="1884"/>
      <c r="DY225" s="2076">
        <f ca="1">SUM(DY223:DY224)</f>
        <v>45736.56675613884</v>
      </c>
      <c r="DZ225" s="1858"/>
      <c r="EA225" s="1858"/>
      <c r="EB225" s="1858"/>
    </row>
    <row r="226" spans="1:132" x14ac:dyDescent="0.2">
      <c r="A226" s="1853"/>
      <c r="B226" s="2010"/>
      <c r="C226" s="2011"/>
      <c r="D226" s="2071"/>
      <c r="E226" s="1884"/>
      <c r="F226" s="1884"/>
      <c r="G226" s="1884"/>
      <c r="H226" s="1884"/>
      <c r="I226" s="1884"/>
      <c r="J226" s="1884"/>
      <c r="K226" s="1884"/>
      <c r="L226" s="1884"/>
      <c r="M226" s="1884"/>
      <c r="N226" s="1885"/>
      <c r="O226" s="1884"/>
      <c r="P226" s="1884"/>
      <c r="Q226" s="1884"/>
      <c r="R226" s="1884"/>
      <c r="S226" s="1885"/>
      <c r="T226" s="1884"/>
      <c r="U226" s="1884"/>
      <c r="V226" s="1884"/>
      <c r="W226" s="1884"/>
      <c r="X226" s="1885"/>
      <c r="Y226" s="1884"/>
      <c r="Z226" s="1884"/>
      <c r="AA226" s="1884"/>
      <c r="AB226" s="1884"/>
      <c r="AC226" s="1885"/>
      <c r="AD226" s="1884"/>
      <c r="AE226" s="1884"/>
      <c r="AF226" s="1884"/>
      <c r="AG226" s="1884"/>
      <c r="AH226" s="1885"/>
      <c r="AI226" s="1884"/>
      <c r="AJ226" s="1884"/>
      <c r="AK226" s="1884"/>
      <c r="AL226" s="1884"/>
      <c r="AM226" s="1885"/>
      <c r="AN226" s="1884"/>
      <c r="AO226" s="1884"/>
      <c r="AP226" s="1884"/>
      <c r="AQ226" s="1884"/>
      <c r="AR226" s="1885"/>
      <c r="AS226" s="1884"/>
      <c r="AT226" s="1884"/>
      <c r="AU226" s="1884"/>
      <c r="AV226" s="1884"/>
      <c r="AW226" s="1885"/>
      <c r="AX226" s="1884"/>
      <c r="AY226" s="1884"/>
      <c r="AZ226" s="1884"/>
      <c r="BA226" s="1884"/>
      <c r="BB226" s="1885"/>
      <c r="BC226" s="1884"/>
      <c r="BD226" s="1884"/>
      <c r="BE226" s="1884"/>
      <c r="BF226" s="1884"/>
      <c r="BG226" s="1885"/>
      <c r="BH226" s="1884"/>
      <c r="BI226" s="1884"/>
      <c r="BJ226" s="1884"/>
      <c r="BK226" s="1884"/>
      <c r="BL226" s="1885"/>
      <c r="BM226" s="1884"/>
      <c r="BN226" s="1884"/>
      <c r="BO226" s="1884"/>
      <c r="BP226" s="1884"/>
      <c r="BQ226" s="1885"/>
      <c r="BR226" s="1884"/>
      <c r="BS226" s="1884"/>
      <c r="BT226" s="1884"/>
      <c r="BU226" s="1884"/>
      <c r="BV226" s="1885"/>
      <c r="BW226" s="1884"/>
      <c r="BX226" s="1884"/>
      <c r="BY226" s="1884"/>
      <c r="BZ226" s="1884"/>
      <c r="CA226" s="1885"/>
      <c r="CB226" s="1884"/>
      <c r="CC226" s="1884"/>
      <c r="CD226" s="1884"/>
      <c r="CE226" s="1884"/>
      <c r="CF226" s="1885"/>
      <c r="CG226" s="1884"/>
      <c r="CH226" s="1884"/>
      <c r="CI226" s="1884"/>
      <c r="CJ226" s="1884"/>
      <c r="CK226" s="1885"/>
      <c r="CL226" s="1884"/>
      <c r="CM226" s="1884"/>
      <c r="CN226" s="1884"/>
      <c r="CO226" s="1884"/>
      <c r="CP226" s="1885"/>
      <c r="CQ226" s="1884"/>
      <c r="CR226" s="1884"/>
      <c r="CS226" s="1884"/>
      <c r="CT226" s="1884"/>
      <c r="CU226" s="1885"/>
      <c r="CV226" s="1884"/>
      <c r="CW226" s="1884"/>
      <c r="CX226" s="1884"/>
      <c r="CY226" s="1884"/>
      <c r="CZ226" s="1885"/>
      <c r="DA226" s="1884"/>
      <c r="DB226" s="1884"/>
      <c r="DC226" s="1884"/>
      <c r="DD226" s="1884"/>
      <c r="DE226" s="1885"/>
      <c r="DF226" s="1884"/>
      <c r="DG226" s="1884"/>
      <c r="DH226" s="1884"/>
      <c r="DI226" s="1884"/>
      <c r="DJ226" s="1885"/>
      <c r="DK226" s="1884"/>
      <c r="DL226" s="1884"/>
      <c r="DM226" s="1884"/>
      <c r="DN226" s="1884"/>
      <c r="DO226" s="1885"/>
      <c r="DP226" s="1884"/>
      <c r="DQ226" s="1884"/>
      <c r="DR226" s="1884"/>
      <c r="DS226" s="1884"/>
      <c r="DT226" s="1885"/>
      <c r="DU226" s="1884"/>
      <c r="DV226" s="1884"/>
      <c r="DW226" s="1884"/>
      <c r="DX226" s="1884"/>
      <c r="DY226" s="1885"/>
      <c r="DZ226" s="1858"/>
      <c r="EA226" s="1858"/>
      <c r="EB226" s="1858"/>
    </row>
    <row r="227" spans="1:132" x14ac:dyDescent="0.2">
      <c r="A227" s="1853"/>
      <c r="B227" s="58" t="s">
        <v>176</v>
      </c>
      <c r="C227" s="59"/>
      <c r="D227" s="59"/>
      <c r="E227" s="59"/>
      <c r="F227" s="59"/>
      <c r="G227" s="59"/>
      <c r="H227" s="59"/>
      <c r="I227" s="59"/>
      <c r="J227" s="59"/>
      <c r="K227" s="59"/>
      <c r="L227" s="59"/>
      <c r="M227" s="59"/>
      <c r="N227" s="86">
        <f>IS!N15</f>
        <v>1017.1720000000014</v>
      </c>
      <c r="O227" s="59"/>
      <c r="P227" s="59"/>
      <c r="Q227" s="59"/>
      <c r="R227" s="59"/>
      <c r="S227" s="86">
        <f>IS!S15</f>
        <v>1180.2440000000024</v>
      </c>
      <c r="T227" s="59"/>
      <c r="U227" s="59"/>
      <c r="V227" s="59"/>
      <c r="W227" s="59"/>
      <c r="X227" s="86">
        <f>IS!X15</f>
        <v>1413.3999999999996</v>
      </c>
      <c r="Y227" s="59"/>
      <c r="Z227" s="59"/>
      <c r="AA227" s="59"/>
      <c r="AB227" s="59"/>
      <c r="AC227" s="86">
        <f>IS!AC15</f>
        <v>1600.1000000000008</v>
      </c>
      <c r="AD227" s="59"/>
      <c r="AE227" s="59"/>
      <c r="AF227" s="59"/>
      <c r="AG227" s="59"/>
      <c r="AH227" s="86">
        <f>IS!AH15</f>
        <v>1091.8999999999996</v>
      </c>
      <c r="AI227" s="59"/>
      <c r="AJ227" s="59"/>
      <c r="AK227" s="59"/>
      <c r="AL227" s="59"/>
      <c r="AM227" s="86">
        <f>IS!AM15</f>
        <v>1516.5</v>
      </c>
      <c r="AN227" s="59"/>
      <c r="AO227" s="59"/>
      <c r="AP227" s="59"/>
      <c r="AQ227" s="59"/>
      <c r="AR227" s="86">
        <f>IS!AR15</f>
        <v>1765.3000000000038</v>
      </c>
      <c r="AS227" s="59"/>
      <c r="AT227" s="59"/>
      <c r="AU227" s="59"/>
      <c r="AV227" s="59"/>
      <c r="AW227" s="86">
        <f>IS!AW15</f>
        <v>1951.5</v>
      </c>
      <c r="AX227" s="59"/>
      <c r="AY227" s="59"/>
      <c r="AZ227" s="59"/>
      <c r="BA227" s="59"/>
      <c r="BB227" s="86">
        <f>IS!BB15</f>
        <v>2608.6000000000054</v>
      </c>
      <c r="BC227" s="59"/>
      <c r="BD227" s="59"/>
      <c r="BE227" s="59"/>
      <c r="BF227" s="59"/>
      <c r="BG227" s="86">
        <f>IS!BG15</f>
        <v>3019.4000000000005</v>
      </c>
      <c r="BH227" s="59"/>
      <c r="BI227" s="59"/>
      <c r="BJ227" s="59"/>
      <c r="BK227" s="59"/>
      <c r="BL227" s="86">
        <f>IS!BL15</f>
        <v>5887.8999999999978</v>
      </c>
      <c r="BM227" s="59"/>
      <c r="BN227" s="59"/>
      <c r="BO227" s="59"/>
      <c r="BP227" s="59"/>
      <c r="BQ227" s="86">
        <f>IS!BQ15</f>
        <v>7320.3999999999933</v>
      </c>
      <c r="BR227" s="59"/>
      <c r="BS227" s="59"/>
      <c r="BT227" s="59"/>
      <c r="BU227" s="59"/>
      <c r="BV227" s="86">
        <f>IS!BV15</f>
        <v>7827.2999999999884</v>
      </c>
      <c r="BW227" s="59"/>
      <c r="BX227" s="59"/>
      <c r="BY227" s="59"/>
      <c r="BZ227" s="59"/>
      <c r="CA227" s="86">
        <f>IS!CA15</f>
        <v>7634</v>
      </c>
      <c r="CB227" s="59"/>
      <c r="CC227" s="59"/>
      <c r="CD227" s="59"/>
      <c r="CE227" s="59"/>
      <c r="CF227" s="86">
        <f>IS!CF15</f>
        <v>7909.7999999999947</v>
      </c>
      <c r="CG227" s="59"/>
      <c r="CH227" s="59"/>
      <c r="CI227" s="59"/>
      <c r="CJ227" s="59"/>
      <c r="CK227" s="86">
        <f>IS!CK15</f>
        <v>8980.475000000024</v>
      </c>
      <c r="CL227" s="59"/>
      <c r="CM227" s="59"/>
      <c r="CN227" s="59"/>
      <c r="CO227" s="59"/>
      <c r="CP227" s="86">
        <f>IS!CP15</f>
        <v>9844.0000000000036</v>
      </c>
      <c r="CQ227" s="59"/>
      <c r="CR227" s="59"/>
      <c r="CS227" s="59"/>
      <c r="CT227" s="59"/>
      <c r="CU227" s="86">
        <f>IS!CU15</f>
        <v>10729.4</v>
      </c>
      <c r="CV227" s="59"/>
      <c r="CW227" s="59"/>
      <c r="CX227" s="59"/>
      <c r="CY227" s="59"/>
      <c r="CZ227" s="86">
        <f>IS!CZ15</f>
        <v>11824.174745597169</v>
      </c>
      <c r="DA227" s="59"/>
      <c r="DB227" s="59"/>
      <c r="DC227" s="59"/>
      <c r="DD227" s="59"/>
      <c r="DE227" s="86">
        <f>IS!DE15</f>
        <v>13023.099999999995</v>
      </c>
      <c r="DF227" s="59"/>
      <c r="DG227" s="59"/>
      <c r="DH227" s="59"/>
      <c r="DI227" s="59"/>
      <c r="DJ227" s="86">
        <f>IS!DJ15</f>
        <v>12465.119586129167</v>
      </c>
      <c r="DK227" s="59"/>
      <c r="DL227" s="59"/>
      <c r="DM227" s="59"/>
      <c r="DN227" s="59"/>
      <c r="DO227" s="86">
        <f ca="1">IS!DO15</f>
        <v>12490.952489506215</v>
      </c>
      <c r="DP227" s="59"/>
      <c r="DQ227" s="59"/>
      <c r="DR227" s="59"/>
      <c r="DS227" s="59"/>
      <c r="DT227" s="86">
        <f ca="1">IS!DT15</f>
        <v>12807.878134480383</v>
      </c>
      <c r="DU227" s="59"/>
      <c r="DV227" s="59"/>
      <c r="DW227" s="59"/>
      <c r="DX227" s="59"/>
      <c r="DY227" s="86">
        <f ca="1">IS!DY15</f>
        <v>13239.931171480024</v>
      </c>
      <c r="DZ227" s="1858"/>
      <c r="EA227" s="1858"/>
      <c r="EB227" s="1858"/>
    </row>
    <row r="228" spans="1:132" x14ac:dyDescent="0.2">
      <c r="A228" s="1853"/>
      <c r="B228" s="431" t="s">
        <v>448</v>
      </c>
      <c r="C228" s="59"/>
      <c r="D228" s="59"/>
      <c r="E228" s="59"/>
      <c r="F228" s="59"/>
      <c r="G228" s="59"/>
      <c r="H228" s="59"/>
      <c r="I228" s="59"/>
      <c r="J228" s="59"/>
      <c r="K228" s="59"/>
      <c r="L228" s="59"/>
      <c r="M228" s="59"/>
      <c r="N228" s="86">
        <v>-106.14799138109299</v>
      </c>
      <c r="O228" s="59"/>
      <c r="P228" s="59"/>
      <c r="Q228" s="59"/>
      <c r="R228" s="59"/>
      <c r="S228" s="86">
        <v>-109.24982759399415</v>
      </c>
      <c r="T228" s="59"/>
      <c r="U228" s="59"/>
      <c r="V228" s="59"/>
      <c r="W228" s="59"/>
      <c r="X228" s="86">
        <v>-189.30422521578095</v>
      </c>
      <c r="Y228" s="59"/>
      <c r="Z228" s="59"/>
      <c r="AA228" s="59"/>
      <c r="AB228" s="59"/>
      <c r="AC228" s="86">
        <v>-199.24564201746728</v>
      </c>
      <c r="AD228" s="59"/>
      <c r="AE228" s="59"/>
      <c r="AF228" s="59"/>
      <c r="AG228" s="59"/>
      <c r="AH228" s="86">
        <v>-240.62545248654664</v>
      </c>
      <c r="AI228" s="59"/>
      <c r="AJ228" s="59"/>
      <c r="AK228" s="59"/>
      <c r="AL228" s="59"/>
      <c r="AM228" s="86">
        <v>-235.0527703379762</v>
      </c>
      <c r="AN228" s="59"/>
      <c r="AO228" s="59"/>
      <c r="AP228" s="59"/>
      <c r="AQ228" s="59"/>
      <c r="AR228" s="86">
        <v>-230.550625269732</v>
      </c>
      <c r="AS228" s="59"/>
      <c r="AT228" s="59"/>
      <c r="AU228" s="59"/>
      <c r="AV228" s="59"/>
      <c r="AW228" s="86">
        <v>-227.82795744606187</v>
      </c>
      <c r="AX228" s="59"/>
      <c r="AY228" s="59"/>
      <c r="AZ228" s="59"/>
      <c r="BA228" s="59"/>
      <c r="BB228" s="86">
        <v>-369.19279698915489</v>
      </c>
      <c r="BC228" s="59"/>
      <c r="BD228" s="59"/>
      <c r="BE228" s="59"/>
      <c r="BF228" s="59"/>
      <c r="BG228" s="86">
        <v>-435.95772046319416</v>
      </c>
      <c r="BH228" s="59"/>
      <c r="BI228" s="59"/>
      <c r="BJ228" s="59"/>
      <c r="BK228" s="59"/>
      <c r="BL228" s="86">
        <v>-484.92015502506638</v>
      </c>
      <c r="BM228" s="59"/>
      <c r="BN228" s="59"/>
      <c r="BO228" s="59"/>
      <c r="BP228" s="59"/>
      <c r="BQ228" s="86">
        <v>-493.33877220204954</v>
      </c>
      <c r="BR228" s="59"/>
      <c r="BS228" s="59"/>
      <c r="BT228" s="59"/>
      <c r="BU228" s="59"/>
      <c r="BV228" s="86">
        <v>-481.88532691312344</v>
      </c>
      <c r="BW228" s="59"/>
      <c r="BX228" s="59"/>
      <c r="BY228" s="59"/>
      <c r="BZ228" s="59"/>
      <c r="CA228" s="86">
        <v>-561.82860150390661</v>
      </c>
      <c r="CB228" s="59"/>
      <c r="CC228" s="59"/>
      <c r="CD228" s="59"/>
      <c r="CE228" s="59"/>
      <c r="CF228" s="86">
        <v>-552.64146675883262</v>
      </c>
      <c r="CG228" s="59"/>
      <c r="CH228" s="59"/>
      <c r="CI228" s="59"/>
      <c r="CJ228" s="59"/>
      <c r="CK228" s="86">
        <v>-523.12158779789888</v>
      </c>
      <c r="CL228" s="59"/>
      <c r="CM228" s="59"/>
      <c r="CN228" s="59"/>
      <c r="CO228" s="59"/>
      <c r="CP228" s="86"/>
      <c r="CQ228" s="59"/>
      <c r="CR228" s="59"/>
      <c r="CS228" s="59"/>
      <c r="CT228" s="59"/>
      <c r="CU228" s="86"/>
      <c r="CV228" s="59"/>
      <c r="CW228" s="59"/>
      <c r="CX228" s="59"/>
      <c r="CY228" s="59"/>
      <c r="CZ228" s="86"/>
      <c r="DA228" s="59"/>
      <c r="DB228" s="59"/>
      <c r="DC228" s="59"/>
      <c r="DD228" s="59"/>
      <c r="DE228" s="86"/>
      <c r="DF228" s="59"/>
      <c r="DG228" s="59"/>
      <c r="DH228" s="59"/>
      <c r="DI228" s="59"/>
      <c r="DJ228" s="86"/>
      <c r="DK228" s="59"/>
      <c r="DL228" s="59"/>
      <c r="DM228" s="59"/>
      <c r="DN228" s="59"/>
      <c r="DO228" s="86"/>
      <c r="DP228" s="59"/>
      <c r="DQ228" s="59"/>
      <c r="DR228" s="59"/>
      <c r="DS228" s="59"/>
      <c r="DT228" s="86"/>
      <c r="DU228" s="59"/>
      <c r="DV228" s="59"/>
      <c r="DW228" s="59"/>
      <c r="DX228" s="59"/>
      <c r="DY228" s="86"/>
      <c r="DZ228" s="1858"/>
      <c r="EA228" s="1858"/>
      <c r="EB228" s="1858"/>
    </row>
    <row r="229" spans="1:132" x14ac:dyDescent="0.2">
      <c r="A229" s="1853"/>
      <c r="B229" s="431" t="s">
        <v>449</v>
      </c>
      <c r="C229" s="59"/>
      <c r="D229" s="59"/>
      <c r="E229" s="59"/>
      <c r="F229" s="59"/>
      <c r="G229" s="59"/>
      <c r="H229" s="59"/>
      <c r="I229" s="59"/>
      <c r="J229" s="59"/>
      <c r="K229" s="59"/>
      <c r="L229" s="59"/>
      <c r="M229" s="59"/>
      <c r="N229" s="86">
        <v>403.3</v>
      </c>
      <c r="O229" s="59"/>
      <c r="P229" s="59"/>
      <c r="Q229" s="59"/>
      <c r="R229" s="59"/>
      <c r="S229" s="86">
        <v>445.1</v>
      </c>
      <c r="T229" s="59"/>
      <c r="U229" s="59"/>
      <c r="V229" s="59"/>
      <c r="W229" s="59"/>
      <c r="X229" s="86">
        <v>559.19999999999993</v>
      </c>
      <c r="Y229" s="59"/>
      <c r="Z229" s="59"/>
      <c r="AA229" s="59"/>
      <c r="AB229" s="59"/>
      <c r="AC229" s="86">
        <v>675.69999999999993</v>
      </c>
      <c r="AD229" s="59"/>
      <c r="AE229" s="59"/>
      <c r="AF229" s="59"/>
      <c r="AG229" s="59"/>
      <c r="AH229" s="86">
        <v>749.1</v>
      </c>
      <c r="AI229" s="59"/>
      <c r="AJ229" s="59"/>
      <c r="AK229" s="59"/>
      <c r="AL229" s="59"/>
      <c r="AM229" s="86">
        <v>781.3</v>
      </c>
      <c r="AN229" s="59"/>
      <c r="AO229" s="59"/>
      <c r="AP229" s="59"/>
      <c r="AQ229" s="59"/>
      <c r="AR229" s="86">
        <v>828.3</v>
      </c>
      <c r="AS229" s="59"/>
      <c r="AT229" s="59"/>
      <c r="AU229" s="59"/>
      <c r="AV229" s="59"/>
      <c r="AW229" s="86">
        <v>1020.6</v>
      </c>
      <c r="AX229" s="59"/>
      <c r="AY229" s="59"/>
      <c r="AZ229" s="59"/>
      <c r="BA229" s="59"/>
      <c r="BB229" s="86">
        <v>1213.2</v>
      </c>
      <c r="BC229" s="59"/>
      <c r="BD229" s="59"/>
      <c r="BE229" s="59"/>
      <c r="BF229" s="59"/>
      <c r="BG229" s="86">
        <v>1361.2</v>
      </c>
      <c r="BH229" s="59"/>
      <c r="BI229" s="59"/>
      <c r="BJ229" s="59"/>
      <c r="BK229" s="59"/>
      <c r="BL229" s="86">
        <v>1557</v>
      </c>
      <c r="BM229" s="59"/>
      <c r="BN229" s="59"/>
      <c r="BO229" s="59"/>
      <c r="BP229" s="59"/>
      <c r="BQ229" s="86">
        <v>1691.3</v>
      </c>
      <c r="BR229" s="59"/>
      <c r="BS229" s="59"/>
      <c r="BT229" s="59"/>
      <c r="BU229" s="59"/>
      <c r="BV229" s="86">
        <v>1889</v>
      </c>
      <c r="BW229" s="59"/>
      <c r="BX229" s="59"/>
      <c r="BY229" s="59"/>
      <c r="BZ229" s="59"/>
      <c r="CA229" s="86">
        <v>2035</v>
      </c>
      <c r="CB229" s="59"/>
      <c r="CC229" s="59"/>
      <c r="CD229" s="59"/>
      <c r="CE229" s="59"/>
      <c r="CF229" s="86">
        <v>2136</v>
      </c>
      <c r="CG229" s="59"/>
      <c r="CH229" s="59"/>
      <c r="CI229" s="59"/>
      <c r="CJ229" s="59"/>
      <c r="CK229" s="86">
        <v>2193</v>
      </c>
      <c r="CL229" s="59"/>
      <c r="CM229" s="59"/>
      <c r="CN229" s="59"/>
      <c r="CO229" s="59"/>
      <c r="CP229" s="86">
        <v>2258.79</v>
      </c>
      <c r="CQ229" s="59"/>
      <c r="CR229" s="59"/>
      <c r="CS229" s="59"/>
      <c r="CT229" s="59"/>
      <c r="CU229" s="86">
        <v>2326.5536999999999</v>
      </c>
      <c r="CV229" s="59"/>
      <c r="CW229" s="59"/>
      <c r="CX229" s="59"/>
      <c r="CY229" s="59"/>
      <c r="CZ229" s="86">
        <v>2396.3503110000001</v>
      </c>
      <c r="DA229" s="59"/>
      <c r="DB229" s="59"/>
      <c r="DC229" s="59"/>
      <c r="DD229" s="59"/>
      <c r="DE229" s="86">
        <v>2778.0267884830423</v>
      </c>
      <c r="DF229" s="59"/>
      <c r="DG229" s="59"/>
      <c r="DH229" s="59"/>
      <c r="DI229" s="59"/>
      <c r="DJ229" s="86">
        <f>DE229</f>
        <v>2778.0267884830423</v>
      </c>
      <c r="DK229" s="59"/>
      <c r="DL229" s="59"/>
      <c r="DM229" s="59"/>
      <c r="DN229" s="59"/>
      <c r="DO229" s="86">
        <f>DJ229</f>
        <v>2778.0267884830423</v>
      </c>
      <c r="DP229" s="59"/>
      <c r="DQ229" s="59"/>
      <c r="DR229" s="59"/>
      <c r="DS229" s="59"/>
      <c r="DT229" s="86">
        <f>DO229</f>
        <v>2778.0267884830423</v>
      </c>
      <c r="DU229" s="59"/>
      <c r="DV229" s="59"/>
      <c r="DW229" s="59"/>
      <c r="DX229" s="59"/>
      <c r="DY229" s="86">
        <f>DT229</f>
        <v>2778.0267884830423</v>
      </c>
      <c r="DZ229" s="1858"/>
      <c r="EA229" s="1858"/>
      <c r="EB229" s="1858"/>
    </row>
    <row r="230" spans="1:132" x14ac:dyDescent="0.2">
      <c r="A230" s="1853"/>
      <c r="B230" s="58" t="s">
        <v>450</v>
      </c>
      <c r="C230" s="59"/>
      <c r="D230" s="59"/>
      <c r="E230" s="59"/>
      <c r="F230" s="59"/>
      <c r="G230" s="59"/>
      <c r="H230" s="59"/>
      <c r="I230" s="59"/>
      <c r="J230" s="59"/>
      <c r="K230" s="59"/>
      <c r="L230" s="59"/>
      <c r="M230" s="59"/>
      <c r="N230" s="86">
        <f>SUM(N227:N229)</f>
        <v>1314.3240086189085</v>
      </c>
      <c r="O230" s="59"/>
      <c r="P230" s="59"/>
      <c r="Q230" s="59"/>
      <c r="R230" s="59"/>
      <c r="S230" s="86">
        <f>SUM(S227:S229)</f>
        <v>1516.0941724060081</v>
      </c>
      <c r="T230" s="59"/>
      <c r="U230" s="59"/>
      <c r="V230" s="59"/>
      <c r="W230" s="59"/>
      <c r="X230" s="86">
        <f>SUM(X227:X229)</f>
        <v>1783.2957747842188</v>
      </c>
      <c r="Y230" s="59"/>
      <c r="Z230" s="59"/>
      <c r="AA230" s="59"/>
      <c r="AB230" s="59"/>
      <c r="AC230" s="86">
        <f>SUM(AC227:AC229)</f>
        <v>2076.5543579825335</v>
      </c>
      <c r="AD230" s="59"/>
      <c r="AE230" s="59"/>
      <c r="AF230" s="59"/>
      <c r="AG230" s="59"/>
      <c r="AH230" s="86">
        <f>SUM(AH227:AH229)</f>
        <v>1600.3745475134529</v>
      </c>
      <c r="AI230" s="59"/>
      <c r="AJ230" s="59"/>
      <c r="AK230" s="59"/>
      <c r="AL230" s="59"/>
      <c r="AM230" s="86">
        <f>SUM(AM227:AM229)</f>
        <v>2062.7472296620235</v>
      </c>
      <c r="AN230" s="59"/>
      <c r="AO230" s="59"/>
      <c r="AP230" s="59"/>
      <c r="AQ230" s="59"/>
      <c r="AR230" s="86">
        <f>SUM(AR227:AR229)</f>
        <v>2363.0493747302717</v>
      </c>
      <c r="AS230" s="59"/>
      <c r="AT230" s="59"/>
      <c r="AU230" s="59"/>
      <c r="AV230" s="59"/>
      <c r="AW230" s="86">
        <f>SUM(AW227:AW229)</f>
        <v>2744.2720425539383</v>
      </c>
      <c r="AX230" s="59"/>
      <c r="AY230" s="59"/>
      <c r="AZ230" s="59"/>
      <c r="BA230" s="59"/>
      <c r="BB230" s="86">
        <f>SUM(BB227:BB229)</f>
        <v>3452.6072030108508</v>
      </c>
      <c r="BC230" s="59"/>
      <c r="BD230" s="59"/>
      <c r="BE230" s="59"/>
      <c r="BF230" s="59"/>
      <c r="BG230" s="86">
        <f>SUM(BG227:BG229)</f>
        <v>3944.6422795368062</v>
      </c>
      <c r="BH230" s="59"/>
      <c r="BI230" s="59"/>
      <c r="BJ230" s="59"/>
      <c r="BK230" s="59"/>
      <c r="BL230" s="86">
        <f>SUM(BL227:BL229)</f>
        <v>6959.9798449749314</v>
      </c>
      <c r="BM230" s="59"/>
      <c r="BN230" s="59"/>
      <c r="BO230" s="59"/>
      <c r="BP230" s="59"/>
      <c r="BQ230" s="86">
        <f>SUM(BQ227:BQ229)</f>
        <v>8518.3612277979428</v>
      </c>
      <c r="BR230" s="59"/>
      <c r="BS230" s="59"/>
      <c r="BT230" s="59"/>
      <c r="BU230" s="59"/>
      <c r="BV230" s="86">
        <f>SUM(BV227:BV229)</f>
        <v>9234.4146730868652</v>
      </c>
      <c r="BW230" s="59"/>
      <c r="BX230" s="59"/>
      <c r="BY230" s="59"/>
      <c r="BZ230" s="59"/>
      <c r="CA230" s="86">
        <f>SUM(CA227:CA229)</f>
        <v>9107.1713984960934</v>
      </c>
      <c r="CB230" s="59"/>
      <c r="CC230" s="59"/>
      <c r="CD230" s="59"/>
      <c r="CE230" s="59"/>
      <c r="CF230" s="86">
        <f>SUM(CF227:CF229)</f>
        <v>9493.1585332411632</v>
      </c>
      <c r="CG230" s="59"/>
      <c r="CH230" s="59"/>
      <c r="CI230" s="59"/>
      <c r="CJ230" s="59"/>
      <c r="CK230" s="86">
        <f>SUM(CK227:CK229)</f>
        <v>10650.353412202125</v>
      </c>
      <c r="CL230" s="59"/>
      <c r="CM230" s="59"/>
      <c r="CN230" s="59"/>
      <c r="CO230" s="59"/>
      <c r="CP230" s="86">
        <f>+CP227+CP229</f>
        <v>12102.790000000005</v>
      </c>
      <c r="CQ230" s="59"/>
      <c r="CR230" s="59"/>
      <c r="CS230" s="59"/>
      <c r="CT230" s="59"/>
      <c r="CU230" s="86">
        <f>+CU227+CU229</f>
        <v>13055.9537</v>
      </c>
      <c r="CV230" s="59"/>
      <c r="CW230" s="59"/>
      <c r="CX230" s="59"/>
      <c r="CY230" s="59"/>
      <c r="CZ230" s="86">
        <f>+CZ227+CZ229</f>
        <v>14220.525056597169</v>
      </c>
      <c r="DA230" s="59"/>
      <c r="DB230" s="59"/>
      <c r="DC230" s="59"/>
      <c r="DD230" s="59"/>
      <c r="DE230" s="86">
        <f>+DE227+DE229</f>
        <v>15801.126788483038</v>
      </c>
      <c r="DF230" s="59"/>
      <c r="DG230" s="59"/>
      <c r="DH230" s="59"/>
      <c r="DI230" s="59"/>
      <c r="DJ230" s="86">
        <f>+DJ227+DJ229</f>
        <v>15243.14637461221</v>
      </c>
      <c r="DK230" s="59"/>
      <c r="DL230" s="59"/>
      <c r="DM230" s="59"/>
      <c r="DN230" s="59"/>
      <c r="DO230" s="86">
        <f ca="1">+DO227+DO229</f>
        <v>15268.979277989258</v>
      </c>
      <c r="DP230" s="59"/>
      <c r="DQ230" s="59"/>
      <c r="DR230" s="59"/>
      <c r="DS230" s="59"/>
      <c r="DT230" s="86">
        <f ca="1">+DT227+DT229</f>
        <v>15585.904922963426</v>
      </c>
      <c r="DU230" s="59"/>
      <c r="DV230" s="59"/>
      <c r="DW230" s="59"/>
      <c r="DX230" s="59"/>
      <c r="DY230" s="86">
        <f ca="1">+DY227+DY229</f>
        <v>16017.957959963067</v>
      </c>
      <c r="DZ230" s="1858"/>
      <c r="EA230" s="1858"/>
      <c r="EB230" s="1858"/>
    </row>
    <row r="231" spans="1:132" x14ac:dyDescent="0.2">
      <c r="A231" s="1842"/>
      <c r="B231" s="2077"/>
      <c r="C231" s="2078"/>
      <c r="D231" s="2079"/>
      <c r="E231" s="2080"/>
      <c r="F231" s="2080"/>
      <c r="G231" s="2080"/>
      <c r="H231" s="2080"/>
      <c r="I231" s="2080"/>
      <c r="J231" s="2080"/>
      <c r="K231" s="2080"/>
      <c r="L231" s="2080"/>
      <c r="M231" s="2080"/>
      <c r="N231" s="2081"/>
      <c r="O231" s="2080"/>
      <c r="P231" s="2080"/>
      <c r="Q231" s="2080"/>
      <c r="R231" s="2080"/>
      <c r="S231" s="2081"/>
      <c r="T231" s="2080"/>
      <c r="U231" s="2080"/>
      <c r="V231" s="2080"/>
      <c r="W231" s="2080"/>
      <c r="X231" s="2081"/>
      <c r="Y231" s="2080"/>
      <c r="Z231" s="2080"/>
      <c r="AA231" s="2080"/>
      <c r="AB231" s="2080"/>
      <c r="AC231" s="2081"/>
      <c r="AD231" s="2080"/>
      <c r="AE231" s="2080"/>
      <c r="AF231" s="2080"/>
      <c r="AG231" s="2080"/>
      <c r="AH231" s="2082"/>
      <c r="AI231" s="2080"/>
      <c r="AJ231" s="2080"/>
      <c r="AK231" s="2080"/>
      <c r="AL231" s="2080"/>
      <c r="AM231" s="2083"/>
      <c r="AN231" s="2080"/>
      <c r="AO231" s="2080"/>
      <c r="AP231" s="2080"/>
      <c r="AQ231" s="2080"/>
      <c r="AR231" s="2081"/>
      <c r="AS231" s="2080"/>
      <c r="AT231" s="2080"/>
      <c r="AU231" s="2080"/>
      <c r="AV231" s="2080"/>
      <c r="AW231" s="2081"/>
      <c r="AX231" s="2080"/>
      <c r="AY231" s="2080"/>
      <c r="AZ231" s="2080"/>
      <c r="BA231" s="2080"/>
      <c r="BB231" s="2081"/>
      <c r="BC231" s="2080"/>
      <c r="BD231" s="2080"/>
      <c r="BE231" s="2080"/>
      <c r="BF231" s="2080"/>
      <c r="BG231" s="2081"/>
      <c r="BH231" s="2080"/>
      <c r="BI231" s="2080"/>
      <c r="BJ231" s="2080"/>
      <c r="BK231" s="2080"/>
      <c r="BL231" s="2081"/>
      <c r="BM231" s="2080"/>
      <c r="BN231" s="2080"/>
      <c r="BO231" s="2080"/>
      <c r="BP231" s="2080"/>
      <c r="BQ231" s="2081"/>
      <c r="BR231" s="2080"/>
      <c r="BS231" s="2080"/>
      <c r="BT231" s="2080"/>
      <c r="BU231" s="2080"/>
      <c r="BV231" s="2081"/>
      <c r="BW231" s="2080"/>
      <c r="BX231" s="2080"/>
      <c r="BY231" s="2080"/>
      <c r="BZ231" s="2080"/>
      <c r="CA231" s="2081"/>
      <c r="CB231" s="2080"/>
      <c r="CC231" s="2080"/>
      <c r="CD231" s="2080"/>
      <c r="CE231" s="2080"/>
      <c r="CF231" s="2081"/>
      <c r="CG231" s="2080"/>
      <c r="CH231" s="2080"/>
      <c r="CI231" s="2080"/>
      <c r="CJ231" s="2080"/>
      <c r="CK231" s="2081"/>
      <c r="CL231" s="2080"/>
      <c r="CM231" s="2080"/>
      <c r="CN231" s="2080"/>
      <c r="CO231" s="2080"/>
      <c r="CP231" s="2081"/>
      <c r="CQ231" s="2080"/>
      <c r="CR231" s="2080"/>
      <c r="CS231" s="2080"/>
      <c r="CT231" s="2080"/>
      <c r="CU231" s="1851"/>
      <c r="CV231" s="2080"/>
      <c r="CW231" s="2080"/>
      <c r="CX231" s="2080"/>
      <c r="CY231" s="2080"/>
      <c r="CZ231" s="1851"/>
      <c r="DA231" s="2080"/>
      <c r="DB231" s="2080"/>
      <c r="DC231" s="2080"/>
      <c r="DD231" s="2080"/>
      <c r="DE231" s="1851"/>
      <c r="DF231" s="2080"/>
      <c r="DG231" s="2080"/>
      <c r="DH231" s="2080"/>
      <c r="DI231" s="2080"/>
      <c r="DJ231" s="1851"/>
      <c r="DK231" s="2080"/>
      <c r="DL231" s="2080"/>
      <c r="DM231" s="2080"/>
      <c r="DN231" s="2080"/>
      <c r="DO231" s="1851"/>
      <c r="DP231" s="2080"/>
      <c r="DQ231" s="2080"/>
      <c r="DR231" s="2080"/>
      <c r="DS231" s="2080"/>
      <c r="DT231" s="1851"/>
      <c r="DU231" s="2080"/>
      <c r="DV231" s="2080"/>
      <c r="DW231" s="2080"/>
      <c r="DX231" s="2080"/>
      <c r="DY231" s="1851"/>
      <c r="DZ231" s="1848"/>
      <c r="EA231" s="1848"/>
      <c r="EB231" s="1848"/>
    </row>
    <row r="232" spans="1:132" x14ac:dyDescent="0.2">
      <c r="A232" s="1843"/>
      <c r="B232" s="2084" t="s">
        <v>451</v>
      </c>
      <c r="C232" s="2085"/>
      <c r="D232" s="2061"/>
      <c r="E232" s="1943"/>
      <c r="F232" s="1943"/>
      <c r="G232" s="1943"/>
      <c r="H232" s="1943"/>
      <c r="I232" s="2086"/>
      <c r="J232" s="1943"/>
      <c r="K232" s="1943"/>
      <c r="L232" s="1943"/>
      <c r="M232" s="1943"/>
      <c r="N232" s="2087">
        <f>N218/(N218+N225)</f>
        <v>0.5400087084359656</v>
      </c>
      <c r="O232" s="1943"/>
      <c r="P232" s="1943"/>
      <c r="Q232" s="1943"/>
      <c r="R232" s="1943"/>
      <c r="S232" s="2087">
        <f>S218/(S218+S225)</f>
        <v>0.57099019732191703</v>
      </c>
      <c r="T232" s="1943"/>
      <c r="U232" s="1943"/>
      <c r="V232" s="1943"/>
      <c r="W232" s="1943"/>
      <c r="X232" s="2087">
        <f>X218/(X218+X225)</f>
        <v>0.55755651769754699</v>
      </c>
      <c r="Y232" s="1943"/>
      <c r="Z232" s="1943"/>
      <c r="AA232" s="1943"/>
      <c r="AB232" s="1943"/>
      <c r="AC232" s="2087">
        <f>AC218/(AC218+AC225)</f>
        <v>0.60583402875821213</v>
      </c>
      <c r="AD232" s="1943"/>
      <c r="AE232" s="1943"/>
      <c r="AF232" s="1943"/>
      <c r="AG232" s="1943"/>
      <c r="AH232" s="2087">
        <f>AH218/(AH218+AH225)</f>
        <v>0.61403158891294307</v>
      </c>
      <c r="AI232" s="1943"/>
      <c r="AJ232" s="1943"/>
      <c r="AK232" s="1943"/>
      <c r="AL232" s="1943"/>
      <c r="AM232" s="2087">
        <f>AM218/(AM218+AM225)</f>
        <v>0.59021203165930058</v>
      </c>
      <c r="AN232" s="1943"/>
      <c r="AO232" s="1943"/>
      <c r="AP232" s="1943"/>
      <c r="AQ232" s="1943"/>
      <c r="AR232" s="2087">
        <f>AR218/(AR218+AR225)</f>
        <v>0.57634686647563083</v>
      </c>
      <c r="AS232" s="1943"/>
      <c r="AT232" s="1943"/>
      <c r="AU232" s="1943"/>
      <c r="AV232" s="1943"/>
      <c r="AW232" s="2087">
        <f>AW218/(AW218+AW225)</f>
        <v>0.67590933160413502</v>
      </c>
      <c r="AX232" s="1943"/>
      <c r="AY232" s="1943"/>
      <c r="AZ232" s="1943"/>
      <c r="BA232" s="1943"/>
      <c r="BB232" s="2087">
        <f>BB218/(BB218+BB225)</f>
        <v>0.6446441782323461</v>
      </c>
      <c r="BC232" s="1943"/>
      <c r="BD232" s="1943"/>
      <c r="BE232" s="1943"/>
      <c r="BF232" s="1943"/>
      <c r="BG232" s="2087">
        <f>BG218/(BG218+BG225)</f>
        <v>0.67611685277166822</v>
      </c>
      <c r="BH232" s="1943"/>
      <c r="BI232" s="1943"/>
      <c r="BJ232" s="1943"/>
      <c r="BK232" s="1943"/>
      <c r="BL232" s="2087">
        <f>BL218/(BL218+BL225)</f>
        <v>0.4518859830272649</v>
      </c>
      <c r="BM232" s="1943"/>
      <c r="BN232" s="1943"/>
      <c r="BO232" s="1943"/>
      <c r="BP232" s="1943"/>
      <c r="BQ232" s="2087">
        <f>BQ218/(BQ218+BQ225)</f>
        <v>0.45139158745500146</v>
      </c>
      <c r="BR232" s="1943"/>
      <c r="BS232" s="1943"/>
      <c r="BT232" s="1943"/>
      <c r="BU232" s="1943"/>
      <c r="BV232" s="2087">
        <f>BV218/(BV218+BV225)</f>
        <v>0.45939830604571769</v>
      </c>
      <c r="BW232" s="1943"/>
      <c r="BX232" s="1943"/>
      <c r="BY232" s="1943"/>
      <c r="BZ232" s="1943"/>
      <c r="CA232" s="2087">
        <f>CA218/(CA218+CA225)</f>
        <v>0.44586750260186503</v>
      </c>
      <c r="CB232" s="1943"/>
      <c r="CC232" s="1943"/>
      <c r="CD232" s="1943"/>
      <c r="CE232" s="1943"/>
      <c r="CF232" s="2087">
        <f>CF218/(CF218+CF225)</f>
        <v>0.45308787426129082</v>
      </c>
      <c r="CG232" s="1943"/>
      <c r="CH232" s="1943"/>
      <c r="CI232" s="1943"/>
      <c r="CJ232" s="1943"/>
      <c r="CK232" s="2087">
        <f>CK218/(CK218+CK225)</f>
        <v>0.46122386230818441</v>
      </c>
      <c r="CL232" s="2088"/>
      <c r="CM232" s="2088"/>
      <c r="CN232" s="2088"/>
      <c r="CO232" s="2088"/>
      <c r="CP232" s="2087">
        <f>-CP218/(CP218+CP225)</f>
        <v>-0.46402479888369741</v>
      </c>
      <c r="CQ232" s="2088"/>
      <c r="CR232" s="2088"/>
      <c r="CS232" s="2088"/>
      <c r="CT232" s="2088"/>
      <c r="CU232" s="2089">
        <f>-CU218/(CU218+CU225)</f>
        <v>-0.48010005413775564</v>
      </c>
      <c r="CV232" s="2088"/>
      <c r="CW232" s="2088"/>
      <c r="CX232" s="2088"/>
      <c r="CY232" s="2088"/>
      <c r="CZ232" s="2089">
        <f>-CZ218/(CZ218+CZ225)</f>
        <v>-0.5842922892561585</v>
      </c>
      <c r="DA232" s="2088"/>
      <c r="DB232" s="2088"/>
      <c r="DC232" s="2088"/>
      <c r="DD232" s="2088"/>
      <c r="DE232" s="2089">
        <f>-DE218/(DE218+DE225)</f>
        <v>-0.55097482245773022</v>
      </c>
      <c r="DF232" s="2088"/>
      <c r="DG232" s="2088"/>
      <c r="DH232" s="2088"/>
      <c r="DI232" s="2088"/>
      <c r="DJ232" s="2089">
        <f>-DJ218/(DJ218+DJ225)</f>
        <v>-0.54870835878568591</v>
      </c>
      <c r="DK232" s="2088"/>
      <c r="DL232" s="2088"/>
      <c r="DM232" s="2088"/>
      <c r="DN232" s="2088"/>
      <c r="DO232" s="2089">
        <f ca="1">-DO218/(DO218+DO225)</f>
        <v>-0.50504314893129876</v>
      </c>
      <c r="DP232" s="2088"/>
      <c r="DQ232" s="2088"/>
      <c r="DR232" s="2088"/>
      <c r="DS232" s="2088"/>
      <c r="DT232" s="2089">
        <f ca="1">-DT218/(DT218+DT225)</f>
        <v>-0.43442467953204855</v>
      </c>
      <c r="DU232" s="2088"/>
      <c r="DV232" s="2088"/>
      <c r="DW232" s="2088"/>
      <c r="DX232" s="2088"/>
      <c r="DY232" s="2089">
        <f ca="1">-DY218/(DY218+DY225)</f>
        <v>-0.25429131119198634</v>
      </c>
      <c r="DZ232" s="1844"/>
      <c r="EA232" s="1844"/>
      <c r="EB232" s="1844"/>
    </row>
    <row r="233" spans="1:132" x14ac:dyDescent="0.2">
      <c r="A233" s="1843"/>
      <c r="B233" s="1942" t="s">
        <v>452</v>
      </c>
      <c r="C233" s="2090"/>
      <c r="D233" s="2061"/>
      <c r="E233" s="1943"/>
      <c r="F233" s="1943"/>
      <c r="G233" s="1943"/>
      <c r="H233" s="1943"/>
      <c r="I233" s="2091"/>
      <c r="J233" s="1943"/>
      <c r="K233" s="1943"/>
      <c r="L233" s="1943"/>
      <c r="M233" s="1943"/>
      <c r="N233" s="432">
        <f>+N218/N230</f>
        <v>2.0998633938857925</v>
      </c>
      <c r="O233" s="1943"/>
      <c r="P233" s="1943"/>
      <c r="Q233" s="1943"/>
      <c r="R233" s="1943"/>
      <c r="S233" s="432">
        <f>+S218/S230</f>
        <v>2.4594642498342694</v>
      </c>
      <c r="T233" s="1943"/>
      <c r="U233" s="1943"/>
      <c r="V233" s="1943"/>
      <c r="W233" s="1943"/>
      <c r="X233" s="432">
        <f>+X218/X230</f>
        <v>2.3662542569502421</v>
      </c>
      <c r="Y233" s="1943"/>
      <c r="Z233" s="1943"/>
      <c r="AA233" s="1943"/>
      <c r="AB233" s="1943"/>
      <c r="AC233" s="432">
        <f>+AC218/AC230</f>
        <v>2.8682904495882262</v>
      </c>
      <c r="AD233" s="1943"/>
      <c r="AE233" s="1943"/>
      <c r="AF233" s="1943"/>
      <c r="AG233" s="1943"/>
      <c r="AH233" s="432">
        <f>+AH218/AH230</f>
        <v>4.0225992437348097</v>
      </c>
      <c r="AI233" s="1943"/>
      <c r="AJ233" s="1943"/>
      <c r="AK233" s="1943"/>
      <c r="AL233" s="1943"/>
      <c r="AM233" s="432">
        <f>+AM218/AM230</f>
        <v>3.1901081222825649</v>
      </c>
      <c r="AN233" s="1943"/>
      <c r="AO233" s="1943"/>
      <c r="AP233" s="1943"/>
      <c r="AQ233" s="1943"/>
      <c r="AR233" s="432">
        <f>+AR218/AR230</f>
        <v>3.0300949805646211</v>
      </c>
      <c r="AS233" s="1943"/>
      <c r="AT233" s="1943"/>
      <c r="AU233" s="1943"/>
      <c r="AV233" s="1943"/>
      <c r="AW233" s="432">
        <f>+AW218/AW230</f>
        <v>4.5614257306709103</v>
      </c>
      <c r="AX233" s="1943"/>
      <c r="AY233" s="1943"/>
      <c r="AZ233" s="1943"/>
      <c r="BA233" s="1943"/>
      <c r="BB233" s="432">
        <f>+BB218/BB230</f>
        <v>3.7647808350440122</v>
      </c>
      <c r="BC233" s="1943"/>
      <c r="BD233" s="1943"/>
      <c r="BE233" s="1943"/>
      <c r="BF233" s="1943"/>
      <c r="BG233" s="432">
        <f>+BG218/BG230</f>
        <v>4.5201497579356218</v>
      </c>
      <c r="BH233" s="1943"/>
      <c r="BI233" s="1943"/>
      <c r="BJ233" s="1943"/>
      <c r="BK233" s="1943"/>
      <c r="BL233" s="432">
        <f>+BL218/BL230</f>
        <v>3.5180664336991523</v>
      </c>
      <c r="BM233" s="1943"/>
      <c r="BN233" s="1943"/>
      <c r="BO233" s="1943"/>
      <c r="BP233" s="1943"/>
      <c r="BQ233" s="432">
        <f>+BQ218/BQ230</f>
        <v>3.154816313737018</v>
      </c>
      <c r="BR233" s="1943"/>
      <c r="BS233" s="1943"/>
      <c r="BT233" s="1943"/>
      <c r="BU233" s="1943"/>
      <c r="BV233" s="432">
        <f>+BV218/BV230</f>
        <v>3.0818141004606479</v>
      </c>
      <c r="BW233" s="1943"/>
      <c r="BX233" s="1943"/>
      <c r="BY233" s="1943"/>
      <c r="BZ233" s="1943"/>
      <c r="CA233" s="432">
        <f>+CA218/CA230</f>
        <v>3.1062418068895981</v>
      </c>
      <c r="CB233" s="1943"/>
      <c r="CC233" s="1943"/>
      <c r="CD233" s="1943"/>
      <c r="CE233" s="1943"/>
      <c r="CF233" s="432">
        <f>+CF218/CF230</f>
        <v>3.0681974424290246</v>
      </c>
      <c r="CG233" s="1943"/>
      <c r="CH233" s="1943"/>
      <c r="CI233" s="1943"/>
      <c r="CJ233" s="1943"/>
      <c r="CK233" s="432">
        <f>+CK218/CK230</f>
        <v>2.7639691761757459</v>
      </c>
      <c r="CL233" s="433"/>
      <c r="CM233" s="433"/>
      <c r="CN233" s="433"/>
      <c r="CO233" s="433"/>
      <c r="CP233" s="432">
        <f>+CP218/CP230</f>
        <v>2.4539680660740171</v>
      </c>
      <c r="CQ233" s="433"/>
      <c r="CR233" s="433"/>
      <c r="CS233" s="433"/>
      <c r="CT233" s="433"/>
      <c r="CU233" s="432">
        <f>+CU218/CU230</f>
        <v>2.4071075312337031</v>
      </c>
      <c r="CV233" s="433"/>
      <c r="CW233" s="433"/>
      <c r="CX233" s="433"/>
      <c r="CY233" s="433"/>
      <c r="CZ233" s="432">
        <f>+CZ218/CZ230</f>
        <v>3.2647042985703512</v>
      </c>
      <c r="DA233" s="433"/>
      <c r="DB233" s="433"/>
      <c r="DC233" s="433"/>
      <c r="DD233" s="433"/>
      <c r="DE233" s="432">
        <f>+DE218/DE230</f>
        <v>2.8603678385003963</v>
      </c>
      <c r="DF233" s="433"/>
      <c r="DG233" s="433"/>
      <c r="DH233" s="433"/>
      <c r="DI233" s="433"/>
      <c r="DJ233" s="432">
        <f>+DJ218/DJ230</f>
        <v>3.0067229608330308</v>
      </c>
      <c r="DK233" s="433"/>
      <c r="DL233" s="433"/>
      <c r="DM233" s="433"/>
      <c r="DN233" s="433"/>
      <c r="DO233" s="432">
        <f ca="1">+DO218/DO230</f>
        <v>2.7338428114415394</v>
      </c>
      <c r="DP233" s="433"/>
      <c r="DQ233" s="433"/>
      <c r="DR233" s="433"/>
      <c r="DS233" s="433"/>
      <c r="DT233" s="432">
        <f ca="1">+DT218/DT230</f>
        <v>2.1469954214177287</v>
      </c>
      <c r="DU233" s="433"/>
      <c r="DV233" s="433"/>
      <c r="DW233" s="433"/>
      <c r="DX233" s="433"/>
      <c r="DY233" s="432">
        <f ca="1">+DY218/DY230</f>
        <v>0.97368555952183578</v>
      </c>
      <c r="DZ233" s="1844"/>
      <c r="EA233" s="1844"/>
      <c r="EB233" s="1844"/>
    </row>
    <row r="234" spans="1:132" ht="12" thickBot="1" x14ac:dyDescent="0.25">
      <c r="A234" s="1843"/>
      <c r="B234" s="2092" t="s">
        <v>453</v>
      </c>
      <c r="C234" s="2093"/>
      <c r="D234" s="2094"/>
      <c r="E234" s="2093"/>
      <c r="F234" s="2093"/>
      <c r="G234" s="2093"/>
      <c r="H234" s="2093"/>
      <c r="I234" s="2095"/>
      <c r="J234" s="2093"/>
      <c r="K234" s="2093"/>
      <c r="L234" s="2093"/>
      <c r="M234" s="2093"/>
      <c r="N234" s="434">
        <v>7.3513563817081344</v>
      </c>
      <c r="O234" s="2093"/>
      <c r="P234" s="2093"/>
      <c r="Q234" s="2093"/>
      <c r="R234" s="2093"/>
      <c r="S234" s="434">
        <v>6.1613240518797445</v>
      </c>
      <c r="T234" s="2093"/>
      <c r="U234" s="2093"/>
      <c r="V234" s="2093"/>
      <c r="W234" s="2093"/>
      <c r="X234" s="434">
        <v>6.2494754728053916</v>
      </c>
      <c r="Y234" s="2093"/>
      <c r="Z234" s="2093"/>
      <c r="AA234" s="2093"/>
      <c r="AB234" s="2093"/>
      <c r="AC234" s="434">
        <v>4.6950172659455447</v>
      </c>
      <c r="AD234" s="2093"/>
      <c r="AE234" s="2093"/>
      <c r="AF234" s="2093"/>
      <c r="AG234" s="2093"/>
      <c r="AH234" s="434">
        <v>3.5320155382410965</v>
      </c>
      <c r="AI234" s="2093"/>
      <c r="AJ234" s="2093"/>
      <c r="AK234" s="2093"/>
      <c r="AL234" s="2093"/>
      <c r="AM234" s="434">
        <v>4.4334790139236331</v>
      </c>
      <c r="AN234" s="2093"/>
      <c r="AO234" s="2093"/>
      <c r="AP234" s="2093"/>
      <c r="AQ234" s="2093"/>
      <c r="AR234" s="434">
        <v>4.7653937380696743</v>
      </c>
      <c r="AS234" s="2093"/>
      <c r="AT234" s="2093"/>
      <c r="AU234" s="2093"/>
      <c r="AV234" s="2093"/>
      <c r="AW234" s="434">
        <v>4.1349225545173276</v>
      </c>
      <c r="AX234" s="2093"/>
      <c r="AY234" s="2093"/>
      <c r="AZ234" s="2093"/>
      <c r="BA234" s="2093"/>
      <c r="BB234" s="434">
        <v>4.4196178542348266</v>
      </c>
      <c r="BC234" s="2093"/>
      <c r="BD234" s="2093"/>
      <c r="BE234" s="2093"/>
      <c r="BF234" s="2093"/>
      <c r="BG234" s="434">
        <v>3.9359428948819981</v>
      </c>
      <c r="BH234" s="2093"/>
      <c r="BI234" s="2093"/>
      <c r="BJ234" s="2093"/>
      <c r="BK234" s="2093"/>
      <c r="BL234" s="434">
        <v>5.2361123425496245</v>
      </c>
      <c r="BM234" s="2093"/>
      <c r="BN234" s="2093"/>
      <c r="BO234" s="2093"/>
      <c r="BP234" s="2093"/>
      <c r="BQ234" s="434">
        <v>5.7278262424419371</v>
      </c>
      <c r="BR234" s="2093"/>
      <c r="BS234" s="2093"/>
      <c r="BT234" s="2093"/>
      <c r="BU234" s="2093"/>
      <c r="BV234" s="434">
        <v>5.709474860843021</v>
      </c>
      <c r="BW234" s="2093"/>
      <c r="BX234" s="2093"/>
      <c r="BY234" s="2093"/>
      <c r="BZ234" s="2093"/>
      <c r="CA234" s="434">
        <v>5.7186162663383779</v>
      </c>
      <c r="CB234" s="2093"/>
      <c r="CC234" s="2093"/>
      <c r="CD234" s="2093"/>
      <c r="CE234" s="2093"/>
      <c r="CF234" s="434">
        <v>5.5356053527785765</v>
      </c>
      <c r="CG234" s="2093"/>
      <c r="CH234" s="2093"/>
      <c r="CI234" s="2093"/>
      <c r="CJ234" s="2093"/>
      <c r="CK234" s="434">
        <v>6.1320789742111934</v>
      </c>
      <c r="CL234" s="435"/>
      <c r="CM234" s="435"/>
      <c r="CN234" s="435"/>
      <c r="CO234" s="435"/>
      <c r="CP234" s="434">
        <v>6.931896508881235</v>
      </c>
      <c r="CQ234" s="435"/>
      <c r="CR234" s="435"/>
      <c r="CS234" s="435"/>
      <c r="CT234" s="435"/>
      <c r="CU234" s="434">
        <v>7.1920473283212978</v>
      </c>
      <c r="CV234" s="435"/>
      <c r="CW234" s="435"/>
      <c r="CX234" s="435"/>
      <c r="CY234" s="435"/>
      <c r="CZ234" s="434">
        <v>7.0786031114287882</v>
      </c>
      <c r="DA234" s="435"/>
      <c r="DB234" s="435"/>
      <c r="DC234" s="435"/>
      <c r="DD234" s="435"/>
      <c r="DE234" s="434">
        <v>7.9625653748942904</v>
      </c>
      <c r="DF234" s="435"/>
      <c r="DG234" s="435"/>
      <c r="DH234" s="435"/>
      <c r="DI234" s="435"/>
      <c r="DJ234" s="434">
        <f>DE234</f>
        <v>7.9625653748942904</v>
      </c>
      <c r="DK234" s="435"/>
      <c r="DL234" s="435"/>
      <c r="DM234" s="435"/>
      <c r="DN234" s="435"/>
      <c r="DO234" s="434">
        <f>DJ234</f>
        <v>7.9625653748942904</v>
      </c>
      <c r="DP234" s="435"/>
      <c r="DQ234" s="435"/>
      <c r="DR234" s="435"/>
      <c r="DS234" s="435"/>
      <c r="DT234" s="434">
        <f>DO234</f>
        <v>7.9625653748942904</v>
      </c>
      <c r="DU234" s="435"/>
      <c r="DV234" s="435"/>
      <c r="DW234" s="435"/>
      <c r="DX234" s="435"/>
      <c r="DY234" s="434">
        <f>DT234</f>
        <v>7.9625653748942904</v>
      </c>
      <c r="DZ234" s="1844"/>
      <c r="EA234" s="1844"/>
      <c r="EB234" s="1844"/>
    </row>
    <row r="235" spans="1:132" x14ac:dyDescent="0.2">
      <c r="A235" s="1842"/>
      <c r="B235" s="1850"/>
      <c r="C235" s="1850"/>
      <c r="D235" s="2057"/>
      <c r="E235" s="1850"/>
      <c r="F235" s="1850"/>
      <c r="G235" s="1850"/>
      <c r="H235" s="1850"/>
      <c r="I235" s="1850"/>
      <c r="J235" s="1850"/>
      <c r="K235" s="1850"/>
      <c r="L235" s="1850"/>
      <c r="M235" s="1850"/>
      <c r="N235" s="1850"/>
      <c r="O235" s="1850"/>
      <c r="P235" s="1850"/>
      <c r="Q235" s="1850"/>
      <c r="R235" s="1850"/>
      <c r="S235" s="1850"/>
      <c r="T235" s="1850"/>
      <c r="U235" s="1850"/>
      <c r="V235" s="1850"/>
      <c r="W235" s="1850"/>
      <c r="X235" s="1850"/>
      <c r="Y235" s="1850"/>
      <c r="Z235" s="1850"/>
      <c r="AA235" s="1850"/>
      <c r="AB235" s="1850"/>
      <c r="AC235" s="1850"/>
      <c r="AD235" s="1850"/>
      <c r="AE235" s="1850"/>
      <c r="AF235" s="1850"/>
      <c r="AG235" s="1850"/>
      <c r="AH235" s="2096"/>
      <c r="AI235" s="1850"/>
      <c r="AJ235" s="1850"/>
      <c r="AK235" s="1850"/>
      <c r="AL235" s="1850"/>
      <c r="AM235" s="2096"/>
      <c r="AN235" s="1850"/>
      <c r="AO235" s="1850"/>
      <c r="AP235" s="1850"/>
      <c r="AQ235" s="1850"/>
      <c r="AR235" s="1850"/>
      <c r="AS235" s="1850"/>
      <c r="AT235" s="1850"/>
      <c r="AU235" s="1850"/>
      <c r="AV235" s="1850"/>
      <c r="AW235" s="1850"/>
      <c r="AX235" s="1850"/>
      <c r="AY235" s="1850"/>
      <c r="AZ235" s="1850"/>
      <c r="BA235" s="1850"/>
      <c r="BB235" s="1850"/>
      <c r="BC235" s="1850"/>
      <c r="BD235" s="1850"/>
      <c r="BE235" s="1850"/>
      <c r="BF235" s="1850"/>
      <c r="BG235" s="1850"/>
      <c r="BH235" s="1850"/>
      <c r="BI235" s="1850"/>
      <c r="BJ235" s="1850"/>
      <c r="BK235" s="1850"/>
      <c r="BL235" s="1850"/>
      <c r="BM235" s="1850"/>
      <c r="BN235" s="1850"/>
      <c r="BO235" s="1850"/>
      <c r="BP235" s="1850"/>
      <c r="BQ235" s="1850"/>
      <c r="BR235" s="1850"/>
      <c r="BS235" s="1850"/>
      <c r="BT235" s="1850"/>
      <c r="BU235" s="1850"/>
      <c r="BV235" s="1850"/>
      <c r="BW235" s="1850"/>
      <c r="BX235" s="1850"/>
      <c r="BY235" s="1850"/>
      <c r="BZ235" s="1850"/>
      <c r="CA235" s="1850"/>
      <c r="CB235" s="1850"/>
      <c r="CC235" s="1850"/>
      <c r="CD235" s="1850"/>
      <c r="CE235" s="1850"/>
      <c r="CF235" s="1850"/>
      <c r="CG235" s="1850"/>
      <c r="CH235" s="1850"/>
      <c r="CI235" s="1850"/>
      <c r="CJ235" s="1850"/>
      <c r="CK235" s="1850"/>
      <c r="CL235" s="1850"/>
      <c r="CM235" s="1850"/>
      <c r="CN235" s="1850"/>
      <c r="CO235" s="1850"/>
      <c r="CP235" s="1850"/>
      <c r="CQ235" s="1850"/>
      <c r="CR235" s="1850"/>
      <c r="CS235" s="1850"/>
      <c r="CT235" s="1850"/>
      <c r="CU235" s="1850"/>
      <c r="CV235" s="1850"/>
      <c r="CW235" s="1850"/>
      <c r="CX235" s="1850"/>
      <c r="CY235" s="1850"/>
      <c r="CZ235" s="1850"/>
      <c r="DA235" s="1850"/>
      <c r="DB235" s="1850"/>
      <c r="DC235" s="1850"/>
      <c r="DD235" s="1850"/>
      <c r="DE235" s="1850"/>
      <c r="DF235" s="1850"/>
      <c r="DG235" s="1850"/>
      <c r="DH235" s="1850"/>
      <c r="DI235" s="1850"/>
      <c r="DJ235" s="1850"/>
      <c r="DK235" s="1850"/>
      <c r="DL235" s="1850"/>
      <c r="DM235" s="1850"/>
      <c r="DN235" s="1850"/>
      <c r="DO235" s="1850"/>
      <c r="DP235" s="1850"/>
      <c r="DQ235" s="1850"/>
      <c r="DR235" s="1850"/>
      <c r="DS235" s="1850"/>
      <c r="DT235" s="1850"/>
      <c r="DU235" s="1850"/>
      <c r="DV235" s="1850"/>
      <c r="DW235" s="1850"/>
      <c r="DX235" s="1850"/>
      <c r="DY235" s="1850"/>
      <c r="DZ235" s="1848"/>
      <c r="EA235" s="1848"/>
      <c r="EB235" s="1848"/>
    </row>
    <row r="236" spans="1:132" ht="12" thickBot="1" x14ac:dyDescent="0.25">
      <c r="A236" s="1842"/>
      <c r="B236" s="1850"/>
      <c r="C236" s="1850"/>
      <c r="D236" s="2057"/>
      <c r="E236" s="1850"/>
      <c r="F236" s="1850"/>
      <c r="G236" s="1850"/>
      <c r="H236" s="1850"/>
      <c r="I236" s="1850"/>
      <c r="J236" s="1850"/>
      <c r="K236" s="1850"/>
      <c r="L236" s="1850"/>
      <c r="M236" s="1850"/>
      <c r="N236" s="1850"/>
      <c r="O236" s="1850"/>
      <c r="P236" s="1850"/>
      <c r="Q236" s="1850"/>
      <c r="R236" s="1850"/>
      <c r="S236" s="1850"/>
      <c r="T236" s="1850"/>
      <c r="U236" s="1850"/>
      <c r="V236" s="1850"/>
      <c r="W236" s="1850"/>
      <c r="X236" s="1850"/>
      <c r="Y236" s="1850"/>
      <c r="Z236" s="1850"/>
      <c r="AA236" s="1850"/>
      <c r="AB236" s="1850"/>
      <c r="AC236" s="1850"/>
      <c r="AD236" s="1850"/>
      <c r="AE236" s="1850"/>
      <c r="AF236" s="1850"/>
      <c r="AG236" s="1850"/>
      <c r="AH236" s="2096"/>
      <c r="AI236" s="1850"/>
      <c r="AJ236" s="1850"/>
      <c r="AK236" s="1850"/>
      <c r="AL236" s="1850"/>
      <c r="AM236" s="2096"/>
      <c r="AN236" s="1850"/>
      <c r="AO236" s="1850"/>
      <c r="AP236" s="1850"/>
      <c r="AQ236" s="1850"/>
      <c r="AR236" s="1850"/>
      <c r="AS236" s="1850"/>
      <c r="AT236" s="1850"/>
      <c r="AU236" s="1850"/>
      <c r="AV236" s="1850"/>
      <c r="AW236" s="1850"/>
      <c r="AX236" s="1850"/>
      <c r="AY236" s="1850"/>
      <c r="AZ236" s="1850"/>
      <c r="BA236" s="1850"/>
      <c r="BB236" s="1850"/>
      <c r="BC236" s="1850"/>
      <c r="BD236" s="1850"/>
      <c r="BE236" s="1850"/>
      <c r="BF236" s="1850"/>
      <c r="BG236" s="1850"/>
      <c r="BH236" s="1850"/>
      <c r="BI236" s="1850"/>
      <c r="BJ236" s="1850"/>
      <c r="BK236" s="1850"/>
      <c r="BL236" s="1850"/>
      <c r="BM236" s="1850"/>
      <c r="BN236" s="1850"/>
      <c r="BO236" s="1850"/>
      <c r="BP236" s="1850"/>
      <c r="BQ236" s="1850"/>
      <c r="BR236" s="1850"/>
      <c r="BS236" s="1850"/>
      <c r="BT236" s="1850"/>
      <c r="BU236" s="1850"/>
      <c r="BV236" s="1850"/>
      <c r="BW236" s="1850"/>
      <c r="BX236" s="1850"/>
      <c r="BY236" s="1850"/>
      <c r="BZ236" s="1850"/>
      <c r="CA236" s="1850"/>
      <c r="CB236" s="1850"/>
      <c r="CC236" s="1850"/>
      <c r="CD236" s="1850"/>
      <c r="CE236" s="1850"/>
      <c r="CF236" s="1850"/>
      <c r="CG236" s="1850"/>
      <c r="CH236" s="1850"/>
      <c r="CI236" s="1850"/>
      <c r="CJ236" s="1850"/>
      <c r="CK236" s="1850"/>
      <c r="CL236" s="1850"/>
      <c r="CM236" s="1850"/>
      <c r="CN236" s="1850"/>
      <c r="CO236" s="1850"/>
      <c r="CP236" s="1850"/>
      <c r="CQ236" s="1850"/>
      <c r="CR236" s="1850"/>
      <c r="CS236" s="1850"/>
      <c r="CT236" s="1850"/>
      <c r="CU236" s="1850"/>
      <c r="CV236" s="1850"/>
      <c r="CW236" s="1850"/>
      <c r="CX236" s="1850"/>
      <c r="CY236" s="1850"/>
      <c r="CZ236" s="1850"/>
      <c r="DA236" s="1850"/>
      <c r="DB236" s="1850"/>
      <c r="DC236" s="1850"/>
      <c r="DD236" s="1850"/>
      <c r="DE236" s="1850"/>
      <c r="DF236" s="1850"/>
      <c r="DG236" s="1850"/>
      <c r="DH236" s="1850"/>
      <c r="DI236" s="1850"/>
      <c r="DJ236" s="1850"/>
      <c r="DK236" s="1850"/>
      <c r="DL236" s="1850"/>
      <c r="DM236" s="1850"/>
      <c r="DN236" s="1850"/>
      <c r="DO236" s="1850"/>
      <c r="DP236" s="1850"/>
      <c r="DQ236" s="1850"/>
      <c r="DR236" s="1850"/>
      <c r="DS236" s="1850"/>
      <c r="DT236" s="1850"/>
      <c r="DU236" s="1850"/>
      <c r="DV236" s="1850"/>
      <c r="DW236" s="1850"/>
      <c r="DX236" s="1850"/>
      <c r="DY236" s="1850"/>
      <c r="DZ236" s="1848"/>
      <c r="EA236" s="1848"/>
      <c r="EB236" s="1848"/>
    </row>
    <row r="237" spans="1:132" ht="12" thickBot="1" x14ac:dyDescent="0.25">
      <c r="A237" s="1842"/>
      <c r="B237" s="427" t="s">
        <v>454</v>
      </c>
      <c r="C237" s="1981"/>
      <c r="D237" s="1981"/>
      <c r="E237" s="1981"/>
      <c r="F237" s="1981"/>
      <c r="G237" s="1981"/>
      <c r="H237" s="1981"/>
      <c r="I237" s="2053"/>
      <c r="J237" s="1981"/>
      <c r="K237" s="1981"/>
      <c r="L237" s="1981"/>
      <c r="M237" s="1981"/>
      <c r="N237" s="2053"/>
      <c r="O237" s="1981"/>
      <c r="P237" s="1981"/>
      <c r="Q237" s="1981"/>
      <c r="R237" s="1981"/>
      <c r="S237" s="2053"/>
      <c r="T237" s="1981"/>
      <c r="U237" s="1981"/>
      <c r="V237" s="1981"/>
      <c r="W237" s="1981"/>
      <c r="X237" s="2053"/>
      <c r="Y237" s="1981"/>
      <c r="Z237" s="1981"/>
      <c r="AA237" s="1981"/>
      <c r="AB237" s="1981"/>
      <c r="AC237" s="2053"/>
      <c r="AD237" s="1981"/>
      <c r="AE237" s="1981"/>
      <c r="AF237" s="1981"/>
      <c r="AG237" s="1981"/>
      <c r="AH237" s="2053"/>
      <c r="AI237" s="1981"/>
      <c r="AJ237" s="1981"/>
      <c r="AK237" s="1981"/>
      <c r="AL237" s="1981"/>
      <c r="AM237" s="2053"/>
      <c r="AN237" s="1981"/>
      <c r="AO237" s="1981"/>
      <c r="AP237" s="1981"/>
      <c r="AQ237" s="1981"/>
      <c r="AR237" s="2053"/>
      <c r="AS237" s="1981"/>
      <c r="AT237" s="1981"/>
      <c r="AU237" s="1981"/>
      <c r="AV237" s="1981"/>
      <c r="AW237" s="2054"/>
      <c r="AX237" s="1981"/>
      <c r="AY237" s="1981"/>
      <c r="AZ237" s="1981"/>
      <c r="BA237" s="1981"/>
      <c r="BB237" s="2054"/>
      <c r="BC237" s="1981"/>
      <c r="BD237" s="1981"/>
      <c r="BE237" s="1981"/>
      <c r="BF237" s="1981"/>
      <c r="BG237" s="2054"/>
      <c r="BH237" s="1981"/>
      <c r="BI237" s="1981"/>
      <c r="BJ237" s="1981"/>
      <c r="BK237" s="1981"/>
      <c r="BL237" s="2054"/>
      <c r="BM237" s="1981"/>
      <c r="BN237" s="1981"/>
      <c r="BO237" s="1981"/>
      <c r="BP237" s="1981"/>
      <c r="BQ237" s="2054"/>
      <c r="BR237" s="1981"/>
      <c r="BS237" s="1981"/>
      <c r="BT237" s="1981"/>
      <c r="BU237" s="1981"/>
      <c r="BV237" s="2054"/>
      <c r="BW237" s="1981"/>
      <c r="BX237" s="1981"/>
      <c r="BY237" s="1981"/>
      <c r="BZ237" s="1981"/>
      <c r="CA237" s="2054"/>
      <c r="CB237" s="1981"/>
      <c r="CC237" s="1981"/>
      <c r="CD237" s="1981"/>
      <c r="CE237" s="1981"/>
      <c r="CF237" s="2054"/>
      <c r="CG237" s="1981"/>
      <c r="CH237" s="1981"/>
      <c r="CI237" s="1981"/>
      <c r="CJ237" s="1981"/>
      <c r="CK237" s="2054"/>
      <c r="CL237" s="1981"/>
      <c r="CM237" s="1981"/>
      <c r="CN237" s="1981"/>
      <c r="CO237" s="1981"/>
      <c r="CP237" s="2054"/>
      <c r="CQ237" s="1981"/>
      <c r="CR237" s="1981"/>
      <c r="CS237" s="1981"/>
      <c r="CT237" s="1981"/>
      <c r="CU237" s="2054"/>
      <c r="CV237" s="1981"/>
      <c r="CW237" s="1981"/>
      <c r="CX237" s="1981"/>
      <c r="CY237" s="1981"/>
      <c r="CZ237" s="2054"/>
      <c r="DA237" s="1981"/>
      <c r="DB237" s="1981"/>
      <c r="DC237" s="1981"/>
      <c r="DD237" s="1981"/>
      <c r="DE237" s="2054"/>
      <c r="DF237" s="1981"/>
      <c r="DG237" s="1981"/>
      <c r="DH237" s="1981"/>
      <c r="DI237" s="1981"/>
      <c r="DJ237" s="2054"/>
      <c r="DK237" s="1981"/>
      <c r="DL237" s="1981"/>
      <c r="DM237" s="1981"/>
      <c r="DN237" s="1981"/>
      <c r="DO237" s="2054"/>
      <c r="DP237" s="1981"/>
      <c r="DQ237" s="1981"/>
      <c r="DR237" s="1981"/>
      <c r="DS237" s="1981"/>
      <c r="DT237" s="2054"/>
      <c r="DU237" s="1981"/>
      <c r="DV237" s="1981"/>
      <c r="DW237" s="1981"/>
      <c r="DX237" s="1981"/>
      <c r="DY237" s="2054"/>
      <c r="DZ237" s="1848"/>
      <c r="EA237" s="1848"/>
      <c r="EB237" s="1848"/>
    </row>
    <row r="238" spans="1:132" ht="6" customHeight="1" x14ac:dyDescent="0.2">
      <c r="A238" s="1842"/>
      <c r="B238" s="1849"/>
      <c r="C238" s="1984"/>
      <c r="D238" s="1984"/>
      <c r="E238" s="1850"/>
      <c r="F238" s="1850"/>
      <c r="G238" s="1850"/>
      <c r="H238" s="1850"/>
      <c r="I238" s="2058"/>
      <c r="J238" s="1850"/>
      <c r="K238" s="1850"/>
      <c r="L238" s="1850"/>
      <c r="M238" s="1850"/>
      <c r="N238" s="2058"/>
      <c r="O238" s="1850"/>
      <c r="P238" s="1850"/>
      <c r="Q238" s="1850"/>
      <c r="R238" s="1850"/>
      <c r="S238" s="2058"/>
      <c r="T238" s="1850"/>
      <c r="U238" s="1850"/>
      <c r="V238" s="1850"/>
      <c r="W238" s="1850"/>
      <c r="X238" s="2058"/>
      <c r="Y238" s="1850"/>
      <c r="Z238" s="1850"/>
      <c r="AA238" s="1850"/>
      <c r="AB238" s="1850"/>
      <c r="AC238" s="2058"/>
      <c r="AD238" s="1850"/>
      <c r="AE238" s="1850"/>
      <c r="AF238" s="1850"/>
      <c r="AG238" s="1850"/>
      <c r="AH238" s="2058"/>
      <c r="AI238" s="1850"/>
      <c r="AJ238" s="1850"/>
      <c r="AK238" s="1850"/>
      <c r="AL238" s="1850"/>
      <c r="AM238" s="2058"/>
      <c r="AN238" s="1850"/>
      <c r="AO238" s="1850"/>
      <c r="AP238" s="1850"/>
      <c r="AQ238" s="1850"/>
      <c r="AR238" s="1851"/>
      <c r="AS238" s="1850"/>
      <c r="AT238" s="1850"/>
      <c r="AU238" s="1850"/>
      <c r="AV238" s="1850"/>
      <c r="AW238" s="1851"/>
      <c r="AX238" s="1850"/>
      <c r="AY238" s="1850"/>
      <c r="AZ238" s="1850"/>
      <c r="BA238" s="1850"/>
      <c r="BB238" s="1851"/>
      <c r="BC238" s="1850"/>
      <c r="BD238" s="1850"/>
      <c r="BE238" s="1850"/>
      <c r="BF238" s="1850"/>
      <c r="BG238" s="1851"/>
      <c r="BH238" s="1850"/>
      <c r="BI238" s="1850"/>
      <c r="BJ238" s="1850"/>
      <c r="BK238" s="1850"/>
      <c r="BL238" s="1851"/>
      <c r="BM238" s="1850"/>
      <c r="BN238" s="1850"/>
      <c r="BO238" s="1850"/>
      <c r="BP238" s="1850"/>
      <c r="BQ238" s="1851"/>
      <c r="BR238" s="1850"/>
      <c r="BS238" s="1850"/>
      <c r="BT238" s="1850"/>
      <c r="BU238" s="1850"/>
      <c r="BV238" s="1851"/>
      <c r="BW238" s="1850"/>
      <c r="BX238" s="1850"/>
      <c r="BY238" s="1850"/>
      <c r="BZ238" s="1850"/>
      <c r="CA238" s="1851"/>
      <c r="CB238" s="1850"/>
      <c r="CC238" s="1850"/>
      <c r="CD238" s="1850"/>
      <c r="CE238" s="1850"/>
      <c r="CF238" s="1851"/>
      <c r="CG238" s="1850"/>
      <c r="CH238" s="1850"/>
      <c r="CI238" s="1850"/>
      <c r="CJ238" s="1850"/>
      <c r="CK238" s="1851"/>
      <c r="CL238" s="1850"/>
      <c r="CM238" s="1850"/>
      <c r="CN238" s="1850"/>
      <c r="CO238" s="1850"/>
      <c r="CP238" s="1851"/>
      <c r="CQ238" s="1850"/>
      <c r="CR238" s="1850"/>
      <c r="CS238" s="1850"/>
      <c r="CT238" s="1850"/>
      <c r="CU238" s="1851"/>
      <c r="CV238" s="1850"/>
      <c r="CW238" s="1850"/>
      <c r="CX238" s="1850"/>
      <c r="CY238" s="1850"/>
      <c r="CZ238" s="1851"/>
      <c r="DA238" s="1850"/>
      <c r="DB238" s="1850"/>
      <c r="DC238" s="1850"/>
      <c r="DD238" s="1850"/>
      <c r="DE238" s="1851"/>
      <c r="DF238" s="1850"/>
      <c r="DG238" s="1850"/>
      <c r="DH238" s="1850"/>
      <c r="DI238" s="1850"/>
      <c r="DJ238" s="1851"/>
      <c r="DK238" s="1850"/>
      <c r="DL238" s="1850"/>
      <c r="DM238" s="1850"/>
      <c r="DN238" s="1850"/>
      <c r="DO238" s="1851"/>
      <c r="DP238" s="1850"/>
      <c r="DQ238" s="1850"/>
      <c r="DR238" s="1850"/>
      <c r="DS238" s="1850"/>
      <c r="DT238" s="1851"/>
      <c r="DU238" s="1850"/>
      <c r="DV238" s="1850"/>
      <c r="DW238" s="1850"/>
      <c r="DX238" s="1850"/>
      <c r="DY238" s="1851"/>
      <c r="DZ238" s="1848"/>
      <c r="EA238" s="1848"/>
      <c r="EB238" s="1848"/>
    </row>
    <row r="239" spans="1:132" x14ac:dyDescent="0.2">
      <c r="A239" s="1853"/>
      <c r="B239" s="58" t="s">
        <v>455</v>
      </c>
      <c r="C239" s="59"/>
      <c r="D239" s="59"/>
      <c r="E239" s="59"/>
      <c r="F239" s="59"/>
      <c r="G239" s="59"/>
      <c r="H239" s="59"/>
      <c r="I239" s="86">
        <f>'BS and CFS'!I143</f>
        <v>3528.9</v>
      </c>
      <c r="J239" s="59"/>
      <c r="K239" s="59"/>
      <c r="L239" s="59"/>
      <c r="M239" s="59"/>
      <c r="N239" s="86">
        <f>'BS and CFS'!N143</f>
        <v>3892.1000000000004</v>
      </c>
      <c r="O239" s="59"/>
      <c r="P239" s="59"/>
      <c r="Q239" s="59"/>
      <c r="R239" s="59"/>
      <c r="S239" s="86">
        <f>'BS and CFS'!S143</f>
        <v>4349.2</v>
      </c>
      <c r="T239" s="59"/>
      <c r="U239" s="59"/>
      <c r="V239" s="59"/>
      <c r="W239" s="59"/>
      <c r="X239" s="86">
        <f>'BS and CFS'!X143</f>
        <v>4608</v>
      </c>
      <c r="Y239" s="59"/>
      <c r="Z239" s="59"/>
      <c r="AA239" s="59"/>
      <c r="AB239" s="59"/>
      <c r="AC239" s="86">
        <f>'BS and CFS'!AC143</f>
        <v>4936.5999999999995</v>
      </c>
      <c r="AD239" s="59"/>
      <c r="AE239" s="59"/>
      <c r="AF239" s="59"/>
      <c r="AG239" s="59"/>
      <c r="AH239" s="86">
        <f>'BS and CFS'!AH143</f>
        <v>5454.1</v>
      </c>
      <c r="AI239" s="59"/>
      <c r="AJ239" s="59"/>
      <c r="AK239" s="59"/>
      <c r="AL239" s="59"/>
      <c r="AM239" s="86">
        <f>'BS and CFS'!AM143</f>
        <v>5982.1</v>
      </c>
      <c r="AN239" s="59"/>
      <c r="AO239" s="59"/>
      <c r="AP239" s="59"/>
      <c r="AQ239" s="59"/>
      <c r="AR239" s="86">
        <f>'BS and CFS'!AR143</f>
        <v>6496.5000000000009</v>
      </c>
      <c r="AS239" s="59"/>
      <c r="AT239" s="59"/>
      <c r="AU239" s="59"/>
      <c r="AV239" s="59"/>
      <c r="AW239" s="86">
        <f>'BS and CFS'!AW143</f>
        <v>7919.5</v>
      </c>
      <c r="AX239" s="59"/>
      <c r="AY239" s="59"/>
      <c r="AZ239" s="59"/>
      <c r="BA239" s="59"/>
      <c r="BB239" s="86">
        <f>'BS and CFS'!BB143</f>
        <v>8392.7000000000007</v>
      </c>
      <c r="BC239" s="59"/>
      <c r="BD239" s="59"/>
      <c r="BE239" s="59"/>
      <c r="BF239" s="59"/>
      <c r="BG239" s="86">
        <f>'BS and CFS'!BG143</f>
        <v>10391.5</v>
      </c>
      <c r="BH239" s="59"/>
      <c r="BI239" s="59"/>
      <c r="BJ239" s="59"/>
      <c r="BK239" s="59"/>
      <c r="BL239" s="86">
        <f>'BS and CFS'!BL143</f>
        <v>14149.400000000001</v>
      </c>
      <c r="BM239" s="59">
        <f>'BS and CFS'!BM143</f>
        <v>13914.2</v>
      </c>
      <c r="BN239" s="59">
        <f>'BS and CFS'!BN143</f>
        <v>13605.4</v>
      </c>
      <c r="BO239" s="59">
        <f>'BS and CFS'!BO143</f>
        <v>14968.800000000001</v>
      </c>
      <c r="BP239" s="59">
        <f>'BS and CFS'!BP143</f>
        <v>16526.2</v>
      </c>
      <c r="BQ239" s="86">
        <f>'BS and CFS'!BQ143</f>
        <v>16526.2</v>
      </c>
      <c r="BR239" s="59">
        <f>'BS and CFS'!BR143</f>
        <v>16088.6</v>
      </c>
      <c r="BS239" s="59">
        <f>'BS and CFS'!BS143</f>
        <v>16771.599999999999</v>
      </c>
      <c r="BT239" s="59">
        <f>'BS and CFS'!BT143</f>
        <v>17397.899999999998</v>
      </c>
      <c r="BU239" s="59">
        <f>'BS and CFS'!BU143</f>
        <v>17537</v>
      </c>
      <c r="BV239" s="86">
        <f>'BS and CFS'!BV143</f>
        <v>17537</v>
      </c>
      <c r="BW239" s="59">
        <f>'BS and CFS'!BW143</f>
        <v>17155</v>
      </c>
      <c r="BX239" s="59">
        <f>'BS and CFS'!BX143</f>
        <v>17270.000000000004</v>
      </c>
      <c r="BY239" s="59">
        <f>'BS and CFS'!BY143</f>
        <v>17339.000000000004</v>
      </c>
      <c r="BZ239" s="59">
        <f>'BS and CFS'!BZ143</f>
        <v>17706.000000000004</v>
      </c>
      <c r="CA239" s="86">
        <f>'BS and CFS'!CA143</f>
        <v>17706.000000000004</v>
      </c>
      <c r="CB239" s="59">
        <f>'BS and CFS'!CB143</f>
        <v>18380</v>
      </c>
      <c r="CC239" s="59">
        <f>'BS and CFS'!CC143</f>
        <v>19065</v>
      </c>
      <c r="CD239" s="59">
        <v>1000</v>
      </c>
      <c r="CE239" s="59">
        <v>1000</v>
      </c>
      <c r="CF239" s="86">
        <f>'BS and CFS'!CF143</f>
        <v>18594</v>
      </c>
      <c r="CG239" s="59">
        <v>1000</v>
      </c>
      <c r="CH239" s="59">
        <v>1000</v>
      </c>
      <c r="CI239" s="59">
        <v>1000</v>
      </c>
      <c r="CJ239" s="59">
        <v>1000</v>
      </c>
      <c r="CK239" s="86">
        <f>'BS and CFS'!CK143</f>
        <v>19852</v>
      </c>
      <c r="CL239" s="59">
        <v>1000</v>
      </c>
      <c r="CM239" s="59">
        <v>1000</v>
      </c>
      <c r="CN239" s="59">
        <v>1000</v>
      </c>
      <c r="CO239" s="59">
        <v>1000</v>
      </c>
      <c r="CP239" s="86">
        <f>'BS and CFS'!CP143</f>
        <v>25325</v>
      </c>
      <c r="CQ239" s="59">
        <v>1000</v>
      </c>
      <c r="CR239" s="59">
        <v>1000</v>
      </c>
      <c r="CS239" s="59">
        <v>1000</v>
      </c>
      <c r="CT239" s="59">
        <v>1000</v>
      </c>
      <c r="CU239" s="86">
        <f>'BS and CFS'!CU143</f>
        <v>25983</v>
      </c>
      <c r="CV239" s="59">
        <v>1000</v>
      </c>
      <c r="CW239" s="59">
        <v>1000</v>
      </c>
      <c r="CX239" s="59">
        <v>1000</v>
      </c>
      <c r="CY239" s="59">
        <v>1000</v>
      </c>
      <c r="CZ239" s="86">
        <f>'BS and CFS'!CZ143</f>
        <v>30378</v>
      </c>
      <c r="DA239" s="59">
        <v>1000</v>
      </c>
      <c r="DB239" s="59">
        <v>1000</v>
      </c>
      <c r="DC239" s="59">
        <v>1000</v>
      </c>
      <c r="DD239" s="59">
        <v>1000</v>
      </c>
      <c r="DE239" s="86">
        <f>'BS and CFS'!DE143</f>
        <v>31042</v>
      </c>
      <c r="DF239" s="59">
        <v>1000</v>
      </c>
      <c r="DG239" s="59">
        <v>1000</v>
      </c>
      <c r="DH239" s="59">
        <v>1000</v>
      </c>
      <c r="DI239" s="59">
        <v>1000</v>
      </c>
      <c r="DJ239" s="86">
        <f>'BS and CFS'!DJ143</f>
        <v>31229</v>
      </c>
      <c r="DK239" s="59">
        <v>1000</v>
      </c>
      <c r="DL239" s="59">
        <v>1000</v>
      </c>
      <c r="DM239" s="59">
        <v>1000</v>
      </c>
      <c r="DN239" s="59">
        <v>1000</v>
      </c>
      <c r="DO239" s="86">
        <f ca="1">'BS and CFS'!DO143</f>
        <v>74268.269483225318</v>
      </c>
      <c r="DP239" s="59">
        <v>1000</v>
      </c>
      <c r="DQ239" s="59">
        <v>1000</v>
      </c>
      <c r="DR239" s="59">
        <v>1000</v>
      </c>
      <c r="DS239" s="59">
        <v>1000</v>
      </c>
      <c r="DT239" s="86">
        <f ca="1">'BS and CFS'!DT143</f>
        <v>78881.780906929329</v>
      </c>
      <c r="DU239" s="59">
        <v>1000</v>
      </c>
      <c r="DV239" s="59">
        <v>1000</v>
      </c>
      <c r="DW239" s="59">
        <v>1000</v>
      </c>
      <c r="DX239" s="59">
        <v>1000</v>
      </c>
      <c r="DY239" s="86">
        <f ca="1">'BS and CFS'!DY143</f>
        <v>82648.294314310129</v>
      </c>
      <c r="DZ239" s="1858"/>
      <c r="EA239" s="78"/>
      <c r="EB239" s="78"/>
    </row>
    <row r="240" spans="1:132" x14ac:dyDescent="0.2">
      <c r="A240" s="1853"/>
      <c r="B240" s="58" t="s">
        <v>456</v>
      </c>
      <c r="C240" s="310"/>
      <c r="D240" s="310"/>
      <c r="E240" s="310"/>
      <c r="F240" s="310"/>
      <c r="G240" s="310"/>
      <c r="H240" s="310"/>
      <c r="I240" s="314">
        <f>'BS and CFS'!I160</f>
        <v>2122.8000000000002</v>
      </c>
      <c r="J240" s="310"/>
      <c r="K240" s="310"/>
      <c r="L240" s="310"/>
      <c r="M240" s="310"/>
      <c r="N240" s="314">
        <f>'BS and CFS'!N160</f>
        <v>2910.6000000000004</v>
      </c>
      <c r="O240" s="310"/>
      <c r="P240" s="310"/>
      <c r="Q240" s="310"/>
      <c r="R240" s="310"/>
      <c r="S240" s="314">
        <f>'BS and CFS'!S160</f>
        <v>3133.3</v>
      </c>
      <c r="T240" s="310"/>
      <c r="U240" s="310"/>
      <c r="V240" s="310"/>
      <c r="W240" s="310"/>
      <c r="X240" s="314">
        <f>'BS and CFS'!X160</f>
        <v>2889.9</v>
      </c>
      <c r="Y240" s="310"/>
      <c r="Z240" s="310"/>
      <c r="AA240" s="310"/>
      <c r="AB240" s="310"/>
      <c r="AC240" s="314">
        <f>'BS and CFS'!AC160</f>
        <v>2964.1</v>
      </c>
      <c r="AD240" s="310"/>
      <c r="AE240" s="310"/>
      <c r="AF240" s="310"/>
      <c r="AG240" s="310"/>
      <c r="AH240" s="314">
        <f>'BS and CFS'!AH160</f>
        <v>3065.9</v>
      </c>
      <c r="AI240" s="310"/>
      <c r="AJ240" s="310"/>
      <c r="AK240" s="310"/>
      <c r="AL240" s="310"/>
      <c r="AM240" s="314">
        <f>'BS and CFS'!AM160</f>
        <v>3105.9</v>
      </c>
      <c r="AN240" s="310"/>
      <c r="AO240" s="310"/>
      <c r="AP240" s="310"/>
      <c r="AQ240" s="310"/>
      <c r="AR240" s="314">
        <f>'BS and CFS'!AR160</f>
        <v>3489.2</v>
      </c>
      <c r="AS240" s="310"/>
      <c r="AT240" s="310"/>
      <c r="AU240" s="310"/>
      <c r="AV240" s="310"/>
      <c r="AW240" s="314">
        <f>'BS and CFS'!AW160</f>
        <v>4858.8</v>
      </c>
      <c r="AX240" s="310"/>
      <c r="AY240" s="310"/>
      <c r="AZ240" s="310"/>
      <c r="BA240" s="310"/>
      <c r="BB240" s="314">
        <f>'BS and CFS'!BB160</f>
        <v>4583.8999999999996</v>
      </c>
      <c r="BC240" s="310"/>
      <c r="BD240" s="310"/>
      <c r="BE240" s="310"/>
      <c r="BF240" s="310"/>
      <c r="BG240" s="314">
        <f>'BS and CFS'!BG160</f>
        <v>7000.7</v>
      </c>
      <c r="BH240" s="310"/>
      <c r="BI240" s="310"/>
      <c r="BJ240" s="310"/>
      <c r="BK240" s="310"/>
      <c r="BL240" s="314">
        <f>'BS and CFS'!BL160</f>
        <v>10766.3</v>
      </c>
      <c r="BM240" s="310">
        <f>'BS and CFS'!BM160</f>
        <v>9780.1</v>
      </c>
      <c r="BN240" s="310">
        <f>'BS and CFS'!BN160</f>
        <v>8810.8000000000011</v>
      </c>
      <c r="BO240" s="310">
        <f>'BS and CFS'!BO160</f>
        <v>9883.5</v>
      </c>
      <c r="BP240" s="310">
        <f>'BS and CFS'!BP160</f>
        <v>13489.900000000001</v>
      </c>
      <c r="BQ240" s="314">
        <f>'BS and CFS'!BQ160</f>
        <v>13489.900000000001</v>
      </c>
      <c r="BR240" s="310">
        <f>'BS and CFS'!BR160</f>
        <v>11498.8</v>
      </c>
      <c r="BS240" s="310">
        <f>'BS and CFS'!BS160</f>
        <v>12763.8</v>
      </c>
      <c r="BT240" s="310">
        <f>'BS and CFS'!BT160</f>
        <v>12700.399999999998</v>
      </c>
      <c r="BU240" s="310">
        <f>'BS and CFS'!BU160</f>
        <v>12300</v>
      </c>
      <c r="BV240" s="314">
        <f>'BS and CFS'!BV160</f>
        <v>12300</v>
      </c>
      <c r="BW240" s="310">
        <f>'BS and CFS'!BW160</f>
        <v>12337</v>
      </c>
      <c r="BX240" s="310">
        <f>'BS and CFS'!BX160</f>
        <v>11459</v>
      </c>
      <c r="BY240" s="310">
        <f>'BS and CFS'!BY160</f>
        <v>11674</v>
      </c>
      <c r="BZ240" s="310">
        <f>'BS and CFS'!BZ160</f>
        <v>11070</v>
      </c>
      <c r="CA240" s="314">
        <f>'BS and CFS'!CA160</f>
        <v>11070</v>
      </c>
      <c r="CB240" s="310">
        <f>'BS and CFS'!CB160</f>
        <v>11465</v>
      </c>
      <c r="CC240" s="310">
        <f>'BS and CFS'!CC160</f>
        <v>11752</v>
      </c>
      <c r="CD240" s="310">
        <f>'BS and CFS'!CD160</f>
        <v>12350</v>
      </c>
      <c r="CE240" s="310">
        <f>'BS and CFS'!CE160</f>
        <v>11956</v>
      </c>
      <c r="CF240" s="314">
        <f>'BS and CFS'!CF160</f>
        <v>11956</v>
      </c>
      <c r="CG240" s="310">
        <f>'BS and CFS'!CG160</f>
        <v>13412</v>
      </c>
      <c r="CH240" s="310">
        <f>'BS and CFS'!CH160</f>
        <v>13136</v>
      </c>
      <c r="CI240" s="310">
        <f>'BS and CFS'!CI160</f>
        <v>13263</v>
      </c>
      <c r="CJ240" s="310">
        <f>'BS and CFS'!CJ160</f>
        <v>13790</v>
      </c>
      <c r="CK240" s="314">
        <f>'BS and CFS'!CK160</f>
        <v>13790</v>
      </c>
      <c r="CL240" s="310">
        <f>'BS and CFS'!CL160</f>
        <v>13195</v>
      </c>
      <c r="CM240" s="310">
        <f>'BS and CFS'!CM160</f>
        <v>12690</v>
      </c>
      <c r="CN240" s="310">
        <f>'BS and CFS'!CN160</f>
        <v>15098</v>
      </c>
      <c r="CO240" s="310">
        <f>'BS and CFS'!CO160</f>
        <v>15425</v>
      </c>
      <c r="CP240" s="314">
        <f>'BS and CFS'!CP160</f>
        <v>15425</v>
      </c>
      <c r="CQ240" s="310">
        <f>'BS and CFS'!CQ160</f>
        <v>16213</v>
      </c>
      <c r="CR240" s="310">
        <f>'BS and CFS'!CR160</f>
        <v>16629</v>
      </c>
      <c r="CS240" s="310">
        <f>'BS and CFS'!CS160</f>
        <v>18213</v>
      </c>
      <c r="CT240" s="310">
        <f>'BS and CFS'!CT160</f>
        <v>19027</v>
      </c>
      <c r="CU240" s="314">
        <f>'BS and CFS'!CU160</f>
        <v>19027</v>
      </c>
      <c r="CV240" s="310">
        <f>'BS and CFS'!CV160</f>
        <v>19713</v>
      </c>
      <c r="CW240" s="310">
        <f>'BS and CFS'!CW160</f>
        <v>20386</v>
      </c>
      <c r="CX240" s="310">
        <f>'BS and CFS'!CX160</f>
        <v>21434</v>
      </c>
      <c r="CY240" s="310">
        <f>'BS and CFS'!CY160</f>
        <v>23169</v>
      </c>
      <c r="CZ240" s="314">
        <f>'BS and CFS'!CZ160</f>
        <v>23169</v>
      </c>
      <c r="DA240" s="310">
        <f>'BS and CFS'!DA160</f>
        <v>24537</v>
      </c>
      <c r="DB240" s="310">
        <f>'BS and CFS'!DB160</f>
        <v>26569</v>
      </c>
      <c r="DC240" s="310">
        <f>'BS and CFS'!DC160</f>
        <v>26741</v>
      </c>
      <c r="DD240" s="310">
        <f>'BS and CFS'!DD160</f>
        <v>26250</v>
      </c>
      <c r="DE240" s="314">
        <f>'BS and CFS'!DE160</f>
        <v>26250</v>
      </c>
      <c r="DF240" s="310">
        <f>'BS and CFS'!DF160</f>
        <v>27288</v>
      </c>
      <c r="DG240" s="310">
        <f>'BS and CFS'!DG160</f>
        <v>26857</v>
      </c>
      <c r="DH240" s="310">
        <f>'BS and CFS'!DH160</f>
        <v>28513</v>
      </c>
      <c r="DI240" s="310">
        <f>'BS and CFS'!DI160</f>
        <v>30648</v>
      </c>
      <c r="DJ240" s="314">
        <f>'BS and CFS'!DJ160</f>
        <v>30648</v>
      </c>
      <c r="DK240" s="310">
        <f ca="1">'BS and CFS'!DK160</f>
        <v>28737.875828898286</v>
      </c>
      <c r="DL240" s="310">
        <f ca="1">'BS and CFS'!DL160</f>
        <v>30378.262342154325</v>
      </c>
      <c r="DM240" s="310">
        <f ca="1">'BS and CFS'!DM160</f>
        <v>30185.350851342577</v>
      </c>
      <c r="DN240" s="310">
        <f ca="1">'BS and CFS'!DN160</f>
        <v>31232.098663720502</v>
      </c>
      <c r="DO240" s="314">
        <f ca="1">'BS and CFS'!DO160</f>
        <v>31232.098663720502</v>
      </c>
      <c r="DP240" s="310">
        <f ca="1">'BS and CFS'!DP160</f>
        <v>29723.518946243134</v>
      </c>
      <c r="DQ240" s="310">
        <f ca="1">'BS and CFS'!DQ160</f>
        <v>31457.496685943326</v>
      </c>
      <c r="DR240" s="310">
        <f ca="1">'BS and CFS'!DR160</f>
        <v>31234.101400514963</v>
      </c>
      <c r="DS240" s="310">
        <f ca="1">'BS and CFS'!DS160</f>
        <v>32315.641431540393</v>
      </c>
      <c r="DT240" s="314">
        <f ca="1">'BS and CFS'!DT160</f>
        <v>32315.641431540393</v>
      </c>
      <c r="DU240" s="310">
        <f ca="1">'BS and CFS'!DU160</f>
        <v>30506.894444754333</v>
      </c>
      <c r="DV240" s="310">
        <f ca="1">'BS and CFS'!DV160</f>
        <v>32276.288889437754</v>
      </c>
      <c r="DW240" s="310">
        <f ca="1">'BS and CFS'!DW160</f>
        <v>32016.932657556747</v>
      </c>
      <c r="DX240" s="310">
        <f ca="1">'BS and CFS'!DX160</f>
        <v>33105.450752475299</v>
      </c>
      <c r="DY240" s="314">
        <f ca="1">'BS and CFS'!DY160</f>
        <v>33105.450752475299</v>
      </c>
      <c r="DZ240" s="1858"/>
      <c r="EA240" s="78"/>
      <c r="EB240" s="78"/>
    </row>
    <row r="241" spans="1:132" x14ac:dyDescent="0.2">
      <c r="A241" s="1853"/>
      <c r="B241" s="315" t="s">
        <v>457</v>
      </c>
      <c r="C241" s="59"/>
      <c r="D241" s="59"/>
      <c r="E241" s="59"/>
      <c r="F241" s="59"/>
      <c r="G241" s="59"/>
      <c r="H241" s="59"/>
      <c r="I241" s="86">
        <f>I239-I240</f>
        <v>1406.1</v>
      </c>
      <c r="J241" s="59"/>
      <c r="K241" s="59"/>
      <c r="L241" s="59"/>
      <c r="M241" s="59"/>
      <c r="N241" s="86">
        <f>N239-N240</f>
        <v>981.5</v>
      </c>
      <c r="O241" s="59"/>
      <c r="P241" s="59"/>
      <c r="Q241" s="59"/>
      <c r="R241" s="59"/>
      <c r="S241" s="86">
        <f>S239-S240</f>
        <v>1215.8999999999996</v>
      </c>
      <c r="T241" s="59"/>
      <c r="U241" s="59"/>
      <c r="V241" s="59"/>
      <c r="W241" s="59"/>
      <c r="X241" s="86">
        <f>X239-X240</f>
        <v>1718.1</v>
      </c>
      <c r="Y241" s="59"/>
      <c r="Z241" s="59"/>
      <c r="AA241" s="59"/>
      <c r="AB241" s="59"/>
      <c r="AC241" s="86">
        <f>AC239-AC240</f>
        <v>1972.4999999999995</v>
      </c>
      <c r="AD241" s="59"/>
      <c r="AE241" s="59"/>
      <c r="AF241" s="59"/>
      <c r="AG241" s="59"/>
      <c r="AH241" s="86">
        <f>AH239-AH240</f>
        <v>2388.2000000000003</v>
      </c>
      <c r="AI241" s="59"/>
      <c r="AJ241" s="59"/>
      <c r="AK241" s="59"/>
      <c r="AL241" s="59"/>
      <c r="AM241" s="86">
        <f>AM239-AM240</f>
        <v>2876.2000000000003</v>
      </c>
      <c r="AN241" s="59"/>
      <c r="AO241" s="59"/>
      <c r="AP241" s="59"/>
      <c r="AQ241" s="59"/>
      <c r="AR241" s="86">
        <f>AR239-AR240</f>
        <v>3007.3000000000011</v>
      </c>
      <c r="AS241" s="59"/>
      <c r="AT241" s="59"/>
      <c r="AU241" s="59"/>
      <c r="AV241" s="59"/>
      <c r="AW241" s="86">
        <f>AW239-AW240</f>
        <v>3060.7</v>
      </c>
      <c r="AX241" s="59"/>
      <c r="AY241" s="59"/>
      <c r="AZ241" s="59"/>
      <c r="BA241" s="59"/>
      <c r="BB241" s="86">
        <f>BB239-BB240</f>
        <v>3808.8000000000011</v>
      </c>
      <c r="BC241" s="59"/>
      <c r="BD241" s="59"/>
      <c r="BE241" s="59"/>
      <c r="BF241" s="59"/>
      <c r="BG241" s="86">
        <f>BG239-BG240</f>
        <v>3390.8</v>
      </c>
      <c r="BH241" s="59"/>
      <c r="BI241" s="59"/>
      <c r="BJ241" s="59"/>
      <c r="BK241" s="59"/>
      <c r="BL241" s="86">
        <f t="shared" ref="BL241:DJ241" si="282">BL239-BL240</f>
        <v>3383.1000000000022</v>
      </c>
      <c r="BM241" s="59">
        <f t="shared" si="282"/>
        <v>4134.1000000000004</v>
      </c>
      <c r="BN241" s="59">
        <f t="shared" si="282"/>
        <v>4794.5999999999985</v>
      </c>
      <c r="BO241" s="59">
        <f t="shared" si="282"/>
        <v>5085.3000000000011</v>
      </c>
      <c r="BP241" s="59">
        <f t="shared" si="282"/>
        <v>3036.2999999999993</v>
      </c>
      <c r="BQ241" s="86">
        <f t="shared" si="282"/>
        <v>3036.2999999999993</v>
      </c>
      <c r="BR241" s="59">
        <f t="shared" si="282"/>
        <v>4589.8000000000011</v>
      </c>
      <c r="BS241" s="59">
        <f t="shared" si="282"/>
        <v>4007.7999999999993</v>
      </c>
      <c r="BT241" s="59">
        <f t="shared" si="282"/>
        <v>4697.5</v>
      </c>
      <c r="BU241" s="59">
        <f t="shared" si="282"/>
        <v>5237</v>
      </c>
      <c r="BV241" s="86">
        <f t="shared" si="282"/>
        <v>5237</v>
      </c>
      <c r="BW241" s="59">
        <f t="shared" si="282"/>
        <v>4818</v>
      </c>
      <c r="BX241" s="59">
        <f t="shared" si="282"/>
        <v>5811.0000000000036</v>
      </c>
      <c r="BY241" s="59">
        <f t="shared" si="282"/>
        <v>5665.0000000000036</v>
      </c>
      <c r="BZ241" s="59">
        <f t="shared" si="282"/>
        <v>6636.0000000000036</v>
      </c>
      <c r="CA241" s="86">
        <f t="shared" si="282"/>
        <v>6636.0000000000036</v>
      </c>
      <c r="CB241" s="59">
        <f t="shared" si="282"/>
        <v>6915</v>
      </c>
      <c r="CC241" s="59">
        <f t="shared" si="282"/>
        <v>7313</v>
      </c>
      <c r="CD241" s="59">
        <f t="shared" si="282"/>
        <v>-11350</v>
      </c>
      <c r="CE241" s="59">
        <f t="shared" si="282"/>
        <v>-10956</v>
      </c>
      <c r="CF241" s="86">
        <f t="shared" si="282"/>
        <v>6638</v>
      </c>
      <c r="CG241" s="59">
        <f t="shared" si="282"/>
        <v>-12412</v>
      </c>
      <c r="CH241" s="59">
        <f t="shared" si="282"/>
        <v>-12136</v>
      </c>
      <c r="CI241" s="59">
        <f t="shared" si="282"/>
        <v>-12263</v>
      </c>
      <c r="CJ241" s="59">
        <f t="shared" si="282"/>
        <v>-12790</v>
      </c>
      <c r="CK241" s="86">
        <f t="shared" si="282"/>
        <v>6062</v>
      </c>
      <c r="CL241" s="59">
        <f t="shared" si="282"/>
        <v>-12195</v>
      </c>
      <c r="CM241" s="59">
        <f t="shared" si="282"/>
        <v>-11690</v>
      </c>
      <c r="CN241" s="59">
        <f t="shared" si="282"/>
        <v>-14098</v>
      </c>
      <c r="CO241" s="59">
        <f t="shared" si="282"/>
        <v>-14425</v>
      </c>
      <c r="CP241" s="86">
        <f t="shared" si="282"/>
        <v>9900</v>
      </c>
      <c r="CQ241" s="59">
        <f t="shared" si="282"/>
        <v>-15213</v>
      </c>
      <c r="CR241" s="59">
        <f t="shared" si="282"/>
        <v>-15629</v>
      </c>
      <c r="CS241" s="59">
        <f t="shared" si="282"/>
        <v>-17213</v>
      </c>
      <c r="CT241" s="59">
        <f t="shared" si="282"/>
        <v>-18027</v>
      </c>
      <c r="CU241" s="86">
        <f t="shared" si="282"/>
        <v>6956</v>
      </c>
      <c r="CV241" s="59">
        <f t="shared" si="282"/>
        <v>-18713</v>
      </c>
      <c r="CW241" s="59">
        <f t="shared" si="282"/>
        <v>-19386</v>
      </c>
      <c r="CX241" s="59">
        <f t="shared" si="282"/>
        <v>-20434</v>
      </c>
      <c r="CY241" s="59">
        <f t="shared" si="282"/>
        <v>-22169</v>
      </c>
      <c r="CZ241" s="86">
        <f t="shared" si="282"/>
        <v>7209</v>
      </c>
      <c r="DA241" s="59">
        <f t="shared" si="282"/>
        <v>-23537</v>
      </c>
      <c r="DB241" s="59">
        <f>DB239-DB240</f>
        <v>-25569</v>
      </c>
      <c r="DC241" s="59">
        <f>DC239-DC240</f>
        <v>-25741</v>
      </c>
      <c r="DD241" s="59">
        <f>DD239-DD240</f>
        <v>-25250</v>
      </c>
      <c r="DE241" s="86">
        <f t="shared" si="282"/>
        <v>4792</v>
      </c>
      <c r="DF241" s="59">
        <f t="shared" si="282"/>
        <v>-26288</v>
      </c>
      <c r="DG241" s="59">
        <f t="shared" si="282"/>
        <v>-25857</v>
      </c>
      <c r="DH241" s="59">
        <f t="shared" si="282"/>
        <v>-27513</v>
      </c>
      <c r="DI241" s="59">
        <f t="shared" si="282"/>
        <v>-29648</v>
      </c>
      <c r="DJ241" s="86">
        <f t="shared" si="282"/>
        <v>581</v>
      </c>
      <c r="DK241" s="59">
        <f t="shared" ref="DK241:DT241" ca="1" si="283">DK239-DK240</f>
        <v>-27737.875828898286</v>
      </c>
      <c r="DL241" s="59">
        <f t="shared" ca="1" si="283"/>
        <v>-29378.262342154325</v>
      </c>
      <c r="DM241" s="59">
        <f t="shared" ca="1" si="283"/>
        <v>-29185.350851342577</v>
      </c>
      <c r="DN241" s="59">
        <f t="shared" ca="1" si="283"/>
        <v>-30232.098663720502</v>
      </c>
      <c r="DO241" s="86">
        <f t="shared" ca="1" si="283"/>
        <v>43036.170819504812</v>
      </c>
      <c r="DP241" s="59">
        <f t="shared" ca="1" si="283"/>
        <v>-28723.518946243134</v>
      </c>
      <c r="DQ241" s="59">
        <f t="shared" ca="1" si="283"/>
        <v>-30457.496685943326</v>
      </c>
      <c r="DR241" s="59">
        <f t="shared" ca="1" si="283"/>
        <v>-30234.101400514963</v>
      </c>
      <c r="DS241" s="59">
        <f t="shared" ca="1" si="283"/>
        <v>-31315.641431540393</v>
      </c>
      <c r="DT241" s="86">
        <f t="shared" ca="1" si="283"/>
        <v>46566.139475388933</v>
      </c>
      <c r="DU241" s="59">
        <f t="shared" ref="DU241:DY241" ca="1" si="284">DU239-DU240</f>
        <v>-29506.894444754333</v>
      </c>
      <c r="DV241" s="59">
        <f t="shared" ca="1" si="284"/>
        <v>-31276.288889437754</v>
      </c>
      <c r="DW241" s="59">
        <f t="shared" ca="1" si="284"/>
        <v>-31016.932657556747</v>
      </c>
      <c r="DX241" s="59">
        <f t="shared" ca="1" si="284"/>
        <v>-32105.450752475299</v>
      </c>
      <c r="DY241" s="86">
        <f t="shared" ca="1" si="284"/>
        <v>49542.84356183483</v>
      </c>
      <c r="DZ241" s="1858"/>
      <c r="EA241" s="78"/>
      <c r="EB241" s="78"/>
    </row>
    <row r="242" spans="1:132" x14ac:dyDescent="0.2">
      <c r="A242" s="1961"/>
      <c r="B242" s="2097" t="s">
        <v>458</v>
      </c>
      <c r="C242" s="2017"/>
      <c r="D242" s="2017"/>
      <c r="E242" s="2017"/>
      <c r="F242" s="2017"/>
      <c r="G242" s="2017"/>
      <c r="H242" s="2017"/>
      <c r="I242" s="2098">
        <f>I241/IS!I$10</f>
        <v>0.11884276006626322</v>
      </c>
      <c r="J242" s="2017"/>
      <c r="K242" s="2017"/>
      <c r="L242" s="2017"/>
      <c r="M242" s="2017"/>
      <c r="N242" s="2098">
        <f>N241/IS!N$10</f>
        <v>7.1383754628398285E-2</v>
      </c>
      <c r="O242" s="2017"/>
      <c r="P242" s="2017"/>
      <c r="Q242" s="2017"/>
      <c r="R242" s="2017"/>
      <c r="S242" s="2098">
        <f>S241/IS!S$10</f>
        <v>7.9607950974230013E-2</v>
      </c>
      <c r="T242" s="2017"/>
      <c r="U242" s="2017"/>
      <c r="V242" s="2017"/>
      <c r="W242" s="2017"/>
      <c r="X242" s="2098">
        <f>X241/IS!X$10</f>
        <v>9.4931568158335311E-2</v>
      </c>
      <c r="Y242" s="2017"/>
      <c r="Z242" s="2017"/>
      <c r="AA242" s="2017"/>
      <c r="AB242" s="2017"/>
      <c r="AC242" s="2098">
        <f>AC241/IS!AC$10</f>
        <v>9.8195395146235195E-2</v>
      </c>
      <c r="AD242" s="2017"/>
      <c r="AE242" s="2017"/>
      <c r="AF242" s="2017"/>
      <c r="AG242" s="2017"/>
      <c r="AH242" s="2098">
        <f>AH241/IS!AH$10</f>
        <v>0.10737633422356507</v>
      </c>
      <c r="AI242" s="2017"/>
      <c r="AJ242" s="2017"/>
      <c r="AK242" s="2017"/>
      <c r="AL242" s="2017"/>
      <c r="AM242" s="2098">
        <f>AM241/IS!AM$10</f>
        <v>0.11894216653226641</v>
      </c>
      <c r="AN242" s="2017"/>
      <c r="AO242" s="2017"/>
      <c r="AP242" s="2017"/>
      <c r="AQ242" s="2017"/>
      <c r="AR242" s="2098">
        <f>AR241/IS!AR$10</f>
        <v>0.11310741687979542</v>
      </c>
      <c r="AS242" s="2017"/>
      <c r="AT242" s="2017"/>
      <c r="AU242" s="2017"/>
      <c r="AV242" s="2017"/>
      <c r="AW242" s="2098">
        <f>AW241/IS!AW$10</f>
        <v>0.10004151100041511</v>
      </c>
      <c r="AX242" s="2017"/>
      <c r="AY242" s="2017"/>
      <c r="AZ242" s="2017"/>
      <c r="BA242" s="2017"/>
      <c r="BB242" s="2098">
        <f>BB241/IS!BB$10</f>
        <v>0.10292190333101846</v>
      </c>
      <c r="BC242" s="2017"/>
      <c r="BD242" s="2017"/>
      <c r="BE242" s="2017"/>
      <c r="BF242" s="2017"/>
      <c r="BG242" s="2098">
        <f>BG241/IS!BG$10</f>
        <v>7.7653271775000629E-2</v>
      </c>
      <c r="BH242" s="2017"/>
      <c r="BI242" s="2017"/>
      <c r="BJ242" s="2017"/>
      <c r="BK242" s="2017"/>
      <c r="BL242" s="2098">
        <f>BL241/IS!BL$10</f>
        <v>4.4322313129261978E-2</v>
      </c>
      <c r="BM242" s="2099">
        <f>BM241/(IS!BM$10*4)</f>
        <v>4.8463143580605834E-2</v>
      </c>
      <c r="BN242" s="2099">
        <f>BN241/(IS!BN$10*4)</f>
        <v>5.6699763011877763E-2</v>
      </c>
      <c r="BO242" s="2099">
        <f>BO241/(IS!BO$10*4)</f>
        <v>6.0935657658866743E-2</v>
      </c>
      <c r="BP242" s="2099">
        <f>BP241/(IS!BP$10*4)</f>
        <v>3.1441832144543568E-2</v>
      </c>
      <c r="BQ242" s="2098">
        <f>BQ241/IS!BQ$10</f>
        <v>3.4711718849138977E-2</v>
      </c>
      <c r="BR242" s="2099">
        <f>BR241/(IS!BR$10*4)</f>
        <v>4.9049111093062731E-2</v>
      </c>
      <c r="BS242" s="2099">
        <f>BS241/(IS!BS$10*4)</f>
        <v>4.0285713136934027E-2</v>
      </c>
      <c r="BT242" s="2099">
        <f>BT241/(IS!BT$10*4)</f>
        <v>4.7657648152131124E-2</v>
      </c>
      <c r="BU242" s="2099">
        <f>BU241/(IS!BU$10*4)</f>
        <v>5.0702889009371852E-2</v>
      </c>
      <c r="BV242" s="2098">
        <f>BV241/IS!BV$10</f>
        <v>5.3044245403321623E-2</v>
      </c>
      <c r="BW242" s="2099">
        <f>BW241/(IS!BW$10*4)</f>
        <v>5.0694444444444445E-2</v>
      </c>
      <c r="BX242" s="2099">
        <f>BX241/(IS!BX$10*4)</f>
        <v>6.0513600199941724E-2</v>
      </c>
      <c r="BY242" s="2099">
        <f>BY241/(IS!BY$10*4)</f>
        <v>5.9319371727748732E-2</v>
      </c>
      <c r="BZ242" s="2099">
        <f>BZ241/(IS!BZ$10*4)</f>
        <v>6.6973477049775978E-2</v>
      </c>
      <c r="CA242" s="2098">
        <f>CA241/IS!CA$10</f>
        <v>6.882889236928634E-2</v>
      </c>
      <c r="CB242" s="2099">
        <f>CB241/(IS!CB$10*4)</f>
        <v>6.6798686244204014E-2</v>
      </c>
      <c r="CC242" s="2099">
        <f>CC241/(IS!CC$10*4)</f>
        <v>6.8656352097337489E-2</v>
      </c>
      <c r="CD242" s="2099">
        <f>CD241/(IS!CD$10*4)</f>
        <v>-0.10637699632601035</v>
      </c>
      <c r="CE242" s="2099">
        <f>CE241/(IS!CE$10*4)</f>
        <v>-9.6726348130098533E-2</v>
      </c>
      <c r="CF242" s="2098">
        <f>CF241/IS!CF$10</f>
        <v>6.1748837209302326E-2</v>
      </c>
      <c r="CG242" s="2099">
        <f>CG241/(IS!CG$10*4)</f>
        <v>-0.1007532956685499</v>
      </c>
      <c r="CH242" s="2099">
        <f>CH241/(IS!CH$10*4)</f>
        <v>-9.8781027791524492E-2</v>
      </c>
      <c r="CI242" s="2099">
        <f>CI241/(IS!CI$10*4)</f>
        <v>-0.10142321676100745</v>
      </c>
      <c r="CJ242" s="2099">
        <f>CJ241/(IS!CJ$10*4)</f>
        <v>-0.10185067210294961</v>
      </c>
      <c r="CK242" s="2098">
        <f>CK241/IS!CK$10</f>
        <v>4.923103910627228E-2</v>
      </c>
      <c r="CL242" s="2099">
        <f>CL241/(IS!CL$10*4)</f>
        <v>-9.9104443649839086E-2</v>
      </c>
      <c r="CM242" s="2099">
        <f>CM241/(IS!CM$10*4)</f>
        <v>-9.3525087764774403E-2</v>
      </c>
      <c r="CN242" s="2099">
        <f>CN241/(IS!CN$10*4)</f>
        <v>-0.11025053099808871</v>
      </c>
      <c r="CO242" s="2099">
        <f>CO241/(IS!CO$10*4)</f>
        <v>-0.10984651186875379</v>
      </c>
      <c r="CP242" s="2098">
        <f>CP241/IS!CP$10</f>
        <v>7.8069983826107386E-2</v>
      </c>
      <c r="CQ242" s="2099">
        <f>CQ241/(IS!CQ$10*4)</f>
        <v>-0.11634683332874463</v>
      </c>
      <c r="CR242" s="2099">
        <f>CR241/(IS!CR$10*4)</f>
        <v>-0.1129223841947678</v>
      </c>
      <c r="CS242" s="2099">
        <f>CS241/(IS!CS$10*4)</f>
        <v>-0.12287592337191008</v>
      </c>
      <c r="CT242" s="2099">
        <f>CT241/(IS!CT$10*4)</f>
        <v>-0.12162227805469122</v>
      </c>
      <c r="CU242" s="2098">
        <f>CU241/IS!CU$10</f>
        <v>4.9911564113327089E-2</v>
      </c>
      <c r="CV242" s="2099">
        <f>CV241/(IS!CV$10*4)</f>
        <v>-0.12876531724449239</v>
      </c>
      <c r="CW242" s="2099">
        <f>CW241/(IS!CW$10*4)</f>
        <v>-0.13039126796865122</v>
      </c>
      <c r="CX242" s="2099">
        <f>CX241/(IS!CX$10*4)</f>
        <v>-0.13219527660102975</v>
      </c>
      <c r="CY242" s="2099">
        <f>CY241/(IS!CY$10*4)</f>
        <v>-0.13469846990114354</v>
      </c>
      <c r="CZ242" s="2098">
        <f>CZ241/IS!CZ$10</f>
        <v>4.702860187250045E-2</v>
      </c>
      <c r="DA242" s="2099">
        <f>DA241/(IS!DA$10*4)</f>
        <v>-0.13616221219483976</v>
      </c>
      <c r="DB242" s="2099">
        <f>DB241/(IS!DB$10*4)</f>
        <v>-0.14619110675055402</v>
      </c>
      <c r="DC242" s="2099">
        <f>DC241/(IS!DC$10*4)</f>
        <v>-0.14423960551384063</v>
      </c>
      <c r="DD242" s="2099">
        <f>DD241/(IS!DD$10*4)</f>
        <v>-0.13731423151886399</v>
      </c>
      <c r="DE242" s="2098">
        <f>DE241/IS!DE$10</f>
        <v>2.6993153134884089E-2</v>
      </c>
      <c r="DF242" s="2099">
        <f>DF241/(IS!DF$10*4)</f>
        <v>-0.14764027173717695</v>
      </c>
      <c r="DG242" s="2099">
        <f>DG241/(IS!DG$10*4)</f>
        <v>-0.14149574664241496</v>
      </c>
      <c r="DH242" s="2099">
        <f>DH241/(IS!DH$10*4)</f>
        <v>-0.14893979732006099</v>
      </c>
      <c r="DI242" s="2099">
        <f>DI241/(IS!DI$10*4)</f>
        <v>-0.1531874984896226</v>
      </c>
      <c r="DJ242" s="2098">
        <f>DJ241/IS!DJ$10</f>
        <v>3.1445301968974948E-3</v>
      </c>
      <c r="DK242" s="2099">
        <f ca="1">DK241/(IS!DK$10*4)</f>
        <v>-0.15123361089880108</v>
      </c>
      <c r="DL242" s="2099">
        <f ca="1">DL241/(IS!DL$10*4)</f>
        <v>-0.15253060030828822</v>
      </c>
      <c r="DM242" s="2099">
        <f ca="1">DM241/(IS!DM$10*4)</f>
        <v>-0.15268057018967016</v>
      </c>
      <c r="DN242" s="2099">
        <f ca="1">DN241/(IS!DN$10*4)</f>
        <v>-0.15399162439222078</v>
      </c>
      <c r="DO242" s="2098">
        <f ca="1">DO241/IS!DO$10</f>
        <v>0.22547003771143248</v>
      </c>
      <c r="DP242" s="2099">
        <f ca="1">DP241/(IS!DP$10*4)</f>
        <v>-0.1478745307853277</v>
      </c>
      <c r="DQ242" s="2099">
        <f ca="1">DQ241/(IS!DQ$10*4)</f>
        <v>-0.14933240003454912</v>
      </c>
      <c r="DR242" s="2099">
        <f ca="1">DR241/(IS!DR$10*4)</f>
        <v>-0.14944236998923358</v>
      </c>
      <c r="DS242" s="2099">
        <f ca="1">DS241/(IS!DS$10*4)</f>
        <v>-0.1509748845519471</v>
      </c>
      <c r="DT242" s="2098">
        <f ca="1">DT241/IS!DT$10</f>
        <v>0.23054374295342217</v>
      </c>
      <c r="DU242" s="2099">
        <f ca="1">DU241/(IS!DU$10*4)</f>
        <v>-0.14653372022089084</v>
      </c>
      <c r="DV242" s="2099">
        <f ca="1">DV241/(IS!DV$10*4)</f>
        <v>-0.14808699301197412</v>
      </c>
      <c r="DW242" s="2099">
        <f ca="1">DW241/(IS!DW$10*4)</f>
        <v>-0.14818365678079418</v>
      </c>
      <c r="DX242" s="2099">
        <f ca="1">DX241/(IS!DX$10*4)</f>
        <v>-0.14985367546744544</v>
      </c>
      <c r="DY242" s="2098">
        <f ca="1">DY241/IS!DY$10</f>
        <v>0.23701095309390363</v>
      </c>
      <c r="DZ242" s="2021"/>
      <c r="EA242" s="2021"/>
      <c r="EB242" s="2021"/>
    </row>
    <row r="243" spans="1:132" ht="5.25" customHeight="1" x14ac:dyDescent="0.2">
      <c r="A243" s="1842"/>
      <c r="B243" s="2097"/>
      <c r="C243" s="1850"/>
      <c r="D243" s="1850"/>
      <c r="E243" s="1850"/>
      <c r="F243" s="1850"/>
      <c r="G243" s="1850"/>
      <c r="H243" s="1850"/>
      <c r="I243" s="2069"/>
      <c r="J243" s="1850"/>
      <c r="K243" s="1850"/>
      <c r="L243" s="1850"/>
      <c r="M243" s="1850"/>
      <c r="N243" s="2069"/>
      <c r="O243" s="1850"/>
      <c r="P243" s="1850"/>
      <c r="Q243" s="1850"/>
      <c r="R243" s="1850"/>
      <c r="S243" s="2069"/>
      <c r="T243" s="1850"/>
      <c r="U243" s="1850"/>
      <c r="V243" s="1850"/>
      <c r="W243" s="1850"/>
      <c r="X243" s="2069"/>
      <c r="Y243" s="1850"/>
      <c r="Z243" s="1850"/>
      <c r="AA243" s="1850"/>
      <c r="AB243" s="1850"/>
      <c r="AC243" s="2069"/>
      <c r="AD243" s="1850"/>
      <c r="AE243" s="1850"/>
      <c r="AF243" s="1850"/>
      <c r="AG243" s="1850"/>
      <c r="AH243" s="2069"/>
      <c r="AI243" s="1850"/>
      <c r="AJ243" s="1850"/>
      <c r="AK243" s="1850"/>
      <c r="AL243" s="1850"/>
      <c r="AM243" s="2069"/>
      <c r="AN243" s="1850"/>
      <c r="AO243" s="1850"/>
      <c r="AP243" s="1850"/>
      <c r="AQ243" s="1850"/>
      <c r="AR243" s="2069"/>
      <c r="AS243" s="1850"/>
      <c r="AT243" s="1850"/>
      <c r="AU243" s="1850"/>
      <c r="AV243" s="1850"/>
      <c r="AW243" s="2069"/>
      <c r="AX243" s="1850"/>
      <c r="AY243" s="1850"/>
      <c r="AZ243" s="1850"/>
      <c r="BA243" s="1850"/>
      <c r="BB243" s="2069"/>
      <c r="BC243" s="1850"/>
      <c r="BD243" s="1850"/>
      <c r="BE243" s="1850"/>
      <c r="BF243" s="1850"/>
      <c r="BG243" s="2069"/>
      <c r="BH243" s="1850"/>
      <c r="BI243" s="1850"/>
      <c r="BJ243" s="1850"/>
      <c r="BK243" s="1850"/>
      <c r="BL243" s="2069"/>
      <c r="BM243" s="1883"/>
      <c r="BN243" s="1883"/>
      <c r="BO243" s="1883"/>
      <c r="BP243" s="1883"/>
      <c r="BQ243" s="2069"/>
      <c r="BR243" s="1883"/>
      <c r="BS243" s="1883"/>
      <c r="BT243" s="1883"/>
      <c r="BU243" s="1883"/>
      <c r="BV243" s="2069"/>
      <c r="BW243" s="1883"/>
      <c r="BX243" s="1883"/>
      <c r="BY243" s="1883"/>
      <c r="BZ243" s="1883"/>
      <c r="CA243" s="2069"/>
      <c r="CB243" s="1883"/>
      <c r="CC243" s="1883"/>
      <c r="CD243" s="1883"/>
      <c r="CE243" s="1883"/>
      <c r="CF243" s="2069"/>
      <c r="CG243" s="1883"/>
      <c r="CH243" s="1883"/>
      <c r="CI243" s="1883"/>
      <c r="CJ243" s="1883"/>
      <c r="CK243" s="2069"/>
      <c r="CL243" s="1883"/>
      <c r="CM243" s="1883"/>
      <c r="CN243" s="1883"/>
      <c r="CO243" s="1883"/>
      <c r="CP243" s="2069"/>
      <c r="CQ243" s="1883"/>
      <c r="CR243" s="1883"/>
      <c r="CS243" s="1883"/>
      <c r="CT243" s="1883"/>
      <c r="CU243" s="2069"/>
      <c r="CV243" s="1883"/>
      <c r="CW243" s="1883"/>
      <c r="CX243" s="1883"/>
      <c r="CY243" s="1883"/>
      <c r="CZ243" s="2069"/>
      <c r="DA243" s="1883"/>
      <c r="DB243" s="1883"/>
      <c r="DC243" s="1883"/>
      <c r="DD243" s="1883"/>
      <c r="DE243" s="2069"/>
      <c r="DF243" s="1883"/>
      <c r="DG243" s="1883"/>
      <c r="DH243" s="1883"/>
      <c r="DI243" s="1883"/>
      <c r="DJ243" s="2069"/>
      <c r="DK243" s="1883"/>
      <c r="DL243" s="1883"/>
      <c r="DM243" s="1883"/>
      <c r="DN243" s="1883"/>
      <c r="DO243" s="2069"/>
      <c r="DP243" s="1883"/>
      <c r="DQ243" s="1883"/>
      <c r="DR243" s="1883"/>
      <c r="DS243" s="1883"/>
      <c r="DT243" s="2069"/>
      <c r="DU243" s="1883"/>
      <c r="DV243" s="1883"/>
      <c r="DW243" s="1883"/>
      <c r="DX243" s="1883"/>
      <c r="DY243" s="2069"/>
      <c r="DZ243" s="1848"/>
      <c r="EA243" s="1848"/>
      <c r="EB243" s="1848"/>
    </row>
    <row r="244" spans="1:132" x14ac:dyDescent="0.2">
      <c r="A244" s="1853"/>
      <c r="B244" s="58" t="s">
        <v>459</v>
      </c>
      <c r="C244" s="59"/>
      <c r="D244" s="59"/>
      <c r="E244" s="59"/>
      <c r="F244" s="59"/>
      <c r="G244" s="59"/>
      <c r="H244" s="59"/>
      <c r="I244" s="86">
        <f>'BS and CFS'!I143-'BS and CFS'!I138-'BS and CFS'!I137</f>
        <v>2875.7</v>
      </c>
      <c r="J244" s="59"/>
      <c r="K244" s="59"/>
      <c r="L244" s="59"/>
      <c r="M244" s="59"/>
      <c r="N244" s="86">
        <f>'BS and CFS'!N143-'BS and CFS'!N138-'BS and CFS'!N137</f>
        <v>3699.6000000000004</v>
      </c>
      <c r="O244" s="59"/>
      <c r="P244" s="59"/>
      <c r="Q244" s="59"/>
      <c r="R244" s="59"/>
      <c r="S244" s="86">
        <f>'BS and CFS'!S143-'BS and CFS'!S138-'BS and CFS'!S137</f>
        <v>4168.3999999999996</v>
      </c>
      <c r="T244" s="59"/>
      <c r="U244" s="59"/>
      <c r="V244" s="59"/>
      <c r="W244" s="59"/>
      <c r="X244" s="86">
        <f>'BS and CFS'!X143-'BS and CFS'!X138-'BS and CFS'!X137</f>
        <v>4378</v>
      </c>
      <c r="Y244" s="59"/>
      <c r="Z244" s="59"/>
      <c r="AA244" s="59"/>
      <c r="AB244" s="59"/>
      <c r="AC244" s="86">
        <f>'BS and CFS'!AC143-'BS and CFS'!AC138-'BS and CFS'!AC137</f>
        <v>4599.2999999999993</v>
      </c>
      <c r="AD244" s="59"/>
      <c r="AE244" s="59"/>
      <c r="AF244" s="59"/>
      <c r="AG244" s="59"/>
      <c r="AH244" s="86">
        <f>'BS and CFS'!AH143-'BS and CFS'!AH138-'BS and CFS'!AH137</f>
        <v>5217.8</v>
      </c>
      <c r="AI244" s="59"/>
      <c r="AJ244" s="59"/>
      <c r="AK244" s="59"/>
      <c r="AL244" s="59"/>
      <c r="AM244" s="86">
        <f>'BS and CFS'!AM143-'BS and CFS'!AM138-'BS and CFS'!AM137</f>
        <v>5281.7000000000007</v>
      </c>
      <c r="AN244" s="59"/>
      <c r="AO244" s="59"/>
      <c r="AP244" s="59"/>
      <c r="AQ244" s="59"/>
      <c r="AR244" s="86">
        <f>'BS and CFS'!AR143-'BS and CFS'!AR138-'BS and CFS'!AR137</f>
        <v>5653.3000000000011</v>
      </c>
      <c r="AS244" s="59"/>
      <c r="AT244" s="59"/>
      <c r="AU244" s="59"/>
      <c r="AV244" s="59"/>
      <c r="AW244" s="86">
        <f>'BS and CFS'!AW143-'BS and CFS'!AW138-'BS and CFS'!AW137</f>
        <v>7527.2</v>
      </c>
      <c r="AX244" s="59"/>
      <c r="AY244" s="59"/>
      <c r="AZ244" s="59"/>
      <c r="BA244" s="59"/>
      <c r="BB244" s="86">
        <f>'BS and CFS'!BB143-'BS and CFS'!BB138-'BS and CFS'!BB137</f>
        <v>7879.3000000000011</v>
      </c>
      <c r="BC244" s="59"/>
      <c r="BD244" s="59"/>
      <c r="BE244" s="59"/>
      <c r="BF244" s="59"/>
      <c r="BG244" s="86">
        <f>'BS and CFS'!BG143-'BS and CFS'!BG138-'BS and CFS'!BG137</f>
        <v>9860.7999999999993</v>
      </c>
      <c r="BH244" s="59"/>
      <c r="BI244" s="59"/>
      <c r="BJ244" s="59"/>
      <c r="BK244" s="59"/>
      <c r="BL244" s="86">
        <f>'BS and CFS'!BL143-'BS and CFS'!BL138-'BS and CFS'!BL137</f>
        <v>13065.300000000001</v>
      </c>
      <c r="BM244" s="59">
        <f>'BS and CFS'!BM143-'BS and CFS'!BM138-'BS and CFS'!BM137</f>
        <v>13096</v>
      </c>
      <c r="BN244" s="59">
        <f>'BS and CFS'!BN143-'BS and CFS'!BN138-'BS and CFS'!BN137</f>
        <v>12989.699999999999</v>
      </c>
      <c r="BO244" s="59">
        <f>'BS and CFS'!BO143-'BS and CFS'!BO138-'BS and CFS'!BO137</f>
        <v>13686.500000000002</v>
      </c>
      <c r="BP244" s="59">
        <f>'BS and CFS'!BP143-'BS and CFS'!BP138-'BS and CFS'!BP137</f>
        <v>15173.800000000001</v>
      </c>
      <c r="BQ244" s="86">
        <f>'BS and CFS'!BQ143-'BS and CFS'!BQ138-'BS and CFS'!BQ137</f>
        <v>15173.800000000001</v>
      </c>
      <c r="BR244" s="59">
        <f>'BS and CFS'!BR143-'BS and CFS'!BR138-'BS and CFS'!BR137</f>
        <v>15091.2</v>
      </c>
      <c r="BS244" s="59">
        <f>'BS and CFS'!BS143-'BS and CFS'!BS138-'BS and CFS'!BS137</f>
        <v>15546.3</v>
      </c>
      <c r="BT244" s="59">
        <f>'BS and CFS'!BT143-'BS and CFS'!BT138-'BS and CFS'!BT137</f>
        <v>16262.599999999997</v>
      </c>
      <c r="BU244" s="59">
        <f>'BS and CFS'!BU143-'BS and CFS'!BU138-'BS and CFS'!BU137</f>
        <v>16446</v>
      </c>
      <c r="BV244" s="86">
        <f>'BS and CFS'!BV143-'BS and CFS'!BV138-'BS and CFS'!BV137</f>
        <v>16446</v>
      </c>
      <c r="BW244" s="59">
        <f>'BS and CFS'!BW143-'BS and CFS'!BW138-'BS and CFS'!BW137</f>
        <v>16104</v>
      </c>
      <c r="BX244" s="59">
        <f>'BS and CFS'!BX143-'BS and CFS'!BX138-'BS and CFS'!BX137</f>
        <v>16159</v>
      </c>
      <c r="BY244" s="59">
        <f>'BS and CFS'!BY143-'BS and CFS'!BY138-'BS and CFS'!BY137</f>
        <v>16356</v>
      </c>
      <c r="BZ244" s="59">
        <f>'BS and CFS'!BZ143-'BS and CFS'!BZ138-'BS and CFS'!BZ137</f>
        <v>16275</v>
      </c>
      <c r="CA244" s="86">
        <f>'BS and CFS'!CA143-'BS and CFS'!CA138-'BS and CFS'!CA137</f>
        <v>16275</v>
      </c>
      <c r="CB244" s="59">
        <f>'BS and CFS'!CB143-'BS and CFS'!CB138-'BS and CFS'!CB137</f>
        <v>16212</v>
      </c>
      <c r="CC244" s="59">
        <f>'BS and CFS'!CC143-'BS and CFS'!CC138-'BS and CFS'!CC137</f>
        <v>16832</v>
      </c>
      <c r="CD244" s="59">
        <f>'BS and CFS'!CD143-'BS and CFS'!CD138-'BS and CFS'!CD137</f>
        <v>17226</v>
      </c>
      <c r="CE244" s="59">
        <f>'BS and CFS'!CE143-'BS and CFS'!CE138-'BS and CFS'!CE137</f>
        <v>17176</v>
      </c>
      <c r="CF244" s="86">
        <f>'BS and CFS'!CF143-'BS and CFS'!CF138-'BS and CFS'!CF137</f>
        <v>17176</v>
      </c>
      <c r="CG244" s="59">
        <f>'BS and CFS'!CG143-'BS and CFS'!CG138-'BS and CFS'!CG137</f>
        <v>17675</v>
      </c>
      <c r="CH244" s="59">
        <f>'BS and CFS'!CH143-'BS and CFS'!CH138-'BS and CFS'!CH137</f>
        <v>17471</v>
      </c>
      <c r="CI244" s="59">
        <f>'BS and CFS'!CI143-'BS and CFS'!CI138-'BS and CFS'!CI137</f>
        <v>17641</v>
      </c>
      <c r="CJ244" s="59">
        <f>'BS and CFS'!CJ143-'BS and CFS'!CJ138-'BS and CFS'!CJ137</f>
        <v>18472</v>
      </c>
      <c r="CK244" s="86">
        <f>'BS and CFS'!CK143-'BS and CFS'!CK138-'BS and CFS'!CK137</f>
        <v>18472</v>
      </c>
      <c r="CL244" s="59">
        <f>'BS and CFS'!CL143-'BS and CFS'!CL138-'BS and CFS'!CL137</f>
        <v>18171</v>
      </c>
      <c r="CM244" s="59">
        <f>'BS and CFS'!CM143-'BS and CFS'!CM138-'BS and CFS'!CM137</f>
        <v>18690</v>
      </c>
      <c r="CN244" s="59">
        <f>'BS and CFS'!CN143-'BS and CFS'!CN138-'BS and CFS'!CN137</f>
        <v>19819</v>
      </c>
      <c r="CO244" s="59">
        <f>'BS and CFS'!CO143-'BS and CFS'!CO138-'BS and CFS'!CO137</f>
        <v>21148</v>
      </c>
      <c r="CP244" s="86">
        <f>'BS and CFS'!CP143-'BS and CFS'!CP138-'BS and CFS'!CP137</f>
        <v>21148</v>
      </c>
      <c r="CQ244" s="59">
        <f>'BS and CFS'!CQ143-'BS and CFS'!CQ138-'BS and CFS'!CQ137</f>
        <v>21612</v>
      </c>
      <c r="CR244" s="59">
        <f>'BS and CFS'!CR143-'BS and CFS'!CR138-'BS and CFS'!CR137</f>
        <v>22426</v>
      </c>
      <c r="CS244" s="59">
        <f>'BS and CFS'!CS143-'BS and CFS'!CS138-'BS and CFS'!CS137</f>
        <v>24127</v>
      </c>
      <c r="CT244" s="59">
        <f>'BS and CFS'!CT143-'BS and CFS'!CT138-'BS and CFS'!CT137</f>
        <v>23468</v>
      </c>
      <c r="CU244" s="86">
        <f>'BS and CFS'!CU143-'BS and CFS'!CU138-'BS and CFS'!CU137</f>
        <v>23468</v>
      </c>
      <c r="CV244" s="59">
        <f>'BS and CFS'!CV143-'BS and CFS'!CV138-'BS and CFS'!CV137</f>
        <v>23988</v>
      </c>
      <c r="CW244" s="59">
        <f>'BS and CFS'!CW143-'BS and CFS'!CW138-'BS and CFS'!CW137</f>
        <v>24997</v>
      </c>
      <c r="CX244" s="59">
        <f>'BS and CFS'!CX143-'BS and CFS'!CX138-'BS and CFS'!CX137</f>
        <v>27742</v>
      </c>
      <c r="CY244" s="59">
        <f>'BS and CFS'!CY143-'BS and CFS'!CY138-'BS and CFS'!CY137</f>
        <v>27831</v>
      </c>
      <c r="CZ244" s="86">
        <f>'BS and CFS'!CZ143-'BS and CFS'!CZ138-'BS and CFS'!CZ137</f>
        <v>27831</v>
      </c>
      <c r="DA244" s="59">
        <f>'BS and CFS'!DA143-'BS and CFS'!DA138-'BS and CFS'!DA137</f>
        <v>27549</v>
      </c>
      <c r="DB244" s="59">
        <f>'BS and CFS'!DB143-'BS and CFS'!DB138-'BS and CFS'!DB137</f>
        <v>28241</v>
      </c>
      <c r="DC244" s="59">
        <f>'BS and CFS'!DC143-'BS and CFS'!DC138-'BS and CFS'!DC137</f>
        <v>28676</v>
      </c>
      <c r="DD244" s="59">
        <f>'BS and CFS'!DD143-'BS and CFS'!DD138-'BS and CFS'!DD137</f>
        <v>27584</v>
      </c>
      <c r="DE244" s="86">
        <f>'BS and CFS'!DE143-'BS and CFS'!DE138-'BS and CFS'!DE137</f>
        <v>27584</v>
      </c>
      <c r="DF244" s="59">
        <f>'BS and CFS'!DF143-'BS and CFS'!DF138-'BS and CFS'!DF137</f>
        <v>27155</v>
      </c>
      <c r="DG244" s="59">
        <f>'BS and CFS'!DG143-'BS and CFS'!DG138-'BS and CFS'!DG137</f>
        <v>27235</v>
      </c>
      <c r="DH244" s="59">
        <f>'BS and CFS'!DH143-'BS and CFS'!DH138-'BS and CFS'!DH137</f>
        <v>27363</v>
      </c>
      <c r="DI244" s="59">
        <f>'BS and CFS'!DI143-'BS and CFS'!DI138-'BS and CFS'!DI137</f>
        <v>29422</v>
      </c>
      <c r="DJ244" s="86">
        <f>'BS and CFS'!DJ143-'BS and CFS'!DJ138-'BS and CFS'!DJ137</f>
        <v>29422</v>
      </c>
      <c r="DK244" s="59">
        <f ca="1">'BS and CFS'!DK143-'BS and CFS'!DK138-'BS and CFS'!DK137</f>
        <v>29294.774788378356</v>
      </c>
      <c r="DL244" s="59">
        <f ca="1">'BS and CFS'!DL143-'BS and CFS'!DL138-'BS and CFS'!DL137</f>
        <v>30109.611106557415</v>
      </c>
      <c r="DM244" s="59">
        <f ca="1">'BS and CFS'!DM143-'BS and CFS'!DM138-'BS and CFS'!DM137</f>
        <v>29843.769452041473</v>
      </c>
      <c r="DN244" s="59">
        <f ca="1">'BS and CFS'!DN143-'BS and CFS'!DN138-'BS and CFS'!DN137</f>
        <v>30652.907682937861</v>
      </c>
      <c r="DO244" s="86">
        <f ca="1">'BS and CFS'!DO143-'BS and CFS'!DO138-'BS and CFS'!DO137</f>
        <v>30652.907682937861</v>
      </c>
      <c r="DP244" s="59">
        <f ca="1">'BS and CFS'!DP143-'BS and CFS'!DP138-'BS and CFS'!DP137</f>
        <v>30802.137592640072</v>
      </c>
      <c r="DQ244" s="59">
        <f ca="1">'BS and CFS'!DQ143-'BS and CFS'!DQ138-'BS and CFS'!DQ137</f>
        <v>31658.040439826844</v>
      </c>
      <c r="DR244" s="59">
        <f ca="1">'BS and CFS'!DR143-'BS and CFS'!DR138-'BS and CFS'!DR137</f>
        <v>31359.922907138542</v>
      </c>
      <c r="DS244" s="59">
        <f ca="1">'BS and CFS'!DS143-'BS and CFS'!DS138-'BS and CFS'!DS137</f>
        <v>32158.506987942914</v>
      </c>
      <c r="DT244" s="86">
        <f ca="1">'BS and CFS'!DT143-'BS and CFS'!DT138-'BS and CFS'!DT137</f>
        <v>32158.506987942914</v>
      </c>
      <c r="DU244" s="59">
        <f ca="1">'BS and CFS'!DU143-'BS and CFS'!DU138-'BS and CFS'!DU137</f>
        <v>31665.698631190338</v>
      </c>
      <c r="DV244" s="59">
        <f ca="1">'BS and CFS'!DV143-'BS and CFS'!DV138-'BS and CFS'!DV137</f>
        <v>32496.577814735057</v>
      </c>
      <c r="DW244" s="59">
        <f ca="1">'BS and CFS'!DW143-'BS and CFS'!DW138-'BS and CFS'!DW137</f>
        <v>32156.992006501474</v>
      </c>
      <c r="DX244" s="59">
        <f ca="1">'BS and CFS'!DX143-'BS and CFS'!DX138-'BS and CFS'!DX137</f>
        <v>32922.748672954011</v>
      </c>
      <c r="DY244" s="86">
        <f ca="1">'BS and CFS'!DY143-'BS and CFS'!DY138-'BS and CFS'!DY137</f>
        <v>32922.748672954011</v>
      </c>
      <c r="DZ244" s="1858"/>
      <c r="EA244" s="78"/>
      <c r="EB244" s="78"/>
    </row>
    <row r="245" spans="1:132" x14ac:dyDescent="0.2">
      <c r="A245" s="1853"/>
      <c r="B245" s="58" t="s">
        <v>460</v>
      </c>
      <c r="C245" s="310"/>
      <c r="D245" s="310"/>
      <c r="E245" s="310"/>
      <c r="F245" s="310"/>
      <c r="G245" s="310"/>
      <c r="H245" s="310"/>
      <c r="I245" s="314">
        <f>'BS and CFS'!I160-'BS and CFS'!I159-'BS and CFS'!I158</f>
        <v>2053.4</v>
      </c>
      <c r="J245" s="310"/>
      <c r="K245" s="310"/>
      <c r="L245" s="310"/>
      <c r="M245" s="310"/>
      <c r="N245" s="314">
        <f>'BS and CFS'!N160-'BS and CFS'!N159-'BS and CFS'!N158</f>
        <v>2402.3000000000002</v>
      </c>
      <c r="O245" s="310"/>
      <c r="P245" s="310"/>
      <c r="Q245" s="310"/>
      <c r="R245" s="310"/>
      <c r="S245" s="314">
        <f>'BS and CFS'!S160-'BS and CFS'!S159-'BS and CFS'!S158</f>
        <v>2347.6000000000004</v>
      </c>
      <c r="T245" s="310"/>
      <c r="U245" s="310"/>
      <c r="V245" s="310"/>
      <c r="W245" s="310"/>
      <c r="X245" s="314">
        <f>'BS and CFS'!X160-'BS and CFS'!X159-'BS and CFS'!X158</f>
        <v>2421.6</v>
      </c>
      <c r="Y245" s="310"/>
      <c r="Z245" s="310"/>
      <c r="AA245" s="310"/>
      <c r="AB245" s="310"/>
      <c r="AC245" s="314">
        <f>'BS and CFS'!AC160-'BS and CFS'!AC159-'BS and CFS'!AC158</f>
        <v>2352.9</v>
      </c>
      <c r="AD245" s="310"/>
      <c r="AE245" s="310"/>
      <c r="AF245" s="310"/>
      <c r="AG245" s="310"/>
      <c r="AH245" s="314">
        <f>'BS and CFS'!AH160-'BS and CFS'!AH159-'BS and CFS'!AH158</f>
        <v>2803.7</v>
      </c>
      <c r="AI245" s="310"/>
      <c r="AJ245" s="310"/>
      <c r="AK245" s="310"/>
      <c r="AL245" s="310"/>
      <c r="AM245" s="314">
        <f>'BS and CFS'!AM160-'BS and CFS'!AM159-'BS and CFS'!AM158</f>
        <v>3069.1</v>
      </c>
      <c r="AN245" s="310"/>
      <c r="AO245" s="310"/>
      <c r="AP245" s="310"/>
      <c r="AQ245" s="310"/>
      <c r="AR245" s="314">
        <f>'BS and CFS'!AR160-'BS and CFS'!AR159-'BS and CFS'!AR158</f>
        <v>3166</v>
      </c>
      <c r="AS245" s="310"/>
      <c r="AT245" s="310"/>
      <c r="AU245" s="310"/>
      <c r="AV245" s="310"/>
      <c r="AW245" s="314">
        <f>'BS and CFS'!AW160-'BS and CFS'!AW159-'BS and CFS'!AW158</f>
        <v>3942.6</v>
      </c>
      <c r="AX245" s="310"/>
      <c r="AY245" s="310"/>
      <c r="AZ245" s="310"/>
      <c r="BA245" s="310"/>
      <c r="BB245" s="314">
        <f>'BS and CFS'!BB160-'BS and CFS'!BB159-'BS and CFS'!BB158</f>
        <v>3988.8999999999992</v>
      </c>
      <c r="BC245" s="310"/>
      <c r="BD245" s="310"/>
      <c r="BE245" s="310"/>
      <c r="BF245" s="310"/>
      <c r="BG245" s="314">
        <f>'BS and CFS'!BG160-'BS and CFS'!BG159-'BS and CFS'!BG158</f>
        <v>4813.7</v>
      </c>
      <c r="BH245" s="310"/>
      <c r="BI245" s="310"/>
      <c r="BJ245" s="310"/>
      <c r="BK245" s="310"/>
      <c r="BL245" s="314">
        <f>'BS and CFS'!BL160-'BS and CFS'!BL159-'BS and CFS'!BL158</f>
        <v>8634.0999999999985</v>
      </c>
      <c r="BM245" s="310">
        <f>'BS and CFS'!BM160-'BS and CFS'!BM159-'BS and CFS'!BM158</f>
        <v>8390.9000000000015</v>
      </c>
      <c r="BN245" s="310">
        <f>'BS and CFS'!BN160-'BS and CFS'!BN159-'BS and CFS'!BN158</f>
        <v>7783.5000000000018</v>
      </c>
      <c r="BO245" s="310">
        <f>'BS and CFS'!BO160-'BS and CFS'!BO159-'BS and CFS'!BO158</f>
        <v>8204.1</v>
      </c>
      <c r="BP245" s="310">
        <f>'BS and CFS'!BP160-'BS and CFS'!BP159-'BS and CFS'!BP158</f>
        <v>9792.5000000000018</v>
      </c>
      <c r="BQ245" s="314">
        <f>'BS and CFS'!BQ160-'BS and CFS'!BQ159-'BS and CFS'!BQ158</f>
        <v>9792.5000000000018</v>
      </c>
      <c r="BR245" s="310">
        <f>'BS and CFS'!BR160-'BS and CFS'!BR159-'BS and CFS'!BR158</f>
        <v>9427.5</v>
      </c>
      <c r="BS245" s="310">
        <f>'BS and CFS'!BS160-'BS and CFS'!BS159-'BS and CFS'!BS158</f>
        <v>9032.1999999999989</v>
      </c>
      <c r="BT245" s="310">
        <f>'BS and CFS'!BT160-'BS and CFS'!BT159-'BS and CFS'!BT158</f>
        <v>9496.4999999999982</v>
      </c>
      <c r="BU245" s="310">
        <f>'BS and CFS'!BU160-'BS and CFS'!BU159-'BS and CFS'!BU158</f>
        <v>9881</v>
      </c>
      <c r="BV245" s="314">
        <f>'BS and CFS'!BV160-'BS and CFS'!BV159-'BS and CFS'!BV158</f>
        <v>9881</v>
      </c>
      <c r="BW245" s="310">
        <f>'BS and CFS'!BW160-'BS and CFS'!BW159-'BS and CFS'!BW158</f>
        <v>9418</v>
      </c>
      <c r="BX245" s="310">
        <f>'BS and CFS'!BX160-'BS and CFS'!BX159-'BS and CFS'!BX158</f>
        <v>8952</v>
      </c>
      <c r="BY245" s="310">
        <f>'BS and CFS'!BY160-'BS and CFS'!BY159-'BS and CFS'!BY158</f>
        <v>9186</v>
      </c>
      <c r="BZ245" s="310">
        <f>'BS and CFS'!BZ160-'BS and CFS'!BZ159-'BS and CFS'!BZ158</f>
        <v>9665</v>
      </c>
      <c r="CA245" s="314">
        <f>'BS and CFS'!CA160-'BS and CFS'!CA159-'BS and CFS'!CA158</f>
        <v>9665</v>
      </c>
      <c r="CB245" s="310">
        <f>'BS and CFS'!CB160-'BS and CFS'!CB159-'BS and CFS'!CB158</f>
        <v>10359</v>
      </c>
      <c r="CC245" s="310">
        <f>'BS and CFS'!CC160-'BS and CFS'!CC159-'BS and CFS'!CC158</f>
        <v>10836</v>
      </c>
      <c r="CD245" s="310">
        <f>'BS and CFS'!CD160-'BS and CFS'!CD159-'BS and CFS'!CD158</f>
        <v>11749</v>
      </c>
      <c r="CE245" s="310">
        <f>'BS and CFS'!CE160-'BS and CFS'!CE159-'BS and CFS'!CE158</f>
        <v>11150</v>
      </c>
      <c r="CF245" s="314">
        <f>'BS and CFS'!CF160-'BS and CFS'!CF159-'BS and CFS'!CF158</f>
        <v>11150</v>
      </c>
      <c r="CG245" s="310">
        <f>'BS and CFS'!CG160-'BS and CFS'!CG159-'BS and CFS'!CG158</f>
        <v>13407</v>
      </c>
      <c r="CH245" s="310">
        <f>'BS and CFS'!CH160-'BS and CFS'!CH159-'BS and CFS'!CH158</f>
        <v>12931</v>
      </c>
      <c r="CI245" s="310">
        <f>'BS and CFS'!CI160-'BS and CFS'!CI159-'BS and CFS'!CI158</f>
        <v>12433</v>
      </c>
      <c r="CJ245" s="310">
        <f>'BS and CFS'!CJ160-'BS and CFS'!CJ159-'BS and CFS'!CJ158</f>
        <v>13095</v>
      </c>
      <c r="CK245" s="314">
        <f>'BS and CFS'!CK160-'BS and CFS'!CK159-'BS and CFS'!CK158</f>
        <v>13095</v>
      </c>
      <c r="CL245" s="310">
        <f>'BS and CFS'!CL160-'BS and CFS'!CL159-'BS and CFS'!CL158</f>
        <v>12883</v>
      </c>
      <c r="CM245" s="310">
        <f>'BS and CFS'!CM160-'BS and CFS'!CM159-'BS and CFS'!CM158</f>
        <v>12672</v>
      </c>
      <c r="CN245" s="310">
        <f>'BS and CFS'!CN160-'BS and CFS'!CN159-'BS and CFS'!CN158</f>
        <v>13712</v>
      </c>
      <c r="CO245" s="310">
        <f>'BS and CFS'!CO160-'BS and CFS'!CO159-'BS and CFS'!CO158</f>
        <v>14864</v>
      </c>
      <c r="CP245" s="314">
        <f>'BS and CFS'!CP160-'BS and CFS'!CP159-'BS and CFS'!CP158</f>
        <v>14864</v>
      </c>
      <c r="CQ245" s="310">
        <f>'BS and CFS'!CQ160-'BS and CFS'!CQ159-'BS and CFS'!CQ158</f>
        <v>15648</v>
      </c>
      <c r="CR245" s="310">
        <f>'BS and CFS'!CR160-'BS and CFS'!CR159-'BS and CFS'!CR158</f>
        <v>15510</v>
      </c>
      <c r="CS245" s="310">
        <f>'BS and CFS'!CS160-'BS and CFS'!CS159-'BS and CFS'!CS158</f>
        <v>16866</v>
      </c>
      <c r="CT245" s="310">
        <f>'BS and CFS'!CT160-'BS and CFS'!CT159-'BS and CFS'!CT158</f>
        <v>17767</v>
      </c>
      <c r="CU245" s="314">
        <f>'BS and CFS'!CU160-'BS and CFS'!CU159-'BS and CFS'!CU158</f>
        <v>17767</v>
      </c>
      <c r="CV245" s="310">
        <f>'BS and CFS'!CV160-'BS and CFS'!CV159-'BS and CFS'!CV158</f>
        <v>18640</v>
      </c>
      <c r="CW245" s="310">
        <f>'BS and CFS'!CW160-'BS and CFS'!CW159-'BS and CFS'!CW158</f>
        <v>18874</v>
      </c>
      <c r="CX245" s="310">
        <f>'BS and CFS'!CX160-'BS and CFS'!CX159-'BS and CFS'!CX158</f>
        <v>20983</v>
      </c>
      <c r="CY245" s="310">
        <f>'BS and CFS'!CY160-'BS and CFS'!CY159-'BS and CFS'!CY158</f>
        <v>21972</v>
      </c>
      <c r="CZ245" s="314">
        <f>'BS and CFS'!CZ160-'BS and CFS'!CZ159-'BS and CFS'!CZ158</f>
        <v>21972</v>
      </c>
      <c r="DA245" s="310">
        <f>'BS and CFS'!DA160-'BS and CFS'!DA159-'BS and CFS'!DA158</f>
        <v>23335</v>
      </c>
      <c r="DB245" s="310">
        <f>'BS and CFS'!DB160-'BS and CFS'!DB159-'BS and CFS'!DB158</f>
        <v>23533</v>
      </c>
      <c r="DC245" s="310">
        <f>'BS and CFS'!DC160-'BS and CFS'!DC159-'BS and CFS'!DC158</f>
        <v>25618</v>
      </c>
      <c r="DD245" s="310">
        <f>'BS and CFS'!DD160-'BS and CFS'!DD159-'BS and CFS'!DD158</f>
        <v>24334</v>
      </c>
      <c r="DE245" s="314">
        <f>'BS and CFS'!DE160-'BS and CFS'!DE159-'BS and CFS'!DE158</f>
        <v>24334</v>
      </c>
      <c r="DF245" s="310">
        <f>'BS and CFS'!DF160-'BS and CFS'!DF159-'BS and CFS'!DF158</f>
        <v>25477</v>
      </c>
      <c r="DG245" s="310">
        <f>'BS and CFS'!DG160-'BS and CFS'!DG159-'BS and CFS'!DG158</f>
        <v>25715</v>
      </c>
      <c r="DH245" s="310">
        <f>'BS and CFS'!DH160-'BS and CFS'!DH159-'BS and CFS'!DH158</f>
        <v>26110</v>
      </c>
      <c r="DI245" s="310">
        <f>'BS and CFS'!DI160-'BS and CFS'!DI159-'BS and CFS'!DI158</f>
        <v>25827</v>
      </c>
      <c r="DJ245" s="314">
        <f>'BS and CFS'!DJ160-'BS and CFS'!DJ159-'BS and CFS'!DJ158</f>
        <v>25827</v>
      </c>
      <c r="DK245" s="310">
        <f ca="1">'BS and CFS'!DK160-'BS and CFS'!DK159-'BS and CFS'!DK158</f>
        <v>23916.875828898286</v>
      </c>
      <c r="DL245" s="310">
        <f ca="1">'BS and CFS'!DL160-'BS and CFS'!DL159-'BS and CFS'!DL158</f>
        <v>25557.262342154325</v>
      </c>
      <c r="DM245" s="310">
        <f ca="1">'BS and CFS'!DM160-'BS and CFS'!DM159-'BS and CFS'!DM158</f>
        <v>25364.350851342577</v>
      </c>
      <c r="DN245" s="310">
        <f ca="1">'BS and CFS'!DN160-'BS and CFS'!DN159-'BS and CFS'!DN158</f>
        <v>26411.098663720502</v>
      </c>
      <c r="DO245" s="314">
        <f ca="1">'BS and CFS'!DO160-'BS and CFS'!DO159-'BS and CFS'!DO158</f>
        <v>26411.098663720502</v>
      </c>
      <c r="DP245" s="310">
        <f ca="1">'BS and CFS'!DP160-'BS and CFS'!DP159-'BS and CFS'!DP158</f>
        <v>24902.518946243134</v>
      </c>
      <c r="DQ245" s="310">
        <f ca="1">'BS and CFS'!DQ160-'BS and CFS'!DQ159-'BS and CFS'!DQ158</f>
        <v>26636.496685943326</v>
      </c>
      <c r="DR245" s="310">
        <f ca="1">'BS and CFS'!DR160-'BS and CFS'!DR159-'BS and CFS'!DR158</f>
        <v>26413.101400514963</v>
      </c>
      <c r="DS245" s="310">
        <f ca="1">'BS and CFS'!DS160-'BS and CFS'!DS159-'BS and CFS'!DS158</f>
        <v>27494.641431540393</v>
      </c>
      <c r="DT245" s="314">
        <f ca="1">'BS and CFS'!DT160-'BS and CFS'!DT159-'BS and CFS'!DT158</f>
        <v>27494.641431540393</v>
      </c>
      <c r="DU245" s="310">
        <f ca="1">'BS and CFS'!DU160-'BS and CFS'!DU159-'BS and CFS'!DU158</f>
        <v>25685.894444754333</v>
      </c>
      <c r="DV245" s="310">
        <f ca="1">'BS and CFS'!DV160-'BS and CFS'!DV159-'BS and CFS'!DV158</f>
        <v>27455.288889437754</v>
      </c>
      <c r="DW245" s="310">
        <f ca="1">'BS and CFS'!DW160-'BS and CFS'!DW159-'BS and CFS'!DW158</f>
        <v>27195.932657556747</v>
      </c>
      <c r="DX245" s="310">
        <f ca="1">'BS and CFS'!DX160-'BS and CFS'!DX159-'BS and CFS'!DX158</f>
        <v>28284.450752475299</v>
      </c>
      <c r="DY245" s="314">
        <f ca="1">'BS and CFS'!DY160-'BS and CFS'!DY159-'BS and CFS'!DY158</f>
        <v>28284.450752475299</v>
      </c>
      <c r="DZ245" s="1858"/>
      <c r="EA245" s="78"/>
      <c r="EB245" s="78"/>
    </row>
    <row r="246" spans="1:132" x14ac:dyDescent="0.2">
      <c r="A246" s="1853"/>
      <c r="B246" s="315" t="s">
        <v>461</v>
      </c>
      <c r="C246" s="59"/>
      <c r="D246" s="59"/>
      <c r="E246" s="59"/>
      <c r="F246" s="59"/>
      <c r="G246" s="59"/>
      <c r="H246" s="59"/>
      <c r="I246" s="86">
        <f>I244-I245</f>
        <v>822.29999999999973</v>
      </c>
      <c r="J246" s="59"/>
      <c r="K246" s="59"/>
      <c r="L246" s="59"/>
      <c r="M246" s="59"/>
      <c r="N246" s="86">
        <f>N244-N245</f>
        <v>1297.3000000000002</v>
      </c>
      <c r="O246" s="59"/>
      <c r="P246" s="59"/>
      <c r="Q246" s="59"/>
      <c r="R246" s="59"/>
      <c r="S246" s="86">
        <f>S244-S245</f>
        <v>1820.7999999999993</v>
      </c>
      <c r="T246" s="59"/>
      <c r="U246" s="59"/>
      <c r="V246" s="59"/>
      <c r="W246" s="59"/>
      <c r="X246" s="86">
        <f>X244-X245</f>
        <v>1956.4</v>
      </c>
      <c r="Y246" s="59"/>
      <c r="Z246" s="59"/>
      <c r="AA246" s="59"/>
      <c r="AB246" s="59"/>
      <c r="AC246" s="86">
        <f>AC244-AC245</f>
        <v>2246.3999999999992</v>
      </c>
      <c r="AD246" s="59"/>
      <c r="AE246" s="59"/>
      <c r="AF246" s="59"/>
      <c r="AG246" s="59"/>
      <c r="AH246" s="86">
        <f>AH244-AH245</f>
        <v>2414.1000000000004</v>
      </c>
      <c r="AI246" s="59"/>
      <c r="AJ246" s="59"/>
      <c r="AK246" s="59"/>
      <c r="AL246" s="59"/>
      <c r="AM246" s="86">
        <f>AM244-AM245</f>
        <v>2212.6000000000008</v>
      </c>
      <c r="AN246" s="59"/>
      <c r="AO246" s="59"/>
      <c r="AP246" s="59"/>
      <c r="AQ246" s="59"/>
      <c r="AR246" s="86">
        <f>AR244-AR245</f>
        <v>2487.3000000000011</v>
      </c>
      <c r="AS246" s="59"/>
      <c r="AT246" s="59"/>
      <c r="AU246" s="59"/>
      <c r="AV246" s="59"/>
      <c r="AW246" s="86">
        <f>AW244-AW245</f>
        <v>3584.6</v>
      </c>
      <c r="AX246" s="59"/>
      <c r="AY246" s="59"/>
      <c r="AZ246" s="59"/>
      <c r="BA246" s="59"/>
      <c r="BB246" s="86">
        <f>BB244-BB245</f>
        <v>3890.4000000000019</v>
      </c>
      <c r="BC246" s="59"/>
      <c r="BD246" s="59"/>
      <c r="BE246" s="59"/>
      <c r="BF246" s="59"/>
      <c r="BG246" s="86">
        <f>BG244-BG245</f>
        <v>5047.0999999999995</v>
      </c>
      <c r="BH246" s="59"/>
      <c r="BI246" s="59"/>
      <c r="BJ246" s="59"/>
      <c r="BK246" s="59"/>
      <c r="BL246" s="86">
        <f t="shared" ref="BL246:DJ246" si="285">BL244-BL245</f>
        <v>4431.2000000000025</v>
      </c>
      <c r="BM246" s="59">
        <f t="shared" si="285"/>
        <v>4705.0999999999985</v>
      </c>
      <c r="BN246" s="59">
        <f t="shared" si="285"/>
        <v>5206.1999999999971</v>
      </c>
      <c r="BO246" s="59">
        <f t="shared" si="285"/>
        <v>5482.4000000000015</v>
      </c>
      <c r="BP246" s="59">
        <f t="shared" si="285"/>
        <v>5381.2999999999993</v>
      </c>
      <c r="BQ246" s="86">
        <f t="shared" si="285"/>
        <v>5381.2999999999993</v>
      </c>
      <c r="BR246" s="59">
        <f t="shared" si="285"/>
        <v>5663.7000000000007</v>
      </c>
      <c r="BS246" s="59">
        <f t="shared" si="285"/>
        <v>6514.1</v>
      </c>
      <c r="BT246" s="59">
        <f t="shared" si="285"/>
        <v>6766.0999999999985</v>
      </c>
      <c r="BU246" s="59">
        <f t="shared" si="285"/>
        <v>6565</v>
      </c>
      <c r="BV246" s="86">
        <f t="shared" si="285"/>
        <v>6565</v>
      </c>
      <c r="BW246" s="59">
        <f t="shared" si="285"/>
        <v>6686</v>
      </c>
      <c r="BX246" s="59">
        <f t="shared" si="285"/>
        <v>7207</v>
      </c>
      <c r="BY246" s="59">
        <f t="shared" si="285"/>
        <v>7170</v>
      </c>
      <c r="BZ246" s="59">
        <f t="shared" si="285"/>
        <v>6610</v>
      </c>
      <c r="CA246" s="86">
        <f t="shared" si="285"/>
        <v>6610</v>
      </c>
      <c r="CB246" s="59">
        <f t="shared" si="285"/>
        <v>5853</v>
      </c>
      <c r="CC246" s="59">
        <f t="shared" si="285"/>
        <v>5996</v>
      </c>
      <c r="CD246" s="59">
        <f t="shared" si="285"/>
        <v>5477</v>
      </c>
      <c r="CE246" s="59">
        <f t="shared" si="285"/>
        <v>6026</v>
      </c>
      <c r="CF246" s="86">
        <f t="shared" si="285"/>
        <v>6026</v>
      </c>
      <c r="CG246" s="59">
        <f t="shared" si="285"/>
        <v>4268</v>
      </c>
      <c r="CH246" s="59">
        <f t="shared" si="285"/>
        <v>4540</v>
      </c>
      <c r="CI246" s="59">
        <f t="shared" si="285"/>
        <v>5208</v>
      </c>
      <c r="CJ246" s="59">
        <f t="shared" si="285"/>
        <v>5377</v>
      </c>
      <c r="CK246" s="86">
        <f t="shared" si="285"/>
        <v>5377</v>
      </c>
      <c r="CL246" s="59">
        <f t="shared" si="285"/>
        <v>5288</v>
      </c>
      <c r="CM246" s="59">
        <f t="shared" si="285"/>
        <v>6018</v>
      </c>
      <c r="CN246" s="59">
        <f t="shared" si="285"/>
        <v>6107</v>
      </c>
      <c r="CO246" s="59">
        <f t="shared" si="285"/>
        <v>6284</v>
      </c>
      <c r="CP246" s="86">
        <f t="shared" si="285"/>
        <v>6284</v>
      </c>
      <c r="CQ246" s="59">
        <f t="shared" si="285"/>
        <v>5964</v>
      </c>
      <c r="CR246" s="59">
        <f t="shared" si="285"/>
        <v>6916</v>
      </c>
      <c r="CS246" s="59">
        <f t="shared" si="285"/>
        <v>7261</v>
      </c>
      <c r="CT246" s="59">
        <f t="shared" si="285"/>
        <v>5701</v>
      </c>
      <c r="CU246" s="86">
        <f t="shared" si="285"/>
        <v>5701</v>
      </c>
      <c r="CV246" s="59">
        <f t="shared" si="285"/>
        <v>5348</v>
      </c>
      <c r="CW246" s="59">
        <f t="shared" si="285"/>
        <v>6123</v>
      </c>
      <c r="CX246" s="59">
        <f t="shared" si="285"/>
        <v>6759</v>
      </c>
      <c r="CY246" s="59">
        <f t="shared" si="285"/>
        <v>5859</v>
      </c>
      <c r="CZ246" s="86">
        <f t="shared" si="285"/>
        <v>5859</v>
      </c>
      <c r="DA246" s="59">
        <f t="shared" si="285"/>
        <v>4214</v>
      </c>
      <c r="DB246" s="59">
        <f>DB244-DB245</f>
        <v>4708</v>
      </c>
      <c r="DC246" s="59">
        <f>DC244-DC245</f>
        <v>3058</v>
      </c>
      <c r="DD246" s="59">
        <f>DD244-DD245</f>
        <v>3250</v>
      </c>
      <c r="DE246" s="86">
        <f t="shared" si="285"/>
        <v>3250</v>
      </c>
      <c r="DF246" s="59">
        <f t="shared" si="285"/>
        <v>1678</v>
      </c>
      <c r="DG246" s="59">
        <f t="shared" si="285"/>
        <v>1520</v>
      </c>
      <c r="DH246" s="59">
        <f t="shared" si="285"/>
        <v>1253</v>
      </c>
      <c r="DI246" s="59">
        <f t="shared" si="285"/>
        <v>3595</v>
      </c>
      <c r="DJ246" s="86">
        <f t="shared" si="285"/>
        <v>3595</v>
      </c>
      <c r="DK246" s="59">
        <f t="shared" ref="DK246:DT246" ca="1" si="286">DK244-DK245</f>
        <v>5377.8989594800696</v>
      </c>
      <c r="DL246" s="59">
        <f t="shared" ca="1" si="286"/>
        <v>4552.3487644030902</v>
      </c>
      <c r="DM246" s="59">
        <f t="shared" ca="1" si="286"/>
        <v>4479.4186006988966</v>
      </c>
      <c r="DN246" s="59">
        <f t="shared" ca="1" si="286"/>
        <v>4241.8090192173586</v>
      </c>
      <c r="DO246" s="86">
        <f t="shared" ca="1" si="286"/>
        <v>4241.8090192173586</v>
      </c>
      <c r="DP246" s="59">
        <f t="shared" ca="1" si="286"/>
        <v>5899.6186463969389</v>
      </c>
      <c r="DQ246" s="59">
        <f t="shared" ca="1" si="286"/>
        <v>5021.5437538835176</v>
      </c>
      <c r="DR246" s="59">
        <f t="shared" ca="1" si="286"/>
        <v>4946.8215066235789</v>
      </c>
      <c r="DS246" s="59">
        <f t="shared" ca="1" si="286"/>
        <v>4663.8655564025212</v>
      </c>
      <c r="DT246" s="86">
        <f t="shared" ca="1" si="286"/>
        <v>4663.8655564025212</v>
      </c>
      <c r="DU246" s="59">
        <f t="shared" ref="DU246:DY246" ca="1" si="287">DU244-DU245</f>
        <v>5979.8041864360057</v>
      </c>
      <c r="DV246" s="59">
        <f t="shared" ca="1" si="287"/>
        <v>5041.2889252973036</v>
      </c>
      <c r="DW246" s="59">
        <f t="shared" ca="1" si="287"/>
        <v>4961.0593489447274</v>
      </c>
      <c r="DX246" s="59">
        <f t="shared" ca="1" si="287"/>
        <v>4638.2979204787116</v>
      </c>
      <c r="DY246" s="86">
        <f t="shared" ca="1" si="287"/>
        <v>4638.2979204787116</v>
      </c>
      <c r="DZ246" s="1858"/>
      <c r="EA246" s="78"/>
      <c r="EB246" s="78"/>
    </row>
    <row r="247" spans="1:132" x14ac:dyDescent="0.2">
      <c r="A247" s="1961"/>
      <c r="B247" s="2097" t="s">
        <v>458</v>
      </c>
      <c r="C247" s="2017"/>
      <c r="D247" s="2017"/>
      <c r="E247" s="2017"/>
      <c r="F247" s="2017"/>
      <c r="G247" s="2017"/>
      <c r="H247" s="2017"/>
      <c r="I247" s="2098">
        <f>I246/IS!I$10</f>
        <v>6.950032117380571E-2</v>
      </c>
      <c r="J247" s="2017"/>
      <c r="K247" s="2017"/>
      <c r="L247" s="2017"/>
      <c r="M247" s="2017"/>
      <c r="N247" s="2098">
        <f>N246/IS!N$10</f>
        <v>9.4351650412043922E-2</v>
      </c>
      <c r="O247" s="2017"/>
      <c r="P247" s="2017"/>
      <c r="Q247" s="2017"/>
      <c r="R247" s="2017"/>
      <c r="S247" s="2098">
        <f>S246/IS!S$10</f>
        <v>0.11921223549130519</v>
      </c>
      <c r="T247" s="2017"/>
      <c r="U247" s="2017"/>
      <c r="V247" s="2017"/>
      <c r="W247" s="2017"/>
      <c r="X247" s="2098">
        <f>X246/IS!X$10</f>
        <v>0.1080985506926065</v>
      </c>
      <c r="Y247" s="2017"/>
      <c r="Z247" s="2017"/>
      <c r="AA247" s="2017"/>
      <c r="AB247" s="2017"/>
      <c r="AC247" s="2098">
        <f>AC246/IS!AC$10</f>
        <v>0.11183074051026753</v>
      </c>
      <c r="AD247" s="2017"/>
      <c r="AE247" s="2017"/>
      <c r="AF247" s="2017"/>
      <c r="AG247" s="2017"/>
      <c r="AH247" s="2098">
        <f>AH246/IS!AH$10</f>
        <v>0.10854082926434488</v>
      </c>
      <c r="AI247" s="2017"/>
      <c r="AJ247" s="2017"/>
      <c r="AK247" s="2017"/>
      <c r="AL247" s="2017"/>
      <c r="AM247" s="2098">
        <f>AM246/IS!AM$10</f>
        <v>9.1499700184025007E-2</v>
      </c>
      <c r="AN247" s="2017"/>
      <c r="AO247" s="2017"/>
      <c r="AP247" s="2017"/>
      <c r="AQ247" s="2017"/>
      <c r="AR247" s="2098">
        <f>AR246/IS!AR$10</f>
        <v>9.3549721678952938E-2</v>
      </c>
      <c r="AS247" s="2017"/>
      <c r="AT247" s="2017"/>
      <c r="AU247" s="2017"/>
      <c r="AV247" s="2017"/>
      <c r="AW247" s="2098">
        <f>AW246/IS!AW$10</f>
        <v>0.11716561581732544</v>
      </c>
      <c r="AX247" s="2017"/>
      <c r="AY247" s="2017"/>
      <c r="AZ247" s="2017"/>
      <c r="BA247" s="2017"/>
      <c r="BB247" s="2098">
        <f>BB246/IS!BB$10</f>
        <v>0.10512690945153179</v>
      </c>
      <c r="BC247" s="2017"/>
      <c r="BD247" s="2017"/>
      <c r="BE247" s="2017"/>
      <c r="BF247" s="2017"/>
      <c r="BG247" s="2098">
        <f>BG246/IS!BG$10</f>
        <v>0.11558447209378483</v>
      </c>
      <c r="BH247" s="2017"/>
      <c r="BI247" s="2017"/>
      <c r="BJ247" s="2017"/>
      <c r="BK247" s="2017"/>
      <c r="BL247" s="2098">
        <f>BL246/IS!BL$10</f>
        <v>5.8053570375804935E-2</v>
      </c>
      <c r="BM247" s="2099">
        <f>BM246/(IS!BM$10*4)</f>
        <v>5.515685079245989E-2</v>
      </c>
      <c r="BN247" s="2099">
        <f>BN246/(IS!BN$10*4)</f>
        <v>6.1567243605814441E-2</v>
      </c>
      <c r="BO247" s="2099">
        <f>BO246/(IS!BO$10*4)</f>
        <v>6.569399043300711E-2</v>
      </c>
      <c r="BP247" s="2099">
        <f>BP246/(IS!BP$10*4)</f>
        <v>5.5725037486227424E-2</v>
      </c>
      <c r="BQ247" s="2098">
        <f>BQ246/IS!BQ$10</f>
        <v>6.1520328242555607E-2</v>
      </c>
      <c r="BR247" s="2099">
        <f>BR246/(IS!BR$10*4)</f>
        <v>6.0525393371776405E-2</v>
      </c>
      <c r="BS247" s="2099">
        <f>BS246/(IS!BS$10*4)</f>
        <v>6.547860770130795E-2</v>
      </c>
      <c r="BT247" s="2099">
        <f>BT246/(IS!BT$10*4)</f>
        <v>6.8644260385765696E-2</v>
      </c>
      <c r="BU247" s="2099">
        <f>BU246/(IS!BU$10*4)</f>
        <v>6.3560142514135234E-2</v>
      </c>
      <c r="BV247" s="2098">
        <f>BV246/IS!BV$10</f>
        <v>6.6495220750965534E-2</v>
      </c>
      <c r="BW247" s="2099">
        <f>BW246/(IS!BW$10*4)</f>
        <v>7.0349326599326606E-2</v>
      </c>
      <c r="BX247" s="2099">
        <f>BX246/(IS!BX$10*4)</f>
        <v>7.505102678385471E-2</v>
      </c>
      <c r="BY247" s="2099">
        <f>BY246/(IS!BY$10*4)</f>
        <v>7.507853403141361E-2</v>
      </c>
      <c r="BZ247" s="2099">
        <f>BZ246/(IS!BZ$10*4)</f>
        <v>6.6711073432643014E-2</v>
      </c>
      <c r="CA247" s="2098">
        <f>CA246/IS!CA$10</f>
        <v>6.8559219192432561E-2</v>
      </c>
      <c r="CB247" s="2099">
        <f>CB246/(IS!CB$10*4)</f>
        <v>5.653979907264297E-2</v>
      </c>
      <c r="CC247" s="2099">
        <f>CC246/(IS!CC$10*4)</f>
        <v>5.6292012467610501E-2</v>
      </c>
      <c r="CD247" s="2099">
        <f>CD246/(IS!CD$10*4)</f>
        <v>5.1332758491414859E-2</v>
      </c>
      <c r="CE247" s="2099">
        <f>CE246/(IS!CE$10*4)</f>
        <v>5.3201257195324363E-2</v>
      </c>
      <c r="CF247" s="2098">
        <f>CF246/IS!CF$10</f>
        <v>5.6055813953488375E-2</v>
      </c>
      <c r="CG247" s="2099">
        <f>CG246/(IS!CG$10*4)</f>
        <v>3.4645106825118517E-2</v>
      </c>
      <c r="CH247" s="2099">
        <f>CH246/(IS!CH$10*4)</f>
        <v>3.6953350871252573E-2</v>
      </c>
      <c r="CI247" s="2099">
        <f>CI246/(IS!CI$10*4)</f>
        <v>4.3073645347086909E-2</v>
      </c>
      <c r="CJ247" s="2099">
        <f>CJ246/(IS!CJ$10*4)</f>
        <v>4.2818691469707584E-2</v>
      </c>
      <c r="CK247" s="2098">
        <f>CK246/IS!CK$10</f>
        <v>4.3667980414784903E-2</v>
      </c>
      <c r="CL247" s="2099">
        <f>CL246/(IS!CL$10*4)</f>
        <v>4.2973702174690376E-2</v>
      </c>
      <c r="CM247" s="2099">
        <f>CM246/(IS!CM$10*4)</f>
        <v>4.8146619176083177E-2</v>
      </c>
      <c r="CN247" s="2099">
        <f>CN246/(IS!CN$10*4)</f>
        <v>4.7758546801342588E-2</v>
      </c>
      <c r="CO247" s="2099">
        <f>CO246/(IS!CO$10*4)</f>
        <v>4.785271962448865E-2</v>
      </c>
      <c r="CP247" s="2098">
        <f>CP246/IS!CP$10</f>
        <v>4.9554725087197861E-2</v>
      </c>
      <c r="CQ247" s="2099">
        <f>CQ246/(IS!CQ$10*4)</f>
        <v>4.5611813184291916E-2</v>
      </c>
      <c r="CR247" s="2099">
        <f>CR246/(IS!CR$10*4)</f>
        <v>4.9969365224327475E-2</v>
      </c>
      <c r="CS247" s="2099">
        <f>CS246/(IS!CS$10*4)</f>
        <v>5.1833037797213682E-2</v>
      </c>
      <c r="CT247" s="2099">
        <f>CT246/(IS!CT$10*4)</f>
        <v>3.8462784001208998E-2</v>
      </c>
      <c r="CU247" s="2098">
        <f>CU246/IS!CU$10</f>
        <v>4.0906530622495364E-2</v>
      </c>
      <c r="CV247" s="2099">
        <f>CV246/(IS!CV$10*4)</f>
        <v>3.679992073016327E-2</v>
      </c>
      <c r="CW247" s="2099">
        <f>CW246/(IS!CW$10*4)</f>
        <v>4.1183623943673343E-2</v>
      </c>
      <c r="CX247" s="2099">
        <f>CX246/(IS!CX$10*4)</f>
        <v>4.3726528068237264E-2</v>
      </c>
      <c r="CY247" s="2099">
        <f>CY246/(IS!CY$10*4)</f>
        <v>3.5599185130172767E-2</v>
      </c>
      <c r="CZ247" s="2098">
        <f>CZ246/IS!CZ$10</f>
        <v>3.8221747589260661E-2</v>
      </c>
      <c r="DA247" s="2099">
        <f>DA246/(IS!DA$10*4)</f>
        <v>2.4378109452736319E-2</v>
      </c>
      <c r="DB247" s="2099">
        <f>DB246/(IS!DB$10*4)</f>
        <v>2.6918054307231737E-2</v>
      </c>
      <c r="DC247" s="2099">
        <f>DC246/(IS!DC$10*4)</f>
        <v>1.7135492547349546E-2</v>
      </c>
      <c r="DD247" s="2099">
        <f>DD246/(IS!DD$10*4)</f>
        <v>1.7674109007378532E-2</v>
      </c>
      <c r="DE247" s="2098">
        <f>DE246/IS!DE$10</f>
        <v>1.8307125978375059E-2</v>
      </c>
      <c r="DF247" s="2099">
        <f>DF246/(IS!DF$10*4)</f>
        <v>9.4240861219941768E-3</v>
      </c>
      <c r="DG247" s="2099">
        <f>DG246/(IS!DG$10*4)</f>
        <v>8.3178069728302093E-3</v>
      </c>
      <c r="DH247" s="2099">
        <f>DH246/(IS!DH$10*4)</f>
        <v>6.7830322408329305E-3</v>
      </c>
      <c r="DI247" s="2099">
        <f>DI246/(IS!DI$10*4)</f>
        <v>1.8574914229296857E-2</v>
      </c>
      <c r="DJ247" s="2098">
        <f>DJ246/IS!DJ$10</f>
        <v>1.9457118860320987E-2</v>
      </c>
      <c r="DK247" s="2099">
        <f ca="1">DK246/(IS!DK$10*4)</f>
        <v>2.9321606445571146E-2</v>
      </c>
      <c r="DL247" s="2099">
        <f ca="1">DL246/(IS!DL$10*4)</f>
        <v>2.3635587488466097E-2</v>
      </c>
      <c r="DM247" s="2099">
        <f ca="1">DM246/(IS!DM$10*4)</f>
        <v>2.3433680463754315E-2</v>
      </c>
      <c r="DN247" s="2099">
        <f ca="1">DN246/(IS!DN$10*4)</f>
        <v>2.16062757831205E-2</v>
      </c>
      <c r="DO247" s="2098">
        <f ca="1">DO246/IS!DO$10</f>
        <v>2.222318624811697E-2</v>
      </c>
      <c r="DP247" s="2099">
        <f ca="1">DP246/(IS!DP$10*4)</f>
        <v>3.037243942084689E-2</v>
      </c>
      <c r="DQ247" s="2099">
        <f ca="1">DQ246/(IS!DQ$10*4)</f>
        <v>2.4620512590977556E-2</v>
      </c>
      <c r="DR247" s="2099">
        <f ca="1">DR246/(IS!DR$10*4)</f>
        <v>2.4451354451399281E-2</v>
      </c>
      <c r="DS247" s="2099">
        <f ca="1">DS246/(IS!DS$10*4)</f>
        <v>2.248482010125755E-2</v>
      </c>
      <c r="DT247" s="2098">
        <f ca="1">DT246/IS!DT$10</f>
        <v>2.3090276198929019E-2</v>
      </c>
      <c r="DU247" s="2099">
        <f ca="1">DU246/(IS!DU$10*4)</f>
        <v>2.9696210669391602E-2</v>
      </c>
      <c r="DV247" s="2099">
        <f ca="1">DV246/(IS!DV$10*4)</f>
        <v>2.3869498088181423E-2</v>
      </c>
      <c r="DW247" s="2099">
        <f ca="1">DW246/(IS!DW$10*4)</f>
        <v>2.3701502787190319E-2</v>
      </c>
      <c r="DX247" s="2099">
        <f ca="1">DX246/(IS!DX$10*4)</f>
        <v>2.1649469949994549E-2</v>
      </c>
      <c r="DY247" s="2098">
        <f ca="1">DY246/IS!DY$10</f>
        <v>2.2189429024073903E-2</v>
      </c>
      <c r="DZ247" s="2021"/>
      <c r="EA247" s="2021"/>
      <c r="EB247" s="2021"/>
    </row>
    <row r="248" spans="1:132" ht="5.25" customHeight="1" x14ac:dyDescent="0.2">
      <c r="A248" s="1842"/>
      <c r="B248" s="1849"/>
      <c r="C248" s="1850"/>
      <c r="D248" s="1850"/>
      <c r="E248" s="1850"/>
      <c r="F248" s="1850"/>
      <c r="G248" s="1850"/>
      <c r="H248" s="1850"/>
      <c r="I248" s="1851"/>
      <c r="J248" s="1850"/>
      <c r="K248" s="1850"/>
      <c r="L248" s="1850"/>
      <c r="M248" s="1850"/>
      <c r="N248" s="1851"/>
      <c r="O248" s="1850"/>
      <c r="P248" s="1850"/>
      <c r="Q248" s="1850"/>
      <c r="R248" s="1850"/>
      <c r="S248" s="1851"/>
      <c r="T248" s="1850"/>
      <c r="U248" s="1850"/>
      <c r="V248" s="1850"/>
      <c r="W248" s="1850"/>
      <c r="X248" s="1851"/>
      <c r="Y248" s="1850"/>
      <c r="Z248" s="1850"/>
      <c r="AA248" s="1850"/>
      <c r="AB248" s="1850"/>
      <c r="AC248" s="1851"/>
      <c r="AD248" s="1850"/>
      <c r="AE248" s="1850"/>
      <c r="AF248" s="1850"/>
      <c r="AG248" s="1850"/>
      <c r="AH248" s="1851"/>
      <c r="AI248" s="1850"/>
      <c r="AJ248" s="1850"/>
      <c r="AK248" s="1850"/>
      <c r="AL248" s="1850"/>
      <c r="AM248" s="1851"/>
      <c r="AN248" s="1850"/>
      <c r="AO248" s="1850"/>
      <c r="AP248" s="1850"/>
      <c r="AQ248" s="1850"/>
      <c r="AR248" s="1851"/>
      <c r="AS248" s="1850"/>
      <c r="AT248" s="1850"/>
      <c r="AU248" s="1850"/>
      <c r="AV248" s="1850"/>
      <c r="AW248" s="1851"/>
      <c r="AX248" s="1850"/>
      <c r="AY248" s="1850"/>
      <c r="AZ248" s="1850"/>
      <c r="BA248" s="1850"/>
      <c r="BB248" s="1851"/>
      <c r="BC248" s="1850"/>
      <c r="BD248" s="1850"/>
      <c r="BE248" s="1850"/>
      <c r="BF248" s="1850"/>
      <c r="BG248" s="1851"/>
      <c r="BH248" s="1850"/>
      <c r="BI248" s="1850"/>
      <c r="BJ248" s="1850"/>
      <c r="BK248" s="1850"/>
      <c r="BL248" s="1851"/>
      <c r="BM248" s="1850"/>
      <c r="BN248" s="1850"/>
      <c r="BO248" s="1850"/>
      <c r="BP248" s="1850"/>
      <c r="BQ248" s="1851"/>
      <c r="BR248" s="1850"/>
      <c r="BS248" s="1850"/>
      <c r="BT248" s="1850"/>
      <c r="BU248" s="1850"/>
      <c r="BV248" s="1851"/>
      <c r="BW248" s="1850"/>
      <c r="BX248" s="1850"/>
      <c r="BY248" s="1850"/>
      <c r="BZ248" s="1850"/>
      <c r="CA248" s="1851"/>
      <c r="CB248" s="1850"/>
      <c r="CC248" s="1850"/>
      <c r="CD248" s="1850"/>
      <c r="CE248" s="1850"/>
      <c r="CF248" s="1851"/>
      <c r="CG248" s="1850"/>
      <c r="CH248" s="1850"/>
      <c r="CI248" s="1850"/>
      <c r="CJ248" s="1850"/>
      <c r="CK248" s="1851"/>
      <c r="CL248" s="1850"/>
      <c r="CM248" s="1850"/>
      <c r="CN248" s="1850"/>
      <c r="CO248" s="1850"/>
      <c r="CP248" s="1851"/>
      <c r="CQ248" s="1850"/>
      <c r="CR248" s="1850"/>
      <c r="CS248" s="1850"/>
      <c r="CT248" s="1850"/>
      <c r="CU248" s="1851"/>
      <c r="CV248" s="1850"/>
      <c r="CW248" s="1850"/>
      <c r="CX248" s="1850"/>
      <c r="CY248" s="1850"/>
      <c r="CZ248" s="1851"/>
      <c r="DA248" s="1850"/>
      <c r="DB248" s="1850"/>
      <c r="DC248" s="1850"/>
      <c r="DD248" s="1850"/>
      <c r="DE248" s="1851"/>
      <c r="DF248" s="1850"/>
      <c r="DG248" s="1850"/>
      <c r="DH248" s="1850"/>
      <c r="DI248" s="1850"/>
      <c r="DJ248" s="1851"/>
      <c r="DK248" s="1850"/>
      <c r="DL248" s="1850"/>
      <c r="DM248" s="1850"/>
      <c r="DN248" s="1850"/>
      <c r="DO248" s="1851"/>
      <c r="DP248" s="1850"/>
      <c r="DQ248" s="1850"/>
      <c r="DR248" s="1850"/>
      <c r="DS248" s="1850"/>
      <c r="DT248" s="1851"/>
      <c r="DU248" s="1850"/>
      <c r="DV248" s="1850"/>
      <c r="DW248" s="1850"/>
      <c r="DX248" s="1850"/>
      <c r="DY248" s="1851"/>
      <c r="DZ248" s="1848"/>
      <c r="EA248" s="1848"/>
      <c r="EB248" s="1848"/>
    </row>
    <row r="249" spans="1:132" x14ac:dyDescent="0.2">
      <c r="A249" s="1842"/>
      <c r="B249" s="1849" t="s">
        <v>462</v>
      </c>
      <c r="C249" s="1850"/>
      <c r="D249" s="1850"/>
      <c r="E249" s="1850"/>
      <c r="F249" s="1850"/>
      <c r="G249" s="1850"/>
      <c r="H249" s="1850"/>
      <c r="I249" s="436">
        <f>I239/I240</f>
        <v>1.6623798756359525</v>
      </c>
      <c r="J249" s="1850"/>
      <c r="K249" s="1850"/>
      <c r="L249" s="1850"/>
      <c r="M249" s="1850"/>
      <c r="N249" s="436">
        <f>N239/N240</f>
        <v>1.3372156943585514</v>
      </c>
      <c r="O249" s="1850"/>
      <c r="P249" s="1850"/>
      <c r="Q249" s="1850"/>
      <c r="R249" s="1850"/>
      <c r="S249" s="436">
        <f>S239/S240</f>
        <v>1.3880573197587207</v>
      </c>
      <c r="T249" s="1850"/>
      <c r="U249" s="1850"/>
      <c r="V249" s="1850"/>
      <c r="W249" s="1850"/>
      <c r="X249" s="436">
        <f>X239/X240</f>
        <v>1.5945188414824041</v>
      </c>
      <c r="Y249" s="1850"/>
      <c r="Z249" s="1850"/>
      <c r="AA249" s="1850"/>
      <c r="AB249" s="1850"/>
      <c r="AC249" s="436">
        <f>AC239/AC240</f>
        <v>1.665463378428528</v>
      </c>
      <c r="AD249" s="1850"/>
      <c r="AE249" s="1850"/>
      <c r="AF249" s="1850"/>
      <c r="AG249" s="1850"/>
      <c r="AH249" s="436">
        <f>AH239/AH240</f>
        <v>1.7789556084673344</v>
      </c>
      <c r="AI249" s="1850"/>
      <c r="AJ249" s="1850"/>
      <c r="AK249" s="1850"/>
      <c r="AL249" s="1850"/>
      <c r="AM249" s="436">
        <f>AM239/AM240</f>
        <v>1.9260439808107153</v>
      </c>
      <c r="AN249" s="1850"/>
      <c r="AO249" s="1850"/>
      <c r="AP249" s="1850"/>
      <c r="AQ249" s="1850"/>
      <c r="AR249" s="436">
        <f>AR239/AR240</f>
        <v>1.8618881118881123</v>
      </c>
      <c r="AS249" s="1850"/>
      <c r="AT249" s="1850"/>
      <c r="AU249" s="1850"/>
      <c r="AV249" s="1850"/>
      <c r="AW249" s="436">
        <f>AW239/AW240</f>
        <v>1.6299292006256689</v>
      </c>
      <c r="AX249" s="1850"/>
      <c r="AY249" s="1850"/>
      <c r="AZ249" s="1850"/>
      <c r="BA249" s="1850"/>
      <c r="BB249" s="436">
        <f>BB239/BB240</f>
        <v>1.8309081786251884</v>
      </c>
      <c r="BC249" s="1850"/>
      <c r="BD249" s="1850"/>
      <c r="BE249" s="1850"/>
      <c r="BF249" s="1850"/>
      <c r="BG249" s="436">
        <f>BG239/BG240</f>
        <v>1.4843515648435157</v>
      </c>
      <c r="BH249" s="1850"/>
      <c r="BI249" s="1850"/>
      <c r="BJ249" s="1850"/>
      <c r="BK249" s="1850"/>
      <c r="BL249" s="436">
        <f t="shared" ref="BL249:DJ249" si="288">BL239/BL240</f>
        <v>1.3142305155903145</v>
      </c>
      <c r="BM249" s="437">
        <f t="shared" si="288"/>
        <v>1.4227052893119703</v>
      </c>
      <c r="BN249" s="437">
        <f t="shared" si="288"/>
        <v>1.5441730603350432</v>
      </c>
      <c r="BO249" s="437">
        <f t="shared" si="288"/>
        <v>1.5145242070116862</v>
      </c>
      <c r="BP249" s="437">
        <f t="shared" si="288"/>
        <v>1.2250795039251587</v>
      </c>
      <c r="BQ249" s="436">
        <f t="shared" si="288"/>
        <v>1.2250795039251587</v>
      </c>
      <c r="BR249" s="437">
        <f t="shared" si="288"/>
        <v>1.3991546944028943</v>
      </c>
      <c r="BS249" s="437">
        <f t="shared" si="288"/>
        <v>1.3139973988937463</v>
      </c>
      <c r="BT249" s="437">
        <f t="shared" si="288"/>
        <v>1.3698702403073919</v>
      </c>
      <c r="BU249" s="437">
        <f t="shared" si="288"/>
        <v>1.4257723577235772</v>
      </c>
      <c r="BV249" s="436">
        <f t="shared" si="288"/>
        <v>1.4257723577235772</v>
      </c>
      <c r="BW249" s="437">
        <f t="shared" si="288"/>
        <v>1.3905325443786982</v>
      </c>
      <c r="BX249" s="437">
        <f t="shared" si="288"/>
        <v>1.5071123134653988</v>
      </c>
      <c r="BY249" s="437">
        <f t="shared" si="288"/>
        <v>1.4852664039746448</v>
      </c>
      <c r="BZ249" s="437">
        <f t="shared" si="288"/>
        <v>1.5994579945799461</v>
      </c>
      <c r="CA249" s="436">
        <f t="shared" si="288"/>
        <v>1.5994579945799461</v>
      </c>
      <c r="CB249" s="437">
        <f t="shared" si="288"/>
        <v>1.6031399912778019</v>
      </c>
      <c r="CC249" s="437">
        <f t="shared" si="288"/>
        <v>1.6222770592239619</v>
      </c>
      <c r="CD249" s="437">
        <f t="shared" si="288"/>
        <v>8.0971659919028341E-2</v>
      </c>
      <c r="CE249" s="437">
        <f t="shared" si="288"/>
        <v>8.3640013382402137E-2</v>
      </c>
      <c r="CF249" s="436">
        <f t="shared" si="288"/>
        <v>1.5552024088323855</v>
      </c>
      <c r="CG249" s="437">
        <f t="shared" si="288"/>
        <v>7.4560095436922158E-2</v>
      </c>
      <c r="CH249" s="437">
        <f t="shared" si="288"/>
        <v>7.6126674786845316E-2</v>
      </c>
      <c r="CI249" s="437">
        <f t="shared" si="288"/>
        <v>7.5397722988765736E-2</v>
      </c>
      <c r="CJ249" s="437">
        <f t="shared" si="288"/>
        <v>7.2516316171138503E-2</v>
      </c>
      <c r="CK249" s="436">
        <f t="shared" si="288"/>
        <v>1.4395939086294416</v>
      </c>
      <c r="CL249" s="437">
        <f t="shared" si="288"/>
        <v>7.578628268283441E-2</v>
      </c>
      <c r="CM249" s="437">
        <f>CM239/CM240</f>
        <v>7.8802206461780933E-2</v>
      </c>
      <c r="CN249" s="437">
        <f t="shared" si="288"/>
        <v>6.6233938269969539E-2</v>
      </c>
      <c r="CO249" s="437">
        <f t="shared" si="288"/>
        <v>6.4829821717990274E-2</v>
      </c>
      <c r="CP249" s="436">
        <f t="shared" si="288"/>
        <v>1.6418152350081037</v>
      </c>
      <c r="CQ249" s="437">
        <f>CQ239/CQ240</f>
        <v>6.167889964843027E-2</v>
      </c>
      <c r="CR249" s="437">
        <f t="shared" si="288"/>
        <v>6.013590715015936E-2</v>
      </c>
      <c r="CS249" s="437">
        <f t="shared" si="288"/>
        <v>5.4905836490418934E-2</v>
      </c>
      <c r="CT249" s="437">
        <f t="shared" si="288"/>
        <v>5.2556892836495506E-2</v>
      </c>
      <c r="CU249" s="436">
        <f t="shared" si="288"/>
        <v>1.3655857465706627</v>
      </c>
      <c r="CV249" s="437">
        <f t="shared" si="288"/>
        <v>5.0727946025465431E-2</v>
      </c>
      <c r="CW249" s="437">
        <f t="shared" si="288"/>
        <v>4.9053271853232612E-2</v>
      </c>
      <c r="CX249" s="437">
        <f t="shared" si="288"/>
        <v>4.6654847438648873E-2</v>
      </c>
      <c r="CY249" s="437">
        <f t="shared" si="288"/>
        <v>4.3161120462687212E-2</v>
      </c>
      <c r="CZ249" s="436">
        <f t="shared" si="288"/>
        <v>1.3111485174155122</v>
      </c>
      <c r="DA249" s="437">
        <f t="shared" si="288"/>
        <v>4.0754778497778865E-2</v>
      </c>
      <c r="DB249" s="437">
        <f>DB239/DB240</f>
        <v>3.7637848620572845E-2</v>
      </c>
      <c r="DC249" s="437">
        <f>DC239/DC240</f>
        <v>3.7395759320893014E-2</v>
      </c>
      <c r="DD249" s="437">
        <f>DD239/DD240</f>
        <v>3.8095238095238099E-2</v>
      </c>
      <c r="DE249" s="436">
        <f t="shared" si="288"/>
        <v>1.182552380952381</v>
      </c>
      <c r="DF249" s="437">
        <f t="shared" si="288"/>
        <v>3.6646144825564352E-2</v>
      </c>
      <c r="DG249" s="437">
        <f t="shared" si="288"/>
        <v>3.7234240607662804E-2</v>
      </c>
      <c r="DH249" s="437">
        <f t="shared" si="288"/>
        <v>3.5071721670816819E-2</v>
      </c>
      <c r="DI249" s="437">
        <f t="shared" si="288"/>
        <v>3.2628556512659883E-2</v>
      </c>
      <c r="DJ249" s="436">
        <f t="shared" si="288"/>
        <v>1.0189571913338553</v>
      </c>
      <c r="DK249" s="437">
        <f t="shared" ref="DK249:DT249" ca="1" si="289">DK239/DK240</f>
        <v>3.4797283068305908E-2</v>
      </c>
      <c r="DL249" s="437">
        <f t="shared" ca="1" si="289"/>
        <v>3.2918275204054458E-2</v>
      </c>
      <c r="DM249" s="437">
        <f t="shared" ca="1" si="289"/>
        <v>3.3128652534960425E-2</v>
      </c>
      <c r="DN249" s="437">
        <f t="shared" ca="1" si="289"/>
        <v>3.2018341475131461E-2</v>
      </c>
      <c r="DO249" s="436">
        <f t="shared" ca="1" si="289"/>
        <v>2.3779468130809933</v>
      </c>
      <c r="DP249" s="437">
        <f t="shared" ca="1" si="289"/>
        <v>3.3643392015883559E-2</v>
      </c>
      <c r="DQ249" s="437">
        <f t="shared" ca="1" si="289"/>
        <v>3.1788924909808433E-2</v>
      </c>
      <c r="DR249" s="437">
        <f t="shared" ca="1" si="289"/>
        <v>3.2016288452707424E-2</v>
      </c>
      <c r="DS249" s="437">
        <f t="shared" ca="1" si="289"/>
        <v>3.0944767168507751E-2</v>
      </c>
      <c r="DT249" s="436">
        <f t="shared" ca="1" si="289"/>
        <v>2.4409783440021684</v>
      </c>
      <c r="DU249" s="437">
        <f t="shared" ref="DU249:DY249" ca="1" si="290">DU239/DU240</f>
        <v>3.2779475531700679E-2</v>
      </c>
      <c r="DV249" s="437">
        <f t="shared" ca="1" si="290"/>
        <v>3.0982496266082335E-2</v>
      </c>
      <c r="DW249" s="437">
        <f t="shared" ca="1" si="290"/>
        <v>3.1233472946821363E-2</v>
      </c>
      <c r="DX249" s="437">
        <f t="shared" ca="1" si="290"/>
        <v>3.0206506097042944E-2</v>
      </c>
      <c r="DY249" s="436">
        <f t="shared" ca="1" si="290"/>
        <v>2.4965162061154085</v>
      </c>
      <c r="DZ249" s="1848"/>
      <c r="EA249" s="1848"/>
      <c r="EB249" s="1848"/>
    </row>
    <row r="250" spans="1:132" x14ac:dyDescent="0.2">
      <c r="A250" s="1842"/>
      <c r="B250" s="1849" t="s">
        <v>463</v>
      </c>
      <c r="C250" s="1850"/>
      <c r="D250" s="1850"/>
      <c r="E250" s="1850"/>
      <c r="F250" s="1850"/>
      <c r="G250" s="1850"/>
      <c r="H250" s="1850"/>
      <c r="I250" s="436">
        <f>('BS and CFS'!I143-'BS and CFS'!I140)/'BS and CFS'!I160</f>
        <v>0.56562087808554751</v>
      </c>
      <c r="J250" s="1850"/>
      <c r="K250" s="1850"/>
      <c r="L250" s="1850"/>
      <c r="M250" s="1850"/>
      <c r="N250" s="436">
        <f>('BS and CFS'!N143-'BS and CFS'!N140)/'BS and CFS'!N160</f>
        <v>0.34690441833298979</v>
      </c>
      <c r="O250" s="1850"/>
      <c r="P250" s="1850"/>
      <c r="Q250" s="1850"/>
      <c r="R250" s="1850"/>
      <c r="S250" s="436">
        <f>('BS and CFS'!S143-'BS and CFS'!S140)/'BS and CFS'!S160</f>
        <v>0.36989755210161807</v>
      </c>
      <c r="T250" s="1850"/>
      <c r="U250" s="1850"/>
      <c r="V250" s="1850"/>
      <c r="W250" s="1850"/>
      <c r="X250" s="436">
        <f>('BS and CFS'!X143-'BS and CFS'!X140)/'BS and CFS'!X160</f>
        <v>0.40226305408491642</v>
      </c>
      <c r="Y250" s="1850"/>
      <c r="Z250" s="1850"/>
      <c r="AA250" s="1850"/>
      <c r="AB250" s="1850"/>
      <c r="AC250" s="436">
        <f>('BS and CFS'!AC143-'BS and CFS'!AC140)/'BS and CFS'!AC160</f>
        <v>0.4652339664653688</v>
      </c>
      <c r="AD250" s="1850"/>
      <c r="AE250" s="1850"/>
      <c r="AF250" s="1850"/>
      <c r="AG250" s="1850"/>
      <c r="AH250" s="436">
        <f>('BS and CFS'!AH143-'BS and CFS'!AH140)/'BS and CFS'!AH160</f>
        <v>0.50083172967154843</v>
      </c>
      <c r="AI250" s="1850"/>
      <c r="AJ250" s="1850"/>
      <c r="AK250" s="1850"/>
      <c r="AL250" s="1850"/>
      <c r="AM250" s="436">
        <f>('BS and CFS'!AM143-'BS and CFS'!AM140)/'BS and CFS'!AM160</f>
        <v>0.63369715702372909</v>
      </c>
      <c r="AN250" s="1850"/>
      <c r="AO250" s="1850"/>
      <c r="AP250" s="1850"/>
      <c r="AQ250" s="1850"/>
      <c r="AR250" s="436">
        <f>('BS and CFS'!AR143-'BS and CFS'!AR140)/'BS and CFS'!AR160</f>
        <v>0.71076464519087501</v>
      </c>
      <c r="AS250" s="1850"/>
      <c r="AT250" s="1850"/>
      <c r="AU250" s="1850"/>
      <c r="AV250" s="1850"/>
      <c r="AW250" s="436">
        <f>('BS and CFS'!AW143-'BS and CFS'!AW140)/'BS and CFS'!AW160</f>
        <v>0.50745039927554136</v>
      </c>
      <c r="AX250" s="1850"/>
      <c r="AY250" s="1850"/>
      <c r="AZ250" s="1850"/>
      <c r="BA250" s="1850"/>
      <c r="BB250" s="436">
        <f>('BS and CFS'!BB143-'BS and CFS'!BB140)/'BS and CFS'!BB160</f>
        <v>0.58310608870176073</v>
      </c>
      <c r="BC250" s="1850"/>
      <c r="BD250" s="1850"/>
      <c r="BE250" s="1850"/>
      <c r="BF250" s="1850"/>
      <c r="BG250" s="436">
        <f>('BS and CFS'!BG143-'BS and CFS'!BG140)/'BS and CFS'!BG160</f>
        <v>0.46889596754610258</v>
      </c>
      <c r="BH250" s="1850"/>
      <c r="BI250" s="1850"/>
      <c r="BJ250" s="1850"/>
      <c r="BK250" s="1850"/>
      <c r="BL250" s="436">
        <f>('BS and CFS'!BL143-'BS and CFS'!BL140)/'BS and CFS'!BL160</f>
        <v>0.57040951859041655</v>
      </c>
      <c r="BM250" s="437">
        <f>('BS and CFS'!BM143-'BS and CFS'!BM140)/'BS and CFS'!BM160</f>
        <v>0.60581180151532199</v>
      </c>
      <c r="BN250" s="437">
        <f>('BS and CFS'!BN143-'BS and CFS'!BN140)/'BS and CFS'!BN160</f>
        <v>0.63603759023017203</v>
      </c>
      <c r="BO250" s="437">
        <f>('BS and CFS'!BO143-'BS and CFS'!BO140)/'BS and CFS'!BO160</f>
        <v>0.67014721505539554</v>
      </c>
      <c r="BP250" s="437">
        <f>('BS and CFS'!BP143-'BS and CFS'!BP140)/'BS and CFS'!BP160</f>
        <v>0.5466015315161713</v>
      </c>
      <c r="BQ250" s="436">
        <f>('BS and CFS'!BQ143-'BS and CFS'!BQ140)/'BS and CFS'!BQ160</f>
        <v>0.5466015315161713</v>
      </c>
      <c r="BR250" s="437">
        <f>('BS and CFS'!BR143-'BS and CFS'!BR140)/'BS and CFS'!BR160</f>
        <v>0.61190732946046555</v>
      </c>
      <c r="BS250" s="437">
        <f>('BS and CFS'!BS143-'BS and CFS'!BS140)/'BS and CFS'!BS160</f>
        <v>0.57750043090615644</v>
      </c>
      <c r="BT250" s="437">
        <f>('BS and CFS'!BT143-'BS and CFS'!BT140)/'BS and CFS'!BT160</f>
        <v>0.58439104280180143</v>
      </c>
      <c r="BU250" s="437">
        <f>('BS and CFS'!BU143-'BS and CFS'!BU140)/'BS and CFS'!BU160</f>
        <v>0.58487804878048777</v>
      </c>
      <c r="BV250" s="436">
        <f>('BS and CFS'!BV143-'BS and CFS'!BV140)/'BS and CFS'!BV160</f>
        <v>0.58487804878048777</v>
      </c>
      <c r="BW250" s="437">
        <f>('BS and CFS'!BW143-'BS and CFS'!BW140)/'BS and CFS'!BW160</f>
        <v>0.55767204344654286</v>
      </c>
      <c r="BX250" s="437">
        <f>('BS and CFS'!BX143-'BS and CFS'!BX140)/'BS and CFS'!BX160</f>
        <v>0.60048869883934053</v>
      </c>
      <c r="BY250" s="437">
        <f>('BS and CFS'!BY143-'BS and CFS'!BY140)/'BS and CFS'!BY160</f>
        <v>0.57855062532122692</v>
      </c>
      <c r="BZ250" s="437">
        <f>('BS and CFS'!BZ143-'BS and CFS'!BZ140)/'BS and CFS'!BZ160</f>
        <v>0.63333333333333364</v>
      </c>
      <c r="CA250" s="436">
        <f>('BS and CFS'!CA143-'BS and CFS'!CA140)/'BS and CFS'!CA160</f>
        <v>0.63333333333333364</v>
      </c>
      <c r="CB250" s="437">
        <f>('BS and CFS'!CB143-'BS and CFS'!CB140)/'BS and CFS'!CB160</f>
        <v>0.71513301351940695</v>
      </c>
      <c r="CC250" s="437">
        <f>('BS and CFS'!CC143-'BS and CFS'!CC140)/'BS and CFS'!CC160</f>
        <v>0.76191286589516682</v>
      </c>
      <c r="CD250" s="437">
        <f>('BS and CFS'!CD143-'BS and CFS'!CD140)/'BS and CFS'!CD160</f>
        <v>0.69303643724696351</v>
      </c>
      <c r="CE250" s="437">
        <f>('BS and CFS'!CE143-'BS and CFS'!CE140)/'BS and CFS'!CE160</f>
        <v>0.71495483439277352</v>
      </c>
      <c r="CF250" s="436">
        <f>('BS and CFS'!CF143-'BS and CFS'!CF140)/'BS and CFS'!CF160</f>
        <v>0.71495483439277352</v>
      </c>
      <c r="CG250" s="437">
        <f>('BS and CFS'!CG143-'BS and CFS'!CG140)/'BS and CFS'!CG160</f>
        <v>0.68699671935580076</v>
      </c>
      <c r="CH250" s="437">
        <f>('BS and CFS'!CH143-'BS and CFS'!CH140)/'BS and CFS'!CH160</f>
        <v>0.67531973203410478</v>
      </c>
      <c r="CI250" s="437">
        <f>('BS and CFS'!CI143-'BS and CFS'!CI140)/'BS and CFS'!CI160</f>
        <v>0.63273769132172208</v>
      </c>
      <c r="CJ250" s="437">
        <f>('BS and CFS'!CJ143-'BS and CFS'!CJ140)/'BS and CFS'!CJ160</f>
        <v>0.65939086294416238</v>
      </c>
      <c r="CK250" s="436">
        <f>('BS and CFS'!CK143-'BS and CFS'!CK140)/'BS and CFS'!CK160</f>
        <v>0.65939086294416238</v>
      </c>
      <c r="CL250" s="437">
        <f>('BS and CFS'!CL143-'BS and CFS'!CL140)/'BS and CFS'!CL160</f>
        <v>0.69230769230769229</v>
      </c>
      <c r="CM250" s="437">
        <f>('BS and CFS'!CM143-'BS and CFS'!CM140)/'BS and CFS'!CM160</f>
        <v>0.73215130023640662</v>
      </c>
      <c r="CN250" s="437">
        <f>('BS and CFS'!CN143-'BS and CFS'!CN140)/'BS and CFS'!CN160</f>
        <v>0.70254338322956678</v>
      </c>
      <c r="CO250" s="437">
        <f>('BS and CFS'!CO143-'BS and CFS'!CO140)/'BS and CFS'!CO160</f>
        <v>0.92576985413290114</v>
      </c>
      <c r="CP250" s="436">
        <f>('BS and CFS'!CP143-'BS and CFS'!CP140)/'BS and CFS'!CP160</f>
        <v>0.92576985413290114</v>
      </c>
      <c r="CQ250" s="437">
        <f>('BS and CFS'!CQ143-'BS and CFS'!CQ140)/'BS and CFS'!CQ160</f>
        <v>0.81860235613396659</v>
      </c>
      <c r="CR250" s="437">
        <f>('BS and CFS'!CR143-'BS and CFS'!CR140)/'BS and CFS'!CR160</f>
        <v>0.76841662156473634</v>
      </c>
      <c r="CS250" s="437">
        <f>('BS and CFS'!CS143-'BS and CFS'!CS140)/'BS and CFS'!CS160</f>
        <v>0.75352769999450941</v>
      </c>
      <c r="CT250" s="437">
        <f>('BS and CFS'!CT143-'BS and CFS'!CT140)/'BS and CFS'!CT160</f>
        <v>0.7385820150312713</v>
      </c>
      <c r="CU250" s="436">
        <f>('BS and CFS'!CU143-'BS and CFS'!CU140)/'BS and CFS'!CU160</f>
        <v>0.7385820150312713</v>
      </c>
      <c r="CV250" s="437">
        <f>('BS and CFS'!CV143-'BS and CFS'!CV140)/'BS and CFS'!CV160</f>
        <v>0.6792979252270076</v>
      </c>
      <c r="CW250" s="437">
        <f>('BS and CFS'!CW143-'BS and CFS'!CW140)/'BS and CFS'!CW160</f>
        <v>0.68757971156676145</v>
      </c>
      <c r="CX250" s="437">
        <f>('BS and CFS'!CX143-'BS and CFS'!CX140)/'BS and CFS'!CX160</f>
        <v>0.81510683960063446</v>
      </c>
      <c r="CY250" s="437">
        <f>('BS and CFS'!CY143-'BS and CFS'!CY140)/'BS and CFS'!CY160</f>
        <v>0.70684966981742847</v>
      </c>
      <c r="CZ250" s="436">
        <f>('BS and CFS'!CZ143-'BS and CFS'!CZ140)/'BS and CFS'!CZ160</f>
        <v>0.70684966981742847</v>
      </c>
      <c r="DA250" s="437">
        <f>('BS and CFS'!DA143-'BS and CFS'!DA140)/'BS and CFS'!DA160</f>
        <v>0.63173982149407015</v>
      </c>
      <c r="DB250" s="437">
        <f>('BS and CFS'!DB143-'BS and CFS'!DB140)/'BS and CFS'!DB160</f>
        <v>0.57476758628476798</v>
      </c>
      <c r="DC250" s="437">
        <f>('BS and CFS'!DC143-'BS and CFS'!DC140)/'BS and CFS'!DC160</f>
        <v>0.62043304289293599</v>
      </c>
      <c r="DD250" s="437">
        <f>('BS and CFS'!DD143-'BS and CFS'!DD140)/'BS and CFS'!DD160</f>
        <v>0.62026666666666663</v>
      </c>
      <c r="DE250" s="436">
        <f>('BS and CFS'!DE143-'BS and CFS'!DE140)/'BS and CFS'!DE160</f>
        <v>0.62026666666666663</v>
      </c>
      <c r="DF250" s="437">
        <f>('BS and CFS'!DF143-'BS and CFS'!DF140)/'BS and CFS'!DF160</f>
        <v>0.55522574025212545</v>
      </c>
      <c r="DG250" s="437">
        <f>('BS and CFS'!DG143-'BS and CFS'!DG140)/'BS and CFS'!DG160</f>
        <v>0.56346576311576124</v>
      </c>
      <c r="DH250" s="437">
        <f>('BS and CFS'!DH143-'BS and CFS'!DH140)/'BS and CFS'!DH160</f>
        <v>0.55329148107880621</v>
      </c>
      <c r="DI250" s="437">
        <f>('BS and CFS'!DI143-'BS and CFS'!DI140)/'BS and CFS'!DI160</f>
        <v>0.51987079091620991</v>
      </c>
      <c r="DJ250" s="436">
        <f>('BS and CFS'!DJ143-'BS and CFS'!DJ140)/'BS and CFS'!DJ160</f>
        <v>0.51987079091620991</v>
      </c>
      <c r="DK250" s="437">
        <f ca="1">('BS and CFS'!DK143-'BS and CFS'!DK140)/'BS and CFS'!DK160</f>
        <v>0.49916470091008691</v>
      </c>
      <c r="DL250" s="437">
        <f ca="1">('BS and CFS'!DL143-'BS and CFS'!DL140)/'BS and CFS'!DL160</f>
        <v>1.8062467118852084</v>
      </c>
      <c r="DM250" s="437">
        <f ca="1">('BS and CFS'!DM143-'BS and CFS'!DM140)/'BS and CFS'!DM160</f>
        <v>1.8502330621426257</v>
      </c>
      <c r="DN250" s="437">
        <f ca="1">('BS and CFS'!DN143-'BS and CFS'!DN140)/'BS and CFS'!DN160</f>
        <v>1.854849947582907</v>
      </c>
      <c r="DO250" s="436">
        <f ca="1">('BS and CFS'!DO143-'BS and CFS'!DO140)/'BS and CFS'!DO160</f>
        <v>1.854849947582907</v>
      </c>
      <c r="DP250" s="437">
        <f ca="1">('BS and CFS'!DP143-'BS and CFS'!DP140)/'BS and CFS'!DP160</f>
        <v>1.8995752609801069</v>
      </c>
      <c r="DQ250" s="437">
        <f ca="1">('BS and CFS'!DQ143-'BS and CFS'!DQ140)/'BS and CFS'!DQ160</f>
        <v>1.8640519500592359</v>
      </c>
      <c r="DR250" s="437">
        <f ca="1">('BS and CFS'!DR143-'BS and CFS'!DR140)/'BS and CFS'!DR160</f>
        <v>1.9049273091321872</v>
      </c>
      <c r="DS250" s="437">
        <f ca="1">('BS and CFS'!DS143-'BS and CFS'!DS140)/'BS and CFS'!DS160</f>
        <v>1.9034305203063402</v>
      </c>
      <c r="DT250" s="436">
        <f ca="1">('BS and CFS'!DT143-'BS and CFS'!DT140)/'BS and CFS'!DT160</f>
        <v>1.9034305203063402</v>
      </c>
      <c r="DU250" s="437">
        <f ca="1">('BS and CFS'!DU143-'BS and CFS'!DU140)/'BS and CFS'!DU160</f>
        <v>1.9653634151936634</v>
      </c>
      <c r="DV250" s="437">
        <f ca="1">('BS and CFS'!DV143-'BS and CFS'!DV140)/'BS and CFS'!DV160</f>
        <v>1.9222380258541674</v>
      </c>
      <c r="DW250" s="437">
        <f ca="1">('BS and CFS'!DW143-'BS and CFS'!DW140)/'BS and CFS'!DW160</f>
        <v>1.9603371965696961</v>
      </c>
      <c r="DX250" s="437">
        <f ca="1">('BS and CFS'!DX143-'BS and CFS'!DX140)/'BS and CFS'!DX160</f>
        <v>1.9535954929668657</v>
      </c>
      <c r="DY250" s="436">
        <f ca="1">('BS and CFS'!DY143-'BS and CFS'!DY140)/'BS and CFS'!DY160</f>
        <v>1.9535954929668657</v>
      </c>
      <c r="DZ250" s="1848"/>
      <c r="EA250" s="1848"/>
      <c r="EB250" s="1848"/>
    </row>
    <row r="251" spans="1:132" x14ac:dyDescent="0.2">
      <c r="A251" s="1842"/>
      <c r="B251" s="1849" t="s">
        <v>464</v>
      </c>
      <c r="C251" s="1850"/>
      <c r="D251" s="1850"/>
      <c r="E251" s="1850"/>
      <c r="F251" s="1850"/>
      <c r="G251" s="1850"/>
      <c r="H251" s="1850"/>
      <c r="I251" s="436">
        <f>(I137+I138)/I160</f>
        <v>0.30770680233653663</v>
      </c>
      <c r="J251" s="1850"/>
      <c r="K251" s="1850"/>
      <c r="L251" s="1850"/>
      <c r="M251" s="1850"/>
      <c r="N251" s="436">
        <f>(N137+N138)/N160</f>
        <v>6.6137566137566134E-2</v>
      </c>
      <c r="O251" s="1850"/>
      <c r="P251" s="1850"/>
      <c r="Q251" s="1850"/>
      <c r="R251" s="1850"/>
      <c r="S251" s="436">
        <f>(S137+S138)/S160</f>
        <v>5.7702741518526848E-2</v>
      </c>
      <c r="T251" s="1850"/>
      <c r="U251" s="1850"/>
      <c r="V251" s="1850"/>
      <c r="W251" s="1850"/>
      <c r="X251" s="436">
        <f>(X137+X138)/X160</f>
        <v>7.9587528980241545E-2</v>
      </c>
      <c r="Y251" s="1850"/>
      <c r="Z251" s="1850"/>
      <c r="AA251" s="1850"/>
      <c r="AB251" s="1850"/>
      <c r="AC251" s="436">
        <f>(AC137+AC138)/AC160</f>
        <v>0.11379508113761345</v>
      </c>
      <c r="AD251" s="1850"/>
      <c r="AE251" s="1850"/>
      <c r="AF251" s="1850"/>
      <c r="AG251" s="1850"/>
      <c r="AH251" s="436">
        <f>(AH137+AH138)/AH160</f>
        <v>7.7073616230144498E-2</v>
      </c>
      <c r="AI251" s="1850"/>
      <c r="AJ251" s="1850"/>
      <c r="AK251" s="1850"/>
      <c r="AL251" s="1850"/>
      <c r="AM251" s="436">
        <f>(AM137+AM138)/AM160</f>
        <v>0.2255062944718117</v>
      </c>
      <c r="AN251" s="1850"/>
      <c r="AO251" s="1850"/>
      <c r="AP251" s="1850"/>
      <c r="AQ251" s="1850"/>
      <c r="AR251" s="436">
        <f>(AR137+AR138)/AR160</f>
        <v>0.24165997936489741</v>
      </c>
      <c r="AS251" s="1850"/>
      <c r="AT251" s="1850"/>
      <c r="AU251" s="1850"/>
      <c r="AV251" s="1850"/>
      <c r="AW251" s="436">
        <f>(AW137+AW138)/AW160</f>
        <v>8.0740100436321724E-2</v>
      </c>
      <c r="AX251" s="1850"/>
      <c r="AY251" s="1850"/>
      <c r="AZ251" s="1850"/>
      <c r="BA251" s="1850"/>
      <c r="BB251" s="436">
        <f>(BB137+BB138)/BB160</f>
        <v>0.11200069809550819</v>
      </c>
      <c r="BC251" s="1850"/>
      <c r="BD251" s="1850"/>
      <c r="BE251" s="1850"/>
      <c r="BF251" s="1850"/>
      <c r="BG251" s="436">
        <f>(BG137+BG138)/BG160</f>
        <v>7.5806705043781342E-2</v>
      </c>
      <c r="BH251" s="1850"/>
      <c r="BI251" s="1850"/>
      <c r="BJ251" s="1850"/>
      <c r="BK251" s="1850"/>
      <c r="BL251" s="436">
        <f t="shared" ref="BL251:DJ251" si="291">(BL137+BL138)/BL160</f>
        <v>0.10069383167847822</v>
      </c>
      <c r="BM251" s="437">
        <f t="shared" si="291"/>
        <v>8.3659676281428619E-2</v>
      </c>
      <c r="BN251" s="437">
        <f t="shared" si="291"/>
        <v>6.9880147092205011E-2</v>
      </c>
      <c r="BO251" s="437">
        <f t="shared" si="291"/>
        <v>0.12974148833915111</v>
      </c>
      <c r="BP251" s="437">
        <f t="shared" si="291"/>
        <v>0.10025278171076138</v>
      </c>
      <c r="BQ251" s="436">
        <f t="shared" si="291"/>
        <v>0.10025278171076138</v>
      </c>
      <c r="BR251" s="437">
        <f t="shared" si="291"/>
        <v>8.6739485859394033E-2</v>
      </c>
      <c r="BS251" s="437">
        <f t="shared" si="291"/>
        <v>9.5998057004967177E-2</v>
      </c>
      <c r="BT251" s="437">
        <f t="shared" si="291"/>
        <v>8.9390885326446429E-2</v>
      </c>
      <c r="BU251" s="437">
        <f t="shared" si="291"/>
        <v>8.8699186991869919E-2</v>
      </c>
      <c r="BV251" s="436">
        <f t="shared" si="291"/>
        <v>8.8699186991869919E-2</v>
      </c>
      <c r="BW251" s="437">
        <f t="shared" si="291"/>
        <v>8.5190889195104161E-2</v>
      </c>
      <c r="BX251" s="437">
        <f t="shared" si="291"/>
        <v>9.6954359019111952E-2</v>
      </c>
      <c r="BY251" s="437">
        <f t="shared" si="291"/>
        <v>8.4204214493747112E-2</v>
      </c>
      <c r="BZ251" s="437">
        <f t="shared" si="291"/>
        <v>0.12926829268292717</v>
      </c>
      <c r="CA251" s="436">
        <f t="shared" si="291"/>
        <v>0.12926829268292717</v>
      </c>
      <c r="CB251" s="437">
        <f t="shared" si="291"/>
        <v>0.18909725250763193</v>
      </c>
      <c r="CC251" s="437">
        <f t="shared" si="291"/>
        <v>0.19001021102791013</v>
      </c>
      <c r="CD251" s="437">
        <f t="shared" si="291"/>
        <v>0.13862348178137651</v>
      </c>
      <c r="CE251" s="437">
        <f t="shared" si="291"/>
        <v>0.11860153897624624</v>
      </c>
      <c r="CF251" s="436">
        <f t="shared" si="291"/>
        <v>0.11860153897624624</v>
      </c>
      <c r="CG251" s="437">
        <f t="shared" si="291"/>
        <v>0.1652251714882195</v>
      </c>
      <c r="CH251" s="437">
        <f t="shared" si="291"/>
        <v>0.13915956151035322</v>
      </c>
      <c r="CI251" s="437">
        <f t="shared" si="291"/>
        <v>9.3342381060091989E-2</v>
      </c>
      <c r="CJ251" s="437">
        <f t="shared" si="291"/>
        <v>0.10007251631617115</v>
      </c>
      <c r="CK251" s="436">
        <f t="shared" si="291"/>
        <v>0.10007251631617115</v>
      </c>
      <c r="CL251" s="437">
        <f t="shared" si="291"/>
        <v>0.11792345585449034</v>
      </c>
      <c r="CM251" s="437">
        <f>(CM137+CM138)/CM160</f>
        <v>9.2907801418439712E-2</v>
      </c>
      <c r="CN251" s="437">
        <f t="shared" si="291"/>
        <v>0.10683534242946086</v>
      </c>
      <c r="CO251" s="437">
        <f t="shared" si="291"/>
        <v>0.27079416531604539</v>
      </c>
      <c r="CP251" s="436">
        <f t="shared" si="291"/>
        <v>0.27079416531604539</v>
      </c>
      <c r="CQ251" s="437">
        <f>(CQ137+CQ138)/CQ160</f>
        <v>0.17566150619872942</v>
      </c>
      <c r="CR251" s="437">
        <f t="shared" si="291"/>
        <v>0.10295267304107282</v>
      </c>
      <c r="CS251" s="437">
        <f t="shared" si="291"/>
        <v>6.6436062153406902E-2</v>
      </c>
      <c r="CT251" s="437">
        <f t="shared" si="291"/>
        <v>0.13218058548378619</v>
      </c>
      <c r="CU251" s="436">
        <f t="shared" si="291"/>
        <v>0.13218058548378619</v>
      </c>
      <c r="CV251" s="437">
        <f t="shared" si="291"/>
        <v>8.2889463805610505E-2</v>
      </c>
      <c r="CW251" s="437">
        <f t="shared" si="291"/>
        <v>6.8870793681938589E-2</v>
      </c>
      <c r="CX251" s="437">
        <f t="shared" si="291"/>
        <v>0.14047774563777177</v>
      </c>
      <c r="CY251" s="437">
        <f t="shared" si="291"/>
        <v>0.10993137381846432</v>
      </c>
      <c r="CZ251" s="436">
        <f t="shared" si="291"/>
        <v>0.10993137381846432</v>
      </c>
      <c r="DA251" s="437">
        <f t="shared" si="291"/>
        <v>7.5966907119859803E-2</v>
      </c>
      <c r="DB251" s="437">
        <f>(DB137+DB138)/DB160</f>
        <v>4.5428883285031425E-2</v>
      </c>
      <c r="DC251" s="437">
        <f>(DC137+DC138)/DC160</f>
        <v>8.4626603343180881E-2</v>
      </c>
      <c r="DD251" s="437">
        <f>(DD137+DD138)/DD160</f>
        <v>0.13173333333333334</v>
      </c>
      <c r="DE251" s="436">
        <f t="shared" si="291"/>
        <v>0.13173333333333334</v>
      </c>
      <c r="DF251" s="437">
        <f t="shared" si="291"/>
        <v>8.4359425388449136E-2</v>
      </c>
      <c r="DG251" s="437">
        <f t="shared" si="291"/>
        <v>8.0761067878020634E-2</v>
      </c>
      <c r="DH251" s="437">
        <f t="shared" si="291"/>
        <v>8.9783607477291055E-2</v>
      </c>
      <c r="DI251" s="437">
        <f t="shared" si="291"/>
        <v>5.8959801618376405E-2</v>
      </c>
      <c r="DJ251" s="436">
        <f t="shared" si="291"/>
        <v>5.8959801618376405E-2</v>
      </c>
      <c r="DK251" s="437">
        <f t="shared" ref="DK251:DT251" ca="1" si="292">(DK137+DK138)/DK160</f>
        <v>3.2066017384586816E-2</v>
      </c>
      <c r="DL251" s="437">
        <f t="shared" ca="1" si="292"/>
        <v>1.3492880455861576</v>
      </c>
      <c r="DM251" s="437">
        <f t="shared" ca="1" si="292"/>
        <v>1.3924666766053913</v>
      </c>
      <c r="DN251" s="437">
        <f t="shared" ca="1" si="292"/>
        <v>1.3964915476830082</v>
      </c>
      <c r="DO251" s="436">
        <f t="shared" ca="1" si="292"/>
        <v>1.3964915476830082</v>
      </c>
      <c r="DP251" s="437">
        <f t="shared" ca="1" si="292"/>
        <v>1.4321246123409397</v>
      </c>
      <c r="DQ251" s="437">
        <f t="shared" ca="1" si="292"/>
        <v>1.407413902292628</v>
      </c>
      <c r="DR251" s="437">
        <f t="shared" ca="1" si="292"/>
        <v>1.4473430956392224</v>
      </c>
      <c r="DS251" s="437">
        <f t="shared" ca="1" si="292"/>
        <v>1.4458408327734453</v>
      </c>
      <c r="DT251" s="436">
        <f t="shared" ca="1" si="292"/>
        <v>1.4458408327734453</v>
      </c>
      <c r="DU251" s="437">
        <f t="shared" ref="DU251:DY251" ca="1" si="293">(DU137+DU138)/DU160</f>
        <v>1.5033917927672438</v>
      </c>
      <c r="DV251" s="437">
        <f t="shared" ca="1" si="293"/>
        <v>1.4713798711224708</v>
      </c>
      <c r="DW251" s="437">
        <f t="shared" ca="1" si="293"/>
        <v>1.5084700005727874</v>
      </c>
      <c r="DX251" s="437">
        <f t="shared" ca="1" si="293"/>
        <v>1.5020349975944107</v>
      </c>
      <c r="DY251" s="436">
        <f t="shared" ca="1" si="293"/>
        <v>1.5020349975944107</v>
      </c>
      <c r="DZ251" s="1848"/>
      <c r="EA251" s="1848"/>
      <c r="EB251" s="1848"/>
    </row>
    <row r="252" spans="1:132" x14ac:dyDescent="0.2">
      <c r="A252" s="1861"/>
      <c r="B252" s="438" t="s">
        <v>465</v>
      </c>
      <c r="C252" s="247"/>
      <c r="D252" s="247"/>
      <c r="E252" s="245"/>
      <c r="F252" s="245"/>
      <c r="G252" s="245"/>
      <c r="H252" s="245"/>
      <c r="I252" s="246">
        <f>(I137+I138)/I152</f>
        <v>0.11472329065458314</v>
      </c>
      <c r="J252" s="245"/>
      <c r="K252" s="245"/>
      <c r="L252" s="245"/>
      <c r="M252" s="245"/>
      <c r="N252" s="246">
        <f>(N137+N138)/N152</f>
        <v>3.2196557895265016E-2</v>
      </c>
      <c r="O252" s="245"/>
      <c r="P252" s="245"/>
      <c r="Q252" s="245"/>
      <c r="R252" s="245"/>
      <c r="S252" s="246">
        <f>(S137+S138)/S152</f>
        <v>2.7040770542311056E-2</v>
      </c>
      <c r="T252" s="245"/>
      <c r="U252" s="245"/>
      <c r="V252" s="245"/>
      <c r="W252" s="245"/>
      <c r="X252" s="246">
        <f>(X137+X138)/X152</f>
        <v>3.1613382082084841E-2</v>
      </c>
      <c r="Y252" s="245"/>
      <c r="Z252" s="245"/>
      <c r="AA252" s="245"/>
      <c r="AB252" s="245"/>
      <c r="AC252" s="246">
        <f>(AC137+AC138)/AC152</f>
        <v>4.2430341530913893E-2</v>
      </c>
      <c r="AD252" s="245"/>
      <c r="AE252" s="245"/>
      <c r="AF252" s="245"/>
      <c r="AG252" s="245"/>
      <c r="AH252" s="246">
        <f>(AH137+AH138)/AH152</f>
        <v>2.738694049743863E-2</v>
      </c>
      <c r="AI252" s="245"/>
      <c r="AJ252" s="245"/>
      <c r="AK252" s="245"/>
      <c r="AL252" s="245"/>
      <c r="AM252" s="246">
        <f>(AM137+AM138)/AM152</f>
        <v>7.2615678102288153E-2</v>
      </c>
      <c r="AN252" s="245"/>
      <c r="AO252" s="245"/>
      <c r="AP252" s="245"/>
      <c r="AQ252" s="245"/>
      <c r="AR252" s="246">
        <f>(AR137+AR138)/AR152</f>
        <v>7.9976477506615698E-2</v>
      </c>
      <c r="AS252" s="245"/>
      <c r="AT252" s="245"/>
      <c r="AU252" s="245"/>
      <c r="AV252" s="245"/>
      <c r="AW252" s="246">
        <f>(AW137+AW138)/AW152</f>
        <v>2.6968130447933569E-2</v>
      </c>
      <c r="AX252" s="245"/>
      <c r="AY252" s="245"/>
      <c r="AZ252" s="245"/>
      <c r="BA252" s="245"/>
      <c r="BB252" s="246">
        <f>(BB137+BB138)/BB152</f>
        <v>3.3592001779708697E-2</v>
      </c>
      <c r="BC252" s="245"/>
      <c r="BD252" s="245"/>
      <c r="BE252" s="245"/>
      <c r="BF252" s="245"/>
      <c r="BG252" s="246">
        <f>(BG137+BG138)/BG152</f>
        <v>2.5799959163433774E-2</v>
      </c>
      <c r="BH252" s="245"/>
      <c r="BI252" s="245"/>
      <c r="BJ252" s="245"/>
      <c r="BK252" s="245"/>
      <c r="BL252" s="246">
        <f t="shared" ref="BL252:DJ252" si="294">(BL137+BL138)/BL152</f>
        <v>1.9811081121086805E-2</v>
      </c>
      <c r="BM252" s="247">
        <f t="shared" si="294"/>
        <v>1.4994410541169572E-2</v>
      </c>
      <c r="BN252" s="247">
        <f t="shared" si="294"/>
        <v>1.1304092386215507E-2</v>
      </c>
      <c r="BO252" s="247">
        <f t="shared" si="294"/>
        <v>2.2918062965246688E-2</v>
      </c>
      <c r="BP252" s="247">
        <f t="shared" si="294"/>
        <v>2.2185075762919559E-2</v>
      </c>
      <c r="BQ252" s="246">
        <f t="shared" si="294"/>
        <v>2.2185075762919559E-2</v>
      </c>
      <c r="BR252" s="247">
        <f t="shared" si="294"/>
        <v>1.6443523404900743E-2</v>
      </c>
      <c r="BS252" s="247">
        <f t="shared" si="294"/>
        <v>2.0075037682679073E-2</v>
      </c>
      <c r="BT252" s="247">
        <f t="shared" si="294"/>
        <v>1.8347007803902114E-2</v>
      </c>
      <c r="BU252" s="247">
        <f t="shared" si="294"/>
        <v>1.769925861034052E-2</v>
      </c>
      <c r="BV252" s="246">
        <f t="shared" si="294"/>
        <v>1.769925861034052E-2</v>
      </c>
      <c r="BW252" s="247">
        <f t="shared" si="294"/>
        <v>1.7149663860061354E-2</v>
      </c>
      <c r="BX252" s="247">
        <f t="shared" si="294"/>
        <v>1.8057993628502762E-2</v>
      </c>
      <c r="BY252" s="247">
        <f t="shared" si="294"/>
        <v>1.5928572586003012E-2</v>
      </c>
      <c r="BZ252" s="247">
        <f t="shared" si="294"/>
        <v>2.3017902813299296E-2</v>
      </c>
      <c r="CA252" s="246">
        <f t="shared" si="294"/>
        <v>2.3017902813299296E-2</v>
      </c>
      <c r="CB252" s="247">
        <f t="shared" si="294"/>
        <v>3.450690774813777E-2</v>
      </c>
      <c r="CC252" s="247">
        <f t="shared" si="294"/>
        <v>3.4098370668987736E-2</v>
      </c>
      <c r="CD252" s="247">
        <f t="shared" si="294"/>
        <v>2.6237145790869106E-2</v>
      </c>
      <c r="CE252" s="247">
        <f t="shared" si="294"/>
        <v>2.1969849557659234E-2</v>
      </c>
      <c r="CF252" s="246">
        <f t="shared" si="294"/>
        <v>2.1969849557659234E-2</v>
      </c>
      <c r="CG252" s="247">
        <f t="shared" si="294"/>
        <v>3.3572705511620157E-2</v>
      </c>
      <c r="CH252" s="247">
        <f t="shared" si="294"/>
        <v>2.7870527070087973E-2</v>
      </c>
      <c r="CI252" s="247">
        <f t="shared" si="294"/>
        <v>1.9106117661584047E-2</v>
      </c>
      <c r="CJ252" s="247">
        <f t="shared" si="294"/>
        <v>2.0937006918315331E-2</v>
      </c>
      <c r="CK252" s="246">
        <f t="shared" si="294"/>
        <v>2.0937006918315331E-2</v>
      </c>
      <c r="CL252" s="247">
        <f t="shared" si="294"/>
        <v>2.3551492401767876E-2</v>
      </c>
      <c r="CM252" s="247">
        <f>(CM137+CM138)/CM152</f>
        <v>1.7787097942188159E-2</v>
      </c>
      <c r="CN252" s="247">
        <f t="shared" si="294"/>
        <v>2.3788806135240766E-2</v>
      </c>
      <c r="CO252" s="247">
        <f t="shared" si="294"/>
        <v>5.8398344657886646E-2</v>
      </c>
      <c r="CP252" s="246">
        <f t="shared" si="294"/>
        <v>5.8398344657886646E-2</v>
      </c>
      <c r="CQ252" s="247">
        <f>(CQ137+CQ138)/CQ152</f>
        <v>3.9109060448765484E-2</v>
      </c>
      <c r="CR252" s="247">
        <f t="shared" si="294"/>
        <v>2.3583541112779469E-2</v>
      </c>
      <c r="CS252" s="247">
        <f t="shared" si="294"/>
        <v>1.6445580080461021E-2</v>
      </c>
      <c r="CT252" s="247">
        <f t="shared" si="294"/>
        <v>3.3871141518073584E-2</v>
      </c>
      <c r="CU252" s="246">
        <f t="shared" si="294"/>
        <v>3.3871141518073584E-2</v>
      </c>
      <c r="CV252" s="247">
        <f t="shared" si="294"/>
        <v>2.2101988367374543E-2</v>
      </c>
      <c r="CW252" s="247">
        <f t="shared" si="294"/>
        <v>1.8803235656506132E-2</v>
      </c>
      <c r="CX252" s="247">
        <f t="shared" si="294"/>
        <v>3.2599987007643834E-2</v>
      </c>
      <c r="CY252" s="247">
        <f t="shared" si="294"/>
        <v>2.7194977417598257E-2</v>
      </c>
      <c r="CZ252" s="246">
        <f t="shared" si="294"/>
        <v>2.7194977417598257E-2</v>
      </c>
      <c r="DA252" s="247">
        <f t="shared" si="294"/>
        <v>2.0122201351555586E-2</v>
      </c>
      <c r="DB252" s="247">
        <f>(DB137+DB138)/DB152</f>
        <v>1.3013757709061111E-2</v>
      </c>
      <c r="DC252" s="247">
        <f>(DC137+DC138)/DC152</f>
        <v>2.4034580908279875E-2</v>
      </c>
      <c r="DD252" s="247">
        <f>(DD137+DD138)/DD152</f>
        <v>3.6607312993584724E-2</v>
      </c>
      <c r="DE252" s="246">
        <f t="shared" si="294"/>
        <v>3.6607312993584724E-2</v>
      </c>
      <c r="DF252" s="247">
        <f t="shared" si="294"/>
        <v>2.4840833063558866E-2</v>
      </c>
      <c r="DG252" s="247">
        <f t="shared" si="294"/>
        <v>2.3442312888408538E-2</v>
      </c>
      <c r="DH252" s="247">
        <f t="shared" si="294"/>
        <v>2.7570460835944988E-2</v>
      </c>
      <c r="DI252" s="247">
        <f t="shared" si="294"/>
        <v>1.8994859719754863E-2</v>
      </c>
      <c r="DJ252" s="246">
        <f t="shared" si="294"/>
        <v>1.8994859719754863E-2</v>
      </c>
      <c r="DK252" s="247">
        <f t="shared" ref="DK252:DT252" ca="1" si="295">(DK137+DK138)/DK152</f>
        <v>9.8179846399318663E-3</v>
      </c>
      <c r="DL252" s="247">
        <f t="shared" ca="1" si="295"/>
        <v>0.30482845429521827</v>
      </c>
      <c r="DM252" s="247">
        <f t="shared" ca="1" si="295"/>
        <v>0.31119439707308355</v>
      </c>
      <c r="DN252" s="247">
        <f t="shared" ca="1" si="295"/>
        <v>0.31778172906396862</v>
      </c>
      <c r="DO252" s="246">
        <f t="shared" ca="1" si="295"/>
        <v>0.31778172906396862</v>
      </c>
      <c r="DP252" s="247">
        <f t="shared" ca="1" si="295"/>
        <v>0.31275021373791179</v>
      </c>
      <c r="DQ252" s="247">
        <f t="shared" ca="1" si="295"/>
        <v>0.31989069574594714</v>
      </c>
      <c r="DR252" s="247">
        <f t="shared" ca="1" si="295"/>
        <v>0.32554352099466027</v>
      </c>
      <c r="DS252" s="247">
        <f t="shared" ca="1" si="295"/>
        <v>0.33139710728755395</v>
      </c>
      <c r="DT252" s="246">
        <f t="shared" ca="1" si="295"/>
        <v>0.33139710728755395</v>
      </c>
      <c r="DU252" s="247">
        <f t="shared" ref="DU252:DY252" ca="1" si="296">(DU137+DU138)/DU152</f>
        <v>0.32898411353135387</v>
      </c>
      <c r="DV252" s="247">
        <f t="shared" ca="1" si="296"/>
        <v>0.33534602618575143</v>
      </c>
      <c r="DW252" s="247">
        <f t="shared" ca="1" si="296"/>
        <v>0.3402864465157947</v>
      </c>
      <c r="DX252" s="247">
        <f t="shared" ca="1" si="296"/>
        <v>0.34543619029695843</v>
      </c>
      <c r="DY252" s="246">
        <f t="shared" ca="1" si="296"/>
        <v>0.34543619029695843</v>
      </c>
      <c r="DZ252" s="1865"/>
      <c r="EA252" s="1865"/>
      <c r="EB252" s="1865"/>
    </row>
    <row r="253" spans="1:132" x14ac:dyDescent="0.2">
      <c r="A253" s="1842"/>
      <c r="B253" s="1849"/>
      <c r="C253" s="1850"/>
      <c r="D253" s="1850"/>
      <c r="E253" s="1850"/>
      <c r="F253" s="1850"/>
      <c r="G253" s="1850"/>
      <c r="H253" s="1850"/>
      <c r="I253" s="1851"/>
      <c r="J253" s="1850"/>
      <c r="K253" s="1850"/>
      <c r="L253" s="1850"/>
      <c r="M253" s="1850"/>
      <c r="N253" s="1851"/>
      <c r="O253" s="1850"/>
      <c r="P253" s="1850"/>
      <c r="Q253" s="1850"/>
      <c r="R253" s="1850"/>
      <c r="S253" s="1851"/>
      <c r="T253" s="1850"/>
      <c r="U253" s="1850"/>
      <c r="V253" s="1850"/>
      <c r="W253" s="1850"/>
      <c r="X253" s="1851"/>
      <c r="Y253" s="1850"/>
      <c r="Z253" s="1850"/>
      <c r="AA253" s="1850"/>
      <c r="AB253" s="1850"/>
      <c r="AC253" s="1851"/>
      <c r="AD253" s="1850"/>
      <c r="AE253" s="1850"/>
      <c r="AF253" s="1850"/>
      <c r="AG253" s="1850"/>
      <c r="AH253" s="1851"/>
      <c r="AI253" s="1850"/>
      <c r="AJ253" s="1850"/>
      <c r="AK253" s="1850"/>
      <c r="AL253" s="1850"/>
      <c r="AM253" s="1851"/>
      <c r="AN253" s="1850"/>
      <c r="AO253" s="1850"/>
      <c r="AP253" s="1850"/>
      <c r="AQ253" s="1850"/>
      <c r="AR253" s="1851"/>
      <c r="AS253" s="1850"/>
      <c r="AT253" s="1850"/>
      <c r="AU253" s="1850"/>
      <c r="AV253" s="1850"/>
      <c r="AW253" s="1851"/>
      <c r="AX253" s="1850"/>
      <c r="AY253" s="1850"/>
      <c r="AZ253" s="1850"/>
      <c r="BA253" s="1850"/>
      <c r="BB253" s="1851"/>
      <c r="BC253" s="1850"/>
      <c r="BD253" s="1850"/>
      <c r="BE253" s="1850"/>
      <c r="BF253" s="1850"/>
      <c r="BG253" s="1851"/>
      <c r="BH253" s="1850"/>
      <c r="BI253" s="1850"/>
      <c r="BJ253" s="1850"/>
      <c r="BK253" s="1850"/>
      <c r="BL253" s="1851"/>
      <c r="BM253" s="1850"/>
      <c r="BN253" s="1850"/>
      <c r="BO253" s="1850"/>
      <c r="BP253" s="1850"/>
      <c r="BQ253" s="1851"/>
      <c r="BR253" s="1850"/>
      <c r="BS253" s="1850"/>
      <c r="BT253" s="1850"/>
      <c r="BU253" s="1850"/>
      <c r="BV253" s="1851"/>
      <c r="BW253" s="1850"/>
      <c r="BX253" s="1850"/>
      <c r="BY253" s="1850"/>
      <c r="BZ253" s="1850"/>
      <c r="CA253" s="1851"/>
      <c r="CB253" s="1850"/>
      <c r="CC253" s="1850"/>
      <c r="CD253" s="1850"/>
      <c r="CE253" s="1850"/>
      <c r="CF253" s="1851"/>
      <c r="CG253" s="1850"/>
      <c r="CH253" s="1850"/>
      <c r="CI253" s="1850"/>
      <c r="CJ253" s="1850"/>
      <c r="CK253" s="1851"/>
      <c r="CL253" s="1850"/>
      <c r="CM253" s="1850"/>
      <c r="CN253" s="1850"/>
      <c r="CO253" s="1850"/>
      <c r="CP253" s="1851"/>
      <c r="CQ253" s="1850"/>
      <c r="CR253" s="1850"/>
      <c r="CS253" s="1850"/>
      <c r="CT253" s="1850"/>
      <c r="CU253" s="1851"/>
      <c r="CV253" s="1850"/>
      <c r="CW253" s="1850"/>
      <c r="CX253" s="1850"/>
      <c r="CY253" s="1850"/>
      <c r="CZ253" s="1851"/>
      <c r="DA253" s="1850"/>
      <c r="DB253" s="1850"/>
      <c r="DC253" s="1850"/>
      <c r="DD253" s="1850"/>
      <c r="DE253" s="1851"/>
      <c r="DF253" s="1850"/>
      <c r="DG253" s="1850"/>
      <c r="DH253" s="1850"/>
      <c r="DI253" s="1850"/>
      <c r="DJ253" s="1851"/>
      <c r="DK253" s="1850"/>
      <c r="DL253" s="1850"/>
      <c r="DM253" s="1850"/>
      <c r="DN253" s="1850"/>
      <c r="DO253" s="1851"/>
      <c r="DP253" s="1850"/>
      <c r="DQ253" s="1850"/>
      <c r="DR253" s="1850"/>
      <c r="DS253" s="1850"/>
      <c r="DT253" s="1851"/>
      <c r="DU253" s="1850"/>
      <c r="DV253" s="1850"/>
      <c r="DW253" s="1850"/>
      <c r="DX253" s="1850"/>
      <c r="DY253" s="1851"/>
      <c r="DZ253" s="1848"/>
      <c r="EA253" s="1848"/>
      <c r="EB253" s="1848"/>
    </row>
    <row r="254" spans="1:132" x14ac:dyDescent="0.2">
      <c r="A254" s="1842"/>
      <c r="B254" s="2100" t="s">
        <v>466</v>
      </c>
      <c r="C254" s="1850"/>
      <c r="D254" s="1850"/>
      <c r="E254" s="1850"/>
      <c r="F254" s="1850"/>
      <c r="G254" s="1850"/>
      <c r="H254" s="1850"/>
      <c r="I254" s="1851"/>
      <c r="J254" s="1850"/>
      <c r="K254" s="1850"/>
      <c r="L254" s="1850"/>
      <c r="M254" s="1850"/>
      <c r="N254" s="1851"/>
      <c r="O254" s="1850"/>
      <c r="P254" s="1850"/>
      <c r="Q254" s="1850"/>
      <c r="R254" s="1850"/>
      <c r="S254" s="1851"/>
      <c r="T254" s="1850"/>
      <c r="U254" s="1850"/>
      <c r="V254" s="1850"/>
      <c r="W254" s="1850"/>
      <c r="X254" s="1851"/>
      <c r="Y254" s="1850"/>
      <c r="Z254" s="1850"/>
      <c r="AA254" s="1850"/>
      <c r="AB254" s="1850"/>
      <c r="AC254" s="1851"/>
      <c r="AD254" s="1850"/>
      <c r="AE254" s="1850"/>
      <c r="AF254" s="1850"/>
      <c r="AG254" s="1850"/>
      <c r="AH254" s="1851"/>
      <c r="AI254" s="1850"/>
      <c r="AJ254" s="1850"/>
      <c r="AK254" s="1850"/>
      <c r="AL254" s="1850"/>
      <c r="AM254" s="1851"/>
      <c r="AN254" s="1850"/>
      <c r="AO254" s="1850"/>
      <c r="AP254" s="1850"/>
      <c r="AQ254" s="1850"/>
      <c r="AR254" s="1851"/>
      <c r="AS254" s="1850"/>
      <c r="AT254" s="1850"/>
      <c r="AU254" s="1850"/>
      <c r="AV254" s="1850"/>
      <c r="AW254" s="1851"/>
      <c r="AX254" s="1850"/>
      <c r="AY254" s="1850"/>
      <c r="AZ254" s="1850"/>
      <c r="BA254" s="1850"/>
      <c r="BB254" s="1851"/>
      <c r="BC254" s="1850"/>
      <c r="BD254" s="1850"/>
      <c r="BE254" s="1850"/>
      <c r="BF254" s="1850"/>
      <c r="BG254" s="1851"/>
      <c r="BH254" s="1850"/>
      <c r="BI254" s="1850"/>
      <c r="BJ254" s="1850"/>
      <c r="BK254" s="1850"/>
      <c r="BL254" s="1851"/>
      <c r="BM254" s="1850"/>
      <c r="BN254" s="1850"/>
      <c r="BO254" s="1850"/>
      <c r="BP254" s="1850"/>
      <c r="BQ254" s="1851"/>
      <c r="BR254" s="1850"/>
      <c r="BS254" s="1850"/>
      <c r="BT254" s="1850"/>
      <c r="BU254" s="1850"/>
      <c r="BV254" s="1851"/>
      <c r="BW254" s="1850"/>
      <c r="BX254" s="1850"/>
      <c r="BY254" s="1850"/>
      <c r="BZ254" s="1850"/>
      <c r="CA254" s="1851"/>
      <c r="CB254" s="1850"/>
      <c r="CC254" s="1850"/>
      <c r="CD254" s="1850"/>
      <c r="CE254" s="1850"/>
      <c r="CF254" s="1851"/>
      <c r="CG254" s="1850"/>
      <c r="CH254" s="1850"/>
      <c r="CI254" s="1850"/>
      <c r="CJ254" s="1850"/>
      <c r="CK254" s="1851"/>
      <c r="CL254" s="1850"/>
      <c r="CM254" s="1850"/>
      <c r="CN254" s="1850"/>
      <c r="CO254" s="1850"/>
      <c r="CP254" s="1851"/>
      <c r="CQ254" s="1850"/>
      <c r="CR254" s="1850"/>
      <c r="CS254" s="1850"/>
      <c r="CT254" s="1850"/>
      <c r="CU254" s="1851"/>
      <c r="CV254" s="1850"/>
      <c r="CW254" s="1850"/>
      <c r="CX254" s="1850"/>
      <c r="CY254" s="1850"/>
      <c r="CZ254" s="1851"/>
      <c r="DA254" s="1850"/>
      <c r="DB254" s="1850"/>
      <c r="DC254" s="1850"/>
      <c r="DD254" s="1850"/>
      <c r="DE254" s="1851"/>
      <c r="DF254" s="1850"/>
      <c r="DG254" s="1850"/>
      <c r="DH254" s="1850"/>
      <c r="DI254" s="1850"/>
      <c r="DJ254" s="1851"/>
      <c r="DK254" s="1850"/>
      <c r="DL254" s="1850"/>
      <c r="DM254" s="1850"/>
      <c r="DN254" s="1850"/>
      <c r="DO254" s="1851"/>
      <c r="DP254" s="1850"/>
      <c r="DQ254" s="1850"/>
      <c r="DR254" s="1850"/>
      <c r="DS254" s="1850"/>
      <c r="DT254" s="1851"/>
      <c r="DU254" s="1850"/>
      <c r="DV254" s="1850"/>
      <c r="DW254" s="1850"/>
      <c r="DX254" s="1850"/>
      <c r="DY254" s="1851"/>
      <c r="DZ254" s="1848"/>
      <c r="EA254" s="1848"/>
      <c r="EB254" s="1848"/>
    </row>
    <row r="255" spans="1:132" x14ac:dyDescent="0.2">
      <c r="A255" s="1842"/>
      <c r="B255" s="1849" t="s">
        <v>467</v>
      </c>
      <c r="C255" s="1850"/>
      <c r="D255" s="1850"/>
      <c r="E255" s="1850"/>
      <c r="F255" s="1850"/>
      <c r="G255" s="1850"/>
      <c r="H255" s="1850"/>
      <c r="I255" s="2101"/>
      <c r="J255" s="1850"/>
      <c r="K255" s="1850"/>
      <c r="L255" s="1850"/>
      <c r="M255" s="1850"/>
      <c r="N255" s="2101">
        <f>'BS and CFS'!N140/'BS and CFS'!I140-1</f>
        <v>0.23803796924662834</v>
      </c>
      <c r="O255" s="1850"/>
      <c r="P255" s="1850"/>
      <c r="Q255" s="1850"/>
      <c r="R255" s="1850"/>
      <c r="S255" s="2101">
        <f>'BS and CFS'!S140/'BS and CFS'!N140-1</f>
        <v>0.10678601165695234</v>
      </c>
      <c r="T255" s="1850"/>
      <c r="U255" s="1850"/>
      <c r="V255" s="1850"/>
      <c r="W255" s="1850"/>
      <c r="X255" s="2101">
        <f>'BS and CFS'!X140/'BS and CFS'!S140-1</f>
        <v>8.0026330637577692E-2</v>
      </c>
      <c r="Y255" s="1850"/>
      <c r="Z255" s="1850"/>
      <c r="AA255" s="1850"/>
      <c r="AB255" s="1850"/>
      <c r="AC255" s="2101">
        <f>'BS and CFS'!AC140/'BS and CFS'!X140-1</f>
        <v>3.2535190828617111E-2</v>
      </c>
      <c r="AD255" s="1850"/>
      <c r="AE255" s="1850"/>
      <c r="AF255" s="1850"/>
      <c r="AG255" s="1850"/>
      <c r="AH255" s="2101">
        <f>'BS and CFS'!AH140/'BS and CFS'!AC140-1</f>
        <v>0.10147290308072865</v>
      </c>
      <c r="AI255" s="1850"/>
      <c r="AJ255" s="1850"/>
      <c r="AK255" s="1850"/>
      <c r="AL255" s="1850"/>
      <c r="AM255" s="2101">
        <f>'BS and CFS'!AM140/'BS and CFS'!AH140-1</f>
        <v>2.4319910172000192E-2</v>
      </c>
      <c r="AN255" s="1850"/>
      <c r="AO255" s="1850"/>
      <c r="AP255" s="1850"/>
      <c r="AQ255" s="1850"/>
      <c r="AR255" s="2101">
        <f>'BS and CFS'!AR140/'BS and CFS'!AM140-1</f>
        <v>6.4774907197495679E-4</v>
      </c>
      <c r="AS255" s="1850"/>
      <c r="AT255" s="1850"/>
      <c r="AU255" s="1850"/>
      <c r="AV255" s="1850"/>
      <c r="AW255" s="2101">
        <f>'BS and CFS'!AW140/'BS and CFS'!AR140-1</f>
        <v>0.35787377069587945</v>
      </c>
      <c r="AX255" s="1850"/>
      <c r="AY255" s="1850"/>
      <c r="AZ255" s="1850"/>
      <c r="BA255" s="1850"/>
      <c r="BB255" s="2101">
        <f>'BS and CFS'!BB140/'BS and CFS'!AW140-1</f>
        <v>4.8754102568804081E-2</v>
      </c>
      <c r="BC255" s="1850"/>
      <c r="BD255" s="1850"/>
      <c r="BE255" s="1850"/>
      <c r="BF255" s="1850"/>
      <c r="BG255" s="2101">
        <f>'BS and CFS'!BG140/'BS and CFS'!BB140-1</f>
        <v>0.24285814189307309</v>
      </c>
      <c r="BH255" s="1850"/>
      <c r="BI255" s="1850"/>
      <c r="BJ255" s="1850"/>
      <c r="BK255" s="1850"/>
      <c r="BL255" s="2101">
        <f>'BS and CFS'!BL140/'BS and CFS'!BG140-1</f>
        <v>0.12650339715005132</v>
      </c>
      <c r="BM255" s="1930">
        <f>'BS and CFS'!BM140/'BS and CFS'!BH140-1</f>
        <v>7.5695762814557366E-2</v>
      </c>
      <c r="BN255" s="1930">
        <f>'BS and CFS'!BN140/'BS and CFS'!BI140-1</f>
        <v>3.2571944767066707E-2</v>
      </c>
      <c r="BO255" s="1930">
        <f>'BS and CFS'!BO140/'BS and CFS'!BJ140-1</f>
        <v>5.7504181661513387E-2</v>
      </c>
      <c r="BP255" s="1930">
        <f>'BS and CFS'!BP140/'BS and CFS'!BK140-1</f>
        <v>0.14290352388801475</v>
      </c>
      <c r="BQ255" s="2101">
        <f>'BS and CFS'!BQ140/'BS and CFS'!BL140-1</f>
        <v>0.14290352388801475</v>
      </c>
      <c r="BR255" s="1930">
        <f>'BS and CFS'!BR140/'BS and CFS'!BM140-1</f>
        <v>0.13306547507290989</v>
      </c>
      <c r="BS255" s="1930">
        <f>'BS and CFS'!BS140/'BS and CFS'!BN140-1</f>
        <v>0.17485690004249266</v>
      </c>
      <c r="BT255" s="1930">
        <f>'BS and CFS'!BT140/'BS and CFS'!BO140-1</f>
        <v>0.19537709396793446</v>
      </c>
      <c r="BU255" s="1930">
        <f>'BS and CFS'!BU140/'BS and CFS'!BP140-1</f>
        <v>0.13006140331709015</v>
      </c>
      <c r="BV255" s="2101">
        <f>'BS and CFS'!BV140/'BS and CFS'!BQ140-1</f>
        <v>0.13006140331709015</v>
      </c>
      <c r="BW255" s="1930">
        <f>'BS and CFS'!BW140/'BS and CFS'!BR140-1</f>
        <v>0.13505810613759883</v>
      </c>
      <c r="BX255" s="1930">
        <f>'BS and CFS'!BX140/'BS and CFS'!BS140-1</f>
        <v>0.10515398117121433</v>
      </c>
      <c r="BY255" s="1930">
        <f>'BS and CFS'!BY140/'BS and CFS'!BT140-1</f>
        <v>6.1057147726019778E-2</v>
      </c>
      <c r="BZ255" s="1930">
        <f>'BS and CFS'!BZ140/'BS and CFS'!BU140-1</f>
        <v>3.4032679106642094E-2</v>
      </c>
      <c r="CA255" s="2101">
        <f>'BS and CFS'!CA140/'BS and CFS'!BV140-1</f>
        <v>3.4032679106642094E-2</v>
      </c>
      <c r="CB255" s="1930">
        <f>'BS and CFS'!CB140/'BS and CFS'!BW140-1</f>
        <v>-9.1484184914841782E-3</v>
      </c>
      <c r="CC255" s="1930">
        <f>'BS and CFS'!CC140/'BS and CFS'!BX140-1</f>
        <v>-2.6759072095485559E-2</v>
      </c>
      <c r="CD255" s="1930">
        <f>'BS and CFS'!CD140/'BS and CFS'!BY140-1</f>
        <v>-1.9461502125649455E-2</v>
      </c>
      <c r="CE255" s="1930">
        <f>'BS and CFS'!CE140/'BS and CFS'!BZ140-1</f>
        <v>-6.0682561944834013E-2</v>
      </c>
      <c r="CF255" s="2101">
        <f>'BS and CFS'!CF140/'BS and CFS'!CA140-1</f>
        <v>-6.0682561944834013E-2</v>
      </c>
      <c r="CG255" s="1930">
        <f>'BS and CFS'!CG140/'BS and CFS'!CB140-1</f>
        <v>4.8718200569688674E-2</v>
      </c>
      <c r="CH255" s="1930">
        <f>'BS and CFS'!CH140/'BS and CFS'!CC140-1</f>
        <v>3.1351992879042667E-2</v>
      </c>
      <c r="CI255" s="1930">
        <f>'BS and CFS'!CI140/'BS and CFS'!CD140-1</f>
        <v>1.0405626746314622E-2</v>
      </c>
      <c r="CJ255" s="1930">
        <f>'BS and CFS'!CJ140/'BS and CFS'!CE140-1</f>
        <v>7.0973521799721384E-2</v>
      </c>
      <c r="CK255" s="2101">
        <f>'BS and CFS'!CK140/'BS and CFS'!CF140-1</f>
        <v>7.0973521799721384E-2</v>
      </c>
      <c r="CL255" s="1930">
        <f>'BS and CFS'!CL140/'BS and CFS'!CG140-1</f>
        <v>-7.961037744684818E-3</v>
      </c>
      <c r="CM255" s="1930">
        <f>'BS and CFS'!CM140/'BS and CFS'!CH140-1</f>
        <v>1.4384349827387899E-2</v>
      </c>
      <c r="CN255" s="1930">
        <f>'BS and CFS'!CN140/'BS and CFS'!CI140-1</f>
        <v>3.2230380471059306E-2</v>
      </c>
      <c r="CO255" s="1930">
        <f>'BS and CFS'!CO140/'BS and CFS'!CJ140-1</f>
        <v>2.6582396133469688E-2</v>
      </c>
      <c r="CP255" s="2101">
        <f>'BS and CFS'!CP140/'BS and CFS'!CK140-1</f>
        <v>2.6582396133469688E-2</v>
      </c>
      <c r="CQ255" s="1930">
        <f>'BS and CFS'!CQ140/'BS and CFS'!CL140-1</f>
        <v>5.6268882175226631E-2</v>
      </c>
      <c r="CR255" s="1930">
        <f>'BS and CFS'!CR140/'BS and CFS'!CM140-1</f>
        <v>7.3927018339950745E-2</v>
      </c>
      <c r="CS255" s="1930">
        <f>'BS and CFS'!CS140/'BS and CFS'!CN140-1</f>
        <v>7.2794457274826696E-2</v>
      </c>
      <c r="CT255" s="1930">
        <f>'BS and CFS'!CT140/'BS and CFS'!CO140-1</f>
        <v>8.0126754187415106E-2</v>
      </c>
      <c r="CU255" s="2101">
        <f>'BS and CFS'!CU140/'BS and CFS'!CP140-1</f>
        <v>8.0126754187415106E-2</v>
      </c>
      <c r="CV255" s="1930">
        <f>'BS and CFS'!CV140/'BS and CFS'!CQ140-1</f>
        <v>9.3224883804075898E-2</v>
      </c>
      <c r="CW255" s="1930">
        <f>'BS and CFS'!CW140/'BS and CFS'!CR140-1</f>
        <v>9.0140845070422637E-2</v>
      </c>
      <c r="CX255" s="1930">
        <f>'BS and CFS'!CX140/'BS and CFS'!CS140-1</f>
        <v>0.14371824679238787</v>
      </c>
      <c r="CY255" s="1930">
        <f>'BS and CFS'!CY140/'BS and CFS'!CT140-1</f>
        <v>0.173595976529757</v>
      </c>
      <c r="CZ255" s="2101">
        <f>'BS and CFS'!CZ140/'BS and CFS'!CU140-1</f>
        <v>0.173595976529757</v>
      </c>
      <c r="DA255" s="1930">
        <f>'BS and CFS'!DA140/'BS and CFS'!CV140-1</f>
        <v>0.13743765840896094</v>
      </c>
      <c r="DB255" s="1930">
        <f>'BS and CFS'!DB140/'BS and CFS'!CW140-1</f>
        <v>0.14478359173126609</v>
      </c>
      <c r="DC255" s="1930">
        <f>'BS and CFS'!DC140/'BS and CFS'!CX140-1</f>
        <v>8.02589971389851E-2</v>
      </c>
      <c r="DD255" s="1930">
        <f>'BS and CFS'!DD140/'BS and CFS'!CY140-1</f>
        <v>5.4210413541889935E-2</v>
      </c>
      <c r="DE255" s="2101">
        <f>'BS and CFS'!DE140/'BS and CFS'!CZ140-1</f>
        <v>5.4210413541889935E-2</v>
      </c>
      <c r="DF255" s="1930">
        <f>'BS and CFS'!DF140/'BS and CFS'!DA140-1</f>
        <v>2.8320874065554946E-2</v>
      </c>
      <c r="DG255" s="1930">
        <f>'BS and CFS'!DG140/'BS and CFS'!DB140-1</f>
        <v>6.6304577837341672E-3</v>
      </c>
      <c r="DH255" s="1930">
        <f>'BS and CFS'!DH140/'BS and CFS'!DC140-1</f>
        <v>-1.400892110398666E-2</v>
      </c>
      <c r="DI255" s="1930">
        <f>'BS and CFS'!DI140/'BS and CFS'!DD140-1</f>
        <v>3.6314363143631345E-2</v>
      </c>
      <c r="DJ255" s="2101">
        <f>'BS and CFS'!DJ140/'BS and CFS'!DE140-1</f>
        <v>3.6314363143631345E-2</v>
      </c>
      <c r="DK255" s="1930">
        <f ca="1">'BS and CFS'!DK140/'BS and CFS'!DF140-1</f>
        <v>0.10941918225784142</v>
      </c>
      <c r="DL255" s="1930">
        <f ca="1">'BS and CFS'!DL140/'BS and CFS'!DG140-1</f>
        <v>0.13713130559903974</v>
      </c>
      <c r="DM255" s="1930">
        <f ca="1">'BS and CFS'!DM140/'BS and CFS'!DH140-1</f>
        <v>0.13281476614470189</v>
      </c>
      <c r="DN255" s="1930">
        <f ca="1">'BS and CFS'!DN140/'BS and CFS'!DI140-1</f>
        <v>6.8084003263543691E-2</v>
      </c>
      <c r="DO255" s="2101">
        <f ca="1">'BS and CFS'!DO140/'BS and CFS'!DJ140-1</f>
        <v>6.8084003263543691E-2</v>
      </c>
      <c r="DP255" s="1930">
        <f ca="1">'BS and CFS'!DP140/'BS and CFS'!DK140-1</f>
        <v>6.5306889858622208E-2</v>
      </c>
      <c r="DQ255" s="1930">
        <f ca="1">'BS and CFS'!DQ140/'BS and CFS'!DL140-1</f>
        <v>6.5648856712259729E-2</v>
      </c>
      <c r="DR255" s="1930">
        <f ca="1">'BS and CFS'!DR140/'BS and CFS'!DM140-1</f>
        <v>6.5004692688086063E-2</v>
      </c>
      <c r="DS255" s="1930">
        <f ca="1">'BS and CFS'!DS140/'BS and CFS'!DN140-1</f>
        <v>6.3277448785012069E-2</v>
      </c>
      <c r="DT255" s="2101">
        <f ca="1">'BS and CFS'!DT140/'BS and CFS'!DO140-1</f>
        <v>6.3277448785012069E-2</v>
      </c>
      <c r="DU255" s="1930">
        <f ca="1">'BS and CFS'!DU140/'BS and CFS'!DP140-1</f>
        <v>3.930241628974751E-2</v>
      </c>
      <c r="DV255" s="1930">
        <f ca="1">'BS and CFS'!DV140/'BS and CFS'!DQ140-1</f>
        <v>3.7656045683867267E-2</v>
      </c>
      <c r="DW255" s="1930">
        <f ca="1">'BS and CFS'!DW140/'BS and CFS'!DR140-1</f>
        <v>3.6437221168012401E-2</v>
      </c>
      <c r="DX255" s="1930">
        <f ca="1">'BS and CFS'!DX140/'BS and CFS'!DS140-1</f>
        <v>3.4679936581812898E-2</v>
      </c>
      <c r="DY255" s="2101">
        <f ca="1">'BS and CFS'!DY140/'BS and CFS'!DT140-1</f>
        <v>3.4679936581812898E-2</v>
      </c>
      <c r="DZ255" s="1848"/>
      <c r="EA255" s="1848"/>
      <c r="EB255" s="1848"/>
    </row>
    <row r="256" spans="1:132" x14ac:dyDescent="0.2">
      <c r="A256" s="1842"/>
      <c r="B256" s="1849" t="s">
        <v>468</v>
      </c>
      <c r="C256" s="1850"/>
      <c r="D256" s="1850"/>
      <c r="E256" s="1850"/>
      <c r="F256" s="1850"/>
      <c r="G256" s="1850"/>
      <c r="H256" s="1850"/>
      <c r="I256" s="2101"/>
      <c r="J256" s="1850"/>
      <c r="K256" s="1850"/>
      <c r="L256" s="1850"/>
      <c r="M256" s="1850"/>
      <c r="N256" s="2101">
        <f>Retail!N18</f>
        <v>0.16004181433415776</v>
      </c>
      <c r="O256" s="1850"/>
      <c r="P256" s="1850"/>
      <c r="Q256" s="1850"/>
      <c r="R256" s="1850"/>
      <c r="S256" s="2101">
        <f>Retail!S18</f>
        <v>0.10489105748238026</v>
      </c>
      <c r="T256" s="1850"/>
      <c r="U256" s="1850"/>
      <c r="V256" s="1850"/>
      <c r="W256" s="1850"/>
      <c r="X256" s="2101">
        <f>Retail!X18</f>
        <v>0.1688139459323259</v>
      </c>
      <c r="Y256" s="1850"/>
      <c r="Z256" s="1850"/>
      <c r="AA256" s="1850"/>
      <c r="AB256" s="1850"/>
      <c r="AC256" s="2101">
        <f>Retail!AC18</f>
        <v>9.9568843251829575E-2</v>
      </c>
      <c r="AD256" s="1850"/>
      <c r="AE256" s="1850"/>
      <c r="AF256" s="1850"/>
      <c r="AG256" s="1850"/>
      <c r="AH256" s="2101">
        <f>Retail!AH18</f>
        <v>0.10043287363082443</v>
      </c>
      <c r="AI256" s="1850"/>
      <c r="AJ256" s="1850"/>
      <c r="AK256" s="1850"/>
      <c r="AL256" s="1850"/>
      <c r="AM256" s="2101">
        <f>Retail!AM18</f>
        <v>8.1181694149198069E-2</v>
      </c>
      <c r="AN256" s="1850"/>
      <c r="AO256" s="1850"/>
      <c r="AP256" s="1850"/>
      <c r="AQ256" s="1850"/>
      <c r="AR256" s="2101">
        <f>Retail!AR18</f>
        <v>9.6291445867772163E-2</v>
      </c>
      <c r="AS256" s="1850"/>
      <c r="AT256" s="1850"/>
      <c r="AU256" s="1850"/>
      <c r="AV256" s="1850"/>
      <c r="AW256" s="2101">
        <f>Retail!AW18</f>
        <v>0.13638862847943289</v>
      </c>
      <c r="AX256" s="1850"/>
      <c r="AY256" s="1850"/>
      <c r="AZ256" s="1850"/>
      <c r="BA256" s="1850"/>
      <c r="BB256" s="2101">
        <f>Retail!BB18</f>
        <v>0.18677837841600908</v>
      </c>
      <c r="BC256" s="1850"/>
      <c r="BD256" s="1850"/>
      <c r="BE256" s="1850"/>
      <c r="BF256" s="1850"/>
      <c r="BG256" s="2101">
        <f>Retail!BG18</f>
        <v>0.18158300727974508</v>
      </c>
      <c r="BH256" s="1850"/>
      <c r="BI256" s="1850"/>
      <c r="BJ256" s="1850"/>
      <c r="BK256" s="1850"/>
      <c r="BL256" s="2101">
        <f>Retail!BL18</f>
        <v>0.11917161467124737</v>
      </c>
      <c r="BM256" s="1930">
        <f>Retail!BM18</f>
        <v>5.3954018079578558E-2</v>
      </c>
      <c r="BN256" s="1930">
        <f>Retail!BN18</f>
        <v>4.6321235232939406E-2</v>
      </c>
      <c r="BO256" s="1930">
        <f>Retail!BO18</f>
        <v>5.3188674252447665E-2</v>
      </c>
      <c r="BP256" s="1930">
        <f>Retail!BP18</f>
        <v>0.18842634360097943</v>
      </c>
      <c r="BQ256" s="2101">
        <f>Retail!BQ18</f>
        <v>8.6575804287314373E-2</v>
      </c>
      <c r="BR256" s="1930">
        <f>Retail!BR18</f>
        <v>0.13940197204025107</v>
      </c>
      <c r="BS256" s="1930">
        <f>Retail!BS18</f>
        <v>0.17215482380127112</v>
      </c>
      <c r="BT256" s="1930">
        <f>Retail!BT18</f>
        <v>0.17877317622595723</v>
      </c>
      <c r="BU256" s="1930">
        <f>Retail!BU18</f>
        <v>4.5078263384303874E-2</v>
      </c>
      <c r="BV256" s="2101">
        <f>Retail!BV18</f>
        <v>0.12992678082625186</v>
      </c>
      <c r="BW256" s="1930">
        <f>Retail!BW18</f>
        <v>3.5645222236217133E-2</v>
      </c>
      <c r="BX256" s="1930">
        <f>Retail!BX18</f>
        <v>3.7239439886353809E-2</v>
      </c>
      <c r="BY256" s="1930">
        <f>Retail!BY18</f>
        <v>4.0689726138151139E-2</v>
      </c>
      <c r="BZ256" s="1930">
        <f>Retail!BZ18</f>
        <v>3.0577654790729936E-2</v>
      </c>
      <c r="CA256" s="2101">
        <f>Retail!CA18</f>
        <v>3.5949778701110935E-2</v>
      </c>
      <c r="CB256" s="1930">
        <f>Retail!CB18</f>
        <v>4.3568464730290524E-2</v>
      </c>
      <c r="CC256" s="1930">
        <f>Retail!CC18</f>
        <v>3.5986304241492517E-2</v>
      </c>
      <c r="CD256" s="1930">
        <f>Retail!CD18</f>
        <v>3.7714527862137137E-2</v>
      </c>
      <c r="CE256" s="1930">
        <f>Retail!CE18</f>
        <v>3.99879170302746E-2</v>
      </c>
      <c r="CF256" s="2101">
        <f>Retail!CF18</f>
        <v>3.9300723689946748E-2</v>
      </c>
      <c r="CG256" s="1930">
        <f>Retail!CG18</f>
        <v>9.8512374031672012E-2</v>
      </c>
      <c r="CH256" s="1930">
        <f>Retail!CH18</f>
        <v>6.8798057466612716E-2</v>
      </c>
      <c r="CI256" s="1930">
        <f>Retail!CI18</f>
        <v>5.518954604233306E-2</v>
      </c>
      <c r="CJ256" s="1930">
        <f>Retail!CJ18</f>
        <v>5.0817481781742391E-2</v>
      </c>
      <c r="CK256" s="2101">
        <f>Retail!CK18</f>
        <v>6.8041752588563043E-2</v>
      </c>
      <c r="CL256" s="1930">
        <f>Retail!CL18</f>
        <v>1.6849725411882677E-3</v>
      </c>
      <c r="CM256" s="1930">
        <f>Retail!CM18</f>
        <v>1.8522024485674526E-2</v>
      </c>
      <c r="CN256" s="1930">
        <f>Retail!CN18</f>
        <v>5.0316372009623356E-2</v>
      </c>
      <c r="CO256" s="1930">
        <f>Retail!CO18</f>
        <v>5.6019656019655972E-2</v>
      </c>
      <c r="CP256" s="2101">
        <f>Retail!CP18</f>
        <v>3.1617858450150083E-2</v>
      </c>
      <c r="CQ256" s="1930">
        <f>Retail!CQ18</f>
        <v>2.6714846427013939E-2</v>
      </c>
      <c r="CR256" s="1930">
        <f>Retail!CR18</f>
        <v>4.5261625205241796E-2</v>
      </c>
      <c r="CS256" s="1930">
        <f>Retail!CS18</f>
        <v>2.8586342422009414E-2</v>
      </c>
      <c r="CT256" s="1930">
        <f>Retail!CT18</f>
        <v>2.943229409027448E-2</v>
      </c>
      <c r="CU256" s="2101">
        <f>Retail!CU18</f>
        <v>3.2448813321861225E-2</v>
      </c>
      <c r="CV256" s="1930">
        <f>Retail!CV18</f>
        <v>2.8580443937426425E-2</v>
      </c>
      <c r="CW256" s="1930">
        <f>Retail!CW18</f>
        <v>2.2056905749851641E-2</v>
      </c>
      <c r="CX256" s="1930">
        <f>Retail!CX18</f>
        <v>6.9388573793844444E-2</v>
      </c>
      <c r="CY256" s="1930">
        <f>Retail!CY18</f>
        <v>0.12457162124533827</v>
      </c>
      <c r="CZ256" s="2101">
        <f>Retail!CZ18</f>
        <v>6.2096757091506527E-2</v>
      </c>
      <c r="DA256" s="1930">
        <f>Retail!DA18</f>
        <v>0.18649267291219296</v>
      </c>
      <c r="DB256" s="1930">
        <f>Retail!DB18</f>
        <v>0.15987611717830208</v>
      </c>
      <c r="DC256" s="1930">
        <f>Retail!DC18</f>
        <v>0.12455395659333934</v>
      </c>
      <c r="DD256" s="1930">
        <f>Retail!DD18</f>
        <v>4.7467576757042274E-2</v>
      </c>
      <c r="DE256" s="2101">
        <f>Retail!EB18</f>
        <v>0</v>
      </c>
      <c r="DF256" s="1930">
        <f>Retail!EC18</f>
        <v>0</v>
      </c>
      <c r="DG256" s="1930">
        <f>Retail!ED18</f>
        <v>0</v>
      </c>
      <c r="DH256" s="1930">
        <f>Retail!EE18</f>
        <v>0</v>
      </c>
      <c r="DI256" s="1930">
        <f>Retail!EF18</f>
        <v>0</v>
      </c>
      <c r="DJ256" s="2101">
        <f>Retail!EG18</f>
        <v>0</v>
      </c>
      <c r="DK256" s="1930">
        <f>Retail!EH18</f>
        <v>0</v>
      </c>
      <c r="DL256" s="1930">
        <f>Retail!EI18</f>
        <v>0</v>
      </c>
      <c r="DM256" s="1930">
        <f>Retail!EJ18</f>
        <v>0</v>
      </c>
      <c r="DN256" s="1930">
        <f>Retail!EK18</f>
        <v>0</v>
      </c>
      <c r="DO256" s="2101">
        <f>Retail!EL18</f>
        <v>0</v>
      </c>
      <c r="DP256" s="1930">
        <f>Retail!EM18</f>
        <v>0</v>
      </c>
      <c r="DQ256" s="1930">
        <f>Retail!EN18</f>
        <v>0</v>
      </c>
      <c r="DR256" s="1930">
        <f>Retail!EO18</f>
        <v>0</v>
      </c>
      <c r="DS256" s="1930">
        <f>Retail!EP18</f>
        <v>0</v>
      </c>
      <c r="DT256" s="2101">
        <f>Retail!EQ18</f>
        <v>0</v>
      </c>
      <c r="DU256" s="1930">
        <f>Retail!ER18</f>
        <v>0</v>
      </c>
      <c r="DV256" s="1930">
        <f>Retail!ES18</f>
        <v>0</v>
      </c>
      <c r="DW256" s="1930">
        <f>Retail!ET18</f>
        <v>0</v>
      </c>
      <c r="DX256" s="1930">
        <f>Retail!EU18</f>
        <v>0</v>
      </c>
      <c r="DY256" s="2101">
        <f>Retail!EV18</f>
        <v>0</v>
      </c>
      <c r="DZ256" s="1848"/>
      <c r="EA256" s="1848"/>
      <c r="EB256" s="1848"/>
    </row>
    <row r="257" spans="1:132" x14ac:dyDescent="0.2">
      <c r="A257" s="1842"/>
      <c r="B257" s="1849" t="s">
        <v>469</v>
      </c>
      <c r="C257" s="1850"/>
      <c r="D257" s="1850"/>
      <c r="E257" s="1850"/>
      <c r="F257" s="1850"/>
      <c r="G257" s="1850"/>
      <c r="H257" s="1850"/>
      <c r="I257" s="2101"/>
      <c r="J257" s="1850"/>
      <c r="K257" s="1850"/>
      <c r="L257" s="1850"/>
      <c r="M257" s="1850"/>
      <c r="N257" s="2101">
        <f>N255-N256</f>
        <v>7.7996154912470583E-2</v>
      </c>
      <c r="O257" s="1850"/>
      <c r="P257" s="1850"/>
      <c r="Q257" s="1850"/>
      <c r="R257" s="1850"/>
      <c r="S257" s="2101">
        <f>S255-S256</f>
        <v>1.8949541745720833E-3</v>
      </c>
      <c r="T257" s="1850"/>
      <c r="U257" s="1850"/>
      <c r="V257" s="1850"/>
      <c r="W257" s="1850"/>
      <c r="X257" s="2101">
        <f>X255-X256</f>
        <v>-8.8787615294748212E-2</v>
      </c>
      <c r="Y257" s="1850"/>
      <c r="Z257" s="1850"/>
      <c r="AA257" s="1850"/>
      <c r="AB257" s="1850"/>
      <c r="AC257" s="2101">
        <f>AC255-AC256</f>
        <v>-6.7033652423212464E-2</v>
      </c>
      <c r="AD257" s="1850"/>
      <c r="AE257" s="1850"/>
      <c r="AF257" s="1850"/>
      <c r="AG257" s="1850"/>
      <c r="AH257" s="2101">
        <f>AH255-AH256</f>
        <v>1.0400294499042229E-3</v>
      </c>
      <c r="AI257" s="1850"/>
      <c r="AJ257" s="1850"/>
      <c r="AK257" s="1850"/>
      <c r="AL257" s="1850"/>
      <c r="AM257" s="2101">
        <f>AM255-AM256</f>
        <v>-5.6861783977197877E-2</v>
      </c>
      <c r="AN257" s="1850"/>
      <c r="AO257" s="1850"/>
      <c r="AP257" s="1850"/>
      <c r="AQ257" s="1850"/>
      <c r="AR257" s="2101">
        <f>AR255-AR256</f>
        <v>-9.5643696795797206E-2</v>
      </c>
      <c r="AS257" s="1850"/>
      <c r="AT257" s="1850"/>
      <c r="AU257" s="1850"/>
      <c r="AV257" s="1850"/>
      <c r="AW257" s="2101">
        <f>AW255-AW256</f>
        <v>0.22148514221644655</v>
      </c>
      <c r="AX257" s="1850"/>
      <c r="AY257" s="1850"/>
      <c r="AZ257" s="1850"/>
      <c r="BA257" s="1850"/>
      <c r="BB257" s="2101">
        <f>BB255-BB256</f>
        <v>-0.138024275847205</v>
      </c>
      <c r="BC257" s="1850"/>
      <c r="BD257" s="1850"/>
      <c r="BE257" s="1850"/>
      <c r="BF257" s="1850"/>
      <c r="BG257" s="2101">
        <f>BG255-BG256</f>
        <v>6.1275134613328008E-2</v>
      </c>
      <c r="BH257" s="1850"/>
      <c r="BI257" s="1850"/>
      <c r="BJ257" s="1850"/>
      <c r="BK257" s="1850"/>
      <c r="BL257" s="2101">
        <f t="shared" ref="BL257:DJ257" si="297">BL255-BL256</f>
        <v>7.3317824788039498E-3</v>
      </c>
      <c r="BM257" s="1930">
        <f t="shared" si="297"/>
        <v>2.1741744734978807E-2</v>
      </c>
      <c r="BN257" s="1930">
        <f t="shared" si="297"/>
        <v>-1.3749290465872699E-2</v>
      </c>
      <c r="BO257" s="1930">
        <f t="shared" si="297"/>
        <v>4.3155074090657219E-3</v>
      </c>
      <c r="BP257" s="1930">
        <f t="shared" si="297"/>
        <v>-4.5522819712964679E-2</v>
      </c>
      <c r="BQ257" s="2101">
        <f t="shared" si="297"/>
        <v>5.6327719600700377E-2</v>
      </c>
      <c r="BR257" s="1930">
        <f t="shared" si="297"/>
        <v>-6.3364969673411764E-3</v>
      </c>
      <c r="BS257" s="1930">
        <f t="shared" si="297"/>
        <v>2.7020762412215404E-3</v>
      </c>
      <c r="BT257" s="1930">
        <f t="shared" si="297"/>
        <v>1.6603917741977225E-2</v>
      </c>
      <c r="BU257" s="1930">
        <f t="shared" si="297"/>
        <v>8.4983139932786278E-2</v>
      </c>
      <c r="BV257" s="2101">
        <f t="shared" si="297"/>
        <v>1.3462249083828759E-4</v>
      </c>
      <c r="BW257" s="1930">
        <f t="shared" si="297"/>
        <v>9.9412883901381699E-2</v>
      </c>
      <c r="BX257" s="1930">
        <f t="shared" si="297"/>
        <v>6.7914541284860519E-2</v>
      </c>
      <c r="BY257" s="1930">
        <f t="shared" si="297"/>
        <v>2.0367421587868639E-2</v>
      </c>
      <c r="BZ257" s="1930">
        <f t="shared" si="297"/>
        <v>3.4550243159121585E-3</v>
      </c>
      <c r="CA257" s="2101">
        <f t="shared" si="297"/>
        <v>-1.9170995944688407E-3</v>
      </c>
      <c r="CB257" s="1930">
        <f t="shared" si="297"/>
        <v>-5.2716883221774702E-2</v>
      </c>
      <c r="CC257" s="1930">
        <f t="shared" si="297"/>
        <v>-6.2745376336978076E-2</v>
      </c>
      <c r="CD257" s="1930">
        <f t="shared" si="297"/>
        <v>-5.7176029987786592E-2</v>
      </c>
      <c r="CE257" s="1930">
        <f t="shared" si="297"/>
        <v>-0.10067047897510861</v>
      </c>
      <c r="CF257" s="2101">
        <f t="shared" si="297"/>
        <v>-9.9983285634780761E-2</v>
      </c>
      <c r="CG257" s="1930">
        <f t="shared" si="297"/>
        <v>-4.9794173461983338E-2</v>
      </c>
      <c r="CH257" s="1930">
        <f t="shared" si="297"/>
        <v>-3.7446064587570049E-2</v>
      </c>
      <c r="CI257" s="1930">
        <f t="shared" si="297"/>
        <v>-4.4783919296018437E-2</v>
      </c>
      <c r="CJ257" s="1930">
        <f t="shared" si="297"/>
        <v>2.0156040017978993E-2</v>
      </c>
      <c r="CK257" s="2101">
        <f t="shared" si="297"/>
        <v>2.9317692111583415E-3</v>
      </c>
      <c r="CL257" s="1930">
        <f t="shared" si="297"/>
        <v>-9.6460102858730856E-3</v>
      </c>
      <c r="CM257" s="1930">
        <f t="shared" si="297"/>
        <v>-4.1376746582866275E-3</v>
      </c>
      <c r="CN257" s="1930">
        <f t="shared" si="297"/>
        <v>-1.808599153856405E-2</v>
      </c>
      <c r="CO257" s="1930">
        <f t="shared" si="297"/>
        <v>-2.9437259886186284E-2</v>
      </c>
      <c r="CP257" s="2101">
        <f t="shared" si="297"/>
        <v>-5.0354623166803947E-3</v>
      </c>
      <c r="CQ257" s="1930">
        <f t="shared" si="297"/>
        <v>2.9554035748212693E-2</v>
      </c>
      <c r="CR257" s="1930">
        <f t="shared" si="297"/>
        <v>2.866539313470895E-2</v>
      </c>
      <c r="CS257" s="1930">
        <f t="shared" si="297"/>
        <v>4.4208114852817282E-2</v>
      </c>
      <c r="CT257" s="1930">
        <f t="shared" si="297"/>
        <v>5.0694460097140626E-2</v>
      </c>
      <c r="CU257" s="2101">
        <f t="shared" si="297"/>
        <v>4.7677940865553881E-2</v>
      </c>
      <c r="CV257" s="1930">
        <f t="shared" si="297"/>
        <v>6.4644439866649472E-2</v>
      </c>
      <c r="CW257" s="1930">
        <f t="shared" si="297"/>
        <v>6.8083939320570996E-2</v>
      </c>
      <c r="CX257" s="1930">
        <f t="shared" si="297"/>
        <v>7.4329672998543428E-2</v>
      </c>
      <c r="CY257" s="1930">
        <f t="shared" si="297"/>
        <v>4.902435528441873E-2</v>
      </c>
      <c r="CZ257" s="2101">
        <f t="shared" si="297"/>
        <v>0.11149921943825047</v>
      </c>
      <c r="DA257" s="1930">
        <f>DA255-DA256</f>
        <v>-4.905501450323202E-2</v>
      </c>
      <c r="DB257" s="1930">
        <f>DB255-DB256</f>
        <v>-1.5092525447035987E-2</v>
      </c>
      <c r="DC257" s="1930">
        <f>DC255-DC256</f>
        <v>-4.4294959454354244E-2</v>
      </c>
      <c r="DD257" s="1930">
        <f>DD255-DD256</f>
        <v>6.7428367848476611E-3</v>
      </c>
      <c r="DE257" s="2101">
        <f t="shared" si="297"/>
        <v>5.4210413541889935E-2</v>
      </c>
      <c r="DF257" s="1930">
        <f t="shared" si="297"/>
        <v>2.8320874065554946E-2</v>
      </c>
      <c r="DG257" s="1930">
        <f t="shared" si="297"/>
        <v>6.6304577837341672E-3</v>
      </c>
      <c r="DH257" s="1930">
        <f t="shared" si="297"/>
        <v>-1.400892110398666E-2</v>
      </c>
      <c r="DI257" s="1930">
        <f t="shared" si="297"/>
        <v>3.6314363143631345E-2</v>
      </c>
      <c r="DJ257" s="2101">
        <f t="shared" si="297"/>
        <v>3.6314363143631345E-2</v>
      </c>
      <c r="DK257" s="1930">
        <f t="shared" ref="DK257:DT257" ca="1" si="298">DK255-DK256</f>
        <v>0.10941918225784142</v>
      </c>
      <c r="DL257" s="1930">
        <f t="shared" ca="1" si="298"/>
        <v>0.13713130559903974</v>
      </c>
      <c r="DM257" s="1930">
        <f t="shared" ca="1" si="298"/>
        <v>0.13281476614470189</v>
      </c>
      <c r="DN257" s="1930">
        <f t="shared" ca="1" si="298"/>
        <v>6.8084003263543691E-2</v>
      </c>
      <c r="DO257" s="2101">
        <f t="shared" ca="1" si="298"/>
        <v>6.8084003263543691E-2</v>
      </c>
      <c r="DP257" s="1930">
        <f t="shared" ca="1" si="298"/>
        <v>6.5306889858622208E-2</v>
      </c>
      <c r="DQ257" s="1930">
        <f t="shared" ca="1" si="298"/>
        <v>6.5648856712259729E-2</v>
      </c>
      <c r="DR257" s="1930">
        <f t="shared" ca="1" si="298"/>
        <v>6.5004692688086063E-2</v>
      </c>
      <c r="DS257" s="1930">
        <f t="shared" ca="1" si="298"/>
        <v>6.3277448785012069E-2</v>
      </c>
      <c r="DT257" s="2101">
        <f t="shared" ca="1" si="298"/>
        <v>6.3277448785012069E-2</v>
      </c>
      <c r="DU257" s="1930">
        <f t="shared" ref="DU257:DY257" ca="1" si="299">DU255-DU256</f>
        <v>3.930241628974751E-2</v>
      </c>
      <c r="DV257" s="1930">
        <f t="shared" ca="1" si="299"/>
        <v>3.7656045683867267E-2</v>
      </c>
      <c r="DW257" s="1930">
        <f t="shared" ca="1" si="299"/>
        <v>3.6437221168012401E-2</v>
      </c>
      <c r="DX257" s="1930">
        <f t="shared" ca="1" si="299"/>
        <v>3.4679936581812898E-2</v>
      </c>
      <c r="DY257" s="2101">
        <f t="shared" ca="1" si="299"/>
        <v>3.4679936581812898E-2</v>
      </c>
      <c r="DZ257" s="1848"/>
      <c r="EA257" s="1848"/>
      <c r="EB257" s="1848"/>
    </row>
    <row r="258" spans="1:132" ht="6.75" customHeight="1" x14ac:dyDescent="0.2">
      <c r="A258" s="1842"/>
      <c r="B258" s="1849"/>
      <c r="C258" s="1850"/>
      <c r="D258" s="1850"/>
      <c r="E258" s="1850"/>
      <c r="F258" s="1850"/>
      <c r="G258" s="1850"/>
      <c r="H258" s="1850"/>
      <c r="I258" s="1851"/>
      <c r="J258" s="1850"/>
      <c r="K258" s="1850"/>
      <c r="L258" s="1850"/>
      <c r="M258" s="1850"/>
      <c r="N258" s="1851"/>
      <c r="O258" s="1850"/>
      <c r="P258" s="1850"/>
      <c r="Q258" s="1850"/>
      <c r="R258" s="1850"/>
      <c r="S258" s="1851"/>
      <c r="T258" s="1850"/>
      <c r="U258" s="1850"/>
      <c r="V258" s="1850"/>
      <c r="W258" s="1850"/>
      <c r="X258" s="1851"/>
      <c r="Y258" s="1850"/>
      <c r="Z258" s="1850"/>
      <c r="AA258" s="1850"/>
      <c r="AB258" s="1850"/>
      <c r="AC258" s="1851"/>
      <c r="AD258" s="1850"/>
      <c r="AE258" s="1850"/>
      <c r="AF258" s="1850"/>
      <c r="AG258" s="1850"/>
      <c r="AH258" s="1851"/>
      <c r="AI258" s="1850"/>
      <c r="AJ258" s="1850"/>
      <c r="AK258" s="1850"/>
      <c r="AL258" s="1850"/>
      <c r="AM258" s="1851"/>
      <c r="AN258" s="1850"/>
      <c r="AO258" s="1850"/>
      <c r="AP258" s="1850"/>
      <c r="AQ258" s="1850"/>
      <c r="AR258" s="1851"/>
      <c r="AS258" s="1850"/>
      <c r="AT258" s="1850"/>
      <c r="AU258" s="1850"/>
      <c r="AV258" s="1850"/>
      <c r="AW258" s="1851"/>
      <c r="AX258" s="1850"/>
      <c r="AY258" s="1850"/>
      <c r="AZ258" s="1850"/>
      <c r="BA258" s="1850"/>
      <c r="BB258" s="1851"/>
      <c r="BC258" s="1850"/>
      <c r="BD258" s="1850"/>
      <c r="BE258" s="1850"/>
      <c r="BF258" s="1850"/>
      <c r="BG258" s="1851"/>
      <c r="BH258" s="1850"/>
      <c r="BI258" s="1850"/>
      <c r="BJ258" s="1850"/>
      <c r="BK258" s="1850"/>
      <c r="BL258" s="1851"/>
      <c r="BM258" s="1850"/>
      <c r="BN258" s="1850"/>
      <c r="BO258" s="1850"/>
      <c r="BP258" s="1850"/>
      <c r="BQ258" s="1851"/>
      <c r="BR258" s="1850"/>
      <c r="BS258" s="1850"/>
      <c r="BT258" s="1850"/>
      <c r="BU258" s="1850"/>
      <c r="BV258" s="1851"/>
      <c r="BW258" s="1850"/>
      <c r="BX258" s="1850"/>
      <c r="BY258" s="1850"/>
      <c r="BZ258" s="1850"/>
      <c r="CA258" s="1851"/>
      <c r="CB258" s="1850"/>
      <c r="CC258" s="1850"/>
      <c r="CD258" s="1850"/>
      <c r="CE258" s="1850"/>
      <c r="CF258" s="1851"/>
      <c r="CG258" s="1850"/>
      <c r="CH258" s="1850"/>
      <c r="CI258" s="1850"/>
      <c r="CJ258" s="1850"/>
      <c r="CK258" s="1851"/>
      <c r="CL258" s="1850"/>
      <c r="CM258" s="1850"/>
      <c r="CN258" s="1850"/>
      <c r="CO258" s="1850"/>
      <c r="CP258" s="1851"/>
      <c r="CQ258" s="1850"/>
      <c r="CR258" s="1850"/>
      <c r="CS258" s="1850"/>
      <c r="CT258" s="1850"/>
      <c r="CU258" s="1851"/>
      <c r="CV258" s="1850"/>
      <c r="CW258" s="1850"/>
      <c r="CX258" s="1850"/>
      <c r="CY258" s="1850"/>
      <c r="CZ258" s="1851"/>
      <c r="DA258" s="1850"/>
      <c r="DB258" s="1850"/>
      <c r="DC258" s="1850"/>
      <c r="DD258" s="1850"/>
      <c r="DE258" s="1851"/>
      <c r="DF258" s="1850"/>
      <c r="DG258" s="1850"/>
      <c r="DH258" s="1850"/>
      <c r="DI258" s="1850"/>
      <c r="DJ258" s="1851"/>
      <c r="DK258" s="1850"/>
      <c r="DL258" s="1850"/>
      <c r="DM258" s="1850"/>
      <c r="DN258" s="1850"/>
      <c r="DO258" s="1851"/>
      <c r="DP258" s="1850"/>
      <c r="DQ258" s="1850"/>
      <c r="DR258" s="1850"/>
      <c r="DS258" s="1850"/>
      <c r="DT258" s="1851"/>
      <c r="DU258" s="1850"/>
      <c r="DV258" s="1850"/>
      <c r="DW258" s="1850"/>
      <c r="DX258" s="1850"/>
      <c r="DY258" s="1851"/>
      <c r="DZ258" s="1848"/>
      <c r="EA258" s="1848"/>
      <c r="EB258" s="1848"/>
    </row>
    <row r="259" spans="1:132" ht="10.5" customHeight="1" x14ac:dyDescent="0.2">
      <c r="A259" s="1842"/>
      <c r="B259" s="1849" t="s">
        <v>470</v>
      </c>
      <c r="C259" s="1850"/>
      <c r="D259" s="1850"/>
      <c r="E259" s="1850"/>
      <c r="F259" s="1850"/>
      <c r="G259" s="1850"/>
      <c r="H259" s="1850"/>
      <c r="I259" s="2102"/>
      <c r="J259" s="1850"/>
      <c r="K259" s="1850"/>
      <c r="L259" s="1850"/>
      <c r="M259" s="1850"/>
      <c r="N259" s="2102">
        <f>AVERAGE('BS and CFS'!I140:N140)/AVERAGE((Retail!N179-Retail!N192),(Retail!I179-Retail!I192))</f>
        <v>0.98387462235649559</v>
      </c>
      <c r="O259" s="1850"/>
      <c r="P259" s="1850"/>
      <c r="Q259" s="1850"/>
      <c r="R259" s="1850"/>
      <c r="S259" s="2102">
        <f>AVERAGE('BS and CFS'!N140:S140)/AVERAGE((Retail!S179-Retail!S192),(Retail!N179-Retail!N192))</f>
        <v>0.75812734082397004</v>
      </c>
      <c r="T259" s="1850"/>
      <c r="U259" s="1850"/>
      <c r="V259" s="1850"/>
      <c r="W259" s="1850"/>
      <c r="X259" s="2102">
        <f>AVERAGE('BS and CFS'!S140:X140)/AVERAGE((Retail!X179-Retail!X192),(Retail!S179-Retail!S192))</f>
        <v>0.80726277372262767</v>
      </c>
      <c r="Y259" s="1850"/>
      <c r="Z259" s="1850"/>
      <c r="AA259" s="1850"/>
      <c r="AB259" s="1850"/>
      <c r="AC259" s="2102">
        <f>AVERAGE('BS and CFS'!X140:AC140)/AVERAGE((Retail!AC179-Retail!AC192),(Retail!X179-Retail!X192))</f>
        <v>0.85560171044593769</v>
      </c>
      <c r="AD259" s="1850"/>
      <c r="AE259" s="1850"/>
      <c r="AF259" s="1850"/>
      <c r="AG259" s="1850"/>
      <c r="AH259" s="2102">
        <f>AVERAGE('BS and CFS'!AC140:AH140)/AVERAGE((Retail!AH179-Retail!AH192),(Retail!AC179-Retail!AC192))</f>
        <v>0.90818756073858109</v>
      </c>
      <c r="AI259" s="1850"/>
      <c r="AJ259" s="1850"/>
      <c r="AK259" s="1850"/>
      <c r="AL259" s="1850"/>
      <c r="AM259" s="2102">
        <f>AVERAGE('BS and CFS'!AH140:AM140)/AVERAGE((Retail!AM179-Retail!AM192),(Retail!AH179-Retail!AH192))</f>
        <v>0.96749603610196366</v>
      </c>
      <c r="AN259" s="1850"/>
      <c r="AO259" s="1850"/>
      <c r="AP259" s="1850"/>
      <c r="AQ259" s="1850"/>
      <c r="AR259" s="2102">
        <f>AVERAGE('BS and CFS'!AM140:AR140)/AVERAGE((Retail!AR179-Retail!AR192),(Retail!AM179-Retail!AM192))</f>
        <v>0.98099193745419</v>
      </c>
      <c r="AS259" s="1850"/>
      <c r="AT259" s="1850"/>
      <c r="AU259" s="1850"/>
      <c r="AV259" s="1850"/>
      <c r="AW259" s="2102">
        <f>AVERAGE('BS and CFS'!AR140:AW140)/AVERAGE((Retail!AW179-Retail!AW192),(Retail!AR179-Retail!AR192))</f>
        <v>1.0010993657505285</v>
      </c>
      <c r="AX259" s="1850"/>
      <c r="AY259" s="1850"/>
      <c r="AZ259" s="1850"/>
      <c r="BA259" s="1850"/>
      <c r="BB259" s="2102">
        <f>AVERAGE('BS and CFS'!AW140:BB140)/AVERAGE((Retail!BB179-Retail!BB192),(Retail!AW179-Retail!AW192))</f>
        <v>1.0396073688128025</v>
      </c>
      <c r="BC259" s="1850"/>
      <c r="BD259" s="1850"/>
      <c r="BE259" s="1850"/>
      <c r="BF259" s="1850"/>
      <c r="BG259" s="2102">
        <f>AVERAGE('BS and CFS'!BB140:BG140)/AVERAGE((Retail!BG179-Retail!BG192),(Retail!BB179-Retail!BB192))</f>
        <v>1.1321146643618554</v>
      </c>
      <c r="BH259" s="1850"/>
      <c r="BI259" s="1850"/>
      <c r="BJ259" s="1850"/>
      <c r="BK259" s="1850"/>
      <c r="BL259" s="2102">
        <f>AVERAGE('BS and CFS'!BG140:BL140)/AVERAGE((Retail!BL179-Retail!BL192),(Retail!BG179-Retail!BG192))</f>
        <v>1.2478861063835534</v>
      </c>
      <c r="BM259" s="2103">
        <f>AVERAGE('BS and CFS'!BL140:BM140)/AVERAGE((Retail!BM179-Retail!BM192),(Retail!BL179-Retail!BL192))</f>
        <v>1.2901209677419354</v>
      </c>
      <c r="BN259" s="2103">
        <f>AVERAGE('BS and CFS'!BM140:BN140)/AVERAGE((Retail!BN179-Retail!BN192),(Retail!BM179-Retail!BM192))</f>
        <v>1.283053839364519</v>
      </c>
      <c r="BO259" s="2103">
        <f>AVERAGE('BS and CFS'!BN140:BO140)/AVERAGE((Retail!BO179-Retail!BO192),(Retail!BN179-Retail!BN192))</f>
        <v>1.3033646946260564</v>
      </c>
      <c r="BP259" s="2103">
        <f>AVERAGE('BS and CFS'!BO140:BP140)/AVERAGE((Retail!BP179-Retail!BP192),(Retail!BO179-Retail!BO192))</f>
        <v>1.3301406309388066</v>
      </c>
      <c r="BQ259" s="2102">
        <f>AVERAGE('BS and CFS'!BL140:BQ140)/AVERAGE((Retail!BQ179-Retail!BQ192),(Retail!BL179-Retail!BL192))</f>
        <v>1.2933328226341863</v>
      </c>
      <c r="BR259" s="2103">
        <f>AVERAGE('BS and CFS'!BQ140:BR140)/AVERAGE((Retail!BR179-Retail!BR192),(Retail!BQ179-Retail!BQ192))</f>
        <v>1.3264116575591987</v>
      </c>
      <c r="BS259" s="2103">
        <f>AVERAGE('BS and CFS'!BR140:BS140)/AVERAGE((Retail!BS179-Retail!BS192),(Retail!BR179-Retail!BR192))</f>
        <v>1.3411512464568647</v>
      </c>
      <c r="BT259" s="2103">
        <f>AVERAGE('BS and CFS'!BS140:BT140)/AVERAGE((Retail!BT179-Retail!BT192),(Retail!BS179-Retail!BS192))</f>
        <v>1.3982104199740224</v>
      </c>
      <c r="BU259" s="2103">
        <f>AVERAGE('BS and CFS'!BT140:BU140)/AVERAGE((Retail!BU179-Retail!BU192),(Retail!BT179-Retail!BT192))</f>
        <v>1.4582244868666572</v>
      </c>
      <c r="BV259" s="2102">
        <f>AVERAGE('BS and CFS'!BQ140:BV140)/AVERAGE((Retail!BV179-Retail!BV192),(Retail!BQ179-Retail!BQ192))</f>
        <v>1.4033574181117534</v>
      </c>
      <c r="BW259" s="2103">
        <f>AVERAGE('BS and CFS'!BV140:BW140)/AVERAGE((Retail!BW179-Retail!BW192),(Retail!BV179-Retail!BV192))</f>
        <v>1.4739776951672863</v>
      </c>
      <c r="BX259" s="2103">
        <f>AVERAGE('BS and CFS'!BW140:BX140)/AVERAGE((Retail!BX179-Retail!BX192),(Retail!BW179-Retail!BW192))</f>
        <v>1.4684479818078453</v>
      </c>
      <c r="BY259" s="2103">
        <f>AVERAGE('BS and CFS'!BX140:BY140)/AVERAGE((Retail!BY179-Retail!BY192),(Retail!BX179-Retail!BX192))</f>
        <v>1.4811100910952617</v>
      </c>
      <c r="BZ259" s="2103">
        <f>AVERAGE('BS and CFS'!BY140:BZ140)/AVERAGE((Retail!BZ179-Retail!BZ192),(Retail!BY179-Retail!BY192))</f>
        <v>1.495011943234509</v>
      </c>
      <c r="CA259" s="2102">
        <f>AVERAGE('BS and CFS'!BV140:CA140)/AVERAGE((Retail!CA179-Retail!CA192),(Retail!BV179-Retail!BV192))</f>
        <v>1.4881973488339122</v>
      </c>
      <c r="CB259" s="2103">
        <f>AVERAGE('BS and CFS'!CA140:CB140)/AVERAGE((Retail!CB179-Retail!CB192),(Retail!CA179-Retail!CA192))</f>
        <v>1.4590438915292143</v>
      </c>
      <c r="CC259" s="2103">
        <f>AVERAGE('BS and CFS'!CB140:CC140)/AVERAGE((Retail!CC179-Retail!CC192),(Retail!CB179-Retail!CB192))</f>
        <v>1.4099499722067816</v>
      </c>
      <c r="CD259" s="2103">
        <f>AVERAGE('BS and CFS'!CC140:CD140)/AVERAGE((Retail!CD179-Retail!CD192),(Retail!CC179-Retail!CC192))</f>
        <v>1.4160331720801658</v>
      </c>
      <c r="CE259" s="2103">
        <f>AVERAGE('BS and CFS'!CD140:CE140)/AVERAGE((Retail!CE179-Retail!CE192),(Retail!CD179-Retail!CD192))</f>
        <v>1.405615580483105</v>
      </c>
      <c r="CF259" s="2102">
        <f>AVERAGE('BS and CFS'!CA140:CF140)/AVERAGE((Retail!CF179-Retail!CF192),(Retail!CA179-Retail!CA192))</f>
        <v>1.4217502949545422</v>
      </c>
      <c r="CG259" s="2103">
        <f>AVERAGE('BS and CFS'!CF140:CG140)/AVERAGE((Retail!CG179-Retail!CG192),(Retail!CF179-Retail!CF192))</f>
        <v>1.4214280814870703</v>
      </c>
      <c r="CH259" s="2103">
        <f>AVERAGE('BS and CFS'!CG140:CH140)/AVERAGE((Retail!CH179-Retail!CH192),(Retail!CG179-Retail!CG192))</f>
        <v>1.4423865500273374</v>
      </c>
      <c r="CI259" s="2103">
        <f>AVERAGE('BS and CFS'!CH140:CI140)/AVERAGE((Retail!CI179-Retail!CI192),(Retail!CH179-Retail!CH192))</f>
        <v>1.4228859106061638</v>
      </c>
      <c r="CJ259" s="2103">
        <f>AVERAGE('BS and CFS'!CI140:CJ140)/AVERAGE((Retail!CJ179-Retail!CJ192),(Retail!CI179-Retail!CI192))</f>
        <v>1.4377749204845367</v>
      </c>
      <c r="CK259" s="2102">
        <f>AVERAGE('BS and CFS'!CF140:CK140)/AVERAGE((Retail!CK179-Retail!CK192),(Retail!CF179-Retail!CF192))</f>
        <v>1.4335716717739189</v>
      </c>
      <c r="CL259" s="2103">
        <f>AVERAGE('BS and CFS'!CK140:CL140)/AVERAGE((Retail!CL179-Retail!CL192),(Retail!CK179-Retail!CK192))</f>
        <v>1.4340116864799517</v>
      </c>
      <c r="CM259" s="2103">
        <f>AVERAGE('BS and CFS'!CL140:CM140)/AVERAGE((Retail!CM179-Retail!CM192),(Retail!CL179-Retail!CL192))</f>
        <v>1.4068314726209463</v>
      </c>
      <c r="CN259" s="2103">
        <f>AVERAGE('BS and CFS'!CM140:CN140)/AVERAGE((Retail!CN179-Retail!CN192),(Retail!CM179-Retail!CM192))</f>
        <v>1.4097615597417994</v>
      </c>
      <c r="CO259" s="2103">
        <f>AVERAGE('BS and CFS'!CN140:CO140)/AVERAGE((Retail!CO179-Retail!CO192),(Retail!CN179-Retail!CN192))</f>
        <v>1.4364532019704435</v>
      </c>
      <c r="CP259" s="2102">
        <f>AVERAGE('BS and CFS'!CK140:CP140)/AVERAGE((Retail!CP179-Retail!CP192),(Retail!CK179-Retail!CK192))</f>
        <v>1.4470554105018858</v>
      </c>
      <c r="CQ259" s="2103">
        <f>AVERAGE('BS and CFS'!CP140:CQ140)/AVERAGE((Retail!CQ179-Retail!CQ192),(Retail!CP179-Retail!CP192))</f>
        <v>1.4523778416514241</v>
      </c>
      <c r="CR259" s="2103">
        <f>AVERAGE('BS and CFS'!CQ140:CR140)/AVERAGE((Retail!CR179-Retail!CR192),(Retail!CQ179-Retail!CQ192))</f>
        <v>1.4464973056197075</v>
      </c>
      <c r="CS259" s="2103">
        <f>AVERAGE('BS and CFS'!CR140:CS140)/AVERAGE((Retail!CS179-Retail!CS192),(Retail!CR179-Retail!CR192))</f>
        <v>1.463994392046903</v>
      </c>
      <c r="CT259" s="2103">
        <f>AVERAGE('BS and CFS'!CS140:CT140)/AVERAGE((Retail!CT179-Retail!CT192),(Retail!CS179-Retail!CS192))</f>
        <v>1.4887441507524979</v>
      </c>
      <c r="CU259" s="2102">
        <f>AVERAGE('BS and CFS'!CP140:CU140)/AVERAGE((Retail!CU179-Retail!CU192),(Retail!CP179-Retail!CP192))</f>
        <v>1.4904829729379774</v>
      </c>
      <c r="CV259" s="2103">
        <f>AVERAGE('BS and CFS'!CU140:CV140)/AVERAGE((Retail!CV179-Retail!CV192),(Retail!CU179-Retail!CU192))</f>
        <v>1.5221445221445222</v>
      </c>
      <c r="CW259" s="2103">
        <f>AVERAGE('BS and CFS'!CV140:CW140)/AVERAGE((Retail!CW179-Retail!CW192),(Retail!CV179-Retail!CV192))</f>
        <v>1.5448098405924438</v>
      </c>
      <c r="CX259" s="2103">
        <f>AVERAGE('BS and CFS'!CW140:CX140)/AVERAGE((Retail!CX179-Retail!CX192),(Retail!CW179-Retail!CW192))</f>
        <v>1.6170614919354838</v>
      </c>
      <c r="CY259" s="2103">
        <f>AVERAGE('BS and CFS'!CX140:CY140)/AVERAGE((Retail!CY179-Retail!CY192),(Retail!CX179-Retail!CX192))</f>
        <v>1.5591176638665067</v>
      </c>
      <c r="CZ259" s="2102">
        <f>AVERAGE('BS and CFS'!CU140:CZ140)/AVERAGE((Retail!CZ179-Retail!CZ192),(Retail!CU179-Retail!CU192))</f>
        <v>1.4805958223947038</v>
      </c>
      <c r="DA259" s="2103">
        <f>AVERAGE('BS and CFS'!CZ140:DA140)/AVERAGE((Retail!DA179-Retail!DA192),(Retail!CZ179-Retail!CZ192))</f>
        <v>1.4516095480784232</v>
      </c>
      <c r="DB259" s="2103">
        <f>AVERAGE('BS and CFS'!DA140:DB140)/AVERAGE((Retail!DB179-Retail!DB192),(Retail!DA179-Retail!DA192))</f>
        <v>1.4584112149532711</v>
      </c>
      <c r="DC259" s="2103">
        <f>AVERAGE('BS and CFS'!DB140:DC140)/AVERAGE((Retail!DC179-Retail!DC192),(Retail!DB179-Retail!DB192))</f>
        <v>1.4769079424251839</v>
      </c>
      <c r="DD259" s="2103">
        <f>AVERAGE('BS and CFS'!DC140:DD140)/AVERAGE((Retail!DD179-Retail!DD192),(Retail!DC179-Retail!DC192))</f>
        <v>1.5023483870967742</v>
      </c>
      <c r="DE259" s="2102">
        <f>AVERAGE('BS and CFS'!CZ140:DE140)/AVERAGE((Retail!EB179-Retail!EB192),(Retail!CZ179-Retail!CZ192))</f>
        <v>2.983099080340101</v>
      </c>
      <c r="DF259" s="2103">
        <f>AVERAGE('BS and CFS'!DE140:DF140)/AVERAGE((Retail!EC179-Retail!EC192),(Retail!DE179-Retail!DE192))</f>
        <v>2.9974218830566155</v>
      </c>
      <c r="DG259" s="2103">
        <f>AVERAGE('BS and CFS'!DF140:DG140)/AVERAGE((Retail!ED179-Retail!ED192),(Retail!DF179-Retail!DF192))</f>
        <v>2.9687305215042592</v>
      </c>
      <c r="DH259" s="2103">
        <f>AVERAGE('BS and CFS'!DG140:DH140)/AVERAGE((Retail!EE179-Retail!EE192),(Retail!DG179-Retail!DG192))</f>
        <v>2.9448704663212437</v>
      </c>
      <c r="DI259" s="2103">
        <f>AVERAGE('BS and CFS'!DH140:DI140)/AVERAGE((Retail!EF179-Retail!EF192),(Retail!DH179-Retail!DH192))</f>
        <v>3.0350479332027627</v>
      </c>
      <c r="DJ259" s="2102">
        <f>AVERAGE('BS and CFS'!DE140:DJ140)/AVERAGE((Retail!EG179-Retail!EG192),(Retail!DE179-Retail!DE192))</f>
        <v>3.0276030387405042</v>
      </c>
      <c r="DK259" s="2103">
        <f ca="1">AVERAGE('BS and CFS'!DJ140:DK140)/AVERAGE((Retail!EH179-Retail!EH192),(Retail!DJ179-Retail!DJ192))</f>
        <v>3.1956680838081284</v>
      </c>
      <c r="DL259" s="2103">
        <f ca="1">AVERAGE('BS and CFS'!DK140:DL140)/AVERAGE((Retail!EI179-Retail!EI192),(Retail!DK179-Retail!DK192))</f>
        <v>3.2828136309659004</v>
      </c>
      <c r="DM259" s="2103">
        <f ca="1">AVERAGE('BS and CFS'!DL140:DM140)/AVERAGE((Retail!EJ179-Retail!EJ192),(Retail!DL179-Retail!DL192))</f>
        <v>3.2902102783691722</v>
      </c>
      <c r="DN259" s="2103">
        <f ca="1">AVERAGE('BS and CFS'!DM140:DN140)/AVERAGE((Retail!EK179-Retail!EK192),(Retail!DM179-Retail!DM192))</f>
        <v>3.2929734849988055</v>
      </c>
      <c r="DO259" s="2102">
        <f ca="1">AVERAGE('BS and CFS'!DJ140:DO140)/AVERAGE((Retail!EL179-Retail!EL192),(Retail!DJ179-Retail!DJ192))</f>
        <v>3.2843264639280907</v>
      </c>
      <c r="DP259" s="2103">
        <f ca="1">AVERAGE('BS and CFS'!DO140:DP140)/AVERAGE((Retail!EM179-Retail!EM192),(Retail!DO179-Retail!DO192))</f>
        <v>3.3741268948847356</v>
      </c>
      <c r="DQ259" s="2103">
        <f ca="1">AVERAGE('BS and CFS'!DP140:DQ140)/AVERAGE((Retail!EN179-Retail!EN192),(Retail!DP179-Retail!DP192))</f>
        <v>3.4623618087581778</v>
      </c>
      <c r="DR259" s="2103">
        <f ca="1">AVERAGE('BS and CFS'!DQ140:DR140)/AVERAGE((Retail!EO179-Retail!EO192),(Retail!DQ179-Retail!DQ192))</f>
        <v>3.4697608552113048</v>
      </c>
      <c r="DS259" s="2103">
        <f ca="1">AVERAGE('BS and CFS'!DR140:DS140)/AVERAGE((Retail!EP179-Retail!EP192),(Retail!DR179-Retail!DR192))</f>
        <v>3.4688652202340524</v>
      </c>
      <c r="DT259" s="2102">
        <f ca="1">AVERAGE('BS and CFS'!DO140:DT140)/AVERAGE((Retail!EQ179-Retail!EQ192),(Retail!DO179-Retail!DO192))</f>
        <v>3.4625230721666971</v>
      </c>
      <c r="DU259" s="2103">
        <f ca="1">AVERAGE('BS and CFS'!DT140:DU140)/AVERAGE((Retail!ER179-Retail!ER192),(Retail!DT179-Retail!DT192))</f>
        <v>3.5108592215628383</v>
      </c>
      <c r="DV259" s="2103">
        <f ca="1">AVERAGE('BS and CFS'!DU140:DV140)/AVERAGE((Retail!ES179-Retail!ES192),(Retail!DU179-Retail!DU192))</f>
        <v>3.5595238398287878</v>
      </c>
      <c r="DW259" s="2103">
        <f ca="1">AVERAGE('BS and CFS'!DV140:DW140)/AVERAGE((Retail!ET179-Retail!ET192),(Retail!DV179-Retail!DV192))</f>
        <v>3.5623453150620263</v>
      </c>
      <c r="DX259" s="2103">
        <f ca="1">AVERAGE('BS and CFS'!DW140:DX140)/AVERAGE((Retail!EU179-Retail!EU192),(Retail!DW179-Retail!DW192))</f>
        <v>3.5563647141750412</v>
      </c>
      <c r="DY259" s="2102">
        <f ca="1">AVERAGE('BS and CFS'!DT140:DY140)/AVERAGE((Retail!EV179-Retail!EV192),(Retail!DT179-Retail!DT192))</f>
        <v>3.5676007864314307</v>
      </c>
      <c r="DZ259" s="1848"/>
      <c r="EA259" s="1848"/>
      <c r="EB259" s="1848"/>
    </row>
    <row r="260" spans="1:132" ht="11.25" customHeight="1" x14ac:dyDescent="0.2">
      <c r="A260" s="1861"/>
      <c r="B260" s="244" t="s">
        <v>219</v>
      </c>
      <c r="C260" s="245"/>
      <c r="D260" s="245"/>
      <c r="E260" s="245"/>
      <c r="F260" s="245"/>
      <c r="G260" s="245"/>
      <c r="H260" s="245"/>
      <c r="I260" s="246"/>
      <c r="J260" s="245"/>
      <c r="K260" s="245"/>
      <c r="L260" s="245"/>
      <c r="M260" s="245"/>
      <c r="N260" s="246"/>
      <c r="O260" s="245"/>
      <c r="P260" s="245"/>
      <c r="Q260" s="245"/>
      <c r="R260" s="245"/>
      <c r="S260" s="246">
        <f>S259/N259-1</f>
        <v>-0.22944720435194699</v>
      </c>
      <c r="T260" s="245"/>
      <c r="U260" s="245"/>
      <c r="V260" s="245"/>
      <c r="W260" s="245"/>
      <c r="X260" s="246">
        <f>X259/S259-1</f>
        <v>6.4811582768212528E-2</v>
      </c>
      <c r="Y260" s="245"/>
      <c r="Z260" s="245"/>
      <c r="AA260" s="245"/>
      <c r="AB260" s="245"/>
      <c r="AC260" s="246">
        <f>AC259/X259-1</f>
        <v>5.9880051820547786E-2</v>
      </c>
      <c r="AD260" s="245"/>
      <c r="AE260" s="245"/>
      <c r="AF260" s="245"/>
      <c r="AG260" s="245"/>
      <c r="AH260" s="246">
        <f>AH259/AC259-1</f>
        <v>6.146066522615512E-2</v>
      </c>
      <c r="AI260" s="245"/>
      <c r="AJ260" s="245"/>
      <c r="AK260" s="245"/>
      <c r="AL260" s="245"/>
      <c r="AM260" s="246">
        <f>AM259/AH259-1</f>
        <v>6.5304214599845478E-2</v>
      </c>
      <c r="AN260" s="245"/>
      <c r="AO260" s="245"/>
      <c r="AP260" s="245"/>
      <c r="AQ260" s="245"/>
      <c r="AR260" s="246">
        <f>AR259/AM259-1</f>
        <v>1.3949309194693171E-2</v>
      </c>
      <c r="AS260" s="245"/>
      <c r="AT260" s="245"/>
      <c r="AU260" s="245"/>
      <c r="AV260" s="245"/>
      <c r="AW260" s="246">
        <f>AW259/AR259-1</f>
        <v>2.0497037262630302E-2</v>
      </c>
      <c r="AX260" s="245"/>
      <c r="AY260" s="245"/>
      <c r="AZ260" s="245"/>
      <c r="BA260" s="245"/>
      <c r="BB260" s="246">
        <f>BB259/AW259-1</f>
        <v>3.8465715172443904E-2</v>
      </c>
      <c r="BC260" s="245"/>
      <c r="BD260" s="245"/>
      <c r="BE260" s="245"/>
      <c r="BF260" s="245"/>
      <c r="BG260" s="246">
        <f>BG259/BB259-1</f>
        <v>8.8982916362638997E-2</v>
      </c>
      <c r="BH260" s="245"/>
      <c r="BI260" s="245"/>
      <c r="BJ260" s="245"/>
      <c r="BK260" s="245"/>
      <c r="BL260" s="246">
        <f>BL259/BG259-1</f>
        <v>0.1022612334828783</v>
      </c>
      <c r="BM260" s="245"/>
      <c r="BN260" s="245"/>
      <c r="BO260" s="245"/>
      <c r="BP260" s="245"/>
      <c r="BQ260" s="246">
        <f>BQ259/BL259-1</f>
        <v>3.6418961648944093E-2</v>
      </c>
      <c r="BR260" s="245"/>
      <c r="BS260" s="245"/>
      <c r="BT260" s="245"/>
      <c r="BU260" s="245"/>
      <c r="BV260" s="246">
        <f>BV259/BQ259-1</f>
        <v>8.5070597105449952E-2</v>
      </c>
      <c r="BW260" s="245"/>
      <c r="BX260" s="245"/>
      <c r="BY260" s="245"/>
      <c r="BZ260" s="245"/>
      <c r="CA260" s="246">
        <f>CA259/BV259-1</f>
        <v>6.0454970079049986E-2</v>
      </c>
      <c r="CB260" s="245"/>
      <c r="CC260" s="245"/>
      <c r="CD260" s="245"/>
      <c r="CE260" s="245"/>
      <c r="CF260" s="246">
        <f>CF259/CA259-1</f>
        <v>-4.4649356438804966E-2</v>
      </c>
      <c r="CG260" s="245"/>
      <c r="CH260" s="245"/>
      <c r="CI260" s="245"/>
      <c r="CJ260" s="245"/>
      <c r="CK260" s="246">
        <f>CK259/CF259-1</f>
        <v>8.3146645802205654E-3</v>
      </c>
      <c r="CL260" s="245"/>
      <c r="CM260" s="245"/>
      <c r="CN260" s="245"/>
      <c r="CO260" s="245"/>
      <c r="CP260" s="246">
        <f>CP259/CK259-1</f>
        <v>9.4056955738264225E-3</v>
      </c>
      <c r="CQ260" s="245"/>
      <c r="CR260" s="245"/>
      <c r="CS260" s="245"/>
      <c r="CT260" s="245"/>
      <c r="CU260" s="246">
        <f>CU259/CP259-1</f>
        <v>3.0010987914436127E-2</v>
      </c>
      <c r="CV260" s="245"/>
      <c r="CW260" s="245"/>
      <c r="CX260" s="245"/>
      <c r="CY260" s="245"/>
      <c r="CZ260" s="246">
        <f>CZ259/CU259-1</f>
        <v>-6.6335212966468493E-3</v>
      </c>
      <c r="DA260" s="245"/>
      <c r="DB260" s="245"/>
      <c r="DC260" s="245"/>
      <c r="DD260" s="245"/>
      <c r="DE260" s="246">
        <f>DE259/CZ259-1</f>
        <v>1.0147963645576552</v>
      </c>
      <c r="DF260" s="245"/>
      <c r="DG260" s="245"/>
      <c r="DH260" s="245"/>
      <c r="DI260" s="245"/>
      <c r="DJ260" s="246">
        <f>DJ259/DE259-1</f>
        <v>1.491869938001833E-2</v>
      </c>
      <c r="DK260" s="245"/>
      <c r="DL260" s="245"/>
      <c r="DM260" s="245"/>
      <c r="DN260" s="245"/>
      <c r="DO260" s="246">
        <f ca="1">DO259/DJ259-1</f>
        <v>8.4794281780872005E-2</v>
      </c>
      <c r="DP260" s="245"/>
      <c r="DQ260" s="245"/>
      <c r="DR260" s="245"/>
      <c r="DS260" s="245"/>
      <c r="DT260" s="246">
        <f ca="1">DT259/DO259-1</f>
        <v>5.4256667294115823E-2</v>
      </c>
      <c r="DU260" s="245"/>
      <c r="DV260" s="245"/>
      <c r="DW260" s="245"/>
      <c r="DX260" s="245"/>
      <c r="DY260" s="246">
        <f ca="1">DY259/DT259-1</f>
        <v>3.0347152083807005E-2</v>
      </c>
      <c r="DZ260" s="1865"/>
      <c r="EA260" s="1865"/>
      <c r="EB260" s="1865"/>
    </row>
    <row r="261" spans="1:132" ht="5.25" customHeight="1" x14ac:dyDescent="0.2">
      <c r="A261" s="1842"/>
      <c r="B261" s="1849"/>
      <c r="C261" s="1850"/>
      <c r="D261" s="1850"/>
      <c r="E261" s="1850"/>
      <c r="F261" s="1850"/>
      <c r="G261" s="1850"/>
      <c r="H261" s="1850"/>
      <c r="I261" s="1851"/>
      <c r="J261" s="1850"/>
      <c r="K261" s="1850"/>
      <c r="L261" s="1850"/>
      <c r="M261" s="1850"/>
      <c r="N261" s="1851"/>
      <c r="O261" s="1850"/>
      <c r="P261" s="1850"/>
      <c r="Q261" s="1850"/>
      <c r="R261" s="1850"/>
      <c r="S261" s="1851"/>
      <c r="T261" s="1850"/>
      <c r="U261" s="1850"/>
      <c r="V261" s="1850"/>
      <c r="W261" s="1850"/>
      <c r="X261" s="1851"/>
      <c r="Y261" s="1850"/>
      <c r="Z261" s="1850"/>
      <c r="AA261" s="1850"/>
      <c r="AB261" s="1850"/>
      <c r="AC261" s="1851"/>
      <c r="AD261" s="1850"/>
      <c r="AE261" s="1850"/>
      <c r="AF261" s="1850"/>
      <c r="AG261" s="1850"/>
      <c r="AH261" s="1851"/>
      <c r="AI261" s="1850"/>
      <c r="AJ261" s="1850"/>
      <c r="AK261" s="1850"/>
      <c r="AL261" s="1850"/>
      <c r="AM261" s="1851"/>
      <c r="AN261" s="1850"/>
      <c r="AO261" s="1850"/>
      <c r="AP261" s="1850"/>
      <c r="AQ261" s="1850"/>
      <c r="AR261" s="1851"/>
      <c r="AS261" s="1850"/>
      <c r="AT261" s="1850"/>
      <c r="AU261" s="1850"/>
      <c r="AV261" s="1850"/>
      <c r="AW261" s="1851"/>
      <c r="AX261" s="1850"/>
      <c r="AY261" s="1850"/>
      <c r="AZ261" s="1850"/>
      <c r="BA261" s="1850"/>
      <c r="BB261" s="1851"/>
      <c r="BC261" s="1850"/>
      <c r="BD261" s="1850"/>
      <c r="BE261" s="1850"/>
      <c r="BF261" s="1850"/>
      <c r="BG261" s="1851"/>
      <c r="BH261" s="1850"/>
      <c r="BI261" s="1850"/>
      <c r="BJ261" s="1850"/>
      <c r="BK261" s="1850"/>
      <c r="BL261" s="1851"/>
      <c r="BM261" s="1850"/>
      <c r="BN261" s="1850"/>
      <c r="BO261" s="1850"/>
      <c r="BP261" s="1850"/>
      <c r="BQ261" s="1851"/>
      <c r="BR261" s="1850"/>
      <c r="BS261" s="1850"/>
      <c r="BT261" s="1850"/>
      <c r="BU261" s="1850"/>
      <c r="BV261" s="1851"/>
      <c r="BW261" s="1850"/>
      <c r="BX261" s="1850"/>
      <c r="BY261" s="1850"/>
      <c r="BZ261" s="1850"/>
      <c r="CA261" s="1851"/>
      <c r="CB261" s="1850"/>
      <c r="CC261" s="1850"/>
      <c r="CD261" s="1850"/>
      <c r="CE261" s="1850"/>
      <c r="CF261" s="1851"/>
      <c r="CG261" s="1850"/>
      <c r="CH261" s="1850"/>
      <c r="CI261" s="1850"/>
      <c r="CJ261" s="1850"/>
      <c r="CK261" s="1851"/>
      <c r="CL261" s="1850"/>
      <c r="CM261" s="1850"/>
      <c r="CN261" s="1850"/>
      <c r="CO261" s="1850"/>
      <c r="CP261" s="1851"/>
      <c r="CQ261" s="1850"/>
      <c r="CR261" s="1850"/>
      <c r="CS261" s="1850"/>
      <c r="CT261" s="1850"/>
      <c r="CU261" s="1851"/>
      <c r="CV261" s="1850"/>
      <c r="CW261" s="1850"/>
      <c r="CX261" s="1850"/>
      <c r="CY261" s="1850"/>
      <c r="CZ261" s="1851"/>
      <c r="DA261" s="1850"/>
      <c r="DB261" s="1850"/>
      <c r="DC261" s="1850"/>
      <c r="DD261" s="1850"/>
      <c r="DE261" s="1851"/>
      <c r="DF261" s="1850"/>
      <c r="DG261" s="1850"/>
      <c r="DH261" s="1850"/>
      <c r="DI261" s="1850"/>
      <c r="DJ261" s="1851"/>
      <c r="DK261" s="1850"/>
      <c r="DL261" s="1850"/>
      <c r="DM261" s="1850"/>
      <c r="DN261" s="1850"/>
      <c r="DO261" s="1851"/>
      <c r="DP261" s="1850"/>
      <c r="DQ261" s="1850"/>
      <c r="DR261" s="1850"/>
      <c r="DS261" s="1850"/>
      <c r="DT261" s="1851"/>
      <c r="DU261" s="1850"/>
      <c r="DV261" s="1850"/>
      <c r="DW261" s="1850"/>
      <c r="DX261" s="1850"/>
      <c r="DY261" s="1851"/>
      <c r="DZ261" s="1848"/>
      <c r="EA261" s="1848"/>
      <c r="EB261" s="1848"/>
    </row>
    <row r="262" spans="1:132" x14ac:dyDescent="0.2">
      <c r="A262" s="1842"/>
      <c r="B262" s="1849" t="s">
        <v>471</v>
      </c>
      <c r="C262" s="1850"/>
      <c r="D262" s="1850"/>
      <c r="E262" s="1850"/>
      <c r="F262" s="1850"/>
      <c r="G262" s="1850"/>
      <c r="H262" s="1850"/>
      <c r="I262" s="436"/>
      <c r="J262" s="1850"/>
      <c r="K262" s="1850"/>
      <c r="L262" s="1850"/>
      <c r="M262" s="1850"/>
      <c r="N262" s="436">
        <f>IS!N11/AVERAGE('BS and CFS'!N140,'BS and CFS'!I140)</f>
        <v>3.8215725636203119</v>
      </c>
      <c r="O262" s="1850"/>
      <c r="P262" s="1850"/>
      <c r="Q262" s="1850"/>
      <c r="R262" s="1850"/>
      <c r="S262" s="436">
        <f>IS!S11/AVERAGE('BS and CFS'!S140,'BS and CFS'!N140)</f>
        <v>3.6703883015512297</v>
      </c>
      <c r="T262" s="1850"/>
      <c r="U262" s="1850"/>
      <c r="V262" s="1850"/>
      <c r="W262" s="1850"/>
      <c r="X262" s="436">
        <f>IS!X11/AVERAGE('BS and CFS'!X140,'BS and CFS'!S140)</f>
        <v>3.9896016998960171</v>
      </c>
      <c r="Y262" s="1850"/>
      <c r="Z262" s="1850"/>
      <c r="AA262" s="1850"/>
      <c r="AB262" s="1850"/>
      <c r="AC262" s="436">
        <f>IS!AC11/AVERAGE('BS and CFS'!AC140,'BS and CFS'!X140)</f>
        <v>4.2055089888763542</v>
      </c>
      <c r="AD262" s="1850"/>
      <c r="AE262" s="1850"/>
      <c r="AF262" s="1850"/>
      <c r="AG262" s="1850"/>
      <c r="AH262" s="436">
        <f>IS!AH11/AVERAGE('BS and CFS'!AH140,'BS and CFS'!AC140)</f>
        <v>4.4274899012867506</v>
      </c>
      <c r="AI262" s="1850"/>
      <c r="AJ262" s="1850"/>
      <c r="AK262" s="1850"/>
      <c r="AL262" s="1850"/>
      <c r="AM262" s="436">
        <f>IS!AM11/AVERAGE('BS and CFS'!AM140,'BS and CFS'!AH140)</f>
        <v>4.5667065868263474</v>
      </c>
      <c r="AN262" s="1850"/>
      <c r="AO262" s="1850"/>
      <c r="AP262" s="1850"/>
      <c r="AQ262" s="1850"/>
      <c r="AR262" s="436">
        <f>IS!AR11/AVERAGE('BS and CFS'!AR140,'BS and CFS'!AM140)</f>
        <v>4.9125821876867901</v>
      </c>
      <c r="AS262" s="1850"/>
      <c r="AT262" s="1850"/>
      <c r="AU262" s="1850"/>
      <c r="AV262" s="1850"/>
      <c r="AW262" s="436">
        <f>IS!AW11/AVERAGE('BS and CFS'!AW140,'BS and CFS'!AR140)</f>
        <v>4.7649729684068252</v>
      </c>
      <c r="AX262" s="1850"/>
      <c r="AY262" s="1850"/>
      <c r="AZ262" s="1850"/>
      <c r="BA262" s="1850"/>
      <c r="BB262" s="436">
        <f>IS!BB11/AVERAGE('BS and CFS'!BB140,'BS and CFS'!AW140)</f>
        <v>4.8886402892506506</v>
      </c>
      <c r="BC262" s="1850"/>
      <c r="BD262" s="1850"/>
      <c r="BE262" s="1850"/>
      <c r="BF262" s="1850"/>
      <c r="BG262" s="436">
        <f>IS!BG11/AVERAGE('BS and CFS'!BG140,'BS and CFS'!BB140)</f>
        <v>5.0011614582927342</v>
      </c>
      <c r="BH262" s="1850"/>
      <c r="BI262" s="1850"/>
      <c r="BJ262" s="1850"/>
      <c r="BK262" s="1850"/>
      <c r="BL262" s="436">
        <f>Retail!BL17/AVERAGE('BS and CFS'!BL140,'BS and CFS'!BG140)</f>
        <v>5.9649668256477772</v>
      </c>
      <c r="BM262" s="437">
        <f>Retail!BM17*4/AVERAGE('BS and CFS'!BM140,'BS and CFS'!BK140)</f>
        <v>5.9237255821222066</v>
      </c>
      <c r="BN262" s="437">
        <f>Retail!BN17*4/AVERAGE('BS and CFS'!BN140,'BS and CFS'!BL140)</f>
        <v>5.8818708774735162</v>
      </c>
      <c r="BO262" s="437">
        <f>Retail!BO17*4/AVERAGE('BS and CFS'!BO140,'BS and CFS'!BM140)</f>
        <v>5.6527515044659529</v>
      </c>
      <c r="BP262" s="437">
        <f>Retail!BP17*4/AVERAGE('BS and CFS'!BP140,'BS and CFS'!BN140)</f>
        <v>6.4505071703392796</v>
      </c>
      <c r="BQ262" s="436">
        <f>Retail!BQ17/AVERAGE('BS and CFS'!BQ140,'BS and CFS'!BL140)</f>
        <v>5.7095123770453595</v>
      </c>
      <c r="BR262" s="437">
        <f>Retail!BR17*4/AVERAGE('BS and CFS'!BR140,'BS and CFS'!BP140)</f>
        <v>5.9310738808019776</v>
      </c>
      <c r="BS262" s="437">
        <f>Retail!BS17*4/AVERAGE('BS and CFS'!BS140,'BS and CFS'!BQ140)</f>
        <v>5.9492807131961785</v>
      </c>
      <c r="BT262" s="437">
        <f>Retail!BT17*4/AVERAGE('BS and CFS'!BT140,'BS and CFS'!BR140)</f>
        <v>5.7200695805720949</v>
      </c>
      <c r="BU262" s="437">
        <f>Retail!BU17*4/AVERAGE('BS and CFS'!BU140,'BS and CFS'!BS140)</f>
        <v>5.8571175323524196</v>
      </c>
      <c r="BV262" s="436">
        <f>Retail!BV17/AVERAGE('BS and CFS'!BV140,'BS and CFS'!BQ140)</f>
        <v>5.6787172490202922</v>
      </c>
      <c r="BW262" s="437">
        <f>Retail!BW17*4/AVERAGE('BS and CFS'!BW140,'BS and CFS'!BU140)</f>
        <v>5.4236104374818117</v>
      </c>
      <c r="BX262" s="437">
        <f>Retail!BX17*4/AVERAGE('BS and CFS'!BX140,'BS and CFS'!DZ140)</f>
        <v>11.019905286258806</v>
      </c>
      <c r="BY262" s="437">
        <f>Retail!BY17*4/AVERAGE('BS and CFS'!BY140,'BS and CFS'!BW140)</f>
        <v>5.430105465004794</v>
      </c>
      <c r="BZ262" s="437">
        <f>Retail!BZ17*4/AVERAGE('BS and CFS'!BZ140,'BS and CFS'!BX140)</f>
        <v>5.6524378675773095</v>
      </c>
      <c r="CA262" s="436">
        <f>Retail!CA17/AVERAGE('BS and CFS'!CA140,'BS and CFS'!BV140)</f>
        <v>5.4515638368666224</v>
      </c>
      <c r="CB262" s="437">
        <f>Retail!CB17*4/AVERAGE('BS and CFS'!CB140,'BS and CFS'!BZ140)</f>
        <v>5.5899597624065915</v>
      </c>
      <c r="CC262" s="437">
        <f>Retail!CC17*4/AVERAGE('BS and CFS'!CC140,'BS and CFS'!CA140)</f>
        <v>5.7006632702105158</v>
      </c>
      <c r="CD262" s="437">
        <f>Retail!CD17*4/AVERAGE('BS and CFS'!CD140,'BS and CFS'!CB140)</f>
        <v>5.7171206225680935</v>
      </c>
      <c r="CE262" s="437">
        <f>Retail!CE17*4/AVERAGE('BS and CFS'!CE140,'BS and CFS'!CC140)</f>
        <v>6.1488118271568188</v>
      </c>
      <c r="CF262" s="436">
        <f>Retail!CF17/AVERAGE('BS and CFS'!CF140,'BS and CFS'!CA140)</f>
        <v>5.7469456631792104</v>
      </c>
      <c r="CG262" s="437">
        <f>Retail!CG17*4/AVERAGE('BS and CFS'!CG140,'BS and CFS'!CE140)</f>
        <v>6.1859769338416255</v>
      </c>
      <c r="CH262" s="437">
        <f>Retail!CH17*4/AVERAGE('BS and CFS'!CH140,'BS and CFS'!CF140)</f>
        <v>6.1916577122203771</v>
      </c>
      <c r="CI262" s="437">
        <f>Retail!CI17*4/AVERAGE('BS and CFS'!CI140,'BS and CFS'!CG140)</f>
        <v>5.86048006048006</v>
      </c>
      <c r="CJ262" s="437">
        <f>Retail!CJ17*4/AVERAGE('BS and CFS'!CJ140,'BS and CFS'!CH140)</f>
        <v>6.1471657148251282</v>
      </c>
      <c r="CK262" s="436">
        <f>Retail!CK17/AVERAGE('BS and CFS'!CK140,'BS and CFS'!CF140)</f>
        <v>6.1190963710646473</v>
      </c>
      <c r="CL262" s="437">
        <f>Retail!CL17*4/AVERAGE('BS and CFS'!CL140,'BS and CFS'!CJ140)</f>
        <v>6.0141445365556647</v>
      </c>
      <c r="CM262" s="437">
        <f>Retail!CM17*4/AVERAGE('BS and CFS'!CM140,'BS and CFS'!CK140)</f>
        <v>6.0512724375497964</v>
      </c>
      <c r="CN262" s="437">
        <f>Retail!CN17*4/AVERAGE('BS and CFS'!CN140,'BS and CFS'!CL140)</f>
        <v>6.0826446280991737</v>
      </c>
      <c r="CO262" s="437">
        <f>Retail!CO17*4/AVERAGE('BS and CFS'!CO140,'BS and CFS'!CM140)</f>
        <v>6.3606345095500165</v>
      </c>
      <c r="CP262" s="436">
        <f>Retail!CP17/AVERAGE('BS and CFS'!CP140,'BS and CFS'!CK140)</f>
        <v>6.0233443404879843</v>
      </c>
      <c r="CQ262" s="437">
        <f>Retail!CQ17*4/AVERAGE('BS and CFS'!CQ140,'BS and CFS'!CO140)</f>
        <v>5.9298520217694417</v>
      </c>
      <c r="CR262" s="437">
        <f>Retail!CR17*4/AVERAGE('BS and CFS'!CR140,'BS and CFS'!CP140)</f>
        <v>6.0236554340548984</v>
      </c>
      <c r="CS262" s="437">
        <f>Retail!CS17*4/AVERAGE('BS and CFS'!CS140,'BS and CFS'!CQ140)</f>
        <v>5.8767597912372267</v>
      </c>
      <c r="CT262" s="437">
        <f>Retail!CT17*4/AVERAGE('BS and CFS'!CT140,'BS and CFS'!CR140)</f>
        <v>6.0791756118505793</v>
      </c>
      <c r="CU262" s="436">
        <f>Retail!CU17/AVERAGE('BS and CFS'!CU140,'BS and CFS'!CP140)</f>
        <v>5.901832426550599</v>
      </c>
      <c r="CV262" s="437">
        <f>Retail!CV17*4/AVERAGE('BS and CFS'!CV140,'BS and CFS'!CT140)</f>
        <v>5.6126153718803025</v>
      </c>
      <c r="CW262" s="437">
        <f>Retail!CW17*4/AVERAGE('BS and CFS'!CW140,'BS and CFS'!CU140)</f>
        <v>5.6731430451591667</v>
      </c>
      <c r="CX262" s="437">
        <f>Retail!CX17*4/AVERAGE('BS and CFS'!CX140,'BS and CFS'!CV140)</f>
        <v>5.6165010517806602</v>
      </c>
      <c r="CY262" s="437">
        <f>Retail!CY17*4/AVERAGE('BS and CFS'!CY140,'BS and CFS'!CW140)</f>
        <v>6.0345403988023492</v>
      </c>
      <c r="CZ262" s="436">
        <f>Retail!CZ17/AVERAGE('BS and CFS'!CZ140,'BS and CFS'!CU140)</f>
        <v>5.5537613257922942</v>
      </c>
      <c r="DA262" s="437">
        <f>Retail!DA17*4/AVERAGE('BS and CFS'!DA140,'BS and CFS'!CY140)</f>
        <v>5.7641958943861287</v>
      </c>
      <c r="DB262" s="437">
        <f>Retail!DB17*4/AVERAGE('BS and CFS'!DB140,'BS and CFS'!CZ140)</f>
        <v>5.6778195755553984</v>
      </c>
      <c r="DC262" s="437">
        <f>Retail!DC17*4/AVERAGE('BS and CFS'!DC140,'BS and CFS'!DA140)</f>
        <v>5.7021089879688605</v>
      </c>
      <c r="DD262" s="437">
        <f>Retail!DD17*4/AVERAGE('BS and CFS'!DD140,'BS and CFS'!DB140)</f>
        <v>5.7635276635449433</v>
      </c>
      <c r="DE262" s="436">
        <f>Retail!DE17/AVERAGE('BS and CFS'!DE140,'BS and CFS'!CZ140)</f>
        <v>5.6396370084489407</v>
      </c>
      <c r="DF262" s="437">
        <f>Retail!DF17*4/AVERAGE('BS and CFS'!DF140,'BS and CFS'!DD140)</f>
        <v>5.3231954861350035</v>
      </c>
      <c r="DG262" s="437">
        <f>Retail!DG17*4/AVERAGE('BS and CFS'!DG140,'BS and CFS'!DE140)</f>
        <v>5.3885570596948096</v>
      </c>
      <c r="DH262" s="437">
        <f>Retail!DH17*4/AVERAGE('BS and CFS'!DH140,'BS and CFS'!DF140)</f>
        <v>5.5089990357628373</v>
      </c>
      <c r="DI262" s="437">
        <f>Retail!DI17*4/AVERAGE('BS and CFS'!DI140,'BS and CFS'!DG140)</f>
        <v>5.6575100479642835</v>
      </c>
      <c r="DJ262" s="436">
        <f>Retail!DJ17/AVERAGE('BS and CFS'!DJ140,'BS and CFS'!DE140)</f>
        <v>5.2833240380682724</v>
      </c>
      <c r="DK262" s="437">
        <f ca="1">Retail!DK17*4/AVERAGE('BS and CFS'!DK140,'BS and CFS'!DI140)</f>
        <v>5.243561472051554</v>
      </c>
      <c r="DL262" s="437">
        <f ca="1">Retail!DL17*4/AVERAGE('BS and CFS'!DL140,'BS and CFS'!DJ140)</f>
        <v>5.2285495371997674</v>
      </c>
      <c r="DM262" s="437">
        <f ca="1">Retail!DM17*4/AVERAGE('BS and CFS'!DM140,'BS and CFS'!DK140)</f>
        <v>5.056927518237063</v>
      </c>
      <c r="DN262" s="437">
        <f ca="1">Retail!DN17*4/AVERAGE('BS and CFS'!DN140,'BS and CFS'!DL140)</f>
        <v>5.1489539311696602</v>
      </c>
      <c r="DO262" s="436">
        <f ca="1">Retail!DO17/AVERAGE('BS and CFS'!DO140,'BS and CFS'!DJ140)</f>
        <v>5.19413425921634</v>
      </c>
      <c r="DP262" s="437">
        <f ca="1">Retail!DP17*4/AVERAGE('BS and CFS'!DP140,'BS and CFS'!DN140)</f>
        <v>5.0561265223321161</v>
      </c>
      <c r="DQ262" s="437">
        <f ca="1">Retail!DQ17*4/AVERAGE('BS and CFS'!DQ140,'BS and CFS'!DO140)</f>
        <v>5.0367186490750031</v>
      </c>
      <c r="DR262" s="437">
        <f ca="1">Retail!DR17*4/AVERAGE('BS and CFS'!DR140,'BS and CFS'!DP140)</f>
        <v>4.8766040720995134</v>
      </c>
      <c r="DS262" s="437">
        <f ca="1">Retail!DS17*4/AVERAGE('BS and CFS'!DS140,'BS and CFS'!DQ140)</f>
        <v>4.9595270878914448</v>
      </c>
      <c r="DT262" s="436">
        <f ca="1">Retail!DT17/AVERAGE('BS and CFS'!DT140,'BS and CFS'!DO140)</f>
        <v>5.006777073915198</v>
      </c>
      <c r="DU262" s="437">
        <f ca="1">Retail!DU17*4/AVERAGE('BS and CFS'!DU140,'BS and CFS'!DS140)</f>
        <v>4.9333872417949749</v>
      </c>
      <c r="DV262" s="437">
        <f ca="1">Retail!DV17*4/AVERAGE('BS and CFS'!DV140,'BS and CFS'!DT140)</f>
        <v>4.9141697809385541</v>
      </c>
      <c r="DW262" s="437">
        <f ca="1">Retail!DW17*4/AVERAGE('BS and CFS'!DW140,'BS and CFS'!DU140)</f>
        <v>4.8111334244970907</v>
      </c>
      <c r="DX262" s="437">
        <f ca="1">Retail!DX17*4/AVERAGE('BS and CFS'!DX140,'BS and CFS'!DV140)</f>
        <v>4.8919695024502703</v>
      </c>
      <c r="DY262" s="436">
        <f ca="1">Retail!DY17/AVERAGE('BS and CFS'!DY140,'BS and CFS'!DT140)</f>
        <v>4.8896711279212584</v>
      </c>
      <c r="DZ262" s="1848"/>
      <c r="EA262" s="1848"/>
      <c r="EB262" s="1848"/>
    </row>
    <row r="263" spans="1:132" x14ac:dyDescent="0.2">
      <c r="A263" s="1842"/>
      <c r="B263" s="1849" t="s">
        <v>472</v>
      </c>
      <c r="C263" s="1850"/>
      <c r="D263" s="1850"/>
      <c r="E263" s="1850"/>
      <c r="F263" s="1850"/>
      <c r="G263" s="1850"/>
      <c r="H263" s="1850"/>
      <c r="I263" s="2104"/>
      <c r="J263" s="1850"/>
      <c r="K263" s="1850"/>
      <c r="L263" s="1850"/>
      <c r="M263" s="1850"/>
      <c r="N263" s="2104">
        <f>365/N262</f>
        <v>95.510419839895036</v>
      </c>
      <c r="O263" s="1850"/>
      <c r="P263" s="1850"/>
      <c r="Q263" s="1850"/>
      <c r="R263" s="1850"/>
      <c r="S263" s="2104">
        <f>365/S262</f>
        <v>99.444519220415643</v>
      </c>
      <c r="T263" s="1850"/>
      <c r="U263" s="1850"/>
      <c r="V263" s="1850"/>
      <c r="W263" s="1850"/>
      <c r="X263" s="2104">
        <f>365/X262</f>
        <v>91.487829476690166</v>
      </c>
      <c r="Y263" s="1850"/>
      <c r="Z263" s="1850"/>
      <c r="AA263" s="1850"/>
      <c r="AB263" s="1850"/>
      <c r="AC263" s="2104">
        <f>365/AC262</f>
        <v>86.790921376088235</v>
      </c>
      <c r="AD263" s="1850"/>
      <c r="AE263" s="1850"/>
      <c r="AF263" s="1850"/>
      <c r="AG263" s="1850"/>
      <c r="AH263" s="2104">
        <f>365/AH262</f>
        <v>82.439487867362715</v>
      </c>
      <c r="AI263" s="1850"/>
      <c r="AJ263" s="1850"/>
      <c r="AK263" s="1850"/>
      <c r="AL263" s="1850"/>
      <c r="AM263" s="2104">
        <f>365/AM262</f>
        <v>79.926308612189231</v>
      </c>
      <c r="AN263" s="1850"/>
      <c r="AO263" s="1850"/>
      <c r="AP263" s="1850"/>
      <c r="AQ263" s="1850"/>
      <c r="AR263" s="2104">
        <f>365/AR262</f>
        <v>74.299011406844102</v>
      </c>
      <c r="AS263" s="1850"/>
      <c r="AT263" s="1850"/>
      <c r="AU263" s="1850"/>
      <c r="AV263" s="1850"/>
      <c r="AW263" s="2104">
        <f>365/AW262</f>
        <v>76.600644414996168</v>
      </c>
      <c r="AX263" s="1850"/>
      <c r="AY263" s="1850"/>
      <c r="AZ263" s="1850"/>
      <c r="BA263" s="1850"/>
      <c r="BB263" s="2104">
        <f>365/BB262</f>
        <v>74.66288751139605</v>
      </c>
      <c r="BC263" s="1850"/>
      <c r="BD263" s="1850"/>
      <c r="BE263" s="1850"/>
      <c r="BF263" s="1850"/>
      <c r="BG263" s="2104">
        <f>365/BG262</f>
        <v>72.983046647048553</v>
      </c>
      <c r="BH263" s="1850"/>
      <c r="BI263" s="1850"/>
      <c r="BJ263" s="1850"/>
      <c r="BK263" s="1850"/>
      <c r="BL263" s="2104">
        <f t="shared" ref="BL263:DJ263" si="300">365/BL262</f>
        <v>61.190616925243688</v>
      </c>
      <c r="BM263" s="2013">
        <f t="shared" si="300"/>
        <v>61.616628748227193</v>
      </c>
      <c r="BN263" s="2013">
        <f t="shared" si="300"/>
        <v>62.055085465728752</v>
      </c>
      <c r="BO263" s="2013">
        <f t="shared" si="300"/>
        <v>64.570324683763644</v>
      </c>
      <c r="BP263" s="2013">
        <f t="shared" si="300"/>
        <v>56.584697972020386</v>
      </c>
      <c r="BQ263" s="2104">
        <f t="shared" si="300"/>
        <v>63.928401568486564</v>
      </c>
      <c r="BR263" s="2013">
        <f t="shared" si="300"/>
        <v>61.540288881150488</v>
      </c>
      <c r="BS263" s="2013">
        <f t="shared" si="300"/>
        <v>61.351954563244703</v>
      </c>
      <c r="BT263" s="2013">
        <f t="shared" si="300"/>
        <v>63.810412593529044</v>
      </c>
      <c r="BU263" s="2013">
        <f t="shared" si="300"/>
        <v>62.317342615012109</v>
      </c>
      <c r="BV263" s="2104">
        <f t="shared" si="300"/>
        <v>64.275079035317489</v>
      </c>
      <c r="BW263" s="2013">
        <f t="shared" si="300"/>
        <v>67.298343826012314</v>
      </c>
      <c r="BX263" s="2013">
        <f t="shared" si="300"/>
        <v>33.121881769268398</v>
      </c>
      <c r="BY263" s="2013">
        <f t="shared" si="300"/>
        <v>67.217847305600671</v>
      </c>
      <c r="BZ263" s="2013">
        <f t="shared" si="300"/>
        <v>64.573907498154</v>
      </c>
      <c r="CA263" s="2104">
        <f t="shared" si="300"/>
        <v>66.953265323916639</v>
      </c>
      <c r="CB263" s="2013">
        <f t="shared" si="300"/>
        <v>65.295639953383144</v>
      </c>
      <c r="CC263" s="2013">
        <f t="shared" si="300"/>
        <v>64.027637258869561</v>
      </c>
      <c r="CD263" s="2013">
        <f t="shared" si="300"/>
        <v>63.843326754236713</v>
      </c>
      <c r="CE263" s="2013">
        <f t="shared" si="300"/>
        <v>59.361061984031188</v>
      </c>
      <c r="CF263" s="2104">
        <f t="shared" si="300"/>
        <v>63.511997744917252</v>
      </c>
      <c r="CG263" s="2013">
        <f t="shared" si="300"/>
        <v>59.004423052920615</v>
      </c>
      <c r="CH263" s="2013">
        <f t="shared" si="300"/>
        <v>58.950287138710081</v>
      </c>
      <c r="CI263" s="2013">
        <f t="shared" si="300"/>
        <v>62.281587213539822</v>
      </c>
      <c r="CJ263" s="2013">
        <f t="shared" si="300"/>
        <v>59.376957923832926</v>
      </c>
      <c r="CK263" s="2104">
        <f t="shared" si="300"/>
        <v>59.649330206004663</v>
      </c>
      <c r="CL263" s="2013">
        <f t="shared" si="300"/>
        <v>60.690260731418604</v>
      </c>
      <c r="CM263" s="2013">
        <f t="shared" si="300"/>
        <v>60.317892437807863</v>
      </c>
      <c r="CN263" s="2013">
        <f t="shared" si="300"/>
        <v>60.006793478260867</v>
      </c>
      <c r="CO263" s="2013">
        <f t="shared" si="300"/>
        <v>57.384212133550484</v>
      </c>
      <c r="CP263" s="2104">
        <f t="shared" si="300"/>
        <v>60.597564968439002</v>
      </c>
      <c r="CQ263" s="2013">
        <f t="shared" si="300"/>
        <v>61.552969392832438</v>
      </c>
      <c r="CR263" s="2013">
        <f t="shared" si="300"/>
        <v>60.594435388263186</v>
      </c>
      <c r="CS263" s="2013">
        <f t="shared" si="300"/>
        <v>62.109055494193854</v>
      </c>
      <c r="CT263" s="2013">
        <f t="shared" si="300"/>
        <v>60.041035710249751</v>
      </c>
      <c r="CU263" s="2104">
        <f t="shared" si="300"/>
        <v>61.845198850101696</v>
      </c>
      <c r="CV263" s="2013">
        <f t="shared" si="300"/>
        <v>65.032070757722352</v>
      </c>
      <c r="CW263" s="2013">
        <f t="shared" si="300"/>
        <v>64.33823316185385</v>
      </c>
      <c r="CX263" s="2013">
        <f t="shared" si="300"/>
        <v>64.987079435208173</v>
      </c>
      <c r="CY263" s="2013">
        <f t="shared" si="300"/>
        <v>60.485136543694374</v>
      </c>
      <c r="CZ263" s="2104">
        <f t="shared" si="300"/>
        <v>65.721225416169545</v>
      </c>
      <c r="DA263" s="2013">
        <f>365/DA262</f>
        <v>63.321928450676211</v>
      </c>
      <c r="DB263" s="2013">
        <f>365/DB262</f>
        <v>64.285241040667643</v>
      </c>
      <c r="DC263" s="2013">
        <f>365/DC262</f>
        <v>64.011403635063814</v>
      </c>
      <c r="DD263" s="2013">
        <f>365/DD262</f>
        <v>63.329270076844104</v>
      </c>
      <c r="DE263" s="2104">
        <f t="shared" si="300"/>
        <v>64.720477479876905</v>
      </c>
      <c r="DF263" s="2013">
        <f t="shared" si="300"/>
        <v>68.567836922520101</v>
      </c>
      <c r="DG263" s="2013">
        <f t="shared" si="300"/>
        <v>67.73612972016528</v>
      </c>
      <c r="DH263" s="2013">
        <f t="shared" si="300"/>
        <v>66.255230329597993</v>
      </c>
      <c r="DI263" s="2013">
        <f t="shared" si="300"/>
        <v>64.516014449030692</v>
      </c>
      <c r="DJ263" s="2104">
        <f t="shared" si="300"/>
        <v>69.085295047216903</v>
      </c>
      <c r="DK263" s="2013">
        <f t="shared" ref="DK263:DT263" ca="1" si="301">365/DK262</f>
        <v>69.609177263481769</v>
      </c>
      <c r="DL263" s="2013">
        <f t="shared" ca="1" si="301"/>
        <v>69.809035451059628</v>
      </c>
      <c r="DM263" s="2013">
        <f t="shared" ca="1" si="301"/>
        <v>72.178214673570338</v>
      </c>
      <c r="DN263" s="2013">
        <f t="shared" ca="1" si="301"/>
        <v>70.888185227379751</v>
      </c>
      <c r="DO263" s="2104">
        <f t="shared" ca="1" si="301"/>
        <v>70.271575932476765</v>
      </c>
      <c r="DP263" s="2013">
        <f t="shared" ca="1" si="301"/>
        <v>72.189649208312403</v>
      </c>
      <c r="DQ263" s="2013">
        <f t="shared" ca="1" si="301"/>
        <v>72.467815939457424</v>
      </c>
      <c r="DR263" s="2013">
        <f t="shared" ca="1" si="301"/>
        <v>74.847167127688792</v>
      </c>
      <c r="DS263" s="2013">
        <f t="shared" ca="1" si="301"/>
        <v>73.595726675460227</v>
      </c>
      <c r="DT263" s="2104">
        <f t="shared" ca="1" si="301"/>
        <v>72.901188651200997</v>
      </c>
      <c r="DU263" s="2013">
        <f t="shared" ref="DU263:DY263" ca="1" si="302">365/DU262</f>
        <v>73.985678016063773</v>
      </c>
      <c r="DV263" s="2013">
        <f t="shared" ca="1" si="302"/>
        <v>74.275008042210715</v>
      </c>
      <c r="DW263" s="2013">
        <f t="shared" ca="1" si="302"/>
        <v>75.865698951833494</v>
      </c>
      <c r="DX263" s="2013">
        <f t="shared" ca="1" si="302"/>
        <v>74.612075937345935</v>
      </c>
      <c r="DY263" s="2104">
        <f t="shared" ca="1" si="302"/>
        <v>74.647147108883814</v>
      </c>
      <c r="DZ263" s="1848"/>
      <c r="EA263" s="1848"/>
      <c r="EB263" s="1848"/>
    </row>
    <row r="264" spans="1:132" x14ac:dyDescent="0.2">
      <c r="A264" s="1842"/>
      <c r="B264" s="1849"/>
      <c r="C264" s="1850"/>
      <c r="D264" s="1850"/>
      <c r="E264" s="1850"/>
      <c r="F264" s="1850"/>
      <c r="G264" s="1850"/>
      <c r="H264" s="1850"/>
      <c r="I264" s="1851"/>
      <c r="J264" s="1850"/>
      <c r="K264" s="1850"/>
      <c r="L264" s="1850"/>
      <c r="M264" s="1850"/>
      <c r="N264" s="1851"/>
      <c r="O264" s="1850"/>
      <c r="P264" s="1850"/>
      <c r="Q264" s="1850"/>
      <c r="R264" s="1850"/>
      <c r="S264" s="1851"/>
      <c r="T264" s="1850"/>
      <c r="U264" s="1850"/>
      <c r="V264" s="1850"/>
      <c r="W264" s="1850"/>
      <c r="X264" s="1851"/>
      <c r="Y264" s="1850"/>
      <c r="Z264" s="1850"/>
      <c r="AA264" s="1850"/>
      <c r="AB264" s="1850"/>
      <c r="AC264" s="1851"/>
      <c r="AD264" s="1850"/>
      <c r="AE264" s="1850"/>
      <c r="AF264" s="1850"/>
      <c r="AG264" s="1850"/>
      <c r="AH264" s="1851"/>
      <c r="AI264" s="1850"/>
      <c r="AJ264" s="1850"/>
      <c r="AK264" s="1850"/>
      <c r="AL264" s="1850"/>
      <c r="AM264" s="1851"/>
      <c r="AN264" s="1850"/>
      <c r="AO264" s="1850"/>
      <c r="AP264" s="1850"/>
      <c r="AQ264" s="1850"/>
      <c r="AR264" s="1851"/>
      <c r="AS264" s="1850"/>
      <c r="AT264" s="1850"/>
      <c r="AU264" s="1850"/>
      <c r="AV264" s="1850"/>
      <c r="AW264" s="1851"/>
      <c r="AX264" s="1850"/>
      <c r="AY264" s="1850"/>
      <c r="AZ264" s="1850"/>
      <c r="BA264" s="1850"/>
      <c r="BB264" s="1851"/>
      <c r="BC264" s="1850"/>
      <c r="BD264" s="1850"/>
      <c r="BE264" s="1850"/>
      <c r="BF264" s="1850"/>
      <c r="BG264" s="1851"/>
      <c r="BH264" s="1850"/>
      <c r="BI264" s="1850"/>
      <c r="BJ264" s="1850"/>
      <c r="BK264" s="1850"/>
      <c r="BL264" s="1851"/>
      <c r="BM264" s="1850"/>
      <c r="BN264" s="1850"/>
      <c r="BO264" s="1850"/>
      <c r="BP264" s="1850"/>
      <c r="BQ264" s="1851"/>
      <c r="BR264" s="1850"/>
      <c r="BS264" s="1850"/>
      <c r="BT264" s="1850"/>
      <c r="BU264" s="1850"/>
      <c r="BV264" s="1851"/>
      <c r="BW264" s="1850"/>
      <c r="BX264" s="1850"/>
      <c r="BY264" s="1850"/>
      <c r="BZ264" s="1850"/>
      <c r="CA264" s="1851"/>
      <c r="CB264" s="1850"/>
      <c r="CC264" s="1850"/>
      <c r="CD264" s="1850"/>
      <c r="CE264" s="1850"/>
      <c r="CF264" s="1851"/>
      <c r="CG264" s="1850"/>
      <c r="CH264" s="1850"/>
      <c r="CI264" s="1850"/>
      <c r="CJ264" s="1850"/>
      <c r="CK264" s="1851"/>
      <c r="CL264" s="1850"/>
      <c r="CM264" s="1850"/>
      <c r="CN264" s="1850"/>
      <c r="CO264" s="1850"/>
      <c r="CP264" s="1851"/>
      <c r="CQ264" s="1850"/>
      <c r="CR264" s="1850"/>
      <c r="CS264" s="1850"/>
      <c r="CT264" s="1850"/>
      <c r="CU264" s="1851"/>
      <c r="CV264" s="1850"/>
      <c r="CW264" s="1850"/>
      <c r="CX264" s="1850"/>
      <c r="CY264" s="1850"/>
      <c r="CZ264" s="1851"/>
      <c r="DA264" s="1850"/>
      <c r="DB264" s="1850"/>
      <c r="DC264" s="1850"/>
      <c r="DD264" s="1850"/>
      <c r="DE264" s="1851"/>
      <c r="DF264" s="1850"/>
      <c r="DG264" s="1850"/>
      <c r="DH264" s="1850"/>
      <c r="DI264" s="1850"/>
      <c r="DJ264" s="1851"/>
      <c r="DK264" s="1850"/>
      <c r="DL264" s="1850"/>
      <c r="DM264" s="1850"/>
      <c r="DN264" s="1850"/>
      <c r="DO264" s="1851"/>
      <c r="DP264" s="1850"/>
      <c r="DQ264" s="1850"/>
      <c r="DR264" s="1850"/>
      <c r="DS264" s="1850"/>
      <c r="DT264" s="1851"/>
      <c r="DU264" s="1850"/>
      <c r="DV264" s="1850"/>
      <c r="DW264" s="1850"/>
      <c r="DX264" s="1850"/>
      <c r="DY264" s="1851"/>
      <c r="DZ264" s="1848"/>
      <c r="EA264" s="1848"/>
      <c r="EB264" s="1848"/>
    </row>
    <row r="265" spans="1:132" x14ac:dyDescent="0.2">
      <c r="A265" s="1853"/>
      <c r="B265" s="439" t="s">
        <v>473</v>
      </c>
      <c r="C265" s="238"/>
      <c r="D265" s="238"/>
      <c r="E265" s="1884"/>
      <c r="F265" s="1884"/>
      <c r="G265" s="1884"/>
      <c r="H265" s="1884"/>
      <c r="I265" s="239"/>
      <c r="J265" s="1884"/>
      <c r="K265" s="1884"/>
      <c r="L265" s="1884"/>
      <c r="M265" s="1884"/>
      <c r="N265" s="239"/>
      <c r="O265" s="1884"/>
      <c r="P265" s="1884"/>
      <c r="Q265" s="1884"/>
      <c r="R265" s="1884"/>
      <c r="S265" s="239"/>
      <c r="T265" s="1884"/>
      <c r="U265" s="1884"/>
      <c r="V265" s="1884"/>
      <c r="W265" s="1884"/>
      <c r="X265" s="239"/>
      <c r="Y265" s="1884"/>
      <c r="Z265" s="1884"/>
      <c r="AA265" s="1884"/>
      <c r="AB265" s="1884"/>
      <c r="AC265" s="239"/>
      <c r="AD265" s="1884"/>
      <c r="AE265" s="1884"/>
      <c r="AF265" s="1884"/>
      <c r="AG265" s="1884"/>
      <c r="AH265" s="239"/>
      <c r="AI265" s="1884"/>
      <c r="AJ265" s="1884"/>
      <c r="AK265" s="1884"/>
      <c r="AL265" s="1884"/>
      <c r="AM265" s="239">
        <v>0</v>
      </c>
      <c r="AN265" s="1884"/>
      <c r="AO265" s="1884"/>
      <c r="AP265" s="1884"/>
      <c r="AQ265" s="1884"/>
      <c r="AR265" s="239">
        <v>0</v>
      </c>
      <c r="AS265" s="1884"/>
      <c r="AT265" s="1884"/>
      <c r="AU265" s="1884"/>
      <c r="AV265" s="1884"/>
      <c r="AW265" s="239">
        <v>0</v>
      </c>
      <c r="AX265" s="1884"/>
      <c r="AY265" s="1884"/>
      <c r="AZ265" s="1884"/>
      <c r="BA265" s="1884"/>
      <c r="BB265" s="239">
        <v>0</v>
      </c>
      <c r="BC265" s="1884"/>
      <c r="BD265" s="1884"/>
      <c r="BE265" s="1884"/>
      <c r="BF265" s="1884"/>
      <c r="BG265" s="239">
        <v>0</v>
      </c>
      <c r="BH265" s="1884"/>
      <c r="BI265" s="1884"/>
      <c r="BJ265" s="1884"/>
      <c r="BK265" s="1884"/>
      <c r="BL265" s="239">
        <v>0</v>
      </c>
      <c r="BM265" s="238">
        <v>0</v>
      </c>
      <c r="BN265" s="238">
        <v>0</v>
      </c>
      <c r="BO265" s="238">
        <v>0</v>
      </c>
      <c r="BP265" s="238">
        <v>0</v>
      </c>
      <c r="BQ265" s="239">
        <v>0</v>
      </c>
      <c r="BR265" s="238">
        <v>0</v>
      </c>
      <c r="BS265" s="238">
        <v>0</v>
      </c>
      <c r="BT265" s="238">
        <v>0</v>
      </c>
      <c r="BU265" s="238">
        <v>0</v>
      </c>
      <c r="BV265" s="239">
        <v>0</v>
      </c>
      <c r="BW265" s="238">
        <v>0</v>
      </c>
      <c r="BX265" s="238">
        <v>0</v>
      </c>
      <c r="BY265" s="238">
        <v>0</v>
      </c>
      <c r="BZ265" s="238">
        <v>0</v>
      </c>
      <c r="CA265" s="239">
        <v>0</v>
      </c>
      <c r="CB265" s="238">
        <v>0</v>
      </c>
      <c r="CC265" s="238">
        <v>0</v>
      </c>
      <c r="CD265" s="238">
        <v>0</v>
      </c>
      <c r="CE265" s="238">
        <v>1</v>
      </c>
      <c r="CF265" s="239">
        <v>0</v>
      </c>
      <c r="CG265" s="238">
        <v>0</v>
      </c>
      <c r="CH265" s="238">
        <v>0</v>
      </c>
      <c r="CI265" s="238">
        <v>0</v>
      </c>
      <c r="CJ265" s="238">
        <v>0</v>
      </c>
      <c r="CK265" s="239">
        <v>0</v>
      </c>
      <c r="CL265" s="238">
        <v>0</v>
      </c>
      <c r="CM265" s="238">
        <v>0</v>
      </c>
      <c r="CN265" s="238">
        <v>0</v>
      </c>
      <c r="CO265" s="238">
        <v>0</v>
      </c>
      <c r="CP265" s="239">
        <v>0</v>
      </c>
      <c r="CQ265" s="238">
        <v>0</v>
      </c>
      <c r="CR265" s="238">
        <v>0</v>
      </c>
      <c r="CS265" s="238">
        <v>0</v>
      </c>
      <c r="CT265" s="238">
        <v>0</v>
      </c>
      <c r="CU265" s="239">
        <v>0</v>
      </c>
      <c r="CV265" s="238">
        <v>0</v>
      </c>
      <c r="CW265" s="238">
        <v>0</v>
      </c>
      <c r="CX265" s="238">
        <v>0</v>
      </c>
      <c r="CY265" s="238">
        <v>0</v>
      </c>
      <c r="CZ265" s="239">
        <v>0</v>
      </c>
      <c r="DA265" s="238">
        <v>0</v>
      </c>
      <c r="DB265" s="238">
        <v>0</v>
      </c>
      <c r="DC265" s="238">
        <v>0</v>
      </c>
      <c r="DD265" s="238">
        <v>0</v>
      </c>
      <c r="DE265" s="239">
        <v>0</v>
      </c>
      <c r="DF265" s="238">
        <v>0</v>
      </c>
      <c r="DG265" s="238">
        <v>0</v>
      </c>
      <c r="DH265" s="238">
        <v>0</v>
      </c>
      <c r="DI265" s="238">
        <v>0</v>
      </c>
      <c r="DJ265" s="239">
        <v>0</v>
      </c>
      <c r="DK265" s="238">
        <v>0</v>
      </c>
      <c r="DL265" s="238">
        <v>0</v>
      </c>
      <c r="DM265" s="238">
        <v>0</v>
      </c>
      <c r="DN265" s="238">
        <v>0</v>
      </c>
      <c r="DO265" s="239">
        <v>0</v>
      </c>
      <c r="DP265" s="238">
        <v>0</v>
      </c>
      <c r="DQ265" s="238">
        <v>0</v>
      </c>
      <c r="DR265" s="238">
        <v>0</v>
      </c>
      <c r="DS265" s="238">
        <v>0</v>
      </c>
      <c r="DT265" s="239">
        <v>0</v>
      </c>
      <c r="DU265" s="238">
        <v>0</v>
      </c>
      <c r="DV265" s="238">
        <v>0</v>
      </c>
      <c r="DW265" s="238">
        <v>0</v>
      </c>
      <c r="DX265" s="238">
        <v>0</v>
      </c>
      <c r="DY265" s="239">
        <v>0</v>
      </c>
      <c r="DZ265" s="1858"/>
      <c r="EA265" s="1858"/>
      <c r="EB265" s="1858"/>
    </row>
    <row r="266" spans="1:132" x14ac:dyDescent="0.2">
      <c r="A266" s="1842"/>
      <c r="B266" s="1849" t="s">
        <v>474</v>
      </c>
      <c r="C266" s="1850"/>
      <c r="D266" s="1850"/>
      <c r="E266" s="1850"/>
      <c r="F266" s="1850"/>
      <c r="G266" s="1850"/>
      <c r="H266" s="1850"/>
      <c r="I266" s="1851"/>
      <c r="J266" s="1850"/>
      <c r="K266" s="1850"/>
      <c r="L266" s="1850"/>
      <c r="M266" s="1850"/>
      <c r="N266" s="1851"/>
      <c r="O266" s="1850"/>
      <c r="P266" s="1850"/>
      <c r="Q266" s="1850"/>
      <c r="R266" s="1850"/>
      <c r="S266" s="1851"/>
      <c r="T266" s="1850"/>
      <c r="U266" s="1850"/>
      <c r="V266" s="1850"/>
      <c r="W266" s="1850"/>
      <c r="X266" s="1851"/>
      <c r="Y266" s="1850"/>
      <c r="Z266" s="1850"/>
      <c r="AA266" s="1850"/>
      <c r="AB266" s="1850"/>
      <c r="AC266" s="1851"/>
      <c r="AD266" s="1850"/>
      <c r="AE266" s="1850"/>
      <c r="AF266" s="1850"/>
      <c r="AG266" s="1850"/>
      <c r="AH266" s="1851"/>
      <c r="AI266" s="1850"/>
      <c r="AJ266" s="1850"/>
      <c r="AK266" s="1850"/>
      <c r="AL266" s="1850"/>
      <c r="AM266" s="1851"/>
      <c r="AN266" s="1850"/>
      <c r="AO266" s="1850"/>
      <c r="AP266" s="1850"/>
      <c r="AQ266" s="1850"/>
      <c r="AR266" s="1851"/>
      <c r="AS266" s="1850"/>
      <c r="AT266" s="1850"/>
      <c r="AU266" s="1850"/>
      <c r="AV266" s="1850"/>
      <c r="AW266" s="1851"/>
      <c r="AX266" s="1850"/>
      <c r="AY266" s="1850"/>
      <c r="AZ266" s="1850"/>
      <c r="BA266" s="1850"/>
      <c r="BB266" s="1851"/>
      <c r="BC266" s="1850"/>
      <c r="BD266" s="1850"/>
      <c r="BE266" s="1850"/>
      <c r="BF266" s="1850"/>
      <c r="BG266" s="1851"/>
      <c r="BH266" s="1850"/>
      <c r="BI266" s="1850"/>
      <c r="BJ266" s="1850"/>
      <c r="BK266" s="1850"/>
      <c r="BL266" s="1851"/>
      <c r="BM266" s="1850"/>
      <c r="BN266" s="1850"/>
      <c r="BO266" s="1850"/>
      <c r="BP266" s="1850"/>
      <c r="BQ266" s="1851"/>
      <c r="BR266" s="1850"/>
      <c r="BS266" s="1850"/>
      <c r="BT266" s="1850"/>
      <c r="BU266" s="1850"/>
      <c r="BV266" s="1851"/>
      <c r="BW266" s="1850"/>
      <c r="BX266" s="1850"/>
      <c r="BY266" s="1850"/>
      <c r="BZ266" s="1850"/>
      <c r="CA266" s="1851"/>
      <c r="CB266" s="1850"/>
      <c r="CC266" s="1850"/>
      <c r="CD266" s="1850"/>
      <c r="CE266" s="1850"/>
      <c r="CF266" s="1851"/>
      <c r="CG266" s="1850"/>
      <c r="CH266" s="1850"/>
      <c r="CI266" s="1850"/>
      <c r="CJ266" s="1850"/>
      <c r="CK266" s="1851"/>
      <c r="CL266" s="1850"/>
      <c r="CM266" s="1850"/>
      <c r="CN266" s="1850"/>
      <c r="CO266" s="1850"/>
      <c r="CP266" s="1851"/>
      <c r="CQ266" s="1850"/>
      <c r="CR266" s="1850"/>
      <c r="CS266" s="1850"/>
      <c r="CT266" s="1850"/>
      <c r="CU266" s="1851"/>
      <c r="CV266" s="1850"/>
      <c r="CW266" s="1850"/>
      <c r="CX266" s="1850"/>
      <c r="CY266" s="1850"/>
      <c r="CZ266" s="1851"/>
      <c r="DA266" s="1850"/>
      <c r="DB266" s="1850"/>
      <c r="DC266" s="1850"/>
      <c r="DD266" s="1850"/>
      <c r="DE266" s="1851"/>
      <c r="DF266" s="1850"/>
      <c r="DG266" s="1850"/>
      <c r="DH266" s="1850"/>
      <c r="DI266" s="1850"/>
      <c r="DJ266" s="1851"/>
      <c r="DK266" s="1850"/>
      <c r="DL266" s="1850"/>
      <c r="DM266" s="1850"/>
      <c r="DN266" s="1850"/>
      <c r="DO266" s="1851"/>
      <c r="DP266" s="1850"/>
      <c r="DQ266" s="1850"/>
      <c r="DR266" s="1850"/>
      <c r="DS266" s="1850"/>
      <c r="DT266" s="1851"/>
      <c r="DU266" s="1850"/>
      <c r="DV266" s="1850"/>
      <c r="DW266" s="1850"/>
      <c r="DX266" s="1850"/>
      <c r="DY266" s="1851"/>
      <c r="DZ266" s="1848"/>
      <c r="EA266" s="1848"/>
      <c r="EB266" s="1848"/>
    </row>
    <row r="267" spans="1:132" x14ac:dyDescent="0.2">
      <c r="A267" s="1842"/>
      <c r="B267" s="1849" t="s">
        <v>475</v>
      </c>
      <c r="C267" s="1850"/>
      <c r="D267" s="1850"/>
      <c r="E267" s="1850"/>
      <c r="F267" s="1850"/>
      <c r="G267" s="1850"/>
      <c r="H267" s="1850"/>
      <c r="I267" s="1851"/>
      <c r="J267" s="1850"/>
      <c r="K267" s="1850"/>
      <c r="L267" s="1850"/>
      <c r="M267" s="1850"/>
      <c r="N267" s="1851"/>
      <c r="O267" s="1850"/>
      <c r="P267" s="1850"/>
      <c r="Q267" s="1850"/>
      <c r="R267" s="1850"/>
      <c r="S267" s="1851"/>
      <c r="T267" s="1850"/>
      <c r="U267" s="1850"/>
      <c r="V267" s="1850"/>
      <c r="W267" s="1850"/>
      <c r="X267" s="1851"/>
      <c r="Y267" s="1850"/>
      <c r="Z267" s="1850"/>
      <c r="AA267" s="1850"/>
      <c r="AB267" s="1850"/>
      <c r="AC267" s="1851"/>
      <c r="AD267" s="1850"/>
      <c r="AE267" s="1850"/>
      <c r="AF267" s="1850"/>
      <c r="AG267" s="1850"/>
      <c r="AH267" s="1851"/>
      <c r="AI267" s="1850"/>
      <c r="AJ267" s="1850"/>
      <c r="AK267" s="1850"/>
      <c r="AL267" s="1850"/>
      <c r="AM267" s="1851"/>
      <c r="AN267" s="1850"/>
      <c r="AO267" s="1850"/>
      <c r="AP267" s="1850"/>
      <c r="AQ267" s="1850"/>
      <c r="AR267" s="1851"/>
      <c r="AS267" s="1850"/>
      <c r="AT267" s="1850"/>
      <c r="AU267" s="1850"/>
      <c r="AV267" s="1850"/>
      <c r="AW267" s="1851"/>
      <c r="AX267" s="1850"/>
      <c r="AY267" s="1850"/>
      <c r="AZ267" s="1850"/>
      <c r="BA267" s="1850"/>
      <c r="BB267" s="1851"/>
      <c r="BC267" s="1850"/>
      <c r="BD267" s="1850"/>
      <c r="BE267" s="1850"/>
      <c r="BF267" s="1850"/>
      <c r="BG267" s="1851"/>
      <c r="BH267" s="1850"/>
      <c r="BI267" s="1850"/>
      <c r="BJ267" s="1850"/>
      <c r="BK267" s="1850"/>
      <c r="BL267" s="1851"/>
      <c r="BM267" s="1850"/>
      <c r="BN267" s="1850"/>
      <c r="BO267" s="1850"/>
      <c r="BP267" s="1850"/>
      <c r="BQ267" s="1851"/>
      <c r="BR267" s="1850"/>
      <c r="BS267" s="1850"/>
      <c r="BT267" s="1850"/>
      <c r="BU267" s="1850"/>
      <c r="BV267" s="1851"/>
      <c r="BW267" s="1850"/>
      <c r="BX267" s="1850"/>
      <c r="BY267" s="1850"/>
      <c r="BZ267" s="1850"/>
      <c r="CA267" s="1851"/>
      <c r="CB267" s="1850"/>
      <c r="CC267" s="1850"/>
      <c r="CD267" s="1850"/>
      <c r="CE267" s="1850"/>
      <c r="CF267" s="1851"/>
      <c r="CG267" s="1850"/>
      <c r="CH267" s="1850"/>
      <c r="CI267" s="1850"/>
      <c r="CJ267" s="1850"/>
      <c r="CK267" s="1851"/>
      <c r="CL267" s="1850"/>
      <c r="CM267" s="1850"/>
      <c r="CN267" s="1850"/>
      <c r="CO267" s="1850"/>
      <c r="CP267" s="1851"/>
      <c r="CQ267" s="1850"/>
      <c r="CR267" s="1850"/>
      <c r="CS267" s="1850"/>
      <c r="CT267" s="1850"/>
      <c r="CU267" s="1851"/>
      <c r="CV267" s="1850"/>
      <c r="CW267" s="1850"/>
      <c r="CX267" s="1850"/>
      <c r="CY267" s="1850"/>
      <c r="CZ267" s="1851"/>
      <c r="DA267" s="1850"/>
      <c r="DB267" s="1850"/>
      <c r="DC267" s="1850"/>
      <c r="DD267" s="1850"/>
      <c r="DE267" s="1851"/>
      <c r="DF267" s="1850"/>
      <c r="DG267" s="1850"/>
      <c r="DH267" s="1850"/>
      <c r="DI267" s="1850"/>
      <c r="DJ267" s="1851"/>
      <c r="DK267" s="1850"/>
      <c r="DL267" s="1850"/>
      <c r="DM267" s="1850"/>
      <c r="DN267" s="1850"/>
      <c r="DO267" s="1851"/>
      <c r="DP267" s="1850"/>
      <c r="DQ267" s="1850"/>
      <c r="DR267" s="1850"/>
      <c r="DS267" s="1850"/>
      <c r="DT267" s="1851"/>
      <c r="DU267" s="1850"/>
      <c r="DV267" s="1850"/>
      <c r="DW267" s="1850"/>
      <c r="DX267" s="1850"/>
      <c r="DY267" s="1851"/>
      <c r="DZ267" s="1848"/>
      <c r="EA267" s="1848"/>
      <c r="EB267" s="1848"/>
    </row>
    <row r="268" spans="1:132" x14ac:dyDescent="0.2">
      <c r="A268" s="1842"/>
      <c r="B268" s="1849"/>
      <c r="C268" s="1850"/>
      <c r="D268" s="1850"/>
      <c r="E268" s="1850"/>
      <c r="F268" s="1850"/>
      <c r="G268" s="1850"/>
      <c r="H268" s="1850"/>
      <c r="I268" s="1851"/>
      <c r="J268" s="1850"/>
      <c r="K268" s="1850"/>
      <c r="L268" s="1850"/>
      <c r="M268" s="1850"/>
      <c r="N268" s="1851"/>
      <c r="O268" s="1850"/>
      <c r="P268" s="1850"/>
      <c r="Q268" s="1850"/>
      <c r="R268" s="1850"/>
      <c r="S268" s="1851"/>
      <c r="T268" s="1850"/>
      <c r="U268" s="1850"/>
      <c r="V268" s="1850"/>
      <c r="W268" s="1850"/>
      <c r="X268" s="1851"/>
      <c r="Y268" s="1850"/>
      <c r="Z268" s="1850"/>
      <c r="AA268" s="1850"/>
      <c r="AB268" s="1850"/>
      <c r="AC268" s="1851"/>
      <c r="AD268" s="1850"/>
      <c r="AE268" s="1850"/>
      <c r="AF268" s="1850"/>
      <c r="AG268" s="1850"/>
      <c r="AH268" s="1851"/>
      <c r="AI268" s="1850"/>
      <c r="AJ268" s="1850"/>
      <c r="AK268" s="1850"/>
      <c r="AL268" s="1850"/>
      <c r="AM268" s="1851"/>
      <c r="AN268" s="1850"/>
      <c r="AO268" s="1850"/>
      <c r="AP268" s="1850"/>
      <c r="AQ268" s="1850"/>
      <c r="AR268" s="1851"/>
      <c r="AS268" s="1850"/>
      <c r="AT268" s="1850"/>
      <c r="AU268" s="1850"/>
      <c r="AV268" s="1850"/>
      <c r="AW268" s="1851"/>
      <c r="AX268" s="1850"/>
      <c r="AY268" s="1850"/>
      <c r="AZ268" s="1850"/>
      <c r="BA268" s="1850"/>
      <c r="BB268" s="1851"/>
      <c r="BC268" s="1850"/>
      <c r="BD268" s="1850"/>
      <c r="BE268" s="1850"/>
      <c r="BF268" s="1850"/>
      <c r="BG268" s="1851"/>
      <c r="BH268" s="1850"/>
      <c r="BI268" s="1850"/>
      <c r="BJ268" s="1850"/>
      <c r="BK268" s="1850"/>
      <c r="BL268" s="1851"/>
      <c r="BM268" s="1850"/>
      <c r="BN268" s="1850"/>
      <c r="BO268" s="1850"/>
      <c r="BP268" s="1850"/>
      <c r="BQ268" s="1851"/>
      <c r="BR268" s="1850"/>
      <c r="BS268" s="1850"/>
      <c r="BT268" s="1850"/>
      <c r="BU268" s="1850"/>
      <c r="BV268" s="1851"/>
      <c r="BW268" s="1850"/>
      <c r="BX268" s="1850"/>
      <c r="BY268" s="1850"/>
      <c r="BZ268" s="1850"/>
      <c r="CA268" s="1851"/>
      <c r="CB268" s="1850"/>
      <c r="CC268" s="1850"/>
      <c r="CD268" s="1850"/>
      <c r="CE268" s="1850"/>
      <c r="CF268" s="1851"/>
      <c r="CG268" s="1850"/>
      <c r="CH268" s="1850"/>
      <c r="CI268" s="1850"/>
      <c r="CJ268" s="1850"/>
      <c r="CK268" s="1851"/>
      <c r="CL268" s="1850"/>
      <c r="CM268" s="1850"/>
      <c r="CN268" s="1850"/>
      <c r="CO268" s="1850"/>
      <c r="CP268" s="1851"/>
      <c r="CQ268" s="1850"/>
      <c r="CR268" s="1850"/>
      <c r="CS268" s="1850"/>
      <c r="CT268" s="1850"/>
      <c r="CU268" s="1851"/>
      <c r="CV268" s="1850"/>
      <c r="CW268" s="1850"/>
      <c r="CX268" s="1850"/>
      <c r="CY268" s="1850"/>
      <c r="CZ268" s="1851"/>
      <c r="DA268" s="1850"/>
      <c r="DB268" s="1850"/>
      <c r="DC268" s="1850"/>
      <c r="DD268" s="1850"/>
      <c r="DE268" s="1851"/>
      <c r="DF268" s="1850"/>
      <c r="DG268" s="1850"/>
      <c r="DH268" s="1850"/>
      <c r="DI268" s="1850"/>
      <c r="DJ268" s="1851"/>
      <c r="DK268" s="1850"/>
      <c r="DL268" s="1850"/>
      <c r="DM268" s="1850"/>
      <c r="DN268" s="1850"/>
      <c r="DO268" s="1851"/>
      <c r="DP268" s="1850"/>
      <c r="DQ268" s="1850"/>
      <c r="DR268" s="1850"/>
      <c r="DS268" s="1850"/>
      <c r="DT268" s="1851"/>
      <c r="DU268" s="1850"/>
      <c r="DV268" s="1850"/>
      <c r="DW268" s="1850"/>
      <c r="DX268" s="1850"/>
      <c r="DY268" s="1851"/>
      <c r="DZ268" s="1848"/>
      <c r="EA268" s="1848"/>
      <c r="EB268" s="1848"/>
    </row>
    <row r="269" spans="1:132" x14ac:dyDescent="0.2">
      <c r="A269" s="1842"/>
      <c r="B269" s="2100" t="s">
        <v>476</v>
      </c>
      <c r="C269" s="1850"/>
      <c r="D269" s="1850"/>
      <c r="E269" s="1850"/>
      <c r="F269" s="1850"/>
      <c r="G269" s="1850"/>
      <c r="H269" s="1850"/>
      <c r="I269" s="1851"/>
      <c r="J269" s="1850"/>
      <c r="K269" s="1850"/>
      <c r="L269" s="1850"/>
      <c r="M269" s="1850"/>
      <c r="N269" s="1851"/>
      <c r="O269" s="1850"/>
      <c r="P269" s="1850"/>
      <c r="Q269" s="1850"/>
      <c r="R269" s="1850"/>
      <c r="S269" s="1851"/>
      <c r="T269" s="1850"/>
      <c r="U269" s="1850"/>
      <c r="V269" s="1850"/>
      <c r="W269" s="1850"/>
      <c r="X269" s="1851"/>
      <c r="Y269" s="1850"/>
      <c r="Z269" s="1850"/>
      <c r="AA269" s="1850"/>
      <c r="AB269" s="1850"/>
      <c r="AC269" s="1851"/>
      <c r="AD269" s="1850"/>
      <c r="AE269" s="1850"/>
      <c r="AF269" s="1850"/>
      <c r="AG269" s="1850"/>
      <c r="AH269" s="1851"/>
      <c r="AI269" s="1850"/>
      <c r="AJ269" s="1850"/>
      <c r="AK269" s="1850"/>
      <c r="AL269" s="1850"/>
      <c r="AM269" s="1851"/>
      <c r="AN269" s="1850"/>
      <c r="AO269" s="1850"/>
      <c r="AP269" s="1850"/>
      <c r="AQ269" s="1850"/>
      <c r="AR269" s="1851"/>
      <c r="AS269" s="1850"/>
      <c r="AT269" s="1850"/>
      <c r="AU269" s="1850"/>
      <c r="AV269" s="1850"/>
      <c r="AW269" s="1851"/>
      <c r="AX269" s="1850"/>
      <c r="AY269" s="1850"/>
      <c r="AZ269" s="1850"/>
      <c r="BA269" s="1850"/>
      <c r="BB269" s="1851"/>
      <c r="BC269" s="1850"/>
      <c r="BD269" s="1850"/>
      <c r="BE269" s="1850"/>
      <c r="BF269" s="1850"/>
      <c r="BG269" s="1851"/>
      <c r="BH269" s="1850"/>
      <c r="BI269" s="1850"/>
      <c r="BJ269" s="1850"/>
      <c r="BK269" s="1850"/>
      <c r="BL269" s="1851"/>
      <c r="BM269" s="1850"/>
      <c r="BN269" s="1850"/>
      <c r="BO269" s="1850"/>
      <c r="BP269" s="1850"/>
      <c r="BQ269" s="1851"/>
      <c r="BR269" s="1850"/>
      <c r="BS269" s="1850"/>
      <c r="BT269" s="1850"/>
      <c r="BU269" s="1850"/>
      <c r="BV269" s="1851"/>
      <c r="BW269" s="1850"/>
      <c r="BX269" s="1850"/>
      <c r="BY269" s="1850"/>
      <c r="BZ269" s="1850"/>
      <c r="CA269" s="1851"/>
      <c r="CB269" s="1850"/>
      <c r="CC269" s="1850"/>
      <c r="CD269" s="1850"/>
      <c r="CE269" s="1850"/>
      <c r="CF269" s="1851"/>
      <c r="CG269" s="1850"/>
      <c r="CH269" s="1850"/>
      <c r="CI269" s="1850"/>
      <c r="CJ269" s="1850"/>
      <c r="CK269" s="1851"/>
      <c r="CL269" s="1850"/>
      <c r="CM269" s="1850"/>
      <c r="CN269" s="1850"/>
      <c r="CO269" s="1850"/>
      <c r="CP269" s="1851"/>
      <c r="CQ269" s="1850"/>
      <c r="CR269" s="1850"/>
      <c r="CS269" s="1850"/>
      <c r="CT269" s="1850"/>
      <c r="CU269" s="1851"/>
      <c r="CV269" s="1850"/>
      <c r="CW269" s="1850"/>
      <c r="CX269" s="1850"/>
      <c r="CY269" s="1850"/>
      <c r="CZ269" s="1851"/>
      <c r="DA269" s="1850"/>
      <c r="DB269" s="1850"/>
      <c r="DC269" s="1850"/>
      <c r="DD269" s="1850"/>
      <c r="DE269" s="1851"/>
      <c r="DF269" s="1850"/>
      <c r="DG269" s="1850"/>
      <c r="DH269" s="1850"/>
      <c r="DI269" s="1850"/>
      <c r="DJ269" s="1851"/>
      <c r="DK269" s="1850"/>
      <c r="DL269" s="1850"/>
      <c r="DM269" s="1850"/>
      <c r="DN269" s="1850"/>
      <c r="DO269" s="1851"/>
      <c r="DP269" s="1850"/>
      <c r="DQ269" s="1850"/>
      <c r="DR269" s="1850"/>
      <c r="DS269" s="1850"/>
      <c r="DT269" s="1851"/>
      <c r="DU269" s="1850"/>
      <c r="DV269" s="1850"/>
      <c r="DW269" s="1850"/>
      <c r="DX269" s="1850"/>
      <c r="DY269" s="1851"/>
      <c r="DZ269" s="1848"/>
      <c r="EA269" s="1848"/>
      <c r="EB269" s="1848"/>
    </row>
    <row r="270" spans="1:132" x14ac:dyDescent="0.2">
      <c r="A270" s="1842"/>
      <c r="B270" s="1849" t="s">
        <v>477</v>
      </c>
      <c r="C270" s="1850"/>
      <c r="D270" s="1850"/>
      <c r="E270" s="1850"/>
      <c r="F270" s="1850"/>
      <c r="G270" s="1850"/>
      <c r="H270" s="1850"/>
      <c r="I270" s="2101"/>
      <c r="J270" s="1850"/>
      <c r="K270" s="1850"/>
      <c r="L270" s="1850"/>
      <c r="M270" s="1850"/>
      <c r="N270" s="2101">
        <f>'BS and CFS'!N139/'BS and CFS'!I139-1</f>
        <v>0.28999144568006852</v>
      </c>
      <c r="O270" s="1850"/>
      <c r="P270" s="1850"/>
      <c r="Q270" s="1850"/>
      <c r="R270" s="1850"/>
      <c r="S270" s="2101">
        <f>'BS and CFS'!S139/'BS and CFS'!N139-1</f>
        <v>0.43744473916887716</v>
      </c>
      <c r="T270" s="1850"/>
      <c r="U270" s="1850"/>
      <c r="V270" s="1850"/>
      <c r="W270" s="1850"/>
      <c r="X270" s="2101">
        <f>'BS and CFS'!X139/'BS and CFS'!S139-1</f>
        <v>7.5349838536060254E-2</v>
      </c>
      <c r="Y270" s="1850"/>
      <c r="Z270" s="1850"/>
      <c r="AA270" s="1850"/>
      <c r="AB270" s="1850"/>
      <c r="AC270" s="2101">
        <f>'BS and CFS'!AC139/'BS and CFS'!X139-1</f>
        <v>0.17903617903617919</v>
      </c>
      <c r="AD270" s="1850"/>
      <c r="AE270" s="1850"/>
      <c r="AF270" s="1850"/>
      <c r="AG270" s="1850"/>
      <c r="AH270" s="2101">
        <f>'BS and CFS'!AH139/'BS and CFS'!AC139-1</f>
        <v>0.1718617343844755</v>
      </c>
      <c r="AI270" s="1850"/>
      <c r="AJ270" s="1850"/>
      <c r="AK270" s="1850"/>
      <c r="AL270" s="1850"/>
      <c r="AM270" s="2101">
        <f>'BS and CFS'!AM139/'BS and CFS'!AH139-1</f>
        <v>5.4957565721382551E-2</v>
      </c>
      <c r="AN270" s="1850"/>
      <c r="AO270" s="1850"/>
      <c r="AP270" s="1850"/>
      <c r="AQ270" s="1850"/>
      <c r="AR270" s="2101">
        <f>'BS and CFS'!AR139/'BS and CFS'!AM139-1</f>
        <v>0.32404591386245452</v>
      </c>
      <c r="AS270" s="1850"/>
      <c r="AT270" s="1850"/>
      <c r="AU270" s="1850"/>
      <c r="AV270" s="1850"/>
      <c r="AW270" s="2101">
        <f>'BS and CFS'!AW139/'BS and CFS'!AR139-1</f>
        <v>0.30720213396561946</v>
      </c>
      <c r="AX270" s="1850"/>
      <c r="AY270" s="1850"/>
      <c r="AZ270" s="1850"/>
      <c r="BA270" s="1850"/>
      <c r="BB270" s="2101">
        <f>'BS and CFS'!BB139/'BS and CFS'!AW139-1</f>
        <v>4.2738918489967137E-2</v>
      </c>
      <c r="BC270" s="1850"/>
      <c r="BD270" s="1850"/>
      <c r="BE270" s="1850"/>
      <c r="BF270" s="1850"/>
      <c r="BG270" s="2101">
        <f>'BS and CFS'!BG139/'BS and CFS'!BB139-1</f>
        <v>0.29234616220917609</v>
      </c>
      <c r="BH270" s="1850"/>
      <c r="BI270" s="1850"/>
      <c r="BJ270" s="1850"/>
      <c r="BK270" s="1850"/>
      <c r="BL270" s="2101">
        <f>'BS and CFS'!BL139/'BS and CFS'!BG139-1</f>
        <v>0.9263060486245478</v>
      </c>
      <c r="BM270" s="1930">
        <f>'BS and CFS'!BM139/'BS and CFS'!BH139-1</f>
        <v>3.0788781379587293E-2</v>
      </c>
      <c r="BN270" s="1930">
        <f>'BS and CFS'!BN139/'BS and CFS'!BI139-1</f>
        <v>4.0619090972757288E-2</v>
      </c>
      <c r="BO270" s="1930">
        <f>'BS and CFS'!BO139/'BS and CFS'!BJ139-1</f>
        <v>6.3506835959139529E-2</v>
      </c>
      <c r="BP270" s="1930">
        <f>'BS and CFS'!BP139/'BS and CFS'!BK139-1</f>
        <v>0.1757140361603633</v>
      </c>
      <c r="BQ270" s="2101">
        <f>'BS and CFS'!BQ139/'BS and CFS'!BL139-1</f>
        <v>0.1757140361603633</v>
      </c>
      <c r="BR270" s="1930">
        <f>'BS and CFS'!BR139/'BS and CFS'!BM139-1</f>
        <v>0.15890559100248725</v>
      </c>
      <c r="BS270" s="1930">
        <f>'BS and CFS'!BS139/'BS and CFS'!BN139-1</f>
        <v>0.23826188393117542</v>
      </c>
      <c r="BT270" s="1930">
        <f>'BS and CFS'!BT139/'BS and CFS'!BO139-1</f>
        <v>0.18614439004062922</v>
      </c>
      <c r="BU270" s="1930">
        <f>'BS and CFS'!BU139/'BS and CFS'!BP139-1</f>
        <v>1.3502219415708616E-2</v>
      </c>
      <c r="BV270" s="2101">
        <f>'BS and CFS'!BV139/'BS and CFS'!BQ139-1</f>
        <v>1.3502219415708616E-2</v>
      </c>
      <c r="BW270" s="1930">
        <f>'BS and CFS'!BW139/'BS and CFS'!BR139-1</f>
        <v>-3.9042962188794661E-2</v>
      </c>
      <c r="BX270" s="1930">
        <f>'BS and CFS'!BX139/'BS and CFS'!BS139-1</f>
        <v>-7.5872314214283199E-2</v>
      </c>
      <c r="BY270" s="1930">
        <f>'BS and CFS'!BY139/'BS and CFS'!BT139-1</f>
        <v>-0.10221503978640056</v>
      </c>
      <c r="BZ270" s="1930">
        <f>'BS and CFS'!BZ139/'BS and CFS'!BU139-1</f>
        <v>-9.7489463074949656E-2</v>
      </c>
      <c r="CA270" s="2101">
        <f>'BS and CFS'!CA139/'BS and CFS'!BV139-1</f>
        <v>-9.7489463074949656E-2</v>
      </c>
      <c r="CB270" s="1930">
        <f>'BS and CFS'!CB139/'BS and CFS'!BW139-1</f>
        <v>3.8648281219654246E-2</v>
      </c>
      <c r="CC270" s="1930">
        <f>'BS and CFS'!CC139/'BS and CFS'!BX139-1</f>
        <v>0.15506763379729471</v>
      </c>
      <c r="CD270" s="1930">
        <f>'BS and CFS'!CD139/'BS and CFS'!BY139-1</f>
        <v>0.15456857757777342</v>
      </c>
      <c r="CE270" s="1930">
        <f>'BS and CFS'!CE139/'BS and CFS'!BZ139-1</f>
        <v>0.22781725888324877</v>
      </c>
      <c r="CF270" s="2101">
        <f>'BS and CFS'!CF139/'BS and CFS'!CA139-1</f>
        <v>0.22781725888324877</v>
      </c>
      <c r="CG270" s="1930">
        <f>'BS and CFS'!CG139/'BS and CFS'!CB139-1</f>
        <v>0.14229618548990275</v>
      </c>
      <c r="CH270" s="1930">
        <f>'BS and CFS'!CH139/'BS and CFS'!CC139-1</f>
        <v>3.9375424304141315E-2</v>
      </c>
      <c r="CI270" s="1930">
        <f>'BS and CFS'!CI139/'BS and CFS'!CD139-1</f>
        <v>8.5748178274868581E-2</v>
      </c>
      <c r="CJ270" s="1930">
        <f>'BS and CFS'!CJ139/'BS and CFS'!CE139-1</f>
        <v>7.0448156110467952E-2</v>
      </c>
      <c r="CK270" s="2101">
        <f>'BS and CFS'!CK139/'BS and CFS'!CF139-1</f>
        <v>7.0448156110467952E-2</v>
      </c>
      <c r="CL270" s="1930">
        <f>'BS and CFS'!CL139/'BS and CFS'!CG139-1</f>
        <v>8.6102471762972588E-2</v>
      </c>
      <c r="CM270" s="1930">
        <f>'BS and CFS'!CM139/'BS and CFS'!CH139-1</f>
        <v>0.15822991508817763</v>
      </c>
      <c r="CN270" s="1930">
        <f>'BS and CFS'!CN139/'BS and CFS'!CI139-1</f>
        <v>0.25409708131730913</v>
      </c>
      <c r="CO270" s="1930">
        <f>'BS and CFS'!CO139/'BS and CFS'!CJ139-1</f>
        <v>0.3485246408156959</v>
      </c>
      <c r="CP270" s="2101">
        <f>'BS and CFS'!CP139/'BS and CFS'!CK139-1</f>
        <v>0.3485246408156959</v>
      </c>
      <c r="CQ270" s="1930">
        <f>'BS and CFS'!CQ139/'BS and CFS'!CL139-1</f>
        <v>0.36940467219291628</v>
      </c>
      <c r="CR270" s="1930">
        <f>'BS and CFS'!CR139/'BS and CFS'!CM139-1</f>
        <v>0.34400112787255033</v>
      </c>
      <c r="CS270" s="1930">
        <f>'BS and CFS'!CS139/'BS and CFS'!CN139-1</f>
        <v>0.3476042314872434</v>
      </c>
      <c r="CT270" s="1930">
        <f>'BS and CFS'!CT139/'BS and CFS'!CO139-1</f>
        <v>0.10974911215488592</v>
      </c>
      <c r="CU270" s="2101">
        <f>'BS and CFS'!CU139/'BS and CFS'!CP139-1</f>
        <v>0.10974911215488592</v>
      </c>
      <c r="CV270" s="1930">
        <f>'BS and CFS'!CV139/'BS and CFS'!CQ139-1</f>
        <v>0.11842394893242347</v>
      </c>
      <c r="CW270" s="1930">
        <f>'BS and CFS'!CW139/'BS and CFS'!CR139-1</f>
        <v>0.14255743207804472</v>
      </c>
      <c r="CX270" s="1930">
        <f>'BS and CFS'!CX139/'BS and CFS'!CS139-1</f>
        <v>0.1824898411525675</v>
      </c>
      <c r="CY270" s="1930">
        <f>'BS and CFS'!CY139/'BS and CFS'!CT139-1</f>
        <v>0.22721172705688031</v>
      </c>
      <c r="CZ270" s="2101">
        <f>'BS and CFS'!CZ139/'BS and CFS'!CU139-1</f>
        <v>0.22721172705688031</v>
      </c>
      <c r="DA270" s="1930">
        <f>'BS and CFS'!DA139/'BS and CFS'!CV139-1</f>
        <v>0.28173587876402273</v>
      </c>
      <c r="DB270" s="1930">
        <f>'BS and CFS'!DB139/'BS and CFS'!CW139-1</f>
        <v>0.21033786265148735</v>
      </c>
      <c r="DC270" s="1930">
        <f>'BS and CFS'!DC139/'BS and CFS'!CX139-1</f>
        <v>6.412058731646364E-2</v>
      </c>
      <c r="DD270" s="1930">
        <f>'BS and CFS'!DD139/'BS and CFS'!CY139-1</f>
        <v>2.3216689098250365E-2</v>
      </c>
      <c r="DE270" s="2101">
        <f>'BS and CFS'!DE139/'BS and CFS'!CZ139-1</f>
        <v>2.3216689098250365E-2</v>
      </c>
      <c r="DF270" s="1930">
        <f>'BS and CFS'!DF139/'BS and CFS'!DA139-1</f>
        <v>-6.9942418426103603E-2</v>
      </c>
      <c r="DG270" s="1930">
        <f>'BS and CFS'!DG139/'BS and CFS'!DB139-1</f>
        <v>-6.8952438746870959E-2</v>
      </c>
      <c r="DH270" s="1930">
        <f>'BS and CFS'!DH139/'BS and CFS'!DC139-1</f>
        <v>-8.6972477064220177E-2</v>
      </c>
      <c r="DI270" s="1930">
        <f>'BS and CFS'!DI139/'BS and CFS'!DD139-1</f>
        <v>8.3607365998026983E-2</v>
      </c>
      <c r="DJ270" s="2101">
        <f>'BS and CFS'!DJ139/'BS and CFS'!DE139-1</f>
        <v>8.3607365998026983E-2</v>
      </c>
      <c r="DK270" s="1930">
        <f ca="1">'BS and CFS'!DK139/'BS and CFS'!DF139-1</f>
        <v>3.0082876588878982E-2</v>
      </c>
      <c r="DL270" s="1930">
        <f ca="1">'BS and CFS'!DL139/'BS and CFS'!DG139-1</f>
        <v>5.3984865924190162E-2</v>
      </c>
      <c r="DM270" s="1930">
        <f ca="1">'BS and CFS'!DM139/'BS and CFS'!DH139-1</f>
        <v>3.4794128246975031E-2</v>
      </c>
      <c r="DN270" s="1930">
        <f ca="1">'BS and CFS'!DN139/'BS and CFS'!DI139-1</f>
        <v>1.4376357561543207E-2</v>
      </c>
      <c r="DO270" s="2101">
        <f ca="1">'BS and CFS'!DO139/'BS and CFS'!DJ139-1</f>
        <v>1.4376357561543207E-2</v>
      </c>
      <c r="DP270" s="1930">
        <f ca="1">'BS and CFS'!DP139/'BS and CFS'!DK139-1</f>
        <v>3.773347062958754E-2</v>
      </c>
      <c r="DQ270" s="1930">
        <f ca="1">'BS and CFS'!DQ139/'BS and CFS'!DL139-1</f>
        <v>3.7342056444116256E-2</v>
      </c>
      <c r="DR270" s="1930">
        <f ca="1">'BS and CFS'!DR139/'BS and CFS'!DM139-1</f>
        <v>3.6852225819468787E-2</v>
      </c>
      <c r="DS270" s="1930">
        <f ca="1">'BS and CFS'!DS139/'BS and CFS'!DN139-1</f>
        <v>3.5287362525894483E-2</v>
      </c>
      <c r="DT270" s="2101">
        <f ca="1">'BS and CFS'!DT139/'BS and CFS'!DO139-1</f>
        <v>3.5287362525894483E-2</v>
      </c>
      <c r="DU270" s="1930">
        <f ca="1">'BS and CFS'!DU139/'BS and CFS'!DP139-1</f>
        <v>1.5370842090772996E-2</v>
      </c>
      <c r="DV270" s="1930">
        <f ca="1">'BS and CFS'!DV139/'BS and CFS'!DQ139-1</f>
        <v>1.3959948235780839E-2</v>
      </c>
      <c r="DW270" s="1930">
        <f ca="1">'BS and CFS'!DW139/'BS and CFS'!DR139-1</f>
        <v>1.312405931855265E-2</v>
      </c>
      <c r="DX270" s="1930">
        <f ca="1">'BS and CFS'!DX139/'BS and CFS'!DS139-1</f>
        <v>1.1689489924064045E-2</v>
      </c>
      <c r="DY270" s="2101">
        <f ca="1">'BS and CFS'!DY139/'BS and CFS'!DT139-1</f>
        <v>1.1689489924064045E-2</v>
      </c>
      <c r="DZ270" s="1848"/>
      <c r="EA270" s="1848"/>
      <c r="EB270" s="1848"/>
    </row>
    <row r="271" spans="1:132" x14ac:dyDescent="0.2">
      <c r="A271" s="1842"/>
      <c r="B271" s="1849" t="s">
        <v>468</v>
      </c>
      <c r="C271" s="1850"/>
      <c r="D271" s="1850"/>
      <c r="E271" s="1850"/>
      <c r="F271" s="1850"/>
      <c r="G271" s="1850"/>
      <c r="H271" s="1850"/>
      <c r="I271" s="2101"/>
      <c r="J271" s="1850"/>
      <c r="K271" s="1850"/>
      <c r="L271" s="1850"/>
      <c r="M271" s="1850"/>
      <c r="N271" s="2101">
        <f>Retail!N18</f>
        <v>0.16004181433415776</v>
      </c>
      <c r="O271" s="1850"/>
      <c r="P271" s="1850"/>
      <c r="Q271" s="1850"/>
      <c r="R271" s="1850"/>
      <c r="S271" s="2101">
        <f>Retail!S18</f>
        <v>0.10489105748238026</v>
      </c>
      <c r="T271" s="1850"/>
      <c r="U271" s="1850"/>
      <c r="V271" s="1850"/>
      <c r="W271" s="1850"/>
      <c r="X271" s="2101">
        <f>Retail!X18</f>
        <v>0.1688139459323259</v>
      </c>
      <c r="Y271" s="1850"/>
      <c r="Z271" s="1850"/>
      <c r="AA271" s="1850"/>
      <c r="AB271" s="1850"/>
      <c r="AC271" s="2101">
        <f>Retail!AC18</f>
        <v>9.9568843251829575E-2</v>
      </c>
      <c r="AD271" s="1850"/>
      <c r="AE271" s="1850"/>
      <c r="AF271" s="1850"/>
      <c r="AG271" s="1850"/>
      <c r="AH271" s="2101">
        <f>Retail!AH18</f>
        <v>0.10043287363082443</v>
      </c>
      <c r="AI271" s="1850"/>
      <c r="AJ271" s="1850"/>
      <c r="AK271" s="1850"/>
      <c r="AL271" s="1850"/>
      <c r="AM271" s="2101">
        <f>Retail!AM18</f>
        <v>8.1181694149198069E-2</v>
      </c>
      <c r="AN271" s="1850"/>
      <c r="AO271" s="1850"/>
      <c r="AP271" s="1850"/>
      <c r="AQ271" s="1850"/>
      <c r="AR271" s="2101">
        <f>Retail!AR18</f>
        <v>9.6291445867772163E-2</v>
      </c>
      <c r="AS271" s="1850"/>
      <c r="AT271" s="1850"/>
      <c r="AU271" s="1850"/>
      <c r="AV271" s="1850"/>
      <c r="AW271" s="2101">
        <f>Retail!AW18</f>
        <v>0.13638862847943289</v>
      </c>
      <c r="AX271" s="1850"/>
      <c r="AY271" s="1850"/>
      <c r="AZ271" s="1850"/>
      <c r="BA271" s="1850"/>
      <c r="BB271" s="2101">
        <f>Retail!BB18</f>
        <v>0.18677837841600908</v>
      </c>
      <c r="BC271" s="1850"/>
      <c r="BD271" s="1850"/>
      <c r="BE271" s="1850"/>
      <c r="BF271" s="1850"/>
      <c r="BG271" s="2101">
        <f>Retail!BG18</f>
        <v>0.18158300727974508</v>
      </c>
      <c r="BH271" s="1850"/>
      <c r="BI271" s="1850"/>
      <c r="BJ271" s="1850"/>
      <c r="BK271" s="1850"/>
      <c r="BL271" s="2101">
        <f>Retail!BL18</f>
        <v>0.11917161467124737</v>
      </c>
      <c r="BM271" s="1930">
        <f>BM256</f>
        <v>5.3954018079578558E-2</v>
      </c>
      <c r="BN271" s="1930">
        <f>BN256</f>
        <v>4.6321235232939406E-2</v>
      </c>
      <c r="BO271" s="1930">
        <f>BO256</f>
        <v>5.3188674252447665E-2</v>
      </c>
      <c r="BP271" s="1930">
        <f>BP256</f>
        <v>0.18842634360097943</v>
      </c>
      <c r="BQ271" s="2101">
        <f>Retail!BQ18</f>
        <v>8.6575804287314373E-2</v>
      </c>
      <c r="BR271" s="1930">
        <f>BR256</f>
        <v>0.13940197204025107</v>
      </c>
      <c r="BS271" s="1930">
        <f>BS256</f>
        <v>0.17215482380127112</v>
      </c>
      <c r="BT271" s="1930">
        <f>BT256</f>
        <v>0.17877317622595723</v>
      </c>
      <c r="BU271" s="1930">
        <f>BU256</f>
        <v>4.5078263384303874E-2</v>
      </c>
      <c r="BV271" s="2101">
        <f>Retail!BV18</f>
        <v>0.12992678082625186</v>
      </c>
      <c r="BW271" s="1930">
        <f>BW256</f>
        <v>3.5645222236217133E-2</v>
      </c>
      <c r="BX271" s="1930">
        <f>BX256</f>
        <v>3.7239439886353809E-2</v>
      </c>
      <c r="BY271" s="1930">
        <f>BY256</f>
        <v>4.0689726138151139E-2</v>
      </c>
      <c r="BZ271" s="1930">
        <f>BZ256</f>
        <v>3.0577654790729936E-2</v>
      </c>
      <c r="CA271" s="2101">
        <f>Retail!CA18</f>
        <v>3.5949778701110935E-2</v>
      </c>
      <c r="CB271" s="1930">
        <f>CB256</f>
        <v>4.3568464730290524E-2</v>
      </c>
      <c r="CC271" s="1930">
        <f>CC256</f>
        <v>3.5986304241492517E-2</v>
      </c>
      <c r="CD271" s="1930">
        <f>CD256</f>
        <v>3.7714527862137137E-2</v>
      </c>
      <c r="CE271" s="1930">
        <f>CE256</f>
        <v>3.99879170302746E-2</v>
      </c>
      <c r="CF271" s="2101">
        <f>Retail!CF18</f>
        <v>3.9300723689946748E-2</v>
      </c>
      <c r="CG271" s="1930">
        <f>CG256</f>
        <v>9.8512374031672012E-2</v>
      </c>
      <c r="CH271" s="1930">
        <f>CH256</f>
        <v>6.8798057466612716E-2</v>
      </c>
      <c r="CI271" s="1930">
        <f>CI256</f>
        <v>5.518954604233306E-2</v>
      </c>
      <c r="CJ271" s="1930">
        <f>CJ256</f>
        <v>5.0817481781742391E-2</v>
      </c>
      <c r="CK271" s="2101">
        <f>Retail!CK18</f>
        <v>6.8041752588563043E-2</v>
      </c>
      <c r="CL271" s="1930">
        <f>CL256</f>
        <v>1.6849725411882677E-3</v>
      </c>
      <c r="CM271" s="1930">
        <f>CM256</f>
        <v>1.8522024485674526E-2</v>
      </c>
      <c r="CN271" s="1930">
        <f>CN256</f>
        <v>5.0316372009623356E-2</v>
      </c>
      <c r="CO271" s="1930">
        <f>CO256</f>
        <v>5.6019656019655972E-2</v>
      </c>
      <c r="CP271" s="2101">
        <f>Retail!CP18</f>
        <v>3.1617858450150083E-2</v>
      </c>
      <c r="CQ271" s="1930">
        <f>CQ256</f>
        <v>2.6714846427013939E-2</v>
      </c>
      <c r="CR271" s="1930">
        <f>CR256</f>
        <v>4.5261625205241796E-2</v>
      </c>
      <c r="CS271" s="1930">
        <f>CS256</f>
        <v>2.8586342422009414E-2</v>
      </c>
      <c r="CT271" s="1930">
        <f>CT256</f>
        <v>2.943229409027448E-2</v>
      </c>
      <c r="CU271" s="2101">
        <f>Retail!CU18</f>
        <v>3.2448813321861225E-2</v>
      </c>
      <c r="CV271" s="1930">
        <f>CV256</f>
        <v>2.8580443937426425E-2</v>
      </c>
      <c r="CW271" s="1930">
        <f>CW256</f>
        <v>2.2056905749851641E-2</v>
      </c>
      <c r="CX271" s="1930">
        <f>CX256</f>
        <v>6.9388573793844444E-2</v>
      </c>
      <c r="CY271" s="1930">
        <f>CY256</f>
        <v>0.12457162124533827</v>
      </c>
      <c r="CZ271" s="2101">
        <f>Retail!CZ18</f>
        <v>6.2096757091506527E-2</v>
      </c>
      <c r="DA271" s="1930">
        <f>DA256</f>
        <v>0.18649267291219296</v>
      </c>
      <c r="DB271" s="1930">
        <f>DB256</f>
        <v>0.15987611717830208</v>
      </c>
      <c r="DC271" s="1930">
        <f>DC256</f>
        <v>0.12455395659333934</v>
      </c>
      <c r="DD271" s="1930">
        <f>DD256</f>
        <v>4.7467576757042274E-2</v>
      </c>
      <c r="DE271" s="2101">
        <f>Retail!EB18</f>
        <v>0</v>
      </c>
      <c r="DF271" s="1930">
        <f>DF256</f>
        <v>0</v>
      </c>
      <c r="DG271" s="1930">
        <f>DG256</f>
        <v>0</v>
      </c>
      <c r="DH271" s="1930">
        <f>DH256</f>
        <v>0</v>
      </c>
      <c r="DI271" s="1930">
        <f>DI256</f>
        <v>0</v>
      </c>
      <c r="DJ271" s="2101">
        <f>Retail!EG18</f>
        <v>0</v>
      </c>
      <c r="DK271" s="1930">
        <f>DK256</f>
        <v>0</v>
      </c>
      <c r="DL271" s="1930">
        <f>DL256</f>
        <v>0</v>
      </c>
      <c r="DM271" s="1930">
        <f>DM256</f>
        <v>0</v>
      </c>
      <c r="DN271" s="1930">
        <f>DN256</f>
        <v>0</v>
      </c>
      <c r="DO271" s="2101">
        <f>Retail!EL18</f>
        <v>0</v>
      </c>
      <c r="DP271" s="1930">
        <f>DP256</f>
        <v>0</v>
      </c>
      <c r="DQ271" s="1930">
        <f>DQ256</f>
        <v>0</v>
      </c>
      <c r="DR271" s="1930">
        <f>DR256</f>
        <v>0</v>
      </c>
      <c r="DS271" s="1930">
        <f>DS256</f>
        <v>0</v>
      </c>
      <c r="DT271" s="2101">
        <f>Retail!EQ18</f>
        <v>0</v>
      </c>
      <c r="DU271" s="1930">
        <f>DU256</f>
        <v>0</v>
      </c>
      <c r="DV271" s="1930">
        <f>DV256</f>
        <v>0</v>
      </c>
      <c r="DW271" s="1930">
        <f>DW256</f>
        <v>0</v>
      </c>
      <c r="DX271" s="1930">
        <f>DX256</f>
        <v>0</v>
      </c>
      <c r="DY271" s="2101">
        <f>Retail!EV18</f>
        <v>0</v>
      </c>
      <c r="DZ271" s="1848"/>
      <c r="EA271" s="1848"/>
      <c r="EB271" s="1848"/>
    </row>
    <row r="272" spans="1:132" x14ac:dyDescent="0.2">
      <c r="A272" s="1842"/>
      <c r="B272" s="1849" t="s">
        <v>469</v>
      </c>
      <c r="C272" s="1850"/>
      <c r="D272" s="1850"/>
      <c r="E272" s="1850"/>
      <c r="F272" s="1850"/>
      <c r="G272" s="1850"/>
      <c r="H272" s="1850"/>
      <c r="I272" s="2101"/>
      <c r="J272" s="1850"/>
      <c r="K272" s="1850"/>
      <c r="L272" s="1850"/>
      <c r="M272" s="1850"/>
      <c r="N272" s="2101">
        <f>N270-N271</f>
        <v>0.12994963134591075</v>
      </c>
      <c r="O272" s="1850"/>
      <c r="P272" s="1850"/>
      <c r="Q272" s="1850"/>
      <c r="R272" s="1850"/>
      <c r="S272" s="2101">
        <f>S270-S271</f>
        <v>0.3325536816864969</v>
      </c>
      <c r="T272" s="1850"/>
      <c r="U272" s="1850"/>
      <c r="V272" s="1850"/>
      <c r="W272" s="1850"/>
      <c r="X272" s="2101">
        <f>X270-X271</f>
        <v>-9.346410739626565E-2</v>
      </c>
      <c r="Y272" s="1850"/>
      <c r="Z272" s="1850"/>
      <c r="AA272" s="1850"/>
      <c r="AB272" s="1850"/>
      <c r="AC272" s="2101">
        <f>AC270-AC271</f>
        <v>7.9467335784349613E-2</v>
      </c>
      <c r="AD272" s="1850"/>
      <c r="AE272" s="1850"/>
      <c r="AF272" s="1850"/>
      <c r="AG272" s="1850"/>
      <c r="AH272" s="2101">
        <f>AH270-AH271</f>
        <v>7.1428860753651069E-2</v>
      </c>
      <c r="AI272" s="1850"/>
      <c r="AJ272" s="1850"/>
      <c r="AK272" s="1850"/>
      <c r="AL272" s="1850"/>
      <c r="AM272" s="2101">
        <f>AM270-AM271</f>
        <v>-2.6224128427815518E-2</v>
      </c>
      <c r="AN272" s="1850"/>
      <c r="AO272" s="1850"/>
      <c r="AP272" s="1850"/>
      <c r="AQ272" s="1850"/>
      <c r="AR272" s="2101">
        <f>AR270-AR271</f>
        <v>0.22775446799468235</v>
      </c>
      <c r="AS272" s="1850"/>
      <c r="AT272" s="1850"/>
      <c r="AU272" s="1850"/>
      <c r="AV272" s="1850"/>
      <c r="AW272" s="2101">
        <f>AW270-AW271</f>
        <v>0.17081350548618657</v>
      </c>
      <c r="AX272" s="1850"/>
      <c r="AY272" s="1850"/>
      <c r="AZ272" s="1850"/>
      <c r="BA272" s="1850"/>
      <c r="BB272" s="2101">
        <f>BB270-BB271</f>
        <v>-0.14403945992604195</v>
      </c>
      <c r="BC272" s="1850"/>
      <c r="BD272" s="1850"/>
      <c r="BE272" s="1850"/>
      <c r="BF272" s="1850"/>
      <c r="BG272" s="2101">
        <f>BG270-BG271</f>
        <v>0.11076315492943101</v>
      </c>
      <c r="BH272" s="1850"/>
      <c r="BI272" s="1850"/>
      <c r="BJ272" s="1850"/>
      <c r="BK272" s="1850"/>
      <c r="BL272" s="2101">
        <f t="shared" ref="BL272:DJ272" si="303">BL270-BL271</f>
        <v>0.80713443395330042</v>
      </c>
      <c r="BM272" s="1930">
        <f t="shared" si="303"/>
        <v>-2.3165236699991265E-2</v>
      </c>
      <c r="BN272" s="1930">
        <f t="shared" si="303"/>
        <v>-5.7021442601821182E-3</v>
      </c>
      <c r="BO272" s="1930">
        <f t="shared" si="303"/>
        <v>1.0318161706691864E-2</v>
      </c>
      <c r="BP272" s="1930">
        <f t="shared" si="303"/>
        <v>-1.2712307440616133E-2</v>
      </c>
      <c r="BQ272" s="2101">
        <f t="shared" si="303"/>
        <v>8.9138231873048923E-2</v>
      </c>
      <c r="BR272" s="1930">
        <f t="shared" si="303"/>
        <v>1.950361896223618E-2</v>
      </c>
      <c r="BS272" s="1930">
        <f t="shared" si="303"/>
        <v>6.6107060129904305E-2</v>
      </c>
      <c r="BT272" s="1930">
        <f t="shared" si="303"/>
        <v>7.3712138146719841E-3</v>
      </c>
      <c r="BU272" s="1930">
        <f t="shared" si="303"/>
        <v>-3.1576043968595258E-2</v>
      </c>
      <c r="BV272" s="2101">
        <f t="shared" si="303"/>
        <v>-0.11642456141054325</v>
      </c>
      <c r="BW272" s="1930">
        <f t="shared" si="303"/>
        <v>-7.4688184425011794E-2</v>
      </c>
      <c r="BX272" s="1930">
        <f t="shared" si="303"/>
        <v>-0.11311175410063701</v>
      </c>
      <c r="BY272" s="1930">
        <f t="shared" si="303"/>
        <v>-0.1429047659245517</v>
      </c>
      <c r="BZ272" s="1930">
        <f t="shared" si="303"/>
        <v>-0.12806711786567959</v>
      </c>
      <c r="CA272" s="2101">
        <f t="shared" si="303"/>
        <v>-0.13343924177606059</v>
      </c>
      <c r="CB272" s="1930">
        <f t="shared" si="303"/>
        <v>-4.9201835106362779E-3</v>
      </c>
      <c r="CC272" s="1930">
        <f t="shared" si="303"/>
        <v>0.1190813295558022</v>
      </c>
      <c r="CD272" s="1930">
        <f t="shared" si="303"/>
        <v>0.11685404971563629</v>
      </c>
      <c r="CE272" s="1930">
        <f t="shared" si="303"/>
        <v>0.18782934185297417</v>
      </c>
      <c r="CF272" s="2101">
        <f t="shared" si="303"/>
        <v>0.18851653519330203</v>
      </c>
      <c r="CG272" s="1930">
        <f t="shared" si="303"/>
        <v>4.3783811458230737E-2</v>
      </c>
      <c r="CH272" s="1930">
        <f t="shared" si="303"/>
        <v>-2.9422633162471401E-2</v>
      </c>
      <c r="CI272" s="1930">
        <f t="shared" si="303"/>
        <v>3.0558632232535521E-2</v>
      </c>
      <c r="CJ272" s="1930">
        <f t="shared" si="303"/>
        <v>1.9630674328725561E-2</v>
      </c>
      <c r="CK272" s="2101">
        <f t="shared" si="303"/>
        <v>2.4064035219049096E-3</v>
      </c>
      <c r="CL272" s="1930">
        <f t="shared" si="303"/>
        <v>8.441749922178432E-2</v>
      </c>
      <c r="CM272" s="1930">
        <f t="shared" si="303"/>
        <v>0.1397078906025031</v>
      </c>
      <c r="CN272" s="1930">
        <f t="shared" si="303"/>
        <v>0.20378070930768577</v>
      </c>
      <c r="CO272" s="1930">
        <f t="shared" si="303"/>
        <v>0.29250498479603992</v>
      </c>
      <c r="CP272" s="2101">
        <f t="shared" si="303"/>
        <v>0.31690678236554581</v>
      </c>
      <c r="CQ272" s="1930">
        <f t="shared" si="303"/>
        <v>0.34268982576590235</v>
      </c>
      <c r="CR272" s="1930">
        <f t="shared" si="303"/>
        <v>0.29873950266730853</v>
      </c>
      <c r="CS272" s="1930">
        <f t="shared" si="303"/>
        <v>0.31901788906523398</v>
      </c>
      <c r="CT272" s="1930">
        <f t="shared" si="303"/>
        <v>8.0316818064611439E-2</v>
      </c>
      <c r="CU272" s="2101">
        <f t="shared" si="303"/>
        <v>7.7300298833024694E-2</v>
      </c>
      <c r="CV272" s="1930">
        <f t="shared" si="303"/>
        <v>8.9843504994997048E-2</v>
      </c>
      <c r="CW272" s="1930">
        <f t="shared" si="303"/>
        <v>0.12050052632819308</v>
      </c>
      <c r="CX272" s="1930">
        <f t="shared" si="303"/>
        <v>0.11310126735872306</v>
      </c>
      <c r="CY272" s="1930">
        <f t="shared" si="303"/>
        <v>0.10264010581154204</v>
      </c>
      <c r="CZ272" s="2101">
        <f t="shared" si="303"/>
        <v>0.16511496996537378</v>
      </c>
      <c r="DA272" s="1930">
        <f>DA270-DA271</f>
        <v>9.5243205851829771E-2</v>
      </c>
      <c r="DB272" s="1930">
        <f>DB270-DB271</f>
        <v>5.0461745473185271E-2</v>
      </c>
      <c r="DC272" s="1930">
        <f>DC270-DC271</f>
        <v>-6.0433369276875704E-2</v>
      </c>
      <c r="DD272" s="1930">
        <f>DD270-DD271</f>
        <v>-2.4250887658791909E-2</v>
      </c>
      <c r="DE272" s="2101">
        <f t="shared" si="303"/>
        <v>2.3216689098250365E-2</v>
      </c>
      <c r="DF272" s="1930">
        <f t="shared" si="303"/>
        <v>-6.9942418426103603E-2</v>
      </c>
      <c r="DG272" s="1930">
        <f t="shared" si="303"/>
        <v>-6.8952438746870959E-2</v>
      </c>
      <c r="DH272" s="1930">
        <f t="shared" si="303"/>
        <v>-8.6972477064220177E-2</v>
      </c>
      <c r="DI272" s="1930">
        <f t="shared" si="303"/>
        <v>8.3607365998026983E-2</v>
      </c>
      <c r="DJ272" s="2101">
        <f t="shared" si="303"/>
        <v>8.3607365998026983E-2</v>
      </c>
      <c r="DK272" s="1930">
        <f t="shared" ref="DK272:DT272" ca="1" si="304">DK270-DK271</f>
        <v>3.0082876588878982E-2</v>
      </c>
      <c r="DL272" s="1930">
        <f t="shared" ca="1" si="304"/>
        <v>5.3984865924190162E-2</v>
      </c>
      <c r="DM272" s="1930">
        <f t="shared" ca="1" si="304"/>
        <v>3.4794128246975031E-2</v>
      </c>
      <c r="DN272" s="1930">
        <f t="shared" ca="1" si="304"/>
        <v>1.4376357561543207E-2</v>
      </c>
      <c r="DO272" s="2101">
        <f t="shared" ca="1" si="304"/>
        <v>1.4376357561543207E-2</v>
      </c>
      <c r="DP272" s="1930">
        <f t="shared" ca="1" si="304"/>
        <v>3.773347062958754E-2</v>
      </c>
      <c r="DQ272" s="1930">
        <f t="shared" ca="1" si="304"/>
        <v>3.7342056444116256E-2</v>
      </c>
      <c r="DR272" s="1930">
        <f t="shared" ca="1" si="304"/>
        <v>3.6852225819468787E-2</v>
      </c>
      <c r="DS272" s="1930">
        <f t="shared" ca="1" si="304"/>
        <v>3.5287362525894483E-2</v>
      </c>
      <c r="DT272" s="2101">
        <f t="shared" ca="1" si="304"/>
        <v>3.5287362525894483E-2</v>
      </c>
      <c r="DU272" s="1930">
        <f t="shared" ref="DU272:DY272" ca="1" si="305">DU270-DU271</f>
        <v>1.5370842090772996E-2</v>
      </c>
      <c r="DV272" s="1930">
        <f t="shared" ca="1" si="305"/>
        <v>1.3959948235780839E-2</v>
      </c>
      <c r="DW272" s="1930">
        <f t="shared" ca="1" si="305"/>
        <v>1.312405931855265E-2</v>
      </c>
      <c r="DX272" s="1930">
        <f t="shared" ca="1" si="305"/>
        <v>1.1689489924064045E-2</v>
      </c>
      <c r="DY272" s="2101">
        <f t="shared" ca="1" si="305"/>
        <v>1.1689489924064045E-2</v>
      </c>
      <c r="DZ272" s="1848"/>
      <c r="EA272" s="1848"/>
      <c r="EB272" s="1848"/>
    </row>
    <row r="273" spans="1:132" ht="4.5" customHeight="1" x14ac:dyDescent="0.2">
      <c r="A273" s="1842"/>
      <c r="B273" s="1849"/>
      <c r="C273" s="1850"/>
      <c r="D273" s="1850"/>
      <c r="E273" s="1850"/>
      <c r="F273" s="1850"/>
      <c r="G273" s="1850"/>
      <c r="H273" s="1850"/>
      <c r="I273" s="1851"/>
      <c r="J273" s="1850"/>
      <c r="K273" s="1850"/>
      <c r="L273" s="1850"/>
      <c r="M273" s="1850"/>
      <c r="N273" s="1851"/>
      <c r="O273" s="1850"/>
      <c r="P273" s="1850"/>
      <c r="Q273" s="1850"/>
      <c r="R273" s="1850"/>
      <c r="S273" s="1851"/>
      <c r="T273" s="1850"/>
      <c r="U273" s="1850"/>
      <c r="V273" s="1850"/>
      <c r="W273" s="1850"/>
      <c r="X273" s="1851"/>
      <c r="Y273" s="1850"/>
      <c r="Z273" s="1850"/>
      <c r="AA273" s="1850"/>
      <c r="AB273" s="1850"/>
      <c r="AC273" s="1851"/>
      <c r="AD273" s="1850"/>
      <c r="AE273" s="1850"/>
      <c r="AF273" s="1850"/>
      <c r="AG273" s="1850"/>
      <c r="AH273" s="1851"/>
      <c r="AI273" s="1850"/>
      <c r="AJ273" s="1850"/>
      <c r="AK273" s="1850"/>
      <c r="AL273" s="1850"/>
      <c r="AM273" s="1851"/>
      <c r="AN273" s="1850"/>
      <c r="AO273" s="1850"/>
      <c r="AP273" s="1850"/>
      <c r="AQ273" s="1850"/>
      <c r="AR273" s="1851"/>
      <c r="AS273" s="1850"/>
      <c r="AT273" s="1850"/>
      <c r="AU273" s="1850"/>
      <c r="AV273" s="1850"/>
      <c r="AW273" s="1851"/>
      <c r="AX273" s="1850"/>
      <c r="AY273" s="1850"/>
      <c r="AZ273" s="1850"/>
      <c r="BA273" s="1850"/>
      <c r="BB273" s="1851"/>
      <c r="BC273" s="1850"/>
      <c r="BD273" s="1850"/>
      <c r="BE273" s="1850"/>
      <c r="BF273" s="1850"/>
      <c r="BG273" s="1851"/>
      <c r="BH273" s="1850"/>
      <c r="BI273" s="1850"/>
      <c r="BJ273" s="1850"/>
      <c r="BK273" s="1850"/>
      <c r="BL273" s="1851"/>
      <c r="BM273" s="1850"/>
      <c r="BN273" s="1850"/>
      <c r="BO273" s="1850"/>
      <c r="BP273" s="1850"/>
      <c r="BQ273" s="1851"/>
      <c r="BR273" s="1850"/>
      <c r="BS273" s="1850"/>
      <c r="BT273" s="1850"/>
      <c r="BU273" s="1850"/>
      <c r="BV273" s="1851"/>
      <c r="BW273" s="1850"/>
      <c r="BX273" s="1850"/>
      <c r="BY273" s="1850"/>
      <c r="BZ273" s="1850"/>
      <c r="CA273" s="1851"/>
      <c r="CB273" s="1850"/>
      <c r="CC273" s="1850"/>
      <c r="CD273" s="1850"/>
      <c r="CE273" s="1850"/>
      <c r="CF273" s="1851"/>
      <c r="CG273" s="1850"/>
      <c r="CH273" s="1850"/>
      <c r="CI273" s="1850"/>
      <c r="CJ273" s="1850"/>
      <c r="CK273" s="1851"/>
      <c r="CL273" s="1850"/>
      <c r="CM273" s="1850"/>
      <c r="CN273" s="1850"/>
      <c r="CO273" s="1850"/>
      <c r="CP273" s="1851"/>
      <c r="CQ273" s="1850"/>
      <c r="CR273" s="1850"/>
      <c r="CS273" s="1850"/>
      <c r="CT273" s="1850"/>
      <c r="CU273" s="1851"/>
      <c r="CV273" s="1850"/>
      <c r="CW273" s="1850"/>
      <c r="CX273" s="1850"/>
      <c r="CY273" s="1850"/>
      <c r="CZ273" s="1851"/>
      <c r="DA273" s="1850"/>
      <c r="DB273" s="1850"/>
      <c r="DC273" s="1850"/>
      <c r="DD273" s="1850"/>
      <c r="DE273" s="1851"/>
      <c r="DF273" s="1850"/>
      <c r="DG273" s="1850"/>
      <c r="DH273" s="1850"/>
      <c r="DI273" s="1850"/>
      <c r="DJ273" s="1851"/>
      <c r="DK273" s="1850"/>
      <c r="DL273" s="1850"/>
      <c r="DM273" s="1850"/>
      <c r="DN273" s="1850"/>
      <c r="DO273" s="1851"/>
      <c r="DP273" s="1850"/>
      <c r="DQ273" s="1850"/>
      <c r="DR273" s="1850"/>
      <c r="DS273" s="1850"/>
      <c r="DT273" s="1851"/>
      <c r="DU273" s="1850"/>
      <c r="DV273" s="1850"/>
      <c r="DW273" s="1850"/>
      <c r="DX273" s="1850"/>
      <c r="DY273" s="1851"/>
      <c r="DZ273" s="1848"/>
      <c r="EA273" s="1848"/>
      <c r="EB273" s="1848"/>
    </row>
    <row r="274" spans="1:132" x14ac:dyDescent="0.2">
      <c r="A274" s="1842"/>
      <c r="B274" s="1849" t="s">
        <v>478</v>
      </c>
      <c r="C274" s="1850"/>
      <c r="D274" s="1850"/>
      <c r="E274" s="1850"/>
      <c r="F274" s="1850"/>
      <c r="G274" s="1850"/>
      <c r="H274" s="1850"/>
      <c r="I274" s="436"/>
      <c r="J274" s="1850"/>
      <c r="K274" s="1850"/>
      <c r="L274" s="1850"/>
      <c r="M274" s="1850"/>
      <c r="N274" s="436">
        <f>IS!N10/AVERAGE('BS and CFS'!N139,'BS and CFS'!I139)</f>
        <v>34.241382144191263</v>
      </c>
      <c r="O274" s="1850"/>
      <c r="P274" s="1850"/>
      <c r="Q274" s="1850"/>
      <c r="R274" s="1850"/>
      <c r="S274" s="436">
        <f>IS!S10/AVERAGE('BS and CFS'!S139,'BS and CFS'!N139)</f>
        <v>27.702185544572423</v>
      </c>
      <c r="T274" s="1850"/>
      <c r="U274" s="1850"/>
      <c r="V274" s="1850"/>
      <c r="W274" s="1850"/>
      <c r="X274" s="436">
        <f>IS!X10/AVERAGE('BS and CFS'!X139,'BS and CFS'!S139)</f>
        <v>26.820243034973327</v>
      </c>
      <c r="Y274" s="1850"/>
      <c r="Z274" s="1850"/>
      <c r="AA274" s="1850"/>
      <c r="AB274" s="1850"/>
      <c r="AC274" s="436">
        <f>IS!AC10/AVERAGE('BS and CFS'!AC139,'BS and CFS'!X139)</f>
        <v>26.365008531303321</v>
      </c>
      <c r="AD274" s="1850"/>
      <c r="AE274" s="1850"/>
      <c r="AF274" s="1850"/>
      <c r="AG274" s="1850"/>
      <c r="AH274" s="436">
        <f>IS!AH10/AVERAGE('BS and CFS'!AH139,'BS and CFS'!AC139)</f>
        <v>24.841011894789748</v>
      </c>
      <c r="AI274" s="1850"/>
      <c r="AJ274" s="1850"/>
      <c r="AK274" s="1850"/>
      <c r="AL274" s="1850"/>
      <c r="AM274" s="436">
        <f>IS!AM10/AVERAGE('BS and CFS'!AM139,'BS and CFS'!AH139)</f>
        <v>24.358096197431376</v>
      </c>
      <c r="AN274" s="1850"/>
      <c r="AO274" s="1850"/>
      <c r="AP274" s="1850"/>
      <c r="AQ274" s="1850"/>
      <c r="AR274" s="436">
        <f>IS!AR10/AVERAGE('BS and CFS'!AR139,'BS and CFS'!AM139)</f>
        <v>22.447549495546461</v>
      </c>
      <c r="AS274" s="1850"/>
      <c r="AT274" s="1850"/>
      <c r="AU274" s="1850"/>
      <c r="AV274" s="1850"/>
      <c r="AW274" s="436">
        <f>IS!AW10/AVERAGE('BS and CFS'!AW139,'BS and CFS'!AR139)</f>
        <v>19.65078039694264</v>
      </c>
      <c r="AX274" s="1850"/>
      <c r="AY274" s="1850"/>
      <c r="AZ274" s="1850"/>
      <c r="BA274" s="1850"/>
      <c r="BB274" s="436">
        <f>IS!BB10/AVERAGE('BS and CFS'!BB139,'BS and CFS'!AW139)</f>
        <v>20.537599200843555</v>
      </c>
      <c r="BC274" s="1850"/>
      <c r="BD274" s="1850"/>
      <c r="BE274" s="1850"/>
      <c r="BF274" s="1850"/>
      <c r="BG274" s="436">
        <f>IS!BG10/AVERAGE('BS and CFS'!BG139,'BS and CFS'!BB139)</f>
        <v>20.709461702632204</v>
      </c>
      <c r="BH274" s="1850"/>
      <c r="BI274" s="1850"/>
      <c r="BJ274" s="1850"/>
      <c r="BK274" s="1850"/>
      <c r="BL274" s="436">
        <f>IS!BL10/AVERAGE('BS and CFS'!BL139,'BS and CFS'!BG139)</f>
        <v>21.943222653442575</v>
      </c>
      <c r="BM274" s="437">
        <f>IS!BM10/AVERAGE('BS and CFS'!BM139,'BS and CFS'!BK139)</f>
        <v>4.6345253229889929</v>
      </c>
      <c r="BN274" s="437">
        <f>IS!BN10/AVERAGE('BS and CFS'!BN139,'BS and CFS'!BL139)</f>
        <v>4.6784548482400723</v>
      </c>
      <c r="BO274" s="437">
        <f>IS!BO10/AVERAGE('BS and CFS'!BO139,'BS and CFS'!BM139)</f>
        <v>4.4281863525416529</v>
      </c>
      <c r="BP274" s="437">
        <f>IS!BP10/AVERAGE('BS and CFS'!BP139,'BS and CFS'!BN139)</f>
        <v>4.9059540743751269</v>
      </c>
      <c r="BQ274" s="436">
        <f>IS!BQ10/AVERAGE('BS and CFS'!BQ139,'BS and CFS'!BL139)</f>
        <v>17.557763526330049</v>
      </c>
      <c r="BR274" s="437">
        <f>IS!BR10/AVERAGE('BS and CFS'!BR139,'BS and CFS'!BP139)</f>
        <v>4.3553921340470101</v>
      </c>
      <c r="BS274" s="437">
        <f>IS!BS10/AVERAGE('BS and CFS'!BS139,'BS and CFS'!BQ139)</f>
        <v>4.5617886849900495</v>
      </c>
      <c r="BT274" s="437">
        <f>IS!BT10/AVERAGE('BS and CFS'!BT139,'BS and CFS'!BR139)</f>
        <v>4.459628453276145</v>
      </c>
      <c r="BU274" s="437">
        <f>IS!BU10/AVERAGE('BS and CFS'!BU139,'BS and CFS'!BS139)</f>
        <v>4.7048320093287668</v>
      </c>
      <c r="BV274" s="436">
        <f>IS!BV10/AVERAGE('BS and CFS'!BV139,'BS and CFS'!BQ139)</f>
        <v>18.213479933218341</v>
      </c>
      <c r="BW274" s="437">
        <f>IS!BW10/AVERAGE('BS and CFS'!BW139,'BS and CFS'!BU139)</f>
        <v>4.4804827456156895</v>
      </c>
      <c r="BX274" s="437">
        <f>IS!BX10/AVERAGE('BS and CFS'!BX139,'BS and CFS'!DZ139)</f>
        <v>9.411926137922924</v>
      </c>
      <c r="BY274" s="437">
        <f>IS!BY10/AVERAGE('BS and CFS'!BY139,'BS and CFS'!BW139)</f>
        <v>4.6539961013645224</v>
      </c>
      <c r="BZ274" s="437">
        <f>IS!BZ10/AVERAGE('BS and CFS'!BZ139,'BS and CFS'!BX139)</f>
        <v>4.9413524835427891</v>
      </c>
      <c r="CA274" s="436">
        <f>IS!CA10/AVERAGE('BS and CFS'!CA139,'BS and CFS'!BV139)</f>
        <v>18.573107301098055</v>
      </c>
      <c r="CB274" s="437">
        <f>IS!CB10/AVERAGE('BS and CFS'!CB139,'BS and CFS'!BZ139)</f>
        <v>5.0384503066290272</v>
      </c>
      <c r="CC274" s="437">
        <f>IS!CC10/AVERAGE('BS and CFS'!CC139,'BS and CFS'!CA139)</f>
        <v>4.9235462697605623</v>
      </c>
      <c r="CD274" s="437">
        <f>IS!CD10/AVERAGE('BS and CFS'!CD139,'BS and CFS'!CB139)</f>
        <v>4.7424659969775087</v>
      </c>
      <c r="CE274" s="437">
        <f>IS!CE10/AVERAGE('BS and CFS'!CE139,'BS and CFS'!CC139)</f>
        <v>4.7436133679537651</v>
      </c>
      <c r="CF274" s="436">
        <f>IS!CF10/AVERAGE('BS and CFS'!CF139,'BS and CFS'!CA139)</f>
        <v>19.59533357637623</v>
      </c>
      <c r="CG274" s="437">
        <f>IS!CG10/AVERAGE('BS and CFS'!CG139,'BS and CFS'!CE139)</f>
        <v>5.0671273445212242</v>
      </c>
      <c r="CH274" s="437">
        <f>IS!CH10/AVERAGE('BS and CFS'!CH139,'BS and CFS'!CF139)</f>
        <v>5.0471448525182812</v>
      </c>
      <c r="CI274" s="437">
        <f>IS!CI10/AVERAGE('BS and CFS'!CI139,'BS and CFS'!CG139)</f>
        <v>4.8301853627356977</v>
      </c>
      <c r="CJ274" s="437">
        <f>IS!CJ10/AVERAGE('BS and CFS'!CJ139,'BS and CFS'!CH139)</f>
        <v>4.9843613558783835</v>
      </c>
      <c r="CK274" s="436">
        <f>IS!CK10/AVERAGE('BS and CFS'!CK139,'BS and CFS'!CF139)</f>
        <v>19.669920127795528</v>
      </c>
      <c r="CL274" s="437">
        <f>IS!CL10/AVERAGE('BS and CFS'!CL139,'BS and CFS'!CJ139)</f>
        <v>4.6937747940189194</v>
      </c>
      <c r="CM274" s="437">
        <f>IS!CM10/AVERAGE('BS and CFS'!CM139,'BS and CFS'!CK139)</f>
        <v>4.6068553737284388</v>
      </c>
      <c r="CN274" s="437">
        <f>IS!CN10/AVERAGE('BS and CFS'!CN139,'BS and CFS'!CL139)</f>
        <v>4.3582958418541242</v>
      </c>
      <c r="CO274" s="437">
        <f>IS!CO10/AVERAGE('BS and CFS'!CO139,'BS and CFS'!CM139)</f>
        <v>4.1499051952976869</v>
      </c>
      <c r="CP274" s="436">
        <f>IS!CP10/AVERAGE('BS and CFS'!CP139,'BS and CFS'!CK139)</f>
        <v>16.68323904749375</v>
      </c>
      <c r="CQ274" s="437">
        <f>IS!CQ10/AVERAGE('BS and CFS'!CQ139,'BS and CFS'!CO139)</f>
        <v>3.6698175694639348</v>
      </c>
      <c r="CR274" s="437">
        <f>IS!CR10/AVERAGE('BS and CFS'!CR139,'BS and CFS'!CP139)</f>
        <v>3.7894206549118392</v>
      </c>
      <c r="CS274" s="437">
        <f>IS!CS10/AVERAGE('BS and CFS'!CS139,'BS and CFS'!CQ139)</f>
        <v>3.5172341066586319</v>
      </c>
      <c r="CT274" s="437">
        <f>IS!CT10/AVERAGE('BS and CFS'!CT139,'BS and CFS'!CR139)</f>
        <v>3.8559105098855362</v>
      </c>
      <c r="CU274" s="436">
        <f>IS!CU10/AVERAGE('BS and CFS'!CU139,'BS and CFS'!CP139)</f>
        <v>15.135371416159861</v>
      </c>
      <c r="CV274" s="437">
        <f>IS!CV10/AVERAGE('BS and CFS'!CV139,'BS and CFS'!CT139)</f>
        <v>3.660799032696862</v>
      </c>
      <c r="CW274" s="437">
        <f>IS!CW10/AVERAGE('BS and CFS'!CW139,'BS and CFS'!CU139)</f>
        <v>3.6123135234948243</v>
      </c>
      <c r="CX274" s="437">
        <f>IS!CX10/AVERAGE('BS and CFS'!CX139,'BS and CFS'!CV139)</f>
        <v>3.3652869005268657</v>
      </c>
      <c r="CY274" s="437">
        <f>IS!CY10/AVERAGE('BS and CFS'!CY139,'BS and CFS'!CW139)</f>
        <v>3.6124323729464445</v>
      </c>
      <c r="CZ274" s="436">
        <f>IS!CZ10/AVERAGE('BS and CFS'!CZ139,'BS and CFS'!CU139)</f>
        <v>14.209936890531633</v>
      </c>
      <c r="DA274" s="437">
        <f>IS!DA10/AVERAGE('BS and CFS'!DA139,'BS and CFS'!CY139)</f>
        <v>3.4692730702845904</v>
      </c>
      <c r="DB274" s="437">
        <f>IS!DB10/AVERAGE('BS and CFS'!DB139,'BS and CFS'!CZ139)</f>
        <v>3.488117745602489</v>
      </c>
      <c r="DC274" s="437">
        <f>IS!DC10/AVERAGE('BS and CFS'!DC139,'BS and CFS'!DA139)</f>
        <v>3.3482176360225142</v>
      </c>
      <c r="DD274" s="437">
        <f>IS!DD10/AVERAGE('BS and CFS'!DD139,'BS and CFS'!DB139)</f>
        <v>3.6273484041503923</v>
      </c>
      <c r="DE274" s="436">
        <f>IS!DE10/AVERAGE('BS and CFS'!DE139,'BS and CFS'!CZ139)</f>
        <v>14.761890903043406</v>
      </c>
      <c r="DF274" s="437">
        <f>IS!DF10/AVERAGE('BS and CFS'!DF139,'BS and CFS'!DD139)</f>
        <v>3.6669906911607217</v>
      </c>
      <c r="DG274" s="437">
        <f>IS!DG10/AVERAGE('BS and CFS'!DG139,'BS and CFS'!DE139)</f>
        <v>3.7388590584302444</v>
      </c>
      <c r="DH274" s="437">
        <f>IS!DH10/AVERAGE('BS and CFS'!DH139,'BS and CFS'!DF139)</f>
        <v>3.7616201872043544</v>
      </c>
      <c r="DI274" s="437">
        <f>IS!DI10/AVERAGE('BS and CFS'!DI139,'BS and CFS'!DG139)</f>
        <v>3.8016224235607936</v>
      </c>
      <c r="DJ274" s="436">
        <f>IS!DJ10/AVERAGE('BS and CFS'!DJ139,'BS and CFS'!DE139)</f>
        <v>14.580018091863248</v>
      </c>
      <c r="DK274" s="437">
        <f ca="1">IS!DK10/AVERAGE('BS and CFS'!DK139,'BS and CFS'!DI139)</f>
        <v>3.5739459462769676</v>
      </c>
      <c r="DL274" s="437">
        <f ca="1">IS!DL10/AVERAGE('BS and CFS'!DL139,'BS and CFS'!DJ139)</f>
        <v>3.6872763931688732</v>
      </c>
      <c r="DM274" s="437">
        <f ca="1">IS!DM10/AVERAGE('BS and CFS'!DM139,'BS and CFS'!DK139)</f>
        <v>3.7700885453240889</v>
      </c>
      <c r="DN274" s="437">
        <f ca="1">IS!DN10/AVERAGE('BS and CFS'!DN139,'BS and CFS'!DL139)</f>
        <v>3.7313685089488482</v>
      </c>
      <c r="DO274" s="436">
        <f ca="1">IS!DO10/AVERAGE('BS and CFS'!DO139,'BS and CFS'!DJ139)</f>
        <v>14.377580413204806</v>
      </c>
      <c r="DP274" s="437">
        <f ca="1">IS!DP10/AVERAGE('BS and CFS'!DP139,'BS and CFS'!DN139)</f>
        <v>3.6900489767088613</v>
      </c>
      <c r="DQ274" s="437">
        <f ca="1">IS!DQ10/AVERAGE('BS and CFS'!DQ139,'BS and CFS'!DO139)</f>
        <v>3.8065755877769694</v>
      </c>
      <c r="DR274" s="437">
        <f ca="1">IS!DR10/AVERAGE('BS and CFS'!DR139,'BS and CFS'!DP139)</f>
        <v>3.8467610535604573</v>
      </c>
      <c r="DS274" s="437">
        <f ca="1">IS!DS10/AVERAGE('BS and CFS'!DS139,'BS and CFS'!DQ139)</f>
        <v>3.8042494784028538</v>
      </c>
      <c r="DT274" s="436">
        <f ca="1">IS!DT10/AVERAGE('BS and CFS'!DT139,'BS and CFS'!DO139)</f>
        <v>14.84477693561467</v>
      </c>
      <c r="DU274" s="437">
        <f ca="1">IS!DU10/AVERAGE('BS and CFS'!DU139,'BS and CFS'!DS139)</f>
        <v>3.7302935555691925</v>
      </c>
      <c r="DV274" s="437">
        <f ca="1">IS!DV10/AVERAGE('BS and CFS'!DV139,'BS and CFS'!DT139)</f>
        <v>3.8471269759882878</v>
      </c>
      <c r="DW274" s="437">
        <f ca="1">IS!DW10/AVERAGE('BS and CFS'!DW139,'BS and CFS'!DU139)</f>
        <v>3.9240432515959514</v>
      </c>
      <c r="DX274" s="437">
        <f ca="1">IS!DX10/AVERAGE('BS and CFS'!DX139,'BS and CFS'!DV139)</f>
        <v>3.8796898661887314</v>
      </c>
      <c r="DY274" s="436">
        <f ca="1">IS!DY10/AVERAGE('BS and CFS'!DY139,'BS and CFS'!DT139)</f>
        <v>15.013196558178153</v>
      </c>
      <c r="DZ274" s="1848"/>
      <c r="EA274" s="1848"/>
      <c r="EB274" s="1848"/>
    </row>
    <row r="275" spans="1:132" x14ac:dyDescent="0.2">
      <c r="A275" s="1842"/>
      <c r="B275" s="1849" t="s">
        <v>479</v>
      </c>
      <c r="C275" s="1850"/>
      <c r="D275" s="1850"/>
      <c r="E275" s="1850"/>
      <c r="F275" s="1850"/>
      <c r="G275" s="1850"/>
      <c r="H275" s="1850"/>
      <c r="I275" s="2104"/>
      <c r="J275" s="1850"/>
      <c r="K275" s="1850"/>
      <c r="L275" s="1850"/>
      <c r="M275" s="1850"/>
      <c r="N275" s="2104">
        <f>'BS and CFS'!N184</f>
        <v>12.009489421058477</v>
      </c>
      <c r="O275" s="1850"/>
      <c r="P275" s="1850"/>
      <c r="Q275" s="1850"/>
      <c r="R275" s="1850"/>
      <c r="S275" s="2104">
        <f>'BS and CFS'!S184</f>
        <v>15.54050780431594</v>
      </c>
      <c r="T275" s="1850"/>
      <c r="U275" s="1850"/>
      <c r="V275" s="1850"/>
      <c r="W275" s="1850"/>
      <c r="X275" s="2104">
        <f>'BS and CFS'!X184</f>
        <v>14.103230690175319</v>
      </c>
      <c r="Y275" s="1850"/>
      <c r="Z275" s="1850"/>
      <c r="AA275" s="1850"/>
      <c r="AB275" s="1850"/>
      <c r="AC275" s="2104">
        <f>'BS and CFS'!AC184</f>
        <v>14.981580584940884</v>
      </c>
      <c r="AD275" s="1850"/>
      <c r="AE275" s="1850"/>
      <c r="AF275" s="1850"/>
      <c r="AG275" s="1850"/>
      <c r="AH275" s="2104">
        <f>'BS and CFS'!AH184</f>
        <v>15.85615114156483</v>
      </c>
      <c r="AI275" s="1850"/>
      <c r="AJ275" s="1850"/>
      <c r="AK275" s="1850"/>
      <c r="AL275" s="1850"/>
      <c r="AM275" s="2104">
        <f>'BS and CFS'!AM184</f>
        <v>15.385501312987198</v>
      </c>
      <c r="AN275" s="1850"/>
      <c r="AO275" s="1850"/>
      <c r="AP275" s="1850"/>
      <c r="AQ275" s="1850"/>
      <c r="AR275" s="2104">
        <f>'BS and CFS'!AR184</f>
        <v>18.527305551376557</v>
      </c>
      <c r="AS275" s="1850"/>
      <c r="AT275" s="1850"/>
      <c r="AU275" s="1850"/>
      <c r="AV275" s="1850"/>
      <c r="AW275" s="2104">
        <f>'BS and CFS'!AW184</f>
        <v>21.047482701026009</v>
      </c>
      <c r="AX275" s="1850"/>
      <c r="AY275" s="1850"/>
      <c r="AZ275" s="1850"/>
      <c r="BA275" s="1850"/>
      <c r="BB275" s="2104">
        <f>'BS and CFS'!BB184</f>
        <v>18.144119848567957</v>
      </c>
      <c r="BC275" s="1850"/>
      <c r="BD275" s="1850"/>
      <c r="BE275" s="1850"/>
      <c r="BF275" s="1850"/>
      <c r="BG275" s="2104">
        <f>'BS and CFS'!BG184</f>
        <v>19.872509211993801</v>
      </c>
      <c r="BH275" s="1850"/>
      <c r="BI275" s="1850"/>
      <c r="BJ275" s="1850"/>
      <c r="BK275" s="1850"/>
      <c r="BL275" s="2104">
        <f>'BS and CFS'!BL184</f>
        <v>21.899187077080292</v>
      </c>
      <c r="BM275" s="2013">
        <f>'BS and CFS'!BM184</f>
        <v>19.783099268498546</v>
      </c>
      <c r="BN275" s="2013">
        <f>'BS and CFS'!BN184</f>
        <v>19.241218194632996</v>
      </c>
      <c r="BO275" s="2013">
        <f>'BS and CFS'!BO184</f>
        <v>20.991515045486356</v>
      </c>
      <c r="BP275" s="2013">
        <f>'BS and CFS'!BP184</f>
        <v>20.350977748506764</v>
      </c>
      <c r="BQ275" s="2104">
        <f>'BS and CFS'!BQ184</f>
        <v>22.467438114411603</v>
      </c>
      <c r="BR275" s="2013">
        <f>'BS and CFS'!BR184</f>
        <v>20.900138497642544</v>
      </c>
      <c r="BS275" s="2013">
        <f>'BS and CFS'!BS184</f>
        <v>20.251687701790431</v>
      </c>
      <c r="BT275" s="2013">
        <f>'BS and CFS'!BT184</f>
        <v>21.081049959621616</v>
      </c>
      <c r="BU275" s="2013">
        <f>'BS and CFS'!BU184</f>
        <v>19.283992332119897</v>
      </c>
      <c r="BV275" s="2104">
        <f>'BS and CFS'!BV184</f>
        <v>20.174487915898993</v>
      </c>
      <c r="BW275" s="2013">
        <f>'BS and CFS'!BW184</f>
        <v>19.774673821548824</v>
      </c>
      <c r="BX275" s="2013">
        <f>'BS and CFS'!BX184</f>
        <v>19.388772024826093</v>
      </c>
      <c r="BY275" s="2013">
        <f>'BS and CFS'!BY184</f>
        <v>19.534188481675393</v>
      </c>
      <c r="BZ275" s="2013">
        <f>'BS and CFS'!BZ184</f>
        <v>18.142434701869121</v>
      </c>
      <c r="CA275" s="2104">
        <f>'BS and CFS'!CA184</f>
        <v>18.645047866988893</v>
      </c>
      <c r="CB275" s="2013">
        <f>'BS and CFS'!CB184</f>
        <v>18.856452859350849</v>
      </c>
      <c r="CC275" s="2013">
        <f>'BS and CFS'!CC184</f>
        <v>20.190206166209773</v>
      </c>
      <c r="CD275" s="2013">
        <f>'BS and CFS'!CD184</f>
        <v>20.18693296843368</v>
      </c>
      <c r="CE275" s="2013">
        <f>'BS and CFS'!CE184</f>
        <v>19.486130239785286</v>
      </c>
      <c r="CF275" s="2104">
        <f>'BS and CFS'!CF184</f>
        <v>20.531674418604652</v>
      </c>
      <c r="CG275" s="2013">
        <f>'BS and CFS'!CG184</f>
        <v>18.100079550620169</v>
      </c>
      <c r="CH275" s="2013">
        <f>'BS and CFS'!CH184</f>
        <v>18.193909045919828</v>
      </c>
      <c r="CI275" s="2013">
        <f>'BS and CFS'!CI184</f>
        <v>19.341414879926425</v>
      </c>
      <c r="CJ275" s="2013">
        <f>'BS and CFS'!CJ184</f>
        <v>18.814462954704723</v>
      </c>
      <c r="CK275" s="2104">
        <f>'BS and CFS'!CK184</f>
        <v>19.187639127225118</v>
      </c>
      <c r="CL275" s="2013">
        <f>'BS and CFS'!CL184</f>
        <v>19.680907258719891</v>
      </c>
      <c r="CM275" s="2013">
        <f>'BS and CFS'!CM184</f>
        <v>20.712686770160296</v>
      </c>
      <c r="CN275" s="2013">
        <f>'BS and CFS'!CN184</f>
        <v>22.935168183282709</v>
      </c>
      <c r="CO275" s="2013">
        <f>'BS and CFS'!CO184</f>
        <v>24.262067505536113</v>
      </c>
      <c r="CP275" s="2104">
        <f>'BS and CFS'!CP184</f>
        <v>25.12501054733367</v>
      </c>
      <c r="CQ275" s="2013">
        <f>'BS and CFS'!CQ184</f>
        <v>25.363273160002326</v>
      </c>
      <c r="CR275" s="2013">
        <f>'BS and CFS'!CR184</f>
        <v>25.140349178641198</v>
      </c>
      <c r="CS275" s="2013">
        <f>'BS and CFS'!CS184</f>
        <v>28.213134367566983</v>
      </c>
      <c r="CT275" s="2013">
        <f>'BS and CFS'!CT184</f>
        <v>23.854583554849103</v>
      </c>
      <c r="CU275" s="2104">
        <f>'BS and CFS'!CU184</f>
        <v>25.370192980379073</v>
      </c>
      <c r="CV275" s="2013">
        <f>'BS and CFS'!CV184</f>
        <v>25.522754296535243</v>
      </c>
      <c r="CW275" s="2013">
        <f>'BS and CFS'!CW184</f>
        <v>26.739962710760881</v>
      </c>
      <c r="CX275" s="2013">
        <f>'BS and CFS'!CX184</f>
        <v>30.23438080570855</v>
      </c>
      <c r="CY275" s="2013">
        <f>'BS and CFS'!CY184</f>
        <v>26.364419897940817</v>
      </c>
      <c r="CZ275" s="2104">
        <f>'BS and CFS'!CZ184</f>
        <v>28.306664857401046</v>
      </c>
      <c r="DA275" s="2013">
        <f>'BS and CFS'!DA184</f>
        <v>27.502747888464654</v>
      </c>
      <c r="DB275" s="2013">
        <f>'BS and CFS'!DB184</f>
        <v>27.511503637482189</v>
      </c>
      <c r="DC275" s="2013">
        <f>'BS and CFS'!DC184</f>
        <v>27.866888938697748</v>
      </c>
      <c r="DD275" s="2013">
        <f>'BS and CFS'!DD184</f>
        <v>24.144790651538354</v>
      </c>
      <c r="DE275" s="2104">
        <f>'BS and CFS'!DE184</f>
        <v>25.009561952722549</v>
      </c>
      <c r="DF275" s="2013">
        <f>'BS and CFS'!DF184</f>
        <v>24.832916232342477</v>
      </c>
      <c r="DG275" s="2013">
        <f>'BS and CFS'!DG184</f>
        <v>24.515696326545442</v>
      </c>
      <c r="DH275" s="2013">
        <f>'BS and CFS'!DH184</f>
        <v>24.580236386852359</v>
      </c>
      <c r="DI275" s="2013">
        <f>'BS and CFS'!DI184</f>
        <v>24.85816960405343</v>
      </c>
      <c r="DJ275" s="2104">
        <f>'BS and CFS'!DJ184</f>
        <v>26.038793755140524</v>
      </c>
      <c r="DK275" s="2013">
        <f>'BS and CFS'!DK184</f>
        <v>24.832916232342477</v>
      </c>
      <c r="DL275" s="2013">
        <f>'BS and CFS'!DL184</f>
        <v>24.515696326545442</v>
      </c>
      <c r="DM275" s="2013">
        <f>'BS and CFS'!DM184</f>
        <v>24.580236386852359</v>
      </c>
      <c r="DN275" s="2013">
        <f>'BS and CFS'!DN184</f>
        <v>24.85816960405343</v>
      </c>
      <c r="DO275" s="2104">
        <f ca="1">'BS and CFS'!DO184</f>
        <v>25.56792935734595</v>
      </c>
      <c r="DP275" s="2013">
        <f>'BS and CFS'!DP184</f>
        <v>24.332916232342477</v>
      </c>
      <c r="DQ275" s="2013">
        <f>'BS and CFS'!DQ184</f>
        <v>24.015696326545442</v>
      </c>
      <c r="DR275" s="2013">
        <f>'BS and CFS'!DR184</f>
        <v>24.080236386852359</v>
      </c>
      <c r="DS275" s="2013">
        <f>'BS and CFS'!DS184</f>
        <v>24.35816960405343</v>
      </c>
      <c r="DT275" s="2104">
        <f ca="1">'BS and CFS'!DT184</f>
        <v>25.014069995894463</v>
      </c>
      <c r="DU275" s="2013">
        <f>'BS and CFS'!DU184</f>
        <v>23.832916232342477</v>
      </c>
      <c r="DV275" s="2013">
        <f>'BS and CFS'!DV184</f>
        <v>23.515696326545442</v>
      </c>
      <c r="DW275" s="2013">
        <f>'BS and CFS'!DW184</f>
        <v>23.580236386852359</v>
      </c>
      <c r="DX275" s="2013">
        <f>'BS and CFS'!DX184</f>
        <v>23.85816960405343</v>
      </c>
      <c r="DY275" s="2104">
        <f ca="1">'BS and CFS'!DY184</f>
        <v>24.453215819890978</v>
      </c>
      <c r="DZ275" s="1848"/>
      <c r="EA275" s="1848"/>
      <c r="EB275" s="1848"/>
    </row>
    <row r="276" spans="1:132" x14ac:dyDescent="0.2">
      <c r="A276" s="1842"/>
      <c r="B276" s="1849"/>
      <c r="C276" s="1850"/>
      <c r="D276" s="1850"/>
      <c r="E276" s="1850"/>
      <c r="F276" s="1850"/>
      <c r="G276" s="1850"/>
      <c r="H276" s="1850"/>
      <c r="I276" s="1851"/>
      <c r="J276" s="1850"/>
      <c r="K276" s="1850"/>
      <c r="L276" s="1850"/>
      <c r="M276" s="1850"/>
      <c r="N276" s="1851"/>
      <c r="O276" s="1850"/>
      <c r="P276" s="1850"/>
      <c r="Q276" s="1850"/>
      <c r="R276" s="1850"/>
      <c r="S276" s="1851"/>
      <c r="T276" s="1850"/>
      <c r="U276" s="1850"/>
      <c r="V276" s="1850"/>
      <c r="W276" s="1850"/>
      <c r="X276" s="1851"/>
      <c r="Y276" s="1850"/>
      <c r="Z276" s="1850"/>
      <c r="AA276" s="1850"/>
      <c r="AB276" s="1850"/>
      <c r="AC276" s="1851"/>
      <c r="AD276" s="1850"/>
      <c r="AE276" s="1850"/>
      <c r="AF276" s="1850"/>
      <c r="AG276" s="1850"/>
      <c r="AH276" s="1851"/>
      <c r="AI276" s="1850"/>
      <c r="AJ276" s="1850"/>
      <c r="AK276" s="1850"/>
      <c r="AL276" s="1850"/>
      <c r="AM276" s="1851"/>
      <c r="AN276" s="1850"/>
      <c r="AO276" s="1850"/>
      <c r="AP276" s="1850"/>
      <c r="AQ276" s="1850"/>
      <c r="AR276" s="1851"/>
      <c r="AS276" s="1850"/>
      <c r="AT276" s="1850"/>
      <c r="AU276" s="1850"/>
      <c r="AV276" s="1850"/>
      <c r="AW276" s="1851"/>
      <c r="AX276" s="1850"/>
      <c r="AY276" s="1850"/>
      <c r="AZ276" s="1850"/>
      <c r="BA276" s="1850"/>
      <c r="BB276" s="1851"/>
      <c r="BC276" s="1850"/>
      <c r="BD276" s="1850"/>
      <c r="BE276" s="1850"/>
      <c r="BF276" s="1850"/>
      <c r="BG276" s="1851"/>
      <c r="BH276" s="1850"/>
      <c r="BI276" s="1850"/>
      <c r="BJ276" s="1850"/>
      <c r="BK276" s="1850"/>
      <c r="BL276" s="1851"/>
      <c r="BM276" s="1850"/>
      <c r="BN276" s="1850"/>
      <c r="BO276" s="1850"/>
      <c r="BP276" s="1850"/>
      <c r="BQ276" s="1851"/>
      <c r="BR276" s="1850"/>
      <c r="BS276" s="1850"/>
      <c r="BT276" s="1850"/>
      <c r="BU276" s="1850"/>
      <c r="BV276" s="1851"/>
      <c r="BW276" s="1850"/>
      <c r="BX276" s="1850"/>
      <c r="BY276" s="1850"/>
      <c r="BZ276" s="1850"/>
      <c r="CA276" s="1851"/>
      <c r="CB276" s="1850"/>
      <c r="CC276" s="1850"/>
      <c r="CD276" s="1850"/>
      <c r="CE276" s="1850"/>
      <c r="CF276" s="1851"/>
      <c r="CG276" s="1850"/>
      <c r="CH276" s="1850"/>
      <c r="CI276" s="1850"/>
      <c r="CJ276" s="1850"/>
      <c r="CK276" s="1851"/>
      <c r="CL276" s="1850"/>
      <c r="CM276" s="1850"/>
      <c r="CN276" s="1850"/>
      <c r="CO276" s="1850"/>
      <c r="CP276" s="1851"/>
      <c r="CQ276" s="1850"/>
      <c r="CR276" s="1850"/>
      <c r="CS276" s="1850"/>
      <c r="CT276" s="1850"/>
      <c r="CU276" s="1851"/>
      <c r="CV276" s="1850"/>
      <c r="CW276" s="1850"/>
      <c r="CX276" s="1850"/>
      <c r="CY276" s="1850"/>
      <c r="CZ276" s="1851"/>
      <c r="DA276" s="1850"/>
      <c r="DB276" s="1850"/>
      <c r="DC276" s="1850"/>
      <c r="DD276" s="1850"/>
      <c r="DE276" s="1851"/>
      <c r="DF276" s="1850"/>
      <c r="DG276" s="1850"/>
      <c r="DH276" s="1850"/>
      <c r="DI276" s="1850"/>
      <c r="DJ276" s="1851"/>
      <c r="DK276" s="1850"/>
      <c r="DL276" s="1850"/>
      <c r="DM276" s="1850"/>
      <c r="DN276" s="1850"/>
      <c r="DO276" s="1851"/>
      <c r="DP276" s="1850"/>
      <c r="DQ276" s="1850"/>
      <c r="DR276" s="1850"/>
      <c r="DS276" s="1850"/>
      <c r="DT276" s="1851"/>
      <c r="DU276" s="1850"/>
      <c r="DV276" s="1850"/>
      <c r="DW276" s="1850"/>
      <c r="DX276" s="1850"/>
      <c r="DY276" s="1851"/>
      <c r="DZ276" s="1848"/>
      <c r="EA276" s="1848"/>
      <c r="EB276" s="1848"/>
    </row>
    <row r="277" spans="1:132" x14ac:dyDescent="0.2">
      <c r="A277" s="1842"/>
      <c r="B277" s="2100" t="s">
        <v>480</v>
      </c>
      <c r="C277" s="1850"/>
      <c r="D277" s="1850"/>
      <c r="E277" s="1850"/>
      <c r="F277" s="1850"/>
      <c r="G277" s="1850"/>
      <c r="H277" s="1850"/>
      <c r="I277" s="1851"/>
      <c r="J277" s="1850"/>
      <c r="K277" s="1850"/>
      <c r="L277" s="1850"/>
      <c r="M277" s="1850"/>
      <c r="N277" s="1851"/>
      <c r="O277" s="1850"/>
      <c r="P277" s="1850"/>
      <c r="Q277" s="1850"/>
      <c r="R277" s="1850"/>
      <c r="S277" s="1851"/>
      <c r="T277" s="1850"/>
      <c r="U277" s="1850"/>
      <c r="V277" s="1850"/>
      <c r="W277" s="1850"/>
      <c r="X277" s="1851"/>
      <c r="Y277" s="1850"/>
      <c r="Z277" s="1850"/>
      <c r="AA277" s="1850"/>
      <c r="AB277" s="1850"/>
      <c r="AC277" s="1851"/>
      <c r="AD277" s="1850"/>
      <c r="AE277" s="1850"/>
      <c r="AF277" s="1850"/>
      <c r="AG277" s="1850"/>
      <c r="AH277" s="1851"/>
      <c r="AI277" s="1850"/>
      <c r="AJ277" s="1850"/>
      <c r="AK277" s="1850"/>
      <c r="AL277" s="1850"/>
      <c r="AM277" s="1851"/>
      <c r="AN277" s="1850"/>
      <c r="AO277" s="1850"/>
      <c r="AP277" s="1850"/>
      <c r="AQ277" s="1850"/>
      <c r="AR277" s="1851"/>
      <c r="AS277" s="1850"/>
      <c r="AT277" s="1850"/>
      <c r="AU277" s="1850"/>
      <c r="AV277" s="1850"/>
      <c r="AW277" s="1851"/>
      <c r="AX277" s="1850"/>
      <c r="AY277" s="1850"/>
      <c r="AZ277" s="1850"/>
      <c r="BA277" s="1850"/>
      <c r="BB277" s="1851"/>
      <c r="BC277" s="1850"/>
      <c r="BD277" s="1850"/>
      <c r="BE277" s="1850"/>
      <c r="BF277" s="1850"/>
      <c r="BG277" s="1851"/>
      <c r="BH277" s="1850"/>
      <c r="BI277" s="1850"/>
      <c r="BJ277" s="1850"/>
      <c r="BK277" s="1850"/>
      <c r="BL277" s="1851"/>
      <c r="BM277" s="1850"/>
      <c r="BN277" s="1850"/>
      <c r="BO277" s="1850"/>
      <c r="BP277" s="1850"/>
      <c r="BQ277" s="1851"/>
      <c r="BR277" s="1850"/>
      <c r="BS277" s="1850"/>
      <c r="BT277" s="1850"/>
      <c r="BU277" s="1850"/>
      <c r="BV277" s="1851"/>
      <c r="BW277" s="1850"/>
      <c r="BX277" s="1850"/>
      <c r="BY277" s="1850"/>
      <c r="BZ277" s="1850"/>
      <c r="CA277" s="1851"/>
      <c r="CB277" s="1850"/>
      <c r="CC277" s="1850"/>
      <c r="CD277" s="1850"/>
      <c r="CE277" s="1850"/>
      <c r="CF277" s="1851"/>
      <c r="CG277" s="1850"/>
      <c r="CH277" s="1850"/>
      <c r="CI277" s="1850"/>
      <c r="CJ277" s="1850"/>
      <c r="CK277" s="1851"/>
      <c r="CL277" s="1850"/>
      <c r="CM277" s="1850"/>
      <c r="CN277" s="1850"/>
      <c r="CO277" s="1850"/>
      <c r="CP277" s="1851"/>
      <c r="CQ277" s="1850"/>
      <c r="CR277" s="1850"/>
      <c r="CS277" s="1850"/>
      <c r="CT277" s="1850"/>
      <c r="CU277" s="1851"/>
      <c r="CV277" s="1850"/>
      <c r="CW277" s="1850"/>
      <c r="CX277" s="1850"/>
      <c r="CY277" s="1850"/>
      <c r="CZ277" s="1851"/>
      <c r="DA277" s="1850"/>
      <c r="DB277" s="1850"/>
      <c r="DC277" s="1850"/>
      <c r="DD277" s="1850"/>
      <c r="DE277" s="1851"/>
      <c r="DF277" s="1850"/>
      <c r="DG277" s="1850"/>
      <c r="DH277" s="1850"/>
      <c r="DI277" s="1850"/>
      <c r="DJ277" s="1851"/>
      <c r="DK277" s="1850"/>
      <c r="DL277" s="1850"/>
      <c r="DM277" s="1850"/>
      <c r="DN277" s="1850"/>
      <c r="DO277" s="1851"/>
      <c r="DP277" s="1850"/>
      <c r="DQ277" s="1850"/>
      <c r="DR277" s="1850"/>
      <c r="DS277" s="1850"/>
      <c r="DT277" s="1851"/>
      <c r="DU277" s="1850"/>
      <c r="DV277" s="1850"/>
      <c r="DW277" s="1850"/>
      <c r="DX277" s="1850"/>
      <c r="DY277" s="1851"/>
      <c r="DZ277" s="1848"/>
      <c r="EA277" s="1848"/>
      <c r="EB277" s="1848"/>
    </row>
    <row r="278" spans="1:132" x14ac:dyDescent="0.2">
      <c r="A278" s="1842"/>
      <c r="B278" s="1849" t="s">
        <v>481</v>
      </c>
      <c r="C278" s="1850"/>
      <c r="D278" s="1850"/>
      <c r="E278" s="1850"/>
      <c r="F278" s="1850"/>
      <c r="G278" s="1850"/>
      <c r="H278" s="1850"/>
      <c r="I278" s="436"/>
      <c r="J278" s="1850"/>
      <c r="K278" s="1850"/>
      <c r="L278" s="1850"/>
      <c r="M278" s="1850"/>
      <c r="N278" s="436">
        <f>IS!N11/AVERAGE(('BS and CFS'!N155+'BS and CFS'!N156),('BS and CFS'!I155+'BS and CFS'!I156))</f>
        <v>8.7336342105263149</v>
      </c>
      <c r="O278" s="1850"/>
      <c r="P278" s="1850"/>
      <c r="Q278" s="1850"/>
      <c r="R278" s="1850"/>
      <c r="S278" s="436">
        <f>IS!S11/AVERAGE(('BS and CFS'!S155+'BS and CFS'!S156),('BS and CFS'!N155+'BS and CFS'!N156))</f>
        <v>8.8447619047619046</v>
      </c>
      <c r="T278" s="1850"/>
      <c r="U278" s="1850"/>
      <c r="V278" s="1850"/>
      <c r="W278" s="1850"/>
      <c r="X278" s="436">
        <f>IS!X11/AVERAGE(('BS and CFS'!X155+'BS and CFS'!X156),('BS and CFS'!S155+'BS and CFS'!S156))</f>
        <v>9.6602079912424745</v>
      </c>
      <c r="Y278" s="1850"/>
      <c r="Z278" s="1850"/>
      <c r="AA278" s="1850"/>
      <c r="AB278" s="1850"/>
      <c r="AC278" s="436">
        <f>IS!AC11/AVERAGE(('BS and CFS'!AC155+'BS and CFS'!AC156),('BS and CFS'!X155+'BS and CFS'!X156))</f>
        <v>10.497059557329722</v>
      </c>
      <c r="AD278" s="1850"/>
      <c r="AE278" s="1850"/>
      <c r="AF278" s="1850"/>
      <c r="AG278" s="1850"/>
      <c r="AH278" s="436">
        <f>IS!AH11/AVERAGE(('BS and CFS'!AH155+'BS and CFS'!AH156),('BS and CFS'!AC155+'BS and CFS'!AC156))</f>
        <v>11.464274581789216</v>
      </c>
      <c r="AI278" s="1850"/>
      <c r="AJ278" s="1850"/>
      <c r="AK278" s="1850"/>
      <c r="AL278" s="1850"/>
      <c r="AM278" s="436">
        <f>IS!AM11/AVERAGE(('BS and CFS'!AM155+'BS and CFS'!AM156),('BS and CFS'!AH155+'BS and CFS'!AH156))</f>
        <v>11.167925517156334</v>
      </c>
      <c r="AN278" s="1850"/>
      <c r="AO278" s="1850"/>
      <c r="AP278" s="1850"/>
      <c r="AQ278" s="1850"/>
      <c r="AR278" s="436">
        <f>IS!AR11/AVERAGE(('BS and CFS'!AR155+'BS and CFS'!AR156),('BS and CFS'!AM155+'BS and CFS'!AM156))</f>
        <v>11.691313753963785</v>
      </c>
      <c r="AS278" s="1850"/>
      <c r="AT278" s="1850"/>
      <c r="AU278" s="1850"/>
      <c r="AV278" s="1850"/>
      <c r="AW278" s="436">
        <f>IS!AW11/AVERAGE(('BS and CFS'!AW155+'BS and CFS'!AW156),('BS and CFS'!AR155+'BS and CFS'!AR156))</f>
        <v>11.446668188620855</v>
      </c>
      <c r="AX278" s="1850"/>
      <c r="AY278" s="1850"/>
      <c r="AZ278" s="1850"/>
      <c r="BA278" s="1850"/>
      <c r="BB278" s="436">
        <f>IS!BB11/AVERAGE(('BS and CFS'!BB155+'BS and CFS'!BB156),('BS and CFS'!AW155+'BS and CFS'!AW156))</f>
        <v>11.5158325251929</v>
      </c>
      <c r="BC278" s="1850"/>
      <c r="BD278" s="1850"/>
      <c r="BE278" s="1850"/>
      <c r="BF278" s="1850"/>
      <c r="BG278" s="436">
        <f>IS!BG11/AVERAGE(('BS and CFS'!BG155+'BS and CFS'!BG156),('BS and CFS'!BB155+'BS and CFS'!BB156))</f>
        <v>12.034965297317576</v>
      </c>
      <c r="BH278" s="1850"/>
      <c r="BI278" s="1850"/>
      <c r="BJ278" s="1850"/>
      <c r="BK278" s="1850"/>
      <c r="BL278" s="436">
        <f>IS!BL11/AVERAGE(('BS and CFS'!BL155+'BS and CFS'!BL156),('BS and CFS'!BG155+'BS and CFS'!BG156))</f>
        <v>13.471232999284181</v>
      </c>
      <c r="BM278" s="437">
        <f>(IS!BM11*4)/AVERAGE(('BS and CFS'!BM155+'BS and CFS'!BM156),('BS and CFS'!BK155+'BS and CFS'!BK156))</f>
        <v>11.389882644020194</v>
      </c>
      <c r="BN278" s="437">
        <f>(IS!BN11*4)/AVERAGE(('BS and CFS'!BN155+'BS and CFS'!BN156),('BS and CFS'!BL155+'BS and CFS'!BL156))</f>
        <v>11.553656792909496</v>
      </c>
      <c r="BO278" s="437">
        <f>(IS!BO11*4)/AVERAGE(('BS and CFS'!BO155+'BS and CFS'!BO156),('BS and CFS'!BM155+'BS and CFS'!BM156))</f>
        <v>11.354731914233245</v>
      </c>
      <c r="BP278" s="437">
        <f>(IS!BP11*4)/AVERAGE(('BS and CFS'!BP155+'BS and CFS'!BP156),('BS and CFS'!BN155+'BS and CFS'!BN156))</f>
        <v>12.459254990738835</v>
      </c>
      <c r="BQ278" s="436">
        <f>IS!BQ11/AVERAGE(('BS and CFS'!BQ155+'BS and CFS'!BQ156),('BS and CFS'!BL155+'BS and CFS'!BL156))</f>
        <v>10.901419769622287</v>
      </c>
      <c r="BR278" s="437">
        <f>(IS!BR11*4)/AVERAGE(('BS and CFS'!BR155+'BS and CFS'!BR156),('BS and CFS'!BP155+'BS and CFS'!BP156))</f>
        <v>11.373785741517347</v>
      </c>
      <c r="BS278" s="437">
        <f>(IS!BS11*4)/AVERAGE(('BS and CFS'!BS155+'BS and CFS'!BS156),('BS and CFS'!BQ155+'BS and CFS'!BQ156))</f>
        <v>12.031415757962074</v>
      </c>
      <c r="BT278" s="437">
        <f>(IS!BT11*4)/AVERAGE(('BS and CFS'!BT155+'BS and CFS'!BT156),('BS and CFS'!BR155+'BS and CFS'!BR156))</f>
        <v>11.744852704713898</v>
      </c>
      <c r="BU278" s="437">
        <f>(IS!BU11*4)/AVERAGE(('BS and CFS'!BU155+'BS and CFS'!BU156),('BS and CFS'!BS155+'BS and CFS'!BS156))</f>
        <v>12.27658317043233</v>
      </c>
      <c r="BV278" s="436">
        <f>IS!BV11/AVERAGE(('BS and CFS'!BV155+'BS and CFS'!BV156),('BS and CFS'!BQ155+'BS and CFS'!BQ156))</f>
        <v>11.826293028626633</v>
      </c>
      <c r="BW278" s="437">
        <f>(IS!BW11*4)/AVERAGE(('BS and CFS'!BW155+'BS and CFS'!BW156),('BS and CFS'!BU155+'BS and CFS'!BU156))</f>
        <v>11.563055872291905</v>
      </c>
      <c r="BX278" s="437">
        <f>(IS!BX11*4)/AVERAGE(('BS and CFS'!BX155+'BS and CFS'!BX156),('BS and CFS'!DZ155+'BS and CFS'!DZ156))</f>
        <v>23.924397542920143</v>
      </c>
      <c r="BY278" s="437">
        <f>(IS!BY11*4)/AVERAGE(('BS and CFS'!BY155+'BS and CFS'!BY156),('BS and CFS'!BW155+'BS and CFS'!BW156))</f>
        <v>11.563257169145837</v>
      </c>
      <c r="BZ278" s="437">
        <f>(IS!BZ11*4)/AVERAGE(('BS and CFS'!BZ155+'BS and CFS'!BZ156),('BS and CFS'!BX155+'BS and CFS'!BX156))</f>
        <v>11.930778739184179</v>
      </c>
      <c r="CA278" s="436">
        <f>IS!CA11/AVERAGE(('BS and CFS'!CA155+'BS and CFS'!CA156),('BS and CFS'!BV155+'BS and CFS'!BV156))</f>
        <v>11.512622826908542</v>
      </c>
      <c r="CB278" s="437">
        <f>(IS!CB11*4)/AVERAGE(('BS and CFS'!CB155+'BS and CFS'!CB156),('BS and CFS'!BZ155+'BS and CFS'!BZ156))</f>
        <v>12.315628415300546</v>
      </c>
      <c r="CC278" s="437">
        <f>(IS!CC11*4)/AVERAGE(('BS and CFS'!CC155+'BS and CFS'!CC156),('BS and CFS'!CA155+'BS and CFS'!CA156))</f>
        <v>12.216139554673097</v>
      </c>
      <c r="CD278" s="437">
        <f>(IS!CD11*4)/AVERAGE(('BS and CFS'!CD155+'BS and CFS'!CD156),('BS and CFS'!CB155+'BS and CFS'!CB156))</f>
        <v>11.762517099863201</v>
      </c>
      <c r="CE278" s="437">
        <f>(IS!CE11*4)/AVERAGE(('BS and CFS'!CE155+'BS and CFS'!CE156),('BS and CFS'!CC155+'BS and CFS'!CC156))</f>
        <v>11.851913564175995</v>
      </c>
      <c r="CF278" s="436">
        <f>IS!CF11/AVERAGE(('BS and CFS'!CF155+'BS and CFS'!CF156),('BS and CFS'!CA155+'BS and CFS'!CA156))</f>
        <v>12.028867976750623</v>
      </c>
      <c r="CG278" s="437">
        <f>(IS!CG11*4)/AVERAGE(('BS and CFS'!CG155+'BS and CFS'!CG156),('BS and CFS'!CE155+'BS and CFS'!CE156))</f>
        <v>12.261606396944742</v>
      </c>
      <c r="CH278" s="437">
        <f>(IS!CH11*4)/AVERAGE(('BS and CFS'!CH155+'BS and CFS'!CH156),('BS and CFS'!CF155+'BS and CFS'!CF156))</f>
        <v>12.318478790833741</v>
      </c>
      <c r="CI278" s="437">
        <f>(IS!CI11*4)/AVERAGE(('BS and CFS'!CI155+'BS and CFS'!CI156),('BS and CFS'!CG155+'BS and CFS'!CG156))</f>
        <v>11.099686159403927</v>
      </c>
      <c r="CJ278" s="437">
        <f>(IS!CJ11*4)/AVERAGE(('BS and CFS'!CJ155+'BS and CFS'!CJ156),('BS and CFS'!CH155+'BS and CFS'!CH156))</f>
        <v>11.410969025291276</v>
      </c>
      <c r="CK278" s="436">
        <f>IS!CK11/AVERAGE(('BS and CFS'!CK155+'BS and CFS'!CK156),('BS and CFS'!CF155+'BS and CFS'!CF156))</f>
        <v>11.907869948523755</v>
      </c>
      <c r="CL278" s="437">
        <f>(IS!CL11*4)/AVERAGE(('BS and CFS'!CL155+'BS and CFS'!CL156),('BS and CFS'!CJ155+'BS and CFS'!CJ156))</f>
        <v>10.945881330145621</v>
      </c>
      <c r="CM278" s="437">
        <f>(IS!CM11*4)/AVERAGE(('BS and CFS'!CM155+'BS and CFS'!CM156),('BS and CFS'!CK155+'BS and CFS'!CK156))</f>
        <v>11.160911336810321</v>
      </c>
      <c r="CN278" s="437">
        <f>(IS!CN11*4)/AVERAGE(('BS and CFS'!CN155+'BS and CFS'!CN156),('BS and CFS'!CL155+'BS and CFS'!CL156))</f>
        <v>10.843696424837969</v>
      </c>
      <c r="CO278" s="437">
        <f>(IS!CO11*4)/AVERAGE(('BS and CFS'!CO155+'BS and CFS'!CO156),('BS and CFS'!CM155+'BS and CFS'!CM156))</f>
        <v>10.999948097783776</v>
      </c>
      <c r="CP278" s="436">
        <f>IS!CP11/AVERAGE(('BS and CFS'!CP155+'BS and CFS'!CP156),('BS and CFS'!CK155+'BS and CFS'!CK156))</f>
        <v>10.764649947753396</v>
      </c>
      <c r="CQ278" s="437">
        <f>(IS!CQ11*4)/AVERAGE(('BS and CFS'!CQ155+'BS and CFS'!CQ156),('BS and CFS'!CO155+'BS and CFS'!CO156))</f>
        <v>10.380943139918495</v>
      </c>
      <c r="CR278" s="437">
        <f>(IS!CR11*4)/AVERAGE(('BS and CFS'!CR155+'BS and CFS'!CR156),('BS and CFS'!CP155+'BS and CFS'!CP156))</f>
        <v>10.879369048764067</v>
      </c>
      <c r="CS278" s="437">
        <f>(IS!CS11*4)/AVERAGE(('BS and CFS'!CS155+'BS and CFS'!CS156),('BS and CFS'!CQ155+'BS and CFS'!CQ156))</f>
        <v>10.407234953756435</v>
      </c>
      <c r="CT278" s="437">
        <f>(IS!CT11*4)/AVERAGE(('BS and CFS'!CT155+'BS and CFS'!CT156),('BS and CFS'!CR155+'BS and CFS'!CR156))</f>
        <v>10.745375071747096</v>
      </c>
      <c r="CU278" s="436">
        <f>IS!CU11/AVERAGE(('BS and CFS'!CU155+'BS and CFS'!CU156),('BS and CFS'!CP155+'BS and CFS'!CP156))</f>
        <v>10.341520388261442</v>
      </c>
      <c r="CV278" s="437">
        <f>(IS!CV11*4)/AVERAGE(('BS and CFS'!CV155+'BS and CFS'!CV156),('BS and CFS'!CT155+'BS and CFS'!CT156))</f>
        <v>9.7887487325086191</v>
      </c>
      <c r="CW278" s="437">
        <f>(IS!CW11*4)/AVERAGE(('BS and CFS'!CW155+'BS and CFS'!CW156),('BS and CFS'!CU155+'BS and CFS'!CU156))</f>
        <v>9.7354956095245626</v>
      </c>
      <c r="CX278" s="437">
        <f>(IS!CX11*4)/AVERAGE(('BS and CFS'!CX155+'BS and CFS'!CX156),('BS and CFS'!CV155+'BS and CFS'!CV156))</f>
        <v>9.4585128725869723</v>
      </c>
      <c r="CY278" s="437">
        <f>(IS!CY11*4)/AVERAGE(('BS and CFS'!CY155+'BS and CFS'!CY156),('BS and CFS'!CW155+'BS and CFS'!CW156))</f>
        <v>9.5089695862892469</v>
      </c>
      <c r="CZ278" s="436">
        <f>IS!CZ11/AVERAGE(('BS and CFS'!CZ155+'BS and CFS'!CZ156),('BS and CFS'!CU155+'BS and CFS'!CU156))</f>
        <v>9.3571919217940334</v>
      </c>
      <c r="DA278" s="437">
        <f>(IS!DA11*4)/AVERAGE(('BS and CFS'!DA155+'BS and CFS'!DA156),('BS and CFS'!CY155+'BS and CFS'!CY156))</f>
        <v>9.4005026744860487</v>
      </c>
      <c r="DB278" s="437">
        <f>(IS!DB11*4)/AVERAGE(('BS and CFS'!DB155+'BS and CFS'!DB156),('BS and CFS'!CZ155+'BS and CFS'!CZ156))</f>
        <v>9.3417663527615176</v>
      </c>
      <c r="DC278" s="437">
        <f>(IS!DC11*4)/AVERAGE(('BS and CFS'!DC155+'BS and CFS'!DC156),('BS and CFS'!DA155+'BS and CFS'!DA156))</f>
        <v>9.0938780510213455</v>
      </c>
      <c r="DD278" s="437">
        <f>(IS!DD11*4)/AVERAGE(('BS and CFS'!DD155+'BS and CFS'!DD156),('BS and CFS'!DB155+'BS and CFS'!DB156))</f>
        <v>9.1042213382414054</v>
      </c>
      <c r="DE278" s="436">
        <f>IS!DE11/AVERAGE(('BS and CFS'!DE155+'BS and CFS'!DE156),('BS and CFS'!CZ155+'BS and CFS'!CZ156))</f>
        <v>9.1348555623847574</v>
      </c>
      <c r="DF278" s="437">
        <f>(IS!DF11*4)/AVERAGE(('BS and CFS'!DF155+'BS and CFS'!DF156),('BS and CFS'!DD155+'BS and CFS'!DD156))</f>
        <v>8.8747733520500667</v>
      </c>
      <c r="DG278" s="437">
        <f>(IS!DG11*4)/AVERAGE(('BS and CFS'!DG155+'BS and CFS'!DG156),('BS and CFS'!DE155+'BS and CFS'!DE156))</f>
        <v>8.8613167900740439</v>
      </c>
      <c r="DH278" s="437">
        <f>(IS!DH11*4)/AVERAGE(('BS and CFS'!DH155+'BS and CFS'!DH156),('BS and CFS'!DF155+'BS and CFS'!DF156))</f>
        <v>9.0549246216991097</v>
      </c>
      <c r="DI278" s="437">
        <f>(IS!DI11*4)/AVERAGE(('BS and CFS'!DI155+'BS and CFS'!DI156),('BS and CFS'!DG155+'BS and CFS'!DG156))</f>
        <v>8.8012888232763071</v>
      </c>
      <c r="DJ278" s="436">
        <f>IS!DJ11/AVERAGE(('BS and CFS'!DJ155+'BS and CFS'!DJ156),('BS and CFS'!DE155+'BS and CFS'!DE156))</f>
        <v>8.5329338585214565</v>
      </c>
      <c r="DK278" s="437">
        <f ca="1">(IS!DK11*4)/AVERAGE(('BS and CFS'!DK155+'BS and CFS'!DK156),('BS and CFS'!DI155+'BS and CFS'!DI156))</f>
        <v>8.573030900571009</v>
      </c>
      <c r="DL278" s="437">
        <f ca="1">(IS!DL11*4)/AVERAGE(('BS and CFS'!DL155+'BS and CFS'!DL156),('BS and CFS'!DJ155+'BS and CFS'!DJ156))</f>
        <v>8.6219549693212727</v>
      </c>
      <c r="DM278" s="437">
        <f ca="1">(IS!DM11*4)/AVERAGE(('BS and CFS'!DM155+'BS and CFS'!DM156),('BS and CFS'!DK155+'BS and CFS'!DK156))</f>
        <v>9.0111253819452148</v>
      </c>
      <c r="DN278" s="437">
        <f ca="1">(IS!DN11*4)/AVERAGE(('BS and CFS'!DN155+'BS and CFS'!DN156),('BS and CFS'!DL155+'BS and CFS'!DL156))</f>
        <v>8.5492475407396675</v>
      </c>
      <c r="DO278" s="436">
        <f ca="1">IS!DO11/AVERAGE(('BS and CFS'!DO155+'BS and CFS'!DO156),('BS and CFS'!DJ155+'BS and CFS'!DJ156))</f>
        <v>8.3191866993252699</v>
      </c>
      <c r="DP278" s="437">
        <f ca="1">(IS!DP11*4)/AVERAGE(('BS and CFS'!DP155+'BS and CFS'!DP156),('BS and CFS'!DN155+'BS and CFS'!DN156))</f>
        <v>8.756584532065915</v>
      </c>
      <c r="DQ278" s="437">
        <f ca="1">(IS!DQ11*4)/AVERAGE(('BS and CFS'!DQ155+'BS and CFS'!DQ156),('BS and CFS'!DO155+'BS and CFS'!DO156))</f>
        <v>8.804275231082622</v>
      </c>
      <c r="DR278" s="437">
        <f ca="1">(IS!DR11*4)/AVERAGE(('BS and CFS'!DR155+'BS and CFS'!DR156),('BS and CFS'!DP155+'BS and CFS'!DP156))</f>
        <v>9.0844217001265637</v>
      </c>
      <c r="DS278" s="437">
        <f ca="1">(IS!DS11*4)/AVERAGE(('BS and CFS'!DS155+'BS and CFS'!DS156),('BS and CFS'!DQ155+'BS and CFS'!DQ156))</f>
        <v>8.6096888372475959</v>
      </c>
      <c r="DT278" s="436">
        <f ca="1">IS!DT11/AVERAGE(('BS and CFS'!DT155+'BS and CFS'!DT156),('BS and CFS'!DO155+'BS and CFS'!DO156))</f>
        <v>8.4952030391408613</v>
      </c>
      <c r="DU278" s="437">
        <f ca="1">(IS!DU11*4)/AVERAGE(('BS and CFS'!DU155+'BS and CFS'!DU156),('BS and CFS'!DS155+'BS and CFS'!DS156))</f>
        <v>8.6755828411177713</v>
      </c>
      <c r="DV278" s="437">
        <f ca="1">(IS!DV11*4)/AVERAGE(('BS and CFS'!DV155+'BS and CFS'!DV156),('BS and CFS'!DT155+'BS and CFS'!DT156))</f>
        <v>8.7193568485136019</v>
      </c>
      <c r="DW278" s="437">
        <f ca="1">(IS!DW11*4)/AVERAGE(('BS and CFS'!DW155+'BS and CFS'!DW156),('BS and CFS'!DU155+'BS and CFS'!DU156))</f>
        <v>9.0436453001415273</v>
      </c>
      <c r="DX278" s="437">
        <f ca="1">(IS!DX11*4)/AVERAGE(('BS and CFS'!DX155+'BS and CFS'!DX156),('BS and CFS'!DV155+'BS and CFS'!DV156))</f>
        <v>8.57127149716632</v>
      </c>
      <c r="DY278" s="436">
        <f ca="1">IS!DY11/AVERAGE(('BS and CFS'!DY155+'BS and CFS'!DY156),('BS and CFS'!DT155+'BS and CFS'!DT156))</f>
        <v>8.4216873203409399</v>
      </c>
      <c r="DZ278" s="1848"/>
      <c r="EA278" s="1848"/>
      <c r="EB278" s="1848"/>
    </row>
    <row r="279" spans="1:132" x14ac:dyDescent="0.2">
      <c r="A279" s="1842"/>
      <c r="B279" s="1849" t="s">
        <v>482</v>
      </c>
      <c r="C279" s="1850"/>
      <c r="D279" s="1850"/>
      <c r="E279" s="1850"/>
      <c r="F279" s="1850"/>
      <c r="G279" s="1850"/>
      <c r="H279" s="1850"/>
      <c r="I279" s="2104"/>
      <c r="J279" s="1850"/>
      <c r="K279" s="1850"/>
      <c r="L279" s="1850"/>
      <c r="M279" s="1850"/>
      <c r="N279" s="2104">
        <f>365/N278</f>
        <v>41.79245331343045</v>
      </c>
      <c r="O279" s="1850"/>
      <c r="P279" s="1850"/>
      <c r="Q279" s="1850"/>
      <c r="R279" s="1850"/>
      <c r="S279" s="2104">
        <f>365/S278</f>
        <v>41.267362980510391</v>
      </c>
      <c r="T279" s="1850"/>
      <c r="U279" s="1850"/>
      <c r="V279" s="1850"/>
      <c r="W279" s="1850"/>
      <c r="X279" s="2104">
        <f>365/X278</f>
        <v>37.783865557645669</v>
      </c>
      <c r="Y279" s="1850"/>
      <c r="Z279" s="1850"/>
      <c r="AA279" s="1850"/>
      <c r="AB279" s="1850"/>
      <c r="AC279" s="2104">
        <f>365/AC278</f>
        <v>34.771642287685559</v>
      </c>
      <c r="AD279" s="1850"/>
      <c r="AE279" s="1850"/>
      <c r="AF279" s="1850"/>
      <c r="AG279" s="1850"/>
      <c r="AH279" s="2104">
        <f>365/AH278</f>
        <v>31.838037147138436</v>
      </c>
      <c r="AI279" s="1850"/>
      <c r="AJ279" s="1850"/>
      <c r="AK279" s="1850"/>
      <c r="AL279" s="1850"/>
      <c r="AM279" s="2104">
        <f>365/AM278</f>
        <v>32.682882728693123</v>
      </c>
      <c r="AN279" s="1850"/>
      <c r="AO279" s="1850"/>
      <c r="AP279" s="1850"/>
      <c r="AQ279" s="1850"/>
      <c r="AR279" s="2104">
        <f>365/AR278</f>
        <v>31.219759188846641</v>
      </c>
      <c r="AS279" s="1850"/>
      <c r="AT279" s="1850"/>
      <c r="AU279" s="1850"/>
      <c r="AV279" s="1850"/>
      <c r="AW279" s="2104">
        <f>365/AW278</f>
        <v>31.887007990923237</v>
      </c>
      <c r="AX279" s="1850"/>
      <c r="AY279" s="1850"/>
      <c r="AZ279" s="1850"/>
      <c r="BA279" s="1850"/>
      <c r="BB279" s="2104">
        <f>365/BB278</f>
        <v>31.695493938583997</v>
      </c>
      <c r="BC279" s="1850"/>
      <c r="BD279" s="1850"/>
      <c r="BE279" s="1850"/>
      <c r="BF279" s="1850"/>
      <c r="BG279" s="2104">
        <f>365/BG278</f>
        <v>30.328296840320206</v>
      </c>
      <c r="BH279" s="1850"/>
      <c r="BI279" s="1850"/>
      <c r="BJ279" s="1850"/>
      <c r="BK279" s="1850"/>
      <c r="BL279" s="2104">
        <f t="shared" ref="BL279:DJ279" si="306">365/BL278</f>
        <v>27.094772989183316</v>
      </c>
      <c r="BM279" s="2013">
        <f t="shared" si="306"/>
        <v>32.045984265836907</v>
      </c>
      <c r="BN279" s="2013">
        <f t="shared" si="306"/>
        <v>31.59172948810469</v>
      </c>
      <c r="BO279" s="2013">
        <f t="shared" si="306"/>
        <v>32.145188698155849</v>
      </c>
      <c r="BP279" s="2013">
        <f t="shared" si="306"/>
        <v>29.295491606144218</v>
      </c>
      <c r="BQ279" s="2104">
        <f t="shared" si="306"/>
        <v>33.481877380513581</v>
      </c>
      <c r="BR279" s="2013">
        <f t="shared" si="306"/>
        <v>32.091337773987846</v>
      </c>
      <c r="BS279" s="2013">
        <f t="shared" si="306"/>
        <v>30.337244372795663</v>
      </c>
      <c r="BT279" s="2013">
        <f t="shared" si="306"/>
        <v>31.077443811066622</v>
      </c>
      <c r="BU279" s="2013">
        <f t="shared" si="306"/>
        <v>29.731399603033537</v>
      </c>
      <c r="BV279" s="2104">
        <f t="shared" si="306"/>
        <v>30.863432786291007</v>
      </c>
      <c r="BW279" s="2013">
        <f t="shared" si="306"/>
        <v>31.566050015777847</v>
      </c>
      <c r="BX279" s="2013">
        <f t="shared" si="306"/>
        <v>15.256392531732239</v>
      </c>
      <c r="BY279" s="2013">
        <f t="shared" si="306"/>
        <v>31.565500503952045</v>
      </c>
      <c r="BZ279" s="2013">
        <f t="shared" si="306"/>
        <v>30.59314131786158</v>
      </c>
      <c r="CA279" s="2104">
        <f t="shared" si="306"/>
        <v>31.704330584589524</v>
      </c>
      <c r="CB279" s="2013">
        <f t="shared" si="306"/>
        <v>29.637139713190404</v>
      </c>
      <c r="CC279" s="2013">
        <f t="shared" si="306"/>
        <v>29.878506083402989</v>
      </c>
      <c r="CD279" s="2013">
        <f t="shared" si="306"/>
        <v>31.030773167100858</v>
      </c>
      <c r="CE279" s="2013">
        <f t="shared" si="306"/>
        <v>30.796714642204417</v>
      </c>
      <c r="CF279" s="2104">
        <f t="shared" si="306"/>
        <v>30.343669970064632</v>
      </c>
      <c r="CG279" s="2013">
        <f t="shared" si="306"/>
        <v>29.767714619427682</v>
      </c>
      <c r="CH279" s="2013">
        <f t="shared" si="306"/>
        <v>29.630281968874179</v>
      </c>
      <c r="CI279" s="2013">
        <f t="shared" si="306"/>
        <v>32.883812637419759</v>
      </c>
      <c r="CJ279" s="2013">
        <f t="shared" si="306"/>
        <v>31.986766346575287</v>
      </c>
      <c r="CK279" s="2104">
        <f t="shared" si="306"/>
        <v>30.651997509029719</v>
      </c>
      <c r="CL279" s="2013">
        <f t="shared" si="306"/>
        <v>33.345875858782414</v>
      </c>
      <c r="CM279" s="2013">
        <f t="shared" si="306"/>
        <v>32.703422595624119</v>
      </c>
      <c r="CN279" s="2013">
        <f t="shared" si="306"/>
        <v>33.660108665892864</v>
      </c>
      <c r="CO279" s="2013">
        <f t="shared" si="306"/>
        <v>33.181974747093463</v>
      </c>
      <c r="CP279" s="2104">
        <f t="shared" si="306"/>
        <v>33.907280011104888</v>
      </c>
      <c r="CQ279" s="2013">
        <f t="shared" si="306"/>
        <v>35.160581758360905</v>
      </c>
      <c r="CR279" s="2013">
        <f t="shared" si="306"/>
        <v>33.549739728837054</v>
      </c>
      <c r="CS279" s="2013">
        <f t="shared" si="306"/>
        <v>35.071755526020411</v>
      </c>
      <c r="CT279" s="2013">
        <f t="shared" si="306"/>
        <v>33.968102328944994</v>
      </c>
      <c r="CU279" s="2104">
        <f t="shared" si="306"/>
        <v>35.294616874159814</v>
      </c>
      <c r="CV279" s="2013">
        <f t="shared" si="306"/>
        <v>37.287707548139231</v>
      </c>
      <c r="CW279" s="2013">
        <f t="shared" si="306"/>
        <v>37.49167116288443</v>
      </c>
      <c r="CX279" s="2013">
        <f t="shared" si="306"/>
        <v>38.589575857940325</v>
      </c>
      <c r="CY279" s="2013">
        <f t="shared" si="306"/>
        <v>38.384810960620243</v>
      </c>
      <c r="CZ279" s="2104">
        <f t="shared" si="306"/>
        <v>39.007429050361871</v>
      </c>
      <c r="DA279" s="2013">
        <f>365/DA278</f>
        <v>38.82771088301994</v>
      </c>
      <c r="DB279" s="2013">
        <f>365/DB278</f>
        <v>39.071839972972825</v>
      </c>
      <c r="DC279" s="2013">
        <f>365/DC278</f>
        <v>40.136891868591348</v>
      </c>
      <c r="DD279" s="2013">
        <f>365/DD278</f>
        <v>40.091292427926</v>
      </c>
      <c r="DE279" s="2104">
        <f t="shared" si="306"/>
        <v>39.956844145734102</v>
      </c>
      <c r="DF279" s="2013">
        <f t="shared" si="306"/>
        <v>41.127810877072733</v>
      </c>
      <c r="DG279" s="2013">
        <f t="shared" si="306"/>
        <v>41.190266485998194</v>
      </c>
      <c r="DH279" s="2013">
        <f t="shared" si="306"/>
        <v>40.309556981326878</v>
      </c>
      <c r="DI279" s="2013">
        <f t="shared" si="306"/>
        <v>41.471198971985061</v>
      </c>
      <c r="DJ279" s="2104">
        <f t="shared" si="306"/>
        <v>42.775439966113289</v>
      </c>
      <c r="DK279" s="2013">
        <f t="shared" ref="DK279:DT279" ca="1" si="307">365/DK278</f>
        <v>42.575374360972972</v>
      </c>
      <c r="DL279" s="2013">
        <f t="shared" ca="1" si="307"/>
        <v>42.333786397487195</v>
      </c>
      <c r="DM279" s="2013">
        <f t="shared" ca="1" si="307"/>
        <v>40.505484557047424</v>
      </c>
      <c r="DN279" s="2013">
        <f t="shared" ca="1" si="307"/>
        <v>42.693815831237558</v>
      </c>
      <c r="DO279" s="2104">
        <f t="shared" ca="1" si="307"/>
        <v>43.874481147250059</v>
      </c>
      <c r="DP279" s="2013">
        <f t="shared" ca="1" si="307"/>
        <v>41.682918569837256</v>
      </c>
      <c r="DQ279" s="2013">
        <f t="shared" ca="1" si="307"/>
        <v>41.457131952372826</v>
      </c>
      <c r="DR279" s="2013">
        <f t="shared" ca="1" si="307"/>
        <v>40.178672022118356</v>
      </c>
      <c r="DS279" s="2013">
        <f t="shared" ca="1" si="307"/>
        <v>42.394098892508374</v>
      </c>
      <c r="DT279" s="2104">
        <f t="shared" ca="1" si="307"/>
        <v>42.965423936107975</v>
      </c>
      <c r="DU279" s="2013">
        <f t="shared" ref="DU279:DY279" ca="1" si="308">365/DU278</f>
        <v>42.072101285240336</v>
      </c>
      <c r="DV279" s="2013">
        <f t="shared" ca="1" si="308"/>
        <v>41.860885652618052</v>
      </c>
      <c r="DW279" s="2013">
        <f t="shared" ca="1" si="308"/>
        <v>40.359831449193166</v>
      </c>
      <c r="DX279" s="2013">
        <f t="shared" ca="1" si="308"/>
        <v>42.584113701295045</v>
      </c>
      <c r="DY279" s="2104">
        <f t="shared" ca="1" si="308"/>
        <v>43.340483458512388</v>
      </c>
      <c r="DZ279" s="1848"/>
      <c r="EA279" s="1848"/>
      <c r="EB279" s="1848"/>
    </row>
    <row r="280" spans="1:132" x14ac:dyDescent="0.2">
      <c r="A280" s="1842"/>
      <c r="B280" s="1849"/>
      <c r="C280" s="1850"/>
      <c r="D280" s="1850"/>
      <c r="E280" s="1850"/>
      <c r="F280" s="1850"/>
      <c r="G280" s="1850"/>
      <c r="H280" s="1850"/>
      <c r="I280" s="1851"/>
      <c r="J280" s="1850"/>
      <c r="K280" s="1850"/>
      <c r="L280" s="1850"/>
      <c r="M280" s="1850"/>
      <c r="N280" s="1851"/>
      <c r="O280" s="1850"/>
      <c r="P280" s="1850"/>
      <c r="Q280" s="1850"/>
      <c r="R280" s="1850"/>
      <c r="S280" s="1851"/>
      <c r="T280" s="1850"/>
      <c r="U280" s="1850"/>
      <c r="V280" s="1850"/>
      <c r="W280" s="1850"/>
      <c r="X280" s="1851"/>
      <c r="Y280" s="1850"/>
      <c r="Z280" s="1850"/>
      <c r="AA280" s="1850"/>
      <c r="AB280" s="1850"/>
      <c r="AC280" s="1851"/>
      <c r="AD280" s="1850"/>
      <c r="AE280" s="1850"/>
      <c r="AF280" s="1850"/>
      <c r="AG280" s="1850"/>
      <c r="AH280" s="1851"/>
      <c r="AI280" s="1850"/>
      <c r="AJ280" s="1850"/>
      <c r="AK280" s="1850"/>
      <c r="AL280" s="1850"/>
      <c r="AM280" s="1851"/>
      <c r="AN280" s="1850"/>
      <c r="AO280" s="1850"/>
      <c r="AP280" s="1850"/>
      <c r="AQ280" s="1850"/>
      <c r="AR280" s="1851"/>
      <c r="AS280" s="1850"/>
      <c r="AT280" s="1850"/>
      <c r="AU280" s="1850"/>
      <c r="AV280" s="1850"/>
      <c r="AW280" s="1851"/>
      <c r="AX280" s="1850"/>
      <c r="AY280" s="1850"/>
      <c r="AZ280" s="1850"/>
      <c r="BA280" s="1850"/>
      <c r="BB280" s="1851"/>
      <c r="BC280" s="1850"/>
      <c r="BD280" s="1850"/>
      <c r="BE280" s="1850"/>
      <c r="BF280" s="1850"/>
      <c r="BG280" s="1851"/>
      <c r="BH280" s="1850"/>
      <c r="BI280" s="1850"/>
      <c r="BJ280" s="1850"/>
      <c r="BK280" s="1850"/>
      <c r="BL280" s="1851"/>
      <c r="BM280" s="1850"/>
      <c r="BN280" s="1850"/>
      <c r="BO280" s="1850"/>
      <c r="BP280" s="1850"/>
      <c r="BQ280" s="1851"/>
      <c r="BR280" s="1850"/>
      <c r="BS280" s="1850"/>
      <c r="BT280" s="1850"/>
      <c r="BU280" s="1850"/>
      <c r="BV280" s="1851"/>
      <c r="BW280" s="1850"/>
      <c r="BX280" s="1850"/>
      <c r="BY280" s="1850"/>
      <c r="BZ280" s="1850"/>
      <c r="CA280" s="1851"/>
      <c r="CB280" s="1850"/>
      <c r="CC280" s="1850"/>
      <c r="CD280" s="1850"/>
      <c r="CE280" s="1850"/>
      <c r="CF280" s="1851"/>
      <c r="CG280" s="1850"/>
      <c r="CH280" s="1850"/>
      <c r="CI280" s="1850"/>
      <c r="CJ280" s="1850"/>
      <c r="CK280" s="1851"/>
      <c r="CL280" s="1850"/>
      <c r="CM280" s="1850"/>
      <c r="CN280" s="1850"/>
      <c r="CO280" s="1850"/>
      <c r="CP280" s="1851"/>
      <c r="CQ280" s="1850"/>
      <c r="CR280" s="1850"/>
      <c r="CS280" s="1850"/>
      <c r="CT280" s="1850"/>
      <c r="CU280" s="1851"/>
      <c r="CV280" s="1850"/>
      <c r="CW280" s="1850"/>
      <c r="CX280" s="1850"/>
      <c r="CY280" s="1850"/>
      <c r="CZ280" s="1851"/>
      <c r="DA280" s="1850"/>
      <c r="DB280" s="1850"/>
      <c r="DC280" s="1850"/>
      <c r="DD280" s="1850"/>
      <c r="DE280" s="1851"/>
      <c r="DF280" s="1850"/>
      <c r="DG280" s="1850"/>
      <c r="DH280" s="1850"/>
      <c r="DI280" s="1850"/>
      <c r="DJ280" s="1851"/>
      <c r="DK280" s="1850"/>
      <c r="DL280" s="1850"/>
      <c r="DM280" s="1850"/>
      <c r="DN280" s="1850"/>
      <c r="DO280" s="1851"/>
      <c r="DP280" s="1850"/>
      <c r="DQ280" s="1850"/>
      <c r="DR280" s="1850"/>
      <c r="DS280" s="1850"/>
      <c r="DT280" s="1851"/>
      <c r="DU280" s="1850"/>
      <c r="DV280" s="1850"/>
      <c r="DW280" s="1850"/>
      <c r="DX280" s="1850"/>
      <c r="DY280" s="1851"/>
      <c r="DZ280" s="1848"/>
      <c r="EA280" s="1848"/>
      <c r="EB280" s="1848"/>
    </row>
    <row r="281" spans="1:132" x14ac:dyDescent="0.2">
      <c r="A281" s="1842"/>
      <c r="B281" s="1942" t="s">
        <v>483</v>
      </c>
      <c r="C281" s="1850"/>
      <c r="D281" s="1850"/>
      <c r="E281" s="1850"/>
      <c r="F281" s="1850"/>
      <c r="G281" s="1850"/>
      <c r="H281" s="1850"/>
      <c r="I281" s="1851"/>
      <c r="J281" s="1850"/>
      <c r="K281" s="1850"/>
      <c r="L281" s="1850"/>
      <c r="M281" s="1850"/>
      <c r="N281" s="1851"/>
      <c r="O281" s="1850"/>
      <c r="P281" s="1850"/>
      <c r="Q281" s="1850"/>
      <c r="R281" s="1850"/>
      <c r="S281" s="1851"/>
      <c r="T281" s="1850"/>
      <c r="U281" s="1850"/>
      <c r="V281" s="1850"/>
      <c r="W281" s="1850"/>
      <c r="X281" s="1851"/>
      <c r="Y281" s="1850"/>
      <c r="Z281" s="1850"/>
      <c r="AA281" s="1850"/>
      <c r="AB281" s="1850"/>
      <c r="AC281" s="1851"/>
      <c r="AD281" s="1850"/>
      <c r="AE281" s="1850"/>
      <c r="AF281" s="1850"/>
      <c r="AG281" s="1850"/>
      <c r="AH281" s="1851"/>
      <c r="AI281" s="1850"/>
      <c r="AJ281" s="1850"/>
      <c r="AK281" s="1850"/>
      <c r="AL281" s="1850"/>
      <c r="AM281" s="1851"/>
      <c r="AN281" s="1850"/>
      <c r="AO281" s="1850"/>
      <c r="AP281" s="1850"/>
      <c r="AQ281" s="1850"/>
      <c r="AR281" s="1851"/>
      <c r="AS281" s="1850"/>
      <c r="AT281" s="1850"/>
      <c r="AU281" s="1850"/>
      <c r="AV281" s="1850"/>
      <c r="AW281" s="1851"/>
      <c r="AX281" s="1850"/>
      <c r="AY281" s="1850"/>
      <c r="AZ281" s="1850"/>
      <c r="BA281" s="1850"/>
      <c r="BB281" s="1851"/>
      <c r="BC281" s="1850"/>
      <c r="BD281" s="1850"/>
      <c r="BE281" s="1850"/>
      <c r="BF281" s="1850"/>
      <c r="BG281" s="1851"/>
      <c r="BH281" s="1850"/>
      <c r="BI281" s="1850"/>
      <c r="BJ281" s="1850"/>
      <c r="BK281" s="1850"/>
      <c r="BL281" s="1851"/>
      <c r="BM281" s="1850"/>
      <c r="BN281" s="1850"/>
      <c r="BO281" s="1850"/>
      <c r="BP281" s="1850"/>
      <c r="BQ281" s="1851"/>
      <c r="BR281" s="1850"/>
      <c r="BS281" s="1850"/>
      <c r="BT281" s="1850"/>
      <c r="BU281" s="1850"/>
      <c r="BV281" s="1851"/>
      <c r="BW281" s="1850"/>
      <c r="BX281" s="1850"/>
      <c r="BY281" s="1850"/>
      <c r="BZ281" s="1850"/>
      <c r="CA281" s="1851"/>
      <c r="CB281" s="1850"/>
      <c r="CC281" s="1850"/>
      <c r="CD281" s="1850"/>
      <c r="CE281" s="1850"/>
      <c r="CF281" s="1851"/>
      <c r="CG281" s="1850"/>
      <c r="CH281" s="1850"/>
      <c r="CI281" s="1850"/>
      <c r="CJ281" s="1850"/>
      <c r="CK281" s="1851"/>
      <c r="CL281" s="1850"/>
      <c r="CM281" s="1850"/>
      <c r="CN281" s="1850"/>
      <c r="CO281" s="1850"/>
      <c r="CP281" s="1851"/>
      <c r="CQ281" s="1850"/>
      <c r="CR281" s="1850"/>
      <c r="CS281" s="1850"/>
      <c r="CT281" s="1850"/>
      <c r="CU281" s="1851"/>
      <c r="CV281" s="1850"/>
      <c r="CW281" s="1850"/>
      <c r="CX281" s="1850"/>
      <c r="CY281" s="1850"/>
      <c r="CZ281" s="1851"/>
      <c r="DA281" s="1850"/>
      <c r="DB281" s="1850"/>
      <c r="DC281" s="1850"/>
      <c r="DD281" s="1850"/>
      <c r="DE281" s="1851"/>
      <c r="DF281" s="1850"/>
      <c r="DG281" s="1850"/>
      <c r="DH281" s="1850"/>
      <c r="DI281" s="1850"/>
      <c r="DJ281" s="1851"/>
      <c r="DK281" s="1850"/>
      <c r="DL281" s="1850"/>
      <c r="DM281" s="1850"/>
      <c r="DN281" s="1850"/>
      <c r="DO281" s="1851"/>
      <c r="DP281" s="1850"/>
      <c r="DQ281" s="1850"/>
      <c r="DR281" s="1850"/>
      <c r="DS281" s="1850"/>
      <c r="DT281" s="1851"/>
      <c r="DU281" s="1850"/>
      <c r="DV281" s="1850"/>
      <c r="DW281" s="1850"/>
      <c r="DX281" s="1850"/>
      <c r="DY281" s="1851"/>
      <c r="DZ281" s="1848"/>
      <c r="EA281" s="1848"/>
      <c r="EB281" s="1848"/>
    </row>
    <row r="282" spans="1:132" x14ac:dyDescent="0.2">
      <c r="A282" s="1842"/>
      <c r="B282" s="1849" t="s">
        <v>484</v>
      </c>
      <c r="C282" s="1850"/>
      <c r="D282" s="1850"/>
      <c r="E282" s="1850"/>
      <c r="F282" s="1850"/>
      <c r="G282" s="1850"/>
      <c r="H282" s="1850"/>
      <c r="I282" s="2104"/>
      <c r="J282" s="1850"/>
      <c r="K282" s="1850"/>
      <c r="L282" s="1850"/>
      <c r="M282" s="1850"/>
      <c r="N282" s="2104">
        <f>N263</f>
        <v>95.510419839895036</v>
      </c>
      <c r="O282" s="1850"/>
      <c r="P282" s="1850"/>
      <c r="Q282" s="1850"/>
      <c r="R282" s="1850"/>
      <c r="S282" s="2104">
        <f>S263</f>
        <v>99.444519220415643</v>
      </c>
      <c r="T282" s="1850"/>
      <c r="U282" s="1850"/>
      <c r="V282" s="1850"/>
      <c r="W282" s="1850"/>
      <c r="X282" s="2104">
        <f>X263</f>
        <v>91.487829476690166</v>
      </c>
      <c r="Y282" s="1850"/>
      <c r="Z282" s="1850"/>
      <c r="AA282" s="1850"/>
      <c r="AB282" s="1850"/>
      <c r="AC282" s="2104">
        <f>AC263</f>
        <v>86.790921376088235</v>
      </c>
      <c r="AD282" s="1850"/>
      <c r="AE282" s="1850"/>
      <c r="AF282" s="1850"/>
      <c r="AG282" s="1850"/>
      <c r="AH282" s="2104">
        <f>AH263</f>
        <v>82.439487867362715</v>
      </c>
      <c r="AI282" s="1850"/>
      <c r="AJ282" s="1850"/>
      <c r="AK282" s="1850"/>
      <c r="AL282" s="1850"/>
      <c r="AM282" s="2104">
        <f>AM263</f>
        <v>79.926308612189231</v>
      </c>
      <c r="AN282" s="1850"/>
      <c r="AO282" s="1850"/>
      <c r="AP282" s="1850"/>
      <c r="AQ282" s="1850"/>
      <c r="AR282" s="2104">
        <f>AR263</f>
        <v>74.299011406844102</v>
      </c>
      <c r="AS282" s="1850"/>
      <c r="AT282" s="1850"/>
      <c r="AU282" s="1850"/>
      <c r="AV282" s="1850"/>
      <c r="AW282" s="2104">
        <f>AW263</f>
        <v>76.600644414996168</v>
      </c>
      <c r="AX282" s="1850"/>
      <c r="AY282" s="1850"/>
      <c r="AZ282" s="1850"/>
      <c r="BA282" s="1850"/>
      <c r="BB282" s="2104">
        <f>BB263</f>
        <v>74.66288751139605</v>
      </c>
      <c r="BC282" s="1850"/>
      <c r="BD282" s="1850"/>
      <c r="BE282" s="1850"/>
      <c r="BF282" s="1850"/>
      <c r="BG282" s="2104">
        <f>BG263</f>
        <v>72.983046647048553</v>
      </c>
      <c r="BH282" s="1850"/>
      <c r="BI282" s="1850"/>
      <c r="BJ282" s="1850"/>
      <c r="BK282" s="1850"/>
      <c r="BL282" s="2104">
        <f t="shared" ref="BL282:DJ282" si="309">BL263</f>
        <v>61.190616925243688</v>
      </c>
      <c r="BM282" s="2013">
        <f t="shared" si="309"/>
        <v>61.616628748227193</v>
      </c>
      <c r="BN282" s="2013">
        <f t="shared" si="309"/>
        <v>62.055085465728752</v>
      </c>
      <c r="BO282" s="2013">
        <f t="shared" si="309"/>
        <v>64.570324683763644</v>
      </c>
      <c r="BP282" s="2013">
        <f t="shared" si="309"/>
        <v>56.584697972020386</v>
      </c>
      <c r="BQ282" s="2104">
        <f t="shared" si="309"/>
        <v>63.928401568486564</v>
      </c>
      <c r="BR282" s="2013">
        <f t="shared" si="309"/>
        <v>61.540288881150488</v>
      </c>
      <c r="BS282" s="2013">
        <f t="shared" si="309"/>
        <v>61.351954563244703</v>
      </c>
      <c r="BT282" s="2013">
        <f t="shared" si="309"/>
        <v>63.810412593529044</v>
      </c>
      <c r="BU282" s="2013">
        <f t="shared" si="309"/>
        <v>62.317342615012109</v>
      </c>
      <c r="BV282" s="2104">
        <f t="shared" si="309"/>
        <v>64.275079035317489</v>
      </c>
      <c r="BW282" s="2013">
        <f t="shared" si="309"/>
        <v>67.298343826012314</v>
      </c>
      <c r="BX282" s="2013">
        <f t="shared" si="309"/>
        <v>33.121881769268398</v>
      </c>
      <c r="BY282" s="2013">
        <f t="shared" si="309"/>
        <v>67.217847305600671</v>
      </c>
      <c r="BZ282" s="2013">
        <f t="shared" si="309"/>
        <v>64.573907498154</v>
      </c>
      <c r="CA282" s="2104">
        <f t="shared" si="309"/>
        <v>66.953265323916639</v>
      </c>
      <c r="CB282" s="2013">
        <f t="shared" si="309"/>
        <v>65.295639953383144</v>
      </c>
      <c r="CC282" s="2013">
        <f t="shared" si="309"/>
        <v>64.027637258869561</v>
      </c>
      <c r="CD282" s="2013">
        <f t="shared" si="309"/>
        <v>63.843326754236713</v>
      </c>
      <c r="CE282" s="2013">
        <f t="shared" si="309"/>
        <v>59.361061984031188</v>
      </c>
      <c r="CF282" s="2104">
        <f t="shared" si="309"/>
        <v>63.511997744917252</v>
      </c>
      <c r="CG282" s="2013">
        <f t="shared" si="309"/>
        <v>59.004423052920615</v>
      </c>
      <c r="CH282" s="2013">
        <f t="shared" si="309"/>
        <v>58.950287138710081</v>
      </c>
      <c r="CI282" s="2013">
        <f t="shared" si="309"/>
        <v>62.281587213539822</v>
      </c>
      <c r="CJ282" s="2013">
        <f t="shared" si="309"/>
        <v>59.376957923832926</v>
      </c>
      <c r="CK282" s="2104">
        <f t="shared" si="309"/>
        <v>59.649330206004663</v>
      </c>
      <c r="CL282" s="2013">
        <f t="shared" si="309"/>
        <v>60.690260731418604</v>
      </c>
      <c r="CM282" s="2013">
        <f>CM263</f>
        <v>60.317892437807863</v>
      </c>
      <c r="CN282" s="2013">
        <f t="shared" si="309"/>
        <v>60.006793478260867</v>
      </c>
      <c r="CO282" s="2013">
        <f t="shared" si="309"/>
        <v>57.384212133550484</v>
      </c>
      <c r="CP282" s="2104">
        <f t="shared" si="309"/>
        <v>60.597564968439002</v>
      </c>
      <c r="CQ282" s="2013">
        <f>CQ263</f>
        <v>61.552969392832438</v>
      </c>
      <c r="CR282" s="2013">
        <f t="shared" si="309"/>
        <v>60.594435388263186</v>
      </c>
      <c r="CS282" s="2013">
        <f t="shared" si="309"/>
        <v>62.109055494193854</v>
      </c>
      <c r="CT282" s="2013">
        <f t="shared" si="309"/>
        <v>60.041035710249751</v>
      </c>
      <c r="CU282" s="2104">
        <f t="shared" si="309"/>
        <v>61.845198850101696</v>
      </c>
      <c r="CV282" s="2013">
        <f t="shared" si="309"/>
        <v>65.032070757722352</v>
      </c>
      <c r="CW282" s="2013">
        <f t="shared" si="309"/>
        <v>64.33823316185385</v>
      </c>
      <c r="CX282" s="2013">
        <f t="shared" si="309"/>
        <v>64.987079435208173</v>
      </c>
      <c r="CY282" s="2013">
        <f t="shared" si="309"/>
        <v>60.485136543694374</v>
      </c>
      <c r="CZ282" s="2104">
        <f t="shared" si="309"/>
        <v>65.721225416169545</v>
      </c>
      <c r="DA282" s="2013">
        <f>DA263</f>
        <v>63.321928450676211</v>
      </c>
      <c r="DB282" s="2013">
        <f>DB263</f>
        <v>64.285241040667643</v>
      </c>
      <c r="DC282" s="2013">
        <f>DC263</f>
        <v>64.011403635063814</v>
      </c>
      <c r="DD282" s="2013">
        <f>DD263</f>
        <v>63.329270076844104</v>
      </c>
      <c r="DE282" s="2104">
        <f t="shared" si="309"/>
        <v>64.720477479876905</v>
      </c>
      <c r="DF282" s="2013">
        <f t="shared" si="309"/>
        <v>68.567836922520101</v>
      </c>
      <c r="DG282" s="2013">
        <f t="shared" si="309"/>
        <v>67.73612972016528</v>
      </c>
      <c r="DH282" s="2013">
        <f t="shared" si="309"/>
        <v>66.255230329597993</v>
      </c>
      <c r="DI282" s="2013">
        <f t="shared" si="309"/>
        <v>64.516014449030692</v>
      </c>
      <c r="DJ282" s="2104">
        <f t="shared" si="309"/>
        <v>69.085295047216903</v>
      </c>
      <c r="DK282" s="2013">
        <f t="shared" ref="DK282:DT282" ca="1" si="310">DK263</f>
        <v>69.609177263481769</v>
      </c>
      <c r="DL282" s="2013">
        <f t="shared" ca="1" si="310"/>
        <v>69.809035451059628</v>
      </c>
      <c r="DM282" s="2013">
        <f t="shared" ca="1" si="310"/>
        <v>72.178214673570338</v>
      </c>
      <c r="DN282" s="2013">
        <f t="shared" ca="1" si="310"/>
        <v>70.888185227379751</v>
      </c>
      <c r="DO282" s="2104">
        <f t="shared" ca="1" si="310"/>
        <v>70.271575932476765</v>
      </c>
      <c r="DP282" s="2013">
        <f t="shared" ca="1" si="310"/>
        <v>72.189649208312403</v>
      </c>
      <c r="DQ282" s="2013">
        <f t="shared" ca="1" si="310"/>
        <v>72.467815939457424</v>
      </c>
      <c r="DR282" s="2013">
        <f t="shared" ca="1" si="310"/>
        <v>74.847167127688792</v>
      </c>
      <c r="DS282" s="2013">
        <f t="shared" ca="1" si="310"/>
        <v>73.595726675460227</v>
      </c>
      <c r="DT282" s="2104">
        <f t="shared" ca="1" si="310"/>
        <v>72.901188651200997</v>
      </c>
      <c r="DU282" s="2013">
        <f t="shared" ref="DU282:DY282" ca="1" si="311">DU263</f>
        <v>73.985678016063773</v>
      </c>
      <c r="DV282" s="2013">
        <f t="shared" ca="1" si="311"/>
        <v>74.275008042210715</v>
      </c>
      <c r="DW282" s="2013">
        <f t="shared" ca="1" si="311"/>
        <v>75.865698951833494</v>
      </c>
      <c r="DX282" s="2013">
        <f t="shared" ca="1" si="311"/>
        <v>74.612075937345935</v>
      </c>
      <c r="DY282" s="2104">
        <f t="shared" ca="1" si="311"/>
        <v>74.647147108883814</v>
      </c>
      <c r="DZ282" s="1848"/>
      <c r="EA282" s="1848"/>
      <c r="EB282" s="1848"/>
    </row>
    <row r="283" spans="1:132" x14ac:dyDescent="0.2">
      <c r="A283" s="1842"/>
      <c r="B283" s="2105" t="s">
        <v>485</v>
      </c>
      <c r="C283" s="1850"/>
      <c r="D283" s="1850"/>
      <c r="E283" s="1850"/>
      <c r="F283" s="1850"/>
      <c r="G283" s="1850"/>
      <c r="H283" s="1850"/>
      <c r="I283" s="2104"/>
      <c r="J283" s="1850"/>
      <c r="K283" s="1850"/>
      <c r="L283" s="1850"/>
      <c r="M283" s="1850"/>
      <c r="N283" s="2104">
        <f>N275</f>
        <v>12.009489421058477</v>
      </c>
      <c r="O283" s="1850"/>
      <c r="P283" s="1850"/>
      <c r="Q283" s="1850"/>
      <c r="R283" s="1850"/>
      <c r="S283" s="2104">
        <f>S275</f>
        <v>15.54050780431594</v>
      </c>
      <c r="T283" s="1850"/>
      <c r="U283" s="1850"/>
      <c r="V283" s="1850"/>
      <c r="W283" s="1850"/>
      <c r="X283" s="2104">
        <f>X275</f>
        <v>14.103230690175319</v>
      </c>
      <c r="Y283" s="1850"/>
      <c r="Z283" s="1850"/>
      <c r="AA283" s="1850"/>
      <c r="AB283" s="1850"/>
      <c r="AC283" s="2104">
        <f>AC275</f>
        <v>14.981580584940884</v>
      </c>
      <c r="AD283" s="1850"/>
      <c r="AE283" s="1850"/>
      <c r="AF283" s="1850"/>
      <c r="AG283" s="1850"/>
      <c r="AH283" s="2104">
        <f>AH275</f>
        <v>15.85615114156483</v>
      </c>
      <c r="AI283" s="1850"/>
      <c r="AJ283" s="1850"/>
      <c r="AK283" s="1850"/>
      <c r="AL283" s="1850"/>
      <c r="AM283" s="2104">
        <f>AM275</f>
        <v>15.385501312987198</v>
      </c>
      <c r="AN283" s="1850"/>
      <c r="AO283" s="1850"/>
      <c r="AP283" s="1850"/>
      <c r="AQ283" s="1850"/>
      <c r="AR283" s="2104">
        <f>AR275</f>
        <v>18.527305551376557</v>
      </c>
      <c r="AS283" s="1850"/>
      <c r="AT283" s="1850"/>
      <c r="AU283" s="1850"/>
      <c r="AV283" s="1850"/>
      <c r="AW283" s="2104">
        <f>AW275</f>
        <v>21.047482701026009</v>
      </c>
      <c r="AX283" s="1850"/>
      <c r="AY283" s="1850"/>
      <c r="AZ283" s="1850"/>
      <c r="BA283" s="1850"/>
      <c r="BB283" s="2104">
        <f>BB275</f>
        <v>18.144119848567957</v>
      </c>
      <c r="BC283" s="1850"/>
      <c r="BD283" s="1850"/>
      <c r="BE283" s="1850"/>
      <c r="BF283" s="1850"/>
      <c r="BG283" s="2104">
        <f>BG275</f>
        <v>19.872509211993801</v>
      </c>
      <c r="BH283" s="1850"/>
      <c r="BI283" s="1850"/>
      <c r="BJ283" s="1850"/>
      <c r="BK283" s="1850"/>
      <c r="BL283" s="2104">
        <f t="shared" ref="BL283:DJ283" si="312">BL275</f>
        <v>21.899187077080292</v>
      </c>
      <c r="BM283" s="2013">
        <f t="shared" si="312"/>
        <v>19.783099268498546</v>
      </c>
      <c r="BN283" s="2013">
        <f t="shared" si="312"/>
        <v>19.241218194632996</v>
      </c>
      <c r="BO283" s="2013">
        <f t="shared" si="312"/>
        <v>20.991515045486356</v>
      </c>
      <c r="BP283" s="2013">
        <f t="shared" si="312"/>
        <v>20.350977748506764</v>
      </c>
      <c r="BQ283" s="2104">
        <f t="shared" si="312"/>
        <v>22.467438114411603</v>
      </c>
      <c r="BR283" s="2013">
        <f t="shared" si="312"/>
        <v>20.900138497642544</v>
      </c>
      <c r="BS283" s="2013">
        <f t="shared" si="312"/>
        <v>20.251687701790431</v>
      </c>
      <c r="BT283" s="2013">
        <f t="shared" si="312"/>
        <v>21.081049959621616</v>
      </c>
      <c r="BU283" s="2013">
        <f t="shared" si="312"/>
        <v>19.283992332119897</v>
      </c>
      <c r="BV283" s="2104">
        <f t="shared" si="312"/>
        <v>20.174487915898993</v>
      </c>
      <c r="BW283" s="2013">
        <f t="shared" si="312"/>
        <v>19.774673821548824</v>
      </c>
      <c r="BX283" s="2013">
        <f t="shared" si="312"/>
        <v>19.388772024826093</v>
      </c>
      <c r="BY283" s="2013">
        <f t="shared" si="312"/>
        <v>19.534188481675393</v>
      </c>
      <c r="BZ283" s="2013">
        <f t="shared" si="312"/>
        <v>18.142434701869121</v>
      </c>
      <c r="CA283" s="2104">
        <f t="shared" si="312"/>
        <v>18.645047866988893</v>
      </c>
      <c r="CB283" s="2013">
        <f t="shared" si="312"/>
        <v>18.856452859350849</v>
      </c>
      <c r="CC283" s="2013">
        <f t="shared" si="312"/>
        <v>20.190206166209773</v>
      </c>
      <c r="CD283" s="2013">
        <f t="shared" si="312"/>
        <v>20.18693296843368</v>
      </c>
      <c r="CE283" s="2013">
        <f t="shared" si="312"/>
        <v>19.486130239785286</v>
      </c>
      <c r="CF283" s="2104">
        <f t="shared" si="312"/>
        <v>20.531674418604652</v>
      </c>
      <c r="CG283" s="2013">
        <f t="shared" si="312"/>
        <v>18.100079550620169</v>
      </c>
      <c r="CH283" s="2013">
        <f t="shared" si="312"/>
        <v>18.193909045919828</v>
      </c>
      <c r="CI283" s="2013">
        <f t="shared" si="312"/>
        <v>19.341414879926425</v>
      </c>
      <c r="CJ283" s="2013">
        <f t="shared" si="312"/>
        <v>18.814462954704723</v>
      </c>
      <c r="CK283" s="2104">
        <f t="shared" si="312"/>
        <v>19.187639127225118</v>
      </c>
      <c r="CL283" s="2013">
        <f t="shared" si="312"/>
        <v>19.680907258719891</v>
      </c>
      <c r="CM283" s="2013">
        <f>CM275</f>
        <v>20.712686770160296</v>
      </c>
      <c r="CN283" s="2013">
        <f t="shared" si="312"/>
        <v>22.935168183282709</v>
      </c>
      <c r="CO283" s="2013">
        <f t="shared" si="312"/>
        <v>24.262067505536113</v>
      </c>
      <c r="CP283" s="2104">
        <f t="shared" si="312"/>
        <v>25.12501054733367</v>
      </c>
      <c r="CQ283" s="2013">
        <f>CQ275</f>
        <v>25.363273160002326</v>
      </c>
      <c r="CR283" s="2013">
        <f t="shared" si="312"/>
        <v>25.140349178641198</v>
      </c>
      <c r="CS283" s="2013">
        <f t="shared" si="312"/>
        <v>28.213134367566983</v>
      </c>
      <c r="CT283" s="2013">
        <f t="shared" si="312"/>
        <v>23.854583554849103</v>
      </c>
      <c r="CU283" s="2104">
        <f t="shared" si="312"/>
        <v>25.370192980379073</v>
      </c>
      <c r="CV283" s="2013">
        <f t="shared" si="312"/>
        <v>25.522754296535243</v>
      </c>
      <c r="CW283" s="2013">
        <f t="shared" si="312"/>
        <v>26.739962710760881</v>
      </c>
      <c r="CX283" s="2013">
        <f t="shared" si="312"/>
        <v>30.23438080570855</v>
      </c>
      <c r="CY283" s="2013">
        <f t="shared" si="312"/>
        <v>26.364419897940817</v>
      </c>
      <c r="CZ283" s="2104">
        <f t="shared" si="312"/>
        <v>28.306664857401046</v>
      </c>
      <c r="DA283" s="2013">
        <f>DA275</f>
        <v>27.502747888464654</v>
      </c>
      <c r="DB283" s="2013">
        <f>DB275</f>
        <v>27.511503637482189</v>
      </c>
      <c r="DC283" s="2013">
        <f>DC275</f>
        <v>27.866888938697748</v>
      </c>
      <c r="DD283" s="2013">
        <f>DD275</f>
        <v>24.144790651538354</v>
      </c>
      <c r="DE283" s="2104">
        <f t="shared" si="312"/>
        <v>25.009561952722549</v>
      </c>
      <c r="DF283" s="2013">
        <f t="shared" si="312"/>
        <v>24.832916232342477</v>
      </c>
      <c r="DG283" s="2013">
        <f t="shared" si="312"/>
        <v>24.515696326545442</v>
      </c>
      <c r="DH283" s="2013">
        <f t="shared" si="312"/>
        <v>24.580236386852359</v>
      </c>
      <c r="DI283" s="2013">
        <f t="shared" si="312"/>
        <v>24.85816960405343</v>
      </c>
      <c r="DJ283" s="2104">
        <f t="shared" si="312"/>
        <v>26.038793755140524</v>
      </c>
      <c r="DK283" s="2013">
        <f t="shared" ref="DK283:DT283" si="313">DK275</f>
        <v>24.832916232342477</v>
      </c>
      <c r="DL283" s="2013">
        <f t="shared" si="313"/>
        <v>24.515696326545442</v>
      </c>
      <c r="DM283" s="2013">
        <f t="shared" si="313"/>
        <v>24.580236386852359</v>
      </c>
      <c r="DN283" s="2013">
        <f t="shared" si="313"/>
        <v>24.85816960405343</v>
      </c>
      <c r="DO283" s="2104">
        <f t="shared" ca="1" si="313"/>
        <v>25.56792935734595</v>
      </c>
      <c r="DP283" s="2013">
        <f t="shared" si="313"/>
        <v>24.332916232342477</v>
      </c>
      <c r="DQ283" s="2013">
        <f t="shared" si="313"/>
        <v>24.015696326545442</v>
      </c>
      <c r="DR283" s="2013">
        <f t="shared" si="313"/>
        <v>24.080236386852359</v>
      </c>
      <c r="DS283" s="2013">
        <f t="shared" si="313"/>
        <v>24.35816960405343</v>
      </c>
      <c r="DT283" s="2104">
        <f t="shared" ca="1" si="313"/>
        <v>25.014069995894463</v>
      </c>
      <c r="DU283" s="2013">
        <f t="shared" ref="DU283:DY283" si="314">DU275</f>
        <v>23.832916232342477</v>
      </c>
      <c r="DV283" s="2013">
        <f t="shared" si="314"/>
        <v>23.515696326545442</v>
      </c>
      <c r="DW283" s="2013">
        <f t="shared" si="314"/>
        <v>23.580236386852359</v>
      </c>
      <c r="DX283" s="2013">
        <f t="shared" si="314"/>
        <v>23.85816960405343</v>
      </c>
      <c r="DY283" s="2104">
        <f t="shared" ca="1" si="314"/>
        <v>24.453215819890978</v>
      </c>
      <c r="DZ283" s="1848"/>
      <c r="EA283" s="1848"/>
      <c r="EB283" s="1848"/>
    </row>
    <row r="284" spans="1:132" x14ac:dyDescent="0.2">
      <c r="A284" s="1842"/>
      <c r="B284" s="2105" t="s">
        <v>486</v>
      </c>
      <c r="C284" s="2106"/>
      <c r="D284" s="2106"/>
      <c r="E284" s="2106"/>
      <c r="F284" s="2106"/>
      <c r="G284" s="2106"/>
      <c r="H284" s="2106"/>
      <c r="I284" s="2107"/>
      <c r="J284" s="2106"/>
      <c r="K284" s="2106"/>
      <c r="L284" s="2106"/>
      <c r="M284" s="2106"/>
      <c r="N284" s="2107">
        <f>N279</f>
        <v>41.79245331343045</v>
      </c>
      <c r="O284" s="2106"/>
      <c r="P284" s="2106"/>
      <c r="Q284" s="2106"/>
      <c r="R284" s="2106"/>
      <c r="S284" s="2107">
        <f>S279</f>
        <v>41.267362980510391</v>
      </c>
      <c r="T284" s="2106"/>
      <c r="U284" s="2106"/>
      <c r="V284" s="2106"/>
      <c r="W284" s="2106"/>
      <c r="X284" s="2107">
        <f>X279</f>
        <v>37.783865557645669</v>
      </c>
      <c r="Y284" s="2106"/>
      <c r="Z284" s="2106"/>
      <c r="AA284" s="2106"/>
      <c r="AB284" s="2106"/>
      <c r="AC284" s="2107">
        <f>AC279</f>
        <v>34.771642287685559</v>
      </c>
      <c r="AD284" s="2106"/>
      <c r="AE284" s="2106"/>
      <c r="AF284" s="2106"/>
      <c r="AG284" s="2106"/>
      <c r="AH284" s="2107">
        <f>AH279</f>
        <v>31.838037147138436</v>
      </c>
      <c r="AI284" s="2106"/>
      <c r="AJ284" s="2106"/>
      <c r="AK284" s="2106"/>
      <c r="AL284" s="2106"/>
      <c r="AM284" s="2107">
        <f>AM279</f>
        <v>32.682882728693123</v>
      </c>
      <c r="AN284" s="2106"/>
      <c r="AO284" s="2106"/>
      <c r="AP284" s="2106"/>
      <c r="AQ284" s="2106"/>
      <c r="AR284" s="2107">
        <f>AR279</f>
        <v>31.219759188846641</v>
      </c>
      <c r="AS284" s="2106"/>
      <c r="AT284" s="2106"/>
      <c r="AU284" s="2106"/>
      <c r="AV284" s="2106"/>
      <c r="AW284" s="2107">
        <f>AW279</f>
        <v>31.887007990923237</v>
      </c>
      <c r="AX284" s="2106"/>
      <c r="AY284" s="2106"/>
      <c r="AZ284" s="2106"/>
      <c r="BA284" s="2106"/>
      <c r="BB284" s="2107">
        <f>BB279</f>
        <v>31.695493938583997</v>
      </c>
      <c r="BC284" s="2106"/>
      <c r="BD284" s="2106"/>
      <c r="BE284" s="2106"/>
      <c r="BF284" s="2106"/>
      <c r="BG284" s="2107">
        <f>BG279</f>
        <v>30.328296840320206</v>
      </c>
      <c r="BH284" s="2106"/>
      <c r="BI284" s="2106"/>
      <c r="BJ284" s="2106"/>
      <c r="BK284" s="2106"/>
      <c r="BL284" s="2107">
        <f t="shared" ref="BL284:DJ284" si="315">BL279</f>
        <v>27.094772989183316</v>
      </c>
      <c r="BM284" s="2108">
        <f t="shared" si="315"/>
        <v>32.045984265836907</v>
      </c>
      <c r="BN284" s="2108">
        <f t="shared" si="315"/>
        <v>31.59172948810469</v>
      </c>
      <c r="BO284" s="2108">
        <f t="shared" si="315"/>
        <v>32.145188698155849</v>
      </c>
      <c r="BP284" s="2108">
        <f t="shared" si="315"/>
        <v>29.295491606144218</v>
      </c>
      <c r="BQ284" s="2107">
        <f t="shared" si="315"/>
        <v>33.481877380513581</v>
      </c>
      <c r="BR284" s="2108">
        <f t="shared" si="315"/>
        <v>32.091337773987846</v>
      </c>
      <c r="BS284" s="2108">
        <f t="shared" si="315"/>
        <v>30.337244372795663</v>
      </c>
      <c r="BT284" s="2108">
        <f t="shared" si="315"/>
        <v>31.077443811066622</v>
      </c>
      <c r="BU284" s="2108">
        <f t="shared" si="315"/>
        <v>29.731399603033537</v>
      </c>
      <c r="BV284" s="2107">
        <f t="shared" si="315"/>
        <v>30.863432786291007</v>
      </c>
      <c r="BW284" s="2108">
        <f t="shared" si="315"/>
        <v>31.566050015777847</v>
      </c>
      <c r="BX284" s="2108">
        <f t="shared" si="315"/>
        <v>15.256392531732239</v>
      </c>
      <c r="BY284" s="2108">
        <f t="shared" si="315"/>
        <v>31.565500503952045</v>
      </c>
      <c r="BZ284" s="2108">
        <f t="shared" si="315"/>
        <v>30.59314131786158</v>
      </c>
      <c r="CA284" s="2107">
        <f t="shared" si="315"/>
        <v>31.704330584589524</v>
      </c>
      <c r="CB284" s="2108">
        <f t="shared" si="315"/>
        <v>29.637139713190404</v>
      </c>
      <c r="CC284" s="2108">
        <f t="shared" si="315"/>
        <v>29.878506083402989</v>
      </c>
      <c r="CD284" s="2108">
        <f t="shared" si="315"/>
        <v>31.030773167100858</v>
      </c>
      <c r="CE284" s="2108">
        <f t="shared" si="315"/>
        <v>30.796714642204417</v>
      </c>
      <c r="CF284" s="2107">
        <f t="shared" si="315"/>
        <v>30.343669970064632</v>
      </c>
      <c r="CG284" s="2108">
        <f t="shared" si="315"/>
        <v>29.767714619427682</v>
      </c>
      <c r="CH284" s="2108">
        <f t="shared" si="315"/>
        <v>29.630281968874179</v>
      </c>
      <c r="CI284" s="2108">
        <f t="shared" si="315"/>
        <v>32.883812637419759</v>
      </c>
      <c r="CJ284" s="2108">
        <f t="shared" si="315"/>
        <v>31.986766346575287</v>
      </c>
      <c r="CK284" s="2107">
        <f t="shared" si="315"/>
        <v>30.651997509029719</v>
      </c>
      <c r="CL284" s="2108">
        <f t="shared" si="315"/>
        <v>33.345875858782414</v>
      </c>
      <c r="CM284" s="2108">
        <f>CM279</f>
        <v>32.703422595624119</v>
      </c>
      <c r="CN284" s="2108">
        <f t="shared" si="315"/>
        <v>33.660108665892864</v>
      </c>
      <c r="CO284" s="2108">
        <f t="shared" si="315"/>
        <v>33.181974747093463</v>
      </c>
      <c r="CP284" s="2107">
        <f t="shared" si="315"/>
        <v>33.907280011104888</v>
      </c>
      <c r="CQ284" s="2108">
        <f>CQ279</f>
        <v>35.160581758360905</v>
      </c>
      <c r="CR284" s="2108">
        <f t="shared" si="315"/>
        <v>33.549739728837054</v>
      </c>
      <c r="CS284" s="2108">
        <f t="shared" si="315"/>
        <v>35.071755526020411</v>
      </c>
      <c r="CT284" s="2108">
        <f t="shared" si="315"/>
        <v>33.968102328944994</v>
      </c>
      <c r="CU284" s="2107">
        <f t="shared" si="315"/>
        <v>35.294616874159814</v>
      </c>
      <c r="CV284" s="2108">
        <f t="shared" si="315"/>
        <v>37.287707548139231</v>
      </c>
      <c r="CW284" s="2108">
        <f t="shared" si="315"/>
        <v>37.49167116288443</v>
      </c>
      <c r="CX284" s="2108">
        <f t="shared" si="315"/>
        <v>38.589575857940325</v>
      </c>
      <c r="CY284" s="2108">
        <f t="shared" si="315"/>
        <v>38.384810960620243</v>
      </c>
      <c r="CZ284" s="2107">
        <f t="shared" si="315"/>
        <v>39.007429050361871</v>
      </c>
      <c r="DA284" s="2108">
        <f>DA279</f>
        <v>38.82771088301994</v>
      </c>
      <c r="DB284" s="2108">
        <f>DB279</f>
        <v>39.071839972972825</v>
      </c>
      <c r="DC284" s="2108">
        <f>DC279</f>
        <v>40.136891868591348</v>
      </c>
      <c r="DD284" s="2108">
        <f>DD279</f>
        <v>40.091292427926</v>
      </c>
      <c r="DE284" s="2107">
        <f t="shared" si="315"/>
        <v>39.956844145734102</v>
      </c>
      <c r="DF284" s="2108">
        <f t="shared" si="315"/>
        <v>41.127810877072733</v>
      </c>
      <c r="DG284" s="2108">
        <f t="shared" si="315"/>
        <v>41.190266485998194</v>
      </c>
      <c r="DH284" s="2108">
        <f t="shared" si="315"/>
        <v>40.309556981326878</v>
      </c>
      <c r="DI284" s="2108">
        <f t="shared" si="315"/>
        <v>41.471198971985061</v>
      </c>
      <c r="DJ284" s="2107">
        <f t="shared" si="315"/>
        <v>42.775439966113289</v>
      </c>
      <c r="DK284" s="2108">
        <f t="shared" ref="DK284:DT284" ca="1" si="316">DK279</f>
        <v>42.575374360972972</v>
      </c>
      <c r="DL284" s="2108">
        <f t="shared" ca="1" si="316"/>
        <v>42.333786397487195</v>
      </c>
      <c r="DM284" s="2108">
        <f t="shared" ca="1" si="316"/>
        <v>40.505484557047424</v>
      </c>
      <c r="DN284" s="2108">
        <f t="shared" ca="1" si="316"/>
        <v>42.693815831237558</v>
      </c>
      <c r="DO284" s="2107">
        <f t="shared" ca="1" si="316"/>
        <v>43.874481147250059</v>
      </c>
      <c r="DP284" s="2108">
        <f t="shared" ca="1" si="316"/>
        <v>41.682918569837256</v>
      </c>
      <c r="DQ284" s="2108">
        <f t="shared" ca="1" si="316"/>
        <v>41.457131952372826</v>
      </c>
      <c r="DR284" s="2108">
        <f t="shared" ca="1" si="316"/>
        <v>40.178672022118356</v>
      </c>
      <c r="DS284" s="2108">
        <f t="shared" ca="1" si="316"/>
        <v>42.394098892508374</v>
      </c>
      <c r="DT284" s="2107">
        <f t="shared" ca="1" si="316"/>
        <v>42.965423936107975</v>
      </c>
      <c r="DU284" s="2108">
        <f t="shared" ref="DU284:DY284" ca="1" si="317">DU279</f>
        <v>42.072101285240336</v>
      </c>
      <c r="DV284" s="2108">
        <f t="shared" ca="1" si="317"/>
        <v>41.860885652618052</v>
      </c>
      <c r="DW284" s="2108">
        <f t="shared" ca="1" si="317"/>
        <v>40.359831449193166</v>
      </c>
      <c r="DX284" s="2108">
        <f t="shared" ca="1" si="317"/>
        <v>42.584113701295045</v>
      </c>
      <c r="DY284" s="2107">
        <f t="shared" ca="1" si="317"/>
        <v>43.340483458512388</v>
      </c>
      <c r="DZ284" s="1848"/>
      <c r="EA284" s="1848"/>
      <c r="EB284" s="1848"/>
    </row>
    <row r="285" spans="1:132" x14ac:dyDescent="0.2">
      <c r="A285" s="1842"/>
      <c r="B285" s="2109" t="s">
        <v>487</v>
      </c>
      <c r="C285" s="1850"/>
      <c r="D285" s="1850"/>
      <c r="E285" s="1850"/>
      <c r="F285" s="1850"/>
      <c r="G285" s="1850"/>
      <c r="H285" s="1850"/>
      <c r="I285" s="2110"/>
      <c r="J285" s="1850"/>
      <c r="K285" s="1850"/>
      <c r="L285" s="1850"/>
      <c r="M285" s="1850"/>
      <c r="N285" s="2110">
        <f>N282+N283-N284</f>
        <v>65.727455947523055</v>
      </c>
      <c r="O285" s="1850"/>
      <c r="P285" s="1850"/>
      <c r="Q285" s="1850"/>
      <c r="R285" s="1850"/>
      <c r="S285" s="2110">
        <f>S282+S283-S284</f>
        <v>73.717664044221181</v>
      </c>
      <c r="T285" s="1850"/>
      <c r="U285" s="1850"/>
      <c r="V285" s="1850"/>
      <c r="W285" s="1850"/>
      <c r="X285" s="2110">
        <f>X282+X283-X284</f>
        <v>67.80719460921982</v>
      </c>
      <c r="Y285" s="1850"/>
      <c r="Z285" s="1850"/>
      <c r="AA285" s="1850"/>
      <c r="AB285" s="1850"/>
      <c r="AC285" s="2110">
        <f>AC282+AC283-AC284</f>
        <v>67.00085967334357</v>
      </c>
      <c r="AD285" s="1850"/>
      <c r="AE285" s="1850"/>
      <c r="AF285" s="1850"/>
      <c r="AG285" s="1850"/>
      <c r="AH285" s="2110">
        <f>AH282+AH283-AH284</f>
        <v>66.457601861789101</v>
      </c>
      <c r="AI285" s="1850"/>
      <c r="AJ285" s="1850"/>
      <c r="AK285" s="1850"/>
      <c r="AL285" s="1850"/>
      <c r="AM285" s="2110">
        <f>AM282+AM283-AM284</f>
        <v>62.628927196483311</v>
      </c>
      <c r="AN285" s="1850"/>
      <c r="AO285" s="1850"/>
      <c r="AP285" s="1850"/>
      <c r="AQ285" s="1850"/>
      <c r="AR285" s="2110">
        <f>AR282+AR283-AR284</f>
        <v>61.606557769374021</v>
      </c>
      <c r="AS285" s="1850"/>
      <c r="AT285" s="1850"/>
      <c r="AU285" s="1850"/>
      <c r="AV285" s="1850"/>
      <c r="AW285" s="2110">
        <f>AW282+AW283-AW284</f>
        <v>65.761119125098944</v>
      </c>
      <c r="AX285" s="1850"/>
      <c r="AY285" s="1850"/>
      <c r="AZ285" s="1850"/>
      <c r="BA285" s="1850"/>
      <c r="BB285" s="2110">
        <f>BB282+BB283-BB284</f>
        <v>61.11151342138001</v>
      </c>
      <c r="BC285" s="1850"/>
      <c r="BD285" s="1850"/>
      <c r="BE285" s="1850"/>
      <c r="BF285" s="1850"/>
      <c r="BG285" s="2110">
        <f>BG282+BG283-BG284</f>
        <v>62.527259018722148</v>
      </c>
      <c r="BH285" s="1850"/>
      <c r="BI285" s="1850"/>
      <c r="BJ285" s="1850"/>
      <c r="BK285" s="1850"/>
      <c r="BL285" s="2110">
        <f t="shared" ref="BL285:DJ285" si="318">BL282+BL283-BL284</f>
        <v>55.995031013140661</v>
      </c>
      <c r="BM285" s="2111">
        <f t="shared" si="318"/>
        <v>49.353743750888825</v>
      </c>
      <c r="BN285" s="2111">
        <f t="shared" si="318"/>
        <v>49.704574172257054</v>
      </c>
      <c r="BO285" s="2111">
        <f t="shared" si="318"/>
        <v>53.416651031094148</v>
      </c>
      <c r="BP285" s="2111">
        <f t="shared" si="318"/>
        <v>47.640184114382926</v>
      </c>
      <c r="BQ285" s="2110">
        <f t="shared" si="318"/>
        <v>52.91396230238459</v>
      </c>
      <c r="BR285" s="2111">
        <f t="shared" si="318"/>
        <v>50.349089604805187</v>
      </c>
      <c r="BS285" s="2111">
        <f t="shared" si="318"/>
        <v>51.266397892239468</v>
      </c>
      <c r="BT285" s="2111">
        <f t="shared" si="318"/>
        <v>53.814018742084038</v>
      </c>
      <c r="BU285" s="2111">
        <f t="shared" si="318"/>
        <v>51.869935344098465</v>
      </c>
      <c r="BV285" s="2110">
        <f t="shared" si="318"/>
        <v>53.586134164925475</v>
      </c>
      <c r="BW285" s="2111">
        <f t="shared" si="318"/>
        <v>55.506967631783283</v>
      </c>
      <c r="BX285" s="2111">
        <f t="shared" si="318"/>
        <v>37.254261262362256</v>
      </c>
      <c r="BY285" s="2111">
        <f t="shared" si="318"/>
        <v>55.186535283324027</v>
      </c>
      <c r="BZ285" s="2111">
        <f t="shared" si="318"/>
        <v>52.123200882161541</v>
      </c>
      <c r="CA285" s="2110">
        <f t="shared" si="318"/>
        <v>53.893982606316001</v>
      </c>
      <c r="CB285" s="2111">
        <f t="shared" si="318"/>
        <v>54.51495309954359</v>
      </c>
      <c r="CC285" s="2111">
        <f t="shared" si="318"/>
        <v>54.339337341676348</v>
      </c>
      <c r="CD285" s="2111">
        <f t="shared" si="318"/>
        <v>52.999486555569533</v>
      </c>
      <c r="CE285" s="2111">
        <f t="shared" si="318"/>
        <v>48.050477581612057</v>
      </c>
      <c r="CF285" s="2110">
        <f t="shared" si="318"/>
        <v>53.700002193457273</v>
      </c>
      <c r="CG285" s="2111">
        <f t="shared" si="318"/>
        <v>47.336787984113101</v>
      </c>
      <c r="CH285" s="2111">
        <f t="shared" si="318"/>
        <v>47.513914215755726</v>
      </c>
      <c r="CI285" s="2111">
        <f t="shared" si="318"/>
        <v>48.739189456046496</v>
      </c>
      <c r="CJ285" s="2111">
        <f t="shared" si="318"/>
        <v>46.204654531962369</v>
      </c>
      <c r="CK285" s="2110">
        <f t="shared" si="318"/>
        <v>48.184971824200055</v>
      </c>
      <c r="CL285" s="2111">
        <f t="shared" si="318"/>
        <v>47.025292131356089</v>
      </c>
      <c r="CM285" s="2111">
        <f t="shared" si="318"/>
        <v>48.327156612344041</v>
      </c>
      <c r="CN285" s="2111">
        <f t="shared" si="318"/>
        <v>49.281852995650709</v>
      </c>
      <c r="CO285" s="2111">
        <f t="shared" si="318"/>
        <v>48.464304891993137</v>
      </c>
      <c r="CP285" s="2110">
        <f t="shared" si="318"/>
        <v>51.815295504667787</v>
      </c>
      <c r="CQ285" s="2111">
        <f t="shared" si="318"/>
        <v>51.755660794473854</v>
      </c>
      <c r="CR285" s="2111">
        <f t="shared" si="318"/>
        <v>52.185044838067327</v>
      </c>
      <c r="CS285" s="2111">
        <f t="shared" si="318"/>
        <v>55.250434335740422</v>
      </c>
      <c r="CT285" s="2111">
        <f t="shared" si="318"/>
        <v>49.927516936153864</v>
      </c>
      <c r="CU285" s="2110">
        <f t="shared" si="318"/>
        <v>51.920774956320955</v>
      </c>
      <c r="CV285" s="2111">
        <f t="shared" si="318"/>
        <v>53.26711750611836</v>
      </c>
      <c r="CW285" s="2111">
        <f t="shared" si="318"/>
        <v>53.586524709730298</v>
      </c>
      <c r="CX285" s="2111">
        <f t="shared" si="318"/>
        <v>56.631884382976402</v>
      </c>
      <c r="CY285" s="2111">
        <f t="shared" si="318"/>
        <v>48.464745481014944</v>
      </c>
      <c r="CZ285" s="2110">
        <f t="shared" si="318"/>
        <v>55.02046122320872</v>
      </c>
      <c r="DA285" s="2111">
        <f>DA282+DA283-DA284</f>
        <v>51.996965456120925</v>
      </c>
      <c r="DB285" s="2111">
        <f>DB282+DB283-DB284</f>
        <v>52.724904705177011</v>
      </c>
      <c r="DC285" s="2111">
        <f>DC282+DC283-DC284</f>
        <v>51.741400705170221</v>
      </c>
      <c r="DD285" s="2111">
        <f>DD282+DD283-DD284</f>
        <v>47.382768300456455</v>
      </c>
      <c r="DE285" s="2110">
        <f t="shared" si="318"/>
        <v>49.773195286865352</v>
      </c>
      <c r="DF285" s="2111">
        <f t="shared" si="318"/>
        <v>52.272942277789838</v>
      </c>
      <c r="DG285" s="2111">
        <f t="shared" si="318"/>
        <v>51.061559560712524</v>
      </c>
      <c r="DH285" s="2111">
        <f t="shared" si="318"/>
        <v>50.525909735123477</v>
      </c>
      <c r="DI285" s="2111">
        <f t="shared" si="318"/>
        <v>47.902985081099061</v>
      </c>
      <c r="DJ285" s="2110">
        <f t="shared" si="318"/>
        <v>52.348648836244131</v>
      </c>
      <c r="DK285" s="2111">
        <f t="shared" ref="DK285:DT285" ca="1" si="319">DK282+DK283-DK284</f>
        <v>51.86671913485128</v>
      </c>
      <c r="DL285" s="2111">
        <f t="shared" ca="1" si="319"/>
        <v>51.990945380117871</v>
      </c>
      <c r="DM285" s="2111">
        <f t="shared" ca="1" si="319"/>
        <v>56.252966503375276</v>
      </c>
      <c r="DN285" s="2111">
        <f t="shared" ca="1" si="319"/>
        <v>53.052539000195623</v>
      </c>
      <c r="DO285" s="2110">
        <f t="shared" ca="1" si="319"/>
        <v>51.965024142572652</v>
      </c>
      <c r="DP285" s="2111">
        <f t="shared" ca="1" si="319"/>
        <v>54.839646870817631</v>
      </c>
      <c r="DQ285" s="2111">
        <f t="shared" ca="1" si="319"/>
        <v>55.026380313630035</v>
      </c>
      <c r="DR285" s="2111">
        <f t="shared" ca="1" si="319"/>
        <v>58.748731492422799</v>
      </c>
      <c r="DS285" s="2111">
        <f t="shared" ca="1" si="319"/>
        <v>55.559797387005283</v>
      </c>
      <c r="DT285" s="2110">
        <f t="shared" ca="1" si="319"/>
        <v>54.949834710987481</v>
      </c>
      <c r="DU285" s="2111">
        <f t="shared" ref="DU285:DY285" ca="1" si="320">DU282+DU283-DU284</f>
        <v>55.746492963165906</v>
      </c>
      <c r="DV285" s="2111">
        <f t="shared" ca="1" si="320"/>
        <v>55.929818716138101</v>
      </c>
      <c r="DW285" s="2111">
        <f t="shared" ca="1" si="320"/>
        <v>59.086103889492691</v>
      </c>
      <c r="DX285" s="2111">
        <f t="shared" ca="1" si="320"/>
        <v>55.886131840104319</v>
      </c>
      <c r="DY285" s="2110">
        <f t="shared" ca="1" si="320"/>
        <v>55.759879470262398</v>
      </c>
      <c r="DZ285" s="1848"/>
      <c r="EA285" s="1848"/>
      <c r="EB285" s="1848"/>
    </row>
    <row r="286" spans="1:132" ht="12" thickBot="1" x14ac:dyDescent="0.25">
      <c r="A286" s="1842"/>
      <c r="B286" s="2112"/>
      <c r="C286" s="2040"/>
      <c r="D286" s="2040"/>
      <c r="E286" s="2040"/>
      <c r="F286" s="2040"/>
      <c r="G286" s="2040"/>
      <c r="H286" s="2040"/>
      <c r="I286" s="2113"/>
      <c r="J286" s="2040"/>
      <c r="K286" s="2040"/>
      <c r="L286" s="2040"/>
      <c r="M286" s="2040"/>
      <c r="N286" s="2113"/>
      <c r="O286" s="2040"/>
      <c r="P286" s="2040"/>
      <c r="Q286" s="2040"/>
      <c r="R286" s="2040"/>
      <c r="S286" s="2113"/>
      <c r="T286" s="2040"/>
      <c r="U286" s="2040"/>
      <c r="V286" s="2040"/>
      <c r="W286" s="2040"/>
      <c r="X286" s="2113"/>
      <c r="Y286" s="2040"/>
      <c r="Z286" s="2040"/>
      <c r="AA286" s="2040"/>
      <c r="AB286" s="2040"/>
      <c r="AC286" s="2113"/>
      <c r="AD286" s="2040"/>
      <c r="AE286" s="2040"/>
      <c r="AF286" s="2040"/>
      <c r="AG286" s="2040"/>
      <c r="AH286" s="2113"/>
      <c r="AI286" s="2040"/>
      <c r="AJ286" s="2040"/>
      <c r="AK286" s="2040"/>
      <c r="AL286" s="2040"/>
      <c r="AM286" s="2113"/>
      <c r="AN286" s="2040"/>
      <c r="AO286" s="2040"/>
      <c r="AP286" s="2040"/>
      <c r="AQ286" s="2040"/>
      <c r="AR286" s="2114"/>
      <c r="AS286" s="2040"/>
      <c r="AT286" s="2040"/>
      <c r="AU286" s="2040"/>
      <c r="AV286" s="2040"/>
      <c r="AW286" s="2114"/>
      <c r="AX286" s="2040"/>
      <c r="AY286" s="2040"/>
      <c r="AZ286" s="2040"/>
      <c r="BA286" s="2040"/>
      <c r="BB286" s="2114"/>
      <c r="BC286" s="2040"/>
      <c r="BD286" s="2040"/>
      <c r="BE286" s="2040"/>
      <c r="BF286" s="2040"/>
      <c r="BG286" s="2114"/>
      <c r="BH286" s="2040"/>
      <c r="BI286" s="2040"/>
      <c r="BJ286" s="2040"/>
      <c r="BK286" s="2040"/>
      <c r="BL286" s="2114"/>
      <c r="BM286" s="2040"/>
      <c r="BN286" s="2040"/>
      <c r="BO286" s="2040"/>
      <c r="BP286" s="2040"/>
      <c r="BQ286" s="2114"/>
      <c r="BR286" s="2040"/>
      <c r="BS286" s="2040"/>
      <c r="BT286" s="2040"/>
      <c r="BU286" s="2040"/>
      <c r="BV286" s="2114"/>
      <c r="BW286" s="2040"/>
      <c r="BX286" s="2040"/>
      <c r="BY286" s="2040"/>
      <c r="BZ286" s="2040"/>
      <c r="CA286" s="2114"/>
      <c r="CB286" s="2040"/>
      <c r="CC286" s="2040"/>
      <c r="CD286" s="2040"/>
      <c r="CE286" s="2040"/>
      <c r="CF286" s="2114"/>
      <c r="CG286" s="2040"/>
      <c r="CH286" s="2040"/>
      <c r="CI286" s="2040"/>
      <c r="CJ286" s="2040"/>
      <c r="CK286" s="2114"/>
      <c r="CL286" s="2040"/>
      <c r="CM286" s="2040"/>
      <c r="CN286" s="2040"/>
      <c r="CO286" s="2040"/>
      <c r="CP286" s="2114"/>
      <c r="CQ286" s="2040"/>
      <c r="CR286" s="2040"/>
      <c r="CS286" s="2040"/>
      <c r="CT286" s="2040"/>
      <c r="CU286" s="2114"/>
      <c r="CV286" s="2040"/>
      <c r="CW286" s="2040"/>
      <c r="CX286" s="2040"/>
      <c r="CY286" s="2040"/>
      <c r="CZ286" s="2114"/>
      <c r="DA286" s="2040"/>
      <c r="DB286" s="2040"/>
      <c r="DC286" s="2040"/>
      <c r="DD286" s="2040"/>
      <c r="DE286" s="2114"/>
      <c r="DF286" s="2040"/>
      <c r="DG286" s="2040"/>
      <c r="DH286" s="2040"/>
      <c r="DI286" s="2040"/>
      <c r="DJ286" s="2114"/>
      <c r="DK286" s="2040"/>
      <c r="DL286" s="2040"/>
      <c r="DM286" s="2040"/>
      <c r="DN286" s="2040"/>
      <c r="DO286" s="2114"/>
      <c r="DP286" s="2040"/>
      <c r="DQ286" s="2040"/>
      <c r="DR286" s="2040"/>
      <c r="DS286" s="2040"/>
      <c r="DT286" s="2114"/>
      <c r="DU286" s="2040"/>
      <c r="DV286" s="2040"/>
      <c r="DW286" s="2040"/>
      <c r="DX286" s="2040"/>
      <c r="DY286" s="2114"/>
      <c r="DZ286" s="1848"/>
      <c r="EA286" s="1848"/>
      <c r="EB286" s="1848"/>
    </row>
    <row r="287" spans="1:132" ht="12" thickBot="1" x14ac:dyDescent="0.25">
      <c r="A287" s="1833"/>
      <c r="B287" s="1841"/>
      <c r="C287" s="1841"/>
      <c r="D287" s="1841"/>
      <c r="E287" s="1841"/>
      <c r="F287" s="1841"/>
      <c r="G287" s="1841"/>
      <c r="H287" s="1841"/>
      <c r="I287" s="1841"/>
      <c r="J287" s="1841"/>
      <c r="K287" s="1841"/>
      <c r="L287" s="1841"/>
      <c r="M287" s="1841"/>
      <c r="N287" s="1841"/>
      <c r="O287" s="1841"/>
      <c r="P287" s="1841"/>
      <c r="Q287" s="1841"/>
      <c r="R287" s="1841"/>
      <c r="S287" s="1841"/>
      <c r="T287" s="1841"/>
      <c r="U287" s="1841"/>
      <c r="V287" s="1841"/>
      <c r="W287" s="1841"/>
      <c r="X287" s="1841"/>
      <c r="Y287" s="1841"/>
      <c r="Z287" s="1841"/>
      <c r="AA287" s="1841"/>
      <c r="AB287" s="1841"/>
      <c r="AC287" s="1841"/>
      <c r="AD287" s="1841"/>
      <c r="AE287" s="1841"/>
      <c r="AF287" s="1841"/>
      <c r="AG287" s="1841"/>
      <c r="AH287" s="1841"/>
      <c r="AI287" s="1841"/>
      <c r="AJ287" s="1841"/>
      <c r="AK287" s="1841"/>
      <c r="AL287" s="1841"/>
      <c r="AM287" s="1841"/>
      <c r="AN287" s="1841"/>
      <c r="AO287" s="1841"/>
      <c r="AP287" s="1841"/>
      <c r="AQ287" s="1841"/>
      <c r="AR287" s="1841"/>
      <c r="AS287" s="1841"/>
      <c r="AT287" s="1841"/>
      <c r="AU287" s="1841"/>
      <c r="AV287" s="1841"/>
      <c r="AW287" s="1841"/>
      <c r="AX287" s="1841"/>
      <c r="AY287" s="1841"/>
      <c r="AZ287" s="1841"/>
      <c r="BA287" s="1841"/>
      <c r="BB287" s="1841"/>
      <c r="BC287" s="1841"/>
      <c r="BD287" s="1841"/>
      <c r="BE287" s="1841"/>
      <c r="BF287" s="1841"/>
      <c r="BG287" s="1841"/>
      <c r="BH287" s="1841"/>
      <c r="BI287" s="1841"/>
      <c r="BJ287" s="1841"/>
      <c r="BK287" s="1841"/>
      <c r="BL287" s="1841"/>
      <c r="BM287" s="1841"/>
      <c r="BN287" s="1841"/>
      <c r="BO287" s="1841"/>
      <c r="BP287" s="1841"/>
      <c r="BQ287" s="1841"/>
      <c r="BR287" s="1841"/>
      <c r="BS287" s="1841"/>
      <c r="BT287" s="1841"/>
      <c r="BU287" s="1841"/>
      <c r="BV287" s="1841"/>
      <c r="BW287" s="1841"/>
      <c r="BX287" s="1841"/>
      <c r="BY287" s="1841"/>
      <c r="BZ287" s="1841"/>
      <c r="CA287" s="1841"/>
      <c r="CB287" s="1841"/>
      <c r="CC287" s="1841"/>
      <c r="CD287" s="1841"/>
      <c r="CE287" s="1841"/>
      <c r="CF287" s="1841"/>
      <c r="CG287" s="1841"/>
      <c r="CH287" s="1841"/>
      <c r="CI287" s="1841"/>
      <c r="CJ287" s="1841"/>
      <c r="CK287" s="1841"/>
      <c r="CL287" s="1841"/>
      <c r="CM287" s="1841"/>
      <c r="CN287" s="1841"/>
      <c r="CO287" s="1841"/>
      <c r="CP287" s="1841"/>
      <c r="CQ287" s="1841"/>
      <c r="CR287" s="1841"/>
      <c r="CS287" s="1841"/>
      <c r="CT287" s="1841"/>
      <c r="CU287" s="1841"/>
      <c r="CV287" s="1841"/>
      <c r="CW287" s="1841"/>
      <c r="CX287" s="1841"/>
      <c r="CY287" s="1841"/>
      <c r="CZ287" s="1841"/>
      <c r="DA287" s="1841"/>
      <c r="DB287" s="1841"/>
      <c r="DC287" s="1841"/>
      <c r="DD287" s="1841"/>
      <c r="DE287" s="1841"/>
      <c r="DF287" s="1841"/>
      <c r="DG287" s="1841"/>
      <c r="DH287" s="1841"/>
      <c r="DI287" s="1841"/>
      <c r="DJ287" s="1841"/>
      <c r="DK287" s="1841"/>
      <c r="DL287" s="1841"/>
      <c r="DM287" s="1841"/>
      <c r="DN287" s="1841"/>
      <c r="DO287" s="1841"/>
      <c r="DP287" s="1841"/>
      <c r="DQ287" s="1841"/>
      <c r="DR287" s="1841"/>
      <c r="DS287" s="1841"/>
      <c r="DT287" s="1841"/>
      <c r="DU287" s="1841"/>
      <c r="DV287" s="1841"/>
      <c r="DW287" s="1841"/>
      <c r="DX287" s="1841"/>
      <c r="DY287" s="1841"/>
      <c r="DZ287" s="1838"/>
      <c r="EA287" s="1838"/>
      <c r="EB287" s="1838"/>
    </row>
    <row r="288" spans="1:132" ht="12" thickBot="1" x14ac:dyDescent="0.25">
      <c r="A288" s="1842"/>
      <c r="B288" s="427" t="s">
        <v>332</v>
      </c>
      <c r="C288" s="1981"/>
      <c r="D288" s="1981"/>
      <c r="E288" s="1981"/>
      <c r="F288" s="1981"/>
      <c r="G288" s="1981"/>
      <c r="H288" s="1981"/>
      <c r="I288" s="2051"/>
      <c r="J288" s="1981"/>
      <c r="K288" s="1981"/>
      <c r="L288" s="1981"/>
      <c r="M288" s="1981"/>
      <c r="N288" s="2051"/>
      <c r="O288" s="1981"/>
      <c r="P288" s="1981"/>
      <c r="Q288" s="1981"/>
      <c r="R288" s="1981"/>
      <c r="S288" s="2051"/>
      <c r="T288" s="1981"/>
      <c r="U288" s="1981"/>
      <c r="V288" s="1981"/>
      <c r="W288" s="1981"/>
      <c r="X288" s="2051"/>
      <c r="Y288" s="1981"/>
      <c r="Z288" s="1981"/>
      <c r="AA288" s="1981"/>
      <c r="AB288" s="1981"/>
      <c r="AC288" s="2051"/>
      <c r="AD288" s="1981"/>
      <c r="AE288" s="1981"/>
      <c r="AF288" s="1981"/>
      <c r="AG288" s="1981"/>
      <c r="AH288" s="2051"/>
      <c r="AI288" s="1981"/>
      <c r="AJ288" s="1981"/>
      <c r="AK288" s="1981"/>
      <c r="AL288" s="1981"/>
      <c r="AM288" s="2051"/>
      <c r="AN288" s="1981"/>
      <c r="AO288" s="1981"/>
      <c r="AP288" s="1981"/>
      <c r="AQ288" s="1981"/>
      <c r="AR288" s="2051"/>
      <c r="AS288" s="1981"/>
      <c r="AT288" s="1981"/>
      <c r="AU288" s="1981"/>
      <c r="AV288" s="1981"/>
      <c r="AW288" s="2051"/>
      <c r="AX288" s="1981"/>
      <c r="AY288" s="1981"/>
      <c r="AZ288" s="1981"/>
      <c r="BA288" s="1981"/>
      <c r="BB288" s="2051"/>
      <c r="BC288" s="1981"/>
      <c r="BD288" s="1981"/>
      <c r="BE288" s="1981"/>
      <c r="BF288" s="1981"/>
      <c r="BG288" s="2051"/>
      <c r="BH288" s="1981"/>
      <c r="BI288" s="1981"/>
      <c r="BJ288" s="1981"/>
      <c r="BK288" s="1981"/>
      <c r="BL288" s="2051"/>
      <c r="BM288" s="1981"/>
      <c r="BN288" s="1981"/>
      <c r="BO288" s="1981"/>
      <c r="BP288" s="1981"/>
      <c r="BQ288" s="2051"/>
      <c r="BR288" s="1981"/>
      <c r="BS288" s="1981"/>
      <c r="BT288" s="1981"/>
      <c r="BU288" s="1981"/>
      <c r="BV288" s="2051"/>
      <c r="BW288" s="1981"/>
      <c r="BX288" s="1981"/>
      <c r="BY288" s="1981"/>
      <c r="BZ288" s="1981"/>
      <c r="CA288" s="2051"/>
      <c r="CB288" s="1981"/>
      <c r="CC288" s="1981"/>
      <c r="CD288" s="1981"/>
      <c r="CE288" s="1981"/>
      <c r="CF288" s="2051"/>
      <c r="CG288" s="1981"/>
      <c r="CH288" s="1981"/>
      <c r="CI288" s="1981"/>
      <c r="CJ288" s="1981"/>
      <c r="CK288" s="2051"/>
      <c r="CL288" s="1981"/>
      <c r="CM288" s="1981"/>
      <c r="CN288" s="1981"/>
      <c r="CO288" s="1981"/>
      <c r="CP288" s="2051"/>
      <c r="CQ288" s="1981"/>
      <c r="CR288" s="1981"/>
      <c r="CS288" s="1981"/>
      <c r="CT288" s="1981"/>
      <c r="CU288" s="2051"/>
      <c r="CV288" s="1981"/>
      <c r="CW288" s="1981"/>
      <c r="CX288" s="1981"/>
      <c r="CY288" s="1981"/>
      <c r="CZ288" s="2051"/>
      <c r="DA288" s="1981"/>
      <c r="DB288" s="1981"/>
      <c r="DC288" s="1981"/>
      <c r="DD288" s="1981"/>
      <c r="DE288" s="2051"/>
      <c r="DF288" s="1981"/>
      <c r="DG288" s="1981"/>
      <c r="DH288" s="1981"/>
      <c r="DI288" s="1981"/>
      <c r="DJ288" s="2051"/>
      <c r="DK288" s="1981"/>
      <c r="DL288" s="1981"/>
      <c r="DM288" s="1981"/>
      <c r="DN288" s="1981"/>
      <c r="DO288" s="2051"/>
      <c r="DP288" s="1981"/>
      <c r="DQ288" s="1981"/>
      <c r="DR288" s="1981"/>
      <c r="DS288" s="1981"/>
      <c r="DT288" s="2051"/>
      <c r="DU288" s="1981"/>
      <c r="DV288" s="1981"/>
      <c r="DW288" s="1981"/>
      <c r="DX288" s="1981"/>
      <c r="DY288" s="2051"/>
      <c r="DZ288" s="1848"/>
      <c r="EA288" s="1848"/>
      <c r="EB288" s="1848"/>
    </row>
    <row r="289" spans="1:132" ht="6" customHeight="1" x14ac:dyDescent="0.2">
      <c r="A289" s="1842"/>
      <c r="B289" s="1942"/>
      <c r="C289" s="2090"/>
      <c r="D289" s="1850"/>
      <c r="E289" s="1850"/>
      <c r="F289" s="1850"/>
      <c r="G289" s="1850"/>
      <c r="H289" s="1850"/>
      <c r="I289" s="1851"/>
      <c r="J289" s="1850"/>
      <c r="K289" s="1850"/>
      <c r="L289" s="1850"/>
      <c r="M289" s="1850"/>
      <c r="N289" s="1851"/>
      <c r="O289" s="1850"/>
      <c r="P289" s="1850"/>
      <c r="Q289" s="1850"/>
      <c r="R289" s="1850"/>
      <c r="S289" s="1851"/>
      <c r="T289" s="1850"/>
      <c r="U289" s="1850"/>
      <c r="V289" s="1850"/>
      <c r="W289" s="1850"/>
      <c r="X289" s="1851"/>
      <c r="Y289" s="1850"/>
      <c r="Z289" s="1850"/>
      <c r="AA289" s="1850"/>
      <c r="AB289" s="1850"/>
      <c r="AC289" s="1851"/>
      <c r="AD289" s="1850"/>
      <c r="AE289" s="1850"/>
      <c r="AF289" s="1850"/>
      <c r="AG289" s="1850"/>
      <c r="AH289" s="1851"/>
      <c r="AI289" s="1850"/>
      <c r="AJ289" s="1850"/>
      <c r="AK289" s="1850"/>
      <c r="AL289" s="1850"/>
      <c r="AM289" s="1851"/>
      <c r="AN289" s="1850"/>
      <c r="AO289" s="1850"/>
      <c r="AP289" s="1850"/>
      <c r="AQ289" s="1850"/>
      <c r="AR289" s="1851"/>
      <c r="AS289" s="2115"/>
      <c r="AT289" s="1850"/>
      <c r="AU289" s="1850"/>
      <c r="AV289" s="1850"/>
      <c r="AW289" s="1851"/>
      <c r="AX289" s="1850"/>
      <c r="AY289" s="1850"/>
      <c r="AZ289" s="1850"/>
      <c r="BA289" s="1850"/>
      <c r="BB289" s="1851"/>
      <c r="BC289" s="1850"/>
      <c r="BD289" s="1850"/>
      <c r="BE289" s="1850"/>
      <c r="BF289" s="1850"/>
      <c r="BG289" s="1851"/>
      <c r="BH289" s="1850"/>
      <c r="BI289" s="1850"/>
      <c r="BJ289" s="1850"/>
      <c r="BK289" s="1850"/>
      <c r="BL289" s="1851"/>
      <c r="BM289" s="1850"/>
      <c r="BN289" s="1850"/>
      <c r="BO289" s="1850"/>
      <c r="BP289" s="1850"/>
      <c r="BQ289" s="1851"/>
      <c r="BR289" s="1850"/>
      <c r="BS289" s="1850"/>
      <c r="BT289" s="1850"/>
      <c r="BU289" s="1850"/>
      <c r="BV289" s="1851"/>
      <c r="BW289" s="1850"/>
      <c r="BX289" s="1850"/>
      <c r="BY289" s="1850"/>
      <c r="BZ289" s="1850"/>
      <c r="CA289" s="1851"/>
      <c r="CB289" s="1850"/>
      <c r="CC289" s="1850"/>
      <c r="CD289" s="1850"/>
      <c r="CE289" s="1850"/>
      <c r="CF289" s="1851"/>
      <c r="CG289" s="1850"/>
      <c r="CH289" s="1850"/>
      <c r="CI289" s="1850"/>
      <c r="CJ289" s="1850"/>
      <c r="CK289" s="1851"/>
      <c r="CL289" s="1850"/>
      <c r="CM289" s="1850"/>
      <c r="CN289" s="1850"/>
      <c r="CO289" s="1850"/>
      <c r="CP289" s="1851"/>
      <c r="CQ289" s="1850"/>
      <c r="CR289" s="1850"/>
      <c r="CS289" s="1850"/>
      <c r="CT289" s="1850"/>
      <c r="CU289" s="1851"/>
      <c r="CV289" s="1850"/>
      <c r="CW289" s="1850"/>
      <c r="CX289" s="1850"/>
      <c r="CY289" s="1850"/>
      <c r="CZ289" s="1851"/>
      <c r="DA289" s="1850"/>
      <c r="DB289" s="1850"/>
      <c r="DC289" s="1850"/>
      <c r="DD289" s="1850"/>
      <c r="DE289" s="1851"/>
      <c r="DF289" s="1850"/>
      <c r="DG289" s="1850"/>
      <c r="DH289" s="1850"/>
      <c r="DI289" s="1850"/>
      <c r="DJ289" s="1851"/>
      <c r="DK289" s="1850"/>
      <c r="DL289" s="1850"/>
      <c r="DM289" s="1850"/>
      <c r="DN289" s="1850"/>
      <c r="DO289" s="1851"/>
      <c r="DP289" s="1850"/>
      <c r="DQ289" s="1850"/>
      <c r="DR289" s="1850"/>
      <c r="DS289" s="1850"/>
      <c r="DT289" s="1851"/>
      <c r="DU289" s="1850"/>
      <c r="DV289" s="1850"/>
      <c r="DW289" s="1850"/>
      <c r="DX289" s="1850"/>
      <c r="DY289" s="1851"/>
      <c r="DZ289" s="1848"/>
      <c r="EA289" s="1848"/>
      <c r="EB289" s="1848"/>
    </row>
    <row r="290" spans="1:132" x14ac:dyDescent="0.2">
      <c r="A290" s="1861"/>
      <c r="B290" s="244" t="s">
        <v>488</v>
      </c>
      <c r="C290" s="245"/>
      <c r="D290" s="245"/>
      <c r="E290" s="245"/>
      <c r="F290" s="245"/>
      <c r="G290" s="245"/>
      <c r="H290" s="245"/>
      <c r="I290" s="246"/>
      <c r="J290" s="245"/>
      <c r="K290" s="245"/>
      <c r="L290" s="245"/>
      <c r="M290" s="245"/>
      <c r="N290" s="246">
        <f>-'BS and CFS'!N37/'BS and CFS'!I145</f>
        <v>0.35380631796996376</v>
      </c>
      <c r="O290" s="245"/>
      <c r="P290" s="245"/>
      <c r="Q290" s="245"/>
      <c r="R290" s="245"/>
      <c r="S290" s="246">
        <f>-'BS and CFS'!S37/'BS and CFS'!N145</f>
        <v>0.46843234169542108</v>
      </c>
      <c r="T290" s="245"/>
      <c r="U290" s="245"/>
      <c r="V290" s="245"/>
      <c r="W290" s="245"/>
      <c r="X290" s="246">
        <f>-'BS and CFS'!X37/'BS and CFS'!S145</f>
        <v>0.53485790408525768</v>
      </c>
      <c r="Y290" s="245"/>
      <c r="Z290" s="245"/>
      <c r="AA290" s="245"/>
      <c r="AB290" s="245"/>
      <c r="AC290" s="246">
        <f>-'BS and CFS'!AC37/'BS and CFS'!X145</f>
        <v>0.43429106808244844</v>
      </c>
      <c r="AD290" s="245"/>
      <c r="AE290" s="245"/>
      <c r="AF290" s="245"/>
      <c r="AG290" s="245"/>
      <c r="AH290" s="246">
        <f>-'BS and CFS'!AH37/'BS and CFS'!AC145</f>
        <v>0.40962057287182135</v>
      </c>
      <c r="AI290" s="245"/>
      <c r="AJ290" s="245"/>
      <c r="AK290" s="245"/>
      <c r="AL290" s="245"/>
      <c r="AM290" s="246">
        <f>-'BS and CFS'!AM37/'BS and CFS'!AH145</f>
        <v>0.60022735884804845</v>
      </c>
      <c r="AN290" s="245"/>
      <c r="AO290" s="245"/>
      <c r="AP290" s="245"/>
      <c r="AQ290" s="245"/>
      <c r="AR290" s="246">
        <f>-'BS and CFS'!AR37/'BS and CFS'!AM145</f>
        <v>0.50622799891686976</v>
      </c>
      <c r="AS290" s="245"/>
      <c r="AT290" s="245"/>
      <c r="AU290" s="245"/>
      <c r="AV290" s="245"/>
      <c r="AW290" s="246">
        <f>-'BS and CFS'!AW37/'BS and CFS'!AR145</f>
        <v>0.53015223634003383</v>
      </c>
      <c r="AX290" s="245"/>
      <c r="AY290" s="245"/>
      <c r="AZ290" s="245"/>
      <c r="BA290" s="245"/>
      <c r="BB290" s="246">
        <f>-'BS and CFS'!BB37/'BS and CFS'!AW145</f>
        <v>0.42653812145240882</v>
      </c>
      <c r="BC290" s="245"/>
      <c r="BD290" s="245"/>
      <c r="BE290" s="245"/>
      <c r="BF290" s="245"/>
      <c r="BG290" s="246">
        <f>-'BS and CFS'!BG37/'BS and CFS'!BB145</f>
        <v>0.44752820927996767</v>
      </c>
      <c r="BH290" s="245"/>
      <c r="BI290" s="245"/>
      <c r="BJ290" s="245"/>
      <c r="BK290" s="245"/>
      <c r="BL290" s="246">
        <f>-'BS and CFS'!BL37/'BS and CFS'!BG145</f>
        <v>0.33847682615869201</v>
      </c>
      <c r="BM290" s="247">
        <f>-'BS and CFS'!BM37*4/'BS and CFS'!BK145</f>
        <v>0.2735784581738655</v>
      </c>
      <c r="BN290" s="247">
        <f>-'BS and CFS'!BN37*4/'BS and CFS'!BM145</f>
        <v>0.36867890060616126</v>
      </c>
      <c r="BO290" s="247">
        <f>-'BS and CFS'!BO37*4/'BS and CFS'!BN145</f>
        <v>0.33490349082488785</v>
      </c>
      <c r="BP290" s="247">
        <f>-'BS and CFS'!BP37*4/'BS and CFS'!BO145</f>
        <v>0.42943215964249942</v>
      </c>
      <c r="BQ290" s="246">
        <f>-'BS and CFS'!BQ37/'BS and CFS'!BL145</f>
        <v>0.37245420995079281</v>
      </c>
      <c r="BR290" s="247">
        <f>-'BS and CFS'!BR37*4/'BS and CFS'!BP145</f>
        <v>0.22960665583616402</v>
      </c>
      <c r="BS290" s="247">
        <f>-'BS and CFS'!BS37*4/'BS and CFS'!BR145</f>
        <v>0.30023782641074304</v>
      </c>
      <c r="BT290" s="247">
        <f>-'BS and CFS'!BT37*4/'BS and CFS'!BS145</f>
        <v>0.32572631993792878</v>
      </c>
      <c r="BU290" s="247">
        <f>-'BS and CFS'!BU37*4/'BS and CFS'!BT145</f>
        <v>0.38442022857419</v>
      </c>
      <c r="BV290" s="246">
        <f>-'BS and CFS'!BV37/'BS and CFS'!BQ145</f>
        <v>0.31359228080539558</v>
      </c>
      <c r="BW290" s="247">
        <f>-'BS and CFS'!BW37*4/'BS and CFS'!BU145</f>
        <v>0.20244856746182002</v>
      </c>
      <c r="BX290" s="247">
        <f>-'BS and CFS'!BX37*4/'BS and CFS'!BW145</f>
        <v>0.23122824465440078</v>
      </c>
      <c r="BY290" s="247">
        <f>-'BS and CFS'!BY37*4/'BS and CFS'!BX145</f>
        <v>0.24878758486905916</v>
      </c>
      <c r="BZ290" s="247">
        <f>-'BS and CFS'!BZ37*4/'BS and CFS'!BY145</f>
        <v>0.29966491144088081</v>
      </c>
      <c r="CA290" s="246">
        <f>-'BS and CFS'!CA37/'BS and CFS'!BV145</f>
        <v>0.25306070932727504</v>
      </c>
      <c r="CB290" s="247">
        <f>-'BS and CFS'!CB37*4/'BS and CFS'!BZ145</f>
        <v>0.14852198990627252</v>
      </c>
      <c r="CC290" s="247">
        <f>-'BS and CFS'!CC37*4/'BS and CFS'!CB145</f>
        <v>0.19209580838323354</v>
      </c>
      <c r="CD290" s="247">
        <f>-'BS and CFS'!CD37*4/'BS and CFS'!CC145</f>
        <v>0.21596133443357302</v>
      </c>
      <c r="CE290" s="247">
        <f>-'BS and CFS'!CE37*4/'BS and CFS'!CD145</f>
        <v>0.32585049757000695</v>
      </c>
      <c r="CF290" s="246">
        <f>-'BS and CFS'!CF37/'BS and CFS'!CA145</f>
        <v>0.22494592645998557</v>
      </c>
      <c r="CG290" s="247">
        <f>-'BS and CFS'!CG37*4/'BS and CFS'!CE145</f>
        <v>0.17763080193693162</v>
      </c>
      <c r="CH290" s="247">
        <f>-'BS and CFS'!CH37*4/'BS and CFS'!CG145</f>
        <v>0.20758483033932135</v>
      </c>
      <c r="CI290" s="247">
        <f>-'BS and CFS'!CI37*4/'BS and CFS'!CH145</f>
        <v>0.23032273043882051</v>
      </c>
      <c r="CJ290" s="247">
        <f>-'BS and CFS'!CJ37*4/'BS and CFS'!CI145</f>
        <v>0.34221531843708924</v>
      </c>
      <c r="CK290" s="246">
        <f>-'BS and CFS'!CK37/'BS and CFS'!CF145</f>
        <v>0.2397543403803</v>
      </c>
      <c r="CL290" s="247">
        <f>-'BS and CFS'!CL37*4/'BS and CFS'!CJ145</f>
        <v>0.14735866543095458</v>
      </c>
      <c r="CM290" s="247">
        <f>-'BS and CFS'!CM37*4/'BS and CFS'!CL145</f>
        <v>0.22720897615708274</v>
      </c>
      <c r="CN290" s="247">
        <f>-'BS and CFS'!CN37*4/'BS and CFS'!CM145</f>
        <v>0.24161690399632521</v>
      </c>
      <c r="CO290" s="247">
        <f>-'BS and CFS'!CO37*4/'BS and CFS'!CN145</f>
        <v>0.29900560064007314</v>
      </c>
      <c r="CP290" s="246">
        <f>-'BS and CFS'!CP37/'BS and CFS'!CK145</f>
        <v>0.22984244670991658</v>
      </c>
      <c r="CQ290" s="247">
        <f>-'BS and CFS'!CQ37*4/'BS and CFS'!CP145</f>
        <v>0.18015089959373187</v>
      </c>
      <c r="CR290" s="247">
        <f>-'BS and CFS'!CR37*4/'BS and CFS'!CQ145</f>
        <v>0.23190410327339789</v>
      </c>
      <c r="CS290" s="247">
        <f>-'BS and CFS'!CS37*4/'BS and CFS'!CR145</f>
        <v>0.2471655328798186</v>
      </c>
      <c r="CT290" s="247">
        <f>-'BS and CFS'!CT37*4/'BS and CFS'!CS145</f>
        <v>0.322061191626409</v>
      </c>
      <c r="CU290" s="246">
        <f>-'BS and CFS'!CU37/'BS and CFS'!CP145</f>
        <v>0.24793964016250725</v>
      </c>
      <c r="CV290" s="247">
        <f>-'BS and CFS'!CV37*4/'BS and CFS'!CT145</f>
        <v>0.18952844057446569</v>
      </c>
      <c r="CW290" s="247">
        <f>-'BS and CFS'!CW37*4/'BS and CFS'!CV145</f>
        <v>0.23582459700146544</v>
      </c>
      <c r="CX290" s="247">
        <f>-'BS and CFS'!CX37*4/'BS and CFS'!CW145</f>
        <v>0.24304246590531101</v>
      </c>
      <c r="CY290" s="247">
        <f>-'BS and CFS'!CY37*4/'BS and CFS'!CX145</f>
        <v>0.36949652412049716</v>
      </c>
      <c r="CZ290" s="246">
        <f>-'BS and CFS'!CZ37/'BS and CFS'!CU145</f>
        <v>0.26766934298315054</v>
      </c>
      <c r="DA290" s="247">
        <f>-'BS and CFS'!DA37*4/'BS and CFS'!CY145</f>
        <v>0.24271943176052765</v>
      </c>
      <c r="DB290" s="247">
        <f>-'BS and CFS'!DB37*4/'BS and CFS'!CZ145</f>
        <v>0.20456621004566211</v>
      </c>
      <c r="DC290" s="247">
        <f>-'BS and CFS'!DC37*4/'BS and CFS'!DA145</f>
        <v>0.2048266071790712</v>
      </c>
      <c r="DD290" s="247">
        <f>-'BS and CFS'!DD37*4/'BS and CFS'!DB145</f>
        <v>0.24726981264402365</v>
      </c>
      <c r="DE290" s="246">
        <f>-'BS and CFS'!DE37/'BS and CFS'!CZ145</f>
        <v>0.2256722475900558</v>
      </c>
      <c r="DF290" s="247">
        <f>-'BS and CFS'!DF37*4/'BS and CFS'!DD145</f>
        <v>0.17965601965601966</v>
      </c>
      <c r="DG290" s="247">
        <f>-'BS and CFS'!DG37*4/'BS and CFS'!DF145</f>
        <v>0.17142288952968082</v>
      </c>
      <c r="DH290" s="247">
        <f>-'BS and CFS'!DH37*4/'BS and CFS'!DG145</f>
        <v>0.20808100863695025</v>
      </c>
      <c r="DI290" s="247">
        <f>-'BS and CFS'!DI37*4/'BS and CFS'!DH145</f>
        <v>0.20415573935848294</v>
      </c>
      <c r="DJ290" s="246">
        <f>-'BS and CFS'!DJ37/'BS and CFS'!DE145</f>
        <v>0.1885012285012285</v>
      </c>
      <c r="DK290" s="247">
        <f>-'BS and CFS'!DK37*4/'BS and CFS'!DI145</f>
        <v>0.17761368052856588</v>
      </c>
      <c r="DL290" s="247">
        <f>-'BS and CFS'!DL37*4/'BS and CFS'!DK145</f>
        <v>0.16833083766267748</v>
      </c>
      <c r="DM290" s="247">
        <f>-'BS and CFS'!DM37*4/'BS and CFS'!DL145</f>
        <v>0.20600176713347951</v>
      </c>
      <c r="DN290" s="247">
        <f>-'BS and CFS'!DN37*4/'BS and CFS'!DM145</f>
        <v>0.19828980917740885</v>
      </c>
      <c r="DO290" s="246">
        <f>-'BS and CFS'!DO37/'BS and CFS'!DJ145</f>
        <v>0.18635833657209483</v>
      </c>
      <c r="DP290" s="247">
        <f>-'BS and CFS'!DP37*4/'BS and CFS'!DN145</f>
        <v>0.18448331170883689</v>
      </c>
      <c r="DQ290" s="247">
        <f>-'BS and CFS'!DQ37*4/'BS and CFS'!DP145</f>
        <v>0.17457669875483889</v>
      </c>
      <c r="DR290" s="247">
        <f>-'BS and CFS'!DR37*4/'BS and CFS'!DQ145</f>
        <v>0.21347215804467934</v>
      </c>
      <c r="DS290" s="247">
        <f>-'BS and CFS'!DS37*4/'BS and CFS'!DR145</f>
        <v>0.20540766469947411</v>
      </c>
      <c r="DT290" s="246">
        <f>-'BS and CFS'!DT37/'BS and CFS'!DO145</f>
        <v>0.1935661881058803</v>
      </c>
      <c r="DU290" s="247">
        <f>-'BS and CFS'!DU37*4/'BS and CFS'!DS145</f>
        <v>0.19075247878793997</v>
      </c>
      <c r="DV290" s="247">
        <f>-'BS and CFS'!DV37*4/'BS and CFS'!DU145</f>
        <v>0.18020801470465378</v>
      </c>
      <c r="DW290" s="247">
        <f>-'BS and CFS'!DW37*4/'BS and CFS'!DV145</f>
        <v>0.22001422150450684</v>
      </c>
      <c r="DX290" s="247">
        <f>-'BS and CFS'!DX37*4/'BS and CFS'!DW145</f>
        <v>0.21131394258288289</v>
      </c>
      <c r="DY290" s="246">
        <f>-'BS and CFS'!DY37/'BS and CFS'!DT145</f>
        <v>0.20014401220747746</v>
      </c>
      <c r="DZ290" s="1865"/>
      <c r="EA290" s="1865"/>
      <c r="EB290" s="1865"/>
    </row>
    <row r="291" spans="1:132" x14ac:dyDescent="0.2">
      <c r="A291" s="1861"/>
      <c r="B291" s="244" t="s">
        <v>489</v>
      </c>
      <c r="C291" s="245"/>
      <c r="D291" s="245"/>
      <c r="E291" s="245"/>
      <c r="F291" s="245"/>
      <c r="G291" s="245"/>
      <c r="H291" s="245"/>
      <c r="I291" s="246"/>
      <c r="J291" s="245"/>
      <c r="K291" s="245"/>
      <c r="L291" s="245"/>
      <c r="M291" s="245"/>
      <c r="N291" s="246">
        <f>-'BS and CFS'!N37/IS!N10</f>
        <v>2.4844310322018191E-2</v>
      </c>
      <c r="O291" s="245"/>
      <c r="P291" s="245"/>
      <c r="Q291" s="245"/>
      <c r="R291" s="245"/>
      <c r="S291" s="246">
        <f>-'BS and CFS'!S37/IS!S10</f>
        <v>3.288681122983448E-2</v>
      </c>
      <c r="T291" s="245"/>
      <c r="U291" s="245"/>
      <c r="V291" s="245"/>
      <c r="W291" s="245"/>
      <c r="X291" s="246">
        <f>-'BS and CFS'!X37/IS!X10</f>
        <v>3.9931927308089712E-2</v>
      </c>
      <c r="Y291" s="245"/>
      <c r="Z291" s="245"/>
      <c r="AA291" s="245"/>
      <c r="AB291" s="245"/>
      <c r="AC291" s="246">
        <f>-'BS and CFS'!AC37/IS!AC10</f>
        <v>3.4613565650280023E-2</v>
      </c>
      <c r="AD291" s="245"/>
      <c r="AE291" s="245"/>
      <c r="AF291" s="245"/>
      <c r="AG291" s="245"/>
      <c r="AH291" s="246">
        <f>-'BS and CFS'!AH37/IS!AH10</f>
        <v>3.20843112394004E-2</v>
      </c>
      <c r="AI291" s="245"/>
      <c r="AJ291" s="245"/>
      <c r="AK291" s="245"/>
      <c r="AL291" s="245"/>
      <c r="AM291" s="246">
        <f>-'BS and CFS'!AM37/IS!AM10</f>
        <v>4.5853234910985669E-2</v>
      </c>
      <c r="AN291" s="245"/>
      <c r="AO291" s="245"/>
      <c r="AP291" s="245"/>
      <c r="AQ291" s="245"/>
      <c r="AR291" s="246">
        <f>-'BS and CFS'!AR37/IS!AR10</f>
        <v>4.2188205205355794E-2</v>
      </c>
      <c r="AS291" s="245"/>
      <c r="AT291" s="245"/>
      <c r="AU291" s="245"/>
      <c r="AV291" s="245"/>
      <c r="AW291" s="246">
        <f>-'BS and CFS'!AW37/IS!AW10</f>
        <v>4.4050689180664376E-2</v>
      </c>
      <c r="AX291" s="245"/>
      <c r="AY291" s="245"/>
      <c r="AZ291" s="245"/>
      <c r="BA291" s="245"/>
      <c r="BB291" s="246">
        <f>-'BS and CFS'!BB37/IS!BB10</f>
        <v>4.0408898929112834E-2</v>
      </c>
      <c r="BC291" s="245"/>
      <c r="BD291" s="245"/>
      <c r="BE291" s="245"/>
      <c r="BF291" s="245"/>
      <c r="BG291" s="246">
        <f>-'BS and CFS'!BG37/IS!BG10</f>
        <v>4.0509871547363047E-2</v>
      </c>
      <c r="BH291" s="245"/>
      <c r="BI291" s="245"/>
      <c r="BJ291" s="245"/>
      <c r="BK291" s="245"/>
      <c r="BL291" s="246">
        <f>-'BS and CFS'!BL37/IS!BL10</f>
        <v>2.3651406074977562E-2</v>
      </c>
      <c r="BM291" s="247">
        <f>-'BS and CFS'!BM37/IS!BM10</f>
        <v>1.8770514864484666E-2</v>
      </c>
      <c r="BN291" s="247">
        <f>-'BS and CFS'!BN37/IS!BN10</f>
        <v>2.6253175215110471E-2</v>
      </c>
      <c r="BO291" s="247">
        <f>-'BS and CFS'!BO37/IS!BO10</f>
        <v>2.530268316765245E-2</v>
      </c>
      <c r="BP291" s="247">
        <f>-'BS and CFS'!BP37/IS!BP10</f>
        <v>2.8858181938679988E-2</v>
      </c>
      <c r="BQ291" s="246">
        <f>-'BS and CFS'!BQ37/IS!BQ10</f>
        <v>2.4921146105206359E-2</v>
      </c>
      <c r="BR291" s="247">
        <f>-'BS and CFS'!BR37/IS!BR10</f>
        <v>1.9936821137134037E-2</v>
      </c>
      <c r="BS291" s="247">
        <f>-'BS and CFS'!BS37/IS!BS10</f>
        <v>2.5125547321992191E-2</v>
      </c>
      <c r="BT291" s="247">
        <f>-'BS and CFS'!BT37/IS!BT10</f>
        <v>2.6832346531720362E-2</v>
      </c>
      <c r="BU291" s="247">
        <f>-'BS and CFS'!BU37/IS!BU10</f>
        <v>3.0807063744094185E-2</v>
      </c>
      <c r="BV291" s="246">
        <f>-'BS and CFS'!BV37/IS!BV10</f>
        <v>2.5808046073642066E-2</v>
      </c>
      <c r="BW291" s="247">
        <f>-'BS and CFS'!BW37/IS!BW10</f>
        <v>1.6877104377104376E-2</v>
      </c>
      <c r="BX291" s="247">
        <f>-'BS and CFS'!BX37/IS!BX10</f>
        <v>1.936935060607323E-2</v>
      </c>
      <c r="BY291" s="247">
        <f>-'BS and CFS'!BY37/IS!BY10</f>
        <v>2.1486910994764397E-2</v>
      </c>
      <c r="BZ291" s="247">
        <f>-'BS and CFS'!BZ37/IS!BZ10</f>
        <v>2.5271486819264461E-2</v>
      </c>
      <c r="CA291" s="246">
        <f>-'BS and CFS'!CA37/IS!CA10</f>
        <v>2.0795950753529087E-2</v>
      </c>
      <c r="CB291" s="247">
        <f>-'BS and CFS'!CB37/IS!CB10</f>
        <v>1.1939721792890262E-2</v>
      </c>
      <c r="CC291" s="247">
        <f>-'BS and CFS'!CC37/IS!CC10</f>
        <v>1.5058770513350106E-2</v>
      </c>
      <c r="CD291" s="247">
        <f>-'BS and CFS'!CD37/IS!CD10</f>
        <v>1.7170278173502286E-2</v>
      </c>
      <c r="CE291" s="247">
        <f>-'BS and CFS'!CE37/IS!CE10</f>
        <v>2.486139068404139E-2</v>
      </c>
      <c r="CF291" s="246">
        <f>-'BS and CFS'!CF37/IS!CF10</f>
        <v>1.7413953488372092E-2</v>
      </c>
      <c r="CG291" s="247">
        <f>-'BS and CFS'!CG37/IS!CG10</f>
        <v>1.2208584973050197E-2</v>
      </c>
      <c r="CH291" s="247">
        <f>-'BS and CFS'!CH37/IS!CH10</f>
        <v>1.4390644127835802E-2</v>
      </c>
      <c r="CI291" s="247">
        <f>-'BS and CFS'!CI37/IS!CI10</f>
        <v>1.6409007751271205E-2</v>
      </c>
      <c r="CJ291" s="247">
        <f>-'BS and CFS'!CJ37/IS!CJ10</f>
        <v>2.2806905778174173E-2</v>
      </c>
      <c r="CK291" s="246">
        <f>-'BS and CFS'!CK37/IS!CK10</f>
        <v>1.648614473535677E-2</v>
      </c>
      <c r="CL291" s="247">
        <f>-'BS and CFS'!CL37/IS!CL10</f>
        <v>1.0337093261385431E-2</v>
      </c>
      <c r="CM291" s="247">
        <f>-'BS and CFS'!CM37/IS!CM10</f>
        <v>1.5552846074826472E-2</v>
      </c>
      <c r="CN291" s="247">
        <f>-'BS and CFS'!CN37/IS!CN10</f>
        <v>1.6453902484038774E-2</v>
      </c>
      <c r="CO291" s="247">
        <f>-'BS and CFS'!CO37/IS!CO10</f>
        <v>1.9920864821397568E-2</v>
      </c>
      <c r="CP291" s="246">
        <f>-'BS and CFS'!CP37/IS!CP10</f>
        <v>1.5645540193030005E-2</v>
      </c>
      <c r="CQ291" s="247">
        <f>-'BS and CFS'!CQ37/IS!CQ10</f>
        <v>1.1869472512075966E-2</v>
      </c>
      <c r="CR291" s="247">
        <f>-'BS and CFS'!CR37/IS!CR10</f>
        <v>1.4537068078563748E-2</v>
      </c>
      <c r="CS291" s="247">
        <f>-'BS and CFS'!CS37/IS!CS10</f>
        <v>1.5562046880309301E-2</v>
      </c>
      <c r="CT291" s="247">
        <f>-'BS and CFS'!CT37/IS!CT10</f>
        <v>1.8890685003224907E-2</v>
      </c>
      <c r="CU291" s="246">
        <f>-'BS and CFS'!CU37/IS!CU10</f>
        <v>1.5326495248140694E-2</v>
      </c>
      <c r="CV291" s="247">
        <f>-'BS and CFS'!CV37/IS!CV10</f>
        <v>1.153266027370113E-2</v>
      </c>
      <c r="CW291" s="247">
        <f>-'BS and CFS'!CW37/IS!CW10</f>
        <v>1.4070903362757577E-2</v>
      </c>
      <c r="CX291" s="247">
        <f>-'BS and CFS'!CX37/IS!CX10</f>
        <v>1.4180877278528788E-2</v>
      </c>
      <c r="CY291" s="247">
        <f>-'BS and CFS'!CY37/IS!CY10</f>
        <v>2.1314548802977652E-2</v>
      </c>
      <c r="CZ291" s="246">
        <f>-'BS and CFS'!CZ37/IS!CZ10</f>
        <v>1.5441351176613754E-2</v>
      </c>
      <c r="DA291" s="247">
        <f>-'BS and CFS'!DA37/IS!DA10</f>
        <v>1.3837787805160245E-2</v>
      </c>
      <c r="DB291" s="247">
        <f>-'BS and CFS'!DB37/IS!DB10</f>
        <v>1.1526507536826505E-2</v>
      </c>
      <c r="DC291" s="247">
        <f>-'BS and CFS'!DC37/IS!DC10</f>
        <v>1.1319063095371512E-2</v>
      </c>
      <c r="DD291" s="247">
        <f>-'BS and CFS'!DD37/IS!DD10</f>
        <v>1.3421446470833914E-2</v>
      </c>
      <c r="DE291" s="246">
        <f>-'BS and CFS'!DE37/IS!DE10</f>
        <v>1.2527707131048041E-2</v>
      </c>
      <c r="DF291" s="247">
        <f>-'BS and CFS'!DF37/IS!DF10</f>
        <v>1.0266525286653966E-2</v>
      </c>
      <c r="DG291" s="247">
        <f>-'BS and CFS'!DG37/IS!DG10</f>
        <v>9.4341442244468953E-3</v>
      </c>
      <c r="DH291" s="247">
        <f>-'BS and CFS'!DH37/IS!DH10</f>
        <v>1.1346556725287968E-2</v>
      </c>
      <c r="DI291" s="247">
        <f>-'BS and CFS'!DI37/IS!DI10</f>
        <v>1.0457754214213308E-2</v>
      </c>
      <c r="DJ291" s="246">
        <f>-'BS and CFS'!DJ37/IS!DJ10</f>
        <v>1.0380738240360404E-2</v>
      </c>
      <c r="DK291" s="247">
        <f ca="1">-'BS and CFS'!DK37/IS!DK10</f>
        <v>9.9666983307708044E-3</v>
      </c>
      <c r="DL291" s="247">
        <f ca="1">-'BS and CFS'!DL37/IS!DL10</f>
        <v>8.9509294957233893E-3</v>
      </c>
      <c r="DM291" s="247">
        <f ca="1">-'BS and CFS'!DM37/IS!DM10</f>
        <v>1.0965037794048902E-2</v>
      </c>
      <c r="DN291" s="247">
        <f ca="1">-'BS and CFS'!DN37/IS!DN10</f>
        <v>1.0309540572645716E-2</v>
      </c>
      <c r="DO291" s="246">
        <f ca="1">-'BS and CFS'!DO37/IS!DO10</f>
        <v>1.004855971374043E-2</v>
      </c>
      <c r="DP291" s="247">
        <f ca="1">-'BS and CFS'!DP37/IS!DP10</f>
        <v>9.6932441343598897E-3</v>
      </c>
      <c r="DQ291" s="247">
        <f ca="1">-'BS and CFS'!DQ37/IS!DQ10</f>
        <v>8.7063139864587552E-3</v>
      </c>
      <c r="DR291" s="247">
        <f ca="1">-'BS and CFS'!DR37/IS!DR10</f>
        <v>1.0671001576943227E-2</v>
      </c>
      <c r="DS291" s="247">
        <f ca="1">-'BS and CFS'!DS37/IS!DS10</f>
        <v>1.0050580059526928E-2</v>
      </c>
      <c r="DT291" s="246">
        <f ca="1">-'BS and CFS'!DT37/IS!DT10</f>
        <v>9.7806773566642049E-3</v>
      </c>
      <c r="DU291" s="247">
        <f ca="1">-'BS and CFS'!DU37/IS!DU10</f>
        <v>9.6308520981828859E-3</v>
      </c>
      <c r="DV291" s="247">
        <f ca="1">-'BS and CFS'!DV37/IS!DV10</f>
        <v>8.6599106193710699E-3</v>
      </c>
      <c r="DW291" s="247">
        <f ca="1">-'BS and CFS'!DW37/IS!DW10</f>
        <v>1.0623489388115545E-2</v>
      </c>
      <c r="DX291" s="247">
        <f ca="1">-'BS and CFS'!DX37/IS!DX10</f>
        <v>1.0022442775555772E-2</v>
      </c>
      <c r="DY291" s="246">
        <f ca="1">-'BS and CFS'!DY37/IS!DY10</f>
        <v>9.7344302860100755E-3</v>
      </c>
      <c r="DZ291" s="1865"/>
      <c r="EA291" s="1865"/>
      <c r="EB291" s="1865"/>
    </row>
    <row r="292" spans="1:132" ht="5.25" customHeight="1" thickBot="1" x14ac:dyDescent="0.25">
      <c r="A292" s="2117"/>
      <c r="B292" s="2112"/>
      <c r="C292" s="2040"/>
      <c r="D292" s="2118"/>
      <c r="E292" s="2118"/>
      <c r="F292" s="2118"/>
      <c r="G292" s="2118"/>
      <c r="H292" s="2118"/>
      <c r="I292" s="2119"/>
      <c r="J292" s="2118"/>
      <c r="K292" s="2118"/>
      <c r="L292" s="2118"/>
      <c r="M292" s="2118"/>
      <c r="N292" s="2119"/>
      <c r="O292" s="2118"/>
      <c r="P292" s="2118"/>
      <c r="Q292" s="2118"/>
      <c r="R292" s="2118"/>
      <c r="S292" s="2119"/>
      <c r="T292" s="2118"/>
      <c r="U292" s="2118"/>
      <c r="V292" s="2118"/>
      <c r="W292" s="2118"/>
      <c r="X292" s="2119"/>
      <c r="Y292" s="2118"/>
      <c r="Z292" s="2118"/>
      <c r="AA292" s="2118"/>
      <c r="AB292" s="2118"/>
      <c r="AC292" s="2119"/>
      <c r="AD292" s="2118"/>
      <c r="AE292" s="2118"/>
      <c r="AF292" s="2118"/>
      <c r="AG292" s="2118"/>
      <c r="AH292" s="2119"/>
      <c r="AI292" s="2118"/>
      <c r="AJ292" s="2118"/>
      <c r="AK292" s="2118"/>
      <c r="AL292" s="2118"/>
      <c r="AM292" s="2119"/>
      <c r="AN292" s="2118"/>
      <c r="AO292" s="2118"/>
      <c r="AP292" s="2118"/>
      <c r="AQ292" s="2118"/>
      <c r="AR292" s="2119"/>
      <c r="AS292" s="2118"/>
      <c r="AT292" s="2120"/>
      <c r="AU292" s="2118"/>
      <c r="AV292" s="2118"/>
      <c r="AW292" s="2119"/>
      <c r="AX292" s="2118"/>
      <c r="AY292" s="2118"/>
      <c r="AZ292" s="2118"/>
      <c r="BA292" s="2118"/>
      <c r="BB292" s="2119"/>
      <c r="BC292" s="2118"/>
      <c r="BD292" s="2118"/>
      <c r="BE292" s="2118"/>
      <c r="BF292" s="2118"/>
      <c r="BG292" s="2119"/>
      <c r="BH292" s="2118"/>
      <c r="BI292" s="2118"/>
      <c r="BJ292" s="2118"/>
      <c r="BK292" s="2118"/>
      <c r="BL292" s="2119"/>
      <c r="BM292" s="2118"/>
      <c r="BN292" s="2118"/>
      <c r="BO292" s="2118"/>
      <c r="BP292" s="2118"/>
      <c r="BQ292" s="2119"/>
      <c r="BR292" s="2118"/>
      <c r="BS292" s="2118"/>
      <c r="BT292" s="2118"/>
      <c r="BU292" s="2118"/>
      <c r="BV292" s="2119"/>
      <c r="BW292" s="2118"/>
      <c r="BX292" s="2118"/>
      <c r="BY292" s="2118"/>
      <c r="BZ292" s="2118"/>
      <c r="CA292" s="2119"/>
      <c r="CB292" s="2118"/>
      <c r="CC292" s="2118"/>
      <c r="CD292" s="2118"/>
      <c r="CE292" s="2118"/>
      <c r="CF292" s="2119"/>
      <c r="CG292" s="2118"/>
      <c r="CH292" s="2118"/>
      <c r="CI292" s="2118"/>
      <c r="CJ292" s="2118"/>
      <c r="CK292" s="2119"/>
      <c r="CL292" s="2118"/>
      <c r="CM292" s="2118"/>
      <c r="CN292" s="2118"/>
      <c r="CO292" s="2118"/>
      <c r="CP292" s="2119"/>
      <c r="CQ292" s="2118"/>
      <c r="CR292" s="2118"/>
      <c r="CS292" s="2118"/>
      <c r="CT292" s="2118"/>
      <c r="CU292" s="2119"/>
      <c r="CV292" s="2118"/>
      <c r="CW292" s="2118"/>
      <c r="CX292" s="2118"/>
      <c r="CY292" s="2118"/>
      <c r="CZ292" s="2119"/>
      <c r="DA292" s="2118"/>
      <c r="DB292" s="2118"/>
      <c r="DC292" s="2118"/>
      <c r="DD292" s="2118"/>
      <c r="DE292" s="2119"/>
      <c r="DF292" s="2118"/>
      <c r="DG292" s="2118"/>
      <c r="DH292" s="2118"/>
      <c r="DI292" s="2118"/>
      <c r="DJ292" s="2119"/>
      <c r="DK292" s="2118"/>
      <c r="DL292" s="2118"/>
      <c r="DM292" s="2118"/>
      <c r="DN292" s="2118"/>
      <c r="DO292" s="2119"/>
      <c r="DP292" s="2118"/>
      <c r="DQ292" s="2118"/>
      <c r="DR292" s="2118"/>
      <c r="DS292" s="2118"/>
      <c r="DT292" s="2119"/>
      <c r="DU292" s="2118"/>
      <c r="DV292" s="2118"/>
      <c r="DW292" s="2118"/>
      <c r="DX292" s="2118"/>
      <c r="DY292" s="2119"/>
      <c r="DZ292" s="2121"/>
      <c r="EA292" s="2121"/>
      <c r="EB292" s="2121"/>
    </row>
    <row r="293" spans="1:132" x14ac:dyDescent="0.2">
      <c r="A293" s="1842"/>
      <c r="B293" s="1850"/>
      <c r="C293" s="1850"/>
      <c r="D293" s="1850"/>
      <c r="E293" s="1850"/>
      <c r="F293" s="1850"/>
      <c r="G293" s="1850"/>
      <c r="H293" s="1850"/>
      <c r="I293" s="1850"/>
      <c r="J293" s="1850"/>
      <c r="K293" s="1850"/>
      <c r="L293" s="1850"/>
      <c r="M293" s="1850"/>
      <c r="N293" s="1850"/>
      <c r="O293" s="1850"/>
      <c r="P293" s="1850"/>
      <c r="Q293" s="1850"/>
      <c r="R293" s="1850"/>
      <c r="S293" s="1850"/>
      <c r="T293" s="1850"/>
      <c r="U293" s="1850"/>
      <c r="V293" s="1850"/>
      <c r="W293" s="1850"/>
      <c r="X293" s="1850"/>
      <c r="Y293" s="1850"/>
      <c r="Z293" s="1850"/>
      <c r="AA293" s="1850"/>
      <c r="AB293" s="1850"/>
      <c r="AC293" s="1850"/>
      <c r="AD293" s="1850"/>
      <c r="AE293" s="1850"/>
      <c r="AF293" s="1850"/>
      <c r="AG293" s="1850"/>
      <c r="AH293" s="1850"/>
      <c r="AI293" s="1850"/>
      <c r="AJ293" s="1850"/>
      <c r="AK293" s="1850"/>
      <c r="AL293" s="1850"/>
      <c r="AM293" s="1850"/>
      <c r="AN293" s="1850"/>
      <c r="AO293" s="1850"/>
      <c r="AP293" s="1850"/>
      <c r="AQ293" s="1850"/>
      <c r="AR293" s="1850"/>
      <c r="AS293" s="1850"/>
      <c r="AT293" s="2115"/>
      <c r="AU293" s="1850"/>
      <c r="AV293" s="1850"/>
      <c r="AW293" s="1850"/>
      <c r="AX293" s="1850"/>
      <c r="AY293" s="1850"/>
      <c r="AZ293" s="1850"/>
      <c r="BA293" s="1850"/>
      <c r="BB293" s="1850"/>
      <c r="BC293" s="1850"/>
      <c r="BD293" s="1850"/>
      <c r="BE293" s="1850"/>
      <c r="BF293" s="1850"/>
      <c r="BG293" s="1850"/>
      <c r="BH293" s="1850"/>
      <c r="BI293" s="1850"/>
      <c r="BJ293" s="1850"/>
      <c r="BK293" s="1850"/>
      <c r="BL293" s="1850"/>
      <c r="BM293" s="1850"/>
      <c r="BN293" s="1850"/>
      <c r="BO293" s="1850"/>
      <c r="BP293" s="1850"/>
      <c r="BQ293" s="1850"/>
      <c r="BR293" s="1850"/>
      <c r="BS293" s="1850"/>
      <c r="BT293" s="1850"/>
      <c r="BU293" s="1850"/>
      <c r="BV293" s="1850"/>
      <c r="BW293" s="1850"/>
      <c r="BX293" s="1850"/>
      <c r="BY293" s="1850"/>
      <c r="BZ293" s="1850"/>
      <c r="CA293" s="1850"/>
      <c r="CB293" s="1850"/>
      <c r="CC293" s="1850"/>
      <c r="CD293" s="1850"/>
      <c r="CE293" s="1850"/>
      <c r="CF293" s="1850"/>
      <c r="CG293" s="1850"/>
      <c r="CH293" s="1850"/>
      <c r="CI293" s="1850"/>
      <c r="CJ293" s="1850"/>
      <c r="CK293" s="1850"/>
      <c r="CL293" s="1850"/>
      <c r="CM293" s="1850"/>
      <c r="CN293" s="1850"/>
      <c r="CO293" s="1850"/>
      <c r="CP293" s="1850"/>
      <c r="CQ293" s="1850"/>
      <c r="CR293" s="1850"/>
      <c r="CS293" s="1850"/>
      <c r="CT293" s="1850"/>
      <c r="CU293" s="1850"/>
      <c r="CV293" s="1850"/>
      <c r="CW293" s="1850"/>
      <c r="CX293" s="1850"/>
      <c r="CY293" s="1850"/>
      <c r="CZ293" s="1850"/>
      <c r="DA293" s="1850"/>
      <c r="DB293" s="1850"/>
      <c r="DC293" s="1850"/>
      <c r="DD293" s="1850"/>
      <c r="DE293" s="1850"/>
      <c r="DF293" s="1850"/>
      <c r="DG293" s="1850"/>
      <c r="DH293" s="1850"/>
      <c r="DI293" s="1850"/>
      <c r="DJ293" s="1850"/>
      <c r="DK293" s="1850"/>
      <c r="DL293" s="1850"/>
      <c r="DM293" s="1850"/>
      <c r="DN293" s="1850"/>
      <c r="DO293" s="1850"/>
      <c r="DP293" s="1850"/>
      <c r="DQ293" s="1850"/>
      <c r="DR293" s="1850"/>
      <c r="DS293" s="1850"/>
      <c r="DT293" s="1850"/>
      <c r="DU293" s="1850"/>
      <c r="DV293" s="1850"/>
      <c r="DW293" s="1850"/>
      <c r="DX293" s="1850"/>
      <c r="DY293" s="1850"/>
      <c r="DZ293" s="1848"/>
      <c r="EA293" s="1848"/>
      <c r="EB293" s="1848"/>
    </row>
    <row r="294" spans="1:132" ht="12" thickBot="1" x14ac:dyDescent="0.25">
      <c r="A294" s="1842"/>
      <c r="B294" s="1850"/>
      <c r="C294" s="1850"/>
      <c r="D294" s="1850"/>
      <c r="E294" s="1850"/>
      <c r="F294" s="1850"/>
      <c r="G294" s="1850"/>
      <c r="H294" s="1850"/>
      <c r="I294" s="1850"/>
      <c r="J294" s="1850"/>
      <c r="K294" s="1850"/>
      <c r="L294" s="1850"/>
      <c r="M294" s="1850"/>
      <c r="N294" s="1850"/>
      <c r="O294" s="1850"/>
      <c r="P294" s="1850"/>
      <c r="Q294" s="1850"/>
      <c r="R294" s="1850"/>
      <c r="S294" s="1850"/>
      <c r="T294" s="1850"/>
      <c r="U294" s="1850"/>
      <c r="V294" s="1850"/>
      <c r="W294" s="1850"/>
      <c r="X294" s="1850"/>
      <c r="Y294" s="1850"/>
      <c r="Z294" s="1850"/>
      <c r="AA294" s="1850"/>
      <c r="AB294" s="1850"/>
      <c r="AC294" s="1850"/>
      <c r="AD294" s="1850"/>
      <c r="AE294" s="1850"/>
      <c r="AF294" s="1850"/>
      <c r="AG294" s="1850"/>
      <c r="AH294" s="1850"/>
      <c r="AI294" s="1850"/>
      <c r="AJ294" s="1850"/>
      <c r="AK294" s="1850"/>
      <c r="AL294" s="1850"/>
      <c r="AM294" s="1850"/>
      <c r="AN294" s="1850"/>
      <c r="AO294" s="1850"/>
      <c r="AP294" s="1850"/>
      <c r="AQ294" s="1850"/>
      <c r="AR294" s="1850"/>
      <c r="AS294" s="1850"/>
      <c r="AT294" s="2115"/>
      <c r="AU294" s="1850"/>
      <c r="AV294" s="1850"/>
      <c r="AW294" s="1850"/>
      <c r="AX294" s="1850"/>
      <c r="AY294" s="1850"/>
      <c r="AZ294" s="1850"/>
      <c r="BA294" s="1850"/>
      <c r="BB294" s="1850"/>
      <c r="BC294" s="1850"/>
      <c r="BD294" s="1850"/>
      <c r="BE294" s="1850"/>
      <c r="BF294" s="1850"/>
      <c r="BG294" s="1850"/>
      <c r="BH294" s="1850"/>
      <c r="BI294" s="1850"/>
      <c r="BJ294" s="1850"/>
      <c r="BK294" s="1850"/>
      <c r="BL294" s="1850"/>
      <c r="BM294" s="1850"/>
      <c r="BN294" s="1850"/>
      <c r="BO294" s="1850"/>
      <c r="BP294" s="1850"/>
      <c r="BQ294" s="1850"/>
      <c r="BR294" s="1850"/>
      <c r="BS294" s="1850"/>
      <c r="BT294" s="1850"/>
      <c r="BU294" s="1850"/>
      <c r="BV294" s="1850"/>
      <c r="BW294" s="1850"/>
      <c r="BX294" s="1850"/>
      <c r="BY294" s="1850"/>
      <c r="BZ294" s="1850"/>
      <c r="CA294" s="1850"/>
      <c r="CB294" s="1850"/>
      <c r="CC294" s="1850"/>
      <c r="CD294" s="1850"/>
      <c r="CE294" s="1850"/>
      <c r="CF294" s="1850"/>
      <c r="CG294" s="1850"/>
      <c r="CH294" s="1850"/>
      <c r="CI294" s="1850"/>
      <c r="CJ294" s="1850"/>
      <c r="CK294" s="1850"/>
      <c r="CL294" s="1850"/>
      <c r="CM294" s="1850"/>
      <c r="CN294" s="1850"/>
      <c r="CO294" s="1850"/>
      <c r="CP294" s="1850"/>
      <c r="CQ294" s="1850"/>
      <c r="CR294" s="1850"/>
      <c r="CS294" s="1850"/>
      <c r="CT294" s="1850"/>
      <c r="CU294" s="1850"/>
      <c r="CV294" s="1850"/>
      <c r="CW294" s="1850"/>
      <c r="CX294" s="1850"/>
      <c r="CY294" s="1850"/>
      <c r="CZ294" s="1850"/>
      <c r="DA294" s="1850"/>
      <c r="DB294" s="1850"/>
      <c r="DC294" s="1850"/>
      <c r="DD294" s="1850"/>
      <c r="DE294" s="1850"/>
      <c r="DF294" s="1850"/>
      <c r="DG294" s="1850"/>
      <c r="DH294" s="1850"/>
      <c r="DI294" s="1850"/>
      <c r="DJ294" s="1850"/>
      <c r="DK294" s="1850"/>
      <c r="DL294" s="1850"/>
      <c r="DM294" s="1850"/>
      <c r="DN294" s="1850"/>
      <c r="DO294" s="1850"/>
      <c r="DP294" s="1850"/>
      <c r="DQ294" s="1850"/>
      <c r="DR294" s="1850"/>
      <c r="DS294" s="1850"/>
      <c r="DT294" s="1850"/>
      <c r="DU294" s="1850"/>
      <c r="DV294" s="1850"/>
      <c r="DW294" s="1850"/>
      <c r="DX294" s="1850"/>
      <c r="DY294" s="1850"/>
      <c r="DZ294" s="1848"/>
      <c r="EA294" s="1848"/>
      <c r="EB294" s="1848"/>
    </row>
    <row r="295" spans="1:132" ht="12" thickBot="1" x14ac:dyDescent="0.25">
      <c r="A295" s="1842"/>
      <c r="B295" s="427" t="s">
        <v>490</v>
      </c>
      <c r="C295" s="1981"/>
      <c r="D295" s="1981"/>
      <c r="E295" s="1981"/>
      <c r="F295" s="1981"/>
      <c r="G295" s="1981"/>
      <c r="H295" s="1981"/>
      <c r="I295" s="2051"/>
      <c r="J295" s="1981"/>
      <c r="K295" s="1981"/>
      <c r="L295" s="1981"/>
      <c r="M295" s="1981"/>
      <c r="N295" s="2051"/>
      <c r="O295" s="1981"/>
      <c r="P295" s="1981"/>
      <c r="Q295" s="1981"/>
      <c r="R295" s="1981"/>
      <c r="S295" s="2051"/>
      <c r="T295" s="1981"/>
      <c r="U295" s="1981"/>
      <c r="V295" s="1981"/>
      <c r="W295" s="1981"/>
      <c r="X295" s="2051"/>
      <c r="Y295" s="1981"/>
      <c r="Z295" s="1981"/>
      <c r="AA295" s="1981"/>
      <c r="AB295" s="1981"/>
      <c r="AC295" s="2051"/>
      <c r="AD295" s="1981"/>
      <c r="AE295" s="1981"/>
      <c r="AF295" s="1981"/>
      <c r="AG295" s="1981"/>
      <c r="AH295" s="2051"/>
      <c r="AI295" s="1981"/>
      <c r="AJ295" s="1981"/>
      <c r="AK295" s="1981"/>
      <c r="AL295" s="1981"/>
      <c r="AM295" s="2051"/>
      <c r="AN295" s="1981"/>
      <c r="AO295" s="1981"/>
      <c r="AP295" s="1981"/>
      <c r="AQ295" s="1981"/>
      <c r="AR295" s="2051"/>
      <c r="AS295" s="1981"/>
      <c r="AT295" s="1981"/>
      <c r="AU295" s="1981"/>
      <c r="AV295" s="1981"/>
      <c r="AW295" s="2051"/>
      <c r="AX295" s="1981"/>
      <c r="AY295" s="1981"/>
      <c r="AZ295" s="1981"/>
      <c r="BA295" s="1981"/>
      <c r="BB295" s="2051"/>
      <c r="BC295" s="1981"/>
      <c r="BD295" s="1981"/>
      <c r="BE295" s="1981"/>
      <c r="BF295" s="1981"/>
      <c r="BG295" s="2051"/>
      <c r="BH295" s="1981"/>
      <c r="BI295" s="1981"/>
      <c r="BJ295" s="1981"/>
      <c r="BK295" s="1981"/>
      <c r="BL295" s="2051"/>
      <c r="BM295" s="1981"/>
      <c r="BN295" s="1981"/>
      <c r="BO295" s="1981"/>
      <c r="BP295" s="1981"/>
      <c r="BQ295" s="2051"/>
      <c r="BR295" s="1981"/>
      <c r="BS295" s="1981"/>
      <c r="BT295" s="1981"/>
      <c r="BU295" s="1981"/>
      <c r="BV295" s="2051"/>
      <c r="BW295" s="1981"/>
      <c r="BX295" s="1981"/>
      <c r="BY295" s="1981"/>
      <c r="BZ295" s="1981"/>
      <c r="CA295" s="2051"/>
      <c r="CB295" s="1981"/>
      <c r="CC295" s="1981"/>
      <c r="CD295" s="1981"/>
      <c r="CE295" s="1981"/>
      <c r="CF295" s="2051"/>
      <c r="CG295" s="1981"/>
      <c r="CH295" s="1981"/>
      <c r="CI295" s="1981"/>
      <c r="CJ295" s="1981"/>
      <c r="CK295" s="2051"/>
      <c r="CL295" s="1981"/>
      <c r="CM295" s="1981"/>
      <c r="CN295" s="1981"/>
      <c r="CO295" s="1981"/>
      <c r="CP295" s="2051"/>
      <c r="CQ295" s="1981"/>
      <c r="CR295" s="1981"/>
      <c r="CS295" s="1981"/>
      <c r="CT295" s="1981"/>
      <c r="CU295" s="2051"/>
      <c r="CV295" s="1981"/>
      <c r="CW295" s="1981"/>
      <c r="CX295" s="1981"/>
      <c r="CY295" s="1981"/>
      <c r="CZ295" s="2051"/>
      <c r="DA295" s="1981"/>
      <c r="DB295" s="1981"/>
      <c r="DC295" s="1981"/>
      <c r="DD295" s="1981"/>
      <c r="DE295" s="2051"/>
      <c r="DF295" s="1981"/>
      <c r="DG295" s="1981"/>
      <c r="DH295" s="1981"/>
      <c r="DI295" s="1981"/>
      <c r="DJ295" s="2051"/>
      <c r="DK295" s="1981"/>
      <c r="DL295" s="1981"/>
      <c r="DM295" s="1981"/>
      <c r="DN295" s="1981"/>
      <c r="DO295" s="2051"/>
      <c r="DP295" s="1981"/>
      <c r="DQ295" s="1981"/>
      <c r="DR295" s="1981"/>
      <c r="DS295" s="1981"/>
      <c r="DT295" s="2051"/>
      <c r="DU295" s="1981"/>
      <c r="DV295" s="1981"/>
      <c r="DW295" s="1981"/>
      <c r="DX295" s="1981"/>
      <c r="DY295" s="2051"/>
      <c r="DZ295" s="1848"/>
      <c r="EA295" s="1848"/>
      <c r="EB295" s="1848"/>
    </row>
    <row r="296" spans="1:132" ht="7.5" customHeight="1" x14ac:dyDescent="0.2">
      <c r="A296" s="1833"/>
      <c r="B296" s="1942"/>
      <c r="C296" s="2090"/>
      <c r="D296" s="1984"/>
      <c r="E296" s="1841"/>
      <c r="F296" s="1841"/>
      <c r="G296" s="1841"/>
      <c r="H296" s="1841"/>
      <c r="I296" s="1851"/>
      <c r="J296" s="1841"/>
      <c r="K296" s="1841"/>
      <c r="L296" s="1841"/>
      <c r="M296" s="1841"/>
      <c r="N296" s="1851"/>
      <c r="O296" s="1841"/>
      <c r="P296" s="1841"/>
      <c r="Q296" s="1841"/>
      <c r="R296" s="1841"/>
      <c r="S296" s="1851"/>
      <c r="T296" s="1841"/>
      <c r="U296" s="1841"/>
      <c r="V296" s="1841"/>
      <c r="W296" s="1841"/>
      <c r="X296" s="1851"/>
      <c r="Y296" s="1841"/>
      <c r="Z296" s="1841"/>
      <c r="AA296" s="1841"/>
      <c r="AB296" s="1841"/>
      <c r="AC296" s="1851"/>
      <c r="AD296" s="1841"/>
      <c r="AE296" s="1841"/>
      <c r="AF296" s="1841"/>
      <c r="AG296" s="1841"/>
      <c r="AH296" s="1851"/>
      <c r="AI296" s="1841"/>
      <c r="AJ296" s="1841"/>
      <c r="AK296" s="1841"/>
      <c r="AL296" s="1841"/>
      <c r="AM296" s="1851"/>
      <c r="AN296" s="1841"/>
      <c r="AO296" s="1841"/>
      <c r="AP296" s="1841"/>
      <c r="AQ296" s="1841"/>
      <c r="AR296" s="1851"/>
      <c r="AS296" s="1841"/>
      <c r="AT296" s="1841"/>
      <c r="AU296" s="1841"/>
      <c r="AV296" s="1841"/>
      <c r="AW296" s="1851"/>
      <c r="AX296" s="1841"/>
      <c r="AY296" s="1841"/>
      <c r="AZ296" s="1841"/>
      <c r="BA296" s="1841"/>
      <c r="BB296" s="1851"/>
      <c r="BC296" s="1841"/>
      <c r="BD296" s="1841"/>
      <c r="BE296" s="1841"/>
      <c r="BF296" s="1841"/>
      <c r="BG296" s="1851"/>
      <c r="BH296" s="1841"/>
      <c r="BI296" s="1841"/>
      <c r="BJ296" s="1841"/>
      <c r="BK296" s="1841"/>
      <c r="BL296" s="1851"/>
      <c r="BM296" s="1850"/>
      <c r="BN296" s="1850"/>
      <c r="BO296" s="1850"/>
      <c r="BP296" s="1850"/>
      <c r="BQ296" s="1851"/>
      <c r="BR296" s="1850"/>
      <c r="BS296" s="1850"/>
      <c r="BT296" s="1850"/>
      <c r="BU296" s="1850"/>
      <c r="BV296" s="1851"/>
      <c r="BW296" s="1850"/>
      <c r="BX296" s="1850"/>
      <c r="BY296" s="1850"/>
      <c r="BZ296" s="1850"/>
      <c r="CA296" s="1851"/>
      <c r="CB296" s="1850"/>
      <c r="CC296" s="1850"/>
      <c r="CD296" s="1850"/>
      <c r="CE296" s="1850"/>
      <c r="CF296" s="1851"/>
      <c r="CG296" s="1850"/>
      <c r="CH296" s="1850"/>
      <c r="CI296" s="1850"/>
      <c r="CJ296" s="1850"/>
      <c r="CK296" s="1851"/>
      <c r="CL296" s="1850"/>
      <c r="CM296" s="1850"/>
      <c r="CN296" s="1850"/>
      <c r="CO296" s="1850"/>
      <c r="CP296" s="1851"/>
      <c r="CQ296" s="1850"/>
      <c r="CR296" s="1850"/>
      <c r="CS296" s="1850"/>
      <c r="CT296" s="1850"/>
      <c r="CU296" s="1851"/>
      <c r="CV296" s="1850"/>
      <c r="CW296" s="1850"/>
      <c r="CX296" s="1850"/>
      <c r="CY296" s="1850"/>
      <c r="CZ296" s="1851"/>
      <c r="DA296" s="1850"/>
      <c r="DB296" s="1850"/>
      <c r="DC296" s="1850"/>
      <c r="DD296" s="1850"/>
      <c r="DE296" s="1851"/>
      <c r="DF296" s="1850"/>
      <c r="DG296" s="1850"/>
      <c r="DH296" s="1850"/>
      <c r="DI296" s="1850"/>
      <c r="DJ296" s="1851"/>
      <c r="DK296" s="1850"/>
      <c r="DL296" s="1850"/>
      <c r="DM296" s="1850"/>
      <c r="DN296" s="1850"/>
      <c r="DO296" s="1851"/>
      <c r="DP296" s="1850"/>
      <c r="DQ296" s="1850"/>
      <c r="DR296" s="1850"/>
      <c r="DS296" s="1850"/>
      <c r="DT296" s="1851"/>
      <c r="DU296" s="1850"/>
      <c r="DV296" s="1850"/>
      <c r="DW296" s="1850"/>
      <c r="DX296" s="1850"/>
      <c r="DY296" s="1851"/>
      <c r="DZ296" s="1838"/>
      <c r="EA296" s="1838"/>
      <c r="EB296" s="1838"/>
    </row>
    <row r="297" spans="1:132" x14ac:dyDescent="0.2">
      <c r="A297" s="1853"/>
      <c r="B297" s="58" t="s">
        <v>209</v>
      </c>
      <c r="C297" s="59"/>
      <c r="D297" s="59">
        <f>IS!D29</f>
        <v>0</v>
      </c>
      <c r="E297" s="79"/>
      <c r="F297" s="79"/>
      <c r="G297" s="79"/>
      <c r="H297" s="79"/>
      <c r="I297" s="86">
        <f>IS!I29</f>
        <v>598.39499999999975</v>
      </c>
      <c r="J297" s="79"/>
      <c r="K297" s="79"/>
      <c r="L297" s="79"/>
      <c r="M297" s="79"/>
      <c r="N297" s="86">
        <f>IS!N29</f>
        <v>405.38700000000136</v>
      </c>
      <c r="O297" s="79"/>
      <c r="P297" s="79"/>
      <c r="Q297" s="79"/>
      <c r="R297" s="79"/>
      <c r="S297" s="86">
        <f>IS!S29</f>
        <v>549.54400000000237</v>
      </c>
      <c r="T297" s="79"/>
      <c r="U297" s="79"/>
      <c r="V297" s="79"/>
      <c r="W297" s="79"/>
      <c r="X297" s="86">
        <f>IS!X29</f>
        <v>620.39999999999964</v>
      </c>
      <c r="Y297" s="79"/>
      <c r="Z297" s="79"/>
      <c r="AA297" s="79"/>
      <c r="AB297" s="79"/>
      <c r="AC297" s="86">
        <f>IS!AC29</f>
        <v>712.19300000000089</v>
      </c>
      <c r="AD297" s="79"/>
      <c r="AE297" s="79"/>
      <c r="AF297" s="79"/>
      <c r="AG297" s="79"/>
      <c r="AH297" s="86">
        <f>IS!AH29</f>
        <v>398.99999999999972</v>
      </c>
      <c r="AI297" s="79"/>
      <c r="AJ297" s="79"/>
      <c r="AK297" s="79"/>
      <c r="AL297" s="79"/>
      <c r="AM297" s="86">
        <f>IS!AM29</f>
        <v>701.8</v>
      </c>
      <c r="AN297" s="79"/>
      <c r="AO297" s="79"/>
      <c r="AP297" s="79"/>
      <c r="AQ297" s="79"/>
      <c r="AR297" s="86">
        <f>IS!AR29</f>
        <v>832.7000000000038</v>
      </c>
      <c r="AS297" s="79"/>
      <c r="AT297" s="79"/>
      <c r="AU297" s="79"/>
      <c r="AV297" s="79"/>
      <c r="AW297" s="86">
        <f>IS!AW29</f>
        <v>904.6</v>
      </c>
      <c r="AX297" s="79"/>
      <c r="AY297" s="79"/>
      <c r="AZ297" s="79"/>
      <c r="BA297" s="79"/>
      <c r="BB297" s="86">
        <f>IS!BB29</f>
        <v>1210.6000000000056</v>
      </c>
      <c r="BC297" s="79"/>
      <c r="BD297" s="79"/>
      <c r="BE297" s="79"/>
      <c r="BF297" s="79"/>
      <c r="BG297" s="86">
        <f>IS!BG29</f>
        <v>1199.5</v>
      </c>
      <c r="BH297" s="79"/>
      <c r="BI297" s="79"/>
      <c r="BJ297" s="79"/>
      <c r="BK297" s="79"/>
      <c r="BL297" s="86">
        <f>IS!BL29</f>
        <v>2622.7999999999975</v>
      </c>
      <c r="BM297" s="59">
        <f>IS!BM29</f>
        <v>744.99999999999977</v>
      </c>
      <c r="BN297" s="59">
        <f>IS!BN29</f>
        <v>771.20000000000437</v>
      </c>
      <c r="BO297" s="59">
        <f>IS!BO29</f>
        <v>732.29999999999836</v>
      </c>
      <c r="BP297" s="59">
        <f>IS!BP29</f>
        <v>949.10000000000196</v>
      </c>
      <c r="BQ297" s="86">
        <f>IS!BQ29</f>
        <v>3197.5999999999935</v>
      </c>
      <c r="BR297" s="59">
        <f>IS!BR29</f>
        <v>738.39999999999986</v>
      </c>
      <c r="BS297" s="59">
        <f>IS!BS29</f>
        <v>886.49999999999693</v>
      </c>
      <c r="BT297" s="59">
        <f>IS!BT29</f>
        <v>1021.3000000000005</v>
      </c>
      <c r="BU297" s="59">
        <f>IS!BU29</f>
        <v>1049.4000000000015</v>
      </c>
      <c r="BV297" s="86">
        <f>IS!BV29</f>
        <v>3696.7999999999884</v>
      </c>
      <c r="BW297" s="59">
        <f>IS!BW29</f>
        <v>770</v>
      </c>
      <c r="BX297" s="59">
        <f>IS!BX29</f>
        <v>821</v>
      </c>
      <c r="BY297" s="59">
        <f>IS!BY29</f>
        <v>808</v>
      </c>
      <c r="BZ297" s="59">
        <f>IS!BZ29</f>
        <v>1025</v>
      </c>
      <c r="CA297" s="86">
        <f>IS!CA29</f>
        <v>3424</v>
      </c>
      <c r="CB297" s="59">
        <f>IS!CB29</f>
        <v>712</v>
      </c>
      <c r="CC297" s="59">
        <f>IS!CC29</f>
        <v>814</v>
      </c>
      <c r="CD297" s="59">
        <f>IS!CD29</f>
        <v>867</v>
      </c>
      <c r="CE297" s="59">
        <f>IS!CE29</f>
        <v>1063.8000000000013</v>
      </c>
      <c r="CF297" s="86">
        <f>IS!CF29</f>
        <v>3456.7999999999947</v>
      </c>
      <c r="CG297" s="59">
        <f>IS!CG29</f>
        <v>775</v>
      </c>
      <c r="CH297" s="59">
        <f>IS!CH29</f>
        <v>965.40000000000077</v>
      </c>
      <c r="CI297" s="59">
        <f>IS!CI29</f>
        <v>1005.9749999999983</v>
      </c>
      <c r="CJ297" s="59">
        <f>IS!CJ29</f>
        <v>1129</v>
      </c>
      <c r="CK297" s="86">
        <f>IS!CK29</f>
        <v>4223.3750000000236</v>
      </c>
      <c r="CL297" s="59">
        <f>IS!CL29</f>
        <v>956</v>
      </c>
      <c r="CM297" s="59">
        <f>IS!CM29</f>
        <v>1121.2999999999993</v>
      </c>
      <c r="CN297" s="59">
        <f>IS!CN29</f>
        <v>1206.4000000000012</v>
      </c>
      <c r="CO297" s="59">
        <f>IS!CO29</f>
        <v>1264.2000000000016</v>
      </c>
      <c r="CP297" s="86">
        <f>IS!CP29</f>
        <v>4547.9000000000024</v>
      </c>
      <c r="CQ297" s="59">
        <f>IS!CQ29</f>
        <v>1077.399999999998</v>
      </c>
      <c r="CR297" s="59">
        <f>IS!CR29</f>
        <v>1193.100000000004</v>
      </c>
      <c r="CS297" s="59">
        <f>IS!CS29</f>
        <v>1211.3999999999992</v>
      </c>
      <c r="CT297" s="59">
        <f>IS!CT29</f>
        <v>1270.7000000000032</v>
      </c>
      <c r="CU297" s="86">
        <f>IS!CU29</f>
        <v>4752.600000000004</v>
      </c>
      <c r="CV297" s="59">
        <f>IS!CV29</f>
        <v>1176.000000000005</v>
      </c>
      <c r="CW297" s="59">
        <f>IS!CW29</f>
        <v>1213.9999999999961</v>
      </c>
      <c r="CX297" s="59">
        <f>IS!CX29</f>
        <v>1272.0757406383304</v>
      </c>
      <c r="CY297" s="59">
        <f>IS!CY29</f>
        <v>1512.8047278599986</v>
      </c>
      <c r="CZ297" s="86">
        <f>IS!CZ29</f>
        <v>5174.8804684983297</v>
      </c>
      <c r="DA297" s="59">
        <f>IS!DA29</f>
        <v>1108.7999999999986</v>
      </c>
      <c r="DB297" s="59">
        <f>IS!DB29</f>
        <v>1222.4999999999998</v>
      </c>
      <c r="DC297" s="59">
        <f>IS!DC29</f>
        <v>1558.4999999999975</v>
      </c>
      <c r="DD297" s="59">
        <f>IS!DD29</f>
        <v>1624.2999999999981</v>
      </c>
      <c r="DE297" s="86">
        <f>IS!DE29</f>
        <v>5514.099999999994</v>
      </c>
      <c r="DF297" s="59">
        <f>IS!DF29</f>
        <v>1014.1999999999985</v>
      </c>
      <c r="DG297" s="59">
        <f>IS!DG29</f>
        <v>1165.4188349591539</v>
      </c>
      <c r="DH297" s="59">
        <f>IS!DH29</f>
        <v>1327.9780076587974</v>
      </c>
      <c r="DI297" s="59">
        <f>IS!DI29</f>
        <v>1742.2624471080985</v>
      </c>
      <c r="DJ297" s="86">
        <f>IS!DJ29</f>
        <v>5249.8592897260487</v>
      </c>
      <c r="DK297" s="59">
        <f ca="1">IS!DK29</f>
        <v>1275.4970018799602</v>
      </c>
      <c r="DL297" s="59">
        <f ca="1">IS!DL29</f>
        <v>1283.2536194207792</v>
      </c>
      <c r="DM297" s="59">
        <f ca="1">IS!DM29</f>
        <v>1431.103610957887</v>
      </c>
      <c r="DN297" s="59">
        <f ca="1">IS!DN29</f>
        <v>1772.7458531435491</v>
      </c>
      <c r="DO297" s="86">
        <f ca="1">IS!DO29</f>
        <v>5762.6000854021731</v>
      </c>
      <c r="DP297" s="59">
        <f ca="1">IS!DP29</f>
        <v>1178.0324541820701</v>
      </c>
      <c r="DQ297" s="59">
        <f ca="1">IS!DQ29</f>
        <v>1371.6985773033934</v>
      </c>
      <c r="DR297" s="59">
        <f ca="1">IS!DR29</f>
        <v>1496.2792431427883</v>
      </c>
      <c r="DS297" s="59">
        <f ca="1">IS!DS29</f>
        <v>1853.6286932275757</v>
      </c>
      <c r="DT297" s="86">
        <f ca="1">IS!DT29</f>
        <v>5899.6389678558244</v>
      </c>
      <c r="DU297" s="59">
        <f ca="1">IS!DU29</f>
        <v>1258.7136725525161</v>
      </c>
      <c r="DV297" s="59">
        <f ca="1">IS!DV29</f>
        <v>1465.4556825787256</v>
      </c>
      <c r="DW297" s="59">
        <f ca="1">IS!DW29</f>
        <v>1599.9260552515323</v>
      </c>
      <c r="DX297" s="59">
        <f ca="1">IS!DX29</f>
        <v>1960.6244381317538</v>
      </c>
      <c r="DY297" s="86">
        <f ca="1">IS!DY29</f>
        <v>6284.7198485145318</v>
      </c>
      <c r="DZ297" s="1858"/>
      <c r="EA297" s="1858"/>
      <c r="EB297" s="1858"/>
    </row>
    <row r="298" spans="1:132" x14ac:dyDescent="0.2">
      <c r="A298" s="1853"/>
      <c r="B298" s="58" t="s">
        <v>491</v>
      </c>
      <c r="C298" s="59"/>
      <c r="D298" s="59">
        <f>D14</f>
        <v>0</v>
      </c>
      <c r="E298" s="79"/>
      <c r="F298" s="79"/>
      <c r="G298" s="79"/>
      <c r="H298" s="79"/>
      <c r="I298" s="86">
        <f>I14</f>
        <v>262.8</v>
      </c>
      <c r="J298" s="79"/>
      <c r="K298" s="79"/>
      <c r="L298" s="79"/>
      <c r="M298" s="79"/>
      <c r="N298" s="86">
        <f>N14</f>
        <v>242.6</v>
      </c>
      <c r="O298" s="79"/>
      <c r="P298" s="79"/>
      <c r="Q298" s="79"/>
      <c r="R298" s="79"/>
      <c r="S298" s="86">
        <f>S14</f>
        <v>249.7</v>
      </c>
      <c r="T298" s="79"/>
      <c r="U298" s="79"/>
      <c r="V298" s="79"/>
      <c r="W298" s="79"/>
      <c r="X298" s="86">
        <f>X14</f>
        <v>277.89999999999998</v>
      </c>
      <c r="Y298" s="79"/>
      <c r="Z298" s="79"/>
      <c r="AA298" s="79"/>
      <c r="AB298" s="79"/>
      <c r="AC298" s="86">
        <f>AC14</f>
        <v>296.60699999999997</v>
      </c>
      <c r="AD298" s="79"/>
      <c r="AE298" s="79"/>
      <c r="AF298" s="79"/>
      <c r="AG298" s="79"/>
      <c r="AH298" s="86">
        <f>AH14</f>
        <v>320.8</v>
      </c>
      <c r="AI298" s="79"/>
      <c r="AJ298" s="79"/>
      <c r="AK298" s="79"/>
      <c r="AL298" s="79"/>
      <c r="AM298" s="86">
        <f>AM14</f>
        <v>310.3</v>
      </c>
      <c r="AN298" s="79"/>
      <c r="AO298" s="79"/>
      <c r="AP298" s="79"/>
      <c r="AQ298" s="79"/>
      <c r="AR298" s="86">
        <f>AR14</f>
        <v>341.7</v>
      </c>
      <c r="AS298" s="79"/>
      <c r="AT298" s="79"/>
      <c r="AU298" s="79"/>
      <c r="AV298" s="79"/>
      <c r="AW298" s="86">
        <f>AW14</f>
        <v>496.8</v>
      </c>
      <c r="AX298" s="79"/>
      <c r="AY298" s="79"/>
      <c r="AZ298" s="79"/>
      <c r="BA298" s="79"/>
      <c r="BB298" s="86">
        <f>BB14</f>
        <v>589.1</v>
      </c>
      <c r="BC298" s="79"/>
      <c r="BD298" s="79"/>
      <c r="BE298" s="79"/>
      <c r="BF298" s="79"/>
      <c r="BG298" s="86">
        <f>BG14</f>
        <v>733.3</v>
      </c>
      <c r="BH298" s="79"/>
      <c r="BI298" s="79"/>
      <c r="BJ298" s="79"/>
      <c r="BK298" s="79"/>
      <c r="BL298" s="86">
        <f t="shared" ref="BL298:DE298" si="321">BL14</f>
        <v>1094.5999999999999</v>
      </c>
      <c r="BM298" s="59">
        <f t="shared" si="321"/>
        <v>299.3</v>
      </c>
      <c r="BN298" s="59">
        <f t="shared" si="321"/>
        <v>309.99999999999994</v>
      </c>
      <c r="BO298" s="59">
        <f t="shared" si="321"/>
        <v>310.90000000000009</v>
      </c>
      <c r="BP298" s="59">
        <f t="shared" si="321"/>
        <v>354</v>
      </c>
      <c r="BQ298" s="86">
        <f t="shared" si="321"/>
        <v>1274.2</v>
      </c>
      <c r="BR298" s="59">
        <f t="shared" si="321"/>
        <v>353.9</v>
      </c>
      <c r="BS298" s="59">
        <f t="shared" si="321"/>
        <v>382.30000000000007</v>
      </c>
      <c r="BT298" s="59">
        <f t="shared" si="321"/>
        <v>300.29999999999995</v>
      </c>
      <c r="BU298" s="59">
        <f t="shared" si="321"/>
        <v>352.5</v>
      </c>
      <c r="BV298" s="86">
        <f t="shared" si="321"/>
        <v>1389</v>
      </c>
      <c r="BW298" s="59">
        <f t="shared" si="321"/>
        <v>358</v>
      </c>
      <c r="BX298" s="59">
        <f t="shared" si="321"/>
        <v>368</v>
      </c>
      <c r="BY298" s="59">
        <f t="shared" si="321"/>
        <v>370</v>
      </c>
      <c r="BZ298" s="59">
        <f t="shared" si="321"/>
        <v>373</v>
      </c>
      <c r="CA298" s="86">
        <f t="shared" si="321"/>
        <v>1469</v>
      </c>
      <c r="CB298" s="59">
        <f t="shared" si="321"/>
        <v>374</v>
      </c>
      <c r="CC298" s="59">
        <f t="shared" si="321"/>
        <v>391</v>
      </c>
      <c r="CD298" s="59">
        <f t="shared" si="321"/>
        <v>407</v>
      </c>
      <c r="CE298" s="59">
        <f t="shared" si="321"/>
        <v>396.19999999999595</v>
      </c>
      <c r="CF298" s="86">
        <f t="shared" si="321"/>
        <v>1568.199999999996</v>
      </c>
      <c r="CG298" s="59">
        <f t="shared" si="321"/>
        <v>423</v>
      </c>
      <c r="CH298" s="59">
        <f t="shared" si="321"/>
        <v>431</v>
      </c>
      <c r="CI298" s="59">
        <f t="shared" si="321"/>
        <v>442.3</v>
      </c>
      <c r="CJ298" s="59">
        <f t="shared" si="321"/>
        <v>456.70000000000005</v>
      </c>
      <c r="CK298" s="86">
        <f t="shared" si="321"/>
        <v>1753.0000000000002</v>
      </c>
      <c r="CL298" s="59">
        <f t="shared" si="321"/>
        <v>502</v>
      </c>
      <c r="CM298" s="59">
        <f t="shared" si="321"/>
        <v>449.4</v>
      </c>
      <c r="CN298" s="59">
        <f t="shared" si="321"/>
        <v>460.5</v>
      </c>
      <c r="CO298" s="59">
        <f t="shared" si="321"/>
        <v>457.8</v>
      </c>
      <c r="CP298" s="86">
        <f t="shared" si="321"/>
        <v>1869.6999999999998</v>
      </c>
      <c r="CQ298" s="59">
        <f t="shared" si="321"/>
        <v>477</v>
      </c>
      <c r="CR298" s="59">
        <f t="shared" si="321"/>
        <v>488</v>
      </c>
      <c r="CS298" s="59">
        <f t="shared" si="321"/>
        <v>477</v>
      </c>
      <c r="CT298" s="59">
        <f t="shared" si="321"/>
        <v>489</v>
      </c>
      <c r="CU298" s="86">
        <f t="shared" si="321"/>
        <v>1930.9</v>
      </c>
      <c r="CV298" s="59">
        <f t="shared" si="321"/>
        <v>490</v>
      </c>
      <c r="CW298" s="59">
        <f t="shared" si="321"/>
        <v>488</v>
      </c>
      <c r="CX298" s="59">
        <f t="shared" si="321"/>
        <v>532</v>
      </c>
      <c r="CY298" s="59">
        <f t="shared" si="321"/>
        <v>582</v>
      </c>
      <c r="CZ298" s="86">
        <f t="shared" si="321"/>
        <v>2080.6395035309433</v>
      </c>
      <c r="DA298" s="59">
        <f t="shared" si="321"/>
        <v>617</v>
      </c>
      <c r="DB298" s="59">
        <f>DB14</f>
        <v>619</v>
      </c>
      <c r="DC298" s="59">
        <f>DC14</f>
        <v>611</v>
      </c>
      <c r="DD298" s="59">
        <f>DD14</f>
        <v>628</v>
      </c>
      <c r="DE298" s="86">
        <f t="shared" si="321"/>
        <v>2445.5</v>
      </c>
      <c r="DF298" s="59">
        <f>DF14</f>
        <v>619</v>
      </c>
      <c r="DG298" s="59">
        <f t="shared" ref="DG298:DO298" si="322">DG14</f>
        <v>623</v>
      </c>
      <c r="DH298" s="59">
        <f t="shared" si="322"/>
        <v>615</v>
      </c>
      <c r="DI298" s="59">
        <f t="shared" si="322"/>
        <v>622</v>
      </c>
      <c r="DJ298" s="86">
        <f t="shared" si="322"/>
        <v>2478.8232135100002</v>
      </c>
      <c r="DK298" s="59">
        <f t="shared" si="322"/>
        <v>640.97788160000005</v>
      </c>
      <c r="DL298" s="59">
        <f t="shared" si="322"/>
        <v>631.77988160000007</v>
      </c>
      <c r="DM298" s="59">
        <f t="shared" si="322"/>
        <v>625.10188160000007</v>
      </c>
      <c r="DN298" s="59">
        <f t="shared" si="322"/>
        <v>640.97788160000005</v>
      </c>
      <c r="DO298" s="86">
        <f t="shared" si="322"/>
        <v>2538.8375264000001</v>
      </c>
      <c r="DP298" s="59">
        <f t="shared" ref="DP298:DY298" si="323">DP14</f>
        <v>638.86679360000005</v>
      </c>
      <c r="DQ298" s="59">
        <f t="shared" si="323"/>
        <v>636.05002160000004</v>
      </c>
      <c r="DR298" s="59">
        <f t="shared" si="323"/>
        <v>637.41972559999999</v>
      </c>
      <c r="DS298" s="59">
        <f t="shared" si="323"/>
        <v>637.36663759999999</v>
      </c>
      <c r="DT298" s="86">
        <f t="shared" si="323"/>
        <v>2549.7031784000001</v>
      </c>
      <c r="DU298" s="59">
        <f t="shared" si="323"/>
        <v>635.92003529600004</v>
      </c>
      <c r="DV298" s="59">
        <f t="shared" si="323"/>
        <v>633.46697741600008</v>
      </c>
      <c r="DW298" s="59">
        <f t="shared" si="323"/>
        <v>634.97957196800007</v>
      </c>
      <c r="DX298" s="59">
        <f t="shared" si="323"/>
        <v>635.71571621600015</v>
      </c>
      <c r="DY298" s="86">
        <f t="shared" si="323"/>
        <v>2540.0823008960006</v>
      </c>
      <c r="DZ298" s="1858"/>
      <c r="EA298" s="1858"/>
      <c r="EB298" s="1858"/>
    </row>
    <row r="299" spans="1:132" x14ac:dyDescent="0.2">
      <c r="A299" s="1853"/>
      <c r="B299" s="58" t="s">
        <v>492</v>
      </c>
      <c r="C299" s="59"/>
      <c r="D299" s="59">
        <f>D34</f>
        <v>0</v>
      </c>
      <c r="E299" s="79"/>
      <c r="F299" s="79"/>
      <c r="G299" s="79"/>
      <c r="H299" s="79"/>
      <c r="I299" s="86">
        <f>I34</f>
        <v>-389.9</v>
      </c>
      <c r="J299" s="79"/>
      <c r="K299" s="79"/>
      <c r="L299" s="79"/>
      <c r="M299" s="79"/>
      <c r="N299" s="86">
        <f>N34</f>
        <v>-724.5</v>
      </c>
      <c r="O299" s="79"/>
      <c r="P299" s="79"/>
      <c r="Q299" s="79"/>
      <c r="R299" s="79"/>
      <c r="S299" s="86">
        <f>S34</f>
        <v>-613.29999999999995</v>
      </c>
      <c r="T299" s="79"/>
      <c r="U299" s="79"/>
      <c r="V299" s="79"/>
      <c r="W299" s="79"/>
      <c r="X299" s="86">
        <f>X34</f>
        <v>-191.49999999999994</v>
      </c>
      <c r="Y299" s="79"/>
      <c r="Z299" s="79"/>
      <c r="AA299" s="79"/>
      <c r="AB299" s="79"/>
      <c r="AC299" s="86">
        <f>AC34</f>
        <v>-251.79999999999998</v>
      </c>
      <c r="AD299" s="79"/>
      <c r="AE299" s="79"/>
      <c r="AF299" s="79"/>
      <c r="AG299" s="79"/>
      <c r="AH299" s="86">
        <f>AH34</f>
        <v>-308.39999999999998</v>
      </c>
      <c r="AI299" s="79"/>
      <c r="AJ299" s="79"/>
      <c r="AK299" s="79"/>
      <c r="AL299" s="79"/>
      <c r="AM299" s="86">
        <f>AM34</f>
        <v>141.20000000000005</v>
      </c>
      <c r="AN299" s="79"/>
      <c r="AO299" s="79"/>
      <c r="AP299" s="79"/>
      <c r="AQ299" s="79"/>
      <c r="AR299" s="86">
        <f>AR34</f>
        <v>-237</v>
      </c>
      <c r="AS299" s="79"/>
      <c r="AT299" s="79"/>
      <c r="AU299" s="79"/>
      <c r="AV299" s="79"/>
      <c r="AW299" s="86">
        <f>AW34</f>
        <v>-557.29999999999995</v>
      </c>
      <c r="AX299" s="79"/>
      <c r="AY299" s="79"/>
      <c r="AZ299" s="79"/>
      <c r="BA299" s="79"/>
      <c r="BB299" s="86">
        <f>BB34</f>
        <v>-213.39999999999998</v>
      </c>
      <c r="BC299" s="79"/>
      <c r="BD299" s="79"/>
      <c r="BE299" s="79"/>
      <c r="BF299" s="79"/>
      <c r="BG299" s="86">
        <f>BG34</f>
        <v>-460.00000000000011</v>
      </c>
      <c r="BH299" s="79"/>
      <c r="BI299" s="79"/>
      <c r="BJ299" s="79"/>
      <c r="BK299" s="79"/>
      <c r="BL299" s="86">
        <f t="shared" ref="BL299:DE299" si="324">BL34</f>
        <v>-577.09999999999991</v>
      </c>
      <c r="BM299" s="59">
        <f t="shared" si="324"/>
        <v>-319.8</v>
      </c>
      <c r="BN299" s="59">
        <f t="shared" si="324"/>
        <v>-487.30000000000007</v>
      </c>
      <c r="BO299" s="59">
        <f t="shared" si="324"/>
        <v>-278.79999999999995</v>
      </c>
      <c r="BP299" s="59">
        <f t="shared" si="324"/>
        <v>437.9</v>
      </c>
      <c r="BQ299" s="86">
        <f t="shared" si="324"/>
        <v>-648</v>
      </c>
      <c r="BR299" s="59">
        <f t="shared" si="324"/>
        <v>-331</v>
      </c>
      <c r="BS299" s="59">
        <f t="shared" si="324"/>
        <v>-886.59999999999991</v>
      </c>
      <c r="BT299" s="59">
        <f t="shared" si="324"/>
        <v>-500.7</v>
      </c>
      <c r="BU299" s="59">
        <f t="shared" si="324"/>
        <v>419.29999999999995</v>
      </c>
      <c r="BV299" s="86">
        <f t="shared" si="324"/>
        <v>-1299</v>
      </c>
      <c r="BW299" s="59">
        <f t="shared" si="324"/>
        <v>-113</v>
      </c>
      <c r="BX299" s="59">
        <f t="shared" si="324"/>
        <v>-515</v>
      </c>
      <c r="BY299" s="59">
        <f t="shared" si="324"/>
        <v>12</v>
      </c>
      <c r="BZ299" s="59">
        <f t="shared" si="324"/>
        <v>576</v>
      </c>
      <c r="CA299" s="86">
        <f t="shared" si="324"/>
        <v>-40</v>
      </c>
      <c r="CB299" s="59">
        <f t="shared" si="324"/>
        <v>752</v>
      </c>
      <c r="CC299" s="59">
        <f t="shared" si="324"/>
        <v>-28</v>
      </c>
      <c r="CD299" s="59">
        <f t="shared" si="324"/>
        <v>636</v>
      </c>
      <c r="CE299" s="59">
        <f t="shared" si="324"/>
        <v>-757</v>
      </c>
      <c r="CF299" s="86">
        <f t="shared" si="324"/>
        <v>603</v>
      </c>
      <c r="CG299" s="59">
        <f t="shared" si="324"/>
        <v>1734</v>
      </c>
      <c r="CH299" s="59">
        <f t="shared" si="324"/>
        <v>-270</v>
      </c>
      <c r="CI299" s="59">
        <f t="shared" si="324"/>
        <v>-677</v>
      </c>
      <c r="CJ299" s="59">
        <f t="shared" si="324"/>
        <v>-129</v>
      </c>
      <c r="CK299" s="86">
        <f t="shared" si="324"/>
        <v>658</v>
      </c>
      <c r="CL299" s="59">
        <f t="shared" si="324"/>
        <v>193</v>
      </c>
      <c r="CM299" s="59">
        <f t="shared" si="324"/>
        <v>-713</v>
      </c>
      <c r="CN299" s="59">
        <f t="shared" si="324"/>
        <v>-132</v>
      </c>
      <c r="CO299" s="59">
        <f t="shared" si="324"/>
        <v>54</v>
      </c>
      <c r="CP299" s="86">
        <f t="shared" si="324"/>
        <v>-598</v>
      </c>
      <c r="CQ299" s="59">
        <f t="shared" si="324"/>
        <v>568</v>
      </c>
      <c r="CR299" s="59">
        <f t="shared" si="324"/>
        <v>-907</v>
      </c>
      <c r="CS299" s="59">
        <f t="shared" si="324"/>
        <v>-244</v>
      </c>
      <c r="CT299" s="59">
        <f t="shared" si="324"/>
        <v>1495</v>
      </c>
      <c r="CU299" s="86">
        <f t="shared" si="324"/>
        <v>912</v>
      </c>
      <c r="CV299" s="59">
        <f t="shared" si="324"/>
        <v>332</v>
      </c>
      <c r="CW299" s="59">
        <f t="shared" si="324"/>
        <v>-783</v>
      </c>
      <c r="CX299" s="59">
        <f t="shared" si="324"/>
        <v>167</v>
      </c>
      <c r="CY299" s="59">
        <f t="shared" si="324"/>
        <v>1505</v>
      </c>
      <c r="CZ299" s="86">
        <f t="shared" si="324"/>
        <v>1221</v>
      </c>
      <c r="DA299" s="59">
        <f t="shared" si="324"/>
        <v>574</v>
      </c>
      <c r="DB299" s="59">
        <f>DB34</f>
        <v>-582</v>
      </c>
      <c r="DC299" s="59">
        <f>DC34</f>
        <v>1569</v>
      </c>
      <c r="DD299" s="59">
        <f>DD34</f>
        <v>-304</v>
      </c>
      <c r="DE299" s="86">
        <f t="shared" si="324"/>
        <v>1257</v>
      </c>
      <c r="DF299" s="59">
        <f>DF34</f>
        <v>1892</v>
      </c>
      <c r="DG299" s="59">
        <f t="shared" ref="DG299:DO299" si="325">DG34</f>
        <v>83</v>
      </c>
      <c r="DH299" s="59">
        <f t="shared" si="325"/>
        <v>209</v>
      </c>
      <c r="DI299" s="59">
        <f t="shared" si="325"/>
        <v>-2600</v>
      </c>
      <c r="DJ299" s="86">
        <f t="shared" si="325"/>
        <v>-416</v>
      </c>
      <c r="DK299" s="59">
        <f t="shared" ca="1" si="325"/>
        <v>-1782.8989594800696</v>
      </c>
      <c r="DL299" s="59">
        <f t="shared" ca="1" si="325"/>
        <v>825.55019507698671</v>
      </c>
      <c r="DM299" s="59">
        <f t="shared" ca="1" si="325"/>
        <v>72.930163704189908</v>
      </c>
      <c r="DN299" s="59">
        <f t="shared" ca="1" si="325"/>
        <v>237.60958148153441</v>
      </c>
      <c r="DO299" s="86">
        <f t="shared" ca="1" si="325"/>
        <v>-646.80901921735858</v>
      </c>
      <c r="DP299" s="59">
        <f t="shared" ref="DP299:DY299" ca="1" si="326">DP34</f>
        <v>-1657.8096271795757</v>
      </c>
      <c r="DQ299" s="59">
        <f t="shared" ca="1" si="326"/>
        <v>878.07489251342213</v>
      </c>
      <c r="DR299" s="59">
        <f t="shared" ca="1" si="326"/>
        <v>74.722247259927826</v>
      </c>
      <c r="DS299" s="59">
        <f t="shared" ca="1" si="326"/>
        <v>282.95595022106318</v>
      </c>
      <c r="DT299" s="86">
        <f t="shared" ca="1" si="326"/>
        <v>-422.0565371851626</v>
      </c>
      <c r="DU299" s="59">
        <f t="shared" ca="1" si="326"/>
        <v>-1315.93863003349</v>
      </c>
      <c r="DV299" s="59">
        <f t="shared" ca="1" si="326"/>
        <v>938.51526113870204</v>
      </c>
      <c r="DW299" s="59">
        <f t="shared" ca="1" si="326"/>
        <v>80.229576352587173</v>
      </c>
      <c r="DX299" s="59">
        <f t="shared" ca="1" si="326"/>
        <v>322.76142846600123</v>
      </c>
      <c r="DY299" s="86">
        <f t="shared" ca="1" si="326"/>
        <v>25.567635923800481</v>
      </c>
      <c r="DZ299" s="1858"/>
      <c r="EA299" s="1858"/>
      <c r="EB299" s="1858"/>
    </row>
    <row r="300" spans="1:132" x14ac:dyDescent="0.2">
      <c r="A300" s="1853"/>
      <c r="B300" s="58" t="s">
        <v>493</v>
      </c>
      <c r="C300" s="310"/>
      <c r="D300" s="310">
        <f>D37</f>
        <v>0</v>
      </c>
      <c r="E300" s="441"/>
      <c r="F300" s="441"/>
      <c r="G300" s="441"/>
      <c r="H300" s="441"/>
      <c r="I300" s="314">
        <f>I37+I38</f>
        <v>-328.9</v>
      </c>
      <c r="J300" s="441"/>
      <c r="K300" s="441"/>
      <c r="L300" s="441"/>
      <c r="M300" s="441"/>
      <c r="N300" s="314">
        <f>N37+N38</f>
        <v>-341.6</v>
      </c>
      <c r="O300" s="441"/>
      <c r="P300" s="441"/>
      <c r="Q300" s="441"/>
      <c r="R300" s="441"/>
      <c r="S300" s="314">
        <f>S37+S38</f>
        <v>-502.3</v>
      </c>
      <c r="T300" s="441"/>
      <c r="U300" s="441"/>
      <c r="V300" s="441"/>
      <c r="W300" s="441"/>
      <c r="X300" s="314">
        <f>X37+X38</f>
        <v>-493.50000000000006</v>
      </c>
      <c r="Y300" s="441"/>
      <c r="Z300" s="441"/>
      <c r="AA300" s="441"/>
      <c r="AB300" s="441"/>
      <c r="AC300" s="314">
        <f>AC37+AC38</f>
        <v>-395.99999999999994</v>
      </c>
      <c r="AD300" s="441"/>
      <c r="AE300" s="441"/>
      <c r="AF300" s="441"/>
      <c r="AG300" s="441"/>
      <c r="AH300" s="314">
        <f>AH37+AH38</f>
        <v>-390.3</v>
      </c>
      <c r="AI300" s="441"/>
      <c r="AJ300" s="441"/>
      <c r="AK300" s="441"/>
      <c r="AL300" s="441"/>
      <c r="AM300" s="314">
        <f>AM37+AM38</f>
        <v>-660</v>
      </c>
      <c r="AN300" s="441"/>
      <c r="AO300" s="441"/>
      <c r="AP300" s="441"/>
      <c r="AQ300" s="441"/>
      <c r="AR300" s="314">
        <f>AR37+AR38</f>
        <v>-633.90000000000009</v>
      </c>
      <c r="AS300" s="441"/>
      <c r="AT300" s="441"/>
      <c r="AU300" s="441"/>
      <c r="AV300" s="441"/>
      <c r="AW300" s="314">
        <f>AW37+AW38</f>
        <v>-851.1</v>
      </c>
      <c r="AX300" s="441"/>
      <c r="AY300" s="441"/>
      <c r="AZ300" s="441"/>
      <c r="BA300" s="441"/>
      <c r="BB300" s="314">
        <f>BB37+BB38</f>
        <v>-955.50000000000011</v>
      </c>
      <c r="BC300" s="441"/>
      <c r="BD300" s="441"/>
      <c r="BE300" s="441"/>
      <c r="BF300" s="441"/>
      <c r="BG300" s="314">
        <f>BG37+BG38</f>
        <v>-393.30000000000018</v>
      </c>
      <c r="BH300" s="441"/>
      <c r="BI300" s="441"/>
      <c r="BJ300" s="441"/>
      <c r="BK300" s="441"/>
      <c r="BL300" s="314">
        <f t="shared" ref="BL300:DE300" si="327">BL37+BL38</f>
        <v>-1204</v>
      </c>
      <c r="BM300" s="310">
        <f t="shared" si="327"/>
        <v>-395</v>
      </c>
      <c r="BN300" s="310">
        <f t="shared" si="327"/>
        <v>-490.7</v>
      </c>
      <c r="BO300" s="310">
        <f t="shared" si="327"/>
        <v>-400.60000000000008</v>
      </c>
      <c r="BP300" s="310">
        <f t="shared" si="327"/>
        <v>-689.80000000000007</v>
      </c>
      <c r="BQ300" s="314">
        <f t="shared" si="327"/>
        <v>-1976.1000000000001</v>
      </c>
      <c r="BR300" s="310">
        <f t="shared" si="327"/>
        <v>-460.59999999999997</v>
      </c>
      <c r="BS300" s="310">
        <f t="shared" si="327"/>
        <v>-127.59999999999997</v>
      </c>
      <c r="BT300" s="310">
        <f t="shared" si="327"/>
        <v>-416.1</v>
      </c>
      <c r="BU300" s="310">
        <f t="shared" si="327"/>
        <v>18.299999999999955</v>
      </c>
      <c r="BV300" s="314">
        <f t="shared" si="327"/>
        <v>-986</v>
      </c>
      <c r="BW300" s="310">
        <f t="shared" si="327"/>
        <v>-401</v>
      </c>
      <c r="BX300" s="310">
        <f t="shared" si="327"/>
        <v>-465</v>
      </c>
      <c r="BY300" s="310">
        <f t="shared" si="327"/>
        <v>-389</v>
      </c>
      <c r="BZ300" s="310">
        <f t="shared" si="327"/>
        <v>-243</v>
      </c>
      <c r="CA300" s="314">
        <f t="shared" si="327"/>
        <v>-1498</v>
      </c>
      <c r="CB300" s="310">
        <f t="shared" si="327"/>
        <v>-298</v>
      </c>
      <c r="CC300" s="310">
        <f t="shared" si="327"/>
        <v>-401</v>
      </c>
      <c r="CD300" s="310">
        <f t="shared" si="327"/>
        <v>-458</v>
      </c>
      <c r="CE300" s="310">
        <f t="shared" si="327"/>
        <v>-123</v>
      </c>
      <c r="CF300" s="314">
        <f t="shared" si="327"/>
        <v>-1280</v>
      </c>
      <c r="CG300" s="310">
        <f t="shared" si="327"/>
        <v>-376</v>
      </c>
      <c r="CH300" s="310">
        <f t="shared" si="327"/>
        <v>-442</v>
      </c>
      <c r="CI300" s="310">
        <f t="shared" si="327"/>
        <v>-69</v>
      </c>
      <c r="CJ300" s="310">
        <f t="shared" si="327"/>
        <v>-614</v>
      </c>
      <c r="CK300" s="314">
        <f t="shared" si="327"/>
        <v>-1501</v>
      </c>
      <c r="CL300" s="310">
        <f t="shared" si="327"/>
        <v>-318</v>
      </c>
      <c r="CM300" s="310">
        <f t="shared" si="327"/>
        <v>-486</v>
      </c>
      <c r="CN300" s="310">
        <f t="shared" si="327"/>
        <v>-370</v>
      </c>
      <c r="CO300" s="310">
        <f t="shared" si="327"/>
        <v>-210</v>
      </c>
      <c r="CP300" s="314">
        <f t="shared" si="327"/>
        <v>-1384</v>
      </c>
      <c r="CQ300" s="310">
        <f t="shared" si="327"/>
        <v>-383</v>
      </c>
      <c r="CR300" s="310">
        <f t="shared" si="327"/>
        <v>-503</v>
      </c>
      <c r="CS300" s="310">
        <f t="shared" si="327"/>
        <v>-222</v>
      </c>
      <c r="CT300" s="310">
        <f t="shared" si="327"/>
        <v>-513</v>
      </c>
      <c r="CU300" s="314">
        <f t="shared" si="327"/>
        <v>-1621</v>
      </c>
      <c r="CV300" s="310">
        <f t="shared" si="327"/>
        <v>-394</v>
      </c>
      <c r="CW300" s="310">
        <f t="shared" si="327"/>
        <v>-514</v>
      </c>
      <c r="CX300" s="310">
        <f t="shared" si="327"/>
        <v>-548</v>
      </c>
      <c r="CY300" s="310">
        <f t="shared" si="327"/>
        <v>-500</v>
      </c>
      <c r="CZ300" s="314">
        <f t="shared" si="327"/>
        <v>-1956</v>
      </c>
      <c r="DA300" s="310">
        <f t="shared" si="327"/>
        <v>-598</v>
      </c>
      <c r="DB300" s="310">
        <f>DB37+DB38</f>
        <v>-504</v>
      </c>
      <c r="DC300" s="310">
        <f>DC37+DC38</f>
        <v>-275</v>
      </c>
      <c r="DD300" s="310">
        <f>DD37+DD38</f>
        <v>-617</v>
      </c>
      <c r="DE300" s="314">
        <f t="shared" si="327"/>
        <v>-1994</v>
      </c>
      <c r="DF300" s="310">
        <f>DF37+DF38</f>
        <v>-457</v>
      </c>
      <c r="DG300" s="310">
        <f t="shared" ref="DG300:DO300" si="328">DG37+DG38</f>
        <v>-418</v>
      </c>
      <c r="DH300" s="310">
        <f t="shared" si="328"/>
        <v>-272</v>
      </c>
      <c r="DI300" s="310">
        <f t="shared" si="328"/>
        <v>-506</v>
      </c>
      <c r="DJ300" s="314">
        <f t="shared" si="328"/>
        <v>-1653</v>
      </c>
      <c r="DK300" s="310">
        <f t="shared" si="328"/>
        <v>-382</v>
      </c>
      <c r="DL300" s="310">
        <f t="shared" si="328"/>
        <v>-356</v>
      </c>
      <c r="DM300" s="310">
        <f t="shared" si="328"/>
        <v>-449</v>
      </c>
      <c r="DN300" s="310">
        <f t="shared" si="328"/>
        <v>-431</v>
      </c>
      <c r="DO300" s="314">
        <f t="shared" si="328"/>
        <v>-1618</v>
      </c>
      <c r="DP300" s="310">
        <f t="shared" ref="DP300:DY300" si="329">DP37+DP38</f>
        <v>-395.71000000000004</v>
      </c>
      <c r="DQ300" s="310">
        <f t="shared" si="329"/>
        <v>-368.93</v>
      </c>
      <c r="DR300" s="310">
        <f t="shared" si="329"/>
        <v>-464.72</v>
      </c>
      <c r="DS300" s="310">
        <f t="shared" si="329"/>
        <v>-446.18000000000006</v>
      </c>
      <c r="DT300" s="314">
        <f t="shared" si="329"/>
        <v>-1675.5400000000002</v>
      </c>
      <c r="DU300" s="310">
        <f t="shared" si="329"/>
        <v>-409.83130000000006</v>
      </c>
      <c r="DV300" s="310">
        <f t="shared" si="329"/>
        <v>-382.24790000000002</v>
      </c>
      <c r="DW300" s="310">
        <f t="shared" si="329"/>
        <v>-480.91160000000002</v>
      </c>
      <c r="DX300" s="310">
        <f t="shared" si="329"/>
        <v>-461.81540000000007</v>
      </c>
      <c r="DY300" s="314">
        <f t="shared" si="329"/>
        <v>-1734.8062</v>
      </c>
      <c r="DZ300" s="1858"/>
      <c r="EA300" s="1858"/>
      <c r="EB300" s="1858"/>
    </row>
    <row r="301" spans="1:132" x14ac:dyDescent="0.2">
      <c r="A301" s="1869"/>
      <c r="B301" s="442" t="s">
        <v>494</v>
      </c>
      <c r="C301" s="73"/>
      <c r="D301" s="73">
        <f>SUM(D297:D300)</f>
        <v>0</v>
      </c>
      <c r="E301" s="376"/>
      <c r="F301" s="376"/>
      <c r="G301" s="376"/>
      <c r="H301" s="376"/>
      <c r="I301" s="323">
        <f>SUM(I297:I300)</f>
        <v>142.39499999999975</v>
      </c>
      <c r="J301" s="376"/>
      <c r="K301" s="376"/>
      <c r="L301" s="376"/>
      <c r="M301" s="376"/>
      <c r="N301" s="323">
        <f>SUM(N297:N300)</f>
        <v>-418.11299999999869</v>
      </c>
      <c r="O301" s="376"/>
      <c r="P301" s="376"/>
      <c r="Q301" s="376"/>
      <c r="R301" s="376"/>
      <c r="S301" s="323">
        <f>SUM(S297:S300)</f>
        <v>-316.35599999999755</v>
      </c>
      <c r="T301" s="376"/>
      <c r="U301" s="376"/>
      <c r="V301" s="376"/>
      <c r="W301" s="376"/>
      <c r="X301" s="323">
        <f>SUM(X297:X300)</f>
        <v>213.29999999999967</v>
      </c>
      <c r="Y301" s="376"/>
      <c r="Z301" s="376"/>
      <c r="AA301" s="376"/>
      <c r="AB301" s="376"/>
      <c r="AC301" s="323">
        <f>SUM(AC297:AC300)</f>
        <v>361.00000000000097</v>
      </c>
      <c r="AD301" s="376"/>
      <c r="AE301" s="376"/>
      <c r="AF301" s="376"/>
      <c r="AG301" s="376"/>
      <c r="AH301" s="323">
        <f>SUM(AH297:AH300)</f>
        <v>21.099999999999739</v>
      </c>
      <c r="AI301" s="376"/>
      <c r="AJ301" s="376"/>
      <c r="AK301" s="376"/>
      <c r="AL301" s="376"/>
      <c r="AM301" s="323">
        <f>SUM(AM297:AM300)</f>
        <v>493.29999999999995</v>
      </c>
      <c r="AN301" s="376"/>
      <c r="AO301" s="376"/>
      <c r="AP301" s="376"/>
      <c r="AQ301" s="376"/>
      <c r="AR301" s="323">
        <f>SUM(AR297:AR300)</f>
        <v>303.50000000000364</v>
      </c>
      <c r="AS301" s="376"/>
      <c r="AT301" s="376"/>
      <c r="AU301" s="376"/>
      <c r="AV301" s="376"/>
      <c r="AW301" s="323">
        <f>SUM(AW297:AW300)</f>
        <v>-6.9999999999998863</v>
      </c>
      <c r="AX301" s="376"/>
      <c r="AY301" s="376"/>
      <c r="AZ301" s="376"/>
      <c r="BA301" s="376"/>
      <c r="BB301" s="323">
        <f>SUM(BB297:BB300)</f>
        <v>630.80000000000553</v>
      </c>
      <c r="BC301" s="376"/>
      <c r="BD301" s="376"/>
      <c r="BE301" s="376"/>
      <c r="BF301" s="376"/>
      <c r="BG301" s="323">
        <f>SUM(BG297:BG300)</f>
        <v>1079.4999999999995</v>
      </c>
      <c r="BH301" s="376"/>
      <c r="BI301" s="376"/>
      <c r="BJ301" s="376"/>
      <c r="BK301" s="376"/>
      <c r="BL301" s="323">
        <f t="shared" ref="BL301:DJ301" si="330">SUM(BL297:BL300)</f>
        <v>1936.2999999999975</v>
      </c>
      <c r="BM301" s="73">
        <f t="shared" si="330"/>
        <v>329.49999999999977</v>
      </c>
      <c r="BN301" s="73">
        <f t="shared" si="330"/>
        <v>103.20000000000431</v>
      </c>
      <c r="BO301" s="73">
        <f t="shared" si="330"/>
        <v>363.79999999999842</v>
      </c>
      <c r="BP301" s="73">
        <f t="shared" si="330"/>
        <v>1051.2000000000016</v>
      </c>
      <c r="BQ301" s="323">
        <f t="shared" si="330"/>
        <v>1847.6999999999937</v>
      </c>
      <c r="BR301" s="73">
        <f t="shared" si="330"/>
        <v>300.69999999999976</v>
      </c>
      <c r="BS301" s="73">
        <f t="shared" si="330"/>
        <v>254.59999999999712</v>
      </c>
      <c r="BT301" s="73">
        <f t="shared" si="330"/>
        <v>404.8000000000003</v>
      </c>
      <c r="BU301" s="73">
        <f t="shared" si="330"/>
        <v>1839.5000000000014</v>
      </c>
      <c r="BV301" s="323">
        <f t="shared" si="330"/>
        <v>2800.7999999999884</v>
      </c>
      <c r="BW301" s="73">
        <f t="shared" si="330"/>
        <v>614</v>
      </c>
      <c r="BX301" s="73">
        <f t="shared" si="330"/>
        <v>209</v>
      </c>
      <c r="BY301" s="73">
        <f t="shared" si="330"/>
        <v>801</v>
      </c>
      <c r="BZ301" s="73">
        <f t="shared" si="330"/>
        <v>1731</v>
      </c>
      <c r="CA301" s="323">
        <f t="shared" si="330"/>
        <v>3355</v>
      </c>
      <c r="CB301" s="73">
        <f t="shared" si="330"/>
        <v>1540</v>
      </c>
      <c r="CC301" s="73">
        <f t="shared" si="330"/>
        <v>776</v>
      </c>
      <c r="CD301" s="73">
        <f t="shared" si="330"/>
        <v>1452</v>
      </c>
      <c r="CE301" s="73">
        <f t="shared" si="330"/>
        <v>579.99999999999727</v>
      </c>
      <c r="CF301" s="323">
        <f t="shared" si="330"/>
        <v>4347.9999999999909</v>
      </c>
      <c r="CG301" s="73">
        <f t="shared" si="330"/>
        <v>2556</v>
      </c>
      <c r="CH301" s="73">
        <f t="shared" si="330"/>
        <v>684.40000000000077</v>
      </c>
      <c r="CI301" s="73">
        <f t="shared" si="330"/>
        <v>702.27499999999827</v>
      </c>
      <c r="CJ301" s="73">
        <f t="shared" si="330"/>
        <v>842.7</v>
      </c>
      <c r="CK301" s="323">
        <f t="shared" si="330"/>
        <v>5133.3750000000236</v>
      </c>
      <c r="CL301" s="73">
        <f t="shared" si="330"/>
        <v>1333</v>
      </c>
      <c r="CM301" s="73">
        <f t="shared" si="330"/>
        <v>371.69999999999936</v>
      </c>
      <c r="CN301" s="73">
        <f t="shared" si="330"/>
        <v>1164.9000000000012</v>
      </c>
      <c r="CO301" s="73">
        <f t="shared" si="330"/>
        <v>1566.0000000000016</v>
      </c>
      <c r="CP301" s="323">
        <f t="shared" si="330"/>
        <v>4435.6000000000022</v>
      </c>
      <c r="CQ301" s="73">
        <f t="shared" si="330"/>
        <v>1739.3999999999978</v>
      </c>
      <c r="CR301" s="73">
        <f t="shared" si="330"/>
        <v>271.100000000004</v>
      </c>
      <c r="CS301" s="73">
        <f t="shared" si="330"/>
        <v>1222.3999999999992</v>
      </c>
      <c r="CT301" s="73">
        <f t="shared" si="330"/>
        <v>2741.7000000000035</v>
      </c>
      <c r="CU301" s="323">
        <f t="shared" si="330"/>
        <v>5974.5000000000036</v>
      </c>
      <c r="CV301" s="73">
        <f t="shared" si="330"/>
        <v>1604.000000000005</v>
      </c>
      <c r="CW301" s="73">
        <f t="shared" si="330"/>
        <v>404.99999999999613</v>
      </c>
      <c r="CX301" s="73">
        <f t="shared" si="330"/>
        <v>1423.0757406383304</v>
      </c>
      <c r="CY301" s="73">
        <f t="shared" si="330"/>
        <v>3099.8047278599988</v>
      </c>
      <c r="CZ301" s="323">
        <f t="shared" si="330"/>
        <v>6520.519972029273</v>
      </c>
      <c r="DA301" s="73">
        <f t="shared" si="330"/>
        <v>1701.7999999999984</v>
      </c>
      <c r="DB301" s="73">
        <f>SUM(DB297:DB300)</f>
        <v>755.49999999999977</v>
      </c>
      <c r="DC301" s="73">
        <f>SUM(DC297:DC300)</f>
        <v>3463.4999999999973</v>
      </c>
      <c r="DD301" s="73">
        <f>SUM(DD297:DD300)</f>
        <v>1331.2999999999984</v>
      </c>
      <c r="DE301" s="323">
        <f t="shared" si="330"/>
        <v>7222.5999999999949</v>
      </c>
      <c r="DF301" s="73">
        <f>SUM(DF297:DF300)</f>
        <v>3068.1999999999985</v>
      </c>
      <c r="DG301" s="73">
        <f t="shared" si="330"/>
        <v>1453.4188349591539</v>
      </c>
      <c r="DH301" s="73">
        <f t="shared" si="330"/>
        <v>1879.9780076587977</v>
      </c>
      <c r="DI301" s="73">
        <f t="shared" si="330"/>
        <v>-741.73755289190149</v>
      </c>
      <c r="DJ301" s="323">
        <f t="shared" si="330"/>
        <v>5659.6825032360484</v>
      </c>
      <c r="DK301" s="73">
        <f t="shared" ref="DK301:DT301" ca="1" si="331">SUM(DK297:DK300)</f>
        <v>-248.42407600010938</v>
      </c>
      <c r="DL301" s="73">
        <f t="shared" ca="1" si="331"/>
        <v>2384.5836960977658</v>
      </c>
      <c r="DM301" s="73">
        <f t="shared" ca="1" si="331"/>
        <v>1680.1356562620767</v>
      </c>
      <c r="DN301" s="73">
        <f t="shared" ca="1" si="331"/>
        <v>2220.3333162250838</v>
      </c>
      <c r="DO301" s="323">
        <f t="shared" ca="1" si="331"/>
        <v>6036.6285925848151</v>
      </c>
      <c r="DP301" s="73">
        <f t="shared" ca="1" si="331"/>
        <v>-236.62037939750553</v>
      </c>
      <c r="DQ301" s="73">
        <f t="shared" ca="1" si="331"/>
        <v>2516.8934914168158</v>
      </c>
      <c r="DR301" s="73">
        <f t="shared" ca="1" si="331"/>
        <v>1743.7012160027164</v>
      </c>
      <c r="DS301" s="73">
        <f t="shared" ca="1" si="331"/>
        <v>2327.7712810486391</v>
      </c>
      <c r="DT301" s="323">
        <f t="shared" ca="1" si="331"/>
        <v>6351.7456090706628</v>
      </c>
      <c r="DU301" s="73">
        <f t="shared" ref="DU301:DY301" ca="1" si="332">SUM(DU297:DU300)</f>
        <v>168.8637778150262</v>
      </c>
      <c r="DV301" s="73">
        <f t="shared" ca="1" si="332"/>
        <v>2655.1900211334278</v>
      </c>
      <c r="DW301" s="73">
        <f t="shared" ca="1" si="332"/>
        <v>1834.2236035721194</v>
      </c>
      <c r="DX301" s="73">
        <f t="shared" ca="1" si="332"/>
        <v>2457.2861828137552</v>
      </c>
      <c r="DY301" s="323">
        <f t="shared" ca="1" si="332"/>
        <v>7115.5635853343329</v>
      </c>
      <c r="DZ301" s="1853"/>
      <c r="EA301" s="1872"/>
      <c r="EB301" s="1872"/>
    </row>
    <row r="302" spans="1:132" x14ac:dyDescent="0.2">
      <c r="A302" s="1853"/>
      <c r="B302" s="58" t="s">
        <v>495</v>
      </c>
      <c r="C302" s="59"/>
      <c r="D302" s="59">
        <f>D58</f>
        <v>0</v>
      </c>
      <c r="E302" s="79"/>
      <c r="F302" s="79"/>
      <c r="G302" s="79"/>
      <c r="H302" s="79"/>
      <c r="I302" s="86">
        <f>I58</f>
        <v>-137.5</v>
      </c>
      <c r="J302" s="79"/>
      <c r="K302" s="79"/>
      <c r="L302" s="79"/>
      <c r="M302" s="79"/>
      <c r="N302" s="86">
        <f>N58</f>
        <v>-87.6</v>
      </c>
      <c r="O302" s="79"/>
      <c r="P302" s="79"/>
      <c r="Q302" s="79"/>
      <c r="R302" s="79"/>
      <c r="S302" s="86">
        <f>S58</f>
        <v>-102.5</v>
      </c>
      <c r="T302" s="79"/>
      <c r="U302" s="79"/>
      <c r="V302" s="79"/>
      <c r="W302" s="79"/>
      <c r="X302" s="86">
        <f>X58</f>
        <v>-104.7</v>
      </c>
      <c r="Y302" s="79"/>
      <c r="Z302" s="79"/>
      <c r="AA302" s="79"/>
      <c r="AB302" s="79"/>
      <c r="AC302" s="86">
        <f>AC58</f>
        <v>-104.8</v>
      </c>
      <c r="AD302" s="79"/>
      <c r="AE302" s="79"/>
      <c r="AF302" s="79"/>
      <c r="AG302" s="79"/>
      <c r="AH302" s="86">
        <f>AH58</f>
        <v>-105.2</v>
      </c>
      <c r="AI302" s="79"/>
      <c r="AJ302" s="79"/>
      <c r="AK302" s="79"/>
      <c r="AL302" s="79"/>
      <c r="AM302" s="86">
        <f>AM58</f>
        <v>-104.9</v>
      </c>
      <c r="AN302" s="79"/>
      <c r="AO302" s="79"/>
      <c r="AP302" s="79"/>
      <c r="AQ302" s="79"/>
      <c r="AR302" s="86">
        <f>AR58</f>
        <v>-105.2</v>
      </c>
      <c r="AS302" s="79"/>
      <c r="AT302" s="79"/>
      <c r="AU302" s="79"/>
      <c r="AV302" s="79"/>
      <c r="AW302" s="86">
        <f>AW58</f>
        <v>-119.8</v>
      </c>
      <c r="AX302" s="79"/>
      <c r="AY302" s="79"/>
      <c r="AZ302" s="79"/>
      <c r="BA302" s="79"/>
      <c r="BB302" s="86">
        <f>BB58</f>
        <v>-131.6</v>
      </c>
      <c r="BC302" s="79"/>
      <c r="BD302" s="79"/>
      <c r="BE302" s="79"/>
      <c r="BF302" s="79"/>
      <c r="BG302" s="86">
        <f>BG58</f>
        <v>-140.9</v>
      </c>
      <c r="BH302" s="79"/>
      <c r="BI302" s="79"/>
      <c r="BJ302" s="79"/>
      <c r="BK302" s="79"/>
      <c r="BL302" s="86">
        <f t="shared" ref="BL302:DE302" si="333">BL58</f>
        <v>-322.39999999999998</v>
      </c>
      <c r="BM302" s="59">
        <f t="shared" si="333"/>
        <v>-85.9</v>
      </c>
      <c r="BN302" s="59">
        <f t="shared" si="333"/>
        <v>-86.199999999999989</v>
      </c>
      <c r="BO302" s="59">
        <f t="shared" si="333"/>
        <v>-98.4</v>
      </c>
      <c r="BP302" s="59">
        <f t="shared" si="333"/>
        <v>-112.5</v>
      </c>
      <c r="BQ302" s="86">
        <f t="shared" si="333"/>
        <v>-383</v>
      </c>
      <c r="BR302" s="59">
        <f t="shared" si="333"/>
        <v>-109.7</v>
      </c>
      <c r="BS302" s="59">
        <f t="shared" si="333"/>
        <v>-110.99999999999999</v>
      </c>
      <c r="BT302" s="59">
        <f t="shared" si="333"/>
        <v>-110.10000000000002</v>
      </c>
      <c r="BU302" s="59">
        <f t="shared" si="333"/>
        <v>-108.19999999999999</v>
      </c>
      <c r="BV302" s="86">
        <f t="shared" si="333"/>
        <v>-439</v>
      </c>
      <c r="BW302" s="59">
        <f t="shared" si="333"/>
        <v>-122</v>
      </c>
      <c r="BX302" s="59">
        <f t="shared" si="333"/>
        <v>-119</v>
      </c>
      <c r="BY302" s="59">
        <f t="shared" si="333"/>
        <v>-119</v>
      </c>
      <c r="BZ302" s="59">
        <f t="shared" si="333"/>
        <v>-119</v>
      </c>
      <c r="CA302" s="86">
        <f t="shared" si="333"/>
        <v>-479</v>
      </c>
      <c r="CB302" s="59">
        <f t="shared" si="333"/>
        <v>-171</v>
      </c>
      <c r="CC302" s="59">
        <f t="shared" si="333"/>
        <v>-170</v>
      </c>
      <c r="CD302" s="59">
        <f t="shared" si="333"/>
        <v>-167</v>
      </c>
      <c r="CE302" s="59">
        <f t="shared" si="333"/>
        <v>-166</v>
      </c>
      <c r="CF302" s="86">
        <f t="shared" si="333"/>
        <v>-674</v>
      </c>
      <c r="CG302" s="59">
        <f t="shared" si="333"/>
        <v>-211</v>
      </c>
      <c r="CH302" s="59">
        <f t="shared" si="333"/>
        <v>-209</v>
      </c>
      <c r="CI302" s="59">
        <f t="shared" si="333"/>
        <v>-207</v>
      </c>
      <c r="CJ302" s="59">
        <f t="shared" si="333"/>
        <v>-202</v>
      </c>
      <c r="CK302" s="86">
        <f t="shared" si="333"/>
        <v>-829</v>
      </c>
      <c r="CL302" s="59">
        <f t="shared" si="333"/>
        <v>-277</v>
      </c>
      <c r="CM302" s="59">
        <f t="shared" si="333"/>
        <v>-276</v>
      </c>
      <c r="CN302" s="59">
        <f t="shared" si="333"/>
        <v>-276</v>
      </c>
      <c r="CO302" s="59">
        <f t="shared" si="333"/>
        <v>-268</v>
      </c>
      <c r="CP302" s="86">
        <f t="shared" si="333"/>
        <v>-1097</v>
      </c>
      <c r="CQ302" s="59">
        <f t="shared" si="333"/>
        <v>-325</v>
      </c>
      <c r="CR302" s="59">
        <f t="shared" si="333"/>
        <v>-322</v>
      </c>
      <c r="CS302" s="59">
        <f t="shared" si="333"/>
        <v>-324</v>
      </c>
      <c r="CT302" s="59">
        <f t="shared" si="333"/>
        <v>-317</v>
      </c>
      <c r="CU302" s="86">
        <f t="shared" si="333"/>
        <v>-1288</v>
      </c>
      <c r="CV302" s="59">
        <f t="shared" si="333"/>
        <v>-399</v>
      </c>
      <c r="CW302" s="59">
        <f t="shared" si="333"/>
        <v>-395</v>
      </c>
      <c r="CX302" s="59">
        <f t="shared" si="333"/>
        <v>-391</v>
      </c>
      <c r="CY302" s="59">
        <f t="shared" si="333"/>
        <v>-391</v>
      </c>
      <c r="CZ302" s="86">
        <f t="shared" si="333"/>
        <v>-1576</v>
      </c>
      <c r="DA302" s="59">
        <f t="shared" si="333"/>
        <v>-470</v>
      </c>
      <c r="DB302" s="59">
        <f>DB58</f>
        <v>-459</v>
      </c>
      <c r="DC302" s="59">
        <f>DC58</f>
        <v>-455</v>
      </c>
      <c r="DD302" s="59">
        <f>DD58</f>
        <v>-456</v>
      </c>
      <c r="DE302" s="86">
        <f t="shared" si="333"/>
        <v>-1840</v>
      </c>
      <c r="DF302" s="59">
        <f>DF58</f>
        <v>-516</v>
      </c>
      <c r="DG302" s="59">
        <f t="shared" ref="DG302:DO302" si="334">DG58</f>
        <v>-512</v>
      </c>
      <c r="DH302" s="59">
        <f t="shared" si="334"/>
        <v>-511</v>
      </c>
      <c r="DI302" s="59">
        <f t="shared" si="334"/>
        <v>-510</v>
      </c>
      <c r="DJ302" s="86">
        <f t="shared" si="334"/>
        <v>-2049</v>
      </c>
      <c r="DK302" s="59">
        <f t="shared" si="334"/>
        <v>-695.56669807434082</v>
      </c>
      <c r="DL302" s="59">
        <f t="shared" si="334"/>
        <v>-695.56669807434082</v>
      </c>
      <c r="DM302" s="59">
        <f t="shared" si="334"/>
        <v>-695.56669807434082</v>
      </c>
      <c r="DN302" s="59">
        <f t="shared" si="334"/>
        <v>-695.56669807434082</v>
      </c>
      <c r="DO302" s="86">
        <f t="shared" si="334"/>
        <v>-2782.2667922973633</v>
      </c>
      <c r="DP302" s="59">
        <f t="shared" ref="DP302:DY302" si="335">DP58</f>
        <v>-869.45837259292603</v>
      </c>
      <c r="DQ302" s="59">
        <f t="shared" si="335"/>
        <v>-869.45837259292603</v>
      </c>
      <c r="DR302" s="59">
        <f t="shared" si="335"/>
        <v>-869.45837259292603</v>
      </c>
      <c r="DS302" s="59">
        <f t="shared" si="335"/>
        <v>-869.45837259292603</v>
      </c>
      <c r="DT302" s="86">
        <f t="shared" si="335"/>
        <v>-3477.8334903717041</v>
      </c>
      <c r="DU302" s="59">
        <f t="shared" si="335"/>
        <v>-1086.8229657411575</v>
      </c>
      <c r="DV302" s="59">
        <f t="shared" si="335"/>
        <v>-1086.8229657411575</v>
      </c>
      <c r="DW302" s="59">
        <f t="shared" si="335"/>
        <v>-1086.8229657411575</v>
      </c>
      <c r="DX302" s="59">
        <f t="shared" si="335"/>
        <v>-1086.8229657411575</v>
      </c>
      <c r="DY302" s="86">
        <f t="shared" si="335"/>
        <v>-4347.2918629646301</v>
      </c>
      <c r="DZ302" s="1858"/>
      <c r="EA302" s="1858"/>
      <c r="EB302" s="1858"/>
    </row>
    <row r="303" spans="1:132" x14ac:dyDescent="0.2">
      <c r="A303" s="1853"/>
      <c r="B303" s="58" t="s">
        <v>496</v>
      </c>
      <c r="C303" s="59"/>
      <c r="D303" s="59">
        <f>SUM(D301:D302)</f>
        <v>0</v>
      </c>
      <c r="E303" s="79"/>
      <c r="F303" s="79"/>
      <c r="G303" s="79"/>
      <c r="H303" s="79"/>
      <c r="I303" s="86">
        <f>SUM(I301:I302)</f>
        <v>4.8949999999997544</v>
      </c>
      <c r="J303" s="79"/>
      <c r="K303" s="79"/>
      <c r="L303" s="79"/>
      <c r="M303" s="79"/>
      <c r="N303" s="86">
        <f>SUM(N301:N302)</f>
        <v>-505.71299999999871</v>
      </c>
      <c r="O303" s="79"/>
      <c r="P303" s="79"/>
      <c r="Q303" s="79"/>
      <c r="R303" s="79"/>
      <c r="S303" s="86">
        <f>SUM(S301:S302)</f>
        <v>-418.85599999999755</v>
      </c>
      <c r="T303" s="79"/>
      <c r="U303" s="79"/>
      <c r="V303" s="79"/>
      <c r="W303" s="79"/>
      <c r="X303" s="86">
        <f>SUM(X301:X302)</f>
        <v>108.59999999999967</v>
      </c>
      <c r="Y303" s="79"/>
      <c r="Z303" s="79"/>
      <c r="AA303" s="79"/>
      <c r="AB303" s="79"/>
      <c r="AC303" s="86">
        <f>SUM(AC301:AC302)</f>
        <v>256.20000000000095</v>
      </c>
      <c r="AD303" s="79"/>
      <c r="AE303" s="79"/>
      <c r="AF303" s="79"/>
      <c r="AG303" s="79"/>
      <c r="AH303" s="86">
        <f>SUM(AH301:AH302)</f>
        <v>-84.100000000000264</v>
      </c>
      <c r="AI303" s="79"/>
      <c r="AJ303" s="79"/>
      <c r="AK303" s="79"/>
      <c r="AL303" s="79"/>
      <c r="AM303" s="86">
        <f>SUM(AM301:AM302)</f>
        <v>388.4</v>
      </c>
      <c r="AN303" s="79"/>
      <c r="AO303" s="79"/>
      <c r="AP303" s="79"/>
      <c r="AQ303" s="79"/>
      <c r="AR303" s="86">
        <f>SUM(AR301:AR302)</f>
        <v>198.30000000000365</v>
      </c>
      <c r="AS303" s="79"/>
      <c r="AT303" s="79"/>
      <c r="AU303" s="79"/>
      <c r="AV303" s="79"/>
      <c r="AW303" s="86">
        <f>SUM(AW301:AW302)</f>
        <v>-126.79999999999988</v>
      </c>
      <c r="AX303" s="79"/>
      <c r="AY303" s="79"/>
      <c r="AZ303" s="79"/>
      <c r="BA303" s="79"/>
      <c r="BB303" s="86">
        <f>SUM(BB301:BB302)</f>
        <v>499.2000000000055</v>
      </c>
      <c r="BC303" s="79"/>
      <c r="BD303" s="79"/>
      <c r="BE303" s="79"/>
      <c r="BF303" s="79"/>
      <c r="BG303" s="86">
        <f>SUM(BG301:BG302)</f>
        <v>938.59999999999957</v>
      </c>
      <c r="BH303" s="79"/>
      <c r="BI303" s="79"/>
      <c r="BJ303" s="79"/>
      <c r="BK303" s="79"/>
      <c r="BL303" s="86">
        <f t="shared" ref="BL303:DJ303" si="336">SUM(BL301:BL302)</f>
        <v>1613.8999999999974</v>
      </c>
      <c r="BM303" s="59">
        <f t="shared" si="336"/>
        <v>243.59999999999977</v>
      </c>
      <c r="BN303" s="59">
        <f t="shared" si="336"/>
        <v>17.00000000000432</v>
      </c>
      <c r="BO303" s="59">
        <f t="shared" si="336"/>
        <v>265.39999999999839</v>
      </c>
      <c r="BP303" s="59">
        <f t="shared" si="336"/>
        <v>938.70000000000164</v>
      </c>
      <c r="BQ303" s="86">
        <f t="shared" si="336"/>
        <v>1464.6999999999937</v>
      </c>
      <c r="BR303" s="59">
        <f t="shared" si="336"/>
        <v>190.99999999999977</v>
      </c>
      <c r="BS303" s="59">
        <f t="shared" si="336"/>
        <v>143.59999999999712</v>
      </c>
      <c r="BT303" s="59">
        <f t="shared" si="336"/>
        <v>294.70000000000027</v>
      </c>
      <c r="BU303" s="59">
        <f t="shared" si="336"/>
        <v>1731.3000000000013</v>
      </c>
      <c r="BV303" s="86">
        <f t="shared" si="336"/>
        <v>2361.7999999999884</v>
      </c>
      <c r="BW303" s="59">
        <f t="shared" si="336"/>
        <v>492</v>
      </c>
      <c r="BX303" s="59">
        <f t="shared" si="336"/>
        <v>90</v>
      </c>
      <c r="BY303" s="59">
        <f t="shared" si="336"/>
        <v>682</v>
      </c>
      <c r="BZ303" s="59">
        <f t="shared" si="336"/>
        <v>1612</v>
      </c>
      <c r="CA303" s="86">
        <f t="shared" si="336"/>
        <v>2876</v>
      </c>
      <c r="CB303" s="59">
        <f t="shared" si="336"/>
        <v>1369</v>
      </c>
      <c r="CC303" s="59">
        <f t="shared" si="336"/>
        <v>606</v>
      </c>
      <c r="CD303" s="59">
        <f t="shared" si="336"/>
        <v>1285</v>
      </c>
      <c r="CE303" s="59">
        <f t="shared" si="336"/>
        <v>413.99999999999727</v>
      </c>
      <c r="CF303" s="86">
        <f t="shared" si="336"/>
        <v>3673.9999999999909</v>
      </c>
      <c r="CG303" s="59">
        <f t="shared" si="336"/>
        <v>2345</v>
      </c>
      <c r="CH303" s="59">
        <f t="shared" si="336"/>
        <v>475.40000000000077</v>
      </c>
      <c r="CI303" s="59">
        <f t="shared" si="336"/>
        <v>495.27499999999827</v>
      </c>
      <c r="CJ303" s="59">
        <f t="shared" si="336"/>
        <v>640.70000000000005</v>
      </c>
      <c r="CK303" s="86">
        <f t="shared" si="336"/>
        <v>4304.3750000000236</v>
      </c>
      <c r="CL303" s="59">
        <f t="shared" si="336"/>
        <v>1056</v>
      </c>
      <c r="CM303" s="59">
        <f t="shared" si="336"/>
        <v>95.699999999999363</v>
      </c>
      <c r="CN303" s="59">
        <f t="shared" si="336"/>
        <v>888.90000000000123</v>
      </c>
      <c r="CO303" s="59">
        <f t="shared" si="336"/>
        <v>1298.0000000000016</v>
      </c>
      <c r="CP303" s="86">
        <f t="shared" si="336"/>
        <v>3338.6000000000022</v>
      </c>
      <c r="CQ303" s="59">
        <f t="shared" si="336"/>
        <v>1414.3999999999978</v>
      </c>
      <c r="CR303" s="59">
        <f t="shared" si="336"/>
        <v>-50.899999999995998</v>
      </c>
      <c r="CS303" s="59">
        <f t="shared" si="336"/>
        <v>898.39999999999918</v>
      </c>
      <c r="CT303" s="59">
        <f t="shared" si="336"/>
        <v>2424.7000000000035</v>
      </c>
      <c r="CU303" s="86">
        <f t="shared" si="336"/>
        <v>4686.5000000000036</v>
      </c>
      <c r="CV303" s="59">
        <f t="shared" si="336"/>
        <v>1205.000000000005</v>
      </c>
      <c r="CW303" s="59">
        <f t="shared" si="336"/>
        <v>9.9999999999961346</v>
      </c>
      <c r="CX303" s="59">
        <f t="shared" si="336"/>
        <v>1032.0757406383304</v>
      </c>
      <c r="CY303" s="59">
        <f t="shared" si="336"/>
        <v>2708.8047278599988</v>
      </c>
      <c r="CZ303" s="86">
        <f t="shared" si="336"/>
        <v>4944.519972029273</v>
      </c>
      <c r="DA303" s="59">
        <f t="shared" si="336"/>
        <v>1231.7999999999984</v>
      </c>
      <c r="DB303" s="59">
        <f>SUM(DB301:DB302)</f>
        <v>296.49999999999977</v>
      </c>
      <c r="DC303" s="59">
        <f>SUM(DC301:DC302)</f>
        <v>3008.4999999999973</v>
      </c>
      <c r="DD303" s="59">
        <f>SUM(DD301:DD302)</f>
        <v>875.29999999999836</v>
      </c>
      <c r="DE303" s="86">
        <f t="shared" si="336"/>
        <v>5382.5999999999949</v>
      </c>
      <c r="DF303" s="59">
        <f>SUM(DF301:DF302)</f>
        <v>2552.1999999999985</v>
      </c>
      <c r="DG303" s="59">
        <f t="shared" si="336"/>
        <v>941.41883495915386</v>
      </c>
      <c r="DH303" s="59">
        <f t="shared" si="336"/>
        <v>1368.9780076587977</v>
      </c>
      <c r="DI303" s="59">
        <f t="shared" si="336"/>
        <v>-1251.7375528919015</v>
      </c>
      <c r="DJ303" s="86">
        <f t="shared" si="336"/>
        <v>3610.6825032360484</v>
      </c>
      <c r="DK303" s="59">
        <f t="shared" ref="DK303:DT303" ca="1" si="337">SUM(DK301:DK302)</f>
        <v>-943.9907740744502</v>
      </c>
      <c r="DL303" s="59">
        <f t="shared" ca="1" si="337"/>
        <v>1689.016998023425</v>
      </c>
      <c r="DM303" s="59">
        <f t="shared" ca="1" si="337"/>
        <v>984.56895818773592</v>
      </c>
      <c r="DN303" s="59">
        <f t="shared" ca="1" si="337"/>
        <v>1524.7666181507429</v>
      </c>
      <c r="DO303" s="86">
        <f t="shared" ca="1" si="337"/>
        <v>3254.3618002874518</v>
      </c>
      <c r="DP303" s="59">
        <f t="shared" ca="1" si="337"/>
        <v>-1106.0787519904316</v>
      </c>
      <c r="DQ303" s="59">
        <f t="shared" ca="1" si="337"/>
        <v>1647.4351188238898</v>
      </c>
      <c r="DR303" s="59">
        <f t="shared" ca="1" si="337"/>
        <v>874.24284340979034</v>
      </c>
      <c r="DS303" s="59">
        <f t="shared" ca="1" si="337"/>
        <v>1458.3129084557131</v>
      </c>
      <c r="DT303" s="86">
        <f t="shared" ca="1" si="337"/>
        <v>2873.9121186989587</v>
      </c>
      <c r="DU303" s="59">
        <f t="shared" ref="DU303:DY303" ca="1" si="338">SUM(DU301:DU302)</f>
        <v>-917.95918792613134</v>
      </c>
      <c r="DV303" s="59">
        <f t="shared" ca="1" si="338"/>
        <v>1568.3670553922702</v>
      </c>
      <c r="DW303" s="59">
        <f t="shared" ca="1" si="338"/>
        <v>747.40063783096184</v>
      </c>
      <c r="DX303" s="59">
        <f t="shared" ca="1" si="338"/>
        <v>1370.4632170725977</v>
      </c>
      <c r="DY303" s="86">
        <f t="shared" ca="1" si="338"/>
        <v>2768.2717223697027</v>
      </c>
      <c r="DZ303" s="1858"/>
      <c r="EA303" s="1858"/>
      <c r="EB303" s="1858"/>
    </row>
    <row r="304" spans="1:132" x14ac:dyDescent="0.2">
      <c r="A304" s="1853"/>
      <c r="B304" s="58"/>
      <c r="C304" s="59"/>
      <c r="D304" s="59"/>
      <c r="E304" s="79"/>
      <c r="F304" s="79"/>
      <c r="G304" s="79"/>
      <c r="H304" s="79"/>
      <c r="I304" s="86"/>
      <c r="J304" s="79"/>
      <c r="K304" s="79"/>
      <c r="L304" s="79"/>
      <c r="M304" s="79"/>
      <c r="N304" s="86"/>
      <c r="O304" s="79"/>
      <c r="P304" s="79"/>
      <c r="Q304" s="79"/>
      <c r="R304" s="79"/>
      <c r="S304" s="86"/>
      <c r="T304" s="79"/>
      <c r="U304" s="79"/>
      <c r="V304" s="79"/>
      <c r="W304" s="79"/>
      <c r="X304" s="86"/>
      <c r="Y304" s="79"/>
      <c r="Z304" s="79"/>
      <c r="AA304" s="79"/>
      <c r="AB304" s="79"/>
      <c r="AC304" s="86"/>
      <c r="AD304" s="79"/>
      <c r="AE304" s="79"/>
      <c r="AF304" s="79"/>
      <c r="AG304" s="79"/>
      <c r="AH304" s="86"/>
      <c r="AI304" s="79"/>
      <c r="AJ304" s="79"/>
      <c r="AK304" s="79"/>
      <c r="AL304" s="79"/>
      <c r="AM304" s="86"/>
      <c r="AN304" s="79"/>
      <c r="AO304" s="79"/>
      <c r="AP304" s="79"/>
      <c r="AQ304" s="79"/>
      <c r="AR304" s="86"/>
      <c r="AS304" s="79"/>
      <c r="AT304" s="79"/>
      <c r="AU304" s="79"/>
      <c r="AV304" s="79"/>
      <c r="AW304" s="86"/>
      <c r="AX304" s="79"/>
      <c r="AY304" s="79"/>
      <c r="AZ304" s="79"/>
      <c r="BA304" s="79"/>
      <c r="BB304" s="86"/>
      <c r="BC304" s="79"/>
      <c r="BD304" s="79"/>
      <c r="BE304" s="79"/>
      <c r="BF304" s="79"/>
      <c r="BG304" s="86"/>
      <c r="BH304" s="79"/>
      <c r="BI304" s="79"/>
      <c r="BJ304" s="79"/>
      <c r="BK304" s="79"/>
      <c r="BL304" s="86"/>
      <c r="BM304" s="59"/>
      <c r="BN304" s="59"/>
      <c r="BO304" s="59"/>
      <c r="BP304" s="59"/>
      <c r="BQ304" s="86"/>
      <c r="BR304" s="59"/>
      <c r="BS304" s="59"/>
      <c r="BT304" s="59"/>
      <c r="BU304" s="59"/>
      <c r="BV304" s="86"/>
      <c r="BW304" s="59"/>
      <c r="BX304" s="59"/>
      <c r="BY304" s="59"/>
      <c r="BZ304" s="59"/>
      <c r="CA304" s="86"/>
      <c r="CB304" s="59"/>
      <c r="CC304" s="59"/>
      <c r="CD304" s="59"/>
      <c r="CE304" s="59"/>
      <c r="CF304" s="86"/>
      <c r="CG304" s="59"/>
      <c r="CH304" s="59"/>
      <c r="CI304" s="59"/>
      <c r="CJ304" s="59"/>
      <c r="CK304" s="86"/>
      <c r="CL304" s="59"/>
      <c r="CM304" s="59"/>
      <c r="CN304" s="59"/>
      <c r="CO304" s="59"/>
      <c r="CP304" s="86"/>
      <c r="CQ304" s="59"/>
      <c r="CR304" s="59"/>
      <c r="CS304" s="59"/>
      <c r="CT304" s="59"/>
      <c r="CU304" s="86"/>
      <c r="CV304" s="59"/>
      <c r="CW304" s="59"/>
      <c r="CX304" s="59"/>
      <c r="CY304" s="59"/>
      <c r="CZ304" s="86"/>
      <c r="DA304" s="59"/>
      <c r="DB304" s="59"/>
      <c r="DC304" s="59"/>
      <c r="DD304" s="59"/>
      <c r="DE304" s="86"/>
      <c r="DF304" s="59"/>
      <c r="DG304" s="59"/>
      <c r="DH304" s="59"/>
      <c r="DI304" s="59"/>
      <c r="DJ304" s="86"/>
      <c r="DK304" s="59"/>
      <c r="DL304" s="59"/>
      <c r="DM304" s="59"/>
      <c r="DN304" s="59"/>
      <c r="DO304" s="86"/>
      <c r="DP304" s="59"/>
      <c r="DQ304" s="59"/>
      <c r="DR304" s="59"/>
      <c r="DS304" s="59"/>
      <c r="DT304" s="86"/>
      <c r="DU304" s="59"/>
      <c r="DV304" s="59"/>
      <c r="DW304" s="59"/>
      <c r="DX304" s="59"/>
      <c r="DY304" s="86"/>
      <c r="DZ304" s="1858"/>
      <c r="EA304" s="1858"/>
      <c r="EB304" s="1858"/>
    </row>
    <row r="305" spans="1:132" x14ac:dyDescent="0.2">
      <c r="A305" s="1853"/>
      <c r="B305" s="58" t="s">
        <v>497</v>
      </c>
      <c r="C305" s="310"/>
      <c r="D305" s="310">
        <f>IS!D18</f>
        <v>0</v>
      </c>
      <c r="E305" s="441"/>
      <c r="F305" s="441"/>
      <c r="G305" s="441"/>
      <c r="H305" s="441"/>
      <c r="I305" s="314">
        <f>IS!I18</f>
        <v>72.8</v>
      </c>
      <c r="J305" s="441"/>
      <c r="K305" s="441"/>
      <c r="L305" s="441"/>
      <c r="M305" s="441"/>
      <c r="N305" s="314">
        <f>IS!N18</f>
        <v>44.199999999999996</v>
      </c>
      <c r="O305" s="441"/>
      <c r="P305" s="441"/>
      <c r="Q305" s="441"/>
      <c r="R305" s="441"/>
      <c r="S305" s="314">
        <f>IS!S18</f>
        <v>60.900000000000006</v>
      </c>
      <c r="T305" s="441"/>
      <c r="U305" s="441"/>
      <c r="V305" s="441"/>
      <c r="W305" s="441"/>
      <c r="X305" s="314">
        <f>IS!X18</f>
        <v>59.1</v>
      </c>
      <c r="Y305" s="441"/>
      <c r="Z305" s="441"/>
      <c r="AA305" s="441"/>
      <c r="AB305" s="441"/>
      <c r="AC305" s="314">
        <f>IS!AC18</f>
        <v>79.300000000000011</v>
      </c>
      <c r="AD305" s="441"/>
      <c r="AE305" s="441"/>
      <c r="AF305" s="441"/>
      <c r="AG305" s="441"/>
      <c r="AH305" s="314">
        <f>IS!AH18</f>
        <v>61</v>
      </c>
      <c r="AI305" s="441"/>
      <c r="AJ305" s="441"/>
      <c r="AK305" s="441"/>
      <c r="AL305" s="441"/>
      <c r="AM305" s="314">
        <f>IS!AM18</f>
        <v>50.4</v>
      </c>
      <c r="AN305" s="441"/>
      <c r="AO305" s="441"/>
      <c r="AP305" s="441"/>
      <c r="AQ305" s="441"/>
      <c r="AR305" s="314">
        <f>IS!AR18</f>
        <v>48.099999999999994</v>
      </c>
      <c r="AS305" s="441"/>
      <c r="AT305" s="441"/>
      <c r="AU305" s="441"/>
      <c r="AV305" s="441"/>
      <c r="AW305" s="314">
        <f>IS!AW18</f>
        <v>58.3</v>
      </c>
      <c r="AX305" s="441"/>
      <c r="AY305" s="441"/>
      <c r="AZ305" s="441"/>
      <c r="BA305" s="441"/>
      <c r="BB305" s="314">
        <f>IS!BB18</f>
        <v>110.5</v>
      </c>
      <c r="BC305" s="441"/>
      <c r="BD305" s="441"/>
      <c r="BE305" s="441"/>
      <c r="BF305" s="441"/>
      <c r="BG305" s="314">
        <f>IS!BG18</f>
        <v>215.8</v>
      </c>
      <c r="BH305" s="441"/>
      <c r="BI305" s="441"/>
      <c r="BJ305" s="441"/>
      <c r="BK305" s="441"/>
      <c r="BL305" s="314">
        <f>IS!BL18</f>
        <v>434.6</v>
      </c>
      <c r="BM305" s="310">
        <f>IS!BM18</f>
        <v>130.9</v>
      </c>
      <c r="BN305" s="310">
        <f>IS!BN18</f>
        <v>114.7</v>
      </c>
      <c r="BO305" s="310">
        <f>IS!BO18</f>
        <v>112.7</v>
      </c>
      <c r="BP305" s="310">
        <f>IS!BP18</f>
        <v>151.19999999999999</v>
      </c>
      <c r="BQ305" s="314">
        <f>IS!BQ18</f>
        <v>509.5</v>
      </c>
      <c r="BR305" s="310">
        <f>IS!BR18</f>
        <v>142.1</v>
      </c>
      <c r="BS305" s="310">
        <f>IS!BS18</f>
        <v>127.9</v>
      </c>
      <c r="BT305" s="310">
        <f>IS!BT18</f>
        <v>122.8</v>
      </c>
      <c r="BU305" s="310">
        <f>IS!BU18</f>
        <v>133</v>
      </c>
      <c r="BV305" s="314">
        <f>IS!BV18</f>
        <v>525</v>
      </c>
      <c r="BW305" s="310">
        <f>IS!BW18</f>
        <v>128</v>
      </c>
      <c r="BX305" s="310">
        <f>IS!BX18</f>
        <v>135</v>
      </c>
      <c r="BY305" s="310">
        <f>IS!BY18</f>
        <v>137</v>
      </c>
      <c r="BZ305" s="310">
        <f>IS!BZ18</f>
        <v>136</v>
      </c>
      <c r="CA305" s="314">
        <f>IS!CA18</f>
        <v>536</v>
      </c>
      <c r="CB305" s="310">
        <f>IS!CB18</f>
        <v>134</v>
      </c>
      <c r="CC305" s="310">
        <f>IS!CC18</f>
        <v>148</v>
      </c>
      <c r="CD305" s="310">
        <f>IS!CD18</f>
        <v>155</v>
      </c>
      <c r="CE305" s="310">
        <f>IS!CE18</f>
        <v>147.30000000000001</v>
      </c>
      <c r="CF305" s="314">
        <f>IS!CF18</f>
        <v>584.29999999999995</v>
      </c>
      <c r="CG305" s="310">
        <f>IS!CG18</f>
        <v>132</v>
      </c>
      <c r="CH305" s="310">
        <f>IS!CH18</f>
        <v>131.5</v>
      </c>
      <c r="CI305" s="310">
        <f>IS!CI18</f>
        <v>133.80000000000001</v>
      </c>
      <c r="CJ305" s="310">
        <f>IS!CJ18</f>
        <v>159</v>
      </c>
      <c r="CK305" s="314">
        <f>IS!CK18</f>
        <v>556.29999999999995</v>
      </c>
      <c r="CL305" s="310">
        <f>IS!CL18</f>
        <v>126</v>
      </c>
      <c r="CM305" s="310">
        <f>IS!CM18</f>
        <v>126</v>
      </c>
      <c r="CN305" s="310">
        <f>IS!CN18</f>
        <v>122</v>
      </c>
      <c r="CO305" s="310">
        <f>IS!CO18</f>
        <v>135.19999999999999</v>
      </c>
      <c r="CP305" s="314">
        <f>IS!CP18</f>
        <v>509.2</v>
      </c>
      <c r="CQ305" s="310">
        <f>IS!CQ18</f>
        <v>158.4</v>
      </c>
      <c r="CR305" s="310">
        <f>IS!CR18</f>
        <v>157.5</v>
      </c>
      <c r="CS305" s="310">
        <f>IS!CS18</f>
        <v>153.5</v>
      </c>
      <c r="CT305" s="310">
        <f>IS!CT18</f>
        <v>131.30000000000001</v>
      </c>
      <c r="CU305" s="314">
        <f>IS!CU18</f>
        <v>600.70000000000005</v>
      </c>
      <c r="CV305" s="310">
        <f>IS!CV18</f>
        <v>134.1</v>
      </c>
      <c r="CW305" s="310">
        <f>IS!CW18</f>
        <v>166.2</v>
      </c>
      <c r="CX305" s="310">
        <f>IS!CX18</f>
        <v>245.62230647999999</v>
      </c>
      <c r="CY305" s="310">
        <f>IS!CY18</f>
        <v>276.39999999999998</v>
      </c>
      <c r="CZ305" s="314">
        <f>IS!CZ18</f>
        <v>822.32230647999995</v>
      </c>
      <c r="DA305" s="310">
        <f>IS!DA18</f>
        <v>276.39999999999998</v>
      </c>
      <c r="DB305" s="310">
        <f>IS!DB18</f>
        <v>279.7</v>
      </c>
      <c r="DC305" s="310">
        <f>IS!DC18</f>
        <v>252.6</v>
      </c>
      <c r="DD305" s="310">
        <f>IS!DD18</f>
        <v>242</v>
      </c>
      <c r="DE305" s="314">
        <f>IS!DE18</f>
        <v>1050.6999999999998</v>
      </c>
      <c r="DF305" s="310">
        <f>IS!DF18</f>
        <v>252.3</v>
      </c>
      <c r="DG305" s="310">
        <f>IS!DG18</f>
        <v>246.9</v>
      </c>
      <c r="DH305" s="310">
        <f>IS!DH18</f>
        <v>245.06940599999999</v>
      </c>
      <c r="DI305" s="310">
        <f>IS!DI18</f>
        <v>242.98086699999999</v>
      </c>
      <c r="DJ305" s="314">
        <f>IS!DJ18</f>
        <v>987.25027299999999</v>
      </c>
      <c r="DK305" s="310">
        <f>IS!DK18</f>
        <v>337.11818260069481</v>
      </c>
      <c r="DL305" s="310">
        <f>IS!DL18</f>
        <v>605.36453301574261</v>
      </c>
      <c r="DM305" s="310">
        <f>IS!DM18</f>
        <v>559.06085868179468</v>
      </c>
      <c r="DN305" s="310">
        <f>IS!DN18</f>
        <v>556.59866907897731</v>
      </c>
      <c r="DO305" s="314">
        <f>IS!DO18</f>
        <v>2058.1422433772095</v>
      </c>
      <c r="DP305" s="310">
        <f>IS!DP18</f>
        <v>556.09646170445205</v>
      </c>
      <c r="DQ305" s="310">
        <f>IS!DQ18</f>
        <v>547.71675261054577</v>
      </c>
      <c r="DR305" s="310">
        <f>IS!DR18</f>
        <v>537.4804920209516</v>
      </c>
      <c r="DS305" s="310">
        <f>IS!DS18</f>
        <v>535.18403350357767</v>
      </c>
      <c r="DT305" s="314">
        <f>IS!DT18</f>
        <v>2176.4777398395272</v>
      </c>
      <c r="DU305" s="310">
        <f>IS!DU18</f>
        <v>534.56776439058126</v>
      </c>
      <c r="DV305" s="310">
        <f>IS!DV18</f>
        <v>526.08581951483177</v>
      </c>
      <c r="DW305" s="310">
        <f>IS!DW18</f>
        <v>516.04259980243489</v>
      </c>
      <c r="DX305" s="310">
        <f>IS!DX18</f>
        <v>513.94741493846288</v>
      </c>
      <c r="DY305" s="314">
        <f>IS!DY18</f>
        <v>2090.6435986463107</v>
      </c>
      <c r="DZ305" s="1858"/>
      <c r="EA305" s="1858"/>
      <c r="EB305" s="1858"/>
    </row>
    <row r="306" spans="1:132" x14ac:dyDescent="0.2">
      <c r="A306" s="1869"/>
      <c r="B306" s="443" t="s">
        <v>498</v>
      </c>
      <c r="C306" s="73"/>
      <c r="D306" s="73">
        <f>D301+D305</f>
        <v>0</v>
      </c>
      <c r="E306" s="376"/>
      <c r="F306" s="376"/>
      <c r="G306" s="376"/>
      <c r="H306" s="376"/>
      <c r="I306" s="323">
        <f>I301+I305</f>
        <v>215.19499999999977</v>
      </c>
      <c r="J306" s="376"/>
      <c r="K306" s="376"/>
      <c r="L306" s="376"/>
      <c r="M306" s="376"/>
      <c r="N306" s="323">
        <f>N301+N305</f>
        <v>-373.9129999999987</v>
      </c>
      <c r="O306" s="376"/>
      <c r="P306" s="376"/>
      <c r="Q306" s="376"/>
      <c r="R306" s="376"/>
      <c r="S306" s="323">
        <f>S301+S305</f>
        <v>-255.45599999999754</v>
      </c>
      <c r="T306" s="376"/>
      <c r="U306" s="376"/>
      <c r="V306" s="376"/>
      <c r="W306" s="376"/>
      <c r="X306" s="323">
        <f>X301+X305</f>
        <v>272.39999999999969</v>
      </c>
      <c r="Y306" s="376"/>
      <c r="Z306" s="376"/>
      <c r="AA306" s="376"/>
      <c r="AB306" s="376"/>
      <c r="AC306" s="323">
        <f>AC301+AC305</f>
        <v>440.30000000000098</v>
      </c>
      <c r="AD306" s="376"/>
      <c r="AE306" s="376"/>
      <c r="AF306" s="376"/>
      <c r="AG306" s="376"/>
      <c r="AH306" s="323">
        <f>AH301+AH305</f>
        <v>82.099999999999739</v>
      </c>
      <c r="AI306" s="376"/>
      <c r="AJ306" s="376"/>
      <c r="AK306" s="376"/>
      <c r="AL306" s="376"/>
      <c r="AM306" s="323">
        <f>AM301+AM305</f>
        <v>543.69999999999993</v>
      </c>
      <c r="AN306" s="376"/>
      <c r="AO306" s="376"/>
      <c r="AP306" s="376"/>
      <c r="AQ306" s="376"/>
      <c r="AR306" s="323">
        <f>AR301+AR305</f>
        <v>351.60000000000366</v>
      </c>
      <c r="AS306" s="376"/>
      <c r="AT306" s="376"/>
      <c r="AU306" s="376"/>
      <c r="AV306" s="376"/>
      <c r="AW306" s="323">
        <f>AW301+AW305</f>
        <v>51.300000000000111</v>
      </c>
      <c r="AX306" s="376"/>
      <c r="AY306" s="376"/>
      <c r="AZ306" s="376"/>
      <c r="BA306" s="376"/>
      <c r="BB306" s="323">
        <f>BB301+BB305</f>
        <v>741.30000000000553</v>
      </c>
      <c r="BC306" s="376"/>
      <c r="BD306" s="376"/>
      <c r="BE306" s="376"/>
      <c r="BF306" s="376"/>
      <c r="BG306" s="323">
        <f>BG301+BG305</f>
        <v>1295.2999999999995</v>
      </c>
      <c r="BH306" s="376"/>
      <c r="BI306" s="376"/>
      <c r="BJ306" s="376"/>
      <c r="BK306" s="376"/>
      <c r="BL306" s="323">
        <f t="shared" ref="BL306:DJ306" si="339">BL301+BL305</f>
        <v>2370.8999999999974</v>
      </c>
      <c r="BM306" s="73">
        <f t="shared" si="339"/>
        <v>460.39999999999975</v>
      </c>
      <c r="BN306" s="73">
        <f t="shared" si="339"/>
        <v>217.9000000000043</v>
      </c>
      <c r="BO306" s="73">
        <f t="shared" si="339"/>
        <v>476.49999999999841</v>
      </c>
      <c r="BP306" s="73">
        <f t="shared" si="339"/>
        <v>1202.4000000000017</v>
      </c>
      <c r="BQ306" s="323">
        <f t="shared" si="339"/>
        <v>2357.1999999999935</v>
      </c>
      <c r="BR306" s="73">
        <f t="shared" si="339"/>
        <v>442.79999999999973</v>
      </c>
      <c r="BS306" s="73">
        <f t="shared" si="339"/>
        <v>382.49999999999716</v>
      </c>
      <c r="BT306" s="73">
        <f t="shared" si="339"/>
        <v>527.60000000000025</v>
      </c>
      <c r="BU306" s="73">
        <f t="shared" si="339"/>
        <v>1972.5000000000014</v>
      </c>
      <c r="BV306" s="323">
        <f t="shared" si="339"/>
        <v>3325.7999999999884</v>
      </c>
      <c r="BW306" s="73">
        <f t="shared" si="339"/>
        <v>742</v>
      </c>
      <c r="BX306" s="73">
        <f t="shared" si="339"/>
        <v>344</v>
      </c>
      <c r="BY306" s="73">
        <f t="shared" si="339"/>
        <v>938</v>
      </c>
      <c r="BZ306" s="73">
        <f t="shared" si="339"/>
        <v>1867</v>
      </c>
      <c r="CA306" s="323">
        <f t="shared" si="339"/>
        <v>3891</v>
      </c>
      <c r="CB306" s="73">
        <f t="shared" si="339"/>
        <v>1674</v>
      </c>
      <c r="CC306" s="73">
        <f t="shared" si="339"/>
        <v>924</v>
      </c>
      <c r="CD306" s="73">
        <f t="shared" si="339"/>
        <v>1607</v>
      </c>
      <c r="CE306" s="73">
        <f t="shared" si="339"/>
        <v>727.29999999999723</v>
      </c>
      <c r="CF306" s="323">
        <f t="shared" si="339"/>
        <v>4932.2999999999911</v>
      </c>
      <c r="CG306" s="73">
        <f t="shared" si="339"/>
        <v>2688</v>
      </c>
      <c r="CH306" s="73">
        <f t="shared" si="339"/>
        <v>815.90000000000077</v>
      </c>
      <c r="CI306" s="73">
        <f t="shared" si="339"/>
        <v>836.07499999999823</v>
      </c>
      <c r="CJ306" s="73">
        <f t="shared" si="339"/>
        <v>1001.7</v>
      </c>
      <c r="CK306" s="323">
        <f t="shared" si="339"/>
        <v>5689.6750000000238</v>
      </c>
      <c r="CL306" s="73">
        <f t="shared" si="339"/>
        <v>1459</v>
      </c>
      <c r="CM306" s="73">
        <f t="shared" si="339"/>
        <v>497.69999999999936</v>
      </c>
      <c r="CN306" s="73">
        <f t="shared" si="339"/>
        <v>1286.9000000000012</v>
      </c>
      <c r="CO306" s="73">
        <f t="shared" si="339"/>
        <v>1701.2000000000016</v>
      </c>
      <c r="CP306" s="323">
        <f t="shared" si="339"/>
        <v>4944.800000000002</v>
      </c>
      <c r="CQ306" s="73">
        <f t="shared" si="339"/>
        <v>1897.7999999999979</v>
      </c>
      <c r="CR306" s="73">
        <f t="shared" si="339"/>
        <v>428.600000000004</v>
      </c>
      <c r="CS306" s="73">
        <f t="shared" si="339"/>
        <v>1375.8999999999992</v>
      </c>
      <c r="CT306" s="73">
        <f t="shared" si="339"/>
        <v>2873.0000000000036</v>
      </c>
      <c r="CU306" s="323">
        <f t="shared" si="339"/>
        <v>6575.2000000000035</v>
      </c>
      <c r="CV306" s="73">
        <f t="shared" si="339"/>
        <v>1738.1000000000049</v>
      </c>
      <c r="CW306" s="73">
        <f t="shared" si="339"/>
        <v>571.19999999999618</v>
      </c>
      <c r="CX306" s="73">
        <f t="shared" si="339"/>
        <v>1668.6980471183304</v>
      </c>
      <c r="CY306" s="73">
        <f t="shared" si="339"/>
        <v>3376.2047278599989</v>
      </c>
      <c r="CZ306" s="323">
        <f t="shared" si="339"/>
        <v>7342.8422785092735</v>
      </c>
      <c r="DA306" s="73">
        <f t="shared" si="339"/>
        <v>1978.1999999999985</v>
      </c>
      <c r="DB306" s="73">
        <f>DB301+DB305</f>
        <v>1035.1999999999998</v>
      </c>
      <c r="DC306" s="73">
        <f>DC301+DC305</f>
        <v>3716.0999999999972</v>
      </c>
      <c r="DD306" s="73">
        <f>DD301+DD305</f>
        <v>1573.2999999999984</v>
      </c>
      <c r="DE306" s="323">
        <f t="shared" si="339"/>
        <v>8273.2999999999956</v>
      </c>
      <c r="DF306" s="73">
        <f>DF301+DF305</f>
        <v>3320.4999999999986</v>
      </c>
      <c r="DG306" s="73">
        <f t="shared" si="339"/>
        <v>1700.3188349591539</v>
      </c>
      <c r="DH306" s="73">
        <f t="shared" si="339"/>
        <v>2125.0474136587977</v>
      </c>
      <c r="DI306" s="73">
        <f t="shared" si="339"/>
        <v>-498.7566858919015</v>
      </c>
      <c r="DJ306" s="323">
        <f t="shared" si="339"/>
        <v>6646.9327762360481</v>
      </c>
      <c r="DK306" s="73">
        <f t="shared" ref="DK306:DT306" ca="1" si="340">DK301+DK305</f>
        <v>88.694106600585428</v>
      </c>
      <c r="DL306" s="73">
        <f t="shared" ca="1" si="340"/>
        <v>2989.9482291135082</v>
      </c>
      <c r="DM306" s="73">
        <f t="shared" ca="1" si="340"/>
        <v>2239.1965149438715</v>
      </c>
      <c r="DN306" s="73">
        <f t="shared" ca="1" si="340"/>
        <v>2776.9319853040611</v>
      </c>
      <c r="DO306" s="323">
        <f t="shared" ca="1" si="340"/>
        <v>8094.7708359620246</v>
      </c>
      <c r="DP306" s="73">
        <f t="shared" ca="1" si="340"/>
        <v>319.47608230694652</v>
      </c>
      <c r="DQ306" s="73">
        <f t="shared" ca="1" si="340"/>
        <v>3064.6102440273617</v>
      </c>
      <c r="DR306" s="73">
        <f t="shared" ca="1" si="340"/>
        <v>2281.1817080236679</v>
      </c>
      <c r="DS306" s="73">
        <f t="shared" ca="1" si="340"/>
        <v>2862.9553145522168</v>
      </c>
      <c r="DT306" s="323">
        <f t="shared" ca="1" si="340"/>
        <v>8528.2233489101891</v>
      </c>
      <c r="DU306" s="73">
        <f t="shared" ref="DU306:DY306" ca="1" si="341">DU301+DU305</f>
        <v>703.43154220560746</v>
      </c>
      <c r="DV306" s="73">
        <f t="shared" ca="1" si="341"/>
        <v>3181.2758406482594</v>
      </c>
      <c r="DW306" s="73">
        <f t="shared" ca="1" si="341"/>
        <v>2350.2662033745542</v>
      </c>
      <c r="DX306" s="73">
        <f t="shared" ca="1" si="341"/>
        <v>2971.233597752218</v>
      </c>
      <c r="DY306" s="323">
        <f t="shared" ca="1" si="341"/>
        <v>9206.2071839806431</v>
      </c>
      <c r="DZ306" s="1872"/>
      <c r="EA306" s="1872"/>
      <c r="EB306" s="1872"/>
    </row>
    <row r="307" spans="1:132" x14ac:dyDescent="0.2">
      <c r="A307" s="1887"/>
      <c r="B307" s="444" t="s">
        <v>194</v>
      </c>
      <c r="C307" s="445"/>
      <c r="D307" s="445"/>
      <c r="E307" s="446"/>
      <c r="F307" s="446"/>
      <c r="G307" s="446"/>
      <c r="H307" s="446"/>
      <c r="I307" s="447"/>
      <c r="J307" s="446"/>
      <c r="K307" s="446"/>
      <c r="L307" s="446"/>
      <c r="M307" s="446"/>
      <c r="N307" s="447"/>
      <c r="O307" s="446"/>
      <c r="P307" s="446"/>
      <c r="Q307" s="446"/>
      <c r="R307" s="446"/>
      <c r="S307" s="447"/>
      <c r="T307" s="446"/>
      <c r="U307" s="446"/>
      <c r="V307" s="446"/>
      <c r="W307" s="446"/>
      <c r="X307" s="447"/>
      <c r="Y307" s="446"/>
      <c r="Z307" s="446"/>
      <c r="AA307" s="446"/>
      <c r="AB307" s="446"/>
      <c r="AC307" s="447"/>
      <c r="AD307" s="446"/>
      <c r="AE307" s="446"/>
      <c r="AF307" s="446"/>
      <c r="AG307" s="446"/>
      <c r="AH307" s="447"/>
      <c r="AI307" s="446"/>
      <c r="AJ307" s="446"/>
      <c r="AK307" s="446"/>
      <c r="AL307" s="446"/>
      <c r="AM307" s="447"/>
      <c r="AN307" s="446"/>
      <c r="AO307" s="446"/>
      <c r="AP307" s="446"/>
      <c r="AQ307" s="446"/>
      <c r="AR307" s="447"/>
      <c r="AS307" s="446"/>
      <c r="AT307" s="446"/>
      <c r="AU307" s="446"/>
      <c r="AV307" s="446"/>
      <c r="AW307" s="447"/>
      <c r="AX307" s="446"/>
      <c r="AY307" s="446"/>
      <c r="AZ307" s="446"/>
      <c r="BA307" s="446"/>
      <c r="BB307" s="447"/>
      <c r="BC307" s="446"/>
      <c r="BD307" s="446"/>
      <c r="BE307" s="446"/>
      <c r="BF307" s="446"/>
      <c r="BG307" s="447"/>
      <c r="BH307" s="446"/>
      <c r="BI307" s="446"/>
      <c r="BJ307" s="446"/>
      <c r="BK307" s="446"/>
      <c r="BL307" s="447"/>
      <c r="BM307" s="445"/>
      <c r="BN307" s="445"/>
      <c r="BO307" s="445"/>
      <c r="BP307" s="445"/>
      <c r="BQ307" s="447">
        <f t="shared" ref="BQ307:BV307" si="342">BQ306/BL306-1</f>
        <v>-5.778396389558349E-3</v>
      </c>
      <c r="BR307" s="448">
        <f t="shared" si="342"/>
        <v>-3.8227628149435366E-2</v>
      </c>
      <c r="BS307" s="448">
        <f t="shared" si="342"/>
        <v>0.75539238182647828</v>
      </c>
      <c r="BT307" s="448">
        <f t="shared" si="342"/>
        <v>0.10724029380902844</v>
      </c>
      <c r="BU307" s="448">
        <f t="shared" si="342"/>
        <v>0.6404690618762463</v>
      </c>
      <c r="BV307" s="447">
        <f t="shared" si="342"/>
        <v>0.41091125063634726</v>
      </c>
      <c r="BW307" s="445"/>
      <c r="BX307" s="445"/>
      <c r="BY307" s="445"/>
      <c r="BZ307" s="445"/>
      <c r="CA307" s="447">
        <f>CA306/BV306-1</f>
        <v>0.16994407360635444</v>
      </c>
      <c r="CB307" s="445"/>
      <c r="CC307" s="445"/>
      <c r="CD307" s="445"/>
      <c r="CE307" s="445"/>
      <c r="CF307" s="447">
        <f>CF306/CA306-1</f>
        <v>0.26761757902852512</v>
      </c>
      <c r="CG307" s="445"/>
      <c r="CH307" s="445"/>
      <c r="CI307" s="445"/>
      <c r="CJ307" s="445"/>
      <c r="CK307" s="447"/>
      <c r="CL307" s="445"/>
      <c r="CM307" s="445"/>
      <c r="CN307" s="445"/>
      <c r="CO307" s="445"/>
      <c r="CP307" s="447">
        <f>CP306/CK306-1</f>
        <v>-0.13091696801662989</v>
      </c>
      <c r="CQ307" s="445"/>
      <c r="CR307" s="445"/>
      <c r="CS307" s="445"/>
      <c r="CT307" s="445"/>
      <c r="CU307" s="447">
        <f>CU306/CP306-1</f>
        <v>0.32972011001456081</v>
      </c>
      <c r="CV307" s="445"/>
      <c r="CW307" s="445"/>
      <c r="CX307" s="445"/>
      <c r="CY307" s="445"/>
      <c r="CZ307" s="447">
        <f>CZ306/CU306-1</f>
        <v>0.11674812606601614</v>
      </c>
      <c r="DA307" s="445"/>
      <c r="DB307" s="445"/>
      <c r="DC307" s="445"/>
      <c r="DD307" s="445"/>
      <c r="DE307" s="447">
        <f>DE306/CZ306-1</f>
        <v>0.12671628862490314</v>
      </c>
      <c r="DF307" s="445"/>
      <c r="DG307" s="445"/>
      <c r="DH307" s="445"/>
      <c r="DI307" s="445"/>
      <c r="DJ307" s="447">
        <f>DJ306/DE306-1</f>
        <v>-0.1965802308346063</v>
      </c>
      <c r="DK307" s="445"/>
      <c r="DL307" s="445"/>
      <c r="DM307" s="445"/>
      <c r="DN307" s="445"/>
      <c r="DO307" s="447">
        <f ca="1">DO306/DJ306-1</f>
        <v>0.21782047576925279</v>
      </c>
      <c r="DP307" s="445"/>
      <c r="DQ307" s="445"/>
      <c r="DR307" s="445"/>
      <c r="DS307" s="445"/>
      <c r="DT307" s="447">
        <f ca="1">DT306/DO306-1</f>
        <v>5.354722471234119E-2</v>
      </c>
      <c r="DU307" s="445"/>
      <c r="DV307" s="445"/>
      <c r="DW307" s="445"/>
      <c r="DX307" s="445"/>
      <c r="DY307" s="447">
        <f ca="1">DY306/DT306-1</f>
        <v>7.949883666650126E-2</v>
      </c>
      <c r="DZ307" s="2122"/>
      <c r="EA307" s="2122"/>
      <c r="EB307" s="2122"/>
    </row>
    <row r="308" spans="1:132" x14ac:dyDescent="0.2">
      <c r="A308" s="1833"/>
      <c r="B308" s="1849"/>
      <c r="C308" s="2123"/>
      <c r="D308" s="2123"/>
      <c r="E308" s="1841"/>
      <c r="F308" s="1841"/>
      <c r="G308" s="1841"/>
      <c r="H308" s="1841"/>
      <c r="I308" s="2124"/>
      <c r="J308" s="1841"/>
      <c r="K308" s="1841"/>
      <c r="L308" s="1841"/>
      <c r="M308" s="1841"/>
      <c r="N308" s="2124"/>
      <c r="O308" s="1841"/>
      <c r="P308" s="1841"/>
      <c r="Q308" s="1841"/>
      <c r="R308" s="1841"/>
      <c r="S308" s="2124"/>
      <c r="T308" s="1841"/>
      <c r="U308" s="1841"/>
      <c r="V308" s="1841"/>
      <c r="W308" s="1841"/>
      <c r="X308" s="2124"/>
      <c r="Y308" s="1841"/>
      <c r="Z308" s="1841"/>
      <c r="AA308" s="1841"/>
      <c r="AB308" s="1841"/>
      <c r="AC308" s="2124"/>
      <c r="AD308" s="1841"/>
      <c r="AE308" s="1841"/>
      <c r="AF308" s="1841"/>
      <c r="AG308" s="1841"/>
      <c r="AH308" s="2124"/>
      <c r="AI308" s="1841"/>
      <c r="AJ308" s="1841"/>
      <c r="AK308" s="1841"/>
      <c r="AL308" s="1841"/>
      <c r="AM308" s="2124"/>
      <c r="AN308" s="1841"/>
      <c r="AO308" s="1841"/>
      <c r="AP308" s="1841"/>
      <c r="AQ308" s="1841"/>
      <c r="AR308" s="2124"/>
      <c r="AS308" s="1841"/>
      <c r="AT308" s="1841"/>
      <c r="AU308" s="1841"/>
      <c r="AV308" s="1841"/>
      <c r="AW308" s="2124"/>
      <c r="AX308" s="1841"/>
      <c r="AY308" s="1841"/>
      <c r="AZ308" s="1841"/>
      <c r="BA308" s="1841"/>
      <c r="BB308" s="2124"/>
      <c r="BC308" s="1841"/>
      <c r="BD308" s="1841"/>
      <c r="BE308" s="1841"/>
      <c r="BF308" s="1841"/>
      <c r="BG308" s="2124"/>
      <c r="BH308" s="1841"/>
      <c r="BI308" s="1841"/>
      <c r="BJ308" s="1841"/>
      <c r="BK308" s="1841"/>
      <c r="BL308" s="2124"/>
      <c r="BM308" s="2123"/>
      <c r="BN308" s="2123"/>
      <c r="BO308" s="2123"/>
      <c r="BP308" s="2123"/>
      <c r="BQ308" s="2124"/>
      <c r="BR308" s="2123"/>
      <c r="BS308" s="2123"/>
      <c r="BT308" s="2123"/>
      <c r="BU308" s="2123"/>
      <c r="BV308" s="2124"/>
      <c r="BW308" s="2123"/>
      <c r="BX308" s="2123"/>
      <c r="BY308" s="2123"/>
      <c r="BZ308" s="2123"/>
      <c r="CA308" s="2124"/>
      <c r="CB308" s="2123"/>
      <c r="CC308" s="2123"/>
      <c r="CD308" s="2123"/>
      <c r="CE308" s="2123"/>
      <c r="CF308" s="2124"/>
      <c r="CG308" s="2123"/>
      <c r="CH308" s="2123"/>
      <c r="CI308" s="2123"/>
      <c r="CJ308" s="2123"/>
      <c r="CK308" s="2124"/>
      <c r="CL308" s="2123"/>
      <c r="CM308" s="2123"/>
      <c r="CN308" s="2123"/>
      <c r="CO308" s="2123"/>
      <c r="CP308" s="2124"/>
      <c r="CQ308" s="2123"/>
      <c r="CR308" s="2123"/>
      <c r="CS308" s="2123"/>
      <c r="CT308" s="2123"/>
      <c r="CU308" s="2124"/>
      <c r="CV308" s="2123"/>
      <c r="CW308" s="2123"/>
      <c r="CX308" s="2123"/>
      <c r="CY308" s="2123"/>
      <c r="CZ308" s="2124"/>
      <c r="DA308" s="2123"/>
      <c r="DB308" s="2123"/>
      <c r="DC308" s="2123"/>
      <c r="DD308" s="2123"/>
      <c r="DE308" s="2124"/>
      <c r="DF308" s="2123"/>
      <c r="DG308" s="2123"/>
      <c r="DH308" s="2123"/>
      <c r="DI308" s="2123"/>
      <c r="DJ308" s="2124"/>
      <c r="DK308" s="2123"/>
      <c r="DL308" s="2123"/>
      <c r="DM308" s="2123"/>
      <c r="DN308" s="2123"/>
      <c r="DO308" s="2124"/>
      <c r="DP308" s="2123"/>
      <c r="DQ308" s="2123"/>
      <c r="DR308" s="2123"/>
      <c r="DS308" s="2123"/>
      <c r="DT308" s="2124"/>
      <c r="DU308" s="2123"/>
      <c r="DV308" s="2123"/>
      <c r="DW308" s="2123"/>
      <c r="DX308" s="2123"/>
      <c r="DY308" s="2124"/>
      <c r="DZ308" s="1838"/>
      <c r="EA308" s="1838"/>
      <c r="EB308" s="1838"/>
    </row>
    <row r="309" spans="1:132" x14ac:dyDescent="0.2">
      <c r="A309" s="1853"/>
      <c r="B309" s="58" t="s">
        <v>499</v>
      </c>
      <c r="C309" s="59"/>
      <c r="D309" s="59">
        <f>D301-D38</f>
        <v>0</v>
      </c>
      <c r="E309" s="79"/>
      <c r="F309" s="79"/>
      <c r="G309" s="79"/>
      <c r="H309" s="79"/>
      <c r="I309" s="86">
        <f>I301-I38</f>
        <v>142.39499999999975</v>
      </c>
      <c r="J309" s="79"/>
      <c r="K309" s="79"/>
      <c r="L309" s="79"/>
      <c r="M309" s="79"/>
      <c r="N309" s="86">
        <f>N301-N38</f>
        <v>-418.11299999999869</v>
      </c>
      <c r="O309" s="79"/>
      <c r="P309" s="79"/>
      <c r="Q309" s="79"/>
      <c r="R309" s="79"/>
      <c r="S309" s="86">
        <f>S301-S38</f>
        <v>-316.35599999999755</v>
      </c>
      <c r="T309" s="79"/>
      <c r="U309" s="79"/>
      <c r="V309" s="79"/>
      <c r="W309" s="79"/>
      <c r="X309" s="86">
        <f>X301-X38</f>
        <v>-15.900000000000318</v>
      </c>
      <c r="Y309" s="79"/>
      <c r="Z309" s="79"/>
      <c r="AA309" s="79"/>
      <c r="AB309" s="79"/>
      <c r="AC309" s="86">
        <f>AC301-AC38</f>
        <v>61.700000000000955</v>
      </c>
      <c r="AD309" s="79"/>
      <c r="AE309" s="79"/>
      <c r="AF309" s="79"/>
      <c r="AG309" s="79"/>
      <c r="AH309" s="86">
        <f>AH301-AH38</f>
        <v>-302.20000000000027</v>
      </c>
      <c r="AI309" s="79"/>
      <c r="AJ309" s="79"/>
      <c r="AK309" s="79"/>
      <c r="AL309" s="79"/>
      <c r="AM309" s="86">
        <f>AM301-AM38</f>
        <v>44.499999999999943</v>
      </c>
      <c r="AN309" s="79"/>
      <c r="AO309" s="79"/>
      <c r="AP309" s="79"/>
      <c r="AQ309" s="79"/>
      <c r="AR309" s="86">
        <f>AR301-AR38</f>
        <v>-184.29999999999637</v>
      </c>
      <c r="AS309" s="79"/>
      <c r="AT309" s="79"/>
      <c r="AU309" s="79"/>
      <c r="AV309" s="79"/>
      <c r="AW309" s="86">
        <f>AW301-AW38</f>
        <v>-503.59999999999991</v>
      </c>
      <c r="AX309" s="79"/>
      <c r="AY309" s="79"/>
      <c r="AZ309" s="79"/>
      <c r="BA309" s="79"/>
      <c r="BB309" s="86">
        <f>BB301-BB38</f>
        <v>90.900000000005548</v>
      </c>
      <c r="BC309" s="79"/>
      <c r="BD309" s="79"/>
      <c r="BE309" s="79"/>
      <c r="BF309" s="79"/>
      <c r="BG309" s="86">
        <f>BG301-BG38</f>
        <v>-296.10000000000036</v>
      </c>
      <c r="BH309" s="79"/>
      <c r="BI309" s="79"/>
      <c r="BJ309" s="79"/>
      <c r="BK309" s="79"/>
      <c r="BL309" s="86">
        <f t="shared" ref="BL309:DE309" si="343">BL301-BL38</f>
        <v>1334.9999999999975</v>
      </c>
      <c r="BM309" s="59">
        <f t="shared" si="343"/>
        <v>324.19999999999976</v>
      </c>
      <c r="BN309" s="59">
        <f t="shared" si="343"/>
        <v>38.900000000004312</v>
      </c>
      <c r="BO309" s="59">
        <f t="shared" si="343"/>
        <v>236.49999999999841</v>
      </c>
      <c r="BP309" s="59">
        <f t="shared" si="343"/>
        <v>1044.3000000000015</v>
      </c>
      <c r="BQ309" s="86">
        <f t="shared" si="343"/>
        <v>1643.8999999999937</v>
      </c>
      <c r="BR309" s="59">
        <f t="shared" si="343"/>
        <v>294.89999999999975</v>
      </c>
      <c r="BS309" s="59">
        <f t="shared" si="343"/>
        <v>-242.70000000000289</v>
      </c>
      <c r="BT309" s="59">
        <f t="shared" si="343"/>
        <v>159.70000000000027</v>
      </c>
      <c r="BU309" s="59">
        <f t="shared" si="343"/>
        <v>1025.7000000000014</v>
      </c>
      <c r="BV309" s="86">
        <f t="shared" si="343"/>
        <v>1238.7999999999884</v>
      </c>
      <c r="BW309" s="59">
        <f t="shared" si="343"/>
        <v>614</v>
      </c>
      <c r="BX309" s="59">
        <f t="shared" si="343"/>
        <v>209</v>
      </c>
      <c r="BY309" s="59">
        <f t="shared" si="343"/>
        <v>677</v>
      </c>
      <c r="BZ309" s="59">
        <f t="shared" si="343"/>
        <v>1348</v>
      </c>
      <c r="CA309" s="86">
        <f t="shared" si="343"/>
        <v>2848</v>
      </c>
      <c r="CB309" s="59">
        <f t="shared" si="343"/>
        <v>1529</v>
      </c>
      <c r="CC309" s="59">
        <f t="shared" si="343"/>
        <v>776</v>
      </c>
      <c r="CD309" s="59">
        <f t="shared" si="343"/>
        <v>1452</v>
      </c>
      <c r="CE309" s="59">
        <f t="shared" si="343"/>
        <v>-1.0000000000027285</v>
      </c>
      <c r="CF309" s="86">
        <f t="shared" si="343"/>
        <v>3755.9999999999909</v>
      </c>
      <c r="CG309" s="59">
        <f t="shared" si="343"/>
        <v>2556</v>
      </c>
      <c r="CH309" s="59">
        <f t="shared" si="343"/>
        <v>684.40000000000077</v>
      </c>
      <c r="CI309" s="59">
        <f t="shared" si="343"/>
        <v>275.27499999999827</v>
      </c>
      <c r="CJ309" s="59">
        <f t="shared" si="343"/>
        <v>740.7</v>
      </c>
      <c r="CK309" s="86">
        <f t="shared" si="343"/>
        <v>4604.3750000000236</v>
      </c>
      <c r="CL309" s="59">
        <f t="shared" si="343"/>
        <v>1333</v>
      </c>
      <c r="CM309" s="59">
        <f t="shared" si="343"/>
        <v>371.69999999999936</v>
      </c>
      <c r="CN309" s="59">
        <f t="shared" si="343"/>
        <v>1008.9000000000012</v>
      </c>
      <c r="CO309" s="59">
        <f t="shared" si="343"/>
        <v>1122.0000000000016</v>
      </c>
      <c r="CP309" s="86">
        <f t="shared" si="343"/>
        <v>3835.6000000000022</v>
      </c>
      <c r="CQ309" s="59">
        <f t="shared" si="343"/>
        <v>1734.3999999999978</v>
      </c>
      <c r="CR309" s="59">
        <f t="shared" si="343"/>
        <v>271.100000000004</v>
      </c>
      <c r="CS309" s="59">
        <f t="shared" si="343"/>
        <v>899.39999999999918</v>
      </c>
      <c r="CT309" s="59">
        <f t="shared" si="343"/>
        <v>2554.7000000000035</v>
      </c>
      <c r="CU309" s="86">
        <f t="shared" si="343"/>
        <v>5459.5000000000036</v>
      </c>
      <c r="CV309" s="59">
        <f t="shared" si="343"/>
        <v>1579.000000000005</v>
      </c>
      <c r="CW309" s="59">
        <f t="shared" si="343"/>
        <v>395.99999999999613</v>
      </c>
      <c r="CX309" s="59">
        <f t="shared" si="343"/>
        <v>1423.0757406383304</v>
      </c>
      <c r="CY309" s="59">
        <f t="shared" si="343"/>
        <v>2722.8047278599988</v>
      </c>
      <c r="CZ309" s="86">
        <f t="shared" si="343"/>
        <v>6109.519972029273</v>
      </c>
      <c r="DA309" s="59">
        <f t="shared" si="343"/>
        <v>1701.7999999999984</v>
      </c>
      <c r="DB309" s="59">
        <f>DB301-DB38</f>
        <v>755.49999999999977</v>
      </c>
      <c r="DC309" s="59">
        <f>DC301-DC38</f>
        <v>3233.4999999999973</v>
      </c>
      <c r="DD309" s="59">
        <f>DD301-DD38</f>
        <v>1331.2999999999984</v>
      </c>
      <c r="DE309" s="86">
        <f t="shared" si="343"/>
        <v>6992.5999999999949</v>
      </c>
      <c r="DF309" s="59">
        <f>DF301-DF38</f>
        <v>3068.1999999999985</v>
      </c>
      <c r="DG309" s="59">
        <f t="shared" ref="DG309:DO309" si="344">DG301-DG38</f>
        <v>1440.4188349591539</v>
      </c>
      <c r="DH309" s="59">
        <f t="shared" si="344"/>
        <v>1627.9780076587977</v>
      </c>
      <c r="DI309" s="59">
        <f t="shared" si="344"/>
        <v>-741.73755289190149</v>
      </c>
      <c r="DJ309" s="86">
        <f t="shared" si="344"/>
        <v>5394.6825032360484</v>
      </c>
      <c r="DK309" s="59">
        <f t="shared" ca="1" si="344"/>
        <v>-323.42407600010938</v>
      </c>
      <c r="DL309" s="59">
        <f t="shared" ca="1" si="344"/>
        <v>2309.5836960977658</v>
      </c>
      <c r="DM309" s="59">
        <f t="shared" ca="1" si="344"/>
        <v>1605.1356562620767</v>
      </c>
      <c r="DN309" s="59">
        <f t="shared" ca="1" si="344"/>
        <v>2145.3333162250838</v>
      </c>
      <c r="DO309" s="86">
        <f t="shared" ca="1" si="344"/>
        <v>5736.6285925848151</v>
      </c>
      <c r="DP309" s="59">
        <f t="shared" ref="DP309:DY309" ca="1" si="345">DP301-DP38</f>
        <v>-311.62037939750553</v>
      </c>
      <c r="DQ309" s="59">
        <f t="shared" ca="1" si="345"/>
        <v>2441.8934914168158</v>
      </c>
      <c r="DR309" s="59">
        <f t="shared" ca="1" si="345"/>
        <v>1668.7012160027164</v>
      </c>
      <c r="DS309" s="59">
        <f t="shared" ca="1" si="345"/>
        <v>2252.7712810486391</v>
      </c>
      <c r="DT309" s="86">
        <f t="shared" ca="1" si="345"/>
        <v>6051.7456090706628</v>
      </c>
      <c r="DU309" s="59">
        <f t="shared" ca="1" si="345"/>
        <v>93.863777815026197</v>
      </c>
      <c r="DV309" s="59">
        <f t="shared" ca="1" si="345"/>
        <v>2580.1900211334278</v>
      </c>
      <c r="DW309" s="59">
        <f t="shared" ca="1" si="345"/>
        <v>1759.2236035721194</v>
      </c>
      <c r="DX309" s="59">
        <f t="shared" ca="1" si="345"/>
        <v>2382.2861828137552</v>
      </c>
      <c r="DY309" s="86">
        <f t="shared" ca="1" si="345"/>
        <v>6815.5635853343329</v>
      </c>
      <c r="DZ309" s="1858"/>
      <c r="EA309" s="1858"/>
      <c r="EB309" s="1858"/>
    </row>
    <row r="310" spans="1:132" x14ac:dyDescent="0.2">
      <c r="A310" s="1853"/>
      <c r="B310" s="58" t="s">
        <v>500</v>
      </c>
      <c r="C310" s="59"/>
      <c r="D310" s="59">
        <f>D306-D38</f>
        <v>0</v>
      </c>
      <c r="E310" s="79"/>
      <c r="F310" s="79"/>
      <c r="G310" s="79"/>
      <c r="H310" s="79"/>
      <c r="I310" s="86">
        <f>I306-I38</f>
        <v>215.19499999999977</v>
      </c>
      <c r="J310" s="79"/>
      <c r="K310" s="79"/>
      <c r="L310" s="79"/>
      <c r="M310" s="79"/>
      <c r="N310" s="86">
        <f>N306-N38</f>
        <v>-373.9129999999987</v>
      </c>
      <c r="O310" s="79"/>
      <c r="P310" s="79"/>
      <c r="Q310" s="79"/>
      <c r="R310" s="79"/>
      <c r="S310" s="86">
        <f>S306-S38</f>
        <v>-255.45599999999754</v>
      </c>
      <c r="T310" s="79"/>
      <c r="U310" s="79"/>
      <c r="V310" s="79"/>
      <c r="W310" s="79"/>
      <c r="X310" s="86">
        <f>X306-X38</f>
        <v>43.199999999999704</v>
      </c>
      <c r="Y310" s="79"/>
      <c r="Z310" s="79"/>
      <c r="AA310" s="79"/>
      <c r="AB310" s="79"/>
      <c r="AC310" s="86">
        <f>AC306-AC38</f>
        <v>141.00000000000097</v>
      </c>
      <c r="AD310" s="79"/>
      <c r="AE310" s="79"/>
      <c r="AF310" s="79"/>
      <c r="AG310" s="79"/>
      <c r="AH310" s="86">
        <f>AH306-AH38</f>
        <v>-241.20000000000027</v>
      </c>
      <c r="AI310" s="79"/>
      <c r="AJ310" s="79"/>
      <c r="AK310" s="79"/>
      <c r="AL310" s="79"/>
      <c r="AM310" s="86">
        <f>AM306-AM38</f>
        <v>94.89999999999992</v>
      </c>
      <c r="AN310" s="79"/>
      <c r="AO310" s="79"/>
      <c r="AP310" s="79"/>
      <c r="AQ310" s="79"/>
      <c r="AR310" s="86">
        <f>AR306-AR38</f>
        <v>-136.19999999999635</v>
      </c>
      <c r="AS310" s="79"/>
      <c r="AT310" s="79"/>
      <c r="AU310" s="79"/>
      <c r="AV310" s="79"/>
      <c r="AW310" s="86">
        <f>AW306-AW38</f>
        <v>-445.2999999999999</v>
      </c>
      <c r="AX310" s="79"/>
      <c r="AY310" s="79"/>
      <c r="AZ310" s="79"/>
      <c r="BA310" s="79"/>
      <c r="BB310" s="86">
        <f>BB306-BB38</f>
        <v>201.40000000000555</v>
      </c>
      <c r="BC310" s="79"/>
      <c r="BD310" s="79"/>
      <c r="BE310" s="79"/>
      <c r="BF310" s="79"/>
      <c r="BG310" s="86">
        <f>BG306-BG38</f>
        <v>-80.300000000000409</v>
      </c>
      <c r="BH310" s="79"/>
      <c r="BI310" s="79"/>
      <c r="BJ310" s="79"/>
      <c r="BK310" s="79"/>
      <c r="BL310" s="86">
        <f t="shared" ref="BL310:DE310" si="346">BL306-BL38</f>
        <v>1769.5999999999974</v>
      </c>
      <c r="BM310" s="59">
        <f t="shared" si="346"/>
        <v>455.09999999999974</v>
      </c>
      <c r="BN310" s="59">
        <f t="shared" si="346"/>
        <v>153.60000000000429</v>
      </c>
      <c r="BO310" s="59">
        <f t="shared" si="346"/>
        <v>349.1999999999984</v>
      </c>
      <c r="BP310" s="59">
        <f t="shared" si="346"/>
        <v>1195.5000000000016</v>
      </c>
      <c r="BQ310" s="86">
        <f t="shared" si="346"/>
        <v>2153.3999999999933</v>
      </c>
      <c r="BR310" s="59">
        <f t="shared" si="346"/>
        <v>436.99999999999972</v>
      </c>
      <c r="BS310" s="59">
        <f t="shared" si="346"/>
        <v>-114.80000000000285</v>
      </c>
      <c r="BT310" s="59">
        <f t="shared" si="346"/>
        <v>282.50000000000023</v>
      </c>
      <c r="BU310" s="59">
        <f t="shared" si="346"/>
        <v>1158.7000000000014</v>
      </c>
      <c r="BV310" s="86">
        <f t="shared" si="346"/>
        <v>1763.7999999999884</v>
      </c>
      <c r="BW310" s="59">
        <f t="shared" si="346"/>
        <v>742</v>
      </c>
      <c r="BX310" s="59">
        <f t="shared" si="346"/>
        <v>344</v>
      </c>
      <c r="BY310" s="59">
        <f t="shared" si="346"/>
        <v>814</v>
      </c>
      <c r="BZ310" s="59">
        <f t="shared" si="346"/>
        <v>1484</v>
      </c>
      <c r="CA310" s="86">
        <f t="shared" si="346"/>
        <v>3384</v>
      </c>
      <c r="CB310" s="59">
        <f t="shared" si="346"/>
        <v>1663</v>
      </c>
      <c r="CC310" s="59">
        <f t="shared" si="346"/>
        <v>924</v>
      </c>
      <c r="CD310" s="59">
        <f t="shared" si="346"/>
        <v>1607</v>
      </c>
      <c r="CE310" s="59">
        <f t="shared" si="346"/>
        <v>146.29999999999723</v>
      </c>
      <c r="CF310" s="86">
        <f t="shared" si="346"/>
        <v>4340.2999999999911</v>
      </c>
      <c r="CG310" s="59">
        <f t="shared" si="346"/>
        <v>2688</v>
      </c>
      <c r="CH310" s="59">
        <f t="shared" si="346"/>
        <v>815.90000000000077</v>
      </c>
      <c r="CI310" s="59">
        <f t="shared" si="346"/>
        <v>409.07499999999823</v>
      </c>
      <c r="CJ310" s="59">
        <f t="shared" si="346"/>
        <v>899.7</v>
      </c>
      <c r="CK310" s="86">
        <f t="shared" si="346"/>
        <v>5160.6750000000238</v>
      </c>
      <c r="CL310" s="59">
        <f t="shared" si="346"/>
        <v>1459</v>
      </c>
      <c r="CM310" s="59">
        <f t="shared" si="346"/>
        <v>497.69999999999936</v>
      </c>
      <c r="CN310" s="59">
        <f t="shared" si="346"/>
        <v>1130.9000000000012</v>
      </c>
      <c r="CO310" s="59">
        <f t="shared" si="346"/>
        <v>1257.2000000000016</v>
      </c>
      <c r="CP310" s="86">
        <f t="shared" si="346"/>
        <v>4344.800000000002</v>
      </c>
      <c r="CQ310" s="59">
        <f t="shared" si="346"/>
        <v>1892.7999999999979</v>
      </c>
      <c r="CR310" s="59">
        <f t="shared" si="346"/>
        <v>428.600000000004</v>
      </c>
      <c r="CS310" s="59">
        <f t="shared" si="346"/>
        <v>1052.8999999999992</v>
      </c>
      <c r="CT310" s="59">
        <f t="shared" si="346"/>
        <v>2686.0000000000036</v>
      </c>
      <c r="CU310" s="86">
        <f t="shared" si="346"/>
        <v>6060.2000000000035</v>
      </c>
      <c r="CV310" s="59">
        <f t="shared" si="346"/>
        <v>1713.1000000000049</v>
      </c>
      <c r="CW310" s="59">
        <f t="shared" si="346"/>
        <v>562.19999999999618</v>
      </c>
      <c r="CX310" s="59">
        <f t="shared" si="346"/>
        <v>1668.6980471183304</v>
      </c>
      <c r="CY310" s="59">
        <f t="shared" si="346"/>
        <v>2999.2047278599989</v>
      </c>
      <c r="CZ310" s="86">
        <f t="shared" si="346"/>
        <v>6931.8422785092735</v>
      </c>
      <c r="DA310" s="59">
        <f t="shared" si="346"/>
        <v>1978.1999999999985</v>
      </c>
      <c r="DB310" s="59">
        <f>DB306-DB38</f>
        <v>1035.1999999999998</v>
      </c>
      <c r="DC310" s="59">
        <f>DC306-DC38</f>
        <v>3486.0999999999972</v>
      </c>
      <c r="DD310" s="59">
        <f>DD306-DD38</f>
        <v>1573.2999999999984</v>
      </c>
      <c r="DE310" s="86">
        <f t="shared" si="346"/>
        <v>8043.2999999999956</v>
      </c>
      <c r="DF310" s="59">
        <f>DF306-DF38</f>
        <v>3320.4999999999986</v>
      </c>
      <c r="DG310" s="59">
        <f t="shared" ref="DG310:DO310" si="347">DG306-DG38</f>
        <v>1687.3188349591539</v>
      </c>
      <c r="DH310" s="59">
        <f t="shared" si="347"/>
        <v>1873.0474136587977</v>
      </c>
      <c r="DI310" s="59">
        <f t="shared" si="347"/>
        <v>-498.7566858919015</v>
      </c>
      <c r="DJ310" s="86">
        <f t="shared" si="347"/>
        <v>6381.9327762360481</v>
      </c>
      <c r="DK310" s="59">
        <f t="shared" ca="1" si="347"/>
        <v>13.694106600585428</v>
      </c>
      <c r="DL310" s="59">
        <f t="shared" ca="1" si="347"/>
        <v>2914.9482291135082</v>
      </c>
      <c r="DM310" s="59">
        <f t="shared" ca="1" si="347"/>
        <v>2164.1965149438715</v>
      </c>
      <c r="DN310" s="59">
        <f t="shared" ca="1" si="347"/>
        <v>2701.9319853040611</v>
      </c>
      <c r="DO310" s="86">
        <f t="shared" ca="1" si="347"/>
        <v>7794.7708359620246</v>
      </c>
      <c r="DP310" s="59">
        <f t="shared" ref="DP310:DY310" ca="1" si="348">DP306-DP38</f>
        <v>244.47608230694652</v>
      </c>
      <c r="DQ310" s="59">
        <f t="shared" ca="1" si="348"/>
        <v>2989.6102440273617</v>
      </c>
      <c r="DR310" s="59">
        <f t="shared" ca="1" si="348"/>
        <v>2206.1817080236679</v>
      </c>
      <c r="DS310" s="59">
        <f t="shared" ca="1" si="348"/>
        <v>2787.9553145522168</v>
      </c>
      <c r="DT310" s="86">
        <f t="shared" ca="1" si="348"/>
        <v>8228.2233489101891</v>
      </c>
      <c r="DU310" s="59">
        <f t="shared" ca="1" si="348"/>
        <v>628.43154220560746</v>
      </c>
      <c r="DV310" s="59">
        <f t="shared" ca="1" si="348"/>
        <v>3106.2758406482594</v>
      </c>
      <c r="DW310" s="59">
        <f t="shared" ca="1" si="348"/>
        <v>2275.2662033745542</v>
      </c>
      <c r="DX310" s="59">
        <f t="shared" ca="1" si="348"/>
        <v>2896.233597752218</v>
      </c>
      <c r="DY310" s="86">
        <f t="shared" ca="1" si="348"/>
        <v>8906.2071839806431</v>
      </c>
      <c r="DZ310" s="1858"/>
      <c r="EA310" s="1858"/>
      <c r="EB310" s="1858"/>
    </row>
    <row r="311" spans="1:132" x14ac:dyDescent="0.2">
      <c r="A311" s="1853"/>
      <c r="B311" s="254"/>
      <c r="C311" s="238"/>
      <c r="D311" s="238"/>
      <c r="E311" s="242"/>
      <c r="F311" s="242"/>
      <c r="G311" s="242"/>
      <c r="H311" s="242"/>
      <c r="I311" s="239"/>
      <c r="J311" s="242"/>
      <c r="K311" s="242"/>
      <c r="L311" s="242"/>
      <c r="M311" s="242"/>
      <c r="N311" s="239"/>
      <c r="O311" s="242"/>
      <c r="P311" s="242"/>
      <c r="Q311" s="242"/>
      <c r="R311" s="242"/>
      <c r="S311" s="239"/>
      <c r="T311" s="242"/>
      <c r="U311" s="242"/>
      <c r="V311" s="242"/>
      <c r="W311" s="242"/>
      <c r="X311" s="239"/>
      <c r="Y311" s="242"/>
      <c r="Z311" s="242"/>
      <c r="AA311" s="242"/>
      <c r="AB311" s="242"/>
      <c r="AC311" s="239"/>
      <c r="AD311" s="242"/>
      <c r="AE311" s="242"/>
      <c r="AF311" s="242"/>
      <c r="AG311" s="242"/>
      <c r="AH311" s="239"/>
      <c r="AI311" s="242"/>
      <c r="AJ311" s="242"/>
      <c r="AK311" s="242"/>
      <c r="AL311" s="242"/>
      <c r="AM311" s="239"/>
      <c r="AN311" s="242"/>
      <c r="AO311" s="242"/>
      <c r="AP311" s="242"/>
      <c r="AQ311" s="242"/>
      <c r="AR311" s="239"/>
      <c r="AS311" s="242"/>
      <c r="AT311" s="242"/>
      <c r="AU311" s="242"/>
      <c r="AV311" s="242"/>
      <c r="AW311" s="239"/>
      <c r="AX311" s="242"/>
      <c r="AY311" s="242"/>
      <c r="AZ311" s="242"/>
      <c r="BA311" s="242"/>
      <c r="BB311" s="239"/>
      <c r="BC311" s="242"/>
      <c r="BD311" s="242"/>
      <c r="BE311" s="242"/>
      <c r="BF311" s="242"/>
      <c r="BG311" s="239"/>
      <c r="BH311" s="242"/>
      <c r="BI311" s="242"/>
      <c r="BJ311" s="242"/>
      <c r="BK311" s="242"/>
      <c r="BL311" s="239"/>
      <c r="BM311" s="238"/>
      <c r="BN311" s="238"/>
      <c r="BO311" s="238"/>
      <c r="BP311" s="238"/>
      <c r="BQ311" s="239"/>
      <c r="BR311" s="238"/>
      <c r="BS311" s="238"/>
      <c r="BT311" s="238"/>
      <c r="BU311" s="238"/>
      <c r="BV311" s="239"/>
      <c r="BW311" s="238"/>
      <c r="BX311" s="238"/>
      <c r="BY311" s="238"/>
      <c r="BZ311" s="238"/>
      <c r="CA311" s="239"/>
      <c r="CB311" s="238"/>
      <c r="CC311" s="238"/>
      <c r="CD311" s="238"/>
      <c r="CE311" s="238"/>
      <c r="CF311" s="239"/>
      <c r="CG311" s="238"/>
      <c r="CH311" s="238"/>
      <c r="CI311" s="238"/>
      <c r="CJ311" s="238"/>
      <c r="CK311" s="239"/>
      <c r="CL311" s="238"/>
      <c r="CM311" s="238"/>
      <c r="CN311" s="238"/>
      <c r="CO311" s="238"/>
      <c r="CP311" s="239"/>
      <c r="CQ311" s="238"/>
      <c r="CR311" s="238"/>
      <c r="CS311" s="238"/>
      <c r="CT311" s="238"/>
      <c r="CU311" s="239"/>
      <c r="CV311" s="238"/>
      <c r="CW311" s="238"/>
      <c r="CX311" s="238"/>
      <c r="CY311" s="238"/>
      <c r="CZ311" s="239"/>
      <c r="DA311" s="238"/>
      <c r="DB311" s="238"/>
      <c r="DC311" s="238"/>
      <c r="DD311" s="238"/>
      <c r="DE311" s="239"/>
      <c r="DF311" s="238"/>
      <c r="DG311" s="238"/>
      <c r="DH311" s="238"/>
      <c r="DI311" s="238"/>
      <c r="DJ311" s="239"/>
      <c r="DK311" s="238"/>
      <c r="DL311" s="238"/>
      <c r="DM311" s="238"/>
      <c r="DN311" s="238"/>
      <c r="DO311" s="239"/>
      <c r="DP311" s="238"/>
      <c r="DQ311" s="238"/>
      <c r="DR311" s="238"/>
      <c r="DS311" s="238"/>
      <c r="DT311" s="239"/>
      <c r="DU311" s="238"/>
      <c r="DV311" s="238"/>
      <c r="DW311" s="238"/>
      <c r="DX311" s="238"/>
      <c r="DY311" s="239"/>
      <c r="DZ311" s="1858"/>
      <c r="EA311" s="1858"/>
      <c r="EB311" s="1858"/>
    </row>
    <row r="312" spans="1:132" x14ac:dyDescent="0.2">
      <c r="A312" s="1853"/>
      <c r="B312" s="254" t="s">
        <v>501</v>
      </c>
      <c r="C312" s="449"/>
      <c r="D312" s="449"/>
      <c r="E312" s="242"/>
      <c r="F312" s="242"/>
      <c r="G312" s="242"/>
      <c r="H312" s="242"/>
      <c r="I312" s="450">
        <f>I35/I8</f>
        <v>1.1988652980054979</v>
      </c>
      <c r="J312" s="242"/>
      <c r="K312" s="242"/>
      <c r="L312" s="242"/>
      <c r="M312" s="242"/>
      <c r="N312" s="450">
        <f>N35/N8</f>
        <v>-1.3758127438231462</v>
      </c>
      <c r="O312" s="242"/>
      <c r="P312" s="242"/>
      <c r="Q312" s="242"/>
      <c r="R312" s="242"/>
      <c r="S312" s="450">
        <f>S35/S8</f>
        <v>0.76046814044213285</v>
      </c>
      <c r="T312" s="242"/>
      <c r="U312" s="242"/>
      <c r="V312" s="242"/>
      <c r="W312" s="242"/>
      <c r="X312" s="450">
        <f>X35/X8</f>
        <v>1.1435994331601322</v>
      </c>
      <c r="Y312" s="242"/>
      <c r="Z312" s="242"/>
      <c r="AA312" s="242"/>
      <c r="AB312" s="242"/>
      <c r="AC312" s="450">
        <f>AC35/AC8</f>
        <v>1.0458538873994641</v>
      </c>
      <c r="AD312" s="242"/>
      <c r="AE312" s="242"/>
      <c r="AF312" s="242"/>
      <c r="AG312" s="242"/>
      <c r="AH312" s="450">
        <f>AH35/AH8</f>
        <v>1.6471442400774445</v>
      </c>
      <c r="AI312" s="242"/>
      <c r="AJ312" s="242"/>
      <c r="AK312" s="242"/>
      <c r="AL312" s="242"/>
      <c r="AM312" s="450">
        <f>AM35/AM8</f>
        <v>1.6812726765280492</v>
      </c>
      <c r="AN312" s="242"/>
      <c r="AO312" s="242"/>
      <c r="AP312" s="242"/>
      <c r="AQ312" s="242"/>
      <c r="AR312" s="450">
        <f>AR35/AR8</f>
        <v>1.1435146937330343</v>
      </c>
      <c r="AS312" s="242"/>
      <c r="AT312" s="242"/>
      <c r="AU312" s="242"/>
      <c r="AV312" s="242"/>
      <c r="AW312" s="450">
        <f>AW35/AW8</f>
        <v>0.99499346974314329</v>
      </c>
      <c r="AX312" s="242"/>
      <c r="AY312" s="242"/>
      <c r="AZ312" s="242"/>
      <c r="BA312" s="242"/>
      <c r="BB312" s="450">
        <f>BB35/BB8</f>
        <v>1.3163223646607334</v>
      </c>
      <c r="BC312" s="242"/>
      <c r="BD312" s="242"/>
      <c r="BE312" s="242"/>
      <c r="BF312" s="242"/>
      <c r="BG312" s="450">
        <f>BG35/BG8</f>
        <v>1.2728468113083498</v>
      </c>
      <c r="BH312" s="242"/>
      <c r="BI312" s="242"/>
      <c r="BJ312" s="242"/>
      <c r="BK312" s="242"/>
      <c r="BL312" s="450">
        <f t="shared" ref="BL312:DE312" si="349">BL35/BL8</f>
        <v>1.2247629882442168</v>
      </c>
      <c r="BM312" s="449">
        <f t="shared" si="349"/>
        <v>0.98971275885103538</v>
      </c>
      <c r="BN312" s="449">
        <f t="shared" si="349"/>
        <v>0.84060402684563817</v>
      </c>
      <c r="BO312" s="449">
        <f t="shared" si="349"/>
        <v>1.068206521739131</v>
      </c>
      <c r="BP312" s="449">
        <f t="shared" si="349"/>
        <v>1.8564231738035246</v>
      </c>
      <c r="BQ312" s="450">
        <f t="shared" si="349"/>
        <v>1.2288222658074162</v>
      </c>
      <c r="BR312" s="449">
        <f t="shared" si="349"/>
        <v>1.0445557963163594</v>
      </c>
      <c r="BS312" s="449">
        <f t="shared" si="349"/>
        <v>0.62256063169768616</v>
      </c>
      <c r="BT312" s="449">
        <f t="shared" si="349"/>
        <v>0.88847547243708958</v>
      </c>
      <c r="BU312" s="449">
        <f t="shared" si="349"/>
        <v>1.719077568134171</v>
      </c>
      <c r="BV312" s="450">
        <f t="shared" si="349"/>
        <v>1.091730706786449</v>
      </c>
      <c r="BW312" s="449">
        <f t="shared" si="349"/>
        <v>1.3766233766233766</v>
      </c>
      <c r="BX312" s="449">
        <f t="shared" si="349"/>
        <v>0.79415347137637027</v>
      </c>
      <c r="BY312" s="449">
        <f t="shared" si="349"/>
        <v>1.5990099009900991</v>
      </c>
      <c r="BZ312" s="449">
        <f t="shared" si="349"/>
        <v>1.7317073170731707</v>
      </c>
      <c r="CA312" s="450">
        <f t="shared" si="349"/>
        <v>1.3957359813084111</v>
      </c>
      <c r="CB312" s="449">
        <f t="shared" si="349"/>
        <v>2.6207865168539324</v>
      </c>
      <c r="CC312" s="449">
        <f t="shared" si="349"/>
        <v>1.4815724815724816</v>
      </c>
      <c r="CD312" s="449">
        <f t="shared" si="349"/>
        <v>2.2629757785467128</v>
      </c>
      <c r="CE312" s="449">
        <f t="shared" si="349"/>
        <v>0.77270163564579453</v>
      </c>
      <c r="CF312" s="450">
        <f t="shared" si="349"/>
        <v>1.6940523027077066</v>
      </c>
      <c r="CG312" s="449">
        <f t="shared" si="349"/>
        <v>3.5948387096774193</v>
      </c>
      <c r="CH312" s="449">
        <f t="shared" si="349"/>
        <v>1.2755334576341411</v>
      </c>
      <c r="CI312" s="449">
        <f t="shared" si="349"/>
        <v>0.91679713710579269</v>
      </c>
      <c r="CJ312" s="449">
        <f t="shared" si="349"/>
        <v>1.5338352524357839</v>
      </c>
      <c r="CK312" s="450">
        <f t="shared" si="349"/>
        <v>1.5796312191079318</v>
      </c>
      <c r="CL312" s="449">
        <f t="shared" si="349"/>
        <v>1.7154811715481171</v>
      </c>
      <c r="CM312" s="449">
        <f t="shared" si="349"/>
        <v>0.80504771247658957</v>
      </c>
      <c r="CN312" s="449">
        <f t="shared" si="349"/>
        <v>1.3717672413793101</v>
      </c>
      <c r="CO312" s="449">
        <f t="shared" si="349"/>
        <v>1.2189526973580127</v>
      </c>
      <c r="CP312" s="450">
        <f t="shared" si="349"/>
        <v>1.2618131445282437</v>
      </c>
      <c r="CQ312" s="449">
        <f t="shared" si="349"/>
        <v>1.9238263950398582</v>
      </c>
      <c r="CR312" s="449">
        <f t="shared" si="349"/>
        <v>0.7199036918138042</v>
      </c>
      <c r="CS312" s="449">
        <f t="shared" si="349"/>
        <v>1.7352320675105486</v>
      </c>
      <c r="CT312" s="449">
        <f t="shared" si="349"/>
        <v>2.5912187736563208</v>
      </c>
      <c r="CU312" s="450">
        <f t="shared" si="349"/>
        <v>1.7521317829457363</v>
      </c>
      <c r="CV312" s="449">
        <f t="shared" si="349"/>
        <v>1.6248976248976248</v>
      </c>
      <c r="CW312" s="449">
        <f t="shared" si="349"/>
        <v>0.81525157232704404</v>
      </c>
      <c r="CX312" s="449">
        <f t="shared" si="349"/>
        <v>1.458700882117081</v>
      </c>
      <c r="CY312" s="449">
        <f t="shared" si="349"/>
        <v>2.3829219479653103</v>
      </c>
      <c r="CZ312" s="450">
        <f t="shared" si="349"/>
        <v>1.6056499331933576</v>
      </c>
      <c r="DA312" s="449">
        <f t="shared" si="349"/>
        <v>2.1028770706190061</v>
      </c>
      <c r="DB312" s="449">
        <f>DB35/DB8</f>
        <v>1.7435064935064934</v>
      </c>
      <c r="DC312" s="449">
        <f>DC35/DC8</f>
        <v>2.5470473718364697</v>
      </c>
      <c r="DD312" s="449">
        <f>DD35/DD8</f>
        <v>1.2425307557117751</v>
      </c>
      <c r="DE312" s="450">
        <f t="shared" si="349"/>
        <v>1.8930250047001316</v>
      </c>
      <c r="DF312" s="449">
        <f>DF35/DF8</f>
        <v>3.7072402938090243</v>
      </c>
      <c r="DG312" s="449">
        <f t="shared" ref="DG312:DO312" si="350">DG35/DG8</f>
        <v>1.8205828779599271</v>
      </c>
      <c r="DH312" s="449">
        <f t="shared" si="350"/>
        <v>2.0319066147859921</v>
      </c>
      <c r="DI312" s="449">
        <f t="shared" si="350"/>
        <v>-4.1375114085792516E-2</v>
      </c>
      <c r="DJ312" s="450">
        <f t="shared" si="350"/>
        <v>1.2089687452815945</v>
      </c>
      <c r="DK312" s="449">
        <f t="shared" ca="1" si="350"/>
        <v>0.15058908309215085</v>
      </c>
      <c r="DL312" s="449">
        <f t="shared" ca="1" si="350"/>
        <v>2.1812396659057818</v>
      </c>
      <c r="DM312" s="449">
        <f t="shared" ca="1" si="350"/>
        <v>1.5286354108196378</v>
      </c>
      <c r="DN312" s="449">
        <f t="shared" ca="1" si="350"/>
        <v>1.528607900235575</v>
      </c>
      <c r="DO312" s="450">
        <f t="shared" ca="1" si="350"/>
        <v>1.3689356324705404</v>
      </c>
      <c r="DP312" s="449">
        <f t="shared" ref="DP312:DY312" ca="1" si="351">DP35/DP8</f>
        <v>0.18470596444948628</v>
      </c>
      <c r="DQ312" s="449">
        <f t="shared" ca="1" si="351"/>
        <v>2.1464799483899935</v>
      </c>
      <c r="DR312" s="449">
        <f t="shared" ca="1" si="351"/>
        <v>1.5150388715152325</v>
      </c>
      <c r="DS312" s="449">
        <f t="shared" ca="1" si="351"/>
        <v>1.5280575292113749</v>
      </c>
      <c r="DT312" s="450">
        <f t="shared" ca="1" si="351"/>
        <v>1.4003035870639315</v>
      </c>
      <c r="DU312" s="449">
        <f t="shared" ca="1" si="351"/>
        <v>0.50622718391774768</v>
      </c>
      <c r="DV312" s="449">
        <f t="shared" ca="1" si="351"/>
        <v>2.1126110860518028</v>
      </c>
      <c r="DW312" s="449">
        <f t="shared" ca="1" si="351"/>
        <v>1.4835905670646437</v>
      </c>
      <c r="DX312" s="449">
        <f t="shared" ca="1" si="351"/>
        <v>1.5187006368496876</v>
      </c>
      <c r="DY312" s="450">
        <f t="shared" ca="1" si="351"/>
        <v>1.4454693294692418</v>
      </c>
      <c r="DZ312" s="1858"/>
      <c r="EA312" s="1858"/>
      <c r="EB312" s="1858"/>
    </row>
    <row r="313" spans="1:132" x14ac:dyDescent="0.2">
      <c r="A313" s="1853"/>
      <c r="B313" s="254"/>
      <c r="C313" s="449"/>
      <c r="D313" s="449"/>
      <c r="E313" s="242"/>
      <c r="F313" s="242"/>
      <c r="G313" s="242"/>
      <c r="H313" s="242"/>
      <c r="I313" s="450"/>
      <c r="J313" s="242"/>
      <c r="K313" s="242"/>
      <c r="L313" s="242"/>
      <c r="M313" s="242"/>
      <c r="N313" s="450"/>
      <c r="O313" s="242"/>
      <c r="P313" s="242"/>
      <c r="Q313" s="242"/>
      <c r="R313" s="242"/>
      <c r="S313" s="450"/>
      <c r="T313" s="242"/>
      <c r="U313" s="242"/>
      <c r="V313" s="242"/>
      <c r="W313" s="242"/>
      <c r="X313" s="450"/>
      <c r="Y313" s="242"/>
      <c r="Z313" s="242"/>
      <c r="AA313" s="242"/>
      <c r="AB313" s="242"/>
      <c r="AC313" s="450"/>
      <c r="AD313" s="242"/>
      <c r="AE313" s="242"/>
      <c r="AF313" s="242"/>
      <c r="AG313" s="242"/>
      <c r="AH313" s="450"/>
      <c r="AI313" s="242"/>
      <c r="AJ313" s="242"/>
      <c r="AK313" s="242"/>
      <c r="AL313" s="242"/>
      <c r="AM313" s="450"/>
      <c r="AN313" s="242"/>
      <c r="AO313" s="242"/>
      <c r="AP313" s="242"/>
      <c r="AQ313" s="242"/>
      <c r="AR313" s="450"/>
      <c r="AS313" s="242"/>
      <c r="AT313" s="242"/>
      <c r="AU313" s="242"/>
      <c r="AV313" s="242"/>
      <c r="AW313" s="450"/>
      <c r="AX313" s="242"/>
      <c r="AY313" s="242"/>
      <c r="AZ313" s="242"/>
      <c r="BA313" s="242"/>
      <c r="BB313" s="450"/>
      <c r="BC313" s="242"/>
      <c r="BD313" s="242"/>
      <c r="BE313" s="242"/>
      <c r="BF313" s="242"/>
      <c r="BG313" s="450"/>
      <c r="BH313" s="242"/>
      <c r="BI313" s="242"/>
      <c r="BJ313" s="242"/>
      <c r="BK313" s="242"/>
      <c r="BL313" s="450"/>
      <c r="BM313" s="449"/>
      <c r="BN313" s="449"/>
      <c r="BO313" s="449"/>
      <c r="BP313" s="449"/>
      <c r="BQ313" s="450"/>
      <c r="BR313" s="449"/>
      <c r="BS313" s="449"/>
      <c r="BT313" s="449"/>
      <c r="BU313" s="449"/>
      <c r="BV313" s="450"/>
      <c r="BW313" s="449"/>
      <c r="BX313" s="449"/>
      <c r="BY313" s="449"/>
      <c r="BZ313" s="449"/>
      <c r="CA313" s="450"/>
      <c r="CB313" s="449"/>
      <c r="CC313" s="449"/>
      <c r="CD313" s="449"/>
      <c r="CE313" s="449"/>
      <c r="CF313" s="450"/>
      <c r="CG313" s="449"/>
      <c r="CH313" s="449"/>
      <c r="CI313" s="449"/>
      <c r="CJ313" s="449"/>
      <c r="CK313" s="450"/>
      <c r="CL313" s="449"/>
      <c r="CM313" s="449"/>
      <c r="CN313" s="449"/>
      <c r="CO313" s="449"/>
      <c r="CP313" s="450"/>
      <c r="CQ313" s="449"/>
      <c r="CR313" s="449"/>
      <c r="CS313" s="449"/>
      <c r="CT313" s="449"/>
      <c r="CU313" s="450"/>
      <c r="CV313" s="449"/>
      <c r="CW313" s="449"/>
      <c r="CX313" s="449"/>
      <c r="CY313" s="449"/>
      <c r="CZ313" s="450"/>
      <c r="DA313" s="449"/>
      <c r="DB313" s="449"/>
      <c r="DC313" s="449"/>
      <c r="DD313" s="449"/>
      <c r="DE313" s="450"/>
      <c r="DF313" s="449"/>
      <c r="DG313" s="449"/>
      <c r="DH313" s="449"/>
      <c r="DI313" s="449"/>
      <c r="DJ313" s="450"/>
      <c r="DK313" s="449"/>
      <c r="DL313" s="449"/>
      <c r="DM313" s="449"/>
      <c r="DN313" s="449"/>
      <c r="DO313" s="450"/>
      <c r="DP313" s="449"/>
      <c r="DQ313" s="449"/>
      <c r="DR313" s="449"/>
      <c r="DS313" s="449"/>
      <c r="DT313" s="450"/>
      <c r="DU313" s="449"/>
      <c r="DV313" s="449"/>
      <c r="DW313" s="449"/>
      <c r="DX313" s="449"/>
      <c r="DY313" s="450"/>
      <c r="DZ313" s="1858"/>
      <c r="EA313" s="1858"/>
      <c r="EB313" s="1858"/>
    </row>
    <row r="314" spans="1:132" x14ac:dyDescent="0.2">
      <c r="A314" s="2125"/>
      <c r="B314" s="451" t="s">
        <v>502</v>
      </c>
      <c r="C314" s="452"/>
      <c r="D314" s="452"/>
      <c r="E314" s="453"/>
      <c r="F314" s="453"/>
      <c r="G314" s="453"/>
      <c r="H314" s="453"/>
      <c r="I314" s="454"/>
      <c r="J314" s="453"/>
      <c r="K314" s="453"/>
      <c r="L314" s="453"/>
      <c r="M314" s="453"/>
      <c r="N314" s="454"/>
      <c r="O314" s="453"/>
      <c r="P314" s="453"/>
      <c r="Q314" s="453"/>
      <c r="R314" s="453"/>
      <c r="S314" s="454"/>
      <c r="T314" s="453"/>
      <c r="U314" s="453"/>
      <c r="V314" s="453"/>
      <c r="W314" s="453"/>
      <c r="X314" s="454"/>
      <c r="Y314" s="453"/>
      <c r="Z314" s="453"/>
      <c r="AA314" s="453"/>
      <c r="AB314" s="453"/>
      <c r="AC314" s="454"/>
      <c r="AD314" s="453"/>
      <c r="AE314" s="453"/>
      <c r="AF314" s="453"/>
      <c r="AG314" s="453"/>
      <c r="AH314" s="454"/>
      <c r="AI314" s="453"/>
      <c r="AJ314" s="453"/>
      <c r="AK314" s="453"/>
      <c r="AL314" s="453"/>
      <c r="AM314" s="454"/>
      <c r="AN314" s="453"/>
      <c r="AO314" s="453"/>
      <c r="AP314" s="453"/>
      <c r="AQ314" s="453"/>
      <c r="AR314" s="454"/>
      <c r="AS314" s="453"/>
      <c r="AT314" s="453"/>
      <c r="AU314" s="453"/>
      <c r="AV314" s="453"/>
      <c r="AW314" s="454"/>
      <c r="AX314" s="453"/>
      <c r="AY314" s="453"/>
      <c r="AZ314" s="453"/>
      <c r="BA314" s="453"/>
      <c r="BB314" s="454"/>
      <c r="BC314" s="453"/>
      <c r="BD314" s="453"/>
      <c r="BE314" s="453"/>
      <c r="BF314" s="453"/>
      <c r="BG314" s="454"/>
      <c r="BH314" s="453"/>
      <c r="BI314" s="453"/>
      <c r="BJ314" s="453"/>
      <c r="BK314" s="453"/>
      <c r="BL314" s="454"/>
      <c r="BM314" s="452"/>
      <c r="BN314" s="452"/>
      <c r="BO314" s="452"/>
      <c r="BP314" s="452"/>
      <c r="BQ314" s="454"/>
      <c r="BR314" s="452"/>
      <c r="BS314" s="452"/>
      <c r="BT314" s="452"/>
      <c r="BU314" s="452"/>
      <c r="BV314" s="454"/>
      <c r="BW314" s="452"/>
      <c r="BX314" s="452"/>
      <c r="BY314" s="452"/>
      <c r="BZ314" s="452"/>
      <c r="CA314" s="454"/>
      <c r="CB314" s="452"/>
      <c r="CC314" s="452"/>
      <c r="CD314" s="452"/>
      <c r="CE314" s="452"/>
      <c r="CF314" s="454"/>
      <c r="CG314" s="452"/>
      <c r="CH314" s="452"/>
      <c r="CI314" s="452"/>
      <c r="CJ314" s="452"/>
      <c r="CK314" s="454"/>
      <c r="CL314" s="452"/>
      <c r="CM314" s="452"/>
      <c r="CN314" s="452"/>
      <c r="CO314" s="452"/>
      <c r="CP314" s="454"/>
      <c r="CQ314" s="452"/>
      <c r="CR314" s="452"/>
      <c r="CS314" s="452"/>
      <c r="CT314" s="452"/>
      <c r="CU314" s="454"/>
      <c r="CV314" s="452"/>
      <c r="CW314" s="452"/>
      <c r="CX314" s="452"/>
      <c r="CY314" s="452"/>
      <c r="CZ314" s="454"/>
      <c r="DA314" s="452"/>
      <c r="DB314" s="452"/>
      <c r="DC314" s="452"/>
      <c r="DD314" s="452"/>
      <c r="DE314" s="454"/>
      <c r="DF314" s="452"/>
      <c r="DG314" s="452"/>
      <c r="DH314" s="452"/>
      <c r="DI314" s="452"/>
      <c r="DJ314" s="454"/>
      <c r="DK314" s="452"/>
      <c r="DL314" s="452"/>
      <c r="DM314" s="452"/>
      <c r="DN314" s="452"/>
      <c r="DO314" s="454"/>
      <c r="DP314" s="452"/>
      <c r="DQ314" s="452"/>
      <c r="DR314" s="452"/>
      <c r="DS314" s="452"/>
      <c r="DT314" s="454"/>
      <c r="DU314" s="452"/>
      <c r="DV314" s="452"/>
      <c r="DW314" s="452"/>
      <c r="DX314" s="452"/>
      <c r="DY314" s="454"/>
      <c r="DZ314" s="2126"/>
      <c r="EA314" s="2126"/>
      <c r="EB314" s="2126"/>
    </row>
    <row r="315" spans="1:132" ht="4.5" customHeight="1" x14ac:dyDescent="0.2">
      <c r="A315" s="1853"/>
      <c r="B315" s="254"/>
      <c r="C315" s="449"/>
      <c r="D315" s="449"/>
      <c r="E315" s="242"/>
      <c r="F315" s="242"/>
      <c r="G315" s="242"/>
      <c r="H315" s="242"/>
      <c r="I315" s="450"/>
      <c r="J315" s="242"/>
      <c r="K315" s="242"/>
      <c r="L315" s="242"/>
      <c r="M315" s="242"/>
      <c r="N315" s="450"/>
      <c r="O315" s="242"/>
      <c r="P315" s="242"/>
      <c r="Q315" s="242"/>
      <c r="R315" s="242"/>
      <c r="S315" s="450"/>
      <c r="T315" s="242"/>
      <c r="U315" s="242"/>
      <c r="V315" s="242"/>
      <c r="W315" s="242"/>
      <c r="X315" s="450"/>
      <c r="Y315" s="242"/>
      <c r="Z315" s="242"/>
      <c r="AA315" s="242"/>
      <c r="AB315" s="242"/>
      <c r="AC315" s="450"/>
      <c r="AD315" s="242"/>
      <c r="AE315" s="242"/>
      <c r="AF315" s="242"/>
      <c r="AG315" s="242"/>
      <c r="AH315" s="450"/>
      <c r="AI315" s="242"/>
      <c r="AJ315" s="242"/>
      <c r="AK315" s="242"/>
      <c r="AL315" s="242"/>
      <c r="AM315" s="450"/>
      <c r="AN315" s="242"/>
      <c r="AO315" s="242"/>
      <c r="AP315" s="242"/>
      <c r="AQ315" s="242"/>
      <c r="AR315" s="450"/>
      <c r="AS315" s="242"/>
      <c r="AT315" s="242"/>
      <c r="AU315" s="242"/>
      <c r="AV315" s="242"/>
      <c r="AW315" s="450"/>
      <c r="AX315" s="242"/>
      <c r="AY315" s="242"/>
      <c r="AZ315" s="242"/>
      <c r="BA315" s="242"/>
      <c r="BB315" s="450"/>
      <c r="BC315" s="242"/>
      <c r="BD315" s="242"/>
      <c r="BE315" s="242"/>
      <c r="BF315" s="242"/>
      <c r="BG315" s="450"/>
      <c r="BH315" s="242"/>
      <c r="BI315" s="242"/>
      <c r="BJ315" s="242"/>
      <c r="BK315" s="242"/>
      <c r="BL315" s="450"/>
      <c r="BM315" s="449"/>
      <c r="BN315" s="449"/>
      <c r="BO315" s="449"/>
      <c r="BP315" s="449"/>
      <c r="BQ315" s="450"/>
      <c r="BR315" s="449"/>
      <c r="BS315" s="449"/>
      <c r="BT315" s="449"/>
      <c r="BU315" s="449"/>
      <c r="BV315" s="450"/>
      <c r="BW315" s="449"/>
      <c r="BX315" s="449"/>
      <c r="BY315" s="449"/>
      <c r="BZ315" s="449"/>
      <c r="CA315" s="450"/>
      <c r="CB315" s="449"/>
      <c r="CC315" s="449"/>
      <c r="CD315" s="449"/>
      <c r="CE315" s="449"/>
      <c r="CF315" s="450"/>
      <c r="CG315" s="449"/>
      <c r="CH315" s="449"/>
      <c r="CI315" s="449"/>
      <c r="CJ315" s="449"/>
      <c r="CK315" s="450"/>
      <c r="CL315" s="449"/>
      <c r="CM315" s="449"/>
      <c r="CN315" s="449"/>
      <c r="CO315" s="449"/>
      <c r="CP315" s="450"/>
      <c r="CQ315" s="449"/>
      <c r="CR315" s="449"/>
      <c r="CS315" s="449"/>
      <c r="CT315" s="449"/>
      <c r="CU315" s="450"/>
      <c r="CV315" s="449"/>
      <c r="CW315" s="449"/>
      <c r="CX315" s="449"/>
      <c r="CY315" s="449"/>
      <c r="CZ315" s="450"/>
      <c r="DA315" s="449"/>
      <c r="DB315" s="449"/>
      <c r="DC315" s="449"/>
      <c r="DD315" s="449"/>
      <c r="DE315" s="450"/>
      <c r="DF315" s="449"/>
      <c r="DG315" s="449"/>
      <c r="DH315" s="449"/>
      <c r="DI315" s="449"/>
      <c r="DJ315" s="450"/>
      <c r="DK315" s="449"/>
      <c r="DL315" s="449"/>
      <c r="DM315" s="449"/>
      <c r="DN315" s="449"/>
      <c r="DO315" s="450"/>
      <c r="DP315" s="449"/>
      <c r="DQ315" s="449"/>
      <c r="DR315" s="449"/>
      <c r="DS315" s="449"/>
      <c r="DT315" s="450"/>
      <c r="DU315" s="449"/>
      <c r="DV315" s="449"/>
      <c r="DW315" s="449"/>
      <c r="DX315" s="449"/>
      <c r="DY315" s="450"/>
      <c r="DZ315" s="1858"/>
      <c r="EA315" s="1858"/>
      <c r="EB315" s="1858"/>
    </row>
    <row r="316" spans="1:132" x14ac:dyDescent="0.2">
      <c r="A316" s="1853"/>
      <c r="B316" s="58" t="s">
        <v>209</v>
      </c>
      <c r="C316" s="59"/>
      <c r="D316" s="59"/>
      <c r="E316" s="79"/>
      <c r="F316" s="79"/>
      <c r="G316" s="79"/>
      <c r="H316" s="79"/>
      <c r="I316" s="86"/>
      <c r="J316" s="79"/>
      <c r="K316" s="79"/>
      <c r="L316" s="79"/>
      <c r="M316" s="79"/>
      <c r="N316" s="86"/>
      <c r="O316" s="79"/>
      <c r="P316" s="79"/>
      <c r="Q316" s="79"/>
      <c r="R316" s="79"/>
      <c r="S316" s="86"/>
      <c r="T316" s="79"/>
      <c r="U316" s="79"/>
      <c r="V316" s="79"/>
      <c r="W316" s="79"/>
      <c r="X316" s="86"/>
      <c r="Y316" s="79"/>
      <c r="Z316" s="79"/>
      <c r="AA316" s="79"/>
      <c r="AB316" s="79"/>
      <c r="AC316" s="86"/>
      <c r="AD316" s="79"/>
      <c r="AE316" s="79"/>
      <c r="AF316" s="79"/>
      <c r="AG316" s="79"/>
      <c r="AH316" s="86"/>
      <c r="AI316" s="79"/>
      <c r="AJ316" s="79"/>
      <c r="AK316" s="79"/>
      <c r="AL316" s="79"/>
      <c r="AM316" s="86"/>
      <c r="AN316" s="79"/>
      <c r="AO316" s="79"/>
      <c r="AP316" s="79"/>
      <c r="AQ316" s="79"/>
      <c r="AR316" s="86"/>
      <c r="AS316" s="79"/>
      <c r="AT316" s="79"/>
      <c r="AU316" s="79"/>
      <c r="AV316" s="79"/>
      <c r="AW316" s="86"/>
      <c r="AX316" s="79"/>
      <c r="AY316" s="79"/>
      <c r="AZ316" s="79"/>
      <c r="BA316" s="79"/>
      <c r="BB316" s="86"/>
      <c r="BC316" s="79"/>
      <c r="BD316" s="79"/>
      <c r="BE316" s="79"/>
      <c r="BF316" s="79"/>
      <c r="BG316" s="86"/>
      <c r="BH316" s="79"/>
      <c r="BI316" s="79"/>
      <c r="BJ316" s="79"/>
      <c r="BK316" s="79"/>
      <c r="BL316" s="86">
        <f>BL8</f>
        <v>2637</v>
      </c>
      <c r="BM316" s="59">
        <f>BM72</f>
        <v>748.49999999999977</v>
      </c>
      <c r="BN316" s="59">
        <f>BN72</f>
        <v>1523.3000000000043</v>
      </c>
      <c r="BO316" s="59">
        <f>BO72</f>
        <v>2259.3000000000029</v>
      </c>
      <c r="BP316" s="59">
        <f>BP72</f>
        <v>3212.1</v>
      </c>
      <c r="BQ316" s="86">
        <f>BQ8</f>
        <v>3212.1</v>
      </c>
      <c r="BR316" s="59">
        <f>BR72</f>
        <v>738.39999999999986</v>
      </c>
      <c r="BS316" s="59">
        <f>BS72</f>
        <v>1624.8999999999969</v>
      </c>
      <c r="BT316" s="59">
        <f>BT72</f>
        <v>2646.1999999999975</v>
      </c>
      <c r="BU316" s="59">
        <f>BU72</f>
        <v>3695.599999999999</v>
      </c>
      <c r="BV316" s="86">
        <f>BV8</f>
        <v>3695.5999999999885</v>
      </c>
      <c r="BW316" s="59">
        <f>BW72</f>
        <v>770</v>
      </c>
      <c r="BX316" s="59">
        <f>BX72</f>
        <v>1591</v>
      </c>
      <c r="BY316" s="59">
        <f>BY72</f>
        <v>2399</v>
      </c>
      <c r="BZ316" s="59">
        <f>BZ72</f>
        <v>3424</v>
      </c>
      <c r="CA316" s="86">
        <f>CA8</f>
        <v>3424</v>
      </c>
      <c r="CB316" s="59">
        <f>CB72</f>
        <v>712</v>
      </c>
      <c r="CC316" s="59">
        <f>CC72</f>
        <v>1526</v>
      </c>
      <c r="CD316" s="59">
        <f>CD72</f>
        <v>2393</v>
      </c>
      <c r="CE316" s="59">
        <f>CE72</f>
        <v>3456.8000000000011</v>
      </c>
      <c r="CF316" s="86">
        <f>CF8</f>
        <v>3456.7999999999947</v>
      </c>
      <c r="CG316" s="59">
        <f>CG72</f>
        <v>775</v>
      </c>
      <c r="CH316" s="59">
        <f>CH72</f>
        <v>1740.4000000000008</v>
      </c>
      <c r="CI316" s="59">
        <f>CI72</f>
        <v>2746.3749999999991</v>
      </c>
      <c r="CJ316" s="59">
        <f>CJ72</f>
        <v>3875.3749999999991</v>
      </c>
      <c r="CK316" s="86">
        <f>CK8</f>
        <v>4223.3750000000236</v>
      </c>
      <c r="CL316" s="59">
        <f>CL72</f>
        <v>956</v>
      </c>
      <c r="CM316" s="59">
        <f>CM72</f>
        <v>2077.2999999999993</v>
      </c>
      <c r="CN316" s="59">
        <f>CN72</f>
        <v>3283.7000000000007</v>
      </c>
      <c r="CO316" s="59">
        <f>CO72</f>
        <v>4547.9000000000024</v>
      </c>
      <c r="CP316" s="86">
        <f>CP8</f>
        <v>4547.9000000000024</v>
      </c>
      <c r="CQ316" s="59">
        <f>CQ72</f>
        <v>1129</v>
      </c>
      <c r="CR316" s="59">
        <f>CR72</f>
        <v>2375</v>
      </c>
      <c r="CS316" s="59">
        <f>CS72</f>
        <v>3323</v>
      </c>
      <c r="CT316" s="59">
        <f>CT72</f>
        <v>4644</v>
      </c>
      <c r="CU316" s="86">
        <f>CU8</f>
        <v>4644</v>
      </c>
      <c r="CV316" s="59">
        <f>CV72</f>
        <v>1221</v>
      </c>
      <c r="CW316" s="59">
        <f>CW72</f>
        <v>2493</v>
      </c>
      <c r="CX316" s="59">
        <f>CX72</f>
        <v>3740</v>
      </c>
      <c r="CY316" s="59">
        <f>CY72</f>
        <v>5239</v>
      </c>
      <c r="CZ316" s="86">
        <f>CZ8</f>
        <v>5239</v>
      </c>
      <c r="DA316" s="59">
        <f>DA72</f>
        <v>1147</v>
      </c>
      <c r="DB316" s="59">
        <f>DB72</f>
        <v>2071</v>
      </c>
      <c r="DC316" s="59">
        <f>DC72</f>
        <v>3612</v>
      </c>
      <c r="DD316" s="59">
        <f>DD72</f>
        <v>5319</v>
      </c>
      <c r="DE316" s="86">
        <f>DE8</f>
        <v>5319</v>
      </c>
      <c r="DF316" s="59">
        <f>DF72</f>
        <v>953</v>
      </c>
      <c r="DG316" s="59">
        <f>DG72</f>
        <v>2051</v>
      </c>
      <c r="DH316" s="59">
        <f>DH72</f>
        <v>3336</v>
      </c>
      <c r="DI316" s="59">
        <f>DI72</f>
        <v>6623</v>
      </c>
      <c r="DJ316" s="86">
        <f>DJ8</f>
        <v>6623</v>
      </c>
      <c r="DK316" s="59">
        <f>DK72</f>
        <v>0</v>
      </c>
      <c r="DL316" s="59">
        <f>DL72</f>
        <v>0</v>
      </c>
      <c r="DM316" s="59">
        <f>DM72</f>
        <v>0</v>
      </c>
      <c r="DN316" s="59">
        <f>DN72</f>
        <v>0</v>
      </c>
      <c r="DO316" s="86">
        <f ca="1">DO8</f>
        <v>5762.600085402175</v>
      </c>
      <c r="DP316" s="59">
        <f>DP72</f>
        <v>0</v>
      </c>
      <c r="DQ316" s="59">
        <f>DQ72</f>
        <v>0</v>
      </c>
      <c r="DR316" s="59">
        <f>DR72</f>
        <v>0</v>
      </c>
      <c r="DS316" s="59">
        <f>DS72</f>
        <v>0</v>
      </c>
      <c r="DT316" s="86">
        <f ca="1">DT8</f>
        <v>5899.638967855828</v>
      </c>
      <c r="DU316" s="59">
        <f>DU72</f>
        <v>0</v>
      </c>
      <c r="DV316" s="59">
        <f>DV72</f>
        <v>0</v>
      </c>
      <c r="DW316" s="59">
        <f>DW72</f>
        <v>0</v>
      </c>
      <c r="DX316" s="59">
        <f>DX72</f>
        <v>0</v>
      </c>
      <c r="DY316" s="86">
        <f ca="1">DY8</f>
        <v>6284.7198485145282</v>
      </c>
      <c r="DZ316" s="1858"/>
      <c r="EA316" s="1858"/>
      <c r="EB316" s="1858"/>
    </row>
    <row r="317" spans="1:132" x14ac:dyDescent="0.2">
      <c r="A317" s="1853"/>
      <c r="B317" s="58" t="s">
        <v>503</v>
      </c>
      <c r="C317" s="59"/>
      <c r="D317" s="59"/>
      <c r="E317" s="79"/>
      <c r="F317" s="79"/>
      <c r="G317" s="79"/>
      <c r="H317" s="79"/>
      <c r="I317" s="86"/>
      <c r="J317" s="79"/>
      <c r="K317" s="79"/>
      <c r="L317" s="79"/>
      <c r="M317" s="79"/>
      <c r="N317" s="86"/>
      <c r="O317" s="79"/>
      <c r="P317" s="79"/>
      <c r="Q317" s="79"/>
      <c r="R317" s="79"/>
      <c r="S317" s="86"/>
      <c r="T317" s="79"/>
      <c r="U317" s="79"/>
      <c r="V317" s="79"/>
      <c r="W317" s="79"/>
      <c r="X317" s="86"/>
      <c r="Y317" s="79"/>
      <c r="Z317" s="79"/>
      <c r="AA317" s="79"/>
      <c r="AB317" s="79"/>
      <c r="AC317" s="86"/>
      <c r="AD317" s="79"/>
      <c r="AE317" s="79"/>
      <c r="AF317" s="79"/>
      <c r="AG317" s="79"/>
      <c r="AH317" s="86"/>
      <c r="AI317" s="79"/>
      <c r="AJ317" s="79"/>
      <c r="AK317" s="79"/>
      <c r="AL317" s="79"/>
      <c r="AM317" s="86"/>
      <c r="AN317" s="79"/>
      <c r="AO317" s="79"/>
      <c r="AP317" s="79"/>
      <c r="AQ317" s="79"/>
      <c r="AR317" s="86"/>
      <c r="AS317" s="79"/>
      <c r="AT317" s="79"/>
      <c r="AU317" s="79"/>
      <c r="AV317" s="79"/>
      <c r="AW317" s="86"/>
      <c r="AX317" s="79"/>
      <c r="AY317" s="79"/>
      <c r="AZ317" s="79"/>
      <c r="BA317" s="79"/>
      <c r="BB317" s="86"/>
      <c r="BC317" s="79"/>
      <c r="BD317" s="79"/>
      <c r="BE317" s="79"/>
      <c r="BF317" s="79"/>
      <c r="BG317" s="86"/>
      <c r="BH317" s="79"/>
      <c r="BI317" s="79"/>
      <c r="BJ317" s="79"/>
      <c r="BK317" s="79"/>
      <c r="BL317" s="86">
        <f>BL14+BL19+BL20</f>
        <v>1212.6999999999998</v>
      </c>
      <c r="BM317" s="59">
        <f>BM78+BM83+BM84</f>
        <v>310.89999999999998</v>
      </c>
      <c r="BN317" s="59">
        <f>BN78+BN83+BN84</f>
        <v>662.99999999999989</v>
      </c>
      <c r="BO317" s="59">
        <f>BO78+BO83+BO84</f>
        <v>1012.0000000000001</v>
      </c>
      <c r="BP317" s="59">
        <f>BP78+BP83+BP84</f>
        <v>1363.3</v>
      </c>
      <c r="BQ317" s="86">
        <f>BQ14+BQ19+BQ20</f>
        <v>1363.3</v>
      </c>
      <c r="BR317" s="59">
        <f>BR78+BR83+BR84</f>
        <v>409.7</v>
      </c>
      <c r="BS317" s="59">
        <f>BS78+BS83+BS84</f>
        <v>871.9</v>
      </c>
      <c r="BT317" s="59">
        <f>BT78+BT83+BT84</f>
        <v>1219</v>
      </c>
      <c r="BU317" s="59">
        <f>BU78+BU83+BU84</f>
        <v>1602</v>
      </c>
      <c r="BV317" s="86">
        <f>BV14+BV19+BV20</f>
        <v>1602</v>
      </c>
      <c r="BW317" s="59">
        <f>BW78+BW83+BW84</f>
        <v>397</v>
      </c>
      <c r="BX317" s="59">
        <f>BX78+BX83+BX84</f>
        <v>781</v>
      </c>
      <c r="BY317" s="59">
        <f>BY78+BY83+BY84</f>
        <v>1251</v>
      </c>
      <c r="BZ317" s="59">
        <f>BZ78+BZ83+BZ84</f>
        <v>1649</v>
      </c>
      <c r="CA317" s="86">
        <f>CA14+CA19+CA20</f>
        <v>1649</v>
      </c>
      <c r="CB317" s="59">
        <f>CB78+CB83+CB84</f>
        <v>480</v>
      </c>
      <c r="CC317" s="59">
        <f>CC78+CC83+CC84</f>
        <v>959</v>
      </c>
      <c r="CD317" s="59">
        <f>CD78+CD83+CD84</f>
        <v>1406</v>
      </c>
      <c r="CE317" s="59">
        <f>CE78+CE83+CE84</f>
        <v>1846.7</v>
      </c>
      <c r="CF317" s="86">
        <f>CF14+CF19+CF20</f>
        <v>1847.199999999996</v>
      </c>
      <c r="CG317" s="59">
        <f>CG78+CG83+CG84</f>
        <v>480</v>
      </c>
      <c r="CH317" s="59">
        <f>CH78+CH83+CH84</f>
        <v>1001</v>
      </c>
      <c r="CI317" s="59">
        <f>CI78+CI83+CI84</f>
        <v>1481</v>
      </c>
      <c r="CJ317" s="59">
        <f>CJ78+CJ83+CJ84</f>
        <v>1779</v>
      </c>
      <c r="CK317" s="86">
        <f>CK14+CK19+CK20</f>
        <v>1779.0000000000002</v>
      </c>
      <c r="CL317" s="59">
        <f>CL78+CL83+CL84</f>
        <v>602</v>
      </c>
      <c r="CM317" s="59">
        <f>CM78+CM83+CM84</f>
        <v>1099</v>
      </c>
      <c r="CN317" s="59">
        <f>CN78+CN83+CN84</f>
        <v>1642</v>
      </c>
      <c r="CO317" s="59">
        <f>CO78+CO83+CO84</f>
        <v>1925</v>
      </c>
      <c r="CP317" s="86">
        <f>CP14+CP19+CP20</f>
        <v>1924.6999999999998</v>
      </c>
      <c r="CQ317" s="59">
        <f>CQ78+CQ83+CQ84</f>
        <v>528</v>
      </c>
      <c r="CR317" s="59">
        <f>CR78+CR83+CR84</f>
        <v>1086</v>
      </c>
      <c r="CS317" s="59">
        <f>CS78+CS83+CS84</f>
        <v>1499</v>
      </c>
      <c r="CT317" s="59">
        <f>CT78+CT83+CT84</f>
        <v>2038</v>
      </c>
      <c r="CU317" s="86">
        <f>CU14+CU19+CU20</f>
        <v>2037.9</v>
      </c>
      <c r="CV317" s="59">
        <f>CV78+CV83+CV84</f>
        <v>503</v>
      </c>
      <c r="CW317" s="59">
        <f>CW78+CW83+CW84</f>
        <v>1072</v>
      </c>
      <c r="CX317" s="59">
        <f>CX78+CX83+CX84</f>
        <v>1500</v>
      </c>
      <c r="CY317" s="59">
        <f>CY78+CY83+CY84</f>
        <v>2056</v>
      </c>
      <c r="CZ317" s="86">
        <f>CZ14+CZ19+CZ20</f>
        <v>2044.6395035309433</v>
      </c>
      <c r="DA317" s="59">
        <f>DA78+DA83+DA84</f>
        <v>691</v>
      </c>
      <c r="DB317" s="59">
        <f>DB78+DB83+DB84</f>
        <v>1418</v>
      </c>
      <c r="DC317" s="59">
        <f>DC78+DC83+DC84</f>
        <v>2132</v>
      </c>
      <c r="DD317" s="59">
        <f>DD78+DD83+DD84</f>
        <v>2850</v>
      </c>
      <c r="DE317" s="86">
        <f>DE14+DE19+DE20</f>
        <v>2820.5</v>
      </c>
      <c r="DF317" s="59">
        <f>DF78+DF83+DF84</f>
        <v>688</v>
      </c>
      <c r="DG317" s="59">
        <f>DG78+DG83+DG84</f>
        <v>1371</v>
      </c>
      <c r="DH317" s="59">
        <f>DH78+DH83+DH84</f>
        <v>2301</v>
      </c>
      <c r="DI317" s="59">
        <f>DI78+DI83+DI84</f>
        <v>1379</v>
      </c>
      <c r="DJ317" s="86">
        <f>DJ14+DJ19+DJ20</f>
        <v>1378.8232135100002</v>
      </c>
      <c r="DK317" s="59">
        <f>DK78+DK83+DK84</f>
        <v>0</v>
      </c>
      <c r="DL317" s="59">
        <f>DL78+DL83+DL84</f>
        <v>0</v>
      </c>
      <c r="DM317" s="59">
        <f>DM78+DM83+DM84</f>
        <v>0</v>
      </c>
      <c r="DN317" s="59">
        <f>DN78+DN83+DN84</f>
        <v>0</v>
      </c>
      <c r="DO317" s="86">
        <f>DO14+DO19+DO20</f>
        <v>2772.8375264000001</v>
      </c>
      <c r="DP317" s="59">
        <f>DP78+DP83+DP84</f>
        <v>0</v>
      </c>
      <c r="DQ317" s="59">
        <f>DQ78+DQ83+DQ84</f>
        <v>0</v>
      </c>
      <c r="DR317" s="59">
        <f>DR78+DR83+DR84</f>
        <v>0</v>
      </c>
      <c r="DS317" s="59">
        <f>DS78+DS83+DS84</f>
        <v>0</v>
      </c>
      <c r="DT317" s="86">
        <f>DT14+DT19+DT20</f>
        <v>2783.7031784000001</v>
      </c>
      <c r="DU317" s="59">
        <f>DU78+DU83+DU84</f>
        <v>0</v>
      </c>
      <c r="DV317" s="59">
        <f>DV78+DV83+DV84</f>
        <v>0</v>
      </c>
      <c r="DW317" s="59">
        <f>DW78+DW83+DW84</f>
        <v>0</v>
      </c>
      <c r="DX317" s="59">
        <f>DX78+DX83+DX84</f>
        <v>0</v>
      </c>
      <c r="DY317" s="86">
        <f>DY14+DY19+DY20</f>
        <v>2774.0823008960006</v>
      </c>
      <c r="DZ317" s="1858"/>
      <c r="EA317" s="1858"/>
      <c r="EB317" s="1858"/>
    </row>
    <row r="318" spans="1:132" x14ac:dyDescent="0.2">
      <c r="A318" s="1853"/>
      <c r="B318" s="58" t="s">
        <v>504</v>
      </c>
      <c r="C318" s="66"/>
      <c r="D318" s="66"/>
      <c r="E318" s="455"/>
      <c r="F318" s="455"/>
      <c r="G318" s="455"/>
      <c r="H318" s="455"/>
      <c r="I318" s="90"/>
      <c r="J318" s="455"/>
      <c r="K318" s="455"/>
      <c r="L318" s="455"/>
      <c r="M318" s="455"/>
      <c r="N318" s="90"/>
      <c r="O318" s="455"/>
      <c r="P318" s="455"/>
      <c r="Q318" s="455"/>
      <c r="R318" s="455"/>
      <c r="S318" s="90"/>
      <c r="T318" s="455"/>
      <c r="U318" s="455"/>
      <c r="V318" s="455"/>
      <c r="W318" s="455"/>
      <c r="X318" s="90"/>
      <c r="Y318" s="455"/>
      <c r="Z318" s="455"/>
      <c r="AA318" s="455"/>
      <c r="AB318" s="455"/>
      <c r="AC318" s="90"/>
      <c r="AD318" s="455"/>
      <c r="AE318" s="455"/>
      <c r="AF318" s="455"/>
      <c r="AG318" s="455"/>
      <c r="AH318" s="90"/>
      <c r="AI318" s="455"/>
      <c r="AJ318" s="455"/>
      <c r="AK318" s="455"/>
      <c r="AL318" s="455"/>
      <c r="AM318" s="90"/>
      <c r="AN318" s="455"/>
      <c r="AO318" s="455"/>
      <c r="AP318" s="455"/>
      <c r="AQ318" s="455"/>
      <c r="AR318" s="90"/>
      <c r="AS318" s="455"/>
      <c r="AT318" s="455"/>
      <c r="AU318" s="455"/>
      <c r="AV318" s="455"/>
      <c r="AW318" s="90"/>
      <c r="AX318" s="455"/>
      <c r="AY318" s="455"/>
      <c r="AZ318" s="455"/>
      <c r="BA318" s="455"/>
      <c r="BB318" s="90"/>
      <c r="BC318" s="455"/>
      <c r="BD318" s="455"/>
      <c r="BE318" s="455"/>
      <c r="BF318" s="455"/>
      <c r="BG318" s="90"/>
      <c r="BH318" s="455"/>
      <c r="BI318" s="455"/>
      <c r="BJ318" s="455"/>
      <c r="BK318" s="455"/>
      <c r="BL318" s="90">
        <f>BL34+BL23+BL21</f>
        <v>-603.49999999999989</v>
      </c>
      <c r="BM318" s="66">
        <f>BM98+BM87+BM85</f>
        <v>-318.59999999999997</v>
      </c>
      <c r="BN318" s="66">
        <f>BN98+BN87+BN85</f>
        <v>-794.2</v>
      </c>
      <c r="BO318" s="66">
        <f>BO98+BO87+BO85</f>
        <v>-1093</v>
      </c>
      <c r="BP318" s="66">
        <f>BP98+BP87+BP85</f>
        <v>-628.29999999999995</v>
      </c>
      <c r="BQ318" s="90">
        <f>BQ34+BQ23+BQ21</f>
        <v>-628.29999999999995</v>
      </c>
      <c r="BR318" s="66">
        <f>BR98+BR87+BR85</f>
        <v>-376.8</v>
      </c>
      <c r="BS318" s="66">
        <f>BS98+BS87+BS85</f>
        <v>-1173.5999999999999</v>
      </c>
      <c r="BT318" s="66">
        <f>BT98+BT87+BT85</f>
        <v>-1634.6000000000001</v>
      </c>
      <c r="BU318" s="66">
        <f>BU98+BU87+BU85</f>
        <v>-1263</v>
      </c>
      <c r="BV318" s="90">
        <f>BV34+BV23+BV21</f>
        <v>-1263</v>
      </c>
      <c r="BW318" s="66">
        <f>BW98+BW87+BW85</f>
        <v>-113</v>
      </c>
      <c r="BX318" s="66">
        <f>BX98+BX87+BX85</f>
        <v>-660</v>
      </c>
      <c r="BY318" s="66">
        <f>BY98+BY87+BY85</f>
        <v>-646</v>
      </c>
      <c r="BZ318" s="66">
        <f>BZ98+BZ87+BZ85</f>
        <v>-294</v>
      </c>
      <c r="CA318" s="90">
        <f>CA34+CA23+CA21</f>
        <v>-294</v>
      </c>
      <c r="CB318" s="66">
        <f>CB98+CB87+CB85</f>
        <v>674</v>
      </c>
      <c r="CC318" s="66">
        <f>CC98+CC87+CC85</f>
        <v>587</v>
      </c>
      <c r="CD318" s="66">
        <f>CD98+CD87+CD85</f>
        <v>1235</v>
      </c>
      <c r="CE318" s="66">
        <f>CE98+CE87+CE85</f>
        <v>552</v>
      </c>
      <c r="CF318" s="90">
        <f>CF34+CF23+CF21</f>
        <v>552</v>
      </c>
      <c r="CG318" s="66">
        <f>CG98+CG87+CG85</f>
        <v>1531</v>
      </c>
      <c r="CH318" s="66">
        <f>CH98+CH87+CH85</f>
        <v>1276</v>
      </c>
      <c r="CI318" s="66">
        <f>CI98+CI87+CI85</f>
        <v>713</v>
      </c>
      <c r="CJ318" s="66">
        <f>CJ98+CJ87+CJ85</f>
        <v>669</v>
      </c>
      <c r="CK318" s="90">
        <f>CK34+CK23+CK21</f>
        <v>669</v>
      </c>
      <c r="CL318" s="66">
        <f>CL98+CL87+CL85</f>
        <v>82</v>
      </c>
      <c r="CM318" s="66">
        <f>CM98+CM87+CM85</f>
        <v>-634</v>
      </c>
      <c r="CN318" s="66">
        <f>CN98+CN87+CN85</f>
        <v>-728</v>
      </c>
      <c r="CO318" s="66">
        <f>CO98+CO87+CO85</f>
        <v>-734</v>
      </c>
      <c r="CP318" s="90">
        <f>CP34+CP23+CP21</f>
        <v>-734</v>
      </c>
      <c r="CQ318" s="66">
        <f>CQ98+CQ87+CQ85</f>
        <v>515</v>
      </c>
      <c r="CR318" s="66">
        <f>CR98+CR87+CR85</f>
        <v>-392</v>
      </c>
      <c r="CS318" s="66">
        <f>CS98+CS87+CS85</f>
        <v>-108</v>
      </c>
      <c r="CT318" s="66">
        <f>CT98+CT87+CT85</f>
        <v>934</v>
      </c>
      <c r="CU318" s="90">
        <f>CU34+CU23+CU21</f>
        <v>934</v>
      </c>
      <c r="CV318" s="66">
        <f>CV98+CV87+CV85</f>
        <v>260</v>
      </c>
      <c r="CW318" s="66">
        <f>CW98+CW87+CW85</f>
        <v>-544</v>
      </c>
      <c r="CX318" s="66">
        <f>CX98+CX87+CX85</f>
        <v>-400</v>
      </c>
      <c r="CY318" s="66">
        <f>CY98+CY87+CY85</f>
        <v>1117</v>
      </c>
      <c r="CZ318" s="90">
        <f>CZ34+CZ23+CZ21</f>
        <v>1117</v>
      </c>
      <c r="DA318" s="66">
        <f>DA98+DA87+DA85</f>
        <v>574</v>
      </c>
      <c r="DB318" s="66">
        <f>DB98+DB87+DB85</f>
        <v>-8</v>
      </c>
      <c r="DC318" s="66">
        <f>DC98+DC87+DC85</f>
        <v>1561</v>
      </c>
      <c r="DD318" s="66">
        <f>DD98+DD87+DD85</f>
        <v>1257</v>
      </c>
      <c r="DE318" s="90">
        <f>DE34+DE23+DE21</f>
        <v>1257</v>
      </c>
      <c r="DF318" s="66">
        <f>DF98+DF87+DF85</f>
        <v>1892</v>
      </c>
      <c r="DG318" s="66">
        <f>DG98+DG87+DG85</f>
        <v>1975</v>
      </c>
      <c r="DH318" s="66">
        <f>DH98+DH87+DH85</f>
        <v>2371</v>
      </c>
      <c r="DI318" s="66">
        <f>DI98+DI87+DI85</f>
        <v>-176</v>
      </c>
      <c r="DJ318" s="90">
        <f>DJ34+DJ23+DJ21</f>
        <v>-176</v>
      </c>
      <c r="DK318" s="66">
        <f>DK98+DK87+DK85</f>
        <v>0</v>
      </c>
      <c r="DL318" s="66">
        <f>DL98+DL87+DL85</f>
        <v>0</v>
      </c>
      <c r="DM318" s="66">
        <f>DM98+DM87+DM85</f>
        <v>0</v>
      </c>
      <c r="DN318" s="66">
        <f>DN98+DN87+DN85</f>
        <v>0</v>
      </c>
      <c r="DO318" s="90">
        <f ca="1">DO34+DO23+DO21</f>
        <v>-646.80901921735858</v>
      </c>
      <c r="DP318" s="66">
        <f>DP98+DP87+DP85</f>
        <v>0</v>
      </c>
      <c r="DQ318" s="66">
        <f>DQ98+DQ87+DQ85</f>
        <v>0</v>
      </c>
      <c r="DR318" s="66">
        <f>DR98+DR87+DR85</f>
        <v>0</v>
      </c>
      <c r="DS318" s="66">
        <f>DS98+DS87+DS85</f>
        <v>0</v>
      </c>
      <c r="DT318" s="90">
        <f ca="1">DT34+DT23+DT21</f>
        <v>-422.0565371851626</v>
      </c>
      <c r="DU318" s="66">
        <f>DU98+DU87+DU85</f>
        <v>0</v>
      </c>
      <c r="DV318" s="66">
        <f>DV98+DV87+DV85</f>
        <v>0</v>
      </c>
      <c r="DW318" s="66">
        <f>DW98+DW87+DW85</f>
        <v>0</v>
      </c>
      <c r="DX318" s="66">
        <f>DX98+DX87+DX85</f>
        <v>0</v>
      </c>
      <c r="DY318" s="90">
        <f ca="1">DY34+DY23+DY21</f>
        <v>25.567635923800481</v>
      </c>
      <c r="DZ318" s="1858"/>
      <c r="EA318" s="1858"/>
      <c r="EB318" s="1858"/>
    </row>
    <row r="319" spans="1:132" x14ac:dyDescent="0.2">
      <c r="A319" s="1853"/>
      <c r="B319" s="429" t="s">
        <v>505</v>
      </c>
      <c r="C319" s="59"/>
      <c r="D319" s="59"/>
      <c r="E319" s="79"/>
      <c r="F319" s="79"/>
      <c r="G319" s="79"/>
      <c r="H319" s="79"/>
      <c r="I319" s="86"/>
      <c r="J319" s="79"/>
      <c r="K319" s="79"/>
      <c r="L319" s="79"/>
      <c r="M319" s="79"/>
      <c r="N319" s="86"/>
      <c r="O319" s="79"/>
      <c r="P319" s="79"/>
      <c r="Q319" s="79"/>
      <c r="R319" s="79"/>
      <c r="S319" s="86"/>
      <c r="T319" s="79"/>
      <c r="U319" s="79"/>
      <c r="V319" s="79"/>
      <c r="W319" s="79"/>
      <c r="X319" s="86"/>
      <c r="Y319" s="79"/>
      <c r="Z319" s="79"/>
      <c r="AA319" s="79"/>
      <c r="AB319" s="79"/>
      <c r="AC319" s="86"/>
      <c r="AD319" s="79"/>
      <c r="AE319" s="79"/>
      <c r="AF319" s="79"/>
      <c r="AG319" s="79"/>
      <c r="AH319" s="86"/>
      <c r="AI319" s="79"/>
      <c r="AJ319" s="79"/>
      <c r="AK319" s="79"/>
      <c r="AL319" s="79"/>
      <c r="AM319" s="86"/>
      <c r="AN319" s="79"/>
      <c r="AO319" s="79"/>
      <c r="AP319" s="79"/>
      <c r="AQ319" s="79"/>
      <c r="AR319" s="86"/>
      <c r="AS319" s="79"/>
      <c r="AT319" s="79"/>
      <c r="AU319" s="79"/>
      <c r="AV319" s="79"/>
      <c r="AW319" s="86"/>
      <c r="AX319" s="79"/>
      <c r="AY319" s="79"/>
      <c r="AZ319" s="79"/>
      <c r="BA319" s="79"/>
      <c r="BB319" s="86"/>
      <c r="BC319" s="79"/>
      <c r="BD319" s="79"/>
      <c r="BE319" s="79"/>
      <c r="BF319" s="79"/>
      <c r="BG319" s="86"/>
      <c r="BH319" s="79"/>
      <c r="BI319" s="79"/>
      <c r="BJ319" s="79"/>
      <c r="BK319" s="79"/>
      <c r="BL319" s="86">
        <f t="shared" ref="BL319:DJ319" si="352">SUM(BL316:BL318)</f>
        <v>3246.2</v>
      </c>
      <c r="BM319" s="59">
        <f t="shared" si="352"/>
        <v>740.79999999999973</v>
      </c>
      <c r="BN319" s="59">
        <f t="shared" si="352"/>
        <v>1392.1000000000042</v>
      </c>
      <c r="BO319" s="59">
        <f t="shared" si="352"/>
        <v>2178.3000000000029</v>
      </c>
      <c r="BP319" s="59">
        <f t="shared" si="352"/>
        <v>3947.0999999999995</v>
      </c>
      <c r="BQ319" s="86">
        <f t="shared" si="352"/>
        <v>3947.0999999999995</v>
      </c>
      <c r="BR319" s="59">
        <f t="shared" si="352"/>
        <v>771.3</v>
      </c>
      <c r="BS319" s="59">
        <f t="shared" si="352"/>
        <v>1323.1999999999971</v>
      </c>
      <c r="BT319" s="59">
        <f t="shared" si="352"/>
        <v>2230.5999999999976</v>
      </c>
      <c r="BU319" s="59">
        <f t="shared" si="352"/>
        <v>4034.5999999999985</v>
      </c>
      <c r="BV319" s="86">
        <f t="shared" si="352"/>
        <v>4034.5999999999885</v>
      </c>
      <c r="BW319" s="59">
        <f t="shared" si="352"/>
        <v>1054</v>
      </c>
      <c r="BX319" s="59">
        <f t="shared" si="352"/>
        <v>1712</v>
      </c>
      <c r="BY319" s="59">
        <f t="shared" si="352"/>
        <v>3004</v>
      </c>
      <c r="BZ319" s="59">
        <f t="shared" si="352"/>
        <v>4779</v>
      </c>
      <c r="CA319" s="86">
        <f t="shared" si="352"/>
        <v>4779</v>
      </c>
      <c r="CB319" s="59">
        <f t="shared" si="352"/>
        <v>1866</v>
      </c>
      <c r="CC319" s="59">
        <f t="shared" si="352"/>
        <v>3072</v>
      </c>
      <c r="CD319" s="59">
        <f t="shared" si="352"/>
        <v>5034</v>
      </c>
      <c r="CE319" s="59">
        <f t="shared" si="352"/>
        <v>5855.5000000000009</v>
      </c>
      <c r="CF319" s="86">
        <f t="shared" si="352"/>
        <v>5855.9999999999909</v>
      </c>
      <c r="CG319" s="59">
        <f t="shared" si="352"/>
        <v>2786</v>
      </c>
      <c r="CH319" s="59">
        <f t="shared" si="352"/>
        <v>4017.4000000000005</v>
      </c>
      <c r="CI319" s="59">
        <f t="shared" si="352"/>
        <v>4940.3749999999991</v>
      </c>
      <c r="CJ319" s="59">
        <f t="shared" si="352"/>
        <v>6323.3749999999991</v>
      </c>
      <c r="CK319" s="86">
        <f t="shared" si="352"/>
        <v>6671.3750000000236</v>
      </c>
      <c r="CL319" s="59">
        <f t="shared" si="352"/>
        <v>1640</v>
      </c>
      <c r="CM319" s="59">
        <f t="shared" si="352"/>
        <v>2542.2999999999993</v>
      </c>
      <c r="CN319" s="59">
        <f t="shared" si="352"/>
        <v>4197.7000000000007</v>
      </c>
      <c r="CO319" s="59">
        <f t="shared" si="352"/>
        <v>5738.9000000000024</v>
      </c>
      <c r="CP319" s="86">
        <f t="shared" si="352"/>
        <v>5738.6000000000022</v>
      </c>
      <c r="CQ319" s="59">
        <f t="shared" si="352"/>
        <v>2172</v>
      </c>
      <c r="CR319" s="59">
        <f t="shared" si="352"/>
        <v>3069</v>
      </c>
      <c r="CS319" s="59">
        <f t="shared" si="352"/>
        <v>4714</v>
      </c>
      <c r="CT319" s="59">
        <f t="shared" si="352"/>
        <v>7616</v>
      </c>
      <c r="CU319" s="86">
        <f t="shared" si="352"/>
        <v>7615.9</v>
      </c>
      <c r="CV319" s="59">
        <f t="shared" si="352"/>
        <v>1984</v>
      </c>
      <c r="CW319" s="59">
        <f t="shared" si="352"/>
        <v>3021</v>
      </c>
      <c r="CX319" s="59">
        <f t="shared" si="352"/>
        <v>4840</v>
      </c>
      <c r="CY319" s="59">
        <f t="shared" si="352"/>
        <v>8412</v>
      </c>
      <c r="CZ319" s="86">
        <f t="shared" si="352"/>
        <v>8400.6395035309433</v>
      </c>
      <c r="DA319" s="59">
        <f t="shared" si="352"/>
        <v>2412</v>
      </c>
      <c r="DB319" s="59">
        <f>SUM(DB316:DB318)</f>
        <v>3481</v>
      </c>
      <c r="DC319" s="59">
        <f>SUM(DC316:DC318)</f>
        <v>7305</v>
      </c>
      <c r="DD319" s="59">
        <f>SUM(DD316:DD318)</f>
        <v>9426</v>
      </c>
      <c r="DE319" s="86">
        <f t="shared" si="352"/>
        <v>9396.5</v>
      </c>
      <c r="DF319" s="59">
        <f>SUM(DF316:DF318)</f>
        <v>3533</v>
      </c>
      <c r="DG319" s="59">
        <f t="shared" si="352"/>
        <v>5397</v>
      </c>
      <c r="DH319" s="59">
        <f t="shared" si="352"/>
        <v>8008</v>
      </c>
      <c r="DI319" s="59">
        <f t="shared" si="352"/>
        <v>7826</v>
      </c>
      <c r="DJ319" s="86">
        <f t="shared" si="352"/>
        <v>7825.8232135100006</v>
      </c>
      <c r="DK319" s="59">
        <f t="shared" ref="DK319:DT319" si="353">SUM(DK316:DK318)</f>
        <v>0</v>
      </c>
      <c r="DL319" s="59">
        <f t="shared" si="353"/>
        <v>0</v>
      </c>
      <c r="DM319" s="59">
        <f t="shared" si="353"/>
        <v>0</v>
      </c>
      <c r="DN319" s="59">
        <f t="shared" si="353"/>
        <v>0</v>
      </c>
      <c r="DO319" s="86">
        <f t="shared" ca="1" si="353"/>
        <v>7888.6285925848169</v>
      </c>
      <c r="DP319" s="59">
        <f t="shared" si="353"/>
        <v>0</v>
      </c>
      <c r="DQ319" s="59">
        <f t="shared" si="353"/>
        <v>0</v>
      </c>
      <c r="DR319" s="59">
        <f t="shared" si="353"/>
        <v>0</v>
      </c>
      <c r="DS319" s="59">
        <f t="shared" si="353"/>
        <v>0</v>
      </c>
      <c r="DT319" s="86">
        <f t="shared" ca="1" si="353"/>
        <v>8261.2856090706664</v>
      </c>
      <c r="DU319" s="59">
        <f t="shared" ref="DU319:DY319" si="354">SUM(DU316:DU318)</f>
        <v>0</v>
      </c>
      <c r="DV319" s="59">
        <f t="shared" si="354"/>
        <v>0</v>
      </c>
      <c r="DW319" s="59">
        <f t="shared" si="354"/>
        <v>0</v>
      </c>
      <c r="DX319" s="59">
        <f t="shared" si="354"/>
        <v>0</v>
      </c>
      <c r="DY319" s="86">
        <f t="shared" ca="1" si="354"/>
        <v>9084.3697853343292</v>
      </c>
      <c r="DZ319" s="1858"/>
      <c r="EA319" s="1858"/>
      <c r="EB319" s="1858"/>
    </row>
    <row r="320" spans="1:132" ht="6.75" customHeight="1" x14ac:dyDescent="0.2">
      <c r="A320" s="1853"/>
      <c r="B320" s="58"/>
      <c r="C320" s="59"/>
      <c r="D320" s="59"/>
      <c r="E320" s="79"/>
      <c r="F320" s="79"/>
      <c r="G320" s="79"/>
      <c r="H320" s="79"/>
      <c r="I320" s="86"/>
      <c r="J320" s="79"/>
      <c r="K320" s="79"/>
      <c r="L320" s="79"/>
      <c r="M320" s="79"/>
      <c r="N320" s="86"/>
      <c r="O320" s="79"/>
      <c r="P320" s="79"/>
      <c r="Q320" s="79"/>
      <c r="R320" s="79"/>
      <c r="S320" s="86"/>
      <c r="T320" s="79"/>
      <c r="U320" s="79"/>
      <c r="V320" s="79"/>
      <c r="W320" s="79"/>
      <c r="X320" s="86"/>
      <c r="Y320" s="79"/>
      <c r="Z320" s="79"/>
      <c r="AA320" s="79"/>
      <c r="AB320" s="79"/>
      <c r="AC320" s="86"/>
      <c r="AD320" s="79"/>
      <c r="AE320" s="79"/>
      <c r="AF320" s="79"/>
      <c r="AG320" s="79"/>
      <c r="AH320" s="86"/>
      <c r="AI320" s="79"/>
      <c r="AJ320" s="79"/>
      <c r="AK320" s="79"/>
      <c r="AL320" s="79"/>
      <c r="AM320" s="86"/>
      <c r="AN320" s="79"/>
      <c r="AO320" s="79"/>
      <c r="AP320" s="79"/>
      <c r="AQ320" s="79"/>
      <c r="AR320" s="86"/>
      <c r="AS320" s="79"/>
      <c r="AT320" s="79"/>
      <c r="AU320" s="79"/>
      <c r="AV320" s="79"/>
      <c r="AW320" s="86"/>
      <c r="AX320" s="79"/>
      <c r="AY320" s="79"/>
      <c r="AZ320" s="79"/>
      <c r="BA320" s="79"/>
      <c r="BB320" s="86"/>
      <c r="BC320" s="79"/>
      <c r="BD320" s="79"/>
      <c r="BE320" s="79"/>
      <c r="BF320" s="79"/>
      <c r="BG320" s="86"/>
      <c r="BH320" s="79"/>
      <c r="BI320" s="79"/>
      <c r="BJ320" s="79"/>
      <c r="BK320" s="79"/>
      <c r="BL320" s="86"/>
      <c r="BM320" s="59"/>
      <c r="BN320" s="59"/>
      <c r="BO320" s="59"/>
      <c r="BP320" s="59"/>
      <c r="BQ320" s="86"/>
      <c r="BR320" s="59"/>
      <c r="BS320" s="59"/>
      <c r="BT320" s="59"/>
      <c r="BU320" s="59"/>
      <c r="BV320" s="86"/>
      <c r="BW320" s="59"/>
      <c r="BX320" s="59"/>
      <c r="BY320" s="59"/>
      <c r="BZ320" s="59"/>
      <c r="CA320" s="86"/>
      <c r="CB320" s="59"/>
      <c r="CC320" s="59"/>
      <c r="CD320" s="59"/>
      <c r="CE320" s="59"/>
      <c r="CF320" s="86"/>
      <c r="CG320" s="59"/>
      <c r="CH320" s="59"/>
      <c r="CI320" s="59"/>
      <c r="CJ320" s="59"/>
      <c r="CK320" s="86"/>
      <c r="CL320" s="59"/>
      <c r="CM320" s="59"/>
      <c r="CN320" s="59"/>
      <c r="CO320" s="59"/>
      <c r="CP320" s="86"/>
      <c r="CQ320" s="59"/>
      <c r="CR320" s="59"/>
      <c r="CS320" s="59"/>
      <c r="CT320" s="59"/>
      <c r="CU320" s="86"/>
      <c r="CV320" s="59"/>
      <c r="CW320" s="59"/>
      <c r="CX320" s="59"/>
      <c r="CY320" s="59"/>
      <c r="CZ320" s="86"/>
      <c r="DA320" s="59"/>
      <c r="DB320" s="59"/>
      <c r="DC320" s="59"/>
      <c r="DD320" s="59"/>
      <c r="DE320" s="86"/>
      <c r="DF320" s="59"/>
      <c r="DG320" s="59"/>
      <c r="DH320" s="59"/>
      <c r="DI320" s="59"/>
      <c r="DJ320" s="86"/>
      <c r="DK320" s="59"/>
      <c r="DL320" s="59"/>
      <c r="DM320" s="59"/>
      <c r="DN320" s="59"/>
      <c r="DO320" s="86"/>
      <c r="DP320" s="59"/>
      <c r="DQ320" s="59"/>
      <c r="DR320" s="59"/>
      <c r="DS320" s="59"/>
      <c r="DT320" s="86"/>
      <c r="DU320" s="59"/>
      <c r="DV320" s="59"/>
      <c r="DW320" s="59"/>
      <c r="DX320" s="59"/>
      <c r="DY320" s="86"/>
      <c r="DZ320" s="1858"/>
      <c r="EA320" s="1858"/>
      <c r="EB320" s="1858"/>
    </row>
    <row r="321" spans="1:132" x14ac:dyDescent="0.2">
      <c r="A321" s="1853"/>
      <c r="B321" s="58" t="s">
        <v>493</v>
      </c>
      <c r="C321" s="59"/>
      <c r="D321" s="59"/>
      <c r="E321" s="79"/>
      <c r="F321" s="79"/>
      <c r="G321" s="79"/>
      <c r="H321" s="79"/>
      <c r="I321" s="86"/>
      <c r="J321" s="79"/>
      <c r="K321" s="79"/>
      <c r="L321" s="79"/>
      <c r="M321" s="79"/>
      <c r="N321" s="86"/>
      <c r="O321" s="79"/>
      <c r="P321" s="79"/>
      <c r="Q321" s="79"/>
      <c r="R321" s="79"/>
      <c r="S321" s="86"/>
      <c r="T321" s="79"/>
      <c r="U321" s="79"/>
      <c r="V321" s="79"/>
      <c r="W321" s="79"/>
      <c r="X321" s="86"/>
      <c r="Y321" s="79"/>
      <c r="Z321" s="79"/>
      <c r="AA321" s="79"/>
      <c r="AB321" s="79"/>
      <c r="AC321" s="86"/>
      <c r="AD321" s="79"/>
      <c r="AE321" s="79"/>
      <c r="AF321" s="79"/>
      <c r="AG321" s="79"/>
      <c r="AH321" s="86"/>
      <c r="AI321" s="79"/>
      <c r="AJ321" s="79"/>
      <c r="AK321" s="79"/>
      <c r="AL321" s="79"/>
      <c r="AM321" s="86"/>
      <c r="AN321" s="79"/>
      <c r="AO321" s="79"/>
      <c r="AP321" s="79"/>
      <c r="AQ321" s="79"/>
      <c r="AR321" s="86"/>
      <c r="AS321" s="79"/>
      <c r="AT321" s="79"/>
      <c r="AU321" s="79"/>
      <c r="AV321" s="79"/>
      <c r="AW321" s="86"/>
      <c r="AX321" s="79"/>
      <c r="AY321" s="79"/>
      <c r="AZ321" s="79"/>
      <c r="BA321" s="79"/>
      <c r="BB321" s="86"/>
      <c r="BC321" s="79"/>
      <c r="BD321" s="79"/>
      <c r="BE321" s="79"/>
      <c r="BF321" s="79"/>
      <c r="BG321" s="86"/>
      <c r="BH321" s="79"/>
      <c r="BI321" s="79"/>
      <c r="BJ321" s="79"/>
      <c r="BK321" s="79"/>
      <c r="BL321" s="86">
        <f>BL37</f>
        <v>-1805.3</v>
      </c>
      <c r="BM321" s="59">
        <f t="shared" ref="BM321:BP322" si="355">BM102</f>
        <v>-400.3</v>
      </c>
      <c r="BN321" s="59">
        <f t="shared" si="355"/>
        <v>-955.3</v>
      </c>
      <c r="BO321" s="59">
        <f t="shared" si="355"/>
        <v>-1483.2</v>
      </c>
      <c r="BP321" s="59">
        <f t="shared" si="355"/>
        <v>-2179.9</v>
      </c>
      <c r="BQ321" s="86">
        <f>BQ37</f>
        <v>-2179.9</v>
      </c>
      <c r="BR321" s="59">
        <f t="shared" ref="BR321:BU322" si="356">BR102</f>
        <v>-466.4</v>
      </c>
      <c r="BS321" s="59">
        <f t="shared" si="356"/>
        <v>-1091.3</v>
      </c>
      <c r="BT321" s="59">
        <f t="shared" si="356"/>
        <v>-1752.5</v>
      </c>
      <c r="BU321" s="59">
        <f t="shared" si="356"/>
        <v>-2548</v>
      </c>
      <c r="BV321" s="86">
        <f>BV37</f>
        <v>-2548</v>
      </c>
      <c r="BW321" s="59">
        <f t="shared" ref="BW321:BZ322" si="357">BW102</f>
        <v>-401</v>
      </c>
      <c r="BX321" s="59">
        <f t="shared" si="357"/>
        <v>-866</v>
      </c>
      <c r="BY321" s="59">
        <f t="shared" si="357"/>
        <v>-1379</v>
      </c>
      <c r="BZ321" s="59">
        <f t="shared" si="357"/>
        <v>-2005</v>
      </c>
      <c r="CA321" s="86">
        <f>CA37</f>
        <v>-2005</v>
      </c>
      <c r="CB321" s="59">
        <f t="shared" ref="CB321:CE322" si="358">CB102</f>
        <v>-309</v>
      </c>
      <c r="CC321" s="59">
        <f t="shared" si="358"/>
        <v>-710</v>
      </c>
      <c r="CD321" s="59">
        <f t="shared" si="358"/>
        <v>-1168</v>
      </c>
      <c r="CE321" s="59">
        <f t="shared" si="358"/>
        <v>-1872</v>
      </c>
      <c r="CF321" s="86">
        <f>CF37</f>
        <v>-1872</v>
      </c>
      <c r="CG321" s="59">
        <f t="shared" ref="CG321:CJ322" si="359">CG102</f>
        <v>-376</v>
      </c>
      <c r="CH321" s="59">
        <f t="shared" si="359"/>
        <v>-818</v>
      </c>
      <c r="CI321" s="59">
        <f t="shared" si="359"/>
        <v>-1314</v>
      </c>
      <c r="CJ321" s="59">
        <f t="shared" si="359"/>
        <v>-2030</v>
      </c>
      <c r="CK321" s="86">
        <f>CK37</f>
        <v>-2030</v>
      </c>
      <c r="CL321" s="59">
        <f t="shared" ref="CL321:CO322" si="360">CL102</f>
        <v>-318</v>
      </c>
      <c r="CM321" s="59">
        <f t="shared" si="360"/>
        <v>-804</v>
      </c>
      <c r="CN321" s="59">
        <f t="shared" si="360"/>
        <v>-1330</v>
      </c>
      <c r="CO321" s="59">
        <f t="shared" si="360"/>
        <v>-1984</v>
      </c>
      <c r="CP321" s="86">
        <f>CP37</f>
        <v>-1984</v>
      </c>
      <c r="CQ321" s="59">
        <f t="shared" ref="CQ321:CT322" si="361">CQ102</f>
        <v>-388</v>
      </c>
      <c r="CR321" s="59">
        <f t="shared" si="361"/>
        <v>-891</v>
      </c>
      <c r="CS321" s="59">
        <f t="shared" si="361"/>
        <v>-1436</v>
      </c>
      <c r="CT321" s="59">
        <f t="shared" si="361"/>
        <v>-2136</v>
      </c>
      <c r="CU321" s="86">
        <f>CU37</f>
        <v>-2136</v>
      </c>
      <c r="CV321" s="59">
        <f t="shared" ref="CV321:CY322" si="362">CV102</f>
        <v>-419</v>
      </c>
      <c r="CW321" s="59">
        <f t="shared" si="362"/>
        <v>-942</v>
      </c>
      <c r="CX321" s="59">
        <f t="shared" si="362"/>
        <v>-1490</v>
      </c>
      <c r="CY321" s="59">
        <f t="shared" si="362"/>
        <v>-2367</v>
      </c>
      <c r="CZ321" s="86">
        <f>CZ37</f>
        <v>-2367</v>
      </c>
      <c r="DA321" s="59">
        <f t="shared" ref="DA321:DD322" si="363">DA102</f>
        <v>-598</v>
      </c>
      <c r="DB321" s="59">
        <f t="shared" si="363"/>
        <v>-1102</v>
      </c>
      <c r="DC321" s="59">
        <f t="shared" si="363"/>
        <v>-1607</v>
      </c>
      <c r="DD321" s="59">
        <f t="shared" si="363"/>
        <v>-2224</v>
      </c>
      <c r="DE321" s="86">
        <f>DE37</f>
        <v>-2224</v>
      </c>
      <c r="DF321" s="59">
        <f>DF102</f>
        <v>-457</v>
      </c>
      <c r="DG321" s="59">
        <f t="shared" ref="DG321:DI322" si="364">DG102</f>
        <v>-888</v>
      </c>
      <c r="DH321" s="59">
        <f t="shared" si="364"/>
        <v>-1412</v>
      </c>
      <c r="DI321" s="59">
        <f t="shared" si="364"/>
        <v>-1918</v>
      </c>
      <c r="DJ321" s="86">
        <f>DJ37</f>
        <v>-1918</v>
      </c>
      <c r="DK321" s="59">
        <f t="shared" ref="DK321:DN322" si="365">DK102</f>
        <v>0</v>
      </c>
      <c r="DL321" s="59">
        <f t="shared" si="365"/>
        <v>0</v>
      </c>
      <c r="DM321" s="59">
        <f t="shared" si="365"/>
        <v>0</v>
      </c>
      <c r="DN321" s="59">
        <f t="shared" si="365"/>
        <v>0</v>
      </c>
      <c r="DO321" s="86">
        <f>DO37</f>
        <v>-1918</v>
      </c>
      <c r="DP321" s="59">
        <f t="shared" ref="DP321:DS322" si="366">DP102</f>
        <v>0</v>
      </c>
      <c r="DQ321" s="59">
        <f t="shared" si="366"/>
        <v>0</v>
      </c>
      <c r="DR321" s="59">
        <f t="shared" si="366"/>
        <v>0</v>
      </c>
      <c r="DS321" s="59">
        <f t="shared" si="366"/>
        <v>0</v>
      </c>
      <c r="DT321" s="86">
        <f>DT37</f>
        <v>-1975.5400000000002</v>
      </c>
      <c r="DU321" s="59">
        <f t="shared" ref="DU321:DX321" si="367">DU102</f>
        <v>0</v>
      </c>
      <c r="DV321" s="59">
        <f t="shared" si="367"/>
        <v>0</v>
      </c>
      <c r="DW321" s="59">
        <f t="shared" si="367"/>
        <v>0</v>
      </c>
      <c r="DX321" s="59">
        <f t="shared" si="367"/>
        <v>0</v>
      </c>
      <c r="DY321" s="86">
        <f>DY37</f>
        <v>-2034.8062</v>
      </c>
      <c r="DZ321" s="1858"/>
      <c r="EA321" s="1858"/>
      <c r="EB321" s="1858"/>
    </row>
    <row r="322" spans="1:132" x14ac:dyDescent="0.2">
      <c r="A322" s="1853"/>
      <c r="B322" s="58" t="s">
        <v>506</v>
      </c>
      <c r="C322" s="66"/>
      <c r="D322" s="66"/>
      <c r="E322" s="455"/>
      <c r="F322" s="455"/>
      <c r="G322" s="455"/>
      <c r="H322" s="455"/>
      <c r="I322" s="90"/>
      <c r="J322" s="455"/>
      <c r="K322" s="455"/>
      <c r="L322" s="455"/>
      <c r="M322" s="455"/>
      <c r="N322" s="90"/>
      <c r="O322" s="455"/>
      <c r="P322" s="455"/>
      <c r="Q322" s="455"/>
      <c r="R322" s="455"/>
      <c r="S322" s="90"/>
      <c r="T322" s="455"/>
      <c r="U322" s="455"/>
      <c r="V322" s="455"/>
      <c r="W322" s="455"/>
      <c r="X322" s="90"/>
      <c r="Y322" s="455"/>
      <c r="Z322" s="455"/>
      <c r="AA322" s="455"/>
      <c r="AB322" s="455"/>
      <c r="AC322" s="90"/>
      <c r="AD322" s="455"/>
      <c r="AE322" s="455"/>
      <c r="AF322" s="455"/>
      <c r="AG322" s="455"/>
      <c r="AH322" s="90"/>
      <c r="AI322" s="455"/>
      <c r="AJ322" s="455"/>
      <c r="AK322" s="455"/>
      <c r="AL322" s="455"/>
      <c r="AM322" s="90"/>
      <c r="AN322" s="455"/>
      <c r="AO322" s="455"/>
      <c r="AP322" s="455"/>
      <c r="AQ322" s="455"/>
      <c r="AR322" s="90"/>
      <c r="AS322" s="455"/>
      <c r="AT322" s="455"/>
      <c r="AU322" s="455"/>
      <c r="AV322" s="455"/>
      <c r="AW322" s="90"/>
      <c r="AX322" s="455"/>
      <c r="AY322" s="455"/>
      <c r="AZ322" s="455"/>
      <c r="BA322" s="455"/>
      <c r="BB322" s="90"/>
      <c r="BC322" s="455"/>
      <c r="BD322" s="455"/>
      <c r="BE322" s="455"/>
      <c r="BF322" s="455"/>
      <c r="BG322" s="90"/>
      <c r="BH322" s="455"/>
      <c r="BI322" s="455"/>
      <c r="BJ322" s="455"/>
      <c r="BK322" s="455"/>
      <c r="BL322" s="90">
        <f>BL38</f>
        <v>601.29999999999995</v>
      </c>
      <c r="BM322" s="66">
        <f t="shared" si="355"/>
        <v>5.3</v>
      </c>
      <c r="BN322" s="66">
        <f t="shared" si="355"/>
        <v>69.599999999999994</v>
      </c>
      <c r="BO322" s="66">
        <f t="shared" si="355"/>
        <v>196.9</v>
      </c>
      <c r="BP322" s="66">
        <f t="shared" si="355"/>
        <v>203.8</v>
      </c>
      <c r="BQ322" s="90">
        <f>BQ38</f>
        <v>203.8</v>
      </c>
      <c r="BR322" s="66">
        <f t="shared" si="356"/>
        <v>5.8</v>
      </c>
      <c r="BS322" s="66">
        <f t="shared" si="356"/>
        <v>503.1</v>
      </c>
      <c r="BT322" s="66">
        <f t="shared" si="356"/>
        <v>748.2</v>
      </c>
      <c r="BU322" s="66">
        <f t="shared" si="356"/>
        <v>1562</v>
      </c>
      <c r="BV322" s="90">
        <f>BV38</f>
        <v>1562</v>
      </c>
      <c r="BW322" s="66">
        <f t="shared" si="357"/>
        <v>0</v>
      </c>
      <c r="BX322" s="66">
        <f t="shared" si="357"/>
        <v>0</v>
      </c>
      <c r="BY322" s="66">
        <f t="shared" si="357"/>
        <v>124</v>
      </c>
      <c r="BZ322" s="66">
        <f t="shared" si="357"/>
        <v>507</v>
      </c>
      <c r="CA322" s="90">
        <f>CA38</f>
        <v>507</v>
      </c>
      <c r="CB322" s="66">
        <f t="shared" si="358"/>
        <v>11</v>
      </c>
      <c r="CC322" s="66">
        <f t="shared" si="358"/>
        <v>11</v>
      </c>
      <c r="CD322" s="66">
        <f t="shared" si="358"/>
        <v>11</v>
      </c>
      <c r="CE322" s="66">
        <f t="shared" si="358"/>
        <v>592</v>
      </c>
      <c r="CF322" s="90">
        <f>CF38</f>
        <v>592</v>
      </c>
      <c r="CG322" s="66">
        <f t="shared" si="359"/>
        <v>0</v>
      </c>
      <c r="CH322" s="66">
        <f t="shared" si="359"/>
        <v>0</v>
      </c>
      <c r="CI322" s="66">
        <f t="shared" si="359"/>
        <v>427</v>
      </c>
      <c r="CJ322" s="66">
        <f t="shared" si="359"/>
        <v>529</v>
      </c>
      <c r="CK322" s="90">
        <f>CK38</f>
        <v>529</v>
      </c>
      <c r="CL322" s="66">
        <f t="shared" si="360"/>
        <v>0</v>
      </c>
      <c r="CM322" s="66">
        <f t="shared" si="360"/>
        <v>0</v>
      </c>
      <c r="CN322" s="66">
        <f t="shared" si="360"/>
        <v>156</v>
      </c>
      <c r="CO322" s="66">
        <f t="shared" si="360"/>
        <v>600</v>
      </c>
      <c r="CP322" s="90">
        <f>CP38</f>
        <v>600</v>
      </c>
      <c r="CQ322" s="66">
        <f t="shared" si="361"/>
        <v>5</v>
      </c>
      <c r="CR322" s="66">
        <f t="shared" si="361"/>
        <v>5</v>
      </c>
      <c r="CS322" s="66">
        <f t="shared" si="361"/>
        <v>328</v>
      </c>
      <c r="CT322" s="66">
        <f t="shared" si="361"/>
        <v>515</v>
      </c>
      <c r="CU322" s="90">
        <f>CU38</f>
        <v>515</v>
      </c>
      <c r="CV322" s="66">
        <f t="shared" si="362"/>
        <v>25</v>
      </c>
      <c r="CW322" s="66">
        <f t="shared" si="362"/>
        <v>34</v>
      </c>
      <c r="CX322" s="66">
        <f t="shared" si="362"/>
        <v>34</v>
      </c>
      <c r="CY322" s="66">
        <f t="shared" si="362"/>
        <v>411</v>
      </c>
      <c r="CZ322" s="90">
        <f>CZ38</f>
        <v>411</v>
      </c>
      <c r="DA322" s="66">
        <f t="shared" si="363"/>
        <v>0</v>
      </c>
      <c r="DB322" s="66">
        <f t="shared" si="363"/>
        <v>0</v>
      </c>
      <c r="DC322" s="66">
        <f t="shared" si="363"/>
        <v>230</v>
      </c>
      <c r="DD322" s="66">
        <f t="shared" si="363"/>
        <v>230</v>
      </c>
      <c r="DE322" s="90">
        <f>DE38</f>
        <v>230</v>
      </c>
      <c r="DF322" s="66">
        <f>DF103</f>
        <v>0</v>
      </c>
      <c r="DG322" s="66">
        <f t="shared" si="364"/>
        <v>13</v>
      </c>
      <c r="DH322" s="66">
        <f t="shared" si="364"/>
        <v>265</v>
      </c>
      <c r="DI322" s="66">
        <f t="shared" si="364"/>
        <v>265</v>
      </c>
      <c r="DJ322" s="90">
        <f>DJ38</f>
        <v>265</v>
      </c>
      <c r="DK322" s="66">
        <f t="shared" si="365"/>
        <v>0</v>
      </c>
      <c r="DL322" s="66">
        <f t="shared" si="365"/>
        <v>0</v>
      </c>
      <c r="DM322" s="66">
        <f t="shared" si="365"/>
        <v>0</v>
      </c>
      <c r="DN322" s="66">
        <f t="shared" si="365"/>
        <v>0</v>
      </c>
      <c r="DO322" s="90">
        <f>DO38</f>
        <v>300</v>
      </c>
      <c r="DP322" s="66">
        <f t="shared" si="366"/>
        <v>0</v>
      </c>
      <c r="DQ322" s="66">
        <f t="shared" si="366"/>
        <v>0</v>
      </c>
      <c r="DR322" s="66">
        <f t="shared" si="366"/>
        <v>0</v>
      </c>
      <c r="DS322" s="66">
        <f t="shared" si="366"/>
        <v>0</v>
      </c>
      <c r="DT322" s="90">
        <f>DT38</f>
        <v>300</v>
      </c>
      <c r="DU322" s="66">
        <f t="shared" ref="DU322:DX322" si="368">DU103</f>
        <v>0</v>
      </c>
      <c r="DV322" s="66">
        <f t="shared" si="368"/>
        <v>0</v>
      </c>
      <c r="DW322" s="66">
        <f t="shared" si="368"/>
        <v>0</v>
      </c>
      <c r="DX322" s="66">
        <f t="shared" si="368"/>
        <v>0</v>
      </c>
      <c r="DY322" s="90">
        <f>DY38</f>
        <v>300</v>
      </c>
      <c r="DZ322" s="1858"/>
      <c r="EA322" s="1858"/>
      <c r="EB322" s="1858"/>
    </row>
    <row r="323" spans="1:132" x14ac:dyDescent="0.2">
      <c r="A323" s="1853"/>
      <c r="B323" s="429" t="s">
        <v>507</v>
      </c>
      <c r="C323" s="59"/>
      <c r="D323" s="59"/>
      <c r="E323" s="79"/>
      <c r="F323" s="79"/>
      <c r="G323" s="79"/>
      <c r="H323" s="79"/>
      <c r="I323" s="86"/>
      <c r="J323" s="79"/>
      <c r="K323" s="79"/>
      <c r="L323" s="79"/>
      <c r="M323" s="79"/>
      <c r="N323" s="86"/>
      <c r="O323" s="79"/>
      <c r="P323" s="79"/>
      <c r="Q323" s="79"/>
      <c r="R323" s="79"/>
      <c r="S323" s="86"/>
      <c r="T323" s="79"/>
      <c r="U323" s="79"/>
      <c r="V323" s="79"/>
      <c r="W323" s="79"/>
      <c r="X323" s="86"/>
      <c r="Y323" s="79"/>
      <c r="Z323" s="79"/>
      <c r="AA323" s="79"/>
      <c r="AB323" s="79"/>
      <c r="AC323" s="86"/>
      <c r="AD323" s="79"/>
      <c r="AE323" s="79"/>
      <c r="AF323" s="79"/>
      <c r="AG323" s="79"/>
      <c r="AH323" s="86"/>
      <c r="AI323" s="79"/>
      <c r="AJ323" s="79"/>
      <c r="AK323" s="79"/>
      <c r="AL323" s="79"/>
      <c r="AM323" s="86"/>
      <c r="AN323" s="79"/>
      <c r="AO323" s="79"/>
      <c r="AP323" s="79"/>
      <c r="AQ323" s="79"/>
      <c r="AR323" s="86"/>
      <c r="AS323" s="79"/>
      <c r="AT323" s="79"/>
      <c r="AU323" s="79"/>
      <c r="AV323" s="79"/>
      <c r="AW323" s="86"/>
      <c r="AX323" s="79"/>
      <c r="AY323" s="79"/>
      <c r="AZ323" s="79"/>
      <c r="BA323" s="79"/>
      <c r="BB323" s="86"/>
      <c r="BC323" s="79"/>
      <c r="BD323" s="79"/>
      <c r="BE323" s="79"/>
      <c r="BF323" s="79"/>
      <c r="BG323" s="86"/>
      <c r="BH323" s="79"/>
      <c r="BI323" s="79"/>
      <c r="BJ323" s="79"/>
      <c r="BK323" s="79"/>
      <c r="BL323" s="86">
        <f t="shared" ref="BL323:DJ323" si="369">SUM(BL321:BL322,BL319)</f>
        <v>2042.1999999999998</v>
      </c>
      <c r="BM323" s="59">
        <f t="shared" si="369"/>
        <v>345.79999999999973</v>
      </c>
      <c r="BN323" s="59">
        <f t="shared" si="369"/>
        <v>506.4000000000043</v>
      </c>
      <c r="BO323" s="59">
        <f t="shared" si="369"/>
        <v>892.00000000000296</v>
      </c>
      <c r="BP323" s="59">
        <f t="shared" si="369"/>
        <v>1970.9999999999993</v>
      </c>
      <c r="BQ323" s="86">
        <f t="shared" si="369"/>
        <v>1970.9999999999993</v>
      </c>
      <c r="BR323" s="59">
        <f t="shared" si="369"/>
        <v>310.7</v>
      </c>
      <c r="BS323" s="59">
        <f t="shared" si="369"/>
        <v>734.99999999999716</v>
      </c>
      <c r="BT323" s="59">
        <f t="shared" si="369"/>
        <v>1226.2999999999977</v>
      </c>
      <c r="BU323" s="59">
        <f t="shared" si="369"/>
        <v>3048.5999999999985</v>
      </c>
      <c r="BV323" s="86">
        <f t="shared" si="369"/>
        <v>3048.5999999999885</v>
      </c>
      <c r="BW323" s="59">
        <f t="shared" si="369"/>
        <v>653</v>
      </c>
      <c r="BX323" s="59">
        <f t="shared" si="369"/>
        <v>846</v>
      </c>
      <c r="BY323" s="59">
        <f t="shared" si="369"/>
        <v>1749</v>
      </c>
      <c r="BZ323" s="59">
        <f t="shared" si="369"/>
        <v>3281</v>
      </c>
      <c r="CA323" s="86">
        <f t="shared" si="369"/>
        <v>3281</v>
      </c>
      <c r="CB323" s="59">
        <f t="shared" si="369"/>
        <v>1568</v>
      </c>
      <c r="CC323" s="59">
        <f t="shared" si="369"/>
        <v>2373</v>
      </c>
      <c r="CD323" s="59">
        <f t="shared" si="369"/>
        <v>3877</v>
      </c>
      <c r="CE323" s="59">
        <f t="shared" si="369"/>
        <v>4575.5000000000009</v>
      </c>
      <c r="CF323" s="86">
        <f t="shared" si="369"/>
        <v>4575.9999999999909</v>
      </c>
      <c r="CG323" s="59">
        <f t="shared" si="369"/>
        <v>2410</v>
      </c>
      <c r="CH323" s="59">
        <f t="shared" si="369"/>
        <v>3199.4000000000005</v>
      </c>
      <c r="CI323" s="59">
        <f t="shared" si="369"/>
        <v>4053.3749999999991</v>
      </c>
      <c r="CJ323" s="59">
        <f t="shared" si="369"/>
        <v>4822.3749999999991</v>
      </c>
      <c r="CK323" s="86">
        <f t="shared" si="369"/>
        <v>5170.3750000000236</v>
      </c>
      <c r="CL323" s="59">
        <f t="shared" si="369"/>
        <v>1322</v>
      </c>
      <c r="CM323" s="59">
        <f t="shared" si="369"/>
        <v>1738.2999999999993</v>
      </c>
      <c r="CN323" s="59">
        <f t="shared" si="369"/>
        <v>3023.7000000000007</v>
      </c>
      <c r="CO323" s="59">
        <f t="shared" si="369"/>
        <v>4354.9000000000024</v>
      </c>
      <c r="CP323" s="86">
        <f t="shared" si="369"/>
        <v>4354.6000000000022</v>
      </c>
      <c r="CQ323" s="59">
        <f t="shared" si="369"/>
        <v>1789</v>
      </c>
      <c r="CR323" s="59">
        <f t="shared" si="369"/>
        <v>2183</v>
      </c>
      <c r="CS323" s="59">
        <f t="shared" si="369"/>
        <v>3606</v>
      </c>
      <c r="CT323" s="59">
        <f t="shared" si="369"/>
        <v>5995</v>
      </c>
      <c r="CU323" s="86">
        <f t="shared" si="369"/>
        <v>5994.9</v>
      </c>
      <c r="CV323" s="59">
        <f t="shared" si="369"/>
        <v>1590</v>
      </c>
      <c r="CW323" s="59">
        <f t="shared" si="369"/>
        <v>2113</v>
      </c>
      <c r="CX323" s="59">
        <f t="shared" si="369"/>
        <v>3384</v>
      </c>
      <c r="CY323" s="59">
        <f t="shared" si="369"/>
        <v>6456</v>
      </c>
      <c r="CZ323" s="86">
        <f t="shared" si="369"/>
        <v>6444.6395035309433</v>
      </c>
      <c r="DA323" s="59">
        <f t="shared" si="369"/>
        <v>1814</v>
      </c>
      <c r="DB323" s="59">
        <f>SUM(DB321:DB322,DB319)</f>
        <v>2379</v>
      </c>
      <c r="DC323" s="59">
        <f>SUM(DC321:DC322,DC319)</f>
        <v>5928</v>
      </c>
      <c r="DD323" s="59">
        <f>SUM(DD321:DD322,DD319)</f>
        <v>7432</v>
      </c>
      <c r="DE323" s="86">
        <f t="shared" si="369"/>
        <v>7402.5</v>
      </c>
      <c r="DF323" s="59">
        <f>SUM(DF321:DF322,DF319)</f>
        <v>3076</v>
      </c>
      <c r="DG323" s="59">
        <f t="shared" si="369"/>
        <v>4522</v>
      </c>
      <c r="DH323" s="59">
        <f t="shared" si="369"/>
        <v>6861</v>
      </c>
      <c r="DI323" s="59">
        <f t="shared" si="369"/>
        <v>6173</v>
      </c>
      <c r="DJ323" s="86">
        <f t="shared" si="369"/>
        <v>6172.8232135100006</v>
      </c>
      <c r="DK323" s="59">
        <f t="shared" ref="DK323:DT323" si="370">SUM(DK321:DK322,DK319)</f>
        <v>0</v>
      </c>
      <c r="DL323" s="59">
        <f t="shared" si="370"/>
        <v>0</v>
      </c>
      <c r="DM323" s="59">
        <f t="shared" si="370"/>
        <v>0</v>
      </c>
      <c r="DN323" s="59">
        <f t="shared" si="370"/>
        <v>0</v>
      </c>
      <c r="DO323" s="86">
        <f t="shared" ca="1" si="370"/>
        <v>6270.6285925848169</v>
      </c>
      <c r="DP323" s="59">
        <f t="shared" si="370"/>
        <v>0</v>
      </c>
      <c r="DQ323" s="59">
        <f t="shared" si="370"/>
        <v>0</v>
      </c>
      <c r="DR323" s="59">
        <f t="shared" si="370"/>
        <v>0</v>
      </c>
      <c r="DS323" s="59">
        <f t="shared" si="370"/>
        <v>0</v>
      </c>
      <c r="DT323" s="86">
        <f t="shared" ca="1" si="370"/>
        <v>6585.7456090706664</v>
      </c>
      <c r="DU323" s="59">
        <f t="shared" ref="DU323:DY323" si="371">SUM(DU321:DU322,DU319)</f>
        <v>0</v>
      </c>
      <c r="DV323" s="59">
        <f t="shared" si="371"/>
        <v>0</v>
      </c>
      <c r="DW323" s="59">
        <f t="shared" si="371"/>
        <v>0</v>
      </c>
      <c r="DX323" s="59">
        <f t="shared" si="371"/>
        <v>0</v>
      </c>
      <c r="DY323" s="86">
        <f t="shared" ca="1" si="371"/>
        <v>7349.5635853343292</v>
      </c>
      <c r="DZ323" s="1858"/>
      <c r="EA323" s="1858"/>
      <c r="EB323" s="1858"/>
    </row>
    <row r="324" spans="1:132" ht="4.5" customHeight="1" x14ac:dyDescent="0.2">
      <c r="A324" s="1853"/>
      <c r="B324" s="58"/>
      <c r="C324" s="59"/>
      <c r="D324" s="59"/>
      <c r="E324" s="79"/>
      <c r="F324" s="79"/>
      <c r="G324" s="79"/>
      <c r="H324" s="79"/>
      <c r="I324" s="86"/>
      <c r="J324" s="79"/>
      <c r="K324" s="79"/>
      <c r="L324" s="79"/>
      <c r="M324" s="79"/>
      <c r="N324" s="86"/>
      <c r="O324" s="79"/>
      <c r="P324" s="79"/>
      <c r="Q324" s="79"/>
      <c r="R324" s="79"/>
      <c r="S324" s="86"/>
      <c r="T324" s="79"/>
      <c r="U324" s="79"/>
      <c r="V324" s="79"/>
      <c r="W324" s="79"/>
      <c r="X324" s="86"/>
      <c r="Y324" s="79"/>
      <c r="Z324" s="79"/>
      <c r="AA324" s="79"/>
      <c r="AB324" s="79"/>
      <c r="AC324" s="86"/>
      <c r="AD324" s="79"/>
      <c r="AE324" s="79"/>
      <c r="AF324" s="79"/>
      <c r="AG324" s="79"/>
      <c r="AH324" s="86"/>
      <c r="AI324" s="79"/>
      <c r="AJ324" s="79"/>
      <c r="AK324" s="79"/>
      <c r="AL324" s="79"/>
      <c r="AM324" s="86"/>
      <c r="AN324" s="79"/>
      <c r="AO324" s="79"/>
      <c r="AP324" s="79"/>
      <c r="AQ324" s="79"/>
      <c r="AR324" s="86"/>
      <c r="AS324" s="79"/>
      <c r="AT324" s="79"/>
      <c r="AU324" s="79"/>
      <c r="AV324" s="79"/>
      <c r="AW324" s="86"/>
      <c r="AX324" s="79"/>
      <c r="AY324" s="79"/>
      <c r="AZ324" s="79"/>
      <c r="BA324" s="79"/>
      <c r="BB324" s="86"/>
      <c r="BC324" s="79"/>
      <c r="BD324" s="79"/>
      <c r="BE324" s="79"/>
      <c r="BF324" s="79"/>
      <c r="BG324" s="86"/>
      <c r="BH324" s="79"/>
      <c r="BI324" s="79"/>
      <c r="BJ324" s="79"/>
      <c r="BK324" s="79"/>
      <c r="BL324" s="86"/>
      <c r="BM324" s="59"/>
      <c r="BN324" s="59"/>
      <c r="BO324" s="59"/>
      <c r="BP324" s="59"/>
      <c r="BQ324" s="86"/>
      <c r="BR324" s="59"/>
      <c r="BS324" s="59"/>
      <c r="BT324" s="59"/>
      <c r="BU324" s="59"/>
      <c r="BV324" s="86"/>
      <c r="BW324" s="59"/>
      <c r="BX324" s="59"/>
      <c r="BY324" s="59"/>
      <c r="BZ324" s="59"/>
      <c r="CA324" s="86"/>
      <c r="CB324" s="59"/>
      <c r="CC324" s="59"/>
      <c r="CD324" s="59"/>
      <c r="CE324" s="59"/>
      <c r="CF324" s="86"/>
      <c r="CG324" s="59"/>
      <c r="CH324" s="59"/>
      <c r="CI324" s="59"/>
      <c r="CJ324" s="59"/>
      <c r="CK324" s="86"/>
      <c r="CL324" s="59"/>
      <c r="CM324" s="59"/>
      <c r="CN324" s="59"/>
      <c r="CO324" s="59"/>
      <c r="CP324" s="86"/>
      <c r="CQ324" s="59"/>
      <c r="CR324" s="59"/>
      <c r="CS324" s="59"/>
      <c r="CT324" s="59"/>
      <c r="CU324" s="86"/>
      <c r="CV324" s="59"/>
      <c r="CW324" s="59"/>
      <c r="CX324" s="59"/>
      <c r="CY324" s="59"/>
      <c r="CZ324" s="86"/>
      <c r="DA324" s="59"/>
      <c r="DB324" s="59"/>
      <c r="DC324" s="59"/>
      <c r="DD324" s="59"/>
      <c r="DE324" s="86"/>
      <c r="DF324" s="59"/>
      <c r="DG324" s="59"/>
      <c r="DH324" s="59"/>
      <c r="DI324" s="59"/>
      <c r="DJ324" s="86"/>
      <c r="DK324" s="59"/>
      <c r="DL324" s="59"/>
      <c r="DM324" s="59"/>
      <c r="DN324" s="59"/>
      <c r="DO324" s="86"/>
      <c r="DP324" s="59"/>
      <c r="DQ324" s="59"/>
      <c r="DR324" s="59"/>
      <c r="DS324" s="59"/>
      <c r="DT324" s="86"/>
      <c r="DU324" s="59"/>
      <c r="DV324" s="59"/>
      <c r="DW324" s="59"/>
      <c r="DX324" s="59"/>
      <c r="DY324" s="86"/>
      <c r="DZ324" s="1858"/>
      <c r="EA324" s="1858"/>
      <c r="EB324" s="1858"/>
    </row>
    <row r="325" spans="1:132" ht="12" thickBot="1" x14ac:dyDescent="0.25">
      <c r="A325" s="1853"/>
      <c r="B325" s="159" t="s">
        <v>508</v>
      </c>
      <c r="C325" s="160"/>
      <c r="D325" s="160"/>
      <c r="E325" s="160"/>
      <c r="F325" s="160"/>
      <c r="G325" s="160"/>
      <c r="H325" s="160"/>
      <c r="I325" s="161"/>
      <c r="J325" s="160"/>
      <c r="K325" s="160"/>
      <c r="L325" s="160"/>
      <c r="M325" s="160"/>
      <c r="N325" s="161"/>
      <c r="O325" s="160"/>
      <c r="P325" s="160"/>
      <c r="Q325" s="160"/>
      <c r="R325" s="160"/>
      <c r="S325" s="161"/>
      <c r="T325" s="160"/>
      <c r="U325" s="160"/>
      <c r="V325" s="160"/>
      <c r="W325" s="160"/>
      <c r="X325" s="161"/>
      <c r="Y325" s="160"/>
      <c r="Z325" s="160"/>
      <c r="AA325" s="160"/>
      <c r="AB325" s="160"/>
      <c r="AC325" s="161"/>
      <c r="AD325" s="160"/>
      <c r="AE325" s="160"/>
      <c r="AF325" s="160"/>
      <c r="AG325" s="160"/>
      <c r="AH325" s="161"/>
      <c r="AI325" s="160"/>
      <c r="AJ325" s="160"/>
      <c r="AK325" s="160"/>
      <c r="AL325" s="160"/>
      <c r="AM325" s="161"/>
      <c r="AN325" s="160"/>
      <c r="AO325" s="160"/>
      <c r="AP325" s="160"/>
      <c r="AQ325" s="160"/>
      <c r="AR325" s="161"/>
      <c r="AS325" s="160"/>
      <c r="AT325" s="160"/>
      <c r="AU325" s="160"/>
      <c r="AV325" s="160"/>
      <c r="AW325" s="161"/>
      <c r="AX325" s="160"/>
      <c r="AY325" s="160"/>
      <c r="AZ325" s="160"/>
      <c r="BA325" s="160"/>
      <c r="BB325" s="161"/>
      <c r="BC325" s="160"/>
      <c r="BD325" s="160"/>
      <c r="BE325" s="160"/>
      <c r="BF325" s="160"/>
      <c r="BG325" s="161"/>
      <c r="BH325" s="160"/>
      <c r="BI325" s="160"/>
      <c r="BJ325" s="160"/>
      <c r="BK325" s="160"/>
      <c r="BL325" s="161"/>
      <c r="BM325" s="160">
        <f>BM323</f>
        <v>345.79999999999973</v>
      </c>
      <c r="BN325" s="160">
        <f>BN323-BM323</f>
        <v>160.60000000000457</v>
      </c>
      <c r="BO325" s="160">
        <f>BO323-BN323</f>
        <v>385.59999999999866</v>
      </c>
      <c r="BP325" s="160">
        <f>BP323-BO323</f>
        <v>1078.9999999999964</v>
      </c>
      <c r="BQ325" s="161"/>
      <c r="BR325" s="160">
        <f>BR323</f>
        <v>310.7</v>
      </c>
      <c r="BS325" s="160">
        <f>BS323-BR323</f>
        <v>424.29999999999717</v>
      </c>
      <c r="BT325" s="160">
        <f>BT323-BS323</f>
        <v>491.30000000000052</v>
      </c>
      <c r="BU325" s="160">
        <f>BU323-BT323</f>
        <v>1822.3000000000009</v>
      </c>
      <c r="BV325" s="161"/>
      <c r="BW325" s="160">
        <f>BW323</f>
        <v>653</v>
      </c>
      <c r="BX325" s="160">
        <f>BX323-BW323</f>
        <v>193</v>
      </c>
      <c r="BY325" s="160">
        <f>BY323-BX323</f>
        <v>903</v>
      </c>
      <c r="BZ325" s="160">
        <f>BZ323-BY323</f>
        <v>1532</v>
      </c>
      <c r="CA325" s="161"/>
      <c r="CB325" s="160">
        <f>CB323</f>
        <v>1568</v>
      </c>
      <c r="CC325" s="160">
        <f>CC323-CB323</f>
        <v>805</v>
      </c>
      <c r="CD325" s="160">
        <f>CD323-CC323</f>
        <v>1504</v>
      </c>
      <c r="CE325" s="160">
        <f>CE323-CD323</f>
        <v>698.50000000000091</v>
      </c>
      <c r="CF325" s="161"/>
      <c r="CG325" s="160">
        <f>CG323</f>
        <v>2410</v>
      </c>
      <c r="CH325" s="160">
        <f>CH323-CG323</f>
        <v>789.40000000000055</v>
      </c>
      <c r="CI325" s="160">
        <f>CI323-CH323</f>
        <v>853.97499999999854</v>
      </c>
      <c r="CJ325" s="160">
        <f>CJ323-CI323</f>
        <v>769</v>
      </c>
      <c r="CK325" s="161"/>
      <c r="CL325" s="160">
        <f>CL323</f>
        <v>1322</v>
      </c>
      <c r="CM325" s="160">
        <f>CM323-CL323</f>
        <v>416.29999999999927</v>
      </c>
      <c r="CN325" s="160">
        <f>CN323-CM323</f>
        <v>1285.4000000000015</v>
      </c>
      <c r="CO325" s="160">
        <f>CO323-CN323</f>
        <v>1331.2000000000016</v>
      </c>
      <c r="CP325" s="161"/>
      <c r="CQ325" s="160">
        <f>CQ323-CO323</f>
        <v>-2565.9000000000024</v>
      </c>
      <c r="CR325" s="160">
        <f>CR323-CQ323</f>
        <v>394</v>
      </c>
      <c r="CS325" s="160">
        <f>CS323-CR323</f>
        <v>1423</v>
      </c>
      <c r="CT325" s="160">
        <f>CT323-CS323</f>
        <v>2389</v>
      </c>
      <c r="CU325" s="161"/>
      <c r="CV325" s="160">
        <f>CV323</f>
        <v>1590</v>
      </c>
      <c r="CW325" s="160">
        <f>CW323-CV323</f>
        <v>523</v>
      </c>
      <c r="CX325" s="160">
        <f>CX323-CW323</f>
        <v>1271</v>
      </c>
      <c r="CY325" s="160">
        <f>CY323-CX323</f>
        <v>3072</v>
      </c>
      <c r="CZ325" s="161"/>
      <c r="DA325" s="160">
        <f>DA323</f>
        <v>1814</v>
      </c>
      <c r="DB325" s="160">
        <f>DB323</f>
        <v>2379</v>
      </c>
      <c r="DC325" s="160">
        <f>DC323</f>
        <v>5928</v>
      </c>
      <c r="DD325" s="160">
        <f>DD323</f>
        <v>7432</v>
      </c>
      <c r="DE325" s="161"/>
      <c r="DF325" s="160">
        <f>DF323</f>
        <v>3076</v>
      </c>
      <c r="DG325" s="160">
        <f>DG323-DF323</f>
        <v>1446</v>
      </c>
      <c r="DH325" s="160">
        <f>DH323-DG323</f>
        <v>2339</v>
      </c>
      <c r="DI325" s="160">
        <f>DI323-DH323</f>
        <v>-688</v>
      </c>
      <c r="DJ325" s="161"/>
      <c r="DK325" s="160">
        <f>DK323</f>
        <v>0</v>
      </c>
      <c r="DL325" s="160">
        <f>DL323-DK323</f>
        <v>0</v>
      </c>
      <c r="DM325" s="160">
        <f>DM323-DL323</f>
        <v>0</v>
      </c>
      <c r="DN325" s="160">
        <f>DN323-DM323</f>
        <v>0</v>
      </c>
      <c r="DO325" s="161"/>
      <c r="DP325" s="160">
        <f>DP323</f>
        <v>0</v>
      </c>
      <c r="DQ325" s="160">
        <f>DQ323-DP323</f>
        <v>0</v>
      </c>
      <c r="DR325" s="160">
        <f>DR323-DQ323</f>
        <v>0</v>
      </c>
      <c r="DS325" s="160">
        <f>DS323-DR323</f>
        <v>0</v>
      </c>
      <c r="DT325" s="161"/>
      <c r="DU325" s="160">
        <f>DU323</f>
        <v>0</v>
      </c>
      <c r="DV325" s="160">
        <f>DV323-DU323</f>
        <v>0</v>
      </c>
      <c r="DW325" s="160">
        <f>DW323-DV323</f>
        <v>0</v>
      </c>
      <c r="DX325" s="160">
        <f>DX323-DW323</f>
        <v>0</v>
      </c>
      <c r="DY325" s="161"/>
      <c r="DZ325" s="1858"/>
      <c r="EA325" s="1858"/>
      <c r="EB325" s="1858"/>
    </row>
    <row r="326" spans="1:132" ht="5.25" customHeight="1" thickBot="1" x14ac:dyDescent="0.25">
      <c r="A326" s="240"/>
      <c r="B326" s="238"/>
      <c r="C326" s="238"/>
      <c r="D326" s="238"/>
      <c r="E326" s="238"/>
      <c r="F326" s="238"/>
      <c r="G326" s="238"/>
      <c r="H326" s="238"/>
      <c r="I326" s="238"/>
      <c r="J326" s="238"/>
      <c r="K326" s="238"/>
      <c r="L326" s="238"/>
      <c r="M326" s="238"/>
      <c r="N326" s="238"/>
      <c r="O326" s="238"/>
      <c r="P326" s="238"/>
      <c r="Q326" s="238"/>
      <c r="R326" s="238"/>
      <c r="S326" s="238"/>
      <c r="T326" s="238"/>
      <c r="U326" s="238"/>
      <c r="V326" s="238"/>
      <c r="W326" s="238"/>
      <c r="X326" s="238"/>
      <c r="Y326" s="238"/>
      <c r="Z326" s="238"/>
      <c r="AA326" s="238"/>
      <c r="AB326" s="238"/>
      <c r="AC326" s="238"/>
      <c r="AD326" s="238"/>
      <c r="AE326" s="238"/>
      <c r="AF326" s="238"/>
      <c r="AG326" s="238"/>
      <c r="AH326" s="238"/>
      <c r="AI326" s="238"/>
      <c r="AJ326" s="238"/>
      <c r="AK326" s="238"/>
      <c r="AL326" s="238"/>
      <c r="AM326" s="238"/>
      <c r="AN326" s="238"/>
      <c r="AO326" s="238"/>
      <c r="AP326" s="238"/>
      <c r="AQ326" s="238"/>
      <c r="AR326" s="238"/>
      <c r="AS326" s="238"/>
      <c r="AT326" s="238"/>
      <c r="AU326" s="238"/>
      <c r="AV326" s="238"/>
      <c r="AW326" s="238"/>
      <c r="AX326" s="238"/>
      <c r="AY326" s="238"/>
      <c r="AZ326" s="238"/>
      <c r="BA326" s="238"/>
      <c r="BB326" s="238"/>
      <c r="BC326" s="238"/>
      <c r="BD326" s="238"/>
      <c r="BE326" s="238"/>
      <c r="BF326" s="238"/>
      <c r="BG326" s="238"/>
      <c r="BH326" s="238"/>
      <c r="BI326" s="238"/>
      <c r="BJ326" s="238"/>
      <c r="BK326" s="238"/>
      <c r="BL326" s="238"/>
      <c r="BM326" s="238"/>
      <c r="BN326" s="238"/>
      <c r="BO326" s="238"/>
      <c r="BP326" s="238"/>
      <c r="BQ326" s="238"/>
      <c r="BR326" s="238"/>
      <c r="BS326" s="238"/>
      <c r="BT326" s="238"/>
      <c r="BU326" s="238"/>
      <c r="BV326" s="238"/>
      <c r="BW326" s="238"/>
      <c r="BX326" s="238"/>
      <c r="BY326" s="238"/>
      <c r="BZ326" s="238"/>
      <c r="CA326" s="238"/>
      <c r="CB326" s="238"/>
      <c r="CC326" s="238"/>
      <c r="CD326" s="238"/>
      <c r="CE326" s="238"/>
      <c r="CF326" s="238"/>
      <c r="CG326" s="238"/>
      <c r="CH326" s="238"/>
      <c r="CI326" s="238"/>
      <c r="CJ326" s="238"/>
      <c r="CK326" s="238"/>
      <c r="CL326" s="238"/>
      <c r="CM326" s="238"/>
      <c r="CN326" s="238"/>
      <c r="CO326" s="238"/>
      <c r="CP326" s="238"/>
      <c r="CQ326" s="238"/>
      <c r="CR326" s="238"/>
      <c r="CS326" s="238"/>
      <c r="CT326" s="238"/>
      <c r="CU326" s="238"/>
      <c r="CV326" s="238"/>
      <c r="CW326" s="238"/>
      <c r="CX326" s="238"/>
      <c r="CY326" s="238"/>
      <c r="CZ326" s="238"/>
      <c r="DA326" s="238"/>
      <c r="DB326" s="238"/>
      <c r="DC326" s="238"/>
      <c r="DD326" s="238"/>
      <c r="DE326" s="238"/>
      <c r="DF326" s="238"/>
      <c r="DG326" s="238"/>
      <c r="DH326" s="238"/>
      <c r="DI326" s="238"/>
      <c r="DJ326" s="238"/>
      <c r="DK326" s="238"/>
      <c r="DL326" s="238"/>
      <c r="DM326" s="238"/>
      <c r="DN326" s="238"/>
      <c r="DO326" s="238"/>
      <c r="DP326" s="238"/>
      <c r="DQ326" s="238"/>
      <c r="DR326" s="238"/>
      <c r="DS326" s="238"/>
      <c r="DT326" s="238"/>
      <c r="DU326" s="238"/>
      <c r="DV326" s="238"/>
      <c r="DW326" s="238"/>
      <c r="DX326" s="238"/>
      <c r="DY326" s="238"/>
      <c r="DZ326" s="240"/>
      <c r="EA326" s="240"/>
      <c r="EB326" s="240"/>
    </row>
    <row r="327" spans="1:132" ht="12" thickBot="1" x14ac:dyDescent="0.25">
      <c r="A327" s="456"/>
      <c r="B327" s="457" t="s">
        <v>509</v>
      </c>
      <c r="C327" s="458"/>
      <c r="D327" s="458"/>
      <c r="E327" s="458">
        <f>$I$327</f>
        <v>0.37</v>
      </c>
      <c r="F327" s="458">
        <f>$I$327</f>
        <v>0.37</v>
      </c>
      <c r="G327" s="458">
        <f>$I$327</f>
        <v>0.37</v>
      </c>
      <c r="H327" s="458">
        <f>$I$327</f>
        <v>0.37</v>
      </c>
      <c r="I327" s="459">
        <v>0.37</v>
      </c>
      <c r="J327" s="458">
        <f>$N$327</f>
        <v>0.37</v>
      </c>
      <c r="K327" s="458">
        <f>$N$327</f>
        <v>0.37</v>
      </c>
      <c r="L327" s="458">
        <f>$N$327</f>
        <v>0.37</v>
      </c>
      <c r="M327" s="458">
        <f>$N$327</f>
        <v>0.37</v>
      </c>
      <c r="N327" s="460">
        <f>I327</f>
        <v>0.37</v>
      </c>
      <c r="O327" s="458">
        <f>$S$327</f>
        <v>0.37</v>
      </c>
      <c r="P327" s="458">
        <f>$S$327</f>
        <v>0.37</v>
      </c>
      <c r="Q327" s="458">
        <f>$S$327</f>
        <v>0.37</v>
      </c>
      <c r="R327" s="458">
        <f>$S$327</f>
        <v>0.37</v>
      </c>
      <c r="S327" s="460">
        <f>N327</f>
        <v>0.37</v>
      </c>
      <c r="T327" s="458">
        <f>$X$327</f>
        <v>0.37</v>
      </c>
      <c r="U327" s="458">
        <f>$X$327</f>
        <v>0.37</v>
      </c>
      <c r="V327" s="458">
        <f>$X$327</f>
        <v>0.37</v>
      </c>
      <c r="W327" s="458">
        <f>$X$327</f>
        <v>0.37</v>
      </c>
      <c r="X327" s="460">
        <f>S327</f>
        <v>0.37</v>
      </c>
      <c r="Y327" s="458">
        <f>$AC$327</f>
        <v>0.37</v>
      </c>
      <c r="Z327" s="458">
        <f>$AC$327</f>
        <v>0.37</v>
      </c>
      <c r="AA327" s="458">
        <f>$AC$327</f>
        <v>0.37</v>
      </c>
      <c r="AB327" s="458">
        <f>$AC$327</f>
        <v>0.37</v>
      </c>
      <c r="AC327" s="460">
        <f>X327</f>
        <v>0.37</v>
      </c>
      <c r="AD327" s="458">
        <f>$AH$327</f>
        <v>0.37</v>
      </c>
      <c r="AE327" s="458">
        <f>$AH$327</f>
        <v>0.37</v>
      </c>
      <c r="AF327" s="458">
        <f>$AH$327</f>
        <v>0.37</v>
      </c>
      <c r="AG327" s="458">
        <f>$AH$327</f>
        <v>0.37</v>
      </c>
      <c r="AH327" s="460">
        <f>AC327</f>
        <v>0.37</v>
      </c>
      <c r="AI327" s="458">
        <f>$AM$327</f>
        <v>0.37</v>
      </c>
      <c r="AJ327" s="458">
        <f>$AM$327</f>
        <v>0.37</v>
      </c>
      <c r="AK327" s="458">
        <f>$AM$327</f>
        <v>0.37</v>
      </c>
      <c r="AL327" s="458">
        <f>$AM$327</f>
        <v>0.37</v>
      </c>
      <c r="AM327" s="460">
        <f>AH327</f>
        <v>0.37</v>
      </c>
      <c r="AN327" s="458">
        <f>AR327</f>
        <v>0.37</v>
      </c>
      <c r="AO327" s="458">
        <f>AR327</f>
        <v>0.37</v>
      </c>
      <c r="AP327" s="458">
        <f>AR327</f>
        <v>0.37</v>
      </c>
      <c r="AQ327" s="458">
        <f>AR327</f>
        <v>0.37</v>
      </c>
      <c r="AR327" s="460">
        <f>AM327</f>
        <v>0.37</v>
      </c>
      <c r="AS327" s="458">
        <f>AW327</f>
        <v>0.37</v>
      </c>
      <c r="AT327" s="458">
        <f>AW327</f>
        <v>0.37</v>
      </c>
      <c r="AU327" s="458">
        <f>AW327</f>
        <v>0.37</v>
      </c>
      <c r="AV327" s="458">
        <f>AW327</f>
        <v>0.37</v>
      </c>
      <c r="AW327" s="460">
        <f>AR327</f>
        <v>0.37</v>
      </c>
      <c r="AX327" s="458">
        <f>BB327</f>
        <v>0.37</v>
      </c>
      <c r="AY327" s="458">
        <f>BB327</f>
        <v>0.37</v>
      </c>
      <c r="AZ327" s="458">
        <f>BB327</f>
        <v>0.37</v>
      </c>
      <c r="BA327" s="458">
        <f>BB327</f>
        <v>0.37</v>
      </c>
      <c r="BB327" s="460">
        <f>AW327</f>
        <v>0.37</v>
      </c>
      <c r="BC327" s="458">
        <f>BG327</f>
        <v>0.37</v>
      </c>
      <c r="BD327" s="458">
        <f>BG327</f>
        <v>0.37</v>
      </c>
      <c r="BE327" s="458">
        <f>BG327</f>
        <v>0.37</v>
      </c>
      <c r="BF327" s="458">
        <f>BG327</f>
        <v>0.37</v>
      </c>
      <c r="BG327" s="460">
        <f>BB327</f>
        <v>0.37</v>
      </c>
      <c r="BH327" s="458">
        <f>BL327</f>
        <v>0.37</v>
      </c>
      <c r="BI327" s="458">
        <f>BL327</f>
        <v>0.37</v>
      </c>
      <c r="BJ327" s="458">
        <f>BL327</f>
        <v>0.37</v>
      </c>
      <c r="BK327" s="458">
        <f>BL327</f>
        <v>0.37</v>
      </c>
      <c r="BL327" s="460">
        <f>BG327</f>
        <v>0.37</v>
      </c>
      <c r="BM327" s="458">
        <f>BQ327</f>
        <v>0.37</v>
      </c>
      <c r="BN327" s="458">
        <f>BQ327</f>
        <v>0.37</v>
      </c>
      <c r="BO327" s="458">
        <f>BQ327</f>
        <v>0.37</v>
      </c>
      <c r="BP327" s="458">
        <f>BQ327</f>
        <v>0.37</v>
      </c>
      <c r="BQ327" s="460">
        <f>BL327</f>
        <v>0.37</v>
      </c>
      <c r="BR327" s="458">
        <f>BV327</f>
        <v>0.37</v>
      </c>
      <c r="BS327" s="458">
        <f>BV327</f>
        <v>0.37</v>
      </c>
      <c r="BT327" s="458">
        <f>BV327</f>
        <v>0.37</v>
      </c>
      <c r="BU327" s="458">
        <f>BV327</f>
        <v>0.37</v>
      </c>
      <c r="BV327" s="460">
        <f>BQ327</f>
        <v>0.37</v>
      </c>
      <c r="BW327" s="458">
        <f>$CA$327</f>
        <v>0.37</v>
      </c>
      <c r="BX327" s="458">
        <f>$CA$327</f>
        <v>0.37</v>
      </c>
      <c r="BY327" s="458">
        <f>$CA$327</f>
        <v>0.37</v>
      </c>
      <c r="BZ327" s="458">
        <f>$CA$327</f>
        <v>0.37</v>
      </c>
      <c r="CA327" s="460">
        <f>BV327</f>
        <v>0.37</v>
      </c>
      <c r="CB327" s="458">
        <f>$CF$327</f>
        <v>0.37</v>
      </c>
      <c r="CC327" s="458">
        <f>$CF$327</f>
        <v>0.37</v>
      </c>
      <c r="CD327" s="458">
        <f>$CF$327</f>
        <v>0.37</v>
      </c>
      <c r="CE327" s="458">
        <f>$CF$327</f>
        <v>0.37</v>
      </c>
      <c r="CF327" s="460">
        <f>CA327</f>
        <v>0.37</v>
      </c>
      <c r="CG327" s="458">
        <f>$CK$327</f>
        <v>0.37</v>
      </c>
      <c r="CH327" s="458">
        <f>$CK$327</f>
        <v>0.37</v>
      </c>
      <c r="CI327" s="458">
        <f>$CK$327</f>
        <v>0.37</v>
      </c>
      <c r="CJ327" s="458">
        <f>$CK$327</f>
        <v>0.37</v>
      </c>
      <c r="CK327" s="460">
        <f>CF327</f>
        <v>0.37</v>
      </c>
      <c r="CL327" s="458">
        <f>$CP$327</f>
        <v>0.37</v>
      </c>
      <c r="CM327" s="458">
        <f>$CP$327</f>
        <v>0.37</v>
      </c>
      <c r="CN327" s="458">
        <f>$CP$327</f>
        <v>0.37</v>
      </c>
      <c r="CO327" s="458">
        <f>$CP$327</f>
        <v>0.37</v>
      </c>
      <c r="CP327" s="460">
        <f>CK327</f>
        <v>0.37</v>
      </c>
      <c r="CQ327" s="458">
        <f>$CP$327</f>
        <v>0.37</v>
      </c>
      <c r="CR327" s="458">
        <f>$CU$327</f>
        <v>0.37</v>
      </c>
      <c r="CS327" s="458">
        <f>$CU$327</f>
        <v>0.37</v>
      </c>
      <c r="CT327" s="458">
        <f>$CU$327</f>
        <v>0.37</v>
      </c>
      <c r="CU327" s="460">
        <f>CP327</f>
        <v>0.37</v>
      </c>
      <c r="CV327" s="458">
        <f>$CZ$327</f>
        <v>0.37</v>
      </c>
      <c r="CW327" s="458">
        <f>$CZ$327</f>
        <v>0.37</v>
      </c>
      <c r="CX327" s="458">
        <f>$CZ$327</f>
        <v>0.37</v>
      </c>
      <c r="CY327" s="458">
        <f>$CZ$327</f>
        <v>0.37</v>
      </c>
      <c r="CZ327" s="460">
        <f>CU327</f>
        <v>0.37</v>
      </c>
      <c r="DA327" s="458">
        <f>$CZ$327</f>
        <v>0.37</v>
      </c>
      <c r="DB327" s="458">
        <f>$CZ$327</f>
        <v>0.37</v>
      </c>
      <c r="DC327" s="458">
        <f>$CZ$327</f>
        <v>0.37</v>
      </c>
      <c r="DD327" s="458">
        <f>$CZ$327</f>
        <v>0.37</v>
      </c>
      <c r="DE327" s="460">
        <f>CZ327</f>
        <v>0.37</v>
      </c>
      <c r="DF327" s="458">
        <f>$CZ$327</f>
        <v>0.37</v>
      </c>
      <c r="DG327" s="458">
        <f>$CZ$327</f>
        <v>0.37</v>
      </c>
      <c r="DH327" s="458">
        <f>$CZ$327</f>
        <v>0.37</v>
      </c>
      <c r="DI327" s="458">
        <f>$CZ$327</f>
        <v>0.37</v>
      </c>
      <c r="DJ327" s="460">
        <f>DE327</f>
        <v>0.37</v>
      </c>
      <c r="DK327" s="458">
        <f>$CZ$327</f>
        <v>0.37</v>
      </c>
      <c r="DL327" s="458">
        <f>$CZ$327</f>
        <v>0.37</v>
      </c>
      <c r="DM327" s="458">
        <f>$CZ$327</f>
        <v>0.37</v>
      </c>
      <c r="DN327" s="458">
        <f>$CZ$327</f>
        <v>0.37</v>
      </c>
      <c r="DO327" s="460">
        <f>DJ327</f>
        <v>0.37</v>
      </c>
      <c r="DP327" s="458">
        <f>$CZ$327</f>
        <v>0.37</v>
      </c>
      <c r="DQ327" s="458">
        <f>$CZ$327</f>
        <v>0.37</v>
      </c>
      <c r="DR327" s="458">
        <f>$CZ$327</f>
        <v>0.37</v>
      </c>
      <c r="DS327" s="458">
        <f>$CZ$327</f>
        <v>0.37</v>
      </c>
      <c r="DT327" s="460">
        <f>DO327</f>
        <v>0.37</v>
      </c>
      <c r="DU327" s="458">
        <f>$CZ$327</f>
        <v>0.37</v>
      </c>
      <c r="DV327" s="458">
        <f>$CZ$327</f>
        <v>0.37</v>
      </c>
      <c r="DW327" s="458">
        <f>$CZ$327</f>
        <v>0.37</v>
      </c>
      <c r="DX327" s="458">
        <f>$CZ$327</f>
        <v>0.37</v>
      </c>
      <c r="DY327" s="460">
        <f>DT327</f>
        <v>0.37</v>
      </c>
      <c r="DZ327" s="462"/>
      <c r="EA327" s="462"/>
      <c r="EB327" s="2127"/>
    </row>
    <row r="328" spans="1:132" x14ac:dyDescent="0.2">
      <c r="A328" s="240"/>
      <c r="B328" s="238"/>
      <c r="C328" s="238"/>
      <c r="D328" s="238"/>
      <c r="E328" s="238"/>
      <c r="F328" s="238"/>
      <c r="G328" s="238"/>
      <c r="H328" s="238"/>
      <c r="I328" s="238"/>
      <c r="J328" s="238"/>
      <c r="K328" s="238"/>
      <c r="L328" s="238"/>
      <c r="M328" s="238"/>
      <c r="N328" s="238"/>
      <c r="O328" s="238"/>
      <c r="P328" s="238"/>
      <c r="Q328" s="238"/>
      <c r="R328" s="238"/>
      <c r="S328" s="238"/>
      <c r="T328" s="238"/>
      <c r="U328" s="238"/>
      <c r="V328" s="238"/>
      <c r="W328" s="238"/>
      <c r="X328" s="238"/>
      <c r="Y328" s="238"/>
      <c r="Z328" s="238"/>
      <c r="AA328" s="238"/>
      <c r="AB328" s="238"/>
      <c r="AC328" s="238"/>
      <c r="AD328" s="238"/>
      <c r="AE328" s="238"/>
      <c r="AF328" s="238"/>
      <c r="AG328" s="238"/>
      <c r="AH328" s="238"/>
      <c r="AI328" s="238"/>
      <c r="AJ328" s="238"/>
      <c r="AK328" s="238"/>
      <c r="AL328" s="238"/>
      <c r="AM328" s="238"/>
      <c r="AN328" s="238"/>
      <c r="AO328" s="238"/>
      <c r="AP328" s="238"/>
      <c r="AQ328" s="238"/>
      <c r="AR328" s="238"/>
      <c r="AS328" s="238"/>
      <c r="AT328" s="238"/>
      <c r="AU328" s="238"/>
      <c r="AV328" s="238"/>
      <c r="AW328" s="238"/>
      <c r="AX328" s="238"/>
      <c r="AY328" s="238"/>
      <c r="AZ328" s="238"/>
      <c r="BA328" s="238"/>
      <c r="BB328" s="238"/>
      <c r="BC328" s="238"/>
      <c r="BD328" s="238"/>
      <c r="BE328" s="238"/>
      <c r="BF328" s="238"/>
      <c r="BG328" s="238"/>
      <c r="BH328" s="238"/>
      <c r="BI328" s="238"/>
      <c r="BJ328" s="238"/>
      <c r="BK328" s="238"/>
      <c r="BL328" s="238"/>
      <c r="BM328" s="238"/>
      <c r="BN328" s="238"/>
      <c r="BO328" s="238"/>
      <c r="BP328" s="238"/>
      <c r="BQ328" s="238"/>
      <c r="BR328" s="238"/>
      <c r="BS328" s="238"/>
      <c r="BT328" s="238"/>
      <c r="BU328" s="238"/>
      <c r="BV328" s="238"/>
      <c r="BW328" s="238"/>
      <c r="BX328" s="238"/>
      <c r="BY328" s="238"/>
      <c r="BZ328" s="238"/>
      <c r="CA328" s="238"/>
      <c r="CB328" s="238"/>
      <c r="CC328" s="238"/>
      <c r="CD328" s="238"/>
      <c r="CE328" s="238"/>
      <c r="CF328" s="238"/>
      <c r="CG328" s="238"/>
      <c r="CH328" s="238"/>
      <c r="CI328" s="238"/>
      <c r="CJ328" s="238"/>
      <c r="CK328" s="238"/>
      <c r="CL328" s="238"/>
      <c r="CM328" s="238"/>
      <c r="CN328" s="238"/>
      <c r="CO328" s="238"/>
      <c r="CP328" s="238"/>
      <c r="CQ328" s="238"/>
      <c r="CR328" s="238"/>
      <c r="CS328" s="238"/>
      <c r="CT328" s="238"/>
      <c r="CU328" s="238"/>
      <c r="CV328" s="238"/>
      <c r="CW328" s="238"/>
      <c r="CX328" s="238"/>
      <c r="CY328" s="238"/>
      <c r="CZ328" s="238"/>
      <c r="DA328" s="238"/>
      <c r="DB328" s="238"/>
      <c r="DC328" s="238"/>
      <c r="DD328" s="238"/>
      <c r="DE328" s="238"/>
      <c r="DF328" s="238"/>
      <c r="DG328" s="238"/>
      <c r="DH328" s="238"/>
      <c r="DI328" s="238"/>
      <c r="DJ328" s="238"/>
      <c r="DK328" s="238"/>
      <c r="DL328" s="238"/>
      <c r="DM328" s="238"/>
      <c r="DN328" s="238"/>
      <c r="DO328" s="238"/>
      <c r="DP328" s="238"/>
      <c r="DQ328" s="238"/>
      <c r="DR328" s="238"/>
      <c r="DS328" s="238"/>
      <c r="DT328" s="238"/>
      <c r="DU328" s="238"/>
      <c r="DV328" s="238"/>
      <c r="DW328" s="238"/>
      <c r="DX328" s="238"/>
      <c r="DY328" s="238"/>
      <c r="DZ328" s="240"/>
      <c r="EA328" s="240"/>
      <c r="EB328" s="240"/>
    </row>
    <row r="329" spans="1:132" x14ac:dyDescent="0.2">
      <c r="A329" s="240"/>
      <c r="B329" s="238"/>
      <c r="C329" s="238"/>
      <c r="D329" s="238"/>
      <c r="E329" s="238"/>
      <c r="F329" s="238"/>
      <c r="G329" s="238"/>
      <c r="H329" s="238"/>
      <c r="I329" s="238"/>
      <c r="J329" s="238"/>
      <c r="K329" s="238"/>
      <c r="L329" s="238"/>
      <c r="M329" s="238"/>
      <c r="N329" s="238"/>
      <c r="O329" s="238"/>
      <c r="P329" s="238"/>
      <c r="Q329" s="238"/>
      <c r="R329" s="238"/>
      <c r="S329" s="238"/>
      <c r="T329" s="238"/>
      <c r="U329" s="238"/>
      <c r="V329" s="238"/>
      <c r="W329" s="238"/>
      <c r="X329" s="238"/>
      <c r="Y329" s="238"/>
      <c r="Z329" s="238"/>
      <c r="AA329" s="238"/>
      <c r="AB329" s="238"/>
      <c r="AC329" s="238"/>
      <c r="AD329" s="238"/>
      <c r="AE329" s="238"/>
      <c r="AF329" s="238"/>
      <c r="AG329" s="238"/>
      <c r="AH329" s="238"/>
      <c r="AI329" s="238"/>
      <c r="AJ329" s="238"/>
      <c r="AK329" s="238"/>
      <c r="AL329" s="238"/>
      <c r="AM329" s="238"/>
      <c r="AN329" s="238"/>
      <c r="AO329" s="238"/>
      <c r="AP329" s="238"/>
      <c r="AQ329" s="238"/>
      <c r="AR329" s="238"/>
      <c r="AS329" s="238"/>
      <c r="AT329" s="238"/>
      <c r="AU329" s="238"/>
      <c r="AV329" s="238"/>
      <c r="AW329" s="238"/>
      <c r="AX329" s="238"/>
      <c r="AY329" s="238"/>
      <c r="AZ329" s="238"/>
      <c r="BA329" s="238"/>
      <c r="BB329" s="238"/>
      <c r="BC329" s="238"/>
      <c r="BD329" s="238"/>
      <c r="BE329" s="238"/>
      <c r="BF329" s="238"/>
      <c r="BG329" s="238"/>
      <c r="BH329" s="238"/>
      <c r="BI329" s="238"/>
      <c r="BJ329" s="238"/>
      <c r="BK329" s="238"/>
      <c r="BL329" s="238"/>
      <c r="BM329" s="238"/>
      <c r="BN329" s="238"/>
      <c r="BO329" s="238"/>
      <c r="BP329" s="238"/>
      <c r="BQ329" s="238"/>
      <c r="BR329" s="238"/>
      <c r="BS329" s="238"/>
      <c r="BT329" s="238"/>
      <c r="BU329" s="238"/>
      <c r="BV329" s="238"/>
      <c r="BW329" s="238"/>
      <c r="BX329" s="238"/>
      <c r="BY329" s="238"/>
      <c r="BZ329" s="238"/>
      <c r="CA329" s="238"/>
      <c r="CB329" s="238"/>
      <c r="CC329" s="238"/>
      <c r="CD329" s="238"/>
      <c r="CE329" s="238"/>
      <c r="CF329" s="238"/>
      <c r="CG329" s="238"/>
      <c r="CH329" s="238"/>
      <c r="CI329" s="238"/>
      <c r="CJ329" s="238"/>
      <c r="CK329" s="238"/>
      <c r="CL329" s="238"/>
      <c r="CM329" s="238"/>
      <c r="CN329" s="238"/>
      <c r="CO329" s="238"/>
      <c r="CP329" s="238"/>
      <c r="CQ329" s="238"/>
      <c r="CR329" s="238"/>
      <c r="CS329" s="238"/>
      <c r="CT329" s="238"/>
      <c r="CU329" s="238"/>
      <c r="CV329" s="238"/>
      <c r="CW329" s="238"/>
      <c r="CX329" s="238"/>
      <c r="CY329" s="238"/>
      <c r="CZ329" s="238"/>
      <c r="DA329" s="238"/>
      <c r="DB329" s="238"/>
      <c r="DC329" s="238"/>
      <c r="DD329" s="238"/>
      <c r="DE329" s="238"/>
      <c r="DF329" s="238"/>
      <c r="DG329" s="238"/>
      <c r="DH329" s="238"/>
      <c r="DI329" s="238"/>
      <c r="DJ329" s="238"/>
      <c r="DK329" s="238"/>
      <c r="DL329" s="238"/>
      <c r="DM329" s="238"/>
      <c r="DN329" s="238"/>
      <c r="DO329" s="238"/>
      <c r="DP329" s="238"/>
      <c r="DQ329" s="238"/>
      <c r="DR329" s="238"/>
      <c r="DS329" s="238"/>
      <c r="DT329" s="238"/>
      <c r="DU329" s="238"/>
      <c r="DV329" s="238"/>
      <c r="DW329" s="238"/>
      <c r="DX329" s="238"/>
      <c r="DY329" s="238"/>
      <c r="DZ329" s="240"/>
      <c r="EA329" s="240"/>
      <c r="EB329" s="240"/>
    </row>
    <row r="330" spans="1:132" outlineLevel="1" x14ac:dyDescent="0.2">
      <c r="DK330"/>
      <c r="DL330"/>
      <c r="DM330"/>
      <c r="DN330"/>
      <c r="DO330"/>
      <c r="DP330"/>
      <c r="DQ330"/>
      <c r="DR330"/>
      <c r="DS330"/>
      <c r="DT330"/>
      <c r="DU330"/>
      <c r="DV330"/>
      <c r="DW330"/>
      <c r="DX330"/>
      <c r="DY330"/>
    </row>
    <row r="331" spans="1:132" x14ac:dyDescent="0.2">
      <c r="A331" s="463"/>
      <c r="B331" s="463"/>
      <c r="C331" s="463"/>
      <c r="D331" s="463"/>
      <c r="E331" s="463"/>
      <c r="F331" s="463"/>
      <c r="G331" s="463"/>
      <c r="H331" s="463"/>
      <c r="I331" s="463"/>
      <c r="J331" s="463"/>
      <c r="K331" s="463"/>
      <c r="L331" s="463"/>
      <c r="M331" s="463"/>
      <c r="N331" s="463"/>
      <c r="O331" s="463"/>
      <c r="P331" s="463"/>
      <c r="Q331" s="463"/>
      <c r="R331" s="463"/>
      <c r="S331" s="463"/>
      <c r="T331" s="463"/>
      <c r="U331" s="463"/>
      <c r="V331" s="463"/>
      <c r="W331" s="463"/>
      <c r="X331" s="463"/>
      <c r="Y331" s="463"/>
      <c r="Z331" s="463"/>
      <c r="AA331" s="463"/>
      <c r="AB331" s="463"/>
      <c r="AC331" s="463"/>
      <c r="AD331" s="463"/>
      <c r="AE331" s="463"/>
      <c r="AF331" s="463"/>
      <c r="AG331" s="463"/>
      <c r="AH331" s="463"/>
      <c r="AI331" s="463"/>
      <c r="AJ331" s="463"/>
      <c r="AK331" s="463"/>
      <c r="AL331" s="463"/>
      <c r="AM331" s="463"/>
      <c r="AN331" s="463"/>
      <c r="AO331" s="463"/>
      <c r="AP331" s="463"/>
      <c r="AQ331" s="463"/>
      <c r="AR331" s="463"/>
      <c r="AS331" s="463"/>
      <c r="AT331" s="463"/>
      <c r="AU331" s="463"/>
      <c r="AV331" s="463"/>
      <c r="AW331" s="463"/>
      <c r="AX331" s="463"/>
      <c r="AY331" s="463"/>
      <c r="AZ331" s="463"/>
      <c r="BA331" s="463"/>
      <c r="BB331" s="463"/>
      <c r="BC331" s="463"/>
      <c r="BD331" s="463"/>
      <c r="BE331" s="463"/>
      <c r="BF331" s="463"/>
      <c r="BG331" s="463"/>
      <c r="BH331" s="463"/>
      <c r="BI331" s="463"/>
      <c r="BJ331" s="463"/>
      <c r="BK331" s="463"/>
      <c r="BL331" s="463"/>
      <c r="BM331" s="463"/>
      <c r="BN331" s="463"/>
      <c r="BO331" s="463"/>
      <c r="BP331" s="463"/>
      <c r="BQ331" s="463"/>
      <c r="BR331" s="463"/>
      <c r="BS331" s="463"/>
      <c r="BT331" s="463"/>
      <c r="BU331" s="463"/>
      <c r="BV331" s="463"/>
      <c r="BW331" s="463"/>
      <c r="BX331" s="463"/>
      <c r="BY331" s="463"/>
      <c r="BZ331" s="463"/>
      <c r="CA331" s="463"/>
      <c r="CB331" s="463"/>
      <c r="CC331" s="463"/>
      <c r="CD331" s="463"/>
      <c r="CE331" s="463"/>
      <c r="CF331" s="463"/>
      <c r="CG331" s="463"/>
      <c r="CH331" s="463"/>
      <c r="CI331" s="463"/>
      <c r="CJ331" s="463"/>
      <c r="CK331" s="463"/>
      <c r="CL331" s="463"/>
      <c r="CM331" s="463"/>
      <c r="CN331" s="463"/>
      <c r="CO331" s="463"/>
      <c r="CP331" s="463"/>
      <c r="CQ331" s="463"/>
      <c r="CR331" s="463"/>
      <c r="CS331" s="463"/>
      <c r="CT331" s="463"/>
      <c r="CU331" s="463"/>
      <c r="CV331" s="463"/>
      <c r="CW331" s="463"/>
      <c r="CX331" s="463"/>
      <c r="CY331" s="463"/>
      <c r="CZ331" s="463"/>
      <c r="DA331" s="463"/>
      <c r="DB331" s="463"/>
      <c r="DC331" s="463"/>
      <c r="DD331" s="463"/>
      <c r="DE331" s="463"/>
      <c r="DF331" s="463"/>
      <c r="DG331" s="463"/>
      <c r="DH331" s="463"/>
      <c r="DI331" s="463"/>
      <c r="DJ331" s="463"/>
      <c r="DK331" s="463"/>
      <c r="DL331" s="463"/>
      <c r="DM331" s="463"/>
      <c r="DN331" s="463"/>
      <c r="DO331" s="463"/>
      <c r="DP331" s="463"/>
      <c r="DQ331" s="463"/>
      <c r="DR331" s="463"/>
      <c r="DS331" s="463"/>
      <c r="DT331" s="463"/>
      <c r="DU331" s="463"/>
      <c r="DV331" s="463"/>
      <c r="DW331" s="463"/>
      <c r="DX331" s="463"/>
      <c r="DY331" s="463"/>
      <c r="DZ331" s="463"/>
      <c r="EA331" s="463"/>
      <c r="EB331" s="463"/>
    </row>
    <row r="332" spans="1:132" x14ac:dyDescent="0.2">
      <c r="A332" s="463"/>
      <c r="B332" s="463"/>
      <c r="C332" s="463"/>
      <c r="D332" s="463"/>
      <c r="E332" s="463"/>
      <c r="F332" s="463"/>
      <c r="G332" s="463"/>
      <c r="H332" s="463"/>
      <c r="I332" s="463"/>
      <c r="J332" s="463"/>
      <c r="K332" s="463"/>
      <c r="L332" s="463"/>
      <c r="M332" s="463"/>
      <c r="N332" s="463"/>
      <c r="O332" s="463"/>
      <c r="P332" s="463"/>
      <c r="Q332" s="463"/>
      <c r="R332" s="463"/>
      <c r="S332" s="463"/>
      <c r="T332" s="463"/>
      <c r="U332" s="463"/>
      <c r="V332" s="463"/>
      <c r="W332" s="463"/>
      <c r="X332" s="463"/>
      <c r="Y332" s="463"/>
      <c r="Z332" s="463"/>
      <c r="AA332" s="463"/>
      <c r="AB332" s="463"/>
      <c r="AC332" s="463"/>
      <c r="AD332" s="463"/>
      <c r="AE332" s="463"/>
      <c r="AF332" s="463"/>
      <c r="AG332" s="463"/>
      <c r="AH332" s="463"/>
      <c r="AI332" s="463"/>
      <c r="AJ332" s="463"/>
      <c r="AK332" s="463"/>
      <c r="AL332" s="463"/>
      <c r="AM332" s="463"/>
      <c r="AN332" s="463"/>
      <c r="AO332" s="463"/>
      <c r="AP332" s="463"/>
      <c r="AQ332" s="463"/>
      <c r="AR332" s="463"/>
      <c r="AS332" s="463"/>
      <c r="AT332" s="463"/>
      <c r="AU332" s="463"/>
      <c r="AV332" s="463"/>
      <c r="AW332" s="463"/>
      <c r="AX332" s="463"/>
      <c r="AY332" s="463"/>
      <c r="AZ332" s="463"/>
      <c r="BA332" s="463"/>
      <c r="BB332" s="463"/>
      <c r="BC332" s="463"/>
      <c r="BD332" s="463"/>
      <c r="BE332" s="463"/>
      <c r="BF332" s="463"/>
      <c r="BG332" s="463"/>
      <c r="BH332" s="463"/>
      <c r="BI332" s="463"/>
      <c r="BJ332" s="463"/>
      <c r="BK332" s="463"/>
      <c r="BL332" s="463"/>
      <c r="BM332" s="463"/>
      <c r="BN332" s="463"/>
      <c r="BO332" s="463"/>
      <c r="BP332" s="463"/>
      <c r="BQ332" s="463"/>
      <c r="BR332" s="463"/>
      <c r="BS332" s="463"/>
      <c r="BT332" s="463"/>
      <c r="BU332" s="463"/>
      <c r="BV332" s="463"/>
      <c r="BW332" s="463"/>
      <c r="BX332" s="463"/>
      <c r="BY332" s="463"/>
      <c r="BZ332" s="463"/>
      <c r="CA332" s="463"/>
      <c r="CB332" s="463"/>
      <c r="CC332" s="463"/>
      <c r="CD332" s="463"/>
      <c r="CE332" s="463"/>
      <c r="CF332" s="463"/>
      <c r="CG332" s="463"/>
      <c r="CH332" s="463"/>
      <c r="CI332" s="463"/>
      <c r="CJ332" s="463"/>
      <c r="CK332" s="463"/>
      <c r="CL332" s="463"/>
      <c r="CM332" s="463"/>
      <c r="CN332" s="463"/>
      <c r="CO332" s="463"/>
      <c r="CP332" s="463"/>
      <c r="CQ332" s="463"/>
      <c r="CR332" s="463"/>
      <c r="CS332" s="463"/>
      <c r="CT332" s="463"/>
      <c r="CU332" s="463"/>
      <c r="CV332" s="463"/>
      <c r="CW332" s="463"/>
      <c r="CX332" s="463"/>
      <c r="CY332" s="463"/>
      <c r="CZ332" s="463"/>
      <c r="DA332" s="463"/>
      <c r="DB332" s="463"/>
      <c r="DC332" s="463"/>
      <c r="DD332" s="463"/>
      <c r="DE332" s="463"/>
      <c r="DF332" s="463"/>
      <c r="DG332" s="463"/>
      <c r="DH332" s="463"/>
      <c r="DI332" s="463"/>
      <c r="DJ332" s="463"/>
      <c r="DK332" s="463"/>
      <c r="DL332" s="463"/>
      <c r="DM332" s="463"/>
      <c r="DN332" s="463"/>
      <c r="DO332" s="463"/>
      <c r="DP332" s="463"/>
      <c r="DQ332" s="463"/>
      <c r="DR332" s="463"/>
      <c r="DS332" s="463"/>
      <c r="DT332" s="463"/>
      <c r="DU332" s="463"/>
      <c r="DV332" s="463"/>
      <c r="DW332" s="463"/>
      <c r="DX332" s="463"/>
      <c r="DY332" s="463"/>
      <c r="DZ332" s="463"/>
      <c r="EA332" s="463"/>
      <c r="EB332" s="463"/>
    </row>
    <row r="333" spans="1:132" x14ac:dyDescent="0.2">
      <c r="A333" s="238"/>
      <c r="B333" s="464" t="s">
        <v>510</v>
      </c>
      <c r="C333" s="238"/>
      <c r="D333" s="465" t="s">
        <v>511</v>
      </c>
      <c r="E333" s="465">
        <v>24.424262926388213</v>
      </c>
      <c r="F333" s="465">
        <v>9.8710317460317452</v>
      </c>
      <c r="G333" s="465">
        <v>10.44189453125</v>
      </c>
      <c r="H333" s="465">
        <v>10.14892578125</v>
      </c>
      <c r="I333" s="465">
        <v>10.155431937172775</v>
      </c>
      <c r="J333" s="465">
        <v>11.121030741935485</v>
      </c>
      <c r="K333" s="465">
        <v>12.0556640625</v>
      </c>
      <c r="L333" s="465">
        <v>14.033203125</v>
      </c>
      <c r="M333" s="465">
        <v>15.457275390625</v>
      </c>
      <c r="N333" s="465">
        <v>13.848714192708334</v>
      </c>
      <c r="O333" s="465">
        <v>17.524193548387096</v>
      </c>
      <c r="P333" s="465">
        <v>18.312251984126984</v>
      </c>
      <c r="Q333" s="465">
        <v>21.36181640625</v>
      </c>
      <c r="R333" s="465">
        <v>23.93994140625</v>
      </c>
      <c r="S333" s="465">
        <v>21.219813481675391</v>
      </c>
      <c r="T333" s="465">
        <v>25.704133064516128</v>
      </c>
      <c r="U333" s="465">
        <v>23.802083333333332</v>
      </c>
      <c r="V333" s="465">
        <v>22.4248046875</v>
      </c>
      <c r="W333" s="465">
        <v>19.292816156249998</v>
      </c>
      <c r="X333" s="465">
        <v>21.829628188481674</v>
      </c>
      <c r="Y333" s="465">
        <v>17.903655999999998</v>
      </c>
      <c r="Z333" s="465">
        <v>20.49609375</v>
      </c>
      <c r="AA333" s="465">
        <v>20.3779296875</v>
      </c>
      <c r="AB333" s="465">
        <v>26.24267578125</v>
      </c>
      <c r="AC333" s="465">
        <v>22.380592105263158</v>
      </c>
      <c r="AD333" s="465">
        <v>28.703630952380955</v>
      </c>
      <c r="AE333" s="465">
        <v>26.733437500000001</v>
      </c>
      <c r="AF333" s="465">
        <v>18.458833333333335</v>
      </c>
      <c r="AG333" s="465">
        <v>14.238359375</v>
      </c>
      <c r="AH333" s="465">
        <v>19.841844919786098</v>
      </c>
      <c r="AI333" s="465">
        <v>14.751803278688529</v>
      </c>
      <c r="AJ333" s="465">
        <v>16.672499999999999</v>
      </c>
      <c r="AK333" s="465">
        <v>14.175859375</v>
      </c>
      <c r="AL333" s="465">
        <v>13.21890625</v>
      </c>
      <c r="AM333" s="465">
        <v>14.689088541666663</v>
      </c>
      <c r="AN333" s="465">
        <v>12.469435483870972</v>
      </c>
      <c r="AO333" s="465">
        <v>12.91722222222222</v>
      </c>
      <c r="AP333" s="465">
        <v>14.98015625</v>
      </c>
      <c r="AQ333" s="465">
        <v>17.470156249999999</v>
      </c>
      <c r="AR333" s="465">
        <v>15.134057591623034</v>
      </c>
      <c r="AS333" s="465">
        <v>18.048333333333339</v>
      </c>
      <c r="AT333" s="465">
        <v>19.989435483870967</v>
      </c>
      <c r="AU333" s="465">
        <v>20.588046875</v>
      </c>
      <c r="AV333" s="465">
        <v>22.340390625000001</v>
      </c>
      <c r="AW333" s="465">
        <v>20.982973684210531</v>
      </c>
      <c r="AX333" s="465">
        <v>24.586854838709673</v>
      </c>
      <c r="AY333" s="465">
        <v>27.355390624999998</v>
      </c>
      <c r="AZ333" s="465">
        <v>29.635781250000001</v>
      </c>
      <c r="BA333" s="465">
        <v>26.807656250000001</v>
      </c>
      <c r="BB333" s="465">
        <v>27.927303664921475</v>
      </c>
      <c r="BC333" s="465">
        <v>28.432222222222212</v>
      </c>
      <c r="BD333" s="465">
        <v>29.575468749999999</v>
      </c>
      <c r="BE333" s="465">
        <v>33.149374999999999</v>
      </c>
      <c r="BF333" s="465">
        <v>30.10515625</v>
      </c>
      <c r="BG333" s="465">
        <v>30.938421052631575</v>
      </c>
      <c r="BH333" s="465">
        <v>32.606612903225802</v>
      </c>
      <c r="BI333" s="465">
        <v>36.688749999999999</v>
      </c>
      <c r="BJ333" s="465">
        <v>37.040781250000002</v>
      </c>
      <c r="BK333" s="465">
        <v>40.266249999999999</v>
      </c>
      <c r="BL333" s="465">
        <v>38.006701570680633</v>
      </c>
      <c r="BM333" s="465">
        <v>38.90048387096774</v>
      </c>
      <c r="BN333" s="465">
        <v>41.395312500000003</v>
      </c>
      <c r="BO333" s="465">
        <v>37.195</v>
      </c>
      <c r="BP333" s="465">
        <v>28.635000000000002</v>
      </c>
      <c r="BQ333" s="465">
        <v>35.741770833333355</v>
      </c>
      <c r="BR333" s="465">
        <v>27.160645161290315</v>
      </c>
      <c r="BS333" s="465">
        <v>30.563015873015864</v>
      </c>
      <c r="BT333" s="465">
        <v>34.601718750000003</v>
      </c>
      <c r="BU333" s="465">
        <v>33.235937499999999</v>
      </c>
      <c r="BV333" s="465">
        <v>32.811937172774847</v>
      </c>
      <c r="BW333" s="465">
        <v>34.019677419354842</v>
      </c>
      <c r="BX333" s="465">
        <v>34.598412698412702</v>
      </c>
      <c r="BY333" s="465">
        <v>29.561093750000001</v>
      </c>
      <c r="BZ333" s="465">
        <v>32.007695312500005</v>
      </c>
      <c r="CA333" s="465">
        <v>32.042421465968566</v>
      </c>
      <c r="CB333" s="465" t="str">
        <f>_xll.ThomsonONEAddinShim.SpreadsheetFormulas.TF("CVS","avg(TF.PR.Priceclose(sdate=#1+1d,edate=#2,frq=c))",,TEXT(CA4,"YYYYMMDD"),TEXT(CB4,"YYYYMMDD"))</f>
        <v>Manual Calculation</v>
      </c>
      <c r="CC333" s="465" t="str">
        <f>_xll.ThomsonONEAddinShim.SpreadsheetFormulas.TF("CVS","avg(TF.PR.Priceclose(sdate=#1+1d,edate=#2,frq=c))",,TEXT(CB4,"YYYYMMDD"),TEXT(CC4,"YYYYMMDD"))</f>
        <v>Manual Calculation</v>
      </c>
      <c r="CD333" s="465" t="str">
        <f>_xll.ThomsonONEAddinShim.SpreadsheetFormulas.TF("CVS","avg(TF.PR.Priceclose(sdate=#1+1d,edate=#2,frq=c))",,TEXT(CC4,"YYYYMMDD"),TEXT(CD4,"YYYYMMDD"))</f>
        <v>Manual Calculation</v>
      </c>
      <c r="CE333" s="465" t="str">
        <f>_xll.ThomsonONEAddinShim.SpreadsheetFormulas.TF("CVS","avg(TF.PR.Priceclose(sdate=#1+1d,edate=#2,frq=c))",,TEXT(CD4,"YYYYMMDD"),TEXT(CE4,"YYYYMMDD"))</f>
        <v>Manual Calculation</v>
      </c>
      <c r="CF333" s="465" t="str">
        <f>_xll.ThomsonONEAddinShim.SpreadsheetFormulas.TF("CVS","avg(TF.PR.Priceclose(sdate=#1+1d,edate=#2,frq=c))",,TEXT(CA4,"YYYYMMDD"),TEXT(CF4,"YYYYMMDD"))</f>
        <v>Manual Calculation</v>
      </c>
      <c r="CG333" s="465" t="str">
        <f>_xll.ThomsonONEAddinShim.SpreadsheetFormulas.TF("CVS","avg(TF.PR.Priceclose(sdate=#1+1d,edate=#2,frq=c))",,TEXT(CF4,"YYYYMMDD"),TEXT(CG4,"YYYYMMDD"))</f>
        <v>Manual Calculation</v>
      </c>
      <c r="CH333" s="465" t="str">
        <f>_xll.ThomsonONEAddinShim.SpreadsheetFormulas.TF("CVS","avg(TF.PR.Priceclose(sdate=#1+1d,edate=#2,frq=c))",,TEXT(CG4,"YYYYMMDD"),TEXT(CH4,"YYYYMMDD"))</f>
        <v>Manual Calculation</v>
      </c>
      <c r="CI333" s="465" t="str">
        <f>_xll.ThomsonONEAddinShim.SpreadsheetFormulas.TF("CVS","avg(TF.PR.Priceclose(sdate=#1+1d,edate=#2,frq=c))",,TEXT(CH4,"YYYYMMDD"),TEXT(CI4,"YYYYMMDD"))</f>
        <v>Manual Calculation</v>
      </c>
      <c r="CJ333" s="465" t="str">
        <f>_xll.ThomsonONEAddinShim.SpreadsheetFormulas.TF("CVS","avg(TF.PR.Priceclose(sdate=#1+1d,edate=#2,frq=c))",,TEXT(CI4,"YYYYMMDD"),TEXT(CJ4,"YYYYMMDD"))</f>
        <v>Manual Calculation</v>
      </c>
      <c r="CK333" s="465" t="str">
        <f>_xll.ThomsonONEAddinShim.SpreadsheetFormulas.TF("CVS","avg(TF.PR.Priceclose(sdate=#1+1d,edate=#2,frq=c))",,TEXT(CF4,"YYYYMMDD"),TEXT(CK4,"YYYYMMDD"))</f>
        <v>Manual Calculation</v>
      </c>
      <c r="CL333" s="465" t="str">
        <f>_xll.ThomsonONEAddinShim.SpreadsheetFormulas.TF("CVS","avg(TF.PR.Priceclose(sdate=#1+1d,edate=#2,frq=c))",,TEXT(CK4,"YYYYMMDD"),TEXT(CL4,"YYYYMMDD"))</f>
        <v>Manual Calculation</v>
      </c>
      <c r="CM333" s="465" t="str">
        <f>_xll.ThomsonONEAddinShim.SpreadsheetFormulas.TF("CVS","avg(TF.PR.Priceclose(sdate=#1+1d,edate=#2,frq=c))",,TEXT(CL4,"YYYYMMDD"),TEXT(CM4,"YYYYMMDD"))</f>
        <v>Manual Calculation</v>
      </c>
      <c r="CN333" s="465" t="str">
        <f>_xll.ThomsonONEAddinShim.SpreadsheetFormulas.TF("CVS","avg(TF.PR.Priceclose(sdate=#1+1d,edate=#2,frq=c))",,TEXT(CM4,"YYYYMMDD"),TEXT(CN4,"YYYYMMDD"))</f>
        <v>Manual Calculation</v>
      </c>
      <c r="CO333" s="465" t="str">
        <f>_xll.ThomsonONEAddinShim.SpreadsheetFormulas.TF("CVS","avg(TF.PR.Priceclose(sdate=#1+1d,edate=#2,frq=c))",,TEXT(CN4,"YYYYMMDD"),TEXT(CO4,"YYYYMMDD"))</f>
        <v>Manual Calculation</v>
      </c>
      <c r="CP333" s="465" t="str">
        <f>_xll.ThomsonONEAddinShim.SpreadsheetFormulas.TF("CVS","avg(TF.PR.Priceclose(sdate=#1+1d,edate=#2,frq=c))",,TEXT(CK4,"YYYYMMDD"),TEXT(CP4,"YYYYMMDD"))</f>
        <v>Manual Calculation</v>
      </c>
      <c r="CQ333" s="465" t="str">
        <f>_xll.ThomsonONEAddinShim.SpreadsheetFormulas.TF("CVS","avg(TF.PR.Priceclose(sdate=#1+1d,edate=#2,frq=c))",,TEXT(CP4,"YYYYMMDD"),TEXT(CQ4,"YYYYMMDD"))</f>
        <v>Manual Calculation</v>
      </c>
      <c r="CR333" s="465" t="str">
        <f>_xll.ThomsonONEAddinShim.SpreadsheetFormulas.TF("CVS","avg(TF.PR.Priceclose(sdate=#1+1d,edate=#2,frq=c))",,TEXT(CQ4,"YYYYMMDD"),TEXT(CR4,"YYYYMMDD"))</f>
        <v>Manual Calculation</v>
      </c>
      <c r="CS333" s="465" t="str">
        <f>_xll.ThomsonONEAddinShim.SpreadsheetFormulas.TF("CVS","avg(TF.PR.Priceclose(sdate=#1+1d,edate=#2,frq=c))",,TEXT(CR4,"YYYYMMDD"),TEXT(CS4,"YYYYMMDD"))</f>
        <v>Manual Calculation</v>
      </c>
      <c r="CT333" s="465" t="str">
        <f>_xll.ThomsonONEAddinShim.SpreadsheetFormulas.TF("CVS","avg(TF.PR.Priceclose(sdate=#1+1d,edate=#2,frq=c))",,TEXT(CS4,"YYYYMMDD"),TEXT(CT4,"YYYYMMDD"))</f>
        <v>Manual Calculation</v>
      </c>
      <c r="CU333" s="465" t="str">
        <f>_xll.ThomsonONEAddinShim.SpreadsheetFormulas.TF("CVS","avg(TF.PR.Priceclose(sdate=#1+1d,edate=#2,frq=c))",,TEXT(CP4,"YYYYMMDD"),TEXT(CU4,"YYYYMMDD"))</f>
        <v>Manual Calculation</v>
      </c>
      <c r="CV333" s="465" t="str">
        <f>_xll.ThomsonONEAddinShim.SpreadsheetFormulas.TF("CVS","avg(TF.PR.Priceclose(sdate=#1+1d,edate=#2,frq=c))",,TEXT(CU4,"YYYYMMDD"),TEXT(CV4,"YYYYMMDD"))</f>
        <v xml:space="preserve">$101.17 </v>
      </c>
      <c r="CW333" s="465" t="str">
        <f>_xll.ThomsonONEAddinShim.SpreadsheetFormulas.TF("CVS","avg(TF.PR.Priceclose(sdate=#1+1d,edate=#2,frq=c))",,TEXT(CV4,"YYYYMMDD"),TEXT(CW4,"YYYYMMDD"))</f>
        <v xml:space="preserve">$102.21 </v>
      </c>
      <c r="CX333" s="465" t="str">
        <f>_xll.ThomsonONEAddinShim.SpreadsheetFormulas.TF("CVS","avg(TF.PR.Priceclose(sdate=#1+1d,edate=#2,frq=c))",,TEXT(CW4,"YYYYMMDD"),TEXT(CX4,"YYYYMMDD"))</f>
        <v xml:space="preserve">$105.21 </v>
      </c>
      <c r="CY333" s="465" t="str">
        <f>_xll.ThomsonONEAddinShim.SpreadsheetFormulas.TF("CVS","avg(TF.PR.Priceclose(sdate=#1+1d,edate=#2,frq=c))",,TEXT(CX4,"YYYYMMDD"),TEXT(CY4,"YYYYMMDD"))</f>
        <v xml:space="preserve">$97.89 </v>
      </c>
      <c r="CZ333" s="465" t="str">
        <f>_xll.ThomsonONEAddinShim.SpreadsheetFormulas.TF("CVS","avg(TF.PR.Priceclose(sdate=#1+1d,edate=#2,frq=c))",,TEXT(CU4,"YYYYMMDD"),TEXT(CZ4,"YYYYMMDD"))</f>
        <v xml:space="preserve">$101.62 </v>
      </c>
      <c r="DA333" s="465" t="str">
        <f>_xll.ThomsonONEAddinShim.SpreadsheetFormulas.TF("CVS","avg(TF.PR.Priceclose(sdate=#1+1d,edate=#2,frq=c))",,TEXT(CZ4,"YYYYMMDD"),TEXT(DA4,"YYYYMMDD"))</f>
        <v xml:space="preserve">$97.23 </v>
      </c>
      <c r="DB333" s="465" t="str">
        <f>_xll.ThomsonONEAddinShim.SpreadsheetFormulas.TF("CVS","avg(TF.PR.Priceclose(sdate=#1+1d,edate=#2,frq=c))",,TEXT(DA4,"YYYYMMDD"),TEXT(DB4,"YYYYMMDD"))</f>
        <v xml:space="preserve">$99.62 </v>
      </c>
      <c r="DC333" s="465" t="str">
        <f>_xll.ThomsonONEAddinShim.SpreadsheetFormulas.TF("CVS","avg(TF.PR.Priceclose(sdate=#1+1d,edate=#2,frq=c))",,TEXT(DB4,"YYYYMMDD"),TEXT(DC4,"YYYYMMDD"))</f>
        <v xml:space="preserve">$94.39 </v>
      </c>
      <c r="DD333" s="465" t="str">
        <f>_xll.ThomsonONEAddinShim.SpreadsheetFormulas.TF("CVS","avg(TF.PR.Priceclose(sdate=#1+1d,edate=#2,frq=c))",,TEXT(DC4,"YYYYMMDD"),TEXT(DD4,"YYYYMMDD"))</f>
        <v xml:space="preserve">$80.78 </v>
      </c>
      <c r="DE333" s="465" t="str">
        <f>_xll.ThomsonONEAddinShim.SpreadsheetFormulas.TF("CVS","avg(TF.PR.Priceclose(sdate=#1+1d,edate=#2,frq=c))",,TEXT(CZ4,"YYYYMMDD"),TEXT(DE4,"YYYYMMDD"))</f>
        <v xml:space="preserve">$92.99 </v>
      </c>
      <c r="DF333" s="465" t="str">
        <f>_xll.ThomsonONEAddinShim.SpreadsheetFormulas.TF("CVS","avg(TF.PR.Priceclose(sdate=#1+1d,edate=#2,frq=c))",,TEXT(DE4,"YYYYMMDD"),TEXT(DF4,"YYYYMMDD"))</f>
        <v xml:space="preserve">$79.87 </v>
      </c>
      <c r="DG333" s="465" t="str">
        <f>_xll.ThomsonONEAddinShim.SpreadsheetFormulas.TF("CVS","avg(TF.PR.Priceclose(sdate=#1+1d,edate=#2,frq=c))",,TEXT(DF4,"YYYYMMDD"),TEXT(DG4,"YYYYMMDD"))</f>
        <v xml:space="preserve">$79.37 </v>
      </c>
      <c r="DH333" s="465" t="str">
        <f>_xll.ThomsonONEAddinShim.SpreadsheetFormulas.TF("CVS","avg(TF.PR.Priceclose(sdate=#1+1d,edate=#2,frq=c))",,TEXT(DG4,"YYYYMMDD"),TEXT(DH4,"YYYYMMDD"))</f>
        <v xml:space="preserve">$79.12 </v>
      </c>
      <c r="DI333" s="465" t="str">
        <f>_xll.ThomsonONEAddinShim.SpreadsheetFormulas.TF("CVS","avg(TF.PR.Priceclose(sdate=#1+1d,edate=#2,frq=c))",,TEXT(DH4,"YYYYMMDD"),TEXT(DI4,"YYYYMMDD"))</f>
        <v xml:space="preserve">$79.12 </v>
      </c>
      <c r="DJ333" s="465" t="str">
        <f>_xll.ThomsonONEAddinShim.SpreadsheetFormulas.TF("CVS","avg(TF.PR.Priceclose(sdate=#1+1d,edate=#2,frq=c))",,TEXT(DE4,"YYYYMMDD"),TEXT(DJ4,"YYYYMMDD"))</f>
        <v xml:space="preserve">$79.37 </v>
      </c>
      <c r="DK333" s="465" t="str">
        <f>_xll.ThomsonONEAddinShim.SpreadsheetFormulas.TF("CVS","avg(TF.PR.Priceclose(sdate=#1+1d,edate=#2,frq=c))",,TEXT(DJ4,"YYYYMMDD"),TEXT(DK4,"YYYYMMDD"))</f>
        <v xml:space="preserve">$79.57 </v>
      </c>
      <c r="DL333" s="465" t="str">
        <f>_xll.ThomsonONEAddinShim.SpreadsheetFormulas.TF("CVS","avg(TF.PR.Priceclose(sdate=#1+1d,edate=#2,frq=c))",,TEXT(DK4,"YYYYMMDD"),TEXT(DL4,"YYYYMMDD"))</f>
        <v xml:space="preserve">$79.37 </v>
      </c>
      <c r="DM333" s="465" t="str">
        <f>_xll.ThomsonONEAddinShim.SpreadsheetFormulas.TF("CVS","avg(TF.PR.Priceclose(sdate=#1+1d,edate=#2,frq=c))",,TEXT(DL4,"YYYYMMDD"),TEXT(DM4,"YYYYMMDD"))</f>
        <v xml:space="preserve">$79.12 </v>
      </c>
      <c r="DN333" s="465" t="str">
        <f>_xll.ThomsonONEAddinShim.SpreadsheetFormulas.TF("CVS","avg(TF.PR.Priceclose(sdate=#1+1d,edate=#2,frq=c))",,TEXT(DM4,"YYYYMMDD"),TEXT(DN4,"YYYYMMDD"))</f>
        <v xml:space="preserve">$79.12 </v>
      </c>
      <c r="DO333" s="465" t="str">
        <f>_xll.ThomsonONEAddinShim.SpreadsheetFormulas.TF("CVS","avg(TF.PR.Priceclose(sdate=#1+1d,edate=#2,frq=c))",,TEXT(DJ4,"YYYYMMDD"),TEXT(DO4,"YYYYMMDD"))</f>
        <v xml:space="preserve">$79.12 </v>
      </c>
      <c r="DP333" s="465" t="str">
        <f>_xll.ThomsonONEAddinShim.SpreadsheetFormulas.TF("CVS","avg(TF.PR.Priceclose(sdate=#1+1d,edate=#2,frq=c))",,TEXT(DO4,"YYYYMMDD"),TEXT(DP4,"YYYYMMDD"))</f>
        <v xml:space="preserve">$79.57 </v>
      </c>
      <c r="DQ333" s="465" t="str">
        <f>_xll.ThomsonONEAddinShim.SpreadsheetFormulas.TF("CVS","avg(TF.PR.Priceclose(sdate=#1+1d,edate=#2,frq=c))",,TEXT(DP4,"YYYYMMDD"),TEXT(DQ4,"YYYYMMDD"))</f>
        <v xml:space="preserve">$79.37 </v>
      </c>
      <c r="DR333" s="465" t="str">
        <f>_xll.ThomsonONEAddinShim.SpreadsheetFormulas.TF("CVS","avg(TF.PR.Priceclose(sdate=#1+1d,edate=#2,frq=c))",,TEXT(DQ4,"YYYYMMDD"),TEXT(DR4,"YYYYMMDD"))</f>
        <v xml:space="preserve">$79.12 </v>
      </c>
      <c r="DS333" s="465" t="str">
        <f>_xll.ThomsonONEAddinShim.SpreadsheetFormulas.TF("CVS","avg(TF.PR.Priceclose(sdate=#1+1d,edate=#2,frq=c))",,TEXT(DR4,"YYYYMMDD"),TEXT(DS4,"YYYYMMDD"))</f>
        <v xml:space="preserve">$79.12 </v>
      </c>
      <c r="DT333" s="465" t="str">
        <f>_xll.ThomsonONEAddinShim.SpreadsheetFormulas.TF("CVS","avg(TF.PR.Priceclose(sdate=#1+1d,edate=#2,frq=c))",,TEXT(DO4,"YYYYMMDD"),TEXT(DT4,"YYYYMMDD"))</f>
        <v xml:space="preserve">$79.12 </v>
      </c>
      <c r="DU333" s="465" t="str">
        <f>_xll.ThomsonONEAddinShim.SpreadsheetFormulas.TF("CVS","avg(TF.PR.Priceclose(sdate=#1+1d,edate=#2,frq=c))",,TEXT(DT4,"YYYYMMDD"),TEXT(DU4,"YYYYMMDD"))</f>
        <v xml:space="preserve">$79.57 </v>
      </c>
      <c r="DV333" s="465" t="str">
        <f>_xll.ThomsonONEAddinShim.SpreadsheetFormulas.TF("CVS","avg(TF.PR.Priceclose(sdate=#1+1d,edate=#2,frq=c))",,TEXT(DU4,"YYYYMMDD"),TEXT(DV4,"YYYYMMDD"))</f>
        <v xml:space="preserve">$79.37 </v>
      </c>
      <c r="DW333" s="465" t="str">
        <f>_xll.ThomsonONEAddinShim.SpreadsheetFormulas.TF("CVS","avg(TF.PR.Priceclose(sdate=#1+1d,edate=#2,frq=c))",,TEXT(DV4,"YYYYMMDD"),TEXT(DW4,"YYYYMMDD"))</f>
        <v xml:space="preserve">$79.12 </v>
      </c>
      <c r="DX333" s="465" t="str">
        <f>_xll.ThomsonONEAddinShim.SpreadsheetFormulas.TF("CVS","avg(TF.PR.Priceclose(sdate=#1+1d,edate=#2,frq=c))",,TEXT(DW4,"YYYYMMDD"),TEXT(DX4,"YYYYMMDD"))</f>
        <v xml:space="preserve">$79.12 </v>
      </c>
      <c r="DY333" s="465" t="str">
        <f>_xll.ThomsonONEAddinShim.SpreadsheetFormulas.TF("CVS","avg(TF.PR.Priceclose(sdate=#1+1d,edate=#2,frq=c))",,TEXT(DT4,"YYYYMMDD"),TEXT(DY4,"YYYYMMDD"))</f>
        <v xml:space="preserve">$79.12 </v>
      </c>
      <c r="DZ333" s="238"/>
      <c r="EA333" s="238"/>
      <c r="EB333" s="238"/>
    </row>
    <row r="335" spans="1:132" x14ac:dyDescent="0.2">
      <c r="CL335" s="590"/>
    </row>
  </sheetData>
  <phoneticPr fontId="5" type="noConversion"/>
  <pageMargins left="0.25" right="0.25" top="0.38" bottom="0.36" header="0.25" footer="0.25"/>
  <pageSetup paperSize="5" fitToHeight="4" orientation="landscape" r:id="rId1"/>
  <headerFooter alignWithMargins="0"/>
  <rowBreaks count="3" manualBreakCount="3">
    <brk id="133" min="1" max="103" man="1"/>
    <brk id="191" min="1" max="103" man="1"/>
    <brk id="294" min="1" max="103" man="1"/>
  </rowBreaks>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enableFormatConditionsCalculation="0">
    <tabColor indexed="55"/>
    <pageSetUpPr fitToPage="1"/>
  </sheetPr>
  <dimension ref="B1:BS103"/>
  <sheetViews>
    <sheetView showGridLines="0" zoomScale="90" zoomScaleNormal="90" zoomScaleSheetLayoutView="115" workbookViewId="0">
      <selection activeCell="BL25" sqref="BL25"/>
    </sheetView>
  </sheetViews>
  <sheetFormatPr defaultRowHeight="12.75" outlineLevelRow="1" outlineLevelCol="1" x14ac:dyDescent="0.2"/>
  <cols>
    <col min="1" max="1" width="7.42578125" style="2941" customWidth="1"/>
    <col min="2" max="2" width="27.140625" style="2941" customWidth="1"/>
    <col min="3" max="3" width="2" style="2941" hidden="1" customWidth="1" outlineLevel="1"/>
    <col min="4" max="4" width="28" style="2941" hidden="1" customWidth="1" outlineLevel="1"/>
    <col min="5" max="5" width="19.7109375" style="2941" hidden="1" customWidth="1" outlineLevel="1" collapsed="1"/>
    <col min="6" max="6" width="28" style="2941" hidden="1" customWidth="1" outlineLevel="1"/>
    <col min="7" max="7" width="28" style="2941" hidden="1" customWidth="1"/>
    <col min="8" max="8" width="3" style="2940" hidden="1" customWidth="1"/>
    <col min="9" max="9" width="22.140625" style="2941" hidden="1" customWidth="1"/>
    <col min="10" max="11" width="14.7109375" style="2941" hidden="1" customWidth="1" outlineLevel="1"/>
    <col min="12" max="12" width="9.28515625" style="2941" hidden="1" customWidth="1" outlineLevel="1"/>
    <col min="13" max="14" width="14.7109375" style="2941" hidden="1" customWidth="1" outlineLevel="1"/>
    <col min="15" max="15" width="17.42578125" style="2941" hidden="1" customWidth="1" outlineLevel="1"/>
    <col min="16" max="16" width="1.28515625" style="2941" hidden="1" customWidth="1" outlineLevel="1"/>
    <col min="17" max="17" width="18.7109375" style="2941" hidden="1" customWidth="1"/>
    <col min="18" max="18" width="16.42578125" style="2941" hidden="1" customWidth="1" collapsed="1"/>
    <col min="19" max="19" width="24.140625" style="2941" hidden="1" customWidth="1"/>
    <col min="20" max="20" width="11.5703125" style="2941" hidden="1" customWidth="1"/>
    <col min="21" max="21" width="16.7109375" style="2941" hidden="1" customWidth="1" outlineLevel="1"/>
    <col min="22" max="23" width="16.7109375" style="2941" hidden="1" customWidth="1"/>
    <col min="24" max="24" width="4.7109375" style="2941" hidden="1" customWidth="1"/>
    <col min="25" max="27" width="22.5703125" style="2941" hidden="1" customWidth="1"/>
    <col min="28" max="29" width="16.7109375" style="2941" hidden="1" customWidth="1"/>
    <col min="30" max="30" width="22.5703125" style="2941" hidden="1" customWidth="1"/>
    <col min="31" max="31" width="16.7109375" style="2941" hidden="1" customWidth="1"/>
    <col min="32" max="32" width="16.28515625" style="2941" hidden="1" customWidth="1"/>
    <col min="33" max="36" width="20.85546875" style="2941" hidden="1" customWidth="1"/>
    <col min="37" max="37" width="16.28515625" style="2941" hidden="1" customWidth="1"/>
    <col min="38" max="38" width="2.5703125" style="2941" hidden="1" customWidth="1"/>
    <col min="39" max="39" width="20.85546875" style="2941" hidden="1" customWidth="1"/>
    <col min="40" max="40" width="16.28515625" style="2941" hidden="1" customWidth="1"/>
    <col min="41" max="41" width="20.85546875" style="2941" hidden="1" customWidth="1"/>
    <col min="42" max="42" width="16.28515625" style="2941" hidden="1" customWidth="1"/>
    <col min="43" max="43" width="20.85546875" style="2941" hidden="1" customWidth="1"/>
    <col min="44" max="44" width="16.28515625" style="2941" hidden="1" customWidth="1"/>
    <col min="45" max="45" width="20.85546875" style="2941" hidden="1" customWidth="1"/>
    <col min="46" max="46" width="16.28515625" style="2941" hidden="1" customWidth="1"/>
    <col min="47" max="47" width="20.85546875" style="2941" hidden="1" customWidth="1"/>
    <col min="48" max="48" width="16.28515625" style="2941" hidden="1" customWidth="1"/>
    <col min="49" max="49" width="20.85546875" style="2941" hidden="1" customWidth="1"/>
    <col min="50" max="50" width="16.28515625" style="2941" hidden="1" customWidth="1"/>
    <col min="51" max="51" width="20.85546875" style="2941" hidden="1" customWidth="1"/>
    <col min="52" max="52" width="26.42578125" style="2941" hidden="1" customWidth="1"/>
    <col min="53" max="53" width="20.85546875" style="2941" hidden="1" customWidth="1"/>
    <col min="54" max="57" width="16.28515625" style="2942" hidden="1" customWidth="1"/>
    <col min="58" max="64" width="11.7109375" style="2941" customWidth="1"/>
    <col min="65" max="65" width="9.140625" style="2941"/>
    <col min="66" max="66" width="10.140625" style="2941" bestFit="1" customWidth="1"/>
    <col min="67" max="67" width="9.140625" style="2941"/>
    <col min="68" max="68" width="1.7109375" style="2941" customWidth="1"/>
    <col min="69" max="71" width="9.7109375" style="2941" bestFit="1" customWidth="1"/>
    <col min="72" max="16384" width="9.140625" style="2941"/>
  </cols>
  <sheetData>
    <row r="1" spans="2:71" ht="13.5" thickBot="1" x14ac:dyDescent="0.25">
      <c r="B1" s="2939"/>
      <c r="C1" s="2939"/>
      <c r="D1" s="2939"/>
      <c r="E1" s="2939"/>
      <c r="F1" s="2939"/>
      <c r="G1" s="2939"/>
      <c r="I1" s="2939"/>
      <c r="J1" s="2939"/>
      <c r="K1" s="2939"/>
      <c r="M1" s="2939"/>
      <c r="N1" s="2939"/>
      <c r="O1" s="2939"/>
      <c r="P1" s="2939"/>
      <c r="Q1" s="2939"/>
      <c r="R1" s="2939"/>
      <c r="S1" s="2939"/>
      <c r="T1" s="508"/>
      <c r="U1" s="2939"/>
      <c r="V1" s="2939"/>
      <c r="W1" s="508"/>
      <c r="X1" s="2939"/>
      <c r="Y1" s="508"/>
      <c r="Z1" s="508"/>
      <c r="AA1" s="508"/>
      <c r="AB1" s="508"/>
      <c r="AD1" s="508"/>
      <c r="AE1" s="508"/>
    </row>
    <row r="2" spans="2:71" ht="13.5" thickBot="1" x14ac:dyDescent="0.25">
      <c r="B2" s="479" t="s">
        <v>533</v>
      </c>
      <c r="C2" s="480">
        <v>2012</v>
      </c>
      <c r="D2" s="480">
        <v>2012</v>
      </c>
      <c r="E2" s="481"/>
      <c r="F2" s="480"/>
      <c r="G2" s="480"/>
      <c r="H2" s="1612"/>
      <c r="I2" s="480"/>
      <c r="J2" s="482"/>
      <c r="K2" s="480"/>
      <c r="L2" s="2943"/>
      <c r="M2" s="484"/>
      <c r="N2" s="485"/>
      <c r="O2" s="480"/>
      <c r="P2" s="480"/>
      <c r="Q2" s="480"/>
      <c r="R2" s="480"/>
      <c r="S2" s="480"/>
      <c r="T2" s="480"/>
      <c r="U2" s="480"/>
      <c r="V2" s="480"/>
      <c r="W2" s="480"/>
      <c r="X2" s="480"/>
      <c r="Y2" s="480"/>
      <c r="Z2" s="480"/>
      <c r="AA2" s="480"/>
      <c r="AB2" s="480"/>
      <c r="AC2" s="2943"/>
      <c r="AD2" s="480"/>
      <c r="AE2" s="480"/>
      <c r="AF2" s="2943"/>
      <c r="AG2" s="480"/>
      <c r="AH2" s="480"/>
      <c r="AI2" s="480"/>
      <c r="AJ2" s="480"/>
      <c r="AK2" s="480"/>
      <c r="AL2" s="2943"/>
      <c r="AM2" s="480"/>
      <c r="AN2" s="480"/>
      <c r="AO2" s="480"/>
      <c r="AP2" s="480"/>
      <c r="AQ2" s="480"/>
      <c r="AR2" s="480"/>
      <c r="AS2" s="480"/>
      <c r="AT2" s="480"/>
      <c r="AU2" s="480"/>
      <c r="AV2" s="480"/>
      <c r="AW2" s="480"/>
      <c r="AX2" s="480"/>
      <c r="AY2" s="480"/>
      <c r="BF2" s="2902" t="s">
        <v>1661</v>
      </c>
      <c r="BG2" s="2903"/>
      <c r="BH2" s="2903"/>
      <c r="BI2" s="2902"/>
      <c r="BM2" s="2944"/>
      <c r="BN2" s="2944"/>
      <c r="BO2" s="2944"/>
      <c r="BP2" s="2945"/>
      <c r="BQ2" s="2944"/>
      <c r="BR2" s="2944"/>
      <c r="BS2" s="2944"/>
    </row>
    <row r="3" spans="2:71" ht="13.5" thickBot="1" x14ac:dyDescent="0.25">
      <c r="B3" s="2892" t="s">
        <v>1362</v>
      </c>
      <c r="C3" s="2768" t="s">
        <v>534</v>
      </c>
      <c r="D3" s="2768" t="s">
        <v>535</v>
      </c>
      <c r="E3" s="2768" t="s">
        <v>536</v>
      </c>
      <c r="F3" s="2855" t="s">
        <v>537</v>
      </c>
      <c r="G3" s="2855" t="s">
        <v>328</v>
      </c>
      <c r="H3" s="2885"/>
      <c r="I3" s="2855" t="s">
        <v>9</v>
      </c>
      <c r="J3" s="2869"/>
      <c r="K3" s="2768"/>
      <c r="L3" s="2945"/>
      <c r="M3" s="486" t="s">
        <v>538</v>
      </c>
      <c r="N3" s="487"/>
      <c r="O3" s="2768"/>
      <c r="P3" s="2768" t="s">
        <v>324</v>
      </c>
      <c r="Q3" s="2855" t="s">
        <v>1258</v>
      </c>
      <c r="R3" s="489"/>
      <c r="S3" s="2855" t="s">
        <v>1097</v>
      </c>
      <c r="T3" s="1690"/>
      <c r="U3" s="2768"/>
      <c r="V3" s="2768"/>
      <c r="W3" s="1690"/>
      <c r="X3" s="2768"/>
      <c r="Y3" s="1690"/>
      <c r="Z3" s="1690" t="s">
        <v>1247</v>
      </c>
      <c r="AA3" s="1690"/>
      <c r="AB3" s="1690"/>
      <c r="AC3" s="2945"/>
      <c r="AD3" s="1690" t="s">
        <v>1277</v>
      </c>
      <c r="AE3" s="1690"/>
      <c r="AF3" s="2945"/>
      <c r="AG3" s="1690" t="s">
        <v>1289</v>
      </c>
      <c r="AH3" s="1690"/>
      <c r="AI3" s="1690"/>
      <c r="AJ3" s="1690"/>
      <c r="AK3" s="1690"/>
      <c r="AL3" s="2945"/>
      <c r="AM3" s="1690"/>
      <c r="AN3" s="1690"/>
      <c r="AO3" s="1690"/>
      <c r="AP3" s="1690"/>
      <c r="AQ3" s="1690"/>
      <c r="AR3" s="1690"/>
      <c r="AS3" s="1690"/>
      <c r="AT3" s="1690"/>
      <c r="AU3" s="1690"/>
      <c r="AV3" s="1690"/>
      <c r="AW3" s="1690"/>
      <c r="AX3" s="1690"/>
      <c r="AY3" s="1690"/>
      <c r="BF3" s="2921" t="s">
        <v>1660</v>
      </c>
      <c r="BG3" s="2922"/>
      <c r="BH3" s="2923"/>
      <c r="BI3" s="489"/>
      <c r="BM3" s="2946"/>
      <c r="BN3" s="2946"/>
      <c r="BO3" s="2946"/>
      <c r="BP3" s="2945"/>
      <c r="BQ3" s="2946"/>
      <c r="BR3" s="2946"/>
      <c r="BS3" s="2946"/>
    </row>
    <row r="4" spans="2:71" ht="18.75" customHeight="1" thickBot="1" x14ac:dyDescent="0.25">
      <c r="B4" s="479" t="s">
        <v>539</v>
      </c>
      <c r="C4" s="488" t="s">
        <v>540</v>
      </c>
      <c r="D4" s="480">
        <v>2012</v>
      </c>
      <c r="E4" s="481" t="s">
        <v>541</v>
      </c>
      <c r="F4" s="489" t="s">
        <v>542</v>
      </c>
      <c r="G4" s="489" t="s">
        <v>543</v>
      </c>
      <c r="H4" s="1613"/>
      <c r="I4" s="489" t="s">
        <v>11</v>
      </c>
      <c r="J4" s="2886" t="s">
        <v>544</v>
      </c>
      <c r="K4" s="2887" t="s">
        <v>545</v>
      </c>
      <c r="L4" s="2945"/>
      <c r="M4" s="487" t="s">
        <v>544</v>
      </c>
      <c r="N4" s="2887" t="s">
        <v>545</v>
      </c>
      <c r="O4" s="2887"/>
      <c r="P4" s="2887"/>
      <c r="Q4" s="489" t="s">
        <v>1259</v>
      </c>
      <c r="R4" s="489" t="s">
        <v>1203</v>
      </c>
      <c r="S4" s="489" t="s">
        <v>1098</v>
      </c>
      <c r="T4" s="1690" t="s">
        <v>1230</v>
      </c>
      <c r="U4" s="2887" t="s">
        <v>545</v>
      </c>
      <c r="V4" s="2888" t="s">
        <v>1096</v>
      </c>
      <c r="W4" s="1690" t="s">
        <v>1230</v>
      </c>
      <c r="X4" s="2888" t="s">
        <v>1229</v>
      </c>
      <c r="Y4" s="1690" t="s">
        <v>82</v>
      </c>
      <c r="Z4" s="1690" t="s">
        <v>82</v>
      </c>
      <c r="AA4" s="1690" t="s">
        <v>30</v>
      </c>
      <c r="AB4" s="1690" t="s">
        <v>38</v>
      </c>
      <c r="AC4" s="2945"/>
      <c r="AD4" s="1690" t="s">
        <v>1268</v>
      </c>
      <c r="AE4" s="1690" t="s">
        <v>1269</v>
      </c>
      <c r="AF4" s="1690" t="s">
        <v>545</v>
      </c>
      <c r="AG4" s="1690" t="s">
        <v>1303</v>
      </c>
      <c r="AH4" s="1690" t="s">
        <v>1329</v>
      </c>
      <c r="AI4" s="1690" t="s">
        <v>1374</v>
      </c>
      <c r="AJ4" s="1690" t="s">
        <v>1394</v>
      </c>
      <c r="AK4" s="1690" t="s">
        <v>1395</v>
      </c>
      <c r="AL4" s="2945"/>
      <c r="AM4" s="1690" t="s">
        <v>1441</v>
      </c>
      <c r="AN4" s="1690" t="s">
        <v>1442</v>
      </c>
      <c r="AO4" s="1690" t="s">
        <v>1476</v>
      </c>
      <c r="AP4" s="1690" t="s">
        <v>1477</v>
      </c>
      <c r="AQ4" s="1690" t="s">
        <v>1497</v>
      </c>
      <c r="AR4" s="1690" t="s">
        <v>1498</v>
      </c>
      <c r="AS4" s="1690" t="s">
        <v>1520</v>
      </c>
      <c r="AT4" s="1690" t="s">
        <v>1521</v>
      </c>
      <c r="AU4" s="1690" t="s">
        <v>1548</v>
      </c>
      <c r="AV4" s="1690" t="s">
        <v>1549</v>
      </c>
      <c r="AW4" s="1690" t="s">
        <v>1596</v>
      </c>
      <c r="AX4" s="1690" t="s">
        <v>1597</v>
      </c>
      <c r="AY4" s="1690" t="s">
        <v>1600</v>
      </c>
      <c r="BF4" s="2947" t="s">
        <v>412</v>
      </c>
      <c r="BG4" s="2948" t="s">
        <v>413</v>
      </c>
      <c r="BH4" s="2949" t="s">
        <v>1657</v>
      </c>
      <c r="BI4" s="489" t="str">
        <f>"MS "&amp;BF3</f>
        <v>MS 1Q18</v>
      </c>
      <c r="BM4" s="2950"/>
      <c r="BN4" s="2950"/>
      <c r="BO4" s="2950"/>
      <c r="BP4" s="2945"/>
      <c r="BQ4" s="2950"/>
      <c r="BR4" s="2950"/>
      <c r="BS4" s="2950"/>
    </row>
    <row r="5" spans="2:71" x14ac:dyDescent="0.2">
      <c r="B5" s="2621" t="s">
        <v>529</v>
      </c>
      <c r="C5" s="2951" t="s">
        <v>546</v>
      </c>
      <c r="D5" s="2951" t="s">
        <v>547</v>
      </c>
      <c r="E5" s="2951" t="s">
        <v>548</v>
      </c>
      <c r="F5" s="2951" t="s">
        <v>549</v>
      </c>
      <c r="G5" s="2951" t="s">
        <v>550</v>
      </c>
      <c r="H5" s="2951"/>
      <c r="I5" s="2951" t="s">
        <v>1073</v>
      </c>
      <c r="J5" s="2952">
        <f>IS!$CH$58</f>
        <v>0.15341920462653502</v>
      </c>
      <c r="K5" s="2952">
        <f>30979.19/IS!CC10-1</f>
        <v>0.16336287506102365</v>
      </c>
      <c r="L5" s="2953"/>
      <c r="M5" s="2954">
        <f>IS!$CJ$58</f>
        <v>0.10866264081647059</v>
      </c>
      <c r="N5" s="2952">
        <f>31251.59/IS!CE10-1</f>
        <v>0.10363350637426283</v>
      </c>
      <c r="O5" s="2952"/>
      <c r="P5" s="2951" t="s">
        <v>1073</v>
      </c>
      <c r="Q5" s="2955" t="s">
        <v>1084</v>
      </c>
      <c r="R5" s="2955" t="s">
        <v>1218</v>
      </c>
      <c r="S5" s="2955" t="s">
        <v>1101</v>
      </c>
      <c r="T5" s="2851">
        <f>IS!CO58</f>
        <v>4.5738039115754692E-2</v>
      </c>
      <c r="U5" s="2851">
        <f>32668/IS!CJ10-1</f>
        <v>4.0581002739376926E-2</v>
      </c>
      <c r="V5" s="2955" t="str">
        <f>TEXT(BM5, "0.0%")&amp;" to "&amp;TEXT(BN5, "0.0%")</f>
        <v>0.0% to 0.0%</v>
      </c>
      <c r="W5" s="2851">
        <f>IS!CO58</f>
        <v>4.5738039115754692E-2</v>
      </c>
      <c r="X5" s="2956"/>
      <c r="Y5" s="2851" t="s">
        <v>1101</v>
      </c>
      <c r="Z5" s="2851" t="s">
        <v>1248</v>
      </c>
      <c r="AA5" s="2851" t="s">
        <v>97</v>
      </c>
      <c r="AB5" s="2851">
        <f>IS!CR58</f>
        <v>0.10729863704585552</v>
      </c>
      <c r="AC5" s="2957"/>
      <c r="AD5" s="2851" t="s">
        <v>1270</v>
      </c>
      <c r="AE5" s="2851">
        <f>IS!CT58</f>
        <v>0.12870584436748223</v>
      </c>
      <c r="AF5" s="2851">
        <f>34725.11/IS!CN10-1</f>
        <v>8.624253552760397E-2</v>
      </c>
      <c r="AG5" s="2851" t="s">
        <v>1304</v>
      </c>
      <c r="AH5" s="2889" t="s">
        <v>1330</v>
      </c>
      <c r="AI5" s="2780" t="s">
        <v>1375</v>
      </c>
      <c r="AJ5" s="2780" t="s">
        <v>1399</v>
      </c>
      <c r="AK5" s="2780">
        <f>IS!CY58</f>
        <v>0.11038379740172122</v>
      </c>
      <c r="AL5" s="2945"/>
      <c r="AM5" s="2780" t="s">
        <v>1443</v>
      </c>
      <c r="AN5" s="2780">
        <f>IS!DA58</f>
        <v>0.18946041462528473</v>
      </c>
      <c r="AO5" s="2780" t="s">
        <v>1485</v>
      </c>
      <c r="AP5" s="2780">
        <f>IS!DB58</f>
        <v>0.17639478165886024</v>
      </c>
      <c r="AQ5" s="2780" t="s">
        <v>1512</v>
      </c>
      <c r="AR5" s="2780">
        <f>IS!DC58</f>
        <v>0.15452525507584292</v>
      </c>
      <c r="AS5" s="2780" t="s">
        <v>1564</v>
      </c>
      <c r="AT5" s="2780">
        <f>IS!DD58</f>
        <v>0.11728094176903769</v>
      </c>
      <c r="AU5" s="2780" t="s">
        <v>1563</v>
      </c>
      <c r="AV5" s="2780">
        <f>IS!DF58</f>
        <v>3.0049751243780953E-2</v>
      </c>
      <c r="AW5" s="2780" t="s">
        <v>1587</v>
      </c>
      <c r="AX5" s="2780">
        <f>IS!DG58</f>
        <v>4.4821163833276279E-2</v>
      </c>
      <c r="AY5" s="2780" t="s">
        <v>1101</v>
      </c>
      <c r="BF5" s="2910">
        <v>1.4999999999999999E-2</v>
      </c>
      <c r="BG5" s="2889">
        <v>3.2500000000000001E-2</v>
      </c>
      <c r="BH5" s="2851">
        <f t="shared" ref="BH5:BH20" si="0">AVERAGE(BF5:BG5)</f>
        <v>2.375E-2</v>
      </c>
      <c r="BI5" s="2851">
        <f ca="1">IS!DK58</f>
        <v>3.008287658887876E-2</v>
      </c>
      <c r="BM5" s="2958"/>
      <c r="BN5" s="2958"/>
      <c r="BO5" s="2958"/>
      <c r="BQ5" s="2959"/>
      <c r="BR5" s="2960"/>
      <c r="BS5" s="2961"/>
    </row>
    <row r="6" spans="2:71" outlineLevel="1" x14ac:dyDescent="0.2">
      <c r="B6" s="2621" t="s">
        <v>630</v>
      </c>
      <c r="C6" s="2951"/>
      <c r="D6" s="2951"/>
      <c r="E6" s="2951"/>
      <c r="F6" s="2951"/>
      <c r="G6" s="2951"/>
      <c r="H6" s="2951"/>
      <c r="I6" s="2955" t="s">
        <v>327</v>
      </c>
      <c r="J6" s="2962"/>
      <c r="K6" s="2962"/>
      <c r="L6" s="2953"/>
      <c r="M6" s="2963"/>
      <c r="N6" s="2962"/>
      <c r="O6" s="2962"/>
      <c r="P6" s="2964" t="str">
        <f>I6</f>
        <v>$0.71-$0.74</v>
      </c>
      <c r="Q6" s="2955" t="s">
        <v>395</v>
      </c>
      <c r="R6" s="2955" t="s">
        <v>1260</v>
      </c>
      <c r="S6" s="2955" t="s">
        <v>1260</v>
      </c>
      <c r="T6" s="2633"/>
      <c r="U6" s="2633"/>
      <c r="V6" s="2955" t="str">
        <f>TEXT(BM6, "$0.00")&amp;" to "&amp;TEXT(BN6, "$0.00")</f>
        <v>$0.00 to $0.00</v>
      </c>
      <c r="W6" s="2633"/>
      <c r="X6" s="2964"/>
      <c r="Y6" s="2633" t="str">
        <f>TEXT(BP6, "$0.00")&amp;" to "&amp;TEXT(BQ6, "$0.00")</f>
        <v>$0.00 to $0.00</v>
      </c>
      <c r="Z6" s="2633" t="str">
        <f>TEXT(BQ6, "$0.00")&amp;" to "&amp;TEXT(BR6, "$0.00")</f>
        <v>$0.00 to $0.00</v>
      </c>
      <c r="AA6" s="2633" t="str">
        <f>TEXT(BR6, "$0.00")&amp;" to "&amp;TEXT(BS6, "$0.00")</f>
        <v>$0.00 to $0.00</v>
      </c>
      <c r="AB6" s="2633"/>
      <c r="AC6" s="2953"/>
      <c r="AD6" s="2633" t="str">
        <f>TEXT(BU6, "$0.00")&amp;" to "&amp;TEXT(BV6, "$0.00")</f>
        <v>$0.00 to $0.00</v>
      </c>
      <c r="AE6" s="2633"/>
      <c r="AF6" s="2633"/>
      <c r="AG6" s="2633" t="s">
        <v>1307</v>
      </c>
      <c r="AH6" s="2529"/>
      <c r="AI6" s="2530"/>
      <c r="AJ6" s="2530"/>
      <c r="AK6" s="2530"/>
      <c r="AL6" s="2945"/>
      <c r="AM6" s="2560"/>
      <c r="AN6" s="2560"/>
      <c r="AO6" s="2560"/>
      <c r="AP6" s="2560"/>
      <c r="AQ6" s="2560"/>
      <c r="AR6" s="2560"/>
      <c r="AS6" s="2560"/>
      <c r="AT6" s="2560"/>
      <c r="AU6" s="2530"/>
      <c r="AV6" s="2560"/>
      <c r="AW6" s="2530"/>
      <c r="AX6" s="2560"/>
      <c r="AY6" s="2530"/>
      <c r="BF6" s="2884"/>
      <c r="BG6" s="2529"/>
      <c r="BH6" s="2633"/>
      <c r="BI6" s="2965"/>
      <c r="BM6" s="2966"/>
      <c r="BN6" s="2966"/>
      <c r="BO6" s="2966"/>
      <c r="BQ6" s="2967"/>
      <c r="BR6" s="2967"/>
      <c r="BS6" s="2966"/>
    </row>
    <row r="7" spans="2:71" x14ac:dyDescent="0.2">
      <c r="B7" s="2621" t="s">
        <v>514</v>
      </c>
      <c r="C7" s="2955" t="s">
        <v>551</v>
      </c>
      <c r="D7" s="2955" t="s">
        <v>552</v>
      </c>
      <c r="E7" s="2955" t="s">
        <v>553</v>
      </c>
      <c r="F7" s="2955" t="s">
        <v>554</v>
      </c>
      <c r="G7" s="2955" t="s">
        <v>555</v>
      </c>
      <c r="H7" s="2955"/>
      <c r="I7" s="2951" t="s">
        <v>1074</v>
      </c>
      <c r="J7" s="2968">
        <f>IS!$CH$39</f>
        <v>0.80977072210473211</v>
      </c>
      <c r="K7" s="2890">
        <v>0.79</v>
      </c>
      <c r="L7" s="2953"/>
      <c r="M7" s="2527">
        <f>IS!$CJ$39</f>
        <v>1.1366469175340272</v>
      </c>
      <c r="N7" s="2890">
        <v>1.08</v>
      </c>
      <c r="O7" s="2890"/>
      <c r="P7" s="2968" t="str">
        <f>I7</f>
        <v>$0.77 to $0.80</v>
      </c>
      <c r="Q7" s="2955" t="s">
        <v>1260</v>
      </c>
      <c r="R7" s="2955" t="s">
        <v>1219</v>
      </c>
      <c r="S7" s="2955" t="s">
        <v>1100</v>
      </c>
      <c r="T7" s="2890">
        <f>IS!CO39</f>
        <v>1.1157368859283929</v>
      </c>
      <c r="U7" s="2890">
        <v>1.1100000000000001</v>
      </c>
      <c r="V7" s="2955" t="str">
        <f>TEXT(BM8, "$0.00")&amp;" to "&amp;TEXT(BN8, "$0.00")</f>
        <v>$0.00 to $0.00</v>
      </c>
      <c r="W7" s="2890">
        <f>IS!CO39</f>
        <v>1.1157368859283929</v>
      </c>
      <c r="X7" s="2968"/>
      <c r="Y7" s="2890" t="s">
        <v>101</v>
      </c>
      <c r="Z7" s="2890" t="s">
        <v>1249</v>
      </c>
      <c r="AA7" s="2890" t="s">
        <v>555</v>
      </c>
      <c r="AB7" s="2890">
        <f>IS!CR39</f>
        <v>1.1303236797274276</v>
      </c>
      <c r="AC7" s="2953"/>
      <c r="AD7" s="2890" t="s">
        <v>1271</v>
      </c>
      <c r="AE7" s="2890">
        <f>IS!CT39</f>
        <v>1.2096213963181661</v>
      </c>
      <c r="AF7" s="2890">
        <v>1.1299999999999999</v>
      </c>
      <c r="AG7" s="2890" t="s">
        <v>1305</v>
      </c>
      <c r="AH7" s="2528" t="s">
        <v>1331</v>
      </c>
      <c r="AI7" s="2527" t="s">
        <v>1376</v>
      </c>
      <c r="AJ7" s="2527" t="s">
        <v>1400</v>
      </c>
      <c r="AK7" s="2969">
        <f>IS!CY39</f>
        <v>1.5302145999820418</v>
      </c>
      <c r="AL7" s="2945"/>
      <c r="AM7" s="2527" t="s">
        <v>1456</v>
      </c>
      <c r="AN7" s="2969">
        <f>IS!DA39</f>
        <v>1.1842009464870769</v>
      </c>
      <c r="AO7" s="2527" t="s">
        <v>1486</v>
      </c>
      <c r="AP7" s="2969">
        <f>IS!DB39</f>
        <v>1.319509019899572</v>
      </c>
      <c r="AQ7" s="2527" t="s">
        <v>1513</v>
      </c>
      <c r="AR7" s="2969">
        <f>IS!DC39</f>
        <v>1.6343464478836474</v>
      </c>
      <c r="AS7" s="2527" t="s">
        <v>1530</v>
      </c>
      <c r="AT7" s="2969">
        <f>IS!DD39</f>
        <v>1.7100215214746888</v>
      </c>
      <c r="AU7" s="2527" t="s">
        <v>1561</v>
      </c>
      <c r="AV7" s="2969">
        <f>IS!DF39</f>
        <v>1.1674881608195611</v>
      </c>
      <c r="AW7" s="2527" t="s">
        <v>1588</v>
      </c>
      <c r="AX7" s="2969">
        <f>IS!DG39</f>
        <v>1.3300449306505178</v>
      </c>
      <c r="AY7" s="2527" t="s">
        <v>1615</v>
      </c>
      <c r="BF7" s="2911"/>
      <c r="BG7" s="2528"/>
      <c r="BH7" s="2968"/>
      <c r="BI7" s="2890">
        <f ca="1">IS!DK39</f>
        <v>1.4073745520773424</v>
      </c>
      <c r="BM7" s="2958"/>
      <c r="BN7" s="2970"/>
      <c r="BO7" s="2958"/>
    </row>
    <row r="8" spans="2:71" x14ac:dyDescent="0.2">
      <c r="B8" s="2621" t="s">
        <v>219</v>
      </c>
      <c r="C8" s="2951" t="s">
        <v>556</v>
      </c>
      <c r="D8" s="2951" t="s">
        <v>557</v>
      </c>
      <c r="E8" s="2951" t="s">
        <v>558</v>
      </c>
      <c r="F8" s="2951" t="s">
        <v>559</v>
      </c>
      <c r="G8" s="2951" t="s">
        <v>560</v>
      </c>
      <c r="H8" s="2951"/>
      <c r="I8" s="2955" t="s">
        <v>1079</v>
      </c>
      <c r="J8" s="2962">
        <f>IS!$CH$40</f>
        <v>0.24760590858318432</v>
      </c>
      <c r="K8" s="2962">
        <f>K7/IS!CC38-1</f>
        <v>0.21714534852402512</v>
      </c>
      <c r="L8" s="2953"/>
      <c r="M8" s="2963">
        <f>IS!$CJ$40</f>
        <v>0.27401800633947726</v>
      </c>
      <c r="N8" s="2962">
        <f>N7/IS!CE38-1</f>
        <v>0.21052494457272353</v>
      </c>
      <c r="O8" s="2962"/>
      <c r="P8" s="2955" t="s">
        <v>1079</v>
      </c>
      <c r="Q8" s="2955" t="s">
        <v>394</v>
      </c>
      <c r="R8" s="2955" t="s">
        <v>1220</v>
      </c>
      <c r="S8" s="2951" t="s">
        <v>1102</v>
      </c>
      <c r="T8" s="2633">
        <f>IS!CO40</f>
        <v>-1.8396241861104001E-2</v>
      </c>
      <c r="U8" s="2633">
        <f>U7/IS!CJ39-1</f>
        <v>-2.3443443274220988E-2</v>
      </c>
      <c r="V8" s="2955" t="str">
        <f>TEXT(BM19, "0.0%")&amp;" to "&amp;TEXT(BN19, "0.0%")</f>
        <v>0.0% to 0.0%</v>
      </c>
      <c r="W8" s="2633">
        <f>IS!CO40</f>
        <v>-1.8396241861104001E-2</v>
      </c>
      <c r="X8" s="2964"/>
      <c r="Y8" s="2633" t="s">
        <v>102</v>
      </c>
      <c r="Z8" s="2633" t="s">
        <v>1250</v>
      </c>
      <c r="AA8" s="2633" t="s">
        <v>32</v>
      </c>
      <c r="AB8" s="2633">
        <f>IS!CR40</f>
        <v>0.16726112718028374</v>
      </c>
      <c r="AC8" s="2953"/>
      <c r="AD8" s="2633" t="s">
        <v>1272</v>
      </c>
      <c r="AE8" s="2633">
        <f>IS!CT40</f>
        <v>8.4145744013520707E-2</v>
      </c>
      <c r="AF8" s="2633">
        <f>AE8</f>
        <v>8.4145744013520707E-2</v>
      </c>
      <c r="AG8" s="2633" t="s">
        <v>1306</v>
      </c>
      <c r="AH8" s="2529" t="s">
        <v>1332</v>
      </c>
      <c r="AI8" s="2530" t="s">
        <v>1377</v>
      </c>
      <c r="AJ8" s="2530" t="s">
        <v>1401</v>
      </c>
      <c r="AK8" s="2530">
        <f>IS!CY64</f>
        <v>0.26503598947546236</v>
      </c>
      <c r="AL8" s="2945"/>
      <c r="AM8" s="2530" t="s">
        <v>1457</v>
      </c>
      <c r="AN8" s="2530">
        <f>IS!DA64</f>
        <v>3.9824133263202555E-2</v>
      </c>
      <c r="AO8" s="2530" t="s">
        <v>1487</v>
      </c>
      <c r="AP8" s="2530">
        <f>IS!DB64</f>
        <v>8.3446655754691124E-2</v>
      </c>
      <c r="AQ8" s="2530" t="s">
        <v>1514</v>
      </c>
      <c r="AR8" s="2530">
        <f>IS!DC64</f>
        <v>0.27267688142100455</v>
      </c>
      <c r="AS8" s="2530" t="s">
        <v>1531</v>
      </c>
      <c r="AT8" s="2530">
        <f>IS!DD64</f>
        <v>0.1175043823884292</v>
      </c>
      <c r="AU8" s="2645" t="s">
        <v>1562</v>
      </c>
      <c r="AV8" s="2530">
        <f>IS!DF64</f>
        <v>-1.4113133178194182E-2</v>
      </c>
      <c r="AW8" s="2645" t="s">
        <v>1589</v>
      </c>
      <c r="AX8" s="2530">
        <f>IS!DG64</f>
        <v>7.9847205225982432E-3</v>
      </c>
      <c r="AY8" s="2645" t="s">
        <v>1616</v>
      </c>
      <c r="BF8" s="2912"/>
      <c r="BG8" s="2913"/>
      <c r="BH8" s="2633"/>
      <c r="BI8" s="2633">
        <f ca="1">IS!DK64</f>
        <v>0.2054722260218762</v>
      </c>
      <c r="BM8" s="2966"/>
      <c r="BN8" s="2971"/>
      <c r="BO8" s="2966"/>
      <c r="BQ8" s="2967"/>
      <c r="BR8" s="2967"/>
      <c r="BS8" s="2966"/>
    </row>
    <row r="9" spans="2:71" x14ac:dyDescent="0.2">
      <c r="B9" s="2621" t="s">
        <v>684</v>
      </c>
      <c r="C9" s="2972"/>
      <c r="D9" s="2972"/>
      <c r="E9" s="2972"/>
      <c r="F9" s="2972"/>
      <c r="G9" s="2972"/>
      <c r="H9" s="2972"/>
      <c r="I9" s="2973"/>
      <c r="J9" s="2974"/>
      <c r="K9" s="2974"/>
      <c r="L9" s="2953"/>
      <c r="M9" s="2974"/>
      <c r="N9" s="2974"/>
      <c r="O9" s="2974"/>
      <c r="P9" s="2973"/>
      <c r="Q9" s="2973"/>
      <c r="R9" s="2973"/>
      <c r="S9" s="2972"/>
      <c r="T9" s="2529"/>
      <c r="U9" s="2529"/>
      <c r="V9" s="2973"/>
      <c r="W9" s="2529"/>
      <c r="X9" s="2975"/>
      <c r="Y9" s="2529"/>
      <c r="Z9" s="2529"/>
      <c r="AA9" s="2529"/>
      <c r="AB9" s="2529"/>
      <c r="AC9" s="2953"/>
      <c r="AD9" s="2529"/>
      <c r="AE9" s="2529"/>
      <c r="AF9" s="2529"/>
      <c r="AG9" s="2529"/>
      <c r="AH9" s="2529"/>
      <c r="AI9" s="2530"/>
      <c r="AJ9" s="2530"/>
      <c r="AK9" s="2530"/>
      <c r="AL9" s="2945"/>
      <c r="AM9" s="2530"/>
      <c r="AN9" s="2530"/>
      <c r="AO9" s="2530"/>
      <c r="AP9" s="2530"/>
      <c r="AQ9" s="2530" t="s">
        <v>1515</v>
      </c>
      <c r="AR9" s="2530">
        <f>IS!DC62</f>
        <v>0.17279631064921586</v>
      </c>
      <c r="AS9" s="2530" t="s">
        <v>1532</v>
      </c>
      <c r="AT9" s="2530">
        <f>IS!DD62</f>
        <v>4.6240463985598002E-2</v>
      </c>
      <c r="AU9" s="2560"/>
      <c r="AV9" s="2530">
        <f>IS!DF62</f>
        <v>-0.10429037010580855</v>
      </c>
      <c r="AW9" s="2560"/>
      <c r="AX9" s="2530">
        <f>IS!DG62</f>
        <v>-6.6771381270920749E-2</v>
      </c>
      <c r="AY9" s="2560"/>
      <c r="BB9" s="2941"/>
      <c r="BC9" s="2941"/>
      <c r="BD9" s="2941"/>
      <c r="BE9" s="2941"/>
      <c r="BF9" s="2884">
        <v>5.0000000000000001E-3</v>
      </c>
      <c r="BG9" s="2529">
        <v>4.4999999999999998E-2</v>
      </c>
      <c r="BH9" s="2633">
        <f t="shared" si="0"/>
        <v>2.4999999999999998E-2</v>
      </c>
      <c r="BI9" s="2633">
        <f ca="1">IS!DK62</f>
        <v>3.8914593809273867E-2</v>
      </c>
      <c r="BM9" s="2966"/>
      <c r="BN9" s="2966"/>
      <c r="BO9" s="2966"/>
      <c r="BQ9" s="2967"/>
      <c r="BR9" s="2967"/>
      <c r="BS9" s="2966"/>
    </row>
    <row r="10" spans="2:71" x14ac:dyDescent="0.2">
      <c r="B10" s="2621" t="s">
        <v>1410</v>
      </c>
      <c r="C10" s="2972"/>
      <c r="D10" s="2972"/>
      <c r="E10" s="2972"/>
      <c r="F10" s="2972"/>
      <c r="G10" s="2972"/>
      <c r="H10" s="2972"/>
      <c r="I10" s="2973"/>
      <c r="J10" s="2974"/>
      <c r="K10" s="2974"/>
      <c r="L10" s="2953"/>
      <c r="M10" s="2974"/>
      <c r="N10" s="2974"/>
      <c r="O10" s="2974"/>
      <c r="P10" s="2973"/>
      <c r="Q10" s="2973"/>
      <c r="R10" s="2973"/>
      <c r="S10" s="2972"/>
      <c r="T10" s="2529"/>
      <c r="U10" s="2529"/>
      <c r="V10" s="2973"/>
      <c r="W10" s="2529"/>
      <c r="X10" s="2975"/>
      <c r="Y10" s="2529"/>
      <c r="Z10" s="2529"/>
      <c r="AA10" s="2529"/>
      <c r="AB10" s="2529"/>
      <c r="AC10" s="2953"/>
      <c r="AD10" s="2529"/>
      <c r="AE10" s="2529"/>
      <c r="AF10" s="2529"/>
      <c r="AG10" s="2529"/>
      <c r="AH10" s="2529"/>
      <c r="AI10" s="2530"/>
      <c r="AJ10" s="2530" t="s">
        <v>1412</v>
      </c>
      <c r="AK10" s="2531">
        <f>IS!CY123</f>
        <v>215.2722123499999</v>
      </c>
      <c r="AL10" s="2945"/>
      <c r="AM10" s="2560"/>
      <c r="AN10" s="2531">
        <f>IS!DA123</f>
        <v>208.4</v>
      </c>
      <c r="AO10" s="2560"/>
      <c r="AP10" s="2531">
        <f>IS!DB123</f>
        <v>220</v>
      </c>
      <c r="AQ10" s="2560"/>
      <c r="AR10" s="2531">
        <f>IS!DC123</f>
        <v>214.9</v>
      </c>
      <c r="AS10" s="2530" t="s">
        <v>1539</v>
      </c>
      <c r="AT10" s="2531">
        <f>IS!DD123</f>
        <v>236.3</v>
      </c>
      <c r="AU10" s="2560"/>
      <c r="AV10" s="2531">
        <f>IS!DF123</f>
        <v>226.6</v>
      </c>
      <c r="AW10" s="2560"/>
      <c r="AX10" s="2531">
        <f>IS!DG123</f>
        <v>239.4</v>
      </c>
      <c r="AY10" s="2560"/>
      <c r="BF10" s="2914"/>
      <c r="BG10" s="2915"/>
      <c r="BH10" s="2901"/>
      <c r="BI10" s="2901">
        <f ca="1">IS!DK123</f>
        <v>220.0929462495682</v>
      </c>
      <c r="BM10" s="2966"/>
      <c r="BN10" s="2966"/>
      <c r="BO10" s="2966"/>
      <c r="BQ10" s="2967"/>
      <c r="BR10" s="2967"/>
      <c r="BS10" s="2966"/>
    </row>
    <row r="11" spans="2:71" x14ac:dyDescent="0.2">
      <c r="B11" s="2621" t="s">
        <v>1411</v>
      </c>
      <c r="C11" s="2972"/>
      <c r="D11" s="2972"/>
      <c r="E11" s="2972"/>
      <c r="F11" s="2972"/>
      <c r="G11" s="2972"/>
      <c r="H11" s="2972"/>
      <c r="I11" s="2973"/>
      <c r="J11" s="2974"/>
      <c r="K11" s="2974"/>
      <c r="L11" s="2953"/>
      <c r="M11" s="2974"/>
      <c r="N11" s="2974"/>
      <c r="O11" s="2974"/>
      <c r="P11" s="2973"/>
      <c r="Q11" s="2973"/>
      <c r="R11" s="2973"/>
      <c r="S11" s="2972"/>
      <c r="T11" s="2529"/>
      <c r="U11" s="2529"/>
      <c r="V11" s="2973"/>
      <c r="W11" s="2529"/>
      <c r="X11" s="2975"/>
      <c r="Y11" s="2529"/>
      <c r="Z11" s="2529"/>
      <c r="AA11" s="2529"/>
      <c r="AB11" s="2529"/>
      <c r="AC11" s="2953"/>
      <c r="AD11" s="2529"/>
      <c r="AE11" s="2529"/>
      <c r="AF11" s="2529"/>
      <c r="AG11" s="2529"/>
      <c r="AH11" s="2529"/>
      <c r="AI11" s="2530"/>
      <c r="AJ11" s="2530" t="s">
        <v>1413</v>
      </c>
      <c r="AK11" s="2530"/>
      <c r="AL11" s="2945"/>
      <c r="AM11" s="2560"/>
      <c r="AN11" s="2530"/>
      <c r="AO11" s="2560"/>
      <c r="AP11" s="2530"/>
      <c r="AQ11" s="2560"/>
      <c r="AR11" s="2530"/>
      <c r="AS11" s="2560"/>
      <c r="AT11" s="2530"/>
      <c r="AU11" s="2560"/>
      <c r="AV11" s="2530"/>
      <c r="AW11" s="2560"/>
      <c r="AX11" s="2530"/>
      <c r="AY11" s="2560"/>
      <c r="BF11" s="2914"/>
      <c r="BG11" s="2915"/>
      <c r="BH11" s="2633"/>
      <c r="BI11" s="2633"/>
      <c r="BM11" s="2966"/>
      <c r="BN11" s="2966"/>
      <c r="BO11" s="2966"/>
      <c r="BQ11" s="2967"/>
      <c r="BR11" s="2967"/>
      <c r="BS11" s="2966"/>
    </row>
    <row r="12" spans="2:71" x14ac:dyDescent="0.2">
      <c r="B12" s="2621" t="s">
        <v>608</v>
      </c>
      <c r="C12" s="2972"/>
      <c r="D12" s="2972"/>
      <c r="E12" s="2972"/>
      <c r="F12" s="2972"/>
      <c r="G12" s="2972"/>
      <c r="H12" s="2972"/>
      <c r="I12" s="2973"/>
      <c r="J12" s="2974"/>
      <c r="K12" s="2974"/>
      <c r="L12" s="2953"/>
      <c r="M12" s="2974"/>
      <c r="N12" s="2974"/>
      <c r="O12" s="2974"/>
      <c r="P12" s="2973"/>
      <c r="Q12" s="2973"/>
      <c r="R12" s="2973"/>
      <c r="S12" s="2972"/>
      <c r="T12" s="2529"/>
      <c r="U12" s="2529"/>
      <c r="V12" s="2973"/>
      <c r="W12" s="2529"/>
      <c r="X12" s="2975"/>
      <c r="Y12" s="2529"/>
      <c r="Z12" s="2529"/>
      <c r="AA12" s="2529"/>
      <c r="AB12" s="2529"/>
      <c r="AC12" s="2953"/>
      <c r="AD12" s="2529"/>
      <c r="AE12" s="2529"/>
      <c r="AF12" s="2529"/>
      <c r="AG12" s="2529"/>
      <c r="AH12" s="2529"/>
      <c r="AI12" s="2530"/>
      <c r="AJ12" s="2530" t="s">
        <v>1414</v>
      </c>
      <c r="AK12" s="2633">
        <f>IS!CY75</f>
        <v>-1.5860578007097503E-3</v>
      </c>
      <c r="AL12" s="2945"/>
      <c r="AM12" s="2560"/>
      <c r="AN12" s="2633">
        <f>IS!DA75</f>
        <v>-1.3504918424361911E-2</v>
      </c>
      <c r="AO12" s="2560"/>
      <c r="AP12" s="2633">
        <f>IS!DB75</f>
        <v>-1.1666753815628844E-2</v>
      </c>
      <c r="AQ12" s="2560"/>
      <c r="AR12" s="2633">
        <f>IS!DC75</f>
        <v>-4.3230742558736657E-3</v>
      </c>
      <c r="AS12" s="2530" t="s">
        <v>1449</v>
      </c>
      <c r="AT12" s="2633">
        <f>IS!DD75</f>
        <v>-1.1342970860348744E-2</v>
      </c>
      <c r="AU12" s="2560"/>
      <c r="AV12" s="2633">
        <f>IS!DF75</f>
        <v>-8.3183280248768643E-3</v>
      </c>
      <c r="AW12" s="2560"/>
      <c r="AX12" s="2633">
        <f>IS!DG75</f>
        <v>-8.6700653735214961E-3</v>
      </c>
      <c r="AY12" s="2560"/>
      <c r="BF12" s="2914"/>
      <c r="BG12" s="2915"/>
      <c r="BH12" s="2633"/>
      <c r="BI12" s="2633">
        <f ca="1">IS!DK75</f>
        <v>-1.4840787031309699E-3</v>
      </c>
      <c r="BM12" s="2966"/>
      <c r="BN12" s="2966"/>
      <c r="BO12" s="2966"/>
      <c r="BQ12" s="2967"/>
      <c r="BR12" s="2967"/>
      <c r="BS12" s="2966"/>
    </row>
    <row r="13" spans="2:71" x14ac:dyDescent="0.2">
      <c r="B13" s="2621" t="s">
        <v>611</v>
      </c>
      <c r="C13" s="2972"/>
      <c r="D13" s="2972"/>
      <c r="E13" s="2972"/>
      <c r="F13" s="2972"/>
      <c r="G13" s="2972"/>
      <c r="H13" s="2972"/>
      <c r="I13" s="2973"/>
      <c r="J13" s="2974"/>
      <c r="K13" s="2974"/>
      <c r="L13" s="2953"/>
      <c r="M13" s="2974"/>
      <c r="N13" s="2974"/>
      <c r="O13" s="2974"/>
      <c r="P13" s="2973"/>
      <c r="Q13" s="2973"/>
      <c r="R13" s="2973"/>
      <c r="S13" s="2972"/>
      <c r="T13" s="2529"/>
      <c r="U13" s="2529"/>
      <c r="V13" s="2973"/>
      <c r="W13" s="2529"/>
      <c r="X13" s="2975"/>
      <c r="Y13" s="2529"/>
      <c r="Z13" s="2529"/>
      <c r="AA13" s="2529"/>
      <c r="AB13" s="2529"/>
      <c r="AC13" s="2953"/>
      <c r="AD13" s="2529"/>
      <c r="AE13" s="2529"/>
      <c r="AF13" s="2529"/>
      <c r="AG13" s="2529"/>
      <c r="AH13" s="2529"/>
      <c r="AI13" s="2530"/>
      <c r="AJ13" s="2530" t="s">
        <v>7</v>
      </c>
      <c r="AK13" s="2633">
        <f>IS!CY76</f>
        <v>-9.2227172822893916E-3</v>
      </c>
      <c r="AL13" s="2945"/>
      <c r="AM13" s="2560"/>
      <c r="AN13" s="2633">
        <f>IS!DA76</f>
        <v>-6.6520073975754462E-3</v>
      </c>
      <c r="AO13" s="2560"/>
      <c r="AP13" s="2633">
        <f>IS!DB76</f>
        <v>-6.3901145337827842E-3</v>
      </c>
      <c r="AQ13" s="2560"/>
      <c r="AR13" s="2633">
        <f>IS!DC76</f>
        <v>-5.3295407739478162E-3</v>
      </c>
      <c r="AS13" s="2530" t="s">
        <v>1343</v>
      </c>
      <c r="AT13" s="2633">
        <f>IS!DD76</f>
        <v>-6.874963297250708E-3</v>
      </c>
      <c r="AU13" s="2560"/>
      <c r="AV13" s="2633">
        <f>IS!DF76</f>
        <v>-1.558406611849264E-3</v>
      </c>
      <c r="AW13" s="2560"/>
      <c r="AX13" s="2633">
        <f>IS!DG76</f>
        <v>-2.7334600075374083E-3</v>
      </c>
      <c r="AY13" s="2560"/>
      <c r="BF13" s="2914"/>
      <c r="BG13" s="2915"/>
      <c r="BH13" s="2633"/>
      <c r="BI13" s="2633">
        <f ca="1">IS!DK76</f>
        <v>-1.8705134248875321E-3</v>
      </c>
      <c r="BM13" s="2966"/>
      <c r="BN13" s="2966"/>
      <c r="BO13" s="2966"/>
      <c r="BQ13" s="2967"/>
      <c r="BR13" s="2967"/>
      <c r="BS13" s="2966"/>
    </row>
    <row r="14" spans="2:71" x14ac:dyDescent="0.2">
      <c r="B14" s="2621" t="s">
        <v>528</v>
      </c>
      <c r="C14" s="2951"/>
      <c r="D14" s="2951"/>
      <c r="E14" s="2972"/>
      <c r="F14" s="2951"/>
      <c r="G14" s="2951"/>
      <c r="H14" s="2951"/>
      <c r="I14" s="2955"/>
      <c r="J14" s="2962"/>
      <c r="K14" s="2962"/>
      <c r="L14" s="2953"/>
      <c r="M14" s="2963"/>
      <c r="N14" s="2962"/>
      <c r="O14" s="2962"/>
      <c r="P14" s="2955"/>
      <c r="Q14" s="2955"/>
      <c r="R14" s="2955"/>
      <c r="S14" s="2951"/>
      <c r="T14" s="2633"/>
      <c r="U14" s="2633"/>
      <c r="V14" s="2955"/>
      <c r="W14" s="2633"/>
      <c r="X14" s="2964"/>
      <c r="Y14" s="2633"/>
      <c r="Z14" s="2633"/>
      <c r="AA14" s="2633"/>
      <c r="AB14" s="2633"/>
      <c r="AC14" s="2953"/>
      <c r="AD14" s="2633"/>
      <c r="AE14" s="2633"/>
      <c r="AF14" s="2633"/>
      <c r="AG14" s="2633"/>
      <c r="AH14" s="2529"/>
      <c r="AI14" s="2530"/>
      <c r="AJ14" s="2530" t="s">
        <v>1415</v>
      </c>
      <c r="AK14" s="2633">
        <f>IS!CY78</f>
        <v>7.6366594815796413E-3</v>
      </c>
      <c r="AL14" s="2945"/>
      <c r="AM14" s="2560"/>
      <c r="AN14" s="2633">
        <f>IS!DA78</f>
        <v>-6.8529110267864582E-3</v>
      </c>
      <c r="AO14" s="2560"/>
      <c r="AP14" s="2633">
        <f>IS!DB78</f>
        <v>-5.2766392818460531E-3</v>
      </c>
      <c r="AQ14" s="2560"/>
      <c r="AR14" s="2633">
        <f>IS!DC78</f>
        <v>1.0064665180741783E-3</v>
      </c>
      <c r="AS14" s="2530" t="s">
        <v>1483</v>
      </c>
      <c r="AT14" s="2893">
        <f>IS!DD78</f>
        <v>-4.4680075630980365E-3</v>
      </c>
      <c r="AU14" s="2560"/>
      <c r="AV14" s="2893">
        <f>IS!DF78</f>
        <v>-6.7599214130276003E-3</v>
      </c>
      <c r="AW14" s="2560"/>
      <c r="AX14" s="2893">
        <f>IS!DG78</f>
        <v>-5.9366053659841087E-3</v>
      </c>
      <c r="AY14" s="2560"/>
      <c r="BF14" s="2914"/>
      <c r="BG14" s="2915"/>
      <c r="BH14" s="2893"/>
      <c r="BI14" s="2893">
        <f ca="1">IS!DK78</f>
        <v>3.8643472175657612E-4</v>
      </c>
      <c r="BM14" s="2966"/>
      <c r="BN14" s="2966"/>
      <c r="BO14" s="2966"/>
      <c r="BQ14" s="2967"/>
      <c r="BR14" s="2967"/>
      <c r="BS14" s="2966"/>
    </row>
    <row r="15" spans="2:71" x14ac:dyDescent="0.2">
      <c r="B15" s="2621" t="s">
        <v>497</v>
      </c>
      <c r="C15" s="2951"/>
      <c r="D15" s="2951"/>
      <c r="E15" s="2972"/>
      <c r="F15" s="2951"/>
      <c r="G15" s="2951"/>
      <c r="H15" s="2951"/>
      <c r="I15" s="2955"/>
      <c r="J15" s="2962"/>
      <c r="K15" s="2962"/>
      <c r="L15" s="2953"/>
      <c r="M15" s="2963"/>
      <c r="N15" s="2962"/>
      <c r="O15" s="2962"/>
      <c r="P15" s="2955"/>
      <c r="Q15" s="2955"/>
      <c r="R15" s="2955"/>
      <c r="S15" s="2951"/>
      <c r="T15" s="2633"/>
      <c r="U15" s="2633"/>
      <c r="V15" s="2955"/>
      <c r="W15" s="2633"/>
      <c r="X15" s="2964"/>
      <c r="Y15" s="2633"/>
      <c r="Z15" s="2633"/>
      <c r="AA15" s="2633"/>
      <c r="AB15" s="2633"/>
      <c r="AC15" s="2953"/>
      <c r="AD15" s="2633"/>
      <c r="AE15" s="2633"/>
      <c r="AF15" s="2633"/>
      <c r="AG15" s="2633"/>
      <c r="AH15" s="2529"/>
      <c r="AI15" s="2530"/>
      <c r="AJ15" s="2530" t="s">
        <v>1418</v>
      </c>
      <c r="AK15" s="2894">
        <f>IS!CY18</f>
        <v>276.39999999999998</v>
      </c>
      <c r="AL15" s="2945"/>
      <c r="AM15" s="2560"/>
      <c r="AN15" s="2894">
        <f>IS!DA18</f>
        <v>276.39999999999998</v>
      </c>
      <c r="AO15" s="2560"/>
      <c r="AP15" s="2894">
        <f>IS!DB18</f>
        <v>279.7</v>
      </c>
      <c r="AQ15" s="2560"/>
      <c r="AR15" s="2894">
        <f>IS!DC18</f>
        <v>252.6</v>
      </c>
      <c r="AS15" s="2530" t="s">
        <v>1540</v>
      </c>
      <c r="AT15" s="2894">
        <f>IS!DD18</f>
        <v>242</v>
      </c>
      <c r="AU15" s="2560"/>
      <c r="AV15" s="2894">
        <f>IS!DF18</f>
        <v>252.3</v>
      </c>
      <c r="AW15" s="2560"/>
      <c r="AX15" s="2894">
        <f>IS!DG18</f>
        <v>246.9</v>
      </c>
      <c r="AY15" s="2560"/>
      <c r="BF15" s="2914"/>
      <c r="BG15" s="2915"/>
      <c r="BH15" s="2894"/>
      <c r="BI15" s="2894">
        <f>IS!DK18</f>
        <v>337.11818260069481</v>
      </c>
      <c r="BM15" s="2966"/>
      <c r="BN15" s="2966"/>
      <c r="BO15" s="2966"/>
      <c r="BQ15" s="2967"/>
      <c r="BR15" s="2967"/>
      <c r="BS15" s="2966"/>
    </row>
    <row r="16" spans="2:71" x14ac:dyDescent="0.2">
      <c r="B16" s="2621" t="s">
        <v>1416</v>
      </c>
      <c r="C16" s="2951"/>
      <c r="D16" s="2951"/>
      <c r="E16" s="2972"/>
      <c r="F16" s="2951"/>
      <c r="G16" s="2951"/>
      <c r="H16" s="2951"/>
      <c r="I16" s="2955"/>
      <c r="J16" s="2962"/>
      <c r="K16" s="2962"/>
      <c r="L16" s="2953"/>
      <c r="M16" s="2963"/>
      <c r="N16" s="2962"/>
      <c r="O16" s="2962"/>
      <c r="P16" s="2955"/>
      <c r="Q16" s="2955"/>
      <c r="R16" s="2955"/>
      <c r="S16" s="2951"/>
      <c r="T16" s="2633"/>
      <c r="U16" s="2633"/>
      <c r="V16" s="2955"/>
      <c r="W16" s="2633"/>
      <c r="X16" s="2964"/>
      <c r="Y16" s="2633"/>
      <c r="Z16" s="2633"/>
      <c r="AA16" s="2633"/>
      <c r="AB16" s="2633"/>
      <c r="AC16" s="2953"/>
      <c r="AD16" s="2633"/>
      <c r="AE16" s="2633"/>
      <c r="AF16" s="2633"/>
      <c r="AG16" s="2633"/>
      <c r="AH16" s="2529"/>
      <c r="AI16" s="2530"/>
      <c r="AJ16" s="2530" t="s">
        <v>1317</v>
      </c>
      <c r="AK16" s="2633">
        <f>IS!CY72</f>
        <v>0.41768252141784196</v>
      </c>
      <c r="AL16" s="2945"/>
      <c r="AM16" s="2560"/>
      <c r="AN16" s="2633">
        <f>IS!DA72</f>
        <v>0.39172445677300066</v>
      </c>
      <c r="AO16" s="2560"/>
      <c r="AP16" s="2633">
        <f>IS!DB72</f>
        <v>0.39300621858761398</v>
      </c>
      <c r="AQ16" s="2560"/>
      <c r="AR16" s="2633">
        <f>IS!DC72</f>
        <v>0.37599971689433115</v>
      </c>
      <c r="AS16" s="2530">
        <v>0.39200000000000002</v>
      </c>
      <c r="AT16" s="2633">
        <f>IS!DD72</f>
        <v>0.38491425509110422</v>
      </c>
      <c r="AU16" s="2560"/>
      <c r="AV16" s="2633">
        <f>IS!DF72</f>
        <v>0.37571633237822377</v>
      </c>
      <c r="AW16" s="2560"/>
      <c r="AX16" s="2633">
        <f>IS!DG72</f>
        <v>0.38284824831117348</v>
      </c>
      <c r="AY16" s="2560"/>
      <c r="BF16" s="2914"/>
      <c r="BG16" s="2915"/>
      <c r="BH16" s="2633"/>
      <c r="BI16" s="2633">
        <f>IS!DK72</f>
        <v>0.27</v>
      </c>
      <c r="BM16" s="2966"/>
      <c r="BN16" s="2966"/>
      <c r="BO16" s="2966"/>
      <c r="BQ16" s="2967"/>
      <c r="BR16" s="2967"/>
      <c r="BS16" s="2966"/>
    </row>
    <row r="17" spans="2:71" x14ac:dyDescent="0.2">
      <c r="B17" s="2621" t="s">
        <v>1417</v>
      </c>
      <c r="C17" s="2951"/>
      <c r="D17" s="2951"/>
      <c r="E17" s="2972"/>
      <c r="F17" s="2951"/>
      <c r="G17" s="2951"/>
      <c r="H17" s="2951"/>
      <c r="I17" s="2955"/>
      <c r="J17" s="2962"/>
      <c r="K17" s="2962"/>
      <c r="L17" s="2953"/>
      <c r="M17" s="2963"/>
      <c r="N17" s="2962"/>
      <c r="O17" s="2962"/>
      <c r="P17" s="2955"/>
      <c r="Q17" s="2955"/>
      <c r="R17" s="2955"/>
      <c r="S17" s="2951"/>
      <c r="T17" s="2633"/>
      <c r="U17" s="2633"/>
      <c r="V17" s="2955"/>
      <c r="W17" s="2633"/>
      <c r="X17" s="2964"/>
      <c r="Y17" s="2633"/>
      <c r="Z17" s="2633"/>
      <c r="AA17" s="2633"/>
      <c r="AB17" s="2633"/>
      <c r="AC17" s="2953"/>
      <c r="AD17" s="2633"/>
      <c r="AE17" s="2633"/>
      <c r="AF17" s="2633"/>
      <c r="AG17" s="2633"/>
      <c r="AH17" s="2529"/>
      <c r="AI17" s="2530"/>
      <c r="AJ17" s="2530" t="s">
        <v>1419</v>
      </c>
      <c r="AK17" s="2894">
        <f>IS!CY47</f>
        <v>1113.7</v>
      </c>
      <c r="AL17" s="2945"/>
      <c r="AM17" s="2560"/>
      <c r="AN17" s="2894">
        <f>IS!DA47</f>
        <v>1098.8</v>
      </c>
      <c r="AO17" s="2560"/>
      <c r="AP17" s="2894">
        <f>IS!DB47</f>
        <v>1075.4000000000001</v>
      </c>
      <c r="AQ17" s="2560"/>
      <c r="AR17" s="2894">
        <f>IS!DC47</f>
        <v>1072.5999999999999</v>
      </c>
      <c r="AS17" s="2530" t="s">
        <v>1541</v>
      </c>
      <c r="AT17" s="2894">
        <f>IS!DD47</f>
        <v>1068.7</v>
      </c>
      <c r="AU17" s="2560"/>
      <c r="AV17" s="2894">
        <f>IS!DF47</f>
        <v>1034.7</v>
      </c>
      <c r="AW17" s="2560"/>
      <c r="AX17" s="2894">
        <f>IS!DG47</f>
        <v>1023.8</v>
      </c>
      <c r="AY17" s="2560"/>
      <c r="BF17" s="2914"/>
      <c r="BG17" s="2915"/>
      <c r="BH17" s="2894"/>
      <c r="BI17" s="2894">
        <f>IS!DK47</f>
        <v>1014.5544647943102</v>
      </c>
      <c r="BM17" s="2966"/>
      <c r="BN17" s="2966"/>
      <c r="BO17" s="2966"/>
      <c r="BQ17" s="2967"/>
      <c r="BR17" s="2967"/>
      <c r="BS17" s="2966"/>
    </row>
    <row r="18" spans="2:71" ht="13.5" thickBot="1" x14ac:dyDescent="0.25">
      <c r="B18" s="2976" t="s">
        <v>644</v>
      </c>
      <c r="C18" s="2977"/>
      <c r="D18" s="2977"/>
      <c r="E18" s="2978"/>
      <c r="F18" s="2977"/>
      <c r="G18" s="2977"/>
      <c r="H18" s="2977"/>
      <c r="I18" s="2979"/>
      <c r="J18" s="2962"/>
      <c r="K18" s="2980"/>
      <c r="L18" s="2953"/>
      <c r="M18" s="2981"/>
      <c r="N18" s="2980"/>
      <c r="O18" s="2962"/>
      <c r="P18" s="2955"/>
      <c r="Q18" s="2979"/>
      <c r="R18" s="2979"/>
      <c r="S18" s="2977"/>
      <c r="T18" s="2532"/>
      <c r="U18" s="2633"/>
      <c r="V18" s="2955"/>
      <c r="W18" s="2532"/>
      <c r="X18" s="2964"/>
      <c r="Y18" s="2532"/>
      <c r="Z18" s="2532"/>
      <c r="AA18" s="2532"/>
      <c r="AB18" s="2532"/>
      <c r="AC18" s="2953"/>
      <c r="AD18" s="2532"/>
      <c r="AE18" s="2532"/>
      <c r="AF18" s="2532"/>
      <c r="AG18" s="2532"/>
      <c r="AH18" s="2533"/>
      <c r="AI18" s="2534"/>
      <c r="AJ18" s="2534" t="s">
        <v>1420</v>
      </c>
      <c r="AK18" s="2535">
        <f>IS!CY42</f>
        <v>191.5</v>
      </c>
      <c r="AL18" s="2945"/>
      <c r="AM18" s="2561"/>
      <c r="AN18" s="2535">
        <f>IS!DA42</f>
        <v>199.5</v>
      </c>
      <c r="AO18" s="2561"/>
      <c r="AP18" s="2535">
        <f>IS!DB42</f>
        <v>197.1</v>
      </c>
      <c r="AQ18" s="2561"/>
      <c r="AR18" s="2535">
        <f>IS!DC42</f>
        <v>196.1</v>
      </c>
      <c r="AS18" s="2534" t="s">
        <v>1542</v>
      </c>
      <c r="AT18" s="2535">
        <f>IS!DD42</f>
        <v>202.6</v>
      </c>
      <c r="AU18" s="2561"/>
      <c r="AV18" s="2535">
        <f>IS!DF42</f>
        <v>200.4</v>
      </c>
      <c r="AW18" s="2561"/>
      <c r="AX18" s="2535">
        <f>IS!DG42</f>
        <v>202.9</v>
      </c>
      <c r="AY18" s="2561"/>
      <c r="BF18" s="2916"/>
      <c r="BG18" s="2917"/>
      <c r="BH18" s="2535"/>
      <c r="BI18" s="2535">
        <f>IS!DK42</f>
        <v>208.71388160000001</v>
      </c>
      <c r="BM18" s="2966"/>
      <c r="BN18" s="2966"/>
      <c r="BO18" s="2966"/>
      <c r="BQ18" s="2967"/>
      <c r="BR18" s="2967"/>
      <c r="BS18" s="2966"/>
    </row>
    <row r="19" spans="2:71" ht="17.25" customHeight="1" thickBot="1" x14ac:dyDescent="0.25">
      <c r="B19" s="492" t="s">
        <v>561</v>
      </c>
      <c r="C19" s="493"/>
      <c r="D19" s="493"/>
      <c r="E19" s="494" t="s">
        <v>541</v>
      </c>
      <c r="F19" s="493" t="s">
        <v>542</v>
      </c>
      <c r="G19" s="495" t="str">
        <f>G4</f>
        <v>4Q12 Guidance</v>
      </c>
      <c r="H19" s="1614"/>
      <c r="I19" s="495" t="str">
        <f>I4</f>
        <v>1Q13 Guidance</v>
      </c>
      <c r="J19" s="2869" t="s">
        <v>544</v>
      </c>
      <c r="K19" s="496"/>
      <c r="L19" s="2945"/>
      <c r="M19" s="497"/>
      <c r="N19" s="496"/>
      <c r="O19" s="2768"/>
      <c r="P19" s="2768"/>
      <c r="Q19" s="495" t="s">
        <v>1259</v>
      </c>
      <c r="R19" s="495" t="s">
        <v>1203</v>
      </c>
      <c r="S19" s="495" t="s">
        <v>1098</v>
      </c>
      <c r="T19" s="1690" t="s">
        <v>1230</v>
      </c>
      <c r="U19" s="2768"/>
      <c r="V19" s="2888" t="s">
        <v>1228</v>
      </c>
      <c r="W19" s="1690" t="s">
        <v>1230</v>
      </c>
      <c r="X19" s="2887"/>
      <c r="Y19" s="1690" t="s">
        <v>82</v>
      </c>
      <c r="Z19" s="1690" t="s">
        <v>82</v>
      </c>
      <c r="AA19" s="1690" t="s">
        <v>30</v>
      </c>
      <c r="AB19" s="1690" t="s">
        <v>38</v>
      </c>
      <c r="AC19" s="2945"/>
      <c r="AD19" s="1690" t="s">
        <v>1268</v>
      </c>
      <c r="AE19" s="1690" t="s">
        <v>1269</v>
      </c>
      <c r="AF19" s="1690" t="s">
        <v>545</v>
      </c>
      <c r="AG19" s="1690"/>
      <c r="AH19" s="1690"/>
      <c r="AI19" s="1690" t="str">
        <f>AI4</f>
        <v>Guidance 3Q15</v>
      </c>
      <c r="AJ19" s="1690" t="str">
        <f>AJ4</f>
        <v>Guidance 4Q15</v>
      </c>
      <c r="AK19" s="1690" t="str">
        <f>AK4</f>
        <v>MS 4Q15</v>
      </c>
      <c r="AL19" s="2945"/>
      <c r="AM19" s="1690" t="str">
        <f t="shared" ref="AM19:AR19" si="1">AM4</f>
        <v>Guidance 1Q16</v>
      </c>
      <c r="AN19" s="1690" t="str">
        <f t="shared" si="1"/>
        <v>MS 1Q16</v>
      </c>
      <c r="AO19" s="1690" t="str">
        <f t="shared" si="1"/>
        <v>Guidance 2Q16</v>
      </c>
      <c r="AP19" s="1690" t="str">
        <f t="shared" si="1"/>
        <v>MS 2Q16</v>
      </c>
      <c r="AQ19" s="1690" t="str">
        <f t="shared" si="1"/>
        <v>Guidance 3Q16</v>
      </c>
      <c r="AR19" s="1690" t="str">
        <f t="shared" si="1"/>
        <v>MS 3Q16</v>
      </c>
      <c r="AS19" s="1690" t="str">
        <f t="shared" ref="AS19:AX19" si="2">AS4</f>
        <v>Guidance 4Q16</v>
      </c>
      <c r="AT19" s="1690" t="str">
        <f t="shared" si="2"/>
        <v>MS 4Q16</v>
      </c>
      <c r="AU19" s="1690" t="str">
        <f t="shared" si="2"/>
        <v>Guidance 1Q17</v>
      </c>
      <c r="AV19" s="1690" t="str">
        <f t="shared" si="2"/>
        <v>MS 1Q17</v>
      </c>
      <c r="AW19" s="1690" t="str">
        <f t="shared" si="2"/>
        <v>Guidance 2Q17</v>
      </c>
      <c r="AX19" s="1690" t="str">
        <f t="shared" si="2"/>
        <v>MS 2Q17</v>
      </c>
      <c r="AY19" s="1690" t="str">
        <f>AY4</f>
        <v>Guidance 3Q17</v>
      </c>
      <c r="BF19" s="2947" t="s">
        <v>412</v>
      </c>
      <c r="BG19" s="2948" t="s">
        <v>413</v>
      </c>
      <c r="BH19" s="2949" t="s">
        <v>1657</v>
      </c>
      <c r="BI19" s="489" t="str">
        <f>BI4</f>
        <v>MS 1Q18</v>
      </c>
      <c r="BM19" s="2958"/>
      <c r="BN19" s="2958"/>
      <c r="BO19" s="2958"/>
    </row>
    <row r="20" spans="2:71" x14ac:dyDescent="0.2">
      <c r="B20" s="2982" t="s">
        <v>529</v>
      </c>
      <c r="C20" s="2983" t="s">
        <v>562</v>
      </c>
      <c r="D20" s="2983" t="s">
        <v>562</v>
      </c>
      <c r="E20" s="2983" t="s">
        <v>563</v>
      </c>
      <c r="F20" s="2983" t="s">
        <v>564</v>
      </c>
      <c r="G20" s="2983" t="s">
        <v>565</v>
      </c>
      <c r="H20" s="2951"/>
      <c r="I20" s="2983" t="s">
        <v>1080</v>
      </c>
      <c r="J20" s="2984">
        <f>PBM!$CH$15</f>
        <v>0.26277332236616635</v>
      </c>
      <c r="K20" s="2984"/>
      <c r="L20" s="2945"/>
      <c r="M20" s="2985">
        <f>PBM!$CJ$15</f>
        <v>0.17442497779289745</v>
      </c>
      <c r="N20" s="2984"/>
      <c r="O20" s="2984"/>
      <c r="P20" s="2983" t="s">
        <v>1080</v>
      </c>
      <c r="Q20" s="2986" t="s">
        <v>388</v>
      </c>
      <c r="R20" s="2986" t="s">
        <v>1227</v>
      </c>
      <c r="S20" s="2986" t="s">
        <v>1103</v>
      </c>
      <c r="T20" s="2895">
        <f>PBM!CO15</f>
        <v>5.219397060401243E-2</v>
      </c>
      <c r="U20" s="2895"/>
      <c r="V20" s="2986" t="str">
        <f>TEXT(BM25, "0.0%")&amp;" to "&amp;TEXT(BN25, "0.0%")</f>
        <v>0.0% to 0.0%</v>
      </c>
      <c r="W20" s="2895">
        <f>PBM!CO15</f>
        <v>5.219397060401243E-2</v>
      </c>
      <c r="X20" s="2986"/>
      <c r="Y20" s="2895" t="s">
        <v>107</v>
      </c>
      <c r="Z20" s="2895" t="s">
        <v>107</v>
      </c>
      <c r="AA20" s="2895" t="s">
        <v>33</v>
      </c>
      <c r="AB20" s="2895">
        <f>PBM!CR15</f>
        <v>0.16151767571995457</v>
      </c>
      <c r="AC20" s="2945"/>
      <c r="AD20" s="2895" t="s">
        <v>1275</v>
      </c>
      <c r="AE20" s="2895">
        <f>PBM!CT15</f>
        <v>0.21714504205964835</v>
      </c>
      <c r="AF20" s="2895"/>
      <c r="AG20" s="2895" t="s">
        <v>1308</v>
      </c>
      <c r="AH20" s="2895" t="s">
        <v>1333</v>
      </c>
      <c r="AI20" s="2895" t="s">
        <v>1381</v>
      </c>
      <c r="AJ20" s="2895" t="s">
        <v>1406</v>
      </c>
      <c r="AK20" s="2895">
        <f>PBM!$CY$15</f>
        <v>0.11056391915406927</v>
      </c>
      <c r="AL20" s="2945"/>
      <c r="AM20" s="2896" t="s">
        <v>1462</v>
      </c>
      <c r="AN20" s="2891">
        <f>PBM!$DA$15</f>
        <v>0.20461997830720846</v>
      </c>
      <c r="AO20" s="2896" t="s">
        <v>1490</v>
      </c>
      <c r="AP20" s="2891">
        <f>PBM!$DB$15</f>
        <v>0.20736043205204258</v>
      </c>
      <c r="AQ20" s="2896" t="s">
        <v>1516</v>
      </c>
      <c r="AR20" s="2891">
        <f>PBM!$DC$15</f>
        <v>0.19197678847822042</v>
      </c>
      <c r="AS20" s="2896" t="s">
        <v>1533</v>
      </c>
      <c r="AT20" s="2891">
        <f>PBM!$DD$15</f>
        <v>0.17897621060895763</v>
      </c>
      <c r="AU20" s="2896"/>
      <c r="AV20" s="2891">
        <f>PBM!$DF$15</f>
        <v>8.5440639666261031E-2</v>
      </c>
      <c r="AW20" s="2897" t="s">
        <v>1594</v>
      </c>
      <c r="AX20" s="2891">
        <f>PBM!$DG$15</f>
        <v>9.5422860957583344E-2</v>
      </c>
      <c r="AY20" s="2897" t="s">
        <v>1620</v>
      </c>
      <c r="BF20" s="2907">
        <v>0.02</v>
      </c>
      <c r="BG20" s="2908">
        <v>3.7499999999999999E-2</v>
      </c>
      <c r="BH20" s="2851">
        <f t="shared" si="0"/>
        <v>2.8749999999999998E-2</v>
      </c>
      <c r="BI20" s="2891">
        <f ca="1">PBM!DK15</f>
        <v>3.074175792229128E-2</v>
      </c>
      <c r="BO20" s="2987"/>
    </row>
    <row r="21" spans="2:71" x14ac:dyDescent="0.2">
      <c r="B21" s="2988" t="s">
        <v>883</v>
      </c>
      <c r="C21" s="2983"/>
      <c r="D21" s="2983"/>
      <c r="E21" s="2983"/>
      <c r="F21" s="2983"/>
      <c r="G21" s="2983"/>
      <c r="H21" s="2951"/>
      <c r="I21" s="2983"/>
      <c r="J21" s="2984"/>
      <c r="K21" s="2984"/>
      <c r="L21" s="2945"/>
      <c r="M21" s="2985"/>
      <c r="N21" s="2984"/>
      <c r="O21" s="2984"/>
      <c r="P21" s="2983"/>
      <c r="Q21" s="2986"/>
      <c r="R21" s="2986"/>
      <c r="S21" s="2986"/>
      <c r="T21" s="2895"/>
      <c r="U21" s="2895"/>
      <c r="V21" s="2986"/>
      <c r="W21" s="2895"/>
      <c r="X21" s="2986"/>
      <c r="Y21" s="2895"/>
      <c r="Z21" s="2895"/>
      <c r="AA21" s="2895"/>
      <c r="AB21" s="2895"/>
      <c r="AC21" s="2945"/>
      <c r="AD21" s="2895"/>
      <c r="AE21" s="2895"/>
      <c r="AF21" s="2895"/>
      <c r="AG21" s="2895"/>
      <c r="AH21" s="2895"/>
      <c r="AI21" s="2895"/>
      <c r="AJ21" s="2895" t="s">
        <v>1407</v>
      </c>
      <c r="AK21" s="2898">
        <f>PBM!CY98</f>
        <v>341.3</v>
      </c>
      <c r="AL21" s="2945"/>
      <c r="AM21" s="2562"/>
      <c r="AN21" s="2898">
        <f>PBM!DA98</f>
        <v>401.9</v>
      </c>
      <c r="AO21" s="2562"/>
      <c r="AP21" s="2898">
        <f>PBM!DB98</f>
        <v>403.2</v>
      </c>
      <c r="AQ21" s="2562"/>
      <c r="AR21" s="2898">
        <f>PBM!DC98</f>
        <v>408.7</v>
      </c>
      <c r="AS21" s="2562"/>
      <c r="AT21" s="2898">
        <f>PBM!DD98</f>
        <v>425.4</v>
      </c>
      <c r="AU21" s="2562"/>
      <c r="AV21" s="2898">
        <f>PBM!DF98</f>
        <v>440.5</v>
      </c>
      <c r="AW21" s="2562"/>
      <c r="AX21" s="2898">
        <f>PBM!DG98</f>
        <v>441.6</v>
      </c>
      <c r="AY21" s="2562"/>
      <c r="BF21" s="2909"/>
      <c r="BG21" s="2909"/>
      <c r="BH21" s="2989"/>
      <c r="BI21" s="2898">
        <f>PBM!DK98</f>
        <v>474.46600000000001</v>
      </c>
      <c r="BL21" s="2941">
        <v>50000000</v>
      </c>
      <c r="BO21" s="2987"/>
    </row>
    <row r="22" spans="2:71" hidden="1" outlineLevel="1" x14ac:dyDescent="0.2">
      <c r="B22" s="2988" t="s">
        <v>608</v>
      </c>
      <c r="C22" s="2983"/>
      <c r="D22" s="2983"/>
      <c r="E22" s="2983"/>
      <c r="F22" s="2983"/>
      <c r="G22" s="2983"/>
      <c r="H22" s="2951"/>
      <c r="I22" s="2983"/>
      <c r="J22" s="2984"/>
      <c r="K22" s="2984"/>
      <c r="L22" s="2945"/>
      <c r="M22" s="2985"/>
      <c r="N22" s="2984"/>
      <c r="O22" s="2984"/>
      <c r="P22" s="2983"/>
      <c r="Q22" s="2986"/>
      <c r="R22" s="2986"/>
      <c r="S22" s="2986"/>
      <c r="T22" s="2895"/>
      <c r="U22" s="2895"/>
      <c r="V22" s="2986"/>
      <c r="W22" s="2895"/>
      <c r="X22" s="2986"/>
      <c r="Y22" s="2895"/>
      <c r="Z22" s="2895"/>
      <c r="AA22" s="2895"/>
      <c r="AB22" s="2895"/>
      <c r="AC22" s="2945"/>
      <c r="AD22" s="2895"/>
      <c r="AE22" s="2895"/>
      <c r="AF22" s="2895"/>
      <c r="AG22" s="2895"/>
      <c r="AH22" s="2895"/>
      <c r="AI22" s="2895"/>
      <c r="AJ22" s="2895" t="s">
        <v>1087</v>
      </c>
      <c r="AK22" s="2895">
        <f>PBM!CY20-PBM!CT20</f>
        <v>4.4146619110268168E-3</v>
      </c>
      <c r="AL22" s="2945"/>
      <c r="AM22" s="2562"/>
      <c r="AN22" s="2895">
        <f>PBM!DA20-PBM!CW20</f>
        <v>-1.2458529778082629E-2</v>
      </c>
      <c r="AO22" s="2562"/>
      <c r="AP22" s="2895">
        <f>PBM!DB20-PBM!CW20</f>
        <v>-4.4247175690355772E-3</v>
      </c>
      <c r="AQ22" s="2562"/>
      <c r="AR22" s="2895">
        <f>PBM!DC20-PBM!CX20</f>
        <v>1.5344313086714662E-3</v>
      </c>
      <c r="AS22" s="1735" t="s">
        <v>1389</v>
      </c>
      <c r="AT22" s="2895">
        <f>PBM!DD20-PBM!CY20</f>
        <v>-3.9767274627125829E-3</v>
      </c>
      <c r="AU22" s="1735"/>
      <c r="AV22" s="2895">
        <f>PBM!DF20-PBM!DA20</f>
        <v>-3.1880169487035481E-3</v>
      </c>
      <c r="AW22" s="1735"/>
      <c r="AX22" s="2895"/>
      <c r="AY22" s="1735"/>
      <c r="BF22" s="1733"/>
      <c r="BG22" s="1733"/>
      <c r="BH22" s="2989"/>
      <c r="BI22" s="2895"/>
      <c r="BO22" s="2987"/>
    </row>
    <row r="23" spans="2:71" hidden="1" outlineLevel="1" x14ac:dyDescent="0.2">
      <c r="B23" s="2481" t="s">
        <v>519</v>
      </c>
      <c r="C23" s="2986"/>
      <c r="D23" s="2986"/>
      <c r="E23" s="2986"/>
      <c r="F23" s="2899">
        <f>O23</f>
        <v>0</v>
      </c>
      <c r="G23" s="2899">
        <f>T23</f>
        <v>0</v>
      </c>
      <c r="H23" s="2990"/>
      <c r="I23" s="2899"/>
      <c r="J23" s="2984"/>
      <c r="K23" s="2984"/>
      <c r="L23" s="2945"/>
      <c r="M23" s="2991">
        <f>PBM!CI35</f>
        <v>4.3364270938194859E-2</v>
      </c>
      <c r="N23" s="2899"/>
      <c r="O23" s="2984"/>
      <c r="P23" s="2899"/>
      <c r="Q23" s="2899"/>
      <c r="R23" s="2899"/>
      <c r="S23" s="2899"/>
      <c r="T23" s="2895"/>
      <c r="U23" s="2895"/>
      <c r="V23" s="2899"/>
      <c r="W23" s="2895"/>
      <c r="X23" s="2899"/>
      <c r="Y23" s="2895"/>
      <c r="Z23" s="2895"/>
      <c r="AA23" s="2895"/>
      <c r="AB23" s="2895"/>
      <c r="AC23" s="2945"/>
      <c r="AD23" s="2895"/>
      <c r="AE23" s="2895"/>
      <c r="AF23" s="2895"/>
      <c r="AG23" s="2895"/>
      <c r="AH23" s="2895"/>
      <c r="AI23" s="2895"/>
      <c r="AJ23" s="2895" t="s">
        <v>1408</v>
      </c>
      <c r="AK23" s="2895">
        <f>PBM!CY37</f>
        <v>5.3980769365857967E-3</v>
      </c>
      <c r="AL23" s="2945"/>
      <c r="AM23" s="2582" t="s">
        <v>1461</v>
      </c>
      <c r="AN23" s="2895">
        <f>PBM!DA37</f>
        <v>-3.5362441883362121E-3</v>
      </c>
      <c r="AO23" s="2582"/>
      <c r="AP23" s="2895">
        <f>PBM!DB37</f>
        <v>-3.2708731822060633E-3</v>
      </c>
      <c r="AQ23" s="2582"/>
      <c r="AR23" s="2895">
        <f>PBM!DC37</f>
        <v>2.3233636765903273E-3</v>
      </c>
      <c r="AS23" s="2582"/>
      <c r="AT23" s="2895">
        <f>PBM!DD37</f>
        <v>-1.6835585173007941E-3</v>
      </c>
      <c r="AU23" s="2582"/>
      <c r="AV23" s="2895">
        <f>PBM!DF37</f>
        <v>-2.0954569194944345E-3</v>
      </c>
      <c r="AW23" s="2582"/>
      <c r="AX23" s="2895"/>
      <c r="AY23" s="2582"/>
      <c r="BF23" s="511"/>
      <c r="BG23" s="511"/>
      <c r="BH23" s="2989"/>
      <c r="BI23" s="2895"/>
    </row>
    <row r="24" spans="2:71" ht="13.5" collapsed="1" thickBot="1" x14ac:dyDescent="0.25">
      <c r="B24" s="2924" t="s">
        <v>12</v>
      </c>
      <c r="C24" s="498" t="s">
        <v>566</v>
      </c>
      <c r="D24" s="498" t="s">
        <v>566</v>
      </c>
      <c r="E24" s="498" t="s">
        <v>567</v>
      </c>
      <c r="F24" s="498" t="s">
        <v>568</v>
      </c>
      <c r="G24" s="498" t="s">
        <v>569</v>
      </c>
      <c r="H24" s="1615"/>
      <c r="I24" s="524" t="s">
        <v>1081</v>
      </c>
      <c r="J24" s="2992">
        <f>PBM!$CH$36</f>
        <v>0.12643171806167386</v>
      </c>
      <c r="K24" s="499"/>
      <c r="L24" s="2993"/>
      <c r="M24" s="500">
        <f>PBM!$CJ$35</f>
        <v>5.5519794013517865E-2</v>
      </c>
      <c r="N24" s="499"/>
      <c r="O24" s="499"/>
      <c r="P24" s="524" t="s">
        <v>1081</v>
      </c>
      <c r="Q24" s="524" t="s">
        <v>399</v>
      </c>
      <c r="R24" s="524" t="s">
        <v>1226</v>
      </c>
      <c r="S24" s="498" t="s">
        <v>1104</v>
      </c>
      <c r="T24" s="499">
        <f>PBM!CO36</f>
        <v>-0.1300483091787441</v>
      </c>
      <c r="U24" s="499"/>
      <c r="V24" s="524" t="str">
        <f>TEXT(BM27, "0.0%")&amp;" to "&amp;TEXT(BN27, "0.0%")</f>
        <v>0.0% to 0.0%</v>
      </c>
      <c r="W24" s="499">
        <f>PBM!CO36</f>
        <v>-0.1300483091787441</v>
      </c>
      <c r="X24" s="524"/>
      <c r="Y24" s="499" t="s">
        <v>108</v>
      </c>
      <c r="Z24" s="499" t="s">
        <v>108</v>
      </c>
      <c r="AA24" s="499" t="s">
        <v>34</v>
      </c>
      <c r="AB24" s="499">
        <f>PBM!CR36</f>
        <v>0.30041456914421083</v>
      </c>
      <c r="AC24" s="2993"/>
      <c r="AD24" s="499" t="s">
        <v>1276</v>
      </c>
      <c r="AE24" s="499">
        <f>PBM!CT36</f>
        <v>9.218125277654643E-3</v>
      </c>
      <c r="AF24" s="499"/>
      <c r="AG24" s="499" t="s">
        <v>1309</v>
      </c>
      <c r="AH24" s="499" t="s">
        <v>1334</v>
      </c>
      <c r="AI24" s="499" t="s">
        <v>1382</v>
      </c>
      <c r="AJ24" s="499" t="s">
        <v>1409</v>
      </c>
      <c r="AK24" s="499">
        <f>PBM!$CY$36</f>
        <v>0.26806834015626935</v>
      </c>
      <c r="AL24" s="2993"/>
      <c r="AM24" s="507"/>
      <c r="AN24" s="505">
        <f>PBM!$DA$36</f>
        <v>6.6036784741144272E-2</v>
      </c>
      <c r="AO24" s="2925" t="s">
        <v>1491</v>
      </c>
      <c r="AP24" s="505">
        <f>PBM!$DB$36</f>
        <v>0.10473152578415745</v>
      </c>
      <c r="AQ24" s="2925" t="s">
        <v>1517</v>
      </c>
      <c r="AR24" s="505">
        <f>PBM!$DC$36</f>
        <v>0.25279965750321765</v>
      </c>
      <c r="AS24" s="507" t="s">
        <v>1534</v>
      </c>
      <c r="AT24" s="505">
        <f>PBM!$DD$36</f>
        <v>0.13330481560966989</v>
      </c>
      <c r="AU24" s="507"/>
      <c r="AV24" s="505">
        <f>PBM!$DF$36</f>
        <v>1.8262657657601711E-3</v>
      </c>
      <c r="AW24" s="507" t="s">
        <v>1595</v>
      </c>
      <c r="AX24" s="505">
        <f>PBM!$DG$36</f>
        <v>9.2107795957651728E-2</v>
      </c>
      <c r="AY24" s="2504" t="s">
        <v>1621</v>
      </c>
      <c r="AZ24" s="2993"/>
      <c r="BA24" s="2993"/>
      <c r="BB24" s="2994"/>
      <c r="BC24" s="2994"/>
      <c r="BD24" s="2994"/>
      <c r="BE24" s="2994"/>
      <c r="BF24" s="2926" t="s">
        <v>1664</v>
      </c>
      <c r="BG24" s="2927"/>
      <c r="BH24" s="2995"/>
      <c r="BI24" s="505">
        <f ca="1">PBM!DK36</f>
        <v>1.7986969381918572E-2</v>
      </c>
      <c r="BL24" s="2941">
        <f>BL21*0.0075</f>
        <v>375000</v>
      </c>
      <c r="BM24" s="2996"/>
      <c r="BN24" s="2996"/>
      <c r="BO24" s="2996"/>
      <c r="BQ24" s="2996"/>
      <c r="BR24" s="2996"/>
      <c r="BS24" s="2996"/>
    </row>
    <row r="25" spans="2:71" ht="13.5" thickBot="1" x14ac:dyDescent="0.25">
      <c r="B25" s="492" t="s">
        <v>570</v>
      </c>
      <c r="C25" s="501"/>
      <c r="D25" s="501"/>
      <c r="E25" s="481" t="s">
        <v>541</v>
      </c>
      <c r="F25" s="502" t="s">
        <v>542</v>
      </c>
      <c r="G25" s="489" t="str">
        <f>G4</f>
        <v>4Q12 Guidance</v>
      </c>
      <c r="H25" s="1613"/>
      <c r="I25" s="489" t="str">
        <f>I19</f>
        <v>1Q13 Guidance</v>
      </c>
      <c r="J25" s="1732" t="s">
        <v>544</v>
      </c>
      <c r="K25" s="501"/>
      <c r="L25" s="2997"/>
      <c r="M25" s="503"/>
      <c r="N25" s="501"/>
      <c r="O25" s="489"/>
      <c r="P25" s="489"/>
      <c r="Q25" s="489"/>
      <c r="R25" s="489"/>
      <c r="S25" s="489"/>
      <c r="T25" s="489"/>
      <c r="U25" s="489"/>
      <c r="V25" s="489"/>
      <c r="W25" s="489"/>
      <c r="X25" s="489"/>
      <c r="Y25" s="489"/>
      <c r="Z25" s="489"/>
      <c r="AA25" s="489"/>
      <c r="AB25" s="489"/>
      <c r="AC25" s="2945"/>
      <c r="AD25" s="489"/>
      <c r="AE25" s="489"/>
      <c r="AF25" s="489"/>
      <c r="AG25" s="489"/>
      <c r="AH25" s="489"/>
      <c r="AI25" s="489"/>
      <c r="AJ25" s="489"/>
      <c r="AK25" s="489"/>
      <c r="AL25" s="2945"/>
      <c r="AM25" s="1690"/>
      <c r="AN25" s="489"/>
      <c r="AO25" s="1690"/>
      <c r="AP25" s="489"/>
      <c r="AQ25" s="1690"/>
      <c r="AR25" s="489"/>
      <c r="AS25" s="1690"/>
      <c r="AT25" s="489"/>
      <c r="AU25" s="1690"/>
      <c r="AV25" s="489"/>
      <c r="AW25" s="1690"/>
      <c r="AX25" s="489"/>
      <c r="AY25" s="1690"/>
      <c r="BF25" s="2947" t="s">
        <v>412</v>
      </c>
      <c r="BG25" s="2948" t="s">
        <v>413</v>
      </c>
      <c r="BH25" s="2949" t="s">
        <v>1657</v>
      </c>
      <c r="BI25" s="489" t="str">
        <f>BI19</f>
        <v>MS 1Q18</v>
      </c>
      <c r="BM25" s="2958"/>
      <c r="BN25" s="2998"/>
      <c r="BO25" s="2958"/>
      <c r="BQ25" s="2959"/>
      <c r="BR25" s="2999"/>
      <c r="BS25" s="3000"/>
    </row>
    <row r="26" spans="2:71" x14ac:dyDescent="0.2">
      <c r="B26" s="3001" t="s">
        <v>529</v>
      </c>
      <c r="C26" s="2983" t="s">
        <v>571</v>
      </c>
      <c r="D26" s="2983" t="s">
        <v>572</v>
      </c>
      <c r="E26" s="2983" t="s">
        <v>573</v>
      </c>
      <c r="F26" s="2983" t="s">
        <v>574</v>
      </c>
      <c r="G26" s="2983" t="s">
        <v>575</v>
      </c>
      <c r="H26" s="2951"/>
      <c r="I26" s="2983" t="s">
        <v>1076</v>
      </c>
      <c r="J26" s="2984">
        <f>Retail!$CH$18</f>
        <v>6.8798057466612716E-2</v>
      </c>
      <c r="K26" s="2984"/>
      <c r="L26" s="2945"/>
      <c r="M26" s="2985">
        <f>Retail!$CJ$18</f>
        <v>5.0817481781742391E-2</v>
      </c>
      <c r="N26" s="2984"/>
      <c r="O26" s="2984"/>
      <c r="P26" s="2983" t="s">
        <v>1076</v>
      </c>
      <c r="Q26" s="3002" t="s">
        <v>396</v>
      </c>
      <c r="R26" s="3002" t="s">
        <v>1222</v>
      </c>
      <c r="S26" s="3002" t="s">
        <v>1103</v>
      </c>
      <c r="T26" s="2895">
        <f>Retail!CO18</f>
        <v>5.6019656019655972E-2</v>
      </c>
      <c r="U26" s="2895"/>
      <c r="V26" s="2983" t="str">
        <f>TEXT(BL51, "0.0%")&amp;" to "&amp;TEXT(BM51, "0.0%")</f>
        <v>0.0% to 0.0%</v>
      </c>
      <c r="W26" s="2895">
        <f>Retail!CO18</f>
        <v>5.6019656019655972E-2</v>
      </c>
      <c r="X26" s="2983"/>
      <c r="Y26" s="1733" t="s">
        <v>103</v>
      </c>
      <c r="Z26" s="2896" t="s">
        <v>103</v>
      </c>
      <c r="AA26" s="2896" t="s">
        <v>31</v>
      </c>
      <c r="AB26" s="2895">
        <f>Retail!CR18</f>
        <v>4.5261625205241796E-2</v>
      </c>
      <c r="AC26" s="2945"/>
      <c r="AD26" s="2896" t="s">
        <v>4</v>
      </c>
      <c r="AE26" s="2895">
        <f>Retail!CT18</f>
        <v>2.943229409027448E-2</v>
      </c>
      <c r="AF26" s="2895"/>
      <c r="AG26" s="2895" t="s">
        <v>1310</v>
      </c>
      <c r="AH26" s="1733" t="s">
        <v>1335</v>
      </c>
      <c r="AI26" s="2896" t="s">
        <v>1101</v>
      </c>
      <c r="AJ26" s="2896" t="s">
        <v>1402</v>
      </c>
      <c r="AK26" s="2895">
        <f>Retail!CY18</f>
        <v>0.12457162124533827</v>
      </c>
      <c r="AL26" s="2945"/>
      <c r="AM26" s="2896" t="s">
        <v>1468</v>
      </c>
      <c r="AN26" s="2895">
        <f>Retail!DA18</f>
        <v>0.18649267291219296</v>
      </c>
      <c r="AO26" s="2896" t="s">
        <v>1488</v>
      </c>
      <c r="AP26" s="2895">
        <f>Retail!DB18</f>
        <v>0.15987611717830208</v>
      </c>
      <c r="AQ26" s="2896" t="s">
        <v>1518</v>
      </c>
      <c r="AR26" s="2895">
        <f>Retail!DC18</f>
        <v>0.12455395659333934</v>
      </c>
      <c r="AS26" s="2896" t="s">
        <v>1535</v>
      </c>
      <c r="AT26" s="2895">
        <f>Retail!DD18</f>
        <v>4.7467576757042274E-2</v>
      </c>
      <c r="AU26" s="2896"/>
      <c r="AV26" s="2895">
        <f>Retail!DF18</f>
        <v>-3.8360182975338053E-2</v>
      </c>
      <c r="AW26" s="2897" t="s">
        <v>1590</v>
      </c>
      <c r="AX26" s="2895">
        <f>Retail!DG18</f>
        <v>-2.2216444068864472E-2</v>
      </c>
      <c r="AY26" s="2897" t="s">
        <v>1617</v>
      </c>
      <c r="BF26" s="2907">
        <v>0.04</v>
      </c>
      <c r="BG26" s="2908">
        <v>5.5E-2</v>
      </c>
      <c r="BH26" s="2851">
        <f t="shared" ref="BH26:BH28" si="3">AVERAGE(BF26:BG26)</f>
        <v>4.7500000000000001E-2</v>
      </c>
      <c r="BI26" s="2895">
        <f>Retail!DK18</f>
        <v>5.6254491565019604E-2</v>
      </c>
      <c r="BM26" s="2996"/>
      <c r="BN26" s="2996"/>
      <c r="BO26" s="2996"/>
      <c r="BQ26" s="2996"/>
      <c r="BR26" s="2996"/>
      <c r="BS26" s="2996"/>
    </row>
    <row r="27" spans="2:71" x14ac:dyDescent="0.2">
      <c r="B27" s="3001" t="s">
        <v>530</v>
      </c>
      <c r="C27" s="2983" t="s">
        <v>576</v>
      </c>
      <c r="D27" s="2983" t="s">
        <v>573</v>
      </c>
      <c r="E27" s="2983" t="s">
        <v>577</v>
      </c>
      <c r="F27" s="2983" t="s">
        <v>578</v>
      </c>
      <c r="G27" s="2983" t="s">
        <v>579</v>
      </c>
      <c r="H27" s="2951"/>
      <c r="I27" s="2983" t="s">
        <v>1077</v>
      </c>
      <c r="J27" s="2984">
        <f>Retail!$CH$12</f>
        <v>5.6711999999999992E-2</v>
      </c>
      <c r="K27" s="2984"/>
      <c r="L27" s="2945"/>
      <c r="M27" s="2985">
        <f>Retail!$CJ$12</f>
        <v>3.9676000000000003E-2</v>
      </c>
      <c r="N27" s="2984"/>
      <c r="O27" s="2984"/>
      <c r="P27" s="2983" t="s">
        <v>1077</v>
      </c>
      <c r="Q27" s="3002" t="s">
        <v>397</v>
      </c>
      <c r="R27" s="3002" t="s">
        <v>1223</v>
      </c>
      <c r="S27" s="3002" t="s">
        <v>1105</v>
      </c>
      <c r="T27" s="2895">
        <f>Retail!CO12</f>
        <v>4.1465000000000002E-2</v>
      </c>
      <c r="U27" s="2895"/>
      <c r="V27" s="2983" t="str">
        <f>TEXT(BL53, "0.0%")&amp;" to "&amp;TEXT(BM53, "0.0%")</f>
        <v>0.0% to 0.0%</v>
      </c>
      <c r="W27" s="2895">
        <f>Retail!CO12</f>
        <v>4.1465000000000002E-2</v>
      </c>
      <c r="X27" s="2983"/>
      <c r="Y27" s="1733" t="s">
        <v>104</v>
      </c>
      <c r="Z27" s="1735" t="s">
        <v>104</v>
      </c>
      <c r="AA27" s="1735" t="s">
        <v>35</v>
      </c>
      <c r="AB27" s="2895">
        <f>Retail!CR12</f>
        <v>3.3583999999999996E-2</v>
      </c>
      <c r="AC27" s="2945"/>
      <c r="AD27" s="1748" t="s">
        <v>5</v>
      </c>
      <c r="AE27" s="2895">
        <f>Retail!CT12</f>
        <v>1.8423999999999999E-2</v>
      </c>
      <c r="AF27" s="2895">
        <v>1E-3</v>
      </c>
      <c r="AG27" s="2895" t="s">
        <v>1311</v>
      </c>
      <c r="AH27" s="2503" t="s">
        <v>1336</v>
      </c>
      <c r="AI27" s="1748" t="s">
        <v>1378</v>
      </c>
      <c r="AJ27" s="1748" t="s">
        <v>1403</v>
      </c>
      <c r="AK27" s="2895">
        <f>Retail!CY12</f>
        <v>3.5000000000000003E-2</v>
      </c>
      <c r="AL27" s="2945"/>
      <c r="AM27" s="1748" t="s">
        <v>1459</v>
      </c>
      <c r="AN27" s="2895">
        <f>Retail!DA12</f>
        <v>4.2000000000000003E-2</v>
      </c>
      <c r="AO27" s="1748" t="s">
        <v>1119</v>
      </c>
      <c r="AP27" s="2895">
        <f>Retail!DB12</f>
        <v>2.1000000000000001E-2</v>
      </c>
      <c r="AQ27" s="1748" t="s">
        <v>1519</v>
      </c>
      <c r="AR27" s="2895">
        <f>Retail!DC12</f>
        <v>2.1000000000000001E-2</v>
      </c>
      <c r="AS27" s="1748" t="s">
        <v>1536</v>
      </c>
      <c r="AT27" s="2895">
        <f>Retail!DD12</f>
        <v>2.1000000000000001E-2</v>
      </c>
      <c r="AU27" s="1748"/>
      <c r="AV27" s="2895">
        <f>Retail!DF12</f>
        <v>-4.7E-2</v>
      </c>
      <c r="AW27" s="1748" t="s">
        <v>1591</v>
      </c>
      <c r="AX27" s="2895">
        <f>Retail!DG12</f>
        <v>-2.5999999999999999E-2</v>
      </c>
      <c r="AY27" s="1748" t="s">
        <v>1618</v>
      </c>
      <c r="BF27" s="2918">
        <v>0.04</v>
      </c>
      <c r="BG27" s="2503">
        <v>5.5E-2</v>
      </c>
      <c r="BH27" s="2633">
        <f t="shared" si="3"/>
        <v>4.7500000000000001E-2</v>
      </c>
      <c r="BI27" s="2895">
        <f>Retail!DK12</f>
        <v>5.2770316326924693E-2</v>
      </c>
      <c r="BM27" s="2958"/>
      <c r="BN27" s="2958"/>
      <c r="BO27" s="2958"/>
      <c r="BQ27" s="2960"/>
      <c r="BR27" s="2960"/>
      <c r="BS27" s="2958"/>
    </row>
    <row r="28" spans="2:71" x14ac:dyDescent="0.2">
      <c r="B28" s="3001" t="s">
        <v>36</v>
      </c>
      <c r="C28" s="2983" t="s">
        <v>580</v>
      </c>
      <c r="D28" s="2983" t="s">
        <v>581</v>
      </c>
      <c r="E28" s="2983" t="s">
        <v>573</v>
      </c>
      <c r="F28" s="2983" t="s">
        <v>573</v>
      </c>
      <c r="G28" s="2983" t="s">
        <v>582</v>
      </c>
      <c r="H28" s="2951"/>
      <c r="I28" s="2983" t="s">
        <v>1082</v>
      </c>
      <c r="J28" s="2984">
        <f>Retail!$CH$76</f>
        <v>7.6999999999999999E-2</v>
      </c>
      <c r="K28" s="2984"/>
      <c r="L28" s="2945"/>
      <c r="M28" s="2985">
        <f>Retail!$CJ$76</f>
        <v>0.09</v>
      </c>
      <c r="N28" s="2984"/>
      <c r="O28" s="2984"/>
      <c r="P28" s="2983" t="s">
        <v>1082</v>
      </c>
      <c r="Q28" s="3002" t="s">
        <v>1120</v>
      </c>
      <c r="R28" s="3002" t="s">
        <v>1224</v>
      </c>
      <c r="S28" s="3002" t="s">
        <v>1106</v>
      </c>
      <c r="T28" s="2895">
        <f>Retail!CO76</f>
        <v>8.0000000000000002E-3</v>
      </c>
      <c r="U28" s="2895"/>
      <c r="V28" s="2983" t="str">
        <f>TEXT(BL55, "0.0%")&amp;" to "&amp;TEXT(BM55, "0.0%")</f>
        <v>0.0% to 0.0%</v>
      </c>
      <c r="W28" s="2895">
        <f>Retail!CO76</f>
        <v>8.0000000000000002E-3</v>
      </c>
      <c r="X28" s="2983"/>
      <c r="Y28" s="1733" t="s">
        <v>105</v>
      </c>
      <c r="Z28" s="1735" t="s">
        <v>105</v>
      </c>
      <c r="AA28" s="1735" t="s">
        <v>105</v>
      </c>
      <c r="AB28" s="2895">
        <f>Retail!CR77</f>
        <v>3.9E-2</v>
      </c>
      <c r="AC28" s="2945"/>
      <c r="AD28" s="1735" t="s">
        <v>1273</v>
      </c>
      <c r="AE28" s="2895">
        <f>Retail!CT77</f>
        <v>5.2999999999999999E-2</v>
      </c>
      <c r="AF28" s="2895"/>
      <c r="AG28" s="2895" t="s">
        <v>1292</v>
      </c>
      <c r="AH28" s="1733" t="s">
        <v>1337</v>
      </c>
      <c r="AI28" s="1735" t="s">
        <v>1379</v>
      </c>
      <c r="AJ28" s="1735" t="s">
        <v>1273</v>
      </c>
      <c r="AK28" s="2895">
        <f>Retail!CY77</f>
        <v>0.05</v>
      </c>
      <c r="AL28" s="2945"/>
      <c r="AM28" s="1735" t="s">
        <v>1379</v>
      </c>
      <c r="AN28" s="2895">
        <f>Retail!DA76</f>
        <v>4.3999999999999997E-2</v>
      </c>
      <c r="AO28" s="1735" t="s">
        <v>1489</v>
      </c>
      <c r="AP28" s="2895">
        <f>Retail!DB76</f>
        <v>2.1000000000000001E-2</v>
      </c>
      <c r="AQ28" s="1735" t="s">
        <v>1489</v>
      </c>
      <c r="AR28" s="2895">
        <f>Retail!DC76</f>
        <v>1.4999999999999999E-2</v>
      </c>
      <c r="AS28" s="1735" t="s">
        <v>1214</v>
      </c>
      <c r="AT28" s="2895">
        <f>Retail!DD76</f>
        <v>2E-3</v>
      </c>
      <c r="AU28" s="1735"/>
      <c r="AV28" s="2895">
        <f>Retail!DF76</f>
        <v>-3.7999999999999999E-2</v>
      </c>
      <c r="AW28" s="1748" t="s">
        <v>1592</v>
      </c>
      <c r="AX28" s="2895">
        <f>Retail!DG76</f>
        <v>-2.9000000000000001E-2</v>
      </c>
      <c r="AY28" s="1748" t="s">
        <v>1609</v>
      </c>
      <c r="BF28" s="2918">
        <v>7.0000000000000007E-2</v>
      </c>
      <c r="BG28" s="2503">
        <v>8.5000000000000006E-2</v>
      </c>
      <c r="BH28" s="2920">
        <f t="shared" si="3"/>
        <v>7.7500000000000013E-2</v>
      </c>
      <c r="BI28" s="2895">
        <f>Retail!DK77</f>
        <v>7.4999999999999997E-2</v>
      </c>
    </row>
    <row r="29" spans="2:71" hidden="1" x14ac:dyDescent="0.2">
      <c r="B29" s="2900" t="s">
        <v>519</v>
      </c>
      <c r="C29" s="2986"/>
      <c r="D29" s="2986"/>
      <c r="E29" s="2986"/>
      <c r="F29" s="2899">
        <f>O29</f>
        <v>0</v>
      </c>
      <c r="G29" s="2899">
        <f>T29</f>
        <v>0</v>
      </c>
      <c r="H29" s="2990"/>
      <c r="I29" s="2899"/>
      <c r="J29" s="2984"/>
      <c r="K29" s="2984"/>
      <c r="L29" s="2945"/>
      <c r="M29" s="2985">
        <f>Retail!CI37</f>
        <v>8.4140119582814643E-2</v>
      </c>
      <c r="N29" s="2984"/>
      <c r="O29" s="2984"/>
      <c r="P29" s="2899"/>
      <c r="Q29" s="2899"/>
      <c r="R29" s="2899"/>
      <c r="S29" s="2899"/>
      <c r="T29" s="2895"/>
      <c r="U29" s="2984"/>
      <c r="V29" s="2984"/>
      <c r="W29" s="2895"/>
      <c r="X29" s="2984"/>
      <c r="Y29" s="1733"/>
      <c r="Z29" s="1735"/>
      <c r="AA29" s="1735"/>
      <c r="AB29" s="2895"/>
      <c r="AC29" s="2945"/>
      <c r="AD29" s="1735"/>
      <c r="AE29" s="2895"/>
      <c r="AF29" s="2945"/>
      <c r="AG29" s="2895"/>
      <c r="AH29" s="1733"/>
      <c r="AI29" s="1735"/>
      <c r="AJ29" s="1735"/>
      <c r="AK29" s="2895"/>
      <c r="AL29" s="2945"/>
      <c r="AM29" s="2562"/>
      <c r="AN29" s="2895"/>
      <c r="AO29" s="2562"/>
      <c r="AP29" s="2895"/>
      <c r="AQ29" s="2562"/>
      <c r="AR29" s="2895"/>
      <c r="AS29" s="2562"/>
      <c r="AT29" s="2895"/>
      <c r="AU29" s="2562"/>
      <c r="AV29" s="2895"/>
      <c r="AW29" s="2562"/>
      <c r="AX29" s="2895"/>
      <c r="AY29" s="2562"/>
      <c r="BF29" s="3003"/>
      <c r="BG29" s="2909"/>
      <c r="BH29" s="2766"/>
      <c r="BI29" s="2895"/>
    </row>
    <row r="30" spans="2:71" hidden="1" outlineLevel="1" x14ac:dyDescent="0.2">
      <c r="B30" s="2900" t="s">
        <v>608</v>
      </c>
      <c r="C30" s="2986"/>
      <c r="D30" s="2986"/>
      <c r="E30" s="2986"/>
      <c r="F30" s="2899"/>
      <c r="G30" s="2899"/>
      <c r="H30" s="2990"/>
      <c r="I30" s="2899"/>
      <c r="J30" s="2984"/>
      <c r="K30" s="2984"/>
      <c r="L30" s="2945"/>
      <c r="M30" s="2985"/>
      <c r="N30" s="2984"/>
      <c r="O30" s="2984"/>
      <c r="P30" s="2899"/>
      <c r="Q30" s="2899"/>
      <c r="R30" s="2899"/>
      <c r="S30" s="2899"/>
      <c r="T30" s="2895"/>
      <c r="U30" s="2984"/>
      <c r="V30" s="2984"/>
      <c r="W30" s="2895"/>
      <c r="X30" s="2984"/>
      <c r="Y30" s="1733"/>
      <c r="Z30" s="1735"/>
      <c r="AA30" s="1735"/>
      <c r="AB30" s="2895"/>
      <c r="AC30" s="2945"/>
      <c r="AD30" s="1735"/>
      <c r="AE30" s="2895"/>
      <c r="AF30" s="2945"/>
      <c r="AG30" s="2895"/>
      <c r="AH30" s="1733"/>
      <c r="AI30" s="1735"/>
      <c r="AJ30" s="1735" t="s">
        <v>1389</v>
      </c>
      <c r="AK30" s="2895">
        <f>Retail!CY22-Retail!CT22</f>
        <v>-1.2475672876585742E-2</v>
      </c>
      <c r="AL30" s="2945"/>
      <c r="AM30" s="2562"/>
      <c r="AN30" s="2895">
        <f>Retail!DA22-Retail!CV22</f>
        <v>-2.2474348945947575E-2</v>
      </c>
      <c r="AO30" s="2562"/>
      <c r="AP30" s="2895">
        <f>Retail!DB22-Retail!CW22</f>
        <v>-1.6494106898094607E-2</v>
      </c>
      <c r="AQ30" s="2562"/>
      <c r="AR30" s="2895">
        <f>Retail!DC22-Retail!CX22</f>
        <v>-7.1542248702990974E-3</v>
      </c>
      <c r="AS30" s="1735" t="s">
        <v>1454</v>
      </c>
      <c r="AT30" s="2895">
        <f>Retail!DD22-Retail!CY22</f>
        <v>-3.7754920157127558E-3</v>
      </c>
      <c r="AU30" s="1735"/>
      <c r="AV30" s="2895">
        <f>Retail!DF22-Retail!DA22</f>
        <v>3.6265798064279986E-3</v>
      </c>
      <c r="AW30" s="1735"/>
      <c r="AX30" s="2895"/>
      <c r="AY30" s="1735"/>
      <c r="BF30" s="3004"/>
      <c r="BG30" s="1733"/>
      <c r="BH30" s="2895"/>
      <c r="BI30" s="2895"/>
    </row>
    <row r="31" spans="2:71" hidden="1" outlineLevel="1" x14ac:dyDescent="0.2">
      <c r="B31" s="2900" t="s">
        <v>1430</v>
      </c>
      <c r="C31" s="2986"/>
      <c r="D31" s="2986"/>
      <c r="E31" s="2986"/>
      <c r="F31" s="2899"/>
      <c r="G31" s="2899"/>
      <c r="H31" s="2990"/>
      <c r="I31" s="2899"/>
      <c r="J31" s="2984"/>
      <c r="K31" s="2984"/>
      <c r="L31" s="2945"/>
      <c r="M31" s="2985"/>
      <c r="N31" s="2984"/>
      <c r="O31" s="2984"/>
      <c r="P31" s="2899"/>
      <c r="Q31" s="2899"/>
      <c r="R31" s="2899"/>
      <c r="S31" s="2899"/>
      <c r="T31" s="2895"/>
      <c r="U31" s="2984"/>
      <c r="V31" s="2984"/>
      <c r="W31" s="2895"/>
      <c r="X31" s="2984"/>
      <c r="Y31" s="1733"/>
      <c r="Z31" s="1735"/>
      <c r="AA31" s="1735"/>
      <c r="AB31" s="2895"/>
      <c r="AC31" s="2945"/>
      <c r="AD31" s="1735"/>
      <c r="AE31" s="2895"/>
      <c r="AF31" s="2945"/>
      <c r="AG31" s="2895"/>
      <c r="AH31" s="1733"/>
      <c r="AI31" s="1735"/>
      <c r="AJ31" s="1735" t="s">
        <v>1429</v>
      </c>
      <c r="AK31" s="2895">
        <f>Retail!CY25-Retail!CT25</f>
        <v>-1.901001730243651E-2</v>
      </c>
      <c r="AL31" s="2945"/>
      <c r="AM31" s="2562"/>
      <c r="AN31" s="2895">
        <f>Retail!DA25-Retail!CV25</f>
        <v>-8.9641610821108442E-3</v>
      </c>
      <c r="AO31" s="2562"/>
      <c r="AP31" s="2895">
        <f>Retail!DB25-Retail!CW25</f>
        <v>-8.2625829613741653E-3</v>
      </c>
      <c r="AQ31" s="2562"/>
      <c r="AR31" s="2895">
        <f>Retail!DC25-Retail!CX25</f>
        <v>-6.0172673671727295E-3</v>
      </c>
      <c r="AS31" s="1735" t="s">
        <v>1215</v>
      </c>
      <c r="AT31" s="2895">
        <f>Retail!DD25-Retail!CY25</f>
        <v>3.0384713897499416E-4</v>
      </c>
      <c r="AU31" s="1735"/>
      <c r="AV31" s="2895">
        <f>Retail!DF25-Retail!DA25</f>
        <v>7.9767235386389024E-3</v>
      </c>
      <c r="AW31" s="1735"/>
      <c r="AX31" s="2895"/>
      <c r="AY31" s="1735"/>
      <c r="BF31" s="3004"/>
      <c r="BG31" s="1733"/>
      <c r="BH31" s="2895"/>
      <c r="BI31" s="2895"/>
    </row>
    <row r="32" spans="2:71" ht="13.5" collapsed="1" thickBot="1" x14ac:dyDescent="0.25">
      <c r="B32" s="2479" t="s">
        <v>12</v>
      </c>
      <c r="C32" s="504" t="s">
        <v>583</v>
      </c>
      <c r="D32" s="504" t="s">
        <v>584</v>
      </c>
      <c r="E32" s="504" t="s">
        <v>585</v>
      </c>
      <c r="F32" s="504" t="s">
        <v>586</v>
      </c>
      <c r="G32" s="504" t="s">
        <v>587</v>
      </c>
      <c r="H32" s="1616"/>
      <c r="I32" s="1621" t="s">
        <v>1083</v>
      </c>
      <c r="J32" s="3005">
        <f>Retail!$CH$38</f>
        <v>0.18467741935483906</v>
      </c>
      <c r="K32" s="505"/>
      <c r="L32" s="2997"/>
      <c r="M32" s="507">
        <f>Retail!$CJ$38</f>
        <v>8.8243392070484372E-2</v>
      </c>
      <c r="N32" s="505"/>
      <c r="O32" s="505"/>
      <c r="P32" s="1621" t="s">
        <v>1083</v>
      </c>
      <c r="Q32" s="524" t="s">
        <v>398</v>
      </c>
      <c r="R32" s="524" t="s">
        <v>1225</v>
      </c>
      <c r="S32" s="524" t="s">
        <v>1107</v>
      </c>
      <c r="T32" s="505">
        <f>Retail!CO38</f>
        <v>5.6925996204933549E-2</v>
      </c>
      <c r="U32" s="505"/>
      <c r="V32" s="524" t="str">
        <f>TEXT(BL57, "0.0%")&amp;" to "&amp;TEXT(BM57, "0.0%")</f>
        <v>0.0% to 0.0%</v>
      </c>
      <c r="W32" s="505">
        <f>Retail!CO38</f>
        <v>5.6925996204933549E-2</v>
      </c>
      <c r="X32" s="505"/>
      <c r="Y32" s="1734" t="s">
        <v>106</v>
      </c>
      <c r="Z32" s="507" t="s">
        <v>1251</v>
      </c>
      <c r="AA32" s="507" t="s">
        <v>37</v>
      </c>
      <c r="AB32" s="505">
        <f>Retail!CR38</f>
        <v>6.882717984078246E-2</v>
      </c>
      <c r="AC32" s="2945"/>
      <c r="AD32" s="507" t="s">
        <v>1274</v>
      </c>
      <c r="AE32" s="505">
        <f>Retail!CT38</f>
        <v>6.5110712148414018E-2</v>
      </c>
      <c r="AF32" s="2945"/>
      <c r="AG32" s="505" t="s">
        <v>1312</v>
      </c>
      <c r="AH32" s="2478" t="s">
        <v>1346</v>
      </c>
      <c r="AI32" s="2504" t="s">
        <v>1380</v>
      </c>
      <c r="AJ32" s="2504" t="s">
        <v>1404</v>
      </c>
      <c r="AK32" s="505">
        <f>Retail!CY38</f>
        <v>0.19764212990785324</v>
      </c>
      <c r="AL32" s="2945"/>
      <c r="AM32" s="2504" t="s">
        <v>1460</v>
      </c>
      <c r="AN32" s="505">
        <f>Retail!DA38</f>
        <v>2.913071176232096E-2</v>
      </c>
      <c r="AO32" s="2504" t="s">
        <v>1460</v>
      </c>
      <c r="AP32" s="505">
        <f>Retail!DB38</f>
        <v>6.1934792955735229E-2</v>
      </c>
      <c r="AQ32" s="2504" t="s">
        <v>1387</v>
      </c>
      <c r="AR32" s="505">
        <f>Retail!DC38</f>
        <v>0.11061261859358651</v>
      </c>
      <c r="AS32" s="2504" t="s">
        <v>1537</v>
      </c>
      <c r="AT32" s="505">
        <f>Retail!DD38</f>
        <v>7.5702823169667699E-3</v>
      </c>
      <c r="AU32" s="2504"/>
      <c r="AV32" s="505">
        <f>Retail!DF38</f>
        <v>-8.5706246482836312E-2</v>
      </c>
      <c r="AW32" s="2504" t="s">
        <v>1593</v>
      </c>
      <c r="AX32" s="505">
        <f>Retail!DG38</f>
        <v>-0.1246568435206451</v>
      </c>
      <c r="AY32" s="2504" t="s">
        <v>1619</v>
      </c>
      <c r="BF32" s="2926" t="s">
        <v>1665</v>
      </c>
      <c r="BG32" s="2927"/>
      <c r="BH32" s="2928"/>
      <c r="BI32" s="2767">
        <f>Retail!DP38</f>
        <v>2.5288410315892573E-2</v>
      </c>
    </row>
    <row r="33" spans="2:63" ht="13.5" thickBot="1" x14ac:dyDescent="0.25">
      <c r="B33" s="2480" t="s">
        <v>519</v>
      </c>
      <c r="C33" s="504"/>
      <c r="D33" s="504"/>
      <c r="E33" s="504"/>
      <c r="F33" s="504"/>
      <c r="G33" s="504"/>
      <c r="H33" s="1616"/>
      <c r="I33" s="1621"/>
      <c r="J33" s="3005"/>
      <c r="K33" s="505"/>
      <c r="L33" s="2997"/>
      <c r="M33" s="507"/>
      <c r="N33" s="505"/>
      <c r="O33" s="505"/>
      <c r="P33" s="1621"/>
      <c r="Q33" s="1621"/>
      <c r="R33" s="1621"/>
      <c r="S33" s="1621"/>
      <c r="T33" s="505"/>
      <c r="U33" s="505"/>
      <c r="V33" s="1621"/>
      <c r="W33" s="505"/>
      <c r="X33" s="505"/>
      <c r="Y33" s="1734"/>
      <c r="Z33" s="507"/>
      <c r="AA33" s="507"/>
      <c r="AB33" s="505"/>
      <c r="AC33" s="2997"/>
      <c r="AD33" s="507"/>
      <c r="AE33" s="505"/>
      <c r="AF33" s="2997"/>
      <c r="AG33" s="505"/>
      <c r="AH33" s="2478"/>
      <c r="AI33" s="2504"/>
      <c r="AJ33" s="2504" t="s">
        <v>1405</v>
      </c>
      <c r="AK33" s="2506">
        <f>Retail!CY37-Retail!CT37</f>
        <v>6.5343444258507688E-3</v>
      </c>
      <c r="AL33" s="2997"/>
      <c r="AM33" s="2504"/>
      <c r="AN33" s="2506">
        <f>Retail!DA37-Retail!CV37</f>
        <v>-1.3510187863836717E-2</v>
      </c>
      <c r="AO33" s="2504"/>
      <c r="AP33" s="2506">
        <f>Retail!DB37-Retail!CW7</f>
        <v>8.925080130208464E-2</v>
      </c>
      <c r="AQ33" s="2504"/>
      <c r="AR33" s="2506">
        <f>Retail!DC37-Retail!CX7</f>
        <v>9.0573756249162252E-2</v>
      </c>
      <c r="AS33" s="2504" t="s">
        <v>1538</v>
      </c>
      <c r="AT33" s="2506">
        <f>Retail!DD37-Retail!CY37</f>
        <v>-4.07933915468775E-3</v>
      </c>
      <c r="AU33" s="2504"/>
      <c r="AV33" s="2506">
        <f>Retail!DF37-Retail!DA37</f>
        <v>-4.3501437322108621E-3</v>
      </c>
      <c r="AW33" s="2504"/>
      <c r="AX33" s="2506"/>
      <c r="AY33" s="2504"/>
      <c r="BF33" s="2919"/>
      <c r="BG33" s="2478"/>
      <c r="BH33" s="2767"/>
      <c r="BI33" s="2767"/>
    </row>
    <row r="34" spans="2:63" ht="13.5" thickBot="1" x14ac:dyDescent="0.25">
      <c r="B34" s="508"/>
      <c r="C34" s="509"/>
      <c r="D34" s="509"/>
      <c r="E34" s="509"/>
      <c r="F34" s="509"/>
      <c r="G34" s="509"/>
      <c r="H34" s="1617"/>
      <c r="I34" s="509"/>
      <c r="J34" s="3006"/>
      <c r="K34" s="510"/>
      <c r="M34" s="511"/>
      <c r="N34" s="511"/>
      <c r="O34" s="511"/>
      <c r="P34" s="511"/>
      <c r="Q34" s="509"/>
      <c r="R34" s="509"/>
      <c r="S34" s="509"/>
      <c r="T34" s="511"/>
      <c r="U34" s="511"/>
      <c r="V34" s="510"/>
      <c r="W34" s="511"/>
      <c r="X34" s="510"/>
      <c r="Y34" s="511"/>
      <c r="Z34" s="511"/>
      <c r="AA34" s="511"/>
      <c r="AB34" s="511"/>
      <c r="AD34" s="511"/>
      <c r="AE34" s="511"/>
      <c r="AG34" s="511"/>
      <c r="AH34" s="511"/>
      <c r="AI34" s="511"/>
      <c r="AJ34" s="511"/>
      <c r="AK34" s="511"/>
      <c r="AM34" s="511"/>
      <c r="AN34" s="511"/>
      <c r="AO34" s="511"/>
      <c r="AP34" s="511"/>
      <c r="AQ34" s="511"/>
      <c r="AR34" s="511"/>
      <c r="AS34" s="511"/>
      <c r="AT34" s="511"/>
      <c r="AU34" s="511"/>
      <c r="AV34" s="511"/>
      <c r="AW34" s="511"/>
      <c r="AX34" s="511"/>
      <c r="AY34" s="511"/>
      <c r="AZ34" s="511"/>
      <c r="BA34" s="511"/>
      <c r="BB34" s="511"/>
      <c r="BC34" s="511"/>
      <c r="BD34" s="511"/>
      <c r="BE34" s="511"/>
      <c r="BF34" s="511"/>
      <c r="BG34" s="511"/>
      <c r="BH34" s="511"/>
      <c r="BI34" s="2913"/>
    </row>
    <row r="35" spans="2:63" ht="13.5" thickBot="1" x14ac:dyDescent="0.25">
      <c r="B35" s="2877" t="s">
        <v>533</v>
      </c>
      <c r="C35" s="2878">
        <v>2012</v>
      </c>
      <c r="D35" s="2878">
        <v>2012</v>
      </c>
      <c r="E35" s="2878"/>
      <c r="F35" s="2878"/>
      <c r="G35" s="2878"/>
      <c r="H35" s="2879"/>
      <c r="I35" s="2878"/>
      <c r="J35" s="2880"/>
      <c r="K35" s="2878"/>
      <c r="L35" s="3007"/>
      <c r="M35" s="2881"/>
      <c r="N35" s="2882"/>
      <c r="O35" s="2883"/>
      <c r="P35" s="2878"/>
      <c r="Q35" s="2878"/>
      <c r="R35" s="2878"/>
      <c r="S35" s="2878"/>
      <c r="T35" s="2878"/>
      <c r="U35" s="2878"/>
      <c r="V35" s="2878"/>
      <c r="W35" s="2878"/>
      <c r="X35" s="2878"/>
      <c r="Y35" s="2878"/>
      <c r="Z35" s="2878"/>
      <c r="AA35" s="2878"/>
      <c r="AB35" s="2878"/>
      <c r="AC35" s="2878"/>
      <c r="AD35" s="2878"/>
      <c r="AE35" s="2878"/>
      <c r="AF35" s="2878"/>
      <c r="AG35" s="2878" t="s">
        <v>1342</v>
      </c>
      <c r="AH35" s="2878"/>
      <c r="AI35" s="2878"/>
      <c r="AJ35" s="2878"/>
      <c r="AK35" s="2878"/>
      <c r="AL35" s="3007"/>
      <c r="AM35" s="2878"/>
      <c r="AN35" s="2878"/>
      <c r="AO35" s="2878"/>
      <c r="AP35" s="2878"/>
      <c r="AQ35" s="2878"/>
      <c r="AR35" s="2878"/>
      <c r="AS35" s="2878"/>
      <c r="AT35" s="2878"/>
      <c r="AU35" s="2878"/>
      <c r="AV35" s="2878"/>
      <c r="AW35" s="2878"/>
      <c r="AX35" s="2878"/>
      <c r="AY35" s="2878"/>
      <c r="AZ35" s="2878"/>
      <c r="BA35" s="2878"/>
      <c r="BB35" s="2878"/>
      <c r="BC35" s="3008" t="s">
        <v>1659</v>
      </c>
      <c r="BD35" s="3008"/>
      <c r="BE35" s="3008"/>
      <c r="BF35" s="3009" t="s">
        <v>1658</v>
      </c>
      <c r="BG35" s="2902"/>
      <c r="BH35" s="2902"/>
      <c r="BI35" s="3009"/>
    </row>
    <row r="36" spans="2:63" ht="13.5" thickBot="1" x14ac:dyDescent="0.25">
      <c r="B36" s="2872" t="s">
        <v>1663</v>
      </c>
      <c r="C36" s="2873"/>
      <c r="D36" s="2873"/>
      <c r="E36" s="2873"/>
      <c r="F36" s="2873"/>
      <c r="G36" s="2873"/>
      <c r="H36" s="2874"/>
      <c r="I36" s="2873"/>
      <c r="J36" s="2875"/>
      <c r="K36" s="2873"/>
      <c r="L36" s="3010"/>
      <c r="M36" s="2870"/>
      <c r="N36" s="2871"/>
      <c r="O36" s="2876"/>
      <c r="P36" s="2873"/>
      <c r="Q36" s="2873"/>
      <c r="R36" s="2873"/>
      <c r="S36" s="2873"/>
      <c r="T36" s="2873"/>
      <c r="U36" s="2873"/>
      <c r="V36" s="2873"/>
      <c r="W36" s="2873"/>
      <c r="X36" s="2873"/>
      <c r="Y36" s="2873"/>
      <c r="Z36" s="2873"/>
      <c r="AA36" s="2873"/>
      <c r="AB36" s="2873"/>
      <c r="AC36" s="2873"/>
      <c r="AD36" s="2873"/>
      <c r="AE36" s="2873"/>
      <c r="AF36" s="2873"/>
      <c r="AG36" s="2873"/>
      <c r="AH36" s="2873"/>
      <c r="AI36" s="2873"/>
      <c r="AJ36" s="2873"/>
      <c r="AK36" s="2873"/>
      <c r="AL36" s="3010"/>
      <c r="AM36" s="2873"/>
      <c r="AN36" s="2873"/>
      <c r="AO36" s="2873"/>
      <c r="AP36" s="2873"/>
      <c r="AQ36" s="2873"/>
      <c r="AR36" s="2873"/>
      <c r="AS36" s="2873"/>
      <c r="AT36" s="2873"/>
      <c r="AU36" s="2873"/>
      <c r="AV36" s="2873"/>
      <c r="AW36" s="2873"/>
      <c r="AX36" s="2873"/>
      <c r="AY36" s="2873"/>
      <c r="AZ36" s="2873"/>
      <c r="BA36" s="2873"/>
      <c r="BB36" s="2873"/>
      <c r="BC36" s="3011" t="s">
        <v>1656</v>
      </c>
      <c r="BD36" s="3011"/>
      <c r="BE36" s="3011"/>
      <c r="BF36" s="3012">
        <v>43133</v>
      </c>
      <c r="BG36" s="2902"/>
      <c r="BH36" s="2902"/>
      <c r="BI36" s="3009"/>
    </row>
    <row r="37" spans="2:63" ht="13.5" thickBot="1" x14ac:dyDescent="0.25">
      <c r="B37" s="492" t="s">
        <v>588</v>
      </c>
      <c r="C37" s="501"/>
      <c r="D37" s="501"/>
      <c r="E37" s="481" t="s">
        <v>589</v>
      </c>
      <c r="F37" s="502" t="s">
        <v>589</v>
      </c>
      <c r="G37" s="489" t="s">
        <v>589</v>
      </c>
      <c r="H37" s="1613"/>
      <c r="I37" s="489" t="s">
        <v>10</v>
      </c>
      <c r="J37" s="1732" t="s">
        <v>590</v>
      </c>
      <c r="K37" s="501" t="s">
        <v>545</v>
      </c>
      <c r="L37" s="2997"/>
      <c r="M37" s="503"/>
      <c r="N37" s="501"/>
      <c r="O37" s="489" t="s">
        <v>591</v>
      </c>
      <c r="P37" s="489"/>
      <c r="Q37" s="489" t="s">
        <v>10</v>
      </c>
      <c r="R37" s="489" t="s">
        <v>10</v>
      </c>
      <c r="S37" s="489"/>
      <c r="T37" s="489" t="s">
        <v>592</v>
      </c>
      <c r="U37" s="489" t="s">
        <v>593</v>
      </c>
      <c r="V37" s="489" t="s">
        <v>594</v>
      </c>
      <c r="W37" s="489"/>
      <c r="X37" s="489"/>
      <c r="Y37" s="489" t="s">
        <v>83</v>
      </c>
      <c r="Z37" s="489" t="s">
        <v>83</v>
      </c>
      <c r="AA37" s="489" t="s">
        <v>83</v>
      </c>
      <c r="AB37" s="489" t="s">
        <v>84</v>
      </c>
      <c r="AC37" s="2945" t="s">
        <v>594</v>
      </c>
      <c r="AD37" s="489" t="s">
        <v>83</v>
      </c>
      <c r="AE37" s="489" t="s">
        <v>84</v>
      </c>
      <c r="AF37" s="489" t="s">
        <v>113</v>
      </c>
      <c r="AG37" s="489" t="s">
        <v>1302</v>
      </c>
      <c r="AH37" s="489" t="s">
        <v>1302</v>
      </c>
      <c r="AI37" s="489" t="s">
        <v>1302</v>
      </c>
      <c r="AJ37" s="489" t="s">
        <v>1302</v>
      </c>
      <c r="AK37" s="489" t="s">
        <v>1290</v>
      </c>
      <c r="AL37" s="2945"/>
      <c r="AM37" s="1690" t="s">
        <v>1435</v>
      </c>
      <c r="AN37" s="489" t="s">
        <v>1436</v>
      </c>
      <c r="AO37" s="1690" t="s">
        <v>1435</v>
      </c>
      <c r="AP37" s="489" t="s">
        <v>1436</v>
      </c>
      <c r="AQ37" s="1690" t="s">
        <v>1435</v>
      </c>
      <c r="AR37" s="489" t="s">
        <v>1436</v>
      </c>
      <c r="AS37" s="1690" t="s">
        <v>1435</v>
      </c>
      <c r="AT37" s="489" t="s">
        <v>1436</v>
      </c>
      <c r="AU37" s="1690" t="s">
        <v>1522</v>
      </c>
      <c r="AV37" s="489" t="s">
        <v>1523</v>
      </c>
      <c r="AW37" s="1690" t="s">
        <v>1522</v>
      </c>
      <c r="AX37" s="489" t="s">
        <v>1523</v>
      </c>
      <c r="AY37" s="1690" t="s">
        <v>1522</v>
      </c>
      <c r="BB37" s="2942" t="s">
        <v>1523</v>
      </c>
      <c r="BC37" s="2942" t="s">
        <v>412</v>
      </c>
      <c r="BD37" s="2942" t="s">
        <v>413</v>
      </c>
      <c r="BE37" s="2942" t="s">
        <v>1657</v>
      </c>
      <c r="BF37" s="2947" t="s">
        <v>412</v>
      </c>
      <c r="BG37" s="2948" t="s">
        <v>413</v>
      </c>
      <c r="BH37" s="2949" t="s">
        <v>1657</v>
      </c>
      <c r="BI37" s="489" t="s">
        <v>1649</v>
      </c>
    </row>
    <row r="38" spans="2:63" x14ac:dyDescent="0.2">
      <c r="B38" s="2621" t="s">
        <v>529</v>
      </c>
      <c r="C38" s="2951" t="s">
        <v>595</v>
      </c>
      <c r="D38" s="2951" t="s">
        <v>596</v>
      </c>
      <c r="E38" s="2951" t="s">
        <v>597</v>
      </c>
      <c r="F38" s="2951" t="s">
        <v>598</v>
      </c>
      <c r="G38" s="2951" t="s">
        <v>599</v>
      </c>
      <c r="H38" s="2951"/>
      <c r="I38" s="2955" t="s">
        <v>1084</v>
      </c>
      <c r="J38" s="2962">
        <f>IS!$CK$58</f>
        <v>0.14542976744186054</v>
      </c>
      <c r="K38" s="2962">
        <f>122810/107100-1</f>
        <v>0.14668534080298778</v>
      </c>
      <c r="L38" s="2940"/>
      <c r="M38" s="2974"/>
      <c r="N38" s="2974"/>
      <c r="O38" s="3013"/>
      <c r="P38" s="2955" t="s">
        <v>1084</v>
      </c>
      <c r="Q38" s="2955" t="s">
        <v>15</v>
      </c>
      <c r="R38" s="2955" t="s">
        <v>1205</v>
      </c>
      <c r="S38" s="2955" t="s">
        <v>1099</v>
      </c>
      <c r="T38" s="2633">
        <f>IS!$CP$58</f>
        <v>2.9850479600629143E-2</v>
      </c>
      <c r="U38" s="2633" t="e">
        <f>125743.01/AW4-1</f>
        <v>#VALUE!</v>
      </c>
      <c r="V38" s="3014" t="s">
        <v>600</v>
      </c>
      <c r="W38" s="2633"/>
      <c r="X38" s="3014"/>
      <c r="Y38" s="2633" t="s">
        <v>85</v>
      </c>
      <c r="Z38" s="2633" t="s">
        <v>1253</v>
      </c>
      <c r="AA38" s="2633" t="s">
        <v>40</v>
      </c>
      <c r="AB38" s="3014">
        <f>IS!CU58</f>
        <v>9.9024282919312645E-2</v>
      </c>
      <c r="AC38" s="3014" t="s">
        <v>600</v>
      </c>
      <c r="AD38" s="2633" t="s">
        <v>1278</v>
      </c>
      <c r="AE38" s="3014">
        <f>IS!CU58</f>
        <v>9.9024282919312645E-2</v>
      </c>
      <c r="AF38" s="2633" t="s">
        <v>114</v>
      </c>
      <c r="AG38" s="2633" t="s">
        <v>1313</v>
      </c>
      <c r="AH38" s="2633" t="s">
        <v>1313</v>
      </c>
      <c r="AI38" s="2633" t="s">
        <v>1383</v>
      </c>
      <c r="AJ38" s="2633" t="s">
        <v>1396</v>
      </c>
      <c r="AK38" s="3014">
        <f>IS!CZ58</f>
        <v>9.990345030269121E-2</v>
      </c>
      <c r="AM38" s="2620" t="s">
        <v>1443</v>
      </c>
      <c r="AN38" s="3014">
        <f>IS!DE58</f>
        <v>0.15811112363967972</v>
      </c>
      <c r="AO38" s="2620" t="s">
        <v>1478</v>
      </c>
      <c r="AP38" s="3014">
        <f>IS!DE58</f>
        <v>0.15811112363967972</v>
      </c>
      <c r="AQ38" s="2620" t="s">
        <v>1499</v>
      </c>
      <c r="AR38" s="3014">
        <f>IS!DE58</f>
        <v>0.15811112363967972</v>
      </c>
      <c r="AS38" s="2620" t="s">
        <v>1526</v>
      </c>
      <c r="AT38" s="3014">
        <f>IS!DE58</f>
        <v>0.15811112363967972</v>
      </c>
      <c r="AU38" s="2620" t="s">
        <v>1535</v>
      </c>
      <c r="AV38" s="3014">
        <f>IS!DJ58</f>
        <v>4.0775767387612571E-2</v>
      </c>
      <c r="AW38" s="2620" t="s">
        <v>1563</v>
      </c>
      <c r="AX38" s="3014">
        <f>IS!DJ58</f>
        <v>4.0775767387612571E-2</v>
      </c>
      <c r="AY38" s="2620" t="s">
        <v>1489</v>
      </c>
      <c r="AZ38" s="2620" t="s">
        <v>1108</v>
      </c>
      <c r="BA38" s="2633"/>
      <c r="BB38" s="3014">
        <f>IS!DJ58</f>
        <v>4.0775767387612571E-2</v>
      </c>
      <c r="BC38" s="2633">
        <v>7.4999999999999997E-3</v>
      </c>
      <c r="BD38" s="2633">
        <v>2.5000000000000001E-2</v>
      </c>
      <c r="BE38" s="2633">
        <f>AVERAGE(BC38:BD38)</f>
        <v>1.6250000000000001E-2</v>
      </c>
      <c r="BF38" s="2907">
        <v>3.2500000000000001E-2</v>
      </c>
      <c r="BG38" s="2908">
        <v>3.7499999999999999E-2</v>
      </c>
      <c r="BH38" s="2851">
        <f>AVERAGE(BF38:BG38)</f>
        <v>3.5000000000000003E-2</v>
      </c>
      <c r="BI38" s="3014">
        <f ca="1">IS!DO58</f>
        <v>3.3057327227279387E-2</v>
      </c>
    </row>
    <row r="39" spans="2:63" x14ac:dyDescent="0.2">
      <c r="B39" s="2621" t="s">
        <v>684</v>
      </c>
      <c r="C39" s="2951"/>
      <c r="D39" s="2951"/>
      <c r="E39" s="2951"/>
      <c r="F39" s="2951"/>
      <c r="G39" s="2951"/>
      <c r="H39" s="2951"/>
      <c r="I39" s="2955"/>
      <c r="J39" s="2962"/>
      <c r="K39" s="2962"/>
      <c r="L39" s="2940"/>
      <c r="M39" s="2974"/>
      <c r="N39" s="2974"/>
      <c r="O39" s="3013"/>
      <c r="P39" s="2955"/>
      <c r="Q39" s="2955"/>
      <c r="R39" s="2955"/>
      <c r="S39" s="2955"/>
      <c r="T39" s="2633"/>
      <c r="U39" s="2633"/>
      <c r="V39" s="3014"/>
      <c r="W39" s="2633"/>
      <c r="X39" s="3014"/>
      <c r="Y39" s="2633"/>
      <c r="Z39" s="2633"/>
      <c r="AA39" s="2633"/>
      <c r="AB39" s="3014"/>
      <c r="AC39" s="3014"/>
      <c r="AD39" s="2633"/>
      <c r="AE39" s="3014"/>
      <c r="AF39" s="2633"/>
      <c r="AG39" s="2633"/>
      <c r="AH39" s="2633"/>
      <c r="AI39" s="2633"/>
      <c r="AJ39" s="2633"/>
      <c r="AK39" s="3014"/>
      <c r="AM39" s="2620"/>
      <c r="AN39" s="3014"/>
      <c r="AO39" s="2620"/>
      <c r="AP39" s="3014"/>
      <c r="AQ39" s="2620"/>
      <c r="AR39" s="3014"/>
      <c r="AS39" s="2620" t="s">
        <v>1527</v>
      </c>
      <c r="AT39" s="3014">
        <f>IS!DE62</f>
        <v>8.564643076398526E-2</v>
      </c>
      <c r="AU39" s="2642"/>
      <c r="AV39" s="3014">
        <f>IS!DJ62</f>
        <v>-5.5901492529574659E-2</v>
      </c>
      <c r="AW39" s="2664" t="s">
        <v>1598</v>
      </c>
      <c r="AX39" s="3014">
        <f>IS!DJ62</f>
        <v>-5.5901492529574659E-2</v>
      </c>
      <c r="AY39" s="2664" t="s">
        <v>1601</v>
      </c>
      <c r="AZ39" s="2664" t="s">
        <v>1601</v>
      </c>
      <c r="BA39" s="2781"/>
      <c r="BB39" s="3014">
        <f>IS!DJ62</f>
        <v>-5.5901492529574659E-2</v>
      </c>
      <c r="BC39" s="2781">
        <v>-0.01</v>
      </c>
      <c r="BD39" s="2781">
        <v>0.04</v>
      </c>
      <c r="BE39" s="2633">
        <f>AVERAGE(BC39:BD39)</f>
        <v>1.4999999999999999E-2</v>
      </c>
      <c r="BF39" s="2918">
        <v>-1.4999999999999999E-2</v>
      </c>
      <c r="BG39" s="2503">
        <v>1.4999999999999999E-2</v>
      </c>
      <c r="BH39" s="2633">
        <f>AVERAGE(BF39:BG39)</f>
        <v>0</v>
      </c>
      <c r="BI39" s="3014">
        <f ca="1">IS!DO62</f>
        <v>-3.4228314720031738E-3</v>
      </c>
      <c r="BK39" s="3015"/>
    </row>
    <row r="40" spans="2:63" x14ac:dyDescent="0.2">
      <c r="B40" s="3016" t="s">
        <v>601</v>
      </c>
      <c r="C40" s="3017" t="s">
        <v>602</v>
      </c>
      <c r="D40" s="3017" t="s">
        <v>602</v>
      </c>
      <c r="E40" s="3017" t="s">
        <v>602</v>
      </c>
      <c r="F40" s="3017" t="s">
        <v>603</v>
      </c>
      <c r="G40" s="3017" t="s">
        <v>604</v>
      </c>
      <c r="H40" s="3017"/>
      <c r="I40" s="3017" t="s">
        <v>1085</v>
      </c>
      <c r="J40" s="3018">
        <f>IS!$CK$123</f>
        <v>694.3</v>
      </c>
      <c r="K40" s="3018"/>
      <c r="L40" s="2940"/>
      <c r="M40" s="3019"/>
      <c r="N40" s="3019"/>
      <c r="O40" s="3020"/>
      <c r="P40" s="3017" t="s">
        <v>1085</v>
      </c>
      <c r="Q40" s="3017" t="s">
        <v>390</v>
      </c>
      <c r="R40" s="3017" t="s">
        <v>390</v>
      </c>
      <c r="S40" s="3017"/>
      <c r="T40" s="3021">
        <f>IS!$CP$123</f>
        <v>751.59999999999991</v>
      </c>
      <c r="U40" s="3018"/>
      <c r="V40" s="3018"/>
      <c r="W40" s="3021"/>
      <c r="X40" s="3018"/>
      <c r="Y40" s="3021" t="s">
        <v>109</v>
      </c>
      <c r="Z40" s="3021" t="s">
        <v>109</v>
      </c>
      <c r="AA40" s="3021" t="s">
        <v>109</v>
      </c>
      <c r="AB40" s="3018">
        <f>IS!CU123</f>
        <v>796.5</v>
      </c>
      <c r="AC40" s="3018"/>
      <c r="AD40" s="3021" t="s">
        <v>1282</v>
      </c>
      <c r="AE40" s="3018">
        <f>IS!CU123</f>
        <v>796.5</v>
      </c>
      <c r="AF40" s="3021"/>
      <c r="AG40" s="3021" t="s">
        <v>1314</v>
      </c>
      <c r="AH40" s="3021" t="s">
        <v>1314</v>
      </c>
      <c r="AI40" s="3021" t="s">
        <v>1391</v>
      </c>
      <c r="AJ40" s="3021" t="s">
        <v>1391</v>
      </c>
      <c r="AK40" s="3018">
        <f>IS!CZ123</f>
        <v>812.53149877999988</v>
      </c>
      <c r="AM40" s="3022" t="s">
        <v>1463</v>
      </c>
      <c r="AN40" s="3018">
        <f>IS!DE123</f>
        <v>879.59999999999991</v>
      </c>
      <c r="AO40" s="3022" t="s">
        <v>1463</v>
      </c>
      <c r="AP40" s="3018">
        <f>IS!DE123</f>
        <v>879.59999999999991</v>
      </c>
      <c r="AQ40" s="3022" t="s">
        <v>1507</v>
      </c>
      <c r="AR40" s="3018">
        <f>IS!DE123</f>
        <v>879.59999999999991</v>
      </c>
      <c r="AS40" s="3022" t="s">
        <v>1507</v>
      </c>
      <c r="AT40" s="3018">
        <f>IS!DE123</f>
        <v>879.59999999999991</v>
      </c>
      <c r="AU40" s="3023"/>
      <c r="AV40" s="3018">
        <f>IS!DJ123</f>
        <v>925.67978487000005</v>
      </c>
      <c r="AW40" s="3024" t="s">
        <v>1574</v>
      </c>
      <c r="AX40" s="3018">
        <f>IS!DJ123</f>
        <v>925.67978487000005</v>
      </c>
      <c r="AY40" s="3024" t="s">
        <v>1612</v>
      </c>
      <c r="AZ40" s="3025"/>
      <c r="BA40" s="3026"/>
      <c r="BB40" s="3018">
        <f>IS!DJ123</f>
        <v>925.67978487000005</v>
      </c>
      <c r="BC40" s="3027"/>
      <c r="BD40" s="3027"/>
      <c r="BE40" s="3027"/>
      <c r="BF40" s="3028"/>
      <c r="BG40" s="3029"/>
      <c r="BH40" s="3027"/>
      <c r="BI40" s="3018">
        <f ca="1">IS!DO123</f>
        <v>916.19100271764739</v>
      </c>
      <c r="BK40" s="3015"/>
    </row>
    <row r="41" spans="2:63" x14ac:dyDescent="0.2">
      <c r="B41" s="3030" t="s">
        <v>608</v>
      </c>
      <c r="C41" s="3031" t="s">
        <v>605</v>
      </c>
      <c r="D41" s="3031" t="s">
        <v>605</v>
      </c>
      <c r="E41" s="3031" t="s">
        <v>605</v>
      </c>
      <c r="F41" s="3031" t="s">
        <v>606</v>
      </c>
      <c r="G41" s="3031" t="s">
        <v>607</v>
      </c>
      <c r="H41" s="3031"/>
      <c r="I41" s="3031" t="s">
        <v>1086</v>
      </c>
      <c r="J41" s="3032">
        <f>PBM!$CK$41</f>
        <v>-0.1134068090214133</v>
      </c>
      <c r="K41" s="3032"/>
      <c r="L41" s="2940"/>
      <c r="M41" s="3033"/>
      <c r="N41" s="3033"/>
      <c r="O41" s="3034"/>
      <c r="P41" s="3031" t="s">
        <v>248</v>
      </c>
      <c r="Q41" s="3031"/>
      <c r="R41" s="3031"/>
      <c r="S41" s="3031"/>
      <c r="T41" s="3035">
        <f>PBM!$CP$41</f>
        <v>-0.10618932594842358</v>
      </c>
      <c r="U41" s="3032"/>
      <c r="V41" s="3032"/>
      <c r="W41" s="3035"/>
      <c r="X41" s="3032"/>
      <c r="Y41" s="3035"/>
      <c r="Z41" s="3035"/>
      <c r="AA41" s="3035"/>
      <c r="AB41" s="3032"/>
      <c r="AC41" s="3032"/>
      <c r="AD41" s="3035"/>
      <c r="AE41" s="3032"/>
      <c r="AF41" s="3035"/>
      <c r="AG41" s="3035"/>
      <c r="AH41" s="3035"/>
      <c r="AI41" s="3035"/>
      <c r="AJ41" s="3035" t="s">
        <v>1434</v>
      </c>
      <c r="AK41" s="3036">
        <f>IS!CZ67-IS!CU67</f>
        <v>-8.585615002530661E-3</v>
      </c>
      <c r="AM41" s="2530" t="s">
        <v>1464</v>
      </c>
      <c r="AN41" s="3036">
        <f>IS!DE67-IS!CX67</f>
        <v>-9.5590962802039325E-3</v>
      </c>
      <c r="AO41" s="2530" t="s">
        <v>1464</v>
      </c>
      <c r="AP41" s="3036">
        <f>IS!DE67-IS!CZ67</f>
        <v>-5.740865154909458E-3</v>
      </c>
      <c r="AQ41" s="2530" t="s">
        <v>1464</v>
      </c>
      <c r="AR41" s="3036">
        <f>IS!DE67-IS!CZ67</f>
        <v>-5.740865154909458E-3</v>
      </c>
      <c r="AS41" s="2530" t="s">
        <v>1464</v>
      </c>
      <c r="AT41" s="3036">
        <f>IS!DE67-IS!DB67</f>
        <v>2.2240276393555858E-3</v>
      </c>
      <c r="AU41" s="2560"/>
      <c r="AV41" s="3036">
        <f>IS!DJ67-IS!DD67</f>
        <v>-1.1582537680618454E-2</v>
      </c>
      <c r="AW41" s="2530" t="s">
        <v>1424</v>
      </c>
      <c r="AX41" s="3036">
        <f>IS!DJ67-IS!DE67</f>
        <v>-8.2933595053658882E-3</v>
      </c>
      <c r="AY41" s="2530" t="s">
        <v>1424</v>
      </c>
      <c r="AZ41" s="2620" t="s">
        <v>1424</v>
      </c>
      <c r="BA41" s="2633"/>
      <c r="BB41" s="3036">
        <f>IS!DJ67-IS!DE67</f>
        <v>-8.2933595053658882E-3</v>
      </c>
      <c r="BC41" s="2965"/>
      <c r="BD41" s="2965"/>
      <c r="BE41" s="2965"/>
      <c r="BF41" s="3037"/>
      <c r="BG41" s="2974"/>
      <c r="BH41" s="2965"/>
      <c r="BI41" s="3036">
        <f ca="1">IS!DO67-IS!DJ67</f>
        <v>-4.8563681208187159E-3</v>
      </c>
    </row>
    <row r="42" spans="2:63" x14ac:dyDescent="0.2">
      <c r="B42" s="3016" t="s">
        <v>1430</v>
      </c>
      <c r="C42" s="3017"/>
      <c r="D42" s="3017"/>
      <c r="E42" s="3017"/>
      <c r="F42" s="3017"/>
      <c r="G42" s="3017"/>
      <c r="H42" s="3017"/>
      <c r="I42" s="3017"/>
      <c r="J42" s="3017"/>
      <c r="K42" s="3017"/>
      <c r="L42" s="2940"/>
      <c r="M42" s="3038"/>
      <c r="N42" s="3038"/>
      <c r="O42" s="3039"/>
      <c r="P42" s="3017"/>
      <c r="Q42" s="3017"/>
      <c r="R42" s="3017"/>
      <c r="S42" s="3017"/>
      <c r="T42" s="2541"/>
      <c r="U42" s="3017"/>
      <c r="V42" s="3017"/>
      <c r="W42" s="2541"/>
      <c r="X42" s="3017"/>
      <c r="Y42" s="2541"/>
      <c r="Z42" s="2541"/>
      <c r="AA42" s="2541"/>
      <c r="AB42" s="3017"/>
      <c r="AC42" s="3017"/>
      <c r="AD42" s="2541"/>
      <c r="AE42" s="3017"/>
      <c r="AF42" s="2541"/>
      <c r="AG42" s="2541"/>
      <c r="AH42" s="2541"/>
      <c r="AI42" s="2541"/>
      <c r="AJ42" s="2541" t="s">
        <v>1429</v>
      </c>
      <c r="AK42" s="3040">
        <f>IS!CZ68-IS!CU68</f>
        <v>-9.386119190363168E-3</v>
      </c>
      <c r="AM42" s="3041" t="s">
        <v>1087</v>
      </c>
      <c r="AN42" s="3040">
        <f>IS!DE68-IS!CZ68</f>
        <v>-6.2735682544997895E-3</v>
      </c>
      <c r="AO42" s="3041" t="s">
        <v>7</v>
      </c>
      <c r="AP42" s="3040">
        <f>IS!DE68-IS!CZ68</f>
        <v>-6.2735682544997895E-3</v>
      </c>
      <c r="AQ42" s="3041" t="s">
        <v>7</v>
      </c>
      <c r="AR42" s="3040">
        <f>IS!DE68-IS!CZ68</f>
        <v>-6.2735682544997895E-3</v>
      </c>
      <c r="AS42" s="3041" t="s">
        <v>7</v>
      </c>
      <c r="AT42" s="3040">
        <f>IS!DE68-IS!DB68</f>
        <v>-1.7758087254430982E-3</v>
      </c>
      <c r="AU42" s="3042"/>
      <c r="AV42" s="3040">
        <f>IS!DJ68-IS!DD68</f>
        <v>1.7097462519270745E-4</v>
      </c>
      <c r="AW42" s="3041" t="s">
        <v>1072</v>
      </c>
      <c r="AX42" s="3040">
        <f>IS!DJ68-IS!DE68</f>
        <v>-2.7586974273763332E-3</v>
      </c>
      <c r="AY42" s="3041" t="s">
        <v>1072</v>
      </c>
      <c r="AZ42" s="3041" t="s">
        <v>1072</v>
      </c>
      <c r="BA42" s="3043"/>
      <c r="BB42" s="3040">
        <f>IS!DJ68-IS!DE68</f>
        <v>-2.7586974273763332E-3</v>
      </c>
      <c r="BC42" s="3042"/>
      <c r="BD42" s="3044"/>
      <c r="BE42" s="3044"/>
      <c r="BF42" s="3045"/>
      <c r="BG42" s="3046"/>
      <c r="BH42" s="3047"/>
      <c r="BI42" s="3040">
        <f ca="1">IS!DO68-IS!DJ68</f>
        <v>-2.9477616818000818E-3</v>
      </c>
    </row>
    <row r="43" spans="2:63" x14ac:dyDescent="0.2">
      <c r="B43" s="3016" t="s">
        <v>528</v>
      </c>
      <c r="C43" s="3017" t="s">
        <v>609</v>
      </c>
      <c r="D43" s="3017" t="s">
        <v>609</v>
      </c>
      <c r="E43" s="3017" t="s">
        <v>609</v>
      </c>
      <c r="F43" s="3017" t="s">
        <v>610</v>
      </c>
      <c r="G43" s="3017" t="s">
        <v>610</v>
      </c>
      <c r="H43" s="3017"/>
      <c r="I43" s="3017" t="s">
        <v>1087</v>
      </c>
      <c r="J43" s="3048">
        <f>IS!$CK$75</f>
        <v>-1.0250902332652301E-2</v>
      </c>
      <c r="K43" s="3048">
        <v>-1.1900000000000001E-2</v>
      </c>
      <c r="L43" s="2940"/>
      <c r="M43" s="2974"/>
      <c r="N43" s="2974"/>
      <c r="O43" s="2963"/>
      <c r="P43" s="3048" t="s">
        <v>249</v>
      </c>
      <c r="Q43" s="3017" t="s">
        <v>22</v>
      </c>
      <c r="R43" s="3017" t="s">
        <v>22</v>
      </c>
      <c r="S43" s="3017"/>
      <c r="T43" s="3049">
        <f>IS!$CP$75</f>
        <v>3.7030442130100705E-3</v>
      </c>
      <c r="U43" s="3048">
        <f>(AF43-AC43)/100</f>
        <v>0</v>
      </c>
      <c r="V43" s="3048"/>
      <c r="W43" s="3049"/>
      <c r="X43" s="3048"/>
      <c r="Y43" s="3049"/>
      <c r="Z43" s="3049"/>
      <c r="AA43" s="3049"/>
      <c r="AB43" s="3048"/>
      <c r="AC43" s="3048"/>
      <c r="AD43" s="3049"/>
      <c r="AE43" s="3048"/>
      <c r="AF43" s="3049"/>
      <c r="AG43" s="3049"/>
      <c r="AH43" s="3049"/>
      <c r="AI43" s="3049"/>
      <c r="AJ43" s="3049" t="s">
        <v>1293</v>
      </c>
      <c r="AK43" s="3048">
        <f>IS!CZ70-IS!CU70</f>
        <v>4.281744765537443E-4</v>
      </c>
      <c r="AM43" s="2530" t="s">
        <v>1465</v>
      </c>
      <c r="AN43" s="3048">
        <f>IS!DE70-IS!CZ70</f>
        <v>-3.9770586530049612E-3</v>
      </c>
      <c r="AO43" s="2530" t="s">
        <v>1484</v>
      </c>
      <c r="AP43" s="3048">
        <f>IS!DE70-IS!CZ70</f>
        <v>-3.9770586530049612E-3</v>
      </c>
      <c r="AQ43" s="2530" t="s">
        <v>1465</v>
      </c>
      <c r="AR43" s="3048">
        <f>IS!DE70-IS!CZ70</f>
        <v>-3.9770586530049612E-3</v>
      </c>
      <c r="AS43" s="2530" t="s">
        <v>1465</v>
      </c>
      <c r="AT43" s="3048">
        <f>IS!DE70-IS!DB70</f>
        <v>3.9998363647986701E-3</v>
      </c>
      <c r="AU43" s="2560"/>
      <c r="AV43" s="3048">
        <f>IS!DJ70-IS!DD70</f>
        <v>-1.1753512305811148E-2</v>
      </c>
      <c r="AW43" s="2530"/>
      <c r="AX43" s="3048">
        <f>IS!DJ70-IS!DE70</f>
        <v>-5.5346620779895411E-3</v>
      </c>
      <c r="AY43" s="2530"/>
      <c r="AZ43" s="2620"/>
      <c r="BA43" s="2633"/>
      <c r="BB43" s="3048">
        <f>IS!DJ70-IS!DE70</f>
        <v>-5.5346620779895411E-3</v>
      </c>
      <c r="BC43" s="2965"/>
      <c r="BD43" s="2965"/>
      <c r="BE43" s="2965"/>
      <c r="BF43" s="3037"/>
      <c r="BG43" s="2974"/>
      <c r="BH43" s="2965"/>
      <c r="BI43" s="3048">
        <f ca="1">IS!DO70-IS!DJ70</f>
        <v>-1.9086064390186341E-3</v>
      </c>
    </row>
    <row r="44" spans="2:63" x14ac:dyDescent="0.2">
      <c r="B44" s="3016" t="s">
        <v>497</v>
      </c>
      <c r="C44" s="3017"/>
      <c r="D44" s="3017"/>
      <c r="E44" s="3017"/>
      <c r="F44" s="3017"/>
      <c r="G44" s="3017"/>
      <c r="H44" s="3017"/>
      <c r="I44" s="3017"/>
      <c r="J44" s="3048"/>
      <c r="K44" s="3048"/>
      <c r="L44" s="2940"/>
      <c r="M44" s="2974"/>
      <c r="N44" s="2974"/>
      <c r="O44" s="2963"/>
      <c r="P44" s="3048"/>
      <c r="Q44" s="3017"/>
      <c r="R44" s="3017"/>
      <c r="S44" s="3017"/>
      <c r="T44" s="3049"/>
      <c r="U44" s="3048"/>
      <c r="V44" s="3048"/>
      <c r="W44" s="3049"/>
      <c r="X44" s="3048"/>
      <c r="Y44" s="3049"/>
      <c r="Z44" s="3049"/>
      <c r="AA44" s="3049"/>
      <c r="AB44" s="3048"/>
      <c r="AC44" s="3048"/>
      <c r="AD44" s="3049"/>
      <c r="AE44" s="3048"/>
      <c r="AF44" s="3049"/>
      <c r="AG44" s="3049"/>
      <c r="AH44" s="3049"/>
      <c r="AI44" s="3049"/>
      <c r="AJ44" s="3021" t="s">
        <v>1433</v>
      </c>
      <c r="AK44" s="3050">
        <f>IS!CZ18</f>
        <v>822.32230647999995</v>
      </c>
      <c r="AM44" s="3022" t="s">
        <v>1466</v>
      </c>
      <c r="AN44" s="3050">
        <f>IS!DE18</f>
        <v>1050.6999999999998</v>
      </c>
      <c r="AO44" s="3022" t="s">
        <v>1466</v>
      </c>
      <c r="AP44" s="3050">
        <f>IS!DE18</f>
        <v>1050.6999999999998</v>
      </c>
      <c r="AQ44" s="3022" t="s">
        <v>1508</v>
      </c>
      <c r="AR44" s="3050">
        <f>IS!DE18</f>
        <v>1050.6999999999998</v>
      </c>
      <c r="AS44" s="3022" t="s">
        <v>1508</v>
      </c>
      <c r="AT44" s="3050">
        <f>IS!DE18</f>
        <v>1050.6999999999998</v>
      </c>
      <c r="AU44" s="3023"/>
      <c r="AV44" s="3050">
        <f>IS!DJ18</f>
        <v>987.25027299999999</v>
      </c>
      <c r="AW44" s="3022" t="s">
        <v>1578</v>
      </c>
      <c r="AX44" s="3050">
        <f>IS!DJ18</f>
        <v>987.25027299999999</v>
      </c>
      <c r="AY44" s="3022" t="s">
        <v>1613</v>
      </c>
      <c r="AZ44" s="3051" t="s">
        <v>1635</v>
      </c>
      <c r="BA44" s="3052"/>
      <c r="BB44" s="3050">
        <f>IS!DJ18</f>
        <v>987.25027299999999</v>
      </c>
      <c r="BC44" s="2890">
        <v>1.05</v>
      </c>
      <c r="BD44" s="3052"/>
      <c r="BE44" s="2890">
        <f t="shared" ref="BE44:BE49" si="4">AVERAGE(BC44:BD44)</f>
        <v>1.05</v>
      </c>
      <c r="BF44" s="3237">
        <v>2000</v>
      </c>
      <c r="BG44" s="3238">
        <v>2300</v>
      </c>
      <c r="BH44" s="3236">
        <f>AVERAGE(BF44:BG44)</f>
        <v>2150</v>
      </c>
      <c r="BI44" s="3239">
        <f>IS!DO18</f>
        <v>2058.1422433772095</v>
      </c>
    </row>
    <row r="45" spans="2:63" x14ac:dyDescent="0.2">
      <c r="B45" s="3053" t="s">
        <v>1211</v>
      </c>
      <c r="C45" s="3054" t="s">
        <v>612</v>
      </c>
      <c r="D45" s="3054" t="s">
        <v>612</v>
      </c>
      <c r="E45" s="3054" t="s">
        <v>612</v>
      </c>
      <c r="F45" s="3054" t="s">
        <v>613</v>
      </c>
      <c r="G45" s="3054" t="s">
        <v>613</v>
      </c>
      <c r="H45" s="3054"/>
      <c r="I45" s="3054" t="s">
        <v>1088</v>
      </c>
      <c r="J45" s="3055">
        <f>IS!$CK$76</f>
        <v>-8.3572346806763814E-3</v>
      </c>
      <c r="K45" s="3055"/>
      <c r="L45" s="2940"/>
      <c r="M45" s="3056"/>
      <c r="N45" s="3056"/>
      <c r="O45" s="3057"/>
      <c r="P45" s="3055" t="s">
        <v>1088</v>
      </c>
      <c r="Q45" s="3054" t="s">
        <v>23</v>
      </c>
      <c r="R45" s="3054" t="s">
        <v>23</v>
      </c>
      <c r="S45" s="3054"/>
      <c r="T45" s="3058">
        <f>IS!$CP$76</f>
        <v>6.5019984963482491E-4</v>
      </c>
      <c r="U45" s="3055"/>
      <c r="V45" s="3055"/>
      <c r="W45" s="3058"/>
      <c r="X45" s="3055"/>
      <c r="Y45" s="3058" t="s">
        <v>1088</v>
      </c>
      <c r="Z45" s="3058" t="s">
        <v>683</v>
      </c>
      <c r="AA45" s="3058" t="s">
        <v>683</v>
      </c>
      <c r="AB45" s="3055">
        <f>IS!CU68-IS!CP68</f>
        <v>-5.8503786076255504E-3</v>
      </c>
      <c r="AC45" s="3055"/>
      <c r="AD45" s="3058" t="s">
        <v>683</v>
      </c>
      <c r="AE45" s="3055">
        <f>IS!CU68-IS!CS68</f>
        <v>-1.6661683321456122E-3</v>
      </c>
      <c r="AF45" s="3058"/>
      <c r="AG45" s="3058"/>
      <c r="AH45" s="3058" t="s">
        <v>1343</v>
      </c>
      <c r="AI45" s="3058" t="s">
        <v>1343</v>
      </c>
      <c r="AJ45" s="3058"/>
      <c r="AK45" s="3055">
        <f>IS!CZ68-IS!CV68</f>
        <v>-1.4757991958756489E-3</v>
      </c>
      <c r="AM45" s="3059"/>
      <c r="AN45" s="3055"/>
      <c r="AO45" s="3059"/>
      <c r="AP45" s="3055"/>
      <c r="AQ45" s="3059"/>
      <c r="AR45" s="3055"/>
      <c r="AS45" s="3059"/>
      <c r="AT45" s="3055"/>
      <c r="AU45" s="3060"/>
      <c r="AV45" s="3055"/>
      <c r="AW45" s="3060"/>
      <c r="AX45" s="3055"/>
      <c r="AY45" s="3060"/>
      <c r="AZ45" s="3061"/>
      <c r="BA45" s="3062"/>
      <c r="BB45" s="3055"/>
      <c r="BC45" s="3062"/>
      <c r="BD45" s="3062"/>
      <c r="BE45" s="2633"/>
      <c r="BF45" s="3063"/>
      <c r="BG45" s="3064"/>
      <c r="BH45" s="2929"/>
      <c r="BI45" s="3055"/>
    </row>
    <row r="46" spans="2:63" hidden="1" x14ac:dyDescent="0.2">
      <c r="B46" s="3016" t="s">
        <v>528</v>
      </c>
      <c r="C46" s="3017" t="s">
        <v>614</v>
      </c>
      <c r="D46" s="3017" t="s">
        <v>614</v>
      </c>
      <c r="E46" s="3017" t="s">
        <v>614</v>
      </c>
      <c r="F46" s="3017" t="s">
        <v>615</v>
      </c>
      <c r="G46" s="3017" t="s">
        <v>616</v>
      </c>
      <c r="H46" s="3017"/>
      <c r="I46" s="3017" t="s">
        <v>1075</v>
      </c>
      <c r="J46" s="3017">
        <f>IS!$CK$78*10000</f>
        <v>-18.93667651975947</v>
      </c>
      <c r="K46" s="3017">
        <f>(7164.44/122775.36-6782/107100)*10000</f>
        <v>-49.699421618086824</v>
      </c>
      <c r="L46" s="2940"/>
      <c r="M46" s="3038"/>
      <c r="N46" s="3038"/>
      <c r="O46" s="3039"/>
      <c r="P46" s="3017" t="s">
        <v>1075</v>
      </c>
      <c r="Q46" s="3017" t="s">
        <v>24</v>
      </c>
      <c r="R46" s="3017" t="s">
        <v>24</v>
      </c>
      <c r="S46" s="3017"/>
      <c r="T46" s="3065">
        <f>IS!$CP$78*10000</f>
        <v>30.528443633752385</v>
      </c>
      <c r="U46" s="3017"/>
      <c r="V46" s="3017" t="s">
        <v>617</v>
      </c>
      <c r="W46" s="3065"/>
      <c r="X46" s="3017"/>
      <c r="Y46" s="3065"/>
      <c r="Z46" s="3065" t="s">
        <v>1254</v>
      </c>
      <c r="AA46" s="3065" t="s">
        <v>1254</v>
      </c>
      <c r="AB46" s="3066">
        <f>IS!CU70-IS!CP70</f>
        <v>4.7152501999426846E-3</v>
      </c>
      <c r="AC46" s="3017"/>
      <c r="AD46" s="3065" t="s">
        <v>1254</v>
      </c>
      <c r="AE46" s="3066">
        <f>IS!CU70-IS!CS70</f>
        <v>-9.9495350271143479E-4</v>
      </c>
      <c r="AF46" s="3065"/>
      <c r="AG46" s="3065"/>
      <c r="AH46" s="3065"/>
      <c r="AI46" s="3065"/>
      <c r="AJ46" s="3065"/>
      <c r="AK46" s="3066">
        <f>IS!CZ70-IS!CV70</f>
        <v>4.8758248051680234E-3</v>
      </c>
      <c r="AM46" s="3067"/>
      <c r="AN46" s="3066">
        <f>IS!DE70-IS!CY70</f>
        <v>-1.0686857790919643E-2</v>
      </c>
      <c r="AO46" s="3067"/>
      <c r="AP46" s="3066">
        <f>IS!DE70-IS!DA70</f>
        <v>7.7516771789495204E-3</v>
      </c>
      <c r="AQ46" s="3067"/>
      <c r="AR46" s="3066">
        <f>IS!DE70-IS!DC70</f>
        <v>-5.0206156381665812E-3</v>
      </c>
      <c r="AS46" s="3067"/>
      <c r="AT46" s="3066">
        <f>IS!DE70-IS!DE70</f>
        <v>0</v>
      </c>
      <c r="AU46" s="3068"/>
      <c r="AV46" s="3066">
        <f>IS!DJ70-IS!DJ70</f>
        <v>0</v>
      </c>
      <c r="AW46" s="3068"/>
      <c r="AX46" s="3066">
        <f>IS!DJ70-IS!DJ70</f>
        <v>0</v>
      </c>
      <c r="AY46" s="3068"/>
      <c r="AZ46" s="3069"/>
      <c r="BA46" s="3070"/>
      <c r="BB46" s="3066">
        <f>IS!DJ70-IS!DJ70</f>
        <v>0</v>
      </c>
      <c r="BC46" s="3070"/>
      <c r="BD46" s="3070"/>
      <c r="BE46" s="2633" t="e">
        <f t="shared" si="4"/>
        <v>#DIV/0!</v>
      </c>
      <c r="BF46" s="3071"/>
      <c r="BG46" s="3072"/>
      <c r="BH46" s="2633"/>
      <c r="BI46" s="3066">
        <f ca="1">IS!DO70-IS!DO70</f>
        <v>0</v>
      </c>
    </row>
    <row r="47" spans="2:63" hidden="1" x14ac:dyDescent="0.2">
      <c r="B47" s="3016"/>
      <c r="C47" s="3017"/>
      <c r="D47" s="3017"/>
      <c r="E47" s="3017"/>
      <c r="F47" s="3017"/>
      <c r="G47" s="3017"/>
      <c r="H47" s="3017"/>
      <c r="I47" s="3017"/>
      <c r="J47" s="3017"/>
      <c r="K47" s="3017"/>
      <c r="L47" s="2940"/>
      <c r="M47" s="3038"/>
      <c r="N47" s="3038"/>
      <c r="O47" s="3039"/>
      <c r="P47" s="3017"/>
      <c r="Q47" s="3017"/>
      <c r="R47" s="3017"/>
      <c r="S47" s="3017"/>
      <c r="T47" s="2541"/>
      <c r="U47" s="3017"/>
      <c r="V47" s="3017"/>
      <c r="W47" s="2541"/>
      <c r="X47" s="3017"/>
      <c r="Y47" s="2541"/>
      <c r="Z47" s="2541"/>
      <c r="AA47" s="2541"/>
      <c r="AB47" s="3017"/>
      <c r="AC47" s="3017"/>
      <c r="AD47" s="2541"/>
      <c r="AE47" s="3017"/>
      <c r="AF47" s="2541"/>
      <c r="AG47" s="2541"/>
      <c r="AH47" s="2541"/>
      <c r="AI47" s="2541"/>
      <c r="AJ47" s="2541"/>
      <c r="AK47" s="3017"/>
      <c r="AM47" s="3073"/>
      <c r="AN47" s="3017"/>
      <c r="AO47" s="3073"/>
      <c r="AP47" s="3017"/>
      <c r="AQ47" s="3073"/>
      <c r="AR47" s="3017"/>
      <c r="AS47" s="3073"/>
      <c r="AT47" s="3017"/>
      <c r="AU47" s="3074"/>
      <c r="AV47" s="3017"/>
      <c r="AW47" s="3074"/>
      <c r="AX47" s="3017"/>
      <c r="AY47" s="3074"/>
      <c r="AZ47" s="3075"/>
      <c r="BA47" s="3044"/>
      <c r="BB47" s="3017"/>
      <c r="BC47" s="3044"/>
      <c r="BD47" s="3044"/>
      <c r="BE47" s="2633" t="e">
        <f t="shared" si="4"/>
        <v>#DIV/0!</v>
      </c>
      <c r="BF47" s="3076"/>
      <c r="BG47" s="2973"/>
      <c r="BH47" s="2633"/>
      <c r="BI47" s="3017"/>
    </row>
    <row r="48" spans="2:63" hidden="1" x14ac:dyDescent="0.2">
      <c r="B48" s="3016" t="s">
        <v>497</v>
      </c>
      <c r="C48" s="3017" t="s">
        <v>618</v>
      </c>
      <c r="D48" s="3017" t="s">
        <v>618</v>
      </c>
      <c r="E48" s="3017" t="s">
        <v>619</v>
      </c>
      <c r="F48" s="3017" t="s">
        <v>620</v>
      </c>
      <c r="G48" s="3017" t="s">
        <v>621</v>
      </c>
      <c r="H48" s="3017"/>
      <c r="I48" s="3017" t="s">
        <v>1089</v>
      </c>
      <c r="J48" s="3018">
        <f>IS!$CK$18</f>
        <v>556.29999999999995</v>
      </c>
      <c r="K48" s="3018"/>
      <c r="L48" s="2940"/>
      <c r="M48" s="3019"/>
      <c r="N48" s="3019"/>
      <c r="O48" s="3020"/>
      <c r="P48" s="3017" t="s">
        <v>247</v>
      </c>
      <c r="Q48" s="3017" t="s">
        <v>391</v>
      </c>
      <c r="R48" s="3017" t="s">
        <v>1210</v>
      </c>
      <c r="S48" s="3017"/>
      <c r="T48" s="3021">
        <f>IS!$CP$18</f>
        <v>509.2</v>
      </c>
      <c r="U48" s="3018"/>
      <c r="V48" s="3018"/>
      <c r="W48" s="3021"/>
      <c r="X48" s="3018"/>
      <c r="Y48" s="3021" t="s">
        <v>110</v>
      </c>
      <c r="Z48" s="3021" t="s">
        <v>110</v>
      </c>
      <c r="AA48" s="3021" t="s">
        <v>110</v>
      </c>
      <c r="AB48" s="3018">
        <f>IS!CU18</f>
        <v>600.70000000000005</v>
      </c>
      <c r="AC48" s="3018"/>
      <c r="AD48" s="3021" t="s">
        <v>110</v>
      </c>
      <c r="AE48" s="3018">
        <f>IS!CU18</f>
        <v>600.70000000000005</v>
      </c>
      <c r="AF48" s="3021"/>
      <c r="AG48" s="3021"/>
      <c r="AH48" s="3021"/>
      <c r="AI48" s="3021"/>
      <c r="AJ48" s="3021"/>
      <c r="AK48" s="3018">
        <f>IS!CZ18</f>
        <v>822.32230647999995</v>
      </c>
      <c r="AM48" s="3022"/>
      <c r="AN48" s="3018">
        <f>IS!DE18</f>
        <v>1050.6999999999998</v>
      </c>
      <c r="AO48" s="3022"/>
      <c r="AP48" s="3018">
        <f>IS!DE18</f>
        <v>1050.6999999999998</v>
      </c>
      <c r="AQ48" s="3022"/>
      <c r="AR48" s="3018">
        <f>IS!DE18</f>
        <v>1050.6999999999998</v>
      </c>
      <c r="AS48" s="3022"/>
      <c r="AT48" s="3018">
        <f>IS!DE18</f>
        <v>1050.6999999999998</v>
      </c>
      <c r="AU48" s="3023"/>
      <c r="AV48" s="3018">
        <f>IS!DJ18</f>
        <v>987.25027299999999</v>
      </c>
      <c r="AW48" s="3023"/>
      <c r="AX48" s="3018">
        <f>IS!DJ18</f>
        <v>987.25027299999999</v>
      </c>
      <c r="AY48" s="3023"/>
      <c r="AZ48" s="3077"/>
      <c r="BA48" s="3078"/>
      <c r="BB48" s="3018">
        <f>IS!DJ18</f>
        <v>987.25027299999999</v>
      </c>
      <c r="BC48" s="3078"/>
      <c r="BD48" s="3078"/>
      <c r="BE48" s="2633" t="e">
        <f t="shared" si="4"/>
        <v>#DIV/0!</v>
      </c>
      <c r="BF48" s="3028"/>
      <c r="BG48" s="3029"/>
      <c r="BH48" s="2633"/>
      <c r="BI48" s="3018">
        <f>IS!DO18</f>
        <v>2058.1422433772095</v>
      </c>
    </row>
    <row r="49" spans="2:70" x14ac:dyDescent="0.2">
      <c r="B49" s="3016" t="s">
        <v>622</v>
      </c>
      <c r="C49" s="3017" t="s">
        <v>623</v>
      </c>
      <c r="D49" s="3017" t="s">
        <v>623</v>
      </c>
      <c r="E49" s="3017" t="s">
        <v>623</v>
      </c>
      <c r="F49" s="3017" t="s">
        <v>624</v>
      </c>
      <c r="G49" s="3017" t="s">
        <v>625</v>
      </c>
      <c r="H49" s="3017"/>
      <c r="I49" s="3017" t="s">
        <v>623</v>
      </c>
      <c r="J49" s="3079">
        <f>IS!$CK$72</f>
        <v>0.36590255839488417</v>
      </c>
      <c r="K49" s="3079"/>
      <c r="L49" s="2940"/>
      <c r="M49" s="3033"/>
      <c r="N49" s="3033"/>
      <c r="O49" s="3080"/>
      <c r="P49" s="3079"/>
      <c r="Q49" s="3017" t="s">
        <v>623</v>
      </c>
      <c r="R49" s="3017" t="s">
        <v>623</v>
      </c>
      <c r="S49" s="3017"/>
      <c r="T49" s="3081">
        <f>IS!$CP$72</f>
        <v>0.39530420563160201</v>
      </c>
      <c r="U49" s="3079"/>
      <c r="V49" s="3079"/>
      <c r="W49" s="3081"/>
      <c r="X49" s="3079"/>
      <c r="Y49" s="3081">
        <v>0.39</v>
      </c>
      <c r="Z49" s="3081">
        <v>0.39</v>
      </c>
      <c r="AA49" s="3081">
        <v>0.39</v>
      </c>
      <c r="AB49" s="3048">
        <f>IS!CU72</f>
        <v>0.42022357951745271</v>
      </c>
      <c r="AC49" s="3079"/>
      <c r="AD49" s="3081">
        <v>0.39600000000000002</v>
      </c>
      <c r="AE49" s="3079">
        <f>IS!CU72</f>
        <v>0.42022357951745271</v>
      </c>
      <c r="AF49" s="3081"/>
      <c r="AG49" s="3081" t="s">
        <v>1317</v>
      </c>
      <c r="AH49" s="3081"/>
      <c r="AI49" s="3081" t="s">
        <v>1317</v>
      </c>
      <c r="AJ49" s="3081">
        <v>0.39200000000000002</v>
      </c>
      <c r="AK49" s="3079">
        <f>IS!CZ72</f>
        <v>0.4176818544112274</v>
      </c>
      <c r="AM49" s="3082">
        <v>0.39</v>
      </c>
      <c r="AN49" s="3079">
        <f>IS!DE72</f>
        <v>0.38641116183651253</v>
      </c>
      <c r="AO49" s="3082">
        <v>0.39</v>
      </c>
      <c r="AP49" s="3079">
        <f>IS!DE72</f>
        <v>0.38641116183651253</v>
      </c>
      <c r="AQ49" s="3082">
        <v>0.39</v>
      </c>
      <c r="AR49" s="3079">
        <f>IS!DE72</f>
        <v>0.38641116183651253</v>
      </c>
      <c r="AS49" s="3082">
        <v>0.39</v>
      </c>
      <c r="AT49" s="3079">
        <f>IS!DE72</f>
        <v>0.38641116183651253</v>
      </c>
      <c r="AU49" s="3083"/>
      <c r="AV49" s="3079">
        <f>IS!DJ72</f>
        <v>0.3799051752248403</v>
      </c>
      <c r="AW49" s="3082">
        <v>0.39</v>
      </c>
      <c r="AX49" s="3079">
        <f>IS!DJ72</f>
        <v>0.3799051752248403</v>
      </c>
      <c r="AY49" s="3082">
        <v>0.39</v>
      </c>
      <c r="AZ49" s="3084">
        <v>0.38</v>
      </c>
      <c r="BA49" s="3085"/>
      <c r="BB49" s="3079">
        <f>IS!DJ72</f>
        <v>0.3799051752248403</v>
      </c>
      <c r="BC49" s="3085">
        <v>0.27</v>
      </c>
      <c r="BD49" s="3085"/>
      <c r="BE49" s="2633">
        <f t="shared" si="4"/>
        <v>0.27</v>
      </c>
      <c r="BF49" s="3086"/>
      <c r="BG49" s="3033"/>
      <c r="BH49" s="2633">
        <v>0.27</v>
      </c>
      <c r="BI49" s="3079">
        <f>IS!DO72</f>
        <v>0.27</v>
      </c>
    </row>
    <row r="50" spans="2:70" x14ac:dyDescent="0.2">
      <c r="B50" s="3016" t="s">
        <v>626</v>
      </c>
      <c r="C50" s="3017" t="s">
        <v>627</v>
      </c>
      <c r="D50" s="3017" t="s">
        <v>627</v>
      </c>
      <c r="E50" s="3017" t="s">
        <v>627</v>
      </c>
      <c r="F50" s="3017" t="s">
        <v>628</v>
      </c>
      <c r="G50" s="3017" t="s">
        <v>629</v>
      </c>
      <c r="H50" s="3017"/>
      <c r="I50" s="3017" t="s">
        <v>1090</v>
      </c>
      <c r="J50" s="3087">
        <f>IS!$CK$47/1000</f>
        <v>1.2797750000000001</v>
      </c>
      <c r="K50" s="3088"/>
      <c r="L50" s="3089"/>
      <c r="M50" s="3090"/>
      <c r="N50" s="3090"/>
      <c r="O50" s="3091"/>
      <c r="P50" s="3088" t="s">
        <v>393</v>
      </c>
      <c r="Q50" s="3017" t="s">
        <v>392</v>
      </c>
      <c r="R50" s="3017" t="s">
        <v>1209</v>
      </c>
      <c r="S50" s="3017"/>
      <c r="T50" s="3092">
        <f>IS!$CP$47/1000</f>
        <v>1.2259</v>
      </c>
      <c r="U50" s="3018"/>
      <c r="V50" s="3018"/>
      <c r="W50" s="3092"/>
      <c r="X50" s="3018"/>
      <c r="Y50" s="3092">
        <v>1.17</v>
      </c>
      <c r="Z50" s="3092">
        <v>1.17</v>
      </c>
      <c r="AA50" s="3092">
        <v>1.17</v>
      </c>
      <c r="AB50" s="3093">
        <f>IS!CU47</f>
        <v>1170.325</v>
      </c>
      <c r="AC50" s="3018"/>
      <c r="AD50" s="3092">
        <v>1.17</v>
      </c>
      <c r="AE50" s="3093">
        <f>IS!CU47</f>
        <v>1170.325</v>
      </c>
      <c r="AF50" s="3092"/>
      <c r="AG50" s="3092" t="s">
        <v>1318</v>
      </c>
      <c r="AH50" s="3092"/>
      <c r="AI50" s="3092" t="s">
        <v>1392</v>
      </c>
      <c r="AJ50" s="3092" t="s">
        <v>1392</v>
      </c>
      <c r="AK50" s="3093">
        <f>IS!CZ47</f>
        <v>1125.822161255511</v>
      </c>
      <c r="AM50" s="3094" t="s">
        <v>1467</v>
      </c>
      <c r="AN50" s="3093">
        <f>IS!DE47</f>
        <v>1078.875</v>
      </c>
      <c r="AO50" s="3094" t="s">
        <v>1467</v>
      </c>
      <c r="AP50" s="3093">
        <f>IS!DE47</f>
        <v>1078.875</v>
      </c>
      <c r="AQ50" s="3094" t="s">
        <v>1467</v>
      </c>
      <c r="AR50" s="3093">
        <f>IS!DE47</f>
        <v>1078.875</v>
      </c>
      <c r="AS50" s="3094" t="s">
        <v>1467</v>
      </c>
      <c r="AT50" s="3093">
        <f>IS!DE47</f>
        <v>1078.875</v>
      </c>
      <c r="AU50" s="3095"/>
      <c r="AV50" s="3093">
        <f>IS!DJ47</f>
        <v>1024.0624328644706</v>
      </c>
      <c r="AW50" s="3094" t="s">
        <v>1585</v>
      </c>
      <c r="AX50" s="3093">
        <f>IS!DJ47</f>
        <v>1024.0624328644706</v>
      </c>
      <c r="AY50" s="3094" t="s">
        <v>1614</v>
      </c>
      <c r="AZ50" s="3096">
        <v>1.02</v>
      </c>
      <c r="BA50" s="3097"/>
      <c r="BB50" s="3093">
        <f>IS!DJ47</f>
        <v>1024.0624328644706</v>
      </c>
      <c r="BC50" s="3098"/>
      <c r="BD50" s="3098"/>
      <c r="BE50" s="3098"/>
      <c r="BF50" s="3099"/>
      <c r="BG50" s="3100"/>
      <c r="BH50" s="3101"/>
      <c r="BI50" s="3093">
        <f>IS!DO47</f>
        <v>1014.5544647943102</v>
      </c>
      <c r="BJ50" s="2996"/>
      <c r="BL50" s="2996"/>
      <c r="BM50" s="2996"/>
      <c r="BN50" s="2996"/>
      <c r="BP50" s="2996"/>
      <c r="BQ50" s="2996"/>
      <c r="BR50" s="2996"/>
    </row>
    <row r="51" spans="2:70" ht="13.5" thickBot="1" x14ac:dyDescent="0.25">
      <c r="B51" s="3016" t="s">
        <v>1264</v>
      </c>
      <c r="C51" s="3017"/>
      <c r="D51" s="3017"/>
      <c r="E51" s="3017"/>
      <c r="F51" s="3017"/>
      <c r="G51" s="3017"/>
      <c r="H51" s="3017"/>
      <c r="I51" s="3017"/>
      <c r="J51" s="3087"/>
      <c r="K51" s="3088"/>
      <c r="L51" s="3089"/>
      <c r="M51" s="3090"/>
      <c r="N51" s="3090"/>
      <c r="O51" s="3091"/>
      <c r="P51" s="3088"/>
      <c r="Q51" s="3017" t="s">
        <v>1265</v>
      </c>
      <c r="R51" s="3017" t="s">
        <v>1265</v>
      </c>
      <c r="S51" s="3017"/>
      <c r="T51" s="3102">
        <f>-'BS and CFS'!CP197/1000</f>
        <v>3.976</v>
      </c>
      <c r="U51" s="3018"/>
      <c r="V51" s="3018"/>
      <c r="W51" s="3102"/>
      <c r="X51" s="3018"/>
      <c r="Y51" s="3102"/>
      <c r="Z51" s="3102"/>
      <c r="AA51" s="3102"/>
      <c r="AB51" s="3018"/>
      <c r="AC51" s="3018"/>
      <c r="AD51" s="3102"/>
      <c r="AE51" s="3018"/>
      <c r="AF51" s="3102"/>
      <c r="AG51" s="3102" t="s">
        <v>1319</v>
      </c>
      <c r="AH51" s="3102"/>
      <c r="AI51" s="3102"/>
      <c r="AJ51" s="3102"/>
      <c r="AK51" s="3018">
        <f>'BS and CFS'!CZ197</f>
        <v>-5000</v>
      </c>
      <c r="AM51" s="3103"/>
      <c r="AN51" s="3018">
        <f>'BS and CFS'!DE197</f>
        <v>-6066</v>
      </c>
      <c r="AO51" s="3103"/>
      <c r="AP51" s="3018">
        <f>'BS and CFS'!DE197</f>
        <v>-6066</v>
      </c>
      <c r="AQ51" s="3103"/>
      <c r="AR51" s="3018">
        <f>'BS and CFS'!DE197</f>
        <v>-6066</v>
      </c>
      <c r="AS51" s="3103"/>
      <c r="AT51" s="3018">
        <f>'BS and CFS'!DE197</f>
        <v>-6066</v>
      </c>
      <c r="AU51" s="3104"/>
      <c r="AV51" s="3018">
        <f>'BS and CFS'!DJ197</f>
        <v>-4361</v>
      </c>
      <c r="AW51" s="3104"/>
      <c r="AX51" s="3018">
        <f>'BS and CFS'!DJ197</f>
        <v>-4361</v>
      </c>
      <c r="AY51" s="3104"/>
      <c r="AZ51" s="3105"/>
      <c r="BA51" s="3106"/>
      <c r="BB51" s="3018">
        <f>'BS and CFS'!DJ197</f>
        <v>-4361</v>
      </c>
      <c r="BC51" s="3106"/>
      <c r="BD51" s="3106"/>
      <c r="BE51" s="3106"/>
      <c r="BF51" s="3028"/>
      <c r="BG51" s="3029"/>
      <c r="BH51" s="3107"/>
      <c r="BI51" s="3018">
        <f>'BS and CFS'!DO197</f>
        <v>0</v>
      </c>
      <c r="BJ51" s="2958"/>
      <c r="BL51" s="2958"/>
      <c r="BM51" s="2958"/>
      <c r="BN51" s="2958"/>
      <c r="BP51" s="2959"/>
      <c r="BQ51" s="2999"/>
      <c r="BR51" s="2961"/>
    </row>
    <row r="52" spans="2:70" ht="13.5" hidden="1" outlineLevel="1" thickBot="1" x14ac:dyDescent="0.25">
      <c r="B52" s="3108" t="s">
        <v>630</v>
      </c>
      <c r="C52" s="1654"/>
      <c r="D52" s="1654"/>
      <c r="E52" s="1654" t="s">
        <v>631</v>
      </c>
      <c r="F52" s="1654" t="s">
        <v>632</v>
      </c>
      <c r="G52" s="1654" t="s">
        <v>633</v>
      </c>
      <c r="H52" s="3017"/>
      <c r="I52" s="1654" t="s">
        <v>1091</v>
      </c>
      <c r="J52" s="1654"/>
      <c r="K52" s="1654"/>
      <c r="M52" s="3109"/>
      <c r="N52" s="3109"/>
      <c r="O52" s="3110"/>
      <c r="P52" s="1654" t="s">
        <v>326</v>
      </c>
      <c r="Q52" s="1654" t="s">
        <v>1263</v>
      </c>
      <c r="R52" s="1654" t="s">
        <v>1206</v>
      </c>
      <c r="S52" s="1654"/>
      <c r="T52" s="3111"/>
      <c r="U52" s="1654"/>
      <c r="V52" s="1654"/>
      <c r="W52" s="2541"/>
      <c r="X52" s="1654"/>
      <c r="Y52" s="3111"/>
      <c r="Z52" s="3111"/>
      <c r="AA52" s="3111"/>
      <c r="AB52" s="1654"/>
      <c r="AC52" s="1654"/>
      <c r="AD52" s="3111"/>
      <c r="AE52" s="1654"/>
      <c r="AF52" s="2541"/>
      <c r="AG52" s="3111"/>
      <c r="AH52" s="3111"/>
      <c r="AI52" s="3111"/>
      <c r="AJ52" s="3111"/>
      <c r="AK52" s="1654"/>
      <c r="AM52" s="3112"/>
      <c r="AN52" s="1654"/>
      <c r="AO52" s="3112"/>
      <c r="AP52" s="1654"/>
      <c r="AQ52" s="3112"/>
      <c r="AR52" s="1654"/>
      <c r="AS52" s="3112"/>
      <c r="AT52" s="1654"/>
      <c r="AU52" s="3113"/>
      <c r="AV52" s="1654"/>
      <c r="AW52" s="3074"/>
      <c r="AX52" s="1654"/>
      <c r="AY52" s="3074"/>
      <c r="AZ52" s="3075"/>
      <c r="BA52" s="3044"/>
      <c r="BB52" s="1654"/>
      <c r="BC52" s="3044"/>
      <c r="BD52" s="3044"/>
      <c r="BE52" s="3044"/>
      <c r="BF52" s="2986"/>
      <c r="BG52" s="2986"/>
      <c r="BH52" s="2986"/>
      <c r="BI52" s="1654"/>
      <c r="BJ52" s="2996"/>
      <c r="BL52" s="2996"/>
      <c r="BM52" s="2996"/>
      <c r="BN52" s="2996"/>
      <c r="BP52" s="2996"/>
      <c r="BQ52" s="2996"/>
      <c r="BR52" s="2996"/>
    </row>
    <row r="53" spans="2:70" collapsed="1" x14ac:dyDescent="0.2">
      <c r="B53" s="513" t="s">
        <v>514</v>
      </c>
      <c r="C53" s="514" t="s">
        <v>634</v>
      </c>
      <c r="D53" s="514" t="s">
        <v>635</v>
      </c>
      <c r="E53" s="514" t="s">
        <v>636</v>
      </c>
      <c r="F53" s="514" t="s">
        <v>637</v>
      </c>
      <c r="G53" s="3114" t="s">
        <v>1</v>
      </c>
      <c r="H53" s="3115"/>
      <c r="I53" s="514" t="s">
        <v>0</v>
      </c>
      <c r="J53" s="3116">
        <f>IS!$CK$39</f>
        <v>3.4334131350251869</v>
      </c>
      <c r="K53" s="515">
        <v>3.4</v>
      </c>
      <c r="M53" s="516"/>
      <c r="N53" s="516"/>
      <c r="O53" s="517"/>
      <c r="P53" s="515" t="s">
        <v>325</v>
      </c>
      <c r="Q53" s="514" t="s">
        <v>1262</v>
      </c>
      <c r="R53" s="514" t="s">
        <v>1207</v>
      </c>
      <c r="S53" s="514" t="s">
        <v>1111</v>
      </c>
      <c r="T53" s="515">
        <f>IS!$CP$39</f>
        <v>3.9650868749490167</v>
      </c>
      <c r="U53" s="515">
        <v>3.98</v>
      </c>
      <c r="V53" s="515"/>
      <c r="W53" s="515"/>
      <c r="X53" s="515"/>
      <c r="Y53" s="515" t="s">
        <v>86</v>
      </c>
      <c r="Z53" s="515" t="s">
        <v>86</v>
      </c>
      <c r="AA53" s="515" t="s">
        <v>86</v>
      </c>
      <c r="AB53" s="515">
        <f>IS!CU39</f>
        <v>4.4994339179287808</v>
      </c>
      <c r="AC53" s="515"/>
      <c r="AD53" s="515" t="s">
        <v>1279</v>
      </c>
      <c r="AE53" s="515">
        <f>IS!CU39</f>
        <v>4.4994339179287808</v>
      </c>
      <c r="AF53" s="515"/>
      <c r="AG53" s="515" t="s">
        <v>1298</v>
      </c>
      <c r="AH53" s="515" t="s">
        <v>1338</v>
      </c>
      <c r="AI53" s="515" t="s">
        <v>1393</v>
      </c>
      <c r="AJ53" s="515" t="s">
        <v>1397</v>
      </c>
      <c r="AK53" s="515">
        <f>IS!CZ39</f>
        <v>5.1711230642203807</v>
      </c>
      <c r="AM53" s="517" t="s">
        <v>1444</v>
      </c>
      <c r="AN53" s="515">
        <f>IS!DE39</f>
        <v>5.8480779357449846</v>
      </c>
      <c r="AO53" s="517" t="s">
        <v>1444</v>
      </c>
      <c r="AP53" s="515">
        <f>IS!DE39</f>
        <v>5.8480779357449846</v>
      </c>
      <c r="AQ53" s="517" t="s">
        <v>1500</v>
      </c>
      <c r="AR53" s="515">
        <f>IS!DE39</f>
        <v>5.8480779357449846</v>
      </c>
      <c r="AS53" s="517" t="s">
        <v>1524</v>
      </c>
      <c r="AT53" s="515">
        <f>IS!DE39</f>
        <v>5.8480779357449846</v>
      </c>
      <c r="AU53" s="517" t="s">
        <v>1543</v>
      </c>
      <c r="AV53" s="515">
        <f>IS!DJ39</f>
        <v>5.9158604048240031</v>
      </c>
      <c r="AW53" s="517" t="s">
        <v>1543</v>
      </c>
      <c r="AX53" s="515">
        <f>IS!DJ39</f>
        <v>5.9158604048240031</v>
      </c>
      <c r="AY53" s="517" t="s">
        <v>1602</v>
      </c>
      <c r="AZ53" s="2793" t="s">
        <v>1633</v>
      </c>
      <c r="BA53" s="2782">
        <v>5.87</v>
      </c>
      <c r="BB53" s="515">
        <f>IS!DJ39</f>
        <v>5.9158604048240031</v>
      </c>
      <c r="BC53" s="2778"/>
      <c r="BD53" s="2852"/>
      <c r="BE53" s="2852"/>
      <c r="BF53" s="3117"/>
      <c r="BG53" s="3118"/>
      <c r="BH53" s="3119"/>
      <c r="BI53" s="515">
        <f ca="1">IS!DO39</f>
        <v>6.2806333625135036</v>
      </c>
      <c r="BJ53" s="2958"/>
      <c r="BL53" s="2958"/>
      <c r="BM53" s="2958"/>
      <c r="BN53" s="2958"/>
      <c r="BP53" s="2960"/>
      <c r="BQ53" s="2999"/>
      <c r="BR53" s="2961"/>
    </row>
    <row r="54" spans="2:70" ht="13.5" thickBot="1" x14ac:dyDescent="0.25">
      <c r="B54" s="518" t="s">
        <v>219</v>
      </c>
      <c r="C54" s="519" t="s">
        <v>638</v>
      </c>
      <c r="D54" s="519" t="s">
        <v>639</v>
      </c>
      <c r="E54" s="520" t="s">
        <v>640</v>
      </c>
      <c r="F54" s="520" t="s">
        <v>641</v>
      </c>
      <c r="G54" s="3120" t="s">
        <v>642</v>
      </c>
      <c r="H54" s="2977"/>
      <c r="I54" s="519" t="s">
        <v>1092</v>
      </c>
      <c r="J54" s="3121">
        <f>IS!$CK$40</f>
        <v>0.22611056688021436</v>
      </c>
      <c r="K54" s="521">
        <f>K53/2.8-1</f>
        <v>0.21428571428571441</v>
      </c>
      <c r="M54" s="511"/>
      <c r="N54" s="511"/>
      <c r="O54" s="522"/>
      <c r="P54" s="519" t="s">
        <v>244</v>
      </c>
      <c r="Q54" s="519" t="s">
        <v>400</v>
      </c>
      <c r="R54" s="519" t="s">
        <v>1208</v>
      </c>
      <c r="S54" s="519"/>
      <c r="T54" s="523">
        <f>IS!$CP$40</f>
        <v>0.15485282982699644</v>
      </c>
      <c r="U54" s="523">
        <f>U53/K53-1</f>
        <v>0.17058823529411771</v>
      </c>
      <c r="V54" s="2581" t="s">
        <v>643</v>
      </c>
      <c r="W54" s="523"/>
      <c r="X54" s="2581"/>
      <c r="Y54" s="523" t="s">
        <v>87</v>
      </c>
      <c r="Z54" s="523" t="s">
        <v>87</v>
      </c>
      <c r="AA54" s="523" t="s">
        <v>87</v>
      </c>
      <c r="AB54" s="2581">
        <f>IS!CU40</f>
        <v>0.13476301020179648</v>
      </c>
      <c r="AC54" s="2581" t="s">
        <v>643</v>
      </c>
      <c r="AD54" s="523" t="s">
        <v>1280</v>
      </c>
      <c r="AE54" s="2581">
        <f>IS!CU40</f>
        <v>0.13476301020179648</v>
      </c>
      <c r="AF54" s="523" t="s">
        <v>115</v>
      </c>
      <c r="AG54" s="523" t="s">
        <v>1299</v>
      </c>
      <c r="AH54" s="523" t="s">
        <v>1339</v>
      </c>
      <c r="AI54" s="523" t="s">
        <v>1384</v>
      </c>
      <c r="AJ54" s="523" t="s">
        <v>1398</v>
      </c>
      <c r="AK54" s="2581">
        <f>IS!CZ40</f>
        <v>0.14928303394236719</v>
      </c>
      <c r="AM54" s="3122" t="s">
        <v>1445</v>
      </c>
      <c r="AN54" s="2581">
        <f>IS!DE40</f>
        <v>0.13091060938165167</v>
      </c>
      <c r="AO54" s="3122" t="s">
        <v>1445</v>
      </c>
      <c r="AP54" s="2581">
        <f>IS!DE40</f>
        <v>0.13091060938165167</v>
      </c>
      <c r="AQ54" s="3122" t="s">
        <v>1501</v>
      </c>
      <c r="AR54" s="2581">
        <f>IS!DE40</f>
        <v>0.13091060938165167</v>
      </c>
      <c r="AS54" s="3122" t="s">
        <v>1525</v>
      </c>
      <c r="AT54" s="2581">
        <f>IS!DE40</f>
        <v>0.13091060938165167</v>
      </c>
      <c r="AU54" s="3123" t="s">
        <v>1544</v>
      </c>
      <c r="AV54" s="2581">
        <f>IS!DJ40</f>
        <v>1.1590555020601689E-2</v>
      </c>
      <c r="AW54" s="3123" t="s">
        <v>1568</v>
      </c>
      <c r="AX54" s="2581">
        <f>IS!DJ40</f>
        <v>1.1590555020601689E-2</v>
      </c>
      <c r="AY54" s="3123" t="s">
        <v>1603</v>
      </c>
      <c r="AZ54" s="3123" t="s">
        <v>1634</v>
      </c>
      <c r="BA54" s="3124"/>
      <c r="BB54" s="2581">
        <f>IS!DJ40</f>
        <v>1.1590555020601689E-2</v>
      </c>
      <c r="BC54" s="3125"/>
      <c r="BD54" s="3126"/>
      <c r="BE54" s="3126"/>
      <c r="BF54" s="2930"/>
      <c r="BG54" s="2931"/>
      <c r="BH54" s="2581"/>
      <c r="BI54" s="2581">
        <f ca="1">IS!DO40</f>
        <v>6.166016990395029E-2</v>
      </c>
      <c r="BJ54" s="3127"/>
      <c r="BK54" s="3128"/>
      <c r="BL54" s="3127"/>
      <c r="BM54" s="3127"/>
      <c r="BN54" s="3127"/>
      <c r="BO54" s="3128"/>
      <c r="BP54" s="3127"/>
      <c r="BQ54" s="3127"/>
      <c r="BR54" s="3127"/>
    </row>
    <row r="55" spans="2:70" x14ac:dyDescent="0.2">
      <c r="B55" s="3016"/>
      <c r="C55" s="3017"/>
      <c r="D55" s="3017"/>
      <c r="E55" s="3017"/>
      <c r="F55" s="3017"/>
      <c r="G55" s="3017"/>
      <c r="H55" s="3017"/>
      <c r="I55" s="3017"/>
      <c r="J55" s="3017"/>
      <c r="K55" s="3017"/>
      <c r="L55" s="2940"/>
      <c r="M55" s="3038"/>
      <c r="N55" s="3038"/>
      <c r="O55" s="3039"/>
      <c r="P55" s="3017"/>
      <c r="Q55" s="3017"/>
      <c r="R55" s="3017"/>
      <c r="S55" s="3017"/>
      <c r="T55" s="2541"/>
      <c r="U55" s="3017"/>
      <c r="V55" s="3017"/>
      <c r="W55" s="2541"/>
      <c r="X55" s="3017"/>
      <c r="Y55" s="2541"/>
      <c r="Z55" s="2541"/>
      <c r="AA55" s="2541"/>
      <c r="AB55" s="3017"/>
      <c r="AC55" s="3017"/>
      <c r="AD55" s="2541"/>
      <c r="AE55" s="3017"/>
      <c r="AF55" s="2541"/>
      <c r="AG55" s="2541"/>
      <c r="AH55" s="2541"/>
      <c r="AI55" s="2541"/>
      <c r="AJ55" s="2541"/>
      <c r="AK55" s="3017"/>
      <c r="AM55" s="3073"/>
      <c r="AN55" s="3017"/>
      <c r="AO55" s="3073"/>
      <c r="AP55" s="3017"/>
      <c r="AQ55" s="3073"/>
      <c r="AR55" s="3017"/>
      <c r="AS55" s="3073"/>
      <c r="AT55" s="3017"/>
      <c r="AU55" s="3074"/>
      <c r="AV55" s="3017"/>
      <c r="AW55" s="3074"/>
      <c r="AX55" s="3017"/>
      <c r="AY55" s="3074"/>
      <c r="AZ55" s="3075"/>
      <c r="BA55" s="3044"/>
      <c r="BB55" s="3017"/>
      <c r="BC55" s="3044"/>
      <c r="BD55" s="3044"/>
      <c r="BE55" s="3044"/>
      <c r="BF55" s="3129"/>
      <c r="BG55" s="3130"/>
      <c r="BH55" s="3131"/>
      <c r="BI55" s="3017"/>
      <c r="BJ55" s="2958"/>
      <c r="BL55" s="2958"/>
      <c r="BM55" s="2958"/>
      <c r="BN55" s="2958"/>
      <c r="BP55" s="2960"/>
      <c r="BQ55" s="2960"/>
      <c r="BR55" s="2958"/>
    </row>
    <row r="56" spans="2:70" x14ac:dyDescent="0.2">
      <c r="B56" s="3016" t="s">
        <v>644</v>
      </c>
      <c r="C56" s="3017" t="s">
        <v>645</v>
      </c>
      <c r="D56" s="3017" t="s">
        <v>645</v>
      </c>
      <c r="E56" s="3017" t="s">
        <v>646</v>
      </c>
      <c r="F56" s="3017" t="s">
        <v>647</v>
      </c>
      <c r="G56" s="3017" t="s">
        <v>647</v>
      </c>
      <c r="H56" s="3017"/>
      <c r="I56" s="3017" t="s">
        <v>1093</v>
      </c>
      <c r="J56" s="3018">
        <f>'BS and CFS'!$CK$13</f>
        <v>486.2</v>
      </c>
      <c r="K56" s="3018"/>
      <c r="L56" s="2940"/>
      <c r="M56" s="3019"/>
      <c r="N56" s="3019"/>
      <c r="O56" s="3020"/>
      <c r="P56" s="3017" t="s">
        <v>1093</v>
      </c>
      <c r="Q56" s="3017" t="s">
        <v>25</v>
      </c>
      <c r="R56" s="3017" t="s">
        <v>25</v>
      </c>
      <c r="S56" s="3017"/>
      <c r="T56" s="3021">
        <f>'BS and CFS'!$CP$13</f>
        <v>494.09999999999997</v>
      </c>
      <c r="U56" s="3018"/>
      <c r="V56" s="3018"/>
      <c r="W56" s="3021"/>
      <c r="X56" s="3018"/>
      <c r="Y56" s="3021" t="s">
        <v>111</v>
      </c>
      <c r="Z56" s="3021" t="s">
        <v>111</v>
      </c>
      <c r="AA56" s="3021" t="s">
        <v>41</v>
      </c>
      <c r="AB56" s="3018">
        <f>'BS and CFS'!CU13</f>
        <v>517.9</v>
      </c>
      <c r="AC56" s="3018"/>
      <c r="AD56" s="3021" t="s">
        <v>41</v>
      </c>
      <c r="AE56" s="3018">
        <f>'BS and CFS'!CU13</f>
        <v>517.9</v>
      </c>
      <c r="AF56" s="3021"/>
      <c r="AG56" s="3021"/>
      <c r="AH56" s="3021" t="s">
        <v>1345</v>
      </c>
      <c r="AI56" s="3021" t="s">
        <v>1345</v>
      </c>
      <c r="AJ56" s="3021" t="s">
        <v>1431</v>
      </c>
      <c r="AK56" s="3018">
        <f>'BS and CFS'!CZ13</f>
        <v>610.95187807361265</v>
      </c>
      <c r="AM56" s="3022" t="s">
        <v>1470</v>
      </c>
      <c r="AN56" s="3018">
        <f>'BS and CFS'!DE13</f>
        <v>795.30000000000007</v>
      </c>
      <c r="AO56" s="3022" t="s">
        <v>1470</v>
      </c>
      <c r="AP56" s="3018">
        <f>'BS and CFS'!DE13</f>
        <v>795.30000000000007</v>
      </c>
      <c r="AQ56" s="3022" t="s">
        <v>1509</v>
      </c>
      <c r="AR56" s="3018">
        <f>'BS and CFS'!DE13</f>
        <v>795.30000000000007</v>
      </c>
      <c r="AS56" s="3022" t="s">
        <v>1509</v>
      </c>
      <c r="AT56" s="3018">
        <f>'BS and CFS'!DE13</f>
        <v>795.30000000000007</v>
      </c>
      <c r="AU56" s="3023"/>
      <c r="AV56" s="3018">
        <f>'BS and CFS'!DJ13</f>
        <v>817.34971157000007</v>
      </c>
      <c r="AW56" s="3022" t="s">
        <v>1586</v>
      </c>
      <c r="AX56" s="3018">
        <f>'BS and CFS'!DJ13</f>
        <v>817.34971157000007</v>
      </c>
      <c r="AY56" s="3022" t="s">
        <v>1586</v>
      </c>
      <c r="AZ56" s="3051" t="s">
        <v>1586</v>
      </c>
      <c r="BA56" s="3052"/>
      <c r="BB56" s="3018">
        <f>'BS and CFS'!DJ13</f>
        <v>817.34971157000007</v>
      </c>
      <c r="BC56" s="3023"/>
      <c r="BD56" s="3078"/>
      <c r="BE56" s="3078"/>
      <c r="BF56" s="3028"/>
      <c r="BG56" s="3029"/>
      <c r="BH56" s="3107"/>
      <c r="BI56" s="3018">
        <f>'BS and CFS'!DO13</f>
        <v>834.85552640000003</v>
      </c>
      <c r="BJ56" s="2996"/>
      <c r="BL56" s="2996"/>
      <c r="BM56" s="2996"/>
      <c r="BN56" s="2996"/>
      <c r="BP56" s="2996"/>
      <c r="BQ56" s="2996"/>
      <c r="BR56" s="2996"/>
    </row>
    <row r="57" spans="2:70" ht="13.5" thickBot="1" x14ac:dyDescent="0.25">
      <c r="B57" s="2976" t="s">
        <v>648</v>
      </c>
      <c r="C57" s="2979" t="s">
        <v>649</v>
      </c>
      <c r="D57" s="2979" t="s">
        <v>649</v>
      </c>
      <c r="E57" s="2979" t="s">
        <v>649</v>
      </c>
      <c r="F57" s="2979" t="s">
        <v>650</v>
      </c>
      <c r="G57" s="2979" t="s">
        <v>650</v>
      </c>
      <c r="H57" s="2979"/>
      <c r="I57" s="2979" t="s">
        <v>1094</v>
      </c>
      <c r="J57" s="3132">
        <f>IS!$CK$16/1000</f>
        <v>1.7529999999999999</v>
      </c>
      <c r="K57" s="3133"/>
      <c r="L57" s="2940"/>
      <c r="M57" s="3019"/>
      <c r="N57" s="3019"/>
      <c r="O57" s="3134"/>
      <c r="P57" s="2979" t="s">
        <v>1094</v>
      </c>
      <c r="Q57" s="2979" t="s">
        <v>26</v>
      </c>
      <c r="R57" s="2979" t="s">
        <v>26</v>
      </c>
      <c r="S57" s="2979"/>
      <c r="T57" s="3135">
        <f>IS!$CP$16/1000</f>
        <v>1.8697000000000001</v>
      </c>
      <c r="U57" s="3133"/>
      <c r="V57" s="3133"/>
      <c r="W57" s="3135"/>
      <c r="X57" s="3133"/>
      <c r="Y57" s="3135" t="s">
        <v>112</v>
      </c>
      <c r="Z57" s="3135" t="s">
        <v>112</v>
      </c>
      <c r="AA57" s="3135" t="s">
        <v>112</v>
      </c>
      <c r="AB57" s="3133">
        <f>IS!CU16</f>
        <v>1930.8999999999999</v>
      </c>
      <c r="AC57" s="3133"/>
      <c r="AD57" s="3135" t="s">
        <v>112</v>
      </c>
      <c r="AE57" s="3133">
        <f>IS!CU16</f>
        <v>1930.8999999999999</v>
      </c>
      <c r="AF57" s="3135"/>
      <c r="AG57" s="3135"/>
      <c r="AH57" s="3135" t="s">
        <v>1344</v>
      </c>
      <c r="AI57" s="3135" t="s">
        <v>1344</v>
      </c>
      <c r="AJ57" s="3135" t="s">
        <v>1432</v>
      </c>
      <c r="AK57" s="3133">
        <f>IS!CZ16</f>
        <v>2081.0395035309434</v>
      </c>
      <c r="AM57" s="3136">
        <v>2.5</v>
      </c>
      <c r="AN57" s="3133">
        <f>IS!DE16</f>
        <v>2445.5</v>
      </c>
      <c r="AO57" s="3136">
        <v>2.5</v>
      </c>
      <c r="AP57" s="3133">
        <f>IS!DE16</f>
        <v>2445.5</v>
      </c>
      <c r="AQ57" s="3136">
        <v>2.5</v>
      </c>
      <c r="AR57" s="3133">
        <f>IS!DE16</f>
        <v>2445.5</v>
      </c>
      <c r="AS57" s="3136">
        <v>2.5</v>
      </c>
      <c r="AT57" s="3133">
        <f>IS!DE16</f>
        <v>2445.5</v>
      </c>
      <c r="AU57" s="3137"/>
      <c r="AV57" s="3133">
        <f>IS!DJ16</f>
        <v>2478.8232135100002</v>
      </c>
      <c r="AW57" s="3136" t="s">
        <v>1577</v>
      </c>
      <c r="AX57" s="3133">
        <f>IS!DJ16</f>
        <v>2478.8232135100002</v>
      </c>
      <c r="AY57" s="3136" t="s">
        <v>1577</v>
      </c>
      <c r="AZ57" s="3136" t="s">
        <v>1577</v>
      </c>
      <c r="BA57" s="3135"/>
      <c r="BB57" s="3133">
        <f>IS!DJ16</f>
        <v>2478.8232135100002</v>
      </c>
      <c r="BC57" s="3137"/>
      <c r="BD57" s="3138"/>
      <c r="BE57" s="3138"/>
      <c r="BF57" s="3139"/>
      <c r="BG57" s="3140"/>
      <c r="BH57" s="3133"/>
      <c r="BI57" s="3133">
        <f>IS!DO16</f>
        <v>2538.8375264000006</v>
      </c>
      <c r="BJ57" s="2958"/>
      <c r="BL57" s="2958"/>
      <c r="BM57" s="2958"/>
      <c r="BN57" s="2958"/>
      <c r="BP57" s="2960"/>
      <c r="BQ57" s="2960"/>
      <c r="BR57" s="3000"/>
    </row>
    <row r="58" spans="2:70" ht="13.5" thickBot="1" x14ac:dyDescent="0.25">
      <c r="B58" s="2940"/>
      <c r="C58" s="3038"/>
      <c r="D58" s="3038"/>
      <c r="E58" s="3038"/>
      <c r="F58" s="3038"/>
      <c r="G58" s="3038"/>
      <c r="H58" s="3038"/>
      <c r="I58" s="3038"/>
      <c r="J58" s="3038"/>
      <c r="K58" s="3038"/>
      <c r="L58" s="2940"/>
      <c r="M58" s="3038"/>
      <c r="N58" s="3038"/>
      <c r="O58" s="3038"/>
      <c r="P58" s="3038"/>
      <c r="Q58" s="3038"/>
      <c r="R58" s="3038"/>
      <c r="S58" s="3038"/>
      <c r="T58" s="1617"/>
      <c r="U58" s="3038"/>
      <c r="V58" s="3038"/>
      <c r="W58" s="1617"/>
      <c r="X58" s="3038"/>
      <c r="Y58" s="1617"/>
      <c r="Z58" s="1617"/>
      <c r="AA58" s="1617"/>
      <c r="AB58" s="3038"/>
      <c r="AC58" s="3038"/>
      <c r="AD58" s="1617"/>
      <c r="AE58" s="3038"/>
      <c r="AF58" s="1617"/>
      <c r="AG58" s="1617"/>
      <c r="AH58" s="1617"/>
      <c r="AI58" s="2940"/>
      <c r="AJ58" s="2940"/>
      <c r="AK58" s="3038"/>
      <c r="AM58" s="3141"/>
      <c r="AN58" s="3038"/>
      <c r="AO58" s="3141"/>
      <c r="AP58" s="3038"/>
      <c r="AQ58" s="3141"/>
      <c r="AR58" s="3038"/>
      <c r="AS58" s="3141"/>
      <c r="AT58" s="3038"/>
      <c r="AU58" s="3141"/>
      <c r="AV58" s="3038"/>
      <c r="AW58" s="3141"/>
      <c r="AX58" s="3038"/>
      <c r="AY58" s="3141"/>
      <c r="AZ58" s="3141"/>
      <c r="BA58" s="3141"/>
      <c r="BB58" s="3038"/>
      <c r="BC58" s="3141"/>
      <c r="BD58" s="3141"/>
      <c r="BE58" s="3141"/>
      <c r="BF58" s="3038"/>
      <c r="BG58" s="3038"/>
      <c r="BH58" s="3038"/>
      <c r="BI58" s="3038"/>
    </row>
    <row r="59" spans="2:70" x14ac:dyDescent="0.2">
      <c r="B59" s="3142" t="s">
        <v>651</v>
      </c>
      <c r="C59" s="3115" t="s">
        <v>652</v>
      </c>
      <c r="D59" s="3115" t="s">
        <v>653</v>
      </c>
      <c r="E59" s="3115" t="s">
        <v>653</v>
      </c>
      <c r="F59" s="3115" t="s">
        <v>654</v>
      </c>
      <c r="G59" s="3115" t="s">
        <v>654</v>
      </c>
      <c r="H59" s="3115"/>
      <c r="I59" s="3115" t="s">
        <v>1095</v>
      </c>
      <c r="J59" s="3143">
        <f>'BS and CFS'!$CK$35/1000</f>
        <v>6.6713749999999994</v>
      </c>
      <c r="K59" s="3144"/>
      <c r="L59" s="2940"/>
      <c r="M59" s="3019"/>
      <c r="N59" s="3019"/>
      <c r="O59" s="3145"/>
      <c r="P59" s="3144" t="str">
        <f>I59</f>
        <v>$6.4 to $6.6</v>
      </c>
      <c r="Q59" s="3115" t="str">
        <f>I59</f>
        <v>$6.4 to $6.6</v>
      </c>
      <c r="R59" s="3115" t="s">
        <v>1095</v>
      </c>
      <c r="S59" s="3115"/>
      <c r="T59" s="3146">
        <f>'BS and CFS'!$CP$35/1000</f>
        <v>5.7386000000000026</v>
      </c>
      <c r="U59" s="3144"/>
      <c r="V59" s="3144"/>
      <c r="W59" s="3146"/>
      <c r="X59" s="3144"/>
      <c r="Y59" s="3146" t="s">
        <v>88</v>
      </c>
      <c r="Z59" s="3146" t="s">
        <v>1255</v>
      </c>
      <c r="AA59" s="3146" t="s">
        <v>42</v>
      </c>
      <c r="AB59" s="3144">
        <f>'BS and CFS'!CU35</f>
        <v>8136.9</v>
      </c>
      <c r="AC59" s="3144"/>
      <c r="AD59" s="3146" t="s">
        <v>1281</v>
      </c>
      <c r="AE59" s="3144">
        <f>'BS and CFS'!CU35</f>
        <v>8136.9</v>
      </c>
      <c r="AF59" s="3146"/>
      <c r="AG59" s="3146" t="s">
        <v>1300</v>
      </c>
      <c r="AH59" s="3146" t="s">
        <v>1300</v>
      </c>
      <c r="AI59" s="3146" t="s">
        <v>1300</v>
      </c>
      <c r="AJ59" s="3146" t="s">
        <v>1300</v>
      </c>
      <c r="AK59" s="3144">
        <f>'BS and CFS'!CZ35</f>
        <v>8412</v>
      </c>
      <c r="AM59" s="3147" t="s">
        <v>1300</v>
      </c>
      <c r="AN59" s="3144">
        <f>'BS and CFS'!DE35</f>
        <v>10069</v>
      </c>
      <c r="AO59" s="3147" t="s">
        <v>1300</v>
      </c>
      <c r="AP59" s="3144">
        <f>'BS and CFS'!DE35</f>
        <v>10069</v>
      </c>
      <c r="AQ59" s="3147" t="s">
        <v>1510</v>
      </c>
      <c r="AR59" s="3144">
        <f>'BS and CFS'!DE35</f>
        <v>10069</v>
      </c>
      <c r="AS59" s="3147" t="s">
        <v>1528</v>
      </c>
      <c r="AT59" s="3144">
        <f>'BS and CFS'!DE35</f>
        <v>10069</v>
      </c>
      <c r="AU59" s="3147" t="s">
        <v>1551</v>
      </c>
      <c r="AV59" s="3144">
        <f>'BS and CFS'!DJ35</f>
        <v>8007</v>
      </c>
      <c r="AW59" s="3147" t="s">
        <v>1551</v>
      </c>
      <c r="AX59" s="3144">
        <f>'BS and CFS'!DJ35</f>
        <v>8007</v>
      </c>
      <c r="AY59" s="3147" t="s">
        <v>1551</v>
      </c>
      <c r="AZ59" s="3147" t="s">
        <v>1551</v>
      </c>
      <c r="BA59" s="3148"/>
      <c r="BB59" s="3144">
        <f>'BS and CFS'!DJ35</f>
        <v>8007</v>
      </c>
      <c r="BC59" s="3149"/>
      <c r="BD59" s="3150"/>
      <c r="BE59" s="3150"/>
      <c r="BF59" s="3151"/>
      <c r="BG59" s="3152"/>
      <c r="BH59" s="3153"/>
      <c r="BI59" s="3144">
        <f ca="1">'BS and CFS'!DO35</f>
        <v>7888.6285925848169</v>
      </c>
    </row>
    <row r="60" spans="2:70" x14ac:dyDescent="0.2">
      <c r="B60" s="3030" t="s">
        <v>655</v>
      </c>
      <c r="C60" s="3154" t="s">
        <v>656</v>
      </c>
      <c r="D60" s="3154" t="s">
        <v>657</v>
      </c>
      <c r="E60" s="3154" t="s">
        <v>657</v>
      </c>
      <c r="F60" s="3154" t="s">
        <v>658</v>
      </c>
      <c r="G60" s="3154" t="s">
        <v>658</v>
      </c>
      <c r="H60" s="3154"/>
      <c r="I60" s="3154" t="s">
        <v>1115</v>
      </c>
      <c r="J60" s="3155">
        <f>'BS and CFS'!$CK$45/1000</f>
        <v>-1.849</v>
      </c>
      <c r="K60" s="3155"/>
      <c r="L60" s="3156"/>
      <c r="M60" s="3157"/>
      <c r="N60" s="3157"/>
      <c r="O60" s="3158"/>
      <c r="P60" s="3155"/>
      <c r="Q60" s="3154"/>
      <c r="R60" s="3154" t="s">
        <v>1221</v>
      </c>
      <c r="S60" s="3154"/>
      <c r="T60" s="3159">
        <f>('BS and CFS'!CP37+'BS and CFS'!CP38)/1000</f>
        <v>-1.3839999999999999</v>
      </c>
      <c r="U60" s="3160"/>
      <c r="V60" s="3160"/>
      <c r="W60" s="3159"/>
      <c r="X60" s="3160"/>
      <c r="Y60" s="3159" t="s">
        <v>89</v>
      </c>
      <c r="Z60" s="3159" t="s">
        <v>89</v>
      </c>
      <c r="AA60" s="3159" t="s">
        <v>89</v>
      </c>
      <c r="AB60" s="3160">
        <f>'BS and CFS'!CU37+'BS and CFS'!CU38</f>
        <v>-1621</v>
      </c>
      <c r="AC60" s="3160"/>
      <c r="AD60" s="3159" t="s">
        <v>8</v>
      </c>
      <c r="AE60" s="3160">
        <f>'BS and CFS'!CU37+'BS and CFS'!CU38</f>
        <v>-1621</v>
      </c>
      <c r="AF60" s="3159"/>
      <c r="AG60" s="3159" t="s">
        <v>8</v>
      </c>
      <c r="AH60" s="3159" t="s">
        <v>8</v>
      </c>
      <c r="AI60" s="3159" t="s">
        <v>8</v>
      </c>
      <c r="AJ60" s="3159" t="s">
        <v>8</v>
      </c>
      <c r="AK60" s="3160">
        <f>'BS and CFS'!CZ37+'BS and CFS'!CZ38</f>
        <v>-1956</v>
      </c>
      <c r="AM60" s="3103" t="s">
        <v>1447</v>
      </c>
      <c r="AN60" s="3160">
        <f>'BS and CFS'!DE37+'BS and CFS'!DE38</f>
        <v>-1994</v>
      </c>
      <c r="AO60" s="3103" t="s">
        <v>1447</v>
      </c>
      <c r="AP60" s="3160">
        <f>'BS and CFS'!DE37+'BS and CFS'!DE38</f>
        <v>-1994</v>
      </c>
      <c r="AQ60" s="3103" t="s">
        <v>1447</v>
      </c>
      <c r="AR60" s="3160">
        <f>'BS and CFS'!DE37+'BS and CFS'!DE38</f>
        <v>-1994</v>
      </c>
      <c r="AS60" s="3103" t="s">
        <v>1447</v>
      </c>
      <c r="AT60" s="3160">
        <f>'BS and CFS'!DE37+'BS and CFS'!DE38</f>
        <v>-1994</v>
      </c>
      <c r="AU60" s="3103" t="s">
        <v>1553</v>
      </c>
      <c r="AV60" s="3160">
        <f>'BS and CFS'!DJ37+'BS and CFS'!DJ38</f>
        <v>-1653</v>
      </c>
      <c r="AW60" s="3103" t="s">
        <v>1553</v>
      </c>
      <c r="AX60" s="3160">
        <f>'BS and CFS'!DJ37+'BS and CFS'!DJ38</f>
        <v>-1653</v>
      </c>
      <c r="AY60" s="3103" t="s">
        <v>1553</v>
      </c>
      <c r="AZ60" s="3103" t="s">
        <v>1553</v>
      </c>
      <c r="BA60" s="3161"/>
      <c r="BB60" s="3160">
        <f>'BS and CFS'!DJ37+'BS and CFS'!DJ38</f>
        <v>-1653</v>
      </c>
      <c r="BC60" s="3104"/>
      <c r="BD60" s="3106"/>
      <c r="BE60" s="3106"/>
      <c r="BF60" s="3028"/>
      <c r="BG60" s="3029"/>
      <c r="BH60" s="3107"/>
      <c r="BI60" s="3160">
        <f>'BS and CFS'!DO37+'BS and CFS'!DO38</f>
        <v>-1618</v>
      </c>
    </row>
    <row r="61" spans="2:70" ht="13.5" thickBot="1" x14ac:dyDescent="0.25">
      <c r="B61" s="2976" t="s">
        <v>507</v>
      </c>
      <c r="C61" s="2979" t="s">
        <v>659</v>
      </c>
      <c r="D61" s="2979" t="s">
        <v>660</v>
      </c>
      <c r="E61" s="2979" t="s">
        <v>660</v>
      </c>
      <c r="F61" s="2979" t="s">
        <v>661</v>
      </c>
      <c r="G61" s="2979" t="s">
        <v>661</v>
      </c>
      <c r="H61" s="2979"/>
      <c r="I61" s="2979" t="s">
        <v>1116</v>
      </c>
      <c r="J61" s="3162">
        <f>J59+J60</f>
        <v>4.8223749999999992</v>
      </c>
      <c r="K61" s="3162"/>
      <c r="L61" s="3156"/>
      <c r="M61" s="3157"/>
      <c r="N61" s="3157"/>
      <c r="O61" s="3163"/>
      <c r="P61" s="3162" t="str">
        <f>I61</f>
        <v>$4.8 to $5.1</v>
      </c>
      <c r="Q61" s="2979" t="str">
        <f>I61</f>
        <v>$4.8 to $5.1</v>
      </c>
      <c r="R61" s="2979" t="s">
        <v>1116</v>
      </c>
      <c r="S61" s="2979"/>
      <c r="T61" s="3135">
        <f>T59+T60</f>
        <v>4.3546000000000031</v>
      </c>
      <c r="U61" s="3133"/>
      <c r="V61" s="3133"/>
      <c r="W61" s="3135"/>
      <c r="X61" s="3133"/>
      <c r="Y61" s="3135" t="s">
        <v>90</v>
      </c>
      <c r="Z61" s="3135" t="s">
        <v>1256</v>
      </c>
      <c r="AA61" s="3135" t="s">
        <v>1256</v>
      </c>
      <c r="AB61" s="3133">
        <f>AB59+AB60</f>
        <v>6515.9</v>
      </c>
      <c r="AC61" s="3133"/>
      <c r="AD61" s="3135" t="s">
        <v>652</v>
      </c>
      <c r="AE61" s="3133">
        <f>AE59+AE60</f>
        <v>6515.9</v>
      </c>
      <c r="AF61" s="3135"/>
      <c r="AG61" s="3135" t="s">
        <v>1301</v>
      </c>
      <c r="AH61" s="3135" t="s">
        <v>1301</v>
      </c>
      <c r="AI61" s="3135" t="s">
        <v>1301</v>
      </c>
      <c r="AJ61" s="3135" t="s">
        <v>1301</v>
      </c>
      <c r="AK61" s="3133">
        <f>AK59+AK60</f>
        <v>6456</v>
      </c>
      <c r="AM61" s="3164" t="s">
        <v>1446</v>
      </c>
      <c r="AN61" s="3133">
        <f>AN59+AN60</f>
        <v>8075</v>
      </c>
      <c r="AO61" s="3164" t="s">
        <v>1446</v>
      </c>
      <c r="AP61" s="3133">
        <f>AP59+AP60</f>
        <v>8075</v>
      </c>
      <c r="AQ61" s="3164" t="s">
        <v>1511</v>
      </c>
      <c r="AR61" s="3133">
        <f>AR59+AR60</f>
        <v>8075</v>
      </c>
      <c r="AS61" s="3164" t="s">
        <v>1529</v>
      </c>
      <c r="AT61" s="3133">
        <f>AT59+AT60</f>
        <v>8075</v>
      </c>
      <c r="AU61" s="3164" t="s">
        <v>1552</v>
      </c>
      <c r="AV61" s="3133">
        <f>AV59+AV60</f>
        <v>6354</v>
      </c>
      <c r="AW61" s="3164" t="s">
        <v>1552</v>
      </c>
      <c r="AX61" s="3133">
        <f>AX59+AX60</f>
        <v>6354</v>
      </c>
      <c r="AY61" s="3164" t="s">
        <v>1552</v>
      </c>
      <c r="AZ61" s="3164" t="s">
        <v>1552</v>
      </c>
      <c r="BA61" s="3135"/>
      <c r="BB61" s="3133">
        <f>BB59+BB60</f>
        <v>6354</v>
      </c>
      <c r="BC61" s="3165"/>
      <c r="BD61" s="3138"/>
      <c r="BE61" s="3138"/>
      <c r="BF61" s="3166"/>
      <c r="BG61" s="3167"/>
      <c r="BH61" s="3168"/>
      <c r="BI61" s="3133">
        <f ca="1">BI59+BI60</f>
        <v>6270.6285925848169</v>
      </c>
    </row>
    <row r="62" spans="2:70" x14ac:dyDescent="0.2">
      <c r="B62" s="2939"/>
      <c r="C62" s="2939"/>
      <c r="D62" s="2939"/>
      <c r="E62" s="2939"/>
      <c r="F62" s="2939"/>
      <c r="G62" s="2939"/>
      <c r="I62" s="2939"/>
      <c r="J62" s="2939"/>
      <c r="K62" s="2939"/>
      <c r="M62" s="2939"/>
      <c r="N62" s="2939"/>
      <c r="O62" s="2939"/>
      <c r="P62" s="2939"/>
      <c r="Q62" s="2939"/>
      <c r="R62" s="2939"/>
      <c r="S62" s="2939"/>
      <c r="T62" s="508"/>
      <c r="U62" s="2939"/>
      <c r="V62" s="2939"/>
      <c r="W62" s="508"/>
      <c r="X62" s="2939"/>
      <c r="Y62" s="508"/>
      <c r="Z62" s="508"/>
      <c r="AA62" s="508"/>
      <c r="AB62" s="2939"/>
      <c r="AC62" s="2939"/>
      <c r="AD62" s="508"/>
      <c r="AE62" s="2939"/>
      <c r="AF62" s="508"/>
      <c r="AG62" s="2939"/>
      <c r="AH62" s="2939"/>
      <c r="AI62" s="2939"/>
      <c r="AJ62" s="2939"/>
      <c r="AK62" s="2939"/>
      <c r="AM62" s="2939"/>
      <c r="AN62" s="2939"/>
      <c r="AO62" s="2939"/>
      <c r="AP62" s="2939"/>
      <c r="AQ62" s="2939"/>
      <c r="AR62" s="2939"/>
      <c r="AS62" s="2939"/>
      <c r="AT62" s="2939"/>
      <c r="AU62" s="2939"/>
      <c r="AV62" s="2939"/>
      <c r="AW62" s="2939"/>
      <c r="AX62" s="2939"/>
      <c r="AY62" s="2939"/>
      <c r="AZ62" s="2939"/>
      <c r="BA62" s="2939"/>
      <c r="BB62" s="3109"/>
      <c r="BC62" s="3169"/>
      <c r="BD62" s="3169"/>
      <c r="BE62" s="3169"/>
      <c r="BF62" s="2939"/>
      <c r="BG62" s="2939"/>
      <c r="BH62" s="2939"/>
      <c r="BI62" s="2939"/>
    </row>
    <row r="63" spans="2:70" x14ac:dyDescent="0.2">
      <c r="B63" s="2860" t="s">
        <v>533</v>
      </c>
      <c r="C63" s="2861">
        <v>2012</v>
      </c>
      <c r="D63" s="2861">
        <v>2012</v>
      </c>
      <c r="E63" s="2861"/>
      <c r="F63" s="2861"/>
      <c r="G63" s="2861"/>
      <c r="H63" s="2862"/>
      <c r="I63" s="2861" t="s">
        <v>9</v>
      </c>
      <c r="J63" s="2863"/>
      <c r="K63" s="2861"/>
      <c r="L63" s="3170"/>
      <c r="M63" s="2864"/>
      <c r="N63" s="2865"/>
      <c r="O63" s="2866"/>
      <c r="P63" s="2861" t="s">
        <v>245</v>
      </c>
      <c r="Q63" s="2867" t="s">
        <v>1261</v>
      </c>
      <c r="R63" s="2868" t="s">
        <v>1204</v>
      </c>
      <c r="S63" s="2867"/>
      <c r="T63" s="2861"/>
      <c r="U63" s="2861"/>
      <c r="V63" s="2861"/>
      <c r="W63" s="2861"/>
      <c r="X63" s="2861"/>
      <c r="Y63" s="2861" t="s">
        <v>96</v>
      </c>
      <c r="Z63" s="2861" t="s">
        <v>1247</v>
      </c>
      <c r="AA63" s="2861" t="s">
        <v>39</v>
      </c>
      <c r="AB63" s="2861"/>
      <c r="AC63" s="2861"/>
      <c r="AD63" s="2861" t="s">
        <v>1277</v>
      </c>
      <c r="AE63" s="2861"/>
      <c r="AF63" s="2861"/>
      <c r="AG63" s="2867">
        <v>41989</v>
      </c>
      <c r="AH63" s="2867" t="e">
        <f>#REF!</f>
        <v>#REF!</v>
      </c>
      <c r="AI63" s="2867" t="e">
        <f>#REF!</f>
        <v>#REF!</v>
      </c>
      <c r="AJ63" s="2867" t="e">
        <f>#REF!</f>
        <v>#REF!</v>
      </c>
      <c r="AK63" s="2861"/>
      <c r="AL63" s="3170"/>
      <c r="AM63" s="2867" t="e">
        <f>#REF!</f>
        <v>#REF!</v>
      </c>
      <c r="AN63" s="2861"/>
      <c r="AO63" s="2867" t="e">
        <f>#REF!</f>
        <v>#REF!</v>
      </c>
      <c r="AP63" s="2861"/>
      <c r="AQ63" s="2867" t="e">
        <f>#REF!</f>
        <v>#REF!</v>
      </c>
      <c r="AR63" s="2861"/>
      <c r="AS63" s="2867" t="e">
        <f>#REF!</f>
        <v>#REF!</v>
      </c>
      <c r="AT63" s="2861"/>
      <c r="AU63" s="2867" t="e">
        <f>#REF!</f>
        <v>#REF!</v>
      </c>
      <c r="AV63" s="2861"/>
      <c r="AW63" s="2867" t="e">
        <f>#REF!</f>
        <v>#REF!</v>
      </c>
      <c r="AX63" s="2861"/>
      <c r="AY63" s="2867" t="e">
        <f>#REF!</f>
        <v>#REF!</v>
      </c>
      <c r="AZ63" s="2867"/>
      <c r="BA63" s="2867"/>
      <c r="BB63" s="2861"/>
      <c r="BC63" s="3171" t="str">
        <f>$BC$35</f>
        <v>Guidance Release CC</v>
      </c>
      <c r="BD63" s="3172"/>
      <c r="BE63" s="3172"/>
      <c r="BF63" s="3172" t="str">
        <f>$BF$35</f>
        <v>4Q Earnings CC</v>
      </c>
      <c r="BG63" s="3172"/>
      <c r="BH63" s="3172"/>
      <c r="BI63" s="3173"/>
    </row>
    <row r="64" spans="2:70" ht="13.5" thickBot="1" x14ac:dyDescent="0.25">
      <c r="B64" s="492"/>
      <c r="C64" s="525"/>
      <c r="D64" s="525"/>
      <c r="E64" s="525"/>
      <c r="F64" s="525"/>
      <c r="G64" s="525"/>
      <c r="H64" s="2857"/>
      <c r="I64" s="525"/>
      <c r="J64" s="2858"/>
      <c r="K64" s="2856"/>
      <c r="L64" s="2945"/>
      <c r="M64" s="2853"/>
      <c r="N64" s="2854"/>
      <c r="O64" s="2859"/>
      <c r="P64" s="2856"/>
      <c r="Q64" s="1708"/>
      <c r="R64" s="1708"/>
      <c r="S64" s="2855"/>
      <c r="T64" s="2856"/>
      <c r="U64" s="2856"/>
      <c r="V64" s="2856"/>
      <c r="W64" s="2856"/>
      <c r="X64" s="2856"/>
      <c r="Y64" s="2856"/>
      <c r="Z64" s="2856"/>
      <c r="AA64" s="2856"/>
      <c r="AB64" s="2856"/>
      <c r="AC64" s="2856"/>
      <c r="AD64" s="2856"/>
      <c r="AE64" s="2856"/>
      <c r="AF64" s="2856"/>
      <c r="AG64" s="2855"/>
      <c r="AH64" s="2855"/>
      <c r="AI64" s="2855"/>
      <c r="AJ64" s="2855"/>
      <c r="AK64" s="2856"/>
      <c r="AM64" s="2855"/>
      <c r="AN64" s="2856"/>
      <c r="AO64" s="2855"/>
      <c r="AP64" s="2856"/>
      <c r="AQ64" s="2855"/>
      <c r="AR64" s="2856"/>
      <c r="AS64" s="2855"/>
      <c r="AT64" s="2856"/>
      <c r="AU64" s="2855"/>
      <c r="AV64" s="2856"/>
      <c r="AW64" s="2855"/>
      <c r="AX64" s="2856"/>
      <c r="AY64" s="2855"/>
      <c r="AZ64" s="2855"/>
      <c r="BA64" s="2855"/>
      <c r="BB64" s="2856"/>
      <c r="BC64" s="3174" t="str">
        <f>$BC$36</f>
        <v>01/04/2018</v>
      </c>
      <c r="BD64" s="3175"/>
      <c r="BE64" s="3175"/>
      <c r="BF64" s="3176">
        <f>$BF$36</f>
        <v>43133</v>
      </c>
      <c r="BG64" s="3175"/>
      <c r="BH64" s="3175"/>
      <c r="BI64" s="3175"/>
    </row>
    <row r="65" spans="2:63" ht="13.5" thickBot="1" x14ac:dyDescent="0.25">
      <c r="B65" s="479" t="s">
        <v>561</v>
      </c>
      <c r="C65" s="501"/>
      <c r="D65" s="501"/>
      <c r="E65" s="489" t="s">
        <v>589</v>
      </c>
      <c r="F65" s="489" t="s">
        <v>589</v>
      </c>
      <c r="G65" s="489" t="s">
        <v>589</v>
      </c>
      <c r="H65" s="1613"/>
      <c r="I65" s="489" t="str">
        <f>I37</f>
        <v>2013 Guidance</v>
      </c>
      <c r="J65" s="490" t="s">
        <v>590</v>
      </c>
      <c r="K65" s="491" t="s">
        <v>545</v>
      </c>
      <c r="M65" s="477"/>
      <c r="N65" s="477"/>
      <c r="O65" s="512" t="s">
        <v>591</v>
      </c>
      <c r="P65" s="491"/>
      <c r="Q65" s="489" t="s">
        <v>10</v>
      </c>
      <c r="R65" s="489" t="s">
        <v>10</v>
      </c>
      <c r="S65" s="491"/>
      <c r="T65" s="491" t="s">
        <v>592</v>
      </c>
      <c r="U65" s="491" t="s">
        <v>593</v>
      </c>
      <c r="V65" s="491" t="s">
        <v>594</v>
      </c>
      <c r="W65" s="491"/>
      <c r="X65" s="491"/>
      <c r="Y65" s="491" t="s">
        <v>95</v>
      </c>
      <c r="Z65" s="491" t="s">
        <v>95</v>
      </c>
      <c r="AA65" s="491" t="s">
        <v>95</v>
      </c>
      <c r="AB65" s="491"/>
      <c r="AC65" s="491" t="s">
        <v>594</v>
      </c>
      <c r="AD65" s="491" t="s">
        <v>95</v>
      </c>
      <c r="AE65" s="491"/>
      <c r="AF65" s="491"/>
      <c r="AG65" s="491" t="s">
        <v>1320</v>
      </c>
      <c r="AH65" s="491" t="str">
        <f>AH37</f>
        <v>CVS CY15</v>
      </c>
      <c r="AI65" s="491" t="str">
        <f>AI37</f>
        <v>CVS CY15</v>
      </c>
      <c r="AJ65" s="491" t="str">
        <f>AJ37</f>
        <v>CVS CY15</v>
      </c>
      <c r="AK65" s="491"/>
      <c r="AM65" s="491" t="str">
        <f t="shared" ref="AM65:AY65" si="5">AM37</f>
        <v>CVS CY16</v>
      </c>
      <c r="AN65" s="491" t="str">
        <f t="shared" si="5"/>
        <v>MS 2016</v>
      </c>
      <c r="AO65" s="491" t="str">
        <f t="shared" si="5"/>
        <v>CVS CY16</v>
      </c>
      <c r="AP65" s="491" t="str">
        <f t="shared" si="5"/>
        <v>MS 2016</v>
      </c>
      <c r="AQ65" s="491" t="str">
        <f t="shared" si="5"/>
        <v>CVS CY16</v>
      </c>
      <c r="AR65" s="491" t="str">
        <f t="shared" si="5"/>
        <v>MS 2016</v>
      </c>
      <c r="AS65" s="491" t="str">
        <f t="shared" si="5"/>
        <v>CVS CY16</v>
      </c>
      <c r="AT65" s="491" t="str">
        <f t="shared" si="5"/>
        <v>MS 2016</v>
      </c>
      <c r="AU65" s="491" t="str">
        <f t="shared" si="5"/>
        <v>CVS CY17</v>
      </c>
      <c r="AV65" s="491" t="str">
        <f t="shared" si="5"/>
        <v>MS 2017</v>
      </c>
      <c r="AW65" s="491" t="str">
        <f t="shared" si="5"/>
        <v>CVS CY17</v>
      </c>
      <c r="AX65" s="491" t="str">
        <f t="shared" si="5"/>
        <v>MS 2017</v>
      </c>
      <c r="AY65" s="491" t="str">
        <f t="shared" si="5"/>
        <v>CVS CY17</v>
      </c>
      <c r="AZ65" s="491"/>
      <c r="BA65" s="2783"/>
      <c r="BB65" s="491" t="str">
        <f>BB37</f>
        <v>MS 2017</v>
      </c>
      <c r="BC65" s="3177" t="str">
        <f>$BC$37</f>
        <v>Low</v>
      </c>
      <c r="BD65" s="3178" t="str">
        <f>BD37</f>
        <v>High</v>
      </c>
      <c r="BE65" s="3178" t="str">
        <f>BE37</f>
        <v>Midpoint</v>
      </c>
      <c r="BF65" s="2947" t="str">
        <f>$BF$37</f>
        <v>Low</v>
      </c>
      <c r="BG65" s="2948" t="str">
        <f>$BG$37</f>
        <v>High</v>
      </c>
      <c r="BH65" s="2949" t="str">
        <f>BH37</f>
        <v>Midpoint</v>
      </c>
      <c r="BI65" s="491" t="str">
        <f>BI37</f>
        <v>MS 2018</v>
      </c>
    </row>
    <row r="66" spans="2:63" x14ac:dyDescent="0.2">
      <c r="B66" s="3016" t="s">
        <v>529</v>
      </c>
      <c r="C66" s="3017" t="s">
        <v>662</v>
      </c>
      <c r="D66" s="3017" t="s">
        <v>662</v>
      </c>
      <c r="E66" s="3179" t="s">
        <v>663</v>
      </c>
      <c r="F66" s="3179" t="s">
        <v>664</v>
      </c>
      <c r="G66" s="3179" t="s">
        <v>665</v>
      </c>
      <c r="H66" s="3179"/>
      <c r="I66" s="3017" t="s">
        <v>1117</v>
      </c>
      <c r="J66" s="3048">
        <f>PBM!$CK$15</f>
        <v>0.23905301285717417</v>
      </c>
      <c r="K66" s="3048"/>
      <c r="L66" s="2940"/>
      <c r="M66" s="2974"/>
      <c r="N66" s="2974"/>
      <c r="O66" s="2963"/>
      <c r="P66" s="3017" t="s">
        <v>1117</v>
      </c>
      <c r="Q66" s="3017" t="s">
        <v>16</v>
      </c>
      <c r="R66" s="3017" t="s">
        <v>1205</v>
      </c>
      <c r="S66" s="3017" t="s">
        <v>1108</v>
      </c>
      <c r="T66" s="3049">
        <f>PBM!$CP$15</f>
        <v>3.7639562115353131E-2</v>
      </c>
      <c r="U66" s="3048"/>
      <c r="V66" s="3180" t="s">
        <v>666</v>
      </c>
      <c r="W66" s="3049"/>
      <c r="X66" s="3180"/>
      <c r="Y66" s="3049" t="s">
        <v>97</v>
      </c>
      <c r="Z66" s="3049" t="s">
        <v>97</v>
      </c>
      <c r="AA66" s="3049" t="s">
        <v>43</v>
      </c>
      <c r="AB66" s="3180">
        <f>PBM!CU15</f>
        <v>0.16049805533248329</v>
      </c>
      <c r="AC66" s="3180" t="s">
        <v>666</v>
      </c>
      <c r="AD66" s="3049" t="s">
        <v>1287</v>
      </c>
      <c r="AE66" s="3180">
        <f>PBM!CU15</f>
        <v>0.16049805533248329</v>
      </c>
      <c r="AF66" s="3049"/>
      <c r="AG66" s="3049" t="s">
        <v>1296</v>
      </c>
      <c r="AH66" s="3049" t="s">
        <v>1340</v>
      </c>
      <c r="AI66" s="3049" t="s">
        <v>1385</v>
      </c>
      <c r="AJ66" s="3049" t="s">
        <v>1421</v>
      </c>
      <c r="AK66" s="3181">
        <f>PBM!CZ15</f>
        <v>0.13481390978316288</v>
      </c>
      <c r="AM66" s="2906" t="s">
        <v>1452</v>
      </c>
      <c r="AN66" s="3181">
        <f>PBM!DE15</f>
        <v>0.1952978293080081</v>
      </c>
      <c r="AO66" s="2906" t="s">
        <v>1479</v>
      </c>
      <c r="AP66" s="3181">
        <f>PBM!DE15</f>
        <v>0.1952978293080081</v>
      </c>
      <c r="AQ66" s="2906" t="s">
        <v>1502</v>
      </c>
      <c r="AR66" s="3181">
        <f>PBM!DE15</f>
        <v>0.1952978293080081</v>
      </c>
      <c r="AS66" s="2906" t="s">
        <v>1502</v>
      </c>
      <c r="AT66" s="3181">
        <f>PBM!DE15</f>
        <v>0.1952978293080081</v>
      </c>
      <c r="AU66" s="2906" t="s">
        <v>1550</v>
      </c>
      <c r="AV66" s="3181">
        <f>PBM!DJ15</f>
        <v>8.8633850225319222E-2</v>
      </c>
      <c r="AW66" s="2906" t="s">
        <v>1569</v>
      </c>
      <c r="AX66" s="3181">
        <f>PBM!DJ15</f>
        <v>8.8633850225319222E-2</v>
      </c>
      <c r="AY66" s="2906" t="s">
        <v>1604</v>
      </c>
      <c r="AZ66" s="2906" t="s">
        <v>1630</v>
      </c>
      <c r="BA66" s="2780"/>
      <c r="BB66" s="3181">
        <f>PBM!DJ15</f>
        <v>8.8633850225319222E-2</v>
      </c>
      <c r="BC66" s="2906" t="s">
        <v>1643</v>
      </c>
      <c r="BD66" s="2780"/>
      <c r="BE66" s="2780"/>
      <c r="BF66" s="2907">
        <v>1.4999999999999999E-2</v>
      </c>
      <c r="BG66" s="2908">
        <v>3.5000000000000003E-2</v>
      </c>
      <c r="BH66" s="2633">
        <f>AVERAGE(BF66:BG66)</f>
        <v>2.5000000000000001E-2</v>
      </c>
      <c r="BI66" s="3181">
        <f ca="1">PBM!DO15</f>
        <v>5.3776710931553451E-2</v>
      </c>
    </row>
    <row r="67" spans="2:63" x14ac:dyDescent="0.2">
      <c r="B67" s="3016" t="s">
        <v>667</v>
      </c>
      <c r="C67" s="3017" t="s">
        <v>668</v>
      </c>
      <c r="D67" s="3017" t="s">
        <v>668</v>
      </c>
      <c r="E67" s="3017" t="s">
        <v>669</v>
      </c>
      <c r="F67" s="3017" t="s">
        <v>670</v>
      </c>
      <c r="G67" s="3017" t="s">
        <v>671</v>
      </c>
      <c r="H67" s="3017"/>
      <c r="I67" s="2536" t="s">
        <v>1071</v>
      </c>
      <c r="J67" s="3182">
        <f>PBM!$CK$98/1000</f>
        <v>1.0330929999999998</v>
      </c>
      <c r="K67" s="3017"/>
      <c r="L67" s="2940"/>
      <c r="M67" s="3038"/>
      <c r="N67" s="3038"/>
      <c r="O67" s="3039"/>
      <c r="P67" s="2536" t="s">
        <v>1071</v>
      </c>
      <c r="Q67" s="2536" t="s">
        <v>17</v>
      </c>
      <c r="R67" s="2536" t="s">
        <v>17</v>
      </c>
      <c r="S67" s="2536" t="s">
        <v>1109</v>
      </c>
      <c r="T67" s="3183">
        <f>PBM!$CP$98/1000</f>
        <v>1.0574000000000001</v>
      </c>
      <c r="U67" s="3017"/>
      <c r="V67" s="3017"/>
      <c r="W67" s="3183"/>
      <c r="X67" s="3017"/>
      <c r="Y67" s="3183" t="s">
        <v>98</v>
      </c>
      <c r="Z67" s="3183" t="s">
        <v>98</v>
      </c>
      <c r="AA67" s="3183" t="s">
        <v>98</v>
      </c>
      <c r="AB67" s="3017">
        <f>PBM!CU98</f>
        <v>1081.3999999999999</v>
      </c>
      <c r="AC67" s="3017"/>
      <c r="AD67" s="3183" t="s">
        <v>1288</v>
      </c>
      <c r="AE67" s="3017">
        <f>PBM!CU98</f>
        <v>1081.3999999999999</v>
      </c>
      <c r="AF67" s="3183"/>
      <c r="AG67" s="3183" t="s">
        <v>1297</v>
      </c>
      <c r="AH67" s="3183" t="s">
        <v>1297</v>
      </c>
      <c r="AI67" s="3183" t="s">
        <v>1386</v>
      </c>
      <c r="AJ67" s="3183" t="s">
        <v>1386</v>
      </c>
      <c r="AK67" s="3039">
        <f>PBM!CZ98</f>
        <v>1325.8</v>
      </c>
      <c r="AM67" s="3184" t="s">
        <v>1453</v>
      </c>
      <c r="AN67" s="3039">
        <f>PBM!DE98</f>
        <v>1639.1999999999998</v>
      </c>
      <c r="AO67" s="3184" t="s">
        <v>1480</v>
      </c>
      <c r="AP67" s="3039">
        <f>PBM!DE98</f>
        <v>1639.1999999999998</v>
      </c>
      <c r="AQ67" s="3184" t="s">
        <v>1480</v>
      </c>
      <c r="AR67" s="3039">
        <f>PBM!DE98</f>
        <v>1639.1999999999998</v>
      </c>
      <c r="AS67" s="3184" t="s">
        <v>1480</v>
      </c>
      <c r="AT67" s="3039">
        <f>PBM!DE98</f>
        <v>1639.1999999999998</v>
      </c>
      <c r="AU67" s="3184" t="s">
        <v>1554</v>
      </c>
      <c r="AV67" s="3185">
        <f>PBM!DJ98</f>
        <v>1781.8593974044552</v>
      </c>
      <c r="AW67" s="3184" t="s">
        <v>1576</v>
      </c>
      <c r="AX67" s="3185">
        <f>PBM!DJ98</f>
        <v>1781.8593974044552</v>
      </c>
      <c r="AY67" s="3184" t="s">
        <v>1605</v>
      </c>
      <c r="AZ67" s="3184" t="s">
        <v>1631</v>
      </c>
      <c r="BA67" s="3186"/>
      <c r="BB67" s="3185">
        <f>PBM!DJ98</f>
        <v>1781.8593974044552</v>
      </c>
      <c r="BC67" s="3184" t="s">
        <v>1644</v>
      </c>
      <c r="BD67" s="3186"/>
      <c r="BE67" s="3186"/>
      <c r="BF67" s="2936">
        <v>1910</v>
      </c>
      <c r="BG67" s="2937">
        <v>1930</v>
      </c>
      <c r="BH67" s="2894">
        <f>AVERAGE(BF67:BG67)</f>
        <v>1920</v>
      </c>
      <c r="BI67" s="3185">
        <f>PBM!DO98</f>
        <v>1932.408207182767</v>
      </c>
      <c r="BK67" s="3015"/>
    </row>
    <row r="68" spans="2:63" hidden="1" x14ac:dyDescent="0.2">
      <c r="B68" s="3016" t="s">
        <v>672</v>
      </c>
      <c r="C68" s="3017"/>
      <c r="D68" s="3017"/>
      <c r="E68" s="3017"/>
      <c r="F68" s="3017"/>
      <c r="G68" s="3017"/>
      <c r="H68" s="3017"/>
      <c r="I68" s="3017"/>
      <c r="J68" s="3048">
        <f>PBM!$CK$99</f>
        <v>0.1406393188136652</v>
      </c>
      <c r="K68" s="3017"/>
      <c r="L68" s="2940"/>
      <c r="M68" s="3038"/>
      <c r="N68" s="3038"/>
      <c r="O68" s="3039"/>
      <c r="P68" s="3017"/>
      <c r="Q68" s="3017"/>
      <c r="R68" s="3017"/>
      <c r="S68" s="3017"/>
      <c r="T68" s="3048">
        <f>PBM!$CP$99</f>
        <v>2.3528375470553309E-2</v>
      </c>
      <c r="U68" s="3017"/>
      <c r="V68" s="3017"/>
      <c r="W68" s="3048"/>
      <c r="X68" s="3017"/>
      <c r="Y68" s="3048"/>
      <c r="Z68" s="3048"/>
      <c r="AA68" s="3048"/>
      <c r="AB68" s="3017"/>
      <c r="AC68" s="3017"/>
      <c r="AD68" s="3048"/>
      <c r="AE68" s="3017"/>
      <c r="AF68" s="3048"/>
      <c r="AG68" s="3048"/>
      <c r="AH68" s="3048"/>
      <c r="AI68" s="3048"/>
      <c r="AJ68" s="3048"/>
      <c r="AK68" s="3039"/>
      <c r="AM68" s="3187"/>
      <c r="AN68" s="3039"/>
      <c r="AO68" s="3187"/>
      <c r="AP68" s="3039"/>
      <c r="AQ68" s="3187"/>
      <c r="AR68" s="3039"/>
      <c r="AS68" s="3187"/>
      <c r="AT68" s="3039"/>
      <c r="AU68" s="2963"/>
      <c r="AV68" s="3039"/>
      <c r="AW68" s="2963"/>
      <c r="AX68" s="3039"/>
      <c r="AY68" s="2963"/>
      <c r="AZ68" s="3013"/>
      <c r="BA68" s="3013"/>
      <c r="BB68" s="3039"/>
      <c r="BC68" s="3013"/>
      <c r="BD68" s="3013"/>
      <c r="BE68" s="3013"/>
      <c r="BF68" s="2918"/>
      <c r="BG68" s="2503"/>
      <c r="BH68" s="2633"/>
      <c r="BI68" s="3039"/>
    </row>
    <row r="69" spans="2:63" x14ac:dyDescent="0.2">
      <c r="B69" s="3016"/>
      <c r="C69" s="3017"/>
      <c r="D69" s="3017"/>
      <c r="E69" s="3017"/>
      <c r="F69" s="3017"/>
      <c r="G69" s="3017"/>
      <c r="H69" s="3017"/>
      <c r="I69" s="3017"/>
      <c r="J69" s="3017"/>
      <c r="K69" s="3017"/>
      <c r="L69" s="2940"/>
      <c r="M69" s="3038"/>
      <c r="N69" s="3038"/>
      <c r="O69" s="3039"/>
      <c r="P69" s="3017"/>
      <c r="Q69" s="3017"/>
      <c r="R69" s="3017"/>
      <c r="S69" s="3017"/>
      <c r="T69" s="2541"/>
      <c r="U69" s="3017"/>
      <c r="V69" s="3017"/>
      <c r="W69" s="2541"/>
      <c r="X69" s="3017"/>
      <c r="Y69" s="2541"/>
      <c r="Z69" s="2541"/>
      <c r="AA69" s="2541"/>
      <c r="AB69" s="3017"/>
      <c r="AC69" s="3017"/>
      <c r="AD69" s="2541"/>
      <c r="AE69" s="3017"/>
      <c r="AF69" s="2541"/>
      <c r="AG69" s="2541"/>
      <c r="AH69" s="2541"/>
      <c r="AI69" s="2541"/>
      <c r="AJ69" s="2541"/>
      <c r="AK69" s="3039"/>
      <c r="AM69" s="3074"/>
      <c r="AN69" s="3039"/>
      <c r="AO69" s="3074"/>
      <c r="AP69" s="3039"/>
      <c r="AQ69" s="3074"/>
      <c r="AR69" s="3039"/>
      <c r="AS69" s="3074"/>
      <c r="AT69" s="3039"/>
      <c r="AU69" s="3073"/>
      <c r="AV69" s="3039"/>
      <c r="AW69" s="3073"/>
      <c r="AX69" s="3039"/>
      <c r="AY69" s="3073"/>
      <c r="AZ69" s="3188"/>
      <c r="BA69" s="3188"/>
      <c r="BB69" s="3039"/>
      <c r="BC69" s="3188"/>
      <c r="BD69" s="3188"/>
      <c r="BE69" s="3188"/>
      <c r="BF69" s="2918"/>
      <c r="BG69" s="2503"/>
      <c r="BH69" s="2633"/>
      <c r="BI69" s="3039"/>
    </row>
    <row r="70" spans="2:63" x14ac:dyDescent="0.2">
      <c r="B70" s="3016" t="s">
        <v>608</v>
      </c>
      <c r="C70" s="3017" t="s">
        <v>673</v>
      </c>
      <c r="D70" s="3017" t="s">
        <v>673</v>
      </c>
      <c r="E70" s="3017" t="s">
        <v>673</v>
      </c>
      <c r="F70" s="3017" t="s">
        <v>673</v>
      </c>
      <c r="G70" s="3017" t="s">
        <v>681</v>
      </c>
      <c r="H70" s="3017"/>
      <c r="I70" s="3017" t="s">
        <v>1072</v>
      </c>
      <c r="J70" s="3189">
        <f>PBM!$CK$20-PBM!$CF$20</f>
        <v>-3.7821647771980257E-3</v>
      </c>
      <c r="K70" s="3189"/>
      <c r="L70" s="2940"/>
      <c r="M70" s="3190"/>
      <c r="N70" s="3190"/>
      <c r="O70" s="3191"/>
      <c r="P70" s="3189" t="s">
        <v>246</v>
      </c>
      <c r="Q70" s="3017" t="s">
        <v>246</v>
      </c>
      <c r="R70" s="3017" t="s">
        <v>246</v>
      </c>
      <c r="S70" s="3017" t="s">
        <v>246</v>
      </c>
      <c r="T70" s="3049">
        <f>PBM!$CP$20-PBM!$CK$20</f>
        <v>3.7537666118792057E-3</v>
      </c>
      <c r="U70" s="3189"/>
      <c r="V70" s="3189"/>
      <c r="W70" s="3049"/>
      <c r="X70" s="3189"/>
      <c r="Y70" s="3049" t="s">
        <v>246</v>
      </c>
      <c r="Z70" s="3049" t="s">
        <v>246</v>
      </c>
      <c r="AA70" s="3049" t="s">
        <v>1088</v>
      </c>
      <c r="AB70" s="3189">
        <f>PBM!CU20-PBM!CP20</f>
        <v>-1.659825391378135E-3</v>
      </c>
      <c r="AC70" s="3189"/>
      <c r="AD70" s="3049" t="s">
        <v>6</v>
      </c>
      <c r="AE70" s="3189">
        <f>PBM!CU20-PBM!CS20</f>
        <v>-8.3096270258098959E-3</v>
      </c>
      <c r="AF70" s="3049"/>
      <c r="AG70" s="3049" t="s">
        <v>6</v>
      </c>
      <c r="AH70" s="3049" t="s">
        <v>6</v>
      </c>
      <c r="AI70" s="3049" t="s">
        <v>6</v>
      </c>
      <c r="AJ70" s="3049" t="s">
        <v>6</v>
      </c>
      <c r="AK70" s="3191">
        <f>PBM!CZ20-PBM!CU20</f>
        <v>-1.8627433697099641E-3</v>
      </c>
      <c r="AM70" s="2530" t="s">
        <v>1454</v>
      </c>
      <c r="AN70" s="2963">
        <f>PBM!DE20-PBM!CZ20</f>
        <v>-2.8918079000663025E-3</v>
      </c>
      <c r="AO70" s="2530" t="s">
        <v>1454</v>
      </c>
      <c r="AP70" s="2963">
        <f>PBM!DE20-PBM!CZ20</f>
        <v>-2.8918079000663025E-3</v>
      </c>
      <c r="AQ70" s="2530" t="s">
        <v>1454</v>
      </c>
      <c r="AR70" s="2963">
        <f>PBM!DE20-PBM!CZ20</f>
        <v>-2.8918079000663025E-3</v>
      </c>
      <c r="AS70" s="2530" t="s">
        <v>1454</v>
      </c>
      <c r="AT70" s="2963">
        <f>PBM!DE20-PBM!DB20</f>
        <v>2.8511117430994812E-3</v>
      </c>
      <c r="AU70" s="2530" t="s">
        <v>6</v>
      </c>
      <c r="AV70" s="2963">
        <f>PBM!DJ20-PBM!DE20</f>
        <v>-2.9411228475853257E-3</v>
      </c>
      <c r="AW70" s="2530" t="s">
        <v>6</v>
      </c>
      <c r="AX70" s="2963">
        <f>PBM!DJ20-PBM!DE20</f>
        <v>-2.9411228475853257E-3</v>
      </c>
      <c r="AY70" s="2530" t="s">
        <v>6</v>
      </c>
      <c r="AZ70" s="2530" t="s">
        <v>6</v>
      </c>
      <c r="BA70" s="2620"/>
      <c r="BB70" s="2963">
        <f>PBM!DJ20-PBM!DE20</f>
        <v>-2.9411228475853257E-3</v>
      </c>
      <c r="BC70" s="2530"/>
      <c r="BD70" s="2620"/>
      <c r="BE70" s="2620"/>
      <c r="BF70" s="2918"/>
      <c r="BG70" s="2503"/>
      <c r="BH70" s="2633"/>
      <c r="BI70" s="2963">
        <f ca="1">PBM!DO20-PBM!DJ20</f>
        <v>-1.2650229434359866E-4</v>
      </c>
    </row>
    <row r="71" spans="2:63" x14ac:dyDescent="0.2">
      <c r="B71" s="3016" t="s">
        <v>611</v>
      </c>
      <c r="C71" s="3017" t="s">
        <v>682</v>
      </c>
      <c r="D71" s="3017" t="s">
        <v>682</v>
      </c>
      <c r="E71" s="3017" t="s">
        <v>682</v>
      </c>
      <c r="F71" s="3017" t="s">
        <v>682</v>
      </c>
      <c r="G71" s="3017" t="s">
        <v>683</v>
      </c>
      <c r="H71" s="3017"/>
      <c r="I71" s="3017" t="s">
        <v>1072</v>
      </c>
      <c r="J71" s="3189">
        <f>PBM!$CK$25-PBM!$CF$25</f>
        <v>-2.6021916561485767E-3</v>
      </c>
      <c r="K71" s="3189"/>
      <c r="L71" s="2940"/>
      <c r="M71" s="3190"/>
      <c r="N71" s="3190"/>
      <c r="O71" s="3191"/>
      <c r="P71" s="3017" t="s">
        <v>1072</v>
      </c>
      <c r="Q71" s="3017" t="s">
        <v>1088</v>
      </c>
      <c r="R71" s="3017" t="s">
        <v>1088</v>
      </c>
      <c r="S71" s="3017" t="s">
        <v>1088</v>
      </c>
      <c r="T71" s="3049">
        <f ca="1">PBM!CP25-PBM!CK25</f>
        <v>-1.2439586454232772E-4</v>
      </c>
      <c r="U71" s="3189"/>
      <c r="V71" s="3189"/>
      <c r="W71" s="3049"/>
      <c r="X71" s="3189"/>
      <c r="Y71" s="3049" t="s">
        <v>1088</v>
      </c>
      <c r="Z71" s="3049" t="s">
        <v>1088</v>
      </c>
      <c r="AA71" s="3049" t="s">
        <v>1088</v>
      </c>
      <c r="AB71" s="3189">
        <f ca="1">PBM!CU25-PBM!CP25</f>
        <v>-1.0327323710303468E-3</v>
      </c>
      <c r="AC71" s="3189"/>
      <c r="AD71" s="3049" t="s">
        <v>1072</v>
      </c>
      <c r="AE71" s="3189">
        <f>PBM!CU25-PBM!CS25</f>
        <v>1.6867714702107489E-4</v>
      </c>
      <c r="AF71" s="3049"/>
      <c r="AG71" s="3049" t="s">
        <v>1072</v>
      </c>
      <c r="AH71" s="3049" t="s">
        <v>1072</v>
      </c>
      <c r="AI71" s="3049" t="s">
        <v>1072</v>
      </c>
      <c r="AJ71" s="3049" t="s">
        <v>1072</v>
      </c>
      <c r="AK71" s="3191">
        <f>PBM!CZ25-PBM!CU25</f>
        <v>-1.8768348869433911E-3</v>
      </c>
      <c r="AM71" s="2530" t="s">
        <v>1072</v>
      </c>
      <c r="AN71" s="2963">
        <f>PBM!DE25-PBM!CX25</f>
        <v>-9.9860321578138997E-4</v>
      </c>
      <c r="AO71" s="2530" t="s">
        <v>1072</v>
      </c>
      <c r="AP71" s="2963">
        <f>PBM!DE25-PBM!CZ25</f>
        <v>-1.3525713462243811E-3</v>
      </c>
      <c r="AQ71" s="2530" t="s">
        <v>1072</v>
      </c>
      <c r="AR71" s="2963">
        <f>PBM!DE25-PBM!CZ25</f>
        <v>-1.3525713462243811E-3</v>
      </c>
      <c r="AS71" s="2530" t="s">
        <v>1072</v>
      </c>
      <c r="AT71" s="2963">
        <f>PBM!DE25-PBM!DB25</f>
        <v>-1.4826855575456738E-4</v>
      </c>
      <c r="AU71" s="2530" t="s">
        <v>1072</v>
      </c>
      <c r="AV71" s="2963">
        <f>PBM!DJ25-PBM!DE25</f>
        <v>-1.1399829610777741E-3</v>
      </c>
      <c r="AW71" s="2530" t="s">
        <v>1072</v>
      </c>
      <c r="AX71" s="2963">
        <f>PBM!DJ25-PBM!DE25</f>
        <v>-1.1399829610777741E-3</v>
      </c>
      <c r="AY71" s="2530" t="s">
        <v>1072</v>
      </c>
      <c r="AZ71" s="2530" t="s">
        <v>1072</v>
      </c>
      <c r="BA71" s="2620"/>
      <c r="BB71" s="2963">
        <f>PBM!DJ25-PBM!DE25</f>
        <v>-1.1399829610777741E-3</v>
      </c>
      <c r="BC71" s="2530"/>
      <c r="BD71" s="2620"/>
      <c r="BE71" s="2620"/>
      <c r="BF71" s="2918"/>
      <c r="BG71" s="2503"/>
      <c r="BH71" s="2633"/>
      <c r="BI71" s="2963">
        <f ca="1">PBM!DO25-PBM!DJ25</f>
        <v>3.7967809770284716E-4</v>
      </c>
    </row>
    <row r="72" spans="2:63" x14ac:dyDescent="0.2">
      <c r="B72" s="3016"/>
      <c r="C72" s="3017"/>
      <c r="D72" s="3017"/>
      <c r="E72" s="3017"/>
      <c r="F72" s="3017"/>
      <c r="G72" s="3017"/>
      <c r="H72" s="3017"/>
      <c r="I72" s="3017"/>
      <c r="J72" s="3017"/>
      <c r="K72" s="3017"/>
      <c r="L72" s="2940"/>
      <c r="M72" s="3038"/>
      <c r="N72" s="3038"/>
      <c r="O72" s="3039"/>
      <c r="P72" s="3017"/>
      <c r="Q72" s="3017"/>
      <c r="R72" s="3017"/>
      <c r="S72" s="3017"/>
      <c r="T72" s="2541"/>
      <c r="U72" s="3017"/>
      <c r="V72" s="3017"/>
      <c r="W72" s="2541"/>
      <c r="X72" s="3017"/>
      <c r="Y72" s="2541"/>
      <c r="Z72" s="2541"/>
      <c r="AA72" s="2541"/>
      <c r="AB72" s="3017"/>
      <c r="AC72" s="3017"/>
      <c r="AD72" s="2541"/>
      <c r="AE72" s="3017"/>
      <c r="AF72" s="2541"/>
      <c r="AG72" s="2541"/>
      <c r="AH72" s="2541"/>
      <c r="AI72" s="2541"/>
      <c r="AJ72" s="2541"/>
      <c r="AK72" s="3039"/>
      <c r="AM72" s="3073"/>
      <c r="AN72" s="3039"/>
      <c r="AO72" s="3073"/>
      <c r="AP72" s="3039"/>
      <c r="AQ72" s="3073"/>
      <c r="AR72" s="3039"/>
      <c r="AS72" s="3073"/>
      <c r="AT72" s="3039"/>
      <c r="AU72" s="3073"/>
      <c r="AV72" s="3039"/>
      <c r="AW72" s="3073"/>
      <c r="AX72" s="3039"/>
      <c r="AY72" s="3073"/>
      <c r="AZ72" s="3188"/>
      <c r="BA72" s="3188"/>
      <c r="BB72" s="3039"/>
      <c r="BC72" s="3188"/>
      <c r="BD72" s="3188"/>
      <c r="BE72" s="3188"/>
      <c r="BF72" s="2934"/>
      <c r="BG72" s="2935"/>
      <c r="BH72" s="2929"/>
      <c r="BI72" s="3039"/>
    </row>
    <row r="73" spans="2:63" x14ac:dyDescent="0.2">
      <c r="B73" s="2537" t="s">
        <v>684</v>
      </c>
      <c r="C73" s="2538" t="s">
        <v>685</v>
      </c>
      <c r="D73" s="2538" t="s">
        <v>685</v>
      </c>
      <c r="E73" s="2538" t="s">
        <v>685</v>
      </c>
      <c r="F73" s="2538" t="s">
        <v>686</v>
      </c>
      <c r="G73" s="3192" t="s">
        <v>687</v>
      </c>
      <c r="H73" s="3192"/>
      <c r="I73" s="2538" t="s">
        <v>1118</v>
      </c>
      <c r="J73" s="3193">
        <f>PBM!$CK$36</f>
        <v>0.20023293316609925</v>
      </c>
      <c r="K73" s="1700"/>
      <c r="L73" s="2940"/>
      <c r="M73" s="2539"/>
      <c r="N73" s="2539"/>
      <c r="O73" s="2540"/>
      <c r="P73" s="2538" t="s">
        <v>1118</v>
      </c>
      <c r="Q73" s="2538" t="s">
        <v>18</v>
      </c>
      <c r="R73" s="2538" t="s">
        <v>666</v>
      </c>
      <c r="S73" s="2538" t="s">
        <v>1110</v>
      </c>
      <c r="T73" s="1700">
        <f ca="1">PBM!$CP$36</f>
        <v>0.14794356945584819</v>
      </c>
      <c r="U73" s="1700"/>
      <c r="V73" s="1700" t="s">
        <v>688</v>
      </c>
      <c r="W73" s="1698"/>
      <c r="X73" s="1700"/>
      <c r="Y73" s="1700" t="s">
        <v>99</v>
      </c>
      <c r="Z73" s="1700" t="s">
        <v>99</v>
      </c>
      <c r="AA73" s="1700" t="s">
        <v>99</v>
      </c>
      <c r="AB73" s="1700">
        <f ca="1">PBM!CU36</f>
        <v>0.14246700045516625</v>
      </c>
      <c r="AC73" s="1700" t="s">
        <v>688</v>
      </c>
      <c r="AD73" s="1700" t="s">
        <v>1315</v>
      </c>
      <c r="AE73" s="1700">
        <f ca="1">PBM!CU36</f>
        <v>0.14246700045516625</v>
      </c>
      <c r="AF73" s="1698"/>
      <c r="AG73" s="1700" t="s">
        <v>99</v>
      </c>
      <c r="AH73" s="1700" t="s">
        <v>1341</v>
      </c>
      <c r="AI73" s="1700" t="s">
        <v>1387</v>
      </c>
      <c r="AJ73" s="1700" t="s">
        <v>1280</v>
      </c>
      <c r="AK73" s="3194">
        <f>PBM!CZ36</f>
        <v>0.13521637459021152</v>
      </c>
      <c r="AM73" s="2565" t="s">
        <v>1455</v>
      </c>
      <c r="AN73" s="3194">
        <f>PBM!DE36</f>
        <v>0.14900934008012401</v>
      </c>
      <c r="AO73" s="2565" t="s">
        <v>1481</v>
      </c>
      <c r="AP73" s="3194">
        <f>PBM!DE36</f>
        <v>0.14900934008012401</v>
      </c>
      <c r="AQ73" s="2565" t="s">
        <v>1503</v>
      </c>
      <c r="AR73" s="3194">
        <f>PBM!DE36</f>
        <v>0.14900934008012401</v>
      </c>
      <c r="AS73" s="2565" t="s">
        <v>1503</v>
      </c>
      <c r="AT73" s="3194">
        <f>PBM!DE36</f>
        <v>0.14900934008012401</v>
      </c>
      <c r="AU73" s="2565" t="s">
        <v>1555</v>
      </c>
      <c r="AV73" s="3194">
        <f>PBM!DJ36</f>
        <v>3.73154207385471E-2</v>
      </c>
      <c r="AW73" s="2565" t="s">
        <v>1570</v>
      </c>
      <c r="AX73" s="3194">
        <f>PBM!DJ36</f>
        <v>3.73154207385471E-2</v>
      </c>
      <c r="AY73" s="2565" t="s">
        <v>1606</v>
      </c>
      <c r="AZ73" s="2565" t="s">
        <v>1632</v>
      </c>
      <c r="BA73" s="2565" t="s">
        <v>1650</v>
      </c>
      <c r="BB73" s="3194">
        <f>PBM!DJ36</f>
        <v>3.73154207385471E-2</v>
      </c>
      <c r="BC73" s="2565" t="s">
        <v>1645</v>
      </c>
      <c r="BD73" s="2565"/>
      <c r="BE73" s="2565"/>
      <c r="BF73" s="2938" t="s">
        <v>1665</v>
      </c>
      <c r="BG73" s="3195"/>
      <c r="BH73" s="3196"/>
      <c r="BI73" s="3194">
        <f ca="1">PBM!DO36</f>
        <v>3.9125652747496131E-2</v>
      </c>
    </row>
    <row r="74" spans="2:63" hidden="1" x14ac:dyDescent="0.2">
      <c r="B74" s="3016" t="s">
        <v>689</v>
      </c>
      <c r="C74" s="2541"/>
      <c r="D74" s="2541"/>
      <c r="E74" s="2541"/>
      <c r="F74" s="2541"/>
      <c r="G74" s="3197">
        <f>1.195*PBM!CF34/1000</f>
        <v>2.6677180000000003</v>
      </c>
      <c r="H74" s="3197"/>
      <c r="I74" s="3197">
        <f>1.12*PBM!CK34/1000</f>
        <v>3.0009280000000005</v>
      </c>
      <c r="J74" s="3198">
        <f>PBM!CK34/1000</f>
        <v>2.6794000000000002</v>
      </c>
      <c r="K74" s="2542"/>
      <c r="L74" s="2940"/>
      <c r="M74" s="2539"/>
      <c r="N74" s="2539"/>
      <c r="O74" s="2543"/>
      <c r="P74" s="2542"/>
      <c r="Q74" s="3197"/>
      <c r="R74" s="3197"/>
      <c r="S74" s="3197"/>
      <c r="T74" s="1699">
        <f ca="1">PBM!CP34/1000</f>
        <v>3.0757999999999996</v>
      </c>
      <c r="U74" s="2542"/>
      <c r="V74" s="2542"/>
      <c r="W74" s="1699"/>
      <c r="X74" s="2542"/>
      <c r="Y74" s="1699"/>
      <c r="Z74" s="1699"/>
      <c r="AA74" s="1699"/>
      <c r="AB74" s="2542"/>
      <c r="AC74" s="2542"/>
      <c r="AD74" s="1699"/>
      <c r="AE74" s="2542"/>
      <c r="AF74" s="1699"/>
      <c r="AG74" s="1699"/>
      <c r="AH74" s="1699"/>
      <c r="AI74" s="1699"/>
      <c r="AJ74" s="1699"/>
      <c r="AK74" s="2543"/>
      <c r="AM74" s="2563"/>
      <c r="AN74" s="2543"/>
      <c r="AO74" s="2563"/>
      <c r="AP74" s="2543"/>
      <c r="AQ74" s="2563"/>
      <c r="AR74" s="2543"/>
      <c r="AS74" s="2563"/>
      <c r="AT74" s="2543"/>
      <c r="AU74" s="2563"/>
      <c r="AV74" s="2543"/>
      <c r="AW74" s="2563"/>
      <c r="AX74" s="2543"/>
      <c r="AY74" s="2563"/>
      <c r="AZ74" s="2769"/>
      <c r="BA74" s="2769"/>
      <c r="BB74" s="2543"/>
      <c r="BC74" s="2779"/>
      <c r="BD74" s="2779"/>
      <c r="BE74" s="2779"/>
      <c r="BF74" s="2932"/>
      <c r="BG74" s="2539"/>
      <c r="BH74" s="2933"/>
      <c r="BI74" s="2543"/>
    </row>
    <row r="75" spans="2:63" ht="13.5" thickBot="1" x14ac:dyDescent="0.25">
      <c r="B75" s="2976" t="s">
        <v>528</v>
      </c>
      <c r="C75" s="2979" t="s">
        <v>690</v>
      </c>
      <c r="D75" s="2979" t="s">
        <v>690</v>
      </c>
      <c r="E75" s="2979" t="s">
        <v>691</v>
      </c>
      <c r="F75" s="2979" t="s">
        <v>692</v>
      </c>
      <c r="G75" s="2979" t="s">
        <v>693</v>
      </c>
      <c r="H75" s="2979"/>
      <c r="I75" s="2979" t="s">
        <v>1075</v>
      </c>
      <c r="J75" s="3199">
        <f>PBM!$CK$37</f>
        <v>-1.1799731210494421E-3</v>
      </c>
      <c r="K75" s="3199"/>
      <c r="L75" s="2940"/>
      <c r="M75" s="3190"/>
      <c r="N75" s="3190"/>
      <c r="O75" s="3200"/>
      <c r="P75" s="2979" t="s">
        <v>1075</v>
      </c>
      <c r="Q75" s="2979" t="s">
        <v>19</v>
      </c>
      <c r="R75" s="2979" t="s">
        <v>1212</v>
      </c>
      <c r="S75" s="2979" t="s">
        <v>19</v>
      </c>
      <c r="T75" s="3201">
        <f ca="1">PBM!$CP$37</f>
        <v>3.8781624764215247E-3</v>
      </c>
      <c r="U75" s="3199"/>
      <c r="V75" s="3199"/>
      <c r="W75" s="3201"/>
      <c r="X75" s="3199"/>
      <c r="Y75" s="3201" t="s">
        <v>100</v>
      </c>
      <c r="Z75" s="3201" t="s">
        <v>100</v>
      </c>
      <c r="AA75" s="3201" t="s">
        <v>44</v>
      </c>
      <c r="AB75" s="3199">
        <f ca="1">PBM!CU35-PBM!CP35</f>
        <v>-6.2709302034778119E-4</v>
      </c>
      <c r="AC75" s="3199"/>
      <c r="AD75" s="3201" t="s">
        <v>1088</v>
      </c>
      <c r="AE75" s="3199">
        <f>PBM!CU35-PBM!CS35</f>
        <v>-8.4783041728309708E-3</v>
      </c>
      <c r="AF75" s="3201"/>
      <c r="AG75" s="3201" t="s">
        <v>1321</v>
      </c>
      <c r="AH75" s="3201" t="s">
        <v>1321</v>
      </c>
      <c r="AI75" s="3201" t="s">
        <v>1088</v>
      </c>
      <c r="AJ75" s="3201" t="s">
        <v>1088</v>
      </c>
      <c r="AK75" s="3202">
        <f>PBM!CZ35-PBM!CU35</f>
        <v>1.4091517233423556E-5</v>
      </c>
      <c r="AM75" s="3203" t="s">
        <v>690</v>
      </c>
      <c r="AN75" s="3202">
        <f>PBM!DE35-PBM!CZ35</f>
        <v>-1.5392365538419231E-3</v>
      </c>
      <c r="AO75" s="3203" t="s">
        <v>691</v>
      </c>
      <c r="AP75" s="3202">
        <f>PBM!DE35-PBM!CZ35</f>
        <v>-1.5392365538419231E-3</v>
      </c>
      <c r="AQ75" s="3203" t="s">
        <v>1504</v>
      </c>
      <c r="AR75" s="3202">
        <f>PBM!DE35-PBM!CZ35</f>
        <v>-1.5392365538419231E-3</v>
      </c>
      <c r="AS75" s="3203" t="s">
        <v>1504</v>
      </c>
      <c r="AT75" s="3202">
        <f>PBM!DE35-PBM!DB35</f>
        <v>2.9993802988540555E-3</v>
      </c>
      <c r="AU75" s="3203" t="s">
        <v>1215</v>
      </c>
      <c r="AV75" s="3202">
        <f>PBM!DJ35-PBM!DE35</f>
        <v>-1.8011398865075481E-3</v>
      </c>
      <c r="AW75" s="3203" t="s">
        <v>1215</v>
      </c>
      <c r="AX75" s="3202">
        <f>PBM!DJ35-PBM!DE35</f>
        <v>-1.8011398865075481E-3</v>
      </c>
      <c r="AY75" s="3203" t="s">
        <v>1215</v>
      </c>
      <c r="AZ75" s="3203" t="s">
        <v>1215</v>
      </c>
      <c r="BA75" s="3203"/>
      <c r="BB75" s="3202">
        <f>PBM!DJ35-PBM!DE35</f>
        <v>-1.8011398865075481E-3</v>
      </c>
      <c r="BC75" s="3204"/>
      <c r="BD75" s="3204"/>
      <c r="BE75" s="3204"/>
      <c r="BF75" s="3205"/>
      <c r="BG75" s="3206"/>
      <c r="BH75" s="3207"/>
      <c r="BI75" s="3202">
        <f ca="1">PBM!DO35-PBM!DJ35</f>
        <v>-5.0618039204644583E-4</v>
      </c>
    </row>
    <row r="76" spans="2:63" ht="13.5" thickBot="1" x14ac:dyDescent="0.25">
      <c r="B76" s="3208"/>
      <c r="C76" s="3209"/>
      <c r="D76" s="3209"/>
      <c r="E76" s="3209"/>
      <c r="F76" s="3209"/>
      <c r="G76" s="3209"/>
      <c r="H76" s="2973"/>
      <c r="I76" s="3209"/>
      <c r="J76" s="3210"/>
      <c r="K76" s="3210"/>
      <c r="M76" s="3210"/>
      <c r="N76" s="3210"/>
      <c r="O76" s="3210"/>
      <c r="P76" s="3210"/>
      <c r="Q76" s="3209"/>
      <c r="R76" s="3211"/>
      <c r="S76" s="3211"/>
      <c r="T76" s="3212"/>
      <c r="U76" s="3213"/>
      <c r="V76" s="3213"/>
      <c r="W76" s="3212"/>
      <c r="X76" s="3213"/>
      <c r="Y76" s="3212"/>
      <c r="Z76" s="3212"/>
      <c r="AA76" s="3212"/>
      <c r="AB76" s="3213"/>
      <c r="AC76" s="3213"/>
      <c r="AD76" s="3212"/>
      <c r="AE76" s="3213"/>
      <c r="AF76" s="3212"/>
      <c r="AG76" s="3213"/>
      <c r="AH76" s="3213"/>
      <c r="AI76" s="3213"/>
      <c r="AJ76" s="3213"/>
      <c r="AK76" s="3213"/>
      <c r="AM76" s="3213"/>
      <c r="AN76" s="3213"/>
      <c r="AO76" s="3213"/>
      <c r="AP76" s="3213"/>
      <c r="AQ76" s="3213"/>
      <c r="AR76" s="3213"/>
      <c r="AS76" s="3213"/>
      <c r="AT76" s="3213"/>
      <c r="AU76" s="3213"/>
      <c r="AV76" s="3213"/>
      <c r="AW76" s="3213"/>
      <c r="AX76" s="3213"/>
      <c r="AY76" s="3213"/>
      <c r="AZ76" s="3213"/>
      <c r="BA76" s="3213"/>
      <c r="BB76" s="3213"/>
      <c r="BC76" s="3214"/>
      <c r="BD76" s="3214"/>
      <c r="BE76" s="3214"/>
      <c r="BF76" s="3213"/>
      <c r="BG76" s="3213"/>
      <c r="BH76" s="3213"/>
      <c r="BI76" s="3213"/>
    </row>
    <row r="77" spans="2:63" ht="13.5" thickBot="1" x14ac:dyDescent="0.25">
      <c r="B77" s="479" t="s">
        <v>533</v>
      </c>
      <c r="C77" s="480">
        <v>2012</v>
      </c>
      <c r="D77" s="480">
        <v>2012</v>
      </c>
      <c r="E77" s="480"/>
      <c r="F77" s="480"/>
      <c r="G77" s="480"/>
      <c r="H77" s="1612"/>
      <c r="I77" s="480"/>
      <c r="J77" s="482"/>
      <c r="K77" s="480"/>
      <c r="L77" s="3215"/>
      <c r="M77" s="1686"/>
      <c r="N77" s="1687"/>
      <c r="O77" s="485"/>
      <c r="P77" s="480"/>
      <c r="Q77" s="1688" t="s">
        <v>1261</v>
      </c>
      <c r="R77" s="1689" t="s">
        <v>1204</v>
      </c>
      <c r="S77" s="1708"/>
      <c r="T77" s="525"/>
      <c r="U77" s="525"/>
      <c r="V77" s="525"/>
      <c r="W77" s="525"/>
      <c r="X77" s="525"/>
      <c r="Y77" s="525"/>
      <c r="Z77" s="525"/>
      <c r="AA77" s="525"/>
      <c r="AB77" s="525"/>
      <c r="AC77" s="525"/>
      <c r="AD77" s="525"/>
      <c r="AE77" s="525"/>
      <c r="AF77" s="525"/>
      <c r="AG77" s="525"/>
      <c r="AH77" s="525"/>
      <c r="AI77" s="525"/>
      <c r="AJ77" s="525"/>
      <c r="AK77" s="525"/>
      <c r="AM77" s="525"/>
      <c r="AN77" s="525"/>
      <c r="AO77" s="525"/>
      <c r="AP77" s="525"/>
      <c r="AQ77" s="525"/>
      <c r="AR77" s="525"/>
      <c r="AS77" s="525"/>
      <c r="AT77" s="525"/>
      <c r="AU77" s="525"/>
      <c r="AV77" s="525"/>
      <c r="AW77" s="525"/>
      <c r="AX77" s="525"/>
      <c r="AY77" s="525"/>
      <c r="AZ77" s="525"/>
      <c r="BA77" s="525"/>
      <c r="BB77" s="525"/>
      <c r="BC77" s="2902" t="str">
        <f>$BC$35</f>
        <v>Guidance Release CC</v>
      </c>
      <c r="BD77" s="3174"/>
      <c r="BE77" s="3174"/>
      <c r="BF77" s="2902" t="str">
        <f>$BF$35</f>
        <v>4Q Earnings CC</v>
      </c>
      <c r="BG77" s="3174"/>
      <c r="BH77" s="3174"/>
      <c r="BI77" s="3174"/>
    </row>
    <row r="78" spans="2:63" ht="13.5" thickBot="1" x14ac:dyDescent="0.25">
      <c r="B78" s="479"/>
      <c r="C78" s="480"/>
      <c r="D78" s="480"/>
      <c r="E78" s="480"/>
      <c r="F78" s="480"/>
      <c r="G78" s="480"/>
      <c r="H78" s="1612"/>
      <c r="I78" s="480"/>
      <c r="J78" s="2848"/>
      <c r="K78" s="2849"/>
      <c r="L78" s="2945"/>
      <c r="M78" s="2853"/>
      <c r="N78" s="2854"/>
      <c r="O78" s="2850"/>
      <c r="P78" s="2849"/>
      <c r="Q78" s="1688"/>
      <c r="R78" s="1688"/>
      <c r="S78" s="2855"/>
      <c r="T78" s="2856"/>
      <c r="U78" s="2856"/>
      <c r="V78" s="2856"/>
      <c r="W78" s="2856"/>
      <c r="X78" s="2856"/>
      <c r="Y78" s="2856"/>
      <c r="Z78" s="2856"/>
      <c r="AA78" s="2856"/>
      <c r="AB78" s="2856"/>
      <c r="AC78" s="2856"/>
      <c r="AD78" s="2856"/>
      <c r="AE78" s="2856"/>
      <c r="AF78" s="2856"/>
      <c r="AG78" s="2856"/>
      <c r="AH78" s="2856"/>
      <c r="AI78" s="2856"/>
      <c r="AJ78" s="2856"/>
      <c r="AK78" s="2856"/>
      <c r="AM78" s="2856"/>
      <c r="AN78" s="2856"/>
      <c r="AO78" s="2856"/>
      <c r="AP78" s="2856"/>
      <c r="AQ78" s="2856"/>
      <c r="AR78" s="2856"/>
      <c r="AS78" s="2856"/>
      <c r="AT78" s="2856"/>
      <c r="AU78" s="2856"/>
      <c r="AV78" s="2856"/>
      <c r="AW78" s="2856"/>
      <c r="AX78" s="2856"/>
      <c r="AY78" s="2856"/>
      <c r="AZ78" s="2856"/>
      <c r="BA78" s="2856"/>
      <c r="BB78" s="2856"/>
      <c r="BC78" s="2902" t="str">
        <f>$BC$36</f>
        <v>01/04/2018</v>
      </c>
      <c r="BD78" s="3175"/>
      <c r="BE78" s="3175"/>
      <c r="BF78" s="3216">
        <f>$BF$36</f>
        <v>43133</v>
      </c>
      <c r="BG78" s="3175"/>
      <c r="BH78" s="3175"/>
      <c r="BI78" s="3175"/>
    </row>
    <row r="79" spans="2:63" ht="13.5" thickBot="1" x14ac:dyDescent="0.25">
      <c r="B79" s="479" t="s">
        <v>570</v>
      </c>
      <c r="C79" s="501"/>
      <c r="D79" s="501"/>
      <c r="E79" s="489" t="s">
        <v>589</v>
      </c>
      <c r="F79" s="489" t="s">
        <v>589</v>
      </c>
      <c r="G79" s="489" t="s">
        <v>589</v>
      </c>
      <c r="H79" s="1613"/>
      <c r="I79" s="489" t="str">
        <f>I65</f>
        <v>2013 Guidance</v>
      </c>
      <c r="J79" s="490" t="s">
        <v>590</v>
      </c>
      <c r="K79" s="491" t="s">
        <v>545</v>
      </c>
      <c r="M79" s="477"/>
      <c r="N79" s="477"/>
      <c r="O79" s="512" t="s">
        <v>591</v>
      </c>
      <c r="P79" s="491"/>
      <c r="Q79" s="489" t="s">
        <v>10</v>
      </c>
      <c r="R79" s="489" t="s">
        <v>10</v>
      </c>
      <c r="S79" s="491"/>
      <c r="T79" s="491" t="s">
        <v>592</v>
      </c>
      <c r="U79" s="491" t="s">
        <v>593</v>
      </c>
      <c r="V79" s="491" t="s">
        <v>594</v>
      </c>
      <c r="W79" s="491"/>
      <c r="X79" s="491"/>
      <c r="Y79" s="491"/>
      <c r="Z79" s="491" t="s">
        <v>95</v>
      </c>
      <c r="AA79" s="491" t="s">
        <v>95</v>
      </c>
      <c r="AB79" s="491"/>
      <c r="AC79" s="491" t="s">
        <v>594</v>
      </c>
      <c r="AD79" s="491" t="s">
        <v>95</v>
      </c>
      <c r="AE79" s="491"/>
      <c r="AF79" s="491"/>
      <c r="AG79" s="491" t="s">
        <v>1320</v>
      </c>
      <c r="AH79" s="491" t="str">
        <f>AH65</f>
        <v>CVS CY15</v>
      </c>
      <c r="AI79" s="491" t="str">
        <f>AI65</f>
        <v>CVS CY15</v>
      </c>
      <c r="AJ79" s="491" t="str">
        <f>AJ65</f>
        <v>CVS CY15</v>
      </c>
      <c r="AK79" s="491"/>
      <c r="AM79" s="491" t="str">
        <f t="shared" ref="AM79:AR79" si="6">AM65</f>
        <v>CVS CY16</v>
      </c>
      <c r="AN79" s="491" t="str">
        <f t="shared" si="6"/>
        <v>MS 2016</v>
      </c>
      <c r="AO79" s="491" t="str">
        <f t="shared" si="6"/>
        <v>CVS CY16</v>
      </c>
      <c r="AP79" s="491" t="str">
        <f t="shared" si="6"/>
        <v>MS 2016</v>
      </c>
      <c r="AQ79" s="491" t="str">
        <f t="shared" si="6"/>
        <v>CVS CY16</v>
      </c>
      <c r="AR79" s="491" t="str">
        <f t="shared" si="6"/>
        <v>MS 2016</v>
      </c>
      <c r="AS79" s="491" t="str">
        <f t="shared" ref="AS79:AX79" si="7">AS65</f>
        <v>CVS CY16</v>
      </c>
      <c r="AT79" s="491" t="str">
        <f t="shared" si="7"/>
        <v>MS 2016</v>
      </c>
      <c r="AU79" s="491" t="str">
        <f t="shared" si="7"/>
        <v>CVS CY17</v>
      </c>
      <c r="AV79" s="491" t="str">
        <f t="shared" si="7"/>
        <v>MS 2017</v>
      </c>
      <c r="AW79" s="491" t="str">
        <f t="shared" si="7"/>
        <v>CVS CY17</v>
      </c>
      <c r="AX79" s="491" t="str">
        <f t="shared" si="7"/>
        <v>MS 2017</v>
      </c>
      <c r="AY79" s="491" t="str">
        <f>AY65</f>
        <v>CVS CY17</v>
      </c>
      <c r="AZ79" s="491"/>
      <c r="BA79" s="2783"/>
      <c r="BB79" s="491" t="str">
        <f>BB65</f>
        <v>MS 2017</v>
      </c>
      <c r="BC79" s="3177" t="str">
        <f>$BC$37</f>
        <v>Low</v>
      </c>
      <c r="BD79" s="3178" t="str">
        <f>BD65</f>
        <v>High</v>
      </c>
      <c r="BE79" s="3178" t="str">
        <f>BE65</f>
        <v>Midpoint</v>
      </c>
      <c r="BF79" s="2947" t="str">
        <f>$BF$37</f>
        <v>Low</v>
      </c>
      <c r="BG79" s="2948" t="str">
        <f>BG65</f>
        <v>High</v>
      </c>
      <c r="BH79" s="2949" t="str">
        <f>BH65</f>
        <v>Midpoint</v>
      </c>
      <c r="BI79" s="491" t="str">
        <f>BI65</f>
        <v>MS 2018</v>
      </c>
    </row>
    <row r="80" spans="2:63" x14ac:dyDescent="0.2">
      <c r="B80" s="3016" t="s">
        <v>529</v>
      </c>
      <c r="C80" s="3179" t="s">
        <v>694</v>
      </c>
      <c r="D80" s="3179" t="s">
        <v>695</v>
      </c>
      <c r="E80" s="3179" t="s">
        <v>696</v>
      </c>
      <c r="F80" s="3179" t="s">
        <v>697</v>
      </c>
      <c r="G80" s="3179" t="s">
        <v>698</v>
      </c>
      <c r="H80" s="3179"/>
      <c r="I80" s="3017" t="s">
        <v>1119</v>
      </c>
      <c r="J80" s="3048">
        <f>Retail!$CK$18</f>
        <v>6.8041752588563043E-2</v>
      </c>
      <c r="K80" s="3048"/>
      <c r="L80" s="2940"/>
      <c r="M80" s="2974"/>
      <c r="N80" s="2974"/>
      <c r="O80" s="2963"/>
      <c r="P80" s="3017" t="s">
        <v>1119</v>
      </c>
      <c r="Q80" s="3017" t="s">
        <v>14</v>
      </c>
      <c r="R80" s="3017" t="s">
        <v>1213</v>
      </c>
      <c r="S80" s="3017" t="s">
        <v>1099</v>
      </c>
      <c r="T80" s="3049">
        <f>Retail!$CP$18</f>
        <v>3.1617858450150083E-2</v>
      </c>
      <c r="U80" s="3048"/>
      <c r="V80" s="3180" t="s">
        <v>699</v>
      </c>
      <c r="W80" s="3049"/>
      <c r="X80" s="3180"/>
      <c r="Y80" s="3049" t="s">
        <v>91</v>
      </c>
      <c r="Z80" s="3049" t="s">
        <v>92</v>
      </c>
      <c r="AA80" s="3049" t="s">
        <v>92</v>
      </c>
      <c r="AB80" s="3180">
        <f>Retail!CU18</f>
        <v>3.2448813321861225E-2</v>
      </c>
      <c r="AC80" s="3180" t="s">
        <v>699</v>
      </c>
      <c r="AD80" s="3049" t="s">
        <v>1284</v>
      </c>
      <c r="AE80" s="3180">
        <f>Retail!CU18</f>
        <v>3.2448813321861225E-2</v>
      </c>
      <c r="AF80" s="3049"/>
      <c r="AG80" s="3049" t="s">
        <v>1291</v>
      </c>
      <c r="AH80" s="3049" t="s">
        <v>1291</v>
      </c>
      <c r="AI80" s="3049" t="s">
        <v>1388</v>
      </c>
      <c r="AJ80" s="2529" t="s">
        <v>1422</v>
      </c>
      <c r="AK80" s="3181">
        <f>Retail!CZ18</f>
        <v>6.2096757091506527E-2</v>
      </c>
      <c r="AM80" s="2906" t="s">
        <v>1448</v>
      </c>
      <c r="AN80" s="3181">
        <f>Retail!DE18</f>
        <v>0.12628592491912038</v>
      </c>
      <c r="AO80" s="2906" t="s">
        <v>1482</v>
      </c>
      <c r="AP80" s="3181">
        <f>Retail!DE18</f>
        <v>0.12628592491912038</v>
      </c>
      <c r="AQ80" s="2906" t="s">
        <v>1505</v>
      </c>
      <c r="AR80" s="3181">
        <f>Retail!DE18</f>
        <v>0.12628592491912038</v>
      </c>
      <c r="AS80" s="2906" t="s">
        <v>1505</v>
      </c>
      <c r="AT80" s="3181">
        <f>Retail!DE18</f>
        <v>0.12628592491912038</v>
      </c>
      <c r="AU80" s="2906" t="s">
        <v>1556</v>
      </c>
      <c r="AV80" s="3181">
        <f>Retail!DJ18</f>
        <v>-2.0998638187416097E-2</v>
      </c>
      <c r="AW80" s="3217" t="s">
        <v>1571</v>
      </c>
      <c r="AX80" s="3181">
        <f>Retail!DJ18</f>
        <v>-2.0998638187416097E-2</v>
      </c>
      <c r="AY80" s="3217" t="s">
        <v>1607</v>
      </c>
      <c r="AZ80" s="3217" t="s">
        <v>1626</v>
      </c>
      <c r="BA80" s="3218"/>
      <c r="BB80" s="3181">
        <f>Retail!DJ18</f>
        <v>-2.0998638187416097E-2</v>
      </c>
      <c r="BC80" s="3217" t="s">
        <v>1651</v>
      </c>
      <c r="BD80" s="3218"/>
      <c r="BE80" s="3218"/>
      <c r="BF80" s="2907">
        <v>2.5000000000000001E-2</v>
      </c>
      <c r="BG80" s="2908">
        <v>0.04</v>
      </c>
      <c r="BH80" s="2633">
        <f>AVERAGE(BF80:BG80)</f>
        <v>3.2500000000000001E-2</v>
      </c>
      <c r="BI80" s="3181">
        <f>Retail!DO18</f>
        <v>3.4715111156961465E-2</v>
      </c>
    </row>
    <row r="81" spans="2:61" outlineLevel="1" x14ac:dyDescent="0.2">
      <c r="B81" s="2621" t="s">
        <v>1558</v>
      </c>
      <c r="C81" s="2951"/>
      <c r="D81" s="2951"/>
      <c r="E81" s="2951"/>
      <c r="F81" s="2951"/>
      <c r="G81" s="2951"/>
      <c r="H81" s="2951"/>
      <c r="I81" s="2643"/>
      <c r="J81" s="2962"/>
      <c r="K81" s="2962"/>
      <c r="L81" s="2940"/>
      <c r="M81" s="2974"/>
      <c r="N81" s="2974"/>
      <c r="O81" s="3013"/>
      <c r="P81" s="2643"/>
      <c r="Q81" s="2643"/>
      <c r="R81" s="2643"/>
      <c r="S81" s="2643"/>
      <c r="T81" s="2633"/>
      <c r="U81" s="2633"/>
      <c r="V81" s="2962"/>
      <c r="W81" s="2633"/>
      <c r="X81" s="2962"/>
      <c r="Y81" s="2633"/>
      <c r="Z81" s="2781"/>
      <c r="AA81" s="2781"/>
      <c r="AB81" s="2962"/>
      <c r="AC81" s="2962"/>
      <c r="AD81" s="2781"/>
      <c r="AE81" s="2962"/>
      <c r="AF81" s="2633"/>
      <c r="AG81" s="2781"/>
      <c r="AH81" s="2781"/>
      <c r="AI81" s="2781"/>
      <c r="AJ81" s="2913"/>
      <c r="AK81" s="3013"/>
      <c r="AM81" s="2664"/>
      <c r="AN81" s="3013"/>
      <c r="AO81" s="2664"/>
      <c r="AP81" s="3013"/>
      <c r="AQ81" s="2664"/>
      <c r="AR81" s="3013"/>
      <c r="AS81" s="2664"/>
      <c r="AT81" s="3013"/>
      <c r="AU81" s="2645" t="s">
        <v>1557</v>
      </c>
      <c r="AV81" s="3013">
        <f>Retail!DJ12</f>
        <v>-2.5999999999999999E-2</v>
      </c>
      <c r="AW81" s="2645" t="s">
        <v>1572</v>
      </c>
      <c r="AX81" s="3013">
        <f>Retail!DJ12</f>
        <v>-2.5999999999999999E-2</v>
      </c>
      <c r="AY81" s="2645" t="s">
        <v>1608</v>
      </c>
      <c r="AZ81" s="2645" t="s">
        <v>1627</v>
      </c>
      <c r="BA81" s="2664"/>
      <c r="BB81" s="3013">
        <f>Retail!DJ12</f>
        <v>-2.5999999999999999E-2</v>
      </c>
      <c r="BC81" s="2645" t="s">
        <v>1646</v>
      </c>
      <c r="BD81" s="2664"/>
      <c r="BE81" s="2664"/>
      <c r="BF81" s="2918">
        <v>0.02</v>
      </c>
      <c r="BG81" s="2503">
        <v>3.5000000000000003E-2</v>
      </c>
      <c r="BH81" s="2633">
        <f>AVERAGE(BF81:BG81)</f>
        <v>2.7500000000000004E-2</v>
      </c>
      <c r="BI81" s="3013">
        <f>Retail!DO12</f>
        <v>3.2082026085210789E-2</v>
      </c>
    </row>
    <row r="82" spans="2:61" x14ac:dyDescent="0.2">
      <c r="B82" s="3016" t="s">
        <v>531</v>
      </c>
      <c r="C82" s="3179" t="s">
        <v>571</v>
      </c>
      <c r="D82" s="3179" t="s">
        <v>700</v>
      </c>
      <c r="E82" s="3179" t="s">
        <v>577</v>
      </c>
      <c r="F82" s="3179" t="s">
        <v>701</v>
      </c>
      <c r="G82" s="3179" t="s">
        <v>702</v>
      </c>
      <c r="H82" s="3179"/>
      <c r="I82" s="2536" t="s">
        <v>1120</v>
      </c>
      <c r="J82" s="3048">
        <f>Retail!$CK$76</f>
        <v>8.1526067791457546E-2</v>
      </c>
      <c r="K82" s="3048"/>
      <c r="L82" s="2940"/>
      <c r="M82" s="2974"/>
      <c r="N82" s="2974"/>
      <c r="O82" s="2963"/>
      <c r="P82" s="2536" t="s">
        <v>1120</v>
      </c>
      <c r="Q82" s="2536" t="s">
        <v>1120</v>
      </c>
      <c r="R82" s="2536" t="s">
        <v>1120</v>
      </c>
      <c r="S82" s="2536" t="s">
        <v>1112</v>
      </c>
      <c r="T82" s="3049">
        <f>Retail!$CP$76</f>
        <v>0.19572614570274438</v>
      </c>
      <c r="U82" s="3048"/>
      <c r="V82" s="3048"/>
      <c r="W82" s="3049"/>
      <c r="X82" s="3048"/>
      <c r="Y82" s="3049" t="s">
        <v>93</v>
      </c>
      <c r="Z82" s="3049" t="s">
        <v>93</v>
      </c>
      <c r="AA82" s="3049" t="s">
        <v>93</v>
      </c>
      <c r="AB82" s="3048">
        <f>Retail!CU77</f>
        <v>0.25699006532389779</v>
      </c>
      <c r="AC82" s="3048"/>
      <c r="AD82" s="3049" t="s">
        <v>1285</v>
      </c>
      <c r="AE82" s="3048">
        <f>Retail!CU77</f>
        <v>0.25699006532389779</v>
      </c>
      <c r="AF82" s="3049"/>
      <c r="AG82" s="3049" t="s">
        <v>1292</v>
      </c>
      <c r="AH82" s="3049" t="s">
        <v>1292</v>
      </c>
      <c r="AI82" s="3049" t="s">
        <v>1292</v>
      </c>
      <c r="AJ82" s="2529" t="s">
        <v>1423</v>
      </c>
      <c r="AK82" s="2963">
        <f>Retail!CZ77</f>
        <v>0.29690523525513601</v>
      </c>
      <c r="AM82" s="2530" t="s">
        <v>1273</v>
      </c>
      <c r="AN82" s="2963">
        <f>Retail!DE76</f>
        <v>0.33979865944831156</v>
      </c>
      <c r="AO82" s="2530" t="s">
        <v>1273</v>
      </c>
      <c r="AP82" s="2963">
        <f>Retail!DE76</f>
        <v>0.33979865944831156</v>
      </c>
      <c r="AQ82" s="2530" t="s">
        <v>1273</v>
      </c>
      <c r="AR82" s="2963">
        <f>Retail!DE76</f>
        <v>0.33979865944831156</v>
      </c>
      <c r="AS82" s="2530" t="s">
        <v>1273</v>
      </c>
      <c r="AT82" s="2963">
        <f>Retail!DE76</f>
        <v>0.33979865944831156</v>
      </c>
      <c r="AU82" s="2645" t="s">
        <v>1559</v>
      </c>
      <c r="AV82" s="2963">
        <f>Retail!DJ77</f>
        <v>3.6815952925792761E-3</v>
      </c>
      <c r="AW82" s="2645" t="s">
        <v>1573</v>
      </c>
      <c r="AX82" s="2963">
        <f>Retail!DJ77</f>
        <v>3.6815952925792761E-3</v>
      </c>
      <c r="AY82" s="2645" t="s">
        <v>1609</v>
      </c>
      <c r="AZ82" s="2645" t="s">
        <v>1628</v>
      </c>
      <c r="BA82" s="2664"/>
      <c r="BB82" s="2963">
        <f>Retail!DJ77</f>
        <v>3.6815952925792761E-3</v>
      </c>
      <c r="BC82" s="2645" t="s">
        <v>1647</v>
      </c>
      <c r="BD82" s="2664"/>
      <c r="BE82" s="2664"/>
      <c r="BF82" s="2918">
        <v>0.06</v>
      </c>
      <c r="BG82" s="2503">
        <v>7.0000000000000007E-2</v>
      </c>
      <c r="BH82" s="2633">
        <f>AVERAGE(BF82:BG82)</f>
        <v>6.5000000000000002E-2</v>
      </c>
      <c r="BI82" s="2963">
        <f>Retail!DO77</f>
        <v>6.8788243478895561E-2</v>
      </c>
    </row>
    <row r="83" spans="2:61" x14ac:dyDescent="0.2">
      <c r="B83" s="3016"/>
      <c r="C83" s="3017"/>
      <c r="D83" s="3017"/>
      <c r="E83" s="3017"/>
      <c r="F83" s="3017"/>
      <c r="G83" s="3017"/>
      <c r="H83" s="3017"/>
      <c r="I83" s="3017"/>
      <c r="J83" s="3048"/>
      <c r="K83" s="3048"/>
      <c r="L83" s="2940"/>
      <c r="M83" s="2974"/>
      <c r="N83" s="2974"/>
      <c r="O83" s="2963"/>
      <c r="P83" s="3048"/>
      <c r="Q83" s="3017"/>
      <c r="R83" s="3017"/>
      <c r="S83" s="3017"/>
      <c r="T83" s="3049"/>
      <c r="U83" s="3048"/>
      <c r="V83" s="3048"/>
      <c r="W83" s="3049"/>
      <c r="X83" s="3048"/>
      <c r="Y83" s="3049"/>
      <c r="Z83" s="3049"/>
      <c r="AA83" s="3049"/>
      <c r="AB83" s="3048"/>
      <c r="AC83" s="3048"/>
      <c r="AD83" s="3049"/>
      <c r="AE83" s="3048"/>
      <c r="AF83" s="3049"/>
      <c r="AG83" s="3049"/>
      <c r="AH83" s="3049"/>
      <c r="AI83" s="3049"/>
      <c r="AJ83" s="2529"/>
      <c r="AK83" s="2963"/>
      <c r="AM83" s="2560"/>
      <c r="AN83" s="2963"/>
      <c r="AO83" s="2560"/>
      <c r="AP83" s="2963"/>
      <c r="AQ83" s="2560"/>
      <c r="AR83" s="2963"/>
      <c r="AS83" s="2560"/>
      <c r="AT83" s="2963"/>
      <c r="AU83" s="2530"/>
      <c r="AV83" s="2963"/>
      <c r="AW83" s="2530"/>
      <c r="AX83" s="2963"/>
      <c r="AY83" s="2530"/>
      <c r="AZ83" s="2620"/>
      <c r="BA83" s="2620"/>
      <c r="BB83" s="2963"/>
      <c r="BC83" s="2620"/>
      <c r="BD83" s="2620"/>
      <c r="BE83" s="2620"/>
      <c r="BF83" s="2918"/>
      <c r="BG83" s="2503"/>
      <c r="BH83" s="2633"/>
      <c r="BI83" s="2963"/>
    </row>
    <row r="84" spans="2:61" x14ac:dyDescent="0.2">
      <c r="B84" s="3016" t="s">
        <v>608</v>
      </c>
      <c r="C84" s="3017" t="s">
        <v>703</v>
      </c>
      <c r="D84" s="3017" t="s">
        <v>703</v>
      </c>
      <c r="E84" s="3017" t="s">
        <v>703</v>
      </c>
      <c r="F84" s="3017" t="s">
        <v>704</v>
      </c>
      <c r="G84" s="3017" t="s">
        <v>704</v>
      </c>
      <c r="H84" s="3017"/>
      <c r="I84" s="3017" t="s">
        <v>1087</v>
      </c>
      <c r="J84" s="3048">
        <f>Retail!$CK$22-Retail!$CF$22</f>
        <v>7.0850683521497815E-3</v>
      </c>
      <c r="K84" s="3048"/>
      <c r="L84" s="2940"/>
      <c r="M84" s="2974"/>
      <c r="N84" s="2974"/>
      <c r="O84" s="2963"/>
      <c r="P84" s="3048" t="s">
        <v>703</v>
      </c>
      <c r="Q84" s="3017" t="s">
        <v>703</v>
      </c>
      <c r="R84" s="3017" t="s">
        <v>703</v>
      </c>
      <c r="S84" s="3017" t="s">
        <v>703</v>
      </c>
      <c r="T84" s="3219">
        <f>Retail!$CP$22-Retail!$CK$22</f>
        <v>6.1984925889328468E-3</v>
      </c>
      <c r="U84" s="3048"/>
      <c r="V84" s="3048"/>
      <c r="W84" s="3219"/>
      <c r="X84" s="3048"/>
      <c r="Y84" s="3219" t="s">
        <v>682</v>
      </c>
      <c r="Z84" s="3219" t="s">
        <v>682</v>
      </c>
      <c r="AA84" s="3219" t="s">
        <v>682</v>
      </c>
      <c r="AB84" s="3048">
        <f>Retail!CU22-Retail!CP22</f>
        <v>7.4463563517939702E-3</v>
      </c>
      <c r="AC84" s="3048"/>
      <c r="AD84" s="3219" t="s">
        <v>7</v>
      </c>
      <c r="AE84" s="3048">
        <f>Retail!CU22-Retail!CS22</f>
        <v>1.2007836132455485E-3</v>
      </c>
      <c r="AF84" s="3219"/>
      <c r="AG84" s="3219" t="s">
        <v>1293</v>
      </c>
      <c r="AH84" s="3219" t="s">
        <v>1293</v>
      </c>
      <c r="AI84" s="3219" t="s">
        <v>1389</v>
      </c>
      <c r="AJ84" s="3220" t="s">
        <v>1424</v>
      </c>
      <c r="AK84" s="2963">
        <f>Retail!CZ22-Retail!CU22</f>
        <v>-8.4190411946039045E-3</v>
      </c>
      <c r="AM84" s="2904" t="s">
        <v>1449</v>
      </c>
      <c r="AN84" s="2963">
        <f>Retail!DE22-Retail!CZ22</f>
        <v>-1.2201350788728416E-2</v>
      </c>
      <c r="AO84" s="2904" t="s">
        <v>1449</v>
      </c>
      <c r="AP84" s="2963">
        <f>Retail!DE22-Retail!CZ22</f>
        <v>-1.2201350788728416E-2</v>
      </c>
      <c r="AQ84" s="2904" t="s">
        <v>1449</v>
      </c>
      <c r="AR84" s="2963">
        <f>Retail!DE22-Retail!CZ22</f>
        <v>-1.2201350788728416E-2</v>
      </c>
      <c r="AS84" s="2904" t="s">
        <v>1449</v>
      </c>
      <c r="AT84" s="2963">
        <f>Retail!DE22-Retail!DB22</f>
        <v>1.047598740964828E-3</v>
      </c>
      <c r="AU84" s="2904" t="s">
        <v>6</v>
      </c>
      <c r="AV84" s="2963">
        <f>Retail!DJ22-Retail!DE22</f>
        <v>5.0153253677398535E-4</v>
      </c>
      <c r="AW84" s="2530" t="s">
        <v>1072</v>
      </c>
      <c r="AX84" s="2963">
        <f>Retail!DJ22-Retail!DE22</f>
        <v>5.0153253677398535E-4</v>
      </c>
      <c r="AY84" s="2530" t="s">
        <v>1072</v>
      </c>
      <c r="AZ84" s="2530" t="s">
        <v>1072</v>
      </c>
      <c r="BA84" s="2620"/>
      <c r="BB84" s="2963">
        <f>Retail!DJ22-Retail!DE22</f>
        <v>5.0153253677398535E-4</v>
      </c>
      <c r="BC84" s="2530"/>
      <c r="BD84" s="2620"/>
      <c r="BE84" s="2620"/>
      <c r="BF84" s="2918"/>
      <c r="BG84" s="2503"/>
      <c r="BH84" s="2633"/>
      <c r="BI84" s="2963">
        <f>Retail!DO22-Retail!DJ22</f>
        <v>-1.3614361285095411E-2</v>
      </c>
    </row>
    <row r="85" spans="2:61" x14ac:dyDescent="0.2">
      <c r="B85" s="3016" t="s">
        <v>1211</v>
      </c>
      <c r="C85" s="3017" t="s">
        <v>705</v>
      </c>
      <c r="D85" s="3017" t="s">
        <v>705</v>
      </c>
      <c r="E85" s="3017" t="s">
        <v>705</v>
      </c>
      <c r="F85" s="3017" t="s">
        <v>706</v>
      </c>
      <c r="G85" s="3017" t="s">
        <v>706</v>
      </c>
      <c r="H85" s="3017"/>
      <c r="I85" s="3017" t="s">
        <v>1088</v>
      </c>
      <c r="J85" s="3048">
        <f>Retail!$CK$25-Retail!$CF$25</f>
        <v>7.1479850795336253E-4</v>
      </c>
      <c r="K85" s="3048"/>
      <c r="L85" s="2940"/>
      <c r="M85" s="2974"/>
      <c r="N85" s="2974"/>
      <c r="O85" s="2963"/>
      <c r="P85" s="3048" t="s">
        <v>1088</v>
      </c>
      <c r="Q85" s="3017" t="s">
        <v>21</v>
      </c>
      <c r="R85" s="3017" t="s">
        <v>1215</v>
      </c>
      <c r="S85" s="3017" t="s">
        <v>1088</v>
      </c>
      <c r="T85" s="3049">
        <f>Retail!CP25-Retail!CK25</f>
        <v>-5.6464649978033021E-4</v>
      </c>
      <c r="U85" s="3048"/>
      <c r="V85" s="3048"/>
      <c r="W85" s="3049"/>
      <c r="X85" s="3048"/>
      <c r="Y85" s="3049" t="s">
        <v>1088</v>
      </c>
      <c r="Z85" s="3049" t="s">
        <v>1088</v>
      </c>
      <c r="AA85" s="3049" t="s">
        <v>1088</v>
      </c>
      <c r="AB85" s="3048">
        <f>Retail!CU25-Retail!CP25</f>
        <v>3.25435444943728E-3</v>
      </c>
      <c r="AC85" s="3048"/>
      <c r="AD85" s="3049" t="s">
        <v>6</v>
      </c>
      <c r="AE85" s="3048">
        <f>Retail!CU25-Retail!CS25</f>
        <v>-7.372276028167285E-3</v>
      </c>
      <c r="AF85" s="3049"/>
      <c r="AG85" s="3049" t="s">
        <v>1072</v>
      </c>
      <c r="AH85" s="3049" t="s">
        <v>1072</v>
      </c>
      <c r="AI85" s="3049" t="s">
        <v>1072</v>
      </c>
      <c r="AJ85" s="2529" t="s">
        <v>7</v>
      </c>
      <c r="AK85" s="2963">
        <f>Retail!CZ25-Retail!CU25</f>
        <v>-8.4156521853784028E-3</v>
      </c>
      <c r="AM85" s="2530" t="s">
        <v>682</v>
      </c>
      <c r="AN85" s="2963">
        <f>Retail!DE25-Retail!CX25</f>
        <v>-7.964244682851479E-3</v>
      </c>
      <c r="AO85" s="2530" t="s">
        <v>682</v>
      </c>
      <c r="AP85" s="2963">
        <f>Retail!DE25-Retail!CZ25</f>
        <v>-5.3615204980079767E-3</v>
      </c>
      <c r="AQ85" s="2530" t="s">
        <v>682</v>
      </c>
      <c r="AR85" s="2963">
        <f>Retail!DE25-Retail!CZ25</f>
        <v>-5.3615204980079767E-3</v>
      </c>
      <c r="AS85" s="2530" t="s">
        <v>682</v>
      </c>
      <c r="AT85" s="2963">
        <f>Retail!DE25-Retail!DB25</f>
        <v>-2.5983408029101318E-3</v>
      </c>
      <c r="AU85" s="2530" t="s">
        <v>1454</v>
      </c>
      <c r="AV85" s="2963">
        <f>Retail!DJ25-Retail!DE25</f>
        <v>6.518432301866689E-3</v>
      </c>
      <c r="AW85" s="2530" t="s">
        <v>1584</v>
      </c>
      <c r="AX85" s="2963">
        <f>Retail!DJ25-Retail!DE25</f>
        <v>6.518432301866689E-3</v>
      </c>
      <c r="AY85" s="2530" t="s">
        <v>1610</v>
      </c>
      <c r="AZ85" s="2530" t="s">
        <v>1584</v>
      </c>
      <c r="BA85" s="2620"/>
      <c r="BB85" s="2963">
        <f>Retail!DJ25-Retail!DE25</f>
        <v>6.518432301866689E-3</v>
      </c>
      <c r="BC85" s="2530"/>
      <c r="BD85" s="2620"/>
      <c r="BE85" s="2620"/>
      <c r="BF85" s="2918"/>
      <c r="BG85" s="2503"/>
      <c r="BH85" s="2633"/>
      <c r="BI85" s="2963">
        <f>Retail!DO25-Retail!DJ25</f>
        <v>-8.1403230576010954E-3</v>
      </c>
    </row>
    <row r="86" spans="2:61" x14ac:dyDescent="0.2">
      <c r="B86" s="3016"/>
      <c r="C86" s="3017"/>
      <c r="D86" s="3017"/>
      <c r="E86" s="3017"/>
      <c r="F86" s="3017"/>
      <c r="G86" s="3017"/>
      <c r="H86" s="3017"/>
      <c r="I86" s="3017"/>
      <c r="J86" s="3048"/>
      <c r="K86" s="3048"/>
      <c r="L86" s="2940"/>
      <c r="M86" s="2974"/>
      <c r="N86" s="2974"/>
      <c r="O86" s="2963"/>
      <c r="P86" s="3048"/>
      <c r="Q86" s="3017"/>
      <c r="R86" s="3017"/>
      <c r="S86" s="3017"/>
      <c r="T86" s="3049"/>
      <c r="U86" s="3048"/>
      <c r="V86" s="3048"/>
      <c r="W86" s="3049"/>
      <c r="X86" s="3048"/>
      <c r="Y86" s="3049"/>
      <c r="Z86" s="3049"/>
      <c r="AA86" s="3049"/>
      <c r="AB86" s="3048"/>
      <c r="AC86" s="3048"/>
      <c r="AD86" s="3049"/>
      <c r="AE86" s="3048"/>
      <c r="AF86" s="3049"/>
      <c r="AG86" s="3049"/>
      <c r="AH86" s="3049"/>
      <c r="AI86" s="3049"/>
      <c r="AJ86" s="2529"/>
      <c r="AK86" s="2963"/>
      <c r="AM86" s="2530"/>
      <c r="AN86" s="2963"/>
      <c r="AO86" s="2530"/>
      <c r="AP86" s="2963"/>
      <c r="AQ86" s="2530"/>
      <c r="AR86" s="2963"/>
      <c r="AS86" s="2530"/>
      <c r="AT86" s="2963"/>
      <c r="AU86" s="2530"/>
      <c r="AV86" s="2963"/>
      <c r="AW86" s="2530"/>
      <c r="AX86" s="2963"/>
      <c r="AY86" s="2530"/>
      <c r="AZ86" s="2620"/>
      <c r="BA86" s="2620"/>
      <c r="BB86" s="2963"/>
      <c r="BC86" s="2620"/>
      <c r="BD86" s="2620"/>
      <c r="BE86" s="2620"/>
      <c r="BF86" s="2934"/>
      <c r="BG86" s="2935"/>
      <c r="BH86" s="2929"/>
      <c r="BI86" s="2963"/>
    </row>
    <row r="87" spans="2:61" x14ac:dyDescent="0.2">
      <c r="B87" s="2537" t="s">
        <v>12</v>
      </c>
      <c r="C87" s="1615" t="s">
        <v>707</v>
      </c>
      <c r="D87" s="1615" t="s">
        <v>708</v>
      </c>
      <c r="E87" s="1615" t="s">
        <v>709</v>
      </c>
      <c r="F87" s="1615" t="s">
        <v>598</v>
      </c>
      <c r="G87" s="3221" t="s">
        <v>710</v>
      </c>
      <c r="H87" s="3221"/>
      <c r="I87" s="2538" t="s">
        <v>1121</v>
      </c>
      <c r="J87" s="3193">
        <f>Retail!$CK$38</f>
        <v>0.15059652265971724</v>
      </c>
      <c r="K87" s="1700"/>
      <c r="L87" s="2940"/>
      <c r="M87" s="2539"/>
      <c r="N87" s="2539"/>
      <c r="O87" s="2540"/>
      <c r="P87" s="2538" t="s">
        <v>1121</v>
      </c>
      <c r="Q87" s="2538" t="s">
        <v>389</v>
      </c>
      <c r="R87" s="2538" t="s">
        <v>1216</v>
      </c>
      <c r="S87" s="2538" t="s">
        <v>1113</v>
      </c>
      <c r="T87" s="1700" t="e">
        <f>#REF!</f>
        <v>#REF!</v>
      </c>
      <c r="U87" s="1700"/>
      <c r="V87" s="3222" t="s">
        <v>711</v>
      </c>
      <c r="W87" s="1700"/>
      <c r="X87" s="3222"/>
      <c r="Y87" s="1700" t="s">
        <v>94</v>
      </c>
      <c r="Z87" s="1700" t="s">
        <v>94</v>
      </c>
      <c r="AA87" s="1700" t="s">
        <v>94</v>
      </c>
      <c r="AB87" s="3222">
        <f>Retail!CU38</f>
        <v>7.7745724622667156E-2</v>
      </c>
      <c r="AC87" s="3222" t="s">
        <v>711</v>
      </c>
      <c r="AD87" s="1700" t="s">
        <v>1274</v>
      </c>
      <c r="AE87" s="3222">
        <f>Retail!CU38</f>
        <v>7.7745724622667156E-2</v>
      </c>
      <c r="AF87" s="1700"/>
      <c r="AG87" s="1700" t="s">
        <v>1294</v>
      </c>
      <c r="AH87" s="1700" t="s">
        <v>1294</v>
      </c>
      <c r="AI87" s="1700" t="s">
        <v>1390</v>
      </c>
      <c r="AJ87" s="2564" t="s">
        <v>1426</v>
      </c>
      <c r="AK87" s="3194">
        <f>Retail!CZ38</f>
        <v>6.2060668690198773E-2</v>
      </c>
      <c r="AM87" s="2565" t="s">
        <v>1450</v>
      </c>
      <c r="AN87" s="3194">
        <f>Retail!DE38</f>
        <v>4.9046407884623999E-2</v>
      </c>
      <c r="AO87" s="2565" t="s">
        <v>1450</v>
      </c>
      <c r="AP87" s="3194">
        <f>Retail!DE38</f>
        <v>4.9046407884623999E-2</v>
      </c>
      <c r="AQ87" s="2565" t="s">
        <v>1506</v>
      </c>
      <c r="AR87" s="3194">
        <f>Retail!DE38</f>
        <v>4.9046407884623999E-2</v>
      </c>
      <c r="AS87" s="2565" t="s">
        <v>1506</v>
      </c>
      <c r="AT87" s="3194">
        <f>Retail!DE38</f>
        <v>4.9046407884623999E-2</v>
      </c>
      <c r="AU87" s="2644" t="s">
        <v>1560</v>
      </c>
      <c r="AV87" s="3194">
        <f>Retail!DJ38</f>
        <v>-8.4408323072736602E-2</v>
      </c>
      <c r="AW87" s="2644" t="s">
        <v>1599</v>
      </c>
      <c r="AX87" s="3194">
        <f>Retail!DJ38</f>
        <v>-8.4408323072736602E-2</v>
      </c>
      <c r="AY87" s="2644" t="s">
        <v>1611</v>
      </c>
      <c r="AZ87" s="2644" t="s">
        <v>1629</v>
      </c>
      <c r="BA87" s="2644"/>
      <c r="BB87" s="3194">
        <f>Retail!DJ38</f>
        <v>-8.4408323072736602E-2</v>
      </c>
      <c r="BC87" s="2644" t="s">
        <v>1648</v>
      </c>
      <c r="BD87" s="2644"/>
      <c r="BE87" s="2644"/>
      <c r="BF87" s="2938" t="s">
        <v>1666</v>
      </c>
      <c r="BG87" s="3234"/>
      <c r="BH87" s="3235"/>
      <c r="BI87" s="3194">
        <f>Retail!DO38</f>
        <v>-3.0479184810583093E-2</v>
      </c>
    </row>
    <row r="88" spans="2:61" hidden="1" x14ac:dyDescent="0.2">
      <c r="B88" s="3016" t="s">
        <v>689</v>
      </c>
      <c r="C88" s="2541"/>
      <c r="D88" s="2541"/>
      <c r="E88" s="2541"/>
      <c r="F88" s="2541"/>
      <c r="G88" s="3223">
        <f>1.145*Retail!CF36/1000</f>
        <v>5.624010999999995</v>
      </c>
      <c r="H88" s="3223"/>
      <c r="I88" s="3223">
        <f>1.05875*Retail!CK36/1000</f>
        <v>5.9835256249999951</v>
      </c>
      <c r="J88" s="3198">
        <f>Retail!CK36/1000</f>
        <v>5.6514999999999942</v>
      </c>
      <c r="K88" s="2542"/>
      <c r="L88" s="2940"/>
      <c r="M88" s="2539"/>
      <c r="N88" s="2539"/>
      <c r="O88" s="2543"/>
      <c r="P88" s="2542"/>
      <c r="Q88" s="3223"/>
      <c r="R88" s="3223"/>
      <c r="S88" s="3223"/>
      <c r="T88" s="1699">
        <f>Retail!CP36/1000</f>
        <v>6.2742999999999993</v>
      </c>
      <c r="U88" s="2542"/>
      <c r="V88" s="2542"/>
      <c r="W88" s="1699"/>
      <c r="X88" s="2542"/>
      <c r="Y88" s="1699"/>
      <c r="Z88" s="1699"/>
      <c r="AA88" s="1699"/>
      <c r="AB88" s="2542"/>
      <c r="AC88" s="2542"/>
      <c r="AD88" s="1699"/>
      <c r="AE88" s="2542"/>
      <c r="AF88" s="1699"/>
      <c r="AG88" s="1699"/>
      <c r="AH88" s="1699"/>
      <c r="AI88" s="1699"/>
      <c r="AJ88" s="2544"/>
      <c r="AK88" s="3224"/>
      <c r="AM88" s="2563"/>
      <c r="AN88" s="3224"/>
      <c r="AO88" s="2563"/>
      <c r="AP88" s="3224"/>
      <c r="AQ88" s="2563"/>
      <c r="AR88" s="3224"/>
      <c r="AS88" s="2563"/>
      <c r="AT88" s="3224"/>
      <c r="AU88" s="2563"/>
      <c r="AV88" s="3224"/>
      <c r="AW88" s="2563"/>
      <c r="AX88" s="3224"/>
      <c r="AY88" s="2563"/>
      <c r="AZ88" s="2769"/>
      <c r="BA88" s="2769"/>
      <c r="BB88" s="3224"/>
      <c r="BC88" s="2779"/>
      <c r="BD88" s="2779"/>
      <c r="BE88" s="2779"/>
      <c r="BF88" s="3225"/>
      <c r="BG88" s="3226"/>
      <c r="BH88" s="3227"/>
      <c r="BI88" s="3224"/>
    </row>
    <row r="89" spans="2:61" ht="13.5" thickBot="1" x14ac:dyDescent="0.25">
      <c r="B89" s="2976" t="s">
        <v>528</v>
      </c>
      <c r="C89" s="2979" t="s">
        <v>712</v>
      </c>
      <c r="D89" s="2979" t="s">
        <v>712</v>
      </c>
      <c r="E89" s="2979" t="s">
        <v>712</v>
      </c>
      <c r="F89" s="2979" t="s">
        <v>713</v>
      </c>
      <c r="G89" s="2979" t="s">
        <v>714</v>
      </c>
      <c r="H89" s="2979"/>
      <c r="I89" s="2979" t="s">
        <v>1075</v>
      </c>
      <c r="J89" s="3199">
        <f>Retail!$CK$37-Retail!$CF$37</f>
        <v>6.3702698441964328E-3</v>
      </c>
      <c r="K89" s="3199"/>
      <c r="L89" s="2940"/>
      <c r="M89" s="3190"/>
      <c r="N89" s="3190"/>
      <c r="O89" s="3200"/>
      <c r="P89" s="2979" t="s">
        <v>1075</v>
      </c>
      <c r="Q89" s="2979" t="s">
        <v>20</v>
      </c>
      <c r="R89" s="2979" t="s">
        <v>1217</v>
      </c>
      <c r="S89" s="2979" t="s">
        <v>1114</v>
      </c>
      <c r="T89" s="3201" t="e">
        <f>#REF!-#REF!</f>
        <v>#REF!</v>
      </c>
      <c r="U89" s="3199"/>
      <c r="V89" s="3199"/>
      <c r="W89" s="3201"/>
      <c r="X89" s="3199"/>
      <c r="Y89" s="3201" t="s">
        <v>20</v>
      </c>
      <c r="Z89" s="3201" t="s">
        <v>1252</v>
      </c>
      <c r="AA89" s="3201" t="s">
        <v>1252</v>
      </c>
      <c r="AB89" s="3199">
        <f>Retail!CU37-Retail!CP37</f>
        <v>4.1920019023566762E-3</v>
      </c>
      <c r="AC89" s="3199"/>
      <c r="AD89" s="3201" t="s">
        <v>1286</v>
      </c>
      <c r="AE89" s="3199">
        <f>Retail!CU37-Retail!CS37</f>
        <v>8.5730596414128474E-3</v>
      </c>
      <c r="AF89" s="3201"/>
      <c r="AG89" s="3201" t="s">
        <v>1295</v>
      </c>
      <c r="AH89" s="3201" t="s">
        <v>1295</v>
      </c>
      <c r="AI89" s="3201" t="s">
        <v>1254</v>
      </c>
      <c r="AJ89" s="3228" t="s">
        <v>1425</v>
      </c>
      <c r="AK89" s="3229">
        <f>Retail!CZ37-Retail!CU37</f>
        <v>-3.3890092255017823E-6</v>
      </c>
      <c r="AM89" s="3203" t="s">
        <v>1451</v>
      </c>
      <c r="AN89" s="3229">
        <f>Retail!DE37-Retail!CZ37</f>
        <v>-6.8398302907203973E-3</v>
      </c>
      <c r="AO89" s="3203" t="s">
        <v>1483</v>
      </c>
      <c r="AP89" s="3229">
        <f>Retail!DE37-Retail!CZ37</f>
        <v>-6.8398302907203973E-3</v>
      </c>
      <c r="AQ89" s="3203" t="s">
        <v>1483</v>
      </c>
      <c r="AR89" s="3229">
        <f>Retail!DE37-Retail!CZ37</f>
        <v>-6.8398302907203973E-3</v>
      </c>
      <c r="AS89" s="3203" t="s">
        <v>1483</v>
      </c>
      <c r="AT89" s="3229">
        <f>Retail!DE37-Retail!DB37</f>
        <v>3.6459395438749737E-3</v>
      </c>
      <c r="AU89" s="3203" t="s">
        <v>1424</v>
      </c>
      <c r="AV89" s="3229">
        <f>Retail!DJ37-Retail!DD37</f>
        <v>-1.6140199787538737E-2</v>
      </c>
      <c r="AW89" s="3203" t="s">
        <v>1424</v>
      </c>
      <c r="AX89" s="3229">
        <f>Retail!DJ37-Retail!DE37</f>
        <v>-6.0168997650927175E-3</v>
      </c>
      <c r="AY89" s="3203" t="s">
        <v>1424</v>
      </c>
      <c r="AZ89" s="3203" t="s">
        <v>1424</v>
      </c>
      <c r="BA89" s="3203"/>
      <c r="BB89" s="3229">
        <f>Retail!DJ37-Retail!DE37</f>
        <v>-6.0168997650927175E-3</v>
      </c>
      <c r="BC89" s="3204"/>
      <c r="BD89" s="3204"/>
      <c r="BE89" s="3204"/>
      <c r="BF89" s="3230"/>
      <c r="BG89" s="3231"/>
      <c r="BH89" s="3232"/>
      <c r="BI89" s="3229">
        <f>Retail!DO37-Retail!DJ37</f>
        <v>-5.4740382274943433E-3</v>
      </c>
    </row>
    <row r="97" spans="42:60" x14ac:dyDescent="0.2">
      <c r="AP97" s="2942"/>
      <c r="AR97" s="2942"/>
      <c r="AT97" s="2942"/>
      <c r="AV97" s="2942"/>
      <c r="AX97" s="2942"/>
      <c r="BF97" s="2942"/>
      <c r="BG97" s="2942"/>
      <c r="BH97" s="2942"/>
    </row>
    <row r="98" spans="42:60" x14ac:dyDescent="0.2">
      <c r="AP98" s="2942"/>
      <c r="AR98" s="2942"/>
      <c r="AT98" s="2942"/>
      <c r="AV98" s="2942"/>
      <c r="AX98" s="2942"/>
      <c r="BF98" s="2942"/>
      <c r="BG98" s="2942"/>
      <c r="BH98" s="2942"/>
    </row>
    <row r="99" spans="42:60" x14ac:dyDescent="0.2">
      <c r="AP99" s="3233"/>
      <c r="AR99" s="3233"/>
      <c r="AT99" s="3233"/>
      <c r="AV99" s="3233"/>
      <c r="AX99" s="3233"/>
      <c r="BB99" s="3233"/>
      <c r="BC99" s="3233"/>
      <c r="BD99" s="3233"/>
      <c r="BE99" s="3233"/>
      <c r="BF99" s="3233"/>
      <c r="BG99" s="3233"/>
      <c r="BH99" s="3233"/>
    </row>
    <row r="101" spans="42:60" x14ac:dyDescent="0.2">
      <c r="AP101" s="2942"/>
      <c r="AR101" s="2942"/>
      <c r="AT101" s="2942"/>
      <c r="AV101" s="2942"/>
      <c r="AX101" s="2942"/>
      <c r="BF101" s="2942"/>
      <c r="BG101" s="2942"/>
      <c r="BH101" s="2942"/>
    </row>
    <row r="102" spans="42:60" x14ac:dyDescent="0.2">
      <c r="AP102" s="2942"/>
      <c r="AR102" s="2942"/>
      <c r="AT102" s="2942"/>
      <c r="AV102" s="2942"/>
      <c r="AX102" s="2942"/>
      <c r="BF102" s="2942"/>
      <c r="BG102" s="2942"/>
      <c r="BH102" s="2942"/>
    </row>
    <row r="103" spans="42:60" x14ac:dyDescent="0.2">
      <c r="AP103" s="3233"/>
      <c r="AR103" s="3233"/>
      <c r="AT103" s="3233"/>
      <c r="AV103" s="3233"/>
      <c r="AX103" s="3233"/>
      <c r="BB103" s="3233"/>
      <c r="BC103" s="3233"/>
      <c r="BD103" s="3233"/>
      <c r="BE103" s="3233"/>
      <c r="BF103" s="3233"/>
      <c r="BG103" s="3233"/>
      <c r="BH103" s="3233"/>
    </row>
  </sheetData>
  <phoneticPr fontId="5" type="noConversion"/>
  <pageMargins left="0" right="0" top="0" bottom="0" header="0" footer="0"/>
  <pageSetup scale="78"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EM247"/>
  <sheetViews>
    <sheetView showGridLines="0" zoomScaleSheetLayoutView="85" workbookViewId="0">
      <pane xSplit="3" ySplit="6" topLeftCell="DH130" activePane="bottomRight" state="frozen"/>
      <selection pane="topRight" activeCell="D1" sqref="D1"/>
      <selection pane="bottomLeft" activeCell="A11" sqref="A11"/>
      <selection pane="bottomRight" activeCell="DK149" sqref="DK149"/>
    </sheetView>
  </sheetViews>
  <sheetFormatPr defaultRowHeight="11.25" outlineLevelRow="1" outlineLevelCol="2" x14ac:dyDescent="0.2"/>
  <cols>
    <col min="1" max="1" width="3.28515625" customWidth="1"/>
    <col min="2" max="2" width="35.85546875" bestFit="1" customWidth="1"/>
    <col min="3" max="3" width="1.85546875" customWidth="1"/>
    <col min="4" max="4" width="2.140625" hidden="1" customWidth="1"/>
    <col min="5" max="8" width="10.85546875" hidden="1" customWidth="1" outlineLevel="1"/>
    <col min="9" max="9" width="10.85546875" hidden="1" customWidth="1" outlineLevel="1" collapsed="1"/>
    <col min="10" max="13" width="10.85546875" hidden="1" customWidth="1" outlineLevel="2"/>
    <col min="14" max="14" width="10.85546875" hidden="1" customWidth="1" outlineLevel="1"/>
    <col min="15" max="18" width="10.85546875" hidden="1" customWidth="1" outlineLevel="2"/>
    <col min="19" max="19" width="10.85546875" hidden="1" customWidth="1" outlineLevel="1"/>
    <col min="20" max="23" width="10.85546875" hidden="1" customWidth="1" outlineLevel="2"/>
    <col min="24" max="24" width="10.85546875" hidden="1" customWidth="1" outlineLevel="1"/>
    <col min="25" max="28" width="10.85546875" hidden="1" customWidth="1" outlineLevel="2"/>
    <col min="29" max="29" width="10.85546875" hidden="1" customWidth="1" outlineLevel="1"/>
    <col min="30" max="33" width="10.85546875" hidden="1" customWidth="1" outlineLevel="2"/>
    <col min="34" max="34" width="10.85546875" hidden="1" customWidth="1" outlineLevel="1"/>
    <col min="35" max="38" width="10.85546875" hidden="1" customWidth="1" outlineLevel="2"/>
    <col min="39" max="39" width="10.85546875" hidden="1" customWidth="1" outlineLevel="1"/>
    <col min="40" max="43" width="10.85546875" hidden="1" customWidth="1" outlineLevel="2"/>
    <col min="44" max="44" width="10.85546875" hidden="1" customWidth="1" outlineLevel="1"/>
    <col min="45" max="48" width="10.85546875" hidden="1" customWidth="1" outlineLevel="2"/>
    <col min="49" max="49" width="10.85546875" hidden="1" customWidth="1" outlineLevel="1"/>
    <col min="50" max="53" width="10.85546875" hidden="1" customWidth="1" outlineLevel="2"/>
    <col min="54" max="54" width="10.85546875" hidden="1" customWidth="1" outlineLevel="1"/>
    <col min="55" max="58" width="10.85546875" hidden="1" customWidth="1" outlineLevel="2"/>
    <col min="59" max="59" width="10.85546875" hidden="1" customWidth="1" outlineLevel="1"/>
    <col min="60" max="63" width="10.85546875" hidden="1" customWidth="1" outlineLevel="2"/>
    <col min="64" max="64" width="10.85546875" hidden="1" customWidth="1" outlineLevel="1"/>
    <col min="65" max="68" width="10.85546875" hidden="1" customWidth="1" outlineLevel="2"/>
    <col min="69" max="69" width="10.85546875" hidden="1" customWidth="1" outlineLevel="1"/>
    <col min="70" max="73" width="10.85546875" hidden="1" customWidth="1" outlineLevel="2"/>
    <col min="74" max="74" width="10.85546875" hidden="1" customWidth="1" collapsed="1"/>
    <col min="75" max="78" width="10.85546875" hidden="1" customWidth="1" outlineLevel="1"/>
    <col min="79" max="79" width="10.85546875" hidden="1" customWidth="1" collapsed="1"/>
    <col min="80" max="83" width="10.85546875" hidden="1" customWidth="1" outlineLevel="1"/>
    <col min="84" max="84" width="10.85546875" hidden="1" customWidth="1" collapsed="1"/>
    <col min="85" max="88" width="10.85546875" hidden="1" customWidth="1" outlineLevel="1"/>
    <col min="89" max="89" width="10.85546875" hidden="1" customWidth="1" collapsed="1"/>
    <col min="90" max="93" width="10.85546875" hidden="1" customWidth="1" outlineLevel="1"/>
    <col min="94" max="94" width="10.85546875" hidden="1" customWidth="1" collapsed="1"/>
    <col min="95" max="98" width="10.85546875" hidden="1" customWidth="1" outlineLevel="1"/>
    <col min="99" max="99" width="10.85546875" hidden="1" customWidth="1" collapsed="1"/>
    <col min="100" max="103" width="10.85546875" hidden="1" customWidth="1" outlineLevel="1"/>
    <col min="104" max="104" width="10.85546875" hidden="1" customWidth="1" collapsed="1"/>
    <col min="105" max="108" width="10.85546875" customWidth="1" outlineLevel="1"/>
    <col min="109" max="109" width="10.85546875" customWidth="1"/>
    <col min="110" max="113" width="10.85546875" customWidth="1" outlineLevel="1"/>
    <col min="114" max="114" width="10.85546875" customWidth="1"/>
    <col min="115" max="118" width="10.85546875" style="2559" customWidth="1" outlineLevel="1"/>
    <col min="119" max="119" width="10.85546875" style="2559" customWidth="1"/>
    <col min="120" max="123" width="10.85546875" style="2649" customWidth="1" outlineLevel="1"/>
    <col min="124" max="124" width="10.85546875" style="2649" customWidth="1"/>
    <col min="125" max="128" width="10.85546875" style="2771" hidden="1" customWidth="1" outlineLevel="1"/>
    <col min="129" max="129" width="10.85546875" style="2771" customWidth="1" collapsed="1"/>
    <col min="130" max="130" width="10.85546875" customWidth="1"/>
    <col min="131" max="138" width="10.85546875" hidden="1" customWidth="1" outlineLevel="1"/>
    <col min="139" max="139" width="9.140625" collapsed="1"/>
  </cols>
  <sheetData>
    <row r="1" spans="1:131" ht="12" thickBot="1" x14ac:dyDescent="0.25">
      <c r="A1" s="1984"/>
      <c r="B1" s="1984"/>
      <c r="C1" s="1984"/>
      <c r="D1" s="1984"/>
      <c r="E1" s="1984"/>
      <c r="F1" s="1984"/>
      <c r="G1" s="1984"/>
      <c r="H1" s="1984"/>
      <c r="I1" s="1984"/>
      <c r="J1" s="1984"/>
      <c r="K1" s="1984"/>
      <c r="L1" s="1984"/>
      <c r="M1" s="1984"/>
      <c r="N1" s="1984"/>
      <c r="O1" s="1984"/>
      <c r="P1" s="1984"/>
      <c r="Q1" s="1984"/>
      <c r="R1" s="1984"/>
      <c r="S1" s="1984"/>
      <c r="T1" s="1984"/>
      <c r="U1" s="1984"/>
      <c r="V1" s="1984"/>
      <c r="W1" s="1984"/>
      <c r="X1" s="1984"/>
      <c r="Y1" s="1984"/>
      <c r="Z1" s="1984"/>
      <c r="AA1" s="1984"/>
      <c r="AB1" s="1984"/>
      <c r="AC1" s="1984"/>
      <c r="AD1" s="1984"/>
      <c r="AE1" s="1984"/>
      <c r="AF1" s="1984"/>
      <c r="AG1" s="1984"/>
      <c r="AH1" s="1984"/>
      <c r="AI1" s="1984"/>
      <c r="AJ1" s="1984"/>
      <c r="AK1" s="1984"/>
      <c r="AL1" s="1984"/>
      <c r="AM1" s="1984"/>
      <c r="AN1" s="1984"/>
      <c r="AO1" s="1984"/>
      <c r="AP1" s="1984"/>
      <c r="AQ1" s="1984"/>
      <c r="AR1" s="1984"/>
      <c r="AS1" s="1984"/>
      <c r="AT1" s="2115"/>
      <c r="AU1" s="1984"/>
      <c r="AV1" s="1984"/>
      <c r="AW1" s="1984"/>
      <c r="AX1" s="1984"/>
      <c r="AY1" s="1984"/>
      <c r="AZ1" s="1984"/>
      <c r="BA1" s="1984"/>
      <c r="BB1" s="1984"/>
      <c r="BC1" s="1984"/>
      <c r="BD1" s="1984"/>
      <c r="BE1" s="1984"/>
      <c r="BF1" s="1984"/>
      <c r="BG1" s="1984"/>
      <c r="BH1" s="1984"/>
      <c r="BI1" s="1984"/>
      <c r="BJ1" s="1984"/>
      <c r="BK1" s="1984"/>
      <c r="BL1" s="1984"/>
      <c r="BM1" s="1984"/>
      <c r="BN1" s="1984"/>
      <c r="BO1" s="1984"/>
      <c r="BP1" s="1984"/>
      <c r="BQ1" s="1984"/>
      <c r="BR1" s="1984"/>
      <c r="BS1" s="1984"/>
      <c r="BT1" s="1984"/>
      <c r="BU1" s="1984"/>
      <c r="BV1" s="2129"/>
      <c r="BW1" s="1984"/>
      <c r="BX1" s="1984"/>
      <c r="BY1" s="1984"/>
      <c r="BZ1" s="1984"/>
      <c r="CA1" s="2129"/>
      <c r="CB1" s="1984"/>
      <c r="CC1" s="1984"/>
      <c r="CD1" s="1984"/>
      <c r="CE1" s="1984"/>
      <c r="CF1" s="2129"/>
      <c r="CG1" s="1984"/>
      <c r="CH1" s="1984"/>
      <c r="CI1" s="1984"/>
      <c r="CJ1" s="1984"/>
      <c r="CK1" s="2129"/>
      <c r="CL1" s="1984"/>
      <c r="CM1" s="1984"/>
      <c r="CN1" s="1984"/>
      <c r="CO1" s="1984"/>
      <c r="CP1" s="2129"/>
      <c r="CQ1" s="1984"/>
      <c r="CR1" s="1984"/>
      <c r="CS1" s="1984"/>
      <c r="CT1" s="1984"/>
      <c r="CU1" s="2129"/>
      <c r="CV1" s="1984"/>
      <c r="CW1" s="1984"/>
      <c r="CX1" s="1984"/>
      <c r="CY1" s="1984"/>
      <c r="CZ1" s="2129"/>
      <c r="DA1" s="1984"/>
      <c r="DB1" s="1984"/>
      <c r="DC1" s="1984"/>
      <c r="DD1" s="1984"/>
      <c r="DE1" s="2129"/>
      <c r="DF1" s="1984"/>
      <c r="DG1" s="1984"/>
      <c r="DH1" s="1984"/>
      <c r="DI1" s="1984"/>
      <c r="DJ1" s="2129"/>
      <c r="DK1" s="1984"/>
      <c r="DL1" s="1984"/>
      <c r="DM1" s="1984"/>
      <c r="DN1" s="1984"/>
      <c r="DO1" s="2129"/>
      <c r="DP1" s="1984"/>
      <c r="DQ1" s="1984"/>
      <c r="DR1" s="1984"/>
      <c r="DS1" s="1984"/>
      <c r="DT1" s="2129"/>
      <c r="DU1" s="1984"/>
      <c r="DV1" s="1984"/>
      <c r="DW1" s="1984"/>
      <c r="DX1" s="1984"/>
      <c r="DY1" s="2129"/>
      <c r="DZ1" s="1984"/>
      <c r="EA1" s="1984"/>
    </row>
    <row r="2" spans="1:131" x14ac:dyDescent="0.2">
      <c r="A2" s="2130"/>
      <c r="B2" t="str">
        <f>IS!B2</f>
        <v>CVS/Caremark</v>
      </c>
      <c r="C2" s="1834"/>
      <c r="D2" s="1834"/>
      <c r="E2" s="1834"/>
      <c r="F2" s="1834"/>
      <c r="G2" s="1834"/>
      <c r="H2" s="1834"/>
      <c r="I2" s="1834"/>
      <c r="J2" s="1834"/>
      <c r="K2" s="1834"/>
      <c r="L2" s="1834"/>
      <c r="M2" s="1834"/>
      <c r="N2" s="1834"/>
      <c r="O2" s="1834"/>
      <c r="P2" s="1834"/>
      <c r="Q2" s="1834"/>
      <c r="R2" s="1834"/>
      <c r="S2" s="1834"/>
      <c r="T2" s="1834"/>
      <c r="U2" s="1834"/>
      <c r="V2" s="1834"/>
      <c r="W2" s="1834"/>
      <c r="X2" s="1834"/>
      <c r="Y2" s="1834"/>
      <c r="Z2" s="1834"/>
      <c r="AA2" s="1834"/>
      <c r="AB2" s="1834"/>
      <c r="AC2" s="1834"/>
      <c r="AD2" s="1834"/>
      <c r="AE2" s="1834"/>
      <c r="AF2" s="1834"/>
      <c r="AG2" s="1834"/>
      <c r="AH2" s="1834"/>
      <c r="AI2" s="1834"/>
      <c r="AJ2" s="1834"/>
      <c r="AK2" s="1834"/>
      <c r="AL2" s="1834"/>
      <c r="AM2" s="1834"/>
      <c r="AN2" s="1834"/>
      <c r="AO2" s="1834"/>
      <c r="AP2" s="1834"/>
      <c r="AQ2" s="1834"/>
      <c r="AR2" s="1834"/>
      <c r="AS2" s="1834"/>
      <c r="AT2" s="1834"/>
      <c r="AU2" s="1834"/>
      <c r="AV2" s="1834"/>
      <c r="AW2" s="1834"/>
      <c r="AX2" s="1834"/>
      <c r="AY2" s="1834"/>
      <c r="AZ2" s="1834"/>
      <c r="BA2" s="1834"/>
      <c r="BB2" s="1834"/>
      <c r="BC2" s="1834"/>
      <c r="BD2" s="1834"/>
      <c r="BE2" s="1834"/>
      <c r="BF2" s="1834"/>
      <c r="BG2" s="1834"/>
      <c r="BH2" s="1834"/>
      <c r="BI2" s="1834"/>
      <c r="BJ2" s="1834"/>
      <c r="BK2" s="1834"/>
      <c r="BL2" s="1834"/>
      <c r="BM2" s="1834"/>
      <c r="BN2" s="1834"/>
      <c r="BO2" s="1834"/>
      <c r="BP2" s="1834"/>
      <c r="BQ2" s="1834"/>
      <c r="BR2" s="1834"/>
      <c r="BS2" s="1834"/>
      <c r="BT2" s="1834"/>
      <c r="BU2" s="1834"/>
      <c r="BV2" s="1834"/>
      <c r="BW2" s="1834"/>
      <c r="BX2" s="1834"/>
      <c r="BY2" s="1834"/>
      <c r="BZ2" s="1834"/>
      <c r="CA2" s="1835"/>
      <c r="CB2" s="1834"/>
      <c r="CC2" s="1834"/>
      <c r="CD2" s="1834"/>
      <c r="CE2" s="1834"/>
      <c r="CF2" s="1836"/>
      <c r="CG2" s="1834"/>
      <c r="CH2" s="1834"/>
      <c r="CI2" s="1834"/>
      <c r="CJ2" s="1834"/>
      <c r="CK2" s="1836"/>
      <c r="CL2" s="1836"/>
      <c r="CM2" s="1836"/>
      <c r="CN2" s="1836"/>
      <c r="CO2" s="1836"/>
      <c r="CP2" s="1834"/>
      <c r="CQ2" s="1836"/>
      <c r="CR2" s="1836"/>
      <c r="CS2" s="1836"/>
      <c r="CT2" s="1836"/>
      <c r="CU2" s="1834"/>
      <c r="CV2" s="1836"/>
      <c r="CW2" s="1836"/>
      <c r="CX2" s="1836"/>
      <c r="CY2" s="1836"/>
      <c r="CZ2" s="1837"/>
      <c r="DA2" s="1836"/>
      <c r="DB2" s="1836"/>
      <c r="DC2" s="1836"/>
      <c r="DD2" s="1836"/>
      <c r="DE2" s="1837"/>
      <c r="DF2" s="1836"/>
      <c r="DG2" s="1836"/>
      <c r="DH2" s="1836"/>
      <c r="DI2" s="1836"/>
      <c r="DJ2" s="1837"/>
      <c r="DK2" s="1836"/>
      <c r="DL2" s="1836"/>
      <c r="DM2" s="1836"/>
      <c r="DN2" s="1836"/>
      <c r="DO2" s="1837"/>
      <c r="DP2" s="1836"/>
      <c r="DQ2" s="1836"/>
      <c r="DR2" s="1836"/>
      <c r="DS2" s="1836"/>
      <c r="DT2" s="1837"/>
      <c r="DU2" s="1836"/>
      <c r="DV2" s="1836"/>
      <c r="DW2" s="1836"/>
      <c r="DX2" s="1836"/>
      <c r="DY2" s="1837"/>
      <c r="DZ2" s="2131"/>
      <c r="EA2" s="2131"/>
    </row>
    <row r="3" spans="1:131" ht="12" thickBot="1" x14ac:dyDescent="0.25">
      <c r="A3" s="1984"/>
      <c r="B3" s="296" t="s">
        <v>240</v>
      </c>
      <c r="C3" s="1839"/>
      <c r="D3" s="1839"/>
      <c r="E3" s="1839"/>
      <c r="F3" s="1839"/>
      <c r="G3" s="1839"/>
      <c r="H3" s="1839"/>
      <c r="I3" s="1839"/>
      <c r="J3" s="1839"/>
      <c r="K3" s="1839"/>
      <c r="L3" s="1839"/>
      <c r="M3" s="1839"/>
      <c r="N3" s="1839"/>
      <c r="O3" s="1839"/>
      <c r="P3" s="1839"/>
      <c r="Q3" s="1839"/>
      <c r="R3" s="1839"/>
      <c r="S3" s="1839"/>
      <c r="T3" s="1839"/>
      <c r="U3" s="1839"/>
      <c r="V3" s="1839"/>
      <c r="W3" s="1839"/>
      <c r="X3" s="1839"/>
      <c r="Y3" s="1839"/>
      <c r="Z3" s="1839"/>
      <c r="AA3" s="1839"/>
      <c r="AB3" s="1839"/>
      <c r="AC3" s="1839"/>
      <c r="AD3" s="1839"/>
      <c r="AE3" s="1839"/>
      <c r="AF3" s="1839"/>
      <c r="AG3" s="1839"/>
      <c r="AH3" s="1839"/>
      <c r="AI3" s="1839"/>
      <c r="AJ3" s="1839"/>
      <c r="AK3" s="1839"/>
      <c r="AL3" s="1839"/>
      <c r="AM3" s="1839"/>
      <c r="AN3" s="1839"/>
      <c r="AO3" s="1839"/>
      <c r="AP3" s="1839"/>
      <c r="AQ3" s="1839"/>
      <c r="AR3" s="1839"/>
      <c r="AS3" s="1839"/>
      <c r="AT3" s="1839"/>
      <c r="AU3" s="1839"/>
      <c r="AV3" s="1839"/>
      <c r="AW3" s="1839"/>
      <c r="AX3" s="1839"/>
      <c r="AY3" s="1839"/>
      <c r="AZ3" s="1839"/>
      <c r="BA3" s="1839"/>
      <c r="BB3" s="1839"/>
      <c r="BC3" s="1839"/>
      <c r="BD3" s="1839"/>
      <c r="BE3" s="1839"/>
      <c r="BF3" s="1839"/>
      <c r="BG3" s="1839"/>
      <c r="BH3" s="1839"/>
      <c r="BI3" s="1839"/>
      <c r="BJ3" s="1839"/>
      <c r="BK3" s="1839"/>
      <c r="BL3" s="1839"/>
      <c r="BM3" s="1839"/>
      <c r="BN3" s="1839"/>
      <c r="BO3" s="1839"/>
      <c r="BP3" s="1839"/>
      <c r="BQ3" s="1839"/>
      <c r="BR3" s="1839"/>
      <c r="BS3" s="1839"/>
      <c r="BT3" s="1839"/>
      <c r="BU3" s="1839"/>
      <c r="BV3" s="1839"/>
      <c r="BW3" s="1839"/>
      <c r="BX3" s="1839"/>
      <c r="BY3" s="1839"/>
      <c r="BZ3" s="1839"/>
      <c r="CA3" s="1839"/>
      <c r="CB3" s="1839"/>
      <c r="CC3" s="1839"/>
      <c r="CD3" s="1839"/>
      <c r="CE3" s="1839"/>
      <c r="CF3" s="1839"/>
      <c r="CG3" s="1839"/>
      <c r="CH3" s="1839"/>
      <c r="CI3" s="1839"/>
      <c r="CJ3" s="1839"/>
      <c r="CK3" s="1839"/>
      <c r="CL3" s="1839"/>
      <c r="CM3" s="1839"/>
      <c r="CN3" s="1839"/>
      <c r="CO3" s="1839"/>
      <c r="CP3" s="1839"/>
      <c r="CQ3" s="1839"/>
      <c r="CR3" s="1839"/>
      <c r="CS3" s="1839"/>
      <c r="CT3" s="1839"/>
      <c r="CU3" s="1839"/>
      <c r="CV3" s="1839"/>
      <c r="CW3" s="1839"/>
      <c r="CX3" s="1839"/>
      <c r="CY3" s="1839"/>
      <c r="CZ3" s="1840"/>
      <c r="DA3" s="1839"/>
      <c r="DB3" s="1839"/>
      <c r="DC3" s="1839"/>
      <c r="DD3" s="1839"/>
      <c r="DE3" s="1840"/>
      <c r="DF3" s="1839"/>
      <c r="DG3" s="1839"/>
      <c r="DH3" s="1839"/>
      <c r="DI3" s="1839"/>
      <c r="DJ3" s="1840"/>
      <c r="DK3" s="1839"/>
      <c r="DL3" s="1839"/>
      <c r="DM3" s="1839"/>
      <c r="DN3" s="1839"/>
      <c r="DO3" s="1840"/>
      <c r="DP3" s="1839"/>
      <c r="DQ3" s="1839"/>
      <c r="DR3" s="1839"/>
      <c r="DS3" s="1839"/>
      <c r="DT3" s="1840"/>
      <c r="DU3" s="1839"/>
      <c r="DV3" s="1839"/>
      <c r="DW3" s="1839"/>
      <c r="DX3" s="1839"/>
      <c r="DY3" s="1840"/>
      <c r="DZ3" s="1850"/>
      <c r="EA3" s="1850"/>
    </row>
    <row r="4" spans="1:131" ht="12" thickBot="1" x14ac:dyDescent="0.25">
      <c r="A4" s="1842"/>
      <c r="B4" s="1015"/>
      <c r="C4" s="1838"/>
      <c r="D4" s="1838"/>
      <c r="E4" s="1838"/>
      <c r="F4" s="1838"/>
      <c r="G4" s="1838"/>
      <c r="H4" s="1838"/>
      <c r="I4" s="1838"/>
      <c r="J4" s="1838"/>
      <c r="K4" s="1838"/>
      <c r="L4" s="1838"/>
      <c r="M4" s="1838"/>
      <c r="N4" s="1838"/>
      <c r="O4" s="1838"/>
      <c r="P4" s="1838"/>
      <c r="Q4" s="1838"/>
      <c r="R4" s="1838"/>
      <c r="S4" s="1838"/>
      <c r="T4" s="1838"/>
      <c r="U4" s="1838"/>
      <c r="V4" s="1838"/>
      <c r="W4" s="1838"/>
      <c r="X4" s="1838"/>
      <c r="Y4" s="1838"/>
      <c r="Z4" s="1838"/>
      <c r="AA4" s="1838"/>
      <c r="AB4" s="1838"/>
      <c r="AC4" s="1838"/>
      <c r="AD4" s="1838"/>
      <c r="AE4" s="1838"/>
      <c r="AF4" s="1838"/>
      <c r="AG4" s="1838"/>
      <c r="AH4" s="1838"/>
      <c r="AI4" s="1838"/>
      <c r="AJ4" s="1838"/>
      <c r="AK4" s="1838"/>
      <c r="AL4" s="1838"/>
      <c r="AM4" s="1838"/>
      <c r="AN4" s="650"/>
      <c r="AO4" s="650"/>
      <c r="AP4" s="650"/>
      <c r="AQ4" s="650"/>
      <c r="AR4" s="1833"/>
      <c r="AS4" s="650"/>
      <c r="AT4" s="650"/>
      <c r="AU4" s="650"/>
      <c r="AV4" s="650"/>
      <c r="AW4" s="1833"/>
      <c r="AX4" s="650"/>
      <c r="AY4" s="650"/>
      <c r="AZ4" s="650"/>
      <c r="BA4" s="650"/>
      <c r="BB4" s="1833"/>
      <c r="BC4" s="650"/>
      <c r="BD4" s="650"/>
      <c r="BE4" s="650"/>
      <c r="BF4" s="650"/>
      <c r="BG4" s="1833"/>
      <c r="BH4" s="650"/>
      <c r="BI4" s="650"/>
      <c r="BJ4" s="650"/>
      <c r="BK4" s="650"/>
      <c r="BL4" s="1833"/>
      <c r="BM4" s="650"/>
      <c r="BN4" s="650"/>
      <c r="BO4" s="650"/>
      <c r="BP4" s="650"/>
      <c r="BQ4" s="1833"/>
      <c r="BR4" s="650"/>
      <c r="BS4" s="650"/>
      <c r="BT4" s="650"/>
      <c r="BU4" s="650"/>
      <c r="BV4" s="1833"/>
      <c r="BW4" s="650"/>
      <c r="BX4" s="650"/>
      <c r="BY4" s="650"/>
      <c r="BZ4" s="650"/>
      <c r="CA4" s="1833"/>
      <c r="CB4" s="650"/>
      <c r="CC4" s="650"/>
      <c r="CD4" s="650"/>
      <c r="CE4" s="650"/>
      <c r="CF4" s="1833"/>
      <c r="CG4" s="650"/>
      <c r="CH4" s="650"/>
      <c r="CI4" s="650"/>
      <c r="CJ4" s="650"/>
      <c r="CK4" s="1833"/>
      <c r="CL4" s="650"/>
      <c r="CM4" s="650"/>
      <c r="CN4" s="650"/>
      <c r="CO4" s="650"/>
      <c r="CP4" s="1833"/>
      <c r="CQ4" s="650"/>
      <c r="CR4" s="650"/>
      <c r="CS4" s="650"/>
      <c r="CT4" s="650"/>
      <c r="CU4" s="1833"/>
      <c r="CV4" s="650"/>
      <c r="CW4" s="650"/>
      <c r="CX4" s="650"/>
      <c r="CY4" s="650"/>
      <c r="CZ4" s="2132"/>
      <c r="DA4" s="650"/>
      <c r="DB4" s="650"/>
      <c r="DC4" s="650"/>
      <c r="DD4" s="650"/>
      <c r="DE4" s="2574"/>
      <c r="DF4" s="650"/>
      <c r="DG4" s="650"/>
      <c r="DH4" s="650"/>
      <c r="DI4" s="650"/>
      <c r="DJ4" s="2132"/>
      <c r="DK4" s="650"/>
      <c r="DL4" s="650"/>
      <c r="DM4" s="650"/>
      <c r="DN4" s="650"/>
      <c r="DO4" s="2132"/>
      <c r="DP4" s="650"/>
      <c r="DQ4" s="650"/>
      <c r="DR4" s="650"/>
      <c r="DS4" s="650"/>
      <c r="DT4" s="2132"/>
      <c r="DU4" s="650"/>
      <c r="DV4" s="650"/>
      <c r="DW4" s="650"/>
      <c r="DX4" s="650"/>
      <c r="DY4" s="2132"/>
      <c r="DZ4" s="1848"/>
      <c r="EA4" s="1848"/>
    </row>
    <row r="5" spans="1:131" ht="12.75" thickBot="1" x14ac:dyDescent="0.25">
      <c r="A5" s="1984"/>
      <c r="B5" s="1016" t="s">
        <v>975</v>
      </c>
      <c r="C5" s="302"/>
      <c r="D5" s="302"/>
      <c r="E5" s="47" t="s">
        <v>54</v>
      </c>
      <c r="F5" s="48"/>
      <c r="G5" s="48"/>
      <c r="H5" s="48"/>
      <c r="I5" s="49"/>
      <c r="J5" s="48" t="s">
        <v>55</v>
      </c>
      <c r="K5" s="48"/>
      <c r="L5" s="48"/>
      <c r="M5" s="48"/>
      <c r="N5" s="49"/>
      <c r="O5" s="48" t="s">
        <v>56</v>
      </c>
      <c r="P5" s="48"/>
      <c r="Q5" s="48"/>
      <c r="R5" s="48"/>
      <c r="S5" s="49"/>
      <c r="T5" s="48" t="s">
        <v>57</v>
      </c>
      <c r="U5" s="48"/>
      <c r="V5" s="48"/>
      <c r="W5" s="48"/>
      <c r="X5" s="49"/>
      <c r="Y5" s="48" t="s">
        <v>58</v>
      </c>
      <c r="Z5" s="48"/>
      <c r="AA5" s="48"/>
      <c r="AB5" s="48"/>
      <c r="AC5" s="49"/>
      <c r="AD5" s="48" t="s">
        <v>59</v>
      </c>
      <c r="AE5" s="48"/>
      <c r="AF5" s="48"/>
      <c r="AG5" s="48"/>
      <c r="AH5" s="49"/>
      <c r="AI5" s="48" t="s">
        <v>60</v>
      </c>
      <c r="AJ5" s="48"/>
      <c r="AK5" s="48"/>
      <c r="AL5" s="48"/>
      <c r="AM5" s="49"/>
      <c r="AN5" s="48" t="s">
        <v>61</v>
      </c>
      <c r="AO5" s="48"/>
      <c r="AP5" s="48"/>
      <c r="AQ5" s="48"/>
      <c r="AR5" s="49"/>
      <c r="AS5" s="48" t="s">
        <v>62</v>
      </c>
      <c r="AT5" s="48"/>
      <c r="AU5" s="48"/>
      <c r="AV5" s="48"/>
      <c r="AW5" s="49"/>
      <c r="AX5" s="48" t="s">
        <v>63</v>
      </c>
      <c r="AY5" s="48"/>
      <c r="AZ5" s="48"/>
      <c r="BA5" s="48"/>
      <c r="BB5" s="49"/>
      <c r="BC5" s="48" t="s">
        <v>64</v>
      </c>
      <c r="BD5" s="48"/>
      <c r="BE5" s="48"/>
      <c r="BF5" s="48"/>
      <c r="BG5" s="49"/>
      <c r="BH5" s="48" t="s">
        <v>65</v>
      </c>
      <c r="BI5" s="48"/>
      <c r="BJ5" s="48"/>
      <c r="BK5" s="48"/>
      <c r="BL5" s="49"/>
      <c r="BM5" s="48" t="s">
        <v>66</v>
      </c>
      <c r="BN5" s="48"/>
      <c r="BO5" s="48"/>
      <c r="BP5" s="48"/>
      <c r="BQ5" s="49"/>
      <c r="BR5" s="48" t="s">
        <v>67</v>
      </c>
      <c r="BS5" s="48"/>
      <c r="BT5" s="48"/>
      <c r="BU5" s="48"/>
      <c r="BV5" s="49"/>
      <c r="BW5" s="48" t="s">
        <v>68</v>
      </c>
      <c r="BX5" s="48"/>
      <c r="BY5" s="48"/>
      <c r="BZ5" s="48"/>
      <c r="CA5" s="49"/>
      <c r="CB5" s="48" t="s">
        <v>69</v>
      </c>
      <c r="CC5" s="48"/>
      <c r="CD5" s="48"/>
      <c r="CE5" s="48"/>
      <c r="CF5" s="49"/>
      <c r="CG5" s="48" t="s">
        <v>70</v>
      </c>
      <c r="CH5" s="48"/>
      <c r="CI5" s="48"/>
      <c r="CJ5" s="48"/>
      <c r="CK5" s="49"/>
      <c r="CL5" s="48" t="s">
        <v>71</v>
      </c>
      <c r="CM5" s="48"/>
      <c r="CN5" s="48"/>
      <c r="CO5" s="48"/>
      <c r="CP5" s="49"/>
      <c r="CQ5" s="48" t="s">
        <v>72</v>
      </c>
      <c r="CR5" s="48"/>
      <c r="CS5" s="48"/>
      <c r="CT5" s="48"/>
      <c r="CU5" s="49"/>
      <c r="CV5" s="48" t="s">
        <v>73</v>
      </c>
      <c r="CW5" s="48"/>
      <c r="CX5" s="48"/>
      <c r="CY5" s="48"/>
      <c r="CZ5" s="1017"/>
      <c r="DA5" s="48" t="str">
        <f>IS!DA5</f>
        <v>Fiscal Year End, Dec 31 2016</v>
      </c>
      <c r="DB5" s="48"/>
      <c r="DC5" s="48"/>
      <c r="DD5" s="48"/>
      <c r="DE5" s="1017"/>
      <c r="DF5" s="48" t="str">
        <f>IS!DF5</f>
        <v>Fiscal Year End, Dec 31 2017</v>
      </c>
      <c r="DG5" s="48"/>
      <c r="DH5" s="48"/>
      <c r="DI5" s="48"/>
      <c r="DJ5" s="1017"/>
      <c r="DK5" s="48" t="str">
        <f>IS!DK5</f>
        <v>Fiscal Year End, Dec 31 2018</v>
      </c>
      <c r="DL5" s="48"/>
      <c r="DM5" s="48"/>
      <c r="DN5" s="48"/>
      <c r="DO5" s="1017"/>
      <c r="DP5" s="48" t="str">
        <f>IS!DP5</f>
        <v>Fiscal Year End, Dec 31 2019</v>
      </c>
      <c r="DQ5" s="48"/>
      <c r="DR5" s="48"/>
      <c r="DS5" s="48"/>
      <c r="DT5" s="1017"/>
      <c r="DU5" s="48" t="str">
        <f>IS!DU5</f>
        <v>Fiscal Year End, Dec 31 2020</v>
      </c>
      <c r="DV5" s="48"/>
      <c r="DW5" s="48"/>
      <c r="DX5" s="48"/>
      <c r="DY5" s="1017"/>
      <c r="DZ5" s="1850"/>
      <c r="EA5" s="1850"/>
    </row>
    <row r="6" spans="1:131" ht="14.25" customHeight="1" thickBot="1" x14ac:dyDescent="0.25">
      <c r="A6" s="1984"/>
      <c r="B6" s="1845" t="s">
        <v>74</v>
      </c>
      <c r="C6" s="1818"/>
      <c r="D6" s="1846"/>
      <c r="E6" s="303" t="str">
        <f>IS!E6</f>
        <v>1Q96A</v>
      </c>
      <c r="F6" s="304" t="str">
        <f>IS!F6</f>
        <v>2Q96A</v>
      </c>
      <c r="G6" s="304" t="str">
        <f>IS!G6</f>
        <v>3Q96A</v>
      </c>
      <c r="H6" s="304" t="str">
        <f>IS!H6</f>
        <v>4Q96A</v>
      </c>
      <c r="I6" s="55" t="str">
        <f>IS!I6</f>
        <v>1996A</v>
      </c>
      <c r="J6" s="304" t="str">
        <f>IS!J6</f>
        <v>1Q97A</v>
      </c>
      <c r="K6" s="304" t="str">
        <f>IS!K6</f>
        <v>2Q97A</v>
      </c>
      <c r="L6" s="304" t="str">
        <f>IS!L6</f>
        <v>3Q97A</v>
      </c>
      <c r="M6" s="304" t="str">
        <f>IS!M6</f>
        <v>4Q97A</v>
      </c>
      <c r="N6" s="55" t="str">
        <f>IS!N6</f>
        <v>1997A</v>
      </c>
      <c r="O6" s="304" t="str">
        <f>IS!O6</f>
        <v>1Q98A</v>
      </c>
      <c r="P6" s="304" t="str">
        <f>IS!P6</f>
        <v>2Q98A</v>
      </c>
      <c r="Q6" s="304" t="str">
        <f>IS!Q6</f>
        <v>3Q98A</v>
      </c>
      <c r="R6" s="304" t="str">
        <f>IS!R6</f>
        <v>4Q98A</v>
      </c>
      <c r="S6" s="55" t="str">
        <f>IS!S6</f>
        <v>1998A</v>
      </c>
      <c r="T6" s="304" t="str">
        <f>IS!T6</f>
        <v>1Q99A</v>
      </c>
      <c r="U6" s="304" t="str">
        <f>IS!U6</f>
        <v>2Q99A</v>
      </c>
      <c r="V6" s="304" t="str">
        <f>IS!V6</f>
        <v>3Q99A</v>
      </c>
      <c r="W6" s="304" t="str">
        <f>IS!W6</f>
        <v>4Q99A</v>
      </c>
      <c r="X6" s="55" t="str">
        <f>IS!X6</f>
        <v>1999A</v>
      </c>
      <c r="Y6" s="304" t="str">
        <f>IS!Y6</f>
        <v>1Q00A</v>
      </c>
      <c r="Z6" s="304" t="str">
        <f>IS!Z6</f>
        <v>2Q00A</v>
      </c>
      <c r="AA6" s="304" t="str">
        <f>IS!AA6</f>
        <v>3Q00A</v>
      </c>
      <c r="AB6" s="304" t="str">
        <f>IS!AB6</f>
        <v>4Q00A</v>
      </c>
      <c r="AC6" s="55" t="str">
        <f>IS!AC6</f>
        <v>2000A</v>
      </c>
      <c r="AD6" s="304" t="str">
        <f>IS!AD6</f>
        <v>1Q01A</v>
      </c>
      <c r="AE6" s="304" t="str">
        <f>IS!AE6</f>
        <v>2Q01A</v>
      </c>
      <c r="AF6" s="304" t="str">
        <f>IS!AF6</f>
        <v>3Q01A</v>
      </c>
      <c r="AG6" s="304" t="str">
        <f>IS!AG6</f>
        <v>4Q01A</v>
      </c>
      <c r="AH6" s="55" t="str">
        <f>IS!AH6</f>
        <v>2001A</v>
      </c>
      <c r="AI6" s="304" t="str">
        <f>IS!AI6</f>
        <v>1Q02A</v>
      </c>
      <c r="AJ6" s="304" t="str">
        <f>IS!AJ6</f>
        <v>2Q02A</v>
      </c>
      <c r="AK6" s="304" t="str">
        <f>IS!AK6</f>
        <v>3Q02A</v>
      </c>
      <c r="AL6" s="304" t="str">
        <f>IS!AL6</f>
        <v>4Q02A</v>
      </c>
      <c r="AM6" s="55" t="str">
        <f>IS!AM6</f>
        <v>2002A</v>
      </c>
      <c r="AN6" s="304" t="str">
        <f>IS!AN6</f>
        <v>1Q03A</v>
      </c>
      <c r="AO6" s="304" t="str">
        <f>IS!AO6</f>
        <v>2Q03A</v>
      </c>
      <c r="AP6" s="304" t="str">
        <f>IS!AP6</f>
        <v>3Q03A</v>
      </c>
      <c r="AQ6" s="304" t="str">
        <f>IS!AQ6</f>
        <v>4Q03A</v>
      </c>
      <c r="AR6" s="55" t="str">
        <f>IS!AR6</f>
        <v>2003A</v>
      </c>
      <c r="AS6" s="304" t="str">
        <f>IS!AS6</f>
        <v>1QA</v>
      </c>
      <c r="AT6" s="304" t="str">
        <f>IS!AT6</f>
        <v>2QA</v>
      </c>
      <c r="AU6" s="304" t="str">
        <f>IS!AU6</f>
        <v>3QA</v>
      </c>
      <c r="AV6" s="304" t="str">
        <f>IS!AV6</f>
        <v>4QA</v>
      </c>
      <c r="AW6" s="55" t="str">
        <f>IS!AW6</f>
        <v>2004A</v>
      </c>
      <c r="AX6" s="304" t="str">
        <f>IS!AX6</f>
        <v>1QA</v>
      </c>
      <c r="AY6" s="304" t="str">
        <f>IS!AY6</f>
        <v>2QA</v>
      </c>
      <c r="AZ6" s="304" t="str">
        <f>IS!AZ6</f>
        <v>3QA</v>
      </c>
      <c r="BA6" s="304" t="str">
        <f>IS!BA6</f>
        <v>4QA</v>
      </c>
      <c r="BB6" s="55" t="str">
        <f>IS!BB6</f>
        <v>2005A</v>
      </c>
      <c r="BC6" s="304" t="str">
        <f>IS!BC6</f>
        <v>1QA</v>
      </c>
      <c r="BD6" s="304" t="str">
        <f>IS!BD6</f>
        <v>2QA</v>
      </c>
      <c r="BE6" s="304" t="str">
        <f>IS!BE6</f>
        <v>3QA</v>
      </c>
      <c r="BF6" s="304" t="str">
        <f>IS!BF6</f>
        <v>4QA</v>
      </c>
      <c r="BG6" s="55" t="str">
        <f>IS!BG6</f>
        <v>2006A</v>
      </c>
      <c r="BH6" s="304" t="str">
        <f>IS!BH6</f>
        <v>1QA</v>
      </c>
      <c r="BI6" s="304" t="str">
        <f>IS!BI6</f>
        <v>2QA</v>
      </c>
      <c r="BJ6" s="304" t="str">
        <f>IS!BJ6</f>
        <v>3QA</v>
      </c>
      <c r="BK6" s="304" t="str">
        <f>IS!BK6</f>
        <v>4QA</v>
      </c>
      <c r="BL6" s="55" t="str">
        <f>IS!BL6</f>
        <v>2007A</v>
      </c>
      <c r="BM6" s="304" t="str">
        <f>IS!BM6</f>
        <v>1QA</v>
      </c>
      <c r="BN6" s="304" t="str">
        <f>IS!BN6</f>
        <v>2QA</v>
      </c>
      <c r="BO6" s="304" t="str">
        <f>IS!BO6</f>
        <v>3QA</v>
      </c>
      <c r="BP6" s="304" t="str">
        <f>IS!BP6</f>
        <v>4QA</v>
      </c>
      <c r="BQ6" s="55" t="str">
        <f>IS!BQ6</f>
        <v>2008A</v>
      </c>
      <c r="BR6" s="304" t="str">
        <f>IS!BR6</f>
        <v>1QA</v>
      </c>
      <c r="BS6" s="304" t="str">
        <f>IS!BS6</f>
        <v>2QA</v>
      </c>
      <c r="BT6" s="304" t="str">
        <f>IS!BT6</f>
        <v>3QA</v>
      </c>
      <c r="BU6" s="304" t="str">
        <f>IS!BU6</f>
        <v>4QA</v>
      </c>
      <c r="BV6" s="55" t="str">
        <f>IS!BV6</f>
        <v>2009A</v>
      </c>
      <c r="BW6" s="304" t="str">
        <f>IS!BW6</f>
        <v>1QA</v>
      </c>
      <c r="BX6" s="304" t="str">
        <f>IS!BX6</f>
        <v>2QA</v>
      </c>
      <c r="BY6" s="304" t="str">
        <f>IS!BY6</f>
        <v>3QA</v>
      </c>
      <c r="BZ6" s="304" t="str">
        <f>IS!BZ6</f>
        <v>4QA</v>
      </c>
      <c r="CA6" s="55" t="str">
        <f>IS!CA6</f>
        <v>2010A</v>
      </c>
      <c r="CB6" s="304" t="str">
        <f>IS!CB6</f>
        <v>1QA</v>
      </c>
      <c r="CC6" s="304" t="str">
        <f>IS!CC6</f>
        <v>2QA</v>
      </c>
      <c r="CD6" s="304" t="str">
        <f>IS!CD6</f>
        <v>3QA</v>
      </c>
      <c r="CE6" s="304" t="str">
        <f>IS!CE6</f>
        <v>4QA</v>
      </c>
      <c r="CF6" s="55" t="str">
        <f>IS!CF6</f>
        <v>2011A</v>
      </c>
      <c r="CG6" s="304" t="str">
        <f>IS!CG6</f>
        <v>1QA</v>
      </c>
      <c r="CH6" s="304" t="str">
        <f>IS!CH6</f>
        <v>2QA</v>
      </c>
      <c r="CI6" s="304" t="str">
        <f>IS!CI6</f>
        <v>3QA</v>
      </c>
      <c r="CJ6" s="304" t="str">
        <f>IS!CJ6</f>
        <v>4QA</v>
      </c>
      <c r="CK6" s="55" t="str">
        <f>IS!CK6</f>
        <v>2012A</v>
      </c>
      <c r="CL6" s="304" t="str">
        <f>IS!CL6</f>
        <v>1QA</v>
      </c>
      <c r="CM6" s="304" t="str">
        <f>IS!CM6</f>
        <v>2QA</v>
      </c>
      <c r="CN6" s="304" t="str">
        <f>IS!CN6</f>
        <v>3QA</v>
      </c>
      <c r="CO6" s="304" t="str">
        <f>IS!CO6</f>
        <v>4QA</v>
      </c>
      <c r="CP6" s="55" t="str">
        <f>IS!CP6</f>
        <v>2013A</v>
      </c>
      <c r="CQ6" s="304" t="str">
        <f>IS!CQ6</f>
        <v>1QA</v>
      </c>
      <c r="CR6" s="304" t="str">
        <f>IS!CR6</f>
        <v>2QA</v>
      </c>
      <c r="CS6" s="304" t="str">
        <f>IS!CS6</f>
        <v>3QA</v>
      </c>
      <c r="CT6" s="304" t="str">
        <f>IS!CT6</f>
        <v>4QA</v>
      </c>
      <c r="CU6" s="55" t="str">
        <f>IS!CU6</f>
        <v>2014A</v>
      </c>
      <c r="CV6" s="304" t="str">
        <f>IS!CV6</f>
        <v>1QA</v>
      </c>
      <c r="CW6" s="304" t="str">
        <f>IS!CW6</f>
        <v>2QA</v>
      </c>
      <c r="CX6" s="304" t="str">
        <f>IS!CX6</f>
        <v>3QA</v>
      </c>
      <c r="CY6" s="304" t="str">
        <f>IS!CY6</f>
        <v>4QA</v>
      </c>
      <c r="CZ6" s="55" t="str">
        <f>IS!CZ6</f>
        <v>2015A</v>
      </c>
      <c r="DA6" s="304" t="str">
        <f>IS!DA6</f>
        <v>1QA</v>
      </c>
      <c r="DB6" s="304" t="str">
        <f>IS!DB6</f>
        <v>2QA</v>
      </c>
      <c r="DC6" s="304" t="str">
        <f>IS!DC6</f>
        <v>3QA</v>
      </c>
      <c r="DD6" s="304" t="str">
        <f>IS!DD6</f>
        <v>4QA</v>
      </c>
      <c r="DE6" s="55" t="str">
        <f>IS!DE6</f>
        <v>2016A</v>
      </c>
      <c r="DF6" s="304" t="str">
        <f>IS!DF6</f>
        <v>1QA</v>
      </c>
      <c r="DG6" s="304" t="str">
        <f>IS!DG6</f>
        <v>2QA</v>
      </c>
      <c r="DH6" s="304" t="str">
        <f>IS!DH6</f>
        <v>3QA</v>
      </c>
      <c r="DI6" s="304" t="str">
        <f>IS!DI6</f>
        <v>4QA</v>
      </c>
      <c r="DJ6" s="55" t="str">
        <f>IS!DJ6</f>
        <v>2017A</v>
      </c>
      <c r="DK6" s="304" t="str">
        <f>IS!DK6</f>
        <v>1QE</v>
      </c>
      <c r="DL6" s="304" t="str">
        <f>IS!DL6</f>
        <v>2QE</v>
      </c>
      <c r="DM6" s="304" t="str">
        <f>IS!DM6</f>
        <v>3QE</v>
      </c>
      <c r="DN6" s="304" t="str">
        <f>IS!DN6</f>
        <v>4QE</v>
      </c>
      <c r="DO6" s="55" t="str">
        <f>IS!DO6</f>
        <v>2018E</v>
      </c>
      <c r="DP6" s="304" t="str">
        <f>IS!DP6</f>
        <v>1QE</v>
      </c>
      <c r="DQ6" s="304" t="str">
        <f>IS!DQ6</f>
        <v>2QE</v>
      </c>
      <c r="DR6" s="304" t="str">
        <f>IS!DR6</f>
        <v>3QE</v>
      </c>
      <c r="DS6" s="304" t="str">
        <f>IS!DS6</f>
        <v>4QE</v>
      </c>
      <c r="DT6" s="55" t="str">
        <f>IS!DT6</f>
        <v>2019E</v>
      </c>
      <c r="DU6" s="304" t="str">
        <f>IS!DU6</f>
        <v>1QE</v>
      </c>
      <c r="DV6" s="304" t="str">
        <f>IS!DV6</f>
        <v>2QE</v>
      </c>
      <c r="DW6" s="304" t="str">
        <f>IS!DW6</f>
        <v>3QE</v>
      </c>
      <c r="DX6" s="304" t="str">
        <f>IS!DX6</f>
        <v>4QE</v>
      </c>
      <c r="DY6" s="55" t="str">
        <f>IS!DY6</f>
        <v>2020E</v>
      </c>
      <c r="DZ6" s="1850"/>
      <c r="EA6" s="1850"/>
    </row>
    <row r="7" spans="1:131" ht="11.25" customHeight="1" thickBot="1" x14ac:dyDescent="0.25">
      <c r="A7" s="1984"/>
      <c r="B7" s="2133"/>
      <c r="C7" s="1943"/>
      <c r="D7" s="1943"/>
      <c r="E7" s="1850"/>
      <c r="F7" s="1850"/>
      <c r="G7" s="2056"/>
      <c r="H7" s="1984"/>
      <c r="I7" s="2134"/>
      <c r="J7" s="1850"/>
      <c r="K7" s="1850"/>
      <c r="L7" s="2135"/>
      <c r="M7" s="2135"/>
      <c r="N7" s="2134"/>
      <c r="O7" s="1850"/>
      <c r="P7" s="1850"/>
      <c r="Q7" s="2135"/>
      <c r="R7" s="2135"/>
      <c r="S7" s="2134"/>
      <c r="T7" s="1850"/>
      <c r="U7" s="1850"/>
      <c r="V7" s="2135"/>
      <c r="W7" s="2135"/>
      <c r="X7" s="2134"/>
      <c r="Y7" s="1850"/>
      <c r="Z7" s="1850"/>
      <c r="AA7" s="2135"/>
      <c r="AB7" s="2135"/>
      <c r="AC7" s="2134"/>
      <c r="AD7" s="1850"/>
      <c r="AE7" s="1850"/>
      <c r="AF7" s="2135"/>
      <c r="AG7" s="2135"/>
      <c r="AH7" s="2134"/>
      <c r="AI7" s="1850"/>
      <c r="AJ7" s="1850"/>
      <c r="AK7" s="2135"/>
      <c r="AL7" s="2135"/>
      <c r="AM7" s="2134"/>
      <c r="AN7" s="1850"/>
      <c r="AO7" s="1850"/>
      <c r="AP7" s="2136"/>
      <c r="AQ7" s="2056"/>
      <c r="AR7" s="2134"/>
      <c r="AS7" s="1984"/>
      <c r="AT7" s="2137"/>
      <c r="AU7" s="2135"/>
      <c r="AV7" s="2135"/>
      <c r="AW7" s="2134"/>
      <c r="AX7" s="1850"/>
      <c r="AY7" s="1850"/>
      <c r="AZ7" s="2135"/>
      <c r="BA7" s="2135"/>
      <c r="BB7" s="2134"/>
      <c r="BC7" s="1850"/>
      <c r="BD7" s="1850"/>
      <c r="BE7" s="2135"/>
      <c r="BF7" s="2135"/>
      <c r="BG7" s="2134"/>
      <c r="BH7" s="2135"/>
      <c r="BI7" s="2135"/>
      <c r="BJ7" s="2135"/>
      <c r="BK7" s="1984"/>
      <c r="BL7" s="2134"/>
      <c r="BM7" s="1850"/>
      <c r="BN7" s="1850"/>
      <c r="BO7" s="1850"/>
      <c r="BP7" s="1850"/>
      <c r="BQ7" s="2134"/>
      <c r="BR7" s="1850"/>
      <c r="BS7" s="1850"/>
      <c r="BT7" s="1850"/>
      <c r="BU7" s="1850"/>
      <c r="BV7" s="2134"/>
      <c r="BW7" s="1850"/>
      <c r="BX7" s="1850"/>
      <c r="BY7" s="1850"/>
      <c r="BZ7" s="1850"/>
      <c r="CA7" s="2134"/>
      <c r="CB7" s="1850"/>
      <c r="CC7" s="1850"/>
      <c r="CD7" s="1850"/>
      <c r="CE7" s="1850"/>
      <c r="CF7" s="2134"/>
      <c r="CG7" s="1850"/>
      <c r="CH7" s="1850"/>
      <c r="CI7" s="1850"/>
      <c r="CJ7" s="1850"/>
      <c r="CK7" s="2134"/>
      <c r="CL7" s="1850"/>
      <c r="CM7" s="1850"/>
      <c r="CN7" s="1850"/>
      <c r="CO7" s="1850"/>
      <c r="CP7" s="2134"/>
      <c r="CQ7" s="1850"/>
      <c r="CR7" s="1850"/>
      <c r="CS7" s="1850"/>
      <c r="CT7" s="1850"/>
      <c r="CU7" s="2134"/>
      <c r="CV7" s="1850"/>
      <c r="CW7" s="1850"/>
      <c r="CX7" s="1850"/>
      <c r="CY7" s="1850"/>
      <c r="CZ7" s="2134"/>
      <c r="DA7" s="1850"/>
      <c r="DB7" s="1850"/>
      <c r="DC7" s="1850"/>
      <c r="DD7" s="1850"/>
      <c r="DE7" s="2134"/>
      <c r="DF7" s="1850"/>
      <c r="DG7" s="1850"/>
      <c r="DH7" s="1850"/>
      <c r="DI7" s="1850"/>
      <c r="DJ7" s="2134"/>
      <c r="DK7" s="1850"/>
      <c r="DL7" s="1850"/>
      <c r="DM7" s="1850"/>
      <c r="DN7" s="1850"/>
      <c r="DO7" s="2134"/>
      <c r="DP7" s="1850"/>
      <c r="DQ7" s="1850"/>
      <c r="DR7" s="1850"/>
      <c r="DS7" s="1850"/>
      <c r="DT7" s="2134"/>
      <c r="DU7" s="1850"/>
      <c r="DV7" s="1850"/>
      <c r="DW7" s="1850"/>
      <c r="DX7" s="1850"/>
      <c r="DY7" s="2134"/>
      <c r="DZ7" s="1850"/>
      <c r="EA7" s="1850"/>
    </row>
    <row r="8" spans="1:131" x14ac:dyDescent="0.2">
      <c r="A8" s="1984"/>
      <c r="B8" s="2138"/>
      <c r="C8" s="2139"/>
      <c r="D8" s="2139"/>
      <c r="E8" s="2139"/>
      <c r="F8" s="2139"/>
      <c r="G8" s="2139"/>
      <c r="H8" s="2139"/>
      <c r="I8" s="2140"/>
      <c r="J8" s="2139"/>
      <c r="K8" s="2139"/>
      <c r="L8" s="2139"/>
      <c r="M8" s="2139"/>
      <c r="N8" s="2140"/>
      <c r="O8" s="2139"/>
      <c r="P8" s="2139"/>
      <c r="Q8" s="2139"/>
      <c r="R8" s="2139"/>
      <c r="S8" s="2140"/>
      <c r="T8" s="2139"/>
      <c r="U8" s="2139"/>
      <c r="V8" s="2139"/>
      <c r="W8" s="2139"/>
      <c r="X8" s="2140"/>
      <c r="Y8" s="2139"/>
      <c r="Z8" s="2139"/>
      <c r="AA8" s="2139"/>
      <c r="AB8" s="2139"/>
      <c r="AC8" s="2140"/>
      <c r="AD8" s="2139"/>
      <c r="AE8" s="2139"/>
      <c r="AF8" s="2139"/>
      <c r="AG8" s="2139"/>
      <c r="AH8" s="2140"/>
      <c r="AI8" s="2139"/>
      <c r="AJ8" s="2139"/>
      <c r="AK8" s="2139"/>
      <c r="AL8" s="2139"/>
      <c r="AM8" s="2140"/>
      <c r="AN8" s="2139"/>
      <c r="AO8" s="2139"/>
      <c r="AP8" s="2139"/>
      <c r="AQ8" s="2139"/>
      <c r="AR8" s="2140"/>
      <c r="AS8" s="2139"/>
      <c r="AT8" s="2141"/>
      <c r="AU8" s="2139"/>
      <c r="AV8" s="2139"/>
      <c r="AW8" s="2140"/>
      <c r="AX8" s="2139"/>
      <c r="AY8" s="2139"/>
      <c r="AZ8" s="2139"/>
      <c r="BA8" s="2139"/>
      <c r="BB8" s="2140"/>
      <c r="BC8" s="2139"/>
      <c r="BD8" s="2139"/>
      <c r="BE8" s="2139"/>
      <c r="BF8" s="2139"/>
      <c r="BG8" s="2140"/>
      <c r="BH8" s="2139"/>
      <c r="BI8" s="2139"/>
      <c r="BJ8" s="2139"/>
      <c r="BK8" s="2139"/>
      <c r="BL8" s="2140"/>
      <c r="BM8" s="2139"/>
      <c r="BN8" s="2139"/>
      <c r="BO8" s="2139"/>
      <c r="BP8" s="2139"/>
      <c r="BQ8" s="2140"/>
      <c r="BR8" s="2139"/>
      <c r="BS8" s="2139"/>
      <c r="BT8" s="2139"/>
      <c r="BU8" s="2139"/>
      <c r="BV8" s="2140"/>
      <c r="BW8" s="2139"/>
      <c r="BX8" s="2139"/>
      <c r="BY8" s="2139"/>
      <c r="BZ8" s="2139"/>
      <c r="CA8" s="2140"/>
      <c r="CB8" s="2139"/>
      <c r="CC8" s="2139"/>
      <c r="CD8" s="2139"/>
      <c r="CE8" s="2139"/>
      <c r="CF8" s="2140"/>
      <c r="CG8" s="2139"/>
      <c r="CH8" s="2139"/>
      <c r="CI8" s="2139"/>
      <c r="CJ8" s="2139"/>
      <c r="CK8" s="2140"/>
      <c r="CL8" s="2139"/>
      <c r="CM8" s="2139"/>
      <c r="CN8" s="2139"/>
      <c r="CO8" s="2139"/>
      <c r="CP8" s="2140"/>
      <c r="CQ8" s="2139"/>
      <c r="CR8" s="2139"/>
      <c r="CS8" s="2139"/>
      <c r="CT8" s="2139"/>
      <c r="CU8" s="2140"/>
      <c r="CV8" s="2139"/>
      <c r="CW8" s="2139"/>
      <c r="CX8" s="2139"/>
      <c r="CY8" s="2139"/>
      <c r="CZ8" s="2140"/>
      <c r="DA8" s="2139"/>
      <c r="DB8" s="2139"/>
      <c r="DC8" s="2139"/>
      <c r="DD8" s="2139"/>
      <c r="DE8" s="2140"/>
      <c r="DF8" s="2139"/>
      <c r="DG8" s="2139"/>
      <c r="DH8" s="2139"/>
      <c r="DI8" s="2139"/>
      <c r="DJ8" s="2140"/>
      <c r="DK8" s="2139"/>
      <c r="DL8" s="2139"/>
      <c r="DM8" s="2139"/>
      <c r="DN8" s="2139"/>
      <c r="DO8" s="2140"/>
      <c r="DP8" s="2139"/>
      <c r="DQ8" s="2139"/>
      <c r="DR8" s="2139"/>
      <c r="DS8" s="2139"/>
      <c r="DT8" s="2140"/>
      <c r="DU8" s="2139"/>
      <c r="DV8" s="2139"/>
      <c r="DW8" s="2139"/>
      <c r="DX8" s="2139"/>
      <c r="DY8" s="2140"/>
      <c r="DZ8" s="1850"/>
      <c r="EA8" s="1850"/>
    </row>
    <row r="9" spans="1:131" x14ac:dyDescent="0.2">
      <c r="A9" s="1984"/>
      <c r="B9" s="2142" t="str">
        <f>B145</f>
        <v>Identical Store Sales Growth</v>
      </c>
      <c r="C9" s="2143"/>
      <c r="D9" s="1850"/>
      <c r="E9" s="1850"/>
      <c r="F9" s="1850"/>
      <c r="G9" s="1850"/>
      <c r="H9" s="1850"/>
      <c r="I9" s="1851"/>
      <c r="J9" s="1850"/>
      <c r="K9" s="1850"/>
      <c r="L9" s="1850"/>
      <c r="M9" s="1850"/>
      <c r="N9" s="1851"/>
      <c r="O9" s="1850"/>
      <c r="P9" s="1850"/>
      <c r="Q9" s="1850"/>
      <c r="R9" s="1850"/>
      <c r="S9" s="1851"/>
      <c r="T9" s="1850"/>
      <c r="U9" s="1850"/>
      <c r="V9" s="1850"/>
      <c r="W9" s="1850"/>
      <c r="X9" s="1851"/>
      <c r="Y9" s="1850"/>
      <c r="Z9" s="1850"/>
      <c r="AA9" s="1850"/>
      <c r="AB9" s="1850"/>
      <c r="AC9" s="1851"/>
      <c r="AD9" s="1850"/>
      <c r="AE9" s="1850"/>
      <c r="AF9" s="1850"/>
      <c r="AG9" s="1850"/>
      <c r="AH9" s="1851"/>
      <c r="AI9" s="1850"/>
      <c r="AJ9" s="1850"/>
      <c r="AK9" s="1850"/>
      <c r="AL9" s="1850"/>
      <c r="AM9" s="1851"/>
      <c r="AN9" s="1850"/>
      <c r="AO9" s="1850"/>
      <c r="AP9" s="1850"/>
      <c r="AQ9" s="1850"/>
      <c r="AR9" s="1851"/>
      <c r="AS9" s="1984"/>
      <c r="AT9" s="2115"/>
      <c r="AU9" s="1850"/>
      <c r="AV9" s="1850"/>
      <c r="AW9" s="1851"/>
      <c r="AX9" s="1850"/>
      <c r="AY9" s="1850"/>
      <c r="AZ9" s="1850"/>
      <c r="BA9" s="1850"/>
      <c r="BB9" s="1851"/>
      <c r="BC9" s="1850"/>
      <c r="BD9" s="1850"/>
      <c r="BE9" s="1850"/>
      <c r="BF9" s="1850"/>
      <c r="BG9" s="1851"/>
      <c r="BH9" s="1850"/>
      <c r="BI9" s="1850"/>
      <c r="BJ9" s="1850"/>
      <c r="BK9" s="1850"/>
      <c r="BL9" s="1851"/>
      <c r="BM9" s="1850"/>
      <c r="BN9" s="1850"/>
      <c r="BO9" s="1850"/>
      <c r="BP9" s="1850"/>
      <c r="BQ9" s="1851"/>
      <c r="BR9" s="1850"/>
      <c r="BS9" s="1850"/>
      <c r="BT9" s="1850"/>
      <c r="BU9" s="1850"/>
      <c r="BV9" s="1851"/>
      <c r="BW9" s="1850"/>
      <c r="BX9" s="1850"/>
      <c r="BY9" s="1850"/>
      <c r="BZ9" s="1850"/>
      <c r="CA9" s="1851"/>
      <c r="CB9" s="1850"/>
      <c r="CC9" s="1850"/>
      <c r="CD9" s="1850"/>
      <c r="CE9" s="1850"/>
      <c r="CF9" s="1851"/>
      <c r="CG9" s="1850"/>
      <c r="CH9" s="1850"/>
      <c r="CI9" s="1850"/>
      <c r="CJ9" s="1850"/>
      <c r="CK9" s="1851"/>
      <c r="CL9" s="1850"/>
      <c r="CM9" s="1850"/>
      <c r="CN9" s="1850"/>
      <c r="CO9" s="1850"/>
      <c r="CP9" s="1851"/>
      <c r="CQ9" s="1850"/>
      <c r="CR9" s="1850"/>
      <c r="CS9" s="1850"/>
      <c r="CT9" s="1850"/>
      <c r="CU9" s="1851"/>
      <c r="CV9" s="1850"/>
      <c r="CW9" s="1850"/>
      <c r="CX9" s="1850"/>
      <c r="CY9" s="1850"/>
      <c r="CZ9" s="1851"/>
      <c r="DA9" s="1850"/>
      <c r="DB9" s="1850"/>
      <c r="DC9" s="1850"/>
      <c r="DD9" s="1850"/>
      <c r="DE9" s="1851"/>
      <c r="DF9" s="1850"/>
      <c r="DG9" s="1850"/>
      <c r="DH9" s="1850"/>
      <c r="DI9" s="1850"/>
      <c r="DJ9" s="1851"/>
      <c r="DK9" s="1850"/>
      <c r="DL9" s="1850"/>
      <c r="DM9" s="1850"/>
      <c r="DN9" s="1850"/>
      <c r="DO9" s="1851"/>
      <c r="DP9" s="1850"/>
      <c r="DQ9" s="1850"/>
      <c r="DR9" s="1850"/>
      <c r="DS9" s="1850"/>
      <c r="DT9" s="1851"/>
      <c r="DU9" s="1850"/>
      <c r="DV9" s="1850"/>
      <c r="DW9" s="1850"/>
      <c r="DX9" s="1850"/>
      <c r="DY9" s="1851"/>
      <c r="DZ9" s="1850"/>
      <c r="EA9" s="1850"/>
    </row>
    <row r="10" spans="1:131" x14ac:dyDescent="0.2">
      <c r="A10" s="1984"/>
      <c r="B10" s="2144" t="str">
        <f>B146</f>
        <v>Pharmacy</v>
      </c>
      <c r="C10" s="2145"/>
      <c r="D10" s="1984"/>
      <c r="E10" s="1929"/>
      <c r="F10" s="1929"/>
      <c r="G10" s="1929"/>
      <c r="H10" s="1929"/>
      <c r="I10" s="1851"/>
      <c r="J10" s="1929"/>
      <c r="K10" s="1929"/>
      <c r="L10" s="1929"/>
      <c r="M10" s="1929"/>
      <c r="N10" s="2146">
        <f t="shared" ref="N10:BY10" si="0">N146</f>
        <v>0.16700000000000001</v>
      </c>
      <c r="O10" s="2147">
        <f t="shared" si="0"/>
        <v>0.14399999999999999</v>
      </c>
      <c r="P10" s="2147">
        <f t="shared" si="0"/>
        <v>0.154</v>
      </c>
      <c r="Q10" s="2147">
        <f t="shared" si="0"/>
        <v>0.17299999999999999</v>
      </c>
      <c r="R10" s="2147">
        <f t="shared" si="0"/>
        <v>0.185</v>
      </c>
      <c r="S10" s="2146">
        <f t="shared" si="0"/>
        <v>0.16500000000000001</v>
      </c>
      <c r="T10" s="2147">
        <f t="shared" si="0"/>
        <v>0.20399999999999999</v>
      </c>
      <c r="U10" s="2147">
        <f t="shared" si="0"/>
        <v>0.19500000000000001</v>
      </c>
      <c r="V10" s="2147">
        <f t="shared" si="0"/>
        <v>0.17899999999999999</v>
      </c>
      <c r="W10" s="2147">
        <f t="shared" si="0"/>
        <v>0.19700000000000001</v>
      </c>
      <c r="X10" s="2146">
        <f t="shared" si="0"/>
        <v>0.19400000000000001</v>
      </c>
      <c r="Y10" s="2147">
        <f t="shared" si="0"/>
        <v>0.152</v>
      </c>
      <c r="Z10" s="2147">
        <f t="shared" si="0"/>
        <v>0.186</v>
      </c>
      <c r="AA10" s="2147">
        <f t="shared" si="0"/>
        <v>0.187</v>
      </c>
      <c r="AB10" s="2147">
        <f t="shared" si="0"/>
        <v>0.18099999999999999</v>
      </c>
      <c r="AC10" s="2146">
        <f t="shared" si="0"/>
        <v>0.17699999999999999</v>
      </c>
      <c r="AD10" s="2147">
        <f t="shared" si="0"/>
        <v>0.17599999999999999</v>
      </c>
      <c r="AE10" s="2147">
        <f t="shared" si="0"/>
        <v>0.13200000000000001</v>
      </c>
      <c r="AF10" s="2147">
        <f t="shared" si="0"/>
        <v>0.11799999999999999</v>
      </c>
      <c r="AG10" s="2147">
        <f t="shared" si="0"/>
        <v>0.10100000000000001</v>
      </c>
      <c r="AH10" s="2146">
        <f t="shared" si="0"/>
        <v>0.13</v>
      </c>
      <c r="AI10" s="2147">
        <f t="shared" si="0"/>
        <v>0.11700000000000001</v>
      </c>
      <c r="AJ10" s="2147">
        <f t="shared" si="0"/>
        <v>0.123</v>
      </c>
      <c r="AK10" s="2147">
        <f t="shared" si="0"/>
        <v>0.12</v>
      </c>
      <c r="AL10" s="2147">
        <f t="shared" si="0"/>
        <v>0.109</v>
      </c>
      <c r="AM10" s="2146">
        <f t="shared" si="0"/>
        <v>0.11724999999999999</v>
      </c>
      <c r="AN10" s="2147">
        <f t="shared" si="0"/>
        <v>7.0999999999999994E-2</v>
      </c>
      <c r="AO10" s="2147">
        <f t="shared" si="0"/>
        <v>7.4999999999999997E-2</v>
      </c>
      <c r="AP10" s="2147">
        <f t="shared" si="0"/>
        <v>8.5000000000000006E-2</v>
      </c>
      <c r="AQ10" s="2147">
        <f t="shared" si="0"/>
        <v>9.0999999999999998E-2</v>
      </c>
      <c r="AR10" s="2146">
        <f t="shared" si="0"/>
        <v>8.0499999999999988E-2</v>
      </c>
      <c r="AS10" s="2147">
        <f t="shared" si="0"/>
        <v>8.3000000000000004E-2</v>
      </c>
      <c r="AT10" s="2147">
        <f t="shared" si="0"/>
        <v>7.0000000000000007E-2</v>
      </c>
      <c r="AU10" s="2147">
        <f t="shared" si="0"/>
        <v>6.8000000000000005E-2</v>
      </c>
      <c r="AV10" s="2147">
        <f t="shared" si="0"/>
        <v>5.8999999999999997E-2</v>
      </c>
      <c r="AW10" s="2146">
        <f t="shared" si="0"/>
        <v>7.0000000000000007E-2</v>
      </c>
      <c r="AX10" s="2147">
        <f t="shared" si="0"/>
        <v>8.7999999999999995E-2</v>
      </c>
      <c r="AY10" s="2147">
        <f t="shared" si="0"/>
        <v>7.3999999999999996E-2</v>
      </c>
      <c r="AZ10" s="2147">
        <f t="shared" si="0"/>
        <v>5.8000000000000003E-2</v>
      </c>
      <c r="BA10" s="2147">
        <f t="shared" si="0"/>
        <v>6.3E-2</v>
      </c>
      <c r="BB10" s="2146">
        <f t="shared" si="0"/>
        <v>7.0749999999999993E-2</v>
      </c>
      <c r="BC10" s="2147">
        <f t="shared" si="0"/>
        <v>6.8000000000000005E-2</v>
      </c>
      <c r="BD10" s="2147">
        <f t="shared" si="0"/>
        <v>9.0999999999999998E-2</v>
      </c>
      <c r="BE10" s="2147">
        <f t="shared" si="0"/>
        <v>0.10199999999999999</v>
      </c>
      <c r="BF10" s="2147">
        <f t="shared" si="0"/>
        <v>0.10199999999999999</v>
      </c>
      <c r="BG10" s="2146">
        <f t="shared" si="0"/>
        <v>9.0749999999999997E-2</v>
      </c>
      <c r="BH10" s="2147">
        <f t="shared" si="0"/>
        <v>7.8E-2</v>
      </c>
      <c r="BI10" s="2147">
        <f t="shared" si="0"/>
        <v>5.7000000000000002E-2</v>
      </c>
      <c r="BJ10" s="2147">
        <f t="shared" si="0"/>
        <v>4.3490000000000001E-2</v>
      </c>
      <c r="BK10" s="2147">
        <f t="shared" si="0"/>
        <v>3.5799999999999998E-2</v>
      </c>
      <c r="BL10" s="2146">
        <f t="shared" si="0"/>
        <v>5.3572500000000002E-2</v>
      </c>
      <c r="BM10" s="2147">
        <f t="shared" si="0"/>
        <v>4.2999999999999997E-2</v>
      </c>
      <c r="BN10" s="2147">
        <f t="shared" si="0"/>
        <v>3.6999999999999998E-2</v>
      </c>
      <c r="BO10" s="2147">
        <f t="shared" si="0"/>
        <v>3.7999999999999999E-2</v>
      </c>
      <c r="BP10" s="2147">
        <f t="shared" si="0"/>
        <v>4.4999999999999998E-2</v>
      </c>
      <c r="BQ10" s="2146">
        <f t="shared" si="0"/>
        <v>4.0749999999999995E-2</v>
      </c>
      <c r="BR10" s="2147">
        <f t="shared" si="0"/>
        <v>4.5999999999999999E-2</v>
      </c>
      <c r="BS10" s="2147">
        <f t="shared" si="0"/>
        <v>7.4999999999999997E-2</v>
      </c>
      <c r="BT10" s="2147">
        <f t="shared" si="0"/>
        <v>0.08</v>
      </c>
      <c r="BU10" s="2147">
        <f t="shared" si="0"/>
        <v>7.2999999999999995E-2</v>
      </c>
      <c r="BV10" s="2146">
        <f t="shared" si="0"/>
        <v>6.8500000000000005E-2</v>
      </c>
      <c r="BW10" s="2147">
        <f t="shared" si="0"/>
        <v>3.6999999999999998E-2</v>
      </c>
      <c r="BX10" s="2147">
        <f t="shared" si="0"/>
        <v>2.9000000000000001E-2</v>
      </c>
      <c r="BY10" s="2147">
        <f t="shared" si="0"/>
        <v>0.03</v>
      </c>
      <c r="BZ10" s="2147">
        <f t="shared" ref="BZ10:CZ10" si="1">BZ146</f>
        <v>0.02</v>
      </c>
      <c r="CA10" s="2146">
        <f t="shared" si="1"/>
        <v>1.9925672056470889E-2</v>
      </c>
      <c r="CB10" s="2147">
        <f t="shared" si="1"/>
        <v>3.6499999999999998E-2</v>
      </c>
      <c r="CC10" s="2147">
        <f t="shared" si="1"/>
        <v>2.5999999999999999E-2</v>
      </c>
      <c r="CD10" s="1930">
        <f t="shared" si="1"/>
        <v>2.4E-2</v>
      </c>
      <c r="CE10" s="1930">
        <f t="shared" si="1"/>
        <v>3.5999999999999997E-2</v>
      </c>
      <c r="CF10" s="2101">
        <f t="shared" si="1"/>
        <v>3.3677231648929773E-2</v>
      </c>
      <c r="CG10" s="1930">
        <f t="shared" si="1"/>
        <v>9.8000000000000004E-2</v>
      </c>
      <c r="CH10" s="1930">
        <f t="shared" si="1"/>
        <v>7.1999999999999995E-2</v>
      </c>
      <c r="CI10" s="1930">
        <f t="shared" si="1"/>
        <v>5.2999999999999999E-2</v>
      </c>
      <c r="CJ10" s="1930">
        <f t="shared" si="1"/>
        <v>0.04</v>
      </c>
      <c r="CK10" s="2101">
        <f t="shared" si="1"/>
        <v>6.2035780169162669E-2</v>
      </c>
      <c r="CL10" s="1930">
        <f t="shared" si="1"/>
        <v>-2.3E-2</v>
      </c>
      <c r="CM10" s="1930">
        <f t="shared" si="1"/>
        <v>8.0000000000000002E-3</v>
      </c>
      <c r="CN10" s="1930">
        <f>CN146</f>
        <v>5.7000000000000002E-2</v>
      </c>
      <c r="CO10" s="1930">
        <f>CO146</f>
        <v>6.8000000000000005E-2</v>
      </c>
      <c r="CP10" s="2101">
        <f t="shared" si="1"/>
        <v>4.4232609496037689E-3</v>
      </c>
      <c r="CQ10" s="1930">
        <f t="shared" si="1"/>
        <v>3.7999999999999999E-2</v>
      </c>
      <c r="CR10" s="1930">
        <f t="shared" si="1"/>
        <v>0.05</v>
      </c>
      <c r="CS10" s="1930">
        <f t="shared" si="1"/>
        <v>5.1999999999999998E-2</v>
      </c>
      <c r="CT10" s="1930">
        <f t="shared" si="1"/>
        <v>5.5E-2</v>
      </c>
      <c r="CU10" s="2101">
        <f t="shared" si="1"/>
        <v>2.0303544683329511E-2</v>
      </c>
      <c r="CV10" s="1930">
        <f t="shared" si="1"/>
        <v>4.2000000000000003E-2</v>
      </c>
      <c r="CW10" s="1930">
        <f>CW146</f>
        <v>4.1000000000000002E-2</v>
      </c>
      <c r="CX10" s="1930">
        <f>CX146</f>
        <v>4.5999999999999999E-2</v>
      </c>
      <c r="CY10" s="1930">
        <f>CY146</f>
        <v>0.05</v>
      </c>
      <c r="CZ10" s="2101">
        <f t="shared" si="1"/>
        <v>3.546806556489579E-2</v>
      </c>
      <c r="DA10" s="1930">
        <f t="shared" ref="DA10:DT10" si="2">DA146</f>
        <v>5.5E-2</v>
      </c>
      <c r="DB10" s="1930">
        <f t="shared" si="2"/>
        <v>3.9E-2</v>
      </c>
      <c r="DC10" s="1930">
        <f t="shared" si="2"/>
        <v>3.4000000000000002E-2</v>
      </c>
      <c r="DD10" s="1930">
        <f t="shared" si="2"/>
        <v>2E-3</v>
      </c>
      <c r="DE10" s="2101">
        <f t="shared" si="2"/>
        <v>0.35479865944831157</v>
      </c>
      <c r="DF10" s="1930">
        <f t="shared" si="2"/>
        <v>-4.7E-2</v>
      </c>
      <c r="DG10" s="1930">
        <f>DG146</f>
        <v>-2.8000000000000001E-2</v>
      </c>
      <c r="DH10" s="1930">
        <f>DH146</f>
        <v>-3.4000000000000002E-2</v>
      </c>
      <c r="DI10" s="1930">
        <f>DI146</f>
        <v>4.0000000000000001E-3</v>
      </c>
      <c r="DJ10" s="2101">
        <f t="shared" si="2"/>
        <v>-2.3582913261956495E-2</v>
      </c>
      <c r="DK10" s="1930">
        <f t="shared" si="2"/>
        <v>7.0940629987018333E-2</v>
      </c>
      <c r="DL10" s="1930">
        <f t="shared" si="2"/>
        <v>6.9000209092018316E-2</v>
      </c>
      <c r="DM10" s="1930">
        <f t="shared" si="2"/>
        <v>3.6446113801999802E-2</v>
      </c>
      <c r="DN10" s="1930">
        <f t="shared" si="2"/>
        <v>2.987801225168063E-3</v>
      </c>
      <c r="DO10" s="2101">
        <f t="shared" si="2"/>
        <v>4.4008371789064693E-2</v>
      </c>
      <c r="DP10" s="1930">
        <f t="shared" si="2"/>
        <v>3.532069058551901E-2</v>
      </c>
      <c r="DQ10" s="1930">
        <f t="shared" si="2"/>
        <v>3.4113932585641438E-2</v>
      </c>
      <c r="DR10" s="1930">
        <f t="shared" si="2"/>
        <v>3.310103452195623E-2</v>
      </c>
      <c r="DS10" s="1930">
        <f t="shared" si="2"/>
        <v>3.1807645825927766E-2</v>
      </c>
      <c r="DT10" s="2101">
        <f t="shared" si="2"/>
        <v>3.3582308760586432E-2</v>
      </c>
      <c r="DU10" s="1930">
        <f t="shared" ref="DU10:DY10" si="3">DU146</f>
        <v>3.1161059906164024E-2</v>
      </c>
      <c r="DV10" s="1930">
        <f t="shared" si="3"/>
        <v>2.9768809663500262E-2</v>
      </c>
      <c r="DW10" s="1930">
        <f t="shared" si="3"/>
        <v>2.8681401753393398E-2</v>
      </c>
      <c r="DX10" s="1930">
        <f t="shared" si="3"/>
        <v>2.7274369524042719E-2</v>
      </c>
      <c r="DY10" s="2101">
        <f t="shared" si="3"/>
        <v>2.9219368249212119E-2</v>
      </c>
      <c r="DZ10" s="1850"/>
      <c r="EA10" s="1850"/>
    </row>
    <row r="11" spans="1:131" x14ac:dyDescent="0.2">
      <c r="A11" s="1984"/>
      <c r="B11" s="2148" t="str">
        <f>B149</f>
        <v>Front-End</v>
      </c>
      <c r="C11" s="2149"/>
      <c r="D11" s="2106"/>
      <c r="E11" s="2150"/>
      <c r="F11" s="2150"/>
      <c r="G11" s="2150"/>
      <c r="H11" s="2150"/>
      <c r="I11" s="2151"/>
      <c r="J11" s="2150"/>
      <c r="K11" s="2150"/>
      <c r="L11" s="2150"/>
      <c r="M11" s="2150"/>
      <c r="N11" s="2152">
        <f t="shared" ref="N11:BY12" si="4">N149</f>
        <v>0</v>
      </c>
      <c r="O11" s="2153">
        <f t="shared" si="4"/>
        <v>0</v>
      </c>
      <c r="P11" s="2153">
        <f t="shared" si="4"/>
        <v>7.0000000000000007E-2</v>
      </c>
      <c r="Q11" s="2153">
        <f t="shared" si="4"/>
        <v>2.5000000000000001E-2</v>
      </c>
      <c r="R11" s="2153">
        <f t="shared" si="4"/>
        <v>6.5000000000000002E-2</v>
      </c>
      <c r="S11" s="2152">
        <f t="shared" si="4"/>
        <v>0</v>
      </c>
      <c r="T11" s="2153">
        <f t="shared" si="4"/>
        <v>0.05</v>
      </c>
      <c r="U11" s="2153">
        <f t="shared" si="4"/>
        <v>2.5000000000000001E-2</v>
      </c>
      <c r="V11" s="2153">
        <f t="shared" si="4"/>
        <v>4.3999999999999997E-2</v>
      </c>
      <c r="W11" s="2147">
        <f t="shared" si="4"/>
        <v>3.9E-2</v>
      </c>
      <c r="X11" s="2146">
        <f t="shared" si="4"/>
        <v>3.5999999999999997E-2</v>
      </c>
      <c r="Y11" s="2147">
        <f t="shared" si="4"/>
        <v>0</v>
      </c>
      <c r="Z11" s="2147">
        <f t="shared" si="4"/>
        <v>0.03</v>
      </c>
      <c r="AA11" s="2147">
        <f t="shared" si="4"/>
        <v>2.9000000000000001E-2</v>
      </c>
      <c r="AB11" s="2147">
        <f t="shared" si="4"/>
        <v>0</v>
      </c>
      <c r="AC11" s="2146">
        <f t="shared" si="4"/>
        <v>1.0999999999999999E-2</v>
      </c>
      <c r="AD11" s="2147">
        <f t="shared" si="4"/>
        <v>0.01</v>
      </c>
      <c r="AE11" s="2147">
        <f t="shared" si="4"/>
        <v>2E-3</v>
      </c>
      <c r="AF11" s="2147">
        <f t="shared" si="4"/>
        <v>3.0000000000000001E-3</v>
      </c>
      <c r="AG11" s="2147">
        <f t="shared" si="4"/>
        <v>3.1E-2</v>
      </c>
      <c r="AH11" s="2146">
        <f t="shared" si="4"/>
        <v>1.2E-2</v>
      </c>
      <c r="AI11" s="2147">
        <f t="shared" si="4"/>
        <v>7.1999999999999995E-2</v>
      </c>
      <c r="AJ11" s="2147">
        <f t="shared" si="4"/>
        <v>1.7000000000000001E-2</v>
      </c>
      <c r="AK11" s="2147">
        <f t="shared" si="4"/>
        <v>1.2999999999999999E-2</v>
      </c>
      <c r="AL11" s="2147">
        <f t="shared" si="4"/>
        <v>-6.0000000000000001E-3</v>
      </c>
      <c r="AM11" s="2146">
        <f t="shared" si="4"/>
        <v>2.3E-2</v>
      </c>
      <c r="AN11" s="2147">
        <f t="shared" si="4"/>
        <v>-2.7E-2</v>
      </c>
      <c r="AO11" s="2147">
        <f t="shared" si="4"/>
        <v>1.4E-2</v>
      </c>
      <c r="AP11" s="2147">
        <f t="shared" si="4"/>
        <v>1.9E-2</v>
      </c>
      <c r="AQ11" s="2147">
        <f t="shared" si="4"/>
        <v>3.9E-2</v>
      </c>
      <c r="AR11" s="2146">
        <f t="shared" si="4"/>
        <v>1.2E-2</v>
      </c>
      <c r="AS11" s="2147">
        <f t="shared" si="4"/>
        <v>0.02</v>
      </c>
      <c r="AT11" s="2147">
        <f t="shared" si="4"/>
        <v>4.1000000000000002E-2</v>
      </c>
      <c r="AU11" s="2147">
        <f t="shared" si="4"/>
        <v>1.7999999999999999E-2</v>
      </c>
      <c r="AV11" s="2147">
        <f t="shared" si="4"/>
        <v>1.2999999999999999E-2</v>
      </c>
      <c r="AW11" s="2146">
        <f t="shared" si="4"/>
        <v>2.3E-2</v>
      </c>
      <c r="AX11" s="2147">
        <f t="shared" si="4"/>
        <v>6.9000000000000006E-2</v>
      </c>
      <c r="AY11" s="2147">
        <f t="shared" si="4"/>
        <v>1.7000000000000001E-2</v>
      </c>
      <c r="AZ11" s="2147">
        <f t="shared" si="4"/>
        <v>5.3999999999999999E-2</v>
      </c>
      <c r="BA11" s="2147">
        <f t="shared" si="4"/>
        <v>7.6999999999999999E-2</v>
      </c>
      <c r="BB11" s="2146">
        <f t="shared" si="4"/>
        <v>5.4250000000000007E-2</v>
      </c>
      <c r="BC11" s="2147">
        <f t="shared" si="4"/>
        <v>4.7E-2</v>
      </c>
      <c r="BD11" s="2147">
        <f t="shared" si="4"/>
        <v>8.1000000000000003E-2</v>
      </c>
      <c r="BE11" s="2147">
        <f t="shared" si="4"/>
        <v>6.4000000000000001E-2</v>
      </c>
      <c r="BF11" s="2147">
        <f t="shared" si="4"/>
        <v>5.5E-2</v>
      </c>
      <c r="BG11" s="2146">
        <f t="shared" si="4"/>
        <v>6.1749999999999999E-2</v>
      </c>
      <c r="BH11" s="2147">
        <f t="shared" si="4"/>
        <v>6.6000000000000003E-2</v>
      </c>
      <c r="BI11" s="2147">
        <f t="shared" si="4"/>
        <v>5.8999999999999997E-2</v>
      </c>
      <c r="BJ11" s="2147">
        <f t="shared" si="4"/>
        <v>6.5490000000000007E-2</v>
      </c>
      <c r="BK11" s="2147">
        <f t="shared" si="4"/>
        <v>3.2800000000000003E-2</v>
      </c>
      <c r="BL11" s="2146">
        <f t="shared" si="4"/>
        <v>5.5822499999999997E-2</v>
      </c>
      <c r="BM11" s="2147">
        <f t="shared" si="4"/>
        <v>1.4999999999999999E-2</v>
      </c>
      <c r="BN11" s="2147">
        <f t="shared" si="4"/>
        <v>1.7999999999999999E-2</v>
      </c>
      <c r="BO11" s="2147">
        <f t="shared" si="4"/>
        <v>3.3000000000000002E-2</v>
      </c>
      <c r="BP11" s="2147">
        <f t="shared" si="4"/>
        <v>1.7999999999999999E-2</v>
      </c>
      <c r="BQ11" s="2146">
        <f t="shared" si="4"/>
        <v>2.1000000000000001E-2</v>
      </c>
      <c r="BR11" s="2147">
        <f t="shared" si="4"/>
        <v>7.0000000000000001E-3</v>
      </c>
      <c r="BS11" s="2147">
        <f t="shared" si="4"/>
        <v>0.03</v>
      </c>
      <c r="BT11" s="2147">
        <f t="shared" si="4"/>
        <v>8.0000000000000002E-3</v>
      </c>
      <c r="BU11" s="2147">
        <f t="shared" si="4"/>
        <v>3.0000000000000001E-3</v>
      </c>
      <c r="BV11" s="2146">
        <f t="shared" si="4"/>
        <v>1.1509631239887377E-2</v>
      </c>
      <c r="BW11" s="2147">
        <f t="shared" si="4"/>
        <v>-7.0000000000000001E-3</v>
      </c>
      <c r="BX11" s="2147">
        <f t="shared" si="4"/>
        <v>4.0000000000000001E-3</v>
      </c>
      <c r="BY11" s="2147">
        <f t="shared" si="4"/>
        <v>1.4E-2</v>
      </c>
      <c r="BZ11" s="2147">
        <f t="shared" ref="BZ11:CZ12" si="5">BZ149</f>
        <v>0.01</v>
      </c>
      <c r="CA11" s="2146">
        <f t="shared" si="5"/>
        <v>5.3727616227513411E-3</v>
      </c>
      <c r="CB11" s="2147">
        <f t="shared" si="5"/>
        <v>4.0000000000000001E-3</v>
      </c>
      <c r="CC11" s="2147">
        <f t="shared" si="5"/>
        <v>8.0000000000000002E-3</v>
      </c>
      <c r="CD11" s="1930">
        <f t="shared" si="5"/>
        <v>0.02</v>
      </c>
      <c r="CE11" s="1930">
        <f t="shared" si="5"/>
        <v>1E-3</v>
      </c>
      <c r="CF11" s="2101">
        <f t="shared" si="5"/>
        <v>8.0655485500056232E-3</v>
      </c>
      <c r="CG11" s="1930">
        <f t="shared" si="5"/>
        <v>5.2999999999999999E-2</v>
      </c>
      <c r="CH11" s="1930">
        <f t="shared" si="5"/>
        <v>2.3E-2</v>
      </c>
      <c r="CI11" s="1930">
        <f t="shared" si="5"/>
        <v>2.1999999999999999E-2</v>
      </c>
      <c r="CJ11" s="1930">
        <f t="shared" si="5"/>
        <v>3.9E-2</v>
      </c>
      <c r="CK11" s="2101">
        <f t="shared" si="5"/>
        <v>3.4146613390665853E-2</v>
      </c>
      <c r="CL11" s="1930">
        <f t="shared" si="5"/>
        <v>1.4E-2</v>
      </c>
      <c r="CM11" s="1930">
        <f t="shared" si="5"/>
        <v>-4.0000000000000001E-3</v>
      </c>
      <c r="CN11" s="1930">
        <f>CN149</f>
        <v>-0.01</v>
      </c>
      <c r="CO11" s="1930">
        <f>CO149</f>
        <v>-1.9E-2</v>
      </c>
      <c r="CP11" s="2101">
        <f t="shared" si="5"/>
        <v>-5.061232386708971E-3</v>
      </c>
      <c r="CQ11" s="1930">
        <f t="shared" si="5"/>
        <v>-3.7999999999999999E-2</v>
      </c>
      <c r="CR11" s="1930">
        <f t="shared" si="5"/>
        <v>-4.0000000000000001E-3</v>
      </c>
      <c r="CS11" s="1930">
        <f t="shared" si="5"/>
        <v>-4.4999999999999998E-2</v>
      </c>
      <c r="CT11" s="1930">
        <f t="shared" si="5"/>
        <v>-7.1999999999999995E-2</v>
      </c>
      <c r="CU11" s="2101">
        <f t="shared" si="5"/>
        <v>-4.012018162199215E-2</v>
      </c>
      <c r="CV11" s="1930">
        <f t="shared" si="5"/>
        <v>-6.0999999999999999E-2</v>
      </c>
      <c r="CW11" s="1930">
        <f t="shared" ref="CW11:CY12" si="6">CW149</f>
        <v>-7.8E-2</v>
      </c>
      <c r="CX11" s="1930">
        <f t="shared" si="6"/>
        <v>-5.7999999999999996E-2</v>
      </c>
      <c r="CY11" s="1930">
        <f t="shared" si="6"/>
        <v>-5.0000000000000001E-3</v>
      </c>
      <c r="CZ11" s="2101">
        <f t="shared" si="5"/>
        <v>-5.0277388739775324E-2</v>
      </c>
      <c r="DA11" s="1930">
        <f t="shared" ref="DA11:DT11" si="7">DA149</f>
        <v>7.0000000000000001E-3</v>
      </c>
      <c r="DB11" s="1930">
        <f t="shared" si="7"/>
        <v>-2.5000000000000001E-2</v>
      </c>
      <c r="DC11" s="1930">
        <f t="shared" si="7"/>
        <v>-0.01</v>
      </c>
      <c r="DD11" s="1930">
        <f t="shared" si="7"/>
        <v>-2.8999999999999998E-2</v>
      </c>
      <c r="DE11" s="2101">
        <f t="shared" si="7"/>
        <v>-1.4639512243504529E-2</v>
      </c>
      <c r="DF11" s="1930">
        <f t="shared" si="7"/>
        <v>-4.9000000000000002E-2</v>
      </c>
      <c r="DG11" s="1930">
        <f t="shared" ref="DG11:DI12" si="8">DG149</f>
        <v>-2.1000000000000001E-2</v>
      </c>
      <c r="DH11" s="1930">
        <f t="shared" si="8"/>
        <v>-2.7999999999999997E-2</v>
      </c>
      <c r="DI11" s="1930">
        <f t="shared" si="8"/>
        <v>-6.9999999999999993E-3</v>
      </c>
      <c r="DJ11" s="2101">
        <f t="shared" si="7"/>
        <v>-2.6066816835595204E-2</v>
      </c>
      <c r="DK11" s="1930">
        <f t="shared" si="7"/>
        <v>-5.0000000000000001E-3</v>
      </c>
      <c r="DL11" s="1930">
        <f t="shared" si="7"/>
        <v>-0.01</v>
      </c>
      <c r="DM11" s="1930">
        <f t="shared" si="7"/>
        <v>-0.01</v>
      </c>
      <c r="DN11" s="1930">
        <f t="shared" si="7"/>
        <v>-0.01</v>
      </c>
      <c r="DO11" s="2101">
        <f t="shared" si="7"/>
        <v>-8.7653965857056506E-3</v>
      </c>
      <c r="DP11" s="1930">
        <f t="shared" si="7"/>
        <v>-5.0000000000000001E-3</v>
      </c>
      <c r="DQ11" s="1930">
        <f t="shared" si="7"/>
        <v>-5.0000000000000001E-3</v>
      </c>
      <c r="DR11" s="1930">
        <f t="shared" si="7"/>
        <v>-5.0000000000000001E-3</v>
      </c>
      <c r="DS11" s="1930">
        <f t="shared" si="7"/>
        <v>-5.0000000000000001E-3</v>
      </c>
      <c r="DT11" s="2101">
        <f t="shared" si="7"/>
        <v>-5.0000000000000001E-3</v>
      </c>
      <c r="DU11" s="1930">
        <f t="shared" ref="DU11:DY11" si="9">DU149</f>
        <v>-5.0000000000000001E-3</v>
      </c>
      <c r="DV11" s="1930">
        <f t="shared" si="9"/>
        <v>-5.0000000000000001E-3</v>
      </c>
      <c r="DW11" s="1930">
        <f t="shared" si="9"/>
        <v>-5.0000000000000001E-3</v>
      </c>
      <c r="DX11" s="1930">
        <f t="shared" si="9"/>
        <v>-5.0000000000000001E-3</v>
      </c>
      <c r="DY11" s="2101">
        <f t="shared" si="9"/>
        <v>-5.0000000000000001E-3</v>
      </c>
      <c r="DZ11" s="1850"/>
      <c r="EA11" s="1850"/>
    </row>
    <row r="12" spans="1:131" x14ac:dyDescent="0.2">
      <c r="A12" s="2090"/>
      <c r="B12" s="2154" t="str">
        <f>B150</f>
        <v xml:space="preserve">Total </v>
      </c>
      <c r="C12" s="2155"/>
      <c r="D12" s="2090"/>
      <c r="E12" s="2088"/>
      <c r="F12" s="2088"/>
      <c r="G12" s="2088"/>
      <c r="H12" s="2088"/>
      <c r="I12" s="1882"/>
      <c r="J12" s="2088"/>
      <c r="K12" s="2088"/>
      <c r="L12" s="2088"/>
      <c r="M12" s="2088"/>
      <c r="N12" s="2156">
        <f t="shared" si="4"/>
        <v>0</v>
      </c>
      <c r="O12" s="2157">
        <f t="shared" si="4"/>
        <v>7.2999999999999995E-2</v>
      </c>
      <c r="P12" s="2157">
        <f t="shared" si="4"/>
        <v>0.11700000000000001</v>
      </c>
      <c r="Q12" s="2157">
        <f t="shared" si="4"/>
        <v>0.108</v>
      </c>
      <c r="R12" s="2157">
        <f t="shared" si="4"/>
        <v>0.13</v>
      </c>
      <c r="S12" s="2156">
        <f t="shared" si="4"/>
        <v>0.107</v>
      </c>
      <c r="T12" s="2157">
        <f t="shared" si="4"/>
        <v>0.13400000000000001</v>
      </c>
      <c r="U12" s="2157">
        <f t="shared" si="4"/>
        <v>0.11600000000000001</v>
      </c>
      <c r="V12" s="2157">
        <f t="shared" si="4"/>
        <v>0.122</v>
      </c>
      <c r="W12" s="2158">
        <f t="shared" si="4"/>
        <v>0.126</v>
      </c>
      <c r="X12" s="2159">
        <f t="shared" si="4"/>
        <v>0.1245</v>
      </c>
      <c r="Y12" s="2158">
        <f t="shared" si="4"/>
        <v>8.7999999999999995E-2</v>
      </c>
      <c r="Z12" s="2158">
        <f t="shared" si="4"/>
        <v>0.122</v>
      </c>
      <c r="AA12" s="2158">
        <f t="shared" si="4"/>
        <v>0.122</v>
      </c>
      <c r="AB12" s="2158">
        <f t="shared" si="4"/>
        <v>0.105</v>
      </c>
      <c r="AC12" s="2159">
        <f t="shared" si="4"/>
        <v>0.10924999999999999</v>
      </c>
      <c r="AD12" s="2158">
        <f t="shared" si="4"/>
        <v>0.113</v>
      </c>
      <c r="AE12" s="2158">
        <f t="shared" si="4"/>
        <v>8.3000000000000004E-2</v>
      </c>
      <c r="AF12" s="2158">
        <f t="shared" si="4"/>
        <v>7.5999999999999998E-2</v>
      </c>
      <c r="AG12" s="2158">
        <f t="shared" si="4"/>
        <v>7.4999999999999997E-2</v>
      </c>
      <c r="AH12" s="2159">
        <f t="shared" si="4"/>
        <v>8.6750000000000008E-2</v>
      </c>
      <c r="AI12" s="2158">
        <f t="shared" si="4"/>
        <v>0.10199999999999999</v>
      </c>
      <c r="AJ12" s="2158">
        <f t="shared" si="4"/>
        <v>8.5999999999999993E-2</v>
      </c>
      <c r="AK12" s="2158">
        <f t="shared" si="4"/>
        <v>8.4000000000000005E-2</v>
      </c>
      <c r="AL12" s="2158">
        <f t="shared" si="4"/>
        <v>6.7000000000000004E-2</v>
      </c>
      <c r="AM12" s="2159">
        <f t="shared" si="4"/>
        <v>8.4750000000000006E-2</v>
      </c>
      <c r="AN12" s="2158">
        <f t="shared" si="4"/>
        <v>3.9E-2</v>
      </c>
      <c r="AO12" s="2158">
        <f t="shared" si="4"/>
        <v>5.5E-2</v>
      </c>
      <c r="AP12" s="2158">
        <f t="shared" si="4"/>
        <v>6.4000000000000001E-2</v>
      </c>
      <c r="AQ12" s="2158">
        <f t="shared" si="4"/>
        <v>7.3999999999999996E-2</v>
      </c>
      <c r="AR12" s="2159">
        <f t="shared" si="4"/>
        <v>5.7999999999999996E-2</v>
      </c>
      <c r="AS12" s="2158">
        <f t="shared" si="4"/>
        <v>6.4000000000000001E-2</v>
      </c>
      <c r="AT12" s="2158">
        <f t="shared" si="4"/>
        <v>6.0999999999999999E-2</v>
      </c>
      <c r="AU12" s="2158">
        <f t="shared" si="4"/>
        <v>5.1999999999999998E-2</v>
      </c>
      <c r="AV12" s="2158">
        <f t="shared" si="4"/>
        <v>4.3999999999999997E-2</v>
      </c>
      <c r="AW12" s="2159">
        <f t="shared" si="4"/>
        <v>5.5249999999999994E-2</v>
      </c>
      <c r="AX12" s="2158">
        <f t="shared" si="4"/>
        <v>8.2000000000000003E-2</v>
      </c>
      <c r="AY12" s="2158">
        <f t="shared" si="4"/>
        <v>5.6000000000000001E-2</v>
      </c>
      <c r="AZ12" s="2158">
        <f t="shared" si="4"/>
        <v>5.7000000000000002E-2</v>
      </c>
      <c r="BA12" s="2158">
        <f t="shared" si="4"/>
        <v>6.7396000000000011E-2</v>
      </c>
      <c r="BB12" s="2159">
        <f t="shared" si="4"/>
        <v>6.5599000000000005E-2</v>
      </c>
      <c r="BC12" s="2158">
        <f t="shared" si="4"/>
        <v>6.2E-2</v>
      </c>
      <c r="BD12" s="2158">
        <f t="shared" si="4"/>
        <v>8.7849999999999998E-2</v>
      </c>
      <c r="BE12" s="2158">
        <f t="shared" si="4"/>
        <v>9.0999999999999998E-2</v>
      </c>
      <c r="BF12" s="2158">
        <f t="shared" si="4"/>
        <v>8.6999999999999994E-2</v>
      </c>
      <c r="BG12" s="2159">
        <f t="shared" si="4"/>
        <v>8.1962499999999994E-2</v>
      </c>
      <c r="BH12" s="2158">
        <f t="shared" si="4"/>
        <v>7.4999999999999997E-2</v>
      </c>
      <c r="BI12" s="2158">
        <f t="shared" si="4"/>
        <v>5.7000000000000002E-2</v>
      </c>
      <c r="BJ12" s="2158">
        <f t="shared" si="4"/>
        <v>0.05</v>
      </c>
      <c r="BK12" s="2158">
        <f t="shared" si="4"/>
        <v>3.4000000000000002E-2</v>
      </c>
      <c r="BL12" s="2159">
        <f t="shared" si="4"/>
        <v>5.3999999999999999E-2</v>
      </c>
      <c r="BM12" s="2158">
        <f t="shared" si="4"/>
        <v>3.4000000000000002E-2</v>
      </c>
      <c r="BN12" s="2158">
        <f t="shared" si="4"/>
        <v>3.8425485069213491E-2</v>
      </c>
      <c r="BO12" s="2158">
        <f t="shared" si="4"/>
        <v>3.5999999999999997E-2</v>
      </c>
      <c r="BP12" s="2158">
        <f t="shared" si="4"/>
        <v>3.4000000000000002E-2</v>
      </c>
      <c r="BQ12" s="2159">
        <f t="shared" si="4"/>
        <v>3.5606371267303372E-2</v>
      </c>
      <c r="BR12" s="2158">
        <f t="shared" si="4"/>
        <v>3.3000000000000002E-2</v>
      </c>
      <c r="BS12" s="2158">
        <f t="shared" si="4"/>
        <v>0.06</v>
      </c>
      <c r="BT12" s="2158">
        <f t="shared" si="4"/>
        <v>5.7000000000000002E-2</v>
      </c>
      <c r="BU12" s="2158">
        <f t="shared" si="4"/>
        <v>4.9000000000000002E-2</v>
      </c>
      <c r="BV12" s="2159">
        <f t="shared" si="4"/>
        <v>4.9750000000000003E-2</v>
      </c>
      <c r="BW12" s="2158">
        <f t="shared" si="4"/>
        <v>2.3E-2</v>
      </c>
      <c r="BX12" s="2158">
        <f t="shared" si="4"/>
        <v>2.0900000000000002E-2</v>
      </c>
      <c r="BY12" s="2158">
        <f t="shared" si="4"/>
        <v>2.4992E-2</v>
      </c>
      <c r="BZ12" s="2158">
        <f t="shared" si="5"/>
        <v>1.6710000000000003E-2</v>
      </c>
      <c r="CA12" s="2159">
        <f t="shared" si="5"/>
        <v>2.1400500000000003E-2</v>
      </c>
      <c r="CB12" s="2158">
        <f t="shared" si="5"/>
        <v>2.6457499999999998E-2</v>
      </c>
      <c r="CC12" s="2158">
        <f t="shared" si="5"/>
        <v>2.0222E-2</v>
      </c>
      <c r="CD12" s="2160">
        <f t="shared" si="5"/>
        <v>2.2740000000000003E-2</v>
      </c>
      <c r="CE12" s="2160">
        <f t="shared" si="5"/>
        <v>2.4695000000000002E-2</v>
      </c>
      <c r="CF12" s="2161">
        <f t="shared" si="5"/>
        <v>2.3528624999999997E-2</v>
      </c>
      <c r="CG12" s="2160">
        <f t="shared" si="5"/>
        <v>8.4455000000000002E-2</v>
      </c>
      <c r="CH12" s="2160">
        <f t="shared" si="5"/>
        <v>5.6711999999999992E-2</v>
      </c>
      <c r="CI12" s="2160">
        <f t="shared" si="5"/>
        <v>4.3420999999999994E-2</v>
      </c>
      <c r="CJ12" s="2160">
        <f t="shared" si="5"/>
        <v>3.9676000000000003E-2</v>
      </c>
      <c r="CK12" s="2161">
        <f t="shared" si="5"/>
        <v>5.6065999999999991E-2</v>
      </c>
      <c r="CL12" s="2160">
        <f t="shared" si="5"/>
        <v>-1.1529999999999999E-2</v>
      </c>
      <c r="CM12" s="2160">
        <f t="shared" si="5"/>
        <v>4.2919999999999998E-3</v>
      </c>
      <c r="CN12" s="2160">
        <f>CN150</f>
        <v>3.7168E-2</v>
      </c>
      <c r="CO12" s="2160">
        <f>CO150</f>
        <v>4.1465000000000002E-2</v>
      </c>
      <c r="CP12" s="2161">
        <f t="shared" si="5"/>
        <v>1.784875E-2</v>
      </c>
      <c r="CQ12" s="2160">
        <f t="shared" si="5"/>
        <v>1.5579999999999997E-2</v>
      </c>
      <c r="CR12" s="2160">
        <f t="shared" si="5"/>
        <v>3.3583999999999996E-2</v>
      </c>
      <c r="CS12" s="2160">
        <f t="shared" si="5"/>
        <v>2.4645999999999994E-2</v>
      </c>
      <c r="CT12" s="2160">
        <f t="shared" si="5"/>
        <v>1.8423999999999999E-2</v>
      </c>
      <c r="CU12" s="2161">
        <f t="shared" si="5"/>
        <v>2.3058499999999996E-2</v>
      </c>
      <c r="CV12" s="2160">
        <f t="shared" si="5"/>
        <v>1.2E-2</v>
      </c>
      <c r="CW12" s="2160">
        <f t="shared" si="6"/>
        <v>5.0000000000000001E-3</v>
      </c>
      <c r="CX12" s="2160">
        <f t="shared" si="6"/>
        <v>1.7000000000000001E-2</v>
      </c>
      <c r="CY12" s="2160">
        <f t="shared" si="6"/>
        <v>3.5000000000000003E-2</v>
      </c>
      <c r="CZ12" s="2161">
        <f t="shared" si="5"/>
        <v>1.7250000000000001E-2</v>
      </c>
      <c r="DA12" s="2160">
        <f t="shared" ref="DA12:DT12" si="10">DA150</f>
        <v>4.2000000000000003E-2</v>
      </c>
      <c r="DB12" s="2160">
        <f t="shared" si="10"/>
        <v>2.1000000000000001E-2</v>
      </c>
      <c r="DC12" s="2160">
        <f t="shared" si="10"/>
        <v>2.1000000000000001E-2</v>
      </c>
      <c r="DD12" s="2160">
        <f t="shared" si="10"/>
        <v>2.1000000000000001E-2</v>
      </c>
      <c r="DE12" s="2161">
        <f t="shared" si="10"/>
        <v>2.6250000000000002E-2</v>
      </c>
      <c r="DF12" s="2160">
        <f t="shared" si="10"/>
        <v>-4.7E-2</v>
      </c>
      <c r="DG12" s="2160">
        <f t="shared" si="8"/>
        <v>-2.5999999999999999E-2</v>
      </c>
      <c r="DH12" s="2160">
        <f t="shared" si="8"/>
        <v>-3.2000000000000001E-2</v>
      </c>
      <c r="DI12" s="2160">
        <f t="shared" si="8"/>
        <v>1E-3</v>
      </c>
      <c r="DJ12" s="2161">
        <f t="shared" si="10"/>
        <v>-2.5999999999999999E-2</v>
      </c>
      <c r="DK12" s="2160">
        <f t="shared" si="10"/>
        <v>5.2770316326924693E-2</v>
      </c>
      <c r="DL12" s="2160">
        <f t="shared" si="10"/>
        <v>5.0145967140428349E-2</v>
      </c>
      <c r="DM12" s="2160">
        <f t="shared" si="10"/>
        <v>2.566927098495192E-2</v>
      </c>
      <c r="DN12" s="2160">
        <f t="shared" si="10"/>
        <v>-2.5745011146181135E-4</v>
      </c>
      <c r="DO12" s="2161">
        <f t="shared" si="10"/>
        <v>3.2082026085210789E-2</v>
      </c>
      <c r="DP12" s="2160">
        <f t="shared" si="10"/>
        <v>2.5987767279576399E-2</v>
      </c>
      <c r="DQ12" s="2160">
        <f t="shared" si="10"/>
        <v>2.5075907590617435E-2</v>
      </c>
      <c r="DR12" s="2160">
        <f t="shared" si="10"/>
        <v>2.4537394311745425E-2</v>
      </c>
      <c r="DS12" s="2160">
        <f t="shared" si="10"/>
        <v>2.2882330702481048E-2</v>
      </c>
      <c r="DT12" s="2161">
        <f t="shared" si="10"/>
        <v>2.4620849971105079E-2</v>
      </c>
      <c r="DU12" s="2160">
        <f t="shared" ref="DU12:DY12" si="11">DU150</f>
        <v>2.3040440270579176E-2</v>
      </c>
      <c r="DV12" s="2160">
        <f t="shared" si="11"/>
        <v>2.1966543606323819E-2</v>
      </c>
      <c r="DW12" s="2160">
        <f t="shared" si="11"/>
        <v>2.1325008855921299E-2</v>
      </c>
      <c r="DX12" s="2160">
        <f t="shared" si="11"/>
        <v>1.9655437138372596E-2</v>
      </c>
      <c r="DY12" s="2161">
        <f t="shared" si="11"/>
        <v>2.1496857467799224E-2</v>
      </c>
      <c r="DZ12" s="1943"/>
      <c r="EA12" s="1943"/>
    </row>
    <row r="13" spans="1:131" ht="5.25" customHeight="1" x14ac:dyDescent="0.2">
      <c r="A13" s="1984"/>
      <c r="B13" s="1849"/>
      <c r="C13" s="1850"/>
      <c r="D13" s="1850"/>
      <c r="E13" s="1850"/>
      <c r="F13" s="1850"/>
      <c r="G13" s="1850"/>
      <c r="H13" s="1850"/>
      <c r="I13" s="1851"/>
      <c r="J13" s="1850"/>
      <c r="K13" s="1850"/>
      <c r="L13" s="1850"/>
      <c r="M13" s="1850"/>
      <c r="N13" s="1851"/>
      <c r="O13" s="1850"/>
      <c r="P13" s="1850"/>
      <c r="Q13" s="1850"/>
      <c r="R13" s="1850"/>
      <c r="S13" s="1851"/>
      <c r="T13" s="1850"/>
      <c r="U13" s="1850"/>
      <c r="V13" s="1850"/>
      <c r="W13" s="1850"/>
      <c r="X13" s="1851"/>
      <c r="Y13" s="1850"/>
      <c r="Z13" s="1850"/>
      <c r="AA13" s="1850"/>
      <c r="AB13" s="1850"/>
      <c r="AC13" s="1851"/>
      <c r="AD13" s="1850"/>
      <c r="AE13" s="1850"/>
      <c r="AF13" s="1850"/>
      <c r="AG13" s="1850"/>
      <c r="AH13" s="1851"/>
      <c r="AI13" s="1850"/>
      <c r="AJ13" s="1850"/>
      <c r="AK13" s="1850"/>
      <c r="AL13" s="1850"/>
      <c r="AM13" s="1851"/>
      <c r="AN13" s="1850"/>
      <c r="AO13" s="1850"/>
      <c r="AP13" s="1850"/>
      <c r="AQ13" s="1850"/>
      <c r="AR13" s="1851"/>
      <c r="AS13" s="1984"/>
      <c r="AT13" s="2115"/>
      <c r="AU13" s="1850"/>
      <c r="AV13" s="1850"/>
      <c r="AW13" s="1851"/>
      <c r="AX13" s="1850"/>
      <c r="AY13" s="1850"/>
      <c r="AZ13" s="1850"/>
      <c r="BA13" s="1850"/>
      <c r="BB13" s="1851"/>
      <c r="BC13" s="1850"/>
      <c r="BD13" s="1850"/>
      <c r="BE13" s="1850"/>
      <c r="BF13" s="1850"/>
      <c r="BG13" s="1851"/>
      <c r="BH13" s="1850"/>
      <c r="BI13" s="1850"/>
      <c r="BJ13" s="1850"/>
      <c r="BK13" s="1850"/>
      <c r="BL13" s="1851"/>
      <c r="BM13" s="1850"/>
      <c r="BN13" s="1850"/>
      <c r="BO13" s="1850"/>
      <c r="BP13" s="1850"/>
      <c r="BQ13" s="1851"/>
      <c r="BR13" s="1850"/>
      <c r="BS13" s="1850"/>
      <c r="BT13" s="1850"/>
      <c r="BU13" s="1850"/>
      <c r="BV13" s="1851"/>
      <c r="BW13" s="1850"/>
      <c r="BX13" s="1850"/>
      <c r="BY13" s="1850"/>
      <c r="BZ13" s="1850"/>
      <c r="CA13" s="1851"/>
      <c r="CB13" s="1850"/>
      <c r="CC13" s="1850"/>
      <c r="CD13" s="1850"/>
      <c r="CE13" s="1850"/>
      <c r="CF13" s="1851"/>
      <c r="CG13" s="1850"/>
      <c r="CH13" s="1850"/>
      <c r="CI13" s="1850"/>
      <c r="CJ13" s="1850"/>
      <c r="CK13" s="1851"/>
      <c r="CL13" s="1850"/>
      <c r="CM13" s="1850"/>
      <c r="CN13" s="1850"/>
      <c r="CO13" s="1850"/>
      <c r="CP13" s="1851"/>
      <c r="CQ13" s="1850"/>
      <c r="CR13" s="1850"/>
      <c r="CS13" s="1850"/>
      <c r="CT13" s="1850"/>
      <c r="CU13" s="1851"/>
      <c r="CV13" s="1850"/>
      <c r="CW13" s="1850"/>
      <c r="CX13" s="1850"/>
      <c r="CY13" s="1850"/>
      <c r="CZ13" s="2597"/>
      <c r="DA13" s="1850"/>
      <c r="DB13" s="1850"/>
      <c r="DC13" s="1850"/>
      <c r="DD13" s="1850"/>
      <c r="DE13" s="1851"/>
      <c r="DF13" s="1850"/>
      <c r="DG13" s="1850"/>
      <c r="DH13" s="1850"/>
      <c r="DI13" s="1850"/>
      <c r="DJ13" s="1851"/>
      <c r="DK13" s="1850"/>
      <c r="DL13" s="1850"/>
      <c r="DM13" s="1850"/>
      <c r="DN13" s="1850"/>
      <c r="DO13" s="1851"/>
      <c r="DP13" s="1850"/>
      <c r="DQ13" s="1850"/>
      <c r="DR13" s="1850"/>
      <c r="DS13" s="1850"/>
      <c r="DT13" s="1851"/>
      <c r="DU13" s="1850"/>
      <c r="DV13" s="1850"/>
      <c r="DW13" s="1850"/>
      <c r="DX13" s="1850"/>
      <c r="DY13" s="1851"/>
      <c r="DZ13" s="1850"/>
      <c r="EA13" s="1850"/>
    </row>
    <row r="14" spans="1:131" x14ac:dyDescent="0.2">
      <c r="A14" s="2013"/>
      <c r="B14" s="254" t="s">
        <v>976</v>
      </c>
      <c r="C14" s="238"/>
      <c r="D14" s="238"/>
      <c r="E14" s="238"/>
      <c r="F14" s="238"/>
      <c r="G14" s="238"/>
      <c r="H14" s="238"/>
      <c r="I14" s="306">
        <f>I158*I17</f>
        <v>6071.4107999999997</v>
      </c>
      <c r="J14" s="255">
        <v>1834.8379200000002</v>
      </c>
      <c r="K14" s="255">
        <v>1873.7147</v>
      </c>
      <c r="L14" s="255">
        <v>1864.0524000000003</v>
      </c>
      <c r="M14" s="255">
        <v>2025.1616000000004</v>
      </c>
      <c r="N14" s="306">
        <f>N158*N17</f>
        <v>7466.2218000000003</v>
      </c>
      <c r="O14" s="255">
        <v>2032.5059999999999</v>
      </c>
      <c r="P14" s="255">
        <v>2112.078</v>
      </c>
      <c r="Q14" s="255">
        <v>2165.654</v>
      </c>
      <c r="R14" s="255">
        <v>2359.4009999999998</v>
      </c>
      <c r="S14" s="306">
        <f>S158*S17</f>
        <v>8686.7135999999991</v>
      </c>
      <c r="T14" s="255">
        <v>2367.096</v>
      </c>
      <c r="U14" s="255">
        <v>2427.5160000000001</v>
      </c>
      <c r="V14" s="255">
        <v>2482.8379999999997</v>
      </c>
      <c r="W14" s="255">
        <v>2853.3629999999994</v>
      </c>
      <c r="X14" s="306">
        <f>X158*X17</f>
        <v>10347.048999999999</v>
      </c>
      <c r="Y14" s="255">
        <v>2705.6809999999996</v>
      </c>
      <c r="Z14" s="255">
        <v>2787.77</v>
      </c>
      <c r="AA14" s="255">
        <v>2811.114</v>
      </c>
      <c r="AB14" s="255">
        <v>3024.9319999999998</v>
      </c>
      <c r="AC14" s="306">
        <f>AC158*AC17</f>
        <v>12152.5767</v>
      </c>
      <c r="AD14" s="255">
        <v>3136.0148387448489</v>
      </c>
      <c r="AE14" s="255">
        <v>3216.9473368147296</v>
      </c>
      <c r="AF14" s="255">
        <v>3207.7156295176928</v>
      </c>
      <c r="AG14" s="255">
        <v>3481.8121570879025</v>
      </c>
      <c r="AH14" s="306">
        <f>AH158*AH17</f>
        <v>14098.270700000001</v>
      </c>
      <c r="AI14" s="255">
        <v>3734.984544187937</v>
      </c>
      <c r="AJ14" s="255">
        <v>3693.2897540337858</v>
      </c>
      <c r="AK14" s="255">
        <v>3617.9855361073101</v>
      </c>
      <c r="AL14" s="255">
        <v>3834.2031320824326</v>
      </c>
      <c r="AM14" s="306">
        <f>AM158*AM17</f>
        <v>15588.695200000002</v>
      </c>
      <c r="AN14" s="255">
        <v>3933.6789666637387</v>
      </c>
      <c r="AO14" s="255">
        <v>4067.3285569193895</v>
      </c>
      <c r="AP14" s="255">
        <v>4060.884793549078</v>
      </c>
      <c r="AQ14" s="255">
        <v>4627.5051482569297</v>
      </c>
      <c r="AR14" s="306">
        <f>AR158*AR17</f>
        <v>17393.121599999999</v>
      </c>
      <c r="AS14" s="255">
        <v>4385.7902378425397</v>
      </c>
      <c r="AT14" s="255">
        <v>4454.9013765943901</v>
      </c>
      <c r="AU14" s="255">
        <v>5002.5460166189114</v>
      </c>
      <c r="AV14" s="255">
        <v>5467.2111100246429</v>
      </c>
      <c r="AW14" s="306">
        <f>AW158*AW17</f>
        <v>20110.09</v>
      </c>
      <c r="AX14" s="255">
        <v>5836.4650857667557</v>
      </c>
      <c r="AY14" s="255">
        <v>5698.9789734379719</v>
      </c>
      <c r="AZ14" s="255">
        <v>5593.0053644466152</v>
      </c>
      <c r="BA14" s="255">
        <v>5983.5763353211196</v>
      </c>
      <c r="BB14" s="306">
        <f>BB158*BB17</f>
        <v>23388.8956</v>
      </c>
      <c r="BC14" s="255">
        <v>6340.7608999999975</v>
      </c>
      <c r="BD14" s="255">
        <v>6672.2425000000003</v>
      </c>
      <c r="BE14" s="255">
        <v>7118.4539999999997</v>
      </c>
      <c r="BF14" s="255">
        <v>7423.893</v>
      </c>
      <c r="BG14" s="306">
        <f>BG158*BG17</f>
        <v>27555.350399999999</v>
      </c>
      <c r="BH14" s="255">
        <v>7710.0912000000008</v>
      </c>
      <c r="BI14" s="255">
        <v>7604.7972000000009</v>
      </c>
      <c r="BJ14" s="255">
        <v>7496.0244000000012</v>
      </c>
      <c r="BK14" s="255">
        <v>7774.518</v>
      </c>
      <c r="BL14" s="306">
        <f>BL158*BL17</f>
        <v>30568.647000000001</v>
      </c>
      <c r="BM14" s="255">
        <v>8078.6992000000009</v>
      </c>
      <c r="BN14" s="255">
        <v>7980.6023999999998</v>
      </c>
      <c r="BO14" s="255">
        <v>7883.1860000000006</v>
      </c>
      <c r="BP14" s="255">
        <v>9101.1270000000004</v>
      </c>
      <c r="BQ14" s="306">
        <f>BQ158*BQ17</f>
        <v>33068.182500000003</v>
      </c>
      <c r="BR14" s="1018">
        <f t="shared" ref="BR14:BU15" si="12">BR158*BR$17</f>
        <v>9204.8858</v>
      </c>
      <c r="BS14" s="1018">
        <f t="shared" si="12"/>
        <v>9285.5156000000006</v>
      </c>
      <c r="BT14" s="1018">
        <f t="shared" si="12"/>
        <v>9306.0936000000002</v>
      </c>
      <c r="BU14" s="1018">
        <f t="shared" si="12"/>
        <v>9655.94</v>
      </c>
      <c r="BV14" s="306">
        <f>SUM(BR14:BU14)</f>
        <v>37452.435000000005</v>
      </c>
      <c r="BW14" s="1018">
        <f t="shared" ref="BW14:BZ15" si="13">BW158*BW$17</f>
        <v>9560.9520000000011</v>
      </c>
      <c r="BX14" s="1018">
        <f t="shared" si="13"/>
        <v>9674.2360000000008</v>
      </c>
      <c r="BY14" s="1018">
        <f t="shared" si="13"/>
        <v>9727.2330000000002</v>
      </c>
      <c r="BZ14" s="1018">
        <f t="shared" si="13"/>
        <v>9995.8870000000006</v>
      </c>
      <c r="CA14" s="306">
        <f>SUM(BW14:BZ14)</f>
        <v>38958.308000000005</v>
      </c>
      <c r="CB14" s="1018">
        <f t="shared" ref="CB14:CE15" si="14">CB158*CB$17</f>
        <v>10079.616999999998</v>
      </c>
      <c r="CC14" s="1018">
        <f t="shared" si="14"/>
        <v>10066.854000000001</v>
      </c>
      <c r="CD14" s="1018">
        <f t="shared" si="14"/>
        <v>10064.705</v>
      </c>
      <c r="CE14" s="1018">
        <f t="shared" si="14"/>
        <v>10488.557900000002</v>
      </c>
      <c r="CF14" s="239">
        <f>SUM(CB14:CE14)</f>
        <v>40699.733899999999</v>
      </c>
      <c r="CG14" s="1018">
        <f t="shared" ref="CG14:CJ15" si="15">CG158*CG$17</f>
        <v>11200.776</v>
      </c>
      <c r="CH14" s="1018">
        <f t="shared" si="15"/>
        <v>10902.047999999999</v>
      </c>
      <c r="CI14" s="1018">
        <f t="shared" si="15"/>
        <v>10713.194899999999</v>
      </c>
      <c r="CJ14" s="1018">
        <f t="shared" si="15"/>
        <v>11005.28</v>
      </c>
      <c r="CK14" s="239">
        <f>SUM(CG14:CJ14)</f>
        <v>43821.298899999994</v>
      </c>
      <c r="CL14" s="238">
        <f>CL158*CL$17</f>
        <v>11075.189999999999</v>
      </c>
      <c r="CM14" s="238">
        <f>CM158*CM$17</f>
        <v>11152.394499999999</v>
      </c>
      <c r="CN14" s="238">
        <f>CN158*CN$17</f>
        <v>11463.936</v>
      </c>
      <c r="CO14" s="238">
        <f>CO158*CO$17</f>
        <v>11948.439999999999</v>
      </c>
      <c r="CP14" s="239">
        <f>SUM(CL14:CO14)</f>
        <v>45639.960500000001</v>
      </c>
      <c r="CQ14" s="238">
        <f>CQ17*CQ158</f>
        <v>11618.258999999998</v>
      </c>
      <c r="CR14" s="238">
        <f>CR17*CR158</f>
        <v>11741.519999999999</v>
      </c>
      <c r="CS14" s="238">
        <f>CS17*CS158</f>
        <v>12026.141</v>
      </c>
      <c r="CT14" s="238">
        <f>CT17*CT158</f>
        <v>12600.975999999999</v>
      </c>
      <c r="CU14" s="239">
        <f>CU17*0.707</f>
        <v>47932.691099999996</v>
      </c>
      <c r="CV14" s="238">
        <f>CV17*0.717</f>
        <v>12153.723599999999</v>
      </c>
      <c r="CW14" s="238">
        <f>CW17*CW158</f>
        <v>12345.343599999998</v>
      </c>
      <c r="CX14" s="238">
        <f>CX17*CX158</f>
        <v>13272.587422319159</v>
      </c>
      <c r="CY14" s="238">
        <f>CY17*CY158</f>
        <v>14708.072060519198</v>
      </c>
      <c r="CZ14" s="2598">
        <f>0.729*CZ17</f>
        <v>52493.316210309233</v>
      </c>
      <c r="DA14" s="238">
        <f>DA17*DA158</f>
        <v>15003.552</v>
      </c>
      <c r="DB14" s="238">
        <f>DB17*DB158</f>
        <v>14959.027600000001</v>
      </c>
      <c r="DC14" s="238">
        <f>DC17*DC158</f>
        <v>15308.452000000001</v>
      </c>
      <c r="DD14" s="238">
        <f>DD17*DD158</f>
        <v>15552.160400000001</v>
      </c>
      <c r="DE14" s="239">
        <f>SUM(DA14:DD14)</f>
        <v>60823.192000000003</v>
      </c>
      <c r="DF14" s="238">
        <f>DF17*DF158</f>
        <v>14428.013000000001</v>
      </c>
      <c r="DG14" s="238">
        <f>DG17*DG158</f>
        <v>14587.582400000001</v>
      </c>
      <c r="DH14" s="238">
        <f>DH17*DH158</f>
        <v>14867.83907373</v>
      </c>
      <c r="DI14" s="238">
        <f>DI17*DI158</f>
        <v>15619.359111544436</v>
      </c>
      <c r="DJ14" s="239">
        <f>SUM(DF14:DI14)</f>
        <v>59502.793585274434</v>
      </c>
      <c r="DK14" s="238">
        <f>DK92</f>
        <v>15540.565429113261</v>
      </c>
      <c r="DL14" s="238">
        <f>DL92</f>
        <v>15685.950590845157</v>
      </c>
      <c r="DM14" s="238">
        <f>DM92</f>
        <v>15484.431381140119</v>
      </c>
      <c r="DN14" s="238">
        <f>DN92</f>
        <v>15722.536981736124</v>
      </c>
      <c r="DO14" s="239">
        <f>SUM(DK14:DN14)</f>
        <v>62433.484382834664</v>
      </c>
      <c r="DP14" s="238">
        <f>DP92</f>
        <v>16148.052932126988</v>
      </c>
      <c r="DQ14" s="238">
        <f>DQ92</f>
        <v>16281.023023068501</v>
      </c>
      <c r="DR14" s="238">
        <f>DR92</f>
        <v>16055.706696897014</v>
      </c>
      <c r="DS14" s="238">
        <f>DS92</f>
        <v>16278.969898967061</v>
      </c>
      <c r="DT14" s="239">
        <f>SUM(DP14:DS14)</f>
        <v>64763.752551059559</v>
      </c>
      <c r="DU14" s="238">
        <f>DU92</f>
        <v>16709.610081744351</v>
      </c>
      <c r="DV14" s="238">
        <f>DV92</f>
        <v>16825.349599538185</v>
      </c>
      <c r="DW14" s="238">
        <f>DW92</f>
        <v>16574.572979723951</v>
      </c>
      <c r="DX14" s="238">
        <f>DX92</f>
        <v>16778.884055515431</v>
      </c>
      <c r="DY14" s="239">
        <f>SUM(DU14:DX14)</f>
        <v>66888.416716521911</v>
      </c>
      <c r="DZ14" s="1929"/>
      <c r="EA14" s="1886"/>
    </row>
    <row r="15" spans="1:131" x14ac:dyDescent="0.2">
      <c r="A15" s="2013"/>
      <c r="B15" s="254" t="s">
        <v>977</v>
      </c>
      <c r="C15" s="1622"/>
      <c r="D15" s="1622"/>
      <c r="E15" s="1622"/>
      <c r="F15" s="1622"/>
      <c r="G15" s="1622"/>
      <c r="H15" s="1622"/>
      <c r="I15" s="306">
        <f>I159*I17</f>
        <v>5694.8891999999996</v>
      </c>
      <c r="J15" s="2501">
        <v>1563.0100799999998</v>
      </c>
      <c r="K15" s="2501">
        <v>1533.0392999999999</v>
      </c>
      <c r="L15" s="2501">
        <v>1464.6125999999997</v>
      </c>
      <c r="M15" s="2501">
        <v>1591.1983999999998</v>
      </c>
      <c r="N15" s="306">
        <f>N159*N17</f>
        <v>6183.1781999999994</v>
      </c>
      <c r="O15" s="2501">
        <v>1533.2940000000003</v>
      </c>
      <c r="P15" s="2501">
        <v>1593.3220000000001</v>
      </c>
      <c r="Q15" s="2501">
        <v>1504.9460000000001</v>
      </c>
      <c r="R15" s="2501">
        <v>1779.8990000000003</v>
      </c>
      <c r="S15" s="306">
        <f>S159*S17</f>
        <v>6394.3864000000012</v>
      </c>
      <c r="T15" s="2501">
        <v>1785.7040000000002</v>
      </c>
      <c r="U15" s="2501">
        <v>1831.2840000000003</v>
      </c>
      <c r="V15" s="2501">
        <v>1725.3620000000001</v>
      </c>
      <c r="W15" s="2501">
        <v>2152.5370000000003</v>
      </c>
      <c r="X15" s="306">
        <f>X159*X17</f>
        <v>7279.9510000000009</v>
      </c>
      <c r="Y15" s="2501">
        <v>1880.2190000000001</v>
      </c>
      <c r="Z15" s="2501">
        <v>2018.73</v>
      </c>
      <c r="AA15" s="2501">
        <v>1953.4860000000003</v>
      </c>
      <c r="AB15" s="2501">
        <v>2190.4679999999998</v>
      </c>
      <c r="AC15" s="306">
        <f>AC159*AC17</f>
        <v>7229.5232999999998</v>
      </c>
      <c r="AD15" s="2501">
        <v>2028.0851612551517</v>
      </c>
      <c r="AE15" s="2501">
        <v>2063.45266318527</v>
      </c>
      <c r="AF15" s="2501">
        <v>1980.984370482307</v>
      </c>
      <c r="AG15" s="2501">
        <v>2213.6878429120975</v>
      </c>
      <c r="AH15" s="306">
        <f>AH159*AH17</f>
        <v>7230.4292999999998</v>
      </c>
      <c r="AI15" s="2501">
        <v>1958.015455812063</v>
      </c>
      <c r="AJ15" s="2501">
        <v>2021.8102459662148</v>
      </c>
      <c r="AK15" s="2501">
        <v>1987.4144638926894</v>
      </c>
      <c r="AL15" s="2501">
        <v>2212.4968679175672</v>
      </c>
      <c r="AM15" s="306">
        <f>AM159*AM17</f>
        <v>7471.5047999999988</v>
      </c>
      <c r="AN15" s="2501">
        <v>2043.7210333362609</v>
      </c>
      <c r="AO15" s="2501">
        <v>2061.9714430806107</v>
      </c>
      <c r="AP15" s="2501">
        <v>2011.7152064509221</v>
      </c>
      <c r="AQ15" s="2501">
        <v>2473.8948517430704</v>
      </c>
      <c r="AR15" s="306">
        <f>AR159*AR17</f>
        <v>7887.5784000000012</v>
      </c>
      <c r="AS15" s="2501">
        <v>2094.10976215746</v>
      </c>
      <c r="AT15" s="2501">
        <v>2164.6986234056099</v>
      </c>
      <c r="AU15" s="2501">
        <v>2369.2539833810893</v>
      </c>
      <c r="AV15" s="2501">
        <v>2790.1888899753567</v>
      </c>
      <c r="AW15" s="306">
        <f>AW159*AW17</f>
        <v>8618.6100000000024</v>
      </c>
      <c r="AX15" s="2501">
        <v>2653.234914233245</v>
      </c>
      <c r="AY15" s="2501">
        <v>2732.7210265620288</v>
      </c>
      <c r="AZ15" s="2501">
        <v>2648.894635553384</v>
      </c>
      <c r="BA15" s="2501">
        <v>2947.7236646788797</v>
      </c>
      <c r="BB15" s="306">
        <f>BB159*BB17</f>
        <v>10705.704399999997</v>
      </c>
      <c r="BC15" s="2501">
        <v>2790.739100000003</v>
      </c>
      <c r="BD15" s="2501">
        <v>3068.2574999999993</v>
      </c>
      <c r="BE15" s="2501">
        <v>3198.1460000000006</v>
      </c>
      <c r="BF15" s="2501">
        <v>3673.1069999999995</v>
      </c>
      <c r="BG15" s="306">
        <f>BG159*BG17</f>
        <v>12730.249599999997</v>
      </c>
      <c r="BH15" s="2501">
        <v>3529.1087999999995</v>
      </c>
      <c r="BI15" s="2501">
        <v>3644.9027999999998</v>
      </c>
      <c r="BJ15" s="2501">
        <v>3463.0755999999997</v>
      </c>
      <c r="BK15" s="2501">
        <v>3863.9819999999995</v>
      </c>
      <c r="BL15" s="306">
        <f>BL159*BL17</f>
        <v>14517.852999999997</v>
      </c>
      <c r="BM15" s="2501">
        <v>3766.9007999999994</v>
      </c>
      <c r="BN15" s="2501">
        <v>3790.1975999999991</v>
      </c>
      <c r="BO15" s="2501">
        <v>3658.8139999999994</v>
      </c>
      <c r="BP15" s="2501">
        <v>4730.3729999999996</v>
      </c>
      <c r="BQ15" s="306">
        <f>BQ159*BQ17</f>
        <v>15921.717499999999</v>
      </c>
      <c r="BR15" s="2502">
        <f t="shared" si="12"/>
        <v>4292.0141999999996</v>
      </c>
      <c r="BS15" s="2502">
        <f t="shared" si="12"/>
        <v>4511.6844000000001</v>
      </c>
      <c r="BT15" s="2502">
        <f t="shared" si="12"/>
        <v>4299.3063999999995</v>
      </c>
      <c r="BU15" s="2502">
        <f t="shared" si="12"/>
        <v>4799.0599999999995</v>
      </c>
      <c r="BV15" s="306">
        <f>SUM(BR15:BU15)</f>
        <v>17902.064999999999</v>
      </c>
      <c r="BW15" s="2502">
        <f t="shared" si="13"/>
        <v>4417.0479999999989</v>
      </c>
      <c r="BX15" s="2502">
        <f t="shared" si="13"/>
        <v>4636.7639999999992</v>
      </c>
      <c r="BY15" s="2502">
        <f t="shared" si="13"/>
        <v>4431.7669999999989</v>
      </c>
      <c r="BZ15" s="2502">
        <f t="shared" si="13"/>
        <v>4901.1129999999994</v>
      </c>
      <c r="CA15" s="306">
        <f>SUM(BW15:BZ15)</f>
        <v>18386.691999999995</v>
      </c>
      <c r="CB15" s="2502">
        <f t="shared" si="14"/>
        <v>4507.3830000000007</v>
      </c>
      <c r="CC15" s="2502">
        <f t="shared" si="14"/>
        <v>4759.1459999999997</v>
      </c>
      <c r="CD15" s="2502">
        <f t="shared" si="14"/>
        <v>4628.2949999999992</v>
      </c>
      <c r="CE15" s="2502">
        <f t="shared" si="14"/>
        <v>5004.1420999999991</v>
      </c>
      <c r="CF15" s="239">
        <f>SUM(CB15:CE15)</f>
        <v>18898.966099999998</v>
      </c>
      <c r="CG15" s="2502">
        <f t="shared" si="15"/>
        <v>4823.2240000000011</v>
      </c>
      <c r="CH15" s="2502">
        <f t="shared" si="15"/>
        <v>4943.9520000000011</v>
      </c>
      <c r="CI15" s="2502">
        <f t="shared" si="15"/>
        <v>4790.705100000001</v>
      </c>
      <c r="CJ15" s="2502">
        <f t="shared" si="15"/>
        <v>5274.7199999999993</v>
      </c>
      <c r="CK15" s="239">
        <f>SUM(CG15:CJ15)</f>
        <v>19832.601100000003</v>
      </c>
      <c r="CL15" s="1622">
        <f>CL127</f>
        <v>4975.8100000000013</v>
      </c>
      <c r="CM15" s="1622">
        <f>CM127</f>
        <v>4987.1055000000006</v>
      </c>
      <c r="CN15" s="1622">
        <f>CN127</f>
        <v>4820.0640000000003</v>
      </c>
      <c r="CO15" s="1622">
        <f>CO17-CO14</f>
        <v>5243.5600000000013</v>
      </c>
      <c r="CP15" s="239">
        <f>SUM(CL15:CO15)</f>
        <v>20026.539500000006</v>
      </c>
      <c r="CQ15" s="1622">
        <f t="shared" ref="CQ15:DA15" si="16">CQ17-CQ14</f>
        <v>4861.5410000000011</v>
      </c>
      <c r="CR15" s="1622">
        <f t="shared" si="16"/>
        <v>5128.4800000000014</v>
      </c>
      <c r="CS15" s="1622">
        <f t="shared" si="16"/>
        <v>4723.3590000000004</v>
      </c>
      <c r="CT15" s="1622">
        <f t="shared" si="16"/>
        <v>5097.0240000000013</v>
      </c>
      <c r="CU15" s="239">
        <f t="shared" si="16"/>
        <v>19864.608900000007</v>
      </c>
      <c r="CV15" s="1622">
        <f t="shared" si="16"/>
        <v>4797.0763999999999</v>
      </c>
      <c r="CW15" s="1622">
        <f t="shared" si="16"/>
        <v>4896.7564000000002</v>
      </c>
      <c r="CX15" s="1622">
        <f t="shared" si="16"/>
        <v>4639.1364944408397</v>
      </c>
      <c r="CY15" s="1622">
        <f t="shared" si="16"/>
        <v>5194.5964922807998</v>
      </c>
      <c r="CZ15" s="2598">
        <f t="shared" si="16"/>
        <v>19513.976259250761</v>
      </c>
      <c r="DA15" s="1622">
        <f t="shared" si="16"/>
        <v>5108.4480000000003</v>
      </c>
      <c r="DB15" s="1622">
        <f>DB17-DB14</f>
        <v>5039.6723999999995</v>
      </c>
      <c r="DC15" s="1622">
        <f>DC17-DC14</f>
        <v>4834.2479999999996</v>
      </c>
      <c r="DD15" s="1622">
        <f>DD17-DD14</f>
        <v>5295.2396000000008</v>
      </c>
      <c r="DE15" s="239">
        <f>SUM(DA15:DD15)</f>
        <v>20277.608</v>
      </c>
      <c r="DF15" s="1622">
        <f>DF17-DF14</f>
        <v>4912.4869999999992</v>
      </c>
      <c r="DG15" s="1622">
        <f>DG17-DG14</f>
        <v>4966.8176000000003</v>
      </c>
      <c r="DH15" s="1622">
        <f>DH17-DH14</f>
        <v>4725.6046218400006</v>
      </c>
      <c r="DI15" s="1622">
        <f>DI17-DI14</f>
        <v>5290.0908369755598</v>
      </c>
      <c r="DJ15" s="239">
        <f>SUM(DF15:DI15)</f>
        <v>19895.00005881556</v>
      </c>
      <c r="DK15" s="1622">
        <f>DK127</f>
        <v>4887.9245649999993</v>
      </c>
      <c r="DL15" s="1622">
        <f>DL127</f>
        <v>4917.1494240000002</v>
      </c>
      <c r="DM15" s="1622">
        <f>DM127</f>
        <v>4678.3485756216005</v>
      </c>
      <c r="DN15" s="1622">
        <f>DN127</f>
        <v>5237.1899286058042</v>
      </c>
      <c r="DO15" s="239">
        <f>SUM(DK15:DN15)</f>
        <v>19720.612493227403</v>
      </c>
      <c r="DP15" s="1622">
        <f>DP127</f>
        <v>4863.4849421749996</v>
      </c>
      <c r="DQ15" s="1622">
        <f>DQ127</f>
        <v>4892.5636768800005</v>
      </c>
      <c r="DR15" s="1622">
        <f>DR127</f>
        <v>4654.9568327434927</v>
      </c>
      <c r="DS15" s="1622">
        <f>DS127</f>
        <v>5211.0039789627754</v>
      </c>
      <c r="DT15" s="239">
        <f>SUM(DP15:DS15)</f>
        <v>19622.009430761267</v>
      </c>
      <c r="DU15" s="1622">
        <f>DU127</f>
        <v>4839.1675174641241</v>
      </c>
      <c r="DV15" s="1622">
        <f>DV127</f>
        <v>4868.1008584956007</v>
      </c>
      <c r="DW15" s="1622">
        <f>DW127</f>
        <v>4631.6820485797753</v>
      </c>
      <c r="DX15" s="1622">
        <f>DX127</f>
        <v>5184.9489590679614</v>
      </c>
      <c r="DY15" s="239">
        <f>SUM(DU15:DX15)</f>
        <v>19523.899383607462</v>
      </c>
      <c r="DZ15" s="1886"/>
      <c r="EA15" s="1886"/>
    </row>
    <row r="16" spans="1:131" x14ac:dyDescent="0.2">
      <c r="A16" s="2013"/>
      <c r="B16" s="1019" t="s">
        <v>1347</v>
      </c>
      <c r="C16" s="1020"/>
      <c r="D16" s="1020"/>
      <c r="E16" s="1020"/>
      <c r="F16" s="1020"/>
      <c r="G16" s="1020"/>
      <c r="H16" s="1020"/>
      <c r="I16" s="1021"/>
      <c r="J16" s="1022"/>
      <c r="K16" s="1022"/>
      <c r="L16" s="1022"/>
      <c r="M16" s="1022"/>
      <c r="N16" s="1021"/>
      <c r="O16" s="1022"/>
      <c r="P16" s="1022"/>
      <c r="Q16" s="1022"/>
      <c r="R16" s="1022"/>
      <c r="S16" s="1021"/>
      <c r="T16" s="1022"/>
      <c r="U16" s="1022"/>
      <c r="V16" s="1022"/>
      <c r="W16" s="1022"/>
      <c r="X16" s="1021"/>
      <c r="Y16" s="1022"/>
      <c r="Z16" s="1022"/>
      <c r="AA16" s="1022"/>
      <c r="AB16" s="1022"/>
      <c r="AC16" s="1021"/>
      <c r="AD16" s="1022"/>
      <c r="AE16" s="1022"/>
      <c r="AF16" s="1022"/>
      <c r="AG16" s="1022"/>
      <c r="AH16" s="1021"/>
      <c r="AI16" s="1022"/>
      <c r="AJ16" s="1022"/>
      <c r="AK16" s="1022"/>
      <c r="AL16" s="1022"/>
      <c r="AM16" s="1021"/>
      <c r="AN16" s="1022"/>
      <c r="AO16" s="1022"/>
      <c r="AP16" s="1022"/>
      <c r="AQ16" s="1022"/>
      <c r="AR16" s="1021"/>
      <c r="AS16" s="1022"/>
      <c r="AT16" s="1022"/>
      <c r="AU16" s="1022"/>
      <c r="AV16" s="1022"/>
      <c r="AW16" s="1021"/>
      <c r="AX16" s="1022"/>
      <c r="AY16" s="1022"/>
      <c r="AZ16" s="1022"/>
      <c r="BA16" s="1022"/>
      <c r="BB16" s="1021"/>
      <c r="BC16" s="1022"/>
      <c r="BD16" s="1022"/>
      <c r="BE16" s="1022"/>
      <c r="BF16" s="1022"/>
      <c r="BG16" s="1021"/>
      <c r="BH16" s="1022"/>
      <c r="BI16" s="1022"/>
      <c r="BJ16" s="1022"/>
      <c r="BK16" s="1022"/>
      <c r="BL16" s="1021"/>
      <c r="BM16" s="1022"/>
      <c r="BN16" s="1022"/>
      <c r="BO16" s="1022"/>
      <c r="BP16" s="1022"/>
      <c r="BQ16" s="1021"/>
      <c r="BR16" s="1023"/>
      <c r="BS16" s="1023"/>
      <c r="BT16" s="1023"/>
      <c r="BU16" s="1023"/>
      <c r="BV16" s="1021"/>
      <c r="BW16" s="1023"/>
      <c r="BX16" s="1023"/>
      <c r="BY16" s="1023"/>
      <c r="BZ16" s="1023"/>
      <c r="CA16" s="1021"/>
      <c r="CB16" s="1023"/>
      <c r="CC16" s="1023"/>
      <c r="CD16" s="1023"/>
      <c r="CE16" s="1023"/>
      <c r="CF16" s="1024"/>
      <c r="CG16" s="1023"/>
      <c r="CH16" s="1023"/>
      <c r="CI16" s="1023"/>
      <c r="CJ16" s="1023"/>
      <c r="CK16" s="1024"/>
      <c r="CL16" s="1020"/>
      <c r="CM16" s="1020"/>
      <c r="CN16" s="1020"/>
      <c r="CO16" s="1020"/>
      <c r="CP16" s="1024"/>
      <c r="CQ16" s="1020"/>
      <c r="CR16" s="1020"/>
      <c r="CS16" s="1020"/>
      <c r="CT16" s="1020"/>
      <c r="CU16" s="1024"/>
      <c r="CV16" s="1020"/>
      <c r="CW16" s="1020"/>
      <c r="CX16" s="1020"/>
      <c r="CY16" s="1020"/>
      <c r="CZ16" s="1024"/>
      <c r="DA16" s="1020"/>
      <c r="DB16" s="1020"/>
      <c r="DC16" s="1020"/>
      <c r="DD16" s="1020"/>
      <c r="DE16" s="1024"/>
      <c r="DF16" s="1020"/>
      <c r="DG16" s="1020"/>
      <c r="DH16" s="1020"/>
      <c r="DI16" s="1020"/>
      <c r="DJ16" s="1024"/>
      <c r="DK16" s="1020"/>
      <c r="DL16" s="1020"/>
      <c r="DM16" s="1020"/>
      <c r="DN16" s="1020"/>
      <c r="DO16" s="1024"/>
      <c r="DP16" s="1020"/>
      <c r="DQ16" s="1020"/>
      <c r="DR16" s="1020"/>
      <c r="DS16" s="1020"/>
      <c r="DT16" s="1024"/>
      <c r="DU16" s="1020"/>
      <c r="DV16" s="1020"/>
      <c r="DW16" s="1020"/>
      <c r="DX16" s="1020"/>
      <c r="DY16" s="1024"/>
      <c r="DZ16" s="1886"/>
      <c r="EA16" s="1886"/>
    </row>
    <row r="17" spans="1:131" x14ac:dyDescent="0.2">
      <c r="A17" s="2162"/>
      <c r="B17" s="1025" t="s">
        <v>171</v>
      </c>
      <c r="C17" s="1026"/>
      <c r="D17" s="1026"/>
      <c r="E17" s="1027">
        <v>2765.5070000000001</v>
      </c>
      <c r="F17" s="1027">
        <v>2887.8040000000001</v>
      </c>
      <c r="G17" s="1027">
        <v>2853.2890000000002</v>
      </c>
      <c r="H17" s="1027">
        <v>3324.9389999999999</v>
      </c>
      <c r="I17" s="1028">
        <v>11766.3</v>
      </c>
      <c r="J17" s="1027">
        <v>3397.848</v>
      </c>
      <c r="K17" s="1027">
        <v>3406.7539999999999</v>
      </c>
      <c r="L17" s="1027">
        <v>3328.665</v>
      </c>
      <c r="M17" s="1027">
        <v>3616.36</v>
      </c>
      <c r="N17" s="1028">
        <v>13649.4</v>
      </c>
      <c r="O17" s="1027">
        <v>3565.8</v>
      </c>
      <c r="P17" s="1027">
        <v>3705.4</v>
      </c>
      <c r="Q17" s="1027">
        <v>3670.6</v>
      </c>
      <c r="R17" s="1027">
        <v>4139.3</v>
      </c>
      <c r="S17" s="1028">
        <v>15081.1</v>
      </c>
      <c r="T17" s="1027">
        <v>4152.8</v>
      </c>
      <c r="U17" s="1027">
        <v>4258.8</v>
      </c>
      <c r="V17" s="1027">
        <v>4208.2</v>
      </c>
      <c r="W17" s="1027">
        <v>5005.8999999999996</v>
      </c>
      <c r="X17" s="1028">
        <v>17627</v>
      </c>
      <c r="Y17" s="1027">
        <v>4585.8999999999996</v>
      </c>
      <c r="Z17" s="1027">
        <v>4806.5</v>
      </c>
      <c r="AA17" s="1027">
        <v>4764.6000000000004</v>
      </c>
      <c r="AB17" s="1027">
        <v>5215.3999999999996</v>
      </c>
      <c r="AC17" s="1028">
        <v>19382.099999999999</v>
      </c>
      <c r="AD17" s="1027">
        <v>5164.1000000000004</v>
      </c>
      <c r="AE17" s="1027">
        <v>5280.4</v>
      </c>
      <c r="AF17" s="1027">
        <v>5188.7</v>
      </c>
      <c r="AG17" s="1027">
        <v>5695.5</v>
      </c>
      <c r="AH17" s="1028">
        <v>21328.7</v>
      </c>
      <c r="AI17" s="1027">
        <v>5693</v>
      </c>
      <c r="AJ17" s="1027">
        <v>5715.1</v>
      </c>
      <c r="AK17" s="1027">
        <v>5605.4</v>
      </c>
      <c r="AL17" s="1027">
        <v>6046.7</v>
      </c>
      <c r="AM17" s="1028">
        <v>23060.2</v>
      </c>
      <c r="AN17" s="1027">
        <v>5977.4</v>
      </c>
      <c r="AO17" s="1027">
        <v>6129.3</v>
      </c>
      <c r="AP17" s="1027">
        <v>6072.6</v>
      </c>
      <c r="AQ17" s="1027">
        <v>7101.4</v>
      </c>
      <c r="AR17" s="1028">
        <v>25280.7</v>
      </c>
      <c r="AS17" s="1027">
        <v>6479.9</v>
      </c>
      <c r="AT17" s="1027">
        <v>6619.6</v>
      </c>
      <c r="AU17" s="1027">
        <v>7371.8</v>
      </c>
      <c r="AV17" s="1027">
        <v>8257.4</v>
      </c>
      <c r="AW17" s="1028">
        <v>28728.7</v>
      </c>
      <c r="AX17" s="1027">
        <v>8489.7000000000007</v>
      </c>
      <c r="AY17" s="1027">
        <v>8431.7000000000007</v>
      </c>
      <c r="AZ17" s="1027">
        <v>8241.9</v>
      </c>
      <c r="BA17" s="1027">
        <v>8931.2999999999993</v>
      </c>
      <c r="BB17" s="1028">
        <v>34094.6</v>
      </c>
      <c r="BC17" s="1027">
        <v>9131.5</v>
      </c>
      <c r="BD17" s="1027">
        <v>9740.5</v>
      </c>
      <c r="BE17" s="1027">
        <v>10316.6</v>
      </c>
      <c r="BF17" s="1027">
        <v>11097</v>
      </c>
      <c r="BG17" s="1028">
        <v>40285.599999999999</v>
      </c>
      <c r="BH17" s="1027">
        <v>11239.2</v>
      </c>
      <c r="BI17" s="1027">
        <v>11249.7</v>
      </c>
      <c r="BJ17" s="1027">
        <v>10959.1</v>
      </c>
      <c r="BK17" s="1027">
        <v>11638.5</v>
      </c>
      <c r="BL17" s="1028">
        <v>45086.5</v>
      </c>
      <c r="BM17" s="1027">
        <v>11845.6</v>
      </c>
      <c r="BN17" s="1027">
        <v>11770.8</v>
      </c>
      <c r="BO17" s="1027">
        <v>11542</v>
      </c>
      <c r="BP17" s="1027">
        <v>13831.5</v>
      </c>
      <c r="BQ17" s="1028">
        <v>48989.9</v>
      </c>
      <c r="BR17" s="1027">
        <v>13496.9</v>
      </c>
      <c r="BS17" s="1027">
        <v>13797.2</v>
      </c>
      <c r="BT17" s="1027">
        <v>13605.4</v>
      </c>
      <c r="BU17" s="1027">
        <v>14455</v>
      </c>
      <c r="BV17" s="1028">
        <v>55355</v>
      </c>
      <c r="BW17" s="1027">
        <v>13978</v>
      </c>
      <c r="BX17" s="1027">
        <v>14311</v>
      </c>
      <c r="BY17" s="1027">
        <v>14159</v>
      </c>
      <c r="BZ17" s="1027">
        <v>14897</v>
      </c>
      <c r="CA17" s="1029">
        <f>CA14+CA15</f>
        <v>57345</v>
      </c>
      <c r="CB17" s="1027">
        <v>14587</v>
      </c>
      <c r="CC17" s="1027">
        <v>14826</v>
      </c>
      <c r="CD17" s="1027">
        <v>14693</v>
      </c>
      <c r="CE17" s="1027">
        <v>15492.7</v>
      </c>
      <c r="CF17" s="1030">
        <f>CF14+CF15</f>
        <v>59598.7</v>
      </c>
      <c r="CG17" s="1027">
        <v>16024</v>
      </c>
      <c r="CH17" s="1031">
        <v>15846</v>
      </c>
      <c r="CI17" s="1027">
        <v>15503.9</v>
      </c>
      <c r="CJ17" s="1027">
        <v>16280</v>
      </c>
      <c r="CK17" s="1030">
        <f>CK14+CK15</f>
        <v>63653.899999999994</v>
      </c>
      <c r="CL17" s="1027">
        <v>16051</v>
      </c>
      <c r="CM17" s="1027">
        <v>16139.5</v>
      </c>
      <c r="CN17" s="1027">
        <v>16284</v>
      </c>
      <c r="CO17" s="1027">
        <v>17192</v>
      </c>
      <c r="CP17" s="1030">
        <f>CP14+CP15</f>
        <v>65666.5</v>
      </c>
      <c r="CQ17" s="1027">
        <v>16479.8</v>
      </c>
      <c r="CR17" s="1027">
        <v>16870</v>
      </c>
      <c r="CS17" s="1027">
        <v>16749.5</v>
      </c>
      <c r="CT17" s="1027">
        <v>17698</v>
      </c>
      <c r="CU17" s="1030">
        <f>SUM(CQ17:CT17)</f>
        <v>67797.3</v>
      </c>
      <c r="CV17" s="1027">
        <v>16950.8</v>
      </c>
      <c r="CW17" s="1027">
        <v>17242.099999999999</v>
      </c>
      <c r="CX17" s="1027">
        <v>17911.723916759998</v>
      </c>
      <c r="CY17" s="1027">
        <v>19902.668552799998</v>
      </c>
      <c r="CZ17" s="1030">
        <f>SUM(CV17:CY17)</f>
        <v>72007.292469559994</v>
      </c>
      <c r="DA17" s="1027">
        <v>20112</v>
      </c>
      <c r="DB17" s="1027">
        <v>19998.7</v>
      </c>
      <c r="DC17" s="1027">
        <v>20142.7</v>
      </c>
      <c r="DD17" s="1027">
        <v>20847.400000000001</v>
      </c>
      <c r="DE17" s="1030">
        <f>SUM(DA17:DD17)</f>
        <v>81100.799999999988</v>
      </c>
      <c r="DF17" s="1027">
        <v>19340.5</v>
      </c>
      <c r="DG17" s="1027">
        <v>19554.400000000001</v>
      </c>
      <c r="DH17" s="1027">
        <v>19593.44369557</v>
      </c>
      <c r="DI17" s="1027">
        <v>20909.449948519996</v>
      </c>
      <c r="DJ17" s="1030">
        <f>SUM(DF17:DI17)</f>
        <v>79397.793644089994</v>
      </c>
      <c r="DK17" s="1026">
        <f>SUM(DK14:DK16)</f>
        <v>20428.489994113261</v>
      </c>
      <c r="DL17" s="1026">
        <f>SUM(DL14:DL16)</f>
        <v>20603.100014845157</v>
      </c>
      <c r="DM17" s="1026">
        <f>SUM(DM14:DM16)</f>
        <v>20162.779956761718</v>
      </c>
      <c r="DN17" s="1026">
        <f>SUM(DN14:DN16)</f>
        <v>20959.726910341928</v>
      </c>
      <c r="DO17" s="1030">
        <f>SUM(DK17:DN17)</f>
        <v>82154.09687606206</v>
      </c>
      <c r="DP17" s="1026">
        <f>SUM(DP14:DP16)</f>
        <v>21011.537874301986</v>
      </c>
      <c r="DQ17" s="1026">
        <f>SUM(DQ14:DQ16)</f>
        <v>21173.586699948501</v>
      </c>
      <c r="DR17" s="1026">
        <f>SUM(DR14:DR16)</f>
        <v>20710.663529640507</v>
      </c>
      <c r="DS17" s="1026">
        <f>SUM(DS14:DS16)</f>
        <v>21489.973877929835</v>
      </c>
      <c r="DT17" s="1030">
        <f>SUM(DP17:DS17)</f>
        <v>84385.761981820833</v>
      </c>
      <c r="DU17" s="1026">
        <f>SUM(DU14:DU16)</f>
        <v>21548.777599208475</v>
      </c>
      <c r="DV17" s="1026">
        <f>SUM(DV14:DV16)</f>
        <v>21693.450458033785</v>
      </c>
      <c r="DW17" s="1026">
        <f>SUM(DW14:DW16)</f>
        <v>21206.255028303727</v>
      </c>
      <c r="DX17" s="1026">
        <f>SUM(DX14:DX16)</f>
        <v>21963.833014583393</v>
      </c>
      <c r="DY17" s="1030">
        <f>SUM(DU17:DX17)</f>
        <v>86412.316100129377</v>
      </c>
      <c r="DZ17" s="2163"/>
      <c r="EA17" s="2163"/>
    </row>
    <row r="18" spans="1:131" x14ac:dyDescent="0.2">
      <c r="A18" s="461"/>
      <c r="B18" s="990" t="s">
        <v>978</v>
      </c>
      <c r="C18" s="571"/>
      <c r="D18" s="571"/>
      <c r="E18" s="571"/>
      <c r="F18" s="571"/>
      <c r="G18" s="571"/>
      <c r="H18" s="571"/>
      <c r="I18" s="572"/>
      <c r="J18" s="461">
        <f t="shared" ref="J18:BU18" si="17">J17/E17-1</f>
        <v>0.22865282930037778</v>
      </c>
      <c r="K18" s="461">
        <f t="shared" si="17"/>
        <v>0.17970402423433152</v>
      </c>
      <c r="L18" s="461">
        <f t="shared" si="17"/>
        <v>0.16660632694409849</v>
      </c>
      <c r="M18" s="461">
        <f t="shared" si="17"/>
        <v>8.7647021494229094E-2</v>
      </c>
      <c r="N18" s="572">
        <f t="shared" si="17"/>
        <v>0.16004181433415776</v>
      </c>
      <c r="O18" s="461">
        <f t="shared" si="17"/>
        <v>4.9428932665616765E-2</v>
      </c>
      <c r="P18" s="461">
        <f t="shared" si="17"/>
        <v>8.7662919013230756E-2</v>
      </c>
      <c r="Q18" s="461">
        <f t="shared" si="17"/>
        <v>0.10272436547384611</v>
      </c>
      <c r="R18" s="461">
        <f t="shared" si="17"/>
        <v>0.14460396641927242</v>
      </c>
      <c r="S18" s="572">
        <f t="shared" si="17"/>
        <v>0.10489105748238026</v>
      </c>
      <c r="T18" s="461">
        <f t="shared" si="17"/>
        <v>0.16461944023781472</v>
      </c>
      <c r="U18" s="461">
        <f t="shared" si="17"/>
        <v>0.14934959788416902</v>
      </c>
      <c r="V18" s="461">
        <f t="shared" si="17"/>
        <v>0.1464610690350352</v>
      </c>
      <c r="W18" s="461">
        <f t="shared" si="17"/>
        <v>0.20935907037421764</v>
      </c>
      <c r="X18" s="572">
        <f t="shared" si="17"/>
        <v>0.1688139459323259</v>
      </c>
      <c r="Y18" s="461">
        <f t="shared" si="17"/>
        <v>0.10429108071662485</v>
      </c>
      <c r="Z18" s="461">
        <f t="shared" si="17"/>
        <v>0.12860430168122461</v>
      </c>
      <c r="AA18" s="461">
        <f t="shared" si="17"/>
        <v>0.13221805047288648</v>
      </c>
      <c r="AB18" s="461">
        <f t="shared" si="17"/>
        <v>4.1850616272798069E-2</v>
      </c>
      <c r="AC18" s="572">
        <f t="shared" si="17"/>
        <v>9.9568843251829575E-2</v>
      </c>
      <c r="AD18" s="461">
        <f t="shared" si="17"/>
        <v>0.126082121284808</v>
      </c>
      <c r="AE18" s="461">
        <f t="shared" si="17"/>
        <v>9.8595651721626876E-2</v>
      </c>
      <c r="AF18" s="461">
        <f t="shared" si="17"/>
        <v>8.9010619989086104E-2</v>
      </c>
      <c r="AG18" s="461">
        <f t="shared" si="17"/>
        <v>9.2054300724776716E-2</v>
      </c>
      <c r="AH18" s="572">
        <f t="shared" si="17"/>
        <v>0.10043287363082443</v>
      </c>
      <c r="AI18" s="461">
        <f t="shared" si="17"/>
        <v>0.10241862086326758</v>
      </c>
      <c r="AJ18" s="461">
        <f t="shared" si="17"/>
        <v>8.2323308840239529E-2</v>
      </c>
      <c r="AK18" s="461">
        <f t="shared" si="17"/>
        <v>8.0309133308921199E-2</v>
      </c>
      <c r="AL18" s="461">
        <f t="shared" si="17"/>
        <v>6.1662716179439858E-2</v>
      </c>
      <c r="AM18" s="572">
        <f t="shared" si="17"/>
        <v>8.1181694149198069E-2</v>
      </c>
      <c r="AN18" s="461">
        <f t="shared" si="17"/>
        <v>4.9956086421921508E-2</v>
      </c>
      <c r="AO18" s="461">
        <f t="shared" si="17"/>
        <v>7.2474672359188697E-2</v>
      </c>
      <c r="AP18" s="461">
        <f t="shared" si="17"/>
        <v>8.3348199950048274E-2</v>
      </c>
      <c r="AQ18" s="461">
        <f t="shared" si="17"/>
        <v>0.17442571981411348</v>
      </c>
      <c r="AR18" s="572">
        <f t="shared" si="17"/>
        <v>9.6291445867772163E-2</v>
      </c>
      <c r="AS18" s="461">
        <f t="shared" si="17"/>
        <v>8.4066651052296937E-2</v>
      </c>
      <c r="AT18" s="461">
        <f t="shared" si="17"/>
        <v>7.9992821366224653E-2</v>
      </c>
      <c r="AU18" s="461">
        <f t="shared" si="17"/>
        <v>0.21394460362941725</v>
      </c>
      <c r="AV18" s="461">
        <f t="shared" si="17"/>
        <v>0.16278480299659215</v>
      </c>
      <c r="AW18" s="572">
        <f t="shared" si="17"/>
        <v>0.13638862847943289</v>
      </c>
      <c r="AX18" s="461">
        <f t="shared" si="17"/>
        <v>0.31015910739363273</v>
      </c>
      <c r="AY18" s="461">
        <f t="shared" si="17"/>
        <v>0.27374765846878968</v>
      </c>
      <c r="AZ18" s="461">
        <f t="shared" si="17"/>
        <v>0.11803087441330473</v>
      </c>
      <c r="BA18" s="461">
        <f t="shared" si="17"/>
        <v>8.1611645312083647E-2</v>
      </c>
      <c r="BB18" s="572">
        <f t="shared" si="17"/>
        <v>0.18677837841600908</v>
      </c>
      <c r="BC18" s="461">
        <f t="shared" si="17"/>
        <v>7.5597488721627304E-2</v>
      </c>
      <c r="BD18" s="461">
        <f t="shared" si="17"/>
        <v>0.15522373898502062</v>
      </c>
      <c r="BE18" s="461">
        <f t="shared" si="17"/>
        <v>0.25172593698055068</v>
      </c>
      <c r="BF18" s="461">
        <f t="shared" si="17"/>
        <v>0.24248429679889827</v>
      </c>
      <c r="BG18" s="572">
        <f t="shared" si="17"/>
        <v>0.18158300727974508</v>
      </c>
      <c r="BH18" s="461">
        <f t="shared" si="17"/>
        <v>0.23081640475277898</v>
      </c>
      <c r="BI18" s="461">
        <f t="shared" si="17"/>
        <v>0.15494071146245059</v>
      </c>
      <c r="BJ18" s="461">
        <f t="shared" si="17"/>
        <v>6.227826997266539E-2</v>
      </c>
      <c r="BK18" s="461">
        <f t="shared" si="17"/>
        <v>4.8796972154636409E-2</v>
      </c>
      <c r="BL18" s="572">
        <f t="shared" si="17"/>
        <v>0.11917161467124737</v>
      </c>
      <c r="BM18" s="461">
        <f t="shared" si="17"/>
        <v>5.3954018079578558E-2</v>
      </c>
      <c r="BN18" s="461">
        <f t="shared" si="17"/>
        <v>4.6321235232939406E-2</v>
      </c>
      <c r="BO18" s="461">
        <f t="shared" si="17"/>
        <v>5.3188674252447665E-2</v>
      </c>
      <c r="BP18" s="461">
        <f t="shared" si="17"/>
        <v>0.18842634360097943</v>
      </c>
      <c r="BQ18" s="572">
        <f t="shared" si="17"/>
        <v>8.6575804287314373E-2</v>
      </c>
      <c r="BR18" s="461">
        <f t="shared" si="17"/>
        <v>0.13940197204025107</v>
      </c>
      <c r="BS18" s="461">
        <f t="shared" si="17"/>
        <v>0.17215482380127112</v>
      </c>
      <c r="BT18" s="461">
        <f t="shared" si="17"/>
        <v>0.17877317622595723</v>
      </c>
      <c r="BU18" s="461">
        <f t="shared" si="17"/>
        <v>4.5078263384303874E-2</v>
      </c>
      <c r="BV18" s="572">
        <f t="shared" ref="BV18:DJ18" si="18">BV17/BQ17-1</f>
        <v>0.12992678082625186</v>
      </c>
      <c r="BW18" s="461">
        <f t="shared" si="18"/>
        <v>3.5645222236217133E-2</v>
      </c>
      <c r="BX18" s="461">
        <f t="shared" si="18"/>
        <v>3.7239439886353809E-2</v>
      </c>
      <c r="BY18" s="461">
        <f t="shared" si="18"/>
        <v>4.0689726138151139E-2</v>
      </c>
      <c r="BZ18" s="461">
        <f t="shared" si="18"/>
        <v>3.0577654790729936E-2</v>
      </c>
      <c r="CA18" s="572">
        <f t="shared" si="18"/>
        <v>3.5949778701110935E-2</v>
      </c>
      <c r="CB18" s="461">
        <f t="shared" si="18"/>
        <v>4.3568464730290524E-2</v>
      </c>
      <c r="CC18" s="461">
        <f t="shared" si="18"/>
        <v>3.5986304241492517E-2</v>
      </c>
      <c r="CD18" s="461">
        <f t="shared" si="18"/>
        <v>3.7714527862137137E-2</v>
      </c>
      <c r="CE18" s="461">
        <f t="shared" si="18"/>
        <v>3.99879170302746E-2</v>
      </c>
      <c r="CF18" s="572">
        <f t="shared" si="18"/>
        <v>3.9300723689946748E-2</v>
      </c>
      <c r="CG18" s="461">
        <f t="shared" si="18"/>
        <v>9.8512374031672012E-2</v>
      </c>
      <c r="CH18" s="456">
        <f t="shared" si="18"/>
        <v>6.8798057466612716E-2</v>
      </c>
      <c r="CI18" s="461">
        <f t="shared" si="18"/>
        <v>5.518954604233306E-2</v>
      </c>
      <c r="CJ18" s="461">
        <f t="shared" si="18"/>
        <v>5.0817481781742391E-2</v>
      </c>
      <c r="CK18" s="572">
        <f t="shared" si="18"/>
        <v>6.8041752588563043E-2</v>
      </c>
      <c r="CL18" s="461">
        <f t="shared" si="18"/>
        <v>1.6849725411882677E-3</v>
      </c>
      <c r="CM18" s="461">
        <f t="shared" si="18"/>
        <v>1.8522024485674526E-2</v>
      </c>
      <c r="CN18" s="461">
        <f t="shared" si="18"/>
        <v>5.0316372009623356E-2</v>
      </c>
      <c r="CO18" s="461">
        <f t="shared" si="18"/>
        <v>5.6019656019655972E-2</v>
      </c>
      <c r="CP18" s="572">
        <f t="shared" si="18"/>
        <v>3.1617858450150083E-2</v>
      </c>
      <c r="CQ18" s="461">
        <f t="shared" si="18"/>
        <v>2.6714846427013939E-2</v>
      </c>
      <c r="CR18" s="461">
        <f t="shared" si="18"/>
        <v>4.5261625205241796E-2</v>
      </c>
      <c r="CS18" s="461">
        <f t="shared" si="18"/>
        <v>2.8586342422009414E-2</v>
      </c>
      <c r="CT18" s="461">
        <f t="shared" si="18"/>
        <v>2.943229409027448E-2</v>
      </c>
      <c r="CU18" s="572">
        <f t="shared" si="18"/>
        <v>3.2448813321861225E-2</v>
      </c>
      <c r="CV18" s="461">
        <f t="shared" si="18"/>
        <v>2.8580443937426425E-2</v>
      </c>
      <c r="CW18" s="461">
        <f t="shared" si="18"/>
        <v>2.2056905749851641E-2</v>
      </c>
      <c r="CX18" s="461">
        <f t="shared" si="18"/>
        <v>6.9388573793844444E-2</v>
      </c>
      <c r="CY18" s="461">
        <f t="shared" si="18"/>
        <v>0.12457162124533827</v>
      </c>
      <c r="CZ18" s="572">
        <f t="shared" si="18"/>
        <v>6.2096757091506527E-2</v>
      </c>
      <c r="DA18" s="461">
        <f t="shared" si="18"/>
        <v>0.18649267291219296</v>
      </c>
      <c r="DB18" s="461">
        <f t="shared" si="18"/>
        <v>0.15987611717830208</v>
      </c>
      <c r="DC18" s="461">
        <f t="shared" si="18"/>
        <v>0.12455395659333934</v>
      </c>
      <c r="DD18" s="461">
        <f t="shared" si="18"/>
        <v>4.7467576757042274E-2</v>
      </c>
      <c r="DE18" s="572">
        <f t="shared" si="18"/>
        <v>0.12628592491912038</v>
      </c>
      <c r="DF18" s="461">
        <f t="shared" si="18"/>
        <v>-3.8360182975338053E-2</v>
      </c>
      <c r="DG18" s="461">
        <f t="shared" si="18"/>
        <v>-2.2216444068864472E-2</v>
      </c>
      <c r="DH18" s="461">
        <f t="shared" si="18"/>
        <v>-2.726825621341733E-2</v>
      </c>
      <c r="DI18" s="461">
        <f t="shared" si="18"/>
        <v>2.9763878718687131E-3</v>
      </c>
      <c r="DJ18" s="572">
        <f t="shared" si="18"/>
        <v>-2.0998638187416097E-2</v>
      </c>
      <c r="DK18" s="461">
        <f t="shared" ref="DK18:DT18" si="19">DK17/DF17-1</f>
        <v>5.6254491565019604E-2</v>
      </c>
      <c r="DL18" s="461">
        <f t="shared" si="19"/>
        <v>5.3629874342611128E-2</v>
      </c>
      <c r="DM18" s="461">
        <f t="shared" si="19"/>
        <v>2.9057488312809632E-2</v>
      </c>
      <c r="DN18" s="461">
        <f t="shared" si="19"/>
        <v>2.4045090590960605E-3</v>
      </c>
      <c r="DO18" s="572">
        <f t="shared" si="19"/>
        <v>3.4715111156961465E-2</v>
      </c>
      <c r="DP18" s="461">
        <f t="shared" si="19"/>
        <v>2.8540919096650796E-2</v>
      </c>
      <c r="DQ18" s="461">
        <f t="shared" si="19"/>
        <v>2.7689361537452717E-2</v>
      </c>
      <c r="DR18" s="461">
        <f t="shared" si="19"/>
        <v>2.7173017513145714E-2</v>
      </c>
      <c r="DS18" s="461">
        <f t="shared" si="19"/>
        <v>2.5298371961433919E-2</v>
      </c>
      <c r="DT18" s="572">
        <f t="shared" si="19"/>
        <v>2.7164379995868959E-2</v>
      </c>
      <c r="DU18" s="461">
        <f t="shared" ref="DU18" si="20">DU17/DP17-1</f>
        <v>2.5568795969168834E-2</v>
      </c>
      <c r="DV18" s="461">
        <f t="shared" ref="DV18" si="21">DV17/DQ17-1</f>
        <v>2.4552465553063341E-2</v>
      </c>
      <c r="DW18" s="461">
        <f t="shared" ref="DW18" si="22">DW17/DR17-1</f>
        <v>2.3929291205660563E-2</v>
      </c>
      <c r="DX18" s="461">
        <f t="shared" ref="DX18" si="23">DX17/DS17-1</f>
        <v>2.2050242561728384E-2</v>
      </c>
      <c r="DY18" s="572">
        <f t="shared" ref="DY18" si="24">DY17/DT17-1</f>
        <v>2.4015356035359758E-2</v>
      </c>
      <c r="DZ18" s="571"/>
      <c r="EA18" s="571"/>
    </row>
    <row r="19" spans="1:131" ht="8.25" customHeight="1" x14ac:dyDescent="0.2">
      <c r="A19" s="1984"/>
      <c r="B19" s="1849"/>
      <c r="C19" s="1850"/>
      <c r="D19" s="1850"/>
      <c r="E19" s="2164"/>
      <c r="F19" s="2164"/>
      <c r="G19" s="2164"/>
      <c r="H19" s="2164"/>
      <c r="I19" s="2165"/>
      <c r="J19" s="2164"/>
      <c r="K19" s="2164"/>
      <c r="L19" s="2164"/>
      <c r="M19" s="2164"/>
      <c r="N19" s="2165"/>
      <c r="O19" s="2164"/>
      <c r="P19" s="2164"/>
      <c r="Q19" s="2164"/>
      <c r="R19" s="2164"/>
      <c r="S19" s="2165"/>
      <c r="T19" s="2164"/>
      <c r="U19" s="2164"/>
      <c r="V19" s="2164"/>
      <c r="W19" s="2164"/>
      <c r="X19" s="2165"/>
      <c r="Y19" s="2164"/>
      <c r="Z19" s="2164"/>
      <c r="AA19" s="2164"/>
      <c r="AB19" s="2164"/>
      <c r="AC19" s="2165"/>
      <c r="AD19" s="2164"/>
      <c r="AE19" s="2164"/>
      <c r="AF19" s="2166"/>
      <c r="AG19" s="2045"/>
      <c r="AH19" s="2165"/>
      <c r="AI19" s="2164"/>
      <c r="AJ19" s="2164"/>
      <c r="AK19" s="2164"/>
      <c r="AL19" s="2164"/>
      <c r="AM19" s="2165"/>
      <c r="AN19" s="2045"/>
      <c r="AO19" s="2166"/>
      <c r="AP19" s="2164"/>
      <c r="AQ19" s="2164"/>
      <c r="AR19" s="2165"/>
      <c r="AS19" s="2167"/>
      <c r="AT19" s="2164"/>
      <c r="AU19" s="2164"/>
      <c r="AV19" s="2164"/>
      <c r="AW19" s="2069"/>
      <c r="AX19" s="2166"/>
      <c r="AY19" s="2168"/>
      <c r="AZ19" s="2166"/>
      <c r="BA19" s="2045"/>
      <c r="BB19" s="2165"/>
      <c r="BC19" s="2164"/>
      <c r="BD19" s="2164"/>
      <c r="BE19" s="2164"/>
      <c r="BF19" s="2164"/>
      <c r="BG19" s="2165"/>
      <c r="BH19" s="2164"/>
      <c r="BI19" s="2164"/>
      <c r="BJ19" s="2164"/>
      <c r="BK19" s="2164"/>
      <c r="BL19" s="2165"/>
      <c r="BM19" s="1850"/>
      <c r="BN19" s="1850"/>
      <c r="BO19" s="1850"/>
      <c r="BP19" s="1850"/>
      <c r="BQ19" s="2165"/>
      <c r="BR19" s="1850"/>
      <c r="BS19" s="1850"/>
      <c r="BT19" s="1850"/>
      <c r="BU19" s="1850"/>
      <c r="BV19" s="2165"/>
      <c r="BW19" s="1850"/>
      <c r="BX19" s="1850"/>
      <c r="BY19" s="1850"/>
      <c r="BZ19" s="1850"/>
      <c r="CA19" s="2165"/>
      <c r="CB19" s="1850"/>
      <c r="CC19" s="1850"/>
      <c r="CD19" s="1850"/>
      <c r="CE19" s="1850"/>
      <c r="CF19" s="2165"/>
      <c r="CG19" s="1984"/>
      <c r="CH19" s="1842"/>
      <c r="CI19" s="1850"/>
      <c r="CJ19" s="1850"/>
      <c r="CK19" s="2165"/>
      <c r="CL19" s="1850"/>
      <c r="CM19" s="1850"/>
      <c r="CN19" s="1850"/>
      <c r="CO19" s="1850"/>
      <c r="CP19" s="2165"/>
      <c r="CQ19" s="1850"/>
      <c r="CR19" s="1850"/>
      <c r="CS19" s="1850"/>
      <c r="CT19" s="1850"/>
      <c r="CU19" s="2165"/>
      <c r="CV19" s="1850"/>
      <c r="CW19" s="1850"/>
      <c r="CX19" s="1850"/>
      <c r="CY19" s="1850"/>
      <c r="CZ19" s="2165"/>
      <c r="DA19" s="1850"/>
      <c r="DB19" s="1850"/>
      <c r="DC19" s="1850"/>
      <c r="DD19" s="1850"/>
      <c r="DE19" s="2165"/>
      <c r="DF19" s="1850"/>
      <c r="DG19" s="1850"/>
      <c r="DH19" s="1850"/>
      <c r="DI19" s="1850"/>
      <c r="DJ19" s="2165"/>
      <c r="DK19" s="1850"/>
      <c r="DL19" s="1850"/>
      <c r="DM19" s="1850"/>
      <c r="DN19" s="1850"/>
      <c r="DO19" s="2165"/>
      <c r="DP19" s="1850"/>
      <c r="DQ19" s="1850"/>
      <c r="DR19" s="1850"/>
      <c r="DS19" s="1850"/>
      <c r="DT19" s="2165"/>
      <c r="DU19" s="1850"/>
      <c r="DV19" s="1850"/>
      <c r="DW19" s="1850"/>
      <c r="DX19" s="1850"/>
      <c r="DY19" s="2165"/>
      <c r="DZ19" s="1850"/>
      <c r="EA19" s="1850"/>
    </row>
    <row r="20" spans="1:131" x14ac:dyDescent="0.2">
      <c r="A20" s="2013"/>
      <c r="B20" s="1019" t="s">
        <v>172</v>
      </c>
      <c r="C20" s="1020"/>
      <c r="D20" s="1020"/>
      <c r="E20" s="1023">
        <f>E17-E21</f>
        <v>1969.4449999999999</v>
      </c>
      <c r="F20" s="1023">
        <f>F17-F21</f>
        <v>2073.69</v>
      </c>
      <c r="G20" s="1023">
        <f>G17-G21</f>
        <v>2067.54</v>
      </c>
      <c r="H20" s="1023">
        <f>H17-H21</f>
        <v>2420.0320000000002</v>
      </c>
      <c r="I20" s="1021">
        <f>SUM(E20:H20)</f>
        <v>8530.7070000000003</v>
      </c>
      <c r="J20" s="1023">
        <f>J17-J21</f>
        <v>2429.9720000000002</v>
      </c>
      <c r="K20" s="1023">
        <f>K17-K21</f>
        <v>2458.7739999999999</v>
      </c>
      <c r="L20" s="1023">
        <f>L17-L21</f>
        <v>2423.0549999999998</v>
      </c>
      <c r="M20" s="1023">
        <f>M17-M21</f>
        <v>2644.5419999999999</v>
      </c>
      <c r="N20" s="1021">
        <f>SUM(J20:M20)</f>
        <v>9956.3429999999989</v>
      </c>
      <c r="O20" s="1023">
        <f>O17-O21</f>
        <v>2594.598</v>
      </c>
      <c r="P20" s="1023">
        <f>P17-P21</f>
        <v>2684.9</v>
      </c>
      <c r="Q20" s="1023">
        <f>Q17-Q21</f>
        <v>2729.8</v>
      </c>
      <c r="R20" s="1023">
        <f>R17-R21</f>
        <v>3084.6000000000004</v>
      </c>
      <c r="S20" s="1032">
        <v>11144.4</v>
      </c>
      <c r="T20" s="1023">
        <f>T17-T21</f>
        <v>3071.1000000000004</v>
      </c>
      <c r="U20" s="1023">
        <f>U17-U21</f>
        <v>3172</v>
      </c>
      <c r="V20" s="1023">
        <f>V17-V21</f>
        <v>3170.7</v>
      </c>
      <c r="W20" s="1023">
        <f>W17-W21</f>
        <v>3823.0999999999995</v>
      </c>
      <c r="X20" s="1021">
        <f>SUM(T20:W20)</f>
        <v>13236.899999999998</v>
      </c>
      <c r="Y20" s="1023">
        <f>Y17-Y21</f>
        <v>3439.4999999999995</v>
      </c>
      <c r="Z20" s="1023">
        <f>Z17-Z21</f>
        <v>3607</v>
      </c>
      <c r="AA20" s="1023">
        <f>AA17-AA21</f>
        <v>3619.0000000000005</v>
      </c>
      <c r="AB20" s="1023">
        <f>AB17-AB21</f>
        <v>4060.2999999999997</v>
      </c>
      <c r="AC20" s="1021">
        <f>SUM(Y20:AB20)</f>
        <v>14725.8</v>
      </c>
      <c r="AD20" s="1023">
        <f>AD17-AD21</f>
        <v>3932.5000000000005</v>
      </c>
      <c r="AE20" s="1023">
        <f>AE17-AE21</f>
        <v>4035.7999999999997</v>
      </c>
      <c r="AF20" s="1023">
        <f>AF17-AF21</f>
        <v>4039</v>
      </c>
      <c r="AG20" s="1023">
        <f>AG17-AG21</f>
        <v>4537.3</v>
      </c>
      <c r="AH20" s="1021">
        <f>SUM(AD20:AG20)</f>
        <v>16544.599999999999</v>
      </c>
      <c r="AI20" s="1023">
        <f>AI17-AI21</f>
        <v>4477</v>
      </c>
      <c r="AJ20" s="1023">
        <f>AJ17-AJ21</f>
        <v>4508.4000000000005</v>
      </c>
      <c r="AK20" s="1023">
        <f>AK17-AK21</f>
        <v>4395.0999999999995</v>
      </c>
      <c r="AL20" s="1023">
        <f>AL17-AL21</f>
        <v>4732.2</v>
      </c>
      <c r="AM20" s="1021">
        <f>SUM(AI20:AL20)</f>
        <v>18112.7</v>
      </c>
      <c r="AN20" s="1023">
        <f>AN17-AN21</f>
        <v>4707.2999999999993</v>
      </c>
      <c r="AO20" s="1023">
        <f>AO17-AO21</f>
        <v>4811.1000000000004</v>
      </c>
      <c r="AP20" s="1023">
        <f>AP17-AP21</f>
        <v>4719.5</v>
      </c>
      <c r="AQ20" s="1023">
        <f>AQ17-AQ21</f>
        <v>5487.0999999999995</v>
      </c>
      <c r="AR20" s="1021">
        <f>SUM(AN20:AQ20)</f>
        <v>19725</v>
      </c>
      <c r="AS20" s="1023">
        <f>AS17-AS21</f>
        <v>5046.8999999999996</v>
      </c>
      <c r="AT20" s="1023">
        <f>AT17-AT21</f>
        <v>5116.6000000000004</v>
      </c>
      <c r="AU20" s="1023">
        <f>AU17-AU21</f>
        <v>5838.6</v>
      </c>
      <c r="AV20" s="1023">
        <f>AV17-AV21</f>
        <v>6561</v>
      </c>
      <c r="AW20" s="1021">
        <f>SUM(AS20:AV20)</f>
        <v>22563.1</v>
      </c>
      <c r="AX20" s="1023">
        <f t="shared" ref="AX20:BZ20" si="25">AX17-AX21</f>
        <v>6801.4000000000005</v>
      </c>
      <c r="AY20" s="1023">
        <f t="shared" si="25"/>
        <v>6704.2000000000007</v>
      </c>
      <c r="AZ20" s="1023">
        <f t="shared" si="25"/>
        <v>6569.4</v>
      </c>
      <c r="BA20" s="1023">
        <f t="shared" si="25"/>
        <v>7029.9999999999991</v>
      </c>
      <c r="BB20" s="1021">
        <f t="shared" si="25"/>
        <v>24745.5</v>
      </c>
      <c r="BC20" s="1023">
        <f t="shared" si="25"/>
        <v>6631.1</v>
      </c>
      <c r="BD20" s="1023">
        <f t="shared" si="25"/>
        <v>7053.4</v>
      </c>
      <c r="BE20" s="1023">
        <f t="shared" si="25"/>
        <v>7407.9000000000005</v>
      </c>
      <c r="BF20" s="1023">
        <f t="shared" si="25"/>
        <v>7909.8</v>
      </c>
      <c r="BG20" s="1021">
        <f t="shared" si="25"/>
        <v>29002.199999999997</v>
      </c>
      <c r="BH20" s="1023">
        <f t="shared" si="25"/>
        <v>8133.5000000000009</v>
      </c>
      <c r="BI20" s="1023">
        <f t="shared" si="25"/>
        <v>7954.0000000000009</v>
      </c>
      <c r="BJ20" s="1023">
        <f t="shared" si="25"/>
        <v>7699.2000000000007</v>
      </c>
      <c r="BK20" s="1023">
        <f t="shared" si="25"/>
        <v>8189.2</v>
      </c>
      <c r="BL20" s="1021">
        <f t="shared" si="25"/>
        <v>31975.9</v>
      </c>
      <c r="BM20" s="1023">
        <f t="shared" si="25"/>
        <v>8340.6</v>
      </c>
      <c r="BN20" s="1023">
        <f t="shared" si="25"/>
        <v>8247.5</v>
      </c>
      <c r="BO20" s="1023">
        <f t="shared" si="25"/>
        <v>8033.8</v>
      </c>
      <c r="BP20" s="1023">
        <f t="shared" si="25"/>
        <v>9627.5</v>
      </c>
      <c r="BQ20" s="1021">
        <f t="shared" si="25"/>
        <v>34249.5</v>
      </c>
      <c r="BR20" s="1023">
        <f t="shared" si="25"/>
        <v>9540.7000000000007</v>
      </c>
      <c r="BS20" s="1023">
        <f t="shared" si="25"/>
        <v>9666.1</v>
      </c>
      <c r="BT20" s="1023">
        <f t="shared" si="25"/>
        <v>9611.0999999999985</v>
      </c>
      <c r="BU20" s="1023">
        <f t="shared" si="25"/>
        <v>9944</v>
      </c>
      <c r="BV20" s="1021">
        <f t="shared" si="25"/>
        <v>38762</v>
      </c>
      <c r="BW20" s="1023">
        <f t="shared" si="25"/>
        <v>9991</v>
      </c>
      <c r="BX20" s="1023">
        <f t="shared" si="25"/>
        <v>10082</v>
      </c>
      <c r="BY20" s="1023">
        <f t="shared" si="25"/>
        <v>9978</v>
      </c>
      <c r="BZ20" s="1023">
        <f t="shared" si="25"/>
        <v>10255</v>
      </c>
      <c r="CA20" s="1021">
        <f>SUM(BW20:BZ20)</f>
        <v>40306</v>
      </c>
      <c r="CB20" s="1023">
        <f>CB17-CB21</f>
        <v>10440</v>
      </c>
      <c r="CC20" s="1023">
        <f>CC17-CC21</f>
        <v>10418</v>
      </c>
      <c r="CD20" s="1020">
        <f>CD17-CD21</f>
        <v>10387</v>
      </c>
      <c r="CE20" s="1020">
        <f>CE17-CE21</f>
        <v>10884.900000000001</v>
      </c>
      <c r="CF20" s="1024">
        <f>SUM(CB20:CE20)</f>
        <v>42129.9</v>
      </c>
      <c r="CG20" s="1023">
        <f>CG17-CG21</f>
        <v>11452</v>
      </c>
      <c r="CH20" s="1033">
        <f>CH17-CH21</f>
        <v>11076.9</v>
      </c>
      <c r="CI20" s="1033">
        <f>CI17-CI21</f>
        <v>10831.599999999999</v>
      </c>
      <c r="CJ20" s="1020">
        <f>CJ17-CJ21</f>
        <v>11185</v>
      </c>
      <c r="CK20" s="1024">
        <f>SUM(CG20:CJ20)</f>
        <v>44545.5</v>
      </c>
      <c r="CL20" s="1020">
        <f>CL17-CL21</f>
        <v>11099</v>
      </c>
      <c r="CM20" s="1020">
        <f>CM17-CM21</f>
        <v>11139.9</v>
      </c>
      <c r="CN20" s="1020">
        <f>CN17-CN21</f>
        <v>11400</v>
      </c>
      <c r="CO20" s="1020">
        <f>CO17-CO21</f>
        <v>11908</v>
      </c>
      <c r="CP20" s="1024">
        <f>SUM(CL20:CO20)</f>
        <v>45546.9</v>
      </c>
      <c r="CQ20" s="1020">
        <f>CQ17-CQ21</f>
        <v>11296</v>
      </c>
      <c r="CR20" s="1020">
        <f>CR17-CR21</f>
        <v>11571.2</v>
      </c>
      <c r="CS20" s="1020">
        <f>CS17-CS21</f>
        <v>11513</v>
      </c>
      <c r="CT20" s="1020">
        <f>CT17-CT21</f>
        <v>12139.8</v>
      </c>
      <c r="CU20" s="1024">
        <f>SUM(CQ20:CT20)</f>
        <v>46520</v>
      </c>
      <c r="CV20" s="1020">
        <f>CV17-CV21</f>
        <v>11656.199999999999</v>
      </c>
      <c r="CW20" s="1020">
        <f>CW17-CW21</f>
        <v>11920.099999999999</v>
      </c>
      <c r="CX20" s="1020">
        <f>CX17-CX21</f>
        <v>12538.299751679999</v>
      </c>
      <c r="CY20" s="1020">
        <f>CY17-CY21</f>
        <v>13900.373749830002</v>
      </c>
      <c r="CZ20" s="1024">
        <f>SUM(CV20:CY20)</f>
        <v>50014.973501510001</v>
      </c>
      <c r="DA20" s="1020">
        <f>DA17-DA21</f>
        <v>14282</v>
      </c>
      <c r="DB20" s="1020">
        <f>DB17-DB21</f>
        <v>14155.7</v>
      </c>
      <c r="DC20" s="1020">
        <f>DC17-DC21</f>
        <v>14244.1</v>
      </c>
      <c r="DD20" s="1020">
        <f>DD17-DD21</f>
        <v>14638.900000000001</v>
      </c>
      <c r="DE20" s="1024">
        <f>SUM(DA20:DD20)</f>
        <v>57320.700000000004</v>
      </c>
      <c r="DF20" s="1020">
        <f>DF17-DF21</f>
        <v>13664</v>
      </c>
      <c r="DG20" s="1020">
        <f>DG17-DG21</f>
        <v>13874.100000000002</v>
      </c>
      <c r="DH20" s="1020">
        <f>DH17-DH21</f>
        <v>13906.598229740001</v>
      </c>
      <c r="DI20" s="1020">
        <f>DI17-DI21</f>
        <v>14632.524553449992</v>
      </c>
      <c r="DJ20" s="1024">
        <f>SUM(DF20:DI20)</f>
        <v>56077.222783189995</v>
      </c>
      <c r="DK20" s="1020">
        <f>DK17-DK21</f>
        <v>14745.381799691513</v>
      </c>
      <c r="DL20" s="1020">
        <f>DL17-DL21</f>
        <v>14943.933630186208</v>
      </c>
      <c r="DM20" s="1020">
        <f>DM17-DM21</f>
        <v>14577.065540283784</v>
      </c>
      <c r="DN20" s="1020">
        <f>DN17-DN21</f>
        <v>14876.044391242056</v>
      </c>
      <c r="DO20" s="1024">
        <f>SUM(DK20:DN20)</f>
        <v>59142.42536140357</v>
      </c>
      <c r="DP20" s="1020">
        <f>DP17-DP21</f>
        <v>15219.649320934221</v>
      </c>
      <c r="DQ20" s="1020">
        <f>DQ17-DQ21</f>
        <v>15406.838443909473</v>
      </c>
      <c r="DR20" s="1020">
        <f>DR17-DR21</f>
        <v>15017.818990812339</v>
      </c>
      <c r="DS20" s="1020">
        <f>DS17-DS21</f>
        <v>15293.013588829728</v>
      </c>
      <c r="DT20" s="1024">
        <f>SUM(DP20:DS20)</f>
        <v>60937.320344485765</v>
      </c>
      <c r="DU20" s="1020">
        <f>DU17-DU21</f>
        <v>15650.12644467708</v>
      </c>
      <c r="DV20" s="1020">
        <f>DV17-DV21</f>
        <v>15821.428939160012</v>
      </c>
      <c r="DW20" s="1020">
        <f>DW17-DW21</f>
        <v>15408.656765390167</v>
      </c>
      <c r="DX20" s="1020">
        <f>DX17-DX21</f>
        <v>15656.135474567633</v>
      </c>
      <c r="DY20" s="1024">
        <f>SUM(DU20:DX20)</f>
        <v>62536.347623794893</v>
      </c>
      <c r="DZ20" s="1886"/>
      <c r="EA20" s="1886"/>
    </row>
    <row r="21" spans="1:131" x14ac:dyDescent="0.2">
      <c r="A21" s="2162"/>
      <c r="B21" s="1025" t="s">
        <v>173</v>
      </c>
      <c r="C21" s="1026"/>
      <c r="D21" s="1026"/>
      <c r="E21" s="1027">
        <v>796.06200000000013</v>
      </c>
      <c r="F21" s="1027">
        <v>814.11400000000003</v>
      </c>
      <c r="G21" s="1027">
        <v>785.74900000000025</v>
      </c>
      <c r="H21" s="1027">
        <v>904.9069999999997</v>
      </c>
      <c r="I21" s="1029">
        <f>I17-I20</f>
        <v>3235.5929999999989</v>
      </c>
      <c r="J21" s="1027">
        <v>967.87599999999975</v>
      </c>
      <c r="K21" s="1027">
        <v>947.98</v>
      </c>
      <c r="L21" s="1027">
        <v>905.61</v>
      </c>
      <c r="M21" s="1027">
        <v>971.81800000000021</v>
      </c>
      <c r="N21" s="1029">
        <f>N17-N20</f>
        <v>3693.0570000000007</v>
      </c>
      <c r="O21" s="1027">
        <v>971.20200000000023</v>
      </c>
      <c r="P21" s="1027">
        <v>1020.5</v>
      </c>
      <c r="Q21" s="1027">
        <v>940.8</v>
      </c>
      <c r="R21" s="1027">
        <v>1054.7</v>
      </c>
      <c r="S21" s="1029">
        <f>S17-S20</f>
        <v>3936.7000000000007</v>
      </c>
      <c r="T21" s="1027">
        <v>1081.7</v>
      </c>
      <c r="U21" s="1027">
        <v>1086.8</v>
      </c>
      <c r="V21" s="1027">
        <v>1037.5</v>
      </c>
      <c r="W21" s="1027">
        <v>1182.8</v>
      </c>
      <c r="X21" s="1029">
        <f>X17-X20</f>
        <v>4390.1000000000022</v>
      </c>
      <c r="Y21" s="1027">
        <v>1146.4000000000001</v>
      </c>
      <c r="Z21" s="1027">
        <v>1199.5</v>
      </c>
      <c r="AA21" s="1027">
        <v>1145.5999999999999</v>
      </c>
      <c r="AB21" s="1027">
        <v>1155.0999999999999</v>
      </c>
      <c r="AC21" s="1029">
        <f>AC17-AC20</f>
        <v>4656.2999999999993</v>
      </c>
      <c r="AD21" s="1027">
        <v>1231.5999999999999</v>
      </c>
      <c r="AE21" s="1027">
        <v>1244.5999999999999</v>
      </c>
      <c r="AF21" s="1027">
        <v>1149.7</v>
      </c>
      <c r="AG21" s="1027">
        <v>1158.2</v>
      </c>
      <c r="AH21" s="1029">
        <f>AH17-AH20</f>
        <v>4784.1000000000022</v>
      </c>
      <c r="AI21" s="1027">
        <v>1216</v>
      </c>
      <c r="AJ21" s="1027">
        <v>1206.7</v>
      </c>
      <c r="AK21" s="1027">
        <v>1210.3</v>
      </c>
      <c r="AL21" s="1027">
        <v>1314.5</v>
      </c>
      <c r="AM21" s="1029">
        <f>AM17-AM20</f>
        <v>4947.5</v>
      </c>
      <c r="AN21" s="1027">
        <v>1270.0999999999999</v>
      </c>
      <c r="AO21" s="1027">
        <v>1318.2</v>
      </c>
      <c r="AP21" s="1027">
        <v>1353.1</v>
      </c>
      <c r="AQ21" s="1027">
        <v>1614.3</v>
      </c>
      <c r="AR21" s="1029">
        <f>AR17-AR20</f>
        <v>5555.7000000000007</v>
      </c>
      <c r="AS21" s="1027">
        <v>1433</v>
      </c>
      <c r="AT21" s="1027">
        <v>1503</v>
      </c>
      <c r="AU21" s="1027">
        <v>1533.2</v>
      </c>
      <c r="AV21" s="1027">
        <v>1696.4</v>
      </c>
      <c r="AW21" s="1029">
        <f>AW17-AW20</f>
        <v>6165.6000000000022</v>
      </c>
      <c r="AX21" s="1027">
        <v>1688.3</v>
      </c>
      <c r="AY21" s="1027">
        <v>1727.5</v>
      </c>
      <c r="AZ21" s="1027">
        <v>1672.5</v>
      </c>
      <c r="BA21" s="1027">
        <v>1901.3</v>
      </c>
      <c r="BB21" s="1028">
        <v>9349.1</v>
      </c>
      <c r="BC21" s="1027">
        <v>2500.4</v>
      </c>
      <c r="BD21" s="1027">
        <v>2687.1</v>
      </c>
      <c r="BE21" s="1027">
        <v>2908.7</v>
      </c>
      <c r="BF21" s="1027">
        <v>3187.2</v>
      </c>
      <c r="BG21" s="1028">
        <v>11283.4</v>
      </c>
      <c r="BH21" s="1027">
        <v>3105.7</v>
      </c>
      <c r="BI21" s="1027">
        <v>3295.7</v>
      </c>
      <c r="BJ21" s="1027">
        <v>3259.9</v>
      </c>
      <c r="BK21" s="1027">
        <v>3449.3</v>
      </c>
      <c r="BL21" s="1028">
        <v>13110.6</v>
      </c>
      <c r="BM21" s="1027">
        <v>3505</v>
      </c>
      <c r="BN21" s="1027">
        <v>3523.3</v>
      </c>
      <c r="BO21" s="1027">
        <v>3508.2</v>
      </c>
      <c r="BP21" s="1027">
        <v>4204</v>
      </c>
      <c r="BQ21" s="1028">
        <v>14740.4</v>
      </c>
      <c r="BR21" s="1027">
        <v>3956.2</v>
      </c>
      <c r="BS21" s="1027">
        <v>4131.1000000000004</v>
      </c>
      <c r="BT21" s="1027">
        <v>3994.3</v>
      </c>
      <c r="BU21" s="1027">
        <v>4511</v>
      </c>
      <c r="BV21" s="1028">
        <v>16593</v>
      </c>
      <c r="BW21" s="1027">
        <v>3987</v>
      </c>
      <c r="BX21" s="1027">
        <v>4229</v>
      </c>
      <c r="BY21" s="1027">
        <v>4181</v>
      </c>
      <c r="BZ21" s="1027">
        <v>4642</v>
      </c>
      <c r="CA21" s="1029">
        <f>CA17-CA20</f>
        <v>17039</v>
      </c>
      <c r="CB21" s="1027">
        <v>4147</v>
      </c>
      <c r="CC21" s="1027">
        <v>4408</v>
      </c>
      <c r="CD21" s="1027">
        <v>4306</v>
      </c>
      <c r="CE21" s="1027">
        <v>4607.8</v>
      </c>
      <c r="CF21" s="1030">
        <f>CF17-CF20</f>
        <v>17468.799999999996</v>
      </c>
      <c r="CG21" s="1027">
        <v>4572</v>
      </c>
      <c r="CH21" s="1031">
        <v>4769.1000000000004</v>
      </c>
      <c r="CI21" s="1027">
        <v>4672.3</v>
      </c>
      <c r="CJ21" s="1027">
        <v>5095</v>
      </c>
      <c r="CK21" s="1030">
        <f>CK17-CK20</f>
        <v>19108.399999999994</v>
      </c>
      <c r="CL21" s="1027">
        <v>4952</v>
      </c>
      <c r="CM21" s="1027">
        <v>4999.6000000000004</v>
      </c>
      <c r="CN21" s="1027">
        <v>4884</v>
      </c>
      <c r="CO21" s="1027">
        <v>5284</v>
      </c>
      <c r="CP21" s="1030">
        <f>CP17-CP20</f>
        <v>20119.599999999999</v>
      </c>
      <c r="CQ21" s="1027">
        <v>5183.8</v>
      </c>
      <c r="CR21" s="1027">
        <v>5298.8</v>
      </c>
      <c r="CS21" s="1027">
        <v>5236.5</v>
      </c>
      <c r="CT21" s="1027">
        <v>5558.2</v>
      </c>
      <c r="CU21" s="1030">
        <f>SUM(CQ21:CT21)</f>
        <v>21277.3</v>
      </c>
      <c r="CV21" s="1027">
        <v>5294.6</v>
      </c>
      <c r="CW21" s="1027">
        <v>5322</v>
      </c>
      <c r="CX21" s="1027">
        <v>5373.4241650799986</v>
      </c>
      <c r="CY21" s="1027">
        <v>6002.2948029699965</v>
      </c>
      <c r="CZ21" s="1030">
        <f>SUM(CV21:CY21)</f>
        <v>21992.318968049993</v>
      </c>
      <c r="DA21" s="1027">
        <v>5830</v>
      </c>
      <c r="DB21" s="1027">
        <v>5843</v>
      </c>
      <c r="DC21" s="1027">
        <v>5898.6</v>
      </c>
      <c r="DD21" s="1027">
        <v>6208.5</v>
      </c>
      <c r="DE21" s="1030">
        <f>SUM(DA21:DD21)</f>
        <v>23780.1</v>
      </c>
      <c r="DF21" s="1027">
        <v>5676.5</v>
      </c>
      <c r="DG21" s="1027">
        <v>5680.3</v>
      </c>
      <c r="DH21" s="1027">
        <v>5686.8454658300006</v>
      </c>
      <c r="DI21" s="1027">
        <v>6276.9253950700031</v>
      </c>
      <c r="DJ21" s="2732">
        <f>SUM(DF21:DI21)</f>
        <v>23320.570860900003</v>
      </c>
      <c r="DK21" s="1026">
        <f>DK129+DK108</f>
        <v>5683.1081944217467</v>
      </c>
      <c r="DL21" s="1026">
        <f>DL129+DL108</f>
        <v>5659.166384658949</v>
      </c>
      <c r="DM21" s="1026">
        <f>DM129+DM108</f>
        <v>5585.7144164779347</v>
      </c>
      <c r="DN21" s="1026">
        <f>DN129+DN108</f>
        <v>6083.6825190998725</v>
      </c>
      <c r="DO21" s="2727">
        <f>SUM(DK21:DN21)</f>
        <v>23011.671514658501</v>
      </c>
      <c r="DP21" s="1026">
        <f>DP129+DP108</f>
        <v>5791.8885533677658</v>
      </c>
      <c r="DQ21" s="1026">
        <f>DQ129+DQ108</f>
        <v>5766.7482560390281</v>
      </c>
      <c r="DR21" s="1026">
        <f>DR129+DR108</f>
        <v>5692.8445388281689</v>
      </c>
      <c r="DS21" s="1026">
        <f>DS129+DS108</f>
        <v>6196.9602891001068</v>
      </c>
      <c r="DT21" s="1030">
        <f>SUM(DP21:DS21)</f>
        <v>23448.441637335069</v>
      </c>
      <c r="DU21" s="1026">
        <f>DU129+DU108</f>
        <v>5898.6511545313942</v>
      </c>
      <c r="DV21" s="1026">
        <f>DV129+DV108</f>
        <v>5872.0215188737729</v>
      </c>
      <c r="DW21" s="1026">
        <f>DW129+DW108</f>
        <v>5797.5982629135597</v>
      </c>
      <c r="DX21" s="1026">
        <f>DX129+DX108</f>
        <v>6307.6975400157598</v>
      </c>
      <c r="DY21" s="1030">
        <f>SUM(DU21:DX21)</f>
        <v>23875.968476334485</v>
      </c>
      <c r="DZ21" s="2163"/>
      <c r="EA21" s="2163"/>
    </row>
    <row r="22" spans="1:131" x14ac:dyDescent="0.2">
      <c r="A22" s="2169"/>
      <c r="B22" s="438" t="s">
        <v>516</v>
      </c>
      <c r="C22" s="245"/>
      <c r="D22" s="245"/>
      <c r="E22" s="308">
        <f>E21/E17</f>
        <v>0.28785390888542323</v>
      </c>
      <c r="F22" s="308">
        <f>F21/F17</f>
        <v>0.28191456206861687</v>
      </c>
      <c r="G22" s="308">
        <f>G21/G17</f>
        <v>0.27538360117043881</v>
      </c>
      <c r="H22" s="308">
        <f>H21/H17</f>
        <v>0.27215747416719516</v>
      </c>
      <c r="I22" s="307">
        <f>I21/I$17</f>
        <v>0.27498814410647349</v>
      </c>
      <c r="J22" s="308">
        <f>J21/J17</f>
        <v>0.28484970487202482</v>
      </c>
      <c r="K22" s="308">
        <f>K21/K17</f>
        <v>0.27826488205488276</v>
      </c>
      <c r="L22" s="308">
        <f>L21/L17</f>
        <v>0.27206402566794796</v>
      </c>
      <c r="M22" s="308">
        <f>M21/M17</f>
        <v>0.26872822396000401</v>
      </c>
      <c r="N22" s="307">
        <f>N21/N$17</f>
        <v>0.27056551936348855</v>
      </c>
      <c r="O22" s="308">
        <f>O21/O17</f>
        <v>0.27236580851421843</v>
      </c>
      <c r="P22" s="308">
        <f>P21/P17</f>
        <v>0.27540886274086468</v>
      </c>
      <c r="Q22" s="308">
        <f>Q21/Q17</f>
        <v>0.25630687081131148</v>
      </c>
      <c r="R22" s="308">
        <f>R21/R17</f>
        <v>0.25480153649167736</v>
      </c>
      <c r="S22" s="307">
        <f>S21/S$17</f>
        <v>0.26103533561875464</v>
      </c>
      <c r="T22" s="308">
        <f>T21/T17</f>
        <v>0.26047486033519551</v>
      </c>
      <c r="U22" s="308">
        <f>U21/U17</f>
        <v>0.25518925518925517</v>
      </c>
      <c r="V22" s="308">
        <f>V21/V17</f>
        <v>0.24654246471175326</v>
      </c>
      <c r="W22" s="308">
        <f>W21/W17</f>
        <v>0.23628118819792646</v>
      </c>
      <c r="X22" s="307">
        <f>X21/X$17</f>
        <v>0.24905542633460045</v>
      </c>
      <c r="Y22" s="308">
        <f>Y21/Y17</f>
        <v>0.249983645522144</v>
      </c>
      <c r="Z22" s="308">
        <f>Z21/Z17</f>
        <v>0.24955789035680848</v>
      </c>
      <c r="AA22" s="308">
        <f>AA21/AA17</f>
        <v>0.2404399110103681</v>
      </c>
      <c r="AB22" s="308">
        <f>AB21/AB17</f>
        <v>0.22147869770295664</v>
      </c>
      <c r="AC22" s="307">
        <f>AC21/AC$17</f>
        <v>0.24023712600801769</v>
      </c>
      <c r="AD22" s="308">
        <f>AD21/AD17</f>
        <v>0.23849267055246798</v>
      </c>
      <c r="AE22" s="308">
        <f>AE21/AE17</f>
        <v>0.23570184076963865</v>
      </c>
      <c r="AF22" s="308">
        <f>AF21/AF17</f>
        <v>0.22157765914390889</v>
      </c>
      <c r="AG22" s="308">
        <f>AG21/AG17</f>
        <v>0.20335352471249232</v>
      </c>
      <c r="AH22" s="307">
        <f>AH21/AH$17</f>
        <v>0.22430340339542504</v>
      </c>
      <c r="AI22" s="308">
        <f>AI21/AI17</f>
        <v>0.21359564377305462</v>
      </c>
      <c r="AJ22" s="308">
        <f>AJ21/AJ17</f>
        <v>0.21114241220626059</v>
      </c>
      <c r="AK22" s="308">
        <f>AK21/AK17</f>
        <v>0.21591679451957041</v>
      </c>
      <c r="AL22" s="308">
        <f>AL21/AL17</f>
        <v>0.21739130434782608</v>
      </c>
      <c r="AM22" s="307">
        <f>AM21/AM$17</f>
        <v>0.21454714182877857</v>
      </c>
      <c r="AN22" s="308">
        <f>AN21/AN17</f>
        <v>0.21248368856024358</v>
      </c>
      <c r="AO22" s="308">
        <f>AO21/AO17</f>
        <v>0.21506534188243356</v>
      </c>
      <c r="AP22" s="308">
        <f>AP21/AP17</f>
        <v>0.22282053815499125</v>
      </c>
      <c r="AQ22" s="308">
        <f>AQ21/AQ17</f>
        <v>0.22732137325034502</v>
      </c>
      <c r="AR22" s="307">
        <f>AR21/AR$17</f>
        <v>0.21976052878282645</v>
      </c>
      <c r="AS22" s="308">
        <f>AS21/AS17</f>
        <v>0.22114538804611183</v>
      </c>
      <c r="AT22" s="308">
        <f>AT21/AT17</f>
        <v>0.22705299413861862</v>
      </c>
      <c r="AU22" s="308">
        <f>AU21/AU17</f>
        <v>0.20798176836050897</v>
      </c>
      <c r="AV22" s="308">
        <f>AV21/AV17</f>
        <v>0.2054399689975053</v>
      </c>
      <c r="AW22" s="307">
        <f>AW21/AW$17</f>
        <v>0.21461465363904395</v>
      </c>
      <c r="AX22" s="308">
        <f>AX21/AX17</f>
        <v>0.1988645064018752</v>
      </c>
      <c r="AY22" s="308">
        <f>AY21/AY17</f>
        <v>0.20488157785499958</v>
      </c>
      <c r="AZ22" s="308">
        <f>AZ21/AZ17</f>
        <v>0.20292650966403378</v>
      </c>
      <c r="BA22" s="308">
        <f>BA21/BA17</f>
        <v>0.2128805437058435</v>
      </c>
      <c r="BB22" s="307">
        <f>BB21/BB$17</f>
        <v>0.27421057880133515</v>
      </c>
      <c r="BC22" s="308">
        <f>BC21/BC17</f>
        <v>0.27382138750479112</v>
      </c>
      <c r="BD22" s="308">
        <f>BD21/BD17</f>
        <v>0.27586879523638413</v>
      </c>
      <c r="BE22" s="308">
        <f>BE21/BE17</f>
        <v>0.28194366361010409</v>
      </c>
      <c r="BF22" s="308">
        <f>BF21/BF17</f>
        <v>0.28721276020546094</v>
      </c>
      <c r="BG22" s="307">
        <f>BG21/BG$17</f>
        <v>0.28008519173104035</v>
      </c>
      <c r="BH22" s="308">
        <f>BH21/BH17</f>
        <v>0.27632749661897643</v>
      </c>
      <c r="BI22" s="308">
        <f>BI21/BI17</f>
        <v>0.29295892334906704</v>
      </c>
      <c r="BJ22" s="308">
        <f>BJ21/BJ17</f>
        <v>0.29746055789252768</v>
      </c>
      <c r="BK22" s="308">
        <f>BK21/BK17</f>
        <v>0.29636980710572669</v>
      </c>
      <c r="BL22" s="307">
        <f>BL21/BL$17</f>
        <v>0.29078770807226112</v>
      </c>
      <c r="BM22" s="308">
        <f>BM21/BM17</f>
        <v>0.29589045721618151</v>
      </c>
      <c r="BN22" s="308">
        <f>BN21/BN17</f>
        <v>0.29932544941720191</v>
      </c>
      <c r="BO22" s="308">
        <f>BO21/BO17</f>
        <v>0.30395078842488304</v>
      </c>
      <c r="BP22" s="308">
        <f>BP21/BP17</f>
        <v>0.30394389617901169</v>
      </c>
      <c r="BQ22" s="307">
        <f>BQ21/BQ$17</f>
        <v>0.30088650926007193</v>
      </c>
      <c r="BR22" s="308">
        <f>BR21/BR17</f>
        <v>0.29311916069615984</v>
      </c>
      <c r="BS22" s="308">
        <f>BS21/BS17</f>
        <v>0.2994158235004204</v>
      </c>
      <c r="BT22" s="308">
        <f>BT21/BT17</f>
        <v>0.29358196010407633</v>
      </c>
      <c r="BU22" s="308">
        <f>BU21/BU17</f>
        <v>0.31207194742303701</v>
      </c>
      <c r="BV22" s="307">
        <f>BV21/BV$17</f>
        <v>0.29975611959172616</v>
      </c>
      <c r="BW22" s="308">
        <f>BW21/BW17</f>
        <v>0.28523393904707395</v>
      </c>
      <c r="BX22" s="308">
        <f>BX21/BX17</f>
        <v>0.29550695269373212</v>
      </c>
      <c r="BY22" s="308">
        <f>BY21/BY17</f>
        <v>0.29528921534006641</v>
      </c>
      <c r="BZ22" s="308">
        <f>BZ21/BZ17</f>
        <v>0.31160636369738876</v>
      </c>
      <c r="CA22" s="307">
        <f>CA21/CA$17</f>
        <v>0.29713139768070451</v>
      </c>
      <c r="CB22" s="308">
        <f>CB21/CB17</f>
        <v>0.28429423459244535</v>
      </c>
      <c r="CC22" s="308">
        <f>CC21/CC17</f>
        <v>0.29731552677728318</v>
      </c>
      <c r="CD22" s="247">
        <f>CD21/CD17</f>
        <v>0.29306472469883615</v>
      </c>
      <c r="CE22" s="247">
        <f>CE21/CE17</f>
        <v>0.29741749340011747</v>
      </c>
      <c r="CF22" s="246">
        <f>CF21/CF$17</f>
        <v>0.29310706441583451</v>
      </c>
      <c r="CG22" s="247">
        <f>CG21/CG17</f>
        <v>0.28532201697453818</v>
      </c>
      <c r="CH22" s="248">
        <f>CH21/CH17</f>
        <v>0.30096554335478987</v>
      </c>
      <c r="CI22" s="247">
        <f>CI21/CI17</f>
        <v>0.30136288288753155</v>
      </c>
      <c r="CJ22" s="247">
        <f>CJ21/CJ17</f>
        <v>0.31296068796068793</v>
      </c>
      <c r="CK22" s="246">
        <f>CK21/CK$17</f>
        <v>0.30019213276798429</v>
      </c>
      <c r="CL22" s="247">
        <f>CL21/CL17</f>
        <v>0.30851660332689551</v>
      </c>
      <c r="CM22" s="247">
        <f>CM21/CM17</f>
        <v>0.30977415657238455</v>
      </c>
      <c r="CN22" s="247">
        <f>CN21/CN17</f>
        <v>0.29992630803242448</v>
      </c>
      <c r="CO22" s="247">
        <f>CO21/CO17</f>
        <v>0.30735225686365752</v>
      </c>
      <c r="CP22" s="246">
        <f>CP21/CP$17</f>
        <v>0.30639062535691713</v>
      </c>
      <c r="CQ22" s="247">
        <f>CQ21/CQ17</f>
        <v>0.31455478828626565</v>
      </c>
      <c r="CR22" s="247">
        <f>CR21/CR17</f>
        <v>0.31409602845287493</v>
      </c>
      <c r="CS22" s="247">
        <f>CS21/CS17</f>
        <v>0.31263619809546556</v>
      </c>
      <c r="CT22" s="247">
        <f>CT21/CT17</f>
        <v>0.31405808565939652</v>
      </c>
      <c r="CU22" s="246">
        <f>CU21/CU$17</f>
        <v>0.3138369817087111</v>
      </c>
      <c r="CV22" s="247">
        <f>CV21/CV17</f>
        <v>0.3123510394789627</v>
      </c>
      <c r="CW22" s="247">
        <f>CW21/CW17</f>
        <v>0.30866309788250856</v>
      </c>
      <c r="CX22" s="247">
        <f>CX21/CX17</f>
        <v>0.2999948073145593</v>
      </c>
      <c r="CY22" s="247">
        <f>CY21/CY17</f>
        <v>0.30158241278281078</v>
      </c>
      <c r="CZ22" s="246">
        <f>CZ21/CZ$17</f>
        <v>0.3054179405141072</v>
      </c>
      <c r="DA22" s="247">
        <f>DA21/DA17</f>
        <v>0.28987669053301512</v>
      </c>
      <c r="DB22" s="247">
        <f>DB21/DB17</f>
        <v>0.29216899098441396</v>
      </c>
      <c r="DC22" s="247">
        <f>DC21/DC17</f>
        <v>0.2928405824442602</v>
      </c>
      <c r="DD22" s="247">
        <f>DD21/DD17</f>
        <v>0.29780692076709803</v>
      </c>
      <c r="DE22" s="246">
        <f>DE21/DE$17</f>
        <v>0.29321658972537878</v>
      </c>
      <c r="DF22" s="247">
        <f>DF21/DF17</f>
        <v>0.29350327033944312</v>
      </c>
      <c r="DG22" s="247">
        <f>DG21/DG17</f>
        <v>0.29048705150758908</v>
      </c>
      <c r="DH22" s="247">
        <f>DH21/DH17</f>
        <v>0.29024226441193562</v>
      </c>
      <c r="DI22" s="247">
        <f>DI21/DI17</f>
        <v>0.3001956249697661</v>
      </c>
      <c r="DJ22" s="2656">
        <f>DJ21/DJ$17</f>
        <v>0.29371812226215277</v>
      </c>
      <c r="DK22" s="247">
        <f>DK21/DK17</f>
        <v>0.27819521638943501</v>
      </c>
      <c r="DL22" s="247">
        <f>DL21/DL17</f>
        <v>0.2746754799317262</v>
      </c>
      <c r="DM22" s="247">
        <f>DM21/DM17</f>
        <v>0.27703096638738695</v>
      </c>
      <c r="DN22" s="247">
        <f>DN21/DN17</f>
        <v>0.29025581035113907</v>
      </c>
      <c r="DO22" s="2656">
        <f>DO21/DO$17</f>
        <v>0.28010376097705736</v>
      </c>
      <c r="DP22" s="247">
        <f>DP21/DP17</f>
        <v>0.27565276697102187</v>
      </c>
      <c r="DQ22" s="247">
        <f>DQ21/DQ17</f>
        <v>0.27235575803758627</v>
      </c>
      <c r="DR22" s="247">
        <f>DR21/DR17</f>
        <v>0.27487504350986791</v>
      </c>
      <c r="DS22" s="247">
        <f>DS21/DS17</f>
        <v>0.28836518482064671</v>
      </c>
      <c r="DT22" s="246">
        <f>DT21/DT$17</f>
        <v>0.27787201402988515</v>
      </c>
      <c r="DU22" s="247">
        <f>DU21/DU17</f>
        <v>0.27373483843223023</v>
      </c>
      <c r="DV22" s="247">
        <f>DV21/DV17</f>
        <v>0.27068176776365116</v>
      </c>
      <c r="DW22" s="247">
        <f>DW21/DW17</f>
        <v>0.27339095258335699</v>
      </c>
      <c r="DX22" s="247">
        <f>DX21/DX17</f>
        <v>0.28718564450146833</v>
      </c>
      <c r="DY22" s="246">
        <f>DY21/DY$17</f>
        <v>0.27630284146843664</v>
      </c>
      <c r="DZ22" s="2170"/>
      <c r="EA22" s="2170"/>
    </row>
    <row r="23" spans="1:131" ht="12" customHeight="1" x14ac:dyDescent="0.2">
      <c r="A23" s="2171"/>
      <c r="B23" s="2172"/>
      <c r="C23" s="2173"/>
      <c r="D23" s="2173"/>
      <c r="E23" s="2174"/>
      <c r="F23" s="2174"/>
      <c r="G23" s="2174"/>
      <c r="H23" s="2174"/>
      <c r="I23" s="2175"/>
      <c r="J23" s="2176"/>
      <c r="K23" s="2176"/>
      <c r="L23" s="2176"/>
      <c r="M23" s="2176"/>
      <c r="N23" s="2175"/>
      <c r="O23" s="2177"/>
      <c r="P23" s="2174"/>
      <c r="Q23" s="2174"/>
      <c r="R23" s="2174"/>
      <c r="S23" s="2175"/>
      <c r="T23" s="2174"/>
      <c r="U23" s="2174"/>
      <c r="V23" s="2174"/>
      <c r="W23" s="2174"/>
      <c r="X23" s="2175"/>
      <c r="Y23" s="2174"/>
      <c r="Z23" s="2174"/>
      <c r="AA23" s="2174"/>
      <c r="AB23" s="2174"/>
      <c r="AC23" s="2175"/>
      <c r="AD23" s="2174"/>
      <c r="AE23" s="2174"/>
      <c r="AF23" s="2178"/>
      <c r="AG23" s="2179"/>
      <c r="AH23" s="2175"/>
      <c r="AI23" s="2180"/>
      <c r="AJ23" s="2180"/>
      <c r="AK23" s="2180"/>
      <c r="AL23" s="2179"/>
      <c r="AM23" s="2175"/>
      <c r="AN23" s="2181"/>
      <c r="AO23" s="2181"/>
      <c r="AP23" s="2181"/>
      <c r="AQ23" s="2179"/>
      <c r="AR23" s="2175"/>
      <c r="AS23" s="2181"/>
      <c r="AT23" s="2181"/>
      <c r="AU23" s="2181"/>
      <c r="AV23" s="2179"/>
      <c r="AW23" s="2175"/>
      <c r="AX23" s="2181"/>
      <c r="AY23" s="2181"/>
      <c r="AZ23" s="2181"/>
      <c r="BA23" s="2179"/>
      <c r="BB23" s="2175"/>
      <c r="BC23" s="2181"/>
      <c r="BD23" s="2181"/>
      <c r="BE23" s="2181"/>
      <c r="BF23" s="2179"/>
      <c r="BG23" s="2175"/>
      <c r="BH23" s="2181"/>
      <c r="BI23" s="2181"/>
      <c r="BJ23" s="2181"/>
      <c r="BK23" s="2181"/>
      <c r="BL23" s="2175"/>
      <c r="BM23" s="2181"/>
      <c r="BN23" s="2181"/>
      <c r="BO23" s="2181"/>
      <c r="BP23" s="2181"/>
      <c r="BQ23" s="2175"/>
      <c r="BR23" s="2181"/>
      <c r="BS23" s="2181"/>
      <c r="BT23" s="2181"/>
      <c r="BU23" s="2181"/>
      <c r="BV23" s="2175"/>
      <c r="BW23" s="2181"/>
      <c r="BX23" s="2181"/>
      <c r="BY23" s="2181"/>
      <c r="BZ23" s="2181"/>
      <c r="CA23" s="2175"/>
      <c r="CB23" s="2181"/>
      <c r="CC23" s="2181"/>
      <c r="CD23" s="2181"/>
      <c r="CE23" s="2181"/>
      <c r="CF23" s="2175"/>
      <c r="CG23" s="2182"/>
      <c r="CH23" s="2183"/>
      <c r="CI23" s="2181"/>
      <c r="CJ23" s="2181"/>
      <c r="CK23" s="2175"/>
      <c r="CL23" s="2181"/>
      <c r="CM23" s="2181"/>
      <c r="CN23" s="2181"/>
      <c r="CO23" s="2181"/>
      <c r="CP23" s="2520"/>
      <c r="CQ23" s="2181"/>
      <c r="CR23" s="2181"/>
      <c r="CS23" s="2181"/>
      <c r="CT23" s="2181"/>
      <c r="CU23" s="2520"/>
      <c r="CV23" s="2181">
        <f>CV22-CQ22</f>
        <v>-2.2037488073029521E-3</v>
      </c>
      <c r="CW23" s="2509">
        <f>CW22-CR22</f>
        <v>-5.4329305703663677E-3</v>
      </c>
      <c r="CX23" s="2509">
        <f>CX22-CS22</f>
        <v>-1.2641390780906259E-2</v>
      </c>
      <c r="CY23" s="2509">
        <f>CY22-CT22</f>
        <v>-1.2475672876585742E-2</v>
      </c>
      <c r="CZ23" s="2520"/>
      <c r="DA23" s="2181">
        <f>DA22-CV22</f>
        <v>-2.2474348945947575E-2</v>
      </c>
      <c r="DB23" s="2181">
        <f>DB22-CW22</f>
        <v>-1.6494106898094607E-2</v>
      </c>
      <c r="DC23" s="2181">
        <f>DC22-CX22</f>
        <v>-7.1542248702990974E-3</v>
      </c>
      <c r="DD23" s="2181">
        <f>DD22-CY22</f>
        <v>-3.7754920157127558E-3</v>
      </c>
      <c r="DE23" s="2520"/>
      <c r="DF23" s="2181">
        <f>DF22-DA22</f>
        <v>3.6265798064279986E-3</v>
      </c>
      <c r="DG23" s="2181">
        <f>DG22-DB22</f>
        <v>-1.6819394768248785E-3</v>
      </c>
      <c r="DH23" s="2181">
        <f>DH22-DC22</f>
        <v>-2.5983180323245758E-3</v>
      </c>
      <c r="DI23" s="2181">
        <f>DI22-DD22</f>
        <v>2.3887042026680683E-3</v>
      </c>
      <c r="DJ23" s="2728">
        <f>DJ22-DE22</f>
        <v>5.0153253677398535E-4</v>
      </c>
      <c r="DK23" s="2559">
        <f>DJ24+275</f>
        <v>16697.503166930001</v>
      </c>
      <c r="DL23" s="2559">
        <f>DK23-300</f>
        <v>16397.503166930001</v>
      </c>
      <c r="DM23" s="2181"/>
      <c r="DN23" s="2181"/>
      <c r="DO23" s="2728">
        <f>DO22-DJ22</f>
        <v>-1.3614361285095411E-2</v>
      </c>
      <c r="DR23" s="2181"/>
      <c r="DS23" s="2181"/>
      <c r="DT23" s="2637"/>
      <c r="DW23" s="2181"/>
      <c r="DX23" s="2181"/>
      <c r="DY23" s="2637"/>
      <c r="DZ23" s="2173"/>
      <c r="EA23" s="2173"/>
    </row>
    <row r="24" spans="1:131" x14ac:dyDescent="0.2">
      <c r="A24" s="2013"/>
      <c r="B24" s="254" t="s">
        <v>174</v>
      </c>
      <c r="C24" s="238"/>
      <c r="D24" s="238"/>
      <c r="E24" s="238"/>
      <c r="F24" s="255">
        <v>595.78</v>
      </c>
      <c r="G24" s="255">
        <v>629.26800000000003</v>
      </c>
      <c r="H24" s="255">
        <v>677.27300000000002</v>
      </c>
      <c r="I24" s="306">
        <f>I21-I36</f>
        <v>2633.0929999999989</v>
      </c>
      <c r="J24" s="255">
        <v>703.25800000000004</v>
      </c>
      <c r="K24" s="255">
        <v>693.70399999999995</v>
      </c>
      <c r="L24" s="255">
        <v>688.70600000000002</v>
      </c>
      <c r="M24" s="255">
        <v>690.44399999999996</v>
      </c>
      <c r="N24" s="306">
        <f t="shared" ref="N24:BU24" si="26">N21-N36</f>
        <v>2921.8570000000009</v>
      </c>
      <c r="O24" s="1018">
        <f t="shared" si="26"/>
        <v>735.90200000000027</v>
      </c>
      <c r="P24" s="1018">
        <f t="shared" si="26"/>
        <v>779.2</v>
      </c>
      <c r="Q24" s="1018">
        <f t="shared" si="26"/>
        <v>751</v>
      </c>
      <c r="R24" s="1018">
        <f t="shared" si="26"/>
        <v>793.30000000000007</v>
      </c>
      <c r="S24" s="306">
        <f t="shared" si="26"/>
        <v>3008.9000000000005</v>
      </c>
      <c r="T24" s="1018">
        <f t="shared" si="26"/>
        <v>796.90000000000009</v>
      </c>
      <c r="U24" s="1018">
        <f t="shared" si="26"/>
        <v>803.3</v>
      </c>
      <c r="V24" s="1018">
        <f t="shared" si="26"/>
        <v>826.6</v>
      </c>
      <c r="W24" s="1018">
        <f t="shared" si="26"/>
        <v>841.59999999999991</v>
      </c>
      <c r="X24" s="306">
        <f t="shared" si="26"/>
        <v>3282.2000000000021</v>
      </c>
      <c r="Y24" s="1018">
        <f t="shared" si="26"/>
        <v>812.50000000000011</v>
      </c>
      <c r="Z24" s="1018">
        <f t="shared" si="26"/>
        <v>869.6</v>
      </c>
      <c r="AA24" s="1018">
        <f t="shared" si="26"/>
        <v>861.49999999999989</v>
      </c>
      <c r="AB24" s="1018">
        <f t="shared" si="26"/>
        <v>812.3</v>
      </c>
      <c r="AC24" s="306">
        <f t="shared" si="26"/>
        <v>3387.7999999999993</v>
      </c>
      <c r="AD24" s="1018">
        <f t="shared" si="26"/>
        <v>851.59999999999991</v>
      </c>
      <c r="AE24" s="1018">
        <f t="shared" si="26"/>
        <v>905.8</v>
      </c>
      <c r="AF24" s="1018">
        <f t="shared" si="26"/>
        <v>933.80000000000007</v>
      </c>
      <c r="AG24" s="1018">
        <f t="shared" si="26"/>
        <v>1013</v>
      </c>
      <c r="AH24" s="306">
        <f t="shared" si="26"/>
        <v>3704.2000000000021</v>
      </c>
      <c r="AI24" s="1018">
        <f t="shared" si="26"/>
        <v>932.8</v>
      </c>
      <c r="AJ24" s="1018">
        <f t="shared" si="26"/>
        <v>926.6</v>
      </c>
      <c r="AK24" s="1018">
        <f t="shared" si="26"/>
        <v>952.09999999999991</v>
      </c>
      <c r="AL24" s="1018">
        <f t="shared" si="26"/>
        <v>1001.4</v>
      </c>
      <c r="AM24" s="306">
        <f t="shared" si="26"/>
        <v>3812.9</v>
      </c>
      <c r="AN24" s="1018">
        <f t="shared" si="26"/>
        <v>963.39999999999986</v>
      </c>
      <c r="AO24" s="1018">
        <f t="shared" si="26"/>
        <v>1005</v>
      </c>
      <c r="AP24" s="1018">
        <f t="shared" si="26"/>
        <v>1061.0999999999999</v>
      </c>
      <c r="AQ24" s="1018">
        <f t="shared" si="26"/>
        <v>1203.0999999999999</v>
      </c>
      <c r="AR24" s="306">
        <f t="shared" si="26"/>
        <v>4232.6000000000004</v>
      </c>
      <c r="AS24" s="1018">
        <f t="shared" si="26"/>
        <v>1052.5</v>
      </c>
      <c r="AT24" s="1018">
        <f t="shared" si="26"/>
        <v>1140.0999999999999</v>
      </c>
      <c r="AU24" s="1018">
        <f t="shared" si="26"/>
        <v>1250.7</v>
      </c>
      <c r="AV24" s="1018">
        <f t="shared" si="26"/>
        <v>1401.5</v>
      </c>
      <c r="AW24" s="306">
        <f t="shared" si="26"/>
        <v>4844.800000000002</v>
      </c>
      <c r="AX24" s="1018">
        <f t="shared" si="26"/>
        <v>1240.3</v>
      </c>
      <c r="AY24" s="1018">
        <f t="shared" si="26"/>
        <v>1305.5</v>
      </c>
      <c r="AZ24" s="1018">
        <f t="shared" si="26"/>
        <v>1288.8</v>
      </c>
      <c r="BA24" s="1018">
        <f t="shared" si="26"/>
        <v>1357.9</v>
      </c>
      <c r="BB24" s="306">
        <f t="shared" si="26"/>
        <v>7552</v>
      </c>
      <c r="BC24" s="1018">
        <f t="shared" si="26"/>
        <v>1997.3000000000002</v>
      </c>
      <c r="BD24" s="1018">
        <f t="shared" si="26"/>
        <v>2164.8999999999996</v>
      </c>
      <c r="BE24" s="1018">
        <f t="shared" si="26"/>
        <v>2465.6</v>
      </c>
      <c r="BF24" s="1018">
        <f t="shared" si="26"/>
        <v>2532.1</v>
      </c>
      <c r="BG24" s="306">
        <f t="shared" si="26"/>
        <v>9159.9</v>
      </c>
      <c r="BH24" s="1018">
        <f t="shared" si="26"/>
        <v>2470.7999999999997</v>
      </c>
      <c r="BI24" s="1018">
        <f t="shared" si="26"/>
        <v>2567.8999999999996</v>
      </c>
      <c r="BJ24" s="1018">
        <f t="shared" si="26"/>
        <v>2643.5</v>
      </c>
      <c r="BK24" s="1018">
        <f t="shared" si="26"/>
        <v>2728.1000000000004</v>
      </c>
      <c r="BL24" s="306">
        <f t="shared" si="26"/>
        <v>10419.299999999999</v>
      </c>
      <c r="BM24" s="1018">
        <f t="shared" si="26"/>
        <v>2607.6999999999998</v>
      </c>
      <c r="BN24" s="1018">
        <f t="shared" si="26"/>
        <v>2585.3000000000002</v>
      </c>
      <c r="BO24" s="1018">
        <f t="shared" si="26"/>
        <v>2642.3999999999996</v>
      </c>
      <c r="BP24" s="1018">
        <f t="shared" si="26"/>
        <v>3152.6</v>
      </c>
      <c r="BQ24" s="306">
        <f t="shared" si="26"/>
        <v>10988</v>
      </c>
      <c r="BR24" s="1018">
        <f t="shared" si="26"/>
        <v>2983.7</v>
      </c>
      <c r="BS24" s="1018">
        <f t="shared" si="26"/>
        <v>3075.3</v>
      </c>
      <c r="BT24" s="1018">
        <f t="shared" si="26"/>
        <v>3084.5</v>
      </c>
      <c r="BU24" s="1018">
        <f t="shared" si="26"/>
        <v>3291</v>
      </c>
      <c r="BV24" s="306">
        <f>BV26+BV34</f>
        <v>12434.5</v>
      </c>
      <c r="BW24" s="1018">
        <f>BW21-BW36</f>
        <v>2957</v>
      </c>
      <c r="BX24" s="1018">
        <f>BX21-BX36</f>
        <v>3133</v>
      </c>
      <c r="BY24" s="1018">
        <f>BY21-BY36</f>
        <v>3142</v>
      </c>
      <c r="BZ24" s="1018">
        <f>BZ21-BZ36</f>
        <v>3270</v>
      </c>
      <c r="CA24" s="306">
        <f>CA26+CA34</f>
        <v>12502</v>
      </c>
      <c r="CB24" s="255">
        <v>3051</v>
      </c>
      <c r="CC24" s="255">
        <v>3168</v>
      </c>
      <c r="CD24" s="255">
        <v>3183</v>
      </c>
      <c r="CE24" s="255">
        <v>3155</v>
      </c>
      <c r="CF24" s="239">
        <f>CF26+CF34</f>
        <v>12557</v>
      </c>
      <c r="CG24" s="255">
        <v>3275</v>
      </c>
      <c r="CH24" s="1034">
        <v>3300.1</v>
      </c>
      <c r="CI24" s="255">
        <v>3367.8</v>
      </c>
      <c r="CJ24" s="255">
        <v>3514</v>
      </c>
      <c r="CK24" s="239">
        <f>CK26+CK34</f>
        <v>13456.9</v>
      </c>
      <c r="CL24" s="255">
        <v>3415</v>
      </c>
      <c r="CM24" s="255">
        <v>3404.3</v>
      </c>
      <c r="CN24" s="255">
        <v>3413</v>
      </c>
      <c r="CO24" s="255">
        <v>3613</v>
      </c>
      <c r="CP24" s="239">
        <f>CP26+CP34</f>
        <v>13845.3</v>
      </c>
      <c r="CQ24" s="255">
        <v>3433.6</v>
      </c>
      <c r="CR24" s="255">
        <v>3593.7</v>
      </c>
      <c r="CS24" s="255">
        <v>3709.5</v>
      </c>
      <c r="CT24" s="255">
        <v>3778.4</v>
      </c>
      <c r="CU24" s="239">
        <f>CU26+CU34</f>
        <v>14515.199999999999</v>
      </c>
      <c r="CV24" s="255">
        <v>3567.9</v>
      </c>
      <c r="CW24" s="255">
        <v>3641.2</v>
      </c>
      <c r="CX24" s="255">
        <v>3730.7271801400007</v>
      </c>
      <c r="CY24" s="255">
        <v>3870.7313401599995</v>
      </c>
      <c r="CZ24" s="239">
        <f>CZ26+CZ34</f>
        <v>14810.558520299999</v>
      </c>
      <c r="DA24" s="255">
        <v>4053</v>
      </c>
      <c r="DB24" s="255">
        <v>4058.1</v>
      </c>
      <c r="DC24" s="255">
        <v>4074.2</v>
      </c>
      <c r="DD24" s="255">
        <v>4060.8</v>
      </c>
      <c r="DE24" s="239">
        <f>DE26+DE34</f>
        <v>16246.099999999999</v>
      </c>
      <c r="DF24" s="255">
        <v>4051.8</v>
      </c>
      <c r="DG24" s="255">
        <v>4117.8999999999996</v>
      </c>
      <c r="DH24" s="255">
        <v>4119.2219888599993</v>
      </c>
      <c r="DI24" s="255">
        <v>4133.5811780700005</v>
      </c>
      <c r="DJ24" s="2598">
        <f t="shared" ref="DJ24:DT24" si="27">DJ26+DJ34</f>
        <v>16422.503166930001</v>
      </c>
      <c r="DK24" s="238">
        <f t="shared" si="27"/>
        <v>4033.5475232705394</v>
      </c>
      <c r="DL24" s="238">
        <f t="shared" si="27"/>
        <v>4088.3703220490793</v>
      </c>
      <c r="DM24" s="238">
        <f t="shared" si="27"/>
        <v>4093.1157887478657</v>
      </c>
      <c r="DN24" s="238">
        <f t="shared" si="27"/>
        <v>4108.8176667014395</v>
      </c>
      <c r="DO24" s="2598">
        <f t="shared" si="27"/>
        <v>16323.851300768923</v>
      </c>
      <c r="DP24" s="238">
        <f t="shared" si="27"/>
        <v>4100.6131151235277</v>
      </c>
      <c r="DQ24" s="238">
        <f t="shared" si="27"/>
        <v>4160.8690206161373</v>
      </c>
      <c r="DR24" s="238">
        <f t="shared" si="27"/>
        <v>4171.1803273344212</v>
      </c>
      <c r="DS24" s="238">
        <f t="shared" si="27"/>
        <v>4176.3085246804003</v>
      </c>
      <c r="DT24" s="239">
        <f t="shared" si="27"/>
        <v>16608.970987754488</v>
      </c>
      <c r="DU24" s="238">
        <f t="shared" ref="DU24:DY24" si="28">DU26+DU34</f>
        <v>4168.4200544419427</v>
      </c>
      <c r="DV24" s="238">
        <f t="shared" si="28"/>
        <v>4230.1003019348518</v>
      </c>
      <c r="DW24" s="238">
        <f t="shared" si="28"/>
        <v>4240.6858052840362</v>
      </c>
      <c r="DX24" s="238">
        <f t="shared" si="28"/>
        <v>4246.440774465862</v>
      </c>
      <c r="DY24" s="239">
        <f t="shared" si="28"/>
        <v>16885.646936126694</v>
      </c>
      <c r="DZ24" s="1886"/>
      <c r="EA24" s="1886"/>
    </row>
    <row r="25" spans="1:131" x14ac:dyDescent="0.2">
      <c r="A25" s="2169"/>
      <c r="B25" s="438" t="s">
        <v>217</v>
      </c>
      <c r="C25" s="245"/>
      <c r="D25" s="245"/>
      <c r="E25" s="308">
        <f>E24/E17</f>
        <v>0</v>
      </c>
      <c r="F25" s="308">
        <f>F24/F17</f>
        <v>0.20630901543179522</v>
      </c>
      <c r="G25" s="308">
        <f>G24/G17</f>
        <v>0.2205412771016185</v>
      </c>
      <c r="H25" s="308">
        <f>H24/H17</f>
        <v>0.20369486477797039</v>
      </c>
      <c r="I25" s="307">
        <f>I24/I$17</f>
        <v>0.2237825824600766</v>
      </c>
      <c r="J25" s="308">
        <f>J24/J17</f>
        <v>0.20697158907638014</v>
      </c>
      <c r="K25" s="308">
        <f>K24/K17</f>
        <v>0.20362609099453613</v>
      </c>
      <c r="L25" s="308">
        <f>L24/L17</f>
        <v>0.20690156564268258</v>
      </c>
      <c r="M25" s="308">
        <f>M24/M17</f>
        <v>0.1909223639239456</v>
      </c>
      <c r="N25" s="307">
        <f>N24/N$17</f>
        <v>0.21406486732017532</v>
      </c>
      <c r="O25" s="308">
        <f>O24/O17</f>
        <v>0.20637781143081502</v>
      </c>
      <c r="P25" s="308">
        <f>P24/P17</f>
        <v>0.21028768823878663</v>
      </c>
      <c r="Q25" s="308">
        <f>Q24/Q17</f>
        <v>0.20459870320928458</v>
      </c>
      <c r="R25" s="308">
        <f>R24/R17</f>
        <v>0.19165076220617014</v>
      </c>
      <c r="S25" s="307">
        <f>S24/S$17</f>
        <v>0.19951462426480829</v>
      </c>
      <c r="T25" s="308">
        <f>T24/T17</f>
        <v>0.19189462531304183</v>
      </c>
      <c r="U25" s="308">
        <f>U24/U17</f>
        <v>0.18862120785197706</v>
      </c>
      <c r="V25" s="308">
        <f>V24/V17</f>
        <v>0.19642602537902193</v>
      </c>
      <c r="W25" s="308">
        <f>W24/W17</f>
        <v>0.16812161649253879</v>
      </c>
      <c r="X25" s="307">
        <f>X24/X$17</f>
        <v>0.18620298405854666</v>
      </c>
      <c r="Y25" s="308">
        <f>Y24/Y17</f>
        <v>0.17717351010706736</v>
      </c>
      <c r="Z25" s="308">
        <f>Z24/Z17</f>
        <v>0.18092166857380632</v>
      </c>
      <c r="AA25" s="308">
        <f>AA24/AA17</f>
        <v>0.18081266003442048</v>
      </c>
      <c r="AB25" s="308">
        <f>AB24/AB17</f>
        <v>0.15575027802277869</v>
      </c>
      <c r="AC25" s="307">
        <f>AC24/AC$17</f>
        <v>0.17479014141914445</v>
      </c>
      <c r="AD25" s="308">
        <f>AD24/AD17</f>
        <v>0.16490772835537651</v>
      </c>
      <c r="AE25" s="308">
        <f>AE24/AE17</f>
        <v>0.17154003484584501</v>
      </c>
      <c r="AF25" s="308">
        <f>AF24/AF17</f>
        <v>0.17996800740069768</v>
      </c>
      <c r="AG25" s="308">
        <f>AG24/AG17</f>
        <v>0.17785971380914758</v>
      </c>
      <c r="AH25" s="307">
        <f>AH24/AH$17</f>
        <v>0.17367209440800432</v>
      </c>
      <c r="AI25" s="1035">
        <v>0.18809999999999999</v>
      </c>
      <c r="AJ25" s="1035">
        <v>0.18440000000000001</v>
      </c>
      <c r="AK25" s="1035">
        <v>0.192</v>
      </c>
      <c r="AL25" s="1035">
        <v>0.189</v>
      </c>
      <c r="AM25" s="307">
        <f>AM24/AM$17</f>
        <v>0.16534548702960078</v>
      </c>
      <c r="AN25" s="308">
        <f>AN24/AN17</f>
        <v>0.16117375447518986</v>
      </c>
      <c r="AO25" s="308">
        <f>AO24/AO17</f>
        <v>0.16396652146248347</v>
      </c>
      <c r="AP25" s="308">
        <f>AP24/AP17</f>
        <v>0.17473569805355199</v>
      </c>
      <c r="AQ25" s="308">
        <f>AQ24/AQ17</f>
        <v>0.16941729799757793</v>
      </c>
      <c r="AR25" s="307">
        <f>AR24/AR$17</f>
        <v>0.16742416151451503</v>
      </c>
      <c r="AS25" s="308">
        <f>AS24/AS17</f>
        <v>0.16242534607015541</v>
      </c>
      <c r="AT25" s="308">
        <f>AT24/AT17</f>
        <v>0.17223095051060486</v>
      </c>
      <c r="AU25" s="308">
        <f>AU24/AU17</f>
        <v>0.16966005588865676</v>
      </c>
      <c r="AV25" s="308">
        <f>AV24/AV17</f>
        <v>0.16972654830818418</v>
      </c>
      <c r="AW25" s="307">
        <f>AW24/AW$17</f>
        <v>0.16863972264669136</v>
      </c>
      <c r="AX25" s="308">
        <f>AX24/AX17</f>
        <v>0.14609467943508014</v>
      </c>
      <c r="AY25" s="308">
        <f>AY24/AY17</f>
        <v>0.15483235883629634</v>
      </c>
      <c r="AZ25" s="308">
        <f>AZ24/AZ17</f>
        <v>0.15637171040658102</v>
      </c>
      <c r="BA25" s="308">
        <f>BA24/BA17</f>
        <v>0.1520383370841871</v>
      </c>
      <c r="BB25" s="307">
        <f>BB24/BB$17</f>
        <v>0.22150135212027713</v>
      </c>
      <c r="BC25" s="308">
        <f>BC24/BC17</f>
        <v>0.21872638668345837</v>
      </c>
      <c r="BD25" s="308">
        <f>BD24/BD17</f>
        <v>0.22225758431292025</v>
      </c>
      <c r="BE25" s="308">
        <f>BE24/BE17</f>
        <v>0.23899346683985032</v>
      </c>
      <c r="BF25" s="308">
        <f>BF24/BF17</f>
        <v>0.22817878705956565</v>
      </c>
      <c r="BG25" s="307">
        <f>BG24/BG$17</f>
        <v>0.22737404928808308</v>
      </c>
      <c r="BH25" s="308">
        <f>BH24/BH17</f>
        <v>0.21983771086910098</v>
      </c>
      <c r="BI25" s="308">
        <f>BI24/BI17</f>
        <v>0.22826386481417277</v>
      </c>
      <c r="BJ25" s="308">
        <f>BJ24/BJ17</f>
        <v>0.24121506328074385</v>
      </c>
      <c r="BK25" s="308">
        <f>BK24/BK17</f>
        <v>0.23440305881342099</v>
      </c>
      <c r="BL25" s="307">
        <f>BL24/BL$17</f>
        <v>0.23109578255131802</v>
      </c>
      <c r="BM25" s="308">
        <f>BM24/BM17</f>
        <v>0.22014081177821299</v>
      </c>
      <c r="BN25" s="308">
        <f>BN24/BN17</f>
        <v>0.21963672817480548</v>
      </c>
      <c r="BO25" s="308">
        <f>BO24/BO17</f>
        <v>0.22893779241032747</v>
      </c>
      <c r="BP25" s="308">
        <f>BP24/BP17</f>
        <v>0.22792900263890395</v>
      </c>
      <c r="BQ25" s="307">
        <f>BQ24/BQ$17</f>
        <v>0.22429112939605919</v>
      </c>
      <c r="BR25" s="308">
        <f>BR24/BR17</f>
        <v>0.22106557802161977</v>
      </c>
      <c r="BS25" s="308">
        <f>BS24/BS17</f>
        <v>0.22289305076392313</v>
      </c>
      <c r="BT25" s="308">
        <f>BT24/BT17</f>
        <v>0.2267114528055037</v>
      </c>
      <c r="BU25" s="308">
        <f>BU24/BU17</f>
        <v>0.22767208578346593</v>
      </c>
      <c r="BV25" s="307">
        <f>BV24/BV$17</f>
        <v>0.22463192123566073</v>
      </c>
      <c r="BW25" s="308">
        <f>BW24/BW17</f>
        <v>0.21154671626842181</v>
      </c>
      <c r="BX25" s="308">
        <f>BX24/BX17</f>
        <v>0.2189225071623227</v>
      </c>
      <c r="BY25" s="308">
        <f>BY24/BY17</f>
        <v>0.22190832685924147</v>
      </c>
      <c r="BZ25" s="308">
        <f>BZ24/BZ17</f>
        <v>0.21950728334564007</v>
      </c>
      <c r="CA25" s="307">
        <f>CA24/CA$17</f>
        <v>0.2180137762664574</v>
      </c>
      <c r="CB25" s="308">
        <f>CB24/CB17</f>
        <v>0.20915884006306987</v>
      </c>
      <c r="CC25" s="308">
        <f>CC24/CC17</f>
        <v>0.21367867260218534</v>
      </c>
      <c r="CD25" s="308">
        <f>CD24/CD17</f>
        <v>0.21663377118355678</v>
      </c>
      <c r="CE25" s="247">
        <f>CE24/CE17</f>
        <v>0.20364429699148631</v>
      </c>
      <c r="CF25" s="246">
        <f>CF24/CF$17</f>
        <v>0.21069251510519527</v>
      </c>
      <c r="CG25" s="308">
        <f>CG24/CG17</f>
        <v>0.20438092860708937</v>
      </c>
      <c r="CH25" s="308">
        <f>CH24/CH17</f>
        <v>0.20826075981320205</v>
      </c>
      <c r="CI25" s="308">
        <f>CI24/CI17</f>
        <v>0.2172227633047169</v>
      </c>
      <c r="CJ25" s="247">
        <f>CJ24/CJ17</f>
        <v>0.21584766584766585</v>
      </c>
      <c r="CK25" s="246">
        <f>CK24/CK$17</f>
        <v>0.21140731361314863</v>
      </c>
      <c r="CL25" s="247">
        <f>CL24/CL17</f>
        <v>0.21275932963678276</v>
      </c>
      <c r="CM25" s="247">
        <f>CM24/CM17</f>
        <v>0.21092970662040336</v>
      </c>
      <c r="CN25" s="247">
        <f>CN24/CN17</f>
        <v>0.20959223777941538</v>
      </c>
      <c r="CO25" s="247">
        <f>CO24/CO17</f>
        <v>0.21015588645881805</v>
      </c>
      <c r="CP25" s="246">
        <f>CP24/CP$17</f>
        <v>0.2108426671133683</v>
      </c>
      <c r="CQ25" s="247">
        <f>CQ24/CQ17</f>
        <v>0.20835204310731928</v>
      </c>
      <c r="CR25" s="247">
        <f>CR24/CR17</f>
        <v>0.21302311796087728</v>
      </c>
      <c r="CS25" s="247">
        <f>CS24/CS17</f>
        <v>0.22146929759097286</v>
      </c>
      <c r="CT25" s="247">
        <f>CT24/CT17</f>
        <v>0.21349305006215391</v>
      </c>
      <c r="CU25" s="246">
        <f>CU24/CU$17</f>
        <v>0.21409702156280558</v>
      </c>
      <c r="CV25" s="247">
        <f>CV24/CV17</f>
        <v>0.21048564079571466</v>
      </c>
      <c r="CW25" s="247">
        <f>CW24/CW17</f>
        <v>0.2111807726437035</v>
      </c>
      <c r="CX25" s="247">
        <f>CX24/CX17</f>
        <v>0.20828409356227068</v>
      </c>
      <c r="CY25" s="247">
        <f>CY24/CY17</f>
        <v>0.1944830327597174</v>
      </c>
      <c r="CZ25" s="246">
        <f>CZ24/CZ$17</f>
        <v>0.20568136937742718</v>
      </c>
      <c r="DA25" s="247">
        <f>DA24/DA17</f>
        <v>0.20152147971360382</v>
      </c>
      <c r="DB25" s="247">
        <f>DB24/DB17</f>
        <v>0.20291818968232933</v>
      </c>
      <c r="DC25" s="247">
        <f>DC24/DC17</f>
        <v>0.20226682619509795</v>
      </c>
      <c r="DD25" s="247">
        <f>DD24/DD17</f>
        <v>0.19478687989869239</v>
      </c>
      <c r="DE25" s="246">
        <f>DE24/DE$17</f>
        <v>0.2003198488794192</v>
      </c>
      <c r="DF25" s="247">
        <f>DF24/DF17</f>
        <v>0.20949820325224272</v>
      </c>
      <c r="DG25" s="247">
        <f>DG24/DG17</f>
        <v>0.21058687558810291</v>
      </c>
      <c r="DH25" s="247">
        <f>DH24/DH17</f>
        <v>0.2102347118179812</v>
      </c>
      <c r="DI25" s="247">
        <f>DI24/DI17</f>
        <v>0.19768961824663311</v>
      </c>
      <c r="DJ25" s="2656">
        <f>DJ24/DJ$17</f>
        <v>0.20683828118128589</v>
      </c>
      <c r="DK25" s="247">
        <f>DK24/DK17</f>
        <v>0.19744716934207371</v>
      </c>
      <c r="DL25" s="247">
        <f>DL24/DL17</f>
        <v>0.19843471706215496</v>
      </c>
      <c r="DM25" s="247">
        <f>DM24/DM17</f>
        <v>0.20300354403139795</v>
      </c>
      <c r="DN25" s="247">
        <f>DN24/DN17</f>
        <v>0.19603393137121794</v>
      </c>
      <c r="DO25" s="2656">
        <f>DO24/DO$17</f>
        <v>0.19869795812368479</v>
      </c>
      <c r="DP25" s="247">
        <f>DP24/DP17</f>
        <v>0.19516006584833342</v>
      </c>
      <c r="DQ25" s="247">
        <f>DQ24/DQ17</f>
        <v>0.19651224327649022</v>
      </c>
      <c r="DR25" s="247">
        <f>DR24/DR17</f>
        <v>0.2014025442190564</v>
      </c>
      <c r="DS25" s="247">
        <f>DS24/DS17</f>
        <v>0.19433753379148877</v>
      </c>
      <c r="DT25" s="246">
        <f>DT24/DT$17</f>
        <v>0.1968219590330007</v>
      </c>
      <c r="DU25" s="247">
        <f>DU24/DU17</f>
        <v>0.19344113768175214</v>
      </c>
      <c r="DV25" s="247">
        <f>DV24/DV17</f>
        <v>0.19499435141117946</v>
      </c>
      <c r="DW25" s="247">
        <f>DW24/DW17</f>
        <v>0.19997334746866172</v>
      </c>
      <c r="DX25" s="247">
        <f>DX24/DX17</f>
        <v>0.1933378737511954</v>
      </c>
      <c r="DY25" s="246">
        <f>DY24/DY$17</f>
        <v>0.195407873532294</v>
      </c>
      <c r="DZ25" s="2170"/>
      <c r="EA25" s="2170"/>
    </row>
    <row r="26" spans="1:131" outlineLevel="1" x14ac:dyDescent="0.2">
      <c r="A26" s="1911"/>
      <c r="B26" s="254" t="s">
        <v>979</v>
      </c>
      <c r="C26" s="238"/>
      <c r="D26" s="238"/>
      <c r="E26" s="1018">
        <f t="shared" ref="E26:BP26" si="29">E24-E34</f>
        <v>0</v>
      </c>
      <c r="F26" s="1018">
        <f t="shared" si="29"/>
        <v>595.78</v>
      </c>
      <c r="G26" s="1018">
        <f t="shared" si="29"/>
        <v>629.26800000000003</v>
      </c>
      <c r="H26" s="1018">
        <f t="shared" si="29"/>
        <v>677.27300000000002</v>
      </c>
      <c r="I26" s="306">
        <f t="shared" si="29"/>
        <v>2427.8929999999991</v>
      </c>
      <c r="J26" s="1018">
        <f t="shared" si="29"/>
        <v>703.25800000000004</v>
      </c>
      <c r="K26" s="1018">
        <f t="shared" si="29"/>
        <v>693.70399999999995</v>
      </c>
      <c r="L26" s="1018">
        <f t="shared" si="29"/>
        <v>688.70600000000002</v>
      </c>
      <c r="M26" s="1018">
        <f t="shared" si="29"/>
        <v>690.44399999999996</v>
      </c>
      <c r="N26" s="306">
        <f t="shared" si="29"/>
        <v>2684.0570000000007</v>
      </c>
      <c r="O26" s="1018">
        <f t="shared" si="29"/>
        <v>735.90200000000027</v>
      </c>
      <c r="P26" s="1018">
        <f t="shared" si="29"/>
        <v>779.2</v>
      </c>
      <c r="Q26" s="1018">
        <f t="shared" si="29"/>
        <v>751</v>
      </c>
      <c r="R26" s="1018">
        <f t="shared" si="29"/>
        <v>793.30000000000007</v>
      </c>
      <c r="S26" s="306">
        <f t="shared" si="29"/>
        <v>2760.3000000000006</v>
      </c>
      <c r="T26" s="1018">
        <f t="shared" si="29"/>
        <v>796.90000000000009</v>
      </c>
      <c r="U26" s="1018">
        <f t="shared" si="29"/>
        <v>803.3</v>
      </c>
      <c r="V26" s="1018">
        <f t="shared" si="29"/>
        <v>826.6</v>
      </c>
      <c r="W26" s="1018">
        <f t="shared" si="29"/>
        <v>841.59999999999991</v>
      </c>
      <c r="X26" s="306">
        <f t="shared" si="29"/>
        <v>3006.800000000002</v>
      </c>
      <c r="Y26" s="1018">
        <f t="shared" si="29"/>
        <v>740.70000000000016</v>
      </c>
      <c r="Z26" s="1018">
        <f t="shared" si="29"/>
        <v>796.2</v>
      </c>
      <c r="AA26" s="1018">
        <f t="shared" si="29"/>
        <v>786.49299999999994</v>
      </c>
      <c r="AB26" s="1018">
        <f t="shared" si="29"/>
        <v>735.9</v>
      </c>
      <c r="AC26" s="306">
        <f t="shared" si="29"/>
        <v>3098.3999999999992</v>
      </c>
      <c r="AD26" s="1018">
        <f t="shared" si="29"/>
        <v>772.99999999999989</v>
      </c>
      <c r="AE26" s="1018">
        <f t="shared" si="29"/>
        <v>825.59999999999991</v>
      </c>
      <c r="AF26" s="1018">
        <f t="shared" si="29"/>
        <v>853.1</v>
      </c>
      <c r="AG26" s="1018">
        <f t="shared" si="29"/>
        <v>931.7</v>
      </c>
      <c r="AH26" s="306">
        <f t="shared" si="29"/>
        <v>3402.5000000000023</v>
      </c>
      <c r="AI26" s="1018">
        <f t="shared" si="29"/>
        <v>857.8</v>
      </c>
      <c r="AJ26" s="1018">
        <f t="shared" si="29"/>
        <v>847.80000000000007</v>
      </c>
      <c r="AK26" s="1018">
        <f t="shared" si="29"/>
        <v>874.99999999999989</v>
      </c>
      <c r="AL26" s="1018">
        <f t="shared" si="29"/>
        <v>922</v>
      </c>
      <c r="AM26" s="306">
        <f t="shared" si="29"/>
        <v>3515.3</v>
      </c>
      <c r="AN26" s="1018">
        <f t="shared" si="29"/>
        <v>880.79999999999984</v>
      </c>
      <c r="AO26" s="1018">
        <f t="shared" si="29"/>
        <v>919.6</v>
      </c>
      <c r="AP26" s="1018">
        <f t="shared" si="29"/>
        <v>975.3</v>
      </c>
      <c r="AQ26" s="1018">
        <f t="shared" si="29"/>
        <v>1115.1999999999998</v>
      </c>
      <c r="AR26" s="306">
        <f t="shared" si="29"/>
        <v>3906.1000000000004</v>
      </c>
      <c r="AS26" s="1018">
        <f t="shared" si="29"/>
        <v>959.1</v>
      </c>
      <c r="AT26" s="1018">
        <f t="shared" si="29"/>
        <v>1044</v>
      </c>
      <c r="AU26" s="1018">
        <f t="shared" si="29"/>
        <v>1132.1000000000001</v>
      </c>
      <c r="AV26" s="1018">
        <f t="shared" si="29"/>
        <v>1212.8</v>
      </c>
      <c r="AW26" s="306">
        <f t="shared" si="29"/>
        <v>4373.7000000000016</v>
      </c>
      <c r="AX26" s="1018">
        <f t="shared" si="29"/>
        <v>1102.3999999999999</v>
      </c>
      <c r="AY26" s="1018">
        <f t="shared" si="29"/>
        <v>1157.9000000000001</v>
      </c>
      <c r="AZ26" s="1018">
        <f t="shared" si="29"/>
        <v>1141.0999999999999</v>
      </c>
      <c r="BA26" s="1018">
        <f t="shared" si="29"/>
        <v>1202</v>
      </c>
      <c r="BB26" s="306">
        <f t="shared" si="29"/>
        <v>7003.5</v>
      </c>
      <c r="BC26" s="1018">
        <f t="shared" si="29"/>
        <v>1841.9</v>
      </c>
      <c r="BD26" s="1018">
        <f t="shared" si="29"/>
        <v>1981.7999999999997</v>
      </c>
      <c r="BE26" s="1018">
        <f t="shared" si="29"/>
        <v>2272.1999999999998</v>
      </c>
      <c r="BF26" s="1018">
        <f t="shared" si="29"/>
        <v>2330.6999999999998</v>
      </c>
      <c r="BG26" s="306">
        <f t="shared" si="29"/>
        <v>8468</v>
      </c>
      <c r="BH26" s="1018">
        <f t="shared" si="29"/>
        <v>2350.2999999999997</v>
      </c>
      <c r="BI26" s="1018">
        <f t="shared" si="29"/>
        <v>2351.8999999999996</v>
      </c>
      <c r="BJ26" s="1018">
        <f t="shared" si="29"/>
        <v>2430.1999999999998</v>
      </c>
      <c r="BK26" s="1018">
        <f t="shared" si="29"/>
        <v>2542.2000000000003</v>
      </c>
      <c r="BL26" s="306">
        <f t="shared" si="29"/>
        <v>9614</v>
      </c>
      <c r="BM26" s="1018">
        <f t="shared" si="29"/>
        <v>2394.8999999999996</v>
      </c>
      <c r="BN26" s="1018">
        <f t="shared" si="29"/>
        <v>2362.9</v>
      </c>
      <c r="BO26" s="1018">
        <f t="shared" si="29"/>
        <v>2419.6999999999994</v>
      </c>
      <c r="BP26" s="1018">
        <f t="shared" si="29"/>
        <v>2891.2999999999997</v>
      </c>
      <c r="BQ26" s="306">
        <f>BQ24-BQ34</f>
        <v>10068.799999999999</v>
      </c>
      <c r="BR26" s="1018">
        <f>BR24-BR34</f>
        <v>2724.2</v>
      </c>
      <c r="BS26" s="1018">
        <f>BS24-BS34</f>
        <v>2785.3</v>
      </c>
      <c r="BT26" s="1018">
        <f>BT24-BT34</f>
        <v>2875.4</v>
      </c>
      <c r="BU26" s="1018">
        <f>BU24-BU34</f>
        <v>3038.5</v>
      </c>
      <c r="BV26" s="306">
        <f>SUM(BR26:BU26)</f>
        <v>11423.4</v>
      </c>
      <c r="BW26" s="1018">
        <f>BW24-BW34</f>
        <v>2697</v>
      </c>
      <c r="BX26" s="1018">
        <f>BX24-BX34</f>
        <v>2861</v>
      </c>
      <c r="BY26" s="1018">
        <f>BY24-BY34</f>
        <v>2870</v>
      </c>
      <c r="BZ26" s="1018">
        <f>BZ24-BZ34</f>
        <v>2995</v>
      </c>
      <c r="CA26" s="306">
        <f>SUM(BW26:BZ26)</f>
        <v>11423</v>
      </c>
      <c r="CB26" s="1018">
        <f>CB24-CB34</f>
        <v>2776</v>
      </c>
      <c r="CC26" s="1018">
        <f>CC24-CC34</f>
        <v>2884</v>
      </c>
      <c r="CD26" s="1018">
        <f>CD24-CD34</f>
        <v>2888</v>
      </c>
      <c r="CE26" s="1018">
        <f>CE24-CE34</f>
        <v>2857.3</v>
      </c>
      <c r="CF26" s="239">
        <f>SUM(CB26:CE26)</f>
        <v>11405.3</v>
      </c>
      <c r="CG26" s="1018">
        <f>CG24-CG34</f>
        <v>2994</v>
      </c>
      <c r="CH26" s="1018">
        <f>CH24-CH34</f>
        <v>3019</v>
      </c>
      <c r="CI26" s="1018">
        <f>CI24-CI34</f>
        <v>3075</v>
      </c>
      <c r="CJ26" s="1018">
        <f>CJ24-CJ34</f>
        <v>3215.9</v>
      </c>
      <c r="CK26" s="239">
        <f>SUM(CG26:CJ26)</f>
        <v>12303.9</v>
      </c>
      <c r="CL26" s="1018">
        <f>CL24-CL34</f>
        <v>3072.6</v>
      </c>
      <c r="CM26" s="1018">
        <f>CM24-CM34</f>
        <v>3116.4</v>
      </c>
      <c r="CN26" s="1018">
        <f>CN24-CN34</f>
        <v>3118</v>
      </c>
      <c r="CO26" s="1018">
        <f>CO24-CO34</f>
        <v>3321.1</v>
      </c>
      <c r="CP26" s="239">
        <f>SUM(CL26:CO26)</f>
        <v>12628.1</v>
      </c>
      <c r="CQ26" s="1018">
        <f>CQ24-CQ34</f>
        <v>3135.2</v>
      </c>
      <c r="CR26" s="1018">
        <f>CR24-CR34</f>
        <v>3287</v>
      </c>
      <c r="CS26" s="1018">
        <f>CS24-CS34</f>
        <v>3412.8</v>
      </c>
      <c r="CT26" s="1018">
        <f>CT24-CT34</f>
        <v>3475.3</v>
      </c>
      <c r="CU26" s="239">
        <f>SUM(CQ26:CT26)</f>
        <v>13310.3</v>
      </c>
      <c r="CV26" s="1018">
        <f>CV24-CV34</f>
        <v>3263.1</v>
      </c>
      <c r="CW26" s="1018">
        <f>CW24-CW34</f>
        <v>3337.6</v>
      </c>
      <c r="CX26" s="1018">
        <f>CX24-CX34</f>
        <v>3387.9180138551278</v>
      </c>
      <c r="CY26" s="1018">
        <f>CY24-CY34</f>
        <v>3497.4880986899993</v>
      </c>
      <c r="CZ26" s="239">
        <f>SUM(CV26:CY26)</f>
        <v>13486.106112545127</v>
      </c>
      <c r="DA26" s="1018">
        <f>DA24-DA34</f>
        <v>3652.1</v>
      </c>
      <c r="DB26" s="1018">
        <f>DB24-DB34</f>
        <v>3653.9</v>
      </c>
      <c r="DC26" s="1018">
        <f>DC24-DC34</f>
        <v>3678.3999999999996</v>
      </c>
      <c r="DD26" s="1018">
        <f>DD24-DD34</f>
        <v>3649</v>
      </c>
      <c r="DE26" s="239">
        <f>SUM(DA26:DD26)</f>
        <v>14633.4</v>
      </c>
      <c r="DF26" s="1018">
        <f>DF24-DF34</f>
        <v>3640.6000000000004</v>
      </c>
      <c r="DG26" s="1018">
        <f>DG24-DG34</f>
        <v>3702.2</v>
      </c>
      <c r="DH26" s="1018">
        <f>DH24-DH34</f>
        <v>3711.5117854399991</v>
      </c>
      <c r="DI26" s="1018">
        <f>DI24-DI34</f>
        <v>3716.6304479100004</v>
      </c>
      <c r="DJ26" s="239">
        <f>SUM(DF26:DI26)</f>
        <v>14770.942233349999</v>
      </c>
      <c r="DK26" s="238">
        <f>DF26*(1+DK27)</f>
        <v>3604.1940000000004</v>
      </c>
      <c r="DL26" s="238">
        <f>DG26*(1+DL27)</f>
        <v>3665.1779999999999</v>
      </c>
      <c r="DM26" s="238">
        <f>DH26*(1+DM27)</f>
        <v>3674.3966675855991</v>
      </c>
      <c r="DN26" s="238">
        <f>DI26*(1+DN27)</f>
        <v>3679.4641434309005</v>
      </c>
      <c r="DO26" s="239">
        <f>SUM(DK26:DN26)</f>
        <v>14623.2328110165</v>
      </c>
      <c r="DP26" s="238">
        <f>DK26*(1+DP27)</f>
        <v>3672.6736860000001</v>
      </c>
      <c r="DQ26" s="238">
        <f>DL26*(1+DQ27)</f>
        <v>3734.8163819999995</v>
      </c>
      <c r="DR26" s="238">
        <f>DM26*(1+DR27)</f>
        <v>3744.2102042697252</v>
      </c>
      <c r="DS26" s="238">
        <f>DN26*(1+DS27)</f>
        <v>3749.3739621560871</v>
      </c>
      <c r="DT26" s="239">
        <f>SUM(DP26:DS26)</f>
        <v>14901.074234425812</v>
      </c>
      <c r="DU26" s="238">
        <f>DP26*(1+DU27)</f>
        <v>3742.4544860339997</v>
      </c>
      <c r="DV26" s="238">
        <f>DQ26*(1+DV27)</f>
        <v>3805.777893257999</v>
      </c>
      <c r="DW26" s="238">
        <f>DR26*(1+DW27)</f>
        <v>3815.3501981508498</v>
      </c>
      <c r="DX26" s="238">
        <f>DS26*(1+DX27)</f>
        <v>3820.6120674370522</v>
      </c>
      <c r="DY26" s="239">
        <f>SUM(DU26:DX26)</f>
        <v>15184.194644879901</v>
      </c>
      <c r="DZ26" s="1884"/>
      <c r="EA26" s="1884"/>
    </row>
    <row r="27" spans="1:131" outlineLevel="1" x14ac:dyDescent="0.2">
      <c r="A27" s="2184"/>
      <c r="B27" s="2185" t="s">
        <v>219</v>
      </c>
      <c r="C27" s="468"/>
      <c r="D27" s="468"/>
      <c r="E27" s="469"/>
      <c r="F27" s="469"/>
      <c r="G27" s="469"/>
      <c r="H27" s="469"/>
      <c r="I27" s="582"/>
      <c r="J27" s="469"/>
      <c r="K27" s="469"/>
      <c r="L27" s="469"/>
      <c r="M27" s="469"/>
      <c r="N27" s="582">
        <f>N26/I26-1</f>
        <v>0.10550876830239297</v>
      </c>
      <c r="O27" s="469"/>
      <c r="P27" s="469"/>
      <c r="Q27" s="469"/>
      <c r="R27" s="469"/>
      <c r="S27" s="582">
        <f>S26/N26-1</f>
        <v>2.8405879606878681E-2</v>
      </c>
      <c r="T27" s="468"/>
      <c r="U27" s="532"/>
      <c r="V27" s="469"/>
      <c r="W27" s="469"/>
      <c r="X27" s="582">
        <f>X26/S26-1</f>
        <v>8.9301887475999431E-2</v>
      </c>
      <c r="Y27" s="469"/>
      <c r="Z27" s="469"/>
      <c r="AA27" s="469"/>
      <c r="AB27" s="469"/>
      <c r="AC27" s="582">
        <f>AC26/X26-1</f>
        <v>3.0464280963149237E-2</v>
      </c>
      <c r="AD27" s="469"/>
      <c r="AE27" s="469"/>
      <c r="AF27" s="469"/>
      <c r="AG27" s="469"/>
      <c r="AH27" s="582">
        <f>AH26/AC26-1</f>
        <v>9.8147430932095103E-2</v>
      </c>
      <c r="AI27" s="469"/>
      <c r="AJ27" s="469"/>
      <c r="AK27" s="469"/>
      <c r="AL27" s="469"/>
      <c r="AM27" s="582">
        <f t="shared" ref="AM27:CT27" si="30">AM26/AH26-1</f>
        <v>3.3152094048493064E-2</v>
      </c>
      <c r="AN27" s="581">
        <f t="shared" si="30"/>
        <v>2.6812776871065314E-2</v>
      </c>
      <c r="AO27" s="581">
        <f t="shared" si="30"/>
        <v>8.4689785326727884E-2</v>
      </c>
      <c r="AP27" s="581">
        <f t="shared" si="30"/>
        <v>0.11462857142857152</v>
      </c>
      <c r="AQ27" s="581">
        <f t="shared" si="30"/>
        <v>0.20954446854663744</v>
      </c>
      <c r="AR27" s="582">
        <f t="shared" si="30"/>
        <v>0.11117116604557231</v>
      </c>
      <c r="AS27" s="581">
        <f t="shared" si="30"/>
        <v>8.8896457765667902E-2</v>
      </c>
      <c r="AT27" s="581">
        <f t="shared" si="30"/>
        <v>0.13527620704654186</v>
      </c>
      <c r="AU27" s="581">
        <f t="shared" si="30"/>
        <v>0.16077104480672633</v>
      </c>
      <c r="AV27" s="581">
        <f t="shared" si="30"/>
        <v>8.7517934002869557E-2</v>
      </c>
      <c r="AW27" s="582">
        <f t="shared" si="30"/>
        <v>0.11971019687156015</v>
      </c>
      <c r="AX27" s="581">
        <f t="shared" si="30"/>
        <v>0.14941090605776242</v>
      </c>
      <c r="AY27" s="581">
        <f t="shared" si="30"/>
        <v>0.10909961685823766</v>
      </c>
      <c r="AZ27" s="581">
        <f t="shared" si="30"/>
        <v>7.9498277537317641E-3</v>
      </c>
      <c r="BA27" s="581">
        <f t="shared" si="30"/>
        <v>-8.9050131926120546E-3</v>
      </c>
      <c r="BB27" s="582">
        <f t="shared" si="30"/>
        <v>0.60127580766856381</v>
      </c>
      <c r="BC27" s="581">
        <f t="shared" si="30"/>
        <v>0.67080914368650246</v>
      </c>
      <c r="BD27" s="581">
        <f t="shared" si="30"/>
        <v>0.71154676569651909</v>
      </c>
      <c r="BE27" s="581">
        <f t="shared" si="30"/>
        <v>0.99123652615896951</v>
      </c>
      <c r="BF27" s="581">
        <f t="shared" si="30"/>
        <v>0.93901830282861876</v>
      </c>
      <c r="BG27" s="582">
        <f t="shared" si="30"/>
        <v>0.2091097308488612</v>
      </c>
      <c r="BH27" s="581">
        <f t="shared" si="30"/>
        <v>0.27601932786796213</v>
      </c>
      <c r="BI27" s="581">
        <f t="shared" si="30"/>
        <v>0.18674941971944703</v>
      </c>
      <c r="BJ27" s="581">
        <f t="shared" si="30"/>
        <v>6.9536132382712834E-2</v>
      </c>
      <c r="BK27" s="581">
        <f t="shared" si="30"/>
        <v>9.0745269661475225E-2</v>
      </c>
      <c r="BL27" s="582">
        <f t="shared" si="30"/>
        <v>0.13533301842229561</v>
      </c>
      <c r="BM27" s="581">
        <f t="shared" si="30"/>
        <v>1.8976300897757703E-2</v>
      </c>
      <c r="BN27" s="581">
        <f t="shared" si="30"/>
        <v>4.6770696032996106E-3</v>
      </c>
      <c r="BO27" s="581">
        <f t="shared" si="30"/>
        <v>-4.3206320467452652E-3</v>
      </c>
      <c r="BP27" s="581">
        <f t="shared" si="30"/>
        <v>0.13732200456297683</v>
      </c>
      <c r="BQ27" s="582">
        <f t="shared" si="30"/>
        <v>4.7306012065737368E-2</v>
      </c>
      <c r="BR27" s="581">
        <f t="shared" si="30"/>
        <v>0.13750052194246121</v>
      </c>
      <c r="BS27" s="581">
        <f t="shared" si="30"/>
        <v>0.17876338397731595</v>
      </c>
      <c r="BT27" s="581">
        <f t="shared" si="30"/>
        <v>0.18832913171054289</v>
      </c>
      <c r="BU27" s="581">
        <f t="shared" si="30"/>
        <v>5.091135475391706E-2</v>
      </c>
      <c r="BV27" s="582">
        <f t="shared" si="30"/>
        <v>0.13453440330525979</v>
      </c>
      <c r="BW27" s="581">
        <f t="shared" si="30"/>
        <v>-9.9845826297627616E-3</v>
      </c>
      <c r="BX27" s="581">
        <f t="shared" si="30"/>
        <v>2.717840089038881E-2</v>
      </c>
      <c r="BY27" s="581">
        <f t="shared" si="30"/>
        <v>-1.8779995826667673E-3</v>
      </c>
      <c r="BZ27" s="581">
        <f t="shared" si="30"/>
        <v>-1.4316274477538249E-2</v>
      </c>
      <c r="CA27" s="582">
        <f t="shared" si="30"/>
        <v>-3.5015844669694651E-5</v>
      </c>
      <c r="CB27" s="581">
        <f t="shared" si="30"/>
        <v>2.9291805710048191E-2</v>
      </c>
      <c r="CC27" s="581">
        <f t="shared" si="30"/>
        <v>8.0391471513456825E-3</v>
      </c>
      <c r="CD27" s="581">
        <f t="shared" si="30"/>
        <v>6.2717770034843578E-3</v>
      </c>
      <c r="CE27" s="581">
        <f t="shared" si="30"/>
        <v>-4.5976627712854712E-2</v>
      </c>
      <c r="CF27" s="580">
        <f t="shared" si="30"/>
        <v>-1.5495053838746609E-3</v>
      </c>
      <c r="CG27" s="581">
        <f t="shared" si="30"/>
        <v>7.8530259365994226E-2</v>
      </c>
      <c r="CH27" s="581">
        <f t="shared" si="30"/>
        <v>4.680998613037457E-2</v>
      </c>
      <c r="CI27" s="581">
        <f t="shared" si="30"/>
        <v>6.4750692520775699E-2</v>
      </c>
      <c r="CJ27" s="581">
        <f t="shared" si="30"/>
        <v>0.12550309732964693</v>
      </c>
      <c r="CK27" s="580">
        <f>CK26/CF26-1</f>
        <v>7.8787931926385113E-2</v>
      </c>
      <c r="CL27" s="581">
        <f t="shared" si="30"/>
        <v>2.6252505010019966E-2</v>
      </c>
      <c r="CM27" s="581">
        <f t="shared" si="30"/>
        <v>3.2262338522689671E-2</v>
      </c>
      <c r="CN27" s="581">
        <f t="shared" si="30"/>
        <v>1.3983739837398312E-2</v>
      </c>
      <c r="CO27" s="581">
        <f t="shared" si="30"/>
        <v>3.2712459964551188E-2</v>
      </c>
      <c r="CP27" s="580">
        <f>CP26/CK26-1</f>
        <v>2.634936889929218E-2</v>
      </c>
      <c r="CQ27" s="581">
        <f t="shared" si="30"/>
        <v>2.0373624943044844E-2</v>
      </c>
      <c r="CR27" s="581">
        <f t="shared" si="30"/>
        <v>5.4742651777692108E-2</v>
      </c>
      <c r="CS27" s="581">
        <f t="shared" si="30"/>
        <v>9.4547787042976283E-2</v>
      </c>
      <c r="CT27" s="581">
        <f t="shared" si="30"/>
        <v>4.643039956640882E-2</v>
      </c>
      <c r="CU27" s="580">
        <f t="shared" ref="CU27:DI27" si="31">CU26/CP26-1</f>
        <v>5.4022378663456827E-2</v>
      </c>
      <c r="CV27" s="581">
        <f t="shared" si="31"/>
        <v>4.079484562388358E-2</v>
      </c>
      <c r="CW27" s="581">
        <f t="shared" si="31"/>
        <v>1.5393976270155152E-2</v>
      </c>
      <c r="CX27" s="581">
        <f t="shared" si="31"/>
        <v>-7.2907835633123641E-3</v>
      </c>
      <c r="CY27" s="581">
        <f t="shared" si="31"/>
        <v>6.3845131902280361E-3</v>
      </c>
      <c r="CZ27" s="580">
        <f t="shared" si="31"/>
        <v>1.320827573722072E-2</v>
      </c>
      <c r="DA27" s="581">
        <f t="shared" si="31"/>
        <v>0.11921179246728575</v>
      </c>
      <c r="DB27" s="581">
        <f t="shared" si="31"/>
        <v>9.476869606903171E-2</v>
      </c>
      <c r="DC27" s="581">
        <f t="shared" si="31"/>
        <v>8.5740559528573401E-2</v>
      </c>
      <c r="DD27" s="581">
        <f t="shared" si="31"/>
        <v>4.332020496846023E-2</v>
      </c>
      <c r="DE27" s="580">
        <f>DE26/CZ26-1</f>
        <v>8.507228683212209E-2</v>
      </c>
      <c r="DF27" s="581">
        <f t="shared" si="31"/>
        <v>-3.1488732510061013E-3</v>
      </c>
      <c r="DG27" s="581">
        <f t="shared" si="31"/>
        <v>1.3218752565751668E-2</v>
      </c>
      <c r="DH27" s="581">
        <f t="shared" si="31"/>
        <v>9.0016815571987152E-3</v>
      </c>
      <c r="DI27" s="581">
        <f t="shared" si="31"/>
        <v>1.8533967637708981E-2</v>
      </c>
      <c r="DJ27" s="580">
        <f>DJ26/DE26-1</f>
        <v>9.3991986380470571E-3</v>
      </c>
      <c r="DK27" s="1036">
        <v>-0.01</v>
      </c>
      <c r="DL27" s="1036">
        <v>-0.01</v>
      </c>
      <c r="DM27" s="1036">
        <v>-0.01</v>
      </c>
      <c r="DN27" s="1036">
        <v>-0.01</v>
      </c>
      <c r="DO27" s="580">
        <f>DO26/DJ26-1</f>
        <v>-9.9999999999998979E-3</v>
      </c>
      <c r="DP27" s="1036">
        <f>'Key Inputs and Scenarios'!BC21</f>
        <v>1.9E-2</v>
      </c>
      <c r="DQ27" s="1036">
        <f>'Key Inputs and Scenarios'!BD21</f>
        <v>1.9E-2</v>
      </c>
      <c r="DR27" s="1036">
        <f>'Key Inputs and Scenarios'!BE21</f>
        <v>1.9E-2</v>
      </c>
      <c r="DS27" s="1036">
        <f>'Key Inputs and Scenarios'!BF21</f>
        <v>1.9E-2</v>
      </c>
      <c r="DT27" s="580">
        <f>DT26/DO26-1</f>
        <v>1.8999999999999906E-2</v>
      </c>
      <c r="DU27" s="1036">
        <f>'Key Inputs and Scenarios'!BH21</f>
        <v>1.9E-2</v>
      </c>
      <c r="DV27" s="1036">
        <f>'Key Inputs and Scenarios'!BI21</f>
        <v>1.9E-2</v>
      </c>
      <c r="DW27" s="1036">
        <f>'Key Inputs and Scenarios'!BJ21</f>
        <v>1.9E-2</v>
      </c>
      <c r="DX27" s="1036">
        <f>'Key Inputs and Scenarios'!BK21</f>
        <v>1.9E-2</v>
      </c>
      <c r="DY27" s="580">
        <f>DY26/DT26-1</f>
        <v>1.8999999999999906E-2</v>
      </c>
      <c r="DZ27" s="2186"/>
      <c r="EA27" s="2186"/>
    </row>
    <row r="28" spans="1:131" outlineLevel="1" x14ac:dyDescent="0.2">
      <c r="A28" s="2169"/>
      <c r="B28" s="438" t="s">
        <v>217</v>
      </c>
      <c r="C28" s="245"/>
      <c r="D28" s="245"/>
      <c r="E28" s="308">
        <f t="shared" ref="E28:BL28" si="32">E26/E17</f>
        <v>0</v>
      </c>
      <c r="F28" s="308">
        <f t="shared" si="32"/>
        <v>0.20630901543179522</v>
      </c>
      <c r="G28" s="308">
        <f t="shared" si="32"/>
        <v>0.2205412771016185</v>
      </c>
      <c r="H28" s="308">
        <f t="shared" si="32"/>
        <v>0.20369486477797039</v>
      </c>
      <c r="I28" s="307">
        <f t="shared" si="32"/>
        <v>0.20634294553088051</v>
      </c>
      <c r="J28" s="308">
        <f t="shared" si="32"/>
        <v>0.20697158907638014</v>
      </c>
      <c r="K28" s="308">
        <f t="shared" si="32"/>
        <v>0.20362609099453613</v>
      </c>
      <c r="L28" s="308">
        <f t="shared" si="32"/>
        <v>0.20690156564268258</v>
      </c>
      <c r="M28" s="308">
        <f t="shared" si="32"/>
        <v>0.1909223639239456</v>
      </c>
      <c r="N28" s="307">
        <f t="shared" si="32"/>
        <v>0.19664285609623872</v>
      </c>
      <c r="O28" s="308">
        <f t="shared" si="32"/>
        <v>0.20637781143081502</v>
      </c>
      <c r="P28" s="308">
        <f t="shared" si="32"/>
        <v>0.21028768823878663</v>
      </c>
      <c r="Q28" s="308">
        <f t="shared" si="32"/>
        <v>0.20459870320928458</v>
      </c>
      <c r="R28" s="308">
        <f t="shared" si="32"/>
        <v>0.19165076220617014</v>
      </c>
      <c r="S28" s="307">
        <f t="shared" si="32"/>
        <v>0.18303041555324218</v>
      </c>
      <c r="T28" s="308">
        <f t="shared" si="32"/>
        <v>0.19189462531304183</v>
      </c>
      <c r="U28" s="308">
        <f t="shared" si="32"/>
        <v>0.18862120785197706</v>
      </c>
      <c r="V28" s="308">
        <f t="shared" si="32"/>
        <v>0.19642602537902193</v>
      </c>
      <c r="W28" s="308">
        <f t="shared" si="32"/>
        <v>0.16812161649253879</v>
      </c>
      <c r="X28" s="307">
        <f t="shared" si="32"/>
        <v>0.17057922505247644</v>
      </c>
      <c r="Y28" s="308">
        <f t="shared" si="32"/>
        <v>0.1615168233062213</v>
      </c>
      <c r="Z28" s="308">
        <f t="shared" si="32"/>
        <v>0.16565068136897951</v>
      </c>
      <c r="AA28" s="308">
        <f t="shared" si="32"/>
        <v>0.16507010032321703</v>
      </c>
      <c r="AB28" s="308">
        <f t="shared" si="32"/>
        <v>0.14110135368332247</v>
      </c>
      <c r="AC28" s="307">
        <f t="shared" si="32"/>
        <v>0.15985883882551424</v>
      </c>
      <c r="AD28" s="308">
        <f t="shared" si="32"/>
        <v>0.14968726399566232</v>
      </c>
      <c r="AE28" s="308">
        <f t="shared" si="32"/>
        <v>0.15635179153094461</v>
      </c>
      <c r="AF28" s="308">
        <f t="shared" si="32"/>
        <v>0.16441497870372157</v>
      </c>
      <c r="AG28" s="308">
        <f t="shared" si="32"/>
        <v>0.16358528662979546</v>
      </c>
      <c r="AH28" s="307">
        <f t="shared" si="32"/>
        <v>0.15952683473441898</v>
      </c>
      <c r="AI28" s="308">
        <f t="shared" si="32"/>
        <v>0.15067626910240645</v>
      </c>
      <c r="AJ28" s="308">
        <f t="shared" si="32"/>
        <v>0.14834386099980754</v>
      </c>
      <c r="AK28" s="308">
        <f t="shared" si="32"/>
        <v>0.15609947550576228</v>
      </c>
      <c r="AL28" s="308">
        <f t="shared" si="32"/>
        <v>0.15247986505035804</v>
      </c>
      <c r="AM28" s="307">
        <f t="shared" si="32"/>
        <v>0.15244013495112793</v>
      </c>
      <c r="AN28" s="308">
        <f t="shared" si="32"/>
        <v>0.14735503730719041</v>
      </c>
      <c r="AO28" s="308">
        <f t="shared" si="32"/>
        <v>0.15003344590736301</v>
      </c>
      <c r="AP28" s="308">
        <f t="shared" si="32"/>
        <v>0.1606066594210058</v>
      </c>
      <c r="AQ28" s="308">
        <f t="shared" si="32"/>
        <v>0.15703945700847718</v>
      </c>
      <c r="AR28" s="307">
        <f t="shared" si="32"/>
        <v>0.15450917102770098</v>
      </c>
      <c r="AS28" s="308">
        <f t="shared" si="32"/>
        <v>0.14801154338801525</v>
      </c>
      <c r="AT28" s="308">
        <f t="shared" si="32"/>
        <v>0.15771345700646563</v>
      </c>
      <c r="AU28" s="308">
        <f t="shared" si="32"/>
        <v>0.15357171925445617</v>
      </c>
      <c r="AV28" s="308">
        <f t="shared" si="32"/>
        <v>0.14687431879284035</v>
      </c>
      <c r="AW28" s="307">
        <f t="shared" si="32"/>
        <v>0.15224148673626031</v>
      </c>
      <c r="AX28" s="308">
        <f t="shared" si="32"/>
        <v>0.12985146707186351</v>
      </c>
      <c r="AY28" s="308">
        <f t="shared" si="32"/>
        <v>0.13732699218425704</v>
      </c>
      <c r="AZ28" s="308">
        <f t="shared" si="32"/>
        <v>0.13845108530799938</v>
      </c>
      <c r="BA28" s="308">
        <f t="shared" si="32"/>
        <v>0.13458287147447742</v>
      </c>
      <c r="BB28" s="307">
        <f t="shared" si="32"/>
        <v>0.20541376053685922</v>
      </c>
      <c r="BC28" s="308">
        <f t="shared" si="32"/>
        <v>0.20170837211849094</v>
      </c>
      <c r="BD28" s="308">
        <f t="shared" si="32"/>
        <v>0.20345978132539394</v>
      </c>
      <c r="BE28" s="308">
        <f t="shared" si="32"/>
        <v>0.22024698059438186</v>
      </c>
      <c r="BF28" s="308">
        <f t="shared" si="32"/>
        <v>0.21002973776696401</v>
      </c>
      <c r="BG28" s="307">
        <f t="shared" si="32"/>
        <v>0.21019917787000814</v>
      </c>
      <c r="BH28" s="308">
        <f t="shared" si="32"/>
        <v>0.20911630721047758</v>
      </c>
      <c r="BI28" s="308">
        <f t="shared" si="32"/>
        <v>0.20906335280051908</v>
      </c>
      <c r="BJ28" s="308">
        <f t="shared" si="32"/>
        <v>0.2217517861868219</v>
      </c>
      <c r="BK28" s="308">
        <f t="shared" si="32"/>
        <v>0.2184302100786184</v>
      </c>
      <c r="BL28" s="307">
        <f t="shared" si="32"/>
        <v>0.21323456023421644</v>
      </c>
      <c r="BM28" s="308">
        <f>BM26/BM$17</f>
        <v>0.20217633551698516</v>
      </c>
      <c r="BN28" s="308">
        <f>BN26/BN$17</f>
        <v>0.20074251537703472</v>
      </c>
      <c r="BO28" s="308">
        <f>BO26/BO$17</f>
        <v>0.20964304280020787</v>
      </c>
      <c r="BP28" s="308">
        <f>BP26/BP$17</f>
        <v>0.20903734229837687</v>
      </c>
      <c r="BQ28" s="307">
        <f>BQ26/BQ17</f>
        <v>0.20552807823653446</v>
      </c>
      <c r="BR28" s="308">
        <f>BR26/BR$17</f>
        <v>0.2018389407938119</v>
      </c>
      <c r="BS28" s="308">
        <f>BS26/BS$17</f>
        <v>0.20187429333487955</v>
      </c>
      <c r="BT28" s="308">
        <f>BT26/BT$17</f>
        <v>0.21134255516192102</v>
      </c>
      <c r="BU28" s="308">
        <f>BU26/BU$17</f>
        <v>0.21020408163265306</v>
      </c>
      <c r="BV28" s="307">
        <f>BV26/BV17</f>
        <v>0.20636618191671935</v>
      </c>
      <c r="BW28" s="308">
        <f>BW26/BW$17</f>
        <v>0.19294605809128632</v>
      </c>
      <c r="BX28" s="308">
        <f>BX26/BX$17</f>
        <v>0.19991614841730138</v>
      </c>
      <c r="BY28" s="308">
        <f>BY26/BY$17</f>
        <v>0.20269793064481956</v>
      </c>
      <c r="BZ28" s="308">
        <f>BZ26/BZ$17</f>
        <v>0.20104719070953883</v>
      </c>
      <c r="CA28" s="307">
        <f>CA26/CA17</f>
        <v>0.19919783764931553</v>
      </c>
      <c r="CB28" s="308">
        <f>CB26/CB$17</f>
        <v>0.19030643723863713</v>
      </c>
      <c r="CC28" s="308">
        <f>CC26/CC$17</f>
        <v>0.19452313503305005</v>
      </c>
      <c r="CD28" s="308">
        <f>CD26/CD$17</f>
        <v>0.19655618321649765</v>
      </c>
      <c r="CE28" s="247">
        <f>CE26/CE$17</f>
        <v>0.18442879549723418</v>
      </c>
      <c r="CF28" s="246">
        <f>CF26/CF17</f>
        <v>0.19136826809980753</v>
      </c>
      <c r="CG28" s="308">
        <f>CG26/CG$17</f>
        <v>0.18684473290064901</v>
      </c>
      <c r="CH28" s="308">
        <f>CH26/CH$17</f>
        <v>0.1905212671967689</v>
      </c>
      <c r="CI28" s="308">
        <f>CI26/CI$17</f>
        <v>0.19833719257735152</v>
      </c>
      <c r="CJ28" s="247">
        <f>CJ26/CJ$17</f>
        <v>0.19753685503685503</v>
      </c>
      <c r="CK28" s="246">
        <f>CK26/CK17</f>
        <v>0.1932937337696512</v>
      </c>
      <c r="CL28" s="247">
        <f>CL26/CL$17</f>
        <v>0.19142732540028659</v>
      </c>
      <c r="CM28" s="247">
        <f>CM26/CM$17</f>
        <v>0.193091483627126</v>
      </c>
      <c r="CN28" s="247">
        <f>CN26/CN$17</f>
        <v>0.19147629575042988</v>
      </c>
      <c r="CO28" s="247">
        <f>CO26/CO$17</f>
        <v>0.19317705909725452</v>
      </c>
      <c r="CP28" s="246">
        <f>CP26/CP17</f>
        <v>0.1923065794583235</v>
      </c>
      <c r="CQ28" s="247">
        <f>CQ26/CQ$17</f>
        <v>0.19024502724547629</v>
      </c>
      <c r="CR28" s="247">
        <f>CR26/CR$17</f>
        <v>0.19484291641967991</v>
      </c>
      <c r="CS28" s="247">
        <f>CS26/CS$17</f>
        <v>0.20375533598017853</v>
      </c>
      <c r="CT28" s="247">
        <f>CT26/CT$17</f>
        <v>0.19636682110972992</v>
      </c>
      <c r="CU28" s="246">
        <f>CU26/CU17</f>
        <v>0.19632492739386376</v>
      </c>
      <c r="CV28" s="247">
        <f>CV26/CV$17</f>
        <v>0.19250418859286877</v>
      </c>
      <c r="CW28" s="247">
        <f>CW26/CW$17</f>
        <v>0.193572708660778</v>
      </c>
      <c r="CX28" s="247">
        <f>CX26/CX$17</f>
        <v>0.18914527879056092</v>
      </c>
      <c r="CY28" s="247">
        <f>CY26/CY$17</f>
        <v>0.1757296057768071</v>
      </c>
      <c r="CZ28" s="246">
        <f>CZ26/CZ17</f>
        <v>0.18728806000095305</v>
      </c>
      <c r="DA28" s="247">
        <f>DA26/DA$17</f>
        <v>0.18158810660302308</v>
      </c>
      <c r="DB28" s="247">
        <f>DB26/DB$17</f>
        <v>0.18270687594693655</v>
      </c>
      <c r="DC28" s="247">
        <f>DC26/DC$17</f>
        <v>0.18261702750872522</v>
      </c>
      <c r="DD28" s="247">
        <f>DD26/DD$17</f>
        <v>0.17503381716664906</v>
      </c>
      <c r="DE28" s="246">
        <f>DE26/DE17</f>
        <v>0.18043471827651517</v>
      </c>
      <c r="DF28" s="247">
        <f>DF26/DF$17</f>
        <v>0.18823711899899176</v>
      </c>
      <c r="DG28" s="247">
        <f>DG26/DG$17</f>
        <v>0.18932823303195187</v>
      </c>
      <c r="DH28" s="247">
        <f>DH26/DH$17</f>
        <v>0.18942621027252893</v>
      </c>
      <c r="DI28" s="247">
        <f>DI26/DI$17</f>
        <v>0.17774883878153233</v>
      </c>
      <c r="DJ28" s="246">
        <f>DJ26/DJ17</f>
        <v>0.18603718762718388</v>
      </c>
      <c r="DK28" s="247">
        <f>DK26/DK$17</f>
        <v>0.17642978022548883</v>
      </c>
      <c r="DL28" s="247">
        <f>DL26/DL$17</f>
        <v>0.17789449147745379</v>
      </c>
      <c r="DM28" s="247">
        <f>DM26/DM$17</f>
        <v>0.18223661000443375</v>
      </c>
      <c r="DN28" s="247">
        <f>DN26/DN$17</f>
        <v>0.17554924065424646</v>
      </c>
      <c r="DO28" s="246">
        <f>DO26/DO17</f>
        <v>0.17799760896985037</v>
      </c>
      <c r="DP28" s="247">
        <f>DP26/DP$17</f>
        <v>0.17479318781762462</v>
      </c>
      <c r="DQ28" s="247">
        <f>DQ26/DQ$17</f>
        <v>0.17639035062534225</v>
      </c>
      <c r="DR28" s="247">
        <f>DR26/DR$17</f>
        <v>0.1807865884601485</v>
      </c>
      <c r="DS28" s="247">
        <f>DS26/DS$17</f>
        <v>0.17447084782204819</v>
      </c>
      <c r="DT28" s="246">
        <f>DT26/DT17</f>
        <v>0.17658280122701198</v>
      </c>
      <c r="DU28" s="247">
        <f>DU26/DU$17</f>
        <v>0.17367363270626854</v>
      </c>
      <c r="DV28" s="247">
        <f>DV26/DV$17</f>
        <v>0.17543441973974208</v>
      </c>
      <c r="DW28" s="247">
        <f>DW26/DW$17</f>
        <v>0.17991626494440197</v>
      </c>
      <c r="DX28" s="247">
        <f>DX26/DX$17</f>
        <v>0.17395015090946414</v>
      </c>
      <c r="DY28" s="246">
        <f>DY26/DY17</f>
        <v>0.17571794542904476</v>
      </c>
      <c r="DZ28" s="2170"/>
      <c r="EA28" s="2170"/>
    </row>
    <row r="29" spans="1:131" outlineLevel="1" x14ac:dyDescent="0.2">
      <c r="A29" s="2187"/>
      <c r="B29" s="2188" t="s">
        <v>980</v>
      </c>
      <c r="C29" s="2189"/>
      <c r="D29" s="2190"/>
      <c r="E29" s="2190"/>
      <c r="F29" s="2190"/>
      <c r="G29" s="2190"/>
      <c r="H29" s="2190"/>
      <c r="I29" s="2191"/>
      <c r="J29" s="794"/>
      <c r="K29" s="794"/>
      <c r="L29" s="794"/>
      <c r="M29" s="794"/>
      <c r="N29" s="2192">
        <f>N26/N62</f>
        <v>11.929142222222225</v>
      </c>
      <c r="O29" s="794"/>
      <c r="P29" s="794"/>
      <c r="Q29" s="794"/>
      <c r="R29" s="794"/>
      <c r="S29" s="2192">
        <f>S26/S62</f>
        <v>10.997211155378489</v>
      </c>
      <c r="T29" s="794"/>
      <c r="U29" s="2193"/>
      <c r="V29" s="794"/>
      <c r="W29" s="794"/>
      <c r="X29" s="2192">
        <f>X26/X62</f>
        <v>10.700355871886128</v>
      </c>
      <c r="Y29" s="794"/>
      <c r="Z29" s="794"/>
      <c r="AA29" s="794"/>
      <c r="AB29" s="794"/>
      <c r="AC29" s="2192">
        <f>AC26/AC62</f>
        <v>10.432323232323229</v>
      </c>
      <c r="AD29" s="794"/>
      <c r="AE29" s="794"/>
      <c r="AF29" s="1038"/>
      <c r="AG29" s="794"/>
      <c r="AH29" s="2192">
        <f>AH26/AH62</f>
        <v>11.011326860841431</v>
      </c>
      <c r="AI29" s="1038"/>
      <c r="AJ29" s="1038"/>
      <c r="AK29" s="1038"/>
      <c r="AL29" s="794"/>
      <c r="AM29" s="2192">
        <f>AM26/AM62</f>
        <v>11.124367088607595</v>
      </c>
      <c r="AN29" s="1038"/>
      <c r="AO29" s="1038"/>
      <c r="AP29" s="1038"/>
      <c r="AQ29" s="794"/>
      <c r="AR29" s="2192">
        <f>AR26/AR62</f>
        <v>11.660000000000002</v>
      </c>
      <c r="AS29" s="2194"/>
      <c r="AT29" s="794"/>
      <c r="AU29" s="794"/>
      <c r="AV29" s="794"/>
      <c r="AW29" s="2192">
        <f>AW26/AW62</f>
        <v>11.950000000000005</v>
      </c>
      <c r="AX29" s="794"/>
      <c r="AY29" s="794"/>
      <c r="AZ29" s="794"/>
      <c r="BA29" s="794"/>
      <c r="BB29" s="2192">
        <f>BB26/BB62</f>
        <v>15.563333333333333</v>
      </c>
      <c r="BC29" s="794"/>
      <c r="BD29" s="794"/>
      <c r="BE29" s="794"/>
      <c r="BF29" s="794"/>
      <c r="BG29" s="2192">
        <f>BG26/BG62</f>
        <v>17.579406269462321</v>
      </c>
      <c r="BH29" s="794"/>
      <c r="BI29" s="796">
        <f t="shared" ref="BI29:CK29" si="33">BI26/BI62</f>
        <v>17.994644223412394</v>
      </c>
      <c r="BJ29" s="796">
        <f t="shared" si="33"/>
        <v>18.912062256809339</v>
      </c>
      <c r="BK29" s="796">
        <f t="shared" si="33"/>
        <v>19.200906344410878</v>
      </c>
      <c r="BL29" s="2192">
        <f t="shared" si="33"/>
        <v>18.225592417061613</v>
      </c>
      <c r="BM29" s="796">
        <f t="shared" si="33"/>
        <v>17.167741935483868</v>
      </c>
      <c r="BN29" s="796">
        <f t="shared" si="33"/>
        <v>17.554977711738484</v>
      </c>
      <c r="BO29" s="796">
        <f t="shared" si="33"/>
        <v>18.289493575207853</v>
      </c>
      <c r="BP29" s="796">
        <f t="shared" si="33"/>
        <v>18.946920052424638</v>
      </c>
      <c r="BQ29" s="2192">
        <f t="shared" si="33"/>
        <v>18.012164579606438</v>
      </c>
      <c r="BR29" s="2195">
        <f t="shared" si="33"/>
        <v>17.875328083989498</v>
      </c>
      <c r="BS29" s="2195">
        <f t="shared" si="33"/>
        <v>18.180809399477809</v>
      </c>
      <c r="BT29" s="2195">
        <f t="shared" si="33"/>
        <v>18.942028985507246</v>
      </c>
      <c r="BU29" s="2195">
        <f t="shared" si="33"/>
        <v>19.110062893081761</v>
      </c>
      <c r="BV29" s="2192">
        <f t="shared" si="33"/>
        <v>18.532446463335493</v>
      </c>
      <c r="BW29" s="2195">
        <f t="shared" si="33"/>
        <v>17.145581691036234</v>
      </c>
      <c r="BX29" s="2195">
        <f t="shared" si="33"/>
        <v>18.165079365079364</v>
      </c>
      <c r="BY29" s="2195">
        <f t="shared" si="33"/>
        <v>18.199112238427396</v>
      </c>
      <c r="BZ29" s="2195">
        <f t="shared" si="33"/>
        <v>18.295662797800855</v>
      </c>
      <c r="CA29" s="2192">
        <f t="shared" si="33"/>
        <v>17.95504558314995</v>
      </c>
      <c r="CB29" s="2195">
        <f t="shared" si="33"/>
        <v>16.763285024154591</v>
      </c>
      <c r="CC29" s="2195">
        <f t="shared" si="33"/>
        <v>17.758620689655171</v>
      </c>
      <c r="CD29" s="2195">
        <f t="shared" si="33"/>
        <v>17.937888198757765</v>
      </c>
      <c r="CE29" s="2187">
        <f t="shared" si="33"/>
        <v>16.917110716400238</v>
      </c>
      <c r="CF29" s="2191">
        <f t="shared" si="33"/>
        <v>17.335917312661497</v>
      </c>
      <c r="CG29" s="2195">
        <f t="shared" si="33"/>
        <v>16.67966573816156</v>
      </c>
      <c r="CH29" s="2195">
        <f t="shared" si="33"/>
        <v>17.114512471655328</v>
      </c>
      <c r="CI29" s="2195">
        <f t="shared" si="33"/>
        <v>17.422096317280452</v>
      </c>
      <c r="CJ29" s="2187">
        <f t="shared" si="33"/>
        <v>17.336388140161727</v>
      </c>
      <c r="CK29" s="2191">
        <f t="shared" si="33"/>
        <v>17.138737985791892</v>
      </c>
      <c r="CL29" s="2187">
        <f t="shared" ref="CL29:CZ29" si="34">CL26/CL67</f>
        <v>13.896879240162821</v>
      </c>
      <c r="CM29" s="2187">
        <f t="shared" si="34"/>
        <v>14.184797451069642</v>
      </c>
      <c r="CN29" s="2187">
        <f t="shared" si="34"/>
        <v>14.192080109239873</v>
      </c>
      <c r="CO29" s="2187">
        <f t="shared" si="34"/>
        <v>14.4647212543554</v>
      </c>
      <c r="CP29" s="2191">
        <f t="shared" si="34"/>
        <v>14.187282327828333</v>
      </c>
      <c r="CQ29" s="2187">
        <f t="shared" si="34"/>
        <v>13.805372082782915</v>
      </c>
      <c r="CR29" s="2187">
        <f t="shared" si="34"/>
        <v>14.272687798523664</v>
      </c>
      <c r="CS29" s="2187">
        <f t="shared" si="34"/>
        <v>14.603337612323493</v>
      </c>
      <c r="CT29" s="2187">
        <f t="shared" si="34"/>
        <v>14.196486928104575</v>
      </c>
      <c r="CU29" s="2191">
        <f t="shared" si="34"/>
        <v>14.221925419382414</v>
      </c>
      <c r="CV29" s="2187">
        <f t="shared" si="34"/>
        <v>13.52300041442188</v>
      </c>
      <c r="CW29" s="2187">
        <f t="shared" si="34"/>
        <v>13.673084801310939</v>
      </c>
      <c r="CX29" s="2187">
        <f t="shared" si="34"/>
        <v>13.744089305700316</v>
      </c>
      <c r="CY29" s="2187">
        <f t="shared" si="34"/>
        <v>12.165175995443477</v>
      </c>
      <c r="CZ29" s="2191">
        <f t="shared" si="34"/>
        <v>13.229454691529456</v>
      </c>
      <c r="DA29" s="2187">
        <f>DA26/DA67</f>
        <v>11.970173713536544</v>
      </c>
      <c r="DB29" s="2187">
        <f t="shared" ref="DB29:DT29" si="35">DB26/DB67</f>
        <v>12.143236955799271</v>
      </c>
      <c r="DC29" s="2187">
        <f t="shared" si="35"/>
        <v>12.143941895014857</v>
      </c>
      <c r="DD29" s="2187">
        <f t="shared" si="35"/>
        <v>11.59517000317763</v>
      </c>
      <c r="DE29" s="2191">
        <f t="shared" si="35"/>
        <v>11.959300424975483</v>
      </c>
      <c r="DF29" s="2187">
        <f>DF26/DF67</f>
        <v>12.011217419993402</v>
      </c>
      <c r="DG29" s="2187">
        <f>DG26/DG67</f>
        <v>12.275198938992041</v>
      </c>
      <c r="DH29" s="2187">
        <f>DH26/DH67</f>
        <v>12.208117181238071</v>
      </c>
      <c r="DI29" s="2187">
        <f>DI26/DI67</f>
        <v>11.550293829627883</v>
      </c>
      <c r="DJ29" s="2191">
        <f t="shared" si="35"/>
        <v>12.004035954020241</v>
      </c>
      <c r="DK29" s="2187">
        <f t="shared" si="35"/>
        <v>10.99813035744746</v>
      </c>
      <c r="DL29" s="2187">
        <f t="shared" si="35"/>
        <v>11.354614016861323</v>
      </c>
      <c r="DM29" s="2187">
        <f t="shared" si="35"/>
        <v>11.304245305993094</v>
      </c>
      <c r="DN29" s="2187">
        <f t="shared" si="35"/>
        <v>10.7083568459581</v>
      </c>
      <c r="DO29" s="2191">
        <f t="shared" si="35"/>
        <v>11.085309906457619</v>
      </c>
      <c r="DP29" s="2187">
        <f t="shared" si="35"/>
        <v>10.788827326219419</v>
      </c>
      <c r="DQ29" s="2187">
        <f t="shared" si="35"/>
        <v>11.137911211517315</v>
      </c>
      <c r="DR29" s="2187">
        <f t="shared" si="35"/>
        <v>11.088786960943191</v>
      </c>
      <c r="DS29" s="2187">
        <f t="shared" si="35"/>
        <v>10.506331892766804</v>
      </c>
      <c r="DT29" s="2191">
        <f t="shared" si="35"/>
        <v>10.874596470050678</v>
      </c>
      <c r="DU29" s="2187">
        <f t="shared" ref="DU29:DY29" si="36">DU26/DU67</f>
        <v>10.584940700716436</v>
      </c>
      <c r="DV29" s="2187">
        <f t="shared" si="36"/>
        <v>10.9268482771728</v>
      </c>
      <c r="DW29" s="2187">
        <f t="shared" si="36"/>
        <v>10.878921418428389</v>
      </c>
      <c r="DX29" s="2187">
        <f t="shared" si="36"/>
        <v>10.309444141491381</v>
      </c>
      <c r="DY29" s="2191">
        <f t="shared" si="36"/>
        <v>10.669323058384649</v>
      </c>
      <c r="DZ29" s="2190"/>
      <c r="EA29" s="2190"/>
    </row>
    <row r="30" spans="1:131" ht="12" customHeight="1" x14ac:dyDescent="0.2">
      <c r="A30" s="2171"/>
      <c r="B30" s="2172"/>
      <c r="C30" s="2173"/>
      <c r="D30" s="2173"/>
      <c r="E30" s="2174"/>
      <c r="F30" s="2174"/>
      <c r="G30" s="2196"/>
      <c r="H30" s="2197"/>
      <c r="I30" s="2198"/>
      <c r="J30" s="2199"/>
      <c r="K30" s="2199"/>
      <c r="L30" s="2199"/>
      <c r="M30" s="2199"/>
      <c r="N30" s="2200"/>
      <c r="O30" s="2199"/>
      <c r="P30" s="2199"/>
      <c r="Q30" s="2199"/>
      <c r="R30" s="2199"/>
      <c r="S30" s="2200"/>
      <c r="T30" s="2199"/>
      <c r="U30" s="2199"/>
      <c r="V30" s="2201"/>
      <c r="W30" s="2197"/>
      <c r="X30" s="2200"/>
      <c r="Y30" s="2199"/>
      <c r="Z30" s="2199"/>
      <c r="AA30" s="2199"/>
      <c r="AB30" s="2199"/>
      <c r="AC30" s="2202"/>
      <c r="AD30" s="2199"/>
      <c r="AE30" s="2199"/>
      <c r="AF30" s="2203"/>
      <c r="AG30" s="2197"/>
      <c r="AH30" s="2202"/>
      <c r="AI30" s="2204"/>
      <c r="AJ30" s="2204"/>
      <c r="AK30" s="2204"/>
      <c r="AL30" s="2197"/>
      <c r="AM30" s="2205"/>
      <c r="AN30" s="2206"/>
      <c r="AO30" s="2206"/>
      <c r="AP30" s="2206"/>
      <c r="AQ30" s="2197"/>
      <c r="AR30" s="2205"/>
      <c r="AS30" s="2206"/>
      <c r="AT30" s="2206"/>
      <c r="AU30" s="2206"/>
      <c r="AV30" s="2197"/>
      <c r="AW30" s="2205"/>
      <c r="AX30" s="2206"/>
      <c r="AY30" s="2206"/>
      <c r="AZ30" s="2206"/>
      <c r="BA30" s="2197"/>
      <c r="BB30" s="2205"/>
      <c r="BC30" s="2206"/>
      <c r="BD30" s="2206"/>
      <c r="BE30" s="2206"/>
      <c r="BF30" s="2197"/>
      <c r="BG30" s="2207"/>
      <c r="BH30" s="2206"/>
      <c r="BI30" s="2206"/>
      <c r="BJ30" s="2206"/>
      <c r="BK30" s="2206"/>
      <c r="BL30" s="2207"/>
      <c r="BM30" s="2206"/>
      <c r="BN30" s="2206"/>
      <c r="BO30" s="2206"/>
      <c r="BP30" s="2206"/>
      <c r="BQ30" s="2205"/>
      <c r="BR30" s="2206"/>
      <c r="BS30" s="2206"/>
      <c r="BT30" s="2206"/>
      <c r="BU30" s="2206"/>
      <c r="BV30" s="2208"/>
      <c r="BW30" s="2209"/>
      <c r="BX30" s="2206"/>
      <c r="BY30" s="2206"/>
      <c r="BZ30" s="2210"/>
      <c r="CA30" s="2208"/>
      <c r="CB30" s="2206"/>
      <c r="CC30" s="2206"/>
      <c r="CD30" s="2206"/>
      <c r="CE30" s="2206"/>
      <c r="CF30" s="2208"/>
      <c r="CG30" s="2206"/>
      <c r="CH30" s="2206"/>
      <c r="CI30" s="2206"/>
      <c r="CJ30" s="2206"/>
      <c r="CK30" s="2208"/>
      <c r="CL30" s="2206"/>
      <c r="CM30" s="2206"/>
      <c r="CN30" s="2206"/>
      <c r="CO30" s="2206"/>
      <c r="CP30" s="2208"/>
      <c r="CQ30" s="2206"/>
      <c r="CR30" s="2206"/>
      <c r="CS30" s="2206"/>
      <c r="CT30" s="2206"/>
      <c r="CU30" s="2208"/>
      <c r="CV30" s="2206"/>
      <c r="CW30" s="2206"/>
      <c r="CX30" s="2206"/>
      <c r="CY30" s="2206"/>
      <c r="CZ30" s="2208"/>
      <c r="DA30" s="2206"/>
      <c r="DB30" s="2206"/>
      <c r="DC30" s="2206"/>
      <c r="DD30" s="2206"/>
      <c r="DE30" s="2208"/>
      <c r="DF30" s="2206"/>
      <c r="DG30" s="2206"/>
      <c r="DH30" s="2206"/>
      <c r="DI30" s="2206"/>
      <c r="DJ30" s="2208"/>
      <c r="DK30" s="2206"/>
      <c r="DL30" s="2206"/>
      <c r="DM30" s="2206"/>
      <c r="DN30" s="2206"/>
      <c r="DO30" s="2208"/>
      <c r="DP30" s="2206"/>
      <c r="DQ30" s="2206"/>
      <c r="DR30" s="2206"/>
      <c r="DS30" s="2206"/>
      <c r="DT30" s="2208"/>
      <c r="DU30" s="2206"/>
      <c r="DV30" s="2206"/>
      <c r="DW30" s="2206"/>
      <c r="DX30" s="2206"/>
      <c r="DY30" s="2208"/>
      <c r="DZ30" s="2211"/>
      <c r="EA30" s="2211"/>
    </row>
    <row r="31" spans="1:131" x14ac:dyDescent="0.2">
      <c r="A31" s="2212"/>
      <c r="B31" s="1040" t="s">
        <v>176</v>
      </c>
      <c r="C31" s="1041"/>
      <c r="D31" s="1041"/>
      <c r="E31" s="1042">
        <f>E21-E24+E34</f>
        <v>796.06200000000013</v>
      </c>
      <c r="F31" s="1042">
        <f>F21-F24+F34</f>
        <v>218.33400000000006</v>
      </c>
      <c r="G31" s="1042">
        <f>G21-G24+G34</f>
        <v>156.48100000000022</v>
      </c>
      <c r="H31" s="1042">
        <f>H21-H24+H34</f>
        <v>227.63399999999967</v>
      </c>
      <c r="I31" s="1043">
        <f>I36+I34</f>
        <v>807.7</v>
      </c>
      <c r="J31" s="1042">
        <f>J21-J24+J34</f>
        <v>264.61799999999971</v>
      </c>
      <c r="K31" s="1042">
        <f>K21-K24+K34</f>
        <v>254.27600000000007</v>
      </c>
      <c r="L31" s="1042">
        <f>L21-L24+L34</f>
        <v>216.904</v>
      </c>
      <c r="M31" s="1042">
        <f>M21-M24+M34</f>
        <v>281.37400000000025</v>
      </c>
      <c r="N31" s="1043">
        <f>N36+N34</f>
        <v>1009</v>
      </c>
      <c r="O31" s="1042">
        <f>O34+O36</f>
        <v>235.3</v>
      </c>
      <c r="P31" s="1042">
        <f>P34+P36</f>
        <v>241.3</v>
      </c>
      <c r="Q31" s="1042">
        <f>Q34+Q36</f>
        <v>189.8</v>
      </c>
      <c r="R31" s="1042">
        <f>R34+R36</f>
        <v>261.39999999999998</v>
      </c>
      <c r="S31" s="1043">
        <f>S36+S34</f>
        <v>1176.3999999999999</v>
      </c>
      <c r="T31" s="1042">
        <f>T34+T36</f>
        <v>284.8</v>
      </c>
      <c r="U31" s="1042">
        <f>U34+U36</f>
        <v>283.5</v>
      </c>
      <c r="V31" s="1042">
        <f>V34+V36</f>
        <v>210.9</v>
      </c>
      <c r="W31" s="1042">
        <f>W34+W36</f>
        <v>341.2</v>
      </c>
      <c r="X31" s="1043">
        <f>X36+X34</f>
        <v>1383.3000000000002</v>
      </c>
      <c r="Y31" s="1042">
        <f>Y34+Y36</f>
        <v>405.7</v>
      </c>
      <c r="Z31" s="1042">
        <f>Z34+Z36</f>
        <v>403.29999999999995</v>
      </c>
      <c r="AA31" s="1042">
        <f>AA34+AA36</f>
        <v>359.10700000000003</v>
      </c>
      <c r="AB31" s="1042">
        <f>AB34+AB36</f>
        <v>419.20000000000005</v>
      </c>
      <c r="AC31" s="1043">
        <f>AC36+AC34</f>
        <v>1557.9</v>
      </c>
      <c r="AD31" s="1042">
        <f>AD34+AD36</f>
        <v>458.6</v>
      </c>
      <c r="AE31" s="1042">
        <f>AE34+AE36</f>
        <v>419</v>
      </c>
      <c r="AF31" s="1042">
        <f>AF34+AF36</f>
        <v>296.60000000000002</v>
      </c>
      <c r="AG31" s="1042">
        <f>AG34+AG36</f>
        <v>226.5</v>
      </c>
      <c r="AH31" s="1043">
        <f>AH36+AH34</f>
        <v>1381.6000000000001</v>
      </c>
      <c r="AI31" s="1042">
        <f>AI34+AI36</f>
        <v>358.2</v>
      </c>
      <c r="AJ31" s="1042">
        <f>AJ34+AJ36</f>
        <v>358.90000000000003</v>
      </c>
      <c r="AK31" s="1042">
        <f>AK34+AK36</f>
        <v>335.29999999999995</v>
      </c>
      <c r="AL31" s="1042">
        <f>AL34+AL36</f>
        <v>392.5</v>
      </c>
      <c r="AM31" s="1043">
        <f>AM36+AM34</f>
        <v>1432.1999999999998</v>
      </c>
      <c r="AN31" s="1042">
        <f>AN34+AN36</f>
        <v>389.29999999999995</v>
      </c>
      <c r="AO31" s="1042">
        <f>AO34+AO36</f>
        <v>398.6</v>
      </c>
      <c r="AP31" s="1042">
        <f>AP34+AP36</f>
        <v>377.8</v>
      </c>
      <c r="AQ31" s="1042">
        <f>AQ34+AQ36</f>
        <v>499.1</v>
      </c>
      <c r="AR31" s="1043">
        <f>AR36+AR34</f>
        <v>1649.6</v>
      </c>
      <c r="AS31" s="1042">
        <f>AS34+AS36</f>
        <v>473.9</v>
      </c>
      <c r="AT31" s="1042">
        <f>AT34+AT36</f>
        <v>459</v>
      </c>
      <c r="AU31" s="1042">
        <f>AU34+AU36</f>
        <v>401.1</v>
      </c>
      <c r="AV31" s="1042">
        <f>AV34+AV36</f>
        <v>483.59999999999997</v>
      </c>
      <c r="AW31" s="1043">
        <f>AW36+AW34</f>
        <v>1791.9</v>
      </c>
      <c r="AX31" s="1042">
        <f>AX34+AX36</f>
        <v>585.9</v>
      </c>
      <c r="AY31" s="1042">
        <f>AY34+AY36</f>
        <v>569.6</v>
      </c>
      <c r="AZ31" s="1042">
        <f>AZ34+AZ36</f>
        <v>531.4</v>
      </c>
      <c r="BA31" s="1042">
        <f>BA34+BA36</f>
        <v>699.29999999999984</v>
      </c>
      <c r="BB31" s="1043">
        <f>BB36+BB34</f>
        <v>2345.6</v>
      </c>
      <c r="BC31" s="1042">
        <f>BC34+BC36</f>
        <v>658.5</v>
      </c>
      <c r="BD31" s="1042">
        <f>BD34+BD36</f>
        <v>705.30000000000007</v>
      </c>
      <c r="BE31" s="1042">
        <f>BE34+BE36</f>
        <v>636.5</v>
      </c>
      <c r="BF31" s="1042">
        <f>BF34+BF36</f>
        <v>856.5</v>
      </c>
      <c r="BG31" s="1043">
        <f>BG36+BG34</f>
        <v>2815.4</v>
      </c>
      <c r="BH31" s="1042">
        <f>BH34+BH36</f>
        <v>755.4</v>
      </c>
      <c r="BI31" s="1042">
        <f>BI34+BI36</f>
        <v>943.8</v>
      </c>
      <c r="BJ31" s="1042">
        <f>BJ34+BJ36</f>
        <v>829.69999999999993</v>
      </c>
      <c r="BK31" s="1042">
        <f>BK34+BK36</f>
        <v>907.10000000000014</v>
      </c>
      <c r="BL31" s="1043">
        <f>BL36+BL34</f>
        <v>3496.6000000000004</v>
      </c>
      <c r="BM31" s="1042">
        <f>BM34+BM36</f>
        <v>1110.1000000000001</v>
      </c>
      <c r="BN31" s="1042">
        <f>BN34+BN36</f>
        <v>1160.3999999999999</v>
      </c>
      <c r="BO31" s="1042">
        <f>BO34+BO36</f>
        <v>1088.5000000000002</v>
      </c>
      <c r="BP31" s="1042">
        <f>BP34+BP36</f>
        <v>1312.7</v>
      </c>
      <c r="BQ31" s="1043">
        <f>BQ36+BQ34</f>
        <v>4671.6000000000004</v>
      </c>
      <c r="BR31" s="1042">
        <f>BR34+BR36</f>
        <v>1232</v>
      </c>
      <c r="BS31" s="1042">
        <f>BS34+BS36</f>
        <v>1345.8</v>
      </c>
      <c r="BT31" s="1042">
        <f>BT34+BT36</f>
        <v>1118.8999999999999</v>
      </c>
      <c r="BU31" s="1042">
        <f>BU34+BU36</f>
        <v>1472.5</v>
      </c>
      <c r="BV31" s="1043">
        <f>BV36+BV34</f>
        <v>5170.1000000000004</v>
      </c>
      <c r="BW31" s="1042">
        <f>BW34+BW36</f>
        <v>1290</v>
      </c>
      <c r="BX31" s="1042">
        <f>BX34+BX36</f>
        <v>1368</v>
      </c>
      <c r="BY31" s="1042">
        <f>BY34+BY36</f>
        <v>1311</v>
      </c>
      <c r="BZ31" s="1042">
        <f>BZ34+BZ36</f>
        <v>1647</v>
      </c>
      <c r="CA31" s="1043">
        <f>CA36+CA34</f>
        <v>5616</v>
      </c>
      <c r="CB31" s="1042">
        <f>CB34+CB36</f>
        <v>1371</v>
      </c>
      <c r="CC31" s="1042">
        <f>CC34+CC36</f>
        <v>1524</v>
      </c>
      <c r="CD31" s="1042">
        <f>CD34+CD36</f>
        <v>1418</v>
      </c>
      <c r="CE31" s="1041">
        <f>CE34+CE36</f>
        <v>1750.5000000000002</v>
      </c>
      <c r="CF31" s="602">
        <f>CF36+CF34</f>
        <v>6063.4999999999955</v>
      </c>
      <c r="CG31" s="1041">
        <f>CG34+CG36</f>
        <v>1578</v>
      </c>
      <c r="CH31" s="1041">
        <f>CH34+CH36</f>
        <v>1750.1000000000004</v>
      </c>
      <c r="CI31" s="1041">
        <f>CI34+CI36</f>
        <v>1597.3</v>
      </c>
      <c r="CJ31" s="1041">
        <f>CJ34+CJ36</f>
        <v>1879.1</v>
      </c>
      <c r="CK31" s="602">
        <f>CK36+CK34</f>
        <v>6804.4999999999945</v>
      </c>
      <c r="CL31" s="1041">
        <f>CL34+CL36</f>
        <v>1879.4</v>
      </c>
      <c r="CM31" s="1041">
        <f>CM34+CM36</f>
        <v>1883.2000000000003</v>
      </c>
      <c r="CN31" s="1041">
        <f>CN34+CN36</f>
        <v>1766</v>
      </c>
      <c r="CO31" s="1041">
        <f>CO34+CO36</f>
        <v>1962.9</v>
      </c>
      <c r="CP31" s="602">
        <f>CP36+CP34</f>
        <v>7491.4999999999991</v>
      </c>
      <c r="CQ31" s="1041">
        <f>CQ34+CQ36</f>
        <v>2048.6000000000004</v>
      </c>
      <c r="CR31" s="1041">
        <f>CR34+CR36</f>
        <v>2011.8000000000004</v>
      </c>
      <c r="CS31" s="1041">
        <f>CS34+CS36</f>
        <v>1823.7</v>
      </c>
      <c r="CT31" s="1041">
        <f>CT34+CT36</f>
        <v>2082.8999999999996</v>
      </c>
      <c r="CU31" s="602">
        <f>CU36+CU34</f>
        <v>7967</v>
      </c>
      <c r="CV31" s="1041">
        <f>CV34+CV36</f>
        <v>2031.5000000000002</v>
      </c>
      <c r="CW31" s="1041">
        <f>CW34+CW36</f>
        <v>1984.4</v>
      </c>
      <c r="CX31" s="1041">
        <f>CX34+CX36</f>
        <v>1985.5061512248706</v>
      </c>
      <c r="CY31" s="1041">
        <f>CY34+CY36</f>
        <v>2504.8067042799971</v>
      </c>
      <c r="CZ31" s="602">
        <f>CZ36+CZ34</f>
        <v>8506.2128555048657</v>
      </c>
      <c r="DA31" s="1041">
        <f>DA34+DA36</f>
        <v>2177.9</v>
      </c>
      <c r="DB31" s="1041">
        <f>DB34+DB36</f>
        <v>2189.1</v>
      </c>
      <c r="DC31" s="1041">
        <f>DC34+DC36</f>
        <v>2220.2000000000007</v>
      </c>
      <c r="DD31" s="1041">
        <f>DD34+DD36</f>
        <v>2559.5</v>
      </c>
      <c r="DE31" s="602">
        <f>DE36+DE34</f>
        <v>9146.7000000000007</v>
      </c>
      <c r="DF31" s="1041">
        <f>DF34+DF36</f>
        <v>2035.8999999999999</v>
      </c>
      <c r="DG31" s="1041">
        <f>DG34+DG36</f>
        <v>1978.1000000000006</v>
      </c>
      <c r="DH31" s="1041">
        <f>DH34+DH36</f>
        <v>1975.3336803900013</v>
      </c>
      <c r="DI31" s="1041">
        <f>DI34+DI36</f>
        <v>2560.2949471600027</v>
      </c>
      <c r="DJ31" s="602">
        <f>DJ36+DJ34</f>
        <v>8549.6286275500024</v>
      </c>
      <c r="DK31" s="1041">
        <f>DK34+DK36</f>
        <v>2078.9141944217463</v>
      </c>
      <c r="DL31" s="1041">
        <f>DL34+DL36</f>
        <v>1993.9883846589491</v>
      </c>
      <c r="DM31" s="1041">
        <f>DM34+DM36</f>
        <v>1911.3177488923354</v>
      </c>
      <c r="DN31" s="1041">
        <f>DN34+DN36</f>
        <v>2404.2183756689719</v>
      </c>
      <c r="DO31" s="602">
        <f>DO36+DO34</f>
        <v>8388.4387036420012</v>
      </c>
      <c r="DP31" s="1041">
        <f>DP34+DP36</f>
        <v>2119.2148673677657</v>
      </c>
      <c r="DQ31" s="1041">
        <f>DQ34+DQ36</f>
        <v>2031.9318740390286</v>
      </c>
      <c r="DR31" s="1041">
        <f>DR34+DR36</f>
        <v>1948.6343345584437</v>
      </c>
      <c r="DS31" s="1041">
        <f>DS34+DS36</f>
        <v>2447.5863269440192</v>
      </c>
      <c r="DT31" s="602">
        <f>DT36+DT34</f>
        <v>8547.3674029092545</v>
      </c>
      <c r="DU31" s="1041">
        <f>DU34+DU36</f>
        <v>2156.1966684973945</v>
      </c>
      <c r="DV31" s="1041">
        <f>DV34+DV36</f>
        <v>2066.2436256157739</v>
      </c>
      <c r="DW31" s="1041">
        <f>DW34+DW36</f>
        <v>1982.2480647627096</v>
      </c>
      <c r="DX31" s="1041">
        <f>DX34+DX36</f>
        <v>2487.085472578708</v>
      </c>
      <c r="DY31" s="602">
        <f>DY36+DY34</f>
        <v>8691.7738314545823</v>
      </c>
      <c r="DZ31" s="2213"/>
      <c r="EA31" s="2213"/>
    </row>
    <row r="32" spans="1:131" x14ac:dyDescent="0.2">
      <c r="A32" s="2214"/>
      <c r="B32" s="2185" t="s">
        <v>981</v>
      </c>
      <c r="C32" s="2215"/>
      <c r="D32" s="2214"/>
      <c r="E32" s="2216">
        <f t="shared" ref="E32:BP32" si="37">E31/E$17</f>
        <v>0.28785390888542323</v>
      </c>
      <c r="F32" s="2216">
        <f t="shared" si="37"/>
        <v>7.5605546636821633E-2</v>
      </c>
      <c r="G32" s="2216">
        <f t="shared" si="37"/>
        <v>5.4842324068820301E-2</v>
      </c>
      <c r="H32" s="2216">
        <f t="shared" si="37"/>
        <v>6.8462609389224785E-2</v>
      </c>
      <c r="I32" s="2217">
        <f t="shared" si="37"/>
        <v>6.8645198575593022E-2</v>
      </c>
      <c r="J32" s="2216">
        <f t="shared" si="37"/>
        <v>7.7878115795644687E-2</v>
      </c>
      <c r="K32" s="2216">
        <f t="shared" si="37"/>
        <v>7.4638791060346613E-2</v>
      </c>
      <c r="L32" s="2216">
        <f t="shared" si="37"/>
        <v>6.5162460025265379E-2</v>
      </c>
      <c r="M32" s="2216">
        <f t="shared" si="37"/>
        <v>7.7805860036058425E-2</v>
      </c>
      <c r="N32" s="2217">
        <f t="shared" si="37"/>
        <v>7.3922663267249847E-2</v>
      </c>
      <c r="O32" s="2216">
        <f t="shared" si="37"/>
        <v>6.5987997083403443E-2</v>
      </c>
      <c r="P32" s="2216">
        <f t="shared" si="37"/>
        <v>6.512117450207805E-2</v>
      </c>
      <c r="Q32" s="2216">
        <f t="shared" si="37"/>
        <v>5.1708167602026921E-2</v>
      </c>
      <c r="R32" s="2216">
        <f t="shared" si="37"/>
        <v>6.3150774285507208E-2</v>
      </c>
      <c r="S32" s="2217">
        <f t="shared" si="37"/>
        <v>7.8004920065512448E-2</v>
      </c>
      <c r="T32" s="2216">
        <f t="shared" si="37"/>
        <v>6.8580235022153727E-2</v>
      </c>
      <c r="U32" s="2216">
        <f t="shared" si="37"/>
        <v>6.65680473372781E-2</v>
      </c>
      <c r="V32" s="2216">
        <f t="shared" si="37"/>
        <v>5.0116439332731334E-2</v>
      </c>
      <c r="W32" s="2216">
        <f t="shared" si="37"/>
        <v>6.8159571705387639E-2</v>
      </c>
      <c r="X32" s="2217">
        <f t="shared" si="37"/>
        <v>7.8476201282124028E-2</v>
      </c>
      <c r="Y32" s="2216">
        <f t="shared" si="37"/>
        <v>8.8466822215922725E-2</v>
      </c>
      <c r="Z32" s="2216">
        <f t="shared" si="37"/>
        <v>8.3907208987828968E-2</v>
      </c>
      <c r="AA32" s="2216">
        <f t="shared" si="37"/>
        <v>7.5369810687151068E-2</v>
      </c>
      <c r="AB32" s="2216">
        <f t="shared" si="37"/>
        <v>8.0377344019634173E-2</v>
      </c>
      <c r="AC32" s="2217">
        <f t="shared" si="37"/>
        <v>8.037828718250345E-2</v>
      </c>
      <c r="AD32" s="2216">
        <f t="shared" si="37"/>
        <v>8.8805406556805633E-2</v>
      </c>
      <c r="AE32" s="2216">
        <f t="shared" si="37"/>
        <v>7.9350049238694043E-2</v>
      </c>
      <c r="AF32" s="2216">
        <f t="shared" si="37"/>
        <v>5.7162680440187338E-2</v>
      </c>
      <c r="AG32" s="2216">
        <f t="shared" si="37"/>
        <v>3.9768238082696868E-2</v>
      </c>
      <c r="AH32" s="2217">
        <f t="shared" si="37"/>
        <v>6.4776568661006062E-2</v>
      </c>
      <c r="AI32" s="2216">
        <f t="shared" si="37"/>
        <v>6.2919374670648162E-2</v>
      </c>
      <c r="AJ32" s="2216">
        <f t="shared" si="37"/>
        <v>6.2798551206453085E-2</v>
      </c>
      <c r="AK32" s="2216">
        <f t="shared" si="37"/>
        <v>5.9817319013808108E-2</v>
      </c>
      <c r="AL32" s="2216">
        <f t="shared" si="37"/>
        <v>6.4911439297468038E-2</v>
      </c>
      <c r="AM32" s="2217">
        <f t="shared" si="37"/>
        <v>6.210700687765066E-2</v>
      </c>
      <c r="AN32" s="2216">
        <f t="shared" si="37"/>
        <v>6.5128651253053157E-2</v>
      </c>
      <c r="AO32" s="2216">
        <f t="shared" si="37"/>
        <v>6.5031895975070558E-2</v>
      </c>
      <c r="AP32" s="2216">
        <f t="shared" si="37"/>
        <v>6.2213878733985442E-2</v>
      </c>
      <c r="AQ32" s="2216">
        <f t="shared" si="37"/>
        <v>7.0281916241867803E-2</v>
      </c>
      <c r="AR32" s="2217">
        <f t="shared" si="37"/>
        <v>6.5251357755125444E-2</v>
      </c>
      <c r="AS32" s="2216">
        <f t="shared" si="37"/>
        <v>7.3133844658096581E-2</v>
      </c>
      <c r="AT32" s="2216">
        <f t="shared" si="37"/>
        <v>6.933953713215299E-2</v>
      </c>
      <c r="AU32" s="2216">
        <f t="shared" si="37"/>
        <v>5.44100491060528E-2</v>
      </c>
      <c r="AV32" s="2216">
        <f t="shared" si="37"/>
        <v>5.8565650204664907E-2</v>
      </c>
      <c r="AW32" s="2217">
        <f t="shared" si="37"/>
        <v>6.2373166902783626E-2</v>
      </c>
      <c r="AX32" s="2216">
        <f t="shared" si="37"/>
        <v>6.9013039330011655E-2</v>
      </c>
      <c r="AY32" s="2216">
        <f t="shared" si="37"/>
        <v>6.7554585670742545E-2</v>
      </c>
      <c r="AZ32" s="2216">
        <f t="shared" si="37"/>
        <v>6.4475424356034414E-2</v>
      </c>
      <c r="BA32" s="2216">
        <f t="shared" si="37"/>
        <v>7.8297672231366078E-2</v>
      </c>
      <c r="BB32" s="2217">
        <f t="shared" si="37"/>
        <v>6.8796818264475895E-2</v>
      </c>
      <c r="BC32" s="2216">
        <f t="shared" si="37"/>
        <v>7.2113015386300175E-2</v>
      </c>
      <c r="BD32" s="2216">
        <f t="shared" si="37"/>
        <v>7.2409013910990208E-2</v>
      </c>
      <c r="BE32" s="2216">
        <f t="shared" si="37"/>
        <v>6.1696683015722231E-2</v>
      </c>
      <c r="BF32" s="2216">
        <f t="shared" si="37"/>
        <v>7.7183022438496895E-2</v>
      </c>
      <c r="BG32" s="2217">
        <f t="shared" si="37"/>
        <v>6.9886013861032228E-2</v>
      </c>
      <c r="BH32" s="2216">
        <f t="shared" si="37"/>
        <v>6.7211189408498823E-2</v>
      </c>
      <c r="BI32" s="2216">
        <f t="shared" si="37"/>
        <v>8.3895570548547946E-2</v>
      </c>
      <c r="BJ32" s="2216">
        <f t="shared" si="37"/>
        <v>7.5708771705705752E-2</v>
      </c>
      <c r="BK32" s="2216">
        <f t="shared" si="37"/>
        <v>7.7939597027108315E-2</v>
      </c>
      <c r="BL32" s="2217">
        <f t="shared" si="37"/>
        <v>7.755314783804465E-2</v>
      </c>
      <c r="BM32" s="2216">
        <f t="shared" si="37"/>
        <v>9.3714121699196337E-2</v>
      </c>
      <c r="BN32" s="2216">
        <f t="shared" si="37"/>
        <v>9.8582934040167186E-2</v>
      </c>
      <c r="BO32" s="2216">
        <f t="shared" si="37"/>
        <v>9.4307745624675116E-2</v>
      </c>
      <c r="BP32" s="2216">
        <f t="shared" si="37"/>
        <v>9.4906553880634792E-2</v>
      </c>
      <c r="BQ32" s="2217">
        <f t="shared" ref="BQ32:CZ32" si="38">BQ31/BQ$17</f>
        <v>9.5358431023537513E-2</v>
      </c>
      <c r="BR32" s="2216">
        <f t="shared" si="38"/>
        <v>9.1280219902347942E-2</v>
      </c>
      <c r="BS32" s="2216">
        <f t="shared" si="38"/>
        <v>9.7541530165540832E-2</v>
      </c>
      <c r="BT32" s="2216">
        <f t="shared" si="38"/>
        <v>8.2239404942155314E-2</v>
      </c>
      <c r="BU32" s="2216">
        <f t="shared" si="38"/>
        <v>0.10186786579038395</v>
      </c>
      <c r="BV32" s="2217">
        <f t="shared" si="38"/>
        <v>9.3398970282720623E-2</v>
      </c>
      <c r="BW32" s="2216">
        <f t="shared" si="38"/>
        <v>9.228788095578766E-2</v>
      </c>
      <c r="BX32" s="2216">
        <f t="shared" si="38"/>
        <v>9.5590804276430713E-2</v>
      </c>
      <c r="BY32" s="2216">
        <f t="shared" si="38"/>
        <v>9.2591284695246842E-2</v>
      </c>
      <c r="BZ32" s="2216">
        <f t="shared" si="38"/>
        <v>0.1105591729878499</v>
      </c>
      <c r="CA32" s="2217">
        <f t="shared" si="38"/>
        <v>9.7933560031388964E-2</v>
      </c>
      <c r="CB32" s="2216">
        <f t="shared" si="38"/>
        <v>9.3987797353808189E-2</v>
      </c>
      <c r="CC32" s="2216">
        <f t="shared" si="38"/>
        <v>0.1027923917442331</v>
      </c>
      <c r="CD32" s="2216">
        <f t="shared" si="38"/>
        <v>9.6508541482338533E-2</v>
      </c>
      <c r="CE32" s="2184">
        <f t="shared" si="38"/>
        <v>0.11298869790288331</v>
      </c>
      <c r="CF32" s="2218">
        <f t="shared" si="38"/>
        <v>0.10173879631602696</v>
      </c>
      <c r="CG32" s="2184">
        <f t="shared" si="38"/>
        <v>9.8477284073889171E-2</v>
      </c>
      <c r="CH32" s="2184">
        <f t="shared" si="38"/>
        <v>0.11044427615802098</v>
      </c>
      <c r="CI32" s="2184">
        <f t="shared" si="38"/>
        <v>0.10302569031018002</v>
      </c>
      <c r="CJ32" s="2184">
        <f t="shared" si="38"/>
        <v>0.11542383292383292</v>
      </c>
      <c r="CK32" s="2218">
        <f t="shared" si="38"/>
        <v>0.1068983989983331</v>
      </c>
      <c r="CL32" s="2184">
        <f t="shared" si="38"/>
        <v>0.11708927792660893</v>
      </c>
      <c r="CM32" s="2184">
        <f t="shared" si="38"/>
        <v>0.11668267294525854</v>
      </c>
      <c r="CN32" s="2184">
        <f t="shared" si="38"/>
        <v>0.10845001228199459</v>
      </c>
      <c r="CO32" s="2184">
        <f>CO31/CO$17</f>
        <v>0.11417519776640299</v>
      </c>
      <c r="CP32" s="2218">
        <f t="shared" si="38"/>
        <v>0.11408404589859364</v>
      </c>
      <c r="CQ32" s="2184">
        <f>CQ31/CQ$17</f>
        <v>0.12430976104078936</v>
      </c>
      <c r="CR32" s="2184">
        <f t="shared" si="38"/>
        <v>0.11925311203319504</v>
      </c>
      <c r="CS32" s="2184">
        <f t="shared" si="38"/>
        <v>0.10888086211528702</v>
      </c>
      <c r="CT32" s="2184">
        <f t="shared" si="38"/>
        <v>0.11769126454966661</v>
      </c>
      <c r="CU32" s="2218">
        <f t="shared" si="38"/>
        <v>0.11751205431484735</v>
      </c>
      <c r="CV32" s="2184">
        <f t="shared" si="38"/>
        <v>0.11984685088609388</v>
      </c>
      <c r="CW32" s="2184">
        <f>CW31/CW$17</f>
        <v>0.11509038922173055</v>
      </c>
      <c r="CX32" s="2184">
        <f>CX31/CX$17</f>
        <v>0.11084952852399833</v>
      </c>
      <c r="CY32" s="2184">
        <f>CY31/CY$17</f>
        <v>0.12585280700600371</v>
      </c>
      <c r="CZ32" s="2218">
        <f t="shared" si="38"/>
        <v>0.11812988051315414</v>
      </c>
      <c r="DA32" s="2184">
        <f t="shared" ref="DA32:DT32" si="39">DA31/DA$17</f>
        <v>0.10828858392999205</v>
      </c>
      <c r="DB32" s="2184">
        <f t="shared" si="39"/>
        <v>0.10946211503747742</v>
      </c>
      <c r="DC32" s="2184">
        <f t="shared" si="39"/>
        <v>0.11022355493553498</v>
      </c>
      <c r="DD32" s="2184">
        <f t="shared" si="39"/>
        <v>0.12277310360044896</v>
      </c>
      <c r="DE32" s="2218">
        <f t="shared" si="39"/>
        <v>0.11278187144886366</v>
      </c>
      <c r="DF32" s="2184">
        <f t="shared" si="39"/>
        <v>0.10526615134045138</v>
      </c>
      <c r="DG32" s="2184">
        <f>DG31/DG$17</f>
        <v>0.10115881847563722</v>
      </c>
      <c r="DH32" s="2184">
        <f>DH31/DH$17</f>
        <v>0.10081605413940667</v>
      </c>
      <c r="DI32" s="2184">
        <f>DI31/DI$17</f>
        <v>0.12244678618823374</v>
      </c>
      <c r="DJ32" s="2218">
        <f t="shared" si="39"/>
        <v>0.10768093463496889</v>
      </c>
      <c r="DK32" s="2184">
        <f t="shared" si="39"/>
        <v>0.10176543616394618</v>
      </c>
      <c r="DL32" s="2184">
        <f t="shared" si="39"/>
        <v>9.6780988454272424E-2</v>
      </c>
      <c r="DM32" s="2184">
        <f t="shared" si="39"/>
        <v>9.4794356382953165E-2</v>
      </c>
      <c r="DN32" s="2184">
        <f t="shared" si="39"/>
        <v>0.11470656969689261</v>
      </c>
      <c r="DO32" s="2218">
        <f t="shared" si="39"/>
        <v>0.10210615200720699</v>
      </c>
      <c r="DP32" s="2184">
        <f t="shared" si="39"/>
        <v>0.10085957915339726</v>
      </c>
      <c r="DQ32" s="2184">
        <f t="shared" si="39"/>
        <v>9.5965407412243992E-2</v>
      </c>
      <c r="DR32" s="2184">
        <f t="shared" si="39"/>
        <v>9.4088455049719397E-2</v>
      </c>
      <c r="DS32" s="2184">
        <f t="shared" si="39"/>
        <v>0.11389433699859849</v>
      </c>
      <c r="DT32" s="2218">
        <f t="shared" si="39"/>
        <v>0.10128921280287316</v>
      </c>
      <c r="DU32" s="2184">
        <f t="shared" ref="DU32:DY32" si="40">DU31/DU$17</f>
        <v>0.10006120572596171</v>
      </c>
      <c r="DV32" s="2184">
        <f t="shared" si="40"/>
        <v>9.5247348023909092E-2</v>
      </c>
      <c r="DW32" s="2184">
        <f t="shared" si="40"/>
        <v>9.3474687638955001E-2</v>
      </c>
      <c r="DX32" s="2184">
        <f t="shared" si="40"/>
        <v>0.1132354935920042</v>
      </c>
      <c r="DY32" s="2218">
        <f t="shared" si="40"/>
        <v>0.10058489603939187</v>
      </c>
      <c r="DZ32" s="2219"/>
      <c r="EA32" s="2219"/>
    </row>
    <row r="33" spans="1:143" ht="6" customHeight="1" x14ac:dyDescent="0.2">
      <c r="A33" s="2220"/>
      <c r="B33" s="2221"/>
      <c r="C33" s="2211"/>
      <c r="D33" s="2211"/>
      <c r="E33" s="2199"/>
      <c r="F33" s="2199"/>
      <c r="G33" s="2196"/>
      <c r="H33" s="2197"/>
      <c r="I33" s="2198"/>
      <c r="J33" s="2199"/>
      <c r="K33" s="2199"/>
      <c r="L33" s="2199"/>
      <c r="M33" s="2199"/>
      <c r="N33" s="2200"/>
      <c r="O33" s="2199"/>
      <c r="P33" s="2199"/>
      <c r="Q33" s="2199"/>
      <c r="R33" s="2199"/>
      <c r="S33" s="2200"/>
      <c r="T33" s="2199"/>
      <c r="U33" s="2199"/>
      <c r="V33" s="2201"/>
      <c r="W33" s="2197"/>
      <c r="X33" s="2200"/>
      <c r="Y33" s="2199"/>
      <c r="Z33" s="2199"/>
      <c r="AA33" s="2199"/>
      <c r="AB33" s="2199"/>
      <c r="AC33" s="2202"/>
      <c r="AD33" s="2199"/>
      <c r="AE33" s="2199"/>
      <c r="AF33" s="2203"/>
      <c r="AG33" s="2197"/>
      <c r="AH33" s="2202"/>
      <c r="AI33" s="2204"/>
      <c r="AJ33" s="2204"/>
      <c r="AK33" s="2204"/>
      <c r="AL33" s="2197"/>
      <c r="AM33" s="2205"/>
      <c r="AN33" s="2206"/>
      <c r="AO33" s="2206"/>
      <c r="AP33" s="2206"/>
      <c r="AQ33" s="2197"/>
      <c r="AR33" s="2205"/>
      <c r="AS33" s="2206"/>
      <c r="AT33" s="2206"/>
      <c r="AU33" s="2206"/>
      <c r="AV33" s="2197"/>
      <c r="AW33" s="2205"/>
      <c r="AX33" s="2206"/>
      <c r="AY33" s="2206"/>
      <c r="AZ33" s="2206"/>
      <c r="BA33" s="2197"/>
      <c r="BB33" s="2205"/>
      <c r="BC33" s="2206"/>
      <c r="BD33" s="2206"/>
      <c r="BE33" s="2206"/>
      <c r="BF33" s="2197"/>
      <c r="BG33" s="2207"/>
      <c r="BH33" s="2206"/>
      <c r="BI33" s="2206"/>
      <c r="BJ33" s="2206"/>
      <c r="BK33" s="2206"/>
      <c r="BL33" s="2207"/>
      <c r="BM33" s="2206"/>
      <c r="BN33" s="2206"/>
      <c r="BO33" s="2206"/>
      <c r="BP33" s="2206"/>
      <c r="BQ33" s="2205"/>
      <c r="BR33" s="2206"/>
      <c r="BS33" s="2206"/>
      <c r="BT33" s="2206"/>
      <c r="BU33" s="2206"/>
      <c r="BV33" s="2208"/>
      <c r="BW33" s="2206"/>
      <c r="BX33" s="2206"/>
      <c r="BY33" s="2206"/>
      <c r="BZ33" s="2206"/>
      <c r="CA33" s="2208"/>
      <c r="CB33" s="2206"/>
      <c r="CC33" s="2206"/>
      <c r="CD33" s="2206"/>
      <c r="CE33" s="2206"/>
      <c r="CF33" s="2208"/>
      <c r="CG33" s="2206"/>
      <c r="CH33" s="2206"/>
      <c r="CI33" s="2206"/>
      <c r="CJ33" s="2206"/>
      <c r="CK33" s="2208"/>
      <c r="CL33" s="2206"/>
      <c r="CM33" s="2206"/>
      <c r="CN33" s="2206"/>
      <c r="CO33" s="2206"/>
      <c r="CP33" s="2208"/>
      <c r="CQ33" s="2206"/>
      <c r="CR33" s="2206"/>
      <c r="CS33" s="2206"/>
      <c r="CT33" s="2206"/>
      <c r="CU33" s="2208"/>
      <c r="CV33" s="2206"/>
      <c r="CW33" s="2206"/>
      <c r="CX33" s="2206"/>
      <c r="CY33" s="2206"/>
      <c r="CZ33" s="2208"/>
      <c r="DA33" s="2206"/>
      <c r="DB33" s="2206"/>
      <c r="DC33" s="2206"/>
      <c r="DD33" s="2206"/>
      <c r="DE33" s="2208"/>
      <c r="DF33" s="2206"/>
      <c r="DG33" s="2206"/>
      <c r="DH33" s="2206"/>
      <c r="DI33" s="2206"/>
      <c r="DJ33" s="2208"/>
      <c r="DK33" s="2206"/>
      <c r="DL33" s="2206"/>
      <c r="DM33" s="2206"/>
      <c r="DN33" s="2206"/>
      <c r="DO33" s="2208"/>
      <c r="DP33" s="2206"/>
      <c r="DQ33" s="2206"/>
      <c r="DR33" s="2206"/>
      <c r="DS33" s="2206"/>
      <c r="DT33" s="2208"/>
      <c r="DU33" s="2206"/>
      <c r="DV33" s="2206"/>
      <c r="DW33" s="2206"/>
      <c r="DX33" s="2206"/>
      <c r="DY33" s="2208"/>
      <c r="DZ33" s="2211"/>
      <c r="EA33" s="2211"/>
    </row>
    <row r="34" spans="1:143" x14ac:dyDescent="0.2">
      <c r="A34" s="2222"/>
      <c r="B34" s="1010" t="s">
        <v>177</v>
      </c>
      <c r="I34" s="2223">
        <v>205.2</v>
      </c>
      <c r="N34" s="2223">
        <v>237.8</v>
      </c>
      <c r="S34" s="2223">
        <v>248.6</v>
      </c>
      <c r="X34" s="2223">
        <v>275.39999999999998</v>
      </c>
      <c r="Y34" s="811">
        <f>IS!Y16</f>
        <v>71.8</v>
      </c>
      <c r="Z34" s="811">
        <f>IS!Z16</f>
        <v>73.400000000000006</v>
      </c>
      <c r="AA34" s="811">
        <f>IS!AA16</f>
        <v>75.007000000000005</v>
      </c>
      <c r="AB34" s="811">
        <f>IS!AB16</f>
        <v>76.400000000000006</v>
      </c>
      <c r="AC34" s="2223">
        <v>289.39999999999998</v>
      </c>
      <c r="AD34" s="811">
        <f>IS!AD16</f>
        <v>78.599999999999994</v>
      </c>
      <c r="AE34" s="811">
        <f>IS!AE16</f>
        <v>80.2</v>
      </c>
      <c r="AF34" s="811">
        <f>IS!AF16</f>
        <v>80.7</v>
      </c>
      <c r="AG34" s="811">
        <f>IS!AG16</f>
        <v>81.3</v>
      </c>
      <c r="AH34" s="2223">
        <v>301.7</v>
      </c>
      <c r="AI34" s="811">
        <f>IS!AI16</f>
        <v>75</v>
      </c>
      <c r="AJ34" s="811">
        <f>IS!AJ16</f>
        <v>78.8</v>
      </c>
      <c r="AK34" s="811">
        <f>IS!AK16</f>
        <v>77.099999999999994</v>
      </c>
      <c r="AL34" s="811">
        <f>IS!AL16</f>
        <v>79.400000000000006</v>
      </c>
      <c r="AM34" s="2223">
        <v>297.60000000000002</v>
      </c>
      <c r="AN34" s="811">
        <f>IS!AN16</f>
        <v>82.6</v>
      </c>
      <c r="AO34" s="811">
        <f>IS!AO16</f>
        <v>85.4</v>
      </c>
      <c r="AP34" s="811">
        <f>IS!AP16</f>
        <v>85.8</v>
      </c>
      <c r="AQ34" s="811">
        <f>IS!AQ16</f>
        <v>87.9</v>
      </c>
      <c r="AR34" s="2223">
        <v>326.5</v>
      </c>
      <c r="AS34" s="811">
        <f>IS!AS16</f>
        <v>93.4</v>
      </c>
      <c r="AT34" s="811">
        <f>IS!AT16</f>
        <v>96.1</v>
      </c>
      <c r="AU34" s="811">
        <f>IS!AU16</f>
        <v>118.6</v>
      </c>
      <c r="AV34" s="811">
        <f>IS!AV16</f>
        <v>188.7</v>
      </c>
      <c r="AW34" s="2223">
        <v>471.1</v>
      </c>
      <c r="AX34" s="811">
        <f>IS!AX16</f>
        <v>137.9</v>
      </c>
      <c r="AY34" s="811">
        <f>IS!AY16</f>
        <v>147.6</v>
      </c>
      <c r="AZ34" s="811">
        <f>IS!AZ16</f>
        <v>147.69999999999999</v>
      </c>
      <c r="BA34" s="811">
        <f>IS!BA16</f>
        <v>155.9</v>
      </c>
      <c r="BB34" s="2223">
        <v>548.5</v>
      </c>
      <c r="BC34" s="811">
        <f>IS!BC16</f>
        <v>155.4</v>
      </c>
      <c r="BD34" s="811">
        <f>IS!BD16</f>
        <v>183.1</v>
      </c>
      <c r="BE34" s="811">
        <f>IS!BE16</f>
        <v>193.4</v>
      </c>
      <c r="BF34" s="811">
        <f>IS!BF16</f>
        <v>201.4</v>
      </c>
      <c r="BG34" s="2223">
        <v>691.9</v>
      </c>
      <c r="BH34" s="811">
        <f>IS!BH16-PBM!BH32</f>
        <v>120.50000000000001</v>
      </c>
      <c r="BI34" s="811">
        <f>IS!BI16-PBM!BI32</f>
        <v>216</v>
      </c>
      <c r="BJ34" s="811">
        <f>IS!BJ16-PBM!BJ32</f>
        <v>213.29999999999998</v>
      </c>
      <c r="BK34" s="811">
        <f>IS!BK16-PBM!BK32</f>
        <v>185.90000000000003</v>
      </c>
      <c r="BL34" s="2223">
        <v>805.3</v>
      </c>
      <c r="BM34" s="811">
        <f>IS!BM16-PBM!BM32</f>
        <v>212.8</v>
      </c>
      <c r="BN34" s="811">
        <f>IS!BN16-PBM!BN32</f>
        <v>222.39999999999995</v>
      </c>
      <c r="BO34" s="811">
        <f>IS!BO16-PBM!BO32</f>
        <v>222.7000000000001</v>
      </c>
      <c r="BP34" s="811">
        <f>IS!BP16-PBM!BP32</f>
        <v>261.3</v>
      </c>
      <c r="BQ34" s="2223">
        <v>919.2</v>
      </c>
      <c r="BR34" s="811">
        <f>IS!BR16-PBM!BR32</f>
        <v>259.5</v>
      </c>
      <c r="BS34" s="811">
        <f>IS!BS16-PBM!BS32</f>
        <v>290.00000000000006</v>
      </c>
      <c r="BT34" s="811">
        <f>IS!BT16-PBM!BT32</f>
        <v>209.09999999999997</v>
      </c>
      <c r="BU34" s="811">
        <f>IS!BU16-PBM!BU32</f>
        <v>252.5</v>
      </c>
      <c r="BV34" s="810">
        <f>SUM(BR34:BU34)</f>
        <v>1011.0999999999999</v>
      </c>
      <c r="BW34" s="811">
        <f>IS!BW16-PBM!BW32</f>
        <v>260</v>
      </c>
      <c r="BX34" s="811">
        <f>IS!BX16-PBM!BX32</f>
        <v>272</v>
      </c>
      <c r="BY34" s="811">
        <f>IS!BY16-PBM!BY32</f>
        <v>272</v>
      </c>
      <c r="BZ34" s="811">
        <f>IS!BZ16-PBM!BZ32</f>
        <v>275</v>
      </c>
      <c r="CA34" s="810">
        <f>SUM(BW34:BZ34)</f>
        <v>1079</v>
      </c>
      <c r="CB34" s="811">
        <f>IS!CB16-PBM!CB32</f>
        <v>275</v>
      </c>
      <c r="CC34" s="811">
        <f>IS!CC16-PBM!CC32</f>
        <v>284</v>
      </c>
      <c r="CD34" s="811">
        <f>IS!CD16-PBM!CD32</f>
        <v>295</v>
      </c>
      <c r="CE34" s="811">
        <v>297.7</v>
      </c>
      <c r="CF34" s="576">
        <f>SUM(CB34:CE34)</f>
        <v>1151.7</v>
      </c>
      <c r="CG34" s="1044">
        <v>281</v>
      </c>
      <c r="CH34" s="1044">
        <v>281.10000000000002</v>
      </c>
      <c r="CI34" s="1044">
        <v>292.8</v>
      </c>
      <c r="CJ34" s="1044">
        <f>1153-SUM(CG34:CI34)</f>
        <v>298.09999999999991</v>
      </c>
      <c r="CK34" s="576">
        <f>SUM(CG34:CJ34)</f>
        <v>1153</v>
      </c>
      <c r="CL34" s="1044">
        <v>342.4</v>
      </c>
      <c r="CM34" s="1044">
        <v>287.89999999999998</v>
      </c>
      <c r="CN34" s="1044">
        <v>295</v>
      </c>
      <c r="CO34" s="1044">
        <v>291.89999999999998</v>
      </c>
      <c r="CP34" s="576">
        <f>SUM(CL34:CO34)</f>
        <v>1217.1999999999998</v>
      </c>
      <c r="CQ34" s="1044">
        <v>298.39999999999998</v>
      </c>
      <c r="CR34" s="1044">
        <v>306.7</v>
      </c>
      <c r="CS34" s="1044">
        <v>296.7</v>
      </c>
      <c r="CT34" s="1044">
        <v>303.10000000000002</v>
      </c>
      <c r="CU34" s="576">
        <f>SUM(CQ34:CT34)</f>
        <v>1204.9000000000001</v>
      </c>
      <c r="CV34" s="1044">
        <v>304.8</v>
      </c>
      <c r="CW34" s="1044">
        <v>303.60000000000002</v>
      </c>
      <c r="CX34" s="1044">
        <v>342.80916628487267</v>
      </c>
      <c r="CY34" s="1044">
        <v>373.24324147000004</v>
      </c>
      <c r="CZ34" s="576">
        <f>SUM(CV34:CY34)</f>
        <v>1324.4524077548726</v>
      </c>
      <c r="DA34" s="1044">
        <v>400.9</v>
      </c>
      <c r="DB34" s="1044">
        <v>404.2</v>
      </c>
      <c r="DC34" s="1044">
        <v>395.8</v>
      </c>
      <c r="DD34" s="1044">
        <v>411.8</v>
      </c>
      <c r="DE34" s="576">
        <f>SUM(DA34:DD34)</f>
        <v>1612.6999999999998</v>
      </c>
      <c r="DF34" s="1044">
        <v>411.2</v>
      </c>
      <c r="DG34" s="1044">
        <v>415.7</v>
      </c>
      <c r="DH34" s="2747">
        <v>407.71020342000003</v>
      </c>
      <c r="DI34" s="2747">
        <v>416.95073015999998</v>
      </c>
      <c r="DJ34" s="576">
        <f>SUM(DF34:DI34)</f>
        <v>1651.56093358</v>
      </c>
      <c r="DK34" s="2559">
        <f>IS!DK129</f>
        <v>429.35352327053897</v>
      </c>
      <c r="DL34" s="2559">
        <f>IS!DL129</f>
        <v>423.19232204907951</v>
      </c>
      <c r="DM34" s="2559">
        <f>IS!DM129</f>
        <v>418.71912116226645</v>
      </c>
      <c r="DN34" s="2559">
        <f>IS!DN129</f>
        <v>429.35352327053897</v>
      </c>
      <c r="DO34" s="576">
        <f>SUM(DK34:DN34)</f>
        <v>1700.618489752424</v>
      </c>
      <c r="DP34" s="2649">
        <f>IS!DP129</f>
        <v>427.93942912352782</v>
      </c>
      <c r="DQ34" s="2649">
        <f>IS!DQ129</f>
        <v>426.05263861613787</v>
      </c>
      <c r="DR34" s="2649">
        <f>IS!DR129</f>
        <v>426.970123064696</v>
      </c>
      <c r="DS34" s="2649">
        <f>IS!DS129</f>
        <v>426.93456252431275</v>
      </c>
      <c r="DT34" s="576">
        <f>SUM(DP34:DS34)</f>
        <v>1707.8967533286743</v>
      </c>
      <c r="DU34" s="2771">
        <f>IS!DU129</f>
        <v>425.96556840794284</v>
      </c>
      <c r="DV34" s="2771">
        <f>IS!DV129</f>
        <v>424.32240867685277</v>
      </c>
      <c r="DW34" s="2771">
        <f>IS!DW129</f>
        <v>425.33560713318622</v>
      </c>
      <c r="DX34" s="2771">
        <f>IS!DX129</f>
        <v>425.82870702881013</v>
      </c>
      <c r="DY34" s="576">
        <f>SUM(DU34:DX34)</f>
        <v>1701.4522912467919</v>
      </c>
      <c r="DZ34" s="2224"/>
      <c r="EA34" s="2224"/>
    </row>
    <row r="35" spans="1:143" x14ac:dyDescent="0.2">
      <c r="A35" s="2225"/>
      <c r="B35" s="2226"/>
      <c r="C35" s="2227"/>
      <c r="D35" s="2227"/>
      <c r="E35" s="2228"/>
      <c r="F35" s="2228"/>
      <c r="G35" s="2228"/>
      <c r="H35" s="2228"/>
      <c r="I35" s="2229"/>
      <c r="J35" s="2228"/>
      <c r="K35" s="2228"/>
      <c r="L35" s="2228"/>
      <c r="M35" s="2228"/>
      <c r="N35" s="2230"/>
      <c r="O35" s="2228"/>
      <c r="P35" s="2228"/>
      <c r="Q35" s="2228"/>
      <c r="R35" s="2228"/>
      <c r="S35" s="2230"/>
      <c r="T35" s="2228"/>
      <c r="U35" s="2228"/>
      <c r="V35" s="2228"/>
      <c r="W35" s="2228"/>
      <c r="X35" s="2230"/>
      <c r="Y35" s="2228"/>
      <c r="Z35" s="2228"/>
      <c r="AA35" s="2228"/>
      <c r="AB35" s="2228"/>
      <c r="AC35" s="2230"/>
      <c r="AD35" s="2228"/>
      <c r="AE35" s="2228"/>
      <c r="AF35" s="2231"/>
      <c r="AG35" s="2232"/>
      <c r="AH35" s="2230"/>
      <c r="AI35" s="2233"/>
      <c r="AJ35" s="2232"/>
      <c r="AK35" s="2234"/>
      <c r="AL35" s="2232"/>
      <c r="AM35" s="2230"/>
      <c r="AN35" s="2235"/>
      <c r="AO35" s="2236"/>
      <c r="AP35" s="2228"/>
      <c r="AQ35" s="2228"/>
      <c r="AR35" s="2237"/>
      <c r="AS35" s="2238"/>
      <c r="AT35" s="2232"/>
      <c r="AU35" s="2239"/>
      <c r="AV35" s="2232"/>
      <c r="AW35" s="2240"/>
      <c r="AX35" s="2241"/>
      <c r="AY35" s="2239"/>
      <c r="AZ35" s="2228"/>
      <c r="BA35" s="2228"/>
      <c r="BB35" s="2242"/>
      <c r="BC35" s="2241"/>
      <c r="BD35" s="2228"/>
      <c r="BE35" s="2228"/>
      <c r="BF35" s="2228"/>
      <c r="BG35" s="2243"/>
      <c r="BH35" s="2228"/>
      <c r="BI35" s="2228"/>
      <c r="BJ35" s="2228"/>
      <c r="BK35" s="2228"/>
      <c r="BL35" s="2243"/>
      <c r="BM35" s="2227"/>
      <c r="BN35" s="2227"/>
      <c r="BO35" s="2232"/>
      <c r="BP35" s="2225"/>
      <c r="BQ35" s="2244"/>
      <c r="BR35" s="2227"/>
      <c r="BS35" s="2227"/>
      <c r="BT35" s="2232"/>
      <c r="BU35" s="2225"/>
      <c r="BV35" s="2243"/>
      <c r="BW35" s="2227"/>
      <c r="BX35" s="2227"/>
      <c r="BY35" s="2227"/>
      <c r="BZ35" s="2227"/>
      <c r="CA35" s="2243"/>
      <c r="CB35" s="2227"/>
      <c r="CC35" s="2227"/>
      <c r="CD35" s="2227"/>
      <c r="CE35" s="2227"/>
      <c r="CF35" s="2243"/>
      <c r="CG35" s="2227"/>
      <c r="CH35" s="2227"/>
      <c r="CI35" s="2227"/>
      <c r="CJ35" s="2227"/>
      <c r="CK35" s="2243"/>
      <c r="CL35" s="2227"/>
      <c r="CM35" s="2227"/>
      <c r="CN35" s="2227"/>
      <c r="CO35" s="2227"/>
      <c r="CP35" s="2243"/>
      <c r="CQ35" s="2227"/>
      <c r="CR35" s="2227"/>
      <c r="CS35" s="2227"/>
      <c r="CT35" s="2227"/>
      <c r="CU35" s="2243"/>
      <c r="CV35" s="2227"/>
      <c r="CW35" s="2227"/>
      <c r="CX35" s="2227"/>
      <c r="CY35" s="2227"/>
      <c r="CZ35" s="2243"/>
      <c r="DA35" s="2227"/>
      <c r="DB35" s="2227"/>
      <c r="DC35" s="2227"/>
      <c r="DD35" s="2227"/>
      <c r="DE35" s="602"/>
      <c r="DF35" s="2227"/>
      <c r="DG35" s="2227"/>
      <c r="DH35" s="2227"/>
      <c r="DI35" s="2227"/>
      <c r="DJ35" s="2243"/>
      <c r="DK35" s="2224"/>
      <c r="DL35" s="2227"/>
      <c r="DM35" s="2227"/>
      <c r="DN35" s="2227"/>
      <c r="DO35" s="2243"/>
      <c r="DP35" s="2224"/>
      <c r="DQ35" s="2227"/>
      <c r="DR35" s="2227"/>
      <c r="DS35" s="2227"/>
      <c r="DT35" s="2243"/>
      <c r="DU35" s="2224"/>
      <c r="DV35" s="2227"/>
      <c r="DW35" s="2227"/>
      <c r="DX35" s="2227"/>
      <c r="DY35" s="2243"/>
      <c r="DZ35" s="2227"/>
      <c r="EA35" s="2227"/>
    </row>
    <row r="36" spans="1:143" x14ac:dyDescent="0.2">
      <c r="A36" s="2212"/>
      <c r="B36" s="1040" t="s">
        <v>178</v>
      </c>
      <c r="C36" s="1041"/>
      <c r="D36" s="1041"/>
      <c r="E36" s="1042">
        <f>E21-E24-E34</f>
        <v>796.06200000000013</v>
      </c>
      <c r="F36" s="1042">
        <f>F21-F24-F34</f>
        <v>218.33400000000006</v>
      </c>
      <c r="G36" s="1042">
        <f>G21-G24-G34</f>
        <v>156.48100000000022</v>
      </c>
      <c r="H36" s="1042">
        <f>H21-H24-H34</f>
        <v>227.63399999999967</v>
      </c>
      <c r="I36" s="1045">
        <v>602.5</v>
      </c>
      <c r="J36" s="1042">
        <f>J21-J24-J34</f>
        <v>264.61799999999971</v>
      </c>
      <c r="K36" s="1042">
        <f>K21-K24-K34</f>
        <v>254.27600000000007</v>
      </c>
      <c r="L36" s="1046">
        <v>153.5</v>
      </c>
      <c r="M36" s="1042">
        <f>M21-M24-M34</f>
        <v>281.37400000000025</v>
      </c>
      <c r="N36" s="1045">
        <v>771.2</v>
      </c>
      <c r="O36" s="1046">
        <v>235.3</v>
      </c>
      <c r="P36" s="1046">
        <v>241.3</v>
      </c>
      <c r="Q36" s="1046">
        <v>189.8</v>
      </c>
      <c r="R36" s="1046">
        <v>261.39999999999998</v>
      </c>
      <c r="S36" s="1045">
        <v>927.8</v>
      </c>
      <c r="T36" s="1046">
        <v>284.8</v>
      </c>
      <c r="U36" s="1046">
        <v>283.5</v>
      </c>
      <c r="V36" s="1046">
        <v>210.9</v>
      </c>
      <c r="W36" s="1046">
        <v>341.2</v>
      </c>
      <c r="X36" s="1045">
        <v>1107.9000000000001</v>
      </c>
      <c r="Y36" s="1046">
        <v>333.9</v>
      </c>
      <c r="Z36" s="1046">
        <v>329.9</v>
      </c>
      <c r="AA36" s="1046">
        <v>284.10000000000002</v>
      </c>
      <c r="AB36" s="1046">
        <v>342.8</v>
      </c>
      <c r="AC36" s="1045">
        <v>1268.5</v>
      </c>
      <c r="AD36" s="1046">
        <v>380</v>
      </c>
      <c r="AE36" s="1046">
        <v>338.8</v>
      </c>
      <c r="AF36" s="1046">
        <v>215.9</v>
      </c>
      <c r="AG36" s="1046">
        <v>145.19999999999999</v>
      </c>
      <c r="AH36" s="1045">
        <v>1079.9000000000001</v>
      </c>
      <c r="AI36" s="1046">
        <v>283.2</v>
      </c>
      <c r="AJ36" s="1046">
        <v>280.10000000000002</v>
      </c>
      <c r="AK36" s="1046">
        <v>258.2</v>
      </c>
      <c r="AL36" s="1046">
        <v>313.10000000000002</v>
      </c>
      <c r="AM36" s="1045">
        <v>1134.5999999999999</v>
      </c>
      <c r="AN36" s="1046">
        <v>306.7</v>
      </c>
      <c r="AO36" s="1046">
        <v>313.2</v>
      </c>
      <c r="AP36" s="1046">
        <v>292</v>
      </c>
      <c r="AQ36" s="1046">
        <v>411.2</v>
      </c>
      <c r="AR36" s="1045">
        <v>1323.1</v>
      </c>
      <c r="AS36" s="1046">
        <v>380.5</v>
      </c>
      <c r="AT36" s="1046">
        <v>362.9</v>
      </c>
      <c r="AU36" s="1046">
        <v>282.5</v>
      </c>
      <c r="AV36" s="1046">
        <v>294.89999999999998</v>
      </c>
      <c r="AW36" s="1045">
        <v>1320.8</v>
      </c>
      <c r="AX36" s="1046">
        <v>448</v>
      </c>
      <c r="AY36" s="1046">
        <v>422</v>
      </c>
      <c r="AZ36" s="1046">
        <v>383.7</v>
      </c>
      <c r="BA36" s="1046">
        <f>1797.1-SUM(AX36:AZ36)</f>
        <v>543.39999999999986</v>
      </c>
      <c r="BB36" s="1045">
        <v>1797.1</v>
      </c>
      <c r="BC36" s="1046">
        <v>503.1</v>
      </c>
      <c r="BD36" s="1046">
        <v>522.20000000000005</v>
      </c>
      <c r="BE36" s="1046">
        <v>443.1</v>
      </c>
      <c r="BF36" s="1046">
        <v>655.1</v>
      </c>
      <c r="BG36" s="1045">
        <v>2123.5</v>
      </c>
      <c r="BH36" s="1046">
        <v>634.9</v>
      </c>
      <c r="BI36" s="1046">
        <v>727.8</v>
      </c>
      <c r="BJ36" s="1046">
        <v>616.4</v>
      </c>
      <c r="BK36" s="1046">
        <v>721.2</v>
      </c>
      <c r="BL36" s="1045">
        <v>2691.3</v>
      </c>
      <c r="BM36" s="1046">
        <f>840.1+IS!BM119</f>
        <v>897.30000000000007</v>
      </c>
      <c r="BN36" s="1046">
        <f>864+IS!BN119</f>
        <v>938</v>
      </c>
      <c r="BO36" s="1046">
        <f>808.2+IS!BO119</f>
        <v>865.80000000000007</v>
      </c>
      <c r="BP36" s="1046">
        <f>971.4+IS!BP119</f>
        <v>1051.4000000000001</v>
      </c>
      <c r="BQ36" s="1045">
        <v>3752.4</v>
      </c>
      <c r="BR36" s="1046">
        <f>891.4+IS!BR119</f>
        <v>972.5</v>
      </c>
      <c r="BS36" s="1046">
        <f>962.3+IS!BS119</f>
        <v>1055.8</v>
      </c>
      <c r="BT36" s="1046">
        <f>836.9+IS!BT119</f>
        <v>909.8</v>
      </c>
      <c r="BU36" s="1046">
        <v>1220</v>
      </c>
      <c r="BV36" s="1045">
        <v>4159</v>
      </c>
      <c r="BW36" s="1046">
        <v>1030</v>
      </c>
      <c r="BX36" s="1046">
        <v>1096</v>
      </c>
      <c r="BY36" s="1046">
        <v>1039</v>
      </c>
      <c r="BZ36" s="1046">
        <v>1372</v>
      </c>
      <c r="CA36" s="1043">
        <f t="shared" ref="CA36:CZ36" si="41">CA21-CA24</f>
        <v>4537</v>
      </c>
      <c r="CB36" s="1042">
        <f t="shared" si="41"/>
        <v>1096</v>
      </c>
      <c r="CC36" s="1042">
        <f t="shared" si="41"/>
        <v>1240</v>
      </c>
      <c r="CD36" s="1042">
        <f t="shared" si="41"/>
        <v>1123</v>
      </c>
      <c r="CE36" s="1041">
        <f t="shared" si="41"/>
        <v>1452.8000000000002</v>
      </c>
      <c r="CF36" s="602">
        <f t="shared" si="41"/>
        <v>4911.7999999999956</v>
      </c>
      <c r="CG36" s="1042">
        <f t="shared" si="41"/>
        <v>1297</v>
      </c>
      <c r="CH36" s="1041">
        <f t="shared" si="41"/>
        <v>1469.0000000000005</v>
      </c>
      <c r="CI36" s="1041">
        <f t="shared" si="41"/>
        <v>1304.5</v>
      </c>
      <c r="CJ36" s="1041">
        <f t="shared" si="41"/>
        <v>1581</v>
      </c>
      <c r="CK36" s="602">
        <f t="shared" si="41"/>
        <v>5651.4999999999945</v>
      </c>
      <c r="CL36" s="1041">
        <f t="shared" si="41"/>
        <v>1537</v>
      </c>
      <c r="CM36" s="1041">
        <f t="shared" si="41"/>
        <v>1595.3000000000002</v>
      </c>
      <c r="CN36" s="1041">
        <f>CN21-CN24</f>
        <v>1471</v>
      </c>
      <c r="CO36" s="1041">
        <f>CO21-CO24</f>
        <v>1671</v>
      </c>
      <c r="CP36" s="602">
        <f t="shared" si="41"/>
        <v>6274.2999999999993</v>
      </c>
      <c r="CQ36" s="1041">
        <f>CQ21-CQ24</f>
        <v>1750.2000000000003</v>
      </c>
      <c r="CR36" s="1041">
        <f t="shared" si="41"/>
        <v>1705.1000000000004</v>
      </c>
      <c r="CS36" s="1041">
        <f t="shared" si="41"/>
        <v>1527</v>
      </c>
      <c r="CT36" s="1041">
        <f t="shared" si="41"/>
        <v>1779.7999999999997</v>
      </c>
      <c r="CU36" s="602">
        <f>CU21-CU24</f>
        <v>6762.1</v>
      </c>
      <c r="CV36" s="1041">
        <f t="shared" si="41"/>
        <v>1726.7000000000003</v>
      </c>
      <c r="CW36" s="1041">
        <f>CW21-CW24</f>
        <v>1680.8000000000002</v>
      </c>
      <c r="CX36" s="1041">
        <f>CX21-CX24</f>
        <v>1642.6969849399979</v>
      </c>
      <c r="CY36" s="1041">
        <f>CY21-CY24</f>
        <v>2131.563462809997</v>
      </c>
      <c r="CZ36" s="602">
        <f t="shared" si="41"/>
        <v>7181.7604477499935</v>
      </c>
      <c r="DA36" s="1041">
        <f t="shared" ref="DA36:DT36" si="42">DA21-DA24</f>
        <v>1777</v>
      </c>
      <c r="DB36" s="1041">
        <f t="shared" si="42"/>
        <v>1784.9</v>
      </c>
      <c r="DC36" s="1041">
        <f t="shared" si="42"/>
        <v>1824.4000000000005</v>
      </c>
      <c r="DD36" s="1041">
        <f t="shared" si="42"/>
        <v>2147.6999999999998</v>
      </c>
      <c r="DE36" s="602">
        <f t="shared" si="42"/>
        <v>7534</v>
      </c>
      <c r="DF36" s="1041">
        <f t="shared" si="42"/>
        <v>1624.6999999999998</v>
      </c>
      <c r="DG36" s="1041">
        <f>DG21-DG24</f>
        <v>1562.4000000000005</v>
      </c>
      <c r="DH36" s="561">
        <f>DH21-DH24</f>
        <v>1567.6234769700013</v>
      </c>
      <c r="DI36" s="561">
        <f>DI21-DI24</f>
        <v>2143.3442170000026</v>
      </c>
      <c r="DJ36" s="602">
        <f t="shared" si="42"/>
        <v>6898.0676939700024</v>
      </c>
      <c r="DK36" s="1041">
        <f t="shared" si="42"/>
        <v>1649.5606711512073</v>
      </c>
      <c r="DL36" s="1041">
        <f t="shared" si="42"/>
        <v>1570.7960626098698</v>
      </c>
      <c r="DM36" s="1041">
        <f t="shared" si="42"/>
        <v>1492.598627730069</v>
      </c>
      <c r="DN36" s="1041">
        <f t="shared" si="42"/>
        <v>1974.864852398433</v>
      </c>
      <c r="DO36" s="602">
        <f t="shared" si="42"/>
        <v>6687.8202138895776</v>
      </c>
      <c r="DP36" s="1041">
        <f t="shared" si="42"/>
        <v>1691.2754382442381</v>
      </c>
      <c r="DQ36" s="1041">
        <f t="shared" si="42"/>
        <v>1605.8792354228908</v>
      </c>
      <c r="DR36" s="1041">
        <f t="shared" si="42"/>
        <v>1521.6642114937476</v>
      </c>
      <c r="DS36" s="1041">
        <f t="shared" si="42"/>
        <v>2020.6517644197065</v>
      </c>
      <c r="DT36" s="602">
        <f t="shared" si="42"/>
        <v>6839.4706495805804</v>
      </c>
      <c r="DU36" s="1041">
        <f t="shared" ref="DU36:DY36" si="43">DU21-DU24</f>
        <v>1730.2311000894515</v>
      </c>
      <c r="DV36" s="1041">
        <f t="shared" si="43"/>
        <v>1641.9212169389211</v>
      </c>
      <c r="DW36" s="1041">
        <f t="shared" si="43"/>
        <v>1556.9124576295235</v>
      </c>
      <c r="DX36" s="1041">
        <f t="shared" si="43"/>
        <v>2061.2567655498979</v>
      </c>
      <c r="DY36" s="602">
        <f t="shared" si="43"/>
        <v>6990.3215402077913</v>
      </c>
      <c r="DZ36" s="2213"/>
      <c r="EA36" s="2213"/>
      <c r="EJ36">
        <f>DJ36</f>
        <v>6898.0676939700024</v>
      </c>
      <c r="EK36" s="2777">
        <f>DO36</f>
        <v>6687.8202138895776</v>
      </c>
      <c r="EL36">
        <f>DT36</f>
        <v>6839.4706495805804</v>
      </c>
      <c r="EM36">
        <f>DY36</f>
        <v>6990.3215402077913</v>
      </c>
    </row>
    <row r="37" spans="1:143" x14ac:dyDescent="0.2">
      <c r="A37" s="2245"/>
      <c r="B37" s="2185" t="s">
        <v>519</v>
      </c>
      <c r="C37" s="2215"/>
      <c r="D37" s="2245"/>
      <c r="E37" s="2216">
        <f t="shared" ref="E37:BP37" si="44">E36/E$17</f>
        <v>0.28785390888542323</v>
      </c>
      <c r="F37" s="2216">
        <f t="shared" si="44"/>
        <v>7.5605546636821633E-2</v>
      </c>
      <c r="G37" s="2216">
        <f t="shared" si="44"/>
        <v>5.4842324068820301E-2</v>
      </c>
      <c r="H37" s="2216">
        <f t="shared" si="44"/>
        <v>6.8462609389224785E-2</v>
      </c>
      <c r="I37" s="2217">
        <f t="shared" si="44"/>
        <v>5.1205561646396919E-2</v>
      </c>
      <c r="J37" s="2216">
        <f t="shared" si="44"/>
        <v>7.7878115795644687E-2</v>
      </c>
      <c r="K37" s="2216">
        <f t="shared" si="44"/>
        <v>7.4638791060346613E-2</v>
      </c>
      <c r="L37" s="2216">
        <f t="shared" si="44"/>
        <v>4.6114583474155556E-2</v>
      </c>
      <c r="M37" s="2216">
        <f t="shared" si="44"/>
        <v>7.7805860036058425E-2</v>
      </c>
      <c r="N37" s="2217">
        <f t="shared" si="44"/>
        <v>5.6500652043313261E-2</v>
      </c>
      <c r="O37" s="2216">
        <f t="shared" si="44"/>
        <v>6.5987997083403443E-2</v>
      </c>
      <c r="P37" s="2216">
        <f t="shared" si="44"/>
        <v>6.512117450207805E-2</v>
      </c>
      <c r="Q37" s="2216">
        <f t="shared" si="44"/>
        <v>5.1708167602026921E-2</v>
      </c>
      <c r="R37" s="2216">
        <f t="shared" si="44"/>
        <v>6.3150774285507208E-2</v>
      </c>
      <c r="S37" s="2217">
        <f t="shared" si="44"/>
        <v>6.1520711353946322E-2</v>
      </c>
      <c r="T37" s="2216">
        <f t="shared" si="44"/>
        <v>6.8580235022153727E-2</v>
      </c>
      <c r="U37" s="2216">
        <f t="shared" si="44"/>
        <v>6.65680473372781E-2</v>
      </c>
      <c r="V37" s="2216">
        <f t="shared" si="44"/>
        <v>5.0116439332731334E-2</v>
      </c>
      <c r="W37" s="2216">
        <f t="shared" si="44"/>
        <v>6.8159571705387639E-2</v>
      </c>
      <c r="X37" s="2217">
        <f t="shared" si="44"/>
        <v>6.2852442276053785E-2</v>
      </c>
      <c r="Y37" s="2216">
        <f t="shared" si="44"/>
        <v>7.2810135415076652E-2</v>
      </c>
      <c r="Z37" s="2216">
        <f t="shared" si="44"/>
        <v>6.8636221783002174E-2</v>
      </c>
      <c r="AA37" s="2216">
        <f t="shared" si="44"/>
        <v>5.9627250975947614E-2</v>
      </c>
      <c r="AB37" s="2216">
        <f t="shared" si="44"/>
        <v>6.5728419680177938E-2</v>
      </c>
      <c r="AC37" s="2217">
        <f t="shared" si="44"/>
        <v>6.5446984588873242E-2</v>
      </c>
      <c r="AD37" s="2216">
        <f t="shared" si="44"/>
        <v>7.3584942197091455E-2</v>
      </c>
      <c r="AE37" s="2216">
        <f t="shared" si="44"/>
        <v>6.4161805923793655E-2</v>
      </c>
      <c r="AF37" s="2216">
        <f t="shared" si="44"/>
        <v>4.1609651743211212E-2</v>
      </c>
      <c r="AG37" s="2216">
        <f t="shared" si="44"/>
        <v>2.5493810903344745E-2</v>
      </c>
      <c r="AH37" s="2217">
        <f t="shared" si="44"/>
        <v>5.0631308987420708E-2</v>
      </c>
      <c r="AI37" s="2216">
        <f t="shared" si="44"/>
        <v>4.9745301247145615E-2</v>
      </c>
      <c r="AJ37" s="2216">
        <f t="shared" si="44"/>
        <v>4.9010516001469794E-2</v>
      </c>
      <c r="AK37" s="2216">
        <f t="shared" si="44"/>
        <v>4.6062725229243227E-2</v>
      </c>
      <c r="AL37" s="2216">
        <f t="shared" si="44"/>
        <v>5.1780309921114001E-2</v>
      </c>
      <c r="AM37" s="2217">
        <f t="shared" si="44"/>
        <v>4.9201654799177798E-2</v>
      </c>
      <c r="AN37" s="2216">
        <f t="shared" si="44"/>
        <v>5.1309934085053702E-2</v>
      </c>
      <c r="AO37" s="2216">
        <f t="shared" si="44"/>
        <v>5.1098820419950071E-2</v>
      </c>
      <c r="AP37" s="2216">
        <f t="shared" si="44"/>
        <v>4.808484010143925E-2</v>
      </c>
      <c r="AQ37" s="2216">
        <f t="shared" si="44"/>
        <v>5.7904075252767064E-2</v>
      </c>
      <c r="AR37" s="2217">
        <f t="shared" si="44"/>
        <v>5.2336367268311396E-2</v>
      </c>
      <c r="AS37" s="2216">
        <f t="shared" si="44"/>
        <v>5.872004197595642E-2</v>
      </c>
      <c r="AT37" s="2216">
        <f t="shared" si="44"/>
        <v>5.4822043628013774E-2</v>
      </c>
      <c r="AU37" s="2216">
        <f t="shared" si="44"/>
        <v>3.832171247185219E-2</v>
      </c>
      <c r="AV37" s="2216">
        <f t="shared" si="44"/>
        <v>3.5713420689321096E-2</v>
      </c>
      <c r="AW37" s="2217">
        <f t="shared" si="44"/>
        <v>4.5974930992352593E-2</v>
      </c>
      <c r="AX37" s="2216">
        <f t="shared" si="44"/>
        <v>5.2769826966795053E-2</v>
      </c>
      <c r="AY37" s="2216">
        <f t="shared" si="44"/>
        <v>5.0049219018703225E-2</v>
      </c>
      <c r="AZ37" s="2216">
        <f t="shared" si="44"/>
        <v>4.6554799257452775E-2</v>
      </c>
      <c r="BA37" s="2216">
        <f t="shared" si="44"/>
        <v>6.084220662165641E-2</v>
      </c>
      <c r="BB37" s="2217">
        <f t="shared" si="44"/>
        <v>5.2709226681058E-2</v>
      </c>
      <c r="BC37" s="2216">
        <f t="shared" si="44"/>
        <v>5.509500082133275E-2</v>
      </c>
      <c r="BD37" s="2216">
        <f t="shared" si="44"/>
        <v>5.3611210923463895E-2</v>
      </c>
      <c r="BE37" s="2216">
        <f t="shared" si="44"/>
        <v>4.2950196770253767E-2</v>
      </c>
      <c r="BF37" s="2216">
        <f t="shared" si="44"/>
        <v>5.9033973145895292E-2</v>
      </c>
      <c r="BG37" s="2217">
        <f t="shared" si="44"/>
        <v>5.2711142442957284E-2</v>
      </c>
      <c r="BH37" s="2216">
        <f t="shared" si="44"/>
        <v>5.6489785749875433E-2</v>
      </c>
      <c r="BI37" s="2216">
        <f t="shared" si="44"/>
        <v>6.4695058534894254E-2</v>
      </c>
      <c r="BJ37" s="2216">
        <f t="shared" si="44"/>
        <v>5.6245494611783811E-2</v>
      </c>
      <c r="BK37" s="2216">
        <f t="shared" si="44"/>
        <v>6.1966748292305716E-2</v>
      </c>
      <c r="BL37" s="2217">
        <f t="shared" si="44"/>
        <v>5.969192552094308E-2</v>
      </c>
      <c r="BM37" s="2216">
        <f t="shared" si="44"/>
        <v>7.5749645437968527E-2</v>
      </c>
      <c r="BN37" s="2216">
        <f t="shared" si="44"/>
        <v>7.968872124239644E-2</v>
      </c>
      <c r="BO37" s="2216">
        <f t="shared" si="44"/>
        <v>7.5012996014555536E-2</v>
      </c>
      <c r="BP37" s="2216">
        <f t="shared" si="44"/>
        <v>7.6014893540107736E-2</v>
      </c>
      <c r="BQ37" s="2217">
        <f t="shared" ref="BQ37:CZ37" si="45">BQ36/BQ$17</f>
        <v>7.6595379864012783E-2</v>
      </c>
      <c r="BR37" s="2216">
        <f t="shared" si="45"/>
        <v>7.2053582674540081E-2</v>
      </c>
      <c r="BS37" s="2216">
        <f t="shared" si="45"/>
        <v>7.6522772736497255E-2</v>
      </c>
      <c r="BT37" s="2216">
        <f t="shared" si="45"/>
        <v>6.6870507298572621E-2</v>
      </c>
      <c r="BU37" s="2216">
        <f t="shared" si="45"/>
        <v>8.4399861639571083E-2</v>
      </c>
      <c r="BV37" s="2217">
        <f t="shared" si="45"/>
        <v>7.5133230963779246E-2</v>
      </c>
      <c r="BW37" s="2216">
        <f t="shared" si="45"/>
        <v>7.3687222778652167E-2</v>
      </c>
      <c r="BX37" s="2216">
        <f t="shared" si="45"/>
        <v>7.6584445531409404E-2</v>
      </c>
      <c r="BY37" s="2216">
        <f t="shared" si="45"/>
        <v>7.3380888480824913E-2</v>
      </c>
      <c r="BZ37" s="2216">
        <f t="shared" si="45"/>
        <v>9.2099080351748672E-2</v>
      </c>
      <c r="CA37" s="2217">
        <f t="shared" si="45"/>
        <v>7.9117621414247094E-2</v>
      </c>
      <c r="CB37" s="2216">
        <f t="shared" si="45"/>
        <v>7.5135394529375468E-2</v>
      </c>
      <c r="CC37" s="2216">
        <f t="shared" si="45"/>
        <v>8.3636854175097808E-2</v>
      </c>
      <c r="CD37" s="2216">
        <f t="shared" si="45"/>
        <v>7.6430953515279385E-2</v>
      </c>
      <c r="CE37" s="2184">
        <f t="shared" si="45"/>
        <v>9.3773196408631174E-2</v>
      </c>
      <c r="CF37" s="2218">
        <f t="shared" si="45"/>
        <v>8.2414549310639254E-2</v>
      </c>
      <c r="CG37" s="2184">
        <f t="shared" si="45"/>
        <v>8.094108836744883E-2</v>
      </c>
      <c r="CH37" s="2184">
        <f t="shared" si="45"/>
        <v>9.2704783541587815E-2</v>
      </c>
      <c r="CI37" s="2184">
        <f t="shared" si="45"/>
        <v>8.4140119582814643E-2</v>
      </c>
      <c r="CJ37" s="2184">
        <f t="shared" si="45"/>
        <v>9.7113022113022113E-2</v>
      </c>
      <c r="CK37" s="2218">
        <f t="shared" si="45"/>
        <v>8.8784819154835687E-2</v>
      </c>
      <c r="CL37" s="2184">
        <f t="shared" si="45"/>
        <v>9.5757273690112762E-2</v>
      </c>
      <c r="CM37" s="2184">
        <f t="shared" si="45"/>
        <v>9.8844449951981175E-2</v>
      </c>
      <c r="CN37" s="2184">
        <f t="shared" si="45"/>
        <v>9.0334070253009088E-2</v>
      </c>
      <c r="CO37" s="2184">
        <f>CO36/CO$17</f>
        <v>9.7196370404839458E-2</v>
      </c>
      <c r="CP37" s="2218">
        <f>CP36/CP$17</f>
        <v>9.5547958243548836E-2</v>
      </c>
      <c r="CQ37" s="2184">
        <f>CQ36/CQ$17</f>
        <v>0.10620274517894637</v>
      </c>
      <c r="CR37" s="2184">
        <f t="shared" si="45"/>
        <v>0.10107291049199765</v>
      </c>
      <c r="CS37" s="2184">
        <f t="shared" si="45"/>
        <v>9.1166900504492665E-2</v>
      </c>
      <c r="CT37" s="2184">
        <f t="shared" si="45"/>
        <v>0.10056503559724261</v>
      </c>
      <c r="CU37" s="2218">
        <f t="shared" si="45"/>
        <v>9.9739960145905512E-2</v>
      </c>
      <c r="CV37" s="2184">
        <f t="shared" si="45"/>
        <v>0.10186539868324801</v>
      </c>
      <c r="CW37" s="2184">
        <f>CW36/CW$17</f>
        <v>9.748232523880504E-2</v>
      </c>
      <c r="CX37" s="2184">
        <f>CX36/CX$17</f>
        <v>9.1710713752288606E-2</v>
      </c>
      <c r="CY37" s="2184">
        <f>CY36/CY$17</f>
        <v>0.10709938002309338</v>
      </c>
      <c r="CZ37" s="2218">
        <f t="shared" si="45"/>
        <v>9.9736571136680011E-2</v>
      </c>
      <c r="DA37" s="2184">
        <f t="shared" ref="DA37:DT37" si="46">DA36/DA$17</f>
        <v>8.8355210819411292E-2</v>
      </c>
      <c r="DB37" s="2184">
        <f t="shared" si="46"/>
        <v>8.925080130208464E-2</v>
      </c>
      <c r="DC37" s="2184">
        <f t="shared" si="46"/>
        <v>9.0573756249162252E-2</v>
      </c>
      <c r="DD37" s="2184">
        <f t="shared" si="46"/>
        <v>0.10302004086840563</v>
      </c>
      <c r="DE37" s="2218">
        <f t="shared" si="46"/>
        <v>9.2896740845959613E-2</v>
      </c>
      <c r="DF37" s="2184">
        <f t="shared" si="46"/>
        <v>8.400506708720043E-2</v>
      </c>
      <c r="DG37" s="2184">
        <f>DG36/DG$17</f>
        <v>7.9900175919486172E-2</v>
      </c>
      <c r="DH37" s="2184">
        <f>DH36/DH$17</f>
        <v>8.0007552593954409E-2</v>
      </c>
      <c r="DI37" s="2184">
        <f>DI36/DI$17</f>
        <v>0.10250600672313295</v>
      </c>
      <c r="DJ37" s="2218">
        <f t="shared" si="46"/>
        <v>8.6879841080866896E-2</v>
      </c>
      <c r="DK37" s="2184">
        <f t="shared" si="46"/>
        <v>8.0748047047361313E-2</v>
      </c>
      <c r="DL37" s="2184">
        <f t="shared" si="46"/>
        <v>7.6240762869571266E-2</v>
      </c>
      <c r="DM37" s="2184">
        <f t="shared" si="46"/>
        <v>7.4027422355988984E-2</v>
      </c>
      <c r="DN37" s="2184">
        <f t="shared" si="46"/>
        <v>9.4221878979921111E-2</v>
      </c>
      <c r="DO37" s="2218">
        <f t="shared" si="46"/>
        <v>8.1405802853372553E-2</v>
      </c>
      <c r="DP37" s="2184">
        <f t="shared" si="46"/>
        <v>8.0492701122688443E-2</v>
      </c>
      <c r="DQ37" s="2184">
        <f t="shared" si="46"/>
        <v>7.5843514761096034E-2</v>
      </c>
      <c r="DR37" s="2184">
        <f t="shared" si="46"/>
        <v>7.3472499290811497E-2</v>
      </c>
      <c r="DS37" s="2184">
        <f t="shared" si="46"/>
        <v>9.4027651029157944E-2</v>
      </c>
      <c r="DT37" s="2218">
        <f t="shared" si="46"/>
        <v>8.105005499688446E-2</v>
      </c>
      <c r="DU37" s="2184">
        <f t="shared" ref="DU37:DY37" si="47">DU36/DU$17</f>
        <v>8.029370075047812E-2</v>
      </c>
      <c r="DV37" s="2184">
        <f t="shared" si="47"/>
        <v>7.5687416352471712E-2</v>
      </c>
      <c r="DW37" s="2184">
        <f t="shared" si="47"/>
        <v>7.341760511469525E-2</v>
      </c>
      <c r="DX37" s="2184">
        <f t="shared" si="47"/>
        <v>9.384777075027291E-2</v>
      </c>
      <c r="DY37" s="2218">
        <f t="shared" si="47"/>
        <v>8.0894967936142675E-2</v>
      </c>
      <c r="DZ37" s="2246"/>
      <c r="EA37" s="2246"/>
    </row>
    <row r="38" spans="1:143" x14ac:dyDescent="0.2">
      <c r="A38" s="2184"/>
      <c r="B38" s="2185" t="s">
        <v>982</v>
      </c>
      <c r="C38" s="2215"/>
      <c r="D38" s="2186"/>
      <c r="E38" s="2186"/>
      <c r="F38" s="2186"/>
      <c r="G38" s="2186"/>
      <c r="H38" s="2186"/>
      <c r="I38" s="2218"/>
      <c r="J38" s="2216">
        <f t="shared" ref="J38:BU38" si="48">J36/E36-1</f>
        <v>-0.66759121776947061</v>
      </c>
      <c r="K38" s="2216">
        <f t="shared" si="48"/>
        <v>0.16461934467375672</v>
      </c>
      <c r="L38" s="2216">
        <f t="shared" si="48"/>
        <v>-1.9050236130905507E-2</v>
      </c>
      <c r="M38" s="2216">
        <f t="shared" si="48"/>
        <v>0.23608072607782948</v>
      </c>
      <c r="N38" s="2217">
        <f t="shared" si="48"/>
        <v>0.28000000000000003</v>
      </c>
      <c r="O38" s="2216">
        <f t="shared" si="48"/>
        <v>-0.11079367238812077</v>
      </c>
      <c r="P38" s="2216">
        <f t="shared" si="48"/>
        <v>-5.1031162988249168E-2</v>
      </c>
      <c r="Q38" s="2216">
        <f t="shared" si="48"/>
        <v>0.23648208469055376</v>
      </c>
      <c r="R38" s="2216">
        <f t="shared" si="48"/>
        <v>-7.0987369124369204E-2</v>
      </c>
      <c r="S38" s="2217">
        <f t="shared" si="48"/>
        <v>0.20306016597510368</v>
      </c>
      <c r="T38" s="2216">
        <f t="shared" si="48"/>
        <v>0.21036974075648107</v>
      </c>
      <c r="U38" s="2216">
        <f t="shared" si="48"/>
        <v>0.17488603398259417</v>
      </c>
      <c r="V38" s="2216">
        <f t="shared" si="48"/>
        <v>0.11116965226554254</v>
      </c>
      <c r="W38" s="2216">
        <f t="shared" si="48"/>
        <v>0.3052792654934966</v>
      </c>
      <c r="X38" s="2217">
        <f t="shared" si="48"/>
        <v>0.19411511101530521</v>
      </c>
      <c r="Y38" s="2216">
        <f t="shared" si="48"/>
        <v>0.1724016853932584</v>
      </c>
      <c r="Z38" s="2216">
        <f t="shared" si="48"/>
        <v>0.16366843033509682</v>
      </c>
      <c r="AA38" s="2216">
        <f t="shared" si="48"/>
        <v>0.34708392603129457</v>
      </c>
      <c r="AB38" s="2216">
        <f t="shared" si="48"/>
        <v>4.6893317702227932E-3</v>
      </c>
      <c r="AC38" s="2217">
        <f t="shared" si="48"/>
        <v>0.14495893131149007</v>
      </c>
      <c r="AD38" s="2216">
        <f t="shared" si="48"/>
        <v>0.13806528900868531</v>
      </c>
      <c r="AE38" s="2216">
        <f t="shared" si="48"/>
        <v>2.6977872082449394E-2</v>
      </c>
      <c r="AF38" s="2216">
        <f t="shared" si="48"/>
        <v>-0.2400563181978177</v>
      </c>
      <c r="AG38" s="2216">
        <f t="shared" si="48"/>
        <v>-0.57642940490081684</v>
      </c>
      <c r="AH38" s="2217">
        <f t="shared" si="48"/>
        <v>-0.14867954276704765</v>
      </c>
      <c r="AI38" s="2216">
        <f t="shared" si="48"/>
        <v>-0.25473684210526315</v>
      </c>
      <c r="AJ38" s="2216">
        <f t="shared" si="48"/>
        <v>-0.17325855962219594</v>
      </c>
      <c r="AK38" s="2216">
        <f t="shared" si="48"/>
        <v>0.19592403890690124</v>
      </c>
      <c r="AL38" s="2216">
        <f t="shared" si="48"/>
        <v>1.1563360881542701</v>
      </c>
      <c r="AM38" s="2217">
        <f t="shared" si="48"/>
        <v>5.0652838225761387E-2</v>
      </c>
      <c r="AN38" s="2216">
        <f t="shared" si="48"/>
        <v>8.2980225988700473E-2</v>
      </c>
      <c r="AO38" s="2216">
        <f t="shared" si="48"/>
        <v>0.11817208139949997</v>
      </c>
      <c r="AP38" s="2216">
        <f t="shared" si="48"/>
        <v>0.13090627420604184</v>
      </c>
      <c r="AQ38" s="2216">
        <f t="shared" si="48"/>
        <v>0.31331842861705517</v>
      </c>
      <c r="AR38" s="2217">
        <f t="shared" si="48"/>
        <v>0.16613784593689407</v>
      </c>
      <c r="AS38" s="2216">
        <f t="shared" si="48"/>
        <v>0.24062601891098789</v>
      </c>
      <c r="AT38" s="2216">
        <f t="shared" si="48"/>
        <v>0.15868454661558107</v>
      </c>
      <c r="AU38" s="2216">
        <f t="shared" si="48"/>
        <v>-3.2534246575342429E-2</v>
      </c>
      <c r="AV38" s="2216">
        <f t="shared" si="48"/>
        <v>-0.28283073929961089</v>
      </c>
      <c r="AW38" s="2217">
        <f t="shared" si="48"/>
        <v>-1.7383417731086093E-3</v>
      </c>
      <c r="AX38" s="2216">
        <f t="shared" si="48"/>
        <v>0.17739816031537448</v>
      </c>
      <c r="AY38" s="2216">
        <f t="shared" si="48"/>
        <v>0.16285478093138606</v>
      </c>
      <c r="AZ38" s="2216">
        <f t="shared" si="48"/>
        <v>0.35823008849557514</v>
      </c>
      <c r="BA38" s="2216">
        <f t="shared" si="48"/>
        <v>0.84265852831468258</v>
      </c>
      <c r="BB38" s="2217">
        <f t="shared" si="48"/>
        <v>0.36061477892186544</v>
      </c>
      <c r="BC38" s="2216">
        <f t="shared" si="48"/>
        <v>0.12299107142857157</v>
      </c>
      <c r="BD38" s="2216">
        <f t="shared" si="48"/>
        <v>0.23744075829383893</v>
      </c>
      <c r="BE38" s="2216">
        <f t="shared" si="48"/>
        <v>0.15480844409695083</v>
      </c>
      <c r="BF38" s="2216">
        <f t="shared" si="48"/>
        <v>0.20555760029444281</v>
      </c>
      <c r="BG38" s="2217">
        <f t="shared" si="48"/>
        <v>0.18162595292415573</v>
      </c>
      <c r="BH38" s="2216">
        <f t="shared" si="48"/>
        <v>0.26197575034784326</v>
      </c>
      <c r="BI38" s="2216">
        <f t="shared" si="48"/>
        <v>0.39371888165453828</v>
      </c>
      <c r="BJ38" s="2216">
        <f t="shared" si="48"/>
        <v>0.39110810200857582</v>
      </c>
      <c r="BK38" s="2216">
        <f t="shared" si="48"/>
        <v>0.10090062585864756</v>
      </c>
      <c r="BL38" s="2217">
        <f t="shared" si="48"/>
        <v>0.26738874499646825</v>
      </c>
      <c r="BM38" s="2216">
        <f t="shared" si="48"/>
        <v>0.41329343203654134</v>
      </c>
      <c r="BN38" s="2216">
        <f t="shared" si="48"/>
        <v>0.28881560868370437</v>
      </c>
      <c r="BO38" s="2216">
        <f t="shared" si="48"/>
        <v>0.40460739779364063</v>
      </c>
      <c r="BP38" s="2216">
        <f t="shared" si="48"/>
        <v>0.45784803105934557</v>
      </c>
      <c r="BQ38" s="2217">
        <f t="shared" si="48"/>
        <v>0.39427042693122272</v>
      </c>
      <c r="BR38" s="2216">
        <f t="shared" si="48"/>
        <v>8.3806976485010454E-2</v>
      </c>
      <c r="BS38" s="2216">
        <f t="shared" si="48"/>
        <v>0.12558635394456275</v>
      </c>
      <c r="BT38" s="2216">
        <f t="shared" si="48"/>
        <v>5.08200508200507E-2</v>
      </c>
      <c r="BU38" s="2216">
        <f t="shared" si="48"/>
        <v>0.16035761841354379</v>
      </c>
      <c r="BV38" s="2217">
        <f t="shared" ref="BV38:DJ38" si="49">BV36/BQ36-1</f>
        <v>0.1083573179831574</v>
      </c>
      <c r="BW38" s="2216">
        <f t="shared" si="49"/>
        <v>5.9125964010282805E-2</v>
      </c>
      <c r="BX38" s="2216">
        <f t="shared" si="49"/>
        <v>3.807539306686869E-2</v>
      </c>
      <c r="BY38" s="2216">
        <f t="shared" si="49"/>
        <v>0.14200923279841726</v>
      </c>
      <c r="BZ38" s="2216">
        <f t="shared" si="49"/>
        <v>0.12459016393442623</v>
      </c>
      <c r="CA38" s="2217">
        <f t="shared" si="49"/>
        <v>9.0887232507814275E-2</v>
      </c>
      <c r="CB38" s="2216">
        <f t="shared" si="49"/>
        <v>6.4077669902912637E-2</v>
      </c>
      <c r="CC38" s="2216">
        <f t="shared" si="49"/>
        <v>0.13138686131386867</v>
      </c>
      <c r="CD38" s="2216">
        <f t="shared" si="49"/>
        <v>8.0846968238690975E-2</v>
      </c>
      <c r="CE38" s="2184">
        <f t="shared" si="49"/>
        <v>5.8892128279883549E-2</v>
      </c>
      <c r="CF38" s="2218">
        <f t="shared" si="49"/>
        <v>8.2609653956357887E-2</v>
      </c>
      <c r="CG38" s="2184">
        <f t="shared" si="49"/>
        <v>0.18339416058394153</v>
      </c>
      <c r="CH38" s="2184">
        <f t="shared" si="49"/>
        <v>0.18467741935483906</v>
      </c>
      <c r="CI38" s="2184">
        <f t="shared" si="49"/>
        <v>0.16162065894924305</v>
      </c>
      <c r="CJ38" s="2184">
        <f t="shared" si="49"/>
        <v>8.8243392070484372E-2</v>
      </c>
      <c r="CK38" s="2218">
        <f t="shared" si="49"/>
        <v>0.15059652265971724</v>
      </c>
      <c r="CL38" s="2184">
        <f t="shared" si="49"/>
        <v>0.18504240555127227</v>
      </c>
      <c r="CM38" s="2184">
        <f t="shared" si="49"/>
        <v>8.5976855003403463E-2</v>
      </c>
      <c r="CN38" s="2184">
        <f t="shared" si="49"/>
        <v>0.12763510923725563</v>
      </c>
      <c r="CO38" s="2184">
        <f t="shared" si="49"/>
        <v>5.6925996204933549E-2</v>
      </c>
      <c r="CP38" s="2218">
        <f t="shared" si="49"/>
        <v>0.11020083163761929</v>
      </c>
      <c r="CQ38" s="2184">
        <f t="shared" si="49"/>
        <v>0.13871177618737818</v>
      </c>
      <c r="CR38" s="2184">
        <f t="shared" si="49"/>
        <v>6.882717984078246E-2</v>
      </c>
      <c r="CS38" s="2184">
        <f t="shared" si="49"/>
        <v>3.8069340584636402E-2</v>
      </c>
      <c r="CT38" s="2184">
        <f t="shared" si="49"/>
        <v>6.5110712148414018E-2</v>
      </c>
      <c r="CU38" s="2218">
        <f>CU36/CP36-1</f>
        <v>7.7745724622667156E-2</v>
      </c>
      <c r="CV38" s="2184">
        <f t="shared" si="49"/>
        <v>-1.3427036910067414E-2</v>
      </c>
      <c r="CW38" s="2184">
        <f t="shared" si="49"/>
        <v>-1.4251363556389784E-2</v>
      </c>
      <c r="CX38" s="2184">
        <f t="shared" si="49"/>
        <v>7.5767508146691531E-2</v>
      </c>
      <c r="CY38" s="2184">
        <f t="shared" si="49"/>
        <v>0.19764212990785324</v>
      </c>
      <c r="CZ38" s="2218">
        <f t="shared" si="49"/>
        <v>6.2060668690198773E-2</v>
      </c>
      <c r="DA38" s="2184">
        <f t="shared" si="49"/>
        <v>2.913071176232096E-2</v>
      </c>
      <c r="DB38" s="2184">
        <f t="shared" si="49"/>
        <v>6.1934792955735229E-2</v>
      </c>
      <c r="DC38" s="2184">
        <f t="shared" si="49"/>
        <v>0.11061261859358651</v>
      </c>
      <c r="DD38" s="2184">
        <f t="shared" si="49"/>
        <v>7.5702823169667699E-3</v>
      </c>
      <c r="DE38" s="2218">
        <f t="shared" si="49"/>
        <v>4.9046407884623999E-2</v>
      </c>
      <c r="DF38" s="2184">
        <f t="shared" si="49"/>
        <v>-8.5706246482836312E-2</v>
      </c>
      <c r="DG38" s="2184">
        <f t="shared" si="49"/>
        <v>-0.1246568435206451</v>
      </c>
      <c r="DH38" s="2184">
        <f t="shared" si="49"/>
        <v>-0.14074573724512118</v>
      </c>
      <c r="DI38" s="2184">
        <f t="shared" si="49"/>
        <v>-2.0281151929958385E-3</v>
      </c>
      <c r="DJ38" s="2218">
        <f t="shared" si="49"/>
        <v>-8.4408323072736602E-2</v>
      </c>
      <c r="DK38" s="2184">
        <f t="shared" ref="DK38:DT38" si="50">DK36/DF36-1</f>
        <v>1.5301699483724729E-2</v>
      </c>
      <c r="DL38" s="2184">
        <f t="shared" si="50"/>
        <v>5.3738239950520406E-3</v>
      </c>
      <c r="DM38" s="2184">
        <f t="shared" si="50"/>
        <v>-4.7858972733009209E-2</v>
      </c>
      <c r="DN38" s="2184">
        <f t="shared" si="50"/>
        <v>-7.8605836274579732E-2</v>
      </c>
      <c r="DO38" s="2218">
        <f t="shared" si="50"/>
        <v>-3.0479184810583093E-2</v>
      </c>
      <c r="DP38" s="2184">
        <f t="shared" si="50"/>
        <v>2.5288410315892573E-2</v>
      </c>
      <c r="DQ38" s="2184">
        <f t="shared" si="50"/>
        <v>2.2334645246519402E-2</v>
      </c>
      <c r="DR38" s="2184">
        <f t="shared" si="50"/>
        <v>1.9473141153748319E-2</v>
      </c>
      <c r="DS38" s="2184">
        <f t="shared" si="50"/>
        <v>2.3184833111828507E-2</v>
      </c>
      <c r="DT38" s="2218">
        <f t="shared" si="50"/>
        <v>2.267561490006087E-2</v>
      </c>
      <c r="DU38" s="2184">
        <f t="shared" ref="DU38" si="51">DU36/DP36-1</f>
        <v>2.3033304312427338E-2</v>
      </c>
      <c r="DV38" s="2184">
        <f t="shared" ref="DV38" si="52">DV36/DQ36-1</f>
        <v>2.2443768323923141E-2</v>
      </c>
      <c r="DW38" s="2184">
        <f t="shared" ref="DW38" si="53">DW36/DR36-1</f>
        <v>2.3164273608810459E-2</v>
      </c>
      <c r="DX38" s="2184">
        <f t="shared" ref="DX38" si="54">DX36/DS36-1</f>
        <v>2.0095001942035395E-2</v>
      </c>
      <c r="DY38" s="2218">
        <f t="shared" ref="DY38" si="55">DY36/DT36-1</f>
        <v>2.2055930693475778E-2</v>
      </c>
      <c r="DZ38" s="2186"/>
      <c r="EA38" s="2186"/>
    </row>
    <row r="39" spans="1:143" ht="6" customHeight="1" x14ac:dyDescent="0.2">
      <c r="A39" s="2225"/>
      <c r="B39" s="2226"/>
      <c r="C39" s="2227"/>
      <c r="D39" s="2227"/>
      <c r="E39" s="2228"/>
      <c r="F39" s="2228"/>
      <c r="G39" s="2228"/>
      <c r="H39" s="2225"/>
      <c r="I39" s="2230"/>
      <c r="J39" s="2228"/>
      <c r="K39" s="2228"/>
      <c r="L39" s="2228"/>
      <c r="M39" s="2228"/>
      <c r="N39" s="2230"/>
      <c r="O39" s="2228"/>
      <c r="P39" s="2228"/>
      <c r="Q39" s="2228"/>
      <c r="R39" s="2228"/>
      <c r="S39" s="2230"/>
      <c r="T39" s="2228"/>
      <c r="U39" s="2228"/>
      <c r="V39" s="2228"/>
      <c r="W39" s="2228"/>
      <c r="X39" s="2230"/>
      <c r="Y39" s="2228"/>
      <c r="Z39" s="2228"/>
      <c r="AA39" s="2228"/>
      <c r="AB39" s="2228"/>
      <c r="AC39" s="2230"/>
      <c r="AD39" s="2228"/>
      <c r="AE39" s="2228"/>
      <c r="AF39" s="2241"/>
      <c r="AG39" s="2232"/>
      <c r="AH39" s="2230"/>
      <c r="AI39" s="2247"/>
      <c r="AJ39" s="2247"/>
      <c r="AK39" s="2247"/>
      <c r="AL39" s="2232"/>
      <c r="AM39" s="2230"/>
      <c r="AN39" s="2247"/>
      <c r="AO39" s="2247"/>
      <c r="AP39" s="2247"/>
      <c r="AQ39" s="2232"/>
      <c r="AR39" s="2230"/>
      <c r="AS39" s="2238"/>
      <c r="AT39" s="2228"/>
      <c r="AU39" s="2228"/>
      <c r="AV39" s="2228"/>
      <c r="AW39" s="2230"/>
      <c r="AX39" s="2248"/>
      <c r="AY39" s="2248"/>
      <c r="AZ39" s="2248"/>
      <c r="BA39" s="2232"/>
      <c r="BB39" s="2230"/>
      <c r="BC39" s="2228"/>
      <c r="BD39" s="2228"/>
      <c r="BE39" s="2228"/>
      <c r="BF39" s="2228"/>
      <c r="BG39" s="2249"/>
      <c r="BH39" s="2228"/>
      <c r="BI39" s="2228"/>
      <c r="BJ39" s="2228"/>
      <c r="BK39" s="2228"/>
      <c r="BL39" s="2250"/>
      <c r="BM39" s="2228"/>
      <c r="BN39" s="2228"/>
      <c r="BO39" s="2228"/>
      <c r="BP39" s="2228"/>
      <c r="BQ39" s="2249"/>
      <c r="BR39" s="2228"/>
      <c r="BS39" s="2228"/>
      <c r="BT39" s="2228"/>
      <c r="BU39" s="2251"/>
      <c r="BV39" s="2249"/>
      <c r="BW39" s="2228"/>
      <c r="BX39" s="2228"/>
      <c r="BY39" s="2228"/>
      <c r="BZ39" s="2251"/>
      <c r="CA39" s="2249"/>
      <c r="CB39" s="2228"/>
      <c r="CC39" s="2228"/>
      <c r="CD39" s="2228"/>
      <c r="CE39" s="2228"/>
      <c r="CF39" s="2249"/>
      <c r="CG39" s="2228"/>
      <c r="CH39" s="2228"/>
      <c r="CI39" s="2228"/>
      <c r="CJ39" s="2228"/>
      <c r="CK39" s="2249"/>
      <c r="CL39" s="2228"/>
      <c r="CM39" s="2228"/>
      <c r="CN39" s="2228"/>
      <c r="CO39" s="2228"/>
      <c r="CP39" s="2249"/>
      <c r="CQ39" s="2228"/>
      <c r="CR39" s="2228"/>
      <c r="CS39" s="2228"/>
      <c r="CT39" s="2228"/>
      <c r="CU39" s="2249"/>
      <c r="CV39" s="2228"/>
      <c r="CW39" s="2228"/>
      <c r="CX39" s="2228"/>
      <c r="CY39" s="2228"/>
      <c r="CZ39" s="2249"/>
      <c r="DA39" s="2228"/>
      <c r="DB39" s="2228"/>
      <c r="DC39" s="2228"/>
      <c r="DD39" s="2228"/>
      <c r="DE39" s="2249"/>
      <c r="DF39" s="2228"/>
      <c r="DG39" s="2228"/>
      <c r="DH39" s="2228"/>
      <c r="DI39" s="2228"/>
      <c r="DJ39" s="2249"/>
      <c r="DK39" s="2228"/>
      <c r="DL39" s="2228"/>
      <c r="DM39" s="2228"/>
      <c r="DN39" s="2228"/>
      <c r="DO39" s="2249"/>
      <c r="DP39" s="2228"/>
      <c r="DQ39" s="2228"/>
      <c r="DR39" s="2228"/>
      <c r="DS39" s="2228"/>
      <c r="DT39" s="2249"/>
      <c r="DU39" s="2228"/>
      <c r="DV39" s="2228"/>
      <c r="DW39" s="2228"/>
      <c r="DX39" s="2228"/>
      <c r="DY39" s="2249"/>
      <c r="DZ39" s="2227"/>
      <c r="EA39" s="2227"/>
    </row>
    <row r="40" spans="1:143" x14ac:dyDescent="0.2">
      <c r="A40" s="2252"/>
      <c r="B40" s="2253" t="s">
        <v>983</v>
      </c>
      <c r="C40" s="2254"/>
      <c r="D40" s="2254"/>
      <c r="E40" s="2255" t="str">
        <f>IF(ISERROR(IS!E148*IS!E35),"NM",IS!E148*IS!E35)</f>
        <v>NM</v>
      </c>
      <c r="F40" s="2255" t="str">
        <f>IF(ISERROR(IS!F148*IS!F35),"NM",IS!F148*IS!F35)</f>
        <v>NM</v>
      </c>
      <c r="G40" s="2255" t="str">
        <f>IF(ISERROR(IS!G148*IS!G35),"NM",IS!G148*IS!G35)</f>
        <v>NM</v>
      </c>
      <c r="H40" s="2255" t="str">
        <f>IF(ISERROR(IS!H148*IS!H35),"NM",IS!H148*IS!H35)</f>
        <v>NM</v>
      </c>
      <c r="I40" s="2256">
        <f>IS!I148*IS!I35</f>
        <v>0.7937583030511941</v>
      </c>
      <c r="J40" s="2255" t="str">
        <f>IF(ISERROR(IS!J148*IS!J35),"NM",IS!J148*IS!J35)</f>
        <v>NM</v>
      </c>
      <c r="K40" s="2255" t="str">
        <f>IF(ISERROR(IS!K148*IS!K35),"NM",IS!K148*IS!K35)</f>
        <v>NM</v>
      </c>
      <c r="L40" s="2255" t="str">
        <f>IF(ISERROR(IS!L148*IS!L35),"NM",IS!L148*IS!L35)</f>
        <v>NM</v>
      </c>
      <c r="M40" s="2255" t="str">
        <f>IF(ISERROR(IS!M148*IS!M35),"NM",IS!M148*IS!M35)</f>
        <v>NM</v>
      </c>
      <c r="N40" s="2256">
        <f>IS!N148*IS!N35</f>
        <v>0.5021290299996517</v>
      </c>
      <c r="O40" s="2257">
        <f>IS!O148*IS!O35</f>
        <v>0.16034547268645608</v>
      </c>
      <c r="P40" s="2257">
        <f>IS!P148*IS!P35</f>
        <v>0.21677901672579858</v>
      </c>
      <c r="Q40" s="2257">
        <f>IS!Q148*IS!Q35</f>
        <v>0.13052259530421581</v>
      </c>
      <c r="R40" s="2257">
        <f>IS!R148*IS!R35</f>
        <v>0.17472392638036865</v>
      </c>
      <c r="S40" s="2256">
        <f>IS!S148*IS!S35</f>
        <v>0.66895762215074606</v>
      </c>
      <c r="T40" s="2257">
        <f>IS!T148*IS!T35</f>
        <v>0.19769720725134809</v>
      </c>
      <c r="U40" s="2257">
        <f>IS!U148*IS!U35</f>
        <v>0.19451920724247684</v>
      </c>
      <c r="V40" s="2257">
        <f>IS!V148*IS!V35</f>
        <v>0.14820396885204776</v>
      </c>
      <c r="W40" s="2257">
        <f>IS!W148*IS!W35</f>
        <v>0.22287533676218449</v>
      </c>
      <c r="X40" s="2256">
        <f>IS!X148*IS!X35</f>
        <v>0.74578976677236786</v>
      </c>
      <c r="Y40" s="2257">
        <f>IS!Y148*IS!Y35</f>
        <v>0.23028739867354345</v>
      </c>
      <c r="Z40" s="2257">
        <f>IS!Z148*IS!Z35</f>
        <v>0.22401960784313751</v>
      </c>
      <c r="AA40" s="2257">
        <f>IS!AA148*IS!AA35</f>
        <v>0.1664944785276079</v>
      </c>
      <c r="AB40" s="2257">
        <f>IS!AB148*IS!AB35</f>
        <v>0.25158613958028198</v>
      </c>
      <c r="AC40" s="2256">
        <f>IS!AC148*IS!AC35</f>
        <v>0.84935056117767505</v>
      </c>
      <c r="AD40" s="2257">
        <f>IS!AD148*IS!AD35</f>
        <v>0.26501337223437949</v>
      </c>
      <c r="AE40" s="2257">
        <f>IS!AE148*IS!AE35</f>
        <v>0.23631719776210117</v>
      </c>
      <c r="AF40" s="2257">
        <f>IS!AF148*IS!AF35</f>
        <v>0.14778325123152722</v>
      </c>
      <c r="AG40" s="2257">
        <f>IS!AG148*IS!AG35</f>
        <v>-0.16894803548795978</v>
      </c>
      <c r="AH40" s="2256">
        <f>IS!AH148*IS!AH35</f>
        <v>0.47128560137070014</v>
      </c>
      <c r="AI40" s="2257">
        <f>IS!AI148*IS!AI35</f>
        <v>0.20297090968639536</v>
      </c>
      <c r="AJ40" s="2257">
        <f>IS!AJ148*IS!AJ35</f>
        <v>0.19965914540105539</v>
      </c>
      <c r="AK40" s="2257">
        <f>IS!AK148*IS!AK35</f>
        <v>0.18508159735077276</v>
      </c>
      <c r="AL40" s="2257">
        <f>IS!AL148*IS!AL35</f>
        <v>0.24187192118226569</v>
      </c>
      <c r="AM40" s="2256">
        <f>IS!AM148*IS!AM35</f>
        <v>0.81438585075064296</v>
      </c>
      <c r="AN40" s="2257">
        <f>IS!AN148*IS!AN35</f>
        <v>0.21985636910666426</v>
      </c>
      <c r="AO40" s="2257">
        <f>IS!AO148*IS!AO35</f>
        <v>0.22411559417971436</v>
      </c>
      <c r="AP40" s="2257">
        <f>IS!AP148*IS!AP35</f>
        <v>0.20786396203624849</v>
      </c>
      <c r="AQ40" s="2257">
        <f>IS!AQ148*IS!AQ35</f>
        <v>0.31621226874391378</v>
      </c>
      <c r="AR40" s="2256">
        <f>IS!AR148*IS!AR35</f>
        <v>0.94877403842262509</v>
      </c>
      <c r="AS40" s="2257">
        <f>IS!AS148*IS!AS35</f>
        <v>0.27424314090840773</v>
      </c>
      <c r="AT40" s="2257">
        <f>IS!AT148*IS!AT35</f>
        <v>0.26062095489395593</v>
      </c>
      <c r="AU40" s="2257">
        <f>IS!AU148*IS!AU35</f>
        <v>0.19448522699610529</v>
      </c>
      <c r="AV40" s="2257">
        <f>IS!AV148*IS!AV35</f>
        <v>0.30112413298253887</v>
      </c>
      <c r="AW40" s="2256">
        <f>IS!AW148*IS!AW35</f>
        <v>0.98908328899495657</v>
      </c>
      <c r="AX40" s="2257">
        <f>IS!AX148*IS!AX35</f>
        <v>0.30642357277359228</v>
      </c>
      <c r="AY40" s="2257">
        <f>IS!AY148*IS!AY35</f>
        <v>0.28582736353269406</v>
      </c>
      <c r="AZ40" s="2257">
        <f>IS!AZ148*IS!AZ35</f>
        <v>0.25782056000679471</v>
      </c>
      <c r="BA40" s="2257">
        <f>IS!BA148*IS!BA35</f>
        <v>0.47764733783944036</v>
      </c>
      <c r="BB40" s="2256">
        <f>IS!BB148*IS!BB35</f>
        <v>1.2800393760643669</v>
      </c>
      <c r="BC40" s="2257">
        <f>IS!BC148*IS!BC35</f>
        <v>0.34570757967699717</v>
      </c>
      <c r="BD40" s="2257">
        <f>IS!BD148*IS!BD35</f>
        <v>0.34812851827775493</v>
      </c>
      <c r="BE40" s="2257">
        <f>IS!BE148*IS!BE35</f>
        <v>0.27270440581392874</v>
      </c>
      <c r="BF40" s="2257">
        <f>IS!BF148*IS!BF35</f>
        <v>0.4251774638785667</v>
      </c>
      <c r="BG40" s="2256">
        <f>IS!BG148*IS!BG35</f>
        <v>1.2227203901325301</v>
      </c>
      <c r="BH40" s="2257">
        <f>IS!BH148*IS!BH35</f>
        <v>0.37176948425565293</v>
      </c>
      <c r="BI40" s="2257">
        <f>IS!BI148*IS!BI35</f>
        <v>0.25940282617040161</v>
      </c>
      <c r="BJ40" s="2257">
        <f>IS!BJ148*IS!BJ35</f>
        <v>0.21871774212016415</v>
      </c>
      <c r="BK40" s="2257">
        <f>IS!BK148*IS!BK35</f>
        <v>0.26729176345854666</v>
      </c>
      <c r="BL40" s="2256">
        <f>IS!BL148*IS!BL35</f>
        <v>1.0734995746161164</v>
      </c>
      <c r="BM40" s="2257">
        <f>IS!BM148*IS!BM35</f>
        <v>0.30791422162754467</v>
      </c>
      <c r="BN40" s="2257">
        <f>IS!BN148*IS!BN35</f>
        <v>0.3279908339357549</v>
      </c>
      <c r="BO40" s="2257">
        <f>IS!BO148*IS!BO35</f>
        <v>0.30557163055695197</v>
      </c>
      <c r="BP40" s="2257">
        <f>IS!BP148*IS!BP35</f>
        <v>0.3658489721419349</v>
      </c>
      <c r="BQ40" s="2256">
        <f>IS!BQ148*IS!BQ35</f>
        <v>1.3087593898931398</v>
      </c>
      <c r="BR40" s="2257">
        <f>IS!BR148*IS!BR35</f>
        <v>0.32611742639898678</v>
      </c>
      <c r="BS40" s="2257">
        <f>IS!BS148*IS!BS35</f>
        <v>0.36389482767460407</v>
      </c>
      <c r="BT40" s="2257">
        <f>IS!BT148*IS!BT35</f>
        <v>0.31958434462149143</v>
      </c>
      <c r="BU40" s="2257">
        <f>IS!BU148*IS!BU35</f>
        <v>0.43923362803609578</v>
      </c>
      <c r="BV40" s="2256">
        <f>IS!BV148*IS!BV35</f>
        <v>1.4458762594617576</v>
      </c>
      <c r="BW40" s="2257">
        <f>IS!BW148*IS!BW35</f>
        <v>0.36588553170185822</v>
      </c>
      <c r="BX40" s="2257">
        <f>IS!BX148*IS!BX35</f>
        <v>0.39008912307106774</v>
      </c>
      <c r="BY40" s="2257">
        <f>IS!BY148*IS!BY35</f>
        <v>0.3678491394067665</v>
      </c>
      <c r="BZ40" s="2257">
        <f>IS!BZ148*IS!BZ35</f>
        <v>0.51818181818181819</v>
      </c>
      <c r="CA40" s="2256">
        <f>IS!CA148*IS!CA35</f>
        <v>1.6398750655900396</v>
      </c>
      <c r="CB40" s="2257">
        <f>IS!CB148*IS!CB35</f>
        <v>0.38177089974463857</v>
      </c>
      <c r="CC40" s="2257">
        <f>IS!CC148*IS!CC35</f>
        <v>0.43790919823977681</v>
      </c>
      <c r="CD40" s="2257">
        <f>IS!CD148*IS!CD35</f>
        <v>0.40820098943484823</v>
      </c>
      <c r="CE40" s="2255">
        <f>IS!CE148*IS!CE35</f>
        <v>0.55978488819301386</v>
      </c>
      <c r="CF40" s="2258">
        <f>IS!CF148*IS!CF35</f>
        <v>1.7848421421449605</v>
      </c>
      <c r="CG40" s="2255">
        <f>IS!CG148*IS!CG35</f>
        <v>0.46712404170770272</v>
      </c>
      <c r="CH40" s="2255">
        <f>IS!CH148*IS!CH35</f>
        <v>0.55678801728662497</v>
      </c>
      <c r="CI40" s="2255">
        <f>IS!CI148*IS!CI35</f>
        <v>0.49569516457024626</v>
      </c>
      <c r="CJ40" s="2255">
        <f>IS!CJ148*IS!CJ35</f>
        <v>0.546292997700913</v>
      </c>
      <c r="CK40" s="2258">
        <f>IS!CK148*IS!CK35</f>
        <v>2.2423144862513604</v>
      </c>
      <c r="CL40" s="2255">
        <f>IS!CL148*IS!CL35</f>
        <v>0.58154349825620699</v>
      </c>
      <c r="CM40" s="2255">
        <f>IS!CM148*IS!CM35</f>
        <v>0.63813662123292481</v>
      </c>
      <c r="CN40" s="2255">
        <f>IS!CN148*IS!CN35</f>
        <v>0.56749565772871557</v>
      </c>
      <c r="CO40" s="2255">
        <f>IS!CO148*IS!CO35</f>
        <v>0.6845780754766283</v>
      </c>
      <c r="CP40" s="2258">
        <f ca="1">IS!CP148*IS!CP35</f>
        <v>2.4701904735579938</v>
      </c>
      <c r="CQ40" s="2255">
        <f>IS!CQ148*IS!CQ35</f>
        <v>0.66296064228728069</v>
      </c>
      <c r="CR40" s="2255">
        <f>IS!CR148*IS!CR35</f>
        <v>0.67098455820473213</v>
      </c>
      <c r="CS40" s="2255">
        <f>IS!CS148*IS!CS35</f>
        <v>0.60709885993826218</v>
      </c>
      <c r="CT40" s="2255">
        <f>IS!CT148*IS!CT35</f>
        <v>0.73064271084249177</v>
      </c>
      <c r="CU40" s="2258">
        <f>IS!CU148*IS!CU35</f>
        <v>2.6727057413008763</v>
      </c>
      <c r="CV40" s="2255">
        <f>IS!CV148*IS!CV35</f>
        <v>0.72270356613979103</v>
      </c>
      <c r="CW40" s="2255">
        <f>IS!CW148*IS!CW35</f>
        <v>0.69144723154022314</v>
      </c>
      <c r="CX40" s="2255">
        <f>IS!CX148*IS!CX35</f>
        <v>0.66867766458504063</v>
      </c>
      <c r="CY40" s="2255">
        <f>IS!CY148*IS!CY35</f>
        <v>0.88748594794835467</v>
      </c>
      <c r="CZ40" s="2258">
        <f>IS!CZ148*IS!CZ35</f>
        <v>2.9660116343347624</v>
      </c>
      <c r="DA40" s="2255">
        <f>IS!DA148*IS!DA35</f>
        <v>0.70527839809235104</v>
      </c>
      <c r="DB40" s="2255">
        <f>IS!DB148*IS!DB35</f>
        <v>0.72176016793028686</v>
      </c>
      <c r="DC40" s="2255">
        <f>IS!DC148*IS!DC35</f>
        <v>0.81255620924706917</v>
      </c>
      <c r="DD40" s="2255">
        <f>IS!DD148*IS!DD35</f>
        <v>0.95070256102102335</v>
      </c>
      <c r="DE40" s="2258">
        <f>IS!DE148*IS!DE35</f>
        <v>3.1956273376883697</v>
      </c>
      <c r="DF40" s="2255">
        <f>IS!DF148*IS!DF35</f>
        <v>0.66476243302034421</v>
      </c>
      <c r="DG40" s="2255">
        <f>IS!DG148*IS!DG35</f>
        <v>0.66185299592735514</v>
      </c>
      <c r="DH40" s="2255">
        <f>IS!DH148*IS!DH35</f>
        <v>0.70043708610436028</v>
      </c>
      <c r="DI40" s="2255">
        <v>1.1008141675943917</v>
      </c>
      <c r="DJ40" s="2258">
        <f>IS!DJ148*IS!DJ35</f>
        <v>3.0442307120046488</v>
      </c>
      <c r="DK40" s="2255">
        <f ca="1">IS!DK148*IS!DK35</f>
        <v>0.84730331553935767</v>
      </c>
      <c r="DL40" s="2255">
        <f ca="1">IS!DL148*IS!DL35</f>
        <v>0.71454051473261482</v>
      </c>
      <c r="DM40" s="2255">
        <f ca="1">IS!DM148*IS!DM35</f>
        <v>0.71044671423687444</v>
      </c>
      <c r="DN40" s="2255">
        <f ca="1">IS!DN148*IS!DN35</f>
        <v>1.0040375306548521</v>
      </c>
      <c r="DO40" s="2258">
        <f ca="1">IS!DO148*IS!DO35</f>
        <v>3.2666728310386146</v>
      </c>
      <c r="DP40" s="2255">
        <f ca="1">IS!DP148*IS!DP35</f>
        <v>0.76485433608215891</v>
      </c>
      <c r="DQ40" s="2255">
        <f ca="1">IS!DQ148*IS!DQ35</f>
        <v>0.75387518741909387</v>
      </c>
      <c r="DR40" s="2255">
        <f ca="1">IS!DR148*IS!DR35</f>
        <v>0.73100638455753086</v>
      </c>
      <c r="DS40" s="2255">
        <f ca="1">IS!DS148*IS!DS35</f>
        <v>1.0356357649192023</v>
      </c>
      <c r="DT40" s="2258">
        <f ca="1">IS!DT148*IS!DT35</f>
        <v>3.2917155067713062</v>
      </c>
      <c r="DU40" s="2255">
        <f ca="1">IS!DU148*IS!DU35</f>
        <v>0.80394005858202144</v>
      </c>
      <c r="DV40" s="2255">
        <f ca="1">IS!DV148*IS!DV35</f>
        <v>0.78968842658456784</v>
      </c>
      <c r="DW40" s="2255">
        <f ca="1">IS!DW148*IS!DW35</f>
        <v>0.76521140881938154</v>
      </c>
      <c r="DX40" s="2255">
        <f ca="1">IS!DX148*IS!DX35</f>
        <v>1.0743428808745026</v>
      </c>
      <c r="DY40" s="2258">
        <f ca="1">IS!DY148*IS!DY35</f>
        <v>3.4394861714149259</v>
      </c>
      <c r="DZ40" s="2254"/>
      <c r="EA40" s="2254"/>
    </row>
    <row r="41" spans="1:143" ht="12" thickBot="1" x14ac:dyDescent="0.25">
      <c r="A41" s="2252"/>
      <c r="B41" s="2259" t="s">
        <v>984</v>
      </c>
      <c r="C41" s="2260"/>
      <c r="D41" s="2260"/>
      <c r="E41" s="2261" t="str">
        <f>IF(ISERROR(IS!E148*IS!E39),"NM",IS!E148*IS!E39)</f>
        <v>NM</v>
      </c>
      <c r="F41" s="2261" t="str">
        <f>IF(ISERROR(IS!F148*IS!F39),"NM",IS!F148*IS!F39)</f>
        <v>NM</v>
      </c>
      <c r="G41" s="2261" t="str">
        <f>IF(ISERROR(IS!G148*IS!G39),"NM",IS!G148*IS!G39)</f>
        <v>NM</v>
      </c>
      <c r="H41" s="2261" t="str">
        <f>IF(ISERROR(IS!H148*IS!H39),"NM",IS!H148*IS!H39)</f>
        <v>NM</v>
      </c>
      <c r="I41" s="2262">
        <f>IS!I148*IS!I39</f>
        <v>0.81252710023653729</v>
      </c>
      <c r="J41" s="2261" t="str">
        <f>IF(ISERROR(IS!J148*IS!J39),"NM",IS!J148*IS!J39)</f>
        <v>NM</v>
      </c>
      <c r="K41" s="2261" t="str">
        <f>IF(ISERROR(IS!K148*IS!K39),"NM",IS!K148*IS!K39)</f>
        <v>NM</v>
      </c>
      <c r="L41" s="2261" t="str">
        <f>IF(ISERROR(IS!L148*IS!L39),"NM",IS!L148*IS!L39)</f>
        <v>NM</v>
      </c>
      <c r="M41" s="2261" t="str">
        <f>IF(ISERROR(IS!M148*IS!M39),"NM",IS!M148*IS!M39)</f>
        <v>NM</v>
      </c>
      <c r="N41" s="2262">
        <f>IS!N148*IS!N39</f>
        <v>0.51897454997931369</v>
      </c>
      <c r="O41" s="2263">
        <f>IS!O148*IS!O39</f>
        <v>0.16034547268645608</v>
      </c>
      <c r="P41" s="2263">
        <f>IS!P148*IS!P39</f>
        <v>0.21677901672579858</v>
      </c>
      <c r="Q41" s="2263">
        <f>IS!Q148*IS!Q39</f>
        <v>0.13052259530421581</v>
      </c>
      <c r="R41" s="2263">
        <f>IS!R148*IS!R39</f>
        <v>0.17472392638036865</v>
      </c>
      <c r="S41" s="2262">
        <f>IS!S148*IS!S39</f>
        <v>0.68551284550183367</v>
      </c>
      <c r="T41" s="2263">
        <f>IS!T148*IS!T39</f>
        <v>0.19769720725134809</v>
      </c>
      <c r="U41" s="2263">
        <f>IS!U148*IS!U39</f>
        <v>0.19451920724247684</v>
      </c>
      <c r="V41" s="2263">
        <f>IS!V148*IS!V39</f>
        <v>0.14820396885204776</v>
      </c>
      <c r="W41" s="2263">
        <f>IS!W148*IS!W39</f>
        <v>0.22287533676218449</v>
      </c>
      <c r="X41" s="2262">
        <f>IS!X148*IS!X39</f>
        <v>0.76346080089801871</v>
      </c>
      <c r="Y41" s="2263">
        <f>IS!Y148*IS!Y39</f>
        <v>0.23028739867354345</v>
      </c>
      <c r="Z41" s="2263">
        <f>IS!Z148*IS!Z39</f>
        <v>0.22401960784313751</v>
      </c>
      <c r="AA41" s="2263">
        <f>IS!AA148*IS!AA39</f>
        <v>0.1664944785276079</v>
      </c>
      <c r="AB41" s="2263">
        <f>IS!AB148*IS!AB39</f>
        <v>0.25158613958028198</v>
      </c>
      <c r="AC41" s="2262">
        <f>IS!AC148*IS!AC39</f>
        <v>0.90088922467544075</v>
      </c>
      <c r="AD41" s="2263">
        <f>IS!AD148*IS!AD39</f>
        <v>0.26501337223437949</v>
      </c>
      <c r="AE41" s="2263">
        <f>IS!AE148*IS!AE39</f>
        <v>0.23631719776210117</v>
      </c>
      <c r="AF41" s="2263">
        <f>IS!AF148*IS!AF39</f>
        <v>0.14778325123152722</v>
      </c>
      <c r="AG41" s="2263">
        <f>IS!AG148*IS!AG39</f>
        <v>-0.16894803548795978</v>
      </c>
      <c r="AH41" s="2262">
        <f>IS!AH148*IS!AH39</f>
        <v>0.52491377326349364</v>
      </c>
      <c r="AI41" s="2263">
        <f>IS!AI148*IS!AI39</f>
        <v>0.20297090968639536</v>
      </c>
      <c r="AJ41" s="2263">
        <f>IS!AJ148*IS!AJ39</f>
        <v>0.19965914540105539</v>
      </c>
      <c r="AK41" s="2263">
        <f>IS!AK148*IS!AK39</f>
        <v>0.18508159735077276</v>
      </c>
      <c r="AL41" s="2263">
        <f>IS!AL148*IS!AL39</f>
        <v>0.24187192118226569</v>
      </c>
      <c r="AM41" s="2262">
        <f>IS!AM148*IS!AM39</f>
        <v>0.86990773111175268</v>
      </c>
      <c r="AN41" s="2263">
        <f>IS!AN148*IS!AN39</f>
        <v>0.21985636910666426</v>
      </c>
      <c r="AO41" s="2263">
        <f>IS!AO148*IS!AO39</f>
        <v>0.22411559417971436</v>
      </c>
      <c r="AP41" s="2263">
        <f>IS!AP148*IS!AP39</f>
        <v>0.20786396203624849</v>
      </c>
      <c r="AQ41" s="2263">
        <f>IS!AQ148*IS!AQ39</f>
        <v>0.31621226874391378</v>
      </c>
      <c r="AR41" s="2262">
        <f>IS!AR148*IS!AR39</f>
        <v>1.0097667897851648</v>
      </c>
      <c r="AS41" s="2263">
        <f>IS!AS148*IS!AS39</f>
        <v>0.27424314090840773</v>
      </c>
      <c r="AT41" s="2263">
        <f>IS!AT148*IS!AT39</f>
        <v>0.26062095489395593</v>
      </c>
      <c r="AU41" s="2263">
        <f>IS!AU148*IS!AU39</f>
        <v>0.19448522699610529</v>
      </c>
      <c r="AV41" s="2263">
        <f>IS!AV148*IS!AV39</f>
        <v>0.30112413298253887</v>
      </c>
      <c r="AW41" s="2262">
        <f>IS!AW148*IS!AW39</f>
        <v>1.0736026289287002</v>
      </c>
      <c r="AX41" s="2263">
        <f>IS!AX148*IS!AX39</f>
        <v>0.30642357277359228</v>
      </c>
      <c r="AY41" s="2263">
        <f>IS!AY148*IS!AY39</f>
        <v>0.28582736353269406</v>
      </c>
      <c r="AZ41" s="2263">
        <f>IS!AZ148*IS!AZ39</f>
        <v>0.25782056000679471</v>
      </c>
      <c r="BA41" s="2263">
        <f>IS!BA148*IS!BA39</f>
        <v>0.47764733783944036</v>
      </c>
      <c r="BB41" s="2262">
        <f>IS!BB148*IS!BB39</f>
        <v>1.3821824722154501</v>
      </c>
      <c r="BC41" s="2263">
        <f>IS!BC148*IS!BC39</f>
        <v>0.34570757967699717</v>
      </c>
      <c r="BD41" s="2263">
        <f>IS!BD148*IS!BD39</f>
        <v>0.34812851827775493</v>
      </c>
      <c r="BE41" s="2263">
        <f>IS!BE148*IS!BE39</f>
        <v>0.27270440581392874</v>
      </c>
      <c r="BF41" s="2263">
        <f>IS!BF148*IS!BF39</f>
        <v>0.4251774638785667</v>
      </c>
      <c r="BG41" s="2262">
        <f>IS!BG148*IS!BG39</f>
        <v>1.3331975347786946</v>
      </c>
      <c r="BH41" s="2263">
        <f>IS!BH148*IS!BH39</f>
        <v>0.39819929634128004</v>
      </c>
      <c r="BI41" s="2263">
        <f>IS!BI148*IS!BI39</f>
        <v>0.28380418167498361</v>
      </c>
      <c r="BJ41" s="2263">
        <f>IS!BJ148*IS!BJ39</f>
        <v>0.23961004255788521</v>
      </c>
      <c r="BK41" s="2263">
        <f>IS!BK148*IS!BK39</f>
        <v>0.28251847772814004</v>
      </c>
      <c r="BL41" s="2262">
        <f>IS!BL148*IS!BL39</f>
        <v>1.1646669935597136</v>
      </c>
      <c r="BM41" s="2263">
        <f>IS!BM148*IS!BM39</f>
        <v>0.33380110045562539</v>
      </c>
      <c r="BN41" s="2263">
        <f>IS!BN148*IS!BN39</f>
        <v>0.35306185446053967</v>
      </c>
      <c r="BO41" s="2263">
        <f>IS!BO148*IS!BO39</f>
        <v>0.32922938383768918</v>
      </c>
      <c r="BP41" s="2263">
        <f>IS!BP148*IS!BP39</f>
        <v>0.39309009255270844</v>
      </c>
      <c r="BQ41" s="2262">
        <f>IS!BQ148*IS!BQ39</f>
        <v>1.410609263185042</v>
      </c>
      <c r="BR41" s="2263">
        <f>IS!BR148*IS!BR39</f>
        <v>0.35450186760851732</v>
      </c>
      <c r="BS41" s="2263">
        <f>IS!BS148*IS!BS39</f>
        <v>0.39042238729786993</v>
      </c>
      <c r="BT41" s="2263">
        <f>IS!BT148*IS!BT39</f>
        <v>0.34350168175621604</v>
      </c>
      <c r="BU41" s="2263">
        <f>IS!BU148*IS!BU39</f>
        <v>0.46614989666291051</v>
      </c>
      <c r="BV41" s="2262">
        <f>IS!BV148*IS!BV39</f>
        <v>1.5510166703268511</v>
      </c>
      <c r="BW41" s="2263">
        <f>IS!BW148*IS!BW39</f>
        <v>0.39585275543718978</v>
      </c>
      <c r="BX41" s="2263">
        <f>IS!BX148*IS!BX39</f>
        <v>0.42035958210879326</v>
      </c>
      <c r="BY41" s="2263">
        <f>IS!BY148*IS!BY39</f>
        <v>0.39734261160864531</v>
      </c>
      <c r="BZ41" s="2263">
        <f>IS!BZ148*IS!BZ39</f>
        <v>0.55243128964059196</v>
      </c>
      <c r="CA41" s="2262">
        <f>IS!CA148*IS!CA39</f>
        <v>1.7642713443263953</v>
      </c>
      <c r="CB41" s="2263">
        <f>IS!CB148*IS!CB39</f>
        <v>0.41615298587287286</v>
      </c>
      <c r="CC41" s="2263">
        <f>IS!CC148*IS!CC39</f>
        <v>0.47510863832869965</v>
      </c>
      <c r="CD41" s="2263">
        <f>IS!CD148*IS!CD39</f>
        <v>0.4419082789753046</v>
      </c>
      <c r="CE41" s="2261">
        <f>IS!CE148*IS!CE39</f>
        <v>0.59532965693460038</v>
      </c>
      <c r="CF41" s="2264">
        <f>IS!CF148*IS!CF39</f>
        <v>1.9252338977903163</v>
      </c>
      <c r="CG41" s="2261">
        <f>IS!CG148*IS!CG39</f>
        <v>0.51045787576549262</v>
      </c>
      <c r="CH41" s="2261">
        <f>IS!CH148*IS!CH39</f>
        <v>0.60066309370422721</v>
      </c>
      <c r="CI41" s="2261">
        <f>IS!CI148*IS!CI39</f>
        <v>0.53150034213917041</v>
      </c>
      <c r="CJ41" s="2261">
        <f>IS!CJ148*IS!CJ39</f>
        <v>0.68694142837205541</v>
      </c>
      <c r="CK41" s="2264">
        <f>IS!CK148*IS!CK39</f>
        <v>2.3291522323632305</v>
      </c>
      <c r="CL41" s="2261">
        <f>IS!CL148*IS!CL39</f>
        <v>0.62716668065078396</v>
      </c>
      <c r="CM41" s="2261">
        <f>IS!CM148*IS!CM39</f>
        <v>0.68032653239347329</v>
      </c>
      <c r="CN41" s="2261">
        <f>IS!CN148*IS!CN39</f>
        <v>0.62773018657248303</v>
      </c>
      <c r="CO41" s="2261">
        <f>IS!CO148*IS!CO39</f>
        <v>0.72505107582886552</v>
      </c>
      <c r="CP41" s="2264">
        <f ca="1">IS!CP148*IS!CP39</f>
        <v>2.6607356690829631</v>
      </c>
      <c r="CQ41" s="2261">
        <f>IS!CQ148*IS!CQ39</f>
        <v>0.74325425139957002</v>
      </c>
      <c r="CR41" s="2261">
        <f>IS!CR148*IS!CR39</f>
        <v>0.74603813048820822</v>
      </c>
      <c r="CS41" s="2261">
        <f>IS!CS148*IS!CS39</f>
        <v>0.670444819898801</v>
      </c>
      <c r="CT41" s="2261">
        <f>IS!CT148*IS!CT39</f>
        <v>0.80077521337811852</v>
      </c>
      <c r="CU41" s="2264">
        <f>IS!CU148*IS!CU39</f>
        <v>2.9608141314726604</v>
      </c>
      <c r="CV41" s="2261">
        <f>IS!CV148*IS!CV39</f>
        <v>0.79914158535218061</v>
      </c>
      <c r="CW41" s="2261">
        <f>IS!CW148*IS!CW39</f>
        <v>0.78091567767045855</v>
      </c>
      <c r="CX41" s="2261">
        <f>IS!CX148*IS!CX39</f>
        <v>0.75204228494271008</v>
      </c>
      <c r="CY41" s="2261">
        <f>IS!CY148*IS!CY39</f>
        <v>0.99326778515962211</v>
      </c>
      <c r="CZ41" s="2264">
        <f>IS!CZ148*IS!CZ39</f>
        <v>3.3245066402965371</v>
      </c>
      <c r="DA41" s="2261">
        <f>IS!DA148*IS!DA39</f>
        <v>0.8221718792311129</v>
      </c>
      <c r="DB41" s="2261">
        <f>IS!DB148*IS!DB39</f>
        <v>0.83402091066211481</v>
      </c>
      <c r="DC41" s="2261">
        <f>IS!DC148*IS!DC39</f>
        <v>0.90888912379410058</v>
      </c>
      <c r="DD41" s="2261">
        <f>IS!DD148*IS!DD39</f>
        <v>1.0634159201040043</v>
      </c>
      <c r="DE41" s="2264">
        <f>IS!DE148*IS!DE39</f>
        <v>3.6359943067717708</v>
      </c>
      <c r="DF41" s="2261">
        <f>IS!DF148*IS!DF39</f>
        <v>0.78751889682119924</v>
      </c>
      <c r="DG41" s="2261">
        <f>IS!DG148*IS!DG39</f>
        <v>0.77048021936463951</v>
      </c>
      <c r="DH41" s="2261">
        <f>IS!DH148*IS!DH39</f>
        <v>0.80393153078106461</v>
      </c>
      <c r="DI41" s="2261">
        <v>1.1742487704376077</v>
      </c>
      <c r="DJ41" s="2264">
        <f>IS!DJ148*IS!DJ39</f>
        <v>3.5020285065222554</v>
      </c>
      <c r="DK41" s="2261">
        <f ca="1">IS!DK148*IS!DK39</f>
        <v>0.94851570054788847</v>
      </c>
      <c r="DL41" s="2261">
        <f ca="1">IS!DL148*IS!DL39</f>
        <v>0.79937815022205383</v>
      </c>
      <c r="DM41" s="2261">
        <f ca="1">IS!DM148*IS!DM39</f>
        <v>0.7860837721633368</v>
      </c>
      <c r="DN41" s="2261">
        <f ca="1">IS!DN148*IS!DN39</f>
        <v>1.0903309471895017</v>
      </c>
      <c r="DO41" s="2264">
        <f ca="1">IS!DO148*IS!DO39</f>
        <v>3.6121515858761355</v>
      </c>
      <c r="DP41" s="2261">
        <f ca="1">IS!DP148*IS!DP39</f>
        <v>0.86377697038325674</v>
      </c>
      <c r="DQ41" s="2261">
        <f ca="1">IS!DQ148*IS!DQ39</f>
        <v>0.83761171672990353</v>
      </c>
      <c r="DR41" s="2261">
        <f ca="1">IS!DR148*IS!DR39</f>
        <v>0.80544233086037087</v>
      </c>
      <c r="DS41" s="2261">
        <f ca="1">IS!DS148*IS!DS39</f>
        <v>1.1207610328238031</v>
      </c>
      <c r="DT41" s="2264">
        <f ca="1">IS!DT148*IS!DT39</f>
        <v>3.6317563185753001</v>
      </c>
      <c r="DU41" s="2261">
        <f ca="1">IS!DU148*IS!DU39</f>
        <v>0.90125307052213033</v>
      </c>
      <c r="DV41" s="2261">
        <f ca="1">IS!DV148*IS!DV39</f>
        <v>0.87179109626628415</v>
      </c>
      <c r="DW41" s="2261">
        <f ca="1">IS!DW148*IS!DW39</f>
        <v>0.83808257513622608</v>
      </c>
      <c r="DX41" s="2261">
        <f ca="1">IS!DX148*IS!DX39</f>
        <v>1.1578306187539331</v>
      </c>
      <c r="DY41" s="2264">
        <f ca="1">IS!DY148*IS!DY39</f>
        <v>3.7730214917472065</v>
      </c>
      <c r="DZ41" s="2254"/>
      <c r="EA41" s="2254"/>
    </row>
    <row r="42" spans="1:143" ht="12" thickBot="1" x14ac:dyDescent="0.25">
      <c r="A42" s="2225"/>
      <c r="B42" s="2265"/>
      <c r="C42" s="2265"/>
      <c r="D42" s="2265"/>
      <c r="E42" s="2266"/>
      <c r="F42" s="2266"/>
      <c r="G42" s="2266"/>
      <c r="H42" s="2265"/>
      <c r="I42" s="2266"/>
      <c r="J42" s="2266"/>
      <c r="K42" s="2266"/>
      <c r="L42" s="2266"/>
      <c r="M42" s="2266"/>
      <c r="N42" s="2266"/>
      <c r="O42" s="2266"/>
      <c r="P42" s="2266"/>
      <c r="Q42" s="2266"/>
      <c r="R42" s="2266"/>
      <c r="S42" s="2266"/>
      <c r="T42" s="2266"/>
      <c r="U42" s="2266"/>
      <c r="V42" s="2266"/>
      <c r="W42" s="2266"/>
      <c r="X42" s="2266"/>
      <c r="Y42" s="2266"/>
      <c r="Z42" s="2266"/>
      <c r="AA42" s="2266"/>
      <c r="AB42" s="2266"/>
      <c r="AC42" s="2266"/>
      <c r="AD42" s="2266"/>
      <c r="AE42" s="2266"/>
      <c r="AF42" s="2267"/>
      <c r="AG42" s="2266"/>
      <c r="AH42" s="2266"/>
      <c r="AI42" s="2267"/>
      <c r="AJ42" s="2267"/>
      <c r="AK42" s="2267"/>
      <c r="AL42" s="2266"/>
      <c r="AM42" s="2266"/>
      <c r="AN42" s="2267"/>
      <c r="AO42" s="2267"/>
      <c r="AP42" s="2267"/>
      <c r="AQ42" s="2266"/>
      <c r="AR42" s="2266"/>
      <c r="AS42" s="2268"/>
      <c r="AT42" s="2266"/>
      <c r="AU42" s="2266"/>
      <c r="AV42" s="2266"/>
      <c r="AW42" s="2266"/>
      <c r="AX42" s="2269"/>
      <c r="AY42" s="2269"/>
      <c r="AZ42" s="2269"/>
      <c r="BA42" s="2266"/>
      <c r="BB42" s="2266"/>
      <c r="BC42" s="2266"/>
      <c r="BD42" s="2266"/>
      <c r="BE42" s="2266"/>
      <c r="BF42" s="2266"/>
      <c r="BG42" s="2270"/>
      <c r="BH42" s="2266"/>
      <c r="BI42" s="2266"/>
      <c r="BJ42" s="2266"/>
      <c r="BK42" s="2266"/>
      <c r="BL42" s="2265"/>
      <c r="BM42" s="2266"/>
      <c r="BN42" s="2266"/>
      <c r="BO42" s="2266"/>
      <c r="BP42" s="2266"/>
      <c r="BQ42" s="2270"/>
      <c r="BR42" s="2266"/>
      <c r="BS42" s="2266"/>
      <c r="BT42" s="2266"/>
      <c r="BU42" s="2266"/>
      <c r="BV42" s="2270"/>
      <c r="BW42" s="2266"/>
      <c r="BX42" s="2266"/>
      <c r="BY42" s="2266"/>
      <c r="BZ42" s="2266"/>
      <c r="CA42" s="2271"/>
      <c r="CB42" s="2271"/>
      <c r="CC42" s="2266"/>
      <c r="CD42" s="1047"/>
      <c r="CE42" s="2271"/>
      <c r="CF42" s="2270"/>
      <c r="CG42" s="2266"/>
      <c r="CH42" s="2266"/>
      <c r="CI42" s="2266"/>
      <c r="CJ42" s="2266"/>
      <c r="CK42" s="2271"/>
      <c r="CL42" s="2266"/>
      <c r="CM42" s="2266"/>
      <c r="CN42" s="2272"/>
      <c r="CO42" s="2266"/>
      <c r="CP42" s="2270"/>
      <c r="CQ42" s="2266"/>
      <c r="CR42" s="2266"/>
      <c r="CS42" s="2266"/>
      <c r="CT42" s="2266"/>
      <c r="CU42" s="2270"/>
      <c r="CV42" s="2266"/>
      <c r="CW42" s="2266"/>
      <c r="CX42" s="2266"/>
      <c r="CY42" s="2266"/>
      <c r="CZ42" s="2270"/>
      <c r="DA42" s="2266"/>
      <c r="DB42" s="2266"/>
      <c r="DC42" s="2266"/>
      <c r="DD42" s="2266"/>
      <c r="DE42" s="2270"/>
      <c r="DF42" s="2266"/>
      <c r="DG42" s="2266"/>
      <c r="DH42" s="2266"/>
      <c r="DI42" s="2266"/>
      <c r="DJ42" s="2794">
        <f>DJ36*0.005</f>
        <v>34.490338469850016</v>
      </c>
      <c r="DK42" s="2266"/>
      <c r="DL42" s="2266"/>
      <c r="DM42" s="2266"/>
      <c r="DN42" s="2266"/>
      <c r="DO42" s="2271">
        <f>DO37-DJ37</f>
        <v>-5.4740382274943433E-3</v>
      </c>
      <c r="DP42" s="2266"/>
      <c r="DQ42" s="2266"/>
      <c r="DR42" s="2266"/>
      <c r="DS42" s="2266"/>
      <c r="DT42" s="2271">
        <f>DT37-DO37</f>
        <v>-3.5574785648809226E-4</v>
      </c>
      <c r="DU42" s="2266"/>
      <c r="DV42" s="2266"/>
      <c r="DW42" s="2266"/>
      <c r="DX42" s="2266"/>
      <c r="DY42" s="2271">
        <f>DY37-DT37</f>
        <v>-1.550870607417848E-4</v>
      </c>
      <c r="DZ42" s="2227"/>
      <c r="EA42" s="2227"/>
    </row>
    <row r="43" spans="1:143" ht="11.25" customHeight="1" x14ac:dyDescent="0.2">
      <c r="A43" s="2090"/>
      <c r="B43" s="2273" t="s">
        <v>985</v>
      </c>
      <c r="C43" s="2274"/>
      <c r="D43" s="2274"/>
      <c r="E43" s="2274"/>
      <c r="F43" s="2274"/>
      <c r="G43" s="2275"/>
      <c r="H43" s="2274"/>
      <c r="I43" s="2276"/>
      <c r="J43" s="2274"/>
      <c r="K43" s="2274"/>
      <c r="L43" s="2275"/>
      <c r="M43" s="2275"/>
      <c r="N43" s="2276"/>
      <c r="O43" s="2274"/>
      <c r="P43" s="2274"/>
      <c r="Q43" s="2275"/>
      <c r="R43" s="2275"/>
      <c r="S43" s="2276"/>
      <c r="T43" s="2274"/>
      <c r="U43" s="2274"/>
      <c r="V43" s="2275"/>
      <c r="W43" s="2275"/>
      <c r="X43" s="2276"/>
      <c r="Y43" s="2274"/>
      <c r="Z43" s="2274"/>
      <c r="AA43" s="2275"/>
      <c r="AB43" s="2275"/>
      <c r="AC43" s="2276"/>
      <c r="AD43" s="2274"/>
      <c r="AE43" s="2274"/>
      <c r="AF43" s="2275"/>
      <c r="AG43" s="2275"/>
      <c r="AH43" s="2276"/>
      <c r="AI43" s="2274"/>
      <c r="AJ43" s="2274"/>
      <c r="AK43" s="2275"/>
      <c r="AL43" s="2275"/>
      <c r="AM43" s="2276"/>
      <c r="AN43" s="2274"/>
      <c r="AO43" s="2274"/>
      <c r="AP43" s="2277"/>
      <c r="AQ43" s="2275"/>
      <c r="AR43" s="2276"/>
      <c r="AS43" s="2274"/>
      <c r="AT43" s="2278"/>
      <c r="AU43" s="2275"/>
      <c r="AV43" s="2275"/>
      <c r="AW43" s="2276"/>
      <c r="AX43" s="2274"/>
      <c r="AY43" s="2274"/>
      <c r="AZ43" s="2275"/>
      <c r="BA43" s="2275"/>
      <c r="BB43" s="2276"/>
      <c r="BC43" s="2274"/>
      <c r="BD43" s="2274"/>
      <c r="BE43" s="2275"/>
      <c r="BF43" s="2275"/>
      <c r="BG43" s="2276"/>
      <c r="BH43" s="2275"/>
      <c r="BI43" s="2275"/>
      <c r="BJ43" s="2275"/>
      <c r="BK43" s="2274"/>
      <c r="BL43" s="2276"/>
      <c r="BM43" s="2274"/>
      <c r="BN43" s="2274"/>
      <c r="BO43" s="2274"/>
      <c r="BP43" s="2274"/>
      <c r="BQ43" s="2276"/>
      <c r="BR43" s="2274"/>
      <c r="BS43" s="2274"/>
      <c r="BT43" s="2274"/>
      <c r="BU43" s="2274"/>
      <c r="BV43" s="2276"/>
      <c r="BW43" s="2274"/>
      <c r="BX43" s="2274"/>
      <c r="BY43" s="2274"/>
      <c r="BZ43" s="2274"/>
      <c r="CA43" s="2276"/>
      <c r="CB43" s="2274"/>
      <c r="CC43" s="2274"/>
      <c r="CD43" s="2274"/>
      <c r="CE43" s="2274"/>
      <c r="CF43" s="2276"/>
      <c r="CG43" s="2274"/>
      <c r="CH43" s="2274"/>
      <c r="CI43" s="2274"/>
      <c r="CJ43" s="2274"/>
      <c r="CK43" s="2276"/>
      <c r="CL43" s="2274"/>
      <c r="CM43" s="2274"/>
      <c r="CN43" s="2274"/>
      <c r="CO43" s="2274"/>
      <c r="CP43" s="2276"/>
      <c r="CQ43" s="2274"/>
      <c r="CR43" s="2274"/>
      <c r="CS43" s="2274"/>
      <c r="CT43" s="2274"/>
      <c r="CU43" s="2276"/>
      <c r="CV43" s="2274"/>
      <c r="CW43" s="2274"/>
      <c r="CX43" s="2274"/>
      <c r="CY43" s="2274"/>
      <c r="CZ43" s="2276"/>
      <c r="DA43" s="2274"/>
      <c r="DB43" s="2274"/>
      <c r="DC43" s="2274"/>
      <c r="DD43" s="2274"/>
      <c r="DE43" s="2276"/>
      <c r="DF43" s="2274"/>
      <c r="DG43" s="2274"/>
      <c r="DH43" s="2274"/>
      <c r="DI43" s="2274"/>
      <c r="DJ43" s="2276"/>
      <c r="DK43" s="2274"/>
      <c r="DL43" s="2274"/>
      <c r="DM43" s="2274"/>
      <c r="DN43" s="2274"/>
      <c r="DO43" s="2276"/>
      <c r="DP43" s="2274"/>
      <c r="DQ43" s="2274"/>
      <c r="DR43" s="2274"/>
      <c r="DS43" s="2274"/>
      <c r="DT43" s="2276"/>
      <c r="DU43" s="2274"/>
      <c r="DV43" s="2274"/>
      <c r="DW43" s="2274"/>
      <c r="DX43" s="2274"/>
      <c r="DY43" s="2276"/>
      <c r="DZ43" s="1943"/>
      <c r="EA43" s="1943"/>
    </row>
    <row r="44" spans="1:143" ht="11.25" customHeight="1" x14ac:dyDescent="0.2">
      <c r="A44" s="1984"/>
      <c r="B44" s="2133"/>
      <c r="C44" s="1943"/>
      <c r="D44" s="1943"/>
      <c r="E44" s="1850"/>
      <c r="F44" s="1850"/>
      <c r="G44" s="2056"/>
      <c r="H44" s="1984"/>
      <c r="I44" s="2134"/>
      <c r="J44" s="1850"/>
      <c r="K44" s="1850"/>
      <c r="L44" s="2135"/>
      <c r="M44" s="2135"/>
      <c r="N44" s="2134"/>
      <c r="O44" s="1850"/>
      <c r="P44" s="1850"/>
      <c r="Q44" s="2135"/>
      <c r="R44" s="2135"/>
      <c r="S44" s="2134"/>
      <c r="T44" s="1850"/>
      <c r="U44" s="1850"/>
      <c r="V44" s="2135"/>
      <c r="W44" s="2135"/>
      <c r="X44" s="2134"/>
      <c r="Y44" s="1850"/>
      <c r="Z44" s="1850"/>
      <c r="AA44" s="2135"/>
      <c r="AB44" s="2135"/>
      <c r="AC44" s="2134"/>
      <c r="AD44" s="1850"/>
      <c r="AE44" s="1850"/>
      <c r="AF44" s="2135"/>
      <c r="AG44" s="2135"/>
      <c r="AH44" s="2134"/>
      <c r="AI44" s="1850"/>
      <c r="AJ44" s="1850"/>
      <c r="AK44" s="2135"/>
      <c r="AL44" s="2135"/>
      <c r="AM44" s="2134"/>
      <c r="AN44" s="1850"/>
      <c r="AO44" s="1850"/>
      <c r="AP44" s="2136"/>
      <c r="AQ44" s="2056"/>
      <c r="AR44" s="2134"/>
      <c r="AS44" s="1984"/>
      <c r="AT44" s="2137"/>
      <c r="AU44" s="2135"/>
      <c r="AV44" s="2135"/>
      <c r="AW44" s="2134"/>
      <c r="AX44" s="1850"/>
      <c r="AY44" s="1850"/>
      <c r="AZ44" s="2135"/>
      <c r="BA44" s="2135"/>
      <c r="BB44" s="2134"/>
      <c r="BC44" s="1850"/>
      <c r="BD44" s="1850"/>
      <c r="BE44" s="2135"/>
      <c r="BF44" s="2135"/>
      <c r="BG44" s="2134"/>
      <c r="BH44" s="2135"/>
      <c r="BI44" s="2135"/>
      <c r="BJ44" s="2135"/>
      <c r="BK44" s="1984"/>
      <c r="BL44" s="2134"/>
      <c r="BM44" s="1850"/>
      <c r="BN44" s="1850"/>
      <c r="BO44" s="1850"/>
      <c r="BP44" s="1850"/>
      <c r="BQ44" s="2134"/>
      <c r="BR44" s="1850"/>
      <c r="BS44" s="1850"/>
      <c r="BT44" s="1850"/>
      <c r="BU44" s="1850"/>
      <c r="BV44" s="2134"/>
      <c r="BW44" s="1850"/>
      <c r="BX44" s="1850"/>
      <c r="BY44" s="1850"/>
      <c r="BZ44" s="1850"/>
      <c r="CA44" s="2134"/>
      <c r="CB44" s="1850"/>
      <c r="CC44" s="1850"/>
      <c r="CD44" s="1850"/>
      <c r="CE44" s="1850"/>
      <c r="CF44" s="2134"/>
      <c r="CG44" s="1850"/>
      <c r="CH44" s="1850"/>
      <c r="CI44" s="1850"/>
      <c r="CJ44" s="1850"/>
      <c r="CK44" s="2279"/>
      <c r="CL44" s="1886"/>
      <c r="CM44" s="1886"/>
      <c r="CN44" s="1886"/>
      <c r="CO44" s="1850"/>
      <c r="CP44" s="2134"/>
      <c r="CQ44" s="1850"/>
      <c r="CR44" s="1850"/>
      <c r="CS44" s="1850"/>
      <c r="CT44" s="1850"/>
      <c r="CU44" s="2134"/>
      <c r="CV44" s="1850"/>
      <c r="CW44" s="1850"/>
      <c r="CX44" s="1850"/>
      <c r="CY44" s="1850"/>
      <c r="CZ44" s="2134"/>
      <c r="DA44" s="1850"/>
      <c r="DB44" s="1850"/>
      <c r="DC44" s="1850"/>
      <c r="DD44" s="1850"/>
      <c r="DE44" s="2134"/>
      <c r="DF44" s="1850"/>
      <c r="DG44" s="1850"/>
      <c r="DH44" s="1850"/>
      <c r="DI44" s="1850"/>
      <c r="DJ44" s="2134"/>
      <c r="DK44" s="1850"/>
      <c r="DL44" s="1850"/>
      <c r="DM44" s="1850"/>
      <c r="DN44" s="1850"/>
      <c r="DO44" s="2134"/>
      <c r="DP44" s="1850"/>
      <c r="DQ44" s="1850"/>
      <c r="DR44" s="1850"/>
      <c r="DS44" s="1850"/>
      <c r="DT44" s="2134"/>
      <c r="DU44" s="1850"/>
      <c r="DV44" s="1850"/>
      <c r="DW44" s="1850"/>
      <c r="DX44" s="1850"/>
      <c r="DY44" s="2134"/>
      <c r="DZ44" s="1850"/>
      <c r="EA44" s="1850"/>
    </row>
    <row r="45" spans="1:143" ht="11.25" customHeight="1" x14ac:dyDescent="0.2">
      <c r="A45" s="2013"/>
      <c r="B45" s="2014" t="s">
        <v>986</v>
      </c>
      <c r="C45" s="2013"/>
      <c r="D45" s="2162"/>
      <c r="E45" s="2013"/>
      <c r="F45" s="2280">
        <f>E54</f>
        <v>0</v>
      </c>
      <c r="G45" s="2280">
        <f>F54</f>
        <v>0</v>
      </c>
      <c r="H45" s="2280">
        <f>G54</f>
        <v>0</v>
      </c>
      <c r="I45" s="2279"/>
      <c r="J45" s="2280">
        <f>H54</f>
        <v>1408</v>
      </c>
      <c r="K45" s="2280">
        <f>J54</f>
        <v>1424</v>
      </c>
      <c r="L45" s="2280">
        <f>K54</f>
        <v>3924</v>
      </c>
      <c r="M45" s="2280">
        <f>L54</f>
        <v>3909</v>
      </c>
      <c r="N45" s="2281">
        <f>I54</f>
        <v>1408</v>
      </c>
      <c r="O45" s="2280">
        <f>M54</f>
        <v>3888</v>
      </c>
      <c r="P45" s="2280">
        <f>O54</f>
        <v>3856</v>
      </c>
      <c r="Q45" s="2280">
        <f>P54</f>
        <v>4056</v>
      </c>
      <c r="R45" s="2280">
        <f>Q54</f>
        <v>4095</v>
      </c>
      <c r="S45" s="2281">
        <f>N54</f>
        <v>3888</v>
      </c>
      <c r="T45" s="2280">
        <f>R54</f>
        <v>4122</v>
      </c>
      <c r="U45" s="2280">
        <f>T54</f>
        <v>4096</v>
      </c>
      <c r="V45" s="2280">
        <f>U54</f>
        <v>4096</v>
      </c>
      <c r="W45" s="2280">
        <f>V54</f>
        <v>4089</v>
      </c>
      <c r="X45" s="2281">
        <f>S54</f>
        <v>4122</v>
      </c>
      <c r="Y45" s="2280">
        <f>W54</f>
        <v>4098</v>
      </c>
      <c r="Z45" s="2280">
        <f>Y54</f>
        <v>4078</v>
      </c>
      <c r="AA45" s="2280">
        <f>Z54</f>
        <v>4082</v>
      </c>
      <c r="AB45" s="2280">
        <f>AA54</f>
        <v>4106</v>
      </c>
      <c r="AC45" s="2281">
        <f>X54</f>
        <v>4098</v>
      </c>
      <c r="AD45" s="2280">
        <f>AB54</f>
        <v>4133</v>
      </c>
      <c r="AE45" s="2280">
        <f>AD54</f>
        <v>4127</v>
      </c>
      <c r="AF45" s="2280">
        <f>AE54</f>
        <v>4130</v>
      </c>
      <c r="AG45" s="2280">
        <f>AF54</f>
        <v>4135</v>
      </c>
      <c r="AH45" s="2281">
        <f>AC54</f>
        <v>4133</v>
      </c>
      <c r="AI45" s="2280">
        <f>AG54</f>
        <v>4191</v>
      </c>
      <c r="AJ45" s="2280">
        <f>AI54</f>
        <v>3991</v>
      </c>
      <c r="AK45" s="2280">
        <f>AJ54</f>
        <v>4002</v>
      </c>
      <c r="AL45" s="2280">
        <f>AK54</f>
        <v>4027</v>
      </c>
      <c r="AM45" s="2281">
        <f>AH54</f>
        <v>4191</v>
      </c>
      <c r="AN45" s="2280">
        <f>AL54</f>
        <v>4087</v>
      </c>
      <c r="AO45" s="2280">
        <f>AN54</f>
        <v>4099</v>
      </c>
      <c r="AP45" s="2280">
        <f>AO54</f>
        <v>4113</v>
      </c>
      <c r="AQ45" s="2280">
        <f>AP54</f>
        <v>4137</v>
      </c>
      <c r="AR45" s="2281">
        <f>AM54</f>
        <v>4087</v>
      </c>
      <c r="AS45" s="2280">
        <f>AQ54</f>
        <v>4179</v>
      </c>
      <c r="AT45" s="2280">
        <f>AS54</f>
        <v>4187</v>
      </c>
      <c r="AU45" s="2280">
        <f>AT54</f>
        <v>4206</v>
      </c>
      <c r="AV45" s="2280">
        <f>AU54</f>
        <v>5383</v>
      </c>
      <c r="AW45" s="2281">
        <f>AR54</f>
        <v>4179</v>
      </c>
      <c r="AX45" s="2280">
        <f>AV54</f>
        <v>5375</v>
      </c>
      <c r="AY45" s="2280">
        <f>AX54</f>
        <v>5409</v>
      </c>
      <c r="AZ45" s="2280">
        <f>AY54</f>
        <v>5439</v>
      </c>
      <c r="BA45" s="2280">
        <f>AZ54</f>
        <v>5461</v>
      </c>
      <c r="BB45" s="2281">
        <f>AW54</f>
        <v>5375</v>
      </c>
      <c r="BC45" s="2280">
        <f>BA54</f>
        <v>5471</v>
      </c>
      <c r="BD45" s="2280">
        <f>BC54</f>
        <v>5483</v>
      </c>
      <c r="BE45" s="2280">
        <f>BD54</f>
        <v>6205</v>
      </c>
      <c r="BF45" s="2280">
        <f>BE54</f>
        <v>6157</v>
      </c>
      <c r="BG45" s="2281">
        <f>BB54</f>
        <v>5471</v>
      </c>
      <c r="BH45" s="2282">
        <f>BF54</f>
        <v>6202</v>
      </c>
      <c r="BI45" s="2282">
        <f>BH54</f>
        <v>6208</v>
      </c>
      <c r="BJ45" s="2280">
        <f>BI54</f>
        <v>6230</v>
      </c>
      <c r="BK45" s="2282">
        <f>BJ54</f>
        <v>6259</v>
      </c>
      <c r="BL45" s="2281">
        <f>BG54</f>
        <v>6202</v>
      </c>
      <c r="BM45" s="2282">
        <f>BK54</f>
        <v>6245</v>
      </c>
      <c r="BN45" s="2282">
        <f>BM54</f>
        <v>6267</v>
      </c>
      <c r="BO45" s="2280">
        <f>BN54</f>
        <v>6308</v>
      </c>
      <c r="BP45" s="2282">
        <f>BO54</f>
        <v>6347</v>
      </c>
      <c r="BQ45" s="2281">
        <f>BL54</f>
        <v>6245</v>
      </c>
      <c r="BR45" s="2282">
        <f>BP54</f>
        <v>6923</v>
      </c>
      <c r="BS45" s="2282">
        <f>BR54</f>
        <v>6912</v>
      </c>
      <c r="BT45" s="2280">
        <f>BS54</f>
        <v>6949</v>
      </c>
      <c r="BU45" s="2282">
        <f>BT54</f>
        <v>7008</v>
      </c>
      <c r="BV45" s="2281">
        <f>BQ54</f>
        <v>6923</v>
      </c>
      <c r="BW45" s="2282">
        <f>BU54</f>
        <v>7025</v>
      </c>
      <c r="BX45" s="2282">
        <f>BW54</f>
        <v>7063</v>
      </c>
      <c r="BY45" s="2280">
        <f>BX54</f>
        <v>7109</v>
      </c>
      <c r="BZ45" s="2282">
        <f>BY54</f>
        <v>7152</v>
      </c>
      <c r="CA45" s="2281">
        <f>BV54</f>
        <v>7025</v>
      </c>
      <c r="CB45" s="2282">
        <f>BZ54</f>
        <v>7182</v>
      </c>
      <c r="CC45" s="2282">
        <f>CB54</f>
        <v>7226</v>
      </c>
      <c r="CD45" s="2013">
        <f>CC54</f>
        <v>7266</v>
      </c>
      <c r="CE45" s="2283">
        <f>CD54</f>
        <v>7304</v>
      </c>
      <c r="CF45" s="2279">
        <f>CA54</f>
        <v>7182</v>
      </c>
      <c r="CG45" s="2013">
        <f>CE54</f>
        <v>7327</v>
      </c>
      <c r="CH45" s="2013">
        <f>CG54</f>
        <v>7352</v>
      </c>
      <c r="CI45" s="2013">
        <f>CH54</f>
        <v>7380</v>
      </c>
      <c r="CJ45" s="2283">
        <f>CI54</f>
        <v>7419</v>
      </c>
      <c r="CK45" s="2279">
        <f>CF54</f>
        <v>7327</v>
      </c>
      <c r="CL45" s="2013">
        <f>CJ54</f>
        <v>7458</v>
      </c>
      <c r="CM45" s="2013">
        <f>CL54</f>
        <v>7531</v>
      </c>
      <c r="CN45" s="2013">
        <f>CM54</f>
        <v>7617</v>
      </c>
      <c r="CO45" s="2283">
        <f>CN54</f>
        <v>7665</v>
      </c>
      <c r="CP45" s="2279">
        <f>CK54</f>
        <v>7458</v>
      </c>
      <c r="CQ45" s="2283">
        <f>CP54</f>
        <v>7579</v>
      </c>
      <c r="CR45" s="2013">
        <f>CQ54</f>
        <v>7829</v>
      </c>
      <c r="CS45" s="2013">
        <f>CR54</f>
        <v>7859</v>
      </c>
      <c r="CT45" s="2013">
        <f>CS54</f>
        <v>7933</v>
      </c>
      <c r="CU45" s="2279">
        <f>CP54</f>
        <v>7579</v>
      </c>
      <c r="CV45" s="2283">
        <f>CT54</f>
        <v>7981</v>
      </c>
      <c r="CW45" s="2283">
        <f>CV54</f>
        <v>8006</v>
      </c>
      <c r="CX45" s="2283">
        <f>CW54</f>
        <v>8028</v>
      </c>
      <c r="CY45" s="2283">
        <f>CX54</f>
        <v>7944</v>
      </c>
      <c r="CZ45" s="2279">
        <f>CU54</f>
        <v>7967</v>
      </c>
      <c r="DA45" s="2283">
        <f>CY54</f>
        <v>9655</v>
      </c>
      <c r="DB45" s="2283">
        <f>DA54</f>
        <v>9674</v>
      </c>
      <c r="DC45" s="2283">
        <f>DB54</f>
        <v>9686</v>
      </c>
      <c r="DD45" s="2283">
        <f>DC54</f>
        <v>9728</v>
      </c>
      <c r="DE45" s="2279">
        <f>CZ54</f>
        <v>9655</v>
      </c>
      <c r="DF45" s="2013">
        <f>DD54</f>
        <v>9747</v>
      </c>
      <c r="DG45" s="2013">
        <f>DF54</f>
        <v>9676</v>
      </c>
      <c r="DH45" s="2013">
        <f>DG54</f>
        <v>9700</v>
      </c>
      <c r="DI45" s="2013">
        <f>DH54</f>
        <v>9751</v>
      </c>
      <c r="DJ45" s="2279">
        <f>DE54</f>
        <v>9747</v>
      </c>
      <c r="DK45" s="2013">
        <f>DI54</f>
        <v>9803</v>
      </c>
      <c r="DL45" s="2013">
        <f>DK54</f>
        <v>9828</v>
      </c>
      <c r="DM45" s="2013">
        <f>DL54</f>
        <v>9853</v>
      </c>
      <c r="DN45" s="2283">
        <f>DM54</f>
        <v>9878</v>
      </c>
      <c r="DO45" s="2279">
        <f>DJ54</f>
        <v>9803</v>
      </c>
      <c r="DP45" s="2013">
        <f>DN54</f>
        <v>9903</v>
      </c>
      <c r="DQ45" s="2013">
        <f>DP54</f>
        <v>9928</v>
      </c>
      <c r="DR45" s="2013">
        <f>DQ54</f>
        <v>9953</v>
      </c>
      <c r="DS45" s="2283">
        <f>DR54</f>
        <v>9978</v>
      </c>
      <c r="DT45" s="2279">
        <f>DO54</f>
        <v>9903</v>
      </c>
      <c r="DU45" s="2013">
        <f>DS54</f>
        <v>10003</v>
      </c>
      <c r="DV45" s="2013">
        <f>DU54</f>
        <v>10028</v>
      </c>
      <c r="DW45" s="2013">
        <f>DV54</f>
        <v>10053</v>
      </c>
      <c r="DX45" s="2283">
        <f>DW54</f>
        <v>10078</v>
      </c>
      <c r="DY45" s="2279">
        <f>DT54</f>
        <v>10003</v>
      </c>
      <c r="DZ45" s="1886"/>
      <c r="EA45" s="1886"/>
    </row>
    <row r="46" spans="1:143" ht="6.75" customHeight="1" x14ac:dyDescent="0.2">
      <c r="A46" s="1984"/>
      <c r="B46" s="1849"/>
      <c r="C46" s="1984"/>
      <c r="D46" s="2090"/>
      <c r="E46" s="1984"/>
      <c r="F46" s="2284"/>
      <c r="G46" s="2284"/>
      <c r="H46" s="2284"/>
      <c r="I46" s="2285"/>
      <c r="J46" s="2284"/>
      <c r="K46" s="2284"/>
      <c r="L46" s="2284"/>
      <c r="M46" s="2284"/>
      <c r="N46" s="2285"/>
      <c r="O46" s="2284"/>
      <c r="P46" s="2284"/>
      <c r="Q46" s="2284"/>
      <c r="R46" s="2284"/>
      <c r="S46" s="2285"/>
      <c r="T46" s="2284"/>
      <c r="U46" s="2284"/>
      <c r="V46" s="2284"/>
      <c r="W46" s="2284"/>
      <c r="X46" s="2285"/>
      <c r="Y46" s="2284"/>
      <c r="Z46" s="2284"/>
      <c r="AA46" s="2284"/>
      <c r="AB46" s="2284"/>
      <c r="AC46" s="2285"/>
      <c r="AD46" s="2284"/>
      <c r="AE46" s="2284"/>
      <c r="AF46" s="2284"/>
      <c r="AG46" s="2284"/>
      <c r="AH46" s="2285"/>
      <c r="AI46" s="2284"/>
      <c r="AJ46" s="2284"/>
      <c r="AK46" s="2284"/>
      <c r="AL46" s="2284"/>
      <c r="AM46" s="2285"/>
      <c r="AN46" s="2284"/>
      <c r="AO46" s="2284"/>
      <c r="AP46" s="2284"/>
      <c r="AQ46" s="2284"/>
      <c r="AR46" s="2285"/>
      <c r="AS46" s="2284"/>
      <c r="AT46" s="2284"/>
      <c r="AU46" s="2284"/>
      <c r="AV46" s="2284"/>
      <c r="AW46" s="2285"/>
      <c r="AX46" s="2284"/>
      <c r="AY46" s="2284"/>
      <c r="AZ46" s="2284"/>
      <c r="BA46" s="2284"/>
      <c r="BB46" s="2285"/>
      <c r="BC46" s="2286"/>
      <c r="BD46" s="2287"/>
      <c r="BE46" s="2286"/>
      <c r="BF46" s="2287"/>
      <c r="BG46" s="2285"/>
      <c r="BH46" s="2288"/>
      <c r="BI46" s="2288"/>
      <c r="BJ46" s="2286"/>
      <c r="BK46" s="2287"/>
      <c r="BL46" s="2285"/>
      <c r="BM46" s="2288"/>
      <c r="BN46" s="2288"/>
      <c r="BO46" s="2286"/>
      <c r="BP46" s="2287"/>
      <c r="BQ46" s="2285"/>
      <c r="BR46" s="2288"/>
      <c r="BS46" s="2288"/>
      <c r="BT46" s="2286"/>
      <c r="BU46" s="2287"/>
      <c r="BV46" s="2285"/>
      <c r="BW46" s="2288"/>
      <c r="BX46" s="2288"/>
      <c r="BY46" s="2288"/>
      <c r="BZ46" s="2288"/>
      <c r="CA46" s="2285"/>
      <c r="CB46" s="2288"/>
      <c r="CC46" s="2288"/>
      <c r="CD46" s="2288"/>
      <c r="CE46" s="2288"/>
      <c r="CF46" s="2285"/>
      <c r="CG46" s="2288"/>
      <c r="CH46" s="2288"/>
      <c r="CI46" s="2288"/>
      <c r="CJ46" s="2288"/>
      <c r="CK46" s="2285"/>
      <c r="CL46" s="2288"/>
      <c r="CM46" s="2288"/>
      <c r="CN46" s="2288"/>
      <c r="CO46" s="2288"/>
      <c r="CP46" s="2285"/>
      <c r="CQ46" s="2288"/>
      <c r="CR46" s="2288"/>
      <c r="CS46" s="2288"/>
      <c r="CT46" s="2288"/>
      <c r="CU46" s="2285"/>
      <c r="CV46" s="2288"/>
      <c r="CW46" s="2288"/>
      <c r="CX46" s="2288"/>
      <c r="CY46" s="2288"/>
      <c r="CZ46" s="2285"/>
      <c r="DA46" s="2288"/>
      <c r="DB46" s="2288"/>
      <c r="DC46" s="2288"/>
      <c r="DD46" s="2288"/>
      <c r="DE46" s="2285"/>
      <c r="DF46" s="2288"/>
      <c r="DG46" s="2288"/>
      <c r="DH46" s="2288"/>
      <c r="DI46" s="2288"/>
      <c r="DJ46" s="2285"/>
      <c r="DK46" s="2288"/>
      <c r="DL46" s="2288"/>
      <c r="DM46" s="2288"/>
      <c r="DN46" s="2288"/>
      <c r="DO46" s="2285"/>
      <c r="DP46" s="2288"/>
      <c r="DQ46" s="2288"/>
      <c r="DR46" s="2288"/>
      <c r="DS46" s="2288"/>
      <c r="DT46" s="2285"/>
      <c r="DU46" s="2288"/>
      <c r="DV46" s="2288"/>
      <c r="DW46" s="2288"/>
      <c r="DX46" s="2288"/>
      <c r="DY46" s="2285"/>
      <c r="DZ46" s="1850"/>
      <c r="EA46" s="1850"/>
    </row>
    <row r="47" spans="1:143" ht="11.25" customHeight="1" x14ac:dyDescent="0.2">
      <c r="A47" s="2013"/>
      <c r="B47" s="2289" t="s">
        <v>987</v>
      </c>
      <c r="C47" s="2013"/>
      <c r="D47" s="2162"/>
      <c r="E47" s="1886"/>
      <c r="F47" s="1886"/>
      <c r="G47" s="1886"/>
      <c r="H47" s="1886"/>
      <c r="I47" s="2290">
        <f>98-I48</f>
        <v>75</v>
      </c>
      <c r="J47" s="1886"/>
      <c r="K47" s="1886"/>
      <c r="L47" s="1886"/>
      <c r="M47" s="1886"/>
      <c r="N47" s="2290">
        <f>287-N48</f>
        <v>171</v>
      </c>
      <c r="O47" s="2013"/>
      <c r="P47" s="2000">
        <v>82</v>
      </c>
      <c r="Q47" s="2000">
        <f>126-Q48</f>
        <v>73</v>
      </c>
      <c r="R47" s="2000">
        <v>108</v>
      </c>
      <c r="S47" s="2290">
        <f>382-S48</f>
        <v>184</v>
      </c>
      <c r="T47" s="2000">
        <v>32</v>
      </c>
      <c r="U47" s="2000">
        <v>0</v>
      </c>
      <c r="V47" s="2000">
        <v>27</v>
      </c>
      <c r="W47" s="2000">
        <v>49</v>
      </c>
      <c r="X47" s="2290">
        <v>146</v>
      </c>
      <c r="Y47" s="2000">
        <v>29</v>
      </c>
      <c r="Z47" s="2000">
        <v>33</v>
      </c>
      <c r="AA47" s="2000">
        <f>107-SUM(Y47:Z47)</f>
        <v>45</v>
      </c>
      <c r="AB47" s="2280">
        <f>AC47-SUM(Y47:AA47)</f>
        <v>51</v>
      </c>
      <c r="AC47" s="2290">
        <f>388-AC48</f>
        <v>158</v>
      </c>
      <c r="AD47" s="2000">
        <v>14</v>
      </c>
      <c r="AE47" s="2000">
        <v>16</v>
      </c>
      <c r="AF47" s="2000">
        <v>29</v>
      </c>
      <c r="AG47" s="2280">
        <f>AH47-SUM(AD47:AF47)</f>
        <v>67</v>
      </c>
      <c r="AH47" s="2290">
        <v>126</v>
      </c>
      <c r="AI47" s="2000">
        <v>47</v>
      </c>
      <c r="AJ47" s="2000">
        <v>27</v>
      </c>
      <c r="AK47" s="2000">
        <v>34</v>
      </c>
      <c r="AL47" s="2280">
        <f>AM47-SUM(AI47:AK47)</f>
        <v>66</v>
      </c>
      <c r="AM47" s="2290">
        <v>174</v>
      </c>
      <c r="AN47" s="2000">
        <v>37</v>
      </c>
      <c r="AO47" s="2000">
        <f>63-AN47</f>
        <v>26</v>
      </c>
      <c r="AP47" s="2000">
        <v>31</v>
      </c>
      <c r="AQ47" s="2280">
        <f>AR47-SUM(AN47:AP47)</f>
        <v>56</v>
      </c>
      <c r="AR47" s="2290">
        <v>150</v>
      </c>
      <c r="AS47" s="2000">
        <v>29</v>
      </c>
      <c r="AT47" s="2000">
        <f>51-AS47</f>
        <v>22</v>
      </c>
      <c r="AU47" s="2000">
        <f>100-SUM(AS47:AT47)</f>
        <v>49</v>
      </c>
      <c r="AV47" s="2280">
        <f>AW47-SUM(AS47:AU47)</f>
        <v>29</v>
      </c>
      <c r="AW47" s="2290">
        <v>129</v>
      </c>
      <c r="AX47" s="2000">
        <v>51</v>
      </c>
      <c r="AY47" s="2000">
        <f>103-AX47</f>
        <v>52</v>
      </c>
      <c r="AZ47" s="2000">
        <f>142-SUM(AX47:AY47)</f>
        <v>39</v>
      </c>
      <c r="BA47" s="2280">
        <f>BB47-SUM(AX47:AZ47)</f>
        <v>24</v>
      </c>
      <c r="BB47" s="2290">
        <v>166</v>
      </c>
      <c r="BC47" s="2000">
        <v>35</v>
      </c>
      <c r="BD47" s="2000">
        <f>61-BC47</f>
        <v>26</v>
      </c>
      <c r="BE47" s="2000">
        <f>93-SUM(BC47:BD47)</f>
        <v>32</v>
      </c>
      <c r="BF47" s="2280">
        <f>BG47-SUM(BC47:BE47)</f>
        <v>54</v>
      </c>
      <c r="BG47" s="2290">
        <v>147</v>
      </c>
      <c r="BH47" s="2291">
        <v>21</v>
      </c>
      <c r="BI47" s="2291">
        <f>58-BH47</f>
        <v>37</v>
      </c>
      <c r="BJ47" s="2291">
        <f>95-SUM(BH47:BI47)</f>
        <v>37</v>
      </c>
      <c r="BK47" s="2280">
        <f>BL47-SUM(BH47:BJ47)</f>
        <v>44</v>
      </c>
      <c r="BL47" s="2290">
        <v>139</v>
      </c>
      <c r="BM47" s="2291">
        <v>41</v>
      </c>
      <c r="BN47" s="2291">
        <f>90-BM47</f>
        <v>49</v>
      </c>
      <c r="BO47" s="2291">
        <f>136-SUM(BM47:BN47)</f>
        <v>46</v>
      </c>
      <c r="BP47" s="2280">
        <f>BQ47-SUM(BM47:BO47)</f>
        <v>52</v>
      </c>
      <c r="BQ47" s="2290">
        <v>188</v>
      </c>
      <c r="BR47" s="2291">
        <v>39</v>
      </c>
      <c r="BS47" s="2291">
        <f>90-BR47</f>
        <v>51</v>
      </c>
      <c r="BT47" s="2291">
        <f>155-SUM(BR47:BS47)</f>
        <v>65</v>
      </c>
      <c r="BU47" s="2291">
        <v>23</v>
      </c>
      <c r="BV47" s="2281">
        <f>SUM(BR47:BU47)</f>
        <v>178</v>
      </c>
      <c r="BW47" s="2291">
        <v>48</v>
      </c>
      <c r="BX47" s="2291">
        <v>50</v>
      </c>
      <c r="BY47" s="2291">
        <v>49</v>
      </c>
      <c r="BZ47" s="2291">
        <v>32</v>
      </c>
      <c r="CA47" s="2281">
        <f>SUM(BW47:BZ47)</f>
        <v>179</v>
      </c>
      <c r="CB47" s="2291">
        <v>57</v>
      </c>
      <c r="CC47" s="2291">
        <v>41</v>
      </c>
      <c r="CD47" s="2291">
        <v>39</v>
      </c>
      <c r="CE47" s="2291">
        <v>24</v>
      </c>
      <c r="CF47" s="2279">
        <f>SUM(CB47:CE47)</f>
        <v>161</v>
      </c>
      <c r="CG47" s="2291">
        <v>32</v>
      </c>
      <c r="CH47" s="2291">
        <v>36</v>
      </c>
      <c r="CI47" s="2291">
        <v>42</v>
      </c>
      <c r="CJ47" s="2291">
        <v>40</v>
      </c>
      <c r="CK47" s="2279">
        <f>SUM(CG47:CJ47)</f>
        <v>150</v>
      </c>
      <c r="CL47" s="2291">
        <v>37</v>
      </c>
      <c r="CM47" s="2291">
        <v>23</v>
      </c>
      <c r="CN47" s="2291">
        <v>49</v>
      </c>
      <c r="CO47" s="2291">
        <v>38</v>
      </c>
      <c r="CP47" s="2279">
        <f>SUM(CL47:CO47)</f>
        <v>147</v>
      </c>
      <c r="CQ47" s="2291">
        <v>22</v>
      </c>
      <c r="CR47" s="2291">
        <v>34</v>
      </c>
      <c r="CS47" s="2291">
        <v>45</v>
      </c>
      <c r="CT47" s="2291">
        <v>50</v>
      </c>
      <c r="CU47" s="2279">
        <f>SUM(CQ47:CT47)</f>
        <v>151</v>
      </c>
      <c r="CV47" s="2291">
        <v>38</v>
      </c>
      <c r="CW47" s="2291">
        <v>25</v>
      </c>
      <c r="CX47" s="2291">
        <v>43</v>
      </c>
      <c r="CY47" s="2291">
        <v>53</v>
      </c>
      <c r="CZ47" s="2279">
        <f>SUM(CV47:CY47)</f>
        <v>159</v>
      </c>
      <c r="DA47" s="2283">
        <v>24</v>
      </c>
      <c r="DB47" s="2283">
        <v>22</v>
      </c>
      <c r="DC47" s="2283">
        <v>48</v>
      </c>
      <c r="DD47" s="2283">
        <v>44</v>
      </c>
      <c r="DE47" s="2279">
        <f>SUM(DA47:DD47)</f>
        <v>138</v>
      </c>
      <c r="DF47" s="2283">
        <v>27</v>
      </c>
      <c r="DG47" s="2283">
        <v>27</v>
      </c>
      <c r="DH47" s="2748">
        <v>56</v>
      </c>
      <c r="DI47" s="2845">
        <v>65</v>
      </c>
      <c r="DJ47" s="2279">
        <f>SUM(DF47:DI47)</f>
        <v>175</v>
      </c>
      <c r="DK47" s="2283">
        <v>30</v>
      </c>
      <c r="DL47" s="2283">
        <v>30</v>
      </c>
      <c r="DM47" s="2283">
        <v>30</v>
      </c>
      <c r="DN47" s="2283">
        <v>30</v>
      </c>
      <c r="DO47" s="2279">
        <f>SUM(DK47:DN47)</f>
        <v>120</v>
      </c>
      <c r="DP47" s="2283">
        <v>30</v>
      </c>
      <c r="DQ47" s="2283">
        <v>30</v>
      </c>
      <c r="DR47" s="2283">
        <v>30</v>
      </c>
      <c r="DS47" s="2283">
        <v>30</v>
      </c>
      <c r="DT47" s="2279">
        <f>SUM(DP47:DS47)</f>
        <v>120</v>
      </c>
      <c r="DU47" s="2283">
        <v>30</v>
      </c>
      <c r="DV47" s="2283">
        <v>30</v>
      </c>
      <c r="DW47" s="2283">
        <v>30</v>
      </c>
      <c r="DX47" s="2283">
        <v>30</v>
      </c>
      <c r="DY47" s="2279">
        <f>SUM(DU47:DX47)</f>
        <v>120</v>
      </c>
      <c r="DZ47" s="1886"/>
      <c r="EA47" s="1886"/>
    </row>
    <row r="48" spans="1:143" ht="11.25" customHeight="1" x14ac:dyDescent="0.2">
      <c r="A48" s="2013"/>
      <c r="B48" s="2014" t="s">
        <v>988</v>
      </c>
      <c r="C48" s="2108"/>
      <c r="D48" s="2292"/>
      <c r="E48" s="1886"/>
      <c r="F48" s="1886"/>
      <c r="G48" s="1886"/>
      <c r="H48" s="1886"/>
      <c r="I48" s="2290">
        <v>23</v>
      </c>
      <c r="J48" s="1886"/>
      <c r="K48" s="1886"/>
      <c r="L48" s="1886"/>
      <c r="M48" s="1886"/>
      <c r="N48" s="2290">
        <v>116</v>
      </c>
      <c r="O48" s="1886"/>
      <c r="P48" s="1886"/>
      <c r="Q48" s="2000">
        <v>53</v>
      </c>
      <c r="R48" s="2013"/>
      <c r="S48" s="2290">
        <v>198</v>
      </c>
      <c r="T48" s="2000">
        <v>89</v>
      </c>
      <c r="U48" s="2013"/>
      <c r="V48" s="2000">
        <v>82</v>
      </c>
      <c r="W48" s="2000">
        <v>75</v>
      </c>
      <c r="X48" s="2290">
        <v>299</v>
      </c>
      <c r="Y48" s="2000">
        <v>58</v>
      </c>
      <c r="Z48" s="2000">
        <v>55</v>
      </c>
      <c r="AA48" s="2000">
        <f>166-SUM(Y48:Z48)</f>
        <v>53</v>
      </c>
      <c r="AB48" s="2280">
        <f>AC48-SUM(Y48:AA48)</f>
        <v>64</v>
      </c>
      <c r="AC48" s="2290">
        <v>230</v>
      </c>
      <c r="AD48" s="2000">
        <v>24</v>
      </c>
      <c r="AE48" s="2000">
        <v>24</v>
      </c>
      <c r="AF48" s="2000">
        <v>34</v>
      </c>
      <c r="AG48" s="2280">
        <f>AH48-SUM(AD48:AF48)</f>
        <v>40</v>
      </c>
      <c r="AH48" s="2290">
        <v>122</v>
      </c>
      <c r="AI48" s="2000">
        <v>29</v>
      </c>
      <c r="AJ48" s="2000">
        <v>26</v>
      </c>
      <c r="AK48" s="2000">
        <v>16</v>
      </c>
      <c r="AL48" s="2280">
        <f>AM48-SUM(AI48:AK48)</f>
        <v>21</v>
      </c>
      <c r="AM48" s="2290">
        <v>92</v>
      </c>
      <c r="AN48" s="2000">
        <v>24</v>
      </c>
      <c r="AO48" s="2000">
        <f>48-AN48</f>
        <v>24</v>
      </c>
      <c r="AP48" s="2000">
        <v>18</v>
      </c>
      <c r="AQ48" s="2280">
        <f>AR48-SUM(AN48:AP48)</f>
        <v>59</v>
      </c>
      <c r="AR48" s="2290">
        <v>125</v>
      </c>
      <c r="AS48" s="2000">
        <v>17</v>
      </c>
      <c r="AT48" s="2000">
        <f>34-AS48</f>
        <v>17</v>
      </c>
      <c r="AU48" s="2000">
        <f>71-SUM(AS48:AT48)</f>
        <v>37</v>
      </c>
      <c r="AV48" s="2280">
        <f>AW48-SUM(AS48:AU48)</f>
        <v>25</v>
      </c>
      <c r="AW48" s="2290">
        <v>96</v>
      </c>
      <c r="AX48" s="2000">
        <v>45</v>
      </c>
      <c r="AY48" s="2000">
        <f>75-AX48</f>
        <v>30</v>
      </c>
      <c r="AZ48" s="2000">
        <f>105-SUM(AX48:AY48)</f>
        <v>30</v>
      </c>
      <c r="BA48" s="2280">
        <f>BB48-SUM(AX48:AZ48)</f>
        <v>25</v>
      </c>
      <c r="BB48" s="2290">
        <v>130</v>
      </c>
      <c r="BC48" s="2000">
        <v>40</v>
      </c>
      <c r="BD48" s="2000">
        <f>70-BC48</f>
        <v>30</v>
      </c>
      <c r="BE48" s="2000">
        <f>95-SUM(BC48:BD48)</f>
        <v>25</v>
      </c>
      <c r="BF48" s="2280">
        <f>BG48-SUM(BC48:BE48)</f>
        <v>23</v>
      </c>
      <c r="BG48" s="2290">
        <v>118</v>
      </c>
      <c r="BH48" s="2291">
        <v>51</v>
      </c>
      <c r="BI48" s="2291">
        <f>81-BH48</f>
        <v>30</v>
      </c>
      <c r="BJ48" s="2291">
        <f>122-SUM(BH48:BI48)</f>
        <v>41</v>
      </c>
      <c r="BK48" s="2280">
        <f>BL48-SUM(BH48:BJ48)</f>
        <v>14</v>
      </c>
      <c r="BL48" s="2290">
        <v>136</v>
      </c>
      <c r="BM48" s="2291">
        <v>53</v>
      </c>
      <c r="BN48" s="2291">
        <f>92-BM48</f>
        <v>39</v>
      </c>
      <c r="BO48" s="2291">
        <f>122-SUM(BM48:BN48)</f>
        <v>30</v>
      </c>
      <c r="BP48" s="2280">
        <f>BQ48-SUM(BM48:BO48)</f>
        <v>7</v>
      </c>
      <c r="BQ48" s="2290">
        <v>129</v>
      </c>
      <c r="BR48" s="2291">
        <v>53</v>
      </c>
      <c r="BS48" s="2291">
        <f>79-BR48</f>
        <v>26</v>
      </c>
      <c r="BT48" s="2291">
        <f>101-SUM(BR48:BS48)</f>
        <v>22</v>
      </c>
      <c r="BU48" s="2000">
        <v>8</v>
      </c>
      <c r="BV48" s="2281">
        <f>SUM(BR48:BU48)</f>
        <v>109</v>
      </c>
      <c r="BW48" s="2291">
        <v>53</v>
      </c>
      <c r="BX48" s="2291">
        <v>28</v>
      </c>
      <c r="BY48" s="2291">
        <v>18</v>
      </c>
      <c r="BZ48" s="2000">
        <v>7</v>
      </c>
      <c r="CA48" s="2281">
        <f>SUM(BW48:BZ48)</f>
        <v>106</v>
      </c>
      <c r="CB48" s="2291">
        <v>49</v>
      </c>
      <c r="CC48" s="1048">
        <v>18</v>
      </c>
      <c r="CD48" s="1048">
        <v>14</v>
      </c>
      <c r="CE48" s="1048">
        <v>5</v>
      </c>
      <c r="CF48" s="2279">
        <f>SUM(CB48:CE48)</f>
        <v>86</v>
      </c>
      <c r="CG48" s="1049">
        <v>40</v>
      </c>
      <c r="CH48" s="1048">
        <v>24</v>
      </c>
      <c r="CI48" s="1048">
        <v>21</v>
      </c>
      <c r="CJ48" s="1048">
        <v>5</v>
      </c>
      <c r="CK48" s="2279">
        <f>SUM(CG48:CJ48)</f>
        <v>90</v>
      </c>
      <c r="CL48" s="1048">
        <v>15</v>
      </c>
      <c r="CM48" s="1048">
        <v>24</v>
      </c>
      <c r="CN48" s="1048">
        <v>22</v>
      </c>
      <c r="CO48" s="1048">
        <v>20</v>
      </c>
      <c r="CP48" s="2279">
        <f>SUM(CL48:CO48)</f>
        <v>81</v>
      </c>
      <c r="CQ48" s="1048">
        <v>9</v>
      </c>
      <c r="CR48" s="1048">
        <v>8</v>
      </c>
      <c r="CS48" s="1048">
        <v>6</v>
      </c>
      <c r="CT48" s="1048">
        <v>30</v>
      </c>
      <c r="CU48" s="2279">
        <f>SUM(CQ48:CT48)</f>
        <v>53</v>
      </c>
      <c r="CV48" s="1048">
        <v>12</v>
      </c>
      <c r="CW48" s="1048">
        <v>16</v>
      </c>
      <c r="CX48" s="1048">
        <v>11</v>
      </c>
      <c r="CY48" s="1048">
        <v>19</v>
      </c>
      <c r="CZ48" s="2279">
        <f>SUM(CV48:CY48)</f>
        <v>58</v>
      </c>
      <c r="DA48" s="2596">
        <v>14</v>
      </c>
      <c r="DB48" s="2596">
        <v>9</v>
      </c>
      <c r="DC48" s="2596">
        <v>11</v>
      </c>
      <c r="DD48" s="2596">
        <v>16</v>
      </c>
      <c r="DE48" s="2279">
        <f>SUM(DA48:DD48)</f>
        <v>50</v>
      </c>
      <c r="DF48" s="2596">
        <v>10</v>
      </c>
      <c r="DG48" s="2596">
        <v>10</v>
      </c>
      <c r="DH48" s="2749">
        <v>5</v>
      </c>
      <c r="DI48" s="2847">
        <v>5</v>
      </c>
      <c r="DJ48" s="2279">
        <f>SUM(DF48:DI48)</f>
        <v>30</v>
      </c>
      <c r="DK48" s="1048">
        <v>8</v>
      </c>
      <c r="DL48" s="1048">
        <v>8</v>
      </c>
      <c r="DM48" s="1048">
        <v>8</v>
      </c>
      <c r="DN48" s="1048">
        <v>8</v>
      </c>
      <c r="DO48" s="2279">
        <f>SUM(DK48:DN48)</f>
        <v>32</v>
      </c>
      <c r="DP48" s="1048">
        <v>8</v>
      </c>
      <c r="DQ48" s="1048">
        <v>8</v>
      </c>
      <c r="DR48" s="1048">
        <v>8</v>
      </c>
      <c r="DS48" s="1048">
        <v>8</v>
      </c>
      <c r="DT48" s="2279">
        <f>SUM(DP48:DS48)</f>
        <v>32</v>
      </c>
      <c r="DU48" s="1048">
        <v>8</v>
      </c>
      <c r="DV48" s="1048">
        <v>8</v>
      </c>
      <c r="DW48" s="1048">
        <v>8</v>
      </c>
      <c r="DX48" s="1048">
        <v>8</v>
      </c>
      <c r="DY48" s="2279">
        <f>SUM(DU48:DX48)</f>
        <v>32</v>
      </c>
      <c r="DZ48" s="1886"/>
      <c r="EA48" s="1886"/>
    </row>
    <row r="49" spans="1:131" ht="11.25" customHeight="1" x14ac:dyDescent="0.2">
      <c r="A49" s="2013"/>
      <c r="B49" s="2293" t="s">
        <v>989</v>
      </c>
      <c r="C49" s="2013"/>
      <c r="D49" s="2162"/>
      <c r="E49" s="2294"/>
      <c r="F49" s="2294"/>
      <c r="G49" s="2294"/>
      <c r="H49" s="2294"/>
      <c r="I49" s="2295">
        <f>SUM(I47:I48)</f>
        <v>98</v>
      </c>
      <c r="J49" s="2294"/>
      <c r="K49" s="2294"/>
      <c r="L49" s="2294"/>
      <c r="M49" s="2294"/>
      <c r="N49" s="2295">
        <f>SUM(N47:N48)</f>
        <v>287</v>
      </c>
      <c r="O49" s="2294"/>
      <c r="P49" s="2296">
        <f t="shared" ref="P49:CA49" si="56">SUM(P47:P48)</f>
        <v>82</v>
      </c>
      <c r="Q49" s="2296">
        <f t="shared" si="56"/>
        <v>126</v>
      </c>
      <c r="R49" s="2296">
        <f t="shared" si="56"/>
        <v>108</v>
      </c>
      <c r="S49" s="2295">
        <f t="shared" si="56"/>
        <v>382</v>
      </c>
      <c r="T49" s="2296">
        <f t="shared" si="56"/>
        <v>121</v>
      </c>
      <c r="U49" s="2296">
        <f t="shared" si="56"/>
        <v>0</v>
      </c>
      <c r="V49" s="2296">
        <f t="shared" si="56"/>
        <v>109</v>
      </c>
      <c r="W49" s="2296">
        <f t="shared" si="56"/>
        <v>124</v>
      </c>
      <c r="X49" s="2295">
        <f t="shared" si="56"/>
        <v>445</v>
      </c>
      <c r="Y49" s="2296">
        <f t="shared" si="56"/>
        <v>87</v>
      </c>
      <c r="Z49" s="2296">
        <f t="shared" si="56"/>
        <v>88</v>
      </c>
      <c r="AA49" s="2296">
        <f t="shared" si="56"/>
        <v>98</v>
      </c>
      <c r="AB49" s="2296">
        <f t="shared" si="56"/>
        <v>115</v>
      </c>
      <c r="AC49" s="2295">
        <f t="shared" si="56"/>
        <v>388</v>
      </c>
      <c r="AD49" s="2296">
        <f t="shared" si="56"/>
        <v>38</v>
      </c>
      <c r="AE49" s="2296">
        <f t="shared" si="56"/>
        <v>40</v>
      </c>
      <c r="AF49" s="2296">
        <f t="shared" si="56"/>
        <v>63</v>
      </c>
      <c r="AG49" s="2296">
        <f t="shared" si="56"/>
        <v>107</v>
      </c>
      <c r="AH49" s="2295">
        <f t="shared" si="56"/>
        <v>248</v>
      </c>
      <c r="AI49" s="2296">
        <f t="shared" si="56"/>
        <v>76</v>
      </c>
      <c r="AJ49" s="2296">
        <f t="shared" si="56"/>
        <v>53</v>
      </c>
      <c r="AK49" s="2296">
        <f t="shared" si="56"/>
        <v>50</v>
      </c>
      <c r="AL49" s="2296">
        <f t="shared" si="56"/>
        <v>87</v>
      </c>
      <c r="AM49" s="2295">
        <f t="shared" si="56"/>
        <v>266</v>
      </c>
      <c r="AN49" s="2296">
        <f t="shared" si="56"/>
        <v>61</v>
      </c>
      <c r="AO49" s="2296">
        <f t="shared" si="56"/>
        <v>50</v>
      </c>
      <c r="AP49" s="2296">
        <f t="shared" si="56"/>
        <v>49</v>
      </c>
      <c r="AQ49" s="2296">
        <f t="shared" si="56"/>
        <v>115</v>
      </c>
      <c r="AR49" s="2295">
        <f t="shared" si="56"/>
        <v>275</v>
      </c>
      <c r="AS49" s="2296">
        <f t="shared" si="56"/>
        <v>46</v>
      </c>
      <c r="AT49" s="2296">
        <f t="shared" si="56"/>
        <v>39</v>
      </c>
      <c r="AU49" s="2296">
        <f t="shared" si="56"/>
        <v>86</v>
      </c>
      <c r="AV49" s="2296">
        <f t="shared" si="56"/>
        <v>54</v>
      </c>
      <c r="AW49" s="2295">
        <f t="shared" si="56"/>
        <v>225</v>
      </c>
      <c r="AX49" s="2296">
        <f t="shared" si="56"/>
        <v>96</v>
      </c>
      <c r="AY49" s="2296">
        <f t="shared" si="56"/>
        <v>82</v>
      </c>
      <c r="AZ49" s="2296">
        <f t="shared" si="56"/>
        <v>69</v>
      </c>
      <c r="BA49" s="2296">
        <f t="shared" si="56"/>
        <v>49</v>
      </c>
      <c r="BB49" s="2295">
        <f t="shared" si="56"/>
        <v>296</v>
      </c>
      <c r="BC49" s="2296">
        <f t="shared" si="56"/>
        <v>75</v>
      </c>
      <c r="BD49" s="2296">
        <f t="shared" si="56"/>
        <v>56</v>
      </c>
      <c r="BE49" s="2296">
        <f t="shared" si="56"/>
        <v>57</v>
      </c>
      <c r="BF49" s="2296">
        <f t="shared" si="56"/>
        <v>77</v>
      </c>
      <c r="BG49" s="2295">
        <f t="shared" si="56"/>
        <v>265</v>
      </c>
      <c r="BH49" s="2296">
        <f t="shared" si="56"/>
        <v>72</v>
      </c>
      <c r="BI49" s="2296">
        <f t="shared" si="56"/>
        <v>67</v>
      </c>
      <c r="BJ49" s="2296">
        <f t="shared" si="56"/>
        <v>78</v>
      </c>
      <c r="BK49" s="2296">
        <f t="shared" si="56"/>
        <v>58</v>
      </c>
      <c r="BL49" s="2295">
        <f t="shared" si="56"/>
        <v>275</v>
      </c>
      <c r="BM49" s="2296">
        <f t="shared" si="56"/>
        <v>94</v>
      </c>
      <c r="BN49" s="2296">
        <f t="shared" si="56"/>
        <v>88</v>
      </c>
      <c r="BO49" s="2296">
        <f t="shared" si="56"/>
        <v>76</v>
      </c>
      <c r="BP49" s="2296">
        <f t="shared" si="56"/>
        <v>59</v>
      </c>
      <c r="BQ49" s="2295">
        <f t="shared" si="56"/>
        <v>317</v>
      </c>
      <c r="BR49" s="2296">
        <f t="shared" si="56"/>
        <v>92</v>
      </c>
      <c r="BS49" s="2296">
        <f t="shared" si="56"/>
        <v>77</v>
      </c>
      <c r="BT49" s="2296">
        <f t="shared" si="56"/>
        <v>87</v>
      </c>
      <c r="BU49" s="2296">
        <f t="shared" si="56"/>
        <v>31</v>
      </c>
      <c r="BV49" s="2295">
        <f t="shared" si="56"/>
        <v>287</v>
      </c>
      <c r="BW49" s="2296">
        <f t="shared" si="56"/>
        <v>101</v>
      </c>
      <c r="BX49" s="2296">
        <f t="shared" si="56"/>
        <v>78</v>
      </c>
      <c r="BY49" s="2296">
        <f t="shared" si="56"/>
        <v>67</v>
      </c>
      <c r="BZ49" s="2296">
        <f t="shared" si="56"/>
        <v>39</v>
      </c>
      <c r="CA49" s="2295">
        <f t="shared" si="56"/>
        <v>285</v>
      </c>
      <c r="CB49" s="2296">
        <f t="shared" ref="CB49:DJ49" si="57">SUM(CB47:CB48)</f>
        <v>106</v>
      </c>
      <c r="CC49" s="2296">
        <f t="shared" si="57"/>
        <v>59</v>
      </c>
      <c r="CD49" s="2294">
        <f t="shared" si="57"/>
        <v>53</v>
      </c>
      <c r="CE49" s="2294">
        <f t="shared" si="57"/>
        <v>29</v>
      </c>
      <c r="CF49" s="2297">
        <f t="shared" si="57"/>
        <v>247</v>
      </c>
      <c r="CG49" s="2294">
        <f t="shared" si="57"/>
        <v>72</v>
      </c>
      <c r="CH49" s="2294">
        <f t="shared" si="57"/>
        <v>60</v>
      </c>
      <c r="CI49" s="2294">
        <f t="shared" si="57"/>
        <v>63</v>
      </c>
      <c r="CJ49" s="2294">
        <f t="shared" si="57"/>
        <v>45</v>
      </c>
      <c r="CK49" s="2297">
        <f t="shared" si="57"/>
        <v>240</v>
      </c>
      <c r="CL49" s="2294">
        <f t="shared" si="57"/>
        <v>52</v>
      </c>
      <c r="CM49" s="2294">
        <f t="shared" si="57"/>
        <v>47</v>
      </c>
      <c r="CN49" s="2294">
        <f t="shared" si="57"/>
        <v>71</v>
      </c>
      <c r="CO49" s="2294">
        <f t="shared" si="57"/>
        <v>58</v>
      </c>
      <c r="CP49" s="2297">
        <f t="shared" si="57"/>
        <v>228</v>
      </c>
      <c r="CQ49" s="2294">
        <f>SUM(CQ47:CQ48)</f>
        <v>31</v>
      </c>
      <c r="CR49" s="2294">
        <f t="shared" si="57"/>
        <v>42</v>
      </c>
      <c r="CS49" s="2294">
        <f t="shared" si="57"/>
        <v>51</v>
      </c>
      <c r="CT49" s="2294">
        <f t="shared" si="57"/>
        <v>80</v>
      </c>
      <c r="CU49" s="2297">
        <f t="shared" si="57"/>
        <v>204</v>
      </c>
      <c r="CV49" s="2294">
        <f t="shared" si="57"/>
        <v>50</v>
      </c>
      <c r="CW49" s="2294">
        <f t="shared" si="57"/>
        <v>41</v>
      </c>
      <c r="CX49" s="2294">
        <f>SUM(CX47:CX48)</f>
        <v>54</v>
      </c>
      <c r="CY49" s="2294">
        <f>SUM(CY47:CY48)</f>
        <v>72</v>
      </c>
      <c r="CZ49" s="2297">
        <f t="shared" si="57"/>
        <v>217</v>
      </c>
      <c r="DA49" s="2294">
        <f>SUM(DA47:DA48)</f>
        <v>38</v>
      </c>
      <c r="DB49" s="2294">
        <f>SUM(DB47:DB48)</f>
        <v>31</v>
      </c>
      <c r="DC49" s="2294">
        <f>SUM(DC47:DC48)</f>
        <v>59</v>
      </c>
      <c r="DD49" s="2294">
        <f>SUM(DD47:DD48)</f>
        <v>60</v>
      </c>
      <c r="DE49" s="2297">
        <f t="shared" si="57"/>
        <v>188</v>
      </c>
      <c r="DF49" s="2294">
        <f t="shared" si="57"/>
        <v>37</v>
      </c>
      <c r="DG49" s="2294">
        <f>SUM(DG47:DG48)</f>
        <v>37</v>
      </c>
      <c r="DH49" s="2750">
        <f>SUM(DH47:DH48)</f>
        <v>61</v>
      </c>
      <c r="DI49" s="2750">
        <f>SUM(DI47:DI48)</f>
        <v>70</v>
      </c>
      <c r="DJ49" s="2297">
        <f t="shared" si="57"/>
        <v>205</v>
      </c>
      <c r="DK49" s="2294">
        <f t="shared" ref="DK49:DT49" si="58">SUM(DK47:DK48)</f>
        <v>38</v>
      </c>
      <c r="DL49" s="2294">
        <f t="shared" si="58"/>
        <v>38</v>
      </c>
      <c r="DM49" s="2294">
        <f t="shared" si="58"/>
        <v>38</v>
      </c>
      <c r="DN49" s="2294">
        <f t="shared" si="58"/>
        <v>38</v>
      </c>
      <c r="DO49" s="2297">
        <f t="shared" si="58"/>
        <v>152</v>
      </c>
      <c r="DP49" s="2294">
        <f t="shared" si="58"/>
        <v>38</v>
      </c>
      <c r="DQ49" s="2294">
        <f t="shared" si="58"/>
        <v>38</v>
      </c>
      <c r="DR49" s="2294">
        <f t="shared" si="58"/>
        <v>38</v>
      </c>
      <c r="DS49" s="2294">
        <f t="shared" si="58"/>
        <v>38</v>
      </c>
      <c r="DT49" s="2297">
        <f t="shared" si="58"/>
        <v>152</v>
      </c>
      <c r="DU49" s="2294">
        <f t="shared" ref="DU49:DY49" si="59">SUM(DU47:DU48)</f>
        <v>38</v>
      </c>
      <c r="DV49" s="2294">
        <f t="shared" si="59"/>
        <v>38</v>
      </c>
      <c r="DW49" s="2294">
        <f t="shared" si="59"/>
        <v>38</v>
      </c>
      <c r="DX49" s="2294">
        <f t="shared" si="59"/>
        <v>38</v>
      </c>
      <c r="DY49" s="2297">
        <f t="shared" si="59"/>
        <v>152</v>
      </c>
      <c r="DZ49" s="1886"/>
      <c r="EA49" s="1886"/>
    </row>
    <row r="50" spans="1:131" ht="6.75" customHeight="1" x14ac:dyDescent="0.2">
      <c r="A50" s="1984"/>
      <c r="B50" s="1849"/>
      <c r="C50" s="1984"/>
      <c r="D50" s="2090"/>
      <c r="E50" s="1850"/>
      <c r="F50" s="1850"/>
      <c r="G50" s="1850"/>
      <c r="H50" s="1850"/>
      <c r="I50" s="2285"/>
      <c r="J50" s="1850"/>
      <c r="K50" s="1850"/>
      <c r="L50" s="1850"/>
      <c r="M50" s="1850"/>
      <c r="N50" s="2285"/>
      <c r="O50" s="1850"/>
      <c r="P50" s="1850"/>
      <c r="Q50" s="1850"/>
      <c r="R50" s="1850"/>
      <c r="S50" s="2285"/>
      <c r="T50" s="1850"/>
      <c r="U50" s="1850"/>
      <c r="V50" s="1850"/>
      <c r="W50" s="1850"/>
      <c r="X50" s="2285"/>
      <c r="Y50" s="1850"/>
      <c r="Z50" s="1850"/>
      <c r="AA50" s="1850"/>
      <c r="AB50" s="1850"/>
      <c r="AC50" s="2285"/>
      <c r="AD50" s="1850"/>
      <c r="AE50" s="1850"/>
      <c r="AF50" s="1850"/>
      <c r="AG50" s="1850"/>
      <c r="AH50" s="2285"/>
      <c r="AI50" s="1850"/>
      <c r="AJ50" s="1850"/>
      <c r="AK50" s="1850"/>
      <c r="AL50" s="1850"/>
      <c r="AM50" s="2285"/>
      <c r="AN50" s="1850"/>
      <c r="AO50" s="1850"/>
      <c r="AP50" s="1850"/>
      <c r="AQ50" s="1850"/>
      <c r="AR50" s="2285"/>
      <c r="AS50" s="1850"/>
      <c r="AT50" s="1850"/>
      <c r="AU50" s="1850"/>
      <c r="AV50" s="1850"/>
      <c r="AW50" s="2285"/>
      <c r="AX50" s="1850"/>
      <c r="AY50" s="1850"/>
      <c r="AZ50" s="1850"/>
      <c r="BA50" s="1850"/>
      <c r="BB50" s="2285"/>
      <c r="BC50" s="1850"/>
      <c r="BD50" s="1850"/>
      <c r="BE50" s="1850"/>
      <c r="BF50" s="1850"/>
      <c r="BG50" s="2285"/>
      <c r="BH50" s="1850"/>
      <c r="BI50" s="1850"/>
      <c r="BJ50" s="1850"/>
      <c r="BK50" s="1850"/>
      <c r="BL50" s="2285"/>
      <c r="BM50" s="1850"/>
      <c r="BN50" s="1850"/>
      <c r="BO50" s="1850"/>
      <c r="BP50" s="1850"/>
      <c r="BQ50" s="2285"/>
      <c r="BR50" s="1850"/>
      <c r="BS50" s="1850"/>
      <c r="BT50" s="1850"/>
      <c r="BU50" s="1850"/>
      <c r="BV50" s="2285"/>
      <c r="BW50" s="1850"/>
      <c r="BX50" s="1850"/>
      <c r="BY50" s="1850"/>
      <c r="BZ50" s="1850"/>
      <c r="CA50" s="2285"/>
      <c r="CB50" s="1850"/>
      <c r="CC50" s="1850"/>
      <c r="CD50" s="1850"/>
      <c r="CE50" s="1850"/>
      <c r="CF50" s="2285"/>
      <c r="CG50" s="1850"/>
      <c r="CH50" s="1850"/>
      <c r="CI50" s="1850"/>
      <c r="CJ50" s="1850"/>
      <c r="CK50" s="2285"/>
      <c r="CL50" s="1850"/>
      <c r="CM50" s="1850"/>
      <c r="CN50" s="1850"/>
      <c r="CO50" s="1850"/>
      <c r="CP50" s="2285"/>
      <c r="CQ50" s="1850"/>
      <c r="CR50" s="1850"/>
      <c r="CS50" s="1850"/>
      <c r="CT50" s="1850"/>
      <c r="CU50" s="2285"/>
      <c r="CV50" s="1850"/>
      <c r="CW50" s="1850"/>
      <c r="CX50" s="1850"/>
      <c r="CY50" s="1850"/>
      <c r="CZ50" s="2285"/>
      <c r="DA50" s="1850"/>
      <c r="DB50" s="1850"/>
      <c r="DC50" s="1850"/>
      <c r="DD50" s="1850"/>
      <c r="DE50" s="2285"/>
      <c r="DF50" s="1850"/>
      <c r="DG50" s="1850"/>
      <c r="DH50" s="2350"/>
      <c r="DI50" s="2350"/>
      <c r="DJ50" s="2285"/>
      <c r="DK50" s="1850"/>
      <c r="DL50" s="1850"/>
      <c r="DM50" s="1850"/>
      <c r="DN50" s="1850"/>
      <c r="DO50" s="2285"/>
      <c r="DP50" s="1850"/>
      <c r="DQ50" s="1850"/>
      <c r="DR50" s="1850"/>
      <c r="DS50" s="1850"/>
      <c r="DT50" s="2285"/>
      <c r="DU50" s="1850"/>
      <c r="DV50" s="1850"/>
      <c r="DW50" s="1850"/>
      <c r="DX50" s="1850"/>
      <c r="DY50" s="2285"/>
      <c r="DZ50" s="1850"/>
      <c r="EA50" s="1850"/>
    </row>
    <row r="51" spans="1:131" ht="11.25" customHeight="1" x14ac:dyDescent="0.2">
      <c r="A51" s="2013"/>
      <c r="B51" s="2289" t="s">
        <v>990</v>
      </c>
      <c r="C51" s="2013"/>
      <c r="D51" s="2162"/>
      <c r="E51" s="1886"/>
      <c r="F51" s="1886"/>
      <c r="G51" s="1886"/>
      <c r="H51" s="1886"/>
      <c r="I51" s="2290">
        <v>0</v>
      </c>
      <c r="J51" s="1886"/>
      <c r="K51" s="1886"/>
      <c r="L51" s="1886"/>
      <c r="M51" s="1886"/>
      <c r="N51" s="2281">
        <f>N54-N47-N45</f>
        <v>2309</v>
      </c>
      <c r="O51" s="2013"/>
      <c r="P51" s="2000">
        <v>208</v>
      </c>
      <c r="Q51" s="2000">
        <v>0</v>
      </c>
      <c r="R51" s="2000">
        <v>0</v>
      </c>
      <c r="S51" s="2290">
        <v>208</v>
      </c>
      <c r="T51" s="2000">
        <v>0</v>
      </c>
      <c r="U51" s="2000">
        <v>0</v>
      </c>
      <c r="V51" s="2000">
        <v>0</v>
      </c>
      <c r="W51" s="2000">
        <v>0</v>
      </c>
      <c r="X51" s="2290">
        <v>0</v>
      </c>
      <c r="Y51" s="2000">
        <v>0</v>
      </c>
      <c r="Z51" s="2000">
        <v>0</v>
      </c>
      <c r="AA51" s="2000">
        <v>3</v>
      </c>
      <c r="AB51" s="2000">
        <v>0</v>
      </c>
      <c r="AC51" s="2290">
        <v>0</v>
      </c>
      <c r="AD51" s="2000">
        <v>0</v>
      </c>
      <c r="AE51" s="2000">
        <v>0</v>
      </c>
      <c r="AF51" s="2000">
        <v>0</v>
      </c>
      <c r="AG51" s="2000">
        <v>0</v>
      </c>
      <c r="AH51" s="2290">
        <v>0</v>
      </c>
      <c r="AI51" s="2000">
        <v>0</v>
      </c>
      <c r="AJ51" s="2000">
        <v>0</v>
      </c>
      <c r="AK51" s="2000">
        <v>0</v>
      </c>
      <c r="AL51" s="2000">
        <v>0</v>
      </c>
      <c r="AM51" s="2290">
        <v>0</v>
      </c>
      <c r="AN51" s="2000">
        <v>0</v>
      </c>
      <c r="AO51" s="2000">
        <v>0</v>
      </c>
      <c r="AP51" s="2000">
        <v>0</v>
      </c>
      <c r="AQ51" s="2000">
        <v>0</v>
      </c>
      <c r="AR51" s="2290">
        <v>0</v>
      </c>
      <c r="AS51" s="2000">
        <v>0</v>
      </c>
      <c r="AT51" s="2000">
        <v>0</v>
      </c>
      <c r="AU51" s="2000">
        <v>1268</v>
      </c>
      <c r="AV51" s="2000">
        <v>0</v>
      </c>
      <c r="AW51" s="2290">
        <v>1268</v>
      </c>
      <c r="AX51" s="2000">
        <v>0</v>
      </c>
      <c r="AY51" s="2000">
        <v>0</v>
      </c>
      <c r="AZ51" s="2000">
        <v>0</v>
      </c>
      <c r="BA51" s="2000">
        <v>0</v>
      </c>
      <c r="BB51" s="2290">
        <v>0</v>
      </c>
      <c r="BC51" s="2000">
        <v>0</v>
      </c>
      <c r="BD51" s="2000">
        <v>701</v>
      </c>
      <c r="BE51" s="2000">
        <v>0</v>
      </c>
      <c r="BF51" s="2000">
        <v>0</v>
      </c>
      <c r="BG51" s="2290">
        <v>701</v>
      </c>
      <c r="BH51" s="2291">
        <v>0</v>
      </c>
      <c r="BI51" s="2291">
        <v>0</v>
      </c>
      <c r="BJ51" s="2291">
        <v>0</v>
      </c>
      <c r="BK51" s="2291">
        <v>0</v>
      </c>
      <c r="BL51" s="2290">
        <v>0</v>
      </c>
      <c r="BM51" s="2291">
        <v>0</v>
      </c>
      <c r="BN51" s="2291">
        <v>0</v>
      </c>
      <c r="BO51" s="2291">
        <v>0</v>
      </c>
      <c r="BP51" s="2291">
        <v>529</v>
      </c>
      <c r="BQ51" s="2290">
        <v>529</v>
      </c>
      <c r="BR51" s="2291">
        <v>0</v>
      </c>
      <c r="BS51" s="2291">
        <v>0</v>
      </c>
      <c r="BT51" s="2291">
        <v>0</v>
      </c>
      <c r="BU51" s="2291">
        <v>0</v>
      </c>
      <c r="BV51" s="2281">
        <f>SUM(BR51:BU51)</f>
        <v>0</v>
      </c>
      <c r="BW51" s="2291">
        <v>0</v>
      </c>
      <c r="BX51" s="2282">
        <f>BW51</f>
        <v>0</v>
      </c>
      <c r="BY51" s="2282">
        <f>BX51</f>
        <v>0</v>
      </c>
      <c r="BZ51" s="2282">
        <f>BY51</f>
        <v>0</v>
      </c>
      <c r="CA51" s="2281">
        <f>SUM(BW51:BZ51)</f>
        <v>0</v>
      </c>
      <c r="CB51" s="2282">
        <f>BZ51</f>
        <v>0</v>
      </c>
      <c r="CC51" s="2282">
        <f>CB51</f>
        <v>0</v>
      </c>
      <c r="CD51" s="2291">
        <f>CC51</f>
        <v>0</v>
      </c>
      <c r="CE51" s="2291">
        <f>CD51</f>
        <v>0</v>
      </c>
      <c r="CF51" s="2279">
        <f>SUM(CB51:CE51)</f>
        <v>0</v>
      </c>
      <c r="CG51" s="2291">
        <f>CE51</f>
        <v>0</v>
      </c>
      <c r="CH51" s="2291">
        <f>CG51</f>
        <v>0</v>
      </c>
      <c r="CI51" s="2291">
        <f>CH51</f>
        <v>0</v>
      </c>
      <c r="CJ51" s="2291">
        <f>CI51</f>
        <v>0</v>
      </c>
      <c r="CK51" s="2279">
        <f>SUM(CG51:CJ51)</f>
        <v>0</v>
      </c>
      <c r="CL51" s="2283">
        <f>(CL54-CL45)-SUM(CL49, CL52)</f>
        <v>30</v>
      </c>
      <c r="CM51" s="2283">
        <f>(CM54-CM45)-SUM(CM49, CM52)</f>
        <v>40</v>
      </c>
      <c r="CN51" s="2283">
        <f>(CN54-CN45)-SUM(CN49, CN52)</f>
        <v>-22</v>
      </c>
      <c r="CO51" s="2283">
        <f>(CO54-CO45)-SUM(CO49, CO52)</f>
        <v>-61</v>
      </c>
      <c r="CP51" s="2279">
        <f>SUM(CL51:CO51)</f>
        <v>-13</v>
      </c>
      <c r="CQ51" s="2283">
        <f>(CQ54-CQ45)-SUM(CQ49, CQ52)</f>
        <v>226</v>
      </c>
      <c r="CR51" s="2291">
        <v>0</v>
      </c>
      <c r="CS51" s="2291">
        <v>33</v>
      </c>
      <c r="CT51" s="2291">
        <v>0</v>
      </c>
      <c r="CU51" s="2279">
        <f>SUM(CQ51:CT51)</f>
        <v>259</v>
      </c>
      <c r="CV51" s="2283">
        <f>CT51</f>
        <v>0</v>
      </c>
      <c r="CW51" s="2283">
        <f>CV51</f>
        <v>0</v>
      </c>
      <c r="CX51" s="2283">
        <f>CW51</f>
        <v>0</v>
      </c>
      <c r="CY51" s="2291">
        <v>1672</v>
      </c>
      <c r="CZ51" s="2279">
        <f>SUM(CV51:CY51)</f>
        <v>1672</v>
      </c>
      <c r="DA51" s="2283">
        <v>0</v>
      </c>
      <c r="DB51" s="2283">
        <v>0</v>
      </c>
      <c r="DC51" s="2283">
        <v>0</v>
      </c>
      <c r="DD51" s="2283">
        <v>1</v>
      </c>
      <c r="DE51" s="2279">
        <f>SUM(DA51:DD51)</f>
        <v>1</v>
      </c>
      <c r="DF51" s="2283">
        <v>0</v>
      </c>
      <c r="DG51" s="2283">
        <v>0</v>
      </c>
      <c r="DH51" s="2748">
        <v>0</v>
      </c>
      <c r="DI51" s="2748">
        <v>0</v>
      </c>
      <c r="DJ51" s="2279">
        <f>SUM(DF51:DI51)</f>
        <v>0</v>
      </c>
      <c r="DK51" s="2291">
        <f>DI51</f>
        <v>0</v>
      </c>
      <c r="DL51" s="2291">
        <f>DK51</f>
        <v>0</v>
      </c>
      <c r="DM51" s="2291">
        <f>DL51</f>
        <v>0</v>
      </c>
      <c r="DN51" s="2291">
        <f>DM51</f>
        <v>0</v>
      </c>
      <c r="DO51" s="2279">
        <f>SUM(DK51:DN51)</f>
        <v>0</v>
      </c>
      <c r="DP51" s="2291">
        <f>DN51</f>
        <v>0</v>
      </c>
      <c r="DQ51" s="2291">
        <f>DP51</f>
        <v>0</v>
      </c>
      <c r="DR51" s="2291">
        <f>DQ51</f>
        <v>0</v>
      </c>
      <c r="DS51" s="2291">
        <f>DR51</f>
        <v>0</v>
      </c>
      <c r="DT51" s="2279">
        <f>SUM(DP51:DS51)</f>
        <v>0</v>
      </c>
      <c r="DU51" s="2291">
        <f>DS51</f>
        <v>0</v>
      </c>
      <c r="DV51" s="2291">
        <f>DU51</f>
        <v>0</v>
      </c>
      <c r="DW51" s="2291">
        <f>DV51</f>
        <v>0</v>
      </c>
      <c r="DX51" s="2291">
        <f>DW51</f>
        <v>0</v>
      </c>
      <c r="DY51" s="2279">
        <f>SUM(DU51:DX51)</f>
        <v>0</v>
      </c>
      <c r="DZ51" s="1886"/>
      <c r="EA51" s="1886"/>
    </row>
    <row r="52" spans="1:131" ht="11.25" customHeight="1" x14ac:dyDescent="0.2">
      <c r="A52" s="2013"/>
      <c r="B52" s="2289" t="s">
        <v>991</v>
      </c>
      <c r="C52" s="2013"/>
      <c r="D52" s="2162"/>
      <c r="E52" s="1886"/>
      <c r="F52" s="1886"/>
      <c r="G52" s="1886"/>
      <c r="H52" s="1886"/>
      <c r="I52" s="2290">
        <v>0</v>
      </c>
      <c r="J52" s="1886"/>
      <c r="K52" s="1886"/>
      <c r="L52" s="1886"/>
      <c r="M52" s="1886"/>
      <c r="N52" s="2104"/>
      <c r="O52" s="2013"/>
      <c r="P52" s="2000">
        <v>-90</v>
      </c>
      <c r="Q52" s="2000">
        <v>-34</v>
      </c>
      <c r="R52" s="2000">
        <v>-81</v>
      </c>
      <c r="S52" s="2298">
        <v>-158</v>
      </c>
      <c r="T52" s="2000">
        <v>-58</v>
      </c>
      <c r="U52" s="2000">
        <v>0</v>
      </c>
      <c r="V52" s="2000">
        <v>-34</v>
      </c>
      <c r="W52" s="2000">
        <v>-40</v>
      </c>
      <c r="X52" s="2298">
        <v>-170</v>
      </c>
      <c r="Y52" s="2000">
        <v>-49</v>
      </c>
      <c r="Z52" s="2000">
        <v>-29</v>
      </c>
      <c r="AA52" s="2000">
        <f>-99-SUM(Y52:Z52)</f>
        <v>-21</v>
      </c>
      <c r="AB52" s="2280">
        <f>AC52-SUM(Y52:AA52)</f>
        <v>-24</v>
      </c>
      <c r="AC52" s="2298">
        <v>-123</v>
      </c>
      <c r="AD52" s="2000">
        <v>-20</v>
      </c>
      <c r="AE52" s="2000">
        <v>-13</v>
      </c>
      <c r="AF52" s="2000">
        <v>-24</v>
      </c>
      <c r="AG52" s="2280">
        <f>AH52-SUM(AD52:AF52)</f>
        <v>-11</v>
      </c>
      <c r="AH52" s="2298">
        <v>-68</v>
      </c>
      <c r="AI52" s="2000">
        <v>-247</v>
      </c>
      <c r="AJ52" s="2000">
        <v>-16</v>
      </c>
      <c r="AK52" s="2000">
        <v>-9</v>
      </c>
      <c r="AL52" s="2280">
        <f>AM52-SUM(AI52:AK52)</f>
        <v>-6</v>
      </c>
      <c r="AM52" s="2298">
        <v>-278</v>
      </c>
      <c r="AN52" s="2000">
        <v>-25</v>
      </c>
      <c r="AO52" s="2000">
        <f>-37-AN52</f>
        <v>-12</v>
      </c>
      <c r="AP52" s="2000">
        <v>-7</v>
      </c>
      <c r="AQ52" s="2280">
        <f>AR52-SUM(AN52:AP52)</f>
        <v>-14</v>
      </c>
      <c r="AR52" s="2298">
        <v>-58</v>
      </c>
      <c r="AS52" s="2000">
        <v>-21</v>
      </c>
      <c r="AT52" s="2000">
        <f>-24-AS52</f>
        <v>-3</v>
      </c>
      <c r="AU52" s="2000">
        <f>-30-SUM(AS52:AT52)-134</f>
        <v>-140</v>
      </c>
      <c r="AV52" s="2280">
        <f>AW52-SUM(AS52:AU52)</f>
        <v>-37</v>
      </c>
      <c r="AW52" s="2298">
        <v>-201</v>
      </c>
      <c r="AX52" s="2000">
        <v>-17</v>
      </c>
      <c r="AY52" s="2000">
        <f>-39-AX52</f>
        <v>-22</v>
      </c>
      <c r="AZ52" s="2000">
        <f>-56-SUM(AX52:AY52)</f>
        <v>-17</v>
      </c>
      <c r="BA52" s="2280">
        <f>BB52-SUM(AX52:AZ52)</f>
        <v>-14</v>
      </c>
      <c r="BB52" s="2298">
        <v>-70</v>
      </c>
      <c r="BC52" s="2000">
        <v>-23</v>
      </c>
      <c r="BD52" s="2000">
        <f>-28-BC52</f>
        <v>-5</v>
      </c>
      <c r="BE52" s="2000">
        <f>-108-SUM(BC52:BD52)</f>
        <v>-80</v>
      </c>
      <c r="BF52" s="2280">
        <f>BG52-SUM(BC52:BE52)</f>
        <v>-9</v>
      </c>
      <c r="BG52" s="2298">
        <v>-117</v>
      </c>
      <c r="BH52" s="2000">
        <v>-15</v>
      </c>
      <c r="BI52" s="2000">
        <f>-30-BH52</f>
        <v>-15</v>
      </c>
      <c r="BJ52" s="2000">
        <f>-38-SUM(BH52:BI52)</f>
        <v>-8</v>
      </c>
      <c r="BK52" s="2280">
        <f>BL52-SUM(BH52:BJ52)</f>
        <v>-6</v>
      </c>
      <c r="BL52" s="2298">
        <v>-44</v>
      </c>
      <c r="BM52" s="2000">
        <v>-19</v>
      </c>
      <c r="BN52" s="2000">
        <f>-27-BM52</f>
        <v>-8</v>
      </c>
      <c r="BO52" s="2000">
        <f>-34-SUM(BM52:BN52)</f>
        <v>-7</v>
      </c>
      <c r="BP52" s="2280">
        <f>BQ52-SUM(BM52:BO52)</f>
        <v>-5</v>
      </c>
      <c r="BQ52" s="2298">
        <v>-39</v>
      </c>
      <c r="BR52" s="2000">
        <v>-50</v>
      </c>
      <c r="BS52" s="2000">
        <f>-64-BR52</f>
        <v>-14</v>
      </c>
      <c r="BT52" s="2000">
        <f>-70-SUM(BR52:BS52)</f>
        <v>-6</v>
      </c>
      <c r="BU52" s="2000">
        <v>-6</v>
      </c>
      <c r="BV52" s="2281">
        <f>SUM(BR52:BU52)</f>
        <v>-76</v>
      </c>
      <c r="BW52" s="2000">
        <v>-10</v>
      </c>
      <c r="BX52" s="2000">
        <v>-4</v>
      </c>
      <c r="BY52" s="2000">
        <v>-6</v>
      </c>
      <c r="BZ52" s="2000">
        <v>-2</v>
      </c>
      <c r="CA52" s="2281">
        <f>SUM(BW52:BZ52)</f>
        <v>-22</v>
      </c>
      <c r="CB52" s="2000">
        <v>-13</v>
      </c>
      <c r="CC52" s="2000">
        <v>-1</v>
      </c>
      <c r="CD52" s="2000">
        <v>-1</v>
      </c>
      <c r="CE52" s="2000">
        <v>-1</v>
      </c>
      <c r="CF52" s="2279">
        <f>SUM(CB52:CE52)</f>
        <v>-16</v>
      </c>
      <c r="CG52" s="2000">
        <v>-7</v>
      </c>
      <c r="CH52" s="2000">
        <v>-8</v>
      </c>
      <c r="CI52" s="2000">
        <v>-3</v>
      </c>
      <c r="CJ52" s="2000">
        <v>-12</v>
      </c>
      <c r="CK52" s="2279">
        <f>SUM(CG52:CJ52)</f>
        <v>-30</v>
      </c>
      <c r="CL52" s="2000">
        <v>-9</v>
      </c>
      <c r="CM52" s="2000">
        <v>-1</v>
      </c>
      <c r="CN52" s="2000">
        <v>-1</v>
      </c>
      <c r="CO52" s="2000">
        <v>-2</v>
      </c>
      <c r="CP52" s="2279">
        <f>SUM(CL52:CO52)</f>
        <v>-13</v>
      </c>
      <c r="CQ52" s="2000">
        <v>-7</v>
      </c>
      <c r="CR52" s="2000">
        <v>-4</v>
      </c>
      <c r="CS52" s="2000">
        <v>-4</v>
      </c>
      <c r="CT52" s="2000">
        <v>-7</v>
      </c>
      <c r="CU52" s="2279">
        <f>SUM(CQ52:CT52)</f>
        <v>-22</v>
      </c>
      <c r="CV52" s="2000">
        <v>-10</v>
      </c>
      <c r="CW52" s="2000">
        <v>-5</v>
      </c>
      <c r="CX52" s="2000">
        <v>-2</v>
      </c>
      <c r="CY52" s="2000">
        <v>-14</v>
      </c>
      <c r="CZ52" s="2279">
        <f>SUM(CV52:CY52)</f>
        <v>-31</v>
      </c>
      <c r="DA52" s="2013">
        <v>-5</v>
      </c>
      <c r="DB52" s="2013">
        <v>-10</v>
      </c>
      <c r="DC52" s="2013">
        <v>-6</v>
      </c>
      <c r="DD52" s="2013">
        <v>-26</v>
      </c>
      <c r="DE52" s="2279">
        <f>SUM(DA52:DD52)</f>
        <v>-47</v>
      </c>
      <c r="DF52" s="2013">
        <f>-60-38</f>
        <v>-98</v>
      </c>
      <c r="DG52" s="2013">
        <v>-3</v>
      </c>
      <c r="DH52" s="2751">
        <v>-5</v>
      </c>
      <c r="DI52" s="2846">
        <v>-13</v>
      </c>
      <c r="DJ52" s="2279">
        <f>SUM(DF52:DI52)</f>
        <v>-119</v>
      </c>
      <c r="DK52" s="2000">
        <v>-5</v>
      </c>
      <c r="DL52" s="2000">
        <v>-5</v>
      </c>
      <c r="DM52" s="2000">
        <v>-5</v>
      </c>
      <c r="DN52" s="2000">
        <v>-5</v>
      </c>
      <c r="DO52" s="2279">
        <f>SUM(DK52:DN52)</f>
        <v>-20</v>
      </c>
      <c r="DP52" s="2000">
        <v>-5</v>
      </c>
      <c r="DQ52" s="2000">
        <v>-5</v>
      </c>
      <c r="DR52" s="2000">
        <v>-5</v>
      </c>
      <c r="DS52" s="2000">
        <v>-5</v>
      </c>
      <c r="DT52" s="2279">
        <f>SUM(DP52:DS52)</f>
        <v>-20</v>
      </c>
      <c r="DU52" s="2000">
        <v>-5</v>
      </c>
      <c r="DV52" s="2000">
        <v>-5</v>
      </c>
      <c r="DW52" s="2000">
        <v>-5</v>
      </c>
      <c r="DX52" s="2000">
        <v>-5</v>
      </c>
      <c r="DY52" s="2279">
        <f>SUM(DU52:DX52)</f>
        <v>-20</v>
      </c>
      <c r="DZ52" s="1886"/>
      <c r="EA52" s="1886"/>
    </row>
    <row r="53" spans="1:131" ht="6" customHeight="1" x14ac:dyDescent="0.2">
      <c r="A53" s="2013"/>
      <c r="B53" s="2014"/>
      <c r="C53" s="2013"/>
      <c r="D53" s="2162"/>
      <c r="E53" s="1886"/>
      <c r="F53" s="1886"/>
      <c r="G53" s="1886"/>
      <c r="H53" s="1886"/>
      <c r="I53" s="2104"/>
      <c r="J53" s="1886"/>
      <c r="K53" s="1886"/>
      <c r="L53" s="1886"/>
      <c r="M53" s="1886"/>
      <c r="N53" s="2104"/>
      <c r="O53" s="1886"/>
      <c r="P53" s="1886"/>
      <c r="Q53" s="1886"/>
      <c r="R53" s="1886"/>
      <c r="S53" s="2104"/>
      <c r="T53" s="1886"/>
      <c r="U53" s="1886"/>
      <c r="V53" s="1886"/>
      <c r="W53" s="1886"/>
      <c r="X53" s="2104"/>
      <c r="Y53" s="1886"/>
      <c r="Z53" s="1886"/>
      <c r="AA53" s="1886"/>
      <c r="AB53" s="1886"/>
      <c r="AC53" s="2104"/>
      <c r="AD53" s="1886"/>
      <c r="AE53" s="1886"/>
      <c r="AF53" s="1886"/>
      <c r="AG53" s="1886"/>
      <c r="AH53" s="2104"/>
      <c r="AI53" s="1886"/>
      <c r="AJ53" s="1886"/>
      <c r="AK53" s="1886"/>
      <c r="AL53" s="1886"/>
      <c r="AM53" s="2104"/>
      <c r="AN53" s="1886"/>
      <c r="AO53" s="1886"/>
      <c r="AP53" s="1886"/>
      <c r="AQ53" s="1886"/>
      <c r="AR53" s="2104"/>
      <c r="AS53" s="1886"/>
      <c r="AT53" s="1886"/>
      <c r="AU53" s="1886"/>
      <c r="AV53" s="1886"/>
      <c r="AW53" s="2104"/>
      <c r="AX53" s="1886"/>
      <c r="AY53" s="1886"/>
      <c r="AZ53" s="1886"/>
      <c r="BA53" s="1886"/>
      <c r="BB53" s="2104"/>
      <c r="BC53" s="1886"/>
      <c r="BD53" s="1886"/>
      <c r="BE53" s="1886"/>
      <c r="BF53" s="1886"/>
      <c r="BG53" s="2104"/>
      <c r="BH53" s="1886"/>
      <c r="BI53" s="1886"/>
      <c r="BJ53" s="1886"/>
      <c r="BK53" s="1886"/>
      <c r="BL53" s="2104"/>
      <c r="BM53" s="1886"/>
      <c r="BN53" s="1886"/>
      <c r="BO53" s="1886"/>
      <c r="BP53" s="1886"/>
      <c r="BQ53" s="2104"/>
      <c r="BR53" s="1886"/>
      <c r="BS53" s="1886"/>
      <c r="BT53" s="1886"/>
      <c r="BU53" s="2000"/>
      <c r="BV53" s="2104"/>
      <c r="BW53" s="2003"/>
      <c r="BX53" s="2003"/>
      <c r="BY53" s="2003"/>
      <c r="BZ53" s="2003"/>
      <c r="CA53" s="2104"/>
      <c r="CB53" s="2003"/>
      <c r="CC53" s="2003"/>
      <c r="CD53" s="2003"/>
      <c r="CE53" s="2003"/>
      <c r="CF53" s="2104"/>
      <c r="CG53" s="2003"/>
      <c r="CH53" s="2003"/>
      <c r="CI53" s="2003"/>
      <c r="CJ53" s="2003"/>
      <c r="CK53" s="2104"/>
      <c r="CL53" s="2003"/>
      <c r="CM53" s="2003"/>
      <c r="CN53" s="2003"/>
      <c r="CO53" s="2003"/>
      <c r="CP53" s="2104"/>
      <c r="CQ53" s="2003"/>
      <c r="CR53" s="2003"/>
      <c r="CS53" s="2003"/>
      <c r="CT53" s="2003"/>
      <c r="CU53" s="2104"/>
      <c r="CV53" s="2003"/>
      <c r="CW53" s="2003"/>
      <c r="CX53" s="2003"/>
      <c r="CY53" s="2003"/>
      <c r="CZ53" s="2104"/>
      <c r="DA53" s="1886"/>
      <c r="DB53" s="1886"/>
      <c r="DC53" s="1886"/>
      <c r="DD53" s="1886"/>
      <c r="DE53" s="2104"/>
      <c r="DF53" s="2003"/>
      <c r="DG53" s="2003"/>
      <c r="DH53" s="2003"/>
      <c r="DI53" s="2003"/>
      <c r="DJ53" s="2104"/>
      <c r="DK53" s="2003"/>
      <c r="DL53" s="2003"/>
      <c r="DM53" s="2003"/>
      <c r="DN53" s="2003"/>
      <c r="DO53" s="2104"/>
      <c r="DP53" s="2003"/>
      <c r="DQ53" s="2003"/>
      <c r="DR53" s="2003"/>
      <c r="DS53" s="2003"/>
      <c r="DT53" s="2104"/>
      <c r="DU53" s="2003"/>
      <c r="DV53" s="2003"/>
      <c r="DW53" s="2003"/>
      <c r="DX53" s="2003"/>
      <c r="DY53" s="2104"/>
      <c r="DZ53" s="1886"/>
      <c r="EA53" s="1886"/>
    </row>
    <row r="54" spans="1:131" ht="11.25" customHeight="1" x14ac:dyDescent="0.2">
      <c r="A54" s="2162"/>
      <c r="B54" s="2299" t="s">
        <v>992</v>
      </c>
      <c r="C54" s="2163"/>
      <c r="D54" s="2163"/>
      <c r="E54" s="2300"/>
      <c r="F54" s="2301">
        <f>F45+F47+F51+F52</f>
        <v>0</v>
      </c>
      <c r="G54" s="2301">
        <f>G45+G47+G51+G52</f>
        <v>0</v>
      </c>
      <c r="H54" s="2302">
        <v>1408</v>
      </c>
      <c r="I54" s="2303">
        <v>1408</v>
      </c>
      <c r="J54" s="2302">
        <v>1424</v>
      </c>
      <c r="K54" s="2302">
        <v>3924</v>
      </c>
      <c r="L54" s="2302">
        <v>3909</v>
      </c>
      <c r="M54" s="2302">
        <v>3888</v>
      </c>
      <c r="N54" s="2303">
        <v>3888</v>
      </c>
      <c r="O54" s="2302">
        <v>3856</v>
      </c>
      <c r="P54" s="2301">
        <f t="shared" ref="P54:Z54" si="60">P45+P47+P51+P52</f>
        <v>4056</v>
      </c>
      <c r="Q54" s="2301">
        <f t="shared" si="60"/>
        <v>4095</v>
      </c>
      <c r="R54" s="2301">
        <f t="shared" si="60"/>
        <v>4122</v>
      </c>
      <c r="S54" s="2304">
        <f t="shared" si="60"/>
        <v>4122</v>
      </c>
      <c r="T54" s="2301">
        <f t="shared" si="60"/>
        <v>4096</v>
      </c>
      <c r="U54" s="2301">
        <f t="shared" si="60"/>
        <v>4096</v>
      </c>
      <c r="V54" s="2301">
        <f t="shared" si="60"/>
        <v>4089</v>
      </c>
      <c r="W54" s="2301">
        <f t="shared" si="60"/>
        <v>4098</v>
      </c>
      <c r="X54" s="2304">
        <f t="shared" si="60"/>
        <v>4098</v>
      </c>
      <c r="Y54" s="2301">
        <f t="shared" si="60"/>
        <v>4078</v>
      </c>
      <c r="Z54" s="2301">
        <f t="shared" si="60"/>
        <v>4082</v>
      </c>
      <c r="AA54" s="2302">
        <v>4106</v>
      </c>
      <c r="AB54" s="2301">
        <f t="shared" ref="AB54:BJ54" si="61">AB45+AB47+AB51+AB52</f>
        <v>4133</v>
      </c>
      <c r="AC54" s="2304">
        <f t="shared" si="61"/>
        <v>4133</v>
      </c>
      <c r="AD54" s="2301">
        <f t="shared" si="61"/>
        <v>4127</v>
      </c>
      <c r="AE54" s="2301">
        <f t="shared" si="61"/>
        <v>4130</v>
      </c>
      <c r="AF54" s="2301">
        <f t="shared" si="61"/>
        <v>4135</v>
      </c>
      <c r="AG54" s="2301">
        <f t="shared" si="61"/>
        <v>4191</v>
      </c>
      <c r="AH54" s="2304">
        <f t="shared" si="61"/>
        <v>4191</v>
      </c>
      <c r="AI54" s="2301">
        <f t="shared" si="61"/>
        <v>3991</v>
      </c>
      <c r="AJ54" s="2301">
        <f t="shared" si="61"/>
        <v>4002</v>
      </c>
      <c r="AK54" s="2301">
        <f t="shared" si="61"/>
        <v>4027</v>
      </c>
      <c r="AL54" s="2301">
        <f t="shared" si="61"/>
        <v>4087</v>
      </c>
      <c r="AM54" s="2304">
        <f t="shared" si="61"/>
        <v>4087</v>
      </c>
      <c r="AN54" s="2301">
        <f t="shared" si="61"/>
        <v>4099</v>
      </c>
      <c r="AO54" s="2301">
        <f t="shared" si="61"/>
        <v>4113</v>
      </c>
      <c r="AP54" s="2301">
        <f t="shared" si="61"/>
        <v>4137</v>
      </c>
      <c r="AQ54" s="2301">
        <f t="shared" si="61"/>
        <v>4179</v>
      </c>
      <c r="AR54" s="2304">
        <f t="shared" si="61"/>
        <v>4179</v>
      </c>
      <c r="AS54" s="2301">
        <f t="shared" si="61"/>
        <v>4187</v>
      </c>
      <c r="AT54" s="2301">
        <f t="shared" si="61"/>
        <v>4206</v>
      </c>
      <c r="AU54" s="2301">
        <f t="shared" si="61"/>
        <v>5383</v>
      </c>
      <c r="AV54" s="2301">
        <f t="shared" si="61"/>
        <v>5375</v>
      </c>
      <c r="AW54" s="2304">
        <f t="shared" si="61"/>
        <v>5375</v>
      </c>
      <c r="AX54" s="2301">
        <f t="shared" si="61"/>
        <v>5409</v>
      </c>
      <c r="AY54" s="2301">
        <f t="shared" si="61"/>
        <v>5439</v>
      </c>
      <c r="AZ54" s="2301">
        <f t="shared" si="61"/>
        <v>5461</v>
      </c>
      <c r="BA54" s="2301">
        <f t="shared" si="61"/>
        <v>5471</v>
      </c>
      <c r="BB54" s="2304">
        <f t="shared" si="61"/>
        <v>5471</v>
      </c>
      <c r="BC54" s="2301">
        <f t="shared" si="61"/>
        <v>5483</v>
      </c>
      <c r="BD54" s="2301">
        <f t="shared" si="61"/>
        <v>6205</v>
      </c>
      <c r="BE54" s="2301">
        <f t="shared" si="61"/>
        <v>6157</v>
      </c>
      <c r="BF54" s="2301">
        <f t="shared" si="61"/>
        <v>6202</v>
      </c>
      <c r="BG54" s="2304">
        <f t="shared" si="61"/>
        <v>6202</v>
      </c>
      <c r="BH54" s="2301">
        <f t="shared" si="61"/>
        <v>6208</v>
      </c>
      <c r="BI54" s="2301">
        <f t="shared" si="61"/>
        <v>6230</v>
      </c>
      <c r="BJ54" s="2301">
        <f t="shared" si="61"/>
        <v>6259</v>
      </c>
      <c r="BK54" s="2302">
        <v>6245</v>
      </c>
      <c r="BL54" s="2303">
        <v>6245</v>
      </c>
      <c r="BM54" s="2301">
        <f>BM45+BM47+BM51+BM52</f>
        <v>6267</v>
      </c>
      <c r="BN54" s="2301">
        <f>BN45+BN47+BN51+BN52</f>
        <v>6308</v>
      </c>
      <c r="BO54" s="2302">
        <v>6347</v>
      </c>
      <c r="BP54" s="2302">
        <v>6923</v>
      </c>
      <c r="BQ54" s="2304">
        <f t="shared" ref="BQ54:CI54" si="62">BQ45+BQ47+BQ51+BQ52</f>
        <v>6923</v>
      </c>
      <c r="BR54" s="2301">
        <f t="shared" si="62"/>
        <v>6912</v>
      </c>
      <c r="BS54" s="2301">
        <f t="shared" si="62"/>
        <v>6949</v>
      </c>
      <c r="BT54" s="2301">
        <f t="shared" si="62"/>
        <v>7008</v>
      </c>
      <c r="BU54" s="2301">
        <f t="shared" si="62"/>
        <v>7025</v>
      </c>
      <c r="BV54" s="2304">
        <f t="shared" si="62"/>
        <v>7025</v>
      </c>
      <c r="BW54" s="2301">
        <f t="shared" si="62"/>
        <v>7063</v>
      </c>
      <c r="BX54" s="2301">
        <f t="shared" si="62"/>
        <v>7109</v>
      </c>
      <c r="BY54" s="2301">
        <f t="shared" si="62"/>
        <v>7152</v>
      </c>
      <c r="BZ54" s="2301">
        <f t="shared" si="62"/>
        <v>7182</v>
      </c>
      <c r="CA54" s="2304">
        <f t="shared" si="62"/>
        <v>7182</v>
      </c>
      <c r="CB54" s="2301">
        <f t="shared" si="62"/>
        <v>7226</v>
      </c>
      <c r="CC54" s="2301">
        <f t="shared" si="62"/>
        <v>7266</v>
      </c>
      <c r="CD54" s="2300">
        <f t="shared" si="62"/>
        <v>7304</v>
      </c>
      <c r="CE54" s="2300">
        <f t="shared" si="62"/>
        <v>7327</v>
      </c>
      <c r="CF54" s="2305">
        <f t="shared" si="62"/>
        <v>7327</v>
      </c>
      <c r="CG54" s="2300">
        <f t="shared" si="62"/>
        <v>7352</v>
      </c>
      <c r="CH54" s="2300">
        <f t="shared" si="62"/>
        <v>7380</v>
      </c>
      <c r="CI54" s="2300">
        <f t="shared" si="62"/>
        <v>7419</v>
      </c>
      <c r="CJ54" s="2302">
        <v>7458</v>
      </c>
      <c r="CK54" s="2305">
        <f>CJ54</f>
        <v>7458</v>
      </c>
      <c r="CL54" s="2302">
        <v>7531</v>
      </c>
      <c r="CM54" s="2302">
        <v>7617</v>
      </c>
      <c r="CN54" s="2302">
        <v>7665</v>
      </c>
      <c r="CO54" s="2302">
        <v>7660</v>
      </c>
      <c r="CP54" s="2305">
        <f t="shared" ref="CP54:DJ54" si="63">CP45+CP47+CP51+CP52</f>
        <v>7579</v>
      </c>
      <c r="CQ54" s="2302">
        <v>7829</v>
      </c>
      <c r="CR54" s="2300">
        <f t="shared" si="63"/>
        <v>7859</v>
      </c>
      <c r="CS54" s="2300">
        <f t="shared" si="63"/>
        <v>7933</v>
      </c>
      <c r="CT54" s="2302">
        <v>7981</v>
      </c>
      <c r="CU54" s="2305">
        <f t="shared" si="63"/>
        <v>7967</v>
      </c>
      <c r="CV54" s="2302">
        <v>8006</v>
      </c>
      <c r="CW54" s="2302">
        <v>8028</v>
      </c>
      <c r="CX54" s="2302">
        <v>7944</v>
      </c>
      <c r="CY54" s="2302">
        <f t="shared" si="63"/>
        <v>9655</v>
      </c>
      <c r="CZ54" s="2305">
        <f>CY54</f>
        <v>9655</v>
      </c>
      <c r="DA54" s="2300">
        <f>DA45+DA47+DA51+DA52</f>
        <v>9674</v>
      </c>
      <c r="DB54" s="2300">
        <f>DB45+DB47+DB51+DB52</f>
        <v>9686</v>
      </c>
      <c r="DC54" s="2300">
        <f>DC45+DC47+DC51+DC52</f>
        <v>9728</v>
      </c>
      <c r="DD54" s="2300">
        <f>DD45+DD47+DD51+DD52</f>
        <v>9747</v>
      </c>
      <c r="DE54" s="2305">
        <f t="shared" si="63"/>
        <v>9747</v>
      </c>
      <c r="DF54" s="2698">
        <f t="shared" si="63"/>
        <v>9676</v>
      </c>
      <c r="DG54" s="2698">
        <f>DG45+DG47+DG51+DG52</f>
        <v>9700</v>
      </c>
      <c r="DH54" s="2698">
        <f>DH45+DH47+DH51+DH52</f>
        <v>9751</v>
      </c>
      <c r="DI54" s="2698">
        <f>DI45+DI47+DI51+DI52</f>
        <v>9803</v>
      </c>
      <c r="DJ54" s="2305">
        <f t="shared" si="63"/>
        <v>9803</v>
      </c>
      <c r="DK54" s="2300">
        <f t="shared" ref="DK54:DT54" si="64">DK45+DK47+DK51+DK52</f>
        <v>9828</v>
      </c>
      <c r="DL54" s="2300">
        <f t="shared" si="64"/>
        <v>9853</v>
      </c>
      <c r="DM54" s="2300">
        <f t="shared" si="64"/>
        <v>9878</v>
      </c>
      <c r="DN54" s="2300">
        <f t="shared" si="64"/>
        <v>9903</v>
      </c>
      <c r="DO54" s="2305">
        <f t="shared" si="64"/>
        <v>9903</v>
      </c>
      <c r="DP54" s="2300">
        <f t="shared" si="64"/>
        <v>9928</v>
      </c>
      <c r="DQ54" s="2300">
        <f t="shared" si="64"/>
        <v>9953</v>
      </c>
      <c r="DR54" s="2300">
        <f t="shared" si="64"/>
        <v>9978</v>
      </c>
      <c r="DS54" s="2300">
        <f t="shared" si="64"/>
        <v>10003</v>
      </c>
      <c r="DT54" s="2305">
        <f t="shared" si="64"/>
        <v>10003</v>
      </c>
      <c r="DU54" s="2300">
        <f t="shared" ref="DU54:DY54" si="65">DU45+DU47+DU51+DU52</f>
        <v>10028</v>
      </c>
      <c r="DV54" s="2300">
        <f t="shared" si="65"/>
        <v>10053</v>
      </c>
      <c r="DW54" s="2300">
        <f t="shared" si="65"/>
        <v>10078</v>
      </c>
      <c r="DX54" s="2300">
        <f t="shared" si="65"/>
        <v>10103</v>
      </c>
      <c r="DY54" s="2305">
        <f t="shared" si="65"/>
        <v>10103</v>
      </c>
      <c r="DZ54" s="2163"/>
      <c r="EA54" s="2163"/>
    </row>
    <row r="55" spans="1:131" ht="5.25" customHeight="1" x14ac:dyDescent="0.2">
      <c r="A55" s="2090"/>
      <c r="B55" s="1942"/>
      <c r="C55" s="1943"/>
      <c r="D55" s="1943"/>
      <c r="E55" s="2306"/>
      <c r="F55" s="2306"/>
      <c r="G55" s="2306"/>
      <c r="H55" s="2306"/>
      <c r="I55" s="2307"/>
      <c r="J55" s="2306"/>
      <c r="K55" s="2306"/>
      <c r="L55" s="2306"/>
      <c r="M55" s="2306"/>
      <c r="N55" s="2307"/>
      <c r="O55" s="2306"/>
      <c r="P55" s="2306"/>
      <c r="Q55" s="2306"/>
      <c r="R55" s="2306"/>
      <c r="S55" s="2307"/>
      <c r="T55" s="2306"/>
      <c r="U55" s="2306"/>
      <c r="V55" s="2306"/>
      <c r="W55" s="2306"/>
      <c r="X55" s="2307"/>
      <c r="Y55" s="2306"/>
      <c r="Z55" s="2306"/>
      <c r="AA55" s="2306"/>
      <c r="AB55" s="2306"/>
      <c r="AC55" s="2307"/>
      <c r="AD55" s="2306"/>
      <c r="AE55" s="2306"/>
      <c r="AF55" s="2306"/>
      <c r="AG55" s="2306"/>
      <c r="AH55" s="2307"/>
      <c r="AI55" s="2306"/>
      <c r="AJ55" s="2306"/>
      <c r="AK55" s="2306"/>
      <c r="AL55" s="2306"/>
      <c r="AM55" s="2307"/>
      <c r="AN55" s="2306"/>
      <c r="AO55" s="2306"/>
      <c r="AP55" s="2306"/>
      <c r="AQ55" s="2306"/>
      <c r="AR55" s="2307"/>
      <c r="AS55" s="2306"/>
      <c r="AT55" s="2306"/>
      <c r="AU55" s="2306"/>
      <c r="AV55" s="2306"/>
      <c r="AW55" s="2307"/>
      <c r="AX55" s="2306"/>
      <c r="AY55" s="2306"/>
      <c r="AZ55" s="2306"/>
      <c r="BA55" s="2308"/>
      <c r="BB55" s="2307"/>
      <c r="BC55" s="2306"/>
      <c r="BD55" s="2306"/>
      <c r="BE55" s="2306"/>
      <c r="BF55" s="2306"/>
      <c r="BG55" s="2307"/>
      <c r="BH55" s="2306"/>
      <c r="BI55" s="2306"/>
      <c r="BJ55" s="2306"/>
      <c r="BK55" s="2306"/>
      <c r="BL55" s="2307"/>
      <c r="BM55" s="2306"/>
      <c r="BN55" s="2306"/>
      <c r="BO55" s="2306"/>
      <c r="BP55" s="2306"/>
      <c r="BQ55" s="2307"/>
      <c r="BR55" s="2306"/>
      <c r="BS55" s="2306"/>
      <c r="BT55" s="2306"/>
      <c r="BU55" s="2306"/>
      <c r="BV55" s="2307"/>
      <c r="BW55" s="2306"/>
      <c r="BX55" s="2306"/>
      <c r="BY55" s="2306"/>
      <c r="BZ55" s="2306"/>
      <c r="CA55" s="2307"/>
      <c r="CB55" s="2306"/>
      <c r="CC55" s="2306"/>
      <c r="CD55" s="2306"/>
      <c r="CE55" s="2306"/>
      <c r="CF55" s="2307"/>
      <c r="CG55" s="2306"/>
      <c r="CH55" s="2306"/>
      <c r="CI55" s="2306"/>
      <c r="CJ55" s="2306"/>
      <c r="CK55" s="2307"/>
      <c r="CL55" s="2306"/>
      <c r="CM55" s="2306"/>
      <c r="CN55" s="2306"/>
      <c r="CO55" s="2306"/>
      <c r="CP55" s="2307"/>
      <c r="CQ55" s="2306"/>
      <c r="CR55" s="2306"/>
      <c r="CS55" s="2306"/>
      <c r="CT55" s="2306"/>
      <c r="CU55" s="2307"/>
      <c r="CV55" s="2306"/>
      <c r="CW55" s="2306"/>
      <c r="CX55" s="2306"/>
      <c r="CY55" s="2306"/>
      <c r="CZ55" s="2307"/>
      <c r="DA55" s="2306"/>
      <c r="DB55" s="2306"/>
      <c r="DC55" s="2306"/>
      <c r="DD55" s="2306"/>
      <c r="DE55" s="2307"/>
      <c r="DF55" s="2306"/>
      <c r="DG55" s="2306"/>
      <c r="DH55" s="2306"/>
      <c r="DI55" s="2306"/>
      <c r="DJ55" s="2307"/>
      <c r="DK55" s="2306"/>
      <c r="DL55" s="2306"/>
      <c r="DM55" s="2306"/>
      <c r="DN55" s="2306"/>
      <c r="DO55" s="2307"/>
      <c r="DP55" s="2306"/>
      <c r="DQ55" s="2306"/>
      <c r="DR55" s="2306"/>
      <c r="DS55" s="2306"/>
      <c r="DT55" s="2307"/>
      <c r="DU55" s="2306"/>
      <c r="DV55" s="2306"/>
      <c r="DW55" s="2306"/>
      <c r="DX55" s="2306"/>
      <c r="DY55" s="2307"/>
      <c r="DZ55" s="1943"/>
      <c r="EA55" s="1943"/>
    </row>
    <row r="56" spans="1:131" ht="11.25" customHeight="1" outlineLevel="1" x14ac:dyDescent="0.2">
      <c r="A56" s="1984"/>
      <c r="B56" s="1942" t="s">
        <v>993</v>
      </c>
      <c r="C56" s="2090"/>
      <c r="D56" s="1984"/>
      <c r="E56" s="2309">
        <v>26117</v>
      </c>
      <c r="F56" s="2309">
        <v>26348</v>
      </c>
      <c r="G56" s="2309">
        <v>26558</v>
      </c>
      <c r="H56" s="2309">
        <v>31025.52</v>
      </c>
      <c r="I56" s="2285">
        <f>I54*I57/1000</f>
        <v>12672</v>
      </c>
      <c r="J56" s="2309">
        <v>31010.76</v>
      </c>
      <c r="K56" s="2309">
        <v>30405.599999999999</v>
      </c>
      <c r="L56" s="2309">
        <v>30331.8</v>
      </c>
      <c r="M56" s="2309">
        <v>30100</v>
      </c>
      <c r="N56" s="2310">
        <v>30100</v>
      </c>
      <c r="O56" s="2309">
        <v>28234</v>
      </c>
      <c r="P56" s="2309">
        <v>29981</v>
      </c>
      <c r="Q56" s="2309">
        <v>30216</v>
      </c>
      <c r="R56" s="2309">
        <v>30634</v>
      </c>
      <c r="S56" s="2310">
        <v>30634</v>
      </c>
      <c r="T56" s="2309">
        <v>30309</v>
      </c>
      <c r="U56" s="2309">
        <v>30249</v>
      </c>
      <c r="V56" s="2309">
        <v>30280</v>
      </c>
      <c r="W56" s="2309">
        <v>30171</v>
      </c>
      <c r="X56" s="2310">
        <v>30300</v>
      </c>
      <c r="Y56" s="2309">
        <v>30152</v>
      </c>
      <c r="Z56" s="2309">
        <v>29881</v>
      </c>
      <c r="AA56" s="2309">
        <v>29950</v>
      </c>
      <c r="AB56" s="2309">
        <v>30800</v>
      </c>
      <c r="AC56" s="2310">
        <v>30800</v>
      </c>
      <c r="AD56" s="2309">
        <v>30800</v>
      </c>
      <c r="AE56" s="2309">
        <v>30800</v>
      </c>
      <c r="AF56" s="2309">
        <v>30837.288135593211</v>
      </c>
      <c r="AG56" s="2309">
        <v>31500</v>
      </c>
      <c r="AH56" s="2310">
        <v>31500</v>
      </c>
      <c r="AI56" s="2309">
        <v>30100</v>
      </c>
      <c r="AJ56" s="2309">
        <v>30700</v>
      </c>
      <c r="AK56" s="2309">
        <v>30941</v>
      </c>
      <c r="AL56" s="2309">
        <v>31507</v>
      </c>
      <c r="AM56" s="2310">
        <v>31507</v>
      </c>
      <c r="AN56" s="2309">
        <v>31593</v>
      </c>
      <c r="AO56" s="2309">
        <v>31788</v>
      </c>
      <c r="AP56" s="2309">
        <v>32063</v>
      </c>
      <c r="AQ56" s="2287">
        <f>AR56</f>
        <v>31500</v>
      </c>
      <c r="AR56" s="2310">
        <v>31500</v>
      </c>
      <c r="AS56" s="2309">
        <v>32748.518000000011</v>
      </c>
      <c r="AT56" s="2309">
        <v>32941</v>
      </c>
      <c r="AU56" s="2309">
        <v>43389</v>
      </c>
      <c r="AV56" s="2287">
        <f>AW56</f>
        <v>43500</v>
      </c>
      <c r="AW56" s="2310">
        <v>43500</v>
      </c>
      <c r="AX56" s="2309">
        <v>43960</v>
      </c>
      <c r="AY56" s="2309">
        <v>44390</v>
      </c>
      <c r="AZ56" s="2309">
        <v>45010</v>
      </c>
      <c r="BA56" s="2286">
        <f>BB56</f>
        <v>45010</v>
      </c>
      <c r="BB56" s="2310">
        <v>45010</v>
      </c>
      <c r="BC56" s="2309">
        <v>45326</v>
      </c>
      <c r="BD56" s="2309">
        <v>55442</v>
      </c>
      <c r="BE56" s="2309">
        <v>54912</v>
      </c>
      <c r="BF56" s="2287">
        <f>BG56</f>
        <v>55500</v>
      </c>
      <c r="BG56" s="2310">
        <v>55500</v>
      </c>
      <c r="BH56" s="2309">
        <v>56405.359759999999</v>
      </c>
      <c r="BI56" s="2309">
        <v>56813</v>
      </c>
      <c r="BJ56" s="2309">
        <v>56559</v>
      </c>
      <c r="BK56" s="2287">
        <f>BL56</f>
        <v>56500</v>
      </c>
      <c r="BL56" s="2310">
        <v>56500</v>
      </c>
      <c r="BM56" s="2309">
        <v>57094</v>
      </c>
      <c r="BN56" s="2309">
        <v>58234</v>
      </c>
      <c r="BO56" s="2309">
        <v>58539</v>
      </c>
      <c r="BP56" s="2309">
        <v>66300</v>
      </c>
      <c r="BQ56" s="2310">
        <v>66300</v>
      </c>
      <c r="BR56" s="2287">
        <f>(BR54*BR57)/1000</f>
        <v>66194.655496172185</v>
      </c>
      <c r="BS56" s="2287">
        <f>(BS54*BS57)/1000</f>
        <v>66548.996099956683</v>
      </c>
      <c r="BT56" s="2287">
        <f>(BT54*BT57)/1000</f>
        <v>67114.025711396796</v>
      </c>
      <c r="BU56" s="2287">
        <f>(BU54*BU57)/1000</f>
        <v>67276.830853676161</v>
      </c>
      <c r="BV56" s="2310">
        <v>67800</v>
      </c>
      <c r="BW56" s="2287">
        <f>(BW54*BW57)/1000</f>
        <v>67640.748230535915</v>
      </c>
      <c r="BX56" s="2287">
        <f>(BX54*BX57)/1000</f>
        <v>68081.279791997702</v>
      </c>
      <c r="BY56" s="2287">
        <f>(BY54*BY57)/1000</f>
        <v>68493.081034233721</v>
      </c>
      <c r="BZ56" s="2287">
        <f>(BZ54*BZ57)/1000</f>
        <v>68780.384226491427</v>
      </c>
      <c r="CA56" s="2285">
        <f>BZ56</f>
        <v>68780.384226491427</v>
      </c>
      <c r="CB56" s="2287">
        <f>(CB54*CB57)/1000</f>
        <v>69201.762241802688</v>
      </c>
      <c r="CC56" s="2287">
        <f>(CC54*CC57)/1000</f>
        <v>69584.833164812953</v>
      </c>
      <c r="CD56" s="2287">
        <f>(CD54*CD57)/1000</f>
        <v>69948.750541672693</v>
      </c>
      <c r="CE56" s="2287">
        <f>(CE54*CE57)/1000</f>
        <v>70169.016322403593</v>
      </c>
      <c r="CF56" s="2285">
        <f>CE56</f>
        <v>70169.016322403593</v>
      </c>
      <c r="CG56" s="2287">
        <f>(CG54*CG57)/1000</f>
        <v>70408.435649285006</v>
      </c>
      <c r="CH56" s="2287">
        <f>(CH54*CH57)/1000</f>
        <v>70676.585295392186</v>
      </c>
      <c r="CI56" s="2287">
        <f>(CI54*CI57)/1000</f>
        <v>71050.079445327181</v>
      </c>
      <c r="CJ56" s="2287">
        <f>(CJ54*CJ57)/1000</f>
        <v>71423.573595262191</v>
      </c>
      <c r="CK56" s="2285">
        <f>CJ56</f>
        <v>71423.573595262191</v>
      </c>
      <c r="CL56" s="2287">
        <f>(CL54*CL57)/1000</f>
        <v>72122.678029755887</v>
      </c>
      <c r="CM56" s="2287">
        <f>(CM54*CM57)/1000</f>
        <v>72946.280514227939</v>
      </c>
      <c r="CN56" s="2287">
        <f>(CN54*CN57)/1000</f>
        <v>73405.965621840252</v>
      </c>
      <c r="CO56" s="2287">
        <f ca="1">CJ56*(1+CO58)</f>
        <v>73791.844130972459</v>
      </c>
      <c r="CP56" s="2285">
        <f ca="1">CO56</f>
        <v>73791.844130972459</v>
      </c>
      <c r="CQ56" s="2287">
        <f ca="1">CL56*(1+CQ58)</f>
        <v>74514.129545501943</v>
      </c>
      <c r="CR56" s="2287">
        <f ca="1">CM56*(1+CR58)</f>
        <v>75365.041129742167</v>
      </c>
      <c r="CS56" s="2287">
        <f ca="1">CN56*(1+CS58)</f>
        <v>75839.968525597185</v>
      </c>
      <c r="CT56" s="2287">
        <f ca="1">CO56*(1+CT58)</f>
        <v>76238.642035840938</v>
      </c>
      <c r="CU56" s="2285">
        <f ca="1">CT56</f>
        <v>76238.642035840938</v>
      </c>
      <c r="CV56" s="2287">
        <f ca="1">CQ56*(1+CV58)</f>
        <v>76984.877067835609</v>
      </c>
      <c r="CW56" s="2287">
        <f ca="1">CR56*(1+CW58)</f>
        <v>77864.00326991154</v>
      </c>
      <c r="CX56" s="2287">
        <f ca="1">CS56*(1+CX58)</f>
        <v>78354.678359442303</v>
      </c>
      <c r="CY56" s="2287">
        <f ca="1">CT56*(1+CY58)</f>
        <v>78766.571128820709</v>
      </c>
      <c r="CZ56" s="2285">
        <f ca="1">CY56</f>
        <v>78766.571128820709</v>
      </c>
      <c r="DA56" s="2287">
        <f ca="1">CV56*(1+DA58)</f>
        <v>78909.498994531488</v>
      </c>
      <c r="DB56" s="2287">
        <f ca="1">CW56*(1+DB58)</f>
        <v>79810.603351659316</v>
      </c>
      <c r="DC56" s="2287">
        <f ca="1">CX56*(1+DC58)</f>
        <v>80313.545318428354</v>
      </c>
      <c r="DD56" s="2287">
        <f ca="1">CY56*(1+DD58)</f>
        <v>80735.735407041226</v>
      </c>
      <c r="DE56" s="2285">
        <f ca="1">DD56</f>
        <v>80735.735407041226</v>
      </c>
      <c r="DF56" s="2287">
        <f ca="1">DA56*(1+DF58)</f>
        <v>78909.498994531488</v>
      </c>
      <c r="DG56" s="2287">
        <f ca="1">DB56*(1+DG58)</f>
        <v>79810.603351659316</v>
      </c>
      <c r="DH56" s="2287">
        <f ca="1">DC56*(1+DH58)</f>
        <v>80313.545318428354</v>
      </c>
      <c r="DI56" s="2287">
        <f ca="1">DD56*(1+DI58)</f>
        <v>80735.735407041226</v>
      </c>
      <c r="DJ56" s="2285">
        <f ca="1">DI56</f>
        <v>80735.735407041226</v>
      </c>
      <c r="DK56" s="2287">
        <f ca="1">DF56*(1+DK58)</f>
        <v>78909.498994531488</v>
      </c>
      <c r="DL56" s="2287">
        <f ca="1">DG56*(1+DL58)</f>
        <v>79810.603351659316</v>
      </c>
      <c r="DM56" s="2287">
        <f ca="1">DH56*(1+DM58)</f>
        <v>80313.545318428354</v>
      </c>
      <c r="DN56" s="2287">
        <f ca="1">DI56*(1+DN58)</f>
        <v>80735.735407041226</v>
      </c>
      <c r="DO56" s="2285">
        <f ca="1">DN56</f>
        <v>80735.735407041226</v>
      </c>
      <c r="DP56" s="2287">
        <f ca="1">DK56*(1+DP58)</f>
        <v>78909.498994531488</v>
      </c>
      <c r="DQ56" s="2287">
        <f ca="1">DL56*(1+DQ58)</f>
        <v>79810.603351659316</v>
      </c>
      <c r="DR56" s="2287">
        <f ca="1">DM56*(1+DR58)</f>
        <v>80313.545318428354</v>
      </c>
      <c r="DS56" s="2287">
        <f ca="1">DN56*(1+DS58)</f>
        <v>80735.735407041226</v>
      </c>
      <c r="DT56" s="2285">
        <f ca="1">DS56</f>
        <v>80735.735407041226</v>
      </c>
      <c r="DU56" s="2287">
        <f ca="1">DP56*(1+DU58)</f>
        <v>78909.498994531488</v>
      </c>
      <c r="DV56" s="2287">
        <f ca="1">DQ56*(1+DV58)</f>
        <v>79810.603351659316</v>
      </c>
      <c r="DW56" s="2287">
        <f ca="1">DR56*(1+DW58)</f>
        <v>80313.545318428354</v>
      </c>
      <c r="DX56" s="2287">
        <f ca="1">DS56*(1+DX58)</f>
        <v>80735.735407041226</v>
      </c>
      <c r="DY56" s="2285">
        <f ca="1">DX56</f>
        <v>80735.735407041226</v>
      </c>
      <c r="DZ56" s="1850"/>
      <c r="EA56" s="1850"/>
    </row>
    <row r="57" spans="1:131" ht="11.25" customHeight="1" outlineLevel="1" x14ac:dyDescent="0.2">
      <c r="A57" s="1984"/>
      <c r="B57" s="1849" t="s">
        <v>994</v>
      </c>
      <c r="C57" s="1850"/>
      <c r="D57" s="1850"/>
      <c r="E57" s="2311"/>
      <c r="F57" s="2311"/>
      <c r="G57" s="2311"/>
      <c r="H57" s="2312">
        <f>(H56/H54)*1000</f>
        <v>22035.170454545456</v>
      </c>
      <c r="I57" s="2310">
        <v>9000</v>
      </c>
      <c r="J57" s="2312">
        <f t="shared" ref="J57:BG57" si="66">(J56/J54)*1000</f>
        <v>21777.219101123595</v>
      </c>
      <c r="K57" s="2312">
        <f t="shared" si="66"/>
        <v>7748.6238532110092</v>
      </c>
      <c r="L57" s="2312">
        <f t="shared" si="66"/>
        <v>7759.4781273983108</v>
      </c>
      <c r="M57" s="2312">
        <f t="shared" si="66"/>
        <v>7741.7695473251033</v>
      </c>
      <c r="N57" s="2285">
        <f t="shared" si="66"/>
        <v>7741.7695473251033</v>
      </c>
      <c r="O57" s="2312">
        <f t="shared" si="66"/>
        <v>7322.0954356846478</v>
      </c>
      <c r="P57" s="2312">
        <f t="shared" si="66"/>
        <v>7391.7652859960554</v>
      </c>
      <c r="Q57" s="2312">
        <f t="shared" si="66"/>
        <v>7378.7545787545796</v>
      </c>
      <c r="R57" s="2312">
        <f t="shared" si="66"/>
        <v>7431.8292091217854</v>
      </c>
      <c r="S57" s="2285">
        <f t="shared" si="66"/>
        <v>7431.8292091217854</v>
      </c>
      <c r="T57" s="2312">
        <f t="shared" si="66"/>
        <v>7399.658203125</v>
      </c>
      <c r="U57" s="2312">
        <f t="shared" si="66"/>
        <v>7385.009765625</v>
      </c>
      <c r="V57" s="2312">
        <f t="shared" si="66"/>
        <v>7405.2335534360482</v>
      </c>
      <c r="W57" s="2312">
        <f t="shared" si="66"/>
        <v>7362.3718887262075</v>
      </c>
      <c r="X57" s="2285">
        <f t="shared" si="66"/>
        <v>7393.8506588579794</v>
      </c>
      <c r="Y57" s="2312">
        <f t="shared" si="66"/>
        <v>7393.8205002452187</v>
      </c>
      <c r="Z57" s="2312">
        <f t="shared" si="66"/>
        <v>7320.1861832435079</v>
      </c>
      <c r="AA57" s="2312">
        <f t="shared" si="66"/>
        <v>7294.2036044812467</v>
      </c>
      <c r="AB57" s="2312">
        <f t="shared" si="66"/>
        <v>7452.2138882167919</v>
      </c>
      <c r="AC57" s="2285">
        <f t="shared" si="66"/>
        <v>7452.2138882167919</v>
      </c>
      <c r="AD57" s="2312">
        <f t="shared" si="66"/>
        <v>7463.0482190453113</v>
      </c>
      <c r="AE57" s="2312">
        <f t="shared" si="66"/>
        <v>7457.6271186440672</v>
      </c>
      <c r="AF57" s="2312">
        <f t="shared" si="66"/>
        <v>7457.6271186440654</v>
      </c>
      <c r="AG57" s="2312">
        <f t="shared" si="66"/>
        <v>7516.1059413027915</v>
      </c>
      <c r="AH57" s="2285">
        <f t="shared" si="66"/>
        <v>7516.1059413027915</v>
      </c>
      <c r="AI57" s="2312">
        <f t="shared" si="66"/>
        <v>7541.9694312202455</v>
      </c>
      <c r="AJ57" s="2312">
        <f t="shared" si="66"/>
        <v>7671.1644177911039</v>
      </c>
      <c r="AK57" s="2312">
        <f t="shared" si="66"/>
        <v>7683.3871368264217</v>
      </c>
      <c r="AL57" s="2312">
        <f t="shared" si="66"/>
        <v>7709.0775630046492</v>
      </c>
      <c r="AM57" s="2285">
        <f t="shared" si="66"/>
        <v>7709.0775630046492</v>
      </c>
      <c r="AN57" s="2312">
        <f t="shared" si="66"/>
        <v>7707.4896316174672</v>
      </c>
      <c r="AO57" s="2312">
        <f t="shared" si="66"/>
        <v>7728.6652078774614</v>
      </c>
      <c r="AP57" s="2312">
        <f t="shared" si="66"/>
        <v>7750.3021513173799</v>
      </c>
      <c r="AQ57" s="2312">
        <f t="shared" si="66"/>
        <v>7537.6884422110552</v>
      </c>
      <c r="AR57" s="2285">
        <f t="shared" si="66"/>
        <v>7537.6884422110552</v>
      </c>
      <c r="AS57" s="2312">
        <f t="shared" si="66"/>
        <v>7821.4755194650133</v>
      </c>
      <c r="AT57" s="2312">
        <f t="shared" si="66"/>
        <v>7831.9067998097953</v>
      </c>
      <c r="AU57" s="2312">
        <f t="shared" si="66"/>
        <v>8060.3752554337725</v>
      </c>
      <c r="AV57" s="2312">
        <f t="shared" si="66"/>
        <v>8093.0232558139533</v>
      </c>
      <c r="AW57" s="2285">
        <f t="shared" si="66"/>
        <v>8093.0232558139533</v>
      </c>
      <c r="AX57" s="2312">
        <f t="shared" si="66"/>
        <v>8127.1954150489928</v>
      </c>
      <c r="AY57" s="2312">
        <f t="shared" si="66"/>
        <v>8161.4267328553042</v>
      </c>
      <c r="AZ57" s="2312">
        <f t="shared" si="66"/>
        <v>8242.0802050906423</v>
      </c>
      <c r="BA57" s="2312">
        <f t="shared" si="66"/>
        <v>8227.0151709011152</v>
      </c>
      <c r="BB57" s="2285">
        <f t="shared" si="66"/>
        <v>8227.0151709011152</v>
      </c>
      <c r="BC57" s="2312">
        <f t="shared" si="66"/>
        <v>8266.6423490789712</v>
      </c>
      <c r="BD57" s="2312">
        <f t="shared" si="66"/>
        <v>8935.0523771152311</v>
      </c>
      <c r="BE57" s="2312">
        <f t="shared" si="66"/>
        <v>8918.6292025337007</v>
      </c>
      <c r="BF57" s="2312">
        <f t="shared" si="66"/>
        <v>8948.7262173492418</v>
      </c>
      <c r="BG57" s="2285">
        <f t="shared" si="66"/>
        <v>8948.7262173492418</v>
      </c>
      <c r="BH57" s="2288"/>
      <c r="BI57" s="2288"/>
      <c r="BJ57" s="2288"/>
      <c r="BK57" s="2288"/>
      <c r="BL57" s="2285">
        <f>(BL56/BL54)*1000</f>
        <v>9047.2377902321859</v>
      </c>
      <c r="BM57" s="2288"/>
      <c r="BN57" s="2288"/>
      <c r="BO57" s="2288"/>
      <c r="BP57" s="2287">
        <f>(BP56/BP54)*1000</f>
        <v>9576.773075256393</v>
      </c>
      <c r="BQ57" s="2285">
        <f>(BQ56/BQ54)*1000</f>
        <v>9576.773075256393</v>
      </c>
      <c r="BR57" s="2287">
        <f>BP57</f>
        <v>9576.773075256393</v>
      </c>
      <c r="BS57" s="2287">
        <f>BR57</f>
        <v>9576.773075256393</v>
      </c>
      <c r="BT57" s="2287">
        <f>BS57</f>
        <v>9576.773075256393</v>
      </c>
      <c r="BU57" s="2287">
        <f>BT57</f>
        <v>9576.773075256393</v>
      </c>
      <c r="BV57" s="2285">
        <f>(BV56/BV54)*1000</f>
        <v>9651.2455516014234</v>
      </c>
      <c r="BW57" s="2287">
        <f>BU57</f>
        <v>9576.773075256393</v>
      </c>
      <c r="BX57" s="2287">
        <f>BW57</f>
        <v>9576.773075256393</v>
      </c>
      <c r="BY57" s="2287">
        <f>BX57</f>
        <v>9576.773075256393</v>
      </c>
      <c r="BZ57" s="2287">
        <f>BY57</f>
        <v>9576.773075256393</v>
      </c>
      <c r="CA57" s="2285">
        <f>(CA56/CA54)*1000</f>
        <v>9576.7730752563948</v>
      </c>
      <c r="CB57" s="2287">
        <f>BZ57</f>
        <v>9576.773075256393</v>
      </c>
      <c r="CC57" s="2287">
        <f>CB57</f>
        <v>9576.773075256393</v>
      </c>
      <c r="CD57" s="2287">
        <f>CC57</f>
        <v>9576.773075256393</v>
      </c>
      <c r="CE57" s="2287">
        <f>CD57</f>
        <v>9576.773075256393</v>
      </c>
      <c r="CF57" s="2285">
        <f>(CF56/CF54)*1000</f>
        <v>9576.773075256393</v>
      </c>
      <c r="CG57" s="2287">
        <f>CE57</f>
        <v>9576.773075256393</v>
      </c>
      <c r="CH57" s="2287">
        <f>CG57</f>
        <v>9576.773075256393</v>
      </c>
      <c r="CI57" s="2287">
        <f>CH57</f>
        <v>9576.773075256393</v>
      </c>
      <c r="CJ57" s="2287">
        <f>CI57</f>
        <v>9576.773075256393</v>
      </c>
      <c r="CK57" s="2285">
        <f>CJ57</f>
        <v>9576.773075256393</v>
      </c>
      <c r="CL57" s="2287">
        <f>CK57</f>
        <v>9576.773075256393</v>
      </c>
      <c r="CM57" s="2287">
        <f>CL57</f>
        <v>9576.773075256393</v>
      </c>
      <c r="CN57" s="2287">
        <f>CM57</f>
        <v>9576.773075256393</v>
      </c>
      <c r="CO57" s="2287">
        <f>CN57</f>
        <v>9576.773075256393</v>
      </c>
      <c r="CP57" s="2285">
        <f ca="1">(CP56/CP54)*1000</f>
        <v>9736.3562648070274</v>
      </c>
      <c r="CQ57" s="2287">
        <f ca="1">CP57</f>
        <v>9736.3562648070274</v>
      </c>
      <c r="CR57" s="2287">
        <f ca="1">CQ57</f>
        <v>9736.3562648070274</v>
      </c>
      <c r="CS57" s="2287">
        <f ca="1">CR57</f>
        <v>9736.3562648070274</v>
      </c>
      <c r="CT57" s="2287">
        <f ca="1">CS57</f>
        <v>9736.3562648070274</v>
      </c>
      <c r="CU57" s="2285">
        <f ca="1">(CU56/CU54)*1000</f>
        <v>9569.3036319619605</v>
      </c>
      <c r="CV57" s="2287">
        <f ca="1">CT57</f>
        <v>9736.3562648070274</v>
      </c>
      <c r="CW57" s="2287">
        <f ca="1">CV57</f>
        <v>9736.3562648070274</v>
      </c>
      <c r="CX57" s="2287">
        <f ca="1">CW57</f>
        <v>9736.3562648070274</v>
      </c>
      <c r="CY57" s="2287">
        <f ca="1">CX57</f>
        <v>9736.3562648070274</v>
      </c>
      <c r="CZ57" s="2285">
        <f ca="1">(CZ56/CZ54)*1000</f>
        <v>8158.1119760560041</v>
      </c>
      <c r="DA57" s="2287">
        <f ca="1">CY57</f>
        <v>9736.3562648070274</v>
      </c>
      <c r="DB57" s="2287">
        <f ca="1">DA57</f>
        <v>9736.3562648070274</v>
      </c>
      <c r="DC57" s="2287">
        <f ca="1">DB57</f>
        <v>9736.3562648070274</v>
      </c>
      <c r="DD57" s="2287">
        <f ca="1">DC57</f>
        <v>9736.3562648070274</v>
      </c>
      <c r="DE57" s="2285">
        <f ca="1">(DE56/DE54)*1000</f>
        <v>8283.1369043850646</v>
      </c>
      <c r="DF57" s="2287">
        <f ca="1">DD57</f>
        <v>9736.3562648070274</v>
      </c>
      <c r="DG57" s="2287">
        <f ca="1">DE57</f>
        <v>8283.1369043850646</v>
      </c>
      <c r="DH57" s="2287">
        <f ca="1">DF57</f>
        <v>9736.3562648070274</v>
      </c>
      <c r="DI57" s="2287">
        <f ca="1">DG57</f>
        <v>8283.1369043850646</v>
      </c>
      <c r="DJ57" s="2285">
        <f ca="1">(DJ56/DJ54)*1000</f>
        <v>8235.8191785209856</v>
      </c>
      <c r="DK57" s="2287">
        <f ca="1">DI57</f>
        <v>8283.1369043850646</v>
      </c>
      <c r="DL57" s="2287">
        <f ca="1">DK57</f>
        <v>8283.1369043850646</v>
      </c>
      <c r="DM57" s="2287">
        <f ca="1">DL57</f>
        <v>8283.1369043850646</v>
      </c>
      <c r="DN57" s="2287">
        <f ca="1">DM57</f>
        <v>8283.1369043850646</v>
      </c>
      <c r="DO57" s="2285">
        <f ca="1">(DO56/DO54)*1000</f>
        <v>8152.654287290844</v>
      </c>
      <c r="DP57" s="2287">
        <f ca="1">DN57</f>
        <v>8283.1369043850646</v>
      </c>
      <c r="DQ57" s="2287">
        <f ca="1">DP57</f>
        <v>8283.1369043850646</v>
      </c>
      <c r="DR57" s="2287">
        <f ca="1">DQ57</f>
        <v>8283.1369043850646</v>
      </c>
      <c r="DS57" s="2287">
        <f ca="1">DR57</f>
        <v>8283.1369043850646</v>
      </c>
      <c r="DT57" s="2285">
        <f ca="1">(DT56/DT54)*1000</f>
        <v>8071.1521950456099</v>
      </c>
      <c r="DU57" s="2287">
        <f ca="1">DS57</f>
        <v>8283.1369043850646</v>
      </c>
      <c r="DV57" s="2287">
        <f ca="1">DU57</f>
        <v>8283.1369043850646</v>
      </c>
      <c r="DW57" s="2287">
        <f ca="1">DV57</f>
        <v>8283.1369043850646</v>
      </c>
      <c r="DX57" s="2287">
        <f ca="1">DW57</f>
        <v>8283.1369043850646</v>
      </c>
      <c r="DY57" s="2285">
        <f ca="1">(DY56/DY54)*1000</f>
        <v>7991.263526382384</v>
      </c>
      <c r="DZ57" s="1850"/>
      <c r="EA57" s="1850"/>
    </row>
    <row r="58" spans="1:131" ht="11.25" customHeight="1" outlineLevel="1" x14ac:dyDescent="0.2">
      <c r="A58" s="2313"/>
      <c r="B58" s="1819" t="s">
        <v>733</v>
      </c>
      <c r="C58" s="1820"/>
      <c r="D58" s="1820"/>
      <c r="E58" s="2314"/>
      <c r="F58" s="2314"/>
      <c r="G58" s="2314"/>
      <c r="H58" s="2314"/>
      <c r="I58" s="2315"/>
      <c r="J58" s="2314"/>
      <c r="K58" s="2314"/>
      <c r="L58" s="2314"/>
      <c r="M58" s="2314"/>
      <c r="N58" s="2315">
        <f>N56/I56-1</f>
        <v>1.3753156565656566</v>
      </c>
      <c r="O58" s="2314"/>
      <c r="P58" s="2314"/>
      <c r="Q58" s="2314"/>
      <c r="R58" s="2314"/>
      <c r="S58" s="2315">
        <f>S56/N56-1</f>
        <v>1.7740863787375494E-2</v>
      </c>
      <c r="T58" s="2314"/>
      <c r="U58" s="2314"/>
      <c r="V58" s="2314"/>
      <c r="W58" s="2314"/>
      <c r="X58" s="2315">
        <f>X56/S56-1</f>
        <v>-1.0902918326042954E-2</v>
      </c>
      <c r="Y58" s="2314"/>
      <c r="Z58" s="2314"/>
      <c r="AA58" s="2314"/>
      <c r="AB58" s="2314"/>
      <c r="AC58" s="2315">
        <f>AC56/X56-1</f>
        <v>1.650165016501659E-2</v>
      </c>
      <c r="AD58" s="2314"/>
      <c r="AE58" s="2314"/>
      <c r="AF58" s="2314"/>
      <c r="AG58" s="2314"/>
      <c r="AH58" s="2315">
        <f>AH56/AC56-1</f>
        <v>2.2727272727272707E-2</v>
      </c>
      <c r="AI58" s="2314"/>
      <c r="AJ58" s="2314"/>
      <c r="AK58" s="2314"/>
      <c r="AL58" s="2314"/>
      <c r="AM58" s="2315">
        <f>AM56/AH56-1</f>
        <v>2.2222222222212373E-4</v>
      </c>
      <c r="AN58" s="2314"/>
      <c r="AO58" s="2314"/>
      <c r="AP58" s="2314"/>
      <c r="AQ58" s="2314"/>
      <c r="AR58" s="2315">
        <f>AR56/AM56-1</f>
        <v>-2.2217285047765323E-4</v>
      </c>
      <c r="AS58" s="2314"/>
      <c r="AT58" s="2314"/>
      <c r="AU58" s="2314"/>
      <c r="AV58" s="2314"/>
      <c r="AW58" s="2315">
        <f>AW56/AR56-1</f>
        <v>0.38095238095238093</v>
      </c>
      <c r="AX58" s="2314"/>
      <c r="AY58" s="2314"/>
      <c r="AZ58" s="2314"/>
      <c r="BA58" s="2314"/>
      <c r="BB58" s="2315">
        <f>BB56/AW56-1</f>
        <v>3.4712643678160848E-2</v>
      </c>
      <c r="BC58" s="2314"/>
      <c r="BD58" s="2314"/>
      <c r="BE58" s="2314"/>
      <c r="BF58" s="2314"/>
      <c r="BG58" s="2315">
        <f>BG56/BB56-1</f>
        <v>0.23305932015107755</v>
      </c>
      <c r="BH58" s="2314"/>
      <c r="BI58" s="2314"/>
      <c r="BJ58" s="2314"/>
      <c r="BK58" s="2314"/>
      <c r="BL58" s="2315">
        <f>BL56/BG56-1</f>
        <v>1.8018018018018056E-2</v>
      </c>
      <c r="BM58" s="2314"/>
      <c r="BN58" s="2314"/>
      <c r="BO58" s="2314"/>
      <c r="BP58" s="2314"/>
      <c r="BQ58" s="2315">
        <f t="shared" ref="BQ58:CT58" si="67">BQ56/BL56-1</f>
        <v>0.17345132743362823</v>
      </c>
      <c r="BR58" s="2316">
        <f t="shared" si="67"/>
        <v>0.15939775626461938</v>
      </c>
      <c r="BS58" s="2316">
        <f t="shared" si="67"/>
        <v>0.14278593433315034</v>
      </c>
      <c r="BT58" s="2316">
        <f t="shared" si="67"/>
        <v>0.146483980105516</v>
      </c>
      <c r="BU58" s="2316">
        <f t="shared" si="67"/>
        <v>1.473349703885618E-2</v>
      </c>
      <c r="BV58" s="2315">
        <f t="shared" si="67"/>
        <v>2.2624434389140191E-2</v>
      </c>
      <c r="BW58" s="2316">
        <f t="shared" si="67"/>
        <v>2.1846064814815103E-2</v>
      </c>
      <c r="BX58" s="2316">
        <f t="shared" si="67"/>
        <v>2.3024895668441347E-2</v>
      </c>
      <c r="BY58" s="2316">
        <f t="shared" si="67"/>
        <v>2.0547945205479534E-2</v>
      </c>
      <c r="BZ58" s="2316">
        <f t="shared" si="67"/>
        <v>2.2348754448398678E-2</v>
      </c>
      <c r="CA58" s="2315">
        <f t="shared" si="67"/>
        <v>1.4459944343531372E-2</v>
      </c>
      <c r="CB58" s="2316">
        <f t="shared" si="67"/>
        <v>2.3078012176128926E-2</v>
      </c>
      <c r="CC58" s="2316">
        <f t="shared" si="67"/>
        <v>2.2084681389787475E-2</v>
      </c>
      <c r="CD58" s="2316">
        <f t="shared" si="67"/>
        <v>2.1252796420581754E-2</v>
      </c>
      <c r="CE58" s="2316">
        <f t="shared" si="67"/>
        <v>2.0189362294625202E-2</v>
      </c>
      <c r="CF58" s="2315">
        <f t="shared" si="67"/>
        <v>2.0189362294625202E-2</v>
      </c>
      <c r="CG58" s="2316">
        <f t="shared" si="67"/>
        <v>1.7437032936618024E-2</v>
      </c>
      <c r="CH58" s="2316">
        <f t="shared" si="67"/>
        <v>1.56895127993395E-2</v>
      </c>
      <c r="CI58" s="2316">
        <f t="shared" si="67"/>
        <v>1.574479737130341E-2</v>
      </c>
      <c r="CJ58" s="2316">
        <f t="shared" si="67"/>
        <v>1.7879077385014375E-2</v>
      </c>
      <c r="CK58" s="2315">
        <f>CK56/CF56-1</f>
        <v>1.7879077385014375E-2</v>
      </c>
      <c r="CL58" s="2316">
        <f t="shared" si="67"/>
        <v>2.4347116430903037E-2</v>
      </c>
      <c r="CM58" s="2316">
        <f t="shared" si="67"/>
        <v>3.2113821138211263E-2</v>
      </c>
      <c r="CN58" s="2316">
        <f t="shared" si="67"/>
        <v>3.3158107561666039E-2</v>
      </c>
      <c r="CO58" s="2316">
        <f t="shared" ca="1" si="67"/>
        <v>3.3158107561666039E-2</v>
      </c>
      <c r="CP58" s="2315">
        <f ca="1">CP56/CK56-1</f>
        <v>3.3158107561666039E-2</v>
      </c>
      <c r="CQ58" s="2316">
        <f t="shared" ca="1" si="67"/>
        <v>3.3158107561666039E-2</v>
      </c>
      <c r="CR58" s="2316">
        <f t="shared" ca="1" si="67"/>
        <v>3.3158107561666039E-2</v>
      </c>
      <c r="CS58" s="2316">
        <f t="shared" ca="1" si="67"/>
        <v>3.3158107561666039E-2</v>
      </c>
      <c r="CT58" s="2316">
        <f t="shared" ca="1" si="67"/>
        <v>3.3158107561666039E-2</v>
      </c>
      <c r="CU58" s="2315">
        <f t="shared" ref="CU58:CZ58" ca="1" si="68">CU56/CP56-1</f>
        <v>3.3158107561666039E-2</v>
      </c>
      <c r="CV58" s="2316">
        <f t="shared" ca="1" si="68"/>
        <v>3.3158107561666039E-2</v>
      </c>
      <c r="CW58" s="2316">
        <f t="shared" ca="1" si="68"/>
        <v>3.3158107561666039E-2</v>
      </c>
      <c r="CX58" s="2316">
        <f t="shared" ca="1" si="68"/>
        <v>3.3158107561666039E-2</v>
      </c>
      <c r="CY58" s="2316">
        <f t="shared" ca="1" si="68"/>
        <v>3.3158107561666039E-2</v>
      </c>
      <c r="CZ58" s="2315">
        <f t="shared" ca="1" si="68"/>
        <v>3.3158107561666039E-2</v>
      </c>
      <c r="DA58" s="1050">
        <f>'Key Inputs and Scenarios'!AN8</f>
        <v>2.5000000000000001E-2</v>
      </c>
      <c r="DB58" s="1050">
        <f>'Key Inputs and Scenarios'!AO8</f>
        <v>2.5000000000000001E-2</v>
      </c>
      <c r="DC58" s="1050">
        <f>'Key Inputs and Scenarios'!AP8</f>
        <v>2.5000000000000001E-2</v>
      </c>
      <c r="DD58" s="1050">
        <f>'Key Inputs and Scenarios'!AQ8</f>
        <v>2.5000000000000001E-2</v>
      </c>
      <c r="DE58" s="2315">
        <f ca="1">DE56/CZ56-1</f>
        <v>2.4999999999999911E-2</v>
      </c>
      <c r="DF58" s="1050">
        <f>'Key Inputs and Scenarios'!AS8</f>
        <v>0</v>
      </c>
      <c r="DG58" s="1050">
        <f>'Key Inputs and Scenarios'!AT8</f>
        <v>0</v>
      </c>
      <c r="DH58" s="1050">
        <f>'Key Inputs and Scenarios'!AU8</f>
        <v>0</v>
      </c>
      <c r="DI58" s="1050">
        <v>0</v>
      </c>
      <c r="DJ58" s="2315">
        <f ca="1">DJ56/DE56-1</f>
        <v>0</v>
      </c>
      <c r="DK58" s="1050">
        <f>'Key Inputs and Scenarios'!AX8</f>
        <v>0</v>
      </c>
      <c r="DL58" s="1050">
        <f>'Key Inputs and Scenarios'!AY8</f>
        <v>0</v>
      </c>
      <c r="DM58" s="1050">
        <f>'Key Inputs and Scenarios'!AZ8</f>
        <v>0</v>
      </c>
      <c r="DN58" s="1050">
        <f>'Key Inputs and Scenarios'!BA8</f>
        <v>0</v>
      </c>
      <c r="DO58" s="2315">
        <f ca="1">DO56/DJ56-1</f>
        <v>0</v>
      </c>
      <c r="DP58" s="1050">
        <f>'Key Inputs and Scenarios'!BC8</f>
        <v>0</v>
      </c>
      <c r="DQ58" s="1050">
        <f>'Key Inputs and Scenarios'!BD8</f>
        <v>0</v>
      </c>
      <c r="DR58" s="1050">
        <f>'Key Inputs and Scenarios'!BE8</f>
        <v>0</v>
      </c>
      <c r="DS58" s="1050">
        <f>'Key Inputs and Scenarios'!BF8</f>
        <v>0</v>
      </c>
      <c r="DT58" s="2315">
        <f ca="1">DT56/DO56-1</f>
        <v>0</v>
      </c>
      <c r="DU58" s="1050">
        <f>'Key Inputs and Scenarios'!BH8</f>
        <v>0</v>
      </c>
      <c r="DV58" s="1050">
        <f>'Key Inputs and Scenarios'!BI8</f>
        <v>0</v>
      </c>
      <c r="DW58" s="1050">
        <f>'Key Inputs and Scenarios'!BJ8</f>
        <v>0</v>
      </c>
      <c r="DX58" s="1050">
        <f>'Key Inputs and Scenarios'!BK8</f>
        <v>0</v>
      </c>
      <c r="DY58" s="2315">
        <f ca="1">DY56/DT56-1</f>
        <v>0</v>
      </c>
      <c r="DZ58" s="1820"/>
      <c r="EA58" s="1820"/>
    </row>
    <row r="59" spans="1:131" ht="11.25" customHeight="1" outlineLevel="1" x14ac:dyDescent="0.2">
      <c r="A59" s="1984"/>
      <c r="B59" s="2318"/>
      <c r="C59" s="1883"/>
      <c r="D59" s="1883"/>
      <c r="E59" s="1984"/>
      <c r="F59" s="2056"/>
      <c r="G59" s="1850"/>
      <c r="H59" s="1850"/>
      <c r="I59" s="2134"/>
      <c r="J59" s="1984"/>
      <c r="K59" s="2056"/>
      <c r="L59" s="1850"/>
      <c r="M59" s="1850"/>
      <c r="N59" s="2134"/>
      <c r="O59" s="1984"/>
      <c r="P59" s="2056"/>
      <c r="Q59" s="1850"/>
      <c r="R59" s="1850"/>
      <c r="S59" s="2134"/>
      <c r="T59" s="1984"/>
      <c r="U59" s="2056"/>
      <c r="V59" s="2045"/>
      <c r="W59" s="1984"/>
      <c r="X59" s="2134"/>
      <c r="Y59" s="1984"/>
      <c r="Z59" s="2056"/>
      <c r="AA59" s="1850"/>
      <c r="AB59" s="1850"/>
      <c r="AC59" s="2134"/>
      <c r="AD59" s="1984"/>
      <c r="AE59" s="2056"/>
      <c r="AF59" s="1850"/>
      <c r="AG59" s="1850"/>
      <c r="AH59" s="2134"/>
      <c r="AI59" s="1984"/>
      <c r="AJ59" s="2319"/>
      <c r="AK59" s="2319"/>
      <c r="AL59" s="1984"/>
      <c r="AM59" s="2134"/>
      <c r="AN59" s="2317"/>
      <c r="AO59" s="2320"/>
      <c r="AP59" s="2320"/>
      <c r="AQ59" s="1984"/>
      <c r="AR59" s="2134"/>
      <c r="AS59" s="2321"/>
      <c r="AT59" s="2319"/>
      <c r="AU59" s="2319"/>
      <c r="AV59" s="1984"/>
      <c r="AW59" s="2322"/>
      <c r="AX59" s="2320"/>
      <c r="AY59" s="2320"/>
      <c r="AZ59" s="2320"/>
      <c r="BA59" s="1984"/>
      <c r="BB59" s="2322"/>
      <c r="BC59" s="2320"/>
      <c r="BD59" s="2320"/>
      <c r="BE59" s="2320"/>
      <c r="BF59" s="1984"/>
      <c r="BG59" s="2322"/>
      <c r="BH59" s="2320"/>
      <c r="BI59" s="2320"/>
      <c r="BJ59" s="2320"/>
      <c r="BK59" s="1984"/>
      <c r="BL59" s="2322"/>
      <c r="BM59" s="1850"/>
      <c r="BN59" s="1850"/>
      <c r="BO59" s="1850"/>
      <c r="BP59" s="1850"/>
      <c r="BQ59" s="2322"/>
      <c r="BR59" s="1850"/>
      <c r="BS59" s="1850"/>
      <c r="BT59" s="1850"/>
      <c r="BU59" s="1850"/>
      <c r="BV59" s="2322"/>
      <c r="BW59" s="1850"/>
      <c r="BX59" s="1850"/>
      <c r="BY59" s="1850"/>
      <c r="BZ59" s="1850"/>
      <c r="CA59" s="2322"/>
      <c r="CB59" s="1850"/>
      <c r="CC59" s="1850"/>
      <c r="CD59" s="1850"/>
      <c r="CE59" s="1850"/>
      <c r="CF59" s="2322"/>
      <c r="CG59" s="1850"/>
      <c r="CH59" s="1850"/>
      <c r="CI59" s="1850"/>
      <c r="CJ59" s="1850"/>
      <c r="CK59" s="2322"/>
      <c r="CL59" s="1679">
        <f>CL54-CK54</f>
        <v>73</v>
      </c>
      <c r="CM59" s="1679">
        <f>CM54-CL54</f>
        <v>86</v>
      </c>
      <c r="CN59" s="1679"/>
      <c r="CO59" s="1850"/>
      <c r="CP59" s="2322"/>
      <c r="CQ59" s="1850"/>
      <c r="CR59" s="1850"/>
      <c r="CS59" s="1850"/>
      <c r="CT59" s="1850"/>
      <c r="CU59" s="2322"/>
      <c r="CV59" s="1850"/>
      <c r="CW59" s="1850"/>
      <c r="CX59" s="1850"/>
      <c r="CY59" s="1850"/>
      <c r="CZ59" s="2322"/>
      <c r="DA59" s="1850"/>
      <c r="DB59" s="1850"/>
      <c r="DC59" s="1850"/>
      <c r="DD59" s="1850"/>
      <c r="DE59" s="2322"/>
      <c r="DF59" s="1886"/>
      <c r="DG59" s="1886"/>
      <c r="DH59" s="1886"/>
      <c r="DI59" s="1886"/>
      <c r="DJ59" s="2322"/>
      <c r="DK59" s="1850"/>
      <c r="DL59" s="1850"/>
      <c r="DM59" s="1850"/>
      <c r="DN59" s="1850"/>
      <c r="DO59" s="2322"/>
      <c r="DP59" s="1850"/>
      <c r="DQ59" s="1850"/>
      <c r="DR59" s="1850"/>
      <c r="DS59" s="1850"/>
      <c r="DT59" s="2322"/>
      <c r="DU59" s="1850"/>
      <c r="DV59" s="1850"/>
      <c r="DW59" s="1850"/>
      <c r="DX59" s="1850"/>
      <c r="DY59" s="2322"/>
      <c r="DZ59" s="1850"/>
      <c r="EA59" s="1850"/>
    </row>
    <row r="60" spans="1:131" ht="12" customHeight="1" x14ac:dyDescent="0.2">
      <c r="A60" s="2090"/>
      <c r="B60" s="2323" t="s">
        <v>995</v>
      </c>
      <c r="C60" s="2324"/>
      <c r="D60" s="2324"/>
      <c r="E60" s="2274"/>
      <c r="F60" s="2275"/>
      <c r="G60" s="2325"/>
      <c r="H60" s="2325"/>
      <c r="I60" s="2276"/>
      <c r="J60" s="2274"/>
      <c r="K60" s="2275"/>
      <c r="L60" s="2325"/>
      <c r="M60" s="2325"/>
      <c r="N60" s="2276"/>
      <c r="O60" s="2274"/>
      <c r="P60" s="2275"/>
      <c r="Q60" s="2325"/>
      <c r="R60" s="2325"/>
      <c r="S60" s="2276"/>
      <c r="T60" s="2274"/>
      <c r="U60" s="2275"/>
      <c r="V60" s="2326"/>
      <c r="W60" s="2274"/>
      <c r="X60" s="2276"/>
      <c r="Y60" s="2274"/>
      <c r="Z60" s="2275"/>
      <c r="AA60" s="2325"/>
      <c r="AB60" s="2325"/>
      <c r="AC60" s="2276"/>
      <c r="AD60" s="2274"/>
      <c r="AE60" s="2275"/>
      <c r="AF60" s="2325"/>
      <c r="AG60" s="2325"/>
      <c r="AH60" s="2276"/>
      <c r="AI60" s="2274"/>
      <c r="AJ60" s="2327"/>
      <c r="AK60" s="2327"/>
      <c r="AL60" s="2274"/>
      <c r="AM60" s="2276"/>
      <c r="AN60" s="2328"/>
      <c r="AO60" s="2329"/>
      <c r="AP60" s="2329"/>
      <c r="AQ60" s="2274"/>
      <c r="AR60" s="2276"/>
      <c r="AS60" s="2330"/>
      <c r="AT60" s="2327"/>
      <c r="AU60" s="2327"/>
      <c r="AV60" s="2274"/>
      <c r="AW60" s="2331"/>
      <c r="AX60" s="2329"/>
      <c r="AY60" s="2329"/>
      <c r="AZ60" s="2329"/>
      <c r="BA60" s="2274"/>
      <c r="BB60" s="2331"/>
      <c r="BC60" s="2329"/>
      <c r="BD60" s="2329"/>
      <c r="BE60" s="2329"/>
      <c r="BF60" s="2274"/>
      <c r="BG60" s="2331"/>
      <c r="BH60" s="2325"/>
      <c r="BI60" s="2325"/>
      <c r="BJ60" s="2325"/>
      <c r="BK60" s="2325"/>
      <c r="BL60" s="2331"/>
      <c r="BM60" s="2325"/>
      <c r="BN60" s="2325"/>
      <c r="BO60" s="2325"/>
      <c r="BP60" s="2325"/>
      <c r="BQ60" s="2331"/>
      <c r="BR60" s="2325"/>
      <c r="BS60" s="2325"/>
      <c r="BT60" s="2325"/>
      <c r="BU60" s="2325"/>
      <c r="BV60" s="2331"/>
      <c r="BW60" s="2325"/>
      <c r="BX60" s="2325"/>
      <c r="BY60" s="2325"/>
      <c r="BZ60" s="2325"/>
      <c r="CA60" s="2331"/>
      <c r="CB60" s="2325"/>
      <c r="CC60" s="2325"/>
      <c r="CD60" s="2325"/>
      <c r="CE60" s="2325"/>
      <c r="CF60" s="2331"/>
      <c r="CG60" s="2325"/>
      <c r="CH60" s="2325"/>
      <c r="CI60" s="2325"/>
      <c r="CJ60" s="2325"/>
      <c r="CK60" s="2331"/>
      <c r="CL60" s="2332"/>
      <c r="CM60" s="2332"/>
      <c r="CN60" s="2332"/>
      <c r="CO60" s="2325"/>
      <c r="CP60" s="2331"/>
      <c r="CQ60" s="2325"/>
      <c r="CR60" s="2325"/>
      <c r="CS60" s="2325"/>
      <c r="CT60" s="2325"/>
      <c r="CU60" s="2331"/>
      <c r="CV60" s="2325"/>
      <c r="CW60" s="2325"/>
      <c r="CX60" s="2325"/>
      <c r="CY60" s="2325"/>
      <c r="CZ60" s="2331"/>
      <c r="DA60" s="2325"/>
      <c r="DB60" s="2325"/>
      <c r="DC60" s="2325"/>
      <c r="DD60" s="2325"/>
      <c r="DE60" s="2546"/>
      <c r="DF60" s="2325"/>
      <c r="DG60" s="2325"/>
      <c r="DH60" s="2325"/>
      <c r="DI60" s="2325"/>
      <c r="DJ60" s="2630"/>
      <c r="DK60" s="2325"/>
      <c r="DL60" s="2325"/>
      <c r="DM60" s="2325"/>
      <c r="DN60" s="2325"/>
      <c r="DO60" s="2331"/>
      <c r="DP60" s="2325"/>
      <c r="DQ60" s="2325"/>
      <c r="DR60" s="2325"/>
      <c r="DS60" s="2325"/>
      <c r="DT60" s="2331"/>
      <c r="DU60" s="2325"/>
      <c r="DV60" s="2325"/>
      <c r="DW60" s="2325"/>
      <c r="DX60" s="2325"/>
      <c r="DY60" s="2331"/>
      <c r="DZ60" s="1943"/>
      <c r="EA60" s="1943"/>
    </row>
    <row r="61" spans="1:131" ht="5.25" customHeight="1" x14ac:dyDescent="0.2">
      <c r="A61" s="1984"/>
      <c r="B61" s="2318"/>
      <c r="C61" s="1883"/>
      <c r="D61" s="1883"/>
      <c r="E61" s="1984"/>
      <c r="F61" s="2056"/>
      <c r="G61" s="1850"/>
      <c r="H61" s="1850"/>
      <c r="I61" s="2134"/>
      <c r="J61" s="1984"/>
      <c r="K61" s="2056"/>
      <c r="L61" s="1850"/>
      <c r="M61" s="1850"/>
      <c r="N61" s="2134"/>
      <c r="O61" s="1984"/>
      <c r="P61" s="2056"/>
      <c r="Q61" s="1850"/>
      <c r="R61" s="1850"/>
      <c r="S61" s="2134"/>
      <c r="T61" s="1984"/>
      <c r="U61" s="2056"/>
      <c r="V61" s="2045"/>
      <c r="W61" s="1984"/>
      <c r="X61" s="2134"/>
      <c r="Y61" s="1984"/>
      <c r="Z61" s="2056"/>
      <c r="AA61" s="1850"/>
      <c r="AB61" s="1850"/>
      <c r="AC61" s="2134"/>
      <c r="AD61" s="1984"/>
      <c r="AE61" s="2056"/>
      <c r="AF61" s="1850"/>
      <c r="AG61" s="1850"/>
      <c r="AH61" s="2134"/>
      <c r="AI61" s="1984"/>
      <c r="AJ61" s="2319"/>
      <c r="AK61" s="2319"/>
      <c r="AL61" s="1984"/>
      <c r="AM61" s="2134"/>
      <c r="AN61" s="2317"/>
      <c r="AO61" s="2320"/>
      <c r="AP61" s="2320"/>
      <c r="AQ61" s="1984"/>
      <c r="AR61" s="2134"/>
      <c r="AS61" s="2321"/>
      <c r="AT61" s="2319"/>
      <c r="AU61" s="2319"/>
      <c r="AV61" s="1984"/>
      <c r="AW61" s="2322"/>
      <c r="AX61" s="2320"/>
      <c r="AY61" s="2320"/>
      <c r="AZ61" s="2320"/>
      <c r="BA61" s="1984"/>
      <c r="BB61" s="2322"/>
      <c r="BC61" s="2320"/>
      <c r="BD61" s="2320"/>
      <c r="BE61" s="2320"/>
      <c r="BF61" s="1984"/>
      <c r="BG61" s="2322"/>
      <c r="BH61" s="2320"/>
      <c r="BI61" s="2320"/>
      <c r="BJ61" s="2320"/>
      <c r="BK61" s="1984"/>
      <c r="BL61" s="2322"/>
      <c r="BM61" s="1850"/>
      <c r="BN61" s="1850"/>
      <c r="BO61" s="1850"/>
      <c r="BP61" s="1850"/>
      <c r="BQ61" s="2322"/>
      <c r="BR61" s="1850"/>
      <c r="BS61" s="1850"/>
      <c r="BT61" s="1850"/>
      <c r="BU61" s="1850"/>
      <c r="BV61" s="2322"/>
      <c r="BW61" s="1850"/>
      <c r="BX61" s="1850"/>
      <c r="BY61" s="1850"/>
      <c r="BZ61" s="1850"/>
      <c r="CA61" s="2322"/>
      <c r="CB61" s="1850"/>
      <c r="CC61" s="1850"/>
      <c r="CD61" s="1850"/>
      <c r="CE61" s="1850"/>
      <c r="CF61" s="2322"/>
      <c r="CG61" s="1850"/>
      <c r="CH61" s="1850"/>
      <c r="CI61" s="1850"/>
      <c r="CJ61" s="1850"/>
      <c r="CK61" s="2322"/>
      <c r="CL61" s="1850"/>
      <c r="CM61" s="1850"/>
      <c r="CN61" s="1850"/>
      <c r="CO61" s="1850"/>
      <c r="CP61" s="2322"/>
      <c r="CQ61" s="1850"/>
      <c r="CR61" s="1850"/>
      <c r="CS61" s="1850"/>
      <c r="CT61" s="1850"/>
      <c r="CU61" s="2322"/>
      <c r="CV61" s="1850"/>
      <c r="CW61" s="1850"/>
      <c r="CX61" s="1850"/>
      <c r="CY61" s="1850"/>
      <c r="CZ61" s="2322"/>
      <c r="DA61" s="1850"/>
      <c r="DB61" s="1850"/>
      <c r="DC61" s="1850"/>
      <c r="DD61" s="1850"/>
      <c r="DE61" s="2322"/>
      <c r="DF61" s="1850"/>
      <c r="DG61" s="1850"/>
      <c r="DH61" s="1850"/>
      <c r="DI61" s="1850"/>
      <c r="DJ61" s="2322"/>
      <c r="DK61" s="1850"/>
      <c r="DL61" s="1850"/>
      <c r="DM61" s="1850"/>
      <c r="DN61" s="1850"/>
      <c r="DO61" s="2322"/>
      <c r="DP61" s="1850"/>
      <c r="DQ61" s="1850"/>
      <c r="DR61" s="1850"/>
      <c r="DS61" s="1850"/>
      <c r="DT61" s="2322"/>
      <c r="DU61" s="1850"/>
      <c r="DV61" s="1850"/>
      <c r="DW61" s="1850"/>
      <c r="DX61" s="1850"/>
      <c r="DY61" s="2322"/>
      <c r="DZ61" s="1850"/>
      <c r="EA61" s="1850"/>
    </row>
    <row r="62" spans="1:131" ht="12" customHeight="1" outlineLevel="1" x14ac:dyDescent="0.2">
      <c r="A62" s="1911"/>
      <c r="B62" s="58" t="s">
        <v>996</v>
      </c>
      <c r="C62" s="59"/>
      <c r="D62" s="59"/>
      <c r="E62" s="59"/>
      <c r="F62" s="59"/>
      <c r="G62" s="59"/>
      <c r="H62" s="59"/>
      <c r="I62" s="86"/>
      <c r="J62" s="59"/>
      <c r="K62" s="59"/>
      <c r="L62" s="59"/>
      <c r="M62" s="59"/>
      <c r="N62" s="63">
        <v>225</v>
      </c>
      <c r="O62" s="59"/>
      <c r="P62" s="59"/>
      <c r="Q62" s="59"/>
      <c r="R62" s="59"/>
      <c r="S62" s="63">
        <v>251</v>
      </c>
      <c r="T62" s="59"/>
      <c r="U62" s="59"/>
      <c r="V62" s="59"/>
      <c r="W62" s="59"/>
      <c r="X62" s="63">
        <v>281</v>
      </c>
      <c r="Y62" s="59"/>
      <c r="Z62" s="59"/>
      <c r="AA62" s="59"/>
      <c r="AB62" s="59"/>
      <c r="AC62" s="63">
        <v>297</v>
      </c>
      <c r="AD62" s="59"/>
      <c r="AE62" s="59"/>
      <c r="AF62" s="59"/>
      <c r="AG62" s="59"/>
      <c r="AH62" s="63">
        <v>309</v>
      </c>
      <c r="AI62" s="59"/>
      <c r="AJ62" s="59"/>
      <c r="AK62" s="59"/>
      <c r="AL62" s="59"/>
      <c r="AM62" s="63">
        <v>316</v>
      </c>
      <c r="AN62" s="59"/>
      <c r="AO62" s="59"/>
      <c r="AP62" s="59"/>
      <c r="AQ62" s="59"/>
      <c r="AR62" s="63">
        <v>335</v>
      </c>
      <c r="AS62" s="59"/>
      <c r="AT62" s="59"/>
      <c r="AU62" s="59"/>
      <c r="AV62" s="59"/>
      <c r="AW62" s="63">
        <v>366</v>
      </c>
      <c r="AX62" s="59"/>
      <c r="AY62" s="59"/>
      <c r="AZ62" s="59"/>
      <c r="BA62" s="59"/>
      <c r="BB62" s="63">
        <v>450</v>
      </c>
      <c r="BC62" s="59"/>
      <c r="BD62" s="59"/>
      <c r="BE62" s="59"/>
      <c r="BF62" s="59"/>
      <c r="BG62" s="63">
        <v>481.7</v>
      </c>
      <c r="BH62" s="59"/>
      <c r="BI62" s="60">
        <v>130.69999999999999</v>
      </c>
      <c r="BJ62" s="60">
        <v>128.5</v>
      </c>
      <c r="BK62" s="60">
        <v>132.4</v>
      </c>
      <c r="BL62" s="63">
        <v>527.5</v>
      </c>
      <c r="BM62" s="60">
        <v>139.5</v>
      </c>
      <c r="BN62" s="60">
        <v>134.6</v>
      </c>
      <c r="BO62" s="60">
        <v>132.30000000000001</v>
      </c>
      <c r="BP62" s="60">
        <v>152.6</v>
      </c>
      <c r="BQ62" s="63">
        <v>559</v>
      </c>
      <c r="BR62" s="60">
        <v>152.4</v>
      </c>
      <c r="BS62" s="60">
        <v>153.19999999999999</v>
      </c>
      <c r="BT62" s="60">
        <v>151.80000000000001</v>
      </c>
      <c r="BU62" s="60">
        <v>159</v>
      </c>
      <c r="BV62" s="380">
        <f>SUM(BR62:BU62)</f>
        <v>616.40000000000009</v>
      </c>
      <c r="BW62" s="60">
        <v>157.30000000000001</v>
      </c>
      <c r="BX62" s="60">
        <v>157.5</v>
      </c>
      <c r="BY62" s="60">
        <v>157.69999999999999</v>
      </c>
      <c r="BZ62" s="60">
        <v>163.69999999999999</v>
      </c>
      <c r="CA62" s="380">
        <f>SUM(BW62:BZ62)</f>
        <v>636.20000000000005</v>
      </c>
      <c r="CB62" s="60">
        <v>165.6</v>
      </c>
      <c r="CC62" s="60">
        <v>162.4</v>
      </c>
      <c r="CD62" s="60">
        <v>161</v>
      </c>
      <c r="CE62" s="60">
        <v>168.9</v>
      </c>
      <c r="CF62" s="86">
        <f>SUM(CB62:CE62)</f>
        <v>657.9</v>
      </c>
      <c r="CG62" s="60">
        <v>179.5</v>
      </c>
      <c r="CH62" s="322">
        <v>176.4</v>
      </c>
      <c r="CI62" s="60">
        <v>176.5</v>
      </c>
      <c r="CJ62" s="60">
        <v>185.5</v>
      </c>
      <c r="CK62" s="86">
        <f>SUM(CG62:CJ62)</f>
        <v>717.9</v>
      </c>
      <c r="CL62" s="60">
        <v>184.7</v>
      </c>
      <c r="CM62" s="60">
        <v>181.1</v>
      </c>
      <c r="CN62" s="60">
        <v>180.5</v>
      </c>
      <c r="CO62" s="60">
        <v>188.5</v>
      </c>
      <c r="CP62" s="86">
        <f>SUM(CL62:CO62)</f>
        <v>734.8</v>
      </c>
      <c r="CQ62" s="60">
        <v>184</v>
      </c>
      <c r="CR62" s="60">
        <v>186.3</v>
      </c>
      <c r="CS62" s="60">
        <v>187.7</v>
      </c>
      <c r="CT62" s="60">
        <v>196.5</v>
      </c>
      <c r="CU62" s="86">
        <f>SUM(CQ62:CT62)</f>
        <v>754.5</v>
      </c>
      <c r="CV62">
        <v>193.1</v>
      </c>
      <c r="CW62">
        <v>193.1</v>
      </c>
      <c r="CX62" s="2575">
        <v>193.1</v>
      </c>
      <c r="CY62" s="2575">
        <v>196.5</v>
      </c>
      <c r="CZ62" s="86">
        <f>SUM(CV62:CY62)</f>
        <v>775.8</v>
      </c>
      <c r="DA62" s="2584">
        <v>246.42999999999998</v>
      </c>
      <c r="DB62" s="2614">
        <v>240.5</v>
      </c>
      <c r="DC62" s="2631">
        <v>240.5</v>
      </c>
      <c r="DD62" s="2649">
        <v>248.8</v>
      </c>
      <c r="DE62" s="86">
        <f>SUM(DA62:DD62)</f>
        <v>976.23</v>
      </c>
      <c r="DF62" s="2683">
        <v>239.6</v>
      </c>
      <c r="DG62" s="2705">
        <v>234.9</v>
      </c>
      <c r="DH62" s="1062">
        <v>234.17999999999998</v>
      </c>
      <c r="DI62" s="1062">
        <v>244.97800000000001</v>
      </c>
      <c r="DJ62" s="86">
        <f>SUM(DF62:DI62)</f>
        <v>953.6579999999999</v>
      </c>
      <c r="DK62" s="59">
        <f>DK72+DK79</f>
        <v>327.70970000000005</v>
      </c>
      <c r="DL62" s="59">
        <f>DL72+DL79</f>
        <v>322.79195000000004</v>
      </c>
      <c r="DM62" s="59">
        <f>DM72+DM79</f>
        <v>325.04573000000005</v>
      </c>
      <c r="DN62" s="59">
        <f>DN72+DN79</f>
        <v>343.60679199999998</v>
      </c>
      <c r="DO62" s="86">
        <f>SUM(DK62:DN62)</f>
        <v>1319.1541720000002</v>
      </c>
      <c r="DP62" s="59">
        <f>DP72+DP79</f>
        <v>340.41453950000005</v>
      </c>
      <c r="DQ62" s="59">
        <f>DQ72+DQ79</f>
        <v>335.32466825000006</v>
      </c>
      <c r="DR62" s="59">
        <f>DR72+DR79</f>
        <v>337.65733055000004</v>
      </c>
      <c r="DS62" s="59">
        <f>DS72+DS79</f>
        <v>356.86802971999998</v>
      </c>
      <c r="DT62" s="86">
        <f>SUM(DP62:DS62)</f>
        <v>1370.2645680200003</v>
      </c>
      <c r="DU62" s="59">
        <f>DU72+DU79</f>
        <v>353.56404838250006</v>
      </c>
      <c r="DV62" s="59">
        <f>DV72+DV79</f>
        <v>348.29603163875004</v>
      </c>
      <c r="DW62" s="59">
        <f>DW72+DW79</f>
        <v>350.71033711925003</v>
      </c>
      <c r="DX62" s="59">
        <f>DX72+DX79</f>
        <v>370.59341076019996</v>
      </c>
      <c r="DY62" s="86">
        <f>SUM(DU62:DX62)</f>
        <v>1423.1638279007</v>
      </c>
      <c r="DZ62" s="1884"/>
      <c r="EA62" s="1884"/>
    </row>
    <row r="63" spans="1:131" ht="12" customHeight="1" outlineLevel="1" x14ac:dyDescent="0.2">
      <c r="A63" s="2013"/>
      <c r="B63" s="254" t="s">
        <v>744</v>
      </c>
      <c r="C63" s="238"/>
      <c r="D63" s="238"/>
      <c r="E63" s="238"/>
      <c r="F63" s="238"/>
      <c r="G63" s="238"/>
      <c r="H63" s="238"/>
      <c r="I63" s="239"/>
      <c r="J63" s="238"/>
      <c r="K63" s="238"/>
      <c r="L63" s="238"/>
      <c r="M63" s="238"/>
      <c r="N63" s="239"/>
      <c r="O63" s="238"/>
      <c r="P63" s="238"/>
      <c r="Q63" s="238"/>
      <c r="R63" s="238"/>
      <c r="S63" s="239"/>
      <c r="T63" s="238"/>
      <c r="U63" s="238"/>
      <c r="V63" s="238"/>
      <c r="W63" s="238"/>
      <c r="X63" s="239"/>
      <c r="Y63" s="238"/>
      <c r="Z63" s="238"/>
      <c r="AA63" s="238"/>
      <c r="AB63" s="238"/>
      <c r="AC63" s="239"/>
      <c r="AD63" s="238"/>
      <c r="AE63" s="238"/>
      <c r="AF63" s="238"/>
      <c r="AG63" s="238"/>
      <c r="AH63" s="239"/>
      <c r="AI63" s="238"/>
      <c r="AJ63" s="238"/>
      <c r="AK63" s="238"/>
      <c r="AL63" s="238"/>
      <c r="AM63" s="239"/>
      <c r="AN63" s="238"/>
      <c r="AO63" s="1054"/>
      <c r="AP63" s="1054"/>
      <c r="AQ63" s="238"/>
      <c r="AR63" s="239"/>
      <c r="AS63" s="1054"/>
      <c r="AT63" s="238"/>
      <c r="AU63" s="238"/>
      <c r="AV63" s="238"/>
      <c r="AW63" s="239"/>
      <c r="AX63" s="1054"/>
      <c r="AY63" s="1054"/>
      <c r="AZ63" s="1054"/>
      <c r="BA63" s="238"/>
      <c r="BB63" s="239"/>
      <c r="BC63" s="1054"/>
      <c r="BD63" s="1054"/>
      <c r="BE63" s="1054"/>
      <c r="BF63" s="238"/>
      <c r="BG63" s="306">
        <f>BG62*BG85</f>
        <v>284.68469999999996</v>
      </c>
      <c r="BH63" s="1054"/>
      <c r="BI63" s="1018">
        <f t="shared" ref="BI63:BU63" si="69">BI62*BI85</f>
        <v>81.556799999999996</v>
      </c>
      <c r="BJ63" s="1018">
        <f t="shared" si="69"/>
        <v>81.854500000000002</v>
      </c>
      <c r="BK63" s="1018">
        <f t="shared" si="69"/>
        <v>85.927600000000012</v>
      </c>
      <c r="BL63" s="306">
        <f t="shared" si="69"/>
        <v>333.38</v>
      </c>
      <c r="BM63" s="1018">
        <f t="shared" si="69"/>
        <v>92.907000000000011</v>
      </c>
      <c r="BN63" s="1018">
        <f t="shared" si="69"/>
        <v>90.182000000000002</v>
      </c>
      <c r="BO63" s="1018">
        <f t="shared" si="69"/>
        <v>89.964000000000013</v>
      </c>
      <c r="BP63" s="1018">
        <f t="shared" si="69"/>
        <v>103.768</v>
      </c>
      <c r="BQ63" s="306">
        <f t="shared" si="69"/>
        <v>376.76600000000002</v>
      </c>
      <c r="BR63" s="1018">
        <f t="shared" si="69"/>
        <v>105.46079999999999</v>
      </c>
      <c r="BS63" s="1018">
        <f t="shared" si="69"/>
        <v>106.62719999999999</v>
      </c>
      <c r="BT63" s="1018">
        <f t="shared" si="69"/>
        <v>106.4118</v>
      </c>
      <c r="BU63" s="1018">
        <f t="shared" si="69"/>
        <v>112.25399999999999</v>
      </c>
      <c r="BV63" s="400">
        <f>SUM(BR63:BU63)</f>
        <v>430.75379999999996</v>
      </c>
      <c r="BW63" s="1018">
        <f>BW62*BW85</f>
        <v>113.41330000000001</v>
      </c>
      <c r="BX63" s="1018">
        <f>BX62*BX85</f>
        <v>114.5025</v>
      </c>
      <c r="BY63" s="1018">
        <f>BY62*BY85</f>
        <v>116.06719999999999</v>
      </c>
      <c r="BZ63" s="1018">
        <f>BZ62*BZ85</f>
        <v>120.81059999999999</v>
      </c>
      <c r="CA63" s="400">
        <f>SUM(BW63:BZ63)</f>
        <v>464.79359999999997</v>
      </c>
      <c r="CB63" s="1018">
        <f>CB62*CB85</f>
        <v>123.7032</v>
      </c>
      <c r="CC63" s="1018">
        <f>CC62*CC85</f>
        <v>122.7744</v>
      </c>
      <c r="CD63" s="238">
        <f>CD62*CD85</f>
        <v>121.877</v>
      </c>
      <c r="CE63" s="238">
        <f>CE62*CE85</f>
        <v>128.1951</v>
      </c>
      <c r="CF63" s="239">
        <f>SUM(CB63:CE63)</f>
        <v>496.54970000000003</v>
      </c>
      <c r="CG63" s="1018">
        <f>CG62*CG85</f>
        <v>140.18950000000001</v>
      </c>
      <c r="CH63" s="238">
        <f>CH62*CH85</f>
        <v>139.53240000000002</v>
      </c>
      <c r="CI63" s="238">
        <f>CI62*CI85</f>
        <v>141.02350000000001</v>
      </c>
      <c r="CJ63" s="238">
        <f>CJ62*CJ85</f>
        <v>148.21450000000002</v>
      </c>
      <c r="CK63" s="239">
        <f>SUM(CG63:CJ63)</f>
        <v>568.95990000000006</v>
      </c>
      <c r="CL63" s="238">
        <f>CL62*CL85</f>
        <v>149.97640000000001</v>
      </c>
      <c r="CM63" s="238">
        <f>CM62*CM85</f>
        <v>148.32089999999999</v>
      </c>
      <c r="CN63" s="238">
        <f>CN62*CN85</f>
        <v>147.10749999999999</v>
      </c>
      <c r="CO63" s="238">
        <f>CO62*CO85</f>
        <v>152.685</v>
      </c>
      <c r="CP63" s="239">
        <f>SUM(CL63:CO63)</f>
        <v>598.08979999999997</v>
      </c>
      <c r="CQ63" s="238">
        <f>CQ62*CQ85</f>
        <v>149.04000000000002</v>
      </c>
      <c r="CR63" s="238">
        <f>CR62*CR85</f>
        <v>155.56049999999999</v>
      </c>
      <c r="CS63" s="238">
        <f>CS62*CS85</f>
        <v>156.35409999999999</v>
      </c>
      <c r="CT63" s="238">
        <f>CT62*CT85</f>
        <v>161.916</v>
      </c>
      <c r="CU63" s="239">
        <f>SUM(CQ63:CT63)</f>
        <v>622.87059999999997</v>
      </c>
      <c r="CV63" s="238">
        <f>CV62*CV85</f>
        <v>162.97639999999998</v>
      </c>
      <c r="CW63" s="238">
        <f>CW62*CW85</f>
        <v>164.13499999999999</v>
      </c>
      <c r="CX63" s="238">
        <f>CX62*CX85</f>
        <v>163.65225000000001</v>
      </c>
      <c r="CY63" s="238">
        <f>CY62*CY85</f>
        <v>165.06</v>
      </c>
      <c r="CZ63" s="239">
        <f>SUM(CV63:CY63)</f>
        <v>655.82365000000004</v>
      </c>
      <c r="DA63" s="238">
        <f>DA62*DA85</f>
        <v>211.19050999999999</v>
      </c>
      <c r="DB63" s="238">
        <f>DB62*DB85</f>
        <v>207.07050000000001</v>
      </c>
      <c r="DC63" s="238">
        <f>DC62*DC85</f>
        <v>206.34899999999999</v>
      </c>
      <c r="DD63" s="238">
        <f>DD62*DD85</f>
        <v>211.9776</v>
      </c>
      <c r="DE63" s="239">
        <f>SUM(DA63:DD63)</f>
        <v>836.58761000000004</v>
      </c>
      <c r="DF63" s="238">
        <f>DF62*DF85</f>
        <v>209.65</v>
      </c>
      <c r="DG63" s="238">
        <f>DG62*DG85</f>
        <v>205.7724</v>
      </c>
      <c r="DH63" s="238">
        <f>DH62*DH85</f>
        <v>204.20495999999997</v>
      </c>
      <c r="DI63" s="238">
        <f>DI62*DI85</f>
        <v>212.64090400000001</v>
      </c>
      <c r="DJ63" s="239">
        <f>SUM(DF63:DI63)</f>
        <v>832.26826399999993</v>
      </c>
      <c r="DK63" s="238">
        <f>DK62*DK85</f>
        <v>285.07942217954178</v>
      </c>
      <c r="DL63" s="238">
        <f>DL62*DL85</f>
        <v>281.67874990698141</v>
      </c>
      <c r="DM63" s="238">
        <f>DM62*DM85</f>
        <v>284.27626914109408</v>
      </c>
      <c r="DN63" s="238">
        <f>DN62*DN85</f>
        <v>301.37617585154607</v>
      </c>
      <c r="DO63" s="239">
        <f>SUM(DK63:DN63)</f>
        <v>1152.4106170791633</v>
      </c>
      <c r="DP63" s="238">
        <f>DP62*DP85</f>
        <v>299.22798973229345</v>
      </c>
      <c r="DQ63" s="238">
        <f>DQ62*DQ85</f>
        <v>295.66535270712092</v>
      </c>
      <c r="DR63" s="238">
        <f>DR62*DR85</f>
        <v>298.37739992823526</v>
      </c>
      <c r="DS63" s="238">
        <f>DS62*DS85</f>
        <v>316.25366157307076</v>
      </c>
      <c r="DT63" s="239">
        <f>SUM(DP63:DS63)</f>
        <v>1209.5244039407203</v>
      </c>
      <c r="DU63" s="238">
        <f>DU62*DU85</f>
        <v>314.00260002432447</v>
      </c>
      <c r="DV63" s="238">
        <f>DV62*DV85</f>
        <v>310.27070905167011</v>
      </c>
      <c r="DW63" s="238">
        <f>DW62*DW85</f>
        <v>313.10203537354568</v>
      </c>
      <c r="DX63" s="238">
        <f>DX62*DX85</f>
        <v>331.78794035826104</v>
      </c>
      <c r="DY63" s="239">
        <f>SUM(DU63:DX63)</f>
        <v>1269.1632848078013</v>
      </c>
      <c r="DZ63" s="238"/>
      <c r="EA63" s="238"/>
    </row>
    <row r="64" spans="1:131" ht="12" customHeight="1" outlineLevel="1" x14ac:dyDescent="0.2">
      <c r="A64" s="2013"/>
      <c r="B64" s="254" t="s">
        <v>997</v>
      </c>
      <c r="C64" s="238"/>
      <c r="D64" s="238"/>
      <c r="E64" s="238"/>
      <c r="F64" s="238"/>
      <c r="G64" s="238"/>
      <c r="H64" s="238"/>
      <c r="I64" s="239"/>
      <c r="J64" s="238"/>
      <c r="K64" s="238"/>
      <c r="L64" s="238"/>
      <c r="M64" s="238"/>
      <c r="N64" s="239"/>
      <c r="O64" s="238"/>
      <c r="P64" s="238"/>
      <c r="Q64" s="238"/>
      <c r="R64" s="238"/>
      <c r="S64" s="239"/>
      <c r="T64" s="238"/>
      <c r="U64" s="238"/>
      <c r="V64" s="238"/>
      <c r="W64" s="238"/>
      <c r="X64" s="239"/>
      <c r="Y64" s="238"/>
      <c r="Z64" s="238"/>
      <c r="AA64" s="238"/>
      <c r="AB64" s="238"/>
      <c r="AC64" s="239"/>
      <c r="AD64" s="238"/>
      <c r="AE64" s="238"/>
      <c r="AF64" s="238"/>
      <c r="AG64" s="238"/>
      <c r="AH64" s="239"/>
      <c r="AI64" s="238"/>
      <c r="AJ64" s="238"/>
      <c r="AK64" s="238"/>
      <c r="AL64" s="238"/>
      <c r="AM64" s="239"/>
      <c r="AN64" s="238"/>
      <c r="AO64" s="1054"/>
      <c r="AP64" s="1054"/>
      <c r="AQ64" s="238"/>
      <c r="AR64" s="239"/>
      <c r="AS64" s="1054"/>
      <c r="AT64" s="238"/>
      <c r="AU64" s="238"/>
      <c r="AV64" s="238"/>
      <c r="AW64" s="239"/>
      <c r="AX64" s="1054"/>
      <c r="AY64" s="1054"/>
      <c r="AZ64" s="1054"/>
      <c r="BA64" s="238"/>
      <c r="BB64" s="239"/>
      <c r="BC64" s="1054"/>
      <c r="BD64" s="1054"/>
      <c r="BE64" s="1054"/>
      <c r="BF64" s="238"/>
      <c r="BG64" s="306">
        <f>BG62-BG63</f>
        <v>197.01530000000002</v>
      </c>
      <c r="BH64" s="1054"/>
      <c r="BI64" s="1018">
        <f t="shared" ref="BI64:BU64" si="70">BI62-BI63</f>
        <v>49.143199999999993</v>
      </c>
      <c r="BJ64" s="1018">
        <f t="shared" si="70"/>
        <v>46.645499999999998</v>
      </c>
      <c r="BK64" s="1018">
        <f t="shared" si="70"/>
        <v>46.472399999999993</v>
      </c>
      <c r="BL64" s="306">
        <f t="shared" si="70"/>
        <v>194.12</v>
      </c>
      <c r="BM64" s="1018">
        <f t="shared" si="70"/>
        <v>46.592999999999989</v>
      </c>
      <c r="BN64" s="1018">
        <f t="shared" si="70"/>
        <v>44.417999999999992</v>
      </c>
      <c r="BO64" s="1018">
        <f t="shared" si="70"/>
        <v>42.335999999999999</v>
      </c>
      <c r="BP64" s="1018">
        <f t="shared" si="70"/>
        <v>48.831999999999994</v>
      </c>
      <c r="BQ64" s="306">
        <f t="shared" si="70"/>
        <v>182.23399999999998</v>
      </c>
      <c r="BR64" s="1018">
        <f t="shared" si="70"/>
        <v>46.939200000000014</v>
      </c>
      <c r="BS64" s="1018">
        <f t="shared" si="70"/>
        <v>46.572800000000001</v>
      </c>
      <c r="BT64" s="1018">
        <f t="shared" si="70"/>
        <v>45.388200000000012</v>
      </c>
      <c r="BU64" s="1018">
        <f t="shared" si="70"/>
        <v>46.746000000000009</v>
      </c>
      <c r="BV64" s="400">
        <f>SUM(BR64:BU64)</f>
        <v>185.64620000000005</v>
      </c>
      <c r="BW64" s="1018">
        <f>BW62-BW63</f>
        <v>43.886700000000005</v>
      </c>
      <c r="BX64" s="1018">
        <f>BX62-BX63</f>
        <v>42.997500000000002</v>
      </c>
      <c r="BY64" s="1018">
        <f>BY62-BY63</f>
        <v>41.632800000000003</v>
      </c>
      <c r="BZ64" s="1018">
        <f>BZ62-BZ63</f>
        <v>42.889399999999995</v>
      </c>
      <c r="CA64" s="400">
        <f>SUM(BW64:BZ64)</f>
        <v>171.40639999999999</v>
      </c>
      <c r="CB64" s="1018">
        <f>CB62-CB63</f>
        <v>41.896799999999999</v>
      </c>
      <c r="CC64" s="1018">
        <f>CC62-CC63</f>
        <v>39.625600000000006</v>
      </c>
      <c r="CD64" s="238">
        <f>CD62-CD63</f>
        <v>39.123000000000005</v>
      </c>
      <c r="CE64" s="238">
        <f>CE62-CE63</f>
        <v>40.704900000000009</v>
      </c>
      <c r="CF64" s="239">
        <f>SUM(CB64:CE64)</f>
        <v>161.3503</v>
      </c>
      <c r="CG64" s="1018">
        <f>CG62-CG63</f>
        <v>39.31049999999999</v>
      </c>
      <c r="CH64" s="238">
        <f>CH62-CH63</f>
        <v>36.867599999999982</v>
      </c>
      <c r="CI64" s="238">
        <f>CI62-CI63</f>
        <v>35.476499999999987</v>
      </c>
      <c r="CJ64" s="238">
        <f>CJ62-CJ63</f>
        <v>37.285499999999985</v>
      </c>
      <c r="CK64" s="239">
        <f>SUM(CG64:CJ64)</f>
        <v>148.94009999999994</v>
      </c>
      <c r="CL64" s="238">
        <f>CL62-CL63</f>
        <v>34.723599999999976</v>
      </c>
      <c r="CM64" s="238">
        <f>CM62-CM63</f>
        <v>32.7791</v>
      </c>
      <c r="CN64" s="238">
        <f>CN62-CN63</f>
        <v>33.392500000000013</v>
      </c>
      <c r="CO64" s="238">
        <f>CO62-CO63</f>
        <v>35.814999999999998</v>
      </c>
      <c r="CP64" s="239">
        <f>SUM(CL64:CO64)</f>
        <v>136.71019999999999</v>
      </c>
      <c r="CQ64" s="238">
        <f>CQ62-CQ63</f>
        <v>34.95999999999998</v>
      </c>
      <c r="CR64" s="238">
        <f>CR62-CR63</f>
        <v>30.739500000000021</v>
      </c>
      <c r="CS64" s="238">
        <f>CS62-CS63</f>
        <v>31.3459</v>
      </c>
      <c r="CT64" s="238">
        <f>CT62-CT63</f>
        <v>34.584000000000003</v>
      </c>
      <c r="CU64" s="239">
        <f>SUM(CQ64:CT64)</f>
        <v>131.6294</v>
      </c>
      <c r="CV64" s="238">
        <f>CV62-CV63</f>
        <v>30.12360000000001</v>
      </c>
      <c r="CW64" s="238">
        <f>CW62-CW63</f>
        <v>28.965000000000003</v>
      </c>
      <c r="CX64" s="238">
        <f>CX62-CX63</f>
        <v>29.447749999999985</v>
      </c>
      <c r="CY64" s="238">
        <f>CY62-CY63</f>
        <v>31.439999999999998</v>
      </c>
      <c r="CZ64" s="239">
        <f>SUM(CV64:CY64)</f>
        <v>119.97635</v>
      </c>
      <c r="DA64" s="238">
        <f>DA62-DA63</f>
        <v>35.239489999999989</v>
      </c>
      <c r="DB64" s="238">
        <f>DB62-DB63</f>
        <v>33.42949999999999</v>
      </c>
      <c r="DC64" s="238">
        <f>DC62-DC63</f>
        <v>34.15100000000001</v>
      </c>
      <c r="DD64" s="238">
        <f>DD62-DD63</f>
        <v>36.822400000000016</v>
      </c>
      <c r="DE64" s="239">
        <f>SUM(DA64:DD64)</f>
        <v>139.64239000000001</v>
      </c>
      <c r="DF64" s="238">
        <f>DF62-DF63</f>
        <v>29.949999999999989</v>
      </c>
      <c r="DG64" s="238">
        <f>DG62-DG63</f>
        <v>29.127600000000001</v>
      </c>
      <c r="DH64" s="238">
        <f>DH62-DH63</f>
        <v>29.975040000000007</v>
      </c>
      <c r="DI64" s="238">
        <f>DI62-DI63</f>
        <v>32.337096000000003</v>
      </c>
      <c r="DJ64" s="239">
        <f>SUM(DF64:DI64)</f>
        <v>121.389736</v>
      </c>
      <c r="DK64" s="238">
        <f>DK62-DK63</f>
        <v>42.630277820458275</v>
      </c>
      <c r="DL64" s="238">
        <f>DL62-DL63</f>
        <v>41.113200093018634</v>
      </c>
      <c r="DM64" s="238">
        <f>DM62-DM63</f>
        <v>40.769460858905973</v>
      </c>
      <c r="DN64" s="238">
        <f>DN62-DN63</f>
        <v>42.230616148453919</v>
      </c>
      <c r="DO64" s="239">
        <f>SUM(DK64:DN64)</f>
        <v>166.7435549208368</v>
      </c>
      <c r="DP64" s="238">
        <f>DP62-DP63</f>
        <v>41.186549767706595</v>
      </c>
      <c r="DQ64" s="238">
        <f>DQ62-DQ63</f>
        <v>39.659315542879142</v>
      </c>
      <c r="DR64" s="238">
        <f>DR62-DR63</f>
        <v>39.279930621764777</v>
      </c>
      <c r="DS64" s="238">
        <f>DS62-DS63</f>
        <v>40.614368146929223</v>
      </c>
      <c r="DT64" s="239">
        <f>SUM(DP64:DS64)</f>
        <v>160.74016407927974</v>
      </c>
      <c r="DU64" s="238">
        <f>DU62-DU63</f>
        <v>39.561448358175596</v>
      </c>
      <c r="DV64" s="238">
        <f>DV62-DV63</f>
        <v>38.025322587079927</v>
      </c>
      <c r="DW64" s="238">
        <f>DW62-DW63</f>
        <v>37.608301745704352</v>
      </c>
      <c r="DX64" s="238">
        <f>DX62-DX63</f>
        <v>38.805470401938919</v>
      </c>
      <c r="DY64" s="239">
        <f>SUM(DU64:DX64)</f>
        <v>154.00054309289879</v>
      </c>
      <c r="DZ64" s="238"/>
      <c r="EA64" s="238"/>
    </row>
    <row r="65" spans="1:137" ht="12" customHeight="1" outlineLevel="1" x14ac:dyDescent="0.2">
      <c r="A65" s="1984"/>
      <c r="B65" s="2318" t="s">
        <v>194</v>
      </c>
      <c r="C65" s="1883"/>
      <c r="D65" s="1883"/>
      <c r="E65" s="1984"/>
      <c r="F65" s="2056"/>
      <c r="G65" s="1850"/>
      <c r="H65" s="1850"/>
      <c r="I65" s="2134"/>
      <c r="J65" s="1984"/>
      <c r="K65" s="2056"/>
      <c r="L65" s="1850"/>
      <c r="M65" s="1850"/>
      <c r="N65" s="2134"/>
      <c r="O65" s="1984"/>
      <c r="P65" s="2056"/>
      <c r="Q65" s="1850"/>
      <c r="R65" s="1850"/>
      <c r="S65" s="2134"/>
      <c r="T65" s="1984"/>
      <c r="U65" s="2056"/>
      <c r="V65" s="2045"/>
      <c r="W65" s="1984"/>
      <c r="X65" s="2333">
        <f>X62/S62-1</f>
        <v>0.1195219123505975</v>
      </c>
      <c r="Y65" s="1984"/>
      <c r="Z65" s="2056"/>
      <c r="AA65" s="1850"/>
      <c r="AB65" s="1850"/>
      <c r="AC65" s="2333">
        <f>AC62/X62-1</f>
        <v>5.6939501779359469E-2</v>
      </c>
      <c r="AD65" s="1984"/>
      <c r="AE65" s="2056"/>
      <c r="AF65" s="1850"/>
      <c r="AG65" s="1850"/>
      <c r="AH65" s="2333">
        <f>AH62/AC62-1</f>
        <v>4.0404040404040442E-2</v>
      </c>
      <c r="AI65" s="1984"/>
      <c r="AJ65" s="2319"/>
      <c r="AK65" s="2319"/>
      <c r="AL65" s="1984"/>
      <c r="AM65" s="2333">
        <f>AM62/AH62-1</f>
        <v>2.265372168284796E-2</v>
      </c>
      <c r="AN65" s="2317"/>
      <c r="AO65" s="2320"/>
      <c r="AP65" s="2320"/>
      <c r="AQ65" s="1984"/>
      <c r="AR65" s="2333">
        <f>AR62/AM62-1</f>
        <v>6.0126582278481111E-2</v>
      </c>
      <c r="AS65" s="2321"/>
      <c r="AT65" s="2319"/>
      <c r="AU65" s="2319"/>
      <c r="AV65" s="1984"/>
      <c r="AW65" s="2333">
        <f>AW62/AR62-1</f>
        <v>9.2537313432835777E-2</v>
      </c>
      <c r="AX65" s="2320"/>
      <c r="AY65" s="2320"/>
      <c r="AZ65" s="2320"/>
      <c r="BA65" s="1984"/>
      <c r="BB65" s="2333">
        <f>BB62/AW62-1</f>
        <v>0.22950819672131151</v>
      </c>
      <c r="BC65" s="2320"/>
      <c r="BD65" s="2320"/>
      <c r="BE65" s="2320"/>
      <c r="BF65" s="1984"/>
      <c r="BG65" s="2333">
        <f>BG62/BB62-1</f>
        <v>7.044444444444431E-2</v>
      </c>
      <c r="BH65" s="2320"/>
      <c r="BI65" s="2320"/>
      <c r="BJ65" s="2320"/>
      <c r="BK65" s="1984"/>
      <c r="BL65" s="2333">
        <f>BL62/BG62-1</f>
        <v>9.507992526468767E-2</v>
      </c>
      <c r="BM65" s="2334"/>
      <c r="BN65" s="2335">
        <f t="shared" ref="BN65:DJ65" si="71">BN62/BI62-1</f>
        <v>2.9839326702371993E-2</v>
      </c>
      <c r="BO65" s="2335">
        <f t="shared" si="71"/>
        <v>2.9571984435797782E-2</v>
      </c>
      <c r="BP65" s="2335">
        <f t="shared" si="71"/>
        <v>0.15256797583081561</v>
      </c>
      <c r="BQ65" s="2333">
        <f t="shared" si="71"/>
        <v>5.9715639810426602E-2</v>
      </c>
      <c r="BR65" s="2335">
        <f t="shared" si="71"/>
        <v>9.2473118279569944E-2</v>
      </c>
      <c r="BS65" s="2335">
        <f t="shared" si="71"/>
        <v>0.13818722139673101</v>
      </c>
      <c r="BT65" s="2335">
        <f t="shared" si="71"/>
        <v>0.14739229024943312</v>
      </c>
      <c r="BU65" s="2335">
        <f t="shared" si="71"/>
        <v>4.1939711664482404E-2</v>
      </c>
      <c r="BV65" s="2333">
        <f t="shared" si="71"/>
        <v>0.10268336314847959</v>
      </c>
      <c r="BW65" s="2335">
        <f t="shared" si="71"/>
        <v>3.2152230971128626E-2</v>
      </c>
      <c r="BX65" s="2335">
        <f t="shared" si="71"/>
        <v>2.8067885117493585E-2</v>
      </c>
      <c r="BY65" s="2335">
        <f t="shared" si="71"/>
        <v>3.8866930171277847E-2</v>
      </c>
      <c r="BZ65" s="2335">
        <f t="shared" si="71"/>
        <v>2.9559748427672838E-2</v>
      </c>
      <c r="CA65" s="2333">
        <f t="shared" si="71"/>
        <v>3.2121998702141497E-2</v>
      </c>
      <c r="CB65" s="2335">
        <f t="shared" si="71"/>
        <v>5.2765416401779897E-2</v>
      </c>
      <c r="CC65" s="2335">
        <f t="shared" si="71"/>
        <v>3.1111111111111089E-2</v>
      </c>
      <c r="CD65" s="2334">
        <f t="shared" si="71"/>
        <v>2.0925808497146647E-2</v>
      </c>
      <c r="CE65" s="2334">
        <f t="shared" si="71"/>
        <v>3.1765424557116839E-2</v>
      </c>
      <c r="CF65" s="2322">
        <f t="shared" si="71"/>
        <v>3.4108770826783985E-2</v>
      </c>
      <c r="CG65" s="2335">
        <f t="shared" si="71"/>
        <v>8.393719806763289E-2</v>
      </c>
      <c r="CH65" s="2334">
        <f t="shared" si="71"/>
        <v>8.6206896551724199E-2</v>
      </c>
      <c r="CI65" s="2334">
        <f t="shared" si="71"/>
        <v>9.6273291925465854E-2</v>
      </c>
      <c r="CJ65" s="2334">
        <f t="shared" si="71"/>
        <v>9.8283007696861935E-2</v>
      </c>
      <c r="CK65" s="2322">
        <f t="shared" si="71"/>
        <v>9.1199270405836863E-2</v>
      </c>
      <c r="CL65" s="2334">
        <f t="shared" si="71"/>
        <v>2.8969359331476152E-2</v>
      </c>
      <c r="CM65" s="2334">
        <f t="shared" si="71"/>
        <v>2.6643990929705152E-2</v>
      </c>
      <c r="CN65" s="2334">
        <f t="shared" si="71"/>
        <v>2.2662889518413554E-2</v>
      </c>
      <c r="CO65" s="2334">
        <f t="shared" si="71"/>
        <v>1.6172506738544534E-2</v>
      </c>
      <c r="CP65" s="2322">
        <f t="shared" si="71"/>
        <v>2.3540883131355272E-2</v>
      </c>
      <c r="CQ65" s="2334">
        <f t="shared" si="71"/>
        <v>-3.7899296155927686E-3</v>
      </c>
      <c r="CR65" s="2334">
        <f t="shared" si="71"/>
        <v>2.8713418001104385E-2</v>
      </c>
      <c r="CS65" s="2334">
        <f t="shared" si="71"/>
        <v>3.9889196675900296E-2</v>
      </c>
      <c r="CT65" s="2334">
        <f t="shared" si="71"/>
        <v>4.244031830238737E-2</v>
      </c>
      <c r="CU65" s="2322">
        <f t="shared" si="71"/>
        <v>2.6810016330974573E-2</v>
      </c>
      <c r="CV65" s="2334">
        <f t="shared" si="71"/>
        <v>4.945652173913051E-2</v>
      </c>
      <c r="CW65" s="2334">
        <f t="shared" si="71"/>
        <v>3.6500268384326295E-2</v>
      </c>
      <c r="CX65" s="2334">
        <f t="shared" si="71"/>
        <v>2.8769312733084806E-2</v>
      </c>
      <c r="CY65" s="2334">
        <f t="shared" si="71"/>
        <v>0</v>
      </c>
      <c r="CZ65" s="2322">
        <f t="shared" si="71"/>
        <v>2.8230616302186817E-2</v>
      </c>
      <c r="DA65" s="2334">
        <f t="shared" si="71"/>
        <v>0.27617814603832214</v>
      </c>
      <c r="DB65" s="2334">
        <f t="shared" si="71"/>
        <v>0.2454686690833765</v>
      </c>
      <c r="DC65" s="2334">
        <f t="shared" si="71"/>
        <v>0.2454686690833765</v>
      </c>
      <c r="DD65" s="2334">
        <f t="shared" si="71"/>
        <v>0.26615776081424936</v>
      </c>
      <c r="DE65" s="2322">
        <f t="shared" si="71"/>
        <v>0.25835266821345715</v>
      </c>
      <c r="DF65" s="2334">
        <f t="shared" si="71"/>
        <v>-2.7715781357789182E-2</v>
      </c>
      <c r="DG65" s="2334">
        <f t="shared" si="71"/>
        <v>-2.3284823284823286E-2</v>
      </c>
      <c r="DH65" s="2334">
        <f t="shared" si="71"/>
        <v>-2.6278586278586369E-2</v>
      </c>
      <c r="DI65" s="2334">
        <f t="shared" si="71"/>
        <v>-1.5361736334405185E-2</v>
      </c>
      <c r="DJ65" s="2322">
        <f t="shared" si="71"/>
        <v>-2.3121600442518764E-2</v>
      </c>
      <c r="DK65" s="2334">
        <f t="shared" ref="DK65:DT65" si="72">DK62/DF62-1</f>
        <v>0.36773664440734577</v>
      </c>
      <c r="DL65" s="2334">
        <f t="shared" si="72"/>
        <v>0.37416751809280568</v>
      </c>
      <c r="DM65" s="2334">
        <f t="shared" si="72"/>
        <v>0.3880166111538137</v>
      </c>
      <c r="DN65" s="2334">
        <f t="shared" si="72"/>
        <v>0.4026026500338804</v>
      </c>
      <c r="DO65" s="2322">
        <f t="shared" si="72"/>
        <v>0.38325707119323749</v>
      </c>
      <c r="DP65" s="2334">
        <f t="shared" si="72"/>
        <v>3.876857932493305E-2</v>
      </c>
      <c r="DQ65" s="2334">
        <f t="shared" si="72"/>
        <v>3.8825993801890002E-2</v>
      </c>
      <c r="DR65" s="2334">
        <f t="shared" si="72"/>
        <v>3.8799465385993548E-2</v>
      </c>
      <c r="DS65" s="2334">
        <f t="shared" si="72"/>
        <v>3.8594224645012165E-2</v>
      </c>
      <c r="DT65" s="2322">
        <f t="shared" si="72"/>
        <v>3.8744823846109222E-2</v>
      </c>
      <c r="DU65" s="2334">
        <f t="shared" ref="DU65" si="73">DU62/DP62-1</f>
        <v>3.8627929646641856E-2</v>
      </c>
      <c r="DV65" s="2334">
        <f t="shared" ref="DV65" si="74">DV62/DQ62-1</f>
        <v>3.8682997753923809E-2</v>
      </c>
      <c r="DW65" s="2334">
        <f t="shared" ref="DW65" si="75">DW62/DR62-1</f>
        <v>3.8657554236978475E-2</v>
      </c>
      <c r="DX65" s="2334">
        <f t="shared" ref="DX65" si="76">DX62/DS62-1</f>
        <v>3.8460663038291765E-2</v>
      </c>
      <c r="DY65" s="2322">
        <f t="shared" ref="DY65" si="77">DY62/DT62-1</f>
        <v>3.8605143207590897E-2</v>
      </c>
      <c r="DZ65" s="1850"/>
      <c r="EA65" s="1850"/>
    </row>
    <row r="66" spans="1:137" s="2549" customFormat="1" ht="12" customHeight="1" outlineLevel="1" x14ac:dyDescent="0.2">
      <c r="A66" s="1984"/>
      <c r="B66" s="2318"/>
      <c r="C66" s="1883"/>
      <c r="D66" s="1883"/>
      <c r="E66" s="1984"/>
      <c r="F66" s="2056"/>
      <c r="G66" s="1850"/>
      <c r="H66" s="1850"/>
      <c r="I66" s="2134"/>
      <c r="J66" s="1984"/>
      <c r="K66" s="2056"/>
      <c r="L66" s="1850"/>
      <c r="M66" s="1850"/>
      <c r="N66" s="2134"/>
      <c r="O66" s="1984"/>
      <c r="P66" s="2056"/>
      <c r="Q66" s="1850"/>
      <c r="R66" s="1850"/>
      <c r="S66" s="2134"/>
      <c r="T66" s="1984"/>
      <c r="U66" s="2056"/>
      <c r="V66" s="2045"/>
      <c r="W66" s="1984"/>
      <c r="X66" s="2333"/>
      <c r="Y66" s="1984"/>
      <c r="Z66" s="2056"/>
      <c r="AA66" s="1850"/>
      <c r="AB66" s="1850"/>
      <c r="AC66" s="2333"/>
      <c r="AD66" s="1984"/>
      <c r="AE66" s="2056"/>
      <c r="AF66" s="1850"/>
      <c r="AG66" s="1850"/>
      <c r="AH66" s="2333"/>
      <c r="AI66" s="1984"/>
      <c r="AJ66" s="2319"/>
      <c r="AK66" s="2319"/>
      <c r="AL66" s="1984"/>
      <c r="AM66" s="2333"/>
      <c r="AN66" s="2317"/>
      <c r="AO66" s="2320"/>
      <c r="AP66" s="2320"/>
      <c r="AQ66" s="1984"/>
      <c r="AR66" s="2333"/>
      <c r="AS66" s="2321"/>
      <c r="AT66" s="2319"/>
      <c r="AU66" s="2319"/>
      <c r="AV66" s="1984"/>
      <c r="AW66" s="2333"/>
      <c r="AX66" s="2320"/>
      <c r="AY66" s="2320"/>
      <c r="AZ66" s="2320"/>
      <c r="BA66" s="1984"/>
      <c r="BB66" s="2333"/>
      <c r="BC66" s="2320"/>
      <c r="BD66" s="2320"/>
      <c r="BE66" s="2320"/>
      <c r="BF66" s="1984"/>
      <c r="BG66" s="2333"/>
      <c r="BH66" s="2320"/>
      <c r="BI66" s="2320"/>
      <c r="BJ66" s="2320"/>
      <c r="BK66" s="1984"/>
      <c r="BL66" s="2333"/>
      <c r="BM66" s="2334"/>
      <c r="BN66" s="2335"/>
      <c r="BO66" s="2335"/>
      <c r="BP66" s="2335"/>
      <c r="BQ66" s="2333"/>
      <c r="BR66" s="2335"/>
      <c r="BS66" s="2335"/>
      <c r="BT66" s="2335"/>
      <c r="BU66" s="2335"/>
      <c r="BV66" s="2333"/>
      <c r="BW66" s="2335"/>
      <c r="BX66" s="2335"/>
      <c r="BY66" s="2335"/>
      <c r="BZ66" s="2335"/>
      <c r="CA66" s="2333"/>
      <c r="CB66" s="2335"/>
      <c r="CC66" s="2335"/>
      <c r="CD66" s="2334"/>
      <c r="CE66" s="2334"/>
      <c r="CF66" s="2322"/>
      <c r="CG66" s="2335"/>
      <c r="CH66" s="2334"/>
      <c r="CI66" s="2334"/>
      <c r="CJ66" s="2334"/>
      <c r="CK66" s="2322"/>
      <c r="CL66" s="2334"/>
      <c r="CM66" s="2334"/>
      <c r="CN66" s="2334"/>
      <c r="CO66" s="2334"/>
      <c r="CP66" s="2322"/>
      <c r="CQ66" s="2334"/>
      <c r="CR66" s="2334"/>
      <c r="CS66" s="2334"/>
      <c r="CT66" s="2334"/>
      <c r="CU66" s="2322"/>
      <c r="CV66" s="2334"/>
      <c r="CW66" s="2334"/>
      <c r="CX66" s="2334"/>
      <c r="CY66" s="2334"/>
      <c r="CZ66" s="2322"/>
      <c r="DA66" s="2334"/>
      <c r="DB66" s="2618"/>
      <c r="DC66" s="2618"/>
      <c r="DD66" s="2618"/>
      <c r="DE66" s="2285"/>
      <c r="DF66" s="2287"/>
      <c r="DG66" s="2287"/>
      <c r="DH66" s="2287"/>
      <c r="DI66" s="2287"/>
      <c r="DJ66" s="2322"/>
      <c r="DK66" s="2334"/>
      <c r="DL66" s="2334"/>
      <c r="DM66" s="2334"/>
      <c r="DN66" s="2334"/>
      <c r="DO66" s="2322"/>
      <c r="DP66" s="2334"/>
      <c r="DQ66" s="2334"/>
      <c r="DR66" s="2334"/>
      <c r="DS66" s="2334"/>
      <c r="DT66" s="2322"/>
      <c r="DU66" s="2334"/>
      <c r="DV66" s="2334"/>
      <c r="DW66" s="2334"/>
      <c r="DX66" s="2334"/>
      <c r="DY66" s="2322"/>
      <c r="DZ66" s="1850"/>
      <c r="EA66" s="1850"/>
      <c r="EB66"/>
      <c r="EC66"/>
      <c r="ED66"/>
      <c r="EE66"/>
      <c r="EF66"/>
      <c r="EG66"/>
    </row>
    <row r="67" spans="1:137" s="2556" customFormat="1" ht="12" customHeight="1" x14ac:dyDescent="0.2">
      <c r="A67" s="1931"/>
      <c r="B67" s="2550" t="s">
        <v>1438</v>
      </c>
      <c r="C67" s="2458"/>
      <c r="D67" s="2458"/>
      <c r="E67" s="1931"/>
      <c r="F67" s="2078"/>
      <c r="G67" s="2458"/>
      <c r="H67" s="2458"/>
      <c r="I67" s="2459"/>
      <c r="J67" s="1931"/>
      <c r="K67" s="2078"/>
      <c r="L67" s="2458"/>
      <c r="M67" s="2458"/>
      <c r="N67" s="2459"/>
      <c r="O67" s="1931"/>
      <c r="P67" s="2078"/>
      <c r="Q67" s="2458"/>
      <c r="R67" s="2458"/>
      <c r="S67" s="2459"/>
      <c r="T67" s="1931"/>
      <c r="U67" s="2078"/>
      <c r="V67" s="1931"/>
      <c r="W67" s="1931"/>
      <c r="X67" s="2551"/>
      <c r="Y67" s="1931"/>
      <c r="Z67" s="2078"/>
      <c r="AA67" s="2458"/>
      <c r="AB67" s="2458"/>
      <c r="AC67" s="2551"/>
      <c r="AD67" s="1931"/>
      <c r="AE67" s="2078"/>
      <c r="AF67" s="2458"/>
      <c r="AG67" s="2458"/>
      <c r="AH67" s="2551"/>
      <c r="AI67" s="1931"/>
      <c r="AJ67" s="2552"/>
      <c r="AK67" s="2552"/>
      <c r="AL67" s="1931"/>
      <c r="AM67" s="2551"/>
      <c r="AN67" s="2078"/>
      <c r="AO67" s="2553"/>
      <c r="AP67" s="2553"/>
      <c r="AQ67" s="1931"/>
      <c r="AR67" s="2551"/>
      <c r="AS67" s="2554"/>
      <c r="AT67" s="2552"/>
      <c r="AU67" s="2552"/>
      <c r="AV67" s="1931"/>
      <c r="AW67" s="2551"/>
      <c r="AX67" s="2553"/>
      <c r="AY67" s="2553"/>
      <c r="AZ67" s="2553"/>
      <c r="BA67" s="1931"/>
      <c r="BB67" s="2551"/>
      <c r="BC67" s="2553"/>
      <c r="BD67" s="2553"/>
      <c r="BE67" s="2553"/>
      <c r="BF67" s="1931"/>
      <c r="BG67" s="2551"/>
      <c r="BH67" s="2553"/>
      <c r="BI67" s="2553"/>
      <c r="BJ67" s="2553"/>
      <c r="BK67" s="1931"/>
      <c r="BL67" s="2551"/>
      <c r="BM67" s="2312"/>
      <c r="BN67" s="2555"/>
      <c r="BO67" s="2555"/>
      <c r="BP67" s="2555"/>
      <c r="BQ67" s="2551"/>
      <c r="BR67" s="2555"/>
      <c r="BS67" s="2555"/>
      <c r="BT67" s="2555"/>
      <c r="BU67" s="2555"/>
      <c r="BV67" s="2551"/>
      <c r="BW67" s="2555"/>
      <c r="BX67" s="2555"/>
      <c r="BY67" s="2555"/>
      <c r="BZ67" s="2555"/>
      <c r="CA67" s="2551"/>
      <c r="CB67" s="2555"/>
      <c r="CC67" s="2555"/>
      <c r="CD67" s="2312"/>
      <c r="CE67" s="2312"/>
      <c r="CF67" s="2459"/>
      <c r="CG67" s="2555">
        <v>209.5</v>
      </c>
      <c r="CH67" s="2312">
        <v>207.5</v>
      </c>
      <c r="CI67" s="2312">
        <v>209.4</v>
      </c>
      <c r="CJ67" s="2312">
        <v>219.4</v>
      </c>
      <c r="CK67" s="2459">
        <f>SUM(CG67:CJ67)</f>
        <v>845.8</v>
      </c>
      <c r="CL67" s="2312">
        <v>221.1</v>
      </c>
      <c r="CM67" s="2312">
        <v>219.7</v>
      </c>
      <c r="CN67" s="2312">
        <v>219.7</v>
      </c>
      <c r="CO67" s="2312">
        <v>229.6</v>
      </c>
      <c r="CP67" s="2459">
        <f>SUM(CL67:CO67)</f>
        <v>890.1</v>
      </c>
      <c r="CQ67" s="2312">
        <v>227.1</v>
      </c>
      <c r="CR67" s="2312">
        <v>230.3</v>
      </c>
      <c r="CS67" s="2312">
        <v>233.7</v>
      </c>
      <c r="CT67" s="2312">
        <v>244.8</v>
      </c>
      <c r="CU67" s="2459">
        <f>SUM(CQ67:CT67)</f>
        <v>935.89999999999986</v>
      </c>
      <c r="CV67" s="2312">
        <v>241.3</v>
      </c>
      <c r="CW67" s="2312">
        <v>244.1</v>
      </c>
      <c r="CX67" s="2312">
        <v>246.5</v>
      </c>
      <c r="CY67" s="2312">
        <v>287.5</v>
      </c>
      <c r="CZ67" s="2459">
        <f>SUM(CV67:CY67)</f>
        <v>1019.4</v>
      </c>
      <c r="DA67" s="2312">
        <v>305.10000000000002</v>
      </c>
      <c r="DB67" s="2312">
        <v>300.89999999999998</v>
      </c>
      <c r="DC67" s="2312">
        <v>302.89999999999998</v>
      </c>
      <c r="DD67" s="2312">
        <v>314.7</v>
      </c>
      <c r="DE67" s="2459">
        <f>SUM(DA67:DD67)</f>
        <v>1223.5999999999999</v>
      </c>
      <c r="DF67" s="59">
        <v>303.10000000000002</v>
      </c>
      <c r="DG67" s="59">
        <v>301.60000000000002</v>
      </c>
      <c r="DH67" s="1062">
        <v>304.02000000000004</v>
      </c>
      <c r="DI67" s="1062">
        <v>321.77799999999996</v>
      </c>
      <c r="DJ67" s="2459">
        <f>SUM(DF67:DI67)</f>
        <v>1230.498</v>
      </c>
      <c r="DK67" s="2312">
        <f>DK72+DK79</f>
        <v>327.70970000000005</v>
      </c>
      <c r="DL67" s="2312">
        <f>DL72+DL79</f>
        <v>322.79195000000004</v>
      </c>
      <c r="DM67" s="2312">
        <f>DM72+DM79</f>
        <v>325.04573000000005</v>
      </c>
      <c r="DN67" s="2312">
        <f>DN72+DN79</f>
        <v>343.60679199999998</v>
      </c>
      <c r="DO67" s="2459">
        <f>SUM(DK67:DN67)</f>
        <v>1319.1541720000002</v>
      </c>
      <c r="DP67" s="2312">
        <f>DP72+DP79</f>
        <v>340.41453950000005</v>
      </c>
      <c r="DQ67" s="2312">
        <f>DQ72+DQ79</f>
        <v>335.32466825000006</v>
      </c>
      <c r="DR67" s="2312">
        <f>DR72+DR79</f>
        <v>337.65733055000004</v>
      </c>
      <c r="DS67" s="2312">
        <f>DS72+DS79</f>
        <v>356.86802971999998</v>
      </c>
      <c r="DT67" s="2459">
        <f>SUM(DP67:DS67)</f>
        <v>1370.2645680200003</v>
      </c>
      <c r="DU67" s="2312">
        <f>DU72+DU79</f>
        <v>353.56404838250006</v>
      </c>
      <c r="DV67" s="2312">
        <f>DV72+DV79</f>
        <v>348.29603163875004</v>
      </c>
      <c r="DW67" s="2312">
        <f>DW72+DW79</f>
        <v>350.71033711925003</v>
      </c>
      <c r="DX67" s="2312">
        <f>DX72+DX79</f>
        <v>370.59341076019996</v>
      </c>
      <c r="DY67" s="2459">
        <f>SUM(DU67:DX67)</f>
        <v>1423.1638279007</v>
      </c>
      <c r="DZ67" s="2458"/>
      <c r="EA67" s="2458"/>
      <c r="EB67"/>
      <c r="EC67"/>
      <c r="ED67"/>
      <c r="EE67"/>
      <c r="EF67"/>
      <c r="EG67"/>
    </row>
    <row r="68" spans="1:137" s="2556" customFormat="1" ht="12" customHeight="1" x14ac:dyDescent="0.2">
      <c r="A68" s="1931"/>
      <c r="B68" s="254" t="s">
        <v>744</v>
      </c>
      <c r="C68" s="2458"/>
      <c r="D68" s="2458"/>
      <c r="E68" s="1931"/>
      <c r="F68" s="2078"/>
      <c r="G68" s="2458"/>
      <c r="H68" s="2458"/>
      <c r="I68" s="2665"/>
      <c r="J68" s="1931"/>
      <c r="K68" s="2078"/>
      <c r="L68" s="2458"/>
      <c r="M68" s="2458"/>
      <c r="N68" s="2665"/>
      <c r="O68" s="1931"/>
      <c r="P68" s="2078"/>
      <c r="Q68" s="2458"/>
      <c r="R68" s="2458"/>
      <c r="S68" s="2665"/>
      <c r="T68" s="1931"/>
      <c r="U68" s="2078"/>
      <c r="V68" s="1931"/>
      <c r="W68" s="1931"/>
      <c r="X68" s="2666"/>
      <c r="Y68" s="1931"/>
      <c r="Z68" s="2078"/>
      <c r="AA68" s="2458"/>
      <c r="AB68" s="2458"/>
      <c r="AC68" s="2666"/>
      <c r="AD68" s="1931"/>
      <c r="AE68" s="2078"/>
      <c r="AF68" s="2458"/>
      <c r="AG68" s="2458"/>
      <c r="AH68" s="2666"/>
      <c r="AI68" s="1931"/>
      <c r="AJ68" s="2552"/>
      <c r="AK68" s="2552"/>
      <c r="AL68" s="1931"/>
      <c r="AM68" s="2666"/>
      <c r="AN68" s="2078"/>
      <c r="AO68" s="2553"/>
      <c r="AP68" s="2553"/>
      <c r="AQ68" s="1931"/>
      <c r="AR68" s="2666"/>
      <c r="AS68" s="2554"/>
      <c r="AT68" s="2552"/>
      <c r="AU68" s="2552"/>
      <c r="AV68" s="1931"/>
      <c r="AW68" s="2666"/>
      <c r="AX68" s="2553"/>
      <c r="AY68" s="2553"/>
      <c r="AZ68" s="2553"/>
      <c r="BA68" s="1931"/>
      <c r="BB68" s="2666"/>
      <c r="BC68" s="2553"/>
      <c r="BD68" s="2553"/>
      <c r="BE68" s="2553"/>
      <c r="BF68" s="1931"/>
      <c r="BG68" s="2666"/>
      <c r="BH68" s="2553"/>
      <c r="BI68" s="2553"/>
      <c r="BJ68" s="2553"/>
      <c r="BK68" s="1931"/>
      <c r="BL68" s="2666"/>
      <c r="BM68" s="2312"/>
      <c r="BN68" s="2555"/>
      <c r="BO68" s="2555"/>
      <c r="BP68" s="2555"/>
      <c r="BQ68" s="2666"/>
      <c r="BR68" s="2555"/>
      <c r="BS68" s="2555"/>
      <c r="BT68" s="2555"/>
      <c r="BU68" s="2555"/>
      <c r="BV68" s="2666"/>
      <c r="BW68" s="2555"/>
      <c r="BX68" s="2555"/>
      <c r="BY68" s="2555"/>
      <c r="BZ68" s="2555"/>
      <c r="CA68" s="2666"/>
      <c r="CB68" s="2555"/>
      <c r="CC68" s="2555"/>
      <c r="CD68" s="2312"/>
      <c r="CE68" s="2312"/>
      <c r="CF68" s="2665"/>
      <c r="CG68" s="1018">
        <f>CG67*CG85</f>
        <v>163.61950000000002</v>
      </c>
      <c r="CH68" s="2312">
        <f>CH67*CH85</f>
        <v>164.13250000000002</v>
      </c>
      <c r="CI68" s="2312">
        <f>CI67*CI85</f>
        <v>167.31060000000002</v>
      </c>
      <c r="CJ68" s="2312">
        <f>CJ67*CJ85</f>
        <v>175.3006</v>
      </c>
      <c r="CK68" s="239">
        <f>SUM(CG68:CJ68)</f>
        <v>670.36320000000012</v>
      </c>
      <c r="CL68" s="2312">
        <f>CL67*CL85</f>
        <v>179.53319999999999</v>
      </c>
      <c r="CM68" s="2312">
        <f>CM67*CM85</f>
        <v>179.93429999999998</v>
      </c>
      <c r="CN68" s="2312">
        <f>CN67*CN85</f>
        <v>179.05549999999997</v>
      </c>
      <c r="CO68" s="2312">
        <f>CO67*CO85</f>
        <v>185.976</v>
      </c>
      <c r="CP68" s="2665">
        <f>SUM(CL68:CO68)</f>
        <v>724.49899999999991</v>
      </c>
      <c r="CQ68" s="2312">
        <f>CQ67*CQ85</f>
        <v>183.95099999999999</v>
      </c>
      <c r="CR68" s="2312">
        <f>CR67*CR85</f>
        <v>192.3005</v>
      </c>
      <c r="CS68" s="2312">
        <f>CS67*CS85</f>
        <v>194.67209999999997</v>
      </c>
      <c r="CT68" s="2312">
        <f>CT67*CT85</f>
        <v>201.71520000000001</v>
      </c>
      <c r="CU68" s="2665">
        <f>SUM(CQ68:CT68)</f>
        <v>772.63879999999995</v>
      </c>
      <c r="CV68" s="2312">
        <f>CV67*CV85</f>
        <v>203.65719999999999</v>
      </c>
      <c r="CW68" s="2312">
        <f>CW67*CW85</f>
        <v>207.48499999999999</v>
      </c>
      <c r="CX68" s="2312">
        <f>CX67*CX85</f>
        <v>208.90875</v>
      </c>
      <c r="CY68" s="2312">
        <f>CY67*CY85</f>
        <v>241.5</v>
      </c>
      <c r="CZ68" s="2665">
        <f>SUM(CV68:CY68)</f>
        <v>861.55095000000006</v>
      </c>
      <c r="DA68" s="2312">
        <f>DA67*DA85</f>
        <v>261.47070000000002</v>
      </c>
      <c r="DB68" s="2312">
        <f>DB67*DB85</f>
        <v>259.07489999999996</v>
      </c>
      <c r="DC68" s="2312">
        <f>DC67*DC85</f>
        <v>259.88819999999998</v>
      </c>
      <c r="DD68" s="2312">
        <f>DD67*DD85</f>
        <v>268.12439999999998</v>
      </c>
      <c r="DE68" s="2665">
        <f>SUM(DA68:DD68)</f>
        <v>1048.5581999999999</v>
      </c>
      <c r="DF68" s="2312">
        <f>DF67*DF85</f>
        <v>265.21250000000003</v>
      </c>
      <c r="DG68" s="2312">
        <f>DG67*DG85</f>
        <v>264.20160000000004</v>
      </c>
      <c r="DH68" s="2312">
        <f>DH67*DH85</f>
        <v>265.10544000000004</v>
      </c>
      <c r="DI68" s="2312">
        <f>DI67*DI85</f>
        <v>279.30330399999997</v>
      </c>
      <c r="DJ68" s="2665">
        <f>SUM(DF68:DI68)</f>
        <v>1073.822844</v>
      </c>
      <c r="DK68" s="2312">
        <f>DK67*DK85</f>
        <v>285.07942217954178</v>
      </c>
      <c r="DL68" s="2312">
        <f>DL67*DL85</f>
        <v>281.67874990698141</v>
      </c>
      <c r="DM68" s="2312">
        <f>DM67*DM85</f>
        <v>284.27626914109408</v>
      </c>
      <c r="DN68" s="2312">
        <f>DN67*DN85</f>
        <v>301.37617585154607</v>
      </c>
      <c r="DO68" s="2665">
        <f>SUM(DK68:DN68)</f>
        <v>1152.4106170791633</v>
      </c>
      <c r="DP68" s="2312">
        <f>DP67*DP85</f>
        <v>299.22798973229345</v>
      </c>
      <c r="DQ68" s="2312">
        <f>DQ67*DQ85</f>
        <v>295.66535270712092</v>
      </c>
      <c r="DR68" s="2312">
        <f>DR67*DR85</f>
        <v>298.37739992823526</v>
      </c>
      <c r="DS68" s="2312">
        <f>DS67*DS85</f>
        <v>316.25366157307076</v>
      </c>
      <c r="DT68" s="2665">
        <f>SUM(DP68:DS68)</f>
        <v>1209.5244039407203</v>
      </c>
      <c r="DU68" s="2312">
        <f>DU67*DU85</f>
        <v>314.00260002432447</v>
      </c>
      <c r="DV68" s="2312">
        <f>DV67*DV85</f>
        <v>310.27070905167011</v>
      </c>
      <c r="DW68" s="2312">
        <f>DW67*DW85</f>
        <v>313.10203537354568</v>
      </c>
      <c r="DX68" s="2312">
        <f>DX67*DX85</f>
        <v>331.78794035826104</v>
      </c>
      <c r="DY68" s="2665">
        <f>SUM(DU68:DX68)</f>
        <v>1269.1632848078013</v>
      </c>
      <c r="DZ68" s="2458"/>
      <c r="EA68" s="2458"/>
      <c r="EB68"/>
      <c r="EC68"/>
      <c r="ED68"/>
      <c r="EE68"/>
      <c r="EF68"/>
      <c r="EG68"/>
    </row>
    <row r="69" spans="1:137" s="2556" customFormat="1" ht="12" customHeight="1" x14ac:dyDescent="0.2">
      <c r="A69" s="1931"/>
      <c r="B69" s="254" t="s">
        <v>997</v>
      </c>
      <c r="C69" s="2458"/>
      <c r="D69" s="2458"/>
      <c r="E69" s="1931"/>
      <c r="F69" s="2078"/>
      <c r="G69" s="2458"/>
      <c r="H69" s="2458"/>
      <c r="I69" s="2665"/>
      <c r="J69" s="1931"/>
      <c r="K69" s="2078"/>
      <c r="L69" s="2458"/>
      <c r="M69" s="2458"/>
      <c r="N69" s="2665"/>
      <c r="O69" s="1931"/>
      <c r="P69" s="2078"/>
      <c r="Q69" s="2458"/>
      <c r="R69" s="2458"/>
      <c r="S69" s="2665"/>
      <c r="T69" s="1931"/>
      <c r="U69" s="2078"/>
      <c r="V69" s="1931"/>
      <c r="W69" s="1931"/>
      <c r="X69" s="2666"/>
      <c r="Y69" s="1931"/>
      <c r="Z69" s="2078"/>
      <c r="AA69" s="2458"/>
      <c r="AB69" s="2458"/>
      <c r="AC69" s="2666"/>
      <c r="AD69" s="1931"/>
      <c r="AE69" s="2078"/>
      <c r="AF69" s="2458"/>
      <c r="AG69" s="2458"/>
      <c r="AH69" s="2666"/>
      <c r="AI69" s="1931"/>
      <c r="AJ69" s="2552"/>
      <c r="AK69" s="2552"/>
      <c r="AL69" s="1931"/>
      <c r="AM69" s="2666"/>
      <c r="AN69" s="2078"/>
      <c r="AO69" s="2553"/>
      <c r="AP69" s="2553"/>
      <c r="AQ69" s="1931"/>
      <c r="AR69" s="2666"/>
      <c r="AS69" s="2554"/>
      <c r="AT69" s="2552"/>
      <c r="AU69" s="2552"/>
      <c r="AV69" s="1931"/>
      <c r="AW69" s="2666"/>
      <c r="AX69" s="2553"/>
      <c r="AY69" s="2553"/>
      <c r="AZ69" s="2553"/>
      <c r="BA69" s="1931"/>
      <c r="BB69" s="2666"/>
      <c r="BC69" s="2553"/>
      <c r="BD69" s="2553"/>
      <c r="BE69" s="2553"/>
      <c r="BF69" s="1931"/>
      <c r="BG69" s="2666"/>
      <c r="BH69" s="2553"/>
      <c r="BI69" s="2553"/>
      <c r="BJ69" s="2553"/>
      <c r="BK69" s="1931"/>
      <c r="BL69" s="2666"/>
      <c r="BM69" s="2312"/>
      <c r="BN69" s="2555"/>
      <c r="BO69" s="2555"/>
      <c r="BP69" s="2555"/>
      <c r="BQ69" s="2666"/>
      <c r="BR69" s="2555"/>
      <c r="BS69" s="2555"/>
      <c r="BT69" s="2555"/>
      <c r="BU69" s="2555"/>
      <c r="BV69" s="2666"/>
      <c r="BW69" s="2555"/>
      <c r="BX69" s="2555"/>
      <c r="BY69" s="2555"/>
      <c r="BZ69" s="2555"/>
      <c r="CA69" s="2666"/>
      <c r="CB69" s="2555"/>
      <c r="CC69" s="2555"/>
      <c r="CD69" s="2312"/>
      <c r="CE69" s="2312"/>
      <c r="CF69" s="2665"/>
      <c r="CG69" s="1018">
        <f>CG67-CG68</f>
        <v>45.880499999999984</v>
      </c>
      <c r="CH69" s="2312">
        <f>CH67-CH68</f>
        <v>43.367499999999978</v>
      </c>
      <c r="CI69" s="2312">
        <f>CI67-CI68</f>
        <v>42.089399999999983</v>
      </c>
      <c r="CJ69" s="2312">
        <f>CJ67-CJ68</f>
        <v>44.099400000000003</v>
      </c>
      <c r="CK69" s="239">
        <f>SUM(CG69:CJ69)</f>
        <v>175.43679999999995</v>
      </c>
      <c r="CL69" s="2312">
        <f>CL67-CL68</f>
        <v>41.566800000000001</v>
      </c>
      <c r="CM69" s="2312">
        <f>CM67-CM68</f>
        <v>39.76570000000001</v>
      </c>
      <c r="CN69" s="2312">
        <f>CN67-CN68</f>
        <v>40.644500000000022</v>
      </c>
      <c r="CO69" s="2312">
        <f>CO67-CO68</f>
        <v>43.623999999999995</v>
      </c>
      <c r="CP69" s="2665">
        <f>SUM(CL69:CO69)</f>
        <v>165.60100000000003</v>
      </c>
      <c r="CQ69" s="2312">
        <f>CQ67-CQ68</f>
        <v>43.149000000000001</v>
      </c>
      <c r="CR69" s="2312">
        <f>CR67-CR68</f>
        <v>37.999500000000012</v>
      </c>
      <c r="CS69" s="2312">
        <f>CS67-CS68</f>
        <v>39.027900000000017</v>
      </c>
      <c r="CT69" s="2312">
        <f>CT67-CT68</f>
        <v>43.084800000000001</v>
      </c>
      <c r="CU69" s="2665">
        <f>SUM(CQ69:CT69)</f>
        <v>163.26120000000003</v>
      </c>
      <c r="CV69" s="2312">
        <f>CV67-CV68</f>
        <v>37.642800000000022</v>
      </c>
      <c r="CW69" s="2312">
        <f>CW67-CW68</f>
        <v>36.615000000000009</v>
      </c>
      <c r="CX69" s="2312">
        <f>CX67-CX68</f>
        <v>37.591250000000002</v>
      </c>
      <c r="CY69" s="2312">
        <f>CY67-CY68</f>
        <v>46</v>
      </c>
      <c r="CZ69" s="2665">
        <f>SUM(CV69:CY69)</f>
        <v>157.84905000000003</v>
      </c>
      <c r="DA69" s="2312">
        <f>DA67-DA68</f>
        <v>43.629300000000001</v>
      </c>
      <c r="DB69" s="2312">
        <f>DB67-DB68</f>
        <v>41.82510000000002</v>
      </c>
      <c r="DC69" s="2312">
        <f>DC67-DC68</f>
        <v>43.011799999999994</v>
      </c>
      <c r="DD69" s="2312">
        <f>DD67-DD68</f>
        <v>46.575600000000009</v>
      </c>
      <c r="DE69" s="2665">
        <f>SUM(DA69:DD69)</f>
        <v>175.04180000000002</v>
      </c>
      <c r="DF69" s="2312">
        <f>DF67-DF68</f>
        <v>37.887499999999989</v>
      </c>
      <c r="DG69" s="2312">
        <f>DG67-DG68</f>
        <v>37.398399999999981</v>
      </c>
      <c r="DH69" s="2312">
        <f>DH67-DH68</f>
        <v>38.914559999999994</v>
      </c>
      <c r="DI69" s="2312">
        <f>DI67-DI68</f>
        <v>42.474695999999994</v>
      </c>
      <c r="DJ69" s="2665">
        <f>SUM(DF69:DI69)</f>
        <v>156.67515599999996</v>
      </c>
      <c r="DK69" s="2312">
        <f>DK67-DK68</f>
        <v>42.630277820458275</v>
      </c>
      <c r="DL69" s="2312">
        <f>DL67-DL68</f>
        <v>41.113200093018634</v>
      </c>
      <c r="DM69" s="2312">
        <f>DM67-DM68</f>
        <v>40.769460858905973</v>
      </c>
      <c r="DN69" s="2312">
        <f>DN67-DN68</f>
        <v>42.230616148453919</v>
      </c>
      <c r="DO69" s="2665">
        <f>SUM(DK69:DN69)</f>
        <v>166.7435549208368</v>
      </c>
      <c r="DP69" s="2312">
        <f>DP67-DP68</f>
        <v>41.186549767706595</v>
      </c>
      <c r="DQ69" s="2312">
        <f>DQ67-DQ68</f>
        <v>39.659315542879142</v>
      </c>
      <c r="DR69" s="2312">
        <f>DR67-DR68</f>
        <v>39.279930621764777</v>
      </c>
      <c r="DS69" s="2312">
        <f>DS67-DS68</f>
        <v>40.614368146929223</v>
      </c>
      <c r="DT69" s="2665">
        <f>SUM(DP69:DS69)</f>
        <v>160.74016407927974</v>
      </c>
      <c r="DU69" s="2312">
        <f>DU67-DU68</f>
        <v>39.561448358175596</v>
      </c>
      <c r="DV69" s="2312">
        <f>DV67-DV68</f>
        <v>38.025322587079927</v>
      </c>
      <c r="DW69" s="2312">
        <f>DW67-DW68</f>
        <v>37.608301745704352</v>
      </c>
      <c r="DX69" s="2312">
        <f>DX67-DX68</f>
        <v>38.805470401938919</v>
      </c>
      <c r="DY69" s="2665">
        <f>SUM(DU69:DX69)</f>
        <v>154.00054309289879</v>
      </c>
      <c r="DZ69" s="2458"/>
      <c r="EA69" s="2458"/>
      <c r="EB69"/>
      <c r="EC69"/>
      <c r="ED69"/>
      <c r="EE69"/>
      <c r="EF69"/>
      <c r="EG69"/>
    </row>
    <row r="70" spans="1:137" s="2556" customFormat="1" ht="12" customHeight="1" x14ac:dyDescent="0.2">
      <c r="A70" s="1931"/>
      <c r="B70" s="2318" t="s">
        <v>194</v>
      </c>
      <c r="C70" s="2458"/>
      <c r="D70" s="2458"/>
      <c r="E70" s="1931"/>
      <c r="F70" s="2078"/>
      <c r="G70" s="2458"/>
      <c r="H70" s="2458"/>
      <c r="I70" s="2665"/>
      <c r="J70" s="1931"/>
      <c r="K70" s="2078"/>
      <c r="L70" s="2458"/>
      <c r="M70" s="2458"/>
      <c r="N70" s="2665"/>
      <c r="O70" s="1931"/>
      <c r="P70" s="2078"/>
      <c r="Q70" s="2458"/>
      <c r="R70" s="2458"/>
      <c r="S70" s="2665"/>
      <c r="T70" s="1931"/>
      <c r="U70" s="2078"/>
      <c r="V70" s="1931"/>
      <c r="W70" s="1931"/>
      <c r="X70" s="2666"/>
      <c r="Y70" s="1931"/>
      <c r="Z70" s="2078"/>
      <c r="AA70" s="2458"/>
      <c r="AB70" s="2458"/>
      <c r="AC70" s="2666"/>
      <c r="AD70" s="1931"/>
      <c r="AE70" s="2078"/>
      <c r="AF70" s="2458"/>
      <c r="AG70" s="2458"/>
      <c r="AH70" s="2666"/>
      <c r="AI70" s="1931"/>
      <c r="AJ70" s="2552"/>
      <c r="AK70" s="2552"/>
      <c r="AL70" s="1931"/>
      <c r="AM70" s="2666"/>
      <c r="AN70" s="2078"/>
      <c r="AO70" s="2553"/>
      <c r="AP70" s="2553"/>
      <c r="AQ70" s="1931"/>
      <c r="AR70" s="2666"/>
      <c r="AS70" s="2554"/>
      <c r="AT70" s="2552"/>
      <c r="AU70" s="2552"/>
      <c r="AV70" s="1931"/>
      <c r="AW70" s="2666"/>
      <c r="AX70" s="2553"/>
      <c r="AY70" s="2553"/>
      <c r="AZ70" s="2553"/>
      <c r="BA70" s="1931"/>
      <c r="BB70" s="2666"/>
      <c r="BC70" s="2553"/>
      <c r="BD70" s="2553"/>
      <c r="BE70" s="2553"/>
      <c r="BF70" s="1931"/>
      <c r="BG70" s="2666"/>
      <c r="BH70" s="2553"/>
      <c r="BI70" s="2553"/>
      <c r="BJ70" s="2553"/>
      <c r="BK70" s="1931"/>
      <c r="BL70" s="2666"/>
      <c r="BM70" s="2312"/>
      <c r="BN70" s="2555"/>
      <c r="BO70" s="2555"/>
      <c r="BP70" s="2555"/>
      <c r="BQ70" s="2666"/>
      <c r="BR70" s="2555"/>
      <c r="BS70" s="2555"/>
      <c r="BT70" s="2555"/>
      <c r="BU70" s="2555"/>
      <c r="BV70" s="2666"/>
      <c r="BW70" s="2555"/>
      <c r="BX70" s="2555"/>
      <c r="BY70" s="2555"/>
      <c r="BZ70" s="2555"/>
      <c r="CA70" s="2666"/>
      <c r="CB70" s="2555"/>
      <c r="CC70" s="2555"/>
      <c r="CD70" s="2312"/>
      <c r="CE70" s="2312"/>
      <c r="CF70" s="2665"/>
      <c r="CG70" s="2555"/>
      <c r="CH70" s="2312"/>
      <c r="CI70" s="2312"/>
      <c r="CJ70" s="2312"/>
      <c r="CK70" s="2665"/>
      <c r="CL70" s="2312"/>
      <c r="CM70" s="2312"/>
      <c r="CN70" s="2312"/>
      <c r="CO70" s="2312"/>
      <c r="CP70" s="2665"/>
      <c r="CQ70" s="2312"/>
      <c r="CR70" s="2312"/>
      <c r="CS70" s="2312"/>
      <c r="CT70" s="2312"/>
      <c r="CU70" s="2665"/>
      <c r="CV70" s="2312"/>
      <c r="CW70" s="2312"/>
      <c r="CX70" s="2312"/>
      <c r="CY70" s="2312"/>
      <c r="CZ70" s="2665"/>
      <c r="DA70" s="2312"/>
      <c r="DB70" s="2312"/>
      <c r="DC70" s="2312"/>
      <c r="DD70" s="2312"/>
      <c r="DE70" s="2665"/>
      <c r="DF70" s="2312"/>
      <c r="DG70" s="2312"/>
      <c r="DH70" s="2312"/>
      <c r="DI70" s="2312"/>
      <c r="DJ70" s="2665"/>
      <c r="DK70" s="2312"/>
      <c r="DL70" s="2312"/>
      <c r="DM70" s="2312"/>
      <c r="DN70" s="2312"/>
      <c r="DO70" s="2665"/>
      <c r="DP70" s="2312"/>
      <c r="DQ70" s="2312"/>
      <c r="DR70" s="2312"/>
      <c r="DS70" s="2312"/>
      <c r="DT70" s="2665"/>
      <c r="DU70" s="2312"/>
      <c r="DV70" s="2312"/>
      <c r="DW70" s="2312"/>
      <c r="DX70" s="2312"/>
      <c r="DY70" s="2665"/>
      <c r="DZ70" s="2458"/>
      <c r="EA70" s="2458"/>
      <c r="EB70"/>
      <c r="EC70"/>
      <c r="ED70"/>
      <c r="EE70"/>
      <c r="EF70"/>
      <c r="EG70"/>
    </row>
    <row r="71" spans="1:137" ht="12" customHeight="1" outlineLevel="1" x14ac:dyDescent="0.2">
      <c r="A71" s="1984"/>
      <c r="B71" s="2318"/>
      <c r="C71" s="1883"/>
      <c r="D71" s="1883"/>
      <c r="E71" s="1984"/>
      <c r="F71" s="2056"/>
      <c r="G71" s="1850"/>
      <c r="H71" s="1850"/>
      <c r="I71" s="2134"/>
      <c r="J71" s="1984"/>
      <c r="K71" s="2056"/>
      <c r="L71" s="1850"/>
      <c r="M71" s="1850"/>
      <c r="N71" s="2134"/>
      <c r="O71" s="1984"/>
      <c r="P71" s="2056"/>
      <c r="Q71" s="1850"/>
      <c r="R71" s="1850"/>
      <c r="S71" s="2134"/>
      <c r="T71" s="1984"/>
      <c r="U71" s="2056"/>
      <c r="V71" s="2045"/>
      <c r="W71" s="1984"/>
      <c r="X71" s="2322"/>
      <c r="Y71" s="1984"/>
      <c r="Z71" s="2056"/>
      <c r="AA71" s="1850"/>
      <c r="AB71" s="1850"/>
      <c r="AC71" s="2322"/>
      <c r="AD71" s="1984"/>
      <c r="AE71" s="2056"/>
      <c r="AF71" s="1850"/>
      <c r="AG71" s="1850"/>
      <c r="AH71" s="2322"/>
      <c r="AI71" s="1984"/>
      <c r="AJ71" s="2319"/>
      <c r="AK71" s="2319"/>
      <c r="AL71" s="1984"/>
      <c r="AM71" s="2322"/>
      <c r="AN71" s="2317"/>
      <c r="AO71" s="2320"/>
      <c r="AP71" s="2320"/>
      <c r="AQ71" s="1984"/>
      <c r="AR71" s="2322"/>
      <c r="AS71" s="2321"/>
      <c r="AT71" s="2319"/>
      <c r="AU71" s="2319"/>
      <c r="AV71" s="1984"/>
      <c r="AW71" s="2322"/>
      <c r="AX71" s="2320"/>
      <c r="AY71" s="2320"/>
      <c r="AZ71" s="2320"/>
      <c r="BA71" s="1984"/>
      <c r="BB71" s="2322"/>
      <c r="BC71" s="2320"/>
      <c r="BD71" s="2320"/>
      <c r="BE71" s="2320"/>
      <c r="BF71" s="1984"/>
      <c r="BG71" s="2322"/>
      <c r="BH71" s="2320"/>
      <c r="BI71" s="2320"/>
      <c r="BJ71" s="2320"/>
      <c r="BK71" s="1984"/>
      <c r="BL71" s="2322"/>
      <c r="BM71" s="1850"/>
      <c r="BN71" s="1850"/>
      <c r="BO71" s="1850"/>
      <c r="BP71" s="1850"/>
      <c r="BQ71" s="2322"/>
      <c r="BR71" s="2336"/>
      <c r="BS71" s="2336"/>
      <c r="BT71" s="2336"/>
      <c r="BU71" s="2336"/>
      <c r="BV71" s="2322"/>
      <c r="BW71" s="2336"/>
      <c r="BX71" s="2336"/>
      <c r="BY71" s="2336"/>
      <c r="BZ71" s="2336"/>
      <c r="CA71" s="2322"/>
      <c r="CB71" s="2334"/>
      <c r="CC71" s="1850"/>
      <c r="CD71" s="1850"/>
      <c r="CE71" s="1850"/>
      <c r="CF71" s="2322"/>
      <c r="CG71" s="2334"/>
      <c r="CH71" s="1850"/>
      <c r="CI71" s="1850"/>
      <c r="CJ71" s="1850"/>
      <c r="CK71" s="2322"/>
      <c r="CL71" s="1850"/>
      <c r="CM71" s="1850"/>
      <c r="CN71" s="1850"/>
      <c r="CO71" s="1850"/>
      <c r="CP71" s="2322"/>
      <c r="CQ71" s="1850"/>
      <c r="CR71" s="1850"/>
      <c r="CS71" s="1850"/>
      <c r="CT71" s="1850"/>
      <c r="CU71" s="2322"/>
      <c r="CV71" s="1850"/>
      <c r="CW71" s="1850"/>
      <c r="CX71" s="1850"/>
      <c r="CY71" s="1850"/>
      <c r="CZ71" s="2322"/>
      <c r="DA71" s="1850"/>
      <c r="DB71" s="2619"/>
      <c r="DC71" s="2619"/>
      <c r="DD71" s="2619"/>
      <c r="DE71" s="2322"/>
      <c r="DF71" s="3240">
        <f>DF14/DF67</f>
        <v>47.601494556252064</v>
      </c>
      <c r="DG71" s="3241">
        <f t="shared" ref="DG71:DN71" si="78">DG14/DG67</f>
        <v>48.367315649867372</v>
      </c>
      <c r="DH71" s="3241">
        <f t="shared" si="78"/>
        <v>48.904147995954204</v>
      </c>
      <c r="DI71" s="3241">
        <f t="shared" si="78"/>
        <v>48.540792445550778</v>
      </c>
      <c r="DJ71" s="3242">
        <f t="shared" si="78"/>
        <v>48.356676390595055</v>
      </c>
      <c r="DK71" s="3241">
        <f t="shared" si="78"/>
        <v>47.421743784554621</v>
      </c>
      <c r="DL71" s="3241">
        <f t="shared" si="78"/>
        <v>48.594615171924687</v>
      </c>
      <c r="DM71" s="3241">
        <f t="shared" si="78"/>
        <v>47.637701258650949</v>
      </c>
      <c r="DN71" s="3241">
        <f t="shared" si="78"/>
        <v>45.757352147265252</v>
      </c>
      <c r="DO71" s="2322"/>
      <c r="DP71" s="1850"/>
      <c r="DQ71" s="1850"/>
      <c r="DR71" s="1850"/>
      <c r="DS71" s="1850"/>
      <c r="DT71" s="2322"/>
      <c r="DU71" s="1850"/>
      <c r="DV71" s="1850"/>
      <c r="DW71" s="1850"/>
      <c r="DX71" s="1850"/>
      <c r="DY71" s="2322"/>
      <c r="DZ71" s="1850"/>
      <c r="EA71" s="1850"/>
    </row>
    <row r="72" spans="1:137" ht="12" customHeight="1" outlineLevel="1" x14ac:dyDescent="0.2">
      <c r="A72" s="238"/>
      <c r="B72" s="254" t="s">
        <v>998</v>
      </c>
      <c r="C72" s="238"/>
      <c r="D72" s="238"/>
      <c r="E72" s="238"/>
      <c r="F72" s="238"/>
      <c r="G72" s="238"/>
      <c r="H72" s="238"/>
      <c r="I72" s="239"/>
      <c r="J72" s="238"/>
      <c r="K72" s="238"/>
      <c r="L72" s="238"/>
      <c r="M72" s="238"/>
      <c r="N72" s="239"/>
      <c r="O72" s="238"/>
      <c r="P72" s="238"/>
      <c r="Q72" s="238"/>
      <c r="R72" s="238"/>
      <c r="S72" s="239"/>
      <c r="T72" s="238"/>
      <c r="U72" s="238"/>
      <c r="V72" s="238"/>
      <c r="W72" s="238"/>
      <c r="X72" s="239"/>
      <c r="Y72" s="238"/>
      <c r="Z72" s="238"/>
      <c r="AA72" s="238"/>
      <c r="AB72" s="238"/>
      <c r="AC72" s="239"/>
      <c r="AD72" s="238"/>
      <c r="AE72" s="238"/>
      <c r="AF72" s="238"/>
      <c r="AG72" s="238"/>
      <c r="AH72" s="239"/>
      <c r="AI72" s="238"/>
      <c r="AJ72" s="238"/>
      <c r="AK72" s="238"/>
      <c r="AL72" s="238"/>
      <c r="AM72" s="239"/>
      <c r="AN72" s="238"/>
      <c r="AO72" s="1054"/>
      <c r="AP72" s="1054"/>
      <c r="AQ72" s="238"/>
      <c r="AR72" s="239"/>
      <c r="AS72" s="1054"/>
      <c r="AT72" s="238"/>
      <c r="AU72" s="238"/>
      <c r="AV72" s="238"/>
      <c r="AW72" s="239"/>
      <c r="AX72" s="1054"/>
      <c r="AY72" s="1054"/>
      <c r="AZ72" s="1054"/>
      <c r="BA72" s="238"/>
      <c r="BB72" s="239"/>
      <c r="BC72" s="1054"/>
      <c r="BD72" s="1054"/>
      <c r="BE72" s="1054"/>
      <c r="BF72" s="238"/>
      <c r="BG72" s="239"/>
      <c r="BH72" s="1054"/>
      <c r="BI72" s="1054"/>
      <c r="BJ72" s="1054"/>
      <c r="BK72" s="238"/>
      <c r="BL72" s="239"/>
      <c r="BM72" s="238"/>
      <c r="BN72" s="238"/>
      <c r="BO72" s="238"/>
      <c r="BP72" s="238"/>
      <c r="BQ72" s="239"/>
      <c r="BR72" s="1018">
        <f>BM62*(1+BR76)</f>
        <v>146.47499999999999</v>
      </c>
      <c r="BS72" s="1018">
        <f>BN62*(1+BS76)</f>
        <v>141.33000000000001</v>
      </c>
      <c r="BT72" s="1018">
        <f>BO62*(1+BT76)</f>
        <v>138.78270000000001</v>
      </c>
      <c r="BU72" s="1018">
        <f>BP62*(1+BU76)</f>
        <v>160.84039999999999</v>
      </c>
      <c r="BV72" s="400">
        <f>SUM(BR72:BU72)</f>
        <v>587.42810000000009</v>
      </c>
      <c r="BW72" s="62">
        <f>BR62*(1+BW76)</f>
        <v>154.68599999999998</v>
      </c>
      <c r="BX72" s="62">
        <f>BS62*(1+BX76)</f>
        <v>155.65119999999999</v>
      </c>
      <c r="BY72" s="62">
        <f>BT62*(1+BY76)</f>
        <v>154.077</v>
      </c>
      <c r="BZ72" s="62">
        <f>BU62*(1+BZ76)</f>
        <v>161.38499999999999</v>
      </c>
      <c r="CA72" s="400">
        <f>SUM(BW72:BZ72)</f>
        <v>625.79919999999993</v>
      </c>
      <c r="CB72" s="62">
        <f>BW62*(1+CB76)</f>
        <v>163.43469999999999</v>
      </c>
      <c r="CC72" s="62">
        <f>BX62*(1+CC76)</f>
        <v>160.49249999999998</v>
      </c>
      <c r="CD72" s="59">
        <f>BY62*(1+CD76)</f>
        <v>159.27699999999999</v>
      </c>
      <c r="CE72" s="59">
        <f>BZ62*(1+CE76)</f>
        <v>167.13769999999997</v>
      </c>
      <c r="CF72" s="239">
        <f>SUM(CB72:CE72)</f>
        <v>650.3418999999999</v>
      </c>
      <c r="CG72" s="62">
        <f>CB62*(1+CG76)</f>
        <v>177.5232</v>
      </c>
      <c r="CH72" s="238">
        <f>CC62*(1+CH76)</f>
        <v>174.90479999999999</v>
      </c>
      <c r="CI72" s="238">
        <f>CD62*(1+CI76)</f>
        <v>175.00700000000001</v>
      </c>
      <c r="CJ72" s="238">
        <f>CE62*(1+CJ76)</f>
        <v>184.10100000000003</v>
      </c>
      <c r="CK72" s="239">
        <f>SUM(CG72:CJ72)</f>
        <v>711.53599999999994</v>
      </c>
      <c r="CL72" s="238">
        <f>CG67*(1+CL76)</f>
        <v>213.69</v>
      </c>
      <c r="CM72" s="238">
        <f>CH67*(1+CM76)</f>
        <v>211.23500000000001</v>
      </c>
      <c r="CN72" s="238">
        <f>CI67*(1+CN76)</f>
        <v>212.33160000000001</v>
      </c>
      <c r="CO72" s="238">
        <f>CJ67*(1+CO76)</f>
        <v>221.15520000000001</v>
      </c>
      <c r="CP72" s="239">
        <f>SUM(CL72:CO72)</f>
        <v>858.41180000000008</v>
      </c>
      <c r="CQ72" s="238">
        <f>CL67*(1+CQ76)</f>
        <v>219.99449999999999</v>
      </c>
      <c r="CR72" s="238">
        <f>CM67*(1+CR76)</f>
        <v>224.31369999999995</v>
      </c>
      <c r="CS72" s="238">
        <f>CN67*(1+CS76)</f>
        <v>226.95009999999996</v>
      </c>
      <c r="CT72" s="238">
        <f>CO67*(1+CT76)</f>
        <v>236.94720000000001</v>
      </c>
      <c r="CU72" s="239">
        <f>SUM(CQ72:CT72)</f>
        <v>908.20550000000003</v>
      </c>
      <c r="CV72" s="238">
        <f>CQ67*(1+CV76)</f>
        <v>233.91300000000001</v>
      </c>
      <c r="CW72" s="238">
        <f>CR67*(1+CW76)</f>
        <v>237.20900000000003</v>
      </c>
      <c r="CX72" s="238">
        <f>CS67*(1+CX76)</f>
        <v>241.17839999999998</v>
      </c>
      <c r="CY72" s="238">
        <f>CT67*(1+CY76)</f>
        <v>252.63360000000003</v>
      </c>
      <c r="CZ72" s="239">
        <f>SUM(CV72:CY72)</f>
        <v>964.93400000000008</v>
      </c>
      <c r="DA72" s="238">
        <f>CV67*(1+DA76)</f>
        <v>251.91720000000001</v>
      </c>
      <c r="DB72" s="238">
        <f>CW67*(1+DB76)</f>
        <v>249.22609999999997</v>
      </c>
      <c r="DC72" s="238">
        <f>CX67*(1+DC76)</f>
        <v>250.19749999999996</v>
      </c>
      <c r="DD72" s="238">
        <f>CY67*(1+DD76)</f>
        <v>288.07499999999999</v>
      </c>
      <c r="DE72" s="239">
        <f>SUM(DA72:DD72)</f>
        <v>1039.4158</v>
      </c>
      <c r="DF72" s="238">
        <f>DA67*(1+DF77)</f>
        <v>300.82859999999999</v>
      </c>
      <c r="DG72" s="238">
        <f>DB67*(1+DG77)</f>
        <v>300.89999999999998</v>
      </c>
      <c r="DH72" s="238">
        <f>DC67*(1+DH77)</f>
        <v>303.80869999999993</v>
      </c>
      <c r="DI72" s="238">
        <f>DD67*(1+DI77)</f>
        <v>322.56749999999994</v>
      </c>
      <c r="DJ72" s="239">
        <f>SUM(DF72:DI72)</f>
        <v>1228.1047999999998</v>
      </c>
      <c r="DK72" s="238">
        <f>DF67*(1+DK77)</f>
        <v>325.83250000000004</v>
      </c>
      <c r="DL72" s="238">
        <f>DG67*(1+DL77)</f>
        <v>320.90240000000006</v>
      </c>
      <c r="DM72" s="238">
        <f>DH67*(1+DM77)</f>
        <v>323.47728000000006</v>
      </c>
      <c r="DN72" s="238">
        <f>DI67*(1+DN77)</f>
        <v>342.37179199999997</v>
      </c>
      <c r="DO72" s="239">
        <f>SUM(DK72:DN72)</f>
        <v>1312.5839720000001</v>
      </c>
      <c r="DP72" s="238">
        <f>DK67*(1+DP77)</f>
        <v>339.17953950000003</v>
      </c>
      <c r="DQ72" s="238">
        <f>DL67*(1+DQ77)</f>
        <v>334.08966825000005</v>
      </c>
      <c r="DR72" s="238">
        <f>DM67*(1+DR77)</f>
        <v>336.42233055000003</v>
      </c>
      <c r="DS72" s="238">
        <f>DN67*(1+DS77)</f>
        <v>355.63302971999997</v>
      </c>
      <c r="DT72" s="239">
        <f>SUM(DP72:DS72)</f>
        <v>1365.32456802</v>
      </c>
      <c r="DU72" s="238">
        <f>DP67*(1+DU77)</f>
        <v>352.32904838250005</v>
      </c>
      <c r="DV72" s="238">
        <f>DQ67*(1+DV77)</f>
        <v>347.06103163875002</v>
      </c>
      <c r="DW72" s="238">
        <f>DR67*(1+DW77)</f>
        <v>349.47533711925001</v>
      </c>
      <c r="DX72" s="238">
        <f>DS67*(1+DX77)</f>
        <v>369.35841076019994</v>
      </c>
      <c r="DY72" s="239">
        <f>SUM(DU72:DX72)</f>
        <v>1418.2238279007001</v>
      </c>
      <c r="DZ72" s="238"/>
      <c r="EA72" s="238"/>
    </row>
    <row r="73" spans="1:137" ht="12" customHeight="1" outlineLevel="1" x14ac:dyDescent="0.2">
      <c r="A73" s="238"/>
      <c r="B73" s="254" t="s">
        <v>999</v>
      </c>
      <c r="C73" s="238"/>
      <c r="D73" s="238"/>
      <c r="E73" s="238"/>
      <c r="F73" s="238"/>
      <c r="G73" s="238"/>
      <c r="H73" s="238"/>
      <c r="I73" s="239"/>
      <c r="J73" s="238"/>
      <c r="K73" s="238"/>
      <c r="L73" s="238"/>
      <c r="M73" s="238"/>
      <c r="N73" s="239"/>
      <c r="O73" s="238"/>
      <c r="P73" s="238"/>
      <c r="Q73" s="238"/>
      <c r="R73" s="238"/>
      <c r="S73" s="239"/>
      <c r="T73" s="238"/>
      <c r="U73" s="238"/>
      <c r="V73" s="238"/>
      <c r="W73" s="238"/>
      <c r="X73" s="239"/>
      <c r="Y73" s="238"/>
      <c r="Z73" s="238"/>
      <c r="AA73" s="238"/>
      <c r="AB73" s="238"/>
      <c r="AC73" s="239"/>
      <c r="AD73" s="238"/>
      <c r="AE73" s="238"/>
      <c r="AF73" s="238"/>
      <c r="AG73" s="238"/>
      <c r="AH73" s="239"/>
      <c r="AI73" s="238"/>
      <c r="AJ73" s="238"/>
      <c r="AK73" s="238"/>
      <c r="AL73" s="238"/>
      <c r="AM73" s="239"/>
      <c r="AN73" s="238"/>
      <c r="AO73" s="1054"/>
      <c r="AP73" s="1054"/>
      <c r="AQ73" s="238"/>
      <c r="AR73" s="239"/>
      <c r="AS73" s="1054"/>
      <c r="AT73" s="238"/>
      <c r="AU73" s="238"/>
      <c r="AV73" s="238"/>
      <c r="AW73" s="239"/>
      <c r="AX73" s="1054"/>
      <c r="AY73" s="1054"/>
      <c r="AZ73" s="1054"/>
      <c r="BA73" s="238"/>
      <c r="BB73" s="239"/>
      <c r="BC73" s="1054"/>
      <c r="BD73" s="1054"/>
      <c r="BE73" s="1054"/>
      <c r="BF73" s="238"/>
      <c r="BG73" s="239"/>
      <c r="BH73" s="1054"/>
      <c r="BI73" s="1054"/>
      <c r="BJ73" s="1054"/>
      <c r="BK73" s="238"/>
      <c r="BL73" s="239"/>
      <c r="BM73" s="238"/>
      <c r="BN73" s="238"/>
      <c r="BO73" s="238"/>
      <c r="BP73" s="238"/>
      <c r="BQ73" s="239"/>
      <c r="BR73" s="1018">
        <f>BR72*BR85</f>
        <v>101.36069999999999</v>
      </c>
      <c r="BS73" s="1018">
        <f>BS72*BS85</f>
        <v>98.365679999999998</v>
      </c>
      <c r="BT73" s="1018">
        <f>BT72*BT85</f>
        <v>97.286672699999997</v>
      </c>
      <c r="BU73" s="1018">
        <f>BU72*BU85</f>
        <v>113.55332239999998</v>
      </c>
      <c r="BV73" s="400">
        <f>SUM(BR73:BU73)</f>
        <v>410.56637509999996</v>
      </c>
      <c r="BW73" s="1018">
        <f>BW72*BW85</f>
        <v>111.52860599999998</v>
      </c>
      <c r="BX73" s="1018">
        <f>BX72*BX85</f>
        <v>113.15842239999999</v>
      </c>
      <c r="BY73" s="1018">
        <f>BY72*BY85</f>
        <v>113.400672</v>
      </c>
      <c r="BZ73" s="1018">
        <f>BZ72*BZ85</f>
        <v>119.10212999999999</v>
      </c>
      <c r="CA73" s="400">
        <f>SUM(BW73:BZ73)</f>
        <v>457.18983039999995</v>
      </c>
      <c r="CB73" s="1018">
        <f>CB72*CB85</f>
        <v>122.0857209</v>
      </c>
      <c r="CC73" s="1018">
        <f>CC72*CC85</f>
        <v>121.33232999999998</v>
      </c>
      <c r="CD73" s="238">
        <f>CD72*CD85</f>
        <v>120.572689</v>
      </c>
      <c r="CE73" s="238">
        <f>CE72*CE85</f>
        <v>126.85751429999998</v>
      </c>
      <c r="CF73" s="239">
        <f>SUM(CB73:CE73)</f>
        <v>490.84825419999999</v>
      </c>
      <c r="CG73" s="1018">
        <f>CG72*CG85</f>
        <v>138.6456192</v>
      </c>
      <c r="CH73" s="238">
        <f>CH72*CH85</f>
        <v>138.3496968</v>
      </c>
      <c r="CI73" s="238">
        <f>CI72*CI85</f>
        <v>139.83059300000002</v>
      </c>
      <c r="CJ73" s="238">
        <f>CJ72*CJ85</f>
        <v>147.09669900000003</v>
      </c>
      <c r="CK73" s="239">
        <f>SUM(CG73:CJ73)</f>
        <v>563.92260800000008</v>
      </c>
      <c r="CL73" s="238">
        <f>CL72*CL85</f>
        <v>173.51628000000002</v>
      </c>
      <c r="CM73" s="238">
        <f>CM72*CM85</f>
        <v>173.001465</v>
      </c>
      <c r="CN73" s="238">
        <f>CN72*CN85</f>
        <v>173.050254</v>
      </c>
      <c r="CO73" s="238">
        <f>CO72*CO85</f>
        <v>179.13571200000001</v>
      </c>
      <c r="CP73" s="239">
        <f>SUM(CL73:CO73)</f>
        <v>698.703711</v>
      </c>
      <c r="CQ73" s="238">
        <f>CQ72*CQ85</f>
        <v>178.19554500000001</v>
      </c>
      <c r="CR73" s="238">
        <f>CR72*CR85</f>
        <v>187.30193949999995</v>
      </c>
      <c r="CS73" s="238">
        <f>CS72*CS85</f>
        <v>189.04943329999995</v>
      </c>
      <c r="CT73" s="238">
        <f>CT72*CT85</f>
        <v>195.24449279999999</v>
      </c>
      <c r="CU73" s="2598">
        <f>SUM(CQ73:CT73)</f>
        <v>749.79141059999984</v>
      </c>
      <c r="CV73" s="238">
        <f>CV72*CV85</f>
        <v>197.422572</v>
      </c>
      <c r="CW73" s="238">
        <f>CW72*CW85</f>
        <v>201.62765000000002</v>
      </c>
      <c r="CX73" s="238">
        <f>CX72*CX85</f>
        <v>204.39869400000001</v>
      </c>
      <c r="CY73" s="238">
        <f>CY72*CY85</f>
        <v>212.21222400000002</v>
      </c>
      <c r="CZ73" s="239">
        <f>SUM(CV73:CY73)</f>
        <v>815.66114000000005</v>
      </c>
      <c r="DA73" s="238">
        <f>DA72*DA85</f>
        <v>215.89304039999999</v>
      </c>
      <c r="DB73" s="238">
        <f>DB72*DB85</f>
        <v>214.58367209999997</v>
      </c>
      <c r="DC73" s="238">
        <f>DC72*DC85</f>
        <v>214.66945499999997</v>
      </c>
      <c r="DD73" s="238">
        <f>DD72*DD85</f>
        <v>245.43989999999999</v>
      </c>
      <c r="DE73" s="239">
        <f>SUM(DA73:DD73)</f>
        <v>890.5860674999999</v>
      </c>
      <c r="DF73" s="238">
        <f>DF72*DF85</f>
        <v>263.22502500000002</v>
      </c>
      <c r="DG73" s="238">
        <f>DG72*DG85</f>
        <v>263.58839999999998</v>
      </c>
      <c r="DH73" s="238">
        <f>DH72*DH85</f>
        <v>264.92118639999995</v>
      </c>
      <c r="DI73" s="238">
        <f>DI72*DI85</f>
        <v>279.98858999999993</v>
      </c>
      <c r="DJ73" s="239">
        <f>SUM(DF73:DI73)</f>
        <v>1071.7232013999999</v>
      </c>
      <c r="DK73" s="238">
        <f>DK72*DK85</f>
        <v>283.44641866662948</v>
      </c>
      <c r="DL73" s="238">
        <f>DL72*DL85</f>
        <v>280.029867145541</v>
      </c>
      <c r="DM73" s="238">
        <f>DM72*DM85</f>
        <v>282.90454487837468</v>
      </c>
      <c r="DN73" s="238">
        <f>DN72*DN85</f>
        <v>300.29296217288089</v>
      </c>
      <c r="DO73" s="239">
        <f>SUM(DK73:DN73)</f>
        <v>1146.6737928634261</v>
      </c>
      <c r="DP73" s="238">
        <f>DP72*DP85</f>
        <v>298.14241163723858</v>
      </c>
      <c r="DQ73" s="238">
        <f>DQ72*DQ85</f>
        <v>294.57641787718751</v>
      </c>
      <c r="DR73" s="238">
        <f>DR72*DR85</f>
        <v>297.28606840490909</v>
      </c>
      <c r="DS73" s="238">
        <f>DS72*DS85</f>
        <v>315.15921421574041</v>
      </c>
      <c r="DT73" s="239">
        <f>SUM(DP73:DS73)</f>
        <v>1205.1641121350756</v>
      </c>
      <c r="DU73" s="238">
        <f>DU72*DU85</f>
        <v>312.90578825060442</v>
      </c>
      <c r="DV73" s="238">
        <f>DV72*DV85</f>
        <v>309.17054054307147</v>
      </c>
      <c r="DW73" s="238">
        <f>DW72*DW85</f>
        <v>311.99947017155438</v>
      </c>
      <c r="DX73" s="238">
        <f>DX72*DX85</f>
        <v>330.68225932226551</v>
      </c>
      <c r="DY73" s="239">
        <f>SUM(DU73:DX73)</f>
        <v>1264.7580582874957</v>
      </c>
      <c r="DZ73" s="238"/>
      <c r="EA73" s="238"/>
    </row>
    <row r="74" spans="1:137" ht="12" customHeight="1" outlineLevel="1" x14ac:dyDescent="0.2">
      <c r="A74" s="238"/>
      <c r="B74" s="254" t="s">
        <v>1000</v>
      </c>
      <c r="C74" s="238"/>
      <c r="D74" s="238"/>
      <c r="E74" s="238"/>
      <c r="F74" s="238"/>
      <c r="G74" s="238"/>
      <c r="H74" s="238"/>
      <c r="I74" s="239"/>
      <c r="J74" s="238"/>
      <c r="K74" s="238"/>
      <c r="L74" s="238"/>
      <c r="M74" s="238"/>
      <c r="N74" s="239"/>
      <c r="O74" s="238"/>
      <c r="P74" s="238"/>
      <c r="Q74" s="238"/>
      <c r="R74" s="238"/>
      <c r="S74" s="239"/>
      <c r="T74" s="238"/>
      <c r="U74" s="238"/>
      <c r="V74" s="238"/>
      <c r="W74" s="238"/>
      <c r="X74" s="239"/>
      <c r="Y74" s="238"/>
      <c r="Z74" s="238"/>
      <c r="AA74" s="238"/>
      <c r="AB74" s="238"/>
      <c r="AC74" s="239"/>
      <c r="AD74" s="238"/>
      <c r="AE74" s="238"/>
      <c r="AF74" s="238"/>
      <c r="AG74" s="238"/>
      <c r="AH74" s="239"/>
      <c r="AI74" s="238"/>
      <c r="AJ74" s="238"/>
      <c r="AK74" s="238"/>
      <c r="AL74" s="238"/>
      <c r="AM74" s="239"/>
      <c r="AN74" s="238"/>
      <c r="AO74" s="1054"/>
      <c r="AP74" s="1054"/>
      <c r="AQ74" s="238"/>
      <c r="AR74" s="239"/>
      <c r="AS74" s="1054"/>
      <c r="AT74" s="238"/>
      <c r="AU74" s="238"/>
      <c r="AV74" s="238"/>
      <c r="AW74" s="239"/>
      <c r="AX74" s="1054"/>
      <c r="AY74" s="1054"/>
      <c r="AZ74" s="1054"/>
      <c r="BA74" s="238"/>
      <c r="BB74" s="239"/>
      <c r="BC74" s="1054"/>
      <c r="BD74" s="1054"/>
      <c r="BE74" s="1054"/>
      <c r="BF74" s="238"/>
      <c r="BG74" s="239"/>
      <c r="BH74" s="1054"/>
      <c r="BI74" s="1054"/>
      <c r="BJ74" s="1054"/>
      <c r="BK74" s="238"/>
      <c r="BL74" s="239"/>
      <c r="BM74" s="238"/>
      <c r="BN74" s="238"/>
      <c r="BO74" s="238"/>
      <c r="BP74" s="238"/>
      <c r="BQ74" s="239"/>
      <c r="BR74" s="1018">
        <f>BR72-BR73</f>
        <v>45.1143</v>
      </c>
      <c r="BS74" s="1018">
        <f>BS72-BS73</f>
        <v>42.964320000000015</v>
      </c>
      <c r="BT74" s="1018">
        <f>BT72-BT73</f>
        <v>41.496027300000009</v>
      </c>
      <c r="BU74" s="1018">
        <f>BU72-BU73</f>
        <v>47.287077600000003</v>
      </c>
      <c r="BV74" s="400">
        <f>SUM(BR74:BU74)</f>
        <v>176.86172490000004</v>
      </c>
      <c r="BW74" s="1018">
        <f>BW72-BW73</f>
        <v>43.157393999999996</v>
      </c>
      <c r="BX74" s="1018">
        <f>BX72-BX73</f>
        <v>42.492777599999997</v>
      </c>
      <c r="BY74" s="1018">
        <f>BY72-BY73</f>
        <v>40.676327999999998</v>
      </c>
      <c r="BZ74" s="1018">
        <f>BZ72-BZ73</f>
        <v>42.282870000000003</v>
      </c>
      <c r="CA74" s="400">
        <f>SUM(BW74:BZ74)</f>
        <v>168.60936959999998</v>
      </c>
      <c r="CB74" s="1018">
        <f>CB72-CB73</f>
        <v>41.348979099999994</v>
      </c>
      <c r="CC74" s="1018">
        <f>CC72-CC73</f>
        <v>39.160169999999994</v>
      </c>
      <c r="CD74" s="238">
        <f>CD72-CD73</f>
        <v>38.70431099999999</v>
      </c>
      <c r="CE74" s="238">
        <f>CE72-CE73</f>
        <v>40.28018569999999</v>
      </c>
      <c r="CF74" s="239">
        <f>SUM(CB74:CE74)</f>
        <v>159.49364579999997</v>
      </c>
      <c r="CG74" s="1018">
        <f>CG72-CG73</f>
        <v>38.877580800000004</v>
      </c>
      <c r="CH74" s="238">
        <f>CH72-CH73</f>
        <v>36.555103199999991</v>
      </c>
      <c r="CI74" s="238">
        <f>CI72-CI73</f>
        <v>35.176406999999983</v>
      </c>
      <c r="CJ74" s="238">
        <f>CJ72-CJ73</f>
        <v>37.004300999999998</v>
      </c>
      <c r="CK74" s="239">
        <f>SUM(CG74:CJ74)</f>
        <v>147.61339199999998</v>
      </c>
      <c r="CL74" s="238">
        <f>CL72-CL73</f>
        <v>40.173719999999975</v>
      </c>
      <c r="CM74" s="238">
        <f>CM72-CM73</f>
        <v>38.233535000000018</v>
      </c>
      <c r="CN74" s="238">
        <f>CN72-CN73</f>
        <v>39.281346000000013</v>
      </c>
      <c r="CO74" s="238">
        <f>CO72-CO73</f>
        <v>42.019487999999996</v>
      </c>
      <c r="CP74" s="239">
        <f>SUM(CL74:CO74)</f>
        <v>159.708089</v>
      </c>
      <c r="CQ74" s="238">
        <f>CQ72-CQ73</f>
        <v>41.798954999999978</v>
      </c>
      <c r="CR74" s="238">
        <f>CR72-CR73</f>
        <v>37.011760500000008</v>
      </c>
      <c r="CS74" s="238">
        <f>CS72-CS73</f>
        <v>37.900666700000016</v>
      </c>
      <c r="CT74" s="238">
        <f>CT72-CT73</f>
        <v>41.70270720000002</v>
      </c>
      <c r="CU74" s="2598">
        <f>SUM(CQ74:CT74)</f>
        <v>158.41408940000002</v>
      </c>
      <c r="CV74" s="238">
        <f>CV72-CV73</f>
        <v>36.490428000000009</v>
      </c>
      <c r="CW74" s="238">
        <f>CW72-CW73</f>
        <v>35.581350000000015</v>
      </c>
      <c r="CX74" s="238">
        <f>CX72-CX73</f>
        <v>36.779705999999976</v>
      </c>
      <c r="CY74" s="238">
        <f>CY72-CY73</f>
        <v>40.421376000000009</v>
      </c>
      <c r="CZ74" s="239">
        <f>SUM(CV74:CY74)</f>
        <v>149.27286000000001</v>
      </c>
      <c r="DA74" s="238">
        <f>DA72-DA73</f>
        <v>36.024159600000019</v>
      </c>
      <c r="DB74" s="238">
        <f>DB72-DB73</f>
        <v>34.642427900000001</v>
      </c>
      <c r="DC74" s="238">
        <f>DC72-DC73</f>
        <v>35.528044999999992</v>
      </c>
      <c r="DD74" s="238">
        <f>DD72-DD73</f>
        <v>42.635099999999994</v>
      </c>
      <c r="DE74" s="239">
        <f>SUM(DA74:DD74)</f>
        <v>148.82973250000001</v>
      </c>
      <c r="DF74" s="238">
        <f>DF72-DF73</f>
        <v>37.603574999999978</v>
      </c>
      <c r="DG74" s="238">
        <f>DG72-DG73</f>
        <v>37.311599999999999</v>
      </c>
      <c r="DH74" s="238">
        <f>DH72-DH73</f>
        <v>38.887513599999977</v>
      </c>
      <c r="DI74" s="238">
        <f>DI72-DI73</f>
        <v>42.578910000000008</v>
      </c>
      <c r="DJ74" s="239">
        <f>SUM(DF74:DI74)</f>
        <v>156.38159859999996</v>
      </c>
      <c r="DK74" s="238">
        <f>DK72-DK73</f>
        <v>42.386081333370555</v>
      </c>
      <c r="DL74" s="238">
        <f>DL72-DL73</f>
        <v>40.872532854459052</v>
      </c>
      <c r="DM74" s="238">
        <f>DM72-DM73</f>
        <v>40.572735121625385</v>
      </c>
      <c r="DN74" s="238">
        <f>DN72-DN73</f>
        <v>42.07882982711908</v>
      </c>
      <c r="DO74" s="239">
        <f>SUM(DK74:DN74)</f>
        <v>165.91017913657407</v>
      </c>
      <c r="DP74" s="238">
        <f>DP72-DP73</f>
        <v>41.037127862761452</v>
      </c>
      <c r="DQ74" s="238">
        <f>DQ72-DQ73</f>
        <v>39.513250372812536</v>
      </c>
      <c r="DR74" s="238">
        <f>DR72-DR73</f>
        <v>39.136262145090939</v>
      </c>
      <c r="DS74" s="238">
        <f>DS72-DS73</f>
        <v>40.473815504259562</v>
      </c>
      <c r="DT74" s="239">
        <f>SUM(DP74:DS74)</f>
        <v>160.16045588492449</v>
      </c>
      <c r="DU74" s="238">
        <f>DU72-DU73</f>
        <v>39.423260131895631</v>
      </c>
      <c r="DV74" s="238">
        <f>DV72-DV73</f>
        <v>37.890491095678556</v>
      </c>
      <c r="DW74" s="238">
        <f>DW72-DW73</f>
        <v>37.475866947695636</v>
      </c>
      <c r="DX74" s="238">
        <f>DX72-DX73</f>
        <v>38.676151437934436</v>
      </c>
      <c r="DY74" s="239">
        <f>SUM(DU74:DX74)</f>
        <v>153.46576961320426</v>
      </c>
      <c r="DZ74" s="238"/>
      <c r="EA74" s="238"/>
    </row>
    <row r="75" spans="1:137" ht="12" customHeight="1" outlineLevel="1" x14ac:dyDescent="0.2">
      <c r="A75" s="448"/>
      <c r="B75" s="1055" t="s">
        <v>1001</v>
      </c>
      <c r="C75" s="448"/>
      <c r="D75" s="448"/>
      <c r="E75" s="448"/>
      <c r="F75" s="448"/>
      <c r="G75" s="448"/>
      <c r="H75" s="448"/>
      <c r="I75" s="1056"/>
      <c r="J75" s="448"/>
      <c r="K75" s="448"/>
      <c r="L75" s="448"/>
      <c r="M75" s="448"/>
      <c r="N75" s="1056"/>
      <c r="O75" s="448"/>
      <c r="P75" s="448"/>
      <c r="Q75" s="448"/>
      <c r="R75" s="448"/>
      <c r="S75" s="1056"/>
      <c r="T75" s="448"/>
      <c r="U75" s="448"/>
      <c r="V75" s="448"/>
      <c r="W75" s="448"/>
      <c r="X75" s="1056"/>
      <c r="Y75" s="448"/>
      <c r="Z75" s="448"/>
      <c r="AA75" s="448"/>
      <c r="AB75" s="448"/>
      <c r="AC75" s="1056"/>
      <c r="AD75" s="448"/>
      <c r="AE75" s="448"/>
      <c r="AF75" s="448"/>
      <c r="AG75" s="448"/>
      <c r="AH75" s="1056"/>
      <c r="AI75" s="448"/>
      <c r="AJ75" s="448"/>
      <c r="AK75" s="448"/>
      <c r="AL75" s="448"/>
      <c r="AM75" s="1056"/>
      <c r="AN75" s="448"/>
      <c r="AO75" s="1057"/>
      <c r="AP75" s="1057"/>
      <c r="AQ75" s="448"/>
      <c r="AR75" s="1056"/>
      <c r="AS75" s="1057"/>
      <c r="AT75" s="448"/>
      <c r="AU75" s="448"/>
      <c r="AV75" s="448"/>
      <c r="AW75" s="1056"/>
      <c r="AX75" s="1057"/>
      <c r="AY75" s="1057"/>
      <c r="AZ75" s="1057"/>
      <c r="BA75" s="448"/>
      <c r="BB75" s="1056"/>
      <c r="BC75" s="1057"/>
      <c r="BD75" s="1057"/>
      <c r="BE75" s="1057"/>
      <c r="BF75" s="448"/>
      <c r="BG75" s="1056"/>
      <c r="BH75" s="1057"/>
      <c r="BI75" s="1057"/>
      <c r="BJ75" s="1057"/>
      <c r="BK75" s="448"/>
      <c r="BL75" s="1056"/>
      <c r="BM75" s="448"/>
      <c r="BN75" s="448"/>
      <c r="BO75" s="448"/>
      <c r="BP75" s="448"/>
      <c r="BQ75" s="1056"/>
      <c r="BR75" s="1058">
        <f>BR98/BM93-1</f>
        <v>9.5117942364024044E-2</v>
      </c>
      <c r="BS75" s="1058">
        <f>BS98/BN93-1</f>
        <v>7.3417320067351355E-2</v>
      </c>
      <c r="BT75" s="1058">
        <f>BT98/BO93-1</f>
        <v>7.9256903622910935E-2</v>
      </c>
      <c r="BU75" s="1058">
        <f>BU98/BP93-1</f>
        <v>7.3248036398240179E-2</v>
      </c>
      <c r="BV75" s="1056"/>
      <c r="BW75" s="1058">
        <f>BW98/BR93-1</f>
        <v>2.1426685697086612E-2</v>
      </c>
      <c r="BX75" s="1058">
        <f>BX98/BS93-1</f>
        <v>2.9608156121729401E-2</v>
      </c>
      <c r="BY75" s="1058">
        <f>BY98/BT93-1</f>
        <v>8.1031214644133875E-3</v>
      </c>
      <c r="BZ75" s="1058">
        <f>BZ98/BU93-1</f>
        <v>2.0577938580455646E-2</v>
      </c>
      <c r="CA75" s="1059">
        <f>CA98/BV92-1</f>
        <v>1.9910285892352997E-2</v>
      </c>
      <c r="CB75" s="1058">
        <f t="shared" ref="CB75:DJ75" si="79">CB98/BW93-1</f>
        <v>4.0502988659997907E-2</v>
      </c>
      <c r="CC75" s="1058">
        <f t="shared" si="79"/>
        <v>2.8376415692296098E-2</v>
      </c>
      <c r="CD75" s="448">
        <f t="shared" si="79"/>
        <v>2.0765753463343417E-2</v>
      </c>
      <c r="CE75" s="448">
        <f t="shared" si="79"/>
        <v>4.4843180813438188E-2</v>
      </c>
      <c r="CF75" s="1056">
        <f t="shared" si="79"/>
        <v>3.3677231648929773E-2</v>
      </c>
      <c r="CG75" s="1058">
        <f t="shared" si="79"/>
        <v>5.2723144589204463E-2</v>
      </c>
      <c r="CH75" s="448">
        <f t="shared" si="79"/>
        <v>7.3785331998599268E-2</v>
      </c>
      <c r="CI75" s="448">
        <f t="shared" si="79"/>
        <v>4.8745367709216669E-2</v>
      </c>
      <c r="CJ75" s="448">
        <f t="shared" si="79"/>
        <v>7.2461508744475989E-2</v>
      </c>
      <c r="CK75" s="1056">
        <f t="shared" si="79"/>
        <v>6.2035780169162669E-2</v>
      </c>
      <c r="CL75" s="448">
        <f t="shared" si="79"/>
        <v>-4.4350735399571128E-2</v>
      </c>
      <c r="CM75" s="448">
        <f t="shared" si="79"/>
        <v>-1.6451329038924767E-2</v>
      </c>
      <c r="CN75" s="448">
        <f t="shared" si="79"/>
        <v>3.4187590798391732E-2</v>
      </c>
      <c r="CO75" s="448">
        <f t="shared" si="79"/>
        <v>4.5768081165829866E-2</v>
      </c>
      <c r="CP75" s="1056">
        <f t="shared" si="79"/>
        <v>4.4232609496037689E-3</v>
      </c>
      <c r="CQ75" s="448">
        <f t="shared" si="79"/>
        <v>1.6212557795600269E-2</v>
      </c>
      <c r="CR75" s="448">
        <f t="shared" si="79"/>
        <v>2.5458430060014248E-2</v>
      </c>
      <c r="CS75" s="448">
        <f t="shared" si="79"/>
        <v>1.874198424067397E-2</v>
      </c>
      <c r="CT75" s="448">
        <f t="shared" si="79"/>
        <v>2.0782332769538669E-2</v>
      </c>
      <c r="CU75" s="2667">
        <f t="shared" si="79"/>
        <v>2.0303544683329733E-2</v>
      </c>
      <c r="CV75" s="448">
        <f t="shared" si="79"/>
        <v>1.4063937968516571E-2</v>
      </c>
      <c r="CW75" s="448">
        <f t="shared" si="79"/>
        <v>2.1744345485102956E-2</v>
      </c>
      <c r="CX75" s="448">
        <f t="shared" si="79"/>
        <v>7.9818563383513785E-2</v>
      </c>
      <c r="CY75" s="448">
        <f t="shared" si="79"/>
        <v>2.5663324383592201E-2</v>
      </c>
      <c r="CZ75" s="1056">
        <f t="shared" si="79"/>
        <v>3.6639029298812575E-2</v>
      </c>
      <c r="DA75" s="448">
        <f t="shared" si="79"/>
        <v>1.9296059674946964E-2</v>
      </c>
      <c r="DB75" s="448">
        <f t="shared" si="79"/>
        <v>3.6251026867415437E-3</v>
      </c>
      <c r="DC75" s="448">
        <f t="shared" si="79"/>
        <v>-4.7292959325623385E-2</v>
      </c>
      <c r="DD75" s="448">
        <f t="shared" si="79"/>
        <v>-3.2070323468851192E-2</v>
      </c>
      <c r="DE75" s="1056">
        <f t="shared" si="79"/>
        <v>-1.5882212046057997E-2</v>
      </c>
      <c r="DF75" s="448">
        <f t="shared" si="79"/>
        <v>-4.5566612141916263E-2</v>
      </c>
      <c r="DG75" s="448">
        <f t="shared" si="79"/>
        <v>-2.7094162253895604E-2</v>
      </c>
      <c r="DH75" s="448">
        <f t="shared" si="79"/>
        <v>-2.9457346356218883E-2</v>
      </c>
      <c r="DI75" s="448">
        <f t="shared" si="79"/>
        <v>6.7850166450316163E-3</v>
      </c>
      <c r="DJ75" s="2667">
        <f t="shared" si="79"/>
        <v>-2.3582913261956606E-2</v>
      </c>
      <c r="DK75" s="448">
        <f t="shared" ref="DK75:DT75" si="80">DK98/DF93-1</f>
        <v>7.0940629987018333E-2</v>
      </c>
      <c r="DL75" s="448">
        <f t="shared" si="80"/>
        <v>6.9000209092018316E-2</v>
      </c>
      <c r="DM75" s="448">
        <f t="shared" si="80"/>
        <v>3.6446113801999802E-2</v>
      </c>
      <c r="DN75" s="448">
        <f t="shared" si="80"/>
        <v>2.987801225168063E-3</v>
      </c>
      <c r="DO75" s="2667">
        <f t="shared" si="80"/>
        <v>4.4008371789064915E-2</v>
      </c>
      <c r="DP75" s="448">
        <f t="shared" si="80"/>
        <v>3.532069058551901E-2</v>
      </c>
      <c r="DQ75" s="448">
        <f t="shared" si="80"/>
        <v>3.4113932585641438E-2</v>
      </c>
      <c r="DR75" s="448">
        <f t="shared" si="80"/>
        <v>3.310103452195623E-2</v>
      </c>
      <c r="DS75" s="448">
        <f t="shared" si="80"/>
        <v>3.1807645825927766E-2</v>
      </c>
      <c r="DT75" s="2667">
        <f t="shared" si="80"/>
        <v>3.3582308760586432E-2</v>
      </c>
      <c r="DU75" s="448">
        <f t="shared" ref="DU75" si="81">DU98/DP93-1</f>
        <v>3.1161059906164024E-2</v>
      </c>
      <c r="DV75" s="448">
        <f t="shared" ref="DV75" si="82">DV98/DQ93-1</f>
        <v>2.9768809663500262E-2</v>
      </c>
      <c r="DW75" s="448">
        <f t="shared" ref="DW75" si="83">DW98/DR93-1</f>
        <v>2.8681401753393398E-2</v>
      </c>
      <c r="DX75" s="448">
        <f t="shared" ref="DX75" si="84">DX98/DS93-1</f>
        <v>2.7274369524042719E-2</v>
      </c>
      <c r="DY75" s="2667">
        <f t="shared" ref="DY75" si="85">DY98/DT93-1</f>
        <v>2.9219368249212119E-2</v>
      </c>
      <c r="DZ75" s="448"/>
      <c r="EA75" s="448"/>
    </row>
    <row r="76" spans="1:137" ht="12" customHeight="1" outlineLevel="1" x14ac:dyDescent="0.2">
      <c r="A76" s="1842"/>
      <c r="B76" s="2337" t="s">
        <v>1002</v>
      </c>
      <c r="C76" s="2121"/>
      <c r="D76" s="2121"/>
      <c r="E76" s="1842"/>
      <c r="F76" s="2116"/>
      <c r="G76" s="1848"/>
      <c r="H76" s="1848"/>
      <c r="I76" s="2338"/>
      <c r="J76" s="1842"/>
      <c r="K76" s="2116"/>
      <c r="L76" s="1848"/>
      <c r="M76" s="1848"/>
      <c r="N76" s="2338"/>
      <c r="O76" s="1842"/>
      <c r="P76" s="2116"/>
      <c r="Q76" s="1848"/>
      <c r="R76" s="1848"/>
      <c r="S76" s="2338"/>
      <c r="T76" s="1842"/>
      <c r="U76" s="2116"/>
      <c r="V76" s="2339"/>
      <c r="W76" s="1842"/>
      <c r="X76" s="2340"/>
      <c r="Y76" s="1842"/>
      <c r="Z76" s="2116"/>
      <c r="AA76" s="1848"/>
      <c r="AB76" s="1848"/>
      <c r="AC76" s="2340"/>
      <c r="AD76" s="1842"/>
      <c r="AE76" s="2116"/>
      <c r="AF76" s="1848"/>
      <c r="AG76" s="1848"/>
      <c r="AH76" s="2340"/>
      <c r="AI76" s="1842"/>
      <c r="AJ76" s="2341"/>
      <c r="AK76" s="2341"/>
      <c r="AL76" s="1842"/>
      <c r="AM76" s="2340"/>
      <c r="AN76" s="2342"/>
      <c r="AO76" s="2343"/>
      <c r="AP76" s="2343"/>
      <c r="AQ76" s="1842"/>
      <c r="AR76" s="2340"/>
      <c r="AS76" s="2344"/>
      <c r="AT76" s="2341"/>
      <c r="AU76" s="2341"/>
      <c r="AV76" s="1842"/>
      <c r="AW76" s="2340"/>
      <c r="AX76" s="2343"/>
      <c r="AY76" s="2343"/>
      <c r="AZ76" s="2343"/>
      <c r="BA76" s="1842"/>
      <c r="BB76" s="2340"/>
      <c r="BC76" s="2343"/>
      <c r="BD76" s="2343"/>
      <c r="BE76" s="2343"/>
      <c r="BF76" s="1842"/>
      <c r="BG76" s="2340"/>
      <c r="BH76" s="2343"/>
      <c r="BI76" s="2343"/>
      <c r="BJ76" s="2343"/>
      <c r="BK76" s="1842"/>
      <c r="BL76" s="2340"/>
      <c r="BM76" s="1848"/>
      <c r="BN76" s="1848"/>
      <c r="BO76" s="1848"/>
      <c r="BP76" s="1848"/>
      <c r="BQ76" s="2340"/>
      <c r="BR76" s="2345">
        <v>0.05</v>
      </c>
      <c r="BS76" s="2345">
        <v>0.05</v>
      </c>
      <c r="BT76" s="2345">
        <v>4.9000000000000002E-2</v>
      </c>
      <c r="BU76" s="2345">
        <v>5.3999999999999999E-2</v>
      </c>
      <c r="BV76" s="2340"/>
      <c r="BW76" s="2345">
        <v>1.4999999999999999E-2</v>
      </c>
      <c r="BX76" s="2345">
        <v>1.6E-2</v>
      </c>
      <c r="BY76" s="2345">
        <v>1.4999999999999999E-2</v>
      </c>
      <c r="BZ76" s="2345">
        <v>1.4999999999999999E-2</v>
      </c>
      <c r="CA76" s="2340">
        <f>CA72/BV62-1</f>
        <v>1.5248539909149539E-2</v>
      </c>
      <c r="CB76" s="2345">
        <v>3.9E-2</v>
      </c>
      <c r="CC76" s="2346">
        <v>1.9E-2</v>
      </c>
      <c r="CD76" s="1060">
        <v>0.01</v>
      </c>
      <c r="CE76" s="1060">
        <v>2.1000000000000001E-2</v>
      </c>
      <c r="CF76" s="2340">
        <f>CF72/CA62-1</f>
        <v>2.2228701666142436E-2</v>
      </c>
      <c r="CG76" s="1060">
        <v>7.1999999999999995E-2</v>
      </c>
      <c r="CH76" s="1060">
        <v>7.6999999999999999E-2</v>
      </c>
      <c r="CI76" s="1060">
        <v>8.6999999999999994E-2</v>
      </c>
      <c r="CJ76" s="1060">
        <v>0.09</v>
      </c>
      <c r="CK76" s="2340">
        <f>CK72/CF62-1</f>
        <v>8.1526067791457546E-2</v>
      </c>
      <c r="CL76" s="1060">
        <v>0.02</v>
      </c>
      <c r="CM76" s="1060">
        <v>1.7999999999999999E-2</v>
      </c>
      <c r="CN76" s="1060">
        <v>1.4E-2</v>
      </c>
      <c r="CO76" s="1060">
        <v>8.0000000000000002E-3</v>
      </c>
      <c r="CP76" s="2340">
        <f>CP72/CK62-1</f>
        <v>0.19572614570274438</v>
      </c>
      <c r="CQ76" s="1060">
        <v>-5.0000000000000001E-3</v>
      </c>
      <c r="CR76" s="1060">
        <v>2.1000000000000001E-2</v>
      </c>
      <c r="CS76" s="1060">
        <v>3.3000000000000002E-2</v>
      </c>
      <c r="CT76" s="1060">
        <v>3.2000000000000001E-2</v>
      </c>
      <c r="CU76" s="2668">
        <f>CU72/CP62-1</f>
        <v>0.23599006532389777</v>
      </c>
      <c r="CV76" s="1060">
        <v>0.03</v>
      </c>
      <c r="CW76" s="1060">
        <v>0.03</v>
      </c>
      <c r="CX76" s="1060">
        <v>3.2000000000000001E-2</v>
      </c>
      <c r="CY76" s="1060">
        <v>3.2000000000000001E-2</v>
      </c>
      <c r="CZ76" s="2340">
        <f>CZ72/CU62-1</f>
        <v>0.278905235255136</v>
      </c>
      <c r="DA76" s="1060">
        <v>4.3999999999999997E-2</v>
      </c>
      <c r="DB76" s="1060">
        <v>2.1000000000000001E-2</v>
      </c>
      <c r="DC76" s="1060">
        <v>1.4999999999999999E-2</v>
      </c>
      <c r="DD76" s="1060">
        <v>2E-3</v>
      </c>
      <c r="DE76" s="2340">
        <f>DE72/CZ62-1</f>
        <v>0.33979865944831156</v>
      </c>
      <c r="DF76" s="1060">
        <v>-3.7999999999999999E-2</v>
      </c>
      <c r="DG76" s="1060">
        <v>-2.9000000000000001E-2</v>
      </c>
      <c r="DH76" s="1697">
        <v>-0.03</v>
      </c>
      <c r="DI76" s="1697">
        <v>-1.7000000000000001E-2</v>
      </c>
      <c r="DJ76" s="2588"/>
      <c r="DO76" s="2588"/>
      <c r="DT76" s="2588"/>
      <c r="DY76" s="2588"/>
      <c r="DZ76" s="1848"/>
      <c r="EA76" s="1848"/>
    </row>
    <row r="77" spans="1:137" ht="12" customHeight="1" outlineLevel="1" x14ac:dyDescent="0.2">
      <c r="A77" s="1984"/>
      <c r="B77" s="2318" t="s">
        <v>1003</v>
      </c>
      <c r="C77" s="1883"/>
      <c r="D77" s="1883"/>
      <c r="E77" s="1984"/>
      <c r="F77" s="2056"/>
      <c r="G77" s="1850"/>
      <c r="H77" s="1850"/>
      <c r="I77" s="2134"/>
      <c r="J77" s="1984"/>
      <c r="K77" s="2056"/>
      <c r="L77" s="1850"/>
      <c r="M77" s="1850"/>
      <c r="N77" s="2134"/>
      <c r="O77" s="1984"/>
      <c r="P77" s="2056"/>
      <c r="Q77" s="1850"/>
      <c r="R77" s="1850"/>
      <c r="S77" s="2134"/>
      <c r="T77" s="1984"/>
      <c r="U77" s="2056"/>
      <c r="V77" s="2045"/>
      <c r="W77" s="1984"/>
      <c r="X77" s="2322"/>
      <c r="Y77" s="1984"/>
      <c r="Z77" s="2056"/>
      <c r="AA77" s="1850"/>
      <c r="AB77" s="1850"/>
      <c r="AC77" s="2322"/>
      <c r="AD77" s="1984"/>
      <c r="AE77" s="2056"/>
      <c r="AF77" s="1850"/>
      <c r="AG77" s="1850"/>
      <c r="AH77" s="2322"/>
      <c r="AI77" s="1984"/>
      <c r="AJ77" s="2319"/>
      <c r="AK77" s="2319"/>
      <c r="AL77" s="1984"/>
      <c r="AM77" s="2322"/>
      <c r="AN77" s="2317"/>
      <c r="AO77" s="2320"/>
      <c r="AP77" s="2320"/>
      <c r="AQ77" s="1984"/>
      <c r="AR77" s="2322"/>
      <c r="AS77" s="2321"/>
      <c r="AT77" s="2319"/>
      <c r="AU77" s="2319"/>
      <c r="AV77" s="1984"/>
      <c r="AW77" s="2322"/>
      <c r="AX77" s="2320"/>
      <c r="AY77" s="2320"/>
      <c r="AZ77" s="2320"/>
      <c r="BA77" s="1984"/>
      <c r="BB77" s="2322"/>
      <c r="BC77" s="2320"/>
      <c r="BD77" s="2320"/>
      <c r="BE77" s="2320"/>
      <c r="BF77" s="1984"/>
      <c r="BG77" s="2322"/>
      <c r="BH77" s="2320"/>
      <c r="BI77" s="2320"/>
      <c r="BJ77" s="2320"/>
      <c r="BK77" s="1984"/>
      <c r="BL77" s="2322"/>
      <c r="BM77" s="1850"/>
      <c r="BN77" s="1850"/>
      <c r="BO77" s="1850"/>
      <c r="BP77" s="1850"/>
      <c r="BQ77" s="2322"/>
      <c r="BR77" s="2336"/>
      <c r="BS77" s="2336"/>
      <c r="BT77" s="2347">
        <v>8.1000000000000003E-2</v>
      </c>
      <c r="BU77" s="2334"/>
      <c r="BV77" s="2322"/>
      <c r="BW77" s="2334"/>
      <c r="BX77" s="2347">
        <v>4.4999999999999998E-2</v>
      </c>
      <c r="BY77" s="2336"/>
      <c r="BZ77" s="2336"/>
      <c r="CA77" s="2322"/>
      <c r="CB77" s="2347">
        <v>0.06</v>
      </c>
      <c r="CC77" s="2348">
        <v>4.2000000000000003E-2</v>
      </c>
      <c r="CD77" s="2349">
        <v>3.1E-2</v>
      </c>
      <c r="CE77" s="2349">
        <v>4.3999999999999997E-2</v>
      </c>
      <c r="CF77" s="2322"/>
      <c r="CG77" s="2348">
        <v>9.1999999999999998E-2</v>
      </c>
      <c r="CH77" s="2348">
        <v>9.8000000000000004E-2</v>
      </c>
      <c r="CI77" s="2349">
        <v>0.111</v>
      </c>
      <c r="CJ77" s="2349">
        <v>0.11</v>
      </c>
      <c r="CK77" s="2322"/>
      <c r="CL77" s="2348">
        <v>4.7E-2</v>
      </c>
      <c r="CM77" s="2348">
        <v>0.05</v>
      </c>
      <c r="CN77" s="2348">
        <v>4.4999999999999998E-2</v>
      </c>
      <c r="CO77" s="1850">
        <v>3.8</v>
      </c>
      <c r="CP77" s="2322"/>
      <c r="CQ77" s="1060">
        <v>2.1000000000000001E-2</v>
      </c>
      <c r="CR77" s="1060">
        <v>3.9E-2</v>
      </c>
      <c r="CS77" s="1060">
        <v>5.0999999999999997E-2</v>
      </c>
      <c r="CT77" s="1060">
        <v>5.2999999999999999E-2</v>
      </c>
      <c r="CU77" s="2655">
        <f>(CT77-CT76)+CU76</f>
        <v>0.25699006532389779</v>
      </c>
      <c r="CV77" s="1060">
        <v>5.0999999999999997E-2</v>
      </c>
      <c r="CW77" s="1060">
        <v>4.8000000000000001E-2</v>
      </c>
      <c r="CX77" s="1060">
        <v>4.4000000000000004E-2</v>
      </c>
      <c r="CY77" s="1060">
        <v>0.05</v>
      </c>
      <c r="CZ77" s="2322">
        <f>(CY77-CY76)+CZ76</f>
        <v>0.29690523525513601</v>
      </c>
      <c r="DA77" s="1060">
        <v>5.8999999999999997E-2</v>
      </c>
      <c r="DB77" s="1060">
        <v>3.5000000000000003E-2</v>
      </c>
      <c r="DC77" s="1060">
        <v>0.03</v>
      </c>
      <c r="DD77" s="1060">
        <v>0.02</v>
      </c>
      <c r="DE77" s="2322"/>
      <c r="DF77" s="1060">
        <v>-1.4E-2</v>
      </c>
      <c r="DG77" s="1060">
        <v>0</v>
      </c>
      <c r="DH77" s="1697">
        <v>3.0000000000000001E-3</v>
      </c>
      <c r="DI77" s="1697">
        <v>2.5000000000000001E-2</v>
      </c>
      <c r="DJ77" s="2668">
        <f>DJ72/DE67-1</f>
        <v>3.6815952925792761E-3</v>
      </c>
      <c r="DK77" s="1061">
        <f>'Key Inputs and Scenarios'!AX14</f>
        <v>7.4999999999999997E-2</v>
      </c>
      <c r="DL77" s="1061">
        <f>'Key Inputs and Scenarios'!AY14</f>
        <v>6.4000000000000001E-2</v>
      </c>
      <c r="DM77" s="1061">
        <f>'Key Inputs and Scenarios'!AZ14</f>
        <v>6.4000000000000001E-2</v>
      </c>
      <c r="DN77" s="1061">
        <f>'Key Inputs and Scenarios'!BA14</f>
        <v>6.4000000000000001E-2</v>
      </c>
      <c r="DO77" s="2668">
        <f>DO72/DJ72-1</f>
        <v>6.8788243478895561E-2</v>
      </c>
      <c r="DP77" s="1061">
        <f>'Key Inputs and Scenarios'!BC14</f>
        <v>3.5000000000000003E-2</v>
      </c>
      <c r="DQ77" s="1061">
        <f>'Key Inputs and Scenarios'!BD14</f>
        <v>3.5000000000000003E-2</v>
      </c>
      <c r="DR77" s="1061">
        <f>'Key Inputs and Scenarios'!BE14</f>
        <v>3.5000000000000003E-2</v>
      </c>
      <c r="DS77" s="1061">
        <f>'Key Inputs and Scenarios'!BF14</f>
        <v>3.5000000000000003E-2</v>
      </c>
      <c r="DT77" s="2668">
        <f>DT72/DO62-1</f>
        <v>3.499999999999992E-2</v>
      </c>
      <c r="DU77" s="1061">
        <f>'Key Inputs and Scenarios'!BH14</f>
        <v>3.5000000000000003E-2</v>
      </c>
      <c r="DV77" s="1061">
        <f>'Key Inputs and Scenarios'!BI14</f>
        <v>3.5000000000000003E-2</v>
      </c>
      <c r="DW77" s="1061">
        <f>'Key Inputs and Scenarios'!BJ14</f>
        <v>3.5000000000000003E-2</v>
      </c>
      <c r="DX77" s="1061">
        <f>'Key Inputs and Scenarios'!BK14</f>
        <v>3.5000000000000003E-2</v>
      </c>
      <c r="DY77" s="2668">
        <f>DY72/DT62-1</f>
        <v>3.499999999999992E-2</v>
      </c>
      <c r="DZ77" s="1850"/>
      <c r="EA77" s="1850"/>
    </row>
    <row r="78" spans="1:137" ht="12" customHeight="1" outlineLevel="1" x14ac:dyDescent="0.2">
      <c r="A78" s="1984"/>
      <c r="B78" s="2318"/>
      <c r="C78" s="1883"/>
      <c r="D78" s="1883"/>
      <c r="E78" s="1984"/>
      <c r="F78" s="2056"/>
      <c r="G78" s="1850"/>
      <c r="H78" s="1850"/>
      <c r="I78" s="2134"/>
      <c r="J78" s="1984"/>
      <c r="K78" s="2056"/>
      <c r="L78" s="1850"/>
      <c r="M78" s="1850"/>
      <c r="N78" s="2134"/>
      <c r="O78" s="1984"/>
      <c r="P78" s="2056"/>
      <c r="Q78" s="1850"/>
      <c r="R78" s="1850"/>
      <c r="S78" s="2134"/>
      <c r="T78" s="1984"/>
      <c r="U78" s="2056"/>
      <c r="V78" s="2045"/>
      <c r="W78" s="1984"/>
      <c r="X78" s="2134"/>
      <c r="Y78" s="1984"/>
      <c r="Z78" s="2056"/>
      <c r="AA78" s="1850"/>
      <c r="AB78" s="1850"/>
      <c r="AC78" s="2134"/>
      <c r="AD78" s="1984"/>
      <c r="AE78" s="2056"/>
      <c r="AF78" s="1850"/>
      <c r="AG78" s="1850"/>
      <c r="AH78" s="2134"/>
      <c r="AI78" s="1984"/>
      <c r="AJ78" s="2319"/>
      <c r="AK78" s="2319"/>
      <c r="AL78" s="1984"/>
      <c r="AM78" s="2134"/>
      <c r="AN78" s="2317"/>
      <c r="AO78" s="2320"/>
      <c r="AP78" s="2320"/>
      <c r="AQ78" s="1984"/>
      <c r="AR78" s="2134"/>
      <c r="AS78" s="2321"/>
      <c r="AT78" s="2319"/>
      <c r="AU78" s="2319"/>
      <c r="AV78" s="1984"/>
      <c r="AW78" s="2322"/>
      <c r="AX78" s="2320"/>
      <c r="AY78" s="2320"/>
      <c r="AZ78" s="2320"/>
      <c r="BA78" s="1984"/>
      <c r="BB78" s="2322"/>
      <c r="BC78" s="2320"/>
      <c r="BD78" s="2320"/>
      <c r="BE78" s="2320"/>
      <c r="BF78" s="1984"/>
      <c r="BG78" s="2322"/>
      <c r="BH78" s="2320"/>
      <c r="BI78" s="2320"/>
      <c r="BJ78" s="2320"/>
      <c r="BK78" s="1984"/>
      <c r="BL78" s="2322"/>
      <c r="BM78" s="1850"/>
      <c r="BN78" s="1850"/>
      <c r="BO78" s="1850"/>
      <c r="BP78" s="1850"/>
      <c r="BQ78" s="2322"/>
      <c r="BR78" s="1850"/>
      <c r="BS78" s="1850"/>
      <c r="BT78" s="1850"/>
      <c r="BU78" s="1850"/>
      <c r="BV78" s="2322"/>
      <c r="BW78" s="1850"/>
      <c r="BX78" s="1850"/>
      <c r="BY78" s="1850"/>
      <c r="BZ78" s="1850"/>
      <c r="CA78" s="365"/>
      <c r="CB78" s="1850"/>
      <c r="CC78" s="1850"/>
      <c r="CD78" s="1930"/>
      <c r="CE78" s="1984"/>
      <c r="CF78" s="2322"/>
      <c r="CG78" s="1850"/>
      <c r="CH78" s="1850"/>
      <c r="CI78" s="1850"/>
      <c r="CJ78" s="1850"/>
      <c r="CK78" s="2322"/>
      <c r="CL78" s="1850"/>
      <c r="CM78" s="1850"/>
      <c r="CN78" s="1850"/>
      <c r="CO78" s="1850"/>
      <c r="CP78" s="2322"/>
      <c r="CQ78" s="2350"/>
      <c r="CR78" s="1850"/>
      <c r="CS78" s="1850"/>
      <c r="CT78" s="1850"/>
      <c r="CU78" s="2586"/>
      <c r="CV78" s="1850"/>
      <c r="CW78" s="1850"/>
      <c r="CX78" s="1850"/>
      <c r="CY78" s="1850"/>
      <c r="CZ78" s="2322"/>
      <c r="DA78" s="1850"/>
      <c r="DB78" s="1850"/>
      <c r="DC78" s="1850"/>
      <c r="DD78" s="1850"/>
      <c r="DE78" s="2586"/>
      <c r="DF78" s="1820"/>
      <c r="DG78" s="1820"/>
      <c r="DH78" s="1820"/>
      <c r="DI78" s="1820"/>
      <c r="DJ78" s="2586"/>
      <c r="DK78" s="1850"/>
      <c r="DL78" s="1850"/>
      <c r="DM78" s="1850"/>
      <c r="DN78" s="1850"/>
      <c r="DO78" s="2586"/>
      <c r="DP78" s="1850"/>
      <c r="DQ78" s="1850"/>
      <c r="DR78" s="1850"/>
      <c r="DS78" s="1850"/>
      <c r="DT78" s="2586"/>
      <c r="DU78" s="1850"/>
      <c r="DV78" s="1850"/>
      <c r="DW78" s="1850"/>
      <c r="DX78" s="1850"/>
      <c r="DY78" s="2586"/>
      <c r="DZ78" s="1850"/>
      <c r="EA78" s="1850"/>
    </row>
    <row r="79" spans="1:137" ht="12" customHeight="1" outlineLevel="1" x14ac:dyDescent="0.2">
      <c r="A79" s="238"/>
      <c r="B79" s="254" t="s">
        <v>1004</v>
      </c>
      <c r="C79" s="238"/>
      <c r="D79" s="238"/>
      <c r="E79" s="238"/>
      <c r="F79" s="238"/>
      <c r="G79" s="238"/>
      <c r="H79" s="238"/>
      <c r="I79" s="239"/>
      <c r="J79" s="238"/>
      <c r="K79" s="238"/>
      <c r="L79" s="238"/>
      <c r="M79" s="238"/>
      <c r="N79" s="239"/>
      <c r="O79" s="238"/>
      <c r="P79" s="238"/>
      <c r="Q79" s="238"/>
      <c r="R79" s="238"/>
      <c r="S79" s="239"/>
      <c r="T79" s="238"/>
      <c r="U79" s="238"/>
      <c r="V79" s="238"/>
      <c r="W79" s="238"/>
      <c r="X79" s="239"/>
      <c r="Y79" s="238"/>
      <c r="Z79" s="238"/>
      <c r="AA79" s="238"/>
      <c r="AB79" s="238"/>
      <c r="AC79" s="239"/>
      <c r="AD79" s="238"/>
      <c r="AE79" s="238"/>
      <c r="AF79" s="238"/>
      <c r="AG79" s="238"/>
      <c r="AH79" s="239"/>
      <c r="AI79" s="238"/>
      <c r="AJ79" s="238"/>
      <c r="AK79" s="238"/>
      <c r="AL79" s="238"/>
      <c r="AM79" s="239"/>
      <c r="AN79" s="238"/>
      <c r="AO79" s="1054"/>
      <c r="AP79" s="1054"/>
      <c r="AQ79" s="238"/>
      <c r="AR79" s="239"/>
      <c r="AS79" s="1054"/>
      <c r="AT79" s="238"/>
      <c r="AU79" s="238"/>
      <c r="AV79" s="238"/>
      <c r="AW79" s="239"/>
      <c r="AX79" s="1054"/>
      <c r="AY79" s="1054"/>
      <c r="AZ79" s="1054"/>
      <c r="BA79" s="238"/>
      <c r="BB79" s="239"/>
      <c r="BC79" s="1054"/>
      <c r="BD79" s="1054"/>
      <c r="BE79" s="1054"/>
      <c r="BF79" s="238"/>
      <c r="BG79" s="239"/>
      <c r="BH79" s="1054"/>
      <c r="BI79" s="1054"/>
      <c r="BJ79" s="1054"/>
      <c r="BK79" s="238"/>
      <c r="BL79" s="239"/>
      <c r="BM79" s="238"/>
      <c r="BN79" s="238"/>
      <c r="BO79" s="238"/>
      <c r="BP79" s="238"/>
      <c r="BQ79" s="239"/>
      <c r="BR79" s="1018">
        <f t="shared" ref="BR79:CE79" si="86">BR62-BR72</f>
        <v>5.9250000000000114</v>
      </c>
      <c r="BS79" s="1018">
        <f t="shared" si="86"/>
        <v>11.869999999999976</v>
      </c>
      <c r="BT79" s="1018">
        <f t="shared" si="86"/>
        <v>13.017300000000006</v>
      </c>
      <c r="BU79" s="1018">
        <f t="shared" si="86"/>
        <v>-1.8403999999999883</v>
      </c>
      <c r="BV79" s="306">
        <f t="shared" si="86"/>
        <v>28.971900000000005</v>
      </c>
      <c r="BW79" s="1018">
        <f t="shared" si="86"/>
        <v>2.6140000000000327</v>
      </c>
      <c r="BX79" s="1018">
        <f t="shared" si="86"/>
        <v>1.8488000000000113</v>
      </c>
      <c r="BY79" s="1018">
        <f t="shared" si="86"/>
        <v>3.6229999999999905</v>
      </c>
      <c r="BZ79" s="1018">
        <f t="shared" si="86"/>
        <v>2.3149999999999977</v>
      </c>
      <c r="CA79" s="306">
        <f t="shared" si="86"/>
        <v>10.400800000000118</v>
      </c>
      <c r="CB79" s="1018">
        <f t="shared" si="86"/>
        <v>2.165300000000002</v>
      </c>
      <c r="CC79" s="1018">
        <f t="shared" si="86"/>
        <v>1.9075000000000273</v>
      </c>
      <c r="CD79" s="1018">
        <f t="shared" si="86"/>
        <v>1.7230000000000132</v>
      </c>
      <c r="CE79" s="1018">
        <f t="shared" si="86"/>
        <v>1.7623000000000388</v>
      </c>
      <c r="CF79" s="239">
        <f>SUM(CB79:CE79)</f>
        <v>7.5581000000000813</v>
      </c>
      <c r="CG79" s="1018">
        <f>CG62-CG72</f>
        <v>1.9767999999999972</v>
      </c>
      <c r="CH79" s="1018">
        <f>CH62-CH72</f>
        <v>1.4952000000000112</v>
      </c>
      <c r="CI79" s="1018">
        <f>CI62-CI72</f>
        <v>1.492999999999995</v>
      </c>
      <c r="CJ79" s="1018">
        <f>CJ62-CJ72</f>
        <v>1.3989999999999725</v>
      </c>
      <c r="CK79" s="239">
        <f>SUM(CG79:CJ79)</f>
        <v>6.3639999999999759</v>
      </c>
      <c r="CL79" s="238">
        <f>CL83*CL218*CL80/1000000</f>
        <v>2.2106499999999998</v>
      </c>
      <c r="CM79" s="238">
        <f>CM83*CM218*CM80/1000000</f>
        <v>2.9269500000000002</v>
      </c>
      <c r="CN79" s="238">
        <f>CN83*CN218*CN80/1000000</f>
        <v>3.0381</v>
      </c>
      <c r="CO79" s="238">
        <f>CO83*CO218*CO80/1000000</f>
        <v>2.4946999999999999</v>
      </c>
      <c r="CP79" s="239">
        <f>CP62-CP72</f>
        <v>-123.61180000000013</v>
      </c>
      <c r="CQ79" s="1736">
        <f>CQ83*CQ218*CQ80/1000000</f>
        <v>3.6802999999999999</v>
      </c>
      <c r="CR79" s="238">
        <f>CR83*CR218*CR80/1000000</f>
        <v>2.9887000000000001</v>
      </c>
      <c r="CS79" s="238">
        <f>CS83*CS218*CS80/1000000</f>
        <v>3.3098000000000001</v>
      </c>
      <c r="CT79" s="238">
        <f>CT83*CT218*CT80/1000000</f>
        <v>3.96435</v>
      </c>
      <c r="CU79" s="2598">
        <f>CU62-CU72</f>
        <v>-153.70550000000003</v>
      </c>
      <c r="CV79" s="238">
        <f>CV83*CV218*CV80/1000000</f>
        <v>2.1859500000000001</v>
      </c>
      <c r="CW79" s="238">
        <f>CW83*CW218*CW80/1000000</f>
        <v>2.0871499999999998</v>
      </c>
      <c r="CX79" s="238">
        <f>CX83*CX218*CX80/1000000</f>
        <v>0.13585</v>
      </c>
      <c r="CY79" s="238">
        <f>CY83*CY218*CY80/1000000</f>
        <v>20.6739</v>
      </c>
      <c r="CZ79" s="239">
        <f t="shared" ref="CZ79:DE79" si="87">CZ62-CZ72</f>
        <v>-189.13400000000013</v>
      </c>
      <c r="DA79" s="238">
        <f t="shared" si="87"/>
        <v>-5.4872000000000298</v>
      </c>
      <c r="DB79" s="238">
        <f t="shared" si="87"/>
        <v>-8.726099999999974</v>
      </c>
      <c r="DC79" s="238">
        <f t="shared" si="87"/>
        <v>-9.6974999999999625</v>
      </c>
      <c r="DD79" s="238">
        <f t="shared" si="87"/>
        <v>-39.274999999999977</v>
      </c>
      <c r="DE79" s="2598">
        <f t="shared" si="87"/>
        <v>-63.185799999999972</v>
      </c>
      <c r="DF79" s="238">
        <f>DF62-DF72</f>
        <v>-61.2286</v>
      </c>
      <c r="DG79" s="238">
        <f>DG62-DG72</f>
        <v>-65.999999999999972</v>
      </c>
      <c r="DH79" s="238">
        <f>DH62-DH72</f>
        <v>-69.628699999999952</v>
      </c>
      <c r="DI79" s="238">
        <f>DI62-DI72</f>
        <v>-77.58949999999993</v>
      </c>
      <c r="DJ79" s="239">
        <f>DJ62-DJ72</f>
        <v>-274.44679999999994</v>
      </c>
      <c r="DK79" s="238">
        <f>DK83*DK218*DK80/1000000</f>
        <v>1.8772</v>
      </c>
      <c r="DL79" s="238">
        <f>DL83*DL218*DL80/1000000</f>
        <v>1.8895500000000001</v>
      </c>
      <c r="DM79" s="238">
        <f>DM83*DM218*DM80/1000000</f>
        <v>1.5684499999999999</v>
      </c>
      <c r="DN79" s="238">
        <f>DN83*DN218*DN80/1000000</f>
        <v>1.2350000000000001</v>
      </c>
      <c r="DO79" s="239">
        <f>DO62-DO72</f>
        <v>6.5702000000001135</v>
      </c>
      <c r="DP79" s="238">
        <f>DP83*DP218*DP80/1000000</f>
        <v>1.2350000000000001</v>
      </c>
      <c r="DQ79" s="238">
        <f>DQ83*DQ218*DQ80/1000000</f>
        <v>1.2350000000000001</v>
      </c>
      <c r="DR79" s="238">
        <f>DR83*DR218*DR80/1000000</f>
        <v>1.2350000000000001</v>
      </c>
      <c r="DS79" s="238">
        <f>DS83*DS218*DS80/1000000</f>
        <v>1.2350000000000001</v>
      </c>
      <c r="DT79" s="2598">
        <f>DT62-DT72</f>
        <v>4.9400000000002819</v>
      </c>
      <c r="DU79" s="238">
        <f>DU83*DU218*DU80/1000000</f>
        <v>1.2350000000000001</v>
      </c>
      <c r="DV79" s="238">
        <f>DV83*DV218*DV80/1000000</f>
        <v>1.2350000000000001</v>
      </c>
      <c r="DW79" s="238">
        <f>DW83*DW218*DW80/1000000</f>
        <v>1.2350000000000001</v>
      </c>
      <c r="DX79" s="238">
        <f>DX83*DX218*DX80/1000000</f>
        <v>1.2350000000000001</v>
      </c>
      <c r="DY79" s="2598">
        <f>DY62-DY72</f>
        <v>4.9399999999998272</v>
      </c>
      <c r="DZ79" s="238"/>
      <c r="EA79" s="238"/>
    </row>
    <row r="80" spans="1:137" ht="12" customHeight="1" outlineLevel="1" x14ac:dyDescent="0.2">
      <c r="A80" s="238"/>
      <c r="B80" s="254" t="s">
        <v>1005</v>
      </c>
      <c r="C80" s="238"/>
      <c r="D80" s="238"/>
      <c r="E80" s="238"/>
      <c r="F80" s="238"/>
      <c r="G80" s="238"/>
      <c r="H80" s="238"/>
      <c r="I80" s="239"/>
      <c r="J80" s="238"/>
      <c r="K80" s="238"/>
      <c r="L80" s="238"/>
      <c r="M80" s="238"/>
      <c r="N80" s="239"/>
      <c r="O80" s="238"/>
      <c r="P80" s="238"/>
      <c r="Q80" s="238"/>
      <c r="R80" s="238"/>
      <c r="S80" s="239"/>
      <c r="T80" s="238"/>
      <c r="U80" s="238"/>
      <c r="V80" s="238"/>
      <c r="W80" s="238"/>
      <c r="X80" s="239"/>
      <c r="Y80" s="238"/>
      <c r="Z80" s="238"/>
      <c r="AA80" s="238"/>
      <c r="AB80" s="238"/>
      <c r="AC80" s="239"/>
      <c r="AD80" s="238"/>
      <c r="AE80" s="238"/>
      <c r="AF80" s="238"/>
      <c r="AG80" s="238"/>
      <c r="AH80" s="239"/>
      <c r="AI80" s="238"/>
      <c r="AJ80" s="238"/>
      <c r="AK80" s="238"/>
      <c r="AL80" s="238"/>
      <c r="AM80" s="239"/>
      <c r="AN80" s="238"/>
      <c r="AO80" s="1054"/>
      <c r="AP80" s="1054"/>
      <c r="AQ80" s="238"/>
      <c r="AR80" s="239"/>
      <c r="AS80" s="1054"/>
      <c r="AT80" s="238"/>
      <c r="AU80" s="238"/>
      <c r="AV80" s="238"/>
      <c r="AW80" s="239"/>
      <c r="AX80" s="1054"/>
      <c r="AY80" s="1054"/>
      <c r="AZ80" s="1054"/>
      <c r="BA80" s="238"/>
      <c r="BB80" s="239"/>
      <c r="BC80" s="1054"/>
      <c r="BD80" s="1054"/>
      <c r="BE80" s="1054"/>
      <c r="BF80" s="238"/>
      <c r="BG80" s="239"/>
      <c r="BH80" s="1054"/>
      <c r="BI80" s="1054"/>
      <c r="BJ80" s="1054"/>
      <c r="BK80" s="238"/>
      <c r="BL80" s="306">
        <f>BL54-BG54</f>
        <v>43</v>
      </c>
      <c r="BM80" s="238"/>
      <c r="BN80" s="238"/>
      <c r="BO80" s="238"/>
      <c r="BP80" s="238"/>
      <c r="BQ80" s="306">
        <f t="shared" ref="BQ80:DJ80" si="88">BQ54-BL54</f>
        <v>678</v>
      </c>
      <c r="BR80" s="1018">
        <f t="shared" si="88"/>
        <v>645</v>
      </c>
      <c r="BS80" s="1018">
        <f t="shared" si="88"/>
        <v>641</v>
      </c>
      <c r="BT80" s="1018">
        <f t="shared" si="88"/>
        <v>661</v>
      </c>
      <c r="BU80" s="1018">
        <f t="shared" si="88"/>
        <v>102</v>
      </c>
      <c r="BV80" s="306">
        <f t="shared" si="88"/>
        <v>102</v>
      </c>
      <c r="BW80" s="1018">
        <f t="shared" si="88"/>
        <v>151</v>
      </c>
      <c r="BX80" s="1018">
        <f t="shared" si="88"/>
        <v>160</v>
      </c>
      <c r="BY80" s="1018">
        <f t="shared" si="88"/>
        <v>144</v>
      </c>
      <c r="BZ80" s="1018">
        <f t="shared" si="88"/>
        <v>157</v>
      </c>
      <c r="CA80" s="306">
        <f t="shared" si="88"/>
        <v>157</v>
      </c>
      <c r="CB80" s="1018">
        <f t="shared" si="88"/>
        <v>163</v>
      </c>
      <c r="CC80" s="1018">
        <f t="shared" si="88"/>
        <v>157</v>
      </c>
      <c r="CD80" s="1018">
        <f t="shared" si="88"/>
        <v>152</v>
      </c>
      <c r="CE80" s="1018">
        <f t="shared" si="88"/>
        <v>145</v>
      </c>
      <c r="CF80" s="239">
        <f t="shared" si="88"/>
        <v>145</v>
      </c>
      <c r="CG80" s="1018">
        <f t="shared" si="88"/>
        <v>126</v>
      </c>
      <c r="CH80" s="1018">
        <f t="shared" si="88"/>
        <v>114</v>
      </c>
      <c r="CI80" s="1018">
        <f t="shared" si="88"/>
        <v>115</v>
      </c>
      <c r="CJ80" s="238">
        <f t="shared" si="88"/>
        <v>131</v>
      </c>
      <c r="CK80" s="239">
        <f t="shared" si="88"/>
        <v>131</v>
      </c>
      <c r="CL80" s="238">
        <f t="shared" si="88"/>
        <v>179</v>
      </c>
      <c r="CM80" s="238">
        <f t="shared" si="88"/>
        <v>237</v>
      </c>
      <c r="CN80" s="238">
        <f t="shared" si="88"/>
        <v>246</v>
      </c>
      <c r="CO80" s="238">
        <f t="shared" si="88"/>
        <v>202</v>
      </c>
      <c r="CP80" s="239">
        <f t="shared" si="88"/>
        <v>121</v>
      </c>
      <c r="CQ80" s="1736">
        <f t="shared" si="88"/>
        <v>298</v>
      </c>
      <c r="CR80" s="238">
        <f t="shared" si="88"/>
        <v>242</v>
      </c>
      <c r="CS80" s="238">
        <f t="shared" si="88"/>
        <v>268</v>
      </c>
      <c r="CT80" s="238">
        <f t="shared" si="88"/>
        <v>321</v>
      </c>
      <c r="CU80" s="2598">
        <f t="shared" si="88"/>
        <v>388</v>
      </c>
      <c r="CV80" s="238">
        <f t="shared" si="88"/>
        <v>177</v>
      </c>
      <c r="CW80" s="238">
        <f t="shared" si="88"/>
        <v>169</v>
      </c>
      <c r="CX80" s="238">
        <f t="shared" si="88"/>
        <v>11</v>
      </c>
      <c r="CY80" s="238">
        <f t="shared" si="88"/>
        <v>1674</v>
      </c>
      <c r="CZ80" s="239">
        <f t="shared" si="88"/>
        <v>1688</v>
      </c>
      <c r="DA80" s="238">
        <f t="shared" si="88"/>
        <v>1668</v>
      </c>
      <c r="DB80" s="238">
        <f t="shared" si="88"/>
        <v>1658</v>
      </c>
      <c r="DC80" s="238">
        <f t="shared" si="88"/>
        <v>1784</v>
      </c>
      <c r="DD80" s="238">
        <f t="shared" si="88"/>
        <v>92</v>
      </c>
      <c r="DE80" s="2598">
        <f t="shared" si="88"/>
        <v>92</v>
      </c>
      <c r="DF80" s="238">
        <f t="shared" si="88"/>
        <v>2</v>
      </c>
      <c r="DG80" s="238">
        <f t="shared" si="88"/>
        <v>14</v>
      </c>
      <c r="DH80" s="238">
        <f t="shared" si="88"/>
        <v>23</v>
      </c>
      <c r="DI80" s="238">
        <f t="shared" si="88"/>
        <v>56</v>
      </c>
      <c r="DJ80" s="239">
        <f t="shared" si="88"/>
        <v>56</v>
      </c>
      <c r="DK80" s="238">
        <f t="shared" ref="DK80:DT80" si="89">DK54-DF54</f>
        <v>152</v>
      </c>
      <c r="DL80" s="238">
        <f t="shared" si="89"/>
        <v>153</v>
      </c>
      <c r="DM80" s="238">
        <f t="shared" si="89"/>
        <v>127</v>
      </c>
      <c r="DN80" s="238">
        <f t="shared" si="89"/>
        <v>100</v>
      </c>
      <c r="DO80" s="239">
        <f t="shared" si="89"/>
        <v>100</v>
      </c>
      <c r="DP80" s="238">
        <f t="shared" si="89"/>
        <v>100</v>
      </c>
      <c r="DQ80" s="238">
        <f t="shared" si="89"/>
        <v>100</v>
      </c>
      <c r="DR80" s="238">
        <f t="shared" si="89"/>
        <v>100</v>
      </c>
      <c r="DS80" s="238">
        <f t="shared" si="89"/>
        <v>100</v>
      </c>
      <c r="DT80" s="239">
        <f t="shared" si="89"/>
        <v>100</v>
      </c>
      <c r="DU80" s="238">
        <f t="shared" ref="DU80" si="90">DU54-DP54</f>
        <v>100</v>
      </c>
      <c r="DV80" s="238">
        <f t="shared" ref="DV80" si="91">DV54-DQ54</f>
        <v>100</v>
      </c>
      <c r="DW80" s="238">
        <f t="shared" ref="DW80" si="92">DW54-DR54</f>
        <v>100</v>
      </c>
      <c r="DX80" s="238">
        <f t="shared" ref="DX80" si="93">DX54-DS54</f>
        <v>100</v>
      </c>
      <c r="DY80" s="239">
        <f t="shared" ref="DY80" si="94">DY54-DT54</f>
        <v>100</v>
      </c>
      <c r="DZ80" s="238"/>
      <c r="EA80" s="238"/>
    </row>
    <row r="81" spans="1:131" ht="6" customHeight="1" outlineLevel="1" x14ac:dyDescent="0.2">
      <c r="A81" s="1984"/>
      <c r="B81" s="2318"/>
      <c r="C81" s="1883"/>
      <c r="D81" s="1883"/>
      <c r="E81" s="1984"/>
      <c r="F81" s="2056"/>
      <c r="G81" s="1850"/>
      <c r="H81" s="1850"/>
      <c r="I81" s="2134"/>
      <c r="J81" s="1984"/>
      <c r="K81" s="2056"/>
      <c r="L81" s="1850"/>
      <c r="M81" s="1850"/>
      <c r="N81" s="2134"/>
      <c r="O81" s="1984"/>
      <c r="P81" s="2056"/>
      <c r="Q81" s="1850"/>
      <c r="R81" s="1850"/>
      <c r="S81" s="2134"/>
      <c r="T81" s="1984"/>
      <c r="U81" s="2056"/>
      <c r="V81" s="2045"/>
      <c r="W81" s="1984"/>
      <c r="X81" s="2134"/>
      <c r="Y81" s="1984"/>
      <c r="Z81" s="2056"/>
      <c r="AA81" s="1850"/>
      <c r="AB81" s="1850"/>
      <c r="AC81" s="2134"/>
      <c r="AD81" s="1984"/>
      <c r="AE81" s="2056"/>
      <c r="AF81" s="1850"/>
      <c r="AG81" s="1850"/>
      <c r="AH81" s="2134"/>
      <c r="AI81" s="1984"/>
      <c r="AJ81" s="2319"/>
      <c r="AK81" s="2319"/>
      <c r="AL81" s="1984"/>
      <c r="AM81" s="2134"/>
      <c r="AN81" s="2317"/>
      <c r="AO81" s="2320"/>
      <c r="AP81" s="2320"/>
      <c r="AQ81" s="1984"/>
      <c r="AR81" s="2134"/>
      <c r="AS81" s="2321"/>
      <c r="AT81" s="2319"/>
      <c r="AU81" s="2319"/>
      <c r="AV81" s="1984"/>
      <c r="AW81" s="2322"/>
      <c r="AX81" s="2320"/>
      <c r="AY81" s="2320"/>
      <c r="AZ81" s="2320"/>
      <c r="BA81" s="1984"/>
      <c r="BB81" s="2322"/>
      <c r="BC81" s="2320"/>
      <c r="BD81" s="2320"/>
      <c r="BE81" s="2320"/>
      <c r="BF81" s="1984"/>
      <c r="BG81" s="2322"/>
      <c r="BH81" s="2320"/>
      <c r="BI81" s="2320"/>
      <c r="BJ81" s="2320"/>
      <c r="BK81" s="1984"/>
      <c r="BL81" s="2322"/>
      <c r="BM81" s="1850"/>
      <c r="BN81" s="1850"/>
      <c r="BO81" s="1850"/>
      <c r="BP81" s="1850"/>
      <c r="BQ81" s="2322"/>
      <c r="BR81" s="1850"/>
      <c r="BS81" s="1850"/>
      <c r="BT81" s="1850"/>
      <c r="BU81" s="1850"/>
      <c r="BV81" s="2322"/>
      <c r="BW81" s="1850"/>
      <c r="BX81" s="1850"/>
      <c r="BY81" s="1850"/>
      <c r="BZ81" s="1850"/>
      <c r="CA81" s="365"/>
      <c r="CB81" s="1850"/>
      <c r="CC81" s="1850"/>
      <c r="CD81" s="2351"/>
      <c r="CE81" s="1984"/>
      <c r="CF81" s="2322"/>
      <c r="CG81" s="1850"/>
      <c r="CH81" s="1850"/>
      <c r="CI81" s="1850"/>
      <c r="CJ81" s="1850"/>
      <c r="CK81" s="2322"/>
      <c r="CL81" s="1850"/>
      <c r="CM81" s="1850"/>
      <c r="CN81" s="1850"/>
      <c r="CO81" s="1850"/>
      <c r="CP81" s="2322"/>
      <c r="CQ81" s="2350"/>
      <c r="CR81" s="1850"/>
      <c r="CS81" s="1850"/>
      <c r="CT81" s="1850"/>
      <c r="CU81" s="2586"/>
      <c r="CV81" s="1850"/>
      <c r="CW81" s="1850"/>
      <c r="CX81" s="1850"/>
      <c r="CY81" s="1850"/>
      <c r="CZ81" s="2322"/>
      <c r="DA81" s="1850"/>
      <c r="DB81" s="1850"/>
      <c r="DC81" s="1850"/>
      <c r="DD81" s="1850"/>
      <c r="DE81" s="2586"/>
      <c r="DF81" s="1850"/>
      <c r="DG81" s="1850"/>
      <c r="DH81" s="1850"/>
      <c r="DI81" s="1850"/>
      <c r="DJ81" s="2322"/>
      <c r="DK81" s="1850"/>
      <c r="DL81" s="1850"/>
      <c r="DM81" s="1850"/>
      <c r="DN81" s="1850"/>
      <c r="DO81" s="2322"/>
      <c r="DP81" s="1850"/>
      <c r="DQ81" s="1850"/>
      <c r="DR81" s="1850"/>
      <c r="DS81" s="1850"/>
      <c r="DT81" s="2322"/>
      <c r="DU81" s="1850"/>
      <c r="DV81" s="1850"/>
      <c r="DW81" s="1850"/>
      <c r="DX81" s="1850"/>
      <c r="DY81" s="2322"/>
      <c r="DZ81" s="1850"/>
      <c r="EA81" s="1850"/>
    </row>
    <row r="82" spans="1:131" ht="12" customHeight="1" outlineLevel="1" x14ac:dyDescent="0.2">
      <c r="A82" s="238"/>
      <c r="B82" s="254" t="s">
        <v>1006</v>
      </c>
      <c r="C82" s="238"/>
      <c r="D82" s="238"/>
      <c r="E82" s="238"/>
      <c r="F82" s="238"/>
      <c r="G82" s="238"/>
      <c r="H82" s="238"/>
      <c r="I82" s="239"/>
      <c r="J82" s="238"/>
      <c r="K82" s="238"/>
      <c r="L82" s="238"/>
      <c r="M82" s="238"/>
      <c r="N82" s="239"/>
      <c r="O82" s="238"/>
      <c r="P82" s="238"/>
      <c r="Q82" s="238"/>
      <c r="R82" s="238"/>
      <c r="S82" s="239"/>
      <c r="T82" s="238"/>
      <c r="U82" s="238"/>
      <c r="V82" s="238"/>
      <c r="W82" s="238"/>
      <c r="X82" s="239"/>
      <c r="Y82" s="238"/>
      <c r="Z82" s="238"/>
      <c r="AA82" s="238"/>
      <c r="AB82" s="238"/>
      <c r="AC82" s="239"/>
      <c r="AD82" s="238"/>
      <c r="AE82" s="238"/>
      <c r="AF82" s="238"/>
      <c r="AG82" s="238"/>
      <c r="AH82" s="239"/>
      <c r="AI82" s="238"/>
      <c r="AJ82" s="238"/>
      <c r="AK82" s="238"/>
      <c r="AL82" s="238"/>
      <c r="AM82" s="239"/>
      <c r="AN82" s="238"/>
      <c r="AO82" s="1054"/>
      <c r="AP82" s="1054"/>
      <c r="AQ82" s="238"/>
      <c r="AR82" s="239"/>
      <c r="AS82" s="1054"/>
      <c r="AT82" s="238"/>
      <c r="AU82" s="238"/>
      <c r="AV82" s="238"/>
      <c r="AW82" s="239"/>
      <c r="AX82" s="1054"/>
      <c r="AY82" s="1054"/>
      <c r="AZ82" s="1054"/>
      <c r="BA82" s="238"/>
      <c r="BB82" s="239"/>
      <c r="BC82" s="1054"/>
      <c r="BD82" s="1054"/>
      <c r="BE82" s="1054"/>
      <c r="BF82" s="238"/>
      <c r="BG82" s="239"/>
      <c r="BH82" s="1054"/>
      <c r="BI82" s="1054"/>
      <c r="BJ82" s="1054"/>
      <c r="BK82" s="238"/>
      <c r="BL82" s="305">
        <f>BL62/BL$218/BL54*1000000</f>
        <v>1624.3764242162963</v>
      </c>
      <c r="BM82" s="238"/>
      <c r="BN82" s="238"/>
      <c r="BO82" s="238"/>
      <c r="BP82" s="238"/>
      <c r="BQ82" s="305">
        <f t="shared" ref="BQ82:DJ82" si="95">BQ62/BQ$218/BQ54*1000000</f>
        <v>1552.7950310559006</v>
      </c>
      <c r="BR82" s="255">
        <f t="shared" si="95"/>
        <v>1696.0470085470085</v>
      </c>
      <c r="BS82" s="255">
        <f t="shared" si="95"/>
        <v>1695.8721232717489</v>
      </c>
      <c r="BT82" s="255">
        <f t="shared" si="95"/>
        <v>1666.22760800843</v>
      </c>
      <c r="BU82" s="255">
        <f t="shared" si="95"/>
        <v>1741.034765945798</v>
      </c>
      <c r="BV82" s="239">
        <f t="shared" si="95"/>
        <v>1687.3802354229404</v>
      </c>
      <c r="BW82" s="255">
        <f t="shared" si="95"/>
        <v>1713.1530511114258</v>
      </c>
      <c r="BX82" s="255">
        <f t="shared" si="95"/>
        <v>1704.2319053853728</v>
      </c>
      <c r="BY82" s="255">
        <f t="shared" si="95"/>
        <v>1696.1366374118052</v>
      </c>
      <c r="BZ82" s="255">
        <f t="shared" si="95"/>
        <v>1753.314911209648</v>
      </c>
      <c r="CA82" s="239">
        <f t="shared" si="95"/>
        <v>1703.5109140372299</v>
      </c>
      <c r="CB82" s="238">
        <f t="shared" si="95"/>
        <v>1762.8648683174006</v>
      </c>
      <c r="CC82" s="238">
        <f t="shared" si="95"/>
        <v>1719.2826441381355</v>
      </c>
      <c r="CD82" s="238">
        <f t="shared" si="95"/>
        <v>1695.5935630634426</v>
      </c>
      <c r="CE82" s="238">
        <f t="shared" si="95"/>
        <v>1773.209730081574</v>
      </c>
      <c r="CF82" s="239">
        <f t="shared" si="95"/>
        <v>1726.7535248973763</v>
      </c>
      <c r="CG82" s="238">
        <f t="shared" si="95"/>
        <v>1878.0865489244163</v>
      </c>
      <c r="CH82" s="238">
        <f t="shared" si="95"/>
        <v>1838.6491557223264</v>
      </c>
      <c r="CI82" s="238">
        <f t="shared" si="95"/>
        <v>1830.0206330938236</v>
      </c>
      <c r="CJ82" s="238">
        <f t="shared" si="95"/>
        <v>1913.2784619510285</v>
      </c>
      <c r="CK82" s="239">
        <f t="shared" si="95"/>
        <v>1851.1355900736432</v>
      </c>
      <c r="CL82" s="238">
        <f t="shared" si="95"/>
        <v>1886.5611881147665</v>
      </c>
      <c r="CM82" s="238">
        <f>CM62/CM$218/CM54*1000000</f>
        <v>1828.9049797517698</v>
      </c>
      <c r="CN82" s="238">
        <f>CN62/CN$218/CN54*1000000</f>
        <v>1811.4305785538663</v>
      </c>
      <c r="CO82" s="238">
        <f t="shared" si="95"/>
        <v>1892.9503916449087</v>
      </c>
      <c r="CP82" s="239">
        <f t="shared" si="95"/>
        <v>1864.4635480629674</v>
      </c>
      <c r="CQ82" s="1736">
        <f>CQ62/CQ$218/CQ54*1000000</f>
        <v>1807.8740776403313</v>
      </c>
      <c r="CR82" s="238">
        <f t="shared" si="95"/>
        <v>1823.4850783521099</v>
      </c>
      <c r="CS82" s="238">
        <f t="shared" si="95"/>
        <v>1820.0506162185222</v>
      </c>
      <c r="CT82" s="238">
        <f t="shared" si="95"/>
        <v>1893.9211396296973</v>
      </c>
      <c r="CU82" s="2598">
        <f t="shared" si="95"/>
        <v>1821.2144326114453</v>
      </c>
      <c r="CV82" s="238">
        <f t="shared" si="95"/>
        <v>1855.3392647821825</v>
      </c>
      <c r="CW82" s="238">
        <f>CW62/CW$218/CW54*1000000</f>
        <v>1850.2548771607067</v>
      </c>
      <c r="CX82" s="238">
        <f>CX62/CX$218/CX54*1000000</f>
        <v>1869.8195057711673</v>
      </c>
      <c r="CY82" s="238">
        <f>CY62/CY$218/CY54*1000000</f>
        <v>1565.5499342708042</v>
      </c>
      <c r="CZ82" s="239">
        <f t="shared" si="95"/>
        <v>1545.2336374138547</v>
      </c>
      <c r="DA82" s="238">
        <f>DA62/DA$218/DA54*1000000</f>
        <v>1959.4949189739348</v>
      </c>
      <c r="DB82" s="238">
        <f>DB62/DB$218/DB54*1000000</f>
        <v>1909.9731571340078</v>
      </c>
      <c r="DC82" s="238">
        <f>DC62/DC$218/DC54*1000000</f>
        <v>1901.7269736842106</v>
      </c>
      <c r="DD82" s="238">
        <f>DD62/DD$218/DD54*1000000</f>
        <v>1963.5232931631822</v>
      </c>
      <c r="DE82" s="2598">
        <f t="shared" si="95"/>
        <v>1926.0956033809218</v>
      </c>
      <c r="DF82" s="238">
        <f t="shared" si="95"/>
        <v>1904.7921900340255</v>
      </c>
      <c r="DG82" s="238">
        <f>DG62/DG$218/DG54*1000000</f>
        <v>1862.8072957969866</v>
      </c>
      <c r="DH82" s="238">
        <f>DH62/DH$218/DH54*1000000</f>
        <v>1847.3844891648191</v>
      </c>
      <c r="DI82" s="238">
        <f>DI62/DI$218/DI54*1000000</f>
        <v>1922.3157746058898</v>
      </c>
      <c r="DJ82" s="239">
        <f t="shared" si="95"/>
        <v>1870.8127025478857</v>
      </c>
      <c r="DK82" s="238">
        <f t="shared" ref="DK82:DT82" si="96">DK62/DK$218/DK54*1000000</f>
        <v>2564.9611784227172</v>
      </c>
      <c r="DL82" s="238">
        <f t="shared" si="96"/>
        <v>2520.0598802395211</v>
      </c>
      <c r="DM82" s="238">
        <f t="shared" si="96"/>
        <v>2531.2328095067519</v>
      </c>
      <c r="DN82" s="238">
        <f t="shared" si="96"/>
        <v>2669.018650137099</v>
      </c>
      <c r="DO82" s="239">
        <f t="shared" si="96"/>
        <v>2561.6832739107813</v>
      </c>
      <c r="DP82" s="238">
        <f t="shared" si="96"/>
        <v>2637.5638404202573</v>
      </c>
      <c r="DQ82" s="238">
        <f t="shared" si="96"/>
        <v>2591.6010499346935</v>
      </c>
      <c r="DR82" s="238">
        <f t="shared" si="96"/>
        <v>2603.0908810922497</v>
      </c>
      <c r="DS82" s="238">
        <f t="shared" si="96"/>
        <v>2744.3153955351854</v>
      </c>
      <c r="DT82" s="239">
        <f t="shared" si="96"/>
        <v>2634.3338691084987</v>
      </c>
      <c r="DU82" s="238">
        <f t="shared" ref="DU82:DY82" si="97">DU62/DU$218/DU54*1000000</f>
        <v>2712.1294865338596</v>
      </c>
      <c r="DV82" s="238">
        <f t="shared" si="97"/>
        <v>2665.0753440515273</v>
      </c>
      <c r="DW82" s="238">
        <f t="shared" si="97"/>
        <v>2676.892065880364</v>
      </c>
      <c r="DX82" s="238">
        <f t="shared" si="97"/>
        <v>2821.6554927340694</v>
      </c>
      <c r="DY82" s="239">
        <f t="shared" si="97"/>
        <v>2708.9513166323409</v>
      </c>
      <c r="DZ82" s="238"/>
      <c r="EA82" s="238"/>
    </row>
    <row r="83" spans="1:131" ht="12" customHeight="1" outlineLevel="1" x14ac:dyDescent="0.2">
      <c r="A83" s="238"/>
      <c r="B83" s="254" t="s">
        <v>1007</v>
      </c>
      <c r="C83" s="238"/>
      <c r="D83" s="238"/>
      <c r="E83" s="238"/>
      <c r="F83" s="238"/>
      <c r="G83" s="238"/>
      <c r="H83" s="238"/>
      <c r="I83" s="239"/>
      <c r="J83" s="238"/>
      <c r="K83" s="238"/>
      <c r="L83" s="238"/>
      <c r="M83" s="238"/>
      <c r="N83" s="239"/>
      <c r="O83" s="238"/>
      <c r="P83" s="238"/>
      <c r="Q83" s="238"/>
      <c r="R83" s="238"/>
      <c r="S83" s="239"/>
      <c r="T83" s="238"/>
      <c r="U83" s="238"/>
      <c r="V83" s="238"/>
      <c r="W83" s="238"/>
      <c r="X83" s="239"/>
      <c r="Y83" s="238"/>
      <c r="Z83" s="238"/>
      <c r="AA83" s="238"/>
      <c r="AB83" s="238"/>
      <c r="AC83" s="239"/>
      <c r="AD83" s="238"/>
      <c r="AE83" s="238"/>
      <c r="AF83" s="238"/>
      <c r="AG83" s="238"/>
      <c r="AH83" s="239"/>
      <c r="AI83" s="238"/>
      <c r="AJ83" s="238"/>
      <c r="AK83" s="238"/>
      <c r="AL83" s="238"/>
      <c r="AM83" s="239"/>
      <c r="AN83" s="238"/>
      <c r="AO83" s="1054"/>
      <c r="AP83" s="1054"/>
      <c r="AQ83" s="238"/>
      <c r="AR83" s="239"/>
      <c r="AS83" s="1054"/>
      <c r="AT83" s="238"/>
      <c r="AU83" s="238"/>
      <c r="AV83" s="238"/>
      <c r="AW83" s="239"/>
      <c r="AX83" s="1054"/>
      <c r="AY83" s="1054"/>
      <c r="AZ83" s="1054"/>
      <c r="BA83" s="238"/>
      <c r="BB83" s="239"/>
      <c r="BC83" s="1054"/>
      <c r="BD83" s="1054"/>
      <c r="BE83" s="1054"/>
      <c r="BF83" s="238"/>
      <c r="BG83" s="239"/>
      <c r="BH83" s="1054"/>
      <c r="BI83" s="1054"/>
      <c r="BJ83" s="1054"/>
      <c r="BK83" s="238"/>
      <c r="BL83" s="239"/>
      <c r="BM83" s="238"/>
      <c r="BN83" s="238"/>
      <c r="BO83" s="238"/>
      <c r="BP83" s="238"/>
      <c r="BQ83" s="239"/>
      <c r="BR83" s="255">
        <f t="shared" ref="BR83:CJ83" si="98">BR79/BR$218/BR80*1000000</f>
        <v>706.61896243291733</v>
      </c>
      <c r="BS83" s="255">
        <f t="shared" si="98"/>
        <v>1424.4569782791282</v>
      </c>
      <c r="BT83" s="255">
        <f t="shared" si="98"/>
        <v>1514.8725706970795</v>
      </c>
      <c r="BU83" s="255">
        <f t="shared" si="98"/>
        <v>-1387.9336349924497</v>
      </c>
      <c r="BV83" s="239">
        <f t="shared" si="98"/>
        <v>5462.2737556561096</v>
      </c>
      <c r="BW83" s="255">
        <f t="shared" si="98"/>
        <v>1331.6352521650701</v>
      </c>
      <c r="BX83" s="255">
        <f t="shared" si="98"/>
        <v>888.84615384615938</v>
      </c>
      <c r="BY83" s="255">
        <f t="shared" si="98"/>
        <v>1935.3632478632428</v>
      </c>
      <c r="BZ83" s="255">
        <f t="shared" si="98"/>
        <v>1134.2479176874072</v>
      </c>
      <c r="CA83" s="239">
        <f t="shared" si="98"/>
        <v>1273.9833414992795</v>
      </c>
      <c r="CB83" s="238">
        <f t="shared" si="98"/>
        <v>1021.8499292118935</v>
      </c>
      <c r="CC83" s="238">
        <f t="shared" si="98"/>
        <v>934.59088682019956</v>
      </c>
      <c r="CD83" s="238">
        <f t="shared" si="98"/>
        <v>871.96356275304311</v>
      </c>
      <c r="CE83" s="238">
        <f t="shared" si="98"/>
        <v>934.9071618037342</v>
      </c>
      <c r="CF83" s="239">
        <f t="shared" si="98"/>
        <v>1002.4005305039896</v>
      </c>
      <c r="CG83" s="238">
        <f t="shared" si="98"/>
        <v>1206.8376068376053</v>
      </c>
      <c r="CH83" s="238">
        <f t="shared" si="98"/>
        <v>1008.9068825911006</v>
      </c>
      <c r="CI83" s="238">
        <f t="shared" si="98"/>
        <v>998.66220735785612</v>
      </c>
      <c r="CJ83" s="238">
        <f t="shared" si="98"/>
        <v>821.49148561360687</v>
      </c>
      <c r="CK83" s="239">
        <f>CK79/CK$218/CK80*1000000</f>
        <v>934.23370522606808</v>
      </c>
      <c r="CL83" s="1062">
        <v>950</v>
      </c>
      <c r="CM83" s="1062">
        <v>950</v>
      </c>
      <c r="CN83" s="1062">
        <v>950</v>
      </c>
      <c r="CO83" s="1062">
        <v>950</v>
      </c>
      <c r="CP83" s="239">
        <f>CP79/CP$218/CP80*1000000</f>
        <v>-19645.867768595064</v>
      </c>
      <c r="CQ83" s="1737">
        <v>950</v>
      </c>
      <c r="CR83" s="1062">
        <v>950</v>
      </c>
      <c r="CS83" s="1062">
        <v>950</v>
      </c>
      <c r="CT83" s="1062">
        <v>950</v>
      </c>
      <c r="CU83" s="239">
        <f>CU79/CU$218/CU80*1000000</f>
        <v>-7618.2345360824756</v>
      </c>
      <c r="CV83" s="1062">
        <v>950</v>
      </c>
      <c r="CW83" s="1062">
        <v>950</v>
      </c>
      <c r="CX83" s="1062">
        <v>950</v>
      </c>
      <c r="CY83" s="1062">
        <v>950</v>
      </c>
      <c r="CZ83" s="239">
        <f>CZ79/CZ$218/CZ80*1000000</f>
        <v>-2154.7347794385723</v>
      </c>
      <c r="DA83" s="1062">
        <v>950</v>
      </c>
      <c r="DB83" s="1062">
        <v>950</v>
      </c>
      <c r="DC83" s="1062">
        <v>950</v>
      </c>
      <c r="DD83" s="1062">
        <v>950</v>
      </c>
      <c r="DE83" s="2598">
        <f>DE79/DE$218/DE80*1000000</f>
        <v>-13207.734113712368</v>
      </c>
      <c r="DF83" s="1062">
        <v>950</v>
      </c>
      <c r="DG83" s="1062">
        <v>950</v>
      </c>
      <c r="DH83" s="1737">
        <v>950</v>
      </c>
      <c r="DI83" s="1737">
        <v>950</v>
      </c>
      <c r="DJ83" s="239">
        <f>DJ79/DJ$218/DJ80*1000000</f>
        <v>-94246.84065934064</v>
      </c>
      <c r="DK83" s="1062">
        <v>950</v>
      </c>
      <c r="DL83" s="1062">
        <v>950</v>
      </c>
      <c r="DM83" s="1062">
        <v>950</v>
      </c>
      <c r="DN83" s="1062">
        <v>950</v>
      </c>
      <c r="DO83" s="239">
        <f>DO79/DO$218/DO80*1000000</f>
        <v>1263.5000000000218</v>
      </c>
      <c r="DP83" s="1062">
        <v>950</v>
      </c>
      <c r="DQ83" s="1062">
        <v>950</v>
      </c>
      <c r="DR83" s="1062">
        <v>950</v>
      </c>
      <c r="DS83" s="1062">
        <v>950</v>
      </c>
      <c r="DT83" s="239">
        <f>DT79/DT$218/DT80*1000000</f>
        <v>950.00000000005434</v>
      </c>
      <c r="DU83" s="1062">
        <v>950</v>
      </c>
      <c r="DV83" s="1062">
        <v>950</v>
      </c>
      <c r="DW83" s="1062">
        <v>950</v>
      </c>
      <c r="DX83" s="1062">
        <v>950</v>
      </c>
      <c r="DY83" s="239">
        <f>DY79/DY$218/DY80*1000000</f>
        <v>949.99999999996669</v>
      </c>
      <c r="DZ83" s="238"/>
      <c r="EA83" s="238"/>
    </row>
    <row r="84" spans="1:131" ht="5.25" customHeight="1" x14ac:dyDescent="0.2">
      <c r="A84" s="1984"/>
      <c r="B84" s="2318"/>
      <c r="C84" s="1883"/>
      <c r="D84" s="1883"/>
      <c r="E84" s="1984"/>
      <c r="F84" s="2056"/>
      <c r="G84" s="1850"/>
      <c r="H84" s="1850"/>
      <c r="I84" s="2134"/>
      <c r="J84" s="1984"/>
      <c r="K84" s="2056"/>
      <c r="L84" s="1850"/>
      <c r="M84" s="1850"/>
      <c r="N84" s="2134"/>
      <c r="O84" s="1984"/>
      <c r="P84" s="2056"/>
      <c r="Q84" s="1850"/>
      <c r="R84" s="1850"/>
      <c r="S84" s="2134"/>
      <c r="T84" s="1984"/>
      <c r="U84" s="2056"/>
      <c r="V84" s="2045"/>
      <c r="W84" s="1984"/>
      <c r="X84" s="2134"/>
      <c r="Y84" s="1984"/>
      <c r="Z84" s="2056"/>
      <c r="AA84" s="1850"/>
      <c r="AB84" s="1850"/>
      <c r="AC84" s="2134"/>
      <c r="AD84" s="1984"/>
      <c r="AE84" s="2056"/>
      <c r="AF84" s="1850"/>
      <c r="AG84" s="1850"/>
      <c r="AH84" s="2134"/>
      <c r="AI84" s="1984"/>
      <c r="AJ84" s="2319"/>
      <c r="AK84" s="2319"/>
      <c r="AL84" s="1984"/>
      <c r="AM84" s="2134"/>
      <c r="AN84" s="2317"/>
      <c r="AO84" s="2320"/>
      <c r="AP84" s="2320"/>
      <c r="AQ84" s="1984"/>
      <c r="AR84" s="2134"/>
      <c r="AS84" s="2321"/>
      <c r="AT84" s="2319"/>
      <c r="AU84" s="2319"/>
      <c r="AV84" s="1984"/>
      <c r="AW84" s="2322"/>
      <c r="AX84" s="2320"/>
      <c r="AY84" s="2320"/>
      <c r="AZ84" s="2320"/>
      <c r="BA84" s="1984"/>
      <c r="BB84" s="2322"/>
      <c r="BC84" s="2320"/>
      <c r="BD84" s="2320"/>
      <c r="BE84" s="2320"/>
      <c r="BF84" s="1984"/>
      <c r="BG84" s="2322"/>
      <c r="BH84" s="2320"/>
      <c r="BI84" s="2320"/>
      <c r="BJ84" s="2320"/>
      <c r="BK84" s="1984"/>
      <c r="BL84" s="2322"/>
      <c r="BM84" s="1850"/>
      <c r="BN84" s="1850"/>
      <c r="BO84" s="1850"/>
      <c r="BP84" s="1850"/>
      <c r="BQ84" s="2322"/>
      <c r="BR84" s="2336"/>
      <c r="BS84" s="2336"/>
      <c r="BT84" s="2336"/>
      <c r="BU84" s="2336"/>
      <c r="BV84" s="2322"/>
      <c r="BW84" s="2336"/>
      <c r="BX84" s="2336"/>
      <c r="BY84" s="2336"/>
      <c r="BZ84" s="2336"/>
      <c r="CA84" s="2322"/>
      <c r="CB84" s="2334"/>
      <c r="CC84" s="1850"/>
      <c r="CD84" s="1850"/>
      <c r="CE84" s="1850"/>
      <c r="CF84" s="2322"/>
      <c r="CG84" s="2334"/>
      <c r="CH84" s="1850"/>
      <c r="CI84" s="1850"/>
      <c r="CJ84" s="1850"/>
      <c r="CK84" s="2322"/>
      <c r="CL84" s="1850"/>
      <c r="CM84" s="1850"/>
      <c r="CN84" s="1850"/>
      <c r="CO84" s="1850"/>
      <c r="CP84" s="2322"/>
      <c r="CQ84" s="2350"/>
      <c r="CR84" s="1850"/>
      <c r="CS84" s="1850"/>
      <c r="CT84" s="1850"/>
      <c r="CU84" s="2322"/>
      <c r="CV84" s="1850"/>
      <c r="CW84" s="1850"/>
      <c r="CX84" s="1850"/>
      <c r="CY84" s="1850"/>
      <c r="CZ84" s="2322"/>
      <c r="DA84" s="1850"/>
      <c r="DB84" s="1850"/>
      <c r="DC84" s="1850"/>
      <c r="DD84" s="1850"/>
      <c r="DE84" s="2586"/>
      <c r="DF84" s="1850"/>
      <c r="DG84" s="1850"/>
      <c r="DH84" s="1850"/>
      <c r="DI84" s="1850"/>
      <c r="DJ84" s="2322"/>
      <c r="DK84" s="1850"/>
      <c r="DL84" s="1850"/>
      <c r="DM84" s="1850"/>
      <c r="DN84" s="1850"/>
      <c r="DO84" s="2322"/>
      <c r="DP84" s="1850"/>
      <c r="DQ84" s="1850"/>
      <c r="DR84" s="1850"/>
      <c r="DS84" s="1850"/>
      <c r="DT84" s="2322"/>
      <c r="DU84" s="1850"/>
      <c r="DV84" s="1850"/>
      <c r="DW84" s="1850"/>
      <c r="DX84" s="1850"/>
      <c r="DY84" s="2322"/>
      <c r="DZ84" s="1850"/>
      <c r="EA84" s="1850"/>
    </row>
    <row r="85" spans="1:131" ht="12" customHeight="1" x14ac:dyDescent="0.2">
      <c r="A85" s="2057"/>
      <c r="B85" s="2352" t="s">
        <v>1008</v>
      </c>
      <c r="C85" s="2353"/>
      <c r="D85" s="2353"/>
      <c r="E85" s="2057"/>
      <c r="F85" s="2354"/>
      <c r="G85" s="2017"/>
      <c r="H85" s="2017"/>
      <c r="I85" s="2355"/>
      <c r="J85" s="2057"/>
      <c r="K85" s="2354"/>
      <c r="L85" s="2017"/>
      <c r="M85" s="2017"/>
      <c r="N85" s="2355"/>
      <c r="O85" s="2057"/>
      <c r="P85" s="2354"/>
      <c r="Q85" s="2017"/>
      <c r="R85" s="2017"/>
      <c r="S85" s="2355"/>
      <c r="T85" s="2057"/>
      <c r="U85" s="2354"/>
      <c r="V85" s="2356"/>
      <c r="W85" s="2057"/>
      <c r="X85" s="2355"/>
      <c r="Y85" s="2057"/>
      <c r="Z85" s="2354"/>
      <c r="AA85" s="2017"/>
      <c r="AB85" s="2017"/>
      <c r="AC85" s="2355"/>
      <c r="AD85" s="2057"/>
      <c r="AE85" s="2354"/>
      <c r="AF85" s="2017"/>
      <c r="AG85" s="2017"/>
      <c r="AH85" s="2355"/>
      <c r="AI85" s="2057"/>
      <c r="AJ85" s="2357"/>
      <c r="AK85" s="2357"/>
      <c r="AL85" s="2057"/>
      <c r="AM85" s="2355"/>
      <c r="AN85" s="2358"/>
      <c r="AO85" s="2359"/>
      <c r="AP85" s="2359"/>
      <c r="AQ85" s="2057"/>
      <c r="AR85" s="2355"/>
      <c r="AS85" s="2360"/>
      <c r="AT85" s="2357"/>
      <c r="AU85" s="2357"/>
      <c r="AV85" s="2057"/>
      <c r="AW85" s="2022"/>
      <c r="AX85" s="2359"/>
      <c r="AY85" s="2359"/>
      <c r="AZ85" s="2359"/>
      <c r="BA85" s="2057"/>
      <c r="BB85" s="2022"/>
      <c r="BC85" s="2359"/>
      <c r="BD85" s="2359"/>
      <c r="BE85" s="2359"/>
      <c r="BF85" s="2057"/>
      <c r="BG85" s="2361">
        <v>0.59099999999999997</v>
      </c>
      <c r="BH85" s="1035">
        <v>0.61699999999999999</v>
      </c>
      <c r="BI85" s="1035">
        <v>0.624</v>
      </c>
      <c r="BJ85" s="1035">
        <v>0.63700000000000001</v>
      </c>
      <c r="BK85" s="1035">
        <v>0.64900000000000002</v>
      </c>
      <c r="BL85" s="2361">
        <v>0.63200000000000001</v>
      </c>
      <c r="BM85" s="2362">
        <v>0.66600000000000004</v>
      </c>
      <c r="BN85" s="2362">
        <v>0.67</v>
      </c>
      <c r="BO85" s="2362">
        <v>0.68</v>
      </c>
      <c r="BP85" s="2362">
        <v>0.68</v>
      </c>
      <c r="BQ85" s="2361">
        <v>0.67400000000000004</v>
      </c>
      <c r="BR85" s="2362">
        <v>0.69199999999999995</v>
      </c>
      <c r="BS85" s="2362">
        <v>0.69599999999999995</v>
      </c>
      <c r="BT85" s="2362">
        <v>0.70099999999999996</v>
      </c>
      <c r="BU85" s="2362">
        <v>0.70599999999999996</v>
      </c>
      <c r="BV85" s="2361">
        <v>0.69899999999999995</v>
      </c>
      <c r="BW85" s="2362">
        <v>0.72099999999999997</v>
      </c>
      <c r="BX85" s="2362">
        <v>0.72699999999999998</v>
      </c>
      <c r="BY85" s="2362">
        <v>0.73599999999999999</v>
      </c>
      <c r="BZ85" s="2362">
        <v>0.73799999999999999</v>
      </c>
      <c r="CA85" s="2361">
        <v>0.73</v>
      </c>
      <c r="CB85" s="2362">
        <v>0.747</v>
      </c>
      <c r="CC85" s="2363">
        <v>0.75600000000000001</v>
      </c>
      <c r="CD85" s="2363">
        <v>0.75700000000000001</v>
      </c>
      <c r="CE85" s="2363">
        <v>0.75900000000000001</v>
      </c>
      <c r="CF85" s="2022">
        <f>SUM(CB73:CE73)/SUM(CB72:CE72)</f>
        <v>0.75475415961973247</v>
      </c>
      <c r="CG85" s="2362">
        <v>0.78100000000000003</v>
      </c>
      <c r="CH85" s="2364">
        <v>0.79100000000000004</v>
      </c>
      <c r="CI85" s="2363">
        <v>0.79900000000000004</v>
      </c>
      <c r="CJ85" s="2363">
        <v>0.79900000000000004</v>
      </c>
      <c r="CK85" s="2022">
        <f>SUM(CG73:CJ73)/SUM(CG72:CJ72)</f>
        <v>0.79254262328258884</v>
      </c>
      <c r="CL85" s="2363">
        <v>0.81200000000000006</v>
      </c>
      <c r="CM85" s="2363">
        <v>0.81899999999999995</v>
      </c>
      <c r="CN85" s="2363">
        <v>0.81499999999999995</v>
      </c>
      <c r="CO85" s="2363">
        <v>0.81</v>
      </c>
      <c r="CP85" s="2022">
        <f>SUM(CL73:CO73)/SUM(CL72:CO72)</f>
        <v>0.81394933177759199</v>
      </c>
      <c r="CQ85" s="2365">
        <v>0.81</v>
      </c>
      <c r="CR85" s="2365">
        <v>0.83499999999999996</v>
      </c>
      <c r="CS85" s="2365">
        <v>0.83299999999999996</v>
      </c>
      <c r="CT85" s="2365">
        <v>0.82399999999999995</v>
      </c>
      <c r="CU85" s="2022">
        <f>SUM(CQ73:CT73)/SUM(CQ72:CT72)</f>
        <v>0.82557462006120841</v>
      </c>
      <c r="CV85" s="2365">
        <v>0.84399999999999997</v>
      </c>
      <c r="CW85" s="2365">
        <v>0.85</v>
      </c>
      <c r="CX85" s="2365">
        <v>0.84750000000000003</v>
      </c>
      <c r="CY85" s="2365">
        <v>0.84</v>
      </c>
      <c r="CZ85" s="2022">
        <f>SUM(CV73:CY73)/SUM(CV72:CY72)</f>
        <v>0.84530251809968349</v>
      </c>
      <c r="DA85" s="2365">
        <v>0.85699999999999998</v>
      </c>
      <c r="DB85" s="2365">
        <v>0.86099999999999999</v>
      </c>
      <c r="DC85" s="2365">
        <v>0.85799999999999998</v>
      </c>
      <c r="DD85" s="2365">
        <v>0.85199999999999998</v>
      </c>
      <c r="DE85" s="2650">
        <f>SUM(DA73:DD73)/SUM(DA72:DD72)</f>
        <v>0.85681405603032001</v>
      </c>
      <c r="DF85" s="2365">
        <v>0.875</v>
      </c>
      <c r="DG85" s="2365">
        <v>0.876</v>
      </c>
      <c r="DH85" s="2738">
        <v>0.872</v>
      </c>
      <c r="DI85" s="2738">
        <v>0.86799999999999999</v>
      </c>
      <c r="DJ85" s="2022">
        <f>SUM(DF73:DI73)/SUM(DF72:DI72)</f>
        <v>0.87266428842229105</v>
      </c>
      <c r="DK85" s="2099">
        <f>DI85+DK86</f>
        <v>0.86991450719811392</v>
      </c>
      <c r="DL85" s="2099">
        <f>DK85+DL86</f>
        <v>0.87263251114837714</v>
      </c>
      <c r="DM85" s="2099">
        <f>DL85+DM86</f>
        <v>0.87457315357163445</v>
      </c>
      <c r="DN85" s="2099">
        <f>DM85+DN86</f>
        <v>0.87709609608516148</v>
      </c>
      <c r="DO85" s="2022">
        <f>SUM(DK73:DN73)/SUM(DK72:DN72)</f>
        <v>0.87360033134963955</v>
      </c>
      <c r="DP85" s="2099">
        <f>DN85+DP86</f>
        <v>0.8790106032832754</v>
      </c>
      <c r="DQ85" s="2099">
        <f>DP85+DQ86</f>
        <v>0.88172860723353863</v>
      </c>
      <c r="DR85" s="2099">
        <f>DQ85+DR86</f>
        <v>0.88366924965679594</v>
      </c>
      <c r="DS85" s="2099">
        <f>DR85+DS86</f>
        <v>0.88619219217032297</v>
      </c>
      <c r="DT85" s="2022">
        <f>SUM(DP73:DS73)/SUM(DP72:DS72)</f>
        <v>0.88269422550771948</v>
      </c>
      <c r="DU85" s="2099">
        <f>DS85+DU86</f>
        <v>0.88810669936843689</v>
      </c>
      <c r="DV85" s="2099">
        <f>DU85+DV86</f>
        <v>0.89082470331870012</v>
      </c>
      <c r="DW85" s="2099">
        <f>DV85+DW86</f>
        <v>0.89276534574195743</v>
      </c>
      <c r="DX85" s="2099">
        <f>DW85+DX86</f>
        <v>0.89528828825548445</v>
      </c>
      <c r="DY85" s="2022">
        <f>SUM(DU73:DX73)/SUM(DU72:DX72)</f>
        <v>0.89179016274154033</v>
      </c>
      <c r="DZ85" s="2017"/>
      <c r="EA85" s="2017"/>
    </row>
    <row r="86" spans="1:131" ht="12" customHeight="1" x14ac:dyDescent="0.2">
      <c r="A86" s="2057"/>
      <c r="B86" s="2352" t="s">
        <v>1009</v>
      </c>
      <c r="C86" s="2353"/>
      <c r="D86" s="2353"/>
      <c r="E86" s="2057"/>
      <c r="F86" s="2354"/>
      <c r="G86" s="2017"/>
      <c r="H86" s="2017"/>
      <c r="I86" s="2355"/>
      <c r="J86" s="2057"/>
      <c r="K86" s="2354"/>
      <c r="L86" s="2017"/>
      <c r="M86" s="2017"/>
      <c r="N86" s="2355"/>
      <c r="O86" s="2057"/>
      <c r="P86" s="2354"/>
      <c r="Q86" s="2017"/>
      <c r="R86" s="2017"/>
      <c r="S86" s="2355"/>
      <c r="T86" s="2057"/>
      <c r="U86" s="2354"/>
      <c r="V86" s="2356"/>
      <c r="W86" s="2057"/>
      <c r="X86" s="2355"/>
      <c r="Y86" s="2057"/>
      <c r="Z86" s="2354"/>
      <c r="AA86" s="2017"/>
      <c r="AB86" s="2017"/>
      <c r="AC86" s="2355"/>
      <c r="AD86" s="2057"/>
      <c r="AE86" s="2354"/>
      <c r="AF86" s="2017"/>
      <c r="AG86" s="2017"/>
      <c r="AH86" s="2355"/>
      <c r="AI86" s="2057"/>
      <c r="AJ86" s="2357"/>
      <c r="AK86" s="2357"/>
      <c r="AL86" s="2057"/>
      <c r="AM86" s="2355"/>
      <c r="AN86" s="2358"/>
      <c r="AO86" s="2359"/>
      <c r="AP86" s="2359"/>
      <c r="AQ86" s="2057"/>
      <c r="AR86" s="2355"/>
      <c r="AS86" s="2360"/>
      <c r="AT86" s="2357"/>
      <c r="AU86" s="2357"/>
      <c r="AV86" s="2057"/>
      <c r="AW86" s="2022"/>
      <c r="AX86" s="2359"/>
      <c r="AY86" s="2359"/>
      <c r="AZ86" s="2359"/>
      <c r="BA86" s="2057"/>
      <c r="BB86" s="2022"/>
      <c r="BC86" s="2359"/>
      <c r="BD86" s="2359"/>
      <c r="BE86" s="2359"/>
      <c r="BF86" s="2057"/>
      <c r="BG86" s="2022"/>
      <c r="BH86" s="2366"/>
      <c r="BI86" s="2366">
        <f>BI85-BH85</f>
        <v>7.0000000000000062E-3</v>
      </c>
      <c r="BJ86" s="2366">
        <f>BJ85-BI85</f>
        <v>1.3000000000000012E-2</v>
      </c>
      <c r="BK86" s="2366">
        <f>BK85-BJ85</f>
        <v>1.2000000000000011E-2</v>
      </c>
      <c r="BL86" s="2367">
        <f>BL85-BG85</f>
        <v>4.1000000000000036E-2</v>
      </c>
      <c r="BM86" s="2366">
        <f>BM85-BK85</f>
        <v>1.7000000000000015E-2</v>
      </c>
      <c r="BN86" s="2366">
        <f>BN85-BM85</f>
        <v>4.0000000000000036E-3</v>
      </c>
      <c r="BO86" s="2366">
        <f>BO85-BN85</f>
        <v>1.0000000000000009E-2</v>
      </c>
      <c r="BP86" s="2366">
        <f>BP85-BO85</f>
        <v>0</v>
      </c>
      <c r="BQ86" s="2367">
        <f>BQ85-BL85</f>
        <v>4.2000000000000037E-2</v>
      </c>
      <c r="BR86" s="2366">
        <f>BR85-BP85</f>
        <v>1.19999999999999E-2</v>
      </c>
      <c r="BS86" s="2366">
        <f>BS85-BR85</f>
        <v>4.0000000000000036E-3</v>
      </c>
      <c r="BT86" s="2366">
        <f>BT85-BS85</f>
        <v>5.0000000000000044E-3</v>
      </c>
      <c r="BU86" s="2366">
        <f>BU85-BT85</f>
        <v>5.0000000000000044E-3</v>
      </c>
      <c r="BV86" s="2367">
        <f>BV85-BQ85</f>
        <v>2.4999999999999911E-2</v>
      </c>
      <c r="BW86" s="2366">
        <f>BW85-BU85</f>
        <v>1.5000000000000013E-2</v>
      </c>
      <c r="BX86" s="2366">
        <f>BX85-BW85</f>
        <v>6.0000000000000053E-3</v>
      </c>
      <c r="BY86" s="2366">
        <f>BY85-BX85</f>
        <v>9.000000000000008E-3</v>
      </c>
      <c r="BZ86" s="2366">
        <f>BZ85-BY85</f>
        <v>2.0000000000000018E-3</v>
      </c>
      <c r="CA86" s="2367">
        <f>CA85-BV85</f>
        <v>3.1000000000000028E-2</v>
      </c>
      <c r="CB86" s="2366">
        <f>CB85-BZ85</f>
        <v>9.000000000000008E-3</v>
      </c>
      <c r="CC86" s="2366">
        <f>CC85-CB85</f>
        <v>9.000000000000008E-3</v>
      </c>
      <c r="CD86" s="2366">
        <f>CD85-CC85</f>
        <v>1.0000000000000009E-3</v>
      </c>
      <c r="CE86" s="2366">
        <f>CE85-CD85</f>
        <v>2.0000000000000018E-3</v>
      </c>
      <c r="CF86" s="1063"/>
      <c r="CG86" s="2366">
        <f>CG85-CE85</f>
        <v>2.200000000000002E-2</v>
      </c>
      <c r="CH86" s="2366">
        <f>CH85-CG85</f>
        <v>1.0000000000000009E-2</v>
      </c>
      <c r="CI86" s="2366">
        <f>CI85-CH85</f>
        <v>8.0000000000000071E-3</v>
      </c>
      <c r="CJ86" s="2366">
        <f>CJ85-CI85</f>
        <v>0</v>
      </c>
      <c r="CK86" s="1063"/>
      <c r="CL86" s="2366">
        <f>CL85-CK85</f>
        <v>1.9457376717411212E-2</v>
      </c>
      <c r="CM86" s="2366">
        <f>CM85-CL85</f>
        <v>6.9999999999998952E-3</v>
      </c>
      <c r="CN86" s="2366">
        <f>CN85-CM85</f>
        <v>-4.0000000000000036E-3</v>
      </c>
      <c r="CO86" s="2366">
        <f>CO85-CN85</f>
        <v>-4.9999999999998934E-3</v>
      </c>
      <c r="CP86" s="1066"/>
      <c r="CQ86" s="2368">
        <f>CQ85-CP85</f>
        <v>-3.9493317775919357E-3</v>
      </c>
      <c r="CR86" s="2368">
        <f>CR85-CQ85</f>
        <v>2.4999999999999911E-2</v>
      </c>
      <c r="CS86" s="2368">
        <f>CS85-CR85</f>
        <v>-2.0000000000000018E-3</v>
      </c>
      <c r="CT86" s="2368">
        <f>CT85-CS85</f>
        <v>-9.000000000000008E-3</v>
      </c>
      <c r="CU86" s="1066"/>
      <c r="CV86" s="2368">
        <f>CV85-CU85</f>
        <v>1.8425379938791564E-2</v>
      </c>
      <c r="CW86" s="2368">
        <f>CW85-CV85</f>
        <v>6.0000000000000053E-3</v>
      </c>
      <c r="CX86" s="2368">
        <f>CX85-CW85</f>
        <v>-2.4999999999999467E-3</v>
      </c>
      <c r="CY86" s="2368">
        <f>CY85-CX85</f>
        <v>-7.5000000000000622E-3</v>
      </c>
      <c r="CZ86" s="2027">
        <f>CZ85-CU85</f>
        <v>1.9727898038475078E-2</v>
      </c>
      <c r="DA86" s="2368">
        <f>DA85-CZ85</f>
        <v>1.1697481900316498E-2</v>
      </c>
      <c r="DB86" s="2368">
        <f>DB85-DA85</f>
        <v>4.0000000000000036E-3</v>
      </c>
      <c r="DC86" s="2368">
        <f>DC85-DB85</f>
        <v>-3.0000000000000027E-3</v>
      </c>
      <c r="DD86" s="2368">
        <f>DD85-DC85</f>
        <v>-6.0000000000000053E-3</v>
      </c>
      <c r="DE86" s="2650">
        <f>DE85-CZ85</f>
        <v>1.1511537930636528E-2</v>
      </c>
      <c r="DF86" s="2368">
        <f>DF85-DE85</f>
        <v>1.8185943969679985E-2</v>
      </c>
      <c r="DG86" s="2368">
        <f>DG85-DF85</f>
        <v>1.0000000000000009E-3</v>
      </c>
      <c r="DH86" s="2368">
        <f>DH85-DG85</f>
        <v>-4.0000000000000036E-3</v>
      </c>
      <c r="DI86" s="2368">
        <f>DI85-DH85</f>
        <v>-4.0000000000000036E-3</v>
      </c>
      <c r="DJ86" s="2027">
        <f>DJ85-DE85</f>
        <v>1.5850232391971031E-2</v>
      </c>
      <c r="DK86" s="1064">
        <v>1.9145071981139399E-3</v>
      </c>
      <c r="DL86" s="1064">
        <v>2.7180039502632601E-3</v>
      </c>
      <c r="DM86" s="1064">
        <v>1.9406424232573101E-3</v>
      </c>
      <c r="DN86" s="1065">
        <v>2.5229425135270098E-3</v>
      </c>
      <c r="DO86" s="2027">
        <f>DO85-DJ85</f>
        <v>9.3604292734850159E-4</v>
      </c>
      <c r="DP86" s="1064">
        <v>1.9145071981139399E-3</v>
      </c>
      <c r="DQ86" s="1064">
        <v>2.7180039502632601E-3</v>
      </c>
      <c r="DR86" s="1064">
        <v>1.9406424232573101E-3</v>
      </c>
      <c r="DS86" s="1065">
        <v>2.5229425135270098E-3</v>
      </c>
      <c r="DT86" s="2027">
        <f>DT85-DO85</f>
        <v>9.0938941580799293E-3</v>
      </c>
      <c r="DU86" s="1064">
        <v>1.9145071981139399E-3</v>
      </c>
      <c r="DV86" s="1064">
        <v>2.7180039502632601E-3</v>
      </c>
      <c r="DW86" s="1064">
        <v>1.9406424232573101E-3</v>
      </c>
      <c r="DX86" s="1065">
        <v>2.5229425135270098E-3</v>
      </c>
      <c r="DY86" s="2027">
        <f>DY85-DT85</f>
        <v>9.09593723382085E-3</v>
      </c>
      <c r="DZ86" s="2017"/>
      <c r="EA86" s="2017"/>
    </row>
    <row r="87" spans="1:131" ht="12" customHeight="1" x14ac:dyDescent="0.2">
      <c r="A87" s="2057"/>
      <c r="B87" s="2352" t="s">
        <v>218</v>
      </c>
      <c r="C87" s="2353"/>
      <c r="D87" s="2353"/>
      <c r="E87" s="2057"/>
      <c r="F87" s="2354"/>
      <c r="G87" s="2017"/>
      <c r="H87" s="2017"/>
      <c r="I87" s="2355"/>
      <c r="J87" s="2057"/>
      <c r="K87" s="2354"/>
      <c r="L87" s="2017"/>
      <c r="M87" s="2017"/>
      <c r="N87" s="2355"/>
      <c r="O87" s="2057"/>
      <c r="P87" s="2354"/>
      <c r="Q87" s="2017"/>
      <c r="R87" s="2017"/>
      <c r="S87" s="2355"/>
      <c r="T87" s="2057"/>
      <c r="U87" s="2354"/>
      <c r="V87" s="2356"/>
      <c r="W87" s="2057"/>
      <c r="X87" s="2355"/>
      <c r="Y87" s="2057"/>
      <c r="Z87" s="2354"/>
      <c r="AA87" s="2017"/>
      <c r="AB87" s="2017"/>
      <c r="AC87" s="2355"/>
      <c r="AD87" s="2057"/>
      <c r="AE87" s="2354"/>
      <c r="AF87" s="2017"/>
      <c r="AG87" s="2017"/>
      <c r="AH87" s="2355"/>
      <c r="AI87" s="2057"/>
      <c r="AJ87" s="2357"/>
      <c r="AK87" s="2357"/>
      <c r="AL87" s="2057"/>
      <c r="AM87" s="2355"/>
      <c r="AN87" s="2358"/>
      <c r="AO87" s="2359"/>
      <c r="AP87" s="2359"/>
      <c r="AQ87" s="2057"/>
      <c r="AR87" s="2355"/>
      <c r="AS87" s="2360"/>
      <c r="AT87" s="2357"/>
      <c r="AU87" s="2357"/>
      <c r="AV87" s="2057"/>
      <c r="AW87" s="2022"/>
      <c r="AX87" s="2359"/>
      <c r="AY87" s="2359"/>
      <c r="AZ87" s="2359"/>
      <c r="BA87" s="2057"/>
      <c r="BB87" s="2022"/>
      <c r="BC87" s="2359"/>
      <c r="BD87" s="2359"/>
      <c r="BE87" s="2359"/>
      <c r="BF87" s="2057"/>
      <c r="BG87" s="2022"/>
      <c r="BH87" s="2359"/>
      <c r="BI87" s="2359"/>
      <c r="BJ87" s="2359"/>
      <c r="BK87" s="2057"/>
      <c r="BL87" s="2022">
        <f t="shared" ref="BL87:DJ87" si="99">BL85-BG85</f>
        <v>4.1000000000000036E-2</v>
      </c>
      <c r="BM87" s="2024">
        <f t="shared" si="99"/>
        <v>4.9000000000000044E-2</v>
      </c>
      <c r="BN87" s="2024">
        <f t="shared" si="99"/>
        <v>4.6000000000000041E-2</v>
      </c>
      <c r="BO87" s="2024">
        <f t="shared" si="99"/>
        <v>4.3000000000000038E-2</v>
      </c>
      <c r="BP87" s="2024">
        <f t="shared" si="99"/>
        <v>3.1000000000000028E-2</v>
      </c>
      <c r="BQ87" s="2022">
        <f t="shared" si="99"/>
        <v>4.2000000000000037E-2</v>
      </c>
      <c r="BR87" s="2024">
        <f t="shared" si="99"/>
        <v>2.5999999999999912E-2</v>
      </c>
      <c r="BS87" s="2024">
        <f t="shared" si="99"/>
        <v>2.5999999999999912E-2</v>
      </c>
      <c r="BT87" s="2024">
        <f t="shared" si="99"/>
        <v>2.0999999999999908E-2</v>
      </c>
      <c r="BU87" s="2024">
        <f t="shared" si="99"/>
        <v>2.5999999999999912E-2</v>
      </c>
      <c r="BV87" s="2022">
        <f t="shared" si="99"/>
        <v>2.4999999999999911E-2</v>
      </c>
      <c r="BW87" s="2024">
        <f t="shared" si="99"/>
        <v>2.9000000000000026E-2</v>
      </c>
      <c r="BX87" s="2024">
        <f t="shared" si="99"/>
        <v>3.1000000000000028E-2</v>
      </c>
      <c r="BY87" s="2024">
        <f t="shared" si="99"/>
        <v>3.5000000000000031E-2</v>
      </c>
      <c r="BZ87" s="2024">
        <f t="shared" si="99"/>
        <v>3.2000000000000028E-2</v>
      </c>
      <c r="CA87" s="2022">
        <f t="shared" si="99"/>
        <v>3.1000000000000028E-2</v>
      </c>
      <c r="CB87" s="2024">
        <f t="shared" si="99"/>
        <v>2.6000000000000023E-2</v>
      </c>
      <c r="CC87" s="2024">
        <f t="shared" si="99"/>
        <v>2.9000000000000026E-2</v>
      </c>
      <c r="CD87" s="1068">
        <f t="shared" si="99"/>
        <v>2.1000000000000019E-2</v>
      </c>
      <c r="CE87" s="1068">
        <f t="shared" si="99"/>
        <v>2.1000000000000019E-2</v>
      </c>
      <c r="CF87" s="2022">
        <f t="shared" si="99"/>
        <v>2.4754159619732485E-2</v>
      </c>
      <c r="CG87" s="2024">
        <f t="shared" si="99"/>
        <v>3.400000000000003E-2</v>
      </c>
      <c r="CH87" s="2024">
        <f t="shared" si="99"/>
        <v>3.5000000000000031E-2</v>
      </c>
      <c r="CI87" s="2024">
        <f t="shared" si="99"/>
        <v>4.2000000000000037E-2</v>
      </c>
      <c r="CJ87" s="1068">
        <f t="shared" si="99"/>
        <v>4.0000000000000036E-2</v>
      </c>
      <c r="CK87" s="2022">
        <f t="shared" si="99"/>
        <v>3.7788463662856375E-2</v>
      </c>
      <c r="CL87" s="1068">
        <f t="shared" si="99"/>
        <v>3.1000000000000028E-2</v>
      </c>
      <c r="CM87" s="1068">
        <f t="shared" si="99"/>
        <v>2.7999999999999914E-2</v>
      </c>
      <c r="CN87" s="1068">
        <f t="shared" si="99"/>
        <v>1.5999999999999903E-2</v>
      </c>
      <c r="CO87" s="1068">
        <f t="shared" si="99"/>
        <v>1.100000000000001E-2</v>
      </c>
      <c r="CP87" s="2022">
        <f t="shared" si="99"/>
        <v>2.1406708495003146E-2</v>
      </c>
      <c r="CQ87" s="1738">
        <f t="shared" si="99"/>
        <v>-2.0000000000000018E-3</v>
      </c>
      <c r="CR87" s="1738">
        <f t="shared" si="99"/>
        <v>1.6000000000000014E-2</v>
      </c>
      <c r="CS87" s="1068">
        <f t="shared" si="99"/>
        <v>1.8000000000000016E-2</v>
      </c>
      <c r="CT87" s="1068">
        <f t="shared" si="99"/>
        <v>1.3999999999999901E-2</v>
      </c>
      <c r="CU87" s="2022">
        <f t="shared" si="99"/>
        <v>1.162528828361642E-2</v>
      </c>
      <c r="CV87" s="1738">
        <f t="shared" si="99"/>
        <v>3.3999999999999919E-2</v>
      </c>
      <c r="CW87" s="1738">
        <f t="shared" si="99"/>
        <v>1.5000000000000013E-2</v>
      </c>
      <c r="CX87" s="1738">
        <f t="shared" si="99"/>
        <v>1.4500000000000068E-2</v>
      </c>
      <c r="CY87" s="1738">
        <f t="shared" si="99"/>
        <v>1.6000000000000014E-2</v>
      </c>
      <c r="CZ87" s="2022">
        <f t="shared" si="99"/>
        <v>1.9727898038475078E-2</v>
      </c>
      <c r="DA87" s="1738">
        <f t="shared" si="99"/>
        <v>1.3000000000000012E-2</v>
      </c>
      <c r="DB87" s="1738">
        <f t="shared" si="99"/>
        <v>1.100000000000001E-2</v>
      </c>
      <c r="DC87" s="1738">
        <f t="shared" si="99"/>
        <v>1.0499999999999954E-2</v>
      </c>
      <c r="DD87" s="1738">
        <f t="shared" si="99"/>
        <v>1.2000000000000011E-2</v>
      </c>
      <c r="DE87" s="2650">
        <f t="shared" si="99"/>
        <v>1.1511537930636528E-2</v>
      </c>
      <c r="DF87" s="1738">
        <f t="shared" si="99"/>
        <v>1.8000000000000016E-2</v>
      </c>
      <c r="DG87" s="1738">
        <f t="shared" si="99"/>
        <v>1.5000000000000013E-2</v>
      </c>
      <c r="DH87" s="1738">
        <f t="shared" si="99"/>
        <v>1.4000000000000012E-2</v>
      </c>
      <c r="DI87" s="1738">
        <f t="shared" si="99"/>
        <v>1.6000000000000014E-2</v>
      </c>
      <c r="DJ87" s="2022">
        <f t="shared" si="99"/>
        <v>1.5850232391971031E-2</v>
      </c>
      <c r="DK87" s="1068">
        <f t="shared" ref="DK87:DT87" si="100">DK85-DF85</f>
        <v>-5.0854928018860823E-3</v>
      </c>
      <c r="DL87" s="1068">
        <f t="shared" si="100"/>
        <v>-3.3674888516228574E-3</v>
      </c>
      <c r="DM87" s="1068">
        <f t="shared" si="100"/>
        <v>2.5731535716344567E-3</v>
      </c>
      <c r="DN87" s="1068">
        <f t="shared" si="100"/>
        <v>9.0960960851614869E-3</v>
      </c>
      <c r="DO87" s="2022">
        <f t="shared" si="100"/>
        <v>9.3604292734850159E-4</v>
      </c>
      <c r="DP87" s="1068">
        <f t="shared" si="100"/>
        <v>9.0960960851614869E-3</v>
      </c>
      <c r="DQ87" s="1068">
        <f t="shared" si="100"/>
        <v>9.0960960851614869E-3</v>
      </c>
      <c r="DR87" s="1068">
        <f t="shared" si="100"/>
        <v>9.0960960851614869E-3</v>
      </c>
      <c r="DS87" s="1068">
        <f t="shared" si="100"/>
        <v>9.0960960851614869E-3</v>
      </c>
      <c r="DT87" s="2022">
        <f t="shared" si="100"/>
        <v>9.0938941580799293E-3</v>
      </c>
      <c r="DU87" s="1068">
        <f t="shared" ref="DU87" si="101">DU85-DP85</f>
        <v>9.0960960851614869E-3</v>
      </c>
      <c r="DV87" s="1068">
        <f t="shared" ref="DV87" si="102">DV85-DQ85</f>
        <v>9.0960960851614869E-3</v>
      </c>
      <c r="DW87" s="1068">
        <f t="shared" ref="DW87" si="103">DW85-DR85</f>
        <v>9.0960960851614869E-3</v>
      </c>
      <c r="DX87" s="1068">
        <f t="shared" ref="DX87" si="104">DX85-DS85</f>
        <v>9.0960960851614869E-3</v>
      </c>
      <c r="DY87" s="2022">
        <f t="shared" ref="DY87" si="105">DY85-DT85</f>
        <v>9.09593723382085E-3</v>
      </c>
      <c r="DZ87" s="2017"/>
      <c r="EA87" s="2017"/>
    </row>
    <row r="88" spans="1:131" ht="12" customHeight="1" x14ac:dyDescent="0.2">
      <c r="A88" s="1984"/>
      <c r="B88" s="2318"/>
      <c r="C88" s="1883"/>
      <c r="D88" s="1883"/>
      <c r="E88" s="1984"/>
      <c r="F88" s="2056"/>
      <c r="G88" s="1850"/>
      <c r="H88" s="1850"/>
      <c r="I88" s="2134"/>
      <c r="J88" s="1984"/>
      <c r="K88" s="2056"/>
      <c r="L88" s="1850"/>
      <c r="M88" s="1850"/>
      <c r="N88" s="2134"/>
      <c r="O88" s="1984"/>
      <c r="P88" s="2056"/>
      <c r="Q88" s="1850"/>
      <c r="R88" s="1850"/>
      <c r="S88" s="2134"/>
      <c r="T88" s="1984"/>
      <c r="U88" s="2056"/>
      <c r="V88" s="2045"/>
      <c r="W88" s="1984"/>
      <c r="X88" s="2134"/>
      <c r="Y88" s="1984"/>
      <c r="Z88" s="2056"/>
      <c r="AA88" s="1850"/>
      <c r="AB88" s="1850"/>
      <c r="AC88" s="2134"/>
      <c r="AD88" s="1984"/>
      <c r="AE88" s="2056"/>
      <c r="AF88" s="1850"/>
      <c r="AG88" s="1850"/>
      <c r="AH88" s="2134"/>
      <c r="AI88" s="1984"/>
      <c r="AJ88" s="2319"/>
      <c r="AK88" s="2319"/>
      <c r="AL88" s="1984"/>
      <c r="AM88" s="2134"/>
      <c r="AN88" s="2317"/>
      <c r="AO88" s="2320"/>
      <c r="AP88" s="2320"/>
      <c r="AQ88" s="1984"/>
      <c r="AR88" s="2134"/>
      <c r="AS88" s="2321"/>
      <c r="AT88" s="2319"/>
      <c r="AU88" s="2319"/>
      <c r="AV88" s="1984"/>
      <c r="AW88" s="2322"/>
      <c r="AX88" s="2320"/>
      <c r="AY88" s="2320"/>
      <c r="AZ88" s="2320"/>
      <c r="BA88" s="1984"/>
      <c r="BB88" s="2322"/>
      <c r="BC88" s="2320"/>
      <c r="BD88" s="2320"/>
      <c r="BE88" s="2320"/>
      <c r="BF88" s="1984"/>
      <c r="BG88" s="2322"/>
      <c r="BH88" s="2320"/>
      <c r="BI88" s="2320"/>
      <c r="BJ88" s="2320"/>
      <c r="BK88" s="1984"/>
      <c r="BL88" s="2322"/>
      <c r="BM88" s="1850"/>
      <c r="BN88" s="1850"/>
      <c r="BO88" s="1850"/>
      <c r="BP88" s="1850"/>
      <c r="BQ88" s="2322"/>
      <c r="BR88" s="1850"/>
      <c r="BS88" s="1850"/>
      <c r="BT88" s="1850"/>
      <c r="BU88" s="1850"/>
      <c r="BV88" s="2322"/>
      <c r="BW88" s="1850"/>
      <c r="BX88" s="1850"/>
      <c r="BY88" s="1850"/>
      <c r="BZ88" s="1850"/>
      <c r="CA88" s="365"/>
      <c r="CB88" s="1850"/>
      <c r="CC88" s="1850"/>
      <c r="CD88" s="1850"/>
      <c r="CE88" s="1850"/>
      <c r="CF88" s="2322"/>
      <c r="CG88" s="1850"/>
      <c r="CH88" s="1850"/>
      <c r="CI88" s="1850"/>
      <c r="CJ88" s="1850"/>
      <c r="CK88" s="2322"/>
      <c r="CL88" s="1850"/>
      <c r="CM88" s="1850"/>
      <c r="CN88" s="1850"/>
      <c r="CO88" s="1850"/>
      <c r="CP88" s="2322"/>
      <c r="CQ88" s="2350"/>
      <c r="CR88" s="1850"/>
      <c r="CS88" s="1850"/>
      <c r="CT88" s="1850"/>
      <c r="CU88" s="2322"/>
      <c r="CV88" s="1850"/>
      <c r="CW88" s="1850"/>
      <c r="CX88" s="1850"/>
      <c r="CY88" s="1850"/>
      <c r="CZ88" s="2322"/>
      <c r="DA88" s="1850"/>
      <c r="DB88" s="1850"/>
      <c r="DC88" s="1850"/>
      <c r="DD88" s="1850"/>
      <c r="DE88" s="2586"/>
      <c r="DF88" s="1850"/>
      <c r="DG88" s="1850"/>
      <c r="DH88" s="1850"/>
      <c r="DI88" s="1850"/>
      <c r="DJ88" s="2322"/>
      <c r="DK88" s="1850"/>
      <c r="DL88" s="1850"/>
      <c r="DM88" s="1850"/>
      <c r="DN88" s="1850"/>
      <c r="DO88" s="2322"/>
      <c r="DP88" s="1850"/>
      <c r="DQ88" s="1850"/>
      <c r="DR88" s="1850"/>
      <c r="DS88" s="1850"/>
      <c r="DT88" s="2322"/>
      <c r="DU88" s="1850"/>
      <c r="DV88" s="1850"/>
      <c r="DW88" s="1850"/>
      <c r="DX88" s="1850"/>
      <c r="DY88" s="2322"/>
      <c r="DZ88" s="1850"/>
      <c r="EA88" s="1850"/>
    </row>
    <row r="89" spans="1:131" ht="12" customHeight="1" x14ac:dyDescent="0.2">
      <c r="A89" s="2090"/>
      <c r="B89" s="2369" t="s">
        <v>1010</v>
      </c>
      <c r="C89" s="2370"/>
      <c r="D89" s="2370"/>
      <c r="E89" s="2090"/>
      <c r="F89" s="2060"/>
      <c r="G89" s="1943"/>
      <c r="H89" s="1943"/>
      <c r="I89" s="2371"/>
      <c r="J89" s="2090"/>
      <c r="K89" s="2060"/>
      <c r="L89" s="1943"/>
      <c r="M89" s="1943"/>
      <c r="N89" s="2371"/>
      <c r="O89" s="2090"/>
      <c r="P89" s="2060"/>
      <c r="Q89" s="1943"/>
      <c r="R89" s="1943"/>
      <c r="S89" s="2371"/>
      <c r="T89" s="2090"/>
      <c r="U89" s="2060"/>
      <c r="V89" s="2372"/>
      <c r="W89" s="2090"/>
      <c r="X89" s="2371"/>
      <c r="Y89" s="2090"/>
      <c r="Z89" s="2060"/>
      <c r="AA89" s="1943"/>
      <c r="AB89" s="1943"/>
      <c r="AC89" s="2371"/>
      <c r="AD89" s="2090"/>
      <c r="AE89" s="2060"/>
      <c r="AF89" s="1943"/>
      <c r="AG89" s="1943"/>
      <c r="AH89" s="2371"/>
      <c r="AI89" s="2090"/>
      <c r="AJ89" s="2373"/>
      <c r="AK89" s="2373"/>
      <c r="AL89" s="2090"/>
      <c r="AM89" s="2371"/>
      <c r="AN89" s="2374"/>
      <c r="AO89" s="2375"/>
      <c r="AP89" s="2375"/>
      <c r="AQ89" s="2090"/>
      <c r="AR89" s="2371"/>
      <c r="AS89" s="2376"/>
      <c r="AT89" s="2373"/>
      <c r="AU89" s="2373"/>
      <c r="AV89" s="2090"/>
      <c r="AW89" s="2377"/>
      <c r="AX89" s="2375"/>
      <c r="AY89" s="2375"/>
      <c r="AZ89" s="2375"/>
      <c r="BA89" s="2090"/>
      <c r="BB89" s="2377"/>
      <c r="BC89" s="2375"/>
      <c r="BD89" s="2375"/>
      <c r="BE89" s="2375"/>
      <c r="BF89" s="2090"/>
      <c r="BG89" s="2377"/>
      <c r="BH89" s="2375"/>
      <c r="BI89" s="2375"/>
      <c r="BJ89" s="2375"/>
      <c r="BK89" s="2090"/>
      <c r="BL89" s="2377"/>
      <c r="BM89" s="1943"/>
      <c r="BN89" s="1943"/>
      <c r="BO89" s="1943"/>
      <c r="BP89" s="1943"/>
      <c r="BQ89" s="2377"/>
      <c r="BR89" s="1943"/>
      <c r="BS89" s="1943"/>
      <c r="BT89" s="1943"/>
      <c r="BU89" s="1943"/>
      <c r="BV89" s="2377"/>
      <c r="BW89" s="1943"/>
      <c r="BX89" s="1943"/>
      <c r="BY89" s="1943"/>
      <c r="BZ89" s="1943"/>
      <c r="CA89" s="1069"/>
      <c r="CB89" s="1943"/>
      <c r="CC89" s="1943"/>
      <c r="CD89" s="1943"/>
      <c r="CE89" s="1943"/>
      <c r="CF89" s="2377"/>
      <c r="CG89" s="2669">
        <v>0.34</v>
      </c>
      <c r="CH89" s="2669">
        <v>0.34</v>
      </c>
      <c r="CI89" s="2669">
        <v>0.34</v>
      </c>
      <c r="CJ89" s="2669">
        <v>0.34</v>
      </c>
      <c r="CK89" s="2670"/>
      <c r="CL89" s="2669">
        <v>0.35</v>
      </c>
      <c r="CM89" s="2669">
        <v>0.35</v>
      </c>
      <c r="CN89" s="2669">
        <v>0.35</v>
      </c>
      <c r="CO89" s="2669">
        <v>0.35</v>
      </c>
      <c r="CP89" s="2670"/>
      <c r="CQ89" s="2669">
        <v>0.35</v>
      </c>
      <c r="CR89" s="2669">
        <v>0.35</v>
      </c>
      <c r="CS89" s="2669">
        <v>0.35</v>
      </c>
      <c r="CT89" s="2669">
        <v>0.35</v>
      </c>
      <c r="CU89" s="2670"/>
      <c r="CV89" s="2669">
        <v>0.34</v>
      </c>
      <c r="CW89" s="2669">
        <v>0.34</v>
      </c>
      <c r="CX89" s="2669">
        <v>0.34</v>
      </c>
      <c r="CY89" s="2669">
        <v>0.34</v>
      </c>
      <c r="CZ89" s="2670"/>
      <c r="DA89" s="2669">
        <v>0.33</v>
      </c>
      <c r="DB89" s="2669">
        <v>0.33</v>
      </c>
      <c r="DC89" s="2669">
        <v>0.33</v>
      </c>
      <c r="DD89" s="2669">
        <v>0.33</v>
      </c>
      <c r="DE89" s="2651"/>
      <c r="DF89" s="2669">
        <v>0.33</v>
      </c>
      <c r="DG89" s="2669">
        <v>0.33</v>
      </c>
      <c r="DH89" s="2669">
        <v>0.33</v>
      </c>
      <c r="DI89" s="2669">
        <v>0.33</v>
      </c>
      <c r="DJ89" s="2377"/>
      <c r="DK89" s="1943"/>
      <c r="DL89" s="1943"/>
      <c r="DM89" s="1943"/>
      <c r="DN89" s="1943"/>
      <c r="DO89" s="2377"/>
      <c r="DP89" s="1943"/>
      <c r="DQ89" s="1943"/>
      <c r="DR89" s="1943"/>
      <c r="DS89" s="1943"/>
      <c r="DT89" s="2377"/>
      <c r="DU89" s="1943"/>
      <c r="DV89" s="1943"/>
      <c r="DW89" s="1943"/>
      <c r="DX89" s="1943"/>
      <c r="DY89" s="2377"/>
      <c r="DZ89" s="1943"/>
      <c r="EA89" s="1943"/>
    </row>
    <row r="90" spans="1:131" ht="12" customHeight="1" x14ac:dyDescent="0.2">
      <c r="A90" s="1984"/>
      <c r="B90" s="2318" t="s">
        <v>786</v>
      </c>
      <c r="C90" s="1883"/>
      <c r="D90" s="1883"/>
      <c r="E90" s="1984"/>
      <c r="F90" s="2056"/>
      <c r="G90" s="1850"/>
      <c r="H90" s="1850"/>
      <c r="I90" s="2134"/>
      <c r="J90" s="1984"/>
      <c r="K90" s="2056"/>
      <c r="L90" s="1850"/>
      <c r="M90" s="1850"/>
      <c r="N90" s="2134"/>
      <c r="O90" s="1984"/>
      <c r="P90" s="2056"/>
      <c r="Q90" s="1850"/>
      <c r="R90" s="1850"/>
      <c r="S90" s="2134"/>
      <c r="T90" s="1984"/>
      <c r="U90" s="2056"/>
      <c r="V90" s="2045"/>
      <c r="W90" s="1984"/>
      <c r="X90" s="2134"/>
      <c r="Y90" s="1984"/>
      <c r="Z90" s="2056"/>
      <c r="AA90" s="1850"/>
      <c r="AB90" s="1850"/>
      <c r="AC90" s="2134"/>
      <c r="AD90" s="1984"/>
      <c r="AE90" s="2056"/>
      <c r="AF90" s="1850"/>
      <c r="AG90" s="1850"/>
      <c r="AH90" s="2134"/>
      <c r="AI90" s="1984"/>
      <c r="AJ90" s="2319"/>
      <c r="AK90" s="2319"/>
      <c r="AL90" s="1984"/>
      <c r="AM90" s="2134"/>
      <c r="AN90" s="2317"/>
      <c r="AO90" s="2320"/>
      <c r="AP90" s="2320"/>
      <c r="AQ90" s="1984"/>
      <c r="AR90" s="2134"/>
      <c r="AS90" s="2321"/>
      <c r="AT90" s="2319"/>
      <c r="AU90" s="2319"/>
      <c r="AV90" s="1984"/>
      <c r="AW90" s="2322"/>
      <c r="AX90" s="2320"/>
      <c r="AY90" s="2320"/>
      <c r="AZ90" s="2320"/>
      <c r="BA90" s="1984"/>
      <c r="BB90" s="2322"/>
      <c r="BC90" s="2320"/>
      <c r="BD90" s="2320"/>
      <c r="BE90" s="2320"/>
      <c r="BF90" s="1984"/>
      <c r="BG90" s="400">
        <f>BG63*BG116</f>
        <v>7615.3157249999995</v>
      </c>
      <c r="BH90" s="2320"/>
      <c r="BI90" s="2320"/>
      <c r="BJ90" s="2320"/>
      <c r="BK90" s="1984"/>
      <c r="BL90" s="400">
        <f t="shared" ref="BL90:BU90" si="106">BL63*BL116</f>
        <v>8834.57</v>
      </c>
      <c r="BM90" s="401">
        <f t="shared" si="106"/>
        <v>2438.8087500000001</v>
      </c>
      <c r="BN90" s="401">
        <f t="shared" si="106"/>
        <v>2367.2775000000001</v>
      </c>
      <c r="BO90" s="401">
        <f t="shared" si="106"/>
        <v>2361.5550000000003</v>
      </c>
      <c r="BP90" s="401">
        <f t="shared" si="106"/>
        <v>2723.91</v>
      </c>
      <c r="BQ90" s="400">
        <f t="shared" si="106"/>
        <v>9890.1075000000001</v>
      </c>
      <c r="BR90" s="401">
        <f t="shared" si="106"/>
        <v>2741.9807999999998</v>
      </c>
      <c r="BS90" s="401">
        <f t="shared" si="106"/>
        <v>2772.3071999999997</v>
      </c>
      <c r="BT90" s="401">
        <f t="shared" si="106"/>
        <v>2766.7067999999999</v>
      </c>
      <c r="BU90" s="401">
        <f t="shared" si="106"/>
        <v>2918.6039999999998</v>
      </c>
      <c r="BV90" s="400">
        <f>SUM(BR90:BU90)</f>
        <v>11199.5988</v>
      </c>
      <c r="BW90" s="401">
        <f t="shared" ref="BW90:BZ91" si="107">BW63*BW116</f>
        <v>2920.3924750000001</v>
      </c>
      <c r="BX90" s="401">
        <f t="shared" si="107"/>
        <v>2948.4393749999999</v>
      </c>
      <c r="BY90" s="401">
        <f t="shared" si="107"/>
        <v>2988.7303999999995</v>
      </c>
      <c r="BZ90" s="401">
        <f t="shared" si="107"/>
        <v>3110.8729499999999</v>
      </c>
      <c r="CA90" s="400">
        <f>SUM(BW90:BZ90)</f>
        <v>11968.4352</v>
      </c>
      <c r="CB90" s="401">
        <f t="shared" ref="CB90:CE91" si="108">CB63*CB116</f>
        <v>3154.4315999999999</v>
      </c>
      <c r="CC90" s="401">
        <f t="shared" si="108"/>
        <v>3161.4407999999999</v>
      </c>
      <c r="CD90" s="240">
        <f t="shared" si="108"/>
        <v>3138.33275</v>
      </c>
      <c r="CE90" s="240">
        <f t="shared" si="108"/>
        <v>3301.0238249999998</v>
      </c>
      <c r="CF90" s="239">
        <f>SUM(CB90:CE90)</f>
        <v>12755.228975</v>
      </c>
      <c r="CG90" s="240">
        <f>CG89*CG93</f>
        <v>3808.2638400000001</v>
      </c>
      <c r="CH90" s="240">
        <f>CH89*CH93</f>
        <v>3706.69632</v>
      </c>
      <c r="CI90" s="240">
        <f>CI89*CI93</f>
        <v>3642.4862659999999</v>
      </c>
      <c r="CJ90" s="240">
        <f>CJ89*CJ93</f>
        <v>3741.7952000000005</v>
      </c>
      <c r="CK90" s="239">
        <f>SUM(CG90:CJ90)</f>
        <v>14899.241626000001</v>
      </c>
      <c r="CL90" s="240">
        <f>CL89*CL93</f>
        <v>3876.3164999999995</v>
      </c>
      <c r="CM90" s="240">
        <f>CM89*CM93</f>
        <v>3903.3380749999992</v>
      </c>
      <c r="CN90" s="240">
        <f>CN89*CN93</f>
        <v>4012.3775999999998</v>
      </c>
      <c r="CO90" s="240">
        <f>CO89*CO93</f>
        <v>4181.9539999999997</v>
      </c>
      <c r="CP90" s="239">
        <f>SUM(CL90:CO90)</f>
        <v>15973.986174999998</v>
      </c>
      <c r="CQ90" s="240">
        <f>CQ89*CQ93</f>
        <v>4066.3906499999989</v>
      </c>
      <c r="CR90" s="240">
        <f>CR89*CR93</f>
        <v>4109.5319999999992</v>
      </c>
      <c r="CS90" s="240">
        <f>CS89*CS93</f>
        <v>4209.1493499999997</v>
      </c>
      <c r="CT90" s="240">
        <f>CT89*CT93</f>
        <v>4410.3415999999988</v>
      </c>
      <c r="CU90" s="239">
        <f>SUM(CQ90:CT90)</f>
        <v>16795.413599999996</v>
      </c>
      <c r="CV90" s="240">
        <f>CV89*CV93</f>
        <v>4132.2660240000005</v>
      </c>
      <c r="CW90" s="240">
        <f>CW89*CW93</f>
        <v>4197.4168239999999</v>
      </c>
      <c r="CX90" s="240">
        <f>CX89*CX93</f>
        <v>4512.6797235885142</v>
      </c>
      <c r="CY90" s="240">
        <f>CY89*CY93</f>
        <v>5000.7445005765276</v>
      </c>
      <c r="CZ90" s="239">
        <f>SUM(CV90:CY90)</f>
        <v>17843.107072165039</v>
      </c>
      <c r="DA90" s="240">
        <f>DA89*DA93</f>
        <v>4951.1721600000001</v>
      </c>
      <c r="DB90" s="240">
        <f>DB89*DB93</f>
        <v>4936.4791080000005</v>
      </c>
      <c r="DC90" s="240">
        <f>DC89*DC93</f>
        <v>5051.7891600000003</v>
      </c>
      <c r="DD90" s="240">
        <f>DD89*DD93</f>
        <v>5132.2129320000004</v>
      </c>
      <c r="DE90" s="2598">
        <f>SUM(DA90:DD90)</f>
        <v>20071.653360000004</v>
      </c>
      <c r="DF90" s="240">
        <f>DF89*DF93</f>
        <v>4761.2442900000005</v>
      </c>
      <c r="DG90" s="240">
        <f>DG89*DG93</f>
        <v>4813.9021920000005</v>
      </c>
      <c r="DH90" s="240">
        <f>DH89*DH93</f>
        <v>4906.3868943308998</v>
      </c>
      <c r="DI90" s="240">
        <f>DI89*DI93</f>
        <v>5154.3885068096642</v>
      </c>
      <c r="DJ90" s="239">
        <f>SUM(DF90:DI90)</f>
        <v>19635.921883140563</v>
      </c>
      <c r="DK90" s="240">
        <f t="shared" ref="DK90:DN91" si="109">DK68*DK116</f>
        <v>4554.9367629107601</v>
      </c>
      <c r="DL90" s="240">
        <f t="shared" si="109"/>
        <v>4619.1111501797641</v>
      </c>
      <c r="DM90" s="240">
        <f t="shared" si="109"/>
        <v>4735.0685265260217</v>
      </c>
      <c r="DN90" s="240">
        <f t="shared" si="109"/>
        <v>5005.5580700610399</v>
      </c>
      <c r="DO90" s="239">
        <f>SUM(DK90:DN90)</f>
        <v>18914.674509677585</v>
      </c>
      <c r="DP90" s="240">
        <f t="shared" ref="DP90:DS91" si="110">DP68*DP116</f>
        <v>4685.3794963279233</v>
      </c>
      <c r="DQ90" s="240">
        <f t="shared" si="110"/>
        <v>4751.5011526607768</v>
      </c>
      <c r="DR90" s="240">
        <f t="shared" si="110"/>
        <v>4870.5461447825319</v>
      </c>
      <c r="DS90" s="240">
        <f t="shared" si="110"/>
        <v>5147.6051221784392</v>
      </c>
      <c r="DT90" s="239">
        <f>SUM(DP90:DS90)</f>
        <v>19455.031915949672</v>
      </c>
      <c r="DU90" s="240">
        <f t="shared" ref="DU90:DX90" si="111">DU68*DU116</f>
        <v>4818.3892100421135</v>
      </c>
      <c r="DV90" s="240">
        <f t="shared" si="111"/>
        <v>4886.4927386101981</v>
      </c>
      <c r="DW90" s="240">
        <f t="shared" si="111"/>
        <v>5008.6848181041523</v>
      </c>
      <c r="DX90" s="240">
        <f t="shared" si="111"/>
        <v>5292.4447638472375</v>
      </c>
      <c r="DY90" s="239">
        <f>SUM(DU90:DX90)</f>
        <v>20006.011530603701</v>
      </c>
      <c r="DZ90" s="1850"/>
      <c r="EA90" s="1850"/>
    </row>
    <row r="91" spans="1:131" ht="12" customHeight="1" x14ac:dyDescent="0.2">
      <c r="A91" s="2378"/>
      <c r="B91" s="2379" t="s">
        <v>997</v>
      </c>
      <c r="C91" s="2380"/>
      <c r="D91" s="2380"/>
      <c r="E91" s="2378"/>
      <c r="F91" s="2381"/>
      <c r="G91" s="2382"/>
      <c r="H91" s="2382"/>
      <c r="I91" s="2383"/>
      <c r="J91" s="2378"/>
      <c r="K91" s="2381"/>
      <c r="L91" s="2382"/>
      <c r="M91" s="2382"/>
      <c r="N91" s="2383"/>
      <c r="O91" s="2378"/>
      <c r="P91" s="2381"/>
      <c r="Q91" s="2382"/>
      <c r="R91" s="2382"/>
      <c r="S91" s="2383"/>
      <c r="T91" s="2378"/>
      <c r="U91" s="2381"/>
      <c r="V91" s="2384"/>
      <c r="W91" s="2378"/>
      <c r="X91" s="2383"/>
      <c r="Y91" s="2378"/>
      <c r="Z91" s="2381"/>
      <c r="AA91" s="2382"/>
      <c r="AB91" s="2382"/>
      <c r="AC91" s="2383"/>
      <c r="AD91" s="2378"/>
      <c r="AE91" s="2381"/>
      <c r="AF91" s="2382"/>
      <c r="AG91" s="2382"/>
      <c r="AH91" s="2383"/>
      <c r="AI91" s="2378"/>
      <c r="AJ91" s="2385"/>
      <c r="AK91" s="2385"/>
      <c r="AL91" s="2378"/>
      <c r="AM91" s="2383"/>
      <c r="AN91" s="2386"/>
      <c r="AO91" s="2387"/>
      <c r="AP91" s="2387"/>
      <c r="AQ91" s="2378"/>
      <c r="AR91" s="2383"/>
      <c r="AS91" s="2388"/>
      <c r="AT91" s="2385"/>
      <c r="AU91" s="2385"/>
      <c r="AV91" s="2378"/>
      <c r="AW91" s="2389"/>
      <c r="AX91" s="2387"/>
      <c r="AY91" s="2387"/>
      <c r="AZ91" s="2387"/>
      <c r="BA91" s="2378"/>
      <c r="BB91" s="2389"/>
      <c r="BC91" s="2387"/>
      <c r="BD91" s="2387"/>
      <c r="BE91" s="2387"/>
      <c r="BF91" s="2378"/>
      <c r="BG91" s="1070">
        <f>BG64*BG117</f>
        <v>19939.684275</v>
      </c>
      <c r="BH91" s="2387"/>
      <c r="BI91" s="2387"/>
      <c r="BJ91" s="2387"/>
      <c r="BK91" s="2378"/>
      <c r="BL91" s="1070">
        <f t="shared" ref="BL91:BU91" si="112">BL64*BL117</f>
        <v>21734.43</v>
      </c>
      <c r="BM91" s="1071">
        <f t="shared" si="112"/>
        <v>5640.1912499999999</v>
      </c>
      <c r="BN91" s="1071">
        <f t="shared" si="112"/>
        <v>5613.7224999999935</v>
      </c>
      <c r="BO91" s="1071">
        <f t="shared" si="112"/>
        <v>5521.4450000000179</v>
      </c>
      <c r="BP91" s="1071">
        <f t="shared" si="112"/>
        <v>6377.0900000000074</v>
      </c>
      <c r="BQ91" s="1070">
        <f t="shared" si="112"/>
        <v>23177.892499999998</v>
      </c>
      <c r="BR91" s="1071">
        <f t="shared" si="112"/>
        <v>6463.0191999999997</v>
      </c>
      <c r="BS91" s="1071">
        <f t="shared" si="112"/>
        <v>6513.6927999999998</v>
      </c>
      <c r="BT91" s="1071">
        <f t="shared" si="112"/>
        <v>6539.2932000000028</v>
      </c>
      <c r="BU91" s="1071">
        <f t="shared" si="112"/>
        <v>6737.3960000000006</v>
      </c>
      <c r="BV91" s="1070">
        <f>SUM(BR91:BU91)</f>
        <v>26253.401200000004</v>
      </c>
      <c r="BW91" s="1071">
        <f t="shared" si="107"/>
        <v>6640.6075249999994</v>
      </c>
      <c r="BX91" s="1071">
        <f t="shared" si="107"/>
        <v>6725.5606249999992</v>
      </c>
      <c r="BY91" s="1071">
        <f t="shared" si="107"/>
        <v>6613.3702800000001</v>
      </c>
      <c r="BZ91" s="1071">
        <f t="shared" si="107"/>
        <v>6885.1270499999982</v>
      </c>
      <c r="CA91" s="1070">
        <f>SUM(BW91:BZ91)</f>
        <v>26864.665479999996</v>
      </c>
      <c r="CB91" s="1071">
        <f t="shared" si="108"/>
        <v>6925.5684000000019</v>
      </c>
      <c r="CC91" s="1071">
        <f t="shared" si="108"/>
        <v>6905.5591999999997</v>
      </c>
      <c r="CD91" s="1072">
        <f t="shared" si="108"/>
        <v>6898.3042905000002</v>
      </c>
      <c r="CE91" s="1072">
        <f t="shared" si="108"/>
        <v>7253.233501608207</v>
      </c>
      <c r="CF91" s="1073">
        <f>SUM(CB91:CE91)</f>
        <v>27982.665392108211</v>
      </c>
      <c r="CG91" s="1072">
        <f>CG93-CG90</f>
        <v>7392.5121600000002</v>
      </c>
      <c r="CH91" s="1072">
        <f>CH93-CH90</f>
        <v>7195.3516799999989</v>
      </c>
      <c r="CI91" s="1072">
        <f>CI93-CI90</f>
        <v>7070.7086339999987</v>
      </c>
      <c r="CJ91" s="1072">
        <f>CJ93-CJ90</f>
        <v>7263.4848000000002</v>
      </c>
      <c r="CK91" s="1073">
        <f>SUM(CG91:CJ91)</f>
        <v>28922.057273999999</v>
      </c>
      <c r="CL91" s="1072">
        <f>CL93-CL90</f>
        <v>7198.8734999999997</v>
      </c>
      <c r="CM91" s="1072">
        <f>CM93-CM90</f>
        <v>7249.0564249999989</v>
      </c>
      <c r="CN91" s="1072">
        <f>CN93-CN90</f>
        <v>7451.5583999999999</v>
      </c>
      <c r="CO91" s="1072">
        <f>CO93-CO90</f>
        <v>7766.485999999999</v>
      </c>
      <c r="CP91" s="1073">
        <f>SUM(CL91:CO91)</f>
        <v>29665.974324999996</v>
      </c>
      <c r="CQ91" s="1072">
        <f>CQ93-CQ90</f>
        <v>7551.8683499999988</v>
      </c>
      <c r="CR91" s="1072">
        <f>CR93-CR90</f>
        <v>7631.9879999999994</v>
      </c>
      <c r="CS91" s="1072">
        <f>CS93-CS90</f>
        <v>7816.9916499999999</v>
      </c>
      <c r="CT91" s="1072">
        <f>CT93-CT90</f>
        <v>8190.6343999999999</v>
      </c>
      <c r="CU91" s="1073">
        <f>SUM(CQ91:CT91)</f>
        <v>31191.482399999997</v>
      </c>
      <c r="CV91" s="1072">
        <f>CV93-CV90</f>
        <v>8021.4575759999989</v>
      </c>
      <c r="CW91" s="1072">
        <f>CW93-CW90</f>
        <v>8147.9267759999984</v>
      </c>
      <c r="CX91" s="1072">
        <f>CX93-CX90</f>
        <v>8759.9076987306435</v>
      </c>
      <c r="CY91" s="1072">
        <f>CY93-CY90</f>
        <v>9707.3275599426706</v>
      </c>
      <c r="CZ91" s="1073">
        <f>SUM(CV91:CY91)</f>
        <v>34636.619610673311</v>
      </c>
      <c r="DA91" s="1072">
        <f>DA93-DA90</f>
        <v>10052.37984</v>
      </c>
      <c r="DB91" s="1072">
        <f>DB93-DB90</f>
        <v>10022.548492000002</v>
      </c>
      <c r="DC91" s="1072">
        <f>DC93-DC90</f>
        <v>10256.662840000001</v>
      </c>
      <c r="DD91" s="1072">
        <f>DD93-DD90</f>
        <v>10419.947468</v>
      </c>
      <c r="DE91" s="2652">
        <f>SUM(DA91:DD91)</f>
        <v>40751.538640000006</v>
      </c>
      <c r="DF91" s="1072">
        <f>DF93-DF90</f>
        <v>9666.7687100000003</v>
      </c>
      <c r="DG91" s="1072">
        <f>DG93-DG90</f>
        <v>9773.6802080000016</v>
      </c>
      <c r="DH91" s="1072">
        <f>DH93-DH90</f>
        <v>9961.4521793991007</v>
      </c>
      <c r="DI91" s="1072">
        <f>DI93-DI90</f>
        <v>10464.970604734772</v>
      </c>
      <c r="DJ91" s="1073">
        <f>SUM(DF91:DI91)</f>
        <v>39866.871702133874</v>
      </c>
      <c r="DK91" s="1072">
        <f t="shared" si="109"/>
        <v>10985.628666202501</v>
      </c>
      <c r="DL91" s="1072">
        <f t="shared" si="109"/>
        <v>11066.839440665393</v>
      </c>
      <c r="DM91" s="1072">
        <f t="shared" si="109"/>
        <v>10749.362854614097</v>
      </c>
      <c r="DN91" s="1072">
        <f t="shared" si="109"/>
        <v>10716.978911675085</v>
      </c>
      <c r="DO91" s="1073">
        <f>SUM(DK91:DN91)</f>
        <v>43518.809873157072</v>
      </c>
      <c r="DP91" s="1072">
        <f t="shared" si="110"/>
        <v>11462.673435799064</v>
      </c>
      <c r="DQ91" s="1072">
        <f t="shared" si="110"/>
        <v>11529.521870407725</v>
      </c>
      <c r="DR91" s="1072">
        <f t="shared" si="110"/>
        <v>11185.160552114483</v>
      </c>
      <c r="DS91" s="1072">
        <f t="shared" si="110"/>
        <v>11131.364776788623</v>
      </c>
      <c r="DT91" s="1073">
        <f>SUM(DP91:DS91)</f>
        <v>45308.720635109894</v>
      </c>
      <c r="DU91" s="1072">
        <f t="shared" ref="DU91:DX91" si="113">DU69*DU117</f>
        <v>11891.220871702239</v>
      </c>
      <c r="DV91" s="1072">
        <f t="shared" si="113"/>
        <v>11938.856860927988</v>
      </c>
      <c r="DW91" s="1072">
        <f t="shared" si="113"/>
        <v>11565.8881616198</v>
      </c>
      <c r="DX91" s="1072">
        <f t="shared" si="113"/>
        <v>11486.439291668192</v>
      </c>
      <c r="DY91" s="1073">
        <f>SUM(DU91:DX91)</f>
        <v>46882.405185918215</v>
      </c>
      <c r="DZ91" s="2382"/>
      <c r="EA91" s="2382"/>
    </row>
    <row r="92" spans="1:131" ht="12" customHeight="1" x14ac:dyDescent="0.2">
      <c r="A92" s="1984"/>
      <c r="B92" s="2390" t="s">
        <v>251</v>
      </c>
      <c r="C92" s="1883"/>
      <c r="D92" s="1883"/>
      <c r="E92" s="1984"/>
      <c r="F92" s="2056"/>
      <c r="G92" s="1850"/>
      <c r="H92" s="1850"/>
      <c r="I92" s="2134"/>
      <c r="J92" s="1984"/>
      <c r="K92" s="2056"/>
      <c r="L92" s="1850"/>
      <c r="M92" s="1850"/>
      <c r="N92" s="1851"/>
      <c r="O92" s="1984"/>
      <c r="P92" s="2056"/>
      <c r="Q92" s="1850"/>
      <c r="R92" s="1850"/>
      <c r="S92" s="1851"/>
      <c r="T92" s="1984"/>
      <c r="U92" s="2056"/>
      <c r="V92" s="2045"/>
      <c r="W92" s="1984"/>
      <c r="X92" s="1851"/>
      <c r="Y92" s="1984"/>
      <c r="Z92" s="2056"/>
      <c r="AA92" s="1850"/>
      <c r="AB92" s="1850"/>
      <c r="AC92" s="1851"/>
      <c r="AD92" s="1984"/>
      <c r="AE92" s="2056"/>
      <c r="AF92" s="1850"/>
      <c r="AG92" s="1850"/>
      <c r="AH92" s="1851"/>
      <c r="AI92" s="1984"/>
      <c r="AJ92" s="2319"/>
      <c r="AK92" s="2319"/>
      <c r="AL92" s="1984"/>
      <c r="AM92" s="1851"/>
      <c r="AN92" s="2317"/>
      <c r="AO92" s="2320"/>
      <c r="AP92" s="2320"/>
      <c r="AQ92" s="1984"/>
      <c r="AR92" s="1851"/>
      <c r="AS92" s="2321"/>
      <c r="AT92" s="2319"/>
      <c r="AU92" s="2319"/>
      <c r="AV92" s="1984"/>
      <c r="AW92" s="1851"/>
      <c r="AX92" s="2320"/>
      <c r="AY92" s="2320"/>
      <c r="AZ92" s="2320"/>
      <c r="BA92" s="1984"/>
      <c r="BB92" s="1851"/>
      <c r="BC92" s="2320"/>
      <c r="BD92" s="2320"/>
      <c r="BE92" s="2320"/>
      <c r="BF92" s="1984"/>
      <c r="BG92" s="400">
        <f>BG90+BG91</f>
        <v>27555</v>
      </c>
      <c r="BH92" s="2320"/>
      <c r="BI92" s="2320"/>
      <c r="BJ92" s="2320"/>
      <c r="BK92" s="1984"/>
      <c r="BL92" s="400">
        <f t="shared" ref="BL92:DJ92" si="114">BL90+BL91</f>
        <v>30569</v>
      </c>
      <c r="BM92" s="401">
        <f t="shared" si="114"/>
        <v>8079</v>
      </c>
      <c r="BN92" s="401">
        <f t="shared" si="114"/>
        <v>7980.9999999999936</v>
      </c>
      <c r="BO92" s="401">
        <f t="shared" si="114"/>
        <v>7883.0000000000182</v>
      </c>
      <c r="BP92" s="401">
        <f t="shared" si="114"/>
        <v>9101.0000000000073</v>
      </c>
      <c r="BQ92" s="400">
        <f t="shared" si="114"/>
        <v>33068</v>
      </c>
      <c r="BR92" s="401">
        <f t="shared" si="114"/>
        <v>9205</v>
      </c>
      <c r="BS92" s="401">
        <f t="shared" si="114"/>
        <v>9286</v>
      </c>
      <c r="BT92" s="401">
        <f t="shared" si="114"/>
        <v>9306.0000000000036</v>
      </c>
      <c r="BU92" s="401">
        <f t="shared" si="114"/>
        <v>9656</v>
      </c>
      <c r="BV92" s="400">
        <f t="shared" si="114"/>
        <v>37453</v>
      </c>
      <c r="BW92" s="401">
        <f t="shared" si="114"/>
        <v>9561</v>
      </c>
      <c r="BX92" s="401">
        <f t="shared" si="114"/>
        <v>9674</v>
      </c>
      <c r="BY92" s="401">
        <f t="shared" si="114"/>
        <v>9602.1006799999996</v>
      </c>
      <c r="BZ92" s="401">
        <f t="shared" si="114"/>
        <v>9995.9999999999982</v>
      </c>
      <c r="CA92" s="400">
        <f t="shared" si="114"/>
        <v>38833.100679999996</v>
      </c>
      <c r="CB92" s="401">
        <f t="shared" si="114"/>
        <v>10080.000000000002</v>
      </c>
      <c r="CC92" s="401">
        <f t="shared" si="114"/>
        <v>10067</v>
      </c>
      <c r="CD92" s="240">
        <f t="shared" si="114"/>
        <v>10036.6370405</v>
      </c>
      <c r="CE92" s="240">
        <f t="shared" si="114"/>
        <v>10554.257326608207</v>
      </c>
      <c r="CF92" s="365">
        <f t="shared" si="114"/>
        <v>40737.894367108209</v>
      </c>
      <c r="CG92" s="401">
        <f t="shared" si="114"/>
        <v>11200.776</v>
      </c>
      <c r="CH92" s="240">
        <f t="shared" si="114"/>
        <v>10902.047999999999</v>
      </c>
      <c r="CI92" s="240">
        <f t="shared" si="114"/>
        <v>10713.194899999999</v>
      </c>
      <c r="CJ92" s="240">
        <f t="shared" si="114"/>
        <v>11005.28</v>
      </c>
      <c r="CK92" s="365">
        <f t="shared" si="114"/>
        <v>43821.298900000002</v>
      </c>
      <c r="CL92" s="1682">
        <f t="shared" si="114"/>
        <v>11075.189999999999</v>
      </c>
      <c r="CM92" s="1682">
        <f t="shared" si="114"/>
        <v>11152.394499999999</v>
      </c>
      <c r="CN92" s="1682">
        <f t="shared" si="114"/>
        <v>11463.936</v>
      </c>
      <c r="CO92" s="240">
        <f t="shared" si="114"/>
        <v>11948.439999999999</v>
      </c>
      <c r="CP92" s="365">
        <f t="shared" si="114"/>
        <v>45639.960499999994</v>
      </c>
      <c r="CQ92" s="240">
        <f>CQ90+CQ91</f>
        <v>11618.258999999998</v>
      </c>
      <c r="CR92" s="240">
        <f t="shared" si="114"/>
        <v>11741.519999999999</v>
      </c>
      <c r="CS92" s="240">
        <f t="shared" si="114"/>
        <v>12026.141</v>
      </c>
      <c r="CT92" s="240">
        <f t="shared" si="114"/>
        <v>12600.975999999999</v>
      </c>
      <c r="CU92" s="365">
        <f t="shared" si="114"/>
        <v>47986.895999999993</v>
      </c>
      <c r="CV92" s="240">
        <f t="shared" si="114"/>
        <v>12153.723599999999</v>
      </c>
      <c r="CW92" s="240">
        <f>CW90+CW91</f>
        <v>12345.343599999998</v>
      </c>
      <c r="CX92" s="240">
        <f>CX90+CX91</f>
        <v>13272.587422319157</v>
      </c>
      <c r="CY92" s="240">
        <f>CY90+CY91</f>
        <v>14708.072060519198</v>
      </c>
      <c r="CZ92" s="365">
        <f t="shared" si="114"/>
        <v>52479.726682838351</v>
      </c>
      <c r="DA92" s="240">
        <f>DA90+DA91</f>
        <v>15003.552</v>
      </c>
      <c r="DB92" s="240">
        <f>DB90+DB91</f>
        <v>14959.027600000001</v>
      </c>
      <c r="DC92" s="240">
        <f>DC90+DC91</f>
        <v>15308.452000000001</v>
      </c>
      <c r="DD92" s="240">
        <f>DD90+DD91</f>
        <v>15552.160400000001</v>
      </c>
      <c r="DE92" s="2589">
        <f t="shared" si="114"/>
        <v>60823.19200000001</v>
      </c>
      <c r="DF92" s="240">
        <f>DF90+DF91</f>
        <v>14428.013000000001</v>
      </c>
      <c r="DG92" s="240">
        <f>DG90+DG91</f>
        <v>14587.582400000003</v>
      </c>
      <c r="DH92" s="240">
        <f>DH90+DH91</f>
        <v>14867.83907373</v>
      </c>
      <c r="DI92" s="240">
        <f>DI90+DI91</f>
        <v>15619.359111544436</v>
      </c>
      <c r="DJ92" s="365">
        <f t="shared" si="114"/>
        <v>59502.793585274441</v>
      </c>
      <c r="DK92" s="240">
        <f t="shared" ref="DK92:DT92" si="115">DK90+DK91</f>
        <v>15540.565429113261</v>
      </c>
      <c r="DL92" s="240">
        <f t="shared" si="115"/>
        <v>15685.950590845157</v>
      </c>
      <c r="DM92" s="240">
        <f t="shared" si="115"/>
        <v>15484.431381140119</v>
      </c>
      <c r="DN92" s="240">
        <f t="shared" si="115"/>
        <v>15722.536981736124</v>
      </c>
      <c r="DO92" s="365">
        <f t="shared" si="115"/>
        <v>62433.484382834657</v>
      </c>
      <c r="DP92" s="240">
        <f t="shared" si="115"/>
        <v>16148.052932126988</v>
      </c>
      <c r="DQ92" s="240">
        <f t="shared" si="115"/>
        <v>16281.023023068501</v>
      </c>
      <c r="DR92" s="240">
        <f t="shared" si="115"/>
        <v>16055.706696897014</v>
      </c>
      <c r="DS92" s="240">
        <f t="shared" si="115"/>
        <v>16278.969898967061</v>
      </c>
      <c r="DT92" s="365">
        <f t="shared" si="115"/>
        <v>64763.752551059566</v>
      </c>
      <c r="DU92" s="240">
        <f t="shared" ref="DU92:DY92" si="116">DU90+DU91</f>
        <v>16709.610081744351</v>
      </c>
      <c r="DV92" s="240">
        <f t="shared" si="116"/>
        <v>16825.349599538185</v>
      </c>
      <c r="DW92" s="240">
        <f t="shared" si="116"/>
        <v>16574.572979723951</v>
      </c>
      <c r="DX92" s="240">
        <f t="shared" si="116"/>
        <v>16778.884055515431</v>
      </c>
      <c r="DY92" s="365">
        <f t="shared" si="116"/>
        <v>66888.416716521911</v>
      </c>
      <c r="DZ92" s="1850"/>
      <c r="EA92" s="1850"/>
    </row>
    <row r="93" spans="1:131" ht="12" customHeight="1" x14ac:dyDescent="0.2">
      <c r="A93" s="1984"/>
      <c r="B93" s="2390" t="s">
        <v>1011</v>
      </c>
      <c r="C93" s="1883"/>
      <c r="D93" s="1883"/>
      <c r="E93" s="1984"/>
      <c r="F93" s="2056"/>
      <c r="G93" s="1850"/>
      <c r="H93" s="1850"/>
      <c r="I93" s="2134"/>
      <c r="J93" s="1984"/>
      <c r="K93" s="2056"/>
      <c r="L93" s="1850"/>
      <c r="M93" s="1850"/>
      <c r="N93" s="306">
        <f>N14</f>
        <v>7466.2218000000003</v>
      </c>
      <c r="O93" s="1984"/>
      <c r="P93" s="2056"/>
      <c r="Q93" s="1850"/>
      <c r="R93" s="1850"/>
      <c r="S93" s="306">
        <f>S14</f>
        <v>8686.7135999999991</v>
      </c>
      <c r="T93" s="1984"/>
      <c r="U93" s="2056"/>
      <c r="V93" s="2045"/>
      <c r="W93" s="1984"/>
      <c r="X93" s="306">
        <f>X14</f>
        <v>10347.048999999999</v>
      </c>
      <c r="Y93" s="1984"/>
      <c r="Z93" s="2056"/>
      <c r="AA93" s="1850"/>
      <c r="AB93" s="1850"/>
      <c r="AC93" s="306">
        <f>AC14</f>
        <v>12152.5767</v>
      </c>
      <c r="AD93" s="1984"/>
      <c r="AE93" s="2056"/>
      <c r="AF93" s="1850"/>
      <c r="AG93" s="1850"/>
      <c r="AH93" s="306">
        <f>AH14</f>
        <v>14098.270700000001</v>
      </c>
      <c r="AI93" s="1984"/>
      <c r="AJ93" s="2319"/>
      <c r="AK93" s="2319"/>
      <c r="AL93" s="1984"/>
      <c r="AM93" s="306">
        <f>AM14</f>
        <v>15588.695200000002</v>
      </c>
      <c r="AN93" s="2317"/>
      <c r="AO93" s="2320"/>
      <c r="AP93" s="2320"/>
      <c r="AQ93" s="1984"/>
      <c r="AR93" s="306">
        <f>AR14</f>
        <v>17393.121599999999</v>
      </c>
      <c r="AS93" s="2321"/>
      <c r="AT93" s="2319"/>
      <c r="AU93" s="2319"/>
      <c r="AV93" s="1984"/>
      <c r="AW93" s="306">
        <f>AW14</f>
        <v>20110.09</v>
      </c>
      <c r="AX93" s="2320"/>
      <c r="AY93" s="2320"/>
      <c r="AZ93" s="2320"/>
      <c r="BA93" s="1984"/>
      <c r="BB93" s="306">
        <f>BB14</f>
        <v>23388.8956</v>
      </c>
      <c r="BC93" s="2320"/>
      <c r="BD93" s="2320"/>
      <c r="BE93" s="2320"/>
      <c r="BF93" s="1984"/>
      <c r="BG93" s="400">
        <f>BG14</f>
        <v>27555.350399999999</v>
      </c>
      <c r="BH93" s="2320"/>
      <c r="BI93" s="2320"/>
      <c r="BJ93" s="2320"/>
      <c r="BK93" s="1984"/>
      <c r="BL93" s="400">
        <f t="shared" ref="BL93:DJ93" si="117">BL14</f>
        <v>30568.647000000001</v>
      </c>
      <c r="BM93" s="401">
        <f t="shared" si="117"/>
        <v>8078.6992000000009</v>
      </c>
      <c r="BN93" s="401">
        <f t="shared" si="117"/>
        <v>7980.6023999999998</v>
      </c>
      <c r="BO93" s="401">
        <f t="shared" si="117"/>
        <v>7883.1860000000006</v>
      </c>
      <c r="BP93" s="401">
        <f t="shared" si="117"/>
        <v>9101.1270000000004</v>
      </c>
      <c r="BQ93" s="400">
        <f t="shared" si="117"/>
        <v>33068.182500000003</v>
      </c>
      <c r="BR93" s="401">
        <f t="shared" si="117"/>
        <v>9204.8858</v>
      </c>
      <c r="BS93" s="401">
        <f t="shared" si="117"/>
        <v>9285.5156000000006</v>
      </c>
      <c r="BT93" s="401">
        <f t="shared" si="117"/>
        <v>9306.0936000000002</v>
      </c>
      <c r="BU93" s="401">
        <f t="shared" si="117"/>
        <v>9655.94</v>
      </c>
      <c r="BV93" s="400">
        <f t="shared" si="117"/>
        <v>37452.435000000005</v>
      </c>
      <c r="BW93" s="401">
        <f t="shared" si="117"/>
        <v>9560.9520000000011</v>
      </c>
      <c r="BX93" s="401">
        <f t="shared" si="117"/>
        <v>9674.2360000000008</v>
      </c>
      <c r="BY93" s="401">
        <f t="shared" si="117"/>
        <v>9727.2330000000002</v>
      </c>
      <c r="BZ93" s="401">
        <f t="shared" si="117"/>
        <v>9995.8870000000006</v>
      </c>
      <c r="CA93" s="400">
        <f t="shared" si="117"/>
        <v>38958.308000000005</v>
      </c>
      <c r="CB93" s="401">
        <f t="shared" si="117"/>
        <v>10079.616999999998</v>
      </c>
      <c r="CC93" s="401">
        <f t="shared" si="117"/>
        <v>10066.854000000001</v>
      </c>
      <c r="CD93" s="240">
        <f t="shared" si="117"/>
        <v>10064.705</v>
      </c>
      <c r="CE93" s="240">
        <f t="shared" si="117"/>
        <v>10488.557900000002</v>
      </c>
      <c r="CF93" s="365">
        <f t="shared" si="117"/>
        <v>40699.733899999999</v>
      </c>
      <c r="CG93" s="401">
        <f t="shared" si="117"/>
        <v>11200.776</v>
      </c>
      <c r="CH93" s="240">
        <f t="shared" si="117"/>
        <v>10902.047999999999</v>
      </c>
      <c r="CI93" s="240">
        <f t="shared" si="117"/>
        <v>10713.194899999999</v>
      </c>
      <c r="CJ93" s="240">
        <f t="shared" si="117"/>
        <v>11005.28</v>
      </c>
      <c r="CK93" s="365">
        <f t="shared" si="117"/>
        <v>43821.298899999994</v>
      </c>
      <c r="CL93" s="1682">
        <f t="shared" si="117"/>
        <v>11075.189999999999</v>
      </c>
      <c r="CM93" s="1682">
        <f>CM14</f>
        <v>11152.394499999999</v>
      </c>
      <c r="CN93" s="1682">
        <f>CN14</f>
        <v>11463.936</v>
      </c>
      <c r="CO93" s="240">
        <f t="shared" si="117"/>
        <v>11948.439999999999</v>
      </c>
      <c r="CP93" s="365">
        <f t="shared" si="117"/>
        <v>45639.960500000001</v>
      </c>
      <c r="CQ93" s="240">
        <f>CQ14</f>
        <v>11618.258999999998</v>
      </c>
      <c r="CR93" s="240">
        <f t="shared" si="117"/>
        <v>11741.519999999999</v>
      </c>
      <c r="CS93" s="240">
        <f t="shared" si="117"/>
        <v>12026.141</v>
      </c>
      <c r="CT93" s="240">
        <f t="shared" si="117"/>
        <v>12600.975999999999</v>
      </c>
      <c r="CU93" s="365">
        <f t="shared" si="117"/>
        <v>47932.691099999996</v>
      </c>
      <c r="CV93" s="240">
        <f t="shared" si="117"/>
        <v>12153.723599999999</v>
      </c>
      <c r="CW93" s="240">
        <f>CW14</f>
        <v>12345.343599999998</v>
      </c>
      <c r="CX93" s="240">
        <f>CX14</f>
        <v>13272.587422319159</v>
      </c>
      <c r="CY93" s="240">
        <f>CY14</f>
        <v>14708.072060519198</v>
      </c>
      <c r="CZ93" s="365">
        <f t="shared" si="117"/>
        <v>52493.316210309233</v>
      </c>
      <c r="DA93" s="240">
        <f>DA14</f>
        <v>15003.552</v>
      </c>
      <c r="DB93" s="240">
        <f>DB14</f>
        <v>14959.027600000001</v>
      </c>
      <c r="DC93" s="240">
        <f>DC14</f>
        <v>15308.452000000001</v>
      </c>
      <c r="DD93" s="240">
        <f>DD14</f>
        <v>15552.160400000001</v>
      </c>
      <c r="DE93" s="365">
        <f t="shared" si="117"/>
        <v>60823.192000000003</v>
      </c>
      <c r="DF93" s="240">
        <f>DF14</f>
        <v>14428.013000000001</v>
      </c>
      <c r="DG93" s="240">
        <f>DG14</f>
        <v>14587.582400000001</v>
      </c>
      <c r="DH93" s="240">
        <f>DH14</f>
        <v>14867.83907373</v>
      </c>
      <c r="DI93" s="240">
        <f>DI14</f>
        <v>15619.359111544436</v>
      </c>
      <c r="DJ93" s="365">
        <f t="shared" si="117"/>
        <v>59502.793585274434</v>
      </c>
      <c r="DK93" s="240">
        <f t="shared" ref="DK93:DT93" si="118">DK14</f>
        <v>15540.565429113261</v>
      </c>
      <c r="DL93" s="240">
        <f t="shared" si="118"/>
        <v>15685.950590845157</v>
      </c>
      <c r="DM93" s="240">
        <f t="shared" si="118"/>
        <v>15484.431381140119</v>
      </c>
      <c r="DN93" s="240">
        <f t="shared" si="118"/>
        <v>15722.536981736124</v>
      </c>
      <c r="DO93" s="365">
        <f t="shared" si="118"/>
        <v>62433.484382834664</v>
      </c>
      <c r="DP93" s="240">
        <f t="shared" si="118"/>
        <v>16148.052932126988</v>
      </c>
      <c r="DQ93" s="240">
        <f t="shared" si="118"/>
        <v>16281.023023068501</v>
      </c>
      <c r="DR93" s="240">
        <f t="shared" si="118"/>
        <v>16055.706696897014</v>
      </c>
      <c r="DS93" s="240">
        <f t="shared" si="118"/>
        <v>16278.969898967061</v>
      </c>
      <c r="DT93" s="365">
        <f t="shared" si="118"/>
        <v>64763.752551059559</v>
      </c>
      <c r="DU93" s="240">
        <f t="shared" ref="DU93:DY93" si="119">DU14</f>
        <v>16709.610081744351</v>
      </c>
      <c r="DV93" s="240">
        <f t="shared" si="119"/>
        <v>16825.349599538185</v>
      </c>
      <c r="DW93" s="240">
        <f t="shared" si="119"/>
        <v>16574.572979723951</v>
      </c>
      <c r="DX93" s="240">
        <f t="shared" si="119"/>
        <v>16778.884055515431</v>
      </c>
      <c r="DY93" s="365">
        <f t="shared" si="119"/>
        <v>66888.416716521911</v>
      </c>
      <c r="DZ93" s="1850"/>
      <c r="EA93" s="1850"/>
    </row>
    <row r="94" spans="1:131" ht="12" customHeight="1" x14ac:dyDescent="0.2">
      <c r="A94" s="1984"/>
      <c r="B94" s="2318"/>
      <c r="C94" s="1883"/>
      <c r="D94" s="1883"/>
      <c r="E94" s="1984"/>
      <c r="F94" s="2056"/>
      <c r="G94" s="1850"/>
      <c r="H94" s="1850"/>
      <c r="I94" s="2134"/>
      <c r="J94" s="1984"/>
      <c r="K94" s="2056"/>
      <c r="L94" s="1850"/>
      <c r="M94" s="1850"/>
      <c r="N94" s="2134"/>
      <c r="O94" s="1984"/>
      <c r="P94" s="2056"/>
      <c r="Q94" s="1850"/>
      <c r="R94" s="1850"/>
      <c r="S94" s="2134"/>
      <c r="T94" s="1984"/>
      <c r="U94" s="2056"/>
      <c r="V94" s="2045"/>
      <c r="W94" s="1984"/>
      <c r="X94" s="2134"/>
      <c r="Y94" s="1984"/>
      <c r="Z94" s="2056"/>
      <c r="AA94" s="1850"/>
      <c r="AB94" s="1850"/>
      <c r="AC94" s="2134"/>
      <c r="AD94" s="1984"/>
      <c r="AE94" s="2056"/>
      <c r="AF94" s="1850"/>
      <c r="AG94" s="1850"/>
      <c r="AH94" s="2134"/>
      <c r="AI94" s="1984"/>
      <c r="AJ94" s="2319"/>
      <c r="AK94" s="2319"/>
      <c r="AL94" s="1984"/>
      <c r="AM94" s="2134"/>
      <c r="AN94" s="2317"/>
      <c r="AO94" s="2320"/>
      <c r="AP94" s="2320"/>
      <c r="AQ94" s="1984"/>
      <c r="AR94" s="2134"/>
      <c r="AS94" s="2321"/>
      <c r="AT94" s="2319"/>
      <c r="AU94" s="2319"/>
      <c r="AV94" s="1984"/>
      <c r="AW94" s="2322"/>
      <c r="AX94" s="2320"/>
      <c r="AY94" s="2320"/>
      <c r="AZ94" s="2320"/>
      <c r="BA94" s="1984"/>
      <c r="BB94" s="2322"/>
      <c r="BC94" s="2320"/>
      <c r="BD94" s="2320"/>
      <c r="BE94" s="2320"/>
      <c r="BF94" s="1984"/>
      <c r="BG94" s="2322"/>
      <c r="BH94" s="2320"/>
      <c r="BI94" s="2320"/>
      <c r="BJ94" s="2320"/>
      <c r="BK94" s="1984"/>
      <c r="BL94" s="2322"/>
      <c r="BM94" s="1850"/>
      <c r="BN94" s="1850"/>
      <c r="BO94" s="1850"/>
      <c r="BP94" s="1850"/>
      <c r="BQ94" s="2322"/>
      <c r="BR94" s="1850"/>
      <c r="BS94" s="1850"/>
      <c r="BT94" s="1850"/>
      <c r="BU94" s="1850"/>
      <c r="BV94" s="2322"/>
      <c r="BW94" s="1850"/>
      <c r="BX94" s="1850"/>
      <c r="BY94" s="1850"/>
      <c r="BZ94" s="1850"/>
      <c r="CA94" s="365"/>
      <c r="CB94" s="1850"/>
      <c r="CC94" s="1850"/>
      <c r="CD94" s="1850"/>
      <c r="CE94" s="1850"/>
      <c r="CF94" s="2322"/>
      <c r="CG94" s="1984"/>
      <c r="CH94" s="2013"/>
      <c r="CI94" s="2013"/>
      <c r="CJ94" s="1984"/>
      <c r="CK94" s="2322"/>
      <c r="CL94" s="469">
        <f>CL93/CG93-1</f>
        <v>-1.1212258864921609E-2</v>
      </c>
      <c r="CM94" s="469">
        <f>CM93/CH93-1</f>
        <v>2.2963254243606235E-2</v>
      </c>
      <c r="CN94" s="469">
        <f>CN93/CI93-1</f>
        <v>7.0076303755101321E-2</v>
      </c>
      <c r="CO94" s="469">
        <f>CO93/CJ93-1</f>
        <v>8.5700681854527838E-2</v>
      </c>
      <c r="CP94" s="2322"/>
      <c r="CQ94" s="469">
        <f>CQ93/CL93-1</f>
        <v>4.903473439281858E-2</v>
      </c>
      <c r="CR94" s="1850"/>
      <c r="CS94" s="1850"/>
      <c r="CT94" s="1850"/>
      <c r="CU94" s="2322"/>
      <c r="CV94" s="1850"/>
      <c r="CW94" s="1850"/>
      <c r="CX94" s="1850"/>
      <c r="CY94" s="1850"/>
      <c r="CZ94" s="2322"/>
      <c r="DA94" s="1850"/>
      <c r="DB94" s="1850"/>
      <c r="DC94" s="1850"/>
      <c r="DD94" s="1850"/>
      <c r="DE94" s="2322"/>
      <c r="DF94" s="1850"/>
      <c r="DG94" s="1850"/>
      <c r="DH94" s="1850"/>
      <c r="DI94" s="1850"/>
      <c r="DJ94" s="2322"/>
      <c r="DK94" s="1850">
        <f>DK93/DF93-1</f>
        <v>7.711057850538805E-2</v>
      </c>
      <c r="DL94" s="1850"/>
      <c r="DM94" s="1850"/>
      <c r="DN94" s="1850"/>
      <c r="DO94" s="2322"/>
      <c r="DP94" s="1850"/>
      <c r="DQ94" s="1850"/>
      <c r="DR94" s="1850"/>
      <c r="DS94" s="1850"/>
      <c r="DT94" s="2322"/>
      <c r="DU94" s="1850"/>
      <c r="DV94" s="1850"/>
      <c r="DW94" s="1850"/>
      <c r="DX94" s="1850"/>
      <c r="DY94" s="2322"/>
      <c r="DZ94" s="1850"/>
      <c r="EA94" s="1850"/>
    </row>
    <row r="95" spans="1:131" ht="12" customHeight="1" outlineLevel="1" x14ac:dyDescent="0.2">
      <c r="A95" s="2090"/>
      <c r="B95" s="2369" t="s">
        <v>1012</v>
      </c>
      <c r="C95" s="2370"/>
      <c r="D95" s="2370"/>
      <c r="E95" s="2090"/>
      <c r="F95" s="2060"/>
      <c r="G95" s="1943"/>
      <c r="H95" s="1943"/>
      <c r="I95" s="2371"/>
      <c r="J95" s="2090"/>
      <c r="K95" s="2060"/>
      <c r="L95" s="1943"/>
      <c r="M95" s="1943"/>
      <c r="N95" s="2371"/>
      <c r="O95" s="2090"/>
      <c r="P95" s="2060"/>
      <c r="Q95" s="1943"/>
      <c r="R95" s="1943"/>
      <c r="S95" s="2371"/>
      <c r="T95" s="2090"/>
      <c r="U95" s="2060"/>
      <c r="V95" s="2372"/>
      <c r="W95" s="2090"/>
      <c r="X95" s="2371"/>
      <c r="Y95" s="2090"/>
      <c r="Z95" s="2060"/>
      <c r="AA95" s="1943"/>
      <c r="AB95" s="1943"/>
      <c r="AC95" s="2371"/>
      <c r="AD95" s="2090"/>
      <c r="AE95" s="2060"/>
      <c r="AF95" s="1943"/>
      <c r="AG95" s="1943"/>
      <c r="AH95" s="2371"/>
      <c r="AI95" s="2090"/>
      <c r="AJ95" s="2373"/>
      <c r="AK95" s="2373"/>
      <c r="AL95" s="2090"/>
      <c r="AM95" s="2371"/>
      <c r="AN95" s="2374"/>
      <c r="AO95" s="2375"/>
      <c r="AP95" s="2375"/>
      <c r="AQ95" s="2090"/>
      <c r="AR95" s="2371"/>
      <c r="AS95" s="2376"/>
      <c r="AT95" s="2373"/>
      <c r="AU95" s="2373"/>
      <c r="AV95" s="2090"/>
      <c r="AW95" s="2377"/>
      <c r="AX95" s="2375"/>
      <c r="AY95" s="2375"/>
      <c r="AZ95" s="2375"/>
      <c r="BA95" s="2090"/>
      <c r="BB95" s="2377"/>
      <c r="BC95" s="2375"/>
      <c r="BD95" s="2375"/>
      <c r="BE95" s="2375"/>
      <c r="BF95" s="2090"/>
      <c r="BG95" s="2377"/>
      <c r="BH95" s="2375"/>
      <c r="BI95" s="2375"/>
      <c r="BJ95" s="2375"/>
      <c r="BK95" s="2090"/>
      <c r="BL95" s="2377"/>
      <c r="BM95" s="1943"/>
      <c r="BN95" s="1943"/>
      <c r="BO95" s="1943"/>
      <c r="BP95" s="1943"/>
      <c r="BQ95" s="2377"/>
      <c r="BR95" s="1943"/>
      <c r="BS95" s="1943"/>
      <c r="BT95" s="1943"/>
      <c r="BU95" s="1943"/>
      <c r="BV95" s="2377"/>
      <c r="BW95" s="1943"/>
      <c r="BX95" s="1943"/>
      <c r="BY95" s="1943"/>
      <c r="BZ95" s="1943"/>
      <c r="CA95" s="1069"/>
      <c r="CB95" s="1943"/>
      <c r="CC95" s="1943"/>
      <c r="CD95" s="1943"/>
      <c r="CE95" s="1943"/>
      <c r="CF95" s="2377"/>
      <c r="CG95" s="1943"/>
      <c r="CH95" s="1943"/>
      <c r="CI95" s="1943"/>
      <c r="CJ95" s="1943"/>
      <c r="CK95" s="2377"/>
      <c r="CL95" s="1943"/>
      <c r="CM95" s="1943"/>
      <c r="CN95" s="1943"/>
      <c r="CO95" s="1943"/>
      <c r="CP95" s="2377"/>
      <c r="CQ95" s="1943"/>
      <c r="CR95" s="1943"/>
      <c r="CS95" s="1943"/>
      <c r="CT95" s="1943"/>
      <c r="CU95" s="2377"/>
      <c r="CV95" s="1943"/>
      <c r="CW95" s="1943"/>
      <c r="CX95" s="1943"/>
      <c r="CY95" s="1943"/>
      <c r="CZ95" s="2377"/>
      <c r="DA95" s="1943"/>
      <c r="DB95" s="1943"/>
      <c r="DC95" s="1943"/>
      <c r="DD95" s="1943"/>
      <c r="DE95" s="2377"/>
      <c r="DF95" s="1943"/>
      <c r="DG95" s="1943"/>
      <c r="DH95" s="1943"/>
      <c r="DI95" s="1943"/>
      <c r="DJ95" s="2377"/>
      <c r="DK95" s="1943"/>
      <c r="DL95" s="1943"/>
      <c r="DM95" s="1943"/>
      <c r="DN95" s="1943"/>
      <c r="DO95" s="2377"/>
      <c r="DP95" s="1943"/>
      <c r="DQ95" s="1943"/>
      <c r="DR95" s="1943"/>
      <c r="DS95" s="1943"/>
      <c r="DT95" s="2377"/>
      <c r="DU95" s="1943"/>
      <c r="DV95" s="1943"/>
      <c r="DW95" s="1943"/>
      <c r="DX95" s="1943"/>
      <c r="DY95" s="2377"/>
      <c r="DZ95" s="1943"/>
      <c r="EA95" s="1943"/>
    </row>
    <row r="96" spans="1:131" ht="12" customHeight="1" outlineLevel="1" x14ac:dyDescent="0.2">
      <c r="A96" s="1984"/>
      <c r="B96" s="2318" t="s">
        <v>786</v>
      </c>
      <c r="C96" s="1883"/>
      <c r="D96" s="1883"/>
      <c r="E96" s="1984"/>
      <c r="F96" s="2056"/>
      <c r="G96" s="1850"/>
      <c r="H96" s="1850"/>
      <c r="I96" s="2134"/>
      <c r="J96" s="1984"/>
      <c r="K96" s="2056"/>
      <c r="L96" s="1850"/>
      <c r="M96" s="1850"/>
      <c r="N96" s="2134"/>
      <c r="O96" s="1984"/>
      <c r="P96" s="2056"/>
      <c r="Q96" s="1850"/>
      <c r="R96" s="1850"/>
      <c r="S96" s="2134"/>
      <c r="T96" s="1984"/>
      <c r="U96" s="2056"/>
      <c r="V96" s="2045"/>
      <c r="W96" s="1984"/>
      <c r="X96" s="2134"/>
      <c r="Y96" s="1984"/>
      <c r="Z96" s="2056"/>
      <c r="AA96" s="1850"/>
      <c r="AB96" s="1850"/>
      <c r="AC96" s="2134"/>
      <c r="AD96" s="1984"/>
      <c r="AE96" s="2056"/>
      <c r="AF96" s="1850"/>
      <c r="AG96" s="1850"/>
      <c r="AH96" s="2134"/>
      <c r="AI96" s="1984"/>
      <c r="AJ96" s="2319"/>
      <c r="AK96" s="2319"/>
      <c r="AL96" s="1984"/>
      <c r="AM96" s="2134"/>
      <c r="AN96" s="2317"/>
      <c r="AO96" s="2320"/>
      <c r="AP96" s="2320"/>
      <c r="AQ96" s="1984"/>
      <c r="AR96" s="2134"/>
      <c r="AS96" s="2321"/>
      <c r="AT96" s="2319"/>
      <c r="AU96" s="2319"/>
      <c r="AV96" s="1984"/>
      <c r="AW96" s="2322"/>
      <c r="AX96" s="2320"/>
      <c r="AY96" s="2320"/>
      <c r="AZ96" s="2320"/>
      <c r="BA96" s="1984"/>
      <c r="BB96" s="2322"/>
      <c r="BC96" s="2320"/>
      <c r="BD96" s="2320"/>
      <c r="BE96" s="2320"/>
      <c r="BF96" s="1984"/>
      <c r="BG96" s="365"/>
      <c r="BH96" s="2320"/>
      <c r="BI96" s="2320"/>
      <c r="BJ96" s="2320"/>
      <c r="BK96" s="1984"/>
      <c r="BL96" s="365"/>
      <c r="BM96" s="1850"/>
      <c r="BN96" s="1850"/>
      <c r="BO96" s="1850"/>
      <c r="BP96" s="1850"/>
      <c r="BQ96" s="365"/>
      <c r="BR96" s="401">
        <f t="shared" ref="BR96:BU97" si="120">BR73*BR116</f>
        <v>2635.3781999999997</v>
      </c>
      <c r="BS96" s="401">
        <f t="shared" si="120"/>
        <v>2557.5076799999997</v>
      </c>
      <c r="BT96" s="401">
        <f t="shared" si="120"/>
        <v>2529.4534902</v>
      </c>
      <c r="BU96" s="401">
        <f t="shared" si="120"/>
        <v>2952.3863823999995</v>
      </c>
      <c r="BV96" s="400">
        <f>SUM(BR96:BU96)</f>
        <v>10674.725752599999</v>
      </c>
      <c r="BW96" s="401">
        <f t="shared" ref="BW96:BZ97" si="121">BW73*BW116</f>
        <v>2871.8616044999994</v>
      </c>
      <c r="BX96" s="401">
        <f t="shared" si="121"/>
        <v>2913.8293767999999</v>
      </c>
      <c r="BY96" s="401">
        <f t="shared" si="121"/>
        <v>2920.0673040000001</v>
      </c>
      <c r="BZ96" s="401">
        <f t="shared" si="121"/>
        <v>3066.8798474999999</v>
      </c>
      <c r="CA96" s="400">
        <f>SUM(BW96:BZ96)</f>
        <v>11772.638132799999</v>
      </c>
      <c r="CB96" s="401">
        <f t="shared" ref="CB96:CE97" si="122">CB73*CB116</f>
        <v>3113.1858829500002</v>
      </c>
      <c r="CC96" s="401">
        <f t="shared" si="122"/>
        <v>3124.3074974999995</v>
      </c>
      <c r="CD96" s="240">
        <f t="shared" si="122"/>
        <v>3104.7467417499997</v>
      </c>
      <c r="CE96" s="240">
        <f t="shared" si="122"/>
        <v>3266.5809932249995</v>
      </c>
      <c r="CF96" s="239">
        <f>SUM(CB96:CE96)</f>
        <v>12608.821115424998</v>
      </c>
      <c r="CG96" s="401">
        <f t="shared" ref="CG96:CJ97" si="123">CG73*CG116</f>
        <v>3606.172555392</v>
      </c>
      <c r="CH96" s="240">
        <f t="shared" si="123"/>
        <v>3633.7547864520002</v>
      </c>
      <c r="CI96" s="240">
        <f t="shared" si="123"/>
        <v>3665.4492496055004</v>
      </c>
      <c r="CJ96" s="240">
        <f t="shared" si="123"/>
        <v>3863.4947992350008</v>
      </c>
      <c r="CK96" s="239">
        <f>SUM(CG96:CJ96)</f>
        <v>14768.871390684502</v>
      </c>
      <c r="CL96" s="240">
        <f t="shared" ref="CL96:CO97" si="124">CL73*CL116</f>
        <v>3746.4046715739487</v>
      </c>
      <c r="CM96" s="240">
        <f t="shared" si="124"/>
        <v>3752.9431874038455</v>
      </c>
      <c r="CN96" s="240">
        <f>CN73*CN116</f>
        <v>3877.8086281846154</v>
      </c>
      <c r="CO96" s="240">
        <f t="shared" si="124"/>
        <v>4028.1396919024392</v>
      </c>
      <c r="CP96" s="239">
        <f>SUM(CL96:CO96)</f>
        <v>15405.29617906485</v>
      </c>
      <c r="CQ96" s="240">
        <f>CQ73*CQ116</f>
        <v>3939.1615052902898</v>
      </c>
      <c r="CR96" s="240">
        <f t="shared" ref="CR96:CT97" si="125">CR73*CR116</f>
        <v>4002.7109343829766</v>
      </c>
      <c r="CS96" s="240">
        <f t="shared" si="125"/>
        <v>4087.5775177468327</v>
      </c>
      <c r="CT96" s="240">
        <f t="shared" si="125"/>
        <v>4268.8647596549008</v>
      </c>
      <c r="CU96" s="239">
        <f>SUM(CQ96:CT96)</f>
        <v>16298.314717075002</v>
      </c>
      <c r="CV96" s="240">
        <f>CV73*CV116</f>
        <v>4005.7635411185747</v>
      </c>
      <c r="CW96" s="240">
        <f t="shared" ref="CW96:CY97" si="126">CW73*CW116</f>
        <v>4078.9227669160837</v>
      </c>
      <c r="CX96" s="240">
        <f t="shared" si="126"/>
        <v>4415.2571012069784</v>
      </c>
      <c r="CY96" s="240">
        <f t="shared" si="126"/>
        <v>4394.2820377768703</v>
      </c>
      <c r="CZ96" s="239">
        <f>SUM(CV96:CY96)</f>
        <v>16894.225447018507</v>
      </c>
      <c r="DA96" s="240">
        <f t="shared" ref="DA96:DD97" si="127">DA73*DA116</f>
        <v>4088.1200500332734</v>
      </c>
      <c r="DB96" s="240">
        <f t="shared" si="127"/>
        <v>4088.7319236235257</v>
      </c>
      <c r="DC96" s="240">
        <f t="shared" si="127"/>
        <v>4172.8128701191808</v>
      </c>
      <c r="DD96" s="240">
        <f t="shared" si="127"/>
        <v>4698.0052125386082</v>
      </c>
      <c r="DE96" s="239">
        <f>SUM(DA96:DD96)</f>
        <v>17047.670056314586</v>
      </c>
      <c r="DF96" s="240">
        <f t="shared" ref="DF96" si="128">DF73*DF116</f>
        <v>4725.5640185374268</v>
      </c>
      <c r="DG96" s="240">
        <f t="shared" ref="DG96:DI97" si="129">DG73*DG116</f>
        <v>4802.72934208488</v>
      </c>
      <c r="DH96" s="240">
        <f t="shared" si="129"/>
        <v>4902.9768569952885</v>
      </c>
      <c r="DI96" s="240">
        <f t="shared" si="129"/>
        <v>5167.0350821694656</v>
      </c>
      <c r="DJ96" s="239">
        <f>SUM(DF96:DI96)</f>
        <v>19598.305299787062</v>
      </c>
      <c r="DK96" s="240">
        <f t="shared" ref="DK96:DN97" si="130">DK73*DK116</f>
        <v>4528.8449893339148</v>
      </c>
      <c r="DL96" s="240">
        <f t="shared" si="130"/>
        <v>4592.0719335145959</v>
      </c>
      <c r="DM96" s="240">
        <f t="shared" si="130"/>
        <v>4712.2203007381313</v>
      </c>
      <c r="DN96" s="240">
        <f t="shared" si="130"/>
        <v>4987.5669698835864</v>
      </c>
      <c r="DO96" s="239">
        <f>SUM(DK96:DN96)</f>
        <v>18820.704193470228</v>
      </c>
      <c r="DP96" s="240">
        <f t="shared" ref="DP96:DS97" si="131">DP73*DP116</f>
        <v>4668.3812691474268</v>
      </c>
      <c r="DQ96" s="240">
        <f t="shared" si="131"/>
        <v>4734.0013845877611</v>
      </c>
      <c r="DR96" s="240">
        <f t="shared" si="131"/>
        <v>4852.7318580942829</v>
      </c>
      <c r="DS96" s="240">
        <f t="shared" si="131"/>
        <v>5129.7909953963945</v>
      </c>
      <c r="DT96" s="239">
        <f>SUM(DP96:DS96)</f>
        <v>19384.905507225867</v>
      </c>
      <c r="DU96" s="240">
        <f t="shared" ref="DU96:DX96" si="132">DU73*DU116</f>
        <v>4801.5585659151839</v>
      </c>
      <c r="DV96" s="240">
        <f t="shared" si="132"/>
        <v>4869.1660452689339</v>
      </c>
      <c r="DW96" s="240">
        <f t="shared" si="132"/>
        <v>4991.0471122949421</v>
      </c>
      <c r="DX96" s="240">
        <f t="shared" si="132"/>
        <v>5274.8077279648569</v>
      </c>
      <c r="DY96" s="239">
        <f>SUM(DU96:DX96)</f>
        <v>19936.579451443919</v>
      </c>
      <c r="DZ96" s="1850"/>
      <c r="EA96" s="1850"/>
    </row>
    <row r="97" spans="1:131" ht="12" customHeight="1" outlineLevel="1" x14ac:dyDescent="0.2">
      <c r="A97" s="2378"/>
      <c r="B97" s="2379" t="s">
        <v>997</v>
      </c>
      <c r="C97" s="2380"/>
      <c r="D97" s="2380"/>
      <c r="E97" s="2378"/>
      <c r="F97" s="2381"/>
      <c r="G97" s="2382"/>
      <c r="H97" s="2382"/>
      <c r="I97" s="2383"/>
      <c r="J97" s="2378"/>
      <c r="K97" s="2381"/>
      <c r="L97" s="2382"/>
      <c r="M97" s="2382"/>
      <c r="N97" s="2383"/>
      <c r="O97" s="2378"/>
      <c r="P97" s="2381"/>
      <c r="Q97" s="2382"/>
      <c r="R97" s="2382"/>
      <c r="S97" s="2383"/>
      <c r="T97" s="2378"/>
      <c r="U97" s="2381"/>
      <c r="V97" s="2384"/>
      <c r="W97" s="2378"/>
      <c r="X97" s="2383"/>
      <c r="Y97" s="2378"/>
      <c r="Z97" s="2381"/>
      <c r="AA97" s="2382"/>
      <c r="AB97" s="2382"/>
      <c r="AC97" s="2383"/>
      <c r="AD97" s="2378"/>
      <c r="AE97" s="2381"/>
      <c r="AF97" s="2382"/>
      <c r="AG97" s="2382"/>
      <c r="AH97" s="2383"/>
      <c r="AI97" s="2378"/>
      <c r="AJ97" s="2385"/>
      <c r="AK97" s="2385"/>
      <c r="AL97" s="2378"/>
      <c r="AM97" s="2383"/>
      <c r="AN97" s="2386"/>
      <c r="AO97" s="2387"/>
      <c r="AP97" s="2387"/>
      <c r="AQ97" s="2378"/>
      <c r="AR97" s="2383"/>
      <c r="AS97" s="2388"/>
      <c r="AT97" s="2385"/>
      <c r="AU97" s="2385"/>
      <c r="AV97" s="2378"/>
      <c r="AW97" s="2389"/>
      <c r="AX97" s="2387"/>
      <c r="AY97" s="2387"/>
      <c r="AZ97" s="2387"/>
      <c r="BA97" s="2378"/>
      <c r="BB97" s="2389"/>
      <c r="BC97" s="2387"/>
      <c r="BD97" s="2387"/>
      <c r="BE97" s="2387"/>
      <c r="BF97" s="2378"/>
      <c r="BG97" s="1074"/>
      <c r="BH97" s="2387"/>
      <c r="BI97" s="2387"/>
      <c r="BJ97" s="2387"/>
      <c r="BK97" s="2378"/>
      <c r="BL97" s="1074"/>
      <c r="BM97" s="2382"/>
      <c r="BN97" s="2382"/>
      <c r="BO97" s="2382"/>
      <c r="BP97" s="2382"/>
      <c r="BQ97" s="1074"/>
      <c r="BR97" s="1071">
        <f t="shared" si="120"/>
        <v>6211.7502448818877</v>
      </c>
      <c r="BS97" s="1071">
        <f t="shared" si="120"/>
        <v>6009.0091607310724</v>
      </c>
      <c r="BT97" s="1071">
        <f t="shared" si="120"/>
        <v>5978.5294228434805</v>
      </c>
      <c r="BU97" s="1071">
        <f t="shared" si="120"/>
        <v>6815.3802993610061</v>
      </c>
      <c r="BV97" s="1070">
        <f>SUM(BR97:BU97)</f>
        <v>25014.669127817448</v>
      </c>
      <c r="BW97" s="1071">
        <f t="shared" si="121"/>
        <v>6530.2543904141748</v>
      </c>
      <c r="BX97" s="1071">
        <f t="shared" si="121"/>
        <v>6646.613218755554</v>
      </c>
      <c r="BY97" s="1071">
        <f t="shared" si="121"/>
        <v>6461.4347027999993</v>
      </c>
      <c r="BZ97" s="1071">
        <f t="shared" si="121"/>
        <v>6787.7594927565669</v>
      </c>
      <c r="CA97" s="1070">
        <f>SUM(BW97:BZ97)</f>
        <v>26426.061804726294</v>
      </c>
      <c r="CB97" s="1071">
        <f t="shared" si="122"/>
        <v>6835.0132474847842</v>
      </c>
      <c r="CC97" s="1071">
        <f t="shared" si="122"/>
        <v>6824.4486447413774</v>
      </c>
      <c r="CD97" s="1072">
        <f t="shared" si="122"/>
        <v>6824.4795806084985</v>
      </c>
      <c r="CE97" s="1072">
        <f t="shared" si="122"/>
        <v>7177.553374906699</v>
      </c>
      <c r="CF97" s="1073">
        <f>SUM(CB97:CE97)</f>
        <v>27661.49484774136</v>
      </c>
      <c r="CG97" s="1071">
        <f t="shared" si="123"/>
        <v>7004.8735491028019</v>
      </c>
      <c r="CH97" s="1072">
        <f t="shared" si="123"/>
        <v>7175.8853781194284</v>
      </c>
      <c r="CI97" s="1072">
        <f t="shared" si="123"/>
        <v>6889.8634965042911</v>
      </c>
      <c r="CJ97" s="1072">
        <f t="shared" si="123"/>
        <v>7385.0798307527921</v>
      </c>
      <c r="CK97" s="1073">
        <f>SUM(CG97:CJ97)</f>
        <v>28455.702254479311</v>
      </c>
      <c r="CL97" s="1072">
        <f t="shared" si="124"/>
        <v>6957.608675780185</v>
      </c>
      <c r="CM97" s="1072">
        <f t="shared" si="124"/>
        <v>6969.751633750001</v>
      </c>
      <c r="CN97" s="1072">
        <f>CN74*CN117</f>
        <v>7201.6445951999985</v>
      </c>
      <c r="CO97" s="1072">
        <f t="shared" si="124"/>
        <v>7480.8308563902438</v>
      </c>
      <c r="CP97" s="1073">
        <f>SUM(CL97:CO97)</f>
        <v>28609.835761120426</v>
      </c>
      <c r="CQ97" s="1072">
        <f>CQ74*CQ117</f>
        <v>7315.5856526819634</v>
      </c>
      <c r="CR97" s="1072">
        <f t="shared" si="125"/>
        <v>7433.6060209969592</v>
      </c>
      <c r="CS97" s="1072">
        <f t="shared" si="125"/>
        <v>7591.2153901012625</v>
      </c>
      <c r="CT97" s="1072">
        <f t="shared" si="125"/>
        <v>7927.8916965019644</v>
      </c>
      <c r="CU97" s="1073">
        <f>SUM(CQ97:CT97)</f>
        <v>30268.298760282149</v>
      </c>
      <c r="CV97" s="1072">
        <f>CV74*CV117</f>
        <v>7775.8939327595817</v>
      </c>
      <c r="CW97" s="1072">
        <f t="shared" si="126"/>
        <v>7917.9089004841617</v>
      </c>
      <c r="CX97" s="1072">
        <f t="shared" si="126"/>
        <v>8570.7931964605959</v>
      </c>
      <c r="CY97" s="1072">
        <f t="shared" si="126"/>
        <v>8530.0768968609864</v>
      </c>
      <c r="CZ97" s="1073">
        <f>SUM(CV97:CY97)</f>
        <v>32794.672926565327</v>
      </c>
      <c r="DA97" s="1072">
        <f t="shared" si="127"/>
        <v>8300.1225258251361</v>
      </c>
      <c r="DB97" s="1072">
        <f t="shared" si="127"/>
        <v>8301.36481462958</v>
      </c>
      <c r="DC97" s="1072">
        <f t="shared" si="127"/>
        <v>8472.0746150904579</v>
      </c>
      <c r="DD97" s="1072">
        <f t="shared" si="127"/>
        <v>9538.3742193965663</v>
      </c>
      <c r="DE97" s="1073">
        <f>SUM(DA97:DD97)</f>
        <v>34611.936174941744</v>
      </c>
      <c r="DF97" s="1072">
        <f>DF74*DF117</f>
        <v>9594.3269467275004</v>
      </c>
      <c r="DG97" s="1072">
        <f t="shared" si="129"/>
        <v>9750.9959369602184</v>
      </c>
      <c r="DH97" s="1072">
        <f t="shared" si="129"/>
        <v>9954.5287702631613</v>
      </c>
      <c r="DI97" s="1072">
        <f t="shared" si="129"/>
        <v>10490.646985010735</v>
      </c>
      <c r="DJ97" s="1073">
        <f>SUM(DF97:DI97)</f>
        <v>39790.49863896161</v>
      </c>
      <c r="DK97" s="1072">
        <f t="shared" si="130"/>
        <v>10922.700342346978</v>
      </c>
      <c r="DL97" s="1072">
        <f t="shared" si="130"/>
        <v>11002.056702232452</v>
      </c>
      <c r="DM97" s="1072">
        <f t="shared" si="130"/>
        <v>10697.493727862851</v>
      </c>
      <c r="DN97" s="1072">
        <f t="shared" si="130"/>
        <v>10678.459681950662</v>
      </c>
      <c r="DO97" s="1073">
        <f>SUM(DK97:DN97)</f>
        <v>43300.710454392945</v>
      </c>
      <c r="DP97" s="1072">
        <f t="shared" si="131"/>
        <v>11421.087663011558</v>
      </c>
      <c r="DQ97" s="1072">
        <f t="shared" si="131"/>
        <v>11487.058667255191</v>
      </c>
      <c r="DR97" s="1072">
        <f t="shared" si="131"/>
        <v>11144.250220745816</v>
      </c>
      <c r="DS97" s="1072">
        <f t="shared" si="131"/>
        <v>11092.842874139846</v>
      </c>
      <c r="DT97" s="1073">
        <f>SUM(DP97:DS97)</f>
        <v>45145.239425152409</v>
      </c>
      <c r="DU97" s="1072">
        <f t="shared" ref="DU97:DX97" si="133">DU74*DU117</f>
        <v>11849.684810997722</v>
      </c>
      <c r="DV97" s="1072">
        <f t="shared" si="133"/>
        <v>11896.523653300359</v>
      </c>
      <c r="DW97" s="1072">
        <f t="shared" si="133"/>
        <v>11525.159758810425</v>
      </c>
      <c r="DX97" s="1072">
        <f t="shared" si="133"/>
        <v>11448.160811497399</v>
      </c>
      <c r="DY97" s="1073">
        <f>SUM(DU97:DX97)</f>
        <v>46719.529034605905</v>
      </c>
      <c r="DZ97" s="2382"/>
      <c r="EA97" s="2382"/>
    </row>
    <row r="98" spans="1:131" ht="12" customHeight="1" outlineLevel="1" x14ac:dyDescent="0.2">
      <c r="A98" s="238"/>
      <c r="B98" s="254" t="s">
        <v>251</v>
      </c>
      <c r="C98" s="238"/>
      <c r="D98" s="238"/>
      <c r="E98" s="238"/>
      <c r="F98" s="238"/>
      <c r="G98" s="238"/>
      <c r="H98" s="238"/>
      <c r="I98" s="239"/>
      <c r="J98" s="238"/>
      <c r="K98" s="238"/>
      <c r="L98" s="238"/>
      <c r="M98" s="238"/>
      <c r="N98" s="239"/>
      <c r="O98" s="238"/>
      <c r="P98" s="238"/>
      <c r="Q98" s="238"/>
      <c r="R98" s="238"/>
      <c r="S98" s="239"/>
      <c r="T98" s="238"/>
      <c r="U98" s="238"/>
      <c r="V98" s="238"/>
      <c r="W98" s="238"/>
      <c r="X98" s="239"/>
      <c r="Y98" s="238"/>
      <c r="Z98" s="238"/>
      <c r="AA98" s="238"/>
      <c r="AB98" s="238"/>
      <c r="AC98" s="239"/>
      <c r="AD98" s="238"/>
      <c r="AE98" s="238"/>
      <c r="AF98" s="238"/>
      <c r="AG98" s="238"/>
      <c r="AH98" s="239"/>
      <c r="AI98" s="238"/>
      <c r="AJ98" s="238"/>
      <c r="AK98" s="238"/>
      <c r="AL98" s="238"/>
      <c r="AM98" s="239"/>
      <c r="AN98" s="238"/>
      <c r="AO98" s="1054"/>
      <c r="AP98" s="1054"/>
      <c r="AQ98" s="238"/>
      <c r="AR98" s="239"/>
      <c r="AS98" s="1054"/>
      <c r="AT98" s="238"/>
      <c r="AU98" s="238"/>
      <c r="AV98" s="238"/>
      <c r="AW98" s="239"/>
      <c r="AX98" s="1054"/>
      <c r="AY98" s="1054"/>
      <c r="AZ98" s="1054"/>
      <c r="BA98" s="238"/>
      <c r="BB98" s="239"/>
      <c r="BC98" s="1054"/>
      <c r="BD98" s="1054"/>
      <c r="BE98" s="1054"/>
      <c r="BF98" s="238"/>
      <c r="BG98" s="365"/>
      <c r="BH98" s="1054"/>
      <c r="BI98" s="1054"/>
      <c r="BJ98" s="1054"/>
      <c r="BK98" s="238"/>
      <c r="BL98" s="365"/>
      <c r="BM98" s="238"/>
      <c r="BN98" s="238"/>
      <c r="BO98" s="238"/>
      <c r="BP98" s="238"/>
      <c r="BQ98" s="365"/>
      <c r="BR98" s="401">
        <f t="shared" ref="BR98:DJ98" si="134">BR96+BR97</f>
        <v>8847.1284448818878</v>
      </c>
      <c r="BS98" s="401">
        <f t="shared" si="134"/>
        <v>8566.5168407310721</v>
      </c>
      <c r="BT98" s="401">
        <f t="shared" si="134"/>
        <v>8507.9829130434809</v>
      </c>
      <c r="BU98" s="401">
        <f t="shared" si="134"/>
        <v>9767.7666817610061</v>
      </c>
      <c r="BV98" s="400">
        <f t="shared" si="134"/>
        <v>35689.394880417443</v>
      </c>
      <c r="BW98" s="401">
        <f t="shared" si="134"/>
        <v>9402.1159949141747</v>
      </c>
      <c r="BX98" s="401">
        <f t="shared" si="134"/>
        <v>9560.4425955555544</v>
      </c>
      <c r="BY98" s="401">
        <f t="shared" si="134"/>
        <v>9381.5020067999994</v>
      </c>
      <c r="BZ98" s="401">
        <f t="shared" si="134"/>
        <v>9854.6393402565664</v>
      </c>
      <c r="CA98" s="400">
        <f t="shared" si="134"/>
        <v>38198.699937526297</v>
      </c>
      <c r="CB98" s="401">
        <f t="shared" si="134"/>
        <v>9948.1991304347848</v>
      </c>
      <c r="CC98" s="401">
        <f t="shared" si="134"/>
        <v>9948.7561422413764</v>
      </c>
      <c r="CD98" s="240">
        <f t="shared" si="134"/>
        <v>9929.2263223584978</v>
      </c>
      <c r="CE98" s="240">
        <f t="shared" si="134"/>
        <v>10444.134368131698</v>
      </c>
      <c r="CF98" s="239">
        <f t="shared" si="134"/>
        <v>40270.315963166358</v>
      </c>
      <c r="CG98" s="401">
        <f t="shared" si="134"/>
        <v>10611.046104494802</v>
      </c>
      <c r="CH98" s="240">
        <f t="shared" si="134"/>
        <v>10809.640164571429</v>
      </c>
      <c r="CI98" s="240">
        <f t="shared" si="134"/>
        <v>10555.312746109792</v>
      </c>
      <c r="CJ98" s="240">
        <f t="shared" si="134"/>
        <v>11248.574629987794</v>
      </c>
      <c r="CK98" s="239">
        <f t="shared" si="134"/>
        <v>43224.573645163815</v>
      </c>
      <c r="CL98" s="240">
        <f t="shared" si="134"/>
        <v>10704.013347354134</v>
      </c>
      <c r="CM98" s="240">
        <f t="shared" si="134"/>
        <v>10722.694821153847</v>
      </c>
      <c r="CN98" s="240">
        <f t="shared" si="134"/>
        <v>11079.453223384615</v>
      </c>
      <c r="CO98" s="240">
        <f t="shared" si="134"/>
        <v>11508.970548292684</v>
      </c>
      <c r="CP98" s="239">
        <f t="shared" si="134"/>
        <v>44015.131940185274</v>
      </c>
      <c r="CQ98" s="240">
        <f>CQ96+CQ97</f>
        <v>11254.747157972253</v>
      </c>
      <c r="CR98" s="240">
        <f t="shared" si="134"/>
        <v>11436.316955379936</v>
      </c>
      <c r="CS98" s="240">
        <f t="shared" si="134"/>
        <v>11678.792907848096</v>
      </c>
      <c r="CT98" s="240">
        <f t="shared" si="134"/>
        <v>12196.756456156865</v>
      </c>
      <c r="CU98" s="239">
        <f t="shared" si="134"/>
        <v>46566.613477357154</v>
      </c>
      <c r="CV98" s="240">
        <f t="shared" si="134"/>
        <v>11781.657473878156</v>
      </c>
      <c r="CW98" s="240">
        <f>CW96+CW97</f>
        <v>11996.831667400245</v>
      </c>
      <c r="CX98" s="240">
        <f>CX96+CX97</f>
        <v>12986.050297667574</v>
      </c>
      <c r="CY98" s="240">
        <f>CY96+CY97</f>
        <v>12924.358934637858</v>
      </c>
      <c r="CZ98" s="239">
        <f t="shared" si="134"/>
        <v>49688.898373583834</v>
      </c>
      <c r="DA98" s="240">
        <f>DA96+DA97</f>
        <v>12388.24257585841</v>
      </c>
      <c r="DB98" s="240">
        <f>DB96+DB97</f>
        <v>12390.096738253105</v>
      </c>
      <c r="DC98" s="240">
        <f>DC96+DC97</f>
        <v>12644.887485209638</v>
      </c>
      <c r="DD98" s="240">
        <f>DD96+DD97</f>
        <v>14236.379431935175</v>
      </c>
      <c r="DE98" s="239">
        <f t="shared" si="134"/>
        <v>51659.60623125633</v>
      </c>
      <c r="DF98" s="240">
        <f t="shared" si="134"/>
        <v>14319.890965264927</v>
      </c>
      <c r="DG98" s="240">
        <f>DG96+DG97</f>
        <v>14553.725279045098</v>
      </c>
      <c r="DH98" s="240">
        <f>DH96+DH97</f>
        <v>14857.50562725845</v>
      </c>
      <c r="DI98" s="240">
        <f>DI96+DI97</f>
        <v>15657.682067180202</v>
      </c>
      <c r="DJ98" s="239">
        <f t="shared" si="134"/>
        <v>59388.803938748671</v>
      </c>
      <c r="DK98" s="240">
        <f t="shared" ref="DK98:DT98" si="135">DK96+DK97</f>
        <v>15451.545331680893</v>
      </c>
      <c r="DL98" s="240">
        <f t="shared" si="135"/>
        <v>15594.128635747049</v>
      </c>
      <c r="DM98" s="240">
        <f t="shared" si="135"/>
        <v>15409.714028600982</v>
      </c>
      <c r="DN98" s="240">
        <f t="shared" si="135"/>
        <v>15666.026651834249</v>
      </c>
      <c r="DO98" s="239">
        <f t="shared" si="135"/>
        <v>62121.414647863174</v>
      </c>
      <c r="DP98" s="240">
        <f t="shared" si="135"/>
        <v>16089.468932158985</v>
      </c>
      <c r="DQ98" s="240">
        <f t="shared" si="135"/>
        <v>16221.060051842953</v>
      </c>
      <c r="DR98" s="240">
        <f t="shared" si="135"/>
        <v>15996.982078840099</v>
      </c>
      <c r="DS98" s="240">
        <f t="shared" si="135"/>
        <v>16222.633869536239</v>
      </c>
      <c r="DT98" s="239">
        <f t="shared" si="135"/>
        <v>64530.144932378273</v>
      </c>
      <c r="DU98" s="240">
        <f t="shared" ref="DU98:DY98" si="136">DU96+DU97</f>
        <v>16651.243376912906</v>
      </c>
      <c r="DV98" s="240">
        <f t="shared" si="136"/>
        <v>16765.689698569295</v>
      </c>
      <c r="DW98" s="240">
        <f t="shared" si="136"/>
        <v>16516.206871105365</v>
      </c>
      <c r="DX98" s="240">
        <f t="shared" si="136"/>
        <v>16722.968539462257</v>
      </c>
      <c r="DY98" s="239">
        <f t="shared" si="136"/>
        <v>66656.108486049823</v>
      </c>
      <c r="DZ98" s="238"/>
      <c r="EA98" s="238"/>
    </row>
    <row r="99" spans="1:131" ht="12" customHeight="1" outlineLevel="1" x14ac:dyDescent="0.2">
      <c r="A99" s="1984"/>
      <c r="B99" s="2318"/>
      <c r="C99" s="1883"/>
      <c r="D99" s="1883"/>
      <c r="E99" s="1984"/>
      <c r="F99" s="2056"/>
      <c r="G99" s="1850"/>
      <c r="H99" s="1850"/>
      <c r="I99" s="2134"/>
      <c r="J99" s="1984"/>
      <c r="K99" s="2056"/>
      <c r="L99" s="1850"/>
      <c r="M99" s="1850"/>
      <c r="N99" s="2134"/>
      <c r="O99" s="1984"/>
      <c r="P99" s="2056"/>
      <c r="Q99" s="1850"/>
      <c r="R99" s="1850"/>
      <c r="S99" s="2134"/>
      <c r="T99" s="1984"/>
      <c r="U99" s="2056"/>
      <c r="V99" s="2045"/>
      <c r="W99" s="1984"/>
      <c r="X99" s="2134"/>
      <c r="Y99" s="1984"/>
      <c r="Z99" s="2056"/>
      <c r="AA99" s="1850"/>
      <c r="AB99" s="1850"/>
      <c r="AC99" s="2134"/>
      <c r="AD99" s="1984"/>
      <c r="AE99" s="2056"/>
      <c r="AF99" s="1850"/>
      <c r="AG99" s="1850"/>
      <c r="AH99" s="2134"/>
      <c r="AI99" s="1984"/>
      <c r="AJ99" s="2319"/>
      <c r="AK99" s="2319"/>
      <c r="AL99" s="1984"/>
      <c r="AM99" s="2134"/>
      <c r="AN99" s="2317"/>
      <c r="AO99" s="2320"/>
      <c r="AP99" s="2320"/>
      <c r="AQ99" s="1984"/>
      <c r="AR99" s="2134"/>
      <c r="AS99" s="2321"/>
      <c r="AT99" s="2319"/>
      <c r="AU99" s="2319"/>
      <c r="AV99" s="1984"/>
      <c r="AW99" s="2322"/>
      <c r="AX99" s="2320"/>
      <c r="AY99" s="2320"/>
      <c r="AZ99" s="2320"/>
      <c r="BA99" s="1984"/>
      <c r="BB99" s="2322"/>
      <c r="BC99" s="2320"/>
      <c r="BD99" s="2320"/>
      <c r="BE99" s="2320"/>
      <c r="BF99" s="1984"/>
      <c r="BG99" s="2322"/>
      <c r="BH99" s="2320"/>
      <c r="BI99" s="2320"/>
      <c r="BJ99" s="2320"/>
      <c r="BK99" s="1984"/>
      <c r="BL99" s="2322"/>
      <c r="BM99" s="1850"/>
      <c r="BN99" s="1850"/>
      <c r="BO99" s="1850"/>
      <c r="BP99" s="1850"/>
      <c r="BQ99" s="2322"/>
      <c r="BR99" s="1850"/>
      <c r="BS99" s="1850"/>
      <c r="BT99" s="1850"/>
      <c r="BU99" s="1850"/>
      <c r="BV99" s="2322"/>
      <c r="BW99" s="1850"/>
      <c r="BX99" s="1850"/>
      <c r="BY99" s="1850"/>
      <c r="BZ99" s="1850"/>
      <c r="CA99" s="365"/>
      <c r="CB99" s="1850"/>
      <c r="CC99" s="1850"/>
      <c r="CD99" s="1850"/>
      <c r="CE99" s="1850"/>
      <c r="CF99" s="2322"/>
      <c r="CG99" s="1850"/>
      <c r="CH99" s="1850"/>
      <c r="CI99" s="1850"/>
      <c r="CJ99" s="1850"/>
      <c r="CK99" s="2322"/>
      <c r="CL99" s="1850"/>
      <c r="CM99" s="1850"/>
      <c r="CN99" s="1850"/>
      <c r="CO99" s="1850"/>
      <c r="CP99" s="2322"/>
      <c r="CQ99" s="1850"/>
      <c r="CR99" s="1850"/>
      <c r="CS99" s="1850"/>
      <c r="CT99" s="1850"/>
      <c r="CU99" s="2322"/>
      <c r="CV99" s="1850"/>
      <c r="CW99" s="1850"/>
      <c r="CX99" s="1850"/>
      <c r="CY99" s="1850"/>
      <c r="CZ99" s="2322"/>
      <c r="DA99" s="1850"/>
      <c r="DB99" s="1850"/>
      <c r="DC99" s="1850"/>
      <c r="DD99" s="1850"/>
      <c r="DE99" s="2322"/>
      <c r="DF99" s="1850"/>
      <c r="DG99" s="1850"/>
      <c r="DH99" s="1850"/>
      <c r="DI99" s="1850"/>
      <c r="DJ99" s="2322"/>
      <c r="DK99" s="1850"/>
      <c r="DL99" s="1850"/>
      <c r="DM99" s="1850"/>
      <c r="DN99" s="1850"/>
      <c r="DO99" s="2322"/>
      <c r="DP99" s="1850"/>
      <c r="DQ99" s="1850"/>
      <c r="DR99" s="1850"/>
      <c r="DS99" s="1850"/>
      <c r="DT99" s="2322"/>
      <c r="DU99" s="1850"/>
      <c r="DV99" s="1850"/>
      <c r="DW99" s="1850"/>
      <c r="DX99" s="1850"/>
      <c r="DY99" s="2322"/>
      <c r="DZ99" s="1850"/>
      <c r="EA99" s="1850"/>
    </row>
    <row r="100" spans="1:131" ht="12" customHeight="1" x14ac:dyDescent="0.2">
      <c r="A100" s="2391"/>
      <c r="B100" s="2369" t="s">
        <v>1013</v>
      </c>
      <c r="C100" s="2392"/>
      <c r="D100" s="2392"/>
      <c r="E100" s="2391"/>
      <c r="F100" s="2393"/>
      <c r="G100" s="2394"/>
      <c r="H100" s="2394"/>
      <c r="I100" s="2395"/>
      <c r="J100" s="2391"/>
      <c r="K100" s="2393"/>
      <c r="L100" s="2394"/>
      <c r="M100" s="2394"/>
      <c r="N100" s="2395"/>
      <c r="O100" s="2391"/>
      <c r="P100" s="2393"/>
      <c r="Q100" s="2394"/>
      <c r="R100" s="2394"/>
      <c r="S100" s="2395"/>
      <c r="T100" s="2391"/>
      <c r="U100" s="2393"/>
      <c r="V100" s="2396"/>
      <c r="W100" s="2391"/>
      <c r="X100" s="2395"/>
      <c r="Y100" s="2391"/>
      <c r="Z100" s="2393"/>
      <c r="AA100" s="2394"/>
      <c r="AB100" s="2394"/>
      <c r="AC100" s="2395"/>
      <c r="AD100" s="2391"/>
      <c r="AE100" s="2393"/>
      <c r="AF100" s="2394"/>
      <c r="AG100" s="2394"/>
      <c r="AH100" s="2395"/>
      <c r="AI100" s="2391"/>
      <c r="AJ100" s="2397"/>
      <c r="AK100" s="2397"/>
      <c r="AL100" s="2391"/>
      <c r="AM100" s="2395"/>
      <c r="AN100" s="2398"/>
      <c r="AO100" s="2399"/>
      <c r="AP100" s="2399"/>
      <c r="AQ100" s="2391"/>
      <c r="AR100" s="2395"/>
      <c r="AS100" s="2400"/>
      <c r="AT100" s="2397"/>
      <c r="AU100" s="2397"/>
      <c r="AV100" s="2391"/>
      <c r="AW100" s="2401"/>
      <c r="AX100" s="2399"/>
      <c r="AY100" s="2399"/>
      <c r="AZ100" s="2399"/>
      <c r="BA100" s="2391"/>
      <c r="BB100" s="2401"/>
      <c r="BC100" s="2399"/>
      <c r="BD100" s="2399"/>
      <c r="BE100" s="2399"/>
      <c r="BF100" s="2391"/>
      <c r="BG100" s="2401"/>
      <c r="BH100" s="2399"/>
      <c r="BI100" s="2399"/>
      <c r="BJ100" s="2399"/>
      <c r="BK100" s="2391"/>
      <c r="BL100" s="2401"/>
      <c r="BM100" s="2394"/>
      <c r="BN100" s="2394"/>
      <c r="BO100" s="2394"/>
      <c r="BP100" s="2394"/>
      <c r="BQ100" s="2401"/>
      <c r="BR100" s="2394"/>
      <c r="BS100" s="2394"/>
      <c r="BT100" s="2394"/>
      <c r="BU100" s="2394"/>
      <c r="BV100" s="2401"/>
      <c r="BW100" s="2394"/>
      <c r="BX100" s="2394"/>
      <c r="BY100" s="2394"/>
      <c r="BZ100" s="2394"/>
      <c r="CA100" s="1075"/>
      <c r="CB100" s="2394"/>
      <c r="CC100" s="2394"/>
      <c r="CD100" s="2394"/>
      <c r="CE100" s="2394"/>
      <c r="CF100" s="2401"/>
      <c r="CG100" s="2394"/>
      <c r="CH100" s="2394"/>
      <c r="CI100" s="2394"/>
      <c r="CJ100" s="2394"/>
      <c r="CK100" s="2401"/>
      <c r="CL100" s="2394"/>
      <c r="CM100" s="2394"/>
      <c r="CN100" s="2394"/>
      <c r="CO100" s="2394"/>
      <c r="CP100" s="2401"/>
      <c r="CQ100" s="2394"/>
      <c r="CR100" s="2394"/>
      <c r="CS100" s="2394"/>
      <c r="CT100" s="2394"/>
      <c r="CU100" s="2401"/>
      <c r="CV100" s="2394"/>
      <c r="CW100" s="2394"/>
      <c r="CX100" s="2394"/>
      <c r="CY100" s="2394"/>
      <c r="CZ100" s="2401"/>
      <c r="DA100" s="2394"/>
      <c r="DB100" s="2394"/>
      <c r="DC100" s="2394"/>
      <c r="DD100" s="2394"/>
      <c r="DE100" s="2401"/>
      <c r="DF100" s="2394"/>
      <c r="DG100" s="2394"/>
      <c r="DH100" s="2394"/>
      <c r="DI100" s="2394"/>
      <c r="DJ100" s="2401"/>
      <c r="DK100" s="2394"/>
      <c r="DL100" s="2394"/>
      <c r="DM100" s="2394"/>
      <c r="DN100" s="2394"/>
      <c r="DO100" s="2401"/>
      <c r="DP100" s="2394"/>
      <c r="DQ100" s="2394"/>
      <c r="DR100" s="2394"/>
      <c r="DS100" s="2394"/>
      <c r="DT100" s="2401"/>
      <c r="DU100" s="2394"/>
      <c r="DV100" s="2394"/>
      <c r="DW100" s="2394"/>
      <c r="DX100" s="2394"/>
      <c r="DY100" s="2401"/>
      <c r="DZ100" s="2394"/>
      <c r="EA100" s="2394"/>
    </row>
    <row r="101" spans="1:131" ht="12" customHeight="1" x14ac:dyDescent="0.2">
      <c r="A101" s="238"/>
      <c r="B101" s="254" t="s">
        <v>786</v>
      </c>
      <c r="C101" s="238"/>
      <c r="D101" s="238"/>
      <c r="E101" s="238"/>
      <c r="F101" s="238"/>
      <c r="G101" s="238"/>
      <c r="H101" s="238"/>
      <c r="I101" s="239"/>
      <c r="J101" s="238"/>
      <c r="K101" s="238"/>
      <c r="L101" s="238"/>
      <c r="M101" s="238"/>
      <c r="N101" s="239"/>
      <c r="O101" s="238"/>
      <c r="P101" s="238"/>
      <c r="Q101" s="238"/>
      <c r="R101" s="238"/>
      <c r="S101" s="239"/>
      <c r="T101" s="238"/>
      <c r="U101" s="238"/>
      <c r="V101" s="238"/>
      <c r="W101" s="238"/>
      <c r="X101" s="239"/>
      <c r="Y101" s="238"/>
      <c r="Z101" s="238"/>
      <c r="AA101" s="238"/>
      <c r="AB101" s="238"/>
      <c r="AC101" s="239"/>
      <c r="AD101" s="238"/>
      <c r="AE101" s="238"/>
      <c r="AF101" s="238"/>
      <c r="AG101" s="238"/>
      <c r="AH101" s="239"/>
      <c r="AI101" s="238"/>
      <c r="AJ101" s="238"/>
      <c r="AK101" s="238"/>
      <c r="AL101" s="238"/>
      <c r="AM101" s="239"/>
      <c r="AN101" s="238"/>
      <c r="AO101" s="1054"/>
      <c r="AP101" s="1054"/>
      <c r="AQ101" s="238"/>
      <c r="AR101" s="239"/>
      <c r="AS101" s="1054"/>
      <c r="AT101" s="238"/>
      <c r="AU101" s="238"/>
      <c r="AV101" s="238"/>
      <c r="AW101" s="239"/>
      <c r="AX101" s="1054"/>
      <c r="AY101" s="1054"/>
      <c r="AZ101" s="1054"/>
      <c r="BA101" s="238"/>
      <c r="BB101" s="239"/>
      <c r="BC101" s="1054"/>
      <c r="BD101" s="1054"/>
      <c r="BE101" s="1054"/>
      <c r="BF101" s="238"/>
      <c r="BG101" s="400">
        <f>BG90-BG106</f>
        <v>3202.7028749999999</v>
      </c>
      <c r="BH101" s="1054"/>
      <c r="BI101" s="1054"/>
      <c r="BJ101" s="1054"/>
      <c r="BK101" s="238"/>
      <c r="BL101" s="400">
        <f t="shared" ref="BL101:DJ102" si="137">BL90-BL106</f>
        <v>3250.4549999999999</v>
      </c>
      <c r="BM101" s="1018">
        <f t="shared" si="137"/>
        <v>905.84325000000013</v>
      </c>
      <c r="BN101" s="1018">
        <f t="shared" si="137"/>
        <v>879.27449999999999</v>
      </c>
      <c r="BO101" s="1018">
        <f t="shared" si="137"/>
        <v>877.14900000000011</v>
      </c>
      <c r="BP101" s="1018">
        <f t="shared" si="137"/>
        <v>1011.7380000000001</v>
      </c>
      <c r="BQ101" s="400">
        <f t="shared" si="137"/>
        <v>3672.5610000000006</v>
      </c>
      <c r="BR101" s="1018">
        <f t="shared" si="137"/>
        <v>1028.2428</v>
      </c>
      <c r="BS101" s="1018">
        <f t="shared" si="137"/>
        <v>1039.6152</v>
      </c>
      <c r="BT101" s="1018">
        <f t="shared" si="137"/>
        <v>1037.51505</v>
      </c>
      <c r="BU101" s="1018">
        <f t="shared" si="137"/>
        <v>1094.4765</v>
      </c>
      <c r="BV101" s="400">
        <f t="shared" si="137"/>
        <v>4199.8495500000008</v>
      </c>
      <c r="BW101" s="1018">
        <f t="shared" si="137"/>
        <v>1105.7796749999998</v>
      </c>
      <c r="BX101" s="1018">
        <f t="shared" si="137"/>
        <v>1116.3993749999997</v>
      </c>
      <c r="BY101" s="1018">
        <f t="shared" si="137"/>
        <v>1131.6551999999999</v>
      </c>
      <c r="BZ101" s="1018">
        <f t="shared" si="137"/>
        <v>1177.90335</v>
      </c>
      <c r="CA101" s="400">
        <f t="shared" si="137"/>
        <v>4531.7376000000004</v>
      </c>
      <c r="CB101" s="1018">
        <f t="shared" si="137"/>
        <v>1206.1061999999999</v>
      </c>
      <c r="CC101" s="1018">
        <f t="shared" si="137"/>
        <v>1208.786188235294</v>
      </c>
      <c r="CD101" s="1018">
        <f t="shared" si="137"/>
        <v>1199.9507573529411</v>
      </c>
      <c r="CE101" s="1018">
        <f t="shared" si="137"/>
        <v>1262.1561683823527</v>
      </c>
      <c r="CF101" s="400">
        <f t="shared" si="137"/>
        <v>4876.9993139705884</v>
      </c>
      <c r="CG101" s="1018">
        <f t="shared" si="137"/>
        <v>1456.4817063840014</v>
      </c>
      <c r="CH101" s="1018">
        <f t="shared" si="137"/>
        <v>1415.9579942400001</v>
      </c>
      <c r="CI101" s="1018">
        <f t="shared" si="137"/>
        <v>1391.4297536119998</v>
      </c>
      <c r="CJ101" s="1018">
        <f t="shared" si="137"/>
        <v>1429.3657664000002</v>
      </c>
      <c r="CK101" s="400">
        <f t="shared" si="137"/>
        <v>5693.235220636001</v>
      </c>
      <c r="CL101" s="1018">
        <f t="shared" si="137"/>
        <v>1469.1239535</v>
      </c>
      <c r="CM101" s="1018">
        <f t="shared" si="137"/>
        <v>1479.3651304249997</v>
      </c>
      <c r="CN101" s="1018">
        <f>CN90-CN106</f>
        <v>1564.827264</v>
      </c>
      <c r="CO101" s="1018">
        <f t="shared" si="137"/>
        <v>1595.4154509999998</v>
      </c>
      <c r="CP101" s="400">
        <f t="shared" si="137"/>
        <v>6108.7317989250005</v>
      </c>
      <c r="CQ101" s="1018">
        <f>CQ90-CQ106</f>
        <v>1551.3280329749996</v>
      </c>
      <c r="CR101" s="1018">
        <f t="shared" si="137"/>
        <v>1561.6221599999999</v>
      </c>
      <c r="CS101" s="1018">
        <f t="shared" si="137"/>
        <v>1683.6597400000001</v>
      </c>
      <c r="CT101" s="1018">
        <f t="shared" si="137"/>
        <v>1631.8263919999995</v>
      </c>
      <c r="CU101" s="400">
        <f t="shared" si="137"/>
        <v>6428.4363249749986</v>
      </c>
      <c r="CV101" s="1018">
        <f t="shared" si="137"/>
        <v>1570.2610891200002</v>
      </c>
      <c r="CW101" s="1018">
        <f t="shared" ref="CW101:CY102" si="138">CW90-CW106</f>
        <v>1595.0183931199999</v>
      </c>
      <c r="CX101" s="1018">
        <f t="shared" si="138"/>
        <v>1534.3111060200945</v>
      </c>
      <c r="CY101" s="1018">
        <f t="shared" si="138"/>
        <v>1700.2531301960194</v>
      </c>
      <c r="CZ101" s="400">
        <f t="shared" si="137"/>
        <v>6399.8437184561117</v>
      </c>
      <c r="DA101" s="1018">
        <f t="shared" si="137"/>
        <v>1881.4454208000002</v>
      </c>
      <c r="DB101" s="1018">
        <f t="shared" ref="DB101:DD102" si="139">DB90-DB106</f>
        <v>1875.8620610400003</v>
      </c>
      <c r="DC101" s="1018">
        <f t="shared" si="139"/>
        <v>1717.6083143999999</v>
      </c>
      <c r="DD101" s="1018">
        <f t="shared" si="139"/>
        <v>1744.9523968799999</v>
      </c>
      <c r="DE101" s="400">
        <f t="shared" si="137"/>
        <v>7219.8681931200044</v>
      </c>
      <c r="DF101" s="1018">
        <f t="shared" si="137"/>
        <v>1737.8541658500003</v>
      </c>
      <c r="DG101" s="1018">
        <f t="shared" ref="DG101:DI102" si="140">DG90-DG106</f>
        <v>1814.8411263840003</v>
      </c>
      <c r="DH101" s="1018">
        <f t="shared" si="140"/>
        <v>1849.7078591627492</v>
      </c>
      <c r="DI101" s="1018">
        <f t="shared" si="140"/>
        <v>1943.2044670672435</v>
      </c>
      <c r="DJ101" s="400">
        <f t="shared" si="137"/>
        <v>7345.6076184639915</v>
      </c>
      <c r="DK101" s="1018">
        <f t="shared" ref="DK101:DT101" si="141">DK90-DK106</f>
        <v>1651.1645765551507</v>
      </c>
      <c r="DL101" s="1018">
        <f t="shared" si="141"/>
        <v>1732.1666813174115</v>
      </c>
      <c r="DM101" s="1018">
        <f t="shared" si="141"/>
        <v>1775.6506974472582</v>
      </c>
      <c r="DN101" s="1018">
        <f t="shared" si="141"/>
        <v>1789.487010046822</v>
      </c>
      <c r="DO101" s="400">
        <f t="shared" si="141"/>
        <v>6948.468965366641</v>
      </c>
      <c r="DP101" s="1018">
        <f t="shared" si="141"/>
        <v>1712.5062059078564</v>
      </c>
      <c r="DQ101" s="1018">
        <f t="shared" si="141"/>
        <v>1796.0674357057737</v>
      </c>
      <c r="DR101" s="1018">
        <f t="shared" si="141"/>
        <v>1841.066442727797</v>
      </c>
      <c r="DS101" s="1018">
        <f t="shared" si="141"/>
        <v>1855.7116465453273</v>
      </c>
      <c r="DT101" s="400">
        <f t="shared" si="141"/>
        <v>7205.3517308867558</v>
      </c>
      <c r="DU101" s="1018">
        <f t="shared" ref="DU101:DY101" si="142">DU90-DU106</f>
        <v>1775.5764239005189</v>
      </c>
      <c r="DV101" s="1018">
        <f t="shared" si="142"/>
        <v>1861.7537334104854</v>
      </c>
      <c r="DW101" s="1018">
        <f t="shared" si="142"/>
        <v>1908.3089156976821</v>
      </c>
      <c r="DX101" s="1018">
        <f t="shared" si="142"/>
        <v>1923.8036716584711</v>
      </c>
      <c r="DY101" s="400">
        <f t="shared" si="142"/>
        <v>7469.442744667158</v>
      </c>
      <c r="DZ101" s="238"/>
      <c r="EA101" s="238"/>
    </row>
    <row r="102" spans="1:131" ht="12" customHeight="1" x14ac:dyDescent="0.2">
      <c r="A102" s="1076"/>
      <c r="B102" s="1077" t="s">
        <v>997</v>
      </c>
      <c r="C102" s="1076"/>
      <c r="D102" s="1076"/>
      <c r="E102" s="1076"/>
      <c r="F102" s="1076"/>
      <c r="G102" s="1076"/>
      <c r="H102" s="1076"/>
      <c r="I102" s="1073"/>
      <c r="J102" s="1076"/>
      <c r="K102" s="1076"/>
      <c r="L102" s="1076"/>
      <c r="M102" s="1076"/>
      <c r="N102" s="1073"/>
      <c r="O102" s="1076"/>
      <c r="P102" s="1076"/>
      <c r="Q102" s="1076"/>
      <c r="R102" s="1076"/>
      <c r="S102" s="1073"/>
      <c r="T102" s="1076"/>
      <c r="U102" s="1076"/>
      <c r="V102" s="1076"/>
      <c r="W102" s="1076"/>
      <c r="X102" s="1073"/>
      <c r="Y102" s="1076"/>
      <c r="Z102" s="1076"/>
      <c r="AA102" s="1076"/>
      <c r="AB102" s="1076"/>
      <c r="AC102" s="1073"/>
      <c r="AD102" s="1076"/>
      <c r="AE102" s="1076"/>
      <c r="AF102" s="1076"/>
      <c r="AG102" s="1076"/>
      <c r="AH102" s="1073"/>
      <c r="AI102" s="1076"/>
      <c r="AJ102" s="1076"/>
      <c r="AK102" s="1076"/>
      <c r="AL102" s="1076"/>
      <c r="AM102" s="1073"/>
      <c r="AN102" s="1076"/>
      <c r="AO102" s="1078"/>
      <c r="AP102" s="1078"/>
      <c r="AQ102" s="1076"/>
      <c r="AR102" s="1073"/>
      <c r="AS102" s="1078"/>
      <c r="AT102" s="1076"/>
      <c r="AU102" s="1076"/>
      <c r="AV102" s="1076"/>
      <c r="AW102" s="1073"/>
      <c r="AX102" s="1078"/>
      <c r="AY102" s="1078"/>
      <c r="AZ102" s="1078"/>
      <c r="BA102" s="1076"/>
      <c r="BB102" s="1073"/>
      <c r="BC102" s="1078"/>
      <c r="BD102" s="1078"/>
      <c r="BE102" s="1078"/>
      <c r="BF102" s="1076"/>
      <c r="BG102" s="1070">
        <f>BG91-BG107</f>
        <v>17772.515975000002</v>
      </c>
      <c r="BH102" s="1078"/>
      <c r="BI102" s="1078"/>
      <c r="BJ102" s="1078"/>
      <c r="BK102" s="1076"/>
      <c r="BL102" s="1070">
        <f t="shared" si="137"/>
        <v>19593.771699999998</v>
      </c>
      <c r="BM102" s="1079">
        <f t="shared" si="137"/>
        <v>5125.1024317312495</v>
      </c>
      <c r="BN102" s="1079">
        <f t="shared" si="137"/>
        <v>5122.6784562624935</v>
      </c>
      <c r="BO102" s="1079">
        <f t="shared" si="137"/>
        <v>5053.4176094000177</v>
      </c>
      <c r="BP102" s="1079">
        <f t="shared" si="137"/>
        <v>5837.2488828000069</v>
      </c>
      <c r="BQ102" s="1070">
        <f t="shared" si="137"/>
        <v>21163.891130193748</v>
      </c>
      <c r="BR102" s="1079">
        <f t="shared" si="137"/>
        <v>5942.805826722325</v>
      </c>
      <c r="BS102" s="1079">
        <f t="shared" si="137"/>
        <v>5997.5401303552999</v>
      </c>
      <c r="BT102" s="1079">
        <f t="shared" si="137"/>
        <v>6036.2691043826553</v>
      </c>
      <c r="BU102" s="1079">
        <f t="shared" si="137"/>
        <v>6219.3238056030323</v>
      </c>
      <c r="BV102" s="1070">
        <f t="shared" si="137"/>
        <v>24195.938867063313</v>
      </c>
      <c r="BW102" s="1079">
        <f t="shared" si="137"/>
        <v>6153.0081545452858</v>
      </c>
      <c r="BX102" s="1079">
        <f t="shared" si="137"/>
        <v>6247.8406339519934</v>
      </c>
      <c r="BY102" s="1079">
        <f t="shared" si="137"/>
        <v>6159.3865522059978</v>
      </c>
      <c r="BZ102" s="1079">
        <f t="shared" si="137"/>
        <v>6408.6080946176071</v>
      </c>
      <c r="CA102" s="1070">
        <f t="shared" si="137"/>
        <v>24968.843435320883</v>
      </c>
      <c r="CB102" s="1079">
        <f t="shared" si="137"/>
        <v>6459.1466592294455</v>
      </c>
      <c r="CC102" s="1079">
        <f t="shared" si="137"/>
        <v>6455.4301618435329</v>
      </c>
      <c r="CD102" s="1079">
        <f t="shared" si="137"/>
        <v>6448.6481532832786</v>
      </c>
      <c r="CE102" s="1079">
        <f t="shared" si="137"/>
        <v>6780.4418094302346</v>
      </c>
      <c r="CF102" s="1070">
        <f t="shared" si="137"/>
        <v>26143.666783786492</v>
      </c>
      <c r="CG102" s="1079">
        <f t="shared" si="137"/>
        <v>6936.0878684218533</v>
      </c>
      <c r="CH102" s="1079">
        <f t="shared" si="137"/>
        <v>6749.2398758399986</v>
      </c>
      <c r="CI102" s="1079">
        <f t="shared" si="137"/>
        <v>6632.3246986919985</v>
      </c>
      <c r="CJ102" s="1079">
        <f t="shared" si="137"/>
        <v>6819.6858787199999</v>
      </c>
      <c r="CK102" s="1070">
        <f t="shared" si="137"/>
        <v>27137.338321673851</v>
      </c>
      <c r="CL102" s="1079">
        <f t="shared" si="137"/>
        <v>6774.1399634999998</v>
      </c>
      <c r="CM102" s="1079">
        <f t="shared" si="137"/>
        <v>6821.3620959249993</v>
      </c>
      <c r="CN102" s="1079">
        <f>CN91-CN107</f>
        <v>7056.6258048</v>
      </c>
      <c r="CO102" s="1079">
        <f t="shared" si="137"/>
        <v>7378.1616999999987</v>
      </c>
      <c r="CP102" s="1070">
        <f t="shared" si="137"/>
        <v>28030.289564224997</v>
      </c>
      <c r="CQ102" s="1079">
        <f>CQ91-CQ107</f>
        <v>7174.2749324999986</v>
      </c>
      <c r="CR102" s="1079">
        <f t="shared" si="137"/>
        <v>7193.1486899999991</v>
      </c>
      <c r="CS102" s="1079">
        <f t="shared" si="137"/>
        <v>7426.1420674999999</v>
      </c>
      <c r="CT102" s="1079">
        <f t="shared" si="137"/>
        <v>7740.1495079999995</v>
      </c>
      <c r="CU102" s="1070">
        <f t="shared" si="137"/>
        <v>29533.715197999998</v>
      </c>
      <c r="CV102" s="1079">
        <f t="shared" si="137"/>
        <v>7580.2774093199987</v>
      </c>
      <c r="CW102" s="1079">
        <f t="shared" si="138"/>
        <v>7699.7908033199983</v>
      </c>
      <c r="CX102" s="1079">
        <f t="shared" si="138"/>
        <v>8256.213006053631</v>
      </c>
      <c r="CY102" s="1079">
        <f t="shared" si="138"/>
        <v>9149.1562252459662</v>
      </c>
      <c r="CZ102" s="1070">
        <f t="shared" si="137"/>
        <v>32685.437443939598</v>
      </c>
      <c r="DA102" s="1079">
        <f t="shared" si="137"/>
        <v>9519.6037084799991</v>
      </c>
      <c r="DB102" s="1079">
        <f t="shared" si="139"/>
        <v>9491.3534219240009</v>
      </c>
      <c r="DC102" s="1079">
        <f t="shared" si="139"/>
        <v>9713.0597094800014</v>
      </c>
      <c r="DD102" s="1079">
        <f t="shared" si="139"/>
        <v>9898.9500946000007</v>
      </c>
      <c r="DE102" s="1070">
        <f t="shared" si="137"/>
        <v>38622.966934484008</v>
      </c>
      <c r="DF102" s="1079">
        <f t="shared" si="137"/>
        <v>9135.0964309499996</v>
      </c>
      <c r="DG102" s="1079">
        <f t="shared" si="140"/>
        <v>9236.127796560002</v>
      </c>
      <c r="DH102" s="1079">
        <f t="shared" si="140"/>
        <v>9413.57230953215</v>
      </c>
      <c r="DI102" s="1079">
        <f t="shared" si="140"/>
        <v>9889.397221474359</v>
      </c>
      <c r="DJ102" s="1070">
        <f t="shared" si="137"/>
        <v>37674.193758516514</v>
      </c>
      <c r="DK102" s="1079">
        <f t="shared" ref="DK102:DT102" si="143">DK91-DK107</f>
        <v>10381.419089561365</v>
      </c>
      <c r="DL102" s="1079">
        <f t="shared" si="143"/>
        <v>10458.163271428797</v>
      </c>
      <c r="DM102" s="1079">
        <f t="shared" si="143"/>
        <v>10158.147897610323</v>
      </c>
      <c r="DN102" s="1079">
        <f t="shared" si="143"/>
        <v>10127.545071532955</v>
      </c>
      <c r="DO102" s="1070">
        <f t="shared" si="143"/>
        <v>41125.275330133431</v>
      </c>
      <c r="DP102" s="1079">
        <f t="shared" si="143"/>
        <v>10832.226396830116</v>
      </c>
      <c r="DQ102" s="1079">
        <f t="shared" si="143"/>
        <v>10895.398167535301</v>
      </c>
      <c r="DR102" s="1079">
        <f t="shared" si="143"/>
        <v>10569.976721748186</v>
      </c>
      <c r="DS102" s="1079">
        <f t="shared" si="143"/>
        <v>10519.139714065248</v>
      </c>
      <c r="DT102" s="1070">
        <f t="shared" si="143"/>
        <v>42816.741000178852</v>
      </c>
      <c r="DU102" s="1079">
        <f t="shared" ref="DU102:DY102" si="144">DU91-DU107</f>
        <v>11237.203723758616</v>
      </c>
      <c r="DV102" s="1079">
        <f t="shared" si="144"/>
        <v>11282.219733576949</v>
      </c>
      <c r="DW102" s="1079">
        <f t="shared" si="144"/>
        <v>10929.764312730711</v>
      </c>
      <c r="DX102" s="1079">
        <f t="shared" si="144"/>
        <v>10854.685130626442</v>
      </c>
      <c r="DY102" s="1070">
        <f t="shared" si="144"/>
        <v>44303.87290069271</v>
      </c>
      <c r="DZ102" s="1076"/>
      <c r="EA102" s="1076"/>
    </row>
    <row r="103" spans="1:131" ht="12" customHeight="1" x14ac:dyDescent="0.2">
      <c r="A103" s="238"/>
      <c r="B103" s="254" t="s">
        <v>251</v>
      </c>
      <c r="C103" s="238"/>
      <c r="D103" s="238"/>
      <c r="E103" s="238"/>
      <c r="F103" s="238"/>
      <c r="G103" s="238"/>
      <c r="H103" s="238"/>
      <c r="I103" s="239"/>
      <c r="J103" s="238"/>
      <c r="K103" s="238"/>
      <c r="L103" s="238"/>
      <c r="M103" s="238"/>
      <c r="N103" s="239"/>
      <c r="O103" s="238"/>
      <c r="P103" s="238"/>
      <c r="Q103" s="238"/>
      <c r="R103" s="238"/>
      <c r="S103" s="239"/>
      <c r="T103" s="238"/>
      <c r="U103" s="238"/>
      <c r="V103" s="238"/>
      <c r="W103" s="238"/>
      <c r="X103" s="239"/>
      <c r="Y103" s="238"/>
      <c r="Z103" s="238"/>
      <c r="AA103" s="238"/>
      <c r="AB103" s="238"/>
      <c r="AC103" s="239"/>
      <c r="AD103" s="238"/>
      <c r="AE103" s="238"/>
      <c r="AF103" s="238"/>
      <c r="AG103" s="238"/>
      <c r="AH103" s="239"/>
      <c r="AI103" s="238"/>
      <c r="AJ103" s="238"/>
      <c r="AK103" s="238"/>
      <c r="AL103" s="238"/>
      <c r="AM103" s="239"/>
      <c r="AN103" s="238"/>
      <c r="AO103" s="1054"/>
      <c r="AP103" s="1054"/>
      <c r="AQ103" s="238"/>
      <c r="AR103" s="239"/>
      <c r="AS103" s="1054"/>
      <c r="AT103" s="238"/>
      <c r="AU103" s="238"/>
      <c r="AV103" s="238"/>
      <c r="AW103" s="239"/>
      <c r="AX103" s="1054"/>
      <c r="AY103" s="1054"/>
      <c r="AZ103" s="1054"/>
      <c r="BA103" s="238"/>
      <c r="BB103" s="239"/>
      <c r="BC103" s="1054"/>
      <c r="BD103" s="1054"/>
      <c r="BE103" s="1054"/>
      <c r="BF103" s="238"/>
      <c r="BG103" s="400">
        <f>BG101+BG102</f>
        <v>20975.218850000001</v>
      </c>
      <c r="BH103" s="1054"/>
      <c r="BI103" s="1054"/>
      <c r="BJ103" s="1054"/>
      <c r="BK103" s="238"/>
      <c r="BL103" s="400">
        <f t="shared" ref="BL103:DJ103" si="145">BL101+BL102</f>
        <v>22844.226699999999</v>
      </c>
      <c r="BM103" s="1018">
        <f t="shared" si="145"/>
        <v>6030.9456817312494</v>
      </c>
      <c r="BN103" s="1018">
        <f t="shared" si="145"/>
        <v>6001.9529562624939</v>
      </c>
      <c r="BO103" s="1018">
        <f t="shared" si="145"/>
        <v>5930.566609400018</v>
      </c>
      <c r="BP103" s="1018">
        <f t="shared" si="145"/>
        <v>6848.9868828000072</v>
      </c>
      <c r="BQ103" s="400">
        <f t="shared" si="145"/>
        <v>24836.452130193749</v>
      </c>
      <c r="BR103" s="1018">
        <f t="shared" si="145"/>
        <v>6971.048626722325</v>
      </c>
      <c r="BS103" s="1018">
        <f t="shared" si="145"/>
        <v>7037.1553303553001</v>
      </c>
      <c r="BT103" s="1018">
        <f t="shared" si="145"/>
        <v>7073.7841543826553</v>
      </c>
      <c r="BU103" s="1018">
        <f t="shared" si="145"/>
        <v>7313.800305603032</v>
      </c>
      <c r="BV103" s="400">
        <f t="shared" si="145"/>
        <v>28395.788417063311</v>
      </c>
      <c r="BW103" s="1018">
        <f t="shared" si="145"/>
        <v>7258.7878295452856</v>
      </c>
      <c r="BX103" s="1018">
        <f t="shared" si="145"/>
        <v>7364.2400089519933</v>
      </c>
      <c r="BY103" s="1018">
        <f t="shared" si="145"/>
        <v>7291.0417522059979</v>
      </c>
      <c r="BZ103" s="1018">
        <f t="shared" si="145"/>
        <v>7586.5114446176067</v>
      </c>
      <c r="CA103" s="400">
        <f t="shared" si="145"/>
        <v>29500.581035320884</v>
      </c>
      <c r="CB103" s="1018">
        <f t="shared" si="145"/>
        <v>7665.2528592294457</v>
      </c>
      <c r="CC103" s="1018">
        <f t="shared" si="145"/>
        <v>7664.2163500788265</v>
      </c>
      <c r="CD103" s="1018">
        <f t="shared" si="145"/>
        <v>7648.5989106362194</v>
      </c>
      <c r="CE103" s="1018">
        <f t="shared" si="145"/>
        <v>8042.5979778125875</v>
      </c>
      <c r="CF103" s="400">
        <f t="shared" si="145"/>
        <v>31020.666097757079</v>
      </c>
      <c r="CG103" s="1018">
        <f t="shared" si="145"/>
        <v>8392.5695748058552</v>
      </c>
      <c r="CH103" s="1018">
        <f t="shared" si="145"/>
        <v>8165.1978700799991</v>
      </c>
      <c r="CI103" s="1018">
        <f t="shared" si="145"/>
        <v>8023.7544523039978</v>
      </c>
      <c r="CJ103" s="1018">
        <f t="shared" si="145"/>
        <v>8249.0516451200001</v>
      </c>
      <c r="CK103" s="400">
        <f t="shared" si="145"/>
        <v>32830.573542309852</v>
      </c>
      <c r="CL103" s="1018">
        <f t="shared" si="145"/>
        <v>8243.2639170000002</v>
      </c>
      <c r="CM103" s="1018">
        <f t="shared" si="145"/>
        <v>8300.7272263499981</v>
      </c>
      <c r="CN103" s="1018">
        <f t="shared" si="145"/>
        <v>8621.4530687999995</v>
      </c>
      <c r="CO103" s="1018">
        <f t="shared" si="145"/>
        <v>8973.5771509999977</v>
      </c>
      <c r="CP103" s="400">
        <f t="shared" si="145"/>
        <v>34139.021363149994</v>
      </c>
      <c r="CQ103" s="1018">
        <f>CQ101+CQ102</f>
        <v>8725.6029654749982</v>
      </c>
      <c r="CR103" s="1018">
        <f t="shared" si="145"/>
        <v>8754.770849999999</v>
      </c>
      <c r="CS103" s="1018">
        <f t="shared" si="145"/>
        <v>9109.8018075</v>
      </c>
      <c r="CT103" s="1018">
        <f t="shared" si="145"/>
        <v>9371.9758999999995</v>
      </c>
      <c r="CU103" s="400">
        <f t="shared" si="145"/>
        <v>35962.151522974993</v>
      </c>
      <c r="CV103" s="1018">
        <f t="shared" si="145"/>
        <v>9150.5384984399989</v>
      </c>
      <c r="CW103" s="1018">
        <f>CW101+CW102</f>
        <v>9294.8091964399973</v>
      </c>
      <c r="CX103" s="1018">
        <f>CX101+CX102</f>
        <v>9790.5241120737264</v>
      </c>
      <c r="CY103" s="1018">
        <f>CY101+CY102</f>
        <v>10849.409355441985</v>
      </c>
      <c r="CZ103" s="400">
        <f t="shared" si="145"/>
        <v>39085.28116239571</v>
      </c>
      <c r="DA103" s="1018">
        <f>DA101+DA102</f>
        <v>11401.04912928</v>
      </c>
      <c r="DB103" s="1018">
        <f>DB101+DB102</f>
        <v>11367.215482964002</v>
      </c>
      <c r="DC103" s="1018">
        <f>DC101+DC102</f>
        <v>11430.668023880002</v>
      </c>
      <c r="DD103" s="1018">
        <f>DD101+DD102</f>
        <v>11643.902491480001</v>
      </c>
      <c r="DE103" s="400">
        <f t="shared" si="145"/>
        <v>45842.835127604012</v>
      </c>
      <c r="DF103" s="1018">
        <f t="shared" si="145"/>
        <v>10872.950596799999</v>
      </c>
      <c r="DG103" s="1018">
        <f>DG101+DG102</f>
        <v>11050.968922944003</v>
      </c>
      <c r="DH103" s="1018">
        <f>DH101+DH102</f>
        <v>11263.280168694899</v>
      </c>
      <c r="DI103" s="1018">
        <f>DI101+DI102</f>
        <v>11832.601688541603</v>
      </c>
      <c r="DJ103" s="400">
        <f t="shared" si="145"/>
        <v>45019.801376980504</v>
      </c>
      <c r="DK103" s="1018">
        <f t="shared" ref="DK103:DT103" si="146">DK101+DK102</f>
        <v>12032.583666116516</v>
      </c>
      <c r="DL103" s="1018">
        <f t="shared" si="146"/>
        <v>12190.329952746208</v>
      </c>
      <c r="DM103" s="1018">
        <f t="shared" si="146"/>
        <v>11933.79859505758</v>
      </c>
      <c r="DN103" s="1018">
        <f t="shared" si="146"/>
        <v>11917.032081579777</v>
      </c>
      <c r="DO103" s="400">
        <f t="shared" si="146"/>
        <v>48073.744295500073</v>
      </c>
      <c r="DP103" s="1018">
        <f t="shared" si="146"/>
        <v>12544.732602737971</v>
      </c>
      <c r="DQ103" s="1018">
        <f t="shared" si="146"/>
        <v>12691.465603241075</v>
      </c>
      <c r="DR103" s="1018">
        <f t="shared" si="146"/>
        <v>12411.043164475983</v>
      </c>
      <c r="DS103" s="1018">
        <f t="shared" si="146"/>
        <v>12374.851360610575</v>
      </c>
      <c r="DT103" s="400">
        <f t="shared" si="146"/>
        <v>50022.092731065612</v>
      </c>
      <c r="DU103" s="1018">
        <f t="shared" ref="DU103:DY103" si="147">DU101+DU102</f>
        <v>13012.780147659134</v>
      </c>
      <c r="DV103" s="1018">
        <f t="shared" si="147"/>
        <v>13143.973466987434</v>
      </c>
      <c r="DW103" s="1018">
        <f t="shared" si="147"/>
        <v>12838.073228428393</v>
      </c>
      <c r="DX103" s="1018">
        <f t="shared" si="147"/>
        <v>12778.488802284912</v>
      </c>
      <c r="DY103" s="400">
        <f t="shared" si="147"/>
        <v>51773.315645359864</v>
      </c>
      <c r="DZ103" s="238"/>
      <c r="EA103" s="238"/>
    </row>
    <row r="104" spans="1:131" ht="12" customHeight="1" x14ac:dyDescent="0.2">
      <c r="A104" s="1984"/>
      <c r="B104" s="2318"/>
      <c r="C104" s="1883"/>
      <c r="D104" s="1883"/>
      <c r="E104" s="1984"/>
      <c r="F104" s="2056"/>
      <c r="G104" s="1850"/>
      <c r="H104" s="1850"/>
      <c r="I104" s="2134"/>
      <c r="J104" s="1984"/>
      <c r="K104" s="2056"/>
      <c r="L104" s="1850"/>
      <c r="M104" s="1850"/>
      <c r="N104" s="2134"/>
      <c r="O104" s="1984"/>
      <c r="P104" s="2056"/>
      <c r="Q104" s="1850"/>
      <c r="R104" s="1850"/>
      <c r="S104" s="2134"/>
      <c r="T104" s="1984"/>
      <c r="U104" s="2056"/>
      <c r="V104" s="2045"/>
      <c r="W104" s="1984"/>
      <c r="X104" s="2134"/>
      <c r="Y104" s="1984"/>
      <c r="Z104" s="2056"/>
      <c r="AA104" s="1850"/>
      <c r="AB104" s="1850"/>
      <c r="AC104" s="2134"/>
      <c r="AD104" s="1984"/>
      <c r="AE104" s="2056"/>
      <c r="AF104" s="1850"/>
      <c r="AG104" s="1850"/>
      <c r="AH104" s="2134"/>
      <c r="AI104" s="1984"/>
      <c r="AJ104" s="2319"/>
      <c r="AK104" s="2319"/>
      <c r="AL104" s="1984"/>
      <c r="AM104" s="2134"/>
      <c r="AN104" s="2317"/>
      <c r="AO104" s="2320"/>
      <c r="AP104" s="2320"/>
      <c r="AQ104" s="1984"/>
      <c r="AR104" s="2134"/>
      <c r="AS104" s="2321"/>
      <c r="AT104" s="2319"/>
      <c r="AU104" s="2319"/>
      <c r="AV104" s="1984"/>
      <c r="AW104" s="2322"/>
      <c r="AX104" s="2320"/>
      <c r="AY104" s="2320"/>
      <c r="AZ104" s="2320"/>
      <c r="BA104" s="1984"/>
      <c r="BB104" s="2322"/>
      <c r="BC104" s="2320"/>
      <c r="BD104" s="2320"/>
      <c r="BE104" s="2320"/>
      <c r="BF104" s="1984"/>
      <c r="BG104" s="365"/>
      <c r="BH104" s="2320"/>
      <c r="BI104" s="2320"/>
      <c r="BJ104" s="2320"/>
      <c r="BK104" s="1984"/>
      <c r="BL104" s="365"/>
      <c r="BM104" s="1850"/>
      <c r="BN104" s="1850"/>
      <c r="BO104" s="1850"/>
      <c r="BP104" s="1850"/>
      <c r="BQ104" s="365"/>
      <c r="BR104" s="1850"/>
      <c r="BS104" s="1850"/>
      <c r="BT104" s="1850"/>
      <c r="BU104" s="1850"/>
      <c r="BV104" s="365"/>
      <c r="BW104" s="1850"/>
      <c r="BX104" s="1850"/>
      <c r="BY104" s="1850"/>
      <c r="BZ104" s="1850"/>
      <c r="CA104" s="365"/>
      <c r="CB104" s="1850"/>
      <c r="CC104" s="1850"/>
      <c r="CD104" s="1850"/>
      <c r="CE104" s="1850"/>
      <c r="CF104" s="365"/>
      <c r="CG104" s="1850"/>
      <c r="CH104" s="1850"/>
      <c r="CI104" s="1850"/>
      <c r="CJ104" s="1850"/>
      <c r="CK104" s="365"/>
      <c r="CL104" s="1850"/>
      <c r="CM104" s="1850"/>
      <c r="CN104" s="1850"/>
      <c r="CO104" s="1850"/>
      <c r="CP104" s="365"/>
      <c r="CQ104" s="1850"/>
      <c r="CR104" s="1850"/>
      <c r="CS104" s="1850"/>
      <c r="CT104" s="1850"/>
      <c r="CU104" s="365"/>
      <c r="CV104" s="1850"/>
      <c r="CW104" s="1850"/>
      <c r="CX104" s="1850"/>
      <c r="CY104" s="1850"/>
      <c r="CZ104" s="365"/>
      <c r="DA104" s="1850"/>
      <c r="DB104" s="1850"/>
      <c r="DC104" s="1850"/>
      <c r="DD104" s="1850"/>
      <c r="DE104" s="365"/>
      <c r="DF104" s="1850"/>
      <c r="DG104" s="1850"/>
      <c r="DH104" s="1850"/>
      <c r="DI104" s="1850"/>
      <c r="DJ104" s="365"/>
      <c r="DK104" s="1850"/>
      <c r="DL104" s="1850"/>
      <c r="DM104" s="1850"/>
      <c r="DN104" s="1850"/>
      <c r="DO104" s="365"/>
      <c r="DP104" s="1850"/>
      <c r="DQ104" s="1850"/>
      <c r="DR104" s="1850"/>
      <c r="DS104" s="1850"/>
      <c r="DT104" s="365"/>
      <c r="DU104" s="1850"/>
      <c r="DV104" s="1850"/>
      <c r="DW104" s="1850"/>
      <c r="DX104" s="1850"/>
      <c r="DY104" s="365"/>
      <c r="DZ104" s="1850"/>
      <c r="EA104" s="1850"/>
    </row>
    <row r="105" spans="1:131" ht="12" customHeight="1" x14ac:dyDescent="0.2">
      <c r="A105" s="2391"/>
      <c r="B105" s="2402" t="s">
        <v>1014</v>
      </c>
      <c r="C105" s="2392"/>
      <c r="D105" s="2392"/>
      <c r="E105" s="2391"/>
      <c r="F105" s="2393"/>
      <c r="G105" s="2394"/>
      <c r="H105" s="2394"/>
      <c r="I105" s="2395"/>
      <c r="J105" s="2391"/>
      <c r="K105" s="2393"/>
      <c r="L105" s="2394"/>
      <c r="M105" s="2394"/>
      <c r="N105" s="2395"/>
      <c r="O105" s="2391"/>
      <c r="P105" s="2393"/>
      <c r="Q105" s="2394"/>
      <c r="R105" s="2394"/>
      <c r="S105" s="2395"/>
      <c r="T105" s="2391"/>
      <c r="U105" s="2393"/>
      <c r="V105" s="2396"/>
      <c r="W105" s="2391"/>
      <c r="X105" s="2395"/>
      <c r="Y105" s="2391"/>
      <c r="Z105" s="2393"/>
      <c r="AA105" s="2394"/>
      <c r="AB105" s="2394"/>
      <c r="AC105" s="2395"/>
      <c r="AD105" s="2391"/>
      <c r="AE105" s="2393"/>
      <c r="AF105" s="2394"/>
      <c r="AG105" s="2394"/>
      <c r="AH105" s="2395"/>
      <c r="AI105" s="2391"/>
      <c r="AJ105" s="2397"/>
      <c r="AK105" s="2397"/>
      <c r="AL105" s="2391"/>
      <c r="AM105" s="2395"/>
      <c r="AN105" s="2398"/>
      <c r="AO105" s="2399"/>
      <c r="AP105" s="2399"/>
      <c r="AQ105" s="2391"/>
      <c r="AR105" s="2395"/>
      <c r="AS105" s="2400"/>
      <c r="AT105" s="2397"/>
      <c r="AU105" s="2397"/>
      <c r="AV105" s="2391"/>
      <c r="AW105" s="2401"/>
      <c r="AX105" s="2399"/>
      <c r="AY105" s="2399"/>
      <c r="AZ105" s="2399"/>
      <c r="BA105" s="2391"/>
      <c r="BB105" s="2401"/>
      <c r="BC105" s="2399"/>
      <c r="BD105" s="2399"/>
      <c r="BE105" s="2399"/>
      <c r="BF105" s="2391"/>
      <c r="BG105" s="1075"/>
      <c r="BH105" s="2399"/>
      <c r="BI105" s="2399"/>
      <c r="BJ105" s="2399"/>
      <c r="BK105" s="2391"/>
      <c r="BL105" s="1075"/>
      <c r="BM105" s="2394"/>
      <c r="BN105" s="2394"/>
      <c r="BO105" s="2394"/>
      <c r="BP105" s="2394"/>
      <c r="BQ105" s="1075"/>
      <c r="BR105" s="2394"/>
      <c r="BS105" s="2394"/>
      <c r="BT105" s="2394"/>
      <c r="BU105" s="2394"/>
      <c r="BV105" s="1075"/>
      <c r="BW105" s="2394"/>
      <c r="BX105" s="2394"/>
      <c r="BY105" s="2394"/>
      <c r="BZ105" s="2394"/>
      <c r="CA105" s="1075"/>
      <c r="CB105" s="2394"/>
      <c r="CC105" s="2394"/>
      <c r="CD105" s="2394"/>
      <c r="CE105" s="2394"/>
      <c r="CF105" s="1075"/>
      <c r="CG105" s="2394"/>
      <c r="CH105" s="2394"/>
      <c r="CI105" s="2394"/>
      <c r="CJ105" s="2394"/>
      <c r="CK105" s="1075"/>
      <c r="CL105" s="2394"/>
      <c r="CM105" s="2394"/>
      <c r="CN105" s="2394"/>
      <c r="CO105" s="2394"/>
      <c r="CP105" s="1075"/>
      <c r="CQ105" s="2394"/>
      <c r="CR105" s="2394"/>
      <c r="CS105" s="2394"/>
      <c r="CT105" s="2394"/>
      <c r="CU105" s="1075"/>
      <c r="CV105" s="2394"/>
      <c r="CW105" s="2394"/>
      <c r="CX105" s="2394"/>
      <c r="CY105" s="2394"/>
      <c r="CZ105" s="1075"/>
      <c r="DA105" s="2394"/>
      <c r="DB105" s="2394"/>
      <c r="DC105" s="2394"/>
      <c r="DD105" s="2394"/>
      <c r="DE105" s="1075"/>
      <c r="DF105" s="2394"/>
      <c r="DG105" s="2394"/>
      <c r="DH105" s="2394"/>
      <c r="DI105" s="2394"/>
      <c r="DJ105" s="1075"/>
      <c r="DK105" s="2394"/>
      <c r="DL105" s="2394"/>
      <c r="DM105" s="2394"/>
      <c r="DN105" s="2394"/>
      <c r="DO105" s="1075"/>
      <c r="DP105" s="2394"/>
      <c r="DQ105" s="2394"/>
      <c r="DR105" s="2394"/>
      <c r="DS105" s="2394"/>
      <c r="DT105" s="1075"/>
      <c r="DU105" s="2394"/>
      <c r="DV105" s="2394"/>
      <c r="DW105" s="2394"/>
      <c r="DX105" s="2394"/>
      <c r="DY105" s="1075"/>
      <c r="DZ105" s="2394"/>
      <c r="EA105" s="2394"/>
    </row>
    <row r="106" spans="1:131" ht="12" customHeight="1" x14ac:dyDescent="0.2">
      <c r="A106" s="1984"/>
      <c r="B106" s="2337" t="s">
        <v>786</v>
      </c>
      <c r="C106" s="1883"/>
      <c r="D106" s="1883"/>
      <c r="E106" s="1984"/>
      <c r="F106" s="2056"/>
      <c r="G106" s="1850"/>
      <c r="H106" s="1850"/>
      <c r="I106" s="2134"/>
      <c r="J106" s="1984"/>
      <c r="K106" s="2056"/>
      <c r="L106" s="1850"/>
      <c r="M106" s="1850"/>
      <c r="N106" s="2134"/>
      <c r="O106" s="1984"/>
      <c r="P106" s="2056"/>
      <c r="Q106" s="1850"/>
      <c r="R106" s="1850"/>
      <c r="S106" s="2134"/>
      <c r="T106" s="1984"/>
      <c r="U106" s="2056"/>
      <c r="V106" s="2045"/>
      <c r="W106" s="1984"/>
      <c r="X106" s="2134"/>
      <c r="Y106" s="1984"/>
      <c r="Z106" s="2056"/>
      <c r="AA106" s="1850"/>
      <c r="AB106" s="1850"/>
      <c r="AC106" s="2134"/>
      <c r="AD106" s="1984"/>
      <c r="AE106" s="2056"/>
      <c r="AF106" s="1850"/>
      <c r="AG106" s="1850"/>
      <c r="AH106" s="2134"/>
      <c r="AI106" s="1984"/>
      <c r="AJ106" s="2319"/>
      <c r="AK106" s="2319"/>
      <c r="AL106" s="1984"/>
      <c r="AM106" s="2134"/>
      <c r="AN106" s="2317"/>
      <c r="AO106" s="2320"/>
      <c r="AP106" s="2320"/>
      <c r="AQ106" s="1984"/>
      <c r="AR106" s="2134"/>
      <c r="AS106" s="2321"/>
      <c r="AT106" s="2319"/>
      <c r="AU106" s="2319"/>
      <c r="AV106" s="1984"/>
      <c r="AW106" s="2322"/>
      <c r="AX106" s="2320"/>
      <c r="AY106" s="2320"/>
      <c r="AZ106" s="2320"/>
      <c r="BA106" s="1984"/>
      <c r="BB106" s="2322"/>
      <c r="BC106" s="2320"/>
      <c r="BD106" s="2320"/>
      <c r="BE106" s="2320"/>
      <c r="BF106" s="1984"/>
      <c r="BG106" s="306">
        <f>BG90*BG111</f>
        <v>4412.6128499999995</v>
      </c>
      <c r="BH106" s="2320"/>
      <c r="BI106" s="2320"/>
      <c r="BJ106" s="2320"/>
      <c r="BK106" s="1984"/>
      <c r="BL106" s="306">
        <f t="shared" ref="BL106:BP107" si="148">BL90*BL111</f>
        <v>5584.1149999999998</v>
      </c>
      <c r="BM106" s="2280">
        <f t="shared" si="148"/>
        <v>1532.9655</v>
      </c>
      <c r="BN106" s="2280">
        <f t="shared" si="148"/>
        <v>1488.0030000000002</v>
      </c>
      <c r="BO106" s="2280">
        <f t="shared" si="148"/>
        <v>1484.4060000000002</v>
      </c>
      <c r="BP106" s="2280">
        <f t="shared" si="148"/>
        <v>1712.1719999999998</v>
      </c>
      <c r="BQ106" s="400">
        <f>SUM(BM106:BP106)</f>
        <v>6217.5464999999995</v>
      </c>
      <c r="BR106" s="2280">
        <f t="shared" ref="BR106:BU107" si="149">BR90*BR111</f>
        <v>1713.7379999999998</v>
      </c>
      <c r="BS106" s="2280">
        <f t="shared" si="149"/>
        <v>1732.6919999999998</v>
      </c>
      <c r="BT106" s="2280">
        <f t="shared" si="149"/>
        <v>1729.19175</v>
      </c>
      <c r="BU106" s="2280">
        <f t="shared" si="149"/>
        <v>1824.1274999999998</v>
      </c>
      <c r="BV106" s="400">
        <f>SUM(BR106:BU106)</f>
        <v>6999.7492499999989</v>
      </c>
      <c r="BW106" s="2280">
        <f t="shared" ref="BW106:BZ107" si="150">BW90*BW111</f>
        <v>1814.6128000000003</v>
      </c>
      <c r="BX106" s="2280">
        <f t="shared" si="150"/>
        <v>1832.0400000000002</v>
      </c>
      <c r="BY106" s="2280">
        <f t="shared" si="150"/>
        <v>1857.0751999999995</v>
      </c>
      <c r="BZ106" s="2280">
        <f t="shared" si="150"/>
        <v>1932.9695999999999</v>
      </c>
      <c r="CA106" s="400">
        <f>SUM(BW106:BZ106)</f>
        <v>7436.6975999999995</v>
      </c>
      <c r="CB106" s="2280">
        <f t="shared" ref="CB106:CE107" si="151">CB90*CB111</f>
        <v>1948.3253999999999</v>
      </c>
      <c r="CC106" s="2280">
        <f t="shared" si="151"/>
        <v>1952.6546117647058</v>
      </c>
      <c r="CD106" s="2280">
        <f t="shared" si="151"/>
        <v>1938.381992647059</v>
      </c>
      <c r="CE106" s="2280">
        <f t="shared" si="151"/>
        <v>2038.8676566176471</v>
      </c>
      <c r="CF106" s="400">
        <f>SUM(CB106:CE106)</f>
        <v>7878.2296610294115</v>
      </c>
      <c r="CG106" s="2280">
        <f t="shared" ref="CG106:CJ107" si="152">CG90*CG111</f>
        <v>2351.7821336159986</v>
      </c>
      <c r="CH106" s="2280">
        <f t="shared" si="152"/>
        <v>2290.73832576</v>
      </c>
      <c r="CI106" s="2280">
        <f t="shared" si="152"/>
        <v>2251.0565123880001</v>
      </c>
      <c r="CJ106" s="2280">
        <f t="shared" si="152"/>
        <v>2312.4294336000003</v>
      </c>
      <c r="CK106" s="400">
        <f>SUM(CG106:CJ106)</f>
        <v>9206.0064053639999</v>
      </c>
      <c r="CL106" s="2280">
        <f t="shared" ref="CL106:CO107" si="153">CL90*CL111</f>
        <v>2407.1925464999995</v>
      </c>
      <c r="CM106" s="2280">
        <f>CM90*CM111</f>
        <v>2423.9729445749995</v>
      </c>
      <c r="CN106" s="2280">
        <f>CN90*CN111</f>
        <v>2447.5503359999998</v>
      </c>
      <c r="CO106" s="2280">
        <f t="shared" si="153"/>
        <v>2586.5385489999999</v>
      </c>
      <c r="CP106" s="400">
        <f>SUM(CL106:CO106)</f>
        <v>9865.2543760749977</v>
      </c>
      <c r="CQ106" s="2280">
        <f>CQ90*CQ111</f>
        <v>2515.0626170249993</v>
      </c>
      <c r="CR106" s="2280">
        <f t="shared" ref="CR106:CT107" si="154">CR90*CR111</f>
        <v>2547.9098399999993</v>
      </c>
      <c r="CS106" s="2280">
        <f t="shared" si="154"/>
        <v>2525.4896099999996</v>
      </c>
      <c r="CT106" s="2280">
        <f t="shared" si="154"/>
        <v>2778.5152079999993</v>
      </c>
      <c r="CU106" s="400">
        <f>SUM(CQ106:CT106)</f>
        <v>10366.977275024998</v>
      </c>
      <c r="CV106" s="2280">
        <f>CV90*CV111</f>
        <v>2562.0049348800003</v>
      </c>
      <c r="CW106" s="2280">
        <f t="shared" ref="CW106:CY107" si="155">CW90*CW111</f>
        <v>2602.39843088</v>
      </c>
      <c r="CX106" s="2280">
        <f t="shared" si="155"/>
        <v>2978.3686175684197</v>
      </c>
      <c r="CY106" s="2280">
        <f t="shared" si="155"/>
        <v>3300.4913703805082</v>
      </c>
      <c r="CZ106" s="400">
        <f>SUM(CV106:CY106)</f>
        <v>11443.263353708928</v>
      </c>
      <c r="DA106" s="2280">
        <f t="shared" ref="DA106:DD107" si="156">DA90*DA111</f>
        <v>3069.7267391999999</v>
      </c>
      <c r="DB106" s="2280">
        <f t="shared" si="156"/>
        <v>3060.6170469600002</v>
      </c>
      <c r="DC106" s="2280">
        <f t="shared" si="156"/>
        <v>3334.1808456000003</v>
      </c>
      <c r="DD106" s="2280">
        <f t="shared" si="156"/>
        <v>3387.2605351200004</v>
      </c>
      <c r="DE106" s="400">
        <f>SUM(DA106:DD106)</f>
        <v>12851.785166879999</v>
      </c>
      <c r="DF106" s="2280">
        <f t="shared" ref="DF106:DF107" si="157">DF90*DF111</f>
        <v>3023.3901241500002</v>
      </c>
      <c r="DG106" s="2280">
        <f t="shared" ref="DG106:DI107" si="158">DG90*DG111</f>
        <v>2999.0610656160002</v>
      </c>
      <c r="DH106" s="2280">
        <f t="shared" si="158"/>
        <v>3056.6790351681507</v>
      </c>
      <c r="DI106" s="2280">
        <f t="shared" si="158"/>
        <v>3211.1840397424207</v>
      </c>
      <c r="DJ106" s="400">
        <f>SUM(DF106:DI106)</f>
        <v>12290.314264676572</v>
      </c>
      <c r="DK106" s="2280">
        <f t="shared" ref="DK106:DN107" si="159">DK90*DK111</f>
        <v>2903.7721863556094</v>
      </c>
      <c r="DL106" s="2280">
        <f t="shared" si="159"/>
        <v>2886.9444688623526</v>
      </c>
      <c r="DM106" s="2280">
        <f t="shared" si="159"/>
        <v>2959.4178290787636</v>
      </c>
      <c r="DN106" s="2280">
        <f t="shared" si="159"/>
        <v>3216.0710600142179</v>
      </c>
      <c r="DO106" s="400">
        <f>SUM(DK106:DN106)</f>
        <v>11966.205544310944</v>
      </c>
      <c r="DP106" s="2280">
        <f t="shared" ref="DP106:DS107" si="160">DP90*DP111</f>
        <v>2972.873290420067</v>
      </c>
      <c r="DQ106" s="2280">
        <f t="shared" si="160"/>
        <v>2955.4337169550031</v>
      </c>
      <c r="DR106" s="2280">
        <f t="shared" si="160"/>
        <v>3029.4797020547348</v>
      </c>
      <c r="DS106" s="2280">
        <f t="shared" si="160"/>
        <v>3291.8934756331118</v>
      </c>
      <c r="DT106" s="400">
        <f>SUM(DP106:DS106)</f>
        <v>12249.680185062916</v>
      </c>
      <c r="DU106" s="2280">
        <f t="shared" ref="DU106:DX106" si="161">DU90*DU111</f>
        <v>3042.8127861415946</v>
      </c>
      <c r="DV106" s="2280">
        <f t="shared" si="161"/>
        <v>3024.7390051997127</v>
      </c>
      <c r="DW106" s="2280">
        <f t="shared" si="161"/>
        <v>3100.3759024064702</v>
      </c>
      <c r="DX106" s="2280">
        <f t="shared" si="161"/>
        <v>3368.6410921887664</v>
      </c>
      <c r="DY106" s="400">
        <f>SUM(DU106:DX106)</f>
        <v>12536.568785936543</v>
      </c>
      <c r="DZ106" s="1850"/>
      <c r="EA106" s="1850"/>
    </row>
    <row r="107" spans="1:131" ht="12" customHeight="1" x14ac:dyDescent="0.2">
      <c r="A107" s="1076"/>
      <c r="B107" s="1080" t="s">
        <v>997</v>
      </c>
      <c r="C107" s="1076"/>
      <c r="D107" s="1076"/>
      <c r="E107" s="1076"/>
      <c r="F107" s="1076"/>
      <c r="G107" s="1076"/>
      <c r="H107" s="1076"/>
      <c r="I107" s="1073"/>
      <c r="J107" s="1076"/>
      <c r="K107" s="1076"/>
      <c r="L107" s="1076"/>
      <c r="M107" s="1076"/>
      <c r="N107" s="1073"/>
      <c r="O107" s="1076"/>
      <c r="P107" s="1076"/>
      <c r="Q107" s="1076"/>
      <c r="R107" s="1076"/>
      <c r="S107" s="1073"/>
      <c r="T107" s="1076"/>
      <c r="U107" s="1076"/>
      <c r="V107" s="1076"/>
      <c r="W107" s="1076"/>
      <c r="X107" s="1073"/>
      <c r="Y107" s="1076"/>
      <c r="Z107" s="1076"/>
      <c r="AA107" s="1076"/>
      <c r="AB107" s="1076"/>
      <c r="AC107" s="1073"/>
      <c r="AD107" s="1076"/>
      <c r="AE107" s="1076"/>
      <c r="AF107" s="1076"/>
      <c r="AG107" s="1076"/>
      <c r="AH107" s="1073"/>
      <c r="AI107" s="1076"/>
      <c r="AJ107" s="1076"/>
      <c r="AK107" s="1076"/>
      <c r="AL107" s="1076"/>
      <c r="AM107" s="1073"/>
      <c r="AN107" s="1076"/>
      <c r="AO107" s="1078"/>
      <c r="AP107" s="1078"/>
      <c r="AQ107" s="1076"/>
      <c r="AR107" s="1073"/>
      <c r="AS107" s="1078"/>
      <c r="AT107" s="1076"/>
      <c r="AU107" s="1076"/>
      <c r="AV107" s="1076"/>
      <c r="AW107" s="1073"/>
      <c r="AX107" s="1078"/>
      <c r="AY107" s="1078"/>
      <c r="AZ107" s="1078"/>
      <c r="BA107" s="1076"/>
      <c r="BB107" s="1073"/>
      <c r="BC107" s="1078"/>
      <c r="BD107" s="1078"/>
      <c r="BE107" s="1078"/>
      <c r="BF107" s="1076"/>
      <c r="BG107" s="1070">
        <f>BG91*BG112</f>
        <v>2167.1682999999975</v>
      </c>
      <c r="BH107" s="1078"/>
      <c r="BI107" s="1078"/>
      <c r="BJ107" s="1078"/>
      <c r="BK107" s="1076"/>
      <c r="BL107" s="1070">
        <f t="shared" si="148"/>
        <v>2140.6583000000028</v>
      </c>
      <c r="BM107" s="1079">
        <f t="shared" si="148"/>
        <v>515.0888182687504</v>
      </c>
      <c r="BN107" s="1079">
        <f t="shared" si="148"/>
        <v>491.04404373750003</v>
      </c>
      <c r="BO107" s="1079">
        <f t="shared" si="148"/>
        <v>468.02739060000016</v>
      </c>
      <c r="BP107" s="1079">
        <f t="shared" si="148"/>
        <v>539.84111720000055</v>
      </c>
      <c r="BQ107" s="1070">
        <f>SUM(BM107:BP107)</f>
        <v>2014.0013698062512</v>
      </c>
      <c r="BR107" s="1079">
        <f t="shared" si="149"/>
        <v>520.21337327767469</v>
      </c>
      <c r="BS107" s="1079">
        <f t="shared" si="149"/>
        <v>516.15266964469993</v>
      </c>
      <c r="BT107" s="1079">
        <f t="shared" si="149"/>
        <v>503.02409561734748</v>
      </c>
      <c r="BU107" s="1079">
        <f t="shared" si="149"/>
        <v>518.07219439696837</v>
      </c>
      <c r="BV107" s="1070">
        <f>SUM(BR107:BU107)</f>
        <v>2057.4623329366905</v>
      </c>
      <c r="BW107" s="1079">
        <f t="shared" si="150"/>
        <v>487.59937045471361</v>
      </c>
      <c r="BX107" s="1079">
        <f t="shared" si="150"/>
        <v>477.7199910480058</v>
      </c>
      <c r="BY107" s="1079">
        <f t="shared" si="150"/>
        <v>453.98372779400256</v>
      </c>
      <c r="BZ107" s="1079">
        <f t="shared" si="150"/>
        <v>476.51895538239114</v>
      </c>
      <c r="CA107" s="1070">
        <f>SUM(BW107:BZ107)</f>
        <v>1895.8220446791131</v>
      </c>
      <c r="CB107" s="1079">
        <f t="shared" si="151"/>
        <v>466.42174077055637</v>
      </c>
      <c r="CC107" s="1079">
        <f t="shared" si="151"/>
        <v>450.12903815646712</v>
      </c>
      <c r="CD107" s="1079">
        <f t="shared" si="151"/>
        <v>449.65613721672179</v>
      </c>
      <c r="CE107" s="1079">
        <f t="shared" si="151"/>
        <v>472.79169217797255</v>
      </c>
      <c r="CF107" s="1070">
        <f>SUM(CB107:CE107)</f>
        <v>1838.9986083217177</v>
      </c>
      <c r="CG107" s="1079">
        <f t="shared" si="152"/>
        <v>456.42429157814735</v>
      </c>
      <c r="CH107" s="1079">
        <f t="shared" si="152"/>
        <v>446.11180415999991</v>
      </c>
      <c r="CI107" s="1079">
        <f t="shared" si="152"/>
        <v>438.38393530799993</v>
      </c>
      <c r="CJ107" s="1079">
        <f t="shared" si="152"/>
        <v>443.79892128</v>
      </c>
      <c r="CK107" s="1070">
        <f>SUM(CG107:CJ107)</f>
        <v>1784.7189523261472</v>
      </c>
      <c r="CL107" s="1079">
        <f t="shared" si="153"/>
        <v>424.73353649999996</v>
      </c>
      <c r="CM107" s="1079">
        <f>CM91*CM112</f>
        <v>427.69432907499993</v>
      </c>
      <c r="CN107" s="1079">
        <f>CN91*CN112</f>
        <v>394.93259519999998</v>
      </c>
      <c r="CO107" s="1079">
        <f t="shared" si="153"/>
        <v>388.32429999999999</v>
      </c>
      <c r="CP107" s="1070">
        <f>SUM(CL107:CO107)</f>
        <v>1635.6847607749999</v>
      </c>
      <c r="CQ107" s="1079">
        <f>CQ91*CQ112</f>
        <v>377.59341749999999</v>
      </c>
      <c r="CR107" s="1079">
        <f t="shared" si="154"/>
        <v>438.83930999999995</v>
      </c>
      <c r="CS107" s="1079">
        <f t="shared" si="154"/>
        <v>390.8495825</v>
      </c>
      <c r="CT107" s="1079">
        <f t="shared" si="154"/>
        <v>450.484892</v>
      </c>
      <c r="CU107" s="1070">
        <f>SUM(CQ107:CT107)</f>
        <v>1657.767202</v>
      </c>
      <c r="CV107" s="1079">
        <f>CV91*CV112</f>
        <v>441.18016667999996</v>
      </c>
      <c r="CW107" s="1079">
        <f t="shared" si="155"/>
        <v>448.1359726799999</v>
      </c>
      <c r="CX107" s="1079">
        <f t="shared" si="155"/>
        <v>503.69469267701203</v>
      </c>
      <c r="CY107" s="1079">
        <f t="shared" si="155"/>
        <v>558.17133469670364</v>
      </c>
      <c r="CZ107" s="1070">
        <f>SUM(CV107:CY107)</f>
        <v>1951.1821667337153</v>
      </c>
      <c r="DA107" s="1079">
        <f t="shared" si="156"/>
        <v>532.77613151999992</v>
      </c>
      <c r="DB107" s="1079">
        <f t="shared" si="156"/>
        <v>531.19507007600009</v>
      </c>
      <c r="DC107" s="1079">
        <f t="shared" si="156"/>
        <v>543.60313052000004</v>
      </c>
      <c r="DD107" s="1079">
        <f t="shared" si="156"/>
        <v>520.99737340000001</v>
      </c>
      <c r="DE107" s="1070">
        <f>SUM(DA107:DD107)</f>
        <v>2128.5717055159998</v>
      </c>
      <c r="DF107" s="1079">
        <f t="shared" si="157"/>
        <v>531.67227905000004</v>
      </c>
      <c r="DG107" s="1079">
        <f t="shared" si="158"/>
        <v>537.55241144000013</v>
      </c>
      <c r="DH107" s="1079">
        <f t="shared" si="158"/>
        <v>547.87986986695057</v>
      </c>
      <c r="DI107" s="1079">
        <f t="shared" si="158"/>
        <v>575.57338326041247</v>
      </c>
      <c r="DJ107" s="1070">
        <f>SUM(DF107:DI107)</f>
        <v>2192.6779436173633</v>
      </c>
      <c r="DK107" s="1079">
        <f t="shared" si="159"/>
        <v>604.20957664113757</v>
      </c>
      <c r="DL107" s="1079">
        <f t="shared" si="159"/>
        <v>608.67616923659659</v>
      </c>
      <c r="DM107" s="1079">
        <f t="shared" si="159"/>
        <v>591.21495700377534</v>
      </c>
      <c r="DN107" s="1079">
        <f t="shared" si="159"/>
        <v>589.43384014212972</v>
      </c>
      <c r="DO107" s="1070">
        <f>SUM(DK107:DN107)</f>
        <v>2393.5345430236393</v>
      </c>
      <c r="DP107" s="1079">
        <f t="shared" si="160"/>
        <v>630.4470389689485</v>
      </c>
      <c r="DQ107" s="1079">
        <f t="shared" si="160"/>
        <v>634.12370287242493</v>
      </c>
      <c r="DR107" s="1079">
        <f t="shared" si="160"/>
        <v>615.18383036629655</v>
      </c>
      <c r="DS107" s="1079">
        <f t="shared" si="160"/>
        <v>612.22506272337432</v>
      </c>
      <c r="DT107" s="1070">
        <f>SUM(DP107:DS107)</f>
        <v>2491.9796349310445</v>
      </c>
      <c r="DU107" s="1079">
        <f t="shared" ref="DU107:DX107" si="162">DU91*DU112</f>
        <v>654.01714794362317</v>
      </c>
      <c r="DV107" s="1079">
        <f t="shared" si="162"/>
        <v>656.63712735103934</v>
      </c>
      <c r="DW107" s="1079">
        <f t="shared" si="162"/>
        <v>636.123848889089</v>
      </c>
      <c r="DX107" s="1079">
        <f t="shared" si="162"/>
        <v>631.75416104175054</v>
      </c>
      <c r="DY107" s="1070">
        <f>SUM(DU107:DX107)</f>
        <v>2578.5322852255022</v>
      </c>
      <c r="DZ107" s="1076"/>
      <c r="EA107" s="1076"/>
    </row>
    <row r="108" spans="1:131" ht="12" customHeight="1" x14ac:dyDescent="0.2">
      <c r="A108" s="1984"/>
      <c r="B108" s="2403" t="s">
        <v>251</v>
      </c>
      <c r="C108" s="1883"/>
      <c r="D108" s="1883"/>
      <c r="E108" s="1984"/>
      <c r="F108" s="2056"/>
      <c r="G108" s="1850"/>
      <c r="H108" s="1850"/>
      <c r="I108" s="2134"/>
      <c r="J108" s="1984"/>
      <c r="K108" s="2056"/>
      <c r="L108" s="1850"/>
      <c r="M108" s="1850"/>
      <c r="N108" s="306">
        <f>N93*N113</f>
        <v>1470.4388330400002</v>
      </c>
      <c r="O108" s="1984"/>
      <c r="P108" s="2056"/>
      <c r="Q108" s="1850"/>
      <c r="R108" s="1850"/>
      <c r="S108" s="306">
        <f>S93*S113</f>
        <v>1678.145853</v>
      </c>
      <c r="T108" s="1984"/>
      <c r="U108" s="2056"/>
      <c r="V108" s="2045"/>
      <c r="W108" s="1984"/>
      <c r="X108" s="306">
        <f>X93*X113</f>
        <v>2009.6359398</v>
      </c>
      <c r="Y108" s="1984"/>
      <c r="Z108" s="2056"/>
      <c r="AA108" s="1850"/>
      <c r="AB108" s="1850"/>
      <c r="AC108" s="306">
        <f>AC93*AC113</f>
        <v>2605.78431</v>
      </c>
      <c r="AD108" s="1984"/>
      <c r="AE108" s="2056"/>
      <c r="AF108" s="1850"/>
      <c r="AG108" s="1850"/>
      <c r="AH108" s="306">
        <f>AH93*AH113</f>
        <v>2999.7726912979906</v>
      </c>
      <c r="AI108" s="1984"/>
      <c r="AJ108" s="2319"/>
      <c r="AK108" s="2319"/>
      <c r="AL108" s="1984"/>
      <c r="AM108" s="306">
        <f>AM93*AM113</f>
        <v>3221.7873221032787</v>
      </c>
      <c r="AN108" s="2317"/>
      <c r="AO108" s="2320"/>
      <c r="AP108" s="2320"/>
      <c r="AQ108" s="1984"/>
      <c r="AR108" s="306">
        <f>AR93*AR113</f>
        <v>3719.2022988818744</v>
      </c>
      <c r="AS108" s="2321"/>
      <c r="AT108" s="2319"/>
      <c r="AU108" s="2319"/>
      <c r="AV108" s="1984"/>
      <c r="AW108" s="306">
        <f>AW93*AW113</f>
        <v>4449.3404193354718</v>
      </c>
      <c r="AX108" s="2320"/>
      <c r="AY108" s="2320"/>
      <c r="AZ108" s="2320"/>
      <c r="BA108" s="1984"/>
      <c r="BB108" s="306">
        <f>BB93*BB113</f>
        <v>5426.0461161530429</v>
      </c>
      <c r="BC108" s="2320"/>
      <c r="BD108" s="2320"/>
      <c r="BE108" s="2320"/>
      <c r="BF108" s="1984"/>
      <c r="BG108" s="400">
        <f>BG106+BG107</f>
        <v>6579.7811499999971</v>
      </c>
      <c r="BH108" s="2320"/>
      <c r="BI108" s="2320"/>
      <c r="BJ108" s="2320"/>
      <c r="BK108" s="1984"/>
      <c r="BL108" s="400">
        <f t="shared" ref="BL108:DJ108" si="163">BL106+BL107</f>
        <v>7724.7733000000026</v>
      </c>
      <c r="BM108" s="2280">
        <f t="shared" si="163"/>
        <v>2048.0543182687506</v>
      </c>
      <c r="BN108" s="2280">
        <f t="shared" si="163"/>
        <v>1979.0470437375002</v>
      </c>
      <c r="BO108" s="2280">
        <f t="shared" si="163"/>
        <v>1952.4333906000004</v>
      </c>
      <c r="BP108" s="2280">
        <f t="shared" si="163"/>
        <v>2252.0131172000001</v>
      </c>
      <c r="BQ108" s="400">
        <f t="shared" si="163"/>
        <v>8231.5478698062507</v>
      </c>
      <c r="BR108" s="2280">
        <f t="shared" si="163"/>
        <v>2233.9513732776745</v>
      </c>
      <c r="BS108" s="2280">
        <f t="shared" si="163"/>
        <v>2248.8446696446999</v>
      </c>
      <c r="BT108" s="2280">
        <f t="shared" si="163"/>
        <v>2232.2158456173474</v>
      </c>
      <c r="BU108" s="2280">
        <f t="shared" si="163"/>
        <v>2342.199694396968</v>
      </c>
      <c r="BV108" s="400">
        <f t="shared" si="163"/>
        <v>9057.2115829366885</v>
      </c>
      <c r="BW108" s="2280">
        <f t="shared" si="163"/>
        <v>2302.2121704547139</v>
      </c>
      <c r="BX108" s="2280">
        <f t="shared" si="163"/>
        <v>2309.7599910480058</v>
      </c>
      <c r="BY108" s="2280">
        <f t="shared" si="163"/>
        <v>2311.0589277940021</v>
      </c>
      <c r="BZ108" s="2280">
        <f t="shared" si="163"/>
        <v>2409.488555382391</v>
      </c>
      <c r="CA108" s="400">
        <f t="shared" si="163"/>
        <v>9332.5196446791124</v>
      </c>
      <c r="CB108" s="2280">
        <f t="shared" si="163"/>
        <v>2414.7471407705561</v>
      </c>
      <c r="CC108" s="2280">
        <f t="shared" si="163"/>
        <v>2402.783649921173</v>
      </c>
      <c r="CD108" s="2280">
        <f t="shared" si="163"/>
        <v>2388.0381298637808</v>
      </c>
      <c r="CE108" s="2280">
        <f t="shared" si="163"/>
        <v>2511.6593487956197</v>
      </c>
      <c r="CF108" s="400">
        <f t="shared" si="163"/>
        <v>9717.2282693511297</v>
      </c>
      <c r="CG108" s="2280">
        <f t="shared" si="163"/>
        <v>2808.206425194146</v>
      </c>
      <c r="CH108" s="2280">
        <f t="shared" si="163"/>
        <v>2736.8501299199997</v>
      </c>
      <c r="CI108" s="2280">
        <f t="shared" si="163"/>
        <v>2689.4404476959999</v>
      </c>
      <c r="CJ108" s="2280">
        <f t="shared" si="163"/>
        <v>2756.2283548800001</v>
      </c>
      <c r="CK108" s="400">
        <f t="shared" si="163"/>
        <v>10990.725357690148</v>
      </c>
      <c r="CL108" s="2280">
        <f t="shared" si="163"/>
        <v>2831.9260829999994</v>
      </c>
      <c r="CM108" s="2280">
        <f t="shared" si="163"/>
        <v>2851.6672736499995</v>
      </c>
      <c r="CN108" s="2280">
        <f t="shared" si="163"/>
        <v>2842.4829311999997</v>
      </c>
      <c r="CO108" s="2280">
        <f t="shared" si="163"/>
        <v>2974.8628490000001</v>
      </c>
      <c r="CP108" s="400">
        <f t="shared" si="163"/>
        <v>11500.939136849998</v>
      </c>
      <c r="CQ108" s="2280">
        <f>CQ106+CQ107</f>
        <v>2892.6560345249991</v>
      </c>
      <c r="CR108" s="2280">
        <f t="shared" si="163"/>
        <v>2986.7491499999992</v>
      </c>
      <c r="CS108" s="2280">
        <f t="shared" si="163"/>
        <v>2916.3391924999996</v>
      </c>
      <c r="CT108" s="2280">
        <f t="shared" si="163"/>
        <v>3229.0000999999993</v>
      </c>
      <c r="CU108" s="400">
        <f t="shared" si="163"/>
        <v>12024.744477024997</v>
      </c>
      <c r="CV108" s="2280">
        <f t="shared" si="163"/>
        <v>3003.1851015600005</v>
      </c>
      <c r="CW108" s="2280">
        <f>CW106+CW107</f>
        <v>3050.5344035600001</v>
      </c>
      <c r="CX108" s="2280">
        <f>CX106+CX107</f>
        <v>3482.0633102454317</v>
      </c>
      <c r="CY108" s="2280">
        <f>CY106+CY107</f>
        <v>3858.6627050772117</v>
      </c>
      <c r="CZ108" s="400">
        <f t="shared" si="163"/>
        <v>13394.445520442643</v>
      </c>
      <c r="DA108" s="2280">
        <f>DA106+DA107</f>
        <v>3602.5028707199999</v>
      </c>
      <c r="DB108" s="2280">
        <f>DB106+DB107</f>
        <v>3591.812117036</v>
      </c>
      <c r="DC108" s="2280">
        <f>DC106+DC107</f>
        <v>3877.7839761200003</v>
      </c>
      <c r="DD108" s="2280">
        <f>DD106+DD107</f>
        <v>3908.2579085200005</v>
      </c>
      <c r="DE108" s="400">
        <f t="shared" si="163"/>
        <v>14980.356872396</v>
      </c>
      <c r="DF108" s="2280">
        <f t="shared" si="163"/>
        <v>3555.0624032000005</v>
      </c>
      <c r="DG108" s="2280">
        <f>DG106+DG107</f>
        <v>3536.6134770560002</v>
      </c>
      <c r="DH108" s="2280">
        <f>DH106+DH107</f>
        <v>3604.5589050351014</v>
      </c>
      <c r="DI108" s="2280">
        <f>DI106+DI107</f>
        <v>3786.7574230028331</v>
      </c>
      <c r="DJ108" s="400">
        <f t="shared" si="163"/>
        <v>14482.992208293936</v>
      </c>
      <c r="DK108" s="2280">
        <f t="shared" ref="DK108:DT108" si="164">DK106+DK107</f>
        <v>3507.981762996747</v>
      </c>
      <c r="DL108" s="2280">
        <f t="shared" si="164"/>
        <v>3495.6206380989493</v>
      </c>
      <c r="DM108" s="2280">
        <f t="shared" si="164"/>
        <v>3550.632786082539</v>
      </c>
      <c r="DN108" s="2280">
        <f t="shared" si="164"/>
        <v>3805.5049001563475</v>
      </c>
      <c r="DO108" s="400">
        <f t="shared" si="164"/>
        <v>14359.740087334583</v>
      </c>
      <c r="DP108" s="2280">
        <f t="shared" si="164"/>
        <v>3603.3203293890156</v>
      </c>
      <c r="DQ108" s="2280">
        <f t="shared" si="164"/>
        <v>3589.557419827428</v>
      </c>
      <c r="DR108" s="2280">
        <f t="shared" si="164"/>
        <v>3644.6635324210315</v>
      </c>
      <c r="DS108" s="2280">
        <f t="shared" si="164"/>
        <v>3904.1185383564862</v>
      </c>
      <c r="DT108" s="400">
        <f t="shared" si="164"/>
        <v>14741.659819993962</v>
      </c>
      <c r="DU108" s="2280">
        <f t="shared" ref="DU108:DY108" si="165">DU106+DU107</f>
        <v>3696.8299340852177</v>
      </c>
      <c r="DV108" s="2280">
        <f t="shared" si="165"/>
        <v>3681.3761325507521</v>
      </c>
      <c r="DW108" s="2280">
        <f t="shared" si="165"/>
        <v>3736.4997512955592</v>
      </c>
      <c r="DX108" s="2280">
        <f t="shared" si="165"/>
        <v>4000.395253230517</v>
      </c>
      <c r="DY108" s="400">
        <f t="shared" si="165"/>
        <v>15115.101071162044</v>
      </c>
      <c r="DZ108" s="1850"/>
      <c r="EA108" s="1850"/>
    </row>
    <row r="109" spans="1:131" ht="12" customHeight="1" x14ac:dyDescent="0.2">
      <c r="A109" s="1984"/>
      <c r="B109" s="2337"/>
      <c r="C109" s="1883"/>
      <c r="D109" s="1883"/>
      <c r="E109" s="1984"/>
      <c r="F109" s="2056"/>
      <c r="G109" s="1850"/>
      <c r="H109" s="1850"/>
      <c r="I109" s="2134"/>
      <c r="J109" s="1984"/>
      <c r="K109" s="2056"/>
      <c r="L109" s="1850"/>
      <c r="M109" s="1850"/>
      <c r="N109" s="2134"/>
      <c r="O109" s="1984"/>
      <c r="P109" s="2056"/>
      <c r="Q109" s="1850"/>
      <c r="R109" s="1850"/>
      <c r="S109" s="2134"/>
      <c r="T109" s="1984"/>
      <c r="U109" s="2056"/>
      <c r="V109" s="2045"/>
      <c r="W109" s="1984"/>
      <c r="X109" s="2134"/>
      <c r="Y109" s="1984"/>
      <c r="Z109" s="2056"/>
      <c r="AA109" s="1850"/>
      <c r="AB109" s="1850"/>
      <c r="AC109" s="2134"/>
      <c r="AD109" s="1984"/>
      <c r="AE109" s="2056"/>
      <c r="AF109" s="1850"/>
      <c r="AG109" s="1850"/>
      <c r="AH109" s="2134"/>
      <c r="AI109" s="1984"/>
      <c r="AJ109" s="2319"/>
      <c r="AK109" s="2319"/>
      <c r="AL109" s="1984"/>
      <c r="AM109" s="2134"/>
      <c r="AN109" s="2317"/>
      <c r="AO109" s="2320"/>
      <c r="AP109" s="2320"/>
      <c r="AQ109" s="1984"/>
      <c r="AR109" s="2134"/>
      <c r="AS109" s="2321"/>
      <c r="AT109" s="2319"/>
      <c r="AU109" s="2319"/>
      <c r="AV109" s="1984"/>
      <c r="AW109" s="2322"/>
      <c r="AX109" s="2320"/>
      <c r="AY109" s="2320"/>
      <c r="AZ109" s="2320"/>
      <c r="BA109" s="1984"/>
      <c r="BB109" s="2322"/>
      <c r="BC109" s="2320"/>
      <c r="BD109" s="2320"/>
      <c r="BE109" s="2320"/>
      <c r="BF109" s="1984"/>
      <c r="BG109" s="365"/>
      <c r="BH109" s="2320"/>
      <c r="BI109" s="2320"/>
      <c r="BJ109" s="2320"/>
      <c r="BK109" s="1984"/>
      <c r="BL109" s="365"/>
      <c r="BM109" s="1850"/>
      <c r="BN109" s="1850"/>
      <c r="BO109" s="1850"/>
      <c r="BP109" s="1850"/>
      <c r="BQ109" s="365"/>
      <c r="BR109" s="1850"/>
      <c r="BS109" s="1850"/>
      <c r="BT109" s="1850"/>
      <c r="BU109" s="1850"/>
      <c r="BV109" s="365"/>
      <c r="BW109" s="1850"/>
      <c r="BX109" s="1850"/>
      <c r="BY109" s="1850"/>
      <c r="BZ109" s="1850"/>
      <c r="CA109" s="365"/>
      <c r="CB109" s="1929"/>
      <c r="CC109" s="1929"/>
      <c r="CD109" s="1929"/>
      <c r="CE109" s="1929"/>
      <c r="CF109" s="2322"/>
      <c r="CG109" s="1929"/>
      <c r="CH109" s="1929"/>
      <c r="CI109" s="1929"/>
      <c r="CJ109" s="1929"/>
      <c r="CK109" s="2322"/>
      <c r="CL109" s="1929"/>
      <c r="CM109" s="1929"/>
      <c r="CN109" s="1929"/>
      <c r="CO109" s="1929"/>
      <c r="CP109" s="2322"/>
      <c r="CQ109" s="1929"/>
      <c r="CR109" s="1929"/>
      <c r="CS109" s="1929"/>
      <c r="CT109" s="1929"/>
      <c r="CU109" s="2322"/>
      <c r="CV109" s="1929"/>
      <c r="CW109" s="1929"/>
      <c r="CX109" s="1929"/>
      <c r="CY109" s="1929"/>
      <c r="CZ109" s="2322"/>
      <c r="DA109" s="2284">
        <f>DA108+DA129</f>
        <v>5837.4488707199998</v>
      </c>
      <c r="DB109" s="2284">
        <f>DB108+DB129</f>
        <v>5758.8712490359994</v>
      </c>
      <c r="DC109" s="2284">
        <f>DC108+DC129</f>
        <v>5956.5106161200001</v>
      </c>
      <c r="DD109" s="2284">
        <f>DD108+DD129</f>
        <v>6185.2109365200013</v>
      </c>
      <c r="DE109" s="2322"/>
      <c r="DF109" s="2284">
        <f>DF108+DF129</f>
        <v>5667.4318132000008</v>
      </c>
      <c r="DG109" s="2284">
        <f>DG108+DG129</f>
        <v>5672.3450450560003</v>
      </c>
      <c r="DH109" s="2284">
        <f>DH108+DH129</f>
        <v>5636.5688924263013</v>
      </c>
      <c r="DI109" s="2284">
        <f>DI108+DI129</f>
        <v>6061.4964829023238</v>
      </c>
      <c r="DJ109" s="2629">
        <f>DJ108/DJ67</f>
        <v>11.770024988495662</v>
      </c>
      <c r="DK109" s="1929"/>
      <c r="DL109" s="1929"/>
      <c r="DM109" s="1929"/>
      <c r="DN109" s="1929"/>
      <c r="DO109" s="2322"/>
      <c r="DP109" s="1929"/>
      <c r="DQ109" s="1929"/>
      <c r="DR109" s="1929"/>
      <c r="DS109" s="1929"/>
      <c r="DT109" s="2322"/>
      <c r="DU109" s="1929"/>
      <c r="DV109" s="1929"/>
      <c r="DW109" s="1929"/>
      <c r="DX109" s="1929"/>
      <c r="DY109" s="2322"/>
      <c r="DZ109" s="1850"/>
      <c r="EA109" s="1850"/>
    </row>
    <row r="110" spans="1:131" ht="12" customHeight="1" x14ac:dyDescent="0.2">
      <c r="A110" s="1984"/>
      <c r="B110" s="2404" t="s">
        <v>515</v>
      </c>
      <c r="C110" s="1883"/>
      <c r="D110" s="1883"/>
      <c r="E110" s="1984"/>
      <c r="F110" s="2056"/>
      <c r="G110" s="1850"/>
      <c r="H110" s="1850"/>
      <c r="I110" s="2134"/>
      <c r="J110" s="1984"/>
      <c r="K110" s="2056"/>
      <c r="L110" s="1850"/>
      <c r="M110" s="1850"/>
      <c r="N110" s="2134"/>
      <c r="O110" s="1984"/>
      <c r="P110" s="2056"/>
      <c r="Q110" s="1850"/>
      <c r="R110" s="1850"/>
      <c r="S110" s="2134"/>
      <c r="T110" s="1984"/>
      <c r="U110" s="2056"/>
      <c r="V110" s="2045"/>
      <c r="W110" s="1984"/>
      <c r="X110" s="2134"/>
      <c r="Y110" s="1984"/>
      <c r="Z110" s="2056"/>
      <c r="AA110" s="1850"/>
      <c r="AB110" s="1850"/>
      <c r="AC110" s="2134"/>
      <c r="AD110" s="1984"/>
      <c r="AE110" s="2056"/>
      <c r="AF110" s="1850"/>
      <c r="AG110" s="1850"/>
      <c r="AH110" s="2134"/>
      <c r="AI110" s="1984"/>
      <c r="AJ110" s="2319"/>
      <c r="AK110" s="2319"/>
      <c r="AL110" s="1984"/>
      <c r="AM110" s="2134"/>
      <c r="AN110" s="2317"/>
      <c r="AO110" s="2320"/>
      <c r="AP110" s="2320"/>
      <c r="AQ110" s="1984"/>
      <c r="AR110" s="2134"/>
      <c r="AS110" s="2321"/>
      <c r="AT110" s="2319"/>
      <c r="AU110" s="2319"/>
      <c r="AV110" s="1984"/>
      <c r="AW110" s="2322"/>
      <c r="AX110" s="2320"/>
      <c r="AY110" s="2320"/>
      <c r="AZ110" s="2320"/>
      <c r="BA110" s="1984"/>
      <c r="BB110" s="2322"/>
      <c r="BC110" s="2320"/>
      <c r="BD110" s="2320"/>
      <c r="BE110" s="2320"/>
      <c r="BF110" s="1984"/>
      <c r="BG110" s="365"/>
      <c r="BH110" s="2320"/>
      <c r="BI110" s="2320"/>
      <c r="BJ110" s="2320"/>
      <c r="BK110" s="1984"/>
      <c r="BL110" s="365"/>
      <c r="BM110" s="1850"/>
      <c r="BN110" s="1850"/>
      <c r="BO110" s="1850"/>
      <c r="BP110" s="1850"/>
      <c r="BQ110" s="365"/>
      <c r="BR110" s="1850"/>
      <c r="BS110" s="1850"/>
      <c r="BT110" s="1850"/>
      <c r="BU110" s="1850"/>
      <c r="BV110" s="365"/>
      <c r="BW110" s="1850"/>
      <c r="BX110" s="1850"/>
      <c r="BY110" s="1850"/>
      <c r="BZ110" s="1850"/>
      <c r="CA110" s="365"/>
      <c r="CB110" s="1850"/>
      <c r="CC110" s="1850"/>
      <c r="CD110" s="1850"/>
      <c r="CE110" s="1850"/>
      <c r="CF110" s="2322"/>
      <c r="CG110" s="1850"/>
      <c r="CH110" s="1850"/>
      <c r="CI110" s="1850"/>
      <c r="CJ110" s="1850"/>
      <c r="CK110" s="2322"/>
      <c r="CL110" s="1850"/>
      <c r="CM110" s="2350"/>
      <c r="CN110" s="2350"/>
      <c r="CO110" s="1850"/>
      <c r="CP110" s="2322"/>
      <c r="CQ110" s="1850"/>
      <c r="CR110" s="1850"/>
      <c r="CS110" s="1850"/>
      <c r="CT110" s="1850"/>
      <c r="CU110" s="2322"/>
      <c r="CV110" s="1850"/>
      <c r="CW110" s="1850"/>
      <c r="CX110" s="1850"/>
      <c r="CY110" s="1850"/>
      <c r="CZ110" s="2586"/>
      <c r="DA110" s="1886">
        <f>DA21</f>
        <v>5830</v>
      </c>
      <c r="DB110" s="1886">
        <f>DB21</f>
        <v>5843</v>
      </c>
      <c r="DC110" s="1886">
        <f>DC21</f>
        <v>5898.6</v>
      </c>
      <c r="DD110" s="1886">
        <f>DD21</f>
        <v>6208.5</v>
      </c>
      <c r="DE110" s="2322"/>
      <c r="DF110" s="1886">
        <f>DF21</f>
        <v>5676.5</v>
      </c>
      <c r="DG110" s="1886">
        <f>DG21</f>
        <v>5680.3</v>
      </c>
      <c r="DH110" s="1886">
        <f>DH21</f>
        <v>5686.8454658300006</v>
      </c>
      <c r="DI110" s="1886">
        <f>DI21</f>
        <v>6276.9253950700031</v>
      </c>
      <c r="DJ110" s="2322"/>
      <c r="DK110" s="1850"/>
      <c r="DL110" s="1850"/>
      <c r="DM110" s="1850"/>
      <c r="DN110" s="1850"/>
      <c r="DO110" s="2322"/>
      <c r="DP110" s="1850"/>
      <c r="DQ110" s="1850"/>
      <c r="DR110" s="1850"/>
      <c r="DS110" s="1850"/>
      <c r="DT110" s="2322"/>
      <c r="DU110" s="1850"/>
      <c r="DV110" s="1850"/>
      <c r="DW110" s="1850"/>
      <c r="DX110" s="1850"/>
      <c r="DY110" s="2322"/>
      <c r="DZ110" s="1850"/>
      <c r="EA110" s="1850"/>
    </row>
    <row r="111" spans="1:131" ht="12" customHeight="1" x14ac:dyDescent="0.2">
      <c r="A111" s="1930"/>
      <c r="B111" s="2405" t="s">
        <v>786</v>
      </c>
      <c r="C111" s="1929"/>
      <c r="D111" s="1929"/>
      <c r="E111" s="1929"/>
      <c r="F111" s="2406"/>
      <c r="G111" s="1929"/>
      <c r="H111" s="1929"/>
      <c r="I111" s="2322"/>
      <c r="J111" s="1930"/>
      <c r="K111" s="2406"/>
      <c r="L111" s="1929"/>
      <c r="M111" s="1929"/>
      <c r="N111" s="2322"/>
      <c r="O111" s="1930"/>
      <c r="P111" s="2406"/>
      <c r="Q111" s="1929"/>
      <c r="R111" s="1929"/>
      <c r="S111" s="2322"/>
      <c r="T111" s="1930"/>
      <c r="U111" s="2406"/>
      <c r="V111" s="1929"/>
      <c r="W111" s="1929"/>
      <c r="X111" s="2322"/>
      <c r="Y111" s="1930"/>
      <c r="Z111" s="2406"/>
      <c r="AA111" s="1929"/>
      <c r="AB111" s="1929"/>
      <c r="AC111" s="2322"/>
      <c r="AD111" s="1930"/>
      <c r="AE111" s="2406"/>
      <c r="AF111" s="1929"/>
      <c r="AG111" s="1929"/>
      <c r="AH111" s="2322"/>
      <c r="AI111" s="1930"/>
      <c r="AJ111" s="2407"/>
      <c r="AK111" s="2407"/>
      <c r="AL111" s="1930"/>
      <c r="AM111" s="2322"/>
      <c r="AN111" s="2406"/>
      <c r="AO111" s="2408"/>
      <c r="AP111" s="2408"/>
      <c r="AQ111" s="1930"/>
      <c r="AR111" s="2322"/>
      <c r="AS111" s="2409"/>
      <c r="AT111" s="2407"/>
      <c r="AU111" s="2407"/>
      <c r="AV111" s="1930"/>
      <c r="AW111" s="2322"/>
      <c r="AX111" s="2408"/>
      <c r="AY111" s="2408"/>
      <c r="AZ111" s="2408"/>
      <c r="BA111" s="1930"/>
      <c r="BB111" s="2322"/>
      <c r="BC111" s="2408"/>
      <c r="BD111" s="2408"/>
      <c r="BE111" s="2408"/>
      <c r="BF111" s="1930"/>
      <c r="BG111" s="1081">
        <v>0.57943925233644855</v>
      </c>
      <c r="BH111" s="2410"/>
      <c r="BI111" s="2410"/>
      <c r="BJ111" s="2410"/>
      <c r="BK111" s="2348"/>
      <c r="BL111" s="1081">
        <v>0.63207547169811318</v>
      </c>
      <c r="BM111" s="2348">
        <v>0.62857142857142856</v>
      </c>
      <c r="BN111" s="2348">
        <v>0.62857142857142856</v>
      </c>
      <c r="BO111" s="2348">
        <v>0.62857142857142856</v>
      </c>
      <c r="BP111" s="2348">
        <v>0.62857142857142856</v>
      </c>
      <c r="BQ111" s="1082">
        <f>BQ106/BQ90</f>
        <v>0.62866318692693679</v>
      </c>
      <c r="BR111" s="2348">
        <v>0.625</v>
      </c>
      <c r="BS111" s="2348">
        <v>0.625</v>
      </c>
      <c r="BT111" s="2348">
        <v>0.625</v>
      </c>
      <c r="BU111" s="2348">
        <v>0.625</v>
      </c>
      <c r="BV111" s="1082">
        <f>BV106/BV90</f>
        <v>0.62499999999999989</v>
      </c>
      <c r="BW111" s="2348">
        <v>0.62135922330097093</v>
      </c>
      <c r="BX111" s="2348">
        <v>0.62135922330097093</v>
      </c>
      <c r="BY111" s="2348">
        <v>0.62135922330097082</v>
      </c>
      <c r="BZ111" s="2348">
        <v>0.62135922330097082</v>
      </c>
      <c r="CA111" s="1082">
        <f>CA106/CA90</f>
        <v>0.62135922330097082</v>
      </c>
      <c r="CB111" s="2348">
        <v>0.61764705882352944</v>
      </c>
      <c r="CC111" s="2348">
        <v>0.61764705882352944</v>
      </c>
      <c r="CD111" s="2348">
        <v>0.61764705882352944</v>
      </c>
      <c r="CE111" s="2348">
        <v>0.61764705882352944</v>
      </c>
      <c r="CF111" s="1082">
        <f>CF106/CF90</f>
        <v>0.61764705882352944</v>
      </c>
      <c r="CG111" s="2348">
        <v>0.617547058823529</v>
      </c>
      <c r="CH111" s="2348">
        <v>0.61799999999999999</v>
      </c>
      <c r="CI111" s="2348">
        <v>0.61799999999999999</v>
      </c>
      <c r="CJ111" s="2348">
        <v>0.61799999999999999</v>
      </c>
      <c r="CK111" s="1082">
        <f>CK106/CK90</f>
        <v>0.61788422769780504</v>
      </c>
      <c r="CL111" s="2348">
        <v>0.621</v>
      </c>
      <c r="CM111" s="2411">
        <v>0.621</v>
      </c>
      <c r="CN111" s="2411">
        <v>0.61</v>
      </c>
      <c r="CO111" s="2348">
        <v>0.61850000000000005</v>
      </c>
      <c r="CP111" s="1082">
        <f>CP106/CP90</f>
        <v>0.61758250370308709</v>
      </c>
      <c r="CQ111" s="2348">
        <v>0.61850000000000005</v>
      </c>
      <c r="CR111" s="2348">
        <v>0.62</v>
      </c>
      <c r="CS111" s="2348">
        <v>0.6</v>
      </c>
      <c r="CT111" s="2348">
        <v>0.63</v>
      </c>
      <c r="CU111" s="1082">
        <f>CU106/CU90</f>
        <v>0.61725049004003096</v>
      </c>
      <c r="CV111" s="2348">
        <v>0.62</v>
      </c>
      <c r="CW111" s="2348">
        <v>0.62</v>
      </c>
      <c r="CX111" s="2348">
        <v>0.66</v>
      </c>
      <c r="CY111" s="2348">
        <v>0.66</v>
      </c>
      <c r="CZ111" s="2587">
        <f>CZ106/CZ90</f>
        <v>0.64132683323748219</v>
      </c>
      <c r="DA111" s="2348">
        <f>CV111</f>
        <v>0.62</v>
      </c>
      <c r="DB111" s="2348">
        <f>CW111</f>
        <v>0.62</v>
      </c>
      <c r="DC111" s="2348">
        <f>CX111</f>
        <v>0.66</v>
      </c>
      <c r="DD111" s="2348">
        <f>CY111</f>
        <v>0.66</v>
      </c>
      <c r="DE111" s="1082">
        <f>DE106/DE90</f>
        <v>0.64029529288762077</v>
      </c>
      <c r="DF111" s="2348">
        <v>0.63500000000000001</v>
      </c>
      <c r="DG111" s="2348">
        <v>0.623</v>
      </c>
      <c r="DH111" s="2411">
        <v>0.623</v>
      </c>
      <c r="DI111" s="2411">
        <v>0.623</v>
      </c>
      <c r="DJ111" s="1082">
        <f>DJ106/DJ90</f>
        <v>0.62590971474728962</v>
      </c>
      <c r="DK111" s="2412">
        <f>'Key Inputs and Scenarios'!AX17</f>
        <v>0.63749999999999996</v>
      </c>
      <c r="DL111" s="2412">
        <f>'Key Inputs and Scenarios'!AY17</f>
        <v>0.625</v>
      </c>
      <c r="DM111" s="2412">
        <f>'Key Inputs and Scenarios'!AZ17</f>
        <v>0.625</v>
      </c>
      <c r="DN111" s="2412">
        <f>'Key Inputs and Scenarios'!BA17</f>
        <v>0.64249999999999996</v>
      </c>
      <c r="DO111" s="1082">
        <f>DO106/DO90</f>
        <v>0.63264136732506304</v>
      </c>
      <c r="DP111" s="2412">
        <f>'Key Inputs and Scenarios'!BC17</f>
        <v>0.63449999999999995</v>
      </c>
      <c r="DQ111" s="2412">
        <f>'Key Inputs and Scenarios'!BD17</f>
        <v>0.622</v>
      </c>
      <c r="DR111" s="2412">
        <f>'Key Inputs and Scenarios'!BE17</f>
        <v>0.622</v>
      </c>
      <c r="DS111" s="2412">
        <f>'Key Inputs and Scenarios'!BF17</f>
        <v>0.63949999999999996</v>
      </c>
      <c r="DT111" s="1082">
        <f>DT106/DT90</f>
        <v>0.62964071392863419</v>
      </c>
      <c r="DU111" s="2412">
        <f>'Key Inputs and Scenarios'!BH17</f>
        <v>0.63149999999999995</v>
      </c>
      <c r="DV111" s="2412">
        <f>'Key Inputs and Scenarios'!BI17</f>
        <v>0.61899999999999999</v>
      </c>
      <c r="DW111" s="2412">
        <f>'Key Inputs and Scenarios'!BJ17</f>
        <v>0.61899999999999999</v>
      </c>
      <c r="DX111" s="2412">
        <f>'Key Inputs and Scenarios'!BK17</f>
        <v>0.63649999999999995</v>
      </c>
      <c r="DY111" s="1082">
        <f>DY106/DY90</f>
        <v>0.62664008599410415</v>
      </c>
      <c r="DZ111" s="1929"/>
      <c r="EA111" s="1929"/>
    </row>
    <row r="112" spans="1:131" ht="12" customHeight="1" x14ac:dyDescent="0.2">
      <c r="A112" s="1930"/>
      <c r="B112" s="2405" t="s">
        <v>997</v>
      </c>
      <c r="C112" s="1929"/>
      <c r="D112" s="1929"/>
      <c r="E112" s="1929"/>
      <c r="F112" s="2406"/>
      <c r="G112" s="1929"/>
      <c r="H112" s="1929"/>
      <c r="I112" s="2322"/>
      <c r="J112" s="1930"/>
      <c r="K112" s="2406"/>
      <c r="L112" s="1929"/>
      <c r="M112" s="1929"/>
      <c r="N112" s="2322"/>
      <c r="O112" s="1930"/>
      <c r="P112" s="2406"/>
      <c r="Q112" s="1929"/>
      <c r="R112" s="1929"/>
      <c r="S112" s="2322"/>
      <c r="T112" s="1930"/>
      <c r="U112" s="2406"/>
      <c r="V112" s="1929"/>
      <c r="W112" s="1929"/>
      <c r="X112" s="2322"/>
      <c r="Y112" s="1930"/>
      <c r="Z112" s="2406"/>
      <c r="AA112" s="1929"/>
      <c r="AB112" s="1929"/>
      <c r="AC112" s="2322"/>
      <c r="AD112" s="1930"/>
      <c r="AE112" s="2406"/>
      <c r="AF112" s="1929"/>
      <c r="AG112" s="1929"/>
      <c r="AH112" s="2322"/>
      <c r="AI112" s="1930"/>
      <c r="AJ112" s="2407"/>
      <c r="AK112" s="2407"/>
      <c r="AL112" s="1930"/>
      <c r="AM112" s="2322"/>
      <c r="AN112" s="2406"/>
      <c r="AO112" s="2408"/>
      <c r="AP112" s="2408"/>
      <c r="AQ112" s="1930"/>
      <c r="AR112" s="2322"/>
      <c r="AS112" s="2409"/>
      <c r="AT112" s="2407"/>
      <c r="AU112" s="2407"/>
      <c r="AV112" s="1930"/>
      <c r="AW112" s="2322"/>
      <c r="AX112" s="2408"/>
      <c r="AY112" s="2408"/>
      <c r="AZ112" s="2408"/>
      <c r="BA112" s="1930"/>
      <c r="BB112" s="2322"/>
      <c r="BC112" s="2408"/>
      <c r="BD112" s="2408"/>
      <c r="BE112" s="2408"/>
      <c r="BF112" s="1930"/>
      <c r="BG112" s="1081">
        <v>0.10868618931530187</v>
      </c>
      <c r="BH112" s="2410"/>
      <c r="BI112" s="2410"/>
      <c r="BJ112" s="2410"/>
      <c r="BK112" s="2348"/>
      <c r="BL112" s="1081">
        <v>9.8491577648919373E-2</v>
      </c>
      <c r="BM112" s="2348">
        <v>9.1324707875597377E-2</v>
      </c>
      <c r="BN112" s="2348">
        <v>8.7472090709417971E-2</v>
      </c>
      <c r="BO112" s="2348">
        <v>8.4765381272474627E-2</v>
      </c>
      <c r="BP112" s="2348">
        <v>8.4653206587957816E-2</v>
      </c>
      <c r="BQ112" s="1082">
        <f>BQ107/BQ91</f>
        <v>8.6893205230210269E-2</v>
      </c>
      <c r="BR112" s="2348">
        <v>8.0490767113561221E-2</v>
      </c>
      <c r="BS112" s="2348">
        <v>7.9241174782559584E-2</v>
      </c>
      <c r="BT112" s="2348">
        <v>7.6923312693388216E-2</v>
      </c>
      <c r="BU112" s="2348">
        <v>7.6895019143444779E-2</v>
      </c>
      <c r="BV112" s="1082">
        <f>BV107/BV91</f>
        <v>7.8369363164140809E-2</v>
      </c>
      <c r="BW112" s="2348">
        <v>7.3426921952402788E-2</v>
      </c>
      <c r="BX112" s="2348">
        <v>7.1030508486124286E-2</v>
      </c>
      <c r="BY112" s="2348">
        <v>6.8646349527249295E-2</v>
      </c>
      <c r="BZ112" s="2348">
        <v>6.9209900111050424E-2</v>
      </c>
      <c r="CA112" s="1082">
        <f>CA107/CA91</f>
        <v>7.0569352374422842E-2</v>
      </c>
      <c r="CB112" s="2348">
        <v>6.7347792098993095E-2</v>
      </c>
      <c r="CC112" s="2348">
        <v>6.518357530791527E-2</v>
      </c>
      <c r="CD112" s="2348">
        <v>6.518357530791527E-2</v>
      </c>
      <c r="CE112" s="2348">
        <v>6.518357530791527E-2</v>
      </c>
      <c r="CF112" s="1082">
        <f>CF107/CF91</f>
        <v>6.5719208036571095E-2</v>
      </c>
      <c r="CG112" s="2348">
        <v>6.1741432641505098E-2</v>
      </c>
      <c r="CH112" s="2348">
        <v>6.2E-2</v>
      </c>
      <c r="CI112" s="2348">
        <v>6.2E-2</v>
      </c>
      <c r="CJ112" s="2348">
        <v>6.1100000000000002E-2</v>
      </c>
      <c r="CK112" s="1082">
        <f>CK107/CK91</f>
        <v>6.1707883896992083E-2</v>
      </c>
      <c r="CL112" s="2348">
        <v>5.8999999999999997E-2</v>
      </c>
      <c r="CM112" s="2411">
        <v>5.8999999999999997E-2</v>
      </c>
      <c r="CN112" s="2411">
        <v>5.2999999999999999E-2</v>
      </c>
      <c r="CO112" s="2348">
        <v>0.05</v>
      </c>
      <c r="CP112" s="1082">
        <f>CP107/CP91</f>
        <v>5.5136728120086784E-2</v>
      </c>
      <c r="CQ112" s="2348">
        <v>0.05</v>
      </c>
      <c r="CR112" s="2348">
        <v>5.7499999999999996E-2</v>
      </c>
      <c r="CS112" s="2348">
        <v>0.05</v>
      </c>
      <c r="CT112" s="2348">
        <v>5.5E-2</v>
      </c>
      <c r="CU112" s="1082">
        <f>CU107/CU91</f>
        <v>5.3148073590756947E-2</v>
      </c>
      <c r="CV112" s="2348">
        <v>5.5E-2</v>
      </c>
      <c r="CW112" s="2348">
        <v>5.5E-2</v>
      </c>
      <c r="CX112" s="2348">
        <v>5.7500000000000002E-2</v>
      </c>
      <c r="CY112" s="2348">
        <v>5.7500000000000002E-2</v>
      </c>
      <c r="CZ112" s="2587">
        <f>CZ107/CZ91</f>
        <v>5.633292707734263E-2</v>
      </c>
      <c r="DA112" s="2348">
        <v>5.2999999999999999E-2</v>
      </c>
      <c r="DB112" s="2348">
        <v>5.2999999999999999E-2</v>
      </c>
      <c r="DC112" s="2348">
        <v>5.2999999999999999E-2</v>
      </c>
      <c r="DD112" s="2348">
        <v>0.05</v>
      </c>
      <c r="DE112" s="1082">
        <f>DE107/DE91</f>
        <v>5.2232916266545158E-2</v>
      </c>
      <c r="DF112" s="2348">
        <v>5.5E-2</v>
      </c>
      <c r="DG112" s="2348">
        <v>5.5E-2</v>
      </c>
      <c r="DH112" s="2411">
        <v>5.5E-2</v>
      </c>
      <c r="DI112" s="2411">
        <v>5.5E-2</v>
      </c>
      <c r="DJ112" s="1082">
        <f>DJ107/DJ91</f>
        <v>5.5000000000000007E-2</v>
      </c>
      <c r="DK112" s="2412">
        <f>'Key Inputs and Scenarios'!AX18</f>
        <v>5.5E-2</v>
      </c>
      <c r="DL112" s="2412">
        <f>'Key Inputs and Scenarios'!AY18</f>
        <v>5.5E-2</v>
      </c>
      <c r="DM112" s="2412">
        <f>'Key Inputs and Scenarios'!AZ18</f>
        <v>5.5E-2</v>
      </c>
      <c r="DN112" s="2412">
        <f>'Key Inputs and Scenarios'!BA18</f>
        <v>5.5E-2</v>
      </c>
      <c r="DO112" s="1082">
        <f>DO107/DO91</f>
        <v>5.5000000000000007E-2</v>
      </c>
      <c r="DP112" s="2412">
        <f>'Key Inputs and Scenarios'!BC18</f>
        <v>5.5E-2</v>
      </c>
      <c r="DQ112" s="2412">
        <f>'Key Inputs and Scenarios'!BD18</f>
        <v>5.5E-2</v>
      </c>
      <c r="DR112" s="2412">
        <f>'Key Inputs and Scenarios'!BE18</f>
        <v>5.5E-2</v>
      </c>
      <c r="DS112" s="2412">
        <f>'Key Inputs and Scenarios'!BF18</f>
        <v>5.5E-2</v>
      </c>
      <c r="DT112" s="1082">
        <f>DT107/DT91</f>
        <v>5.5000000000000007E-2</v>
      </c>
      <c r="DU112" s="2412">
        <f>'Key Inputs and Scenarios'!BH18</f>
        <v>5.5E-2</v>
      </c>
      <c r="DV112" s="2412">
        <f>'Key Inputs and Scenarios'!BI18</f>
        <v>5.5E-2</v>
      </c>
      <c r="DW112" s="2412">
        <f>'Key Inputs and Scenarios'!BJ18</f>
        <v>5.5E-2</v>
      </c>
      <c r="DX112" s="2412">
        <f>'Key Inputs and Scenarios'!BK18</f>
        <v>5.5E-2</v>
      </c>
      <c r="DY112" s="1082">
        <f>DY107/DY91</f>
        <v>5.5000000000000007E-2</v>
      </c>
      <c r="DZ112" s="1929"/>
      <c r="EA112" s="1929"/>
    </row>
    <row r="113" spans="1:131" ht="12" customHeight="1" x14ac:dyDescent="0.2">
      <c r="A113" s="1930"/>
      <c r="B113" s="2413" t="s">
        <v>1015</v>
      </c>
      <c r="C113" s="1929"/>
      <c r="D113" s="1929"/>
      <c r="E113" s="1929"/>
      <c r="F113" s="2406"/>
      <c r="G113" s="1929"/>
      <c r="H113" s="1929"/>
      <c r="I113" s="2322"/>
      <c r="J113" s="1930"/>
      <c r="K113" s="2406"/>
      <c r="L113" s="1929"/>
      <c r="M113" s="1929"/>
      <c r="N113" s="2414">
        <v>0.19694550636574984</v>
      </c>
      <c r="O113" s="1930"/>
      <c r="P113" s="2406"/>
      <c r="Q113" s="1929"/>
      <c r="R113" s="1929"/>
      <c r="S113" s="2414">
        <v>0.19318535527636138</v>
      </c>
      <c r="T113" s="1930"/>
      <c r="U113" s="2406"/>
      <c r="V113" s="1929"/>
      <c r="W113" s="1929"/>
      <c r="X113" s="2414">
        <v>0.19422310069276758</v>
      </c>
      <c r="Y113" s="1930"/>
      <c r="Z113" s="2406"/>
      <c r="AA113" s="1929"/>
      <c r="AB113" s="1929"/>
      <c r="AC113" s="2414">
        <v>0.21442237101864992</v>
      </c>
      <c r="AD113" s="1930"/>
      <c r="AE113" s="2406"/>
      <c r="AF113" s="1929"/>
      <c r="AG113" s="1929"/>
      <c r="AH113" s="2414">
        <v>0.21277593224947727</v>
      </c>
      <c r="AI113" s="1930"/>
      <c r="AJ113" s="2407"/>
      <c r="AK113" s="2407"/>
      <c r="AL113" s="1930"/>
      <c r="AM113" s="2414">
        <v>0.20667459853235684</v>
      </c>
      <c r="AN113" s="2406"/>
      <c r="AO113" s="2408"/>
      <c r="AP113" s="2408"/>
      <c r="AQ113" s="1930"/>
      <c r="AR113" s="2414">
        <v>0.21383178847446652</v>
      </c>
      <c r="AS113" s="2409"/>
      <c r="AT113" s="2407"/>
      <c r="AU113" s="2407"/>
      <c r="AV113" s="1930"/>
      <c r="AW113" s="2414">
        <v>0.22124915499311398</v>
      </c>
      <c r="AX113" s="2408"/>
      <c r="AY113" s="2408"/>
      <c r="AZ113" s="2408"/>
      <c r="BA113" s="1930"/>
      <c r="BB113" s="2414">
        <v>0.23199240395741658</v>
      </c>
      <c r="BC113" s="2408"/>
      <c r="BD113" s="2408"/>
      <c r="BE113" s="2408"/>
      <c r="BF113" s="1930"/>
      <c r="BG113" s="2333">
        <f>BG108/BG93</f>
        <v>0.23878415823011989</v>
      </c>
      <c r="BH113" s="2408"/>
      <c r="BI113" s="2408"/>
      <c r="BJ113" s="2408"/>
      <c r="BK113" s="1930"/>
      <c r="BL113" s="2333">
        <f>BL108/BL93</f>
        <v>0.25270249285158097</v>
      </c>
      <c r="BM113" s="2147">
        <f>BM108/BM92</f>
        <v>0.25350344328119206</v>
      </c>
      <c r="BN113" s="2147">
        <f>BN108/BN92</f>
        <v>0.24796980876299984</v>
      </c>
      <c r="BO113" s="2147">
        <f>BO108/BO92</f>
        <v>0.24767644178612153</v>
      </c>
      <c r="BP113" s="2147">
        <f>BP108/BP92</f>
        <v>0.2474467769695636</v>
      </c>
      <c r="BQ113" s="2322">
        <f>BQ108/BQ93</f>
        <v>0.24892652838740836</v>
      </c>
      <c r="BR113" s="2147">
        <f>BR108/BR92</f>
        <v>0.24268890529904122</v>
      </c>
      <c r="BS113" s="2147">
        <f>BS108/BS92</f>
        <v>0.24217582055187378</v>
      </c>
      <c r="BT113" s="2147">
        <f>BT108/BT92</f>
        <v>0.23986845536399598</v>
      </c>
      <c r="BU113" s="2147">
        <f>BU108/BU92</f>
        <v>0.24256417713307457</v>
      </c>
      <c r="BV113" s="2322">
        <f>BV108/BV93</f>
        <v>0.24183238240548813</v>
      </c>
      <c r="BW113" s="2147">
        <f>BW108/BW92</f>
        <v>0.24079198519555631</v>
      </c>
      <c r="BX113" s="2147">
        <f>BX108/BX92</f>
        <v>0.23875956078643848</v>
      </c>
      <c r="BY113" s="2147">
        <f>BY108/BY92</f>
        <v>0.24068263860299394</v>
      </c>
      <c r="BZ113" s="2147">
        <f>BZ108/BZ92</f>
        <v>0.24104527364769823</v>
      </c>
      <c r="CA113" s="2322">
        <f>CA108/CA93</f>
        <v>0.23955146215998679</v>
      </c>
      <c r="CB113" s="2147">
        <f>CB108/CB92</f>
        <v>0.23955824809231704</v>
      </c>
      <c r="CC113" s="2147">
        <f>CC108/CC92</f>
        <v>0.2386792142565981</v>
      </c>
      <c r="CD113" s="1930">
        <f>CD108/CD92</f>
        <v>0.23793210018729688</v>
      </c>
      <c r="CE113" s="1930">
        <f>CE108/CE92</f>
        <v>0.23797594383675927</v>
      </c>
      <c r="CF113" s="2322">
        <f>CF108/CF93</f>
        <v>0.23875409832473449</v>
      </c>
      <c r="CG113" s="1930">
        <f>CG108/CG92</f>
        <v>0.25071534554339325</v>
      </c>
      <c r="CH113" s="1930">
        <f>CH108/CH92</f>
        <v>0.25103999999999999</v>
      </c>
      <c r="CI113" s="1930">
        <f>CI108/CI92</f>
        <v>0.25104000000000004</v>
      </c>
      <c r="CJ113" s="1930">
        <f>CJ108/CJ92</f>
        <v>0.250446</v>
      </c>
      <c r="CK113" s="2322">
        <f>CK108/CK93</f>
        <v>0.25080784078926854</v>
      </c>
      <c r="CL113" s="1930">
        <f>CL108/CL92</f>
        <v>0.25569999999999998</v>
      </c>
      <c r="CM113" s="2415">
        <f>CM108/CM92</f>
        <v>0.25569999999999998</v>
      </c>
      <c r="CN113" s="2415">
        <f>CN108/CN92</f>
        <v>0.24794999999999998</v>
      </c>
      <c r="CO113" s="1930">
        <f>CO108/CO92</f>
        <v>0.24897500000000003</v>
      </c>
      <c r="CP113" s="2322">
        <f>CP108/CP93</f>
        <v>0.25199274957413687</v>
      </c>
      <c r="CQ113" s="1930">
        <f>CQ108/CQ92</f>
        <v>0.24897499999999995</v>
      </c>
      <c r="CR113" s="1930">
        <f>CR108/CR92</f>
        <v>0.25437499999999996</v>
      </c>
      <c r="CS113" s="1930">
        <f>CS108/CS92</f>
        <v>0.24249999999999997</v>
      </c>
      <c r="CT113" s="1930">
        <f>CT108/CT92</f>
        <v>0.25624999999999998</v>
      </c>
      <c r="CU113" s="2322">
        <f>CU108/CU93</f>
        <v>0.2508672933038178</v>
      </c>
      <c r="CV113" s="1930">
        <f>CV108/CV92</f>
        <v>0.24710000000000004</v>
      </c>
      <c r="CW113" s="1930">
        <f>CW108/CW92</f>
        <v>0.24710000000000004</v>
      </c>
      <c r="CX113" s="1930">
        <f>CX108/CX92</f>
        <v>0.26235000000000008</v>
      </c>
      <c r="CY113" s="1930">
        <f>CY108/CY92</f>
        <v>0.26235000000000003</v>
      </c>
      <c r="CZ113" s="2586">
        <f>CZ108/CZ93</f>
        <v>0.25516478072711457</v>
      </c>
      <c r="DA113" s="1930">
        <f>DA108/DA92</f>
        <v>0.24010999999999999</v>
      </c>
      <c r="DB113" s="1930">
        <f>DB108/DB92</f>
        <v>0.24010999999999999</v>
      </c>
      <c r="DC113" s="1930">
        <f>DC108/DC92</f>
        <v>0.25330999999999998</v>
      </c>
      <c r="DD113" s="1930">
        <f>DD108/DD92</f>
        <v>0.25130000000000002</v>
      </c>
      <c r="DE113" s="2322">
        <f>DE108/DE93</f>
        <v>0.24629350055150015</v>
      </c>
      <c r="DF113" s="1930">
        <f>DF108/DF92</f>
        <v>0.24640000000000001</v>
      </c>
      <c r="DG113" s="1930">
        <f>DG108/DG92</f>
        <v>0.24243999999999996</v>
      </c>
      <c r="DH113" s="1930">
        <f>DH108/DH92</f>
        <v>0.24244000000000002</v>
      </c>
      <c r="DI113" s="1930">
        <f>DI108/DI92</f>
        <v>0.24243999999999999</v>
      </c>
      <c r="DJ113" s="2322">
        <f>DJ108/DJ93</f>
        <v>0.2434002058666056</v>
      </c>
      <c r="DK113" s="1930">
        <f>DK108/DK92</f>
        <v>0.22573063888814443</v>
      </c>
      <c r="DL113" s="1930">
        <f>DL108/DL92</f>
        <v>0.22285041750285187</v>
      </c>
      <c r="DM113" s="1930">
        <f>DM108/DM92</f>
        <v>0.22930340150605555</v>
      </c>
      <c r="DN113" s="1930">
        <f>DN108/DN92</f>
        <v>0.24204140238798366</v>
      </c>
      <c r="DO113" s="2322">
        <f>DO108/DO93</f>
        <v>0.23000061952785422</v>
      </c>
      <c r="DP113" s="1930">
        <f>DP108/DP92</f>
        <v>0.22314271228453261</v>
      </c>
      <c r="DQ113" s="1930">
        <f>DQ108/DQ92</f>
        <v>0.2204749305213439</v>
      </c>
      <c r="DR113" s="1930">
        <f>DR108/DR92</f>
        <v>0.22700112808646492</v>
      </c>
      <c r="DS113" s="1930">
        <f>DS108/DS92</f>
        <v>0.23982589577760763</v>
      </c>
      <c r="DT113" s="2322">
        <f>DT108/DT93</f>
        <v>0.22762207622808267</v>
      </c>
      <c r="DU113" s="1930">
        <f>DU108/DU92</f>
        <v>0.22123974862370324</v>
      </c>
      <c r="DV113" s="1930">
        <f>DV108/DV92</f>
        <v>0.21879938427263329</v>
      </c>
      <c r="DW113" s="1930">
        <f>DW108/DW92</f>
        <v>0.22543565712772834</v>
      </c>
      <c r="DX113" s="1930">
        <f>DX108/DX92</f>
        <v>0.23841843354984843</v>
      </c>
      <c r="DY113" s="2322">
        <f>DY108/DY93</f>
        <v>0.2259748669970911</v>
      </c>
      <c r="DZ113" s="1929"/>
      <c r="EA113" s="1929"/>
    </row>
    <row r="114" spans="1:131" ht="12" customHeight="1" x14ac:dyDescent="0.2">
      <c r="A114" s="1984"/>
      <c r="B114" s="2337"/>
      <c r="C114" s="1883"/>
      <c r="D114" s="1883"/>
      <c r="E114" s="1984"/>
      <c r="F114" s="2056"/>
      <c r="G114" s="1850"/>
      <c r="H114" s="1850"/>
      <c r="I114" s="2134"/>
      <c r="J114" s="1984"/>
      <c r="K114" s="2056"/>
      <c r="L114" s="1850"/>
      <c r="M114" s="1850"/>
      <c r="N114" s="2134"/>
      <c r="O114" s="1984"/>
      <c r="P114" s="2056"/>
      <c r="Q114" s="1850"/>
      <c r="R114" s="1850"/>
      <c r="S114" s="2134"/>
      <c r="T114" s="1984"/>
      <c r="U114" s="2056"/>
      <c r="V114" s="2045"/>
      <c r="W114" s="1984"/>
      <c r="X114" s="2134"/>
      <c r="Y114" s="1984"/>
      <c r="Z114" s="2056"/>
      <c r="AA114" s="1850"/>
      <c r="AB114" s="1850"/>
      <c r="AC114" s="2134"/>
      <c r="AD114" s="1984"/>
      <c r="AE114" s="2056"/>
      <c r="AF114" s="1850"/>
      <c r="AG114" s="1850"/>
      <c r="AH114" s="2134"/>
      <c r="AI114" s="1984"/>
      <c r="AJ114" s="2319"/>
      <c r="AK114" s="2319"/>
      <c r="AL114" s="1984"/>
      <c r="AM114" s="2134"/>
      <c r="AN114" s="2317"/>
      <c r="AO114" s="2320"/>
      <c r="AP114" s="2320"/>
      <c r="AQ114" s="1984"/>
      <c r="AR114" s="2134"/>
      <c r="AS114" s="2321"/>
      <c r="AT114" s="2319"/>
      <c r="AU114" s="2319"/>
      <c r="AV114" s="1984"/>
      <c r="AW114" s="2322"/>
      <c r="AX114" s="2320"/>
      <c r="AY114" s="2320"/>
      <c r="AZ114" s="2320"/>
      <c r="BA114" s="1984"/>
      <c r="BB114" s="2322"/>
      <c r="BC114" s="2320"/>
      <c r="BD114" s="2320"/>
      <c r="BE114" s="2320"/>
      <c r="BF114" s="1984"/>
      <c r="BG114" s="2322"/>
      <c r="BH114" s="2320"/>
      <c r="BI114" s="2320"/>
      <c r="BJ114" s="2320"/>
      <c r="BK114" s="1984"/>
      <c r="BL114" s="2322"/>
      <c r="BM114" s="1850"/>
      <c r="BN114" s="1850"/>
      <c r="BO114" s="1850"/>
      <c r="BP114" s="1850"/>
      <c r="BQ114" s="2322"/>
      <c r="BR114" s="1850"/>
      <c r="BS114" s="1850"/>
      <c r="BT114" s="1850"/>
      <c r="BU114" s="1850"/>
      <c r="BV114" s="2322"/>
      <c r="BW114" s="1850"/>
      <c r="BX114" s="1850"/>
      <c r="BY114" s="1850"/>
      <c r="BZ114" s="1850"/>
      <c r="CA114" s="365"/>
      <c r="CB114" s="1850"/>
      <c r="CC114" s="1850"/>
      <c r="CD114" s="1954"/>
      <c r="CE114" s="1984"/>
      <c r="CF114" s="2322"/>
      <c r="CG114" s="1850"/>
      <c r="CH114" s="1850"/>
      <c r="CI114" s="1850"/>
      <c r="CJ114" s="1850"/>
      <c r="CK114" s="2322"/>
      <c r="CL114" s="1850"/>
      <c r="CM114" s="2350"/>
      <c r="CN114" s="2350"/>
      <c r="CO114" s="1850"/>
      <c r="CP114" s="2322"/>
      <c r="CQ114" s="1850"/>
      <c r="CR114" s="1850"/>
      <c r="CS114" s="1850"/>
      <c r="CT114" s="1850"/>
      <c r="CU114" s="2322"/>
      <c r="CV114" s="1850"/>
      <c r="CW114" s="1850"/>
      <c r="CX114" s="1850"/>
      <c r="CY114" s="1850"/>
      <c r="CZ114" s="2586"/>
      <c r="DA114" s="1850"/>
      <c r="DB114" s="1850"/>
      <c r="DC114" s="1850"/>
      <c r="DD114" s="1850"/>
      <c r="DE114" s="2322"/>
      <c r="DF114" s="1850"/>
      <c r="DG114" s="1850"/>
      <c r="DH114" s="1850"/>
      <c r="DI114" s="1850"/>
      <c r="DJ114" s="2322"/>
      <c r="DK114" s="1850"/>
      <c r="DL114" s="1850"/>
      <c r="DM114" s="1850"/>
      <c r="DN114" s="1850"/>
      <c r="DO114" s="2322"/>
      <c r="DP114" s="1850"/>
      <c r="DQ114" s="1850"/>
      <c r="DR114" s="1850"/>
      <c r="DS114" s="1850"/>
      <c r="DT114" s="2322"/>
      <c r="DU114" s="1850"/>
      <c r="DV114" s="1850"/>
      <c r="DW114" s="1850"/>
      <c r="DX114" s="1850"/>
      <c r="DY114" s="2322"/>
      <c r="DZ114" s="1850"/>
      <c r="EA114" s="1850"/>
    </row>
    <row r="115" spans="1:131" ht="12" customHeight="1" x14ac:dyDescent="0.2">
      <c r="A115" s="1984"/>
      <c r="B115" s="2369" t="s">
        <v>1016</v>
      </c>
      <c r="C115" s="1883"/>
      <c r="D115" s="1883"/>
      <c r="E115" s="1984"/>
      <c r="F115" s="2056"/>
      <c r="G115" s="1850"/>
      <c r="H115" s="1850"/>
      <c r="I115" s="2134"/>
      <c r="J115" s="1984"/>
      <c r="K115" s="2056"/>
      <c r="L115" s="1850"/>
      <c r="M115" s="1850"/>
      <c r="N115" s="2134"/>
      <c r="O115" s="1984"/>
      <c r="P115" s="2056"/>
      <c r="Q115" s="1850"/>
      <c r="R115" s="1850"/>
      <c r="S115" s="2134"/>
      <c r="T115" s="1984"/>
      <c r="U115" s="2056"/>
      <c r="V115" s="2045"/>
      <c r="W115" s="1984"/>
      <c r="X115" s="2134"/>
      <c r="Y115" s="1984"/>
      <c r="Z115" s="2056"/>
      <c r="AA115" s="1850"/>
      <c r="AB115" s="1850"/>
      <c r="AC115" s="2134"/>
      <c r="AD115" s="1984"/>
      <c r="AE115" s="2056"/>
      <c r="AF115" s="1850"/>
      <c r="AG115" s="1850"/>
      <c r="AH115" s="2134"/>
      <c r="AI115" s="1984"/>
      <c r="AJ115" s="2319"/>
      <c r="AK115" s="2319"/>
      <c r="AL115" s="1984"/>
      <c r="AM115" s="2134"/>
      <c r="AN115" s="2317"/>
      <c r="AO115" s="2320"/>
      <c r="AP115" s="2320"/>
      <c r="AQ115" s="1984"/>
      <c r="AR115" s="2134"/>
      <c r="AS115" s="2321"/>
      <c r="AT115" s="2319"/>
      <c r="AU115" s="2319"/>
      <c r="AV115" s="1984"/>
      <c r="AW115" s="2322"/>
      <c r="AX115" s="2320"/>
      <c r="AY115" s="2320"/>
      <c r="AZ115" s="2320"/>
      <c r="BA115" s="1984"/>
      <c r="BB115" s="2322"/>
      <c r="BC115" s="2320"/>
      <c r="BD115" s="2320"/>
      <c r="BE115" s="2320"/>
      <c r="BF115" s="1984"/>
      <c r="BG115" s="2322"/>
      <c r="BH115" s="2320"/>
      <c r="BI115" s="2320"/>
      <c r="BJ115" s="2320"/>
      <c r="BK115" s="1984"/>
      <c r="BL115" s="2322"/>
      <c r="BM115" s="1850"/>
      <c r="BN115" s="1850"/>
      <c r="BO115" s="1850"/>
      <c r="BP115" s="1850"/>
      <c r="BQ115" s="2322"/>
      <c r="BR115" s="1850"/>
      <c r="BS115" s="1850"/>
      <c r="BT115" s="1850"/>
      <c r="BU115" s="1850"/>
      <c r="BV115" s="2322"/>
      <c r="BW115" s="1850"/>
      <c r="BX115" s="1850"/>
      <c r="BY115" s="1850"/>
      <c r="BZ115" s="1850"/>
      <c r="CA115" s="2322"/>
      <c r="CB115" s="1850"/>
      <c r="CC115" s="1850"/>
      <c r="CD115" s="1850"/>
      <c r="CE115" s="1850"/>
      <c r="CF115" s="2322"/>
      <c r="CG115" s="1850"/>
      <c r="CH115" s="1850"/>
      <c r="CI115" s="1850"/>
      <c r="CJ115" s="1850"/>
      <c r="CK115" s="2322"/>
      <c r="CL115" s="1850"/>
      <c r="CM115" s="2350"/>
      <c r="CN115" s="2350"/>
      <c r="CO115" s="1850"/>
      <c r="CP115" s="2322"/>
      <c r="CQ115" s="1850"/>
      <c r="CR115" s="1850"/>
      <c r="CS115" s="1850"/>
      <c r="CT115" s="1850"/>
      <c r="CU115" s="2322"/>
      <c r="CV115" s="1850"/>
      <c r="CW115" s="1850"/>
      <c r="CX115" s="1850"/>
      <c r="CY115" s="1850"/>
      <c r="CZ115" s="2586"/>
      <c r="DA115" s="1850"/>
      <c r="DB115" s="1850"/>
      <c r="DC115" s="1850"/>
      <c r="DD115" s="1850"/>
      <c r="DE115" s="2322"/>
      <c r="DF115" s="1850"/>
      <c r="DG115" s="1850"/>
      <c r="DH115" s="1850"/>
      <c r="DI115" s="1850"/>
      <c r="DJ115" s="2322"/>
      <c r="DK115" s="1850"/>
      <c r="DL115" s="1850"/>
      <c r="DM115" s="1850"/>
      <c r="DN115" s="1850"/>
      <c r="DO115" s="2322"/>
      <c r="DP115" s="1850"/>
      <c r="DQ115" s="1850"/>
      <c r="DR115" s="1850"/>
      <c r="DS115" s="1850"/>
      <c r="DT115" s="2322"/>
      <c r="DU115" s="1850"/>
      <c r="DV115" s="1850"/>
      <c r="DW115" s="1850"/>
      <c r="DX115" s="1850"/>
      <c r="DY115" s="2322"/>
      <c r="DZ115" s="1850"/>
      <c r="EA115" s="1850"/>
    </row>
    <row r="116" spans="1:131" ht="12" customHeight="1" x14ac:dyDescent="0.2">
      <c r="A116" s="1954"/>
      <c r="B116" s="1083" t="s">
        <v>744</v>
      </c>
      <c r="C116" s="1084"/>
      <c r="D116" s="1084"/>
      <c r="E116" s="1084"/>
      <c r="F116" s="1084"/>
      <c r="G116" s="1084"/>
      <c r="H116" s="1084"/>
      <c r="I116" s="1085"/>
      <c r="J116" s="1084"/>
      <c r="K116" s="1084"/>
      <c r="L116" s="1084"/>
      <c r="M116" s="1084"/>
      <c r="N116" s="1085"/>
      <c r="O116" s="1084"/>
      <c r="P116" s="1084"/>
      <c r="Q116" s="1084"/>
      <c r="R116" s="1084"/>
      <c r="S116" s="1085"/>
      <c r="T116" s="1084"/>
      <c r="U116" s="1084"/>
      <c r="V116" s="1084"/>
      <c r="W116" s="1084"/>
      <c r="X116" s="1085"/>
      <c r="Y116" s="1084"/>
      <c r="Z116" s="1084"/>
      <c r="AA116" s="1084"/>
      <c r="AB116" s="1084"/>
      <c r="AC116" s="1085"/>
      <c r="AD116" s="1084"/>
      <c r="AE116" s="1084"/>
      <c r="AF116" s="1084"/>
      <c r="AG116" s="1084"/>
      <c r="AH116" s="1085"/>
      <c r="AI116" s="1084"/>
      <c r="AJ116" s="1084"/>
      <c r="AK116" s="1084"/>
      <c r="AL116" s="1084"/>
      <c r="AM116" s="1085"/>
      <c r="AN116" s="1084"/>
      <c r="AO116" s="1086"/>
      <c r="AP116" s="1086"/>
      <c r="AQ116" s="1084"/>
      <c r="AR116" s="1085"/>
      <c r="AS116" s="1086"/>
      <c r="AT116" s="1084"/>
      <c r="AU116" s="1084"/>
      <c r="AV116" s="1084"/>
      <c r="AW116" s="1085"/>
      <c r="AX116" s="1086"/>
      <c r="AY116" s="1086"/>
      <c r="AZ116" s="1086"/>
      <c r="BA116" s="1084"/>
      <c r="BB116" s="1085"/>
      <c r="BC116" s="1086"/>
      <c r="BD116" s="1086"/>
      <c r="BE116" s="1086"/>
      <c r="BF116" s="1084"/>
      <c r="BG116" s="1087">
        <f>BL116+0.25</f>
        <v>26.75</v>
      </c>
      <c r="BH116" s="1086"/>
      <c r="BI116" s="1086"/>
      <c r="BJ116" s="1086"/>
      <c r="BK116" s="1084"/>
      <c r="BL116" s="1087">
        <f>BQ116+0.25</f>
        <v>26.5</v>
      </c>
      <c r="BM116" s="1088">
        <v>26.25</v>
      </c>
      <c r="BN116" s="1088">
        <v>26.25</v>
      </c>
      <c r="BO116" s="1088">
        <v>26.25</v>
      </c>
      <c r="BP116" s="1088">
        <v>26.25</v>
      </c>
      <c r="BQ116" s="1087">
        <v>26.25</v>
      </c>
      <c r="BR116" s="1088">
        <v>26</v>
      </c>
      <c r="BS116" s="1088">
        <v>26</v>
      </c>
      <c r="BT116" s="1088">
        <v>26</v>
      </c>
      <c r="BU116" s="1088">
        <v>26</v>
      </c>
      <c r="BV116" s="1089">
        <f>BV90/BV63</f>
        <v>26.000000000000004</v>
      </c>
      <c r="BW116" s="1088">
        <v>25.75</v>
      </c>
      <c r="BX116" s="1090">
        <f>BW116</f>
        <v>25.75</v>
      </c>
      <c r="BY116" s="1090">
        <f>BX116</f>
        <v>25.75</v>
      </c>
      <c r="BZ116" s="1090">
        <f>BY116</f>
        <v>25.75</v>
      </c>
      <c r="CA116" s="1089">
        <f>CA90/CA63</f>
        <v>25.75</v>
      </c>
      <c r="CB116" s="1088">
        <v>25.5</v>
      </c>
      <c r="CC116" s="1088">
        <v>25.75</v>
      </c>
      <c r="CD116" s="1084">
        <f>BY116*(1+CD121)</f>
        <v>25.75</v>
      </c>
      <c r="CE116" s="1084">
        <f>BZ116*(1+CE121)</f>
        <v>25.75</v>
      </c>
      <c r="CF116" s="1091">
        <f>CF90/CF63</f>
        <v>25.687718621116879</v>
      </c>
      <c r="CG116" s="1084">
        <f t="shared" ref="CG116:CJ117" si="166">CB116*(1+CG121)</f>
        <v>26.01</v>
      </c>
      <c r="CH116" s="1084">
        <f t="shared" si="166"/>
        <v>26.265000000000001</v>
      </c>
      <c r="CI116" s="1084">
        <f t="shared" si="166"/>
        <v>26.2135</v>
      </c>
      <c r="CJ116" s="1084">
        <f t="shared" si="166"/>
        <v>26.265000000000001</v>
      </c>
      <c r="CK116" s="1091">
        <f>CK90/CK63</f>
        <v>26.186804423299428</v>
      </c>
      <c r="CL116" s="1084">
        <f t="shared" ref="CL116:CO117" si="167">CL90/CL68</f>
        <v>21.591084545922424</v>
      </c>
      <c r="CM116" s="1084">
        <f t="shared" si="167"/>
        <v>21.693129520052594</v>
      </c>
      <c r="CN116" s="1084">
        <f t="shared" si="167"/>
        <v>22.408569410043256</v>
      </c>
      <c r="CO116" s="1084">
        <f t="shared" si="167"/>
        <v>22.486525143029208</v>
      </c>
      <c r="CP116" s="1091">
        <f>CP90/CP63</f>
        <v>26.708340745821111</v>
      </c>
      <c r="CQ116" s="1084">
        <f t="shared" ref="CQ116:CT117" si="168">CQ90/CQ68</f>
        <v>22.105836065039053</v>
      </c>
      <c r="CR116" s="1084">
        <f t="shared" si="168"/>
        <v>21.370365651675368</v>
      </c>
      <c r="CS116" s="1084">
        <f t="shared" si="168"/>
        <v>21.621739067899306</v>
      </c>
      <c r="CT116" s="1084">
        <f t="shared" si="168"/>
        <v>21.864200615521284</v>
      </c>
      <c r="CU116" s="1091">
        <f>CU90/CU68</f>
        <v>21.737729971624514</v>
      </c>
      <c r="CV116" s="1084">
        <f t="shared" ref="CV116:CY117" si="169">CV90/CV68</f>
        <v>20.290301663776191</v>
      </c>
      <c r="CW116" s="1084">
        <f t="shared" si="169"/>
        <v>20.229977222449815</v>
      </c>
      <c r="CX116" s="1084">
        <f t="shared" si="169"/>
        <v>21.601200158387403</v>
      </c>
      <c r="CY116" s="1084">
        <f t="shared" si="169"/>
        <v>20.707016565534275</v>
      </c>
      <c r="CZ116" s="1091">
        <f>CZ90/CZ68</f>
        <v>20.710449071137393</v>
      </c>
      <c r="DA116" s="1084">
        <f t="shared" ref="DA116:DD117" si="170">DA90/DA68</f>
        <v>18.93585843461619</v>
      </c>
      <c r="DB116" s="1084">
        <f t="shared" si="170"/>
        <v>19.054254611311251</v>
      </c>
      <c r="DC116" s="1084">
        <f t="shared" si="170"/>
        <v>19.438316783909389</v>
      </c>
      <c r="DD116" s="1084">
        <f t="shared" si="170"/>
        <v>19.141163325680171</v>
      </c>
      <c r="DE116" s="1091">
        <f t="shared" ref="DE116:DG117" si="171">DE90/DE68</f>
        <v>19.142145242867784</v>
      </c>
      <c r="DF116" s="1084">
        <f t="shared" si="171"/>
        <v>17.952563661215063</v>
      </c>
      <c r="DG116" s="1084">
        <f t="shared" si="171"/>
        <v>18.220564114676066</v>
      </c>
      <c r="DH116" s="1084">
        <f t="shared" ref="DH116:DI117" si="172">DH90/DH68</f>
        <v>18.507303714065237</v>
      </c>
      <c r="DI116" s="1084">
        <f t="shared" si="172"/>
        <v>18.454448740819998</v>
      </c>
      <c r="DJ116" s="1091">
        <f>DJ90/DJ68</f>
        <v>18.285997539404704</v>
      </c>
      <c r="DK116" s="1084">
        <f t="shared" ref="DK116:DN117" si="173">DF116*(1+DK121)</f>
        <v>15.977781658481407</v>
      </c>
      <c r="DL116" s="1084">
        <f t="shared" si="173"/>
        <v>16.398507703208459</v>
      </c>
      <c r="DM116" s="1084">
        <f t="shared" si="173"/>
        <v>16.656573342658714</v>
      </c>
      <c r="DN116" s="1084">
        <f t="shared" si="173"/>
        <v>16.609003866738</v>
      </c>
      <c r="DO116" s="1091">
        <f>DO90/DO68</f>
        <v>16.413138016393567</v>
      </c>
      <c r="DP116" s="1084">
        <f t="shared" ref="DP116:DS117" si="174">DK116*(1+DP121)</f>
        <v>15.658226025311778</v>
      </c>
      <c r="DQ116" s="1084">
        <f t="shared" si="174"/>
        <v>16.070537549144291</v>
      </c>
      <c r="DR116" s="1084">
        <f t="shared" si="174"/>
        <v>16.323441875805539</v>
      </c>
      <c r="DS116" s="1084">
        <f t="shared" si="174"/>
        <v>16.276823789403238</v>
      </c>
      <c r="DT116" s="1091">
        <f>DT90/DT68</f>
        <v>16.084861002029999</v>
      </c>
      <c r="DU116" s="1084">
        <f t="shared" ref="DU116:DU117" si="175">DP116*(1+DU121)</f>
        <v>15.345061504805543</v>
      </c>
      <c r="DV116" s="1084">
        <f t="shared" ref="DV116:DV117" si="176">DQ116*(1+DV121)</f>
        <v>15.749126798161404</v>
      </c>
      <c r="DW116" s="1084">
        <f t="shared" ref="DW116:DW117" si="177">DR116*(1+DW121)</f>
        <v>15.996973038289427</v>
      </c>
      <c r="DX116" s="1084">
        <f t="shared" ref="DX116:DX117" si="178">DS116*(1+DX121)</f>
        <v>15.951287313615174</v>
      </c>
      <c r="DY116" s="1091">
        <f>DY90/DY68</f>
        <v>15.763150234552645</v>
      </c>
      <c r="DZ116" s="465"/>
      <c r="EA116" s="465"/>
    </row>
    <row r="117" spans="1:131" ht="12" customHeight="1" x14ac:dyDescent="0.2">
      <c r="A117" s="2416"/>
      <c r="B117" s="1092" t="s">
        <v>745</v>
      </c>
      <c r="C117" s="1093"/>
      <c r="D117" s="1093"/>
      <c r="E117" s="1093"/>
      <c r="F117" s="1093"/>
      <c r="G117" s="1093"/>
      <c r="H117" s="1093"/>
      <c r="I117" s="1094"/>
      <c r="J117" s="1093"/>
      <c r="K117" s="1093"/>
      <c r="L117" s="1093"/>
      <c r="M117" s="1093"/>
      <c r="N117" s="1094"/>
      <c r="O117" s="1093"/>
      <c r="P117" s="1093"/>
      <c r="Q117" s="1093"/>
      <c r="R117" s="1093"/>
      <c r="S117" s="1094"/>
      <c r="T117" s="1093"/>
      <c r="U117" s="1093"/>
      <c r="V117" s="1093"/>
      <c r="W117" s="1093"/>
      <c r="X117" s="1094"/>
      <c r="Y117" s="1093"/>
      <c r="Z117" s="1093"/>
      <c r="AA117" s="1093"/>
      <c r="AB117" s="1093"/>
      <c r="AC117" s="1094"/>
      <c r="AD117" s="1093"/>
      <c r="AE117" s="1093"/>
      <c r="AF117" s="1093"/>
      <c r="AG117" s="1093"/>
      <c r="AH117" s="1094"/>
      <c r="AI117" s="1093"/>
      <c r="AJ117" s="1093"/>
      <c r="AK117" s="1093"/>
      <c r="AL117" s="1093"/>
      <c r="AM117" s="1094"/>
      <c r="AN117" s="1093"/>
      <c r="AO117" s="1095"/>
      <c r="AP117" s="1095"/>
      <c r="AQ117" s="1093"/>
      <c r="AR117" s="1094"/>
      <c r="AS117" s="1095"/>
      <c r="AT117" s="1093"/>
      <c r="AU117" s="1093"/>
      <c r="AV117" s="1093"/>
      <c r="AW117" s="1094"/>
      <c r="AX117" s="1095"/>
      <c r="AY117" s="1095"/>
      <c r="AZ117" s="1095"/>
      <c r="BA117" s="1093"/>
      <c r="BB117" s="1094"/>
      <c r="BC117" s="1095"/>
      <c r="BD117" s="1095"/>
      <c r="BE117" s="1095"/>
      <c r="BF117" s="1093"/>
      <c r="BG117" s="1096">
        <v>101.20881106695774</v>
      </c>
      <c r="BH117" s="1095"/>
      <c r="BI117" s="1095"/>
      <c r="BJ117" s="1095"/>
      <c r="BK117" s="1093"/>
      <c r="BL117" s="1096">
        <v>111.96388831650525</v>
      </c>
      <c r="BM117" s="1097">
        <v>121.05233082222654</v>
      </c>
      <c r="BN117" s="1097">
        <v>126.38395470304819</v>
      </c>
      <c r="BO117" s="1097">
        <v>130.41961923658394</v>
      </c>
      <c r="BP117" s="1097">
        <v>130.59243938401065</v>
      </c>
      <c r="BQ117" s="1096">
        <v>127.18753086690739</v>
      </c>
      <c r="BR117" s="1097">
        <v>137.68916385451814</v>
      </c>
      <c r="BS117" s="1097">
        <v>139.86045073519307</v>
      </c>
      <c r="BT117" s="1097">
        <v>144.07474189326743</v>
      </c>
      <c r="BU117" s="1097">
        <v>144.12775424635262</v>
      </c>
      <c r="BV117" s="1098">
        <f>BV91/BV64</f>
        <v>141.41631339612658</v>
      </c>
      <c r="BW117" s="1097">
        <v>151.31252805519665</v>
      </c>
      <c r="BX117" s="1097">
        <v>156.41748066748065</v>
      </c>
      <c r="BY117" s="2417">
        <v>158.85</v>
      </c>
      <c r="BZ117" s="1097">
        <v>160.532137311317</v>
      </c>
      <c r="CA117" s="1098">
        <f>CA91/CA64</f>
        <v>156.73081915261039</v>
      </c>
      <c r="CB117" s="1097">
        <v>165.30065303316726</v>
      </c>
      <c r="CC117" s="1097">
        <v>174.27014859080995</v>
      </c>
      <c r="CD117" s="1093">
        <f>BY117*(1+CD122)</f>
        <v>176.3235</v>
      </c>
      <c r="CE117" s="1093">
        <f>BZ117*(1+CE122)</f>
        <v>178.19067241556189</v>
      </c>
      <c r="CF117" s="1099">
        <f>CF91/CF64</f>
        <v>173.42803448216836</v>
      </c>
      <c r="CG117" s="1093">
        <f t="shared" si="166"/>
        <v>180.17771180615233</v>
      </c>
      <c r="CH117" s="1093">
        <f t="shared" si="166"/>
        <v>196.30324496305704</v>
      </c>
      <c r="CI117" s="1093">
        <f t="shared" si="166"/>
        <v>195.86603874876403</v>
      </c>
      <c r="CJ117" s="1093">
        <f t="shared" si="166"/>
        <v>199.57355310542934</v>
      </c>
      <c r="CK117" s="1099">
        <f>CK91/CK64</f>
        <v>194.1858322506834</v>
      </c>
      <c r="CL117" s="1093">
        <f t="shared" si="167"/>
        <v>173.1880611449522</v>
      </c>
      <c r="CM117" s="1093">
        <f t="shared" si="167"/>
        <v>182.29419889502756</v>
      </c>
      <c r="CN117" s="1093">
        <f t="shared" si="167"/>
        <v>183.33497521189818</v>
      </c>
      <c r="CO117" s="1093">
        <f t="shared" si="167"/>
        <v>178.0324133504493</v>
      </c>
      <c r="CP117" s="1099">
        <f>CP91/CP64</f>
        <v>216.99898270209536</v>
      </c>
      <c r="CQ117" s="1093">
        <f t="shared" si="168"/>
        <v>175.01838628936937</v>
      </c>
      <c r="CR117" s="1093">
        <f t="shared" si="168"/>
        <v>200.84443216358102</v>
      </c>
      <c r="CS117" s="1093">
        <f t="shared" si="168"/>
        <v>200.2923972337737</v>
      </c>
      <c r="CT117" s="1093">
        <f t="shared" si="168"/>
        <v>190.10496509209744</v>
      </c>
      <c r="CU117" s="1099">
        <f>CU91/CU69</f>
        <v>191.05263467376199</v>
      </c>
      <c r="CV117" s="1093">
        <f t="shared" si="169"/>
        <v>213.09407312952263</v>
      </c>
      <c r="CW117" s="1093">
        <f t="shared" si="169"/>
        <v>222.52974944694787</v>
      </c>
      <c r="CX117" s="1093">
        <f t="shared" si="169"/>
        <v>233.03049775494677</v>
      </c>
      <c r="CY117" s="1093">
        <f t="shared" si="169"/>
        <v>211.02885999875372</v>
      </c>
      <c r="CZ117" s="1099">
        <f>CZ91/CZ69</f>
        <v>219.42874924285769</v>
      </c>
      <c r="DA117" s="1093">
        <f t="shared" si="170"/>
        <v>230.40433470167983</v>
      </c>
      <c r="DB117" s="1093">
        <f t="shared" si="170"/>
        <v>239.62999471609146</v>
      </c>
      <c r="DC117" s="1093">
        <f t="shared" si="170"/>
        <v>238.46160448993072</v>
      </c>
      <c r="DD117" s="1093">
        <f t="shared" si="170"/>
        <v>223.72116447238466</v>
      </c>
      <c r="DE117" s="1099">
        <f t="shared" si="171"/>
        <v>232.81032667625675</v>
      </c>
      <c r="DF117" s="1093">
        <f t="shared" si="171"/>
        <v>255.14401082151113</v>
      </c>
      <c r="DG117" s="1093">
        <f t="shared" si="171"/>
        <v>261.33952810815452</v>
      </c>
      <c r="DH117" s="1093">
        <f t="shared" ref="DH117" si="179">DH91/DH69</f>
        <v>255.98264966632289</v>
      </c>
      <c r="DI117" s="1093">
        <f t="shared" si="172"/>
        <v>246.38129498878044</v>
      </c>
      <c r="DJ117" s="1099">
        <f>DJ91/DJ69</f>
        <v>254.45560559795379</v>
      </c>
      <c r="DK117" s="1093">
        <f t="shared" si="173"/>
        <v>257.69545092972623</v>
      </c>
      <c r="DL117" s="1093">
        <f t="shared" si="173"/>
        <v>269.17971395139915</v>
      </c>
      <c r="DM117" s="1093">
        <f t="shared" si="173"/>
        <v>263.66212915631257</v>
      </c>
      <c r="DN117" s="1093">
        <f t="shared" si="173"/>
        <v>253.77273383844386</v>
      </c>
      <c r="DO117" s="1099">
        <f>DO91/DO69</f>
        <v>260.9924557133142</v>
      </c>
      <c r="DP117" s="1093">
        <f t="shared" si="174"/>
        <v>278.31108700410437</v>
      </c>
      <c r="DQ117" s="1093">
        <f t="shared" si="174"/>
        <v>290.71409106751111</v>
      </c>
      <c r="DR117" s="1093">
        <f t="shared" si="174"/>
        <v>284.75509948881762</v>
      </c>
      <c r="DS117" s="1093">
        <f t="shared" si="174"/>
        <v>274.0745525455194</v>
      </c>
      <c r="DT117" s="1099">
        <f>DT91/DT69</f>
        <v>281.8755405323767</v>
      </c>
      <c r="DU117" s="1093">
        <f t="shared" si="175"/>
        <v>300.57597396443276</v>
      </c>
      <c r="DV117" s="1093">
        <f t="shared" si="176"/>
        <v>313.97121835291199</v>
      </c>
      <c r="DW117" s="1093">
        <f t="shared" si="177"/>
        <v>307.53550744792307</v>
      </c>
      <c r="DX117" s="1093">
        <f t="shared" si="178"/>
        <v>296.00051674916097</v>
      </c>
      <c r="DY117" s="1099">
        <f>DY91/DY69</f>
        <v>304.43012890959108</v>
      </c>
      <c r="DZ117" s="1100"/>
      <c r="EA117" s="1100"/>
    </row>
    <row r="118" spans="1:131" ht="12" customHeight="1" x14ac:dyDescent="0.2">
      <c r="A118" s="1954"/>
      <c r="B118" s="1101" t="s">
        <v>251</v>
      </c>
      <c r="C118" s="1084"/>
      <c r="D118" s="1084"/>
      <c r="E118" s="1084"/>
      <c r="F118" s="1084"/>
      <c r="G118" s="1084"/>
      <c r="H118" s="1084"/>
      <c r="I118" s="1085"/>
      <c r="J118" s="1084"/>
      <c r="K118" s="1084"/>
      <c r="L118" s="1084"/>
      <c r="M118" s="1084"/>
      <c r="N118" s="1091"/>
      <c r="O118" s="1084"/>
      <c r="P118" s="1084"/>
      <c r="Q118" s="1084"/>
      <c r="R118" s="1084"/>
      <c r="S118" s="1089">
        <f>S93/S62</f>
        <v>34.608420717131473</v>
      </c>
      <c r="T118" s="1084"/>
      <c r="U118" s="1084"/>
      <c r="V118" s="1084"/>
      <c r="W118" s="1084"/>
      <c r="X118" s="1089">
        <f>X93/X62</f>
        <v>36.822238434163701</v>
      </c>
      <c r="Y118" s="1084"/>
      <c r="Z118" s="1084"/>
      <c r="AA118" s="1084"/>
      <c r="AB118" s="1084"/>
      <c r="AC118" s="1089">
        <f>AC93/AC62</f>
        <v>40.917766666666665</v>
      </c>
      <c r="AD118" s="1084"/>
      <c r="AE118" s="1084"/>
      <c r="AF118" s="1084"/>
      <c r="AG118" s="1084"/>
      <c r="AH118" s="1089">
        <f>AH93/AH62</f>
        <v>45.6254715210356</v>
      </c>
      <c r="AI118" s="1084"/>
      <c r="AJ118" s="1084"/>
      <c r="AK118" s="1084"/>
      <c r="AL118" s="1084"/>
      <c r="AM118" s="1089">
        <f>AM93/AM62</f>
        <v>49.33131392405064</v>
      </c>
      <c r="AN118" s="1084"/>
      <c r="AO118" s="1084"/>
      <c r="AP118" s="1084"/>
      <c r="AQ118" s="1084"/>
      <c r="AR118" s="1089">
        <f>AR93/AR62</f>
        <v>51.91976597014925</v>
      </c>
      <c r="AS118" s="1084"/>
      <c r="AT118" s="1084"/>
      <c r="AU118" s="1084"/>
      <c r="AV118" s="1084"/>
      <c r="AW118" s="1089">
        <f>AW93/AW62</f>
        <v>54.945601092896176</v>
      </c>
      <c r="AX118" s="1084"/>
      <c r="AY118" s="1084"/>
      <c r="AZ118" s="1084"/>
      <c r="BA118" s="1084"/>
      <c r="BB118" s="1089">
        <f>BB93/BB62</f>
        <v>51.975323555555555</v>
      </c>
      <c r="BC118" s="1084"/>
      <c r="BD118" s="1084"/>
      <c r="BE118" s="1084"/>
      <c r="BF118" s="1084"/>
      <c r="BG118" s="1089">
        <f>BG93/BG62</f>
        <v>57.204381150093418</v>
      </c>
      <c r="BH118" s="1084"/>
      <c r="BI118" s="1084"/>
      <c r="BJ118" s="1084"/>
      <c r="BK118" s="1084"/>
      <c r="BL118" s="1089">
        <f>BL93/BL62</f>
        <v>57.950041706161137</v>
      </c>
      <c r="BM118" s="1084"/>
      <c r="BN118" s="1084"/>
      <c r="BO118" s="1084"/>
      <c r="BP118" s="1084"/>
      <c r="BQ118" s="1089">
        <f>BQ93/BQ62</f>
        <v>59.15596153846154</v>
      </c>
      <c r="BR118" s="1102">
        <f>BR93/BR62</f>
        <v>60.399513123359576</v>
      </c>
      <c r="BS118" s="1102">
        <f>BS93/BS62</f>
        <v>60.610415143603142</v>
      </c>
      <c r="BT118" s="1102">
        <f>BT93/BT62</f>
        <v>61.304964426877468</v>
      </c>
      <c r="BU118" s="1102">
        <f>BU93/BU62</f>
        <v>60.729182389937108</v>
      </c>
      <c r="BV118" s="1089">
        <f>BV92/BV62</f>
        <v>60.760869565217384</v>
      </c>
      <c r="BW118" s="1102">
        <f>BW93/BW62</f>
        <v>60.781640178003819</v>
      </c>
      <c r="BX118" s="1102">
        <f>BX93/BX62</f>
        <v>61.423720634920642</v>
      </c>
      <c r="BY118" s="1102">
        <f>BY93/BY62</f>
        <v>61.681883322764747</v>
      </c>
      <c r="BZ118" s="1102">
        <f>BZ93/BZ62</f>
        <v>61.062229688454501</v>
      </c>
      <c r="CA118" s="1089">
        <f>CA92/CA62</f>
        <v>61.039139704495433</v>
      </c>
      <c r="CB118" s="1102">
        <f>CB93/CB62</f>
        <v>60.867252415458928</v>
      </c>
      <c r="CC118" s="1102">
        <f>CC93/CC62</f>
        <v>61.988017241379318</v>
      </c>
      <c r="CD118" s="1084">
        <f>CD93/CD62</f>
        <v>62.513695652173915</v>
      </c>
      <c r="CE118" s="1084">
        <f>CE93/CE62</f>
        <v>62.099217880402612</v>
      </c>
      <c r="CF118" s="1091">
        <f>CF92/CF62</f>
        <v>61.921104069171925</v>
      </c>
      <c r="CG118" s="1084">
        <f>CG93/CG62</f>
        <v>62.399866295264623</v>
      </c>
      <c r="CH118" s="1084">
        <f>CH93/CH62</f>
        <v>61.802993197278902</v>
      </c>
      <c r="CI118" s="1084">
        <f>CI93/CI62</f>
        <v>60.697988101982993</v>
      </c>
      <c r="CJ118" s="1084">
        <f>CJ93/CJ62</f>
        <v>59.327654986522916</v>
      </c>
      <c r="CK118" s="1091">
        <f>CK92/CK62</f>
        <v>61.040951246691741</v>
      </c>
      <c r="CL118" s="1084">
        <f>CL93/CL62</f>
        <v>59.963129399025441</v>
      </c>
      <c r="CM118" s="1084">
        <f>CM93/CM62</f>
        <v>61.581416344561006</v>
      </c>
      <c r="CN118" s="1084">
        <f>CN93/CN62</f>
        <v>63.512110803324099</v>
      </c>
      <c r="CO118" s="1084">
        <f>CO93/CO62</f>
        <v>63.386949602122009</v>
      </c>
      <c r="CP118" s="1091">
        <f>CP92/CP62</f>
        <v>62.112085601524221</v>
      </c>
      <c r="CQ118" s="1084">
        <f>CQ93/CQ62</f>
        <v>63.14271195652173</v>
      </c>
      <c r="CR118" s="1084">
        <f>CR93/CR62</f>
        <v>63.024798711755224</v>
      </c>
      <c r="CS118" s="1084">
        <f>CS93/CS62</f>
        <v>64.071076185402234</v>
      </c>
      <c r="CT118" s="1084">
        <f>CT93/CT62</f>
        <v>64.127104325699733</v>
      </c>
      <c r="CU118" s="1091">
        <f>CU92/CU67</f>
        <v>51.273529223207611</v>
      </c>
      <c r="CV118" s="1084">
        <f>CV93/CV62</f>
        <v>62.940049715173487</v>
      </c>
      <c r="CW118" s="1084">
        <f>CW93/CW62</f>
        <v>63.932385292594503</v>
      </c>
      <c r="CX118" s="1084">
        <f>CX93/CX62</f>
        <v>68.734269406106463</v>
      </c>
      <c r="CY118" s="1084">
        <f>CY93/CY62</f>
        <v>74.850239493736382</v>
      </c>
      <c r="CZ118" s="1091">
        <f>CZ92/CZ67</f>
        <v>51.480995372609726</v>
      </c>
      <c r="DA118" s="1084">
        <f>DA93/DA62</f>
        <v>60.883626181877212</v>
      </c>
      <c r="DB118" s="1084">
        <f>DB93/DB62</f>
        <v>62.199698960498964</v>
      </c>
      <c r="DC118" s="1084">
        <f>DC93/DC62</f>
        <v>63.652607068607075</v>
      </c>
      <c r="DD118" s="1084">
        <f>DD93/DD62</f>
        <v>62.508683279742762</v>
      </c>
      <c r="DE118" s="1091">
        <f>DE92/DE67</f>
        <v>49.708394900294223</v>
      </c>
      <c r="DF118" s="1084">
        <f>DF93/DF62</f>
        <v>60.217082637729554</v>
      </c>
      <c r="DG118" s="1084">
        <f>DG93/DG62</f>
        <v>62.101244785014906</v>
      </c>
      <c r="DH118" s="1084">
        <f>DH93/DH62</f>
        <v>63.488936176146559</v>
      </c>
      <c r="DI118" s="1084">
        <f>DI93/DI62</f>
        <v>63.758211396714955</v>
      </c>
      <c r="DJ118" s="1091">
        <f>DJ92/DJ67</f>
        <v>48.356676390595062</v>
      </c>
      <c r="DK118" s="1084">
        <f>DK93/DK62</f>
        <v>47.421743784554621</v>
      </c>
      <c r="DL118" s="1084">
        <f>DL93/DL62</f>
        <v>48.594615171924687</v>
      </c>
      <c r="DM118" s="1084">
        <f>DM93/DM62</f>
        <v>47.637701258650949</v>
      </c>
      <c r="DN118" s="1084">
        <f>DN93/DN62</f>
        <v>45.757352147265252</v>
      </c>
      <c r="DO118" s="1091">
        <f>DO92/DO67</f>
        <v>47.328421277838814</v>
      </c>
      <c r="DP118" s="1084">
        <f>DP93/DP62</f>
        <v>47.436437221057609</v>
      </c>
      <c r="DQ118" s="1084">
        <f>DQ93/DQ62</f>
        <v>48.553013138091721</v>
      </c>
      <c r="DR118" s="1084">
        <f>DR93/DR62</f>
        <v>47.550298021797268</v>
      </c>
      <c r="DS118" s="1084">
        <f>DS93/DS62</f>
        <v>45.616218162606508</v>
      </c>
      <c r="DT118" s="1091">
        <f>DT92/DT67</f>
        <v>47.263684738372568</v>
      </c>
      <c r="DU118" s="1084">
        <f>DU93/DU62</f>
        <v>47.260489742065658</v>
      </c>
      <c r="DV118" s="1084">
        <f>DV93/DV62</f>
        <v>48.307612120569061</v>
      </c>
      <c r="DW118" s="1084">
        <f>DW93/DW62</f>
        <v>47.260006978602952</v>
      </c>
      <c r="DX118" s="1084">
        <f>DX93/DX62</f>
        <v>45.27572150054376</v>
      </c>
      <c r="DY118" s="1091">
        <f>DY92/DY67</f>
        <v>46.999801010392879</v>
      </c>
      <c r="DZ118" s="465"/>
      <c r="EA118" s="465"/>
    </row>
    <row r="119" spans="1:131" ht="12" customHeight="1" x14ac:dyDescent="0.2">
      <c r="A119" s="1984"/>
      <c r="B119" s="2318"/>
      <c r="C119" s="1883"/>
      <c r="D119" s="1883"/>
      <c r="E119" s="1984"/>
      <c r="F119" s="2056"/>
      <c r="G119" s="1850"/>
      <c r="H119" s="1850"/>
      <c r="I119" s="2134"/>
      <c r="J119" s="1984"/>
      <c r="K119" s="2056"/>
      <c r="L119" s="1850"/>
      <c r="M119" s="1850"/>
      <c r="N119" s="2134"/>
      <c r="O119" s="1984"/>
      <c r="P119" s="2056"/>
      <c r="Q119" s="1850"/>
      <c r="R119" s="1850"/>
      <c r="S119" s="2134"/>
      <c r="T119" s="1984"/>
      <c r="U119" s="2056"/>
      <c r="V119" s="2045"/>
      <c r="W119" s="1984"/>
      <c r="X119" s="2134"/>
      <c r="Y119" s="1984"/>
      <c r="Z119" s="2056"/>
      <c r="AA119" s="1850"/>
      <c r="AB119" s="1850"/>
      <c r="AC119" s="2134"/>
      <c r="AD119" s="1984"/>
      <c r="AE119" s="2056"/>
      <c r="AF119" s="1850"/>
      <c r="AG119" s="1850"/>
      <c r="AH119" s="2134"/>
      <c r="AI119" s="1984"/>
      <c r="AJ119" s="2319"/>
      <c r="AK119" s="2319"/>
      <c r="AL119" s="1984"/>
      <c r="AM119" s="2134"/>
      <c r="AN119" s="2317"/>
      <c r="AO119" s="2320"/>
      <c r="AP119" s="2320"/>
      <c r="AQ119" s="1984"/>
      <c r="AR119" s="2134"/>
      <c r="AS119" s="2321"/>
      <c r="AT119" s="2319"/>
      <c r="AU119" s="2319"/>
      <c r="AV119" s="1984"/>
      <c r="AW119" s="2322"/>
      <c r="AX119" s="2320"/>
      <c r="AY119" s="2320"/>
      <c r="AZ119" s="2320"/>
      <c r="BA119" s="1984"/>
      <c r="BB119" s="2322"/>
      <c r="BC119" s="2320"/>
      <c r="BD119" s="2320"/>
      <c r="BE119" s="2320"/>
      <c r="BF119" s="1984"/>
      <c r="BG119" s="2322"/>
      <c r="BH119" s="2320"/>
      <c r="BI119" s="2320"/>
      <c r="BJ119" s="2320"/>
      <c r="BK119" s="1984"/>
      <c r="BL119" s="2322"/>
      <c r="BM119" s="1850"/>
      <c r="BN119" s="1850"/>
      <c r="BO119" s="1850"/>
      <c r="BP119" s="1850"/>
      <c r="BQ119" s="2322"/>
      <c r="BR119" s="1850"/>
      <c r="BS119" s="1850"/>
      <c r="BT119" s="1850"/>
      <c r="BU119" s="1850"/>
      <c r="BV119" s="2322"/>
      <c r="BW119" s="1850"/>
      <c r="BX119" s="1850"/>
      <c r="BY119" s="1850"/>
      <c r="BZ119" s="1850"/>
      <c r="CA119" s="365"/>
      <c r="CB119" s="1850"/>
      <c r="CC119" s="1850"/>
      <c r="CD119" s="1850"/>
      <c r="CE119" s="1850"/>
      <c r="CF119" s="365"/>
      <c r="CG119" s="1850"/>
      <c r="CH119" s="1850"/>
      <c r="CI119" s="1850"/>
      <c r="CJ119" s="1850"/>
      <c r="CK119" s="365"/>
      <c r="CL119" s="1850"/>
      <c r="CM119" s="2350"/>
      <c r="CN119" s="2350"/>
      <c r="CO119" s="1850"/>
      <c r="CP119" s="365"/>
      <c r="CQ119" s="2472"/>
      <c r="CR119" s="2472"/>
      <c r="CS119" s="2472"/>
      <c r="CT119" s="2472"/>
      <c r="CV119" s="2472"/>
      <c r="CW119" s="2472"/>
      <c r="CX119" s="2472"/>
      <c r="CY119" s="2472"/>
      <c r="CZ119" s="2588"/>
      <c r="DA119" s="2472"/>
      <c r="DB119" s="2472"/>
      <c r="DC119" s="2472"/>
      <c r="DD119" s="2472"/>
      <c r="DE119" s="365"/>
      <c r="DF119" s="2671"/>
      <c r="DG119" s="2671"/>
      <c r="DH119" s="2671"/>
      <c r="DI119" s="2671"/>
      <c r="DJ119" s="365"/>
      <c r="DK119" s="1850"/>
      <c r="DL119" s="1850"/>
      <c r="DM119" s="1850"/>
      <c r="DN119" s="1850"/>
      <c r="DO119" s="365"/>
      <c r="DP119" s="1850"/>
      <c r="DQ119" s="1850"/>
      <c r="DR119" s="1850"/>
      <c r="DS119" s="1850"/>
      <c r="DT119" s="365"/>
      <c r="DU119" s="1850"/>
      <c r="DV119" s="1850"/>
      <c r="DW119" s="1850"/>
      <c r="DX119" s="1850"/>
      <c r="DY119" s="365"/>
      <c r="DZ119" s="1850"/>
      <c r="EA119" s="1850"/>
    </row>
    <row r="120" spans="1:131" ht="12" customHeight="1" x14ac:dyDescent="0.2">
      <c r="A120" s="1984"/>
      <c r="B120" s="2318" t="s">
        <v>1017</v>
      </c>
      <c r="C120" s="1883"/>
      <c r="D120" s="1883"/>
      <c r="E120" s="1984"/>
      <c r="F120" s="2056"/>
      <c r="G120" s="1850"/>
      <c r="H120" s="1850"/>
      <c r="I120" s="2134"/>
      <c r="J120" s="1984"/>
      <c r="K120" s="2056"/>
      <c r="L120" s="1850"/>
      <c r="M120" s="1850"/>
      <c r="N120" s="2134"/>
      <c r="O120" s="1984"/>
      <c r="P120" s="2056"/>
      <c r="Q120" s="1850"/>
      <c r="R120" s="1850"/>
      <c r="S120" s="2134"/>
      <c r="T120" s="1984"/>
      <c r="U120" s="2056"/>
      <c r="V120" s="2045"/>
      <c r="W120" s="1984"/>
      <c r="X120" s="2134"/>
      <c r="Y120" s="1984"/>
      <c r="Z120" s="2056"/>
      <c r="AA120" s="1850"/>
      <c r="AB120" s="1850"/>
      <c r="AC120" s="2134"/>
      <c r="AD120" s="1984"/>
      <c r="AE120" s="2056"/>
      <c r="AF120" s="1850"/>
      <c r="AG120" s="1850"/>
      <c r="AH120" s="2134"/>
      <c r="AI120" s="1984"/>
      <c r="AJ120" s="2319"/>
      <c r="AK120" s="2319"/>
      <c r="AL120" s="1984"/>
      <c r="AM120" s="2134"/>
      <c r="AN120" s="2317"/>
      <c r="AO120" s="2320"/>
      <c r="AP120" s="2320"/>
      <c r="AQ120" s="1984"/>
      <c r="AR120" s="2134"/>
      <c r="AS120" s="2321"/>
      <c r="AT120" s="2319"/>
      <c r="AU120" s="2319"/>
      <c r="AV120" s="1984"/>
      <c r="AW120" s="2322"/>
      <c r="AX120" s="2320"/>
      <c r="AY120" s="2320"/>
      <c r="AZ120" s="2320"/>
      <c r="BA120" s="1984"/>
      <c r="BB120" s="2322"/>
      <c r="BC120" s="2320"/>
      <c r="BD120" s="2320"/>
      <c r="BE120" s="2320"/>
      <c r="BF120" s="1984"/>
      <c r="BG120" s="2322"/>
      <c r="BH120" s="2320"/>
      <c r="BI120" s="2320"/>
      <c r="BJ120" s="2320"/>
      <c r="BK120" s="1984"/>
      <c r="BL120" s="2322"/>
      <c r="BM120" s="1850"/>
      <c r="BN120" s="1850"/>
      <c r="BO120" s="1850"/>
      <c r="BP120" s="1850"/>
      <c r="BQ120" s="2322"/>
      <c r="BR120" s="1850"/>
      <c r="BS120" s="1850"/>
      <c r="BT120" s="1850"/>
      <c r="BU120" s="1850"/>
      <c r="BV120" s="2322"/>
      <c r="BW120" s="1850"/>
      <c r="BX120" s="1850"/>
      <c r="BY120" s="1850"/>
      <c r="BZ120" s="1850"/>
      <c r="CA120" s="365"/>
      <c r="CB120" s="1850"/>
      <c r="CC120" s="1850"/>
      <c r="CD120" s="1850"/>
      <c r="CE120" s="1850"/>
      <c r="CF120" s="365"/>
      <c r="CG120" s="1850"/>
      <c r="CH120" s="1850"/>
      <c r="CI120" s="1850"/>
      <c r="CJ120" s="1850"/>
      <c r="CK120" s="365"/>
      <c r="CL120" s="1850"/>
      <c r="CM120" s="2350"/>
      <c r="CN120" s="2350"/>
      <c r="CO120" s="1850"/>
      <c r="CP120" s="365"/>
      <c r="CQ120" s="1850"/>
      <c r="CR120" s="1850"/>
      <c r="CS120" s="1850"/>
      <c r="CT120" s="1850"/>
      <c r="CU120" s="365"/>
      <c r="CV120" s="1850"/>
      <c r="CW120" s="1850"/>
      <c r="CX120" s="1850"/>
      <c r="CY120" s="1850"/>
      <c r="CZ120" s="2589"/>
      <c r="DA120" s="1850"/>
      <c r="DB120" s="1850"/>
      <c r="DC120" s="1850"/>
      <c r="DD120" s="1850"/>
      <c r="DE120" s="365"/>
      <c r="DF120" s="1850"/>
      <c r="DG120" s="1850"/>
      <c r="DH120" s="1850"/>
      <c r="DI120" s="1850"/>
      <c r="DJ120" s="365"/>
      <c r="DK120" s="1850"/>
      <c r="DL120" s="1850"/>
      <c r="DM120" s="1850"/>
      <c r="DN120" s="1850"/>
      <c r="DO120" s="365"/>
      <c r="DP120" s="1850"/>
      <c r="DQ120" s="1850"/>
      <c r="DR120" s="1850"/>
      <c r="DS120" s="1850"/>
      <c r="DT120" s="365"/>
      <c r="DU120" s="1850"/>
      <c r="DV120" s="1850"/>
      <c r="DW120" s="1850"/>
      <c r="DX120" s="1850"/>
      <c r="DY120" s="365"/>
      <c r="DZ120" s="1850"/>
      <c r="EA120" s="1850"/>
    </row>
    <row r="121" spans="1:131" ht="12" customHeight="1" x14ac:dyDescent="0.2">
      <c r="A121" s="1930"/>
      <c r="B121" s="2418" t="s">
        <v>744</v>
      </c>
      <c r="C121" s="1929"/>
      <c r="D121" s="1929"/>
      <c r="E121" s="1929"/>
      <c r="F121" s="2406"/>
      <c r="G121" s="1929"/>
      <c r="H121" s="1929"/>
      <c r="I121" s="2322"/>
      <c r="J121" s="1930"/>
      <c r="K121" s="2406"/>
      <c r="L121" s="1929"/>
      <c r="M121" s="1929"/>
      <c r="N121" s="2322"/>
      <c r="O121" s="1930"/>
      <c r="P121" s="2406"/>
      <c r="Q121" s="1929"/>
      <c r="R121" s="1929"/>
      <c r="S121" s="2322"/>
      <c r="T121" s="1930"/>
      <c r="U121" s="2406"/>
      <c r="V121" s="1929"/>
      <c r="W121" s="1929"/>
      <c r="X121" s="2322"/>
      <c r="Y121" s="1930"/>
      <c r="Z121" s="2406"/>
      <c r="AA121" s="1929"/>
      <c r="AB121" s="1929"/>
      <c r="AC121" s="2322"/>
      <c r="AD121" s="1930"/>
      <c r="AE121" s="2406"/>
      <c r="AF121" s="1929"/>
      <c r="AG121" s="1929"/>
      <c r="AH121" s="2322"/>
      <c r="AI121" s="1930"/>
      <c r="AJ121" s="2407"/>
      <c r="AK121" s="2407"/>
      <c r="AL121" s="1930"/>
      <c r="AM121" s="2322"/>
      <c r="AN121" s="2406"/>
      <c r="AO121" s="2408"/>
      <c r="AP121" s="2408"/>
      <c r="AQ121" s="1930"/>
      <c r="AR121" s="2322"/>
      <c r="AS121" s="2409"/>
      <c r="AT121" s="2407"/>
      <c r="AU121" s="2407"/>
      <c r="AV121" s="1930"/>
      <c r="AW121" s="2322"/>
      <c r="AX121" s="2408"/>
      <c r="AY121" s="2408"/>
      <c r="AZ121" s="2408"/>
      <c r="BA121" s="1930"/>
      <c r="BB121" s="2322"/>
      <c r="BC121" s="2408"/>
      <c r="BD121" s="2408"/>
      <c r="BE121" s="2408"/>
      <c r="BF121" s="1930"/>
      <c r="BG121" s="2322"/>
      <c r="BH121" s="2408"/>
      <c r="BI121" s="2408"/>
      <c r="BJ121" s="2408"/>
      <c r="BK121" s="1930"/>
      <c r="BL121" s="1103">
        <f>BL116/BG116-1</f>
        <v>-9.3457943925233655E-3</v>
      </c>
      <c r="BM121" s="1929"/>
      <c r="BN121" s="1929"/>
      <c r="BO121" s="1929"/>
      <c r="BP121" s="1929"/>
      <c r="BQ121" s="1103">
        <f t="shared" ref="BQ121:CC122" si="180">BQ116/BL116-1</f>
        <v>-9.4339622641509413E-3</v>
      </c>
      <c r="BR121" s="2147">
        <f t="shared" si="180"/>
        <v>-9.52380952380949E-3</v>
      </c>
      <c r="BS121" s="2147">
        <f t="shared" si="180"/>
        <v>-9.52380952380949E-3</v>
      </c>
      <c r="BT121" s="2147">
        <f t="shared" si="180"/>
        <v>-9.52380952380949E-3</v>
      </c>
      <c r="BU121" s="2147">
        <f t="shared" si="180"/>
        <v>-9.52380952380949E-3</v>
      </c>
      <c r="BV121" s="1103">
        <f t="shared" si="180"/>
        <v>-9.523809523809379E-3</v>
      </c>
      <c r="BW121" s="2147">
        <f t="shared" si="180"/>
        <v>-9.6153846153845812E-3</v>
      </c>
      <c r="BX121" s="2147">
        <f t="shared" si="180"/>
        <v>-9.6153846153845812E-3</v>
      </c>
      <c r="BY121" s="2147">
        <f t="shared" si="180"/>
        <v>-9.6153846153845812E-3</v>
      </c>
      <c r="BZ121" s="2147">
        <f t="shared" si="180"/>
        <v>-9.6153846153845812E-3</v>
      </c>
      <c r="CA121" s="1103">
        <f t="shared" si="180"/>
        <v>-9.6153846153848033E-3</v>
      </c>
      <c r="CB121" s="2147">
        <f t="shared" si="180"/>
        <v>-9.7087378640776656E-3</v>
      </c>
      <c r="CC121" s="2147">
        <f t="shared" si="180"/>
        <v>0</v>
      </c>
      <c r="CD121" s="1060">
        <v>0</v>
      </c>
      <c r="CE121" s="1060">
        <v>0</v>
      </c>
      <c r="CF121" s="1082">
        <f>CF116/CA116-1</f>
        <v>-2.4186943255580795E-3</v>
      </c>
      <c r="CG121" s="1060">
        <v>0.02</v>
      </c>
      <c r="CH121" s="1060">
        <v>0.02</v>
      </c>
      <c r="CI121" s="1060">
        <v>1.7999999999999999E-2</v>
      </c>
      <c r="CJ121" s="1060">
        <v>0.02</v>
      </c>
      <c r="CK121" s="1082">
        <f>CK116/CF116-1</f>
        <v>1.9428965629211925E-2</v>
      </c>
      <c r="CL121" s="1060">
        <v>1.4999999999999999E-2</v>
      </c>
      <c r="CM121" s="1697">
        <v>1.4999999999999999E-2</v>
      </c>
      <c r="CN121" s="1697">
        <v>1.4999999999999999E-2</v>
      </c>
      <c r="CO121" s="1060">
        <v>1.4999999999999999E-2</v>
      </c>
      <c r="CP121" s="1082">
        <f t="shared" ref="CP121:CY122" si="181">CP116/CK116-1</f>
        <v>1.9915997159914989E-2</v>
      </c>
      <c r="CQ121" s="1440">
        <f t="shared" si="181"/>
        <v>2.3840929251228493E-2</v>
      </c>
      <c r="CR121" s="1440">
        <f t="shared" si="181"/>
        <v>-1.4878621735000097E-2</v>
      </c>
      <c r="CS121" s="1440">
        <f t="shared" si="181"/>
        <v>-3.5112921657163065E-2</v>
      </c>
      <c r="CT121" s="1440">
        <f t="shared" si="181"/>
        <v>-2.7675442228157876E-2</v>
      </c>
      <c r="CU121" s="1082">
        <f t="shared" si="181"/>
        <v>-0.18610706001923083</v>
      </c>
      <c r="CV121" s="1440">
        <f t="shared" si="181"/>
        <v>-8.2129189591439E-2</v>
      </c>
      <c r="CW121" s="1440">
        <f t="shared" si="181"/>
        <v>-5.3363075195493881E-2</v>
      </c>
      <c r="CX121" s="1440">
        <f t="shared" si="181"/>
        <v>-9.4991940506738981E-4</v>
      </c>
      <c r="CY121" s="1440">
        <f t="shared" si="181"/>
        <v>-5.2925971103902625E-2</v>
      </c>
      <c r="CZ121" s="2587">
        <f t="shared" ref="CZ121:DI122" si="182">CZ116/CU116-1</f>
        <v>-4.7257965842251615E-2</v>
      </c>
      <c r="DA121" s="1440">
        <f t="shared" si="182"/>
        <v>-6.6753232731776357E-2</v>
      </c>
      <c r="DB121" s="1440">
        <f t="shared" si="182"/>
        <v>-5.8117841567998818E-2</v>
      </c>
      <c r="DC121" s="1440">
        <f t="shared" si="182"/>
        <v>-0.10012792616238964</v>
      </c>
      <c r="DD121" s="1440">
        <f t="shared" si="182"/>
        <v>-7.5619451739869836E-2</v>
      </c>
      <c r="DE121" s="1082">
        <f t="shared" si="182"/>
        <v>-7.572524491780519E-2</v>
      </c>
      <c r="DF121" s="1440">
        <f t="shared" si="182"/>
        <v>-5.1927657613007328E-2</v>
      </c>
      <c r="DG121" s="1440">
        <f t="shared" si="182"/>
        <v>-4.3753508790644546E-2</v>
      </c>
      <c r="DH121" s="1440">
        <f t="shared" si="182"/>
        <v>-4.7895765883125385E-2</v>
      </c>
      <c r="DI121" s="1440">
        <f t="shared" si="182"/>
        <v>-3.5876324399722548E-2</v>
      </c>
      <c r="DJ121" s="1082">
        <f>DJ116/DE116-1</f>
        <v>-4.472579706196067E-2</v>
      </c>
      <c r="DK121" s="1060">
        <v>-0.11</v>
      </c>
      <c r="DL121" s="1060">
        <v>-0.1</v>
      </c>
      <c r="DM121" s="1060">
        <v>-0.1</v>
      </c>
      <c r="DN121" s="1060">
        <v>-0.1</v>
      </c>
      <c r="DO121" s="1082">
        <f>DO116/DJ116-1</f>
        <v>-0.10242041862771178</v>
      </c>
      <c r="DP121" s="1060">
        <v>-0.02</v>
      </c>
      <c r="DQ121" s="1060">
        <v>-0.02</v>
      </c>
      <c r="DR121" s="1060">
        <v>-0.02</v>
      </c>
      <c r="DS121" s="1060">
        <v>-0.02</v>
      </c>
      <c r="DT121" s="1082">
        <f>DT116/DO116-1</f>
        <v>-2.0000868452801801E-2</v>
      </c>
      <c r="DU121" s="1060">
        <v>-0.02</v>
      </c>
      <c r="DV121" s="1060">
        <v>-0.02</v>
      </c>
      <c r="DW121" s="1060">
        <v>-0.02</v>
      </c>
      <c r="DX121" s="1060">
        <v>-0.02</v>
      </c>
      <c r="DY121" s="1082">
        <f>DY116/DT116-1</f>
        <v>-2.0000842247673289E-2</v>
      </c>
      <c r="DZ121" s="1929"/>
      <c r="EA121" s="1929"/>
    </row>
    <row r="122" spans="1:131" ht="12" customHeight="1" x14ac:dyDescent="0.2">
      <c r="A122" s="1930"/>
      <c r="B122" s="2418" t="s">
        <v>745</v>
      </c>
      <c r="C122" s="1929"/>
      <c r="D122" s="1929"/>
      <c r="E122" s="1929"/>
      <c r="F122" s="2406"/>
      <c r="G122" s="1929"/>
      <c r="H122" s="1929"/>
      <c r="I122" s="2322"/>
      <c r="J122" s="1930"/>
      <c r="K122" s="2406"/>
      <c r="L122" s="1929"/>
      <c r="M122" s="1929"/>
      <c r="N122" s="2322"/>
      <c r="O122" s="1930"/>
      <c r="P122" s="2406"/>
      <c r="Q122" s="1929"/>
      <c r="R122" s="1929"/>
      <c r="S122" s="2322"/>
      <c r="T122" s="1930"/>
      <c r="U122" s="2406"/>
      <c r="V122" s="1929"/>
      <c r="W122" s="1929"/>
      <c r="X122" s="2322"/>
      <c r="Y122" s="1930"/>
      <c r="Z122" s="2406"/>
      <c r="AA122" s="1929"/>
      <c r="AB122" s="1929"/>
      <c r="AC122" s="2322"/>
      <c r="AD122" s="1930"/>
      <c r="AE122" s="2406"/>
      <c r="AF122" s="1929"/>
      <c r="AG122" s="1929"/>
      <c r="AH122" s="2322"/>
      <c r="AI122" s="1930"/>
      <c r="AJ122" s="2407"/>
      <c r="AK122" s="2407"/>
      <c r="AL122" s="1930"/>
      <c r="AM122" s="2322"/>
      <c r="AN122" s="2406"/>
      <c r="AO122" s="2408"/>
      <c r="AP122" s="2408"/>
      <c r="AQ122" s="1930"/>
      <c r="AR122" s="2322"/>
      <c r="AS122" s="2409"/>
      <c r="AT122" s="2407"/>
      <c r="AU122" s="2407"/>
      <c r="AV122" s="1930"/>
      <c r="AW122" s="2322"/>
      <c r="AX122" s="2408"/>
      <c r="AY122" s="2408"/>
      <c r="AZ122" s="2408"/>
      <c r="BA122" s="1930"/>
      <c r="BB122" s="2322"/>
      <c r="BC122" s="2408"/>
      <c r="BD122" s="2408"/>
      <c r="BE122" s="2408"/>
      <c r="BF122" s="1930"/>
      <c r="BG122" s="2322"/>
      <c r="BH122" s="2408"/>
      <c r="BI122" s="2408"/>
      <c r="BJ122" s="2408"/>
      <c r="BK122" s="1930"/>
      <c r="BL122" s="1103">
        <f>BL117/BG117-1</f>
        <v>0.10626621473136533</v>
      </c>
      <c r="BM122" s="1929"/>
      <c r="BN122" s="1929"/>
      <c r="BO122" s="1929"/>
      <c r="BP122" s="1929"/>
      <c r="BQ122" s="1103">
        <f t="shared" si="180"/>
        <v>0.13596921989139199</v>
      </c>
      <c r="BR122" s="2147">
        <f t="shared" si="180"/>
        <v>0.13743504911709548</v>
      </c>
      <c r="BS122" s="2147">
        <f t="shared" si="180"/>
        <v>0.10663138421177965</v>
      </c>
      <c r="BT122" s="2147">
        <f t="shared" si="180"/>
        <v>0.10470144550807814</v>
      </c>
      <c r="BU122" s="2147">
        <f t="shared" si="180"/>
        <v>0.10364547079590891</v>
      </c>
      <c r="BV122" s="1103">
        <f t="shared" si="180"/>
        <v>0.11187246448009591</v>
      </c>
      <c r="BW122" s="2147">
        <f t="shared" si="180"/>
        <v>9.8942892957596174E-2</v>
      </c>
      <c r="BX122" s="2147">
        <f t="shared" si="180"/>
        <v>0.11838250088036739</v>
      </c>
      <c r="BY122" s="2147">
        <f t="shared" si="180"/>
        <v>0.10255273001063769</v>
      </c>
      <c r="BZ122" s="2147">
        <f t="shared" si="180"/>
        <v>0.11381834921901945</v>
      </c>
      <c r="CA122" s="1103">
        <f t="shared" si="180"/>
        <v>0.10829377027801423</v>
      </c>
      <c r="CB122" s="2147">
        <f t="shared" si="180"/>
        <v>9.2445253263285343E-2</v>
      </c>
      <c r="CC122" s="2147">
        <f t="shared" si="180"/>
        <v>0.11413473639357052</v>
      </c>
      <c r="CD122" s="1060">
        <v>0.11</v>
      </c>
      <c r="CE122" s="1060">
        <v>0.11</v>
      </c>
      <c r="CF122" s="1082">
        <f>CF117/CA117-1</f>
        <v>0.10653434608352108</v>
      </c>
      <c r="CG122" s="1060">
        <v>0.09</v>
      </c>
      <c r="CH122" s="1060">
        <v>0.12643069711256907</v>
      </c>
      <c r="CI122" s="1060">
        <v>0.11083343257571472</v>
      </c>
      <c r="CJ122" s="1060">
        <v>0.12</v>
      </c>
      <c r="CK122" s="1082">
        <f>CK117/CF117-1</f>
        <v>0.1196911320046663</v>
      </c>
      <c r="CL122" s="1060">
        <v>0.13736000000000001</v>
      </c>
      <c r="CM122" s="1697">
        <v>0.11867999999999999</v>
      </c>
      <c r="CN122" s="1697">
        <v>0.11867999999999999</v>
      </c>
      <c r="CO122" s="1060">
        <v>0.1</v>
      </c>
      <c r="CP122" s="1082">
        <f t="shared" si="181"/>
        <v>0.11748102416638417</v>
      </c>
      <c r="CQ122" s="1440">
        <f t="shared" si="181"/>
        <v>1.056842563117133E-2</v>
      </c>
      <c r="CR122" s="1440">
        <f t="shared" si="181"/>
        <v>0.10175986609006382</v>
      </c>
      <c r="CS122" s="1440">
        <f t="shared" si="181"/>
        <v>9.2494200859798648E-2</v>
      </c>
      <c r="CT122" s="1440">
        <f t="shared" si="181"/>
        <v>6.7810976183779736E-2</v>
      </c>
      <c r="CU122" s="1082">
        <f t="shared" si="181"/>
        <v>-0.11956898463415166</v>
      </c>
      <c r="CV122" s="1440">
        <f t="shared" si="181"/>
        <v>0.21755249632573026</v>
      </c>
      <c r="CW122" s="1440">
        <f t="shared" si="181"/>
        <v>0.10797071668735581</v>
      </c>
      <c r="CX122" s="1440">
        <f t="shared" si="181"/>
        <v>0.16345153871698082</v>
      </c>
      <c r="CY122" s="1440">
        <f t="shared" si="181"/>
        <v>0.11006495751712508</v>
      </c>
      <c r="CZ122" s="2587">
        <f t="shared" si="182"/>
        <v>0.14852511517336708</v>
      </c>
      <c r="DA122" s="1440">
        <f t="shared" si="182"/>
        <v>8.123295649633433E-2</v>
      </c>
      <c r="DB122" s="1440">
        <f t="shared" si="182"/>
        <v>7.68447603596496E-2</v>
      </c>
      <c r="DC122" s="1440">
        <f t="shared" si="182"/>
        <v>2.3306420349731516E-2</v>
      </c>
      <c r="DD122" s="1440">
        <f t="shared" si="182"/>
        <v>6.0144875320398805E-2</v>
      </c>
      <c r="DE122" s="1082">
        <f t="shared" si="182"/>
        <v>6.09837019058459E-2</v>
      </c>
      <c r="DF122" s="1440">
        <f t="shared" si="182"/>
        <v>0.10737504635866957</v>
      </c>
      <c r="DG122" s="1440">
        <f t="shared" si="182"/>
        <v>9.059606005410159E-2</v>
      </c>
      <c r="DH122" s="1440">
        <f t="shared" si="182"/>
        <v>7.3475330394885408E-2</v>
      </c>
      <c r="DI122" s="1440">
        <f t="shared" si="182"/>
        <v>0.10128737962649415</v>
      </c>
      <c r="DJ122" s="1082">
        <f>DJ117/DE117-1</f>
        <v>9.2973878052225345E-2</v>
      </c>
      <c r="DK122" s="1060">
        <v>0.01</v>
      </c>
      <c r="DL122" s="1060">
        <v>0.03</v>
      </c>
      <c r="DM122" s="1060">
        <v>0.03</v>
      </c>
      <c r="DN122" s="1060">
        <v>0.03</v>
      </c>
      <c r="DO122" s="1082">
        <f>DO117/DJ117-1</f>
        <v>2.5689550442401288E-2</v>
      </c>
      <c r="DP122" s="1060">
        <v>0.08</v>
      </c>
      <c r="DQ122" s="1060">
        <v>0.08</v>
      </c>
      <c r="DR122" s="1060">
        <v>0.08</v>
      </c>
      <c r="DS122" s="1060">
        <v>0.08</v>
      </c>
      <c r="DT122" s="1082">
        <f>DT117/DO117-1</f>
        <v>8.0014132063654042E-2</v>
      </c>
      <c r="DU122" s="1060">
        <v>0.08</v>
      </c>
      <c r="DV122" s="1060">
        <v>0.08</v>
      </c>
      <c r="DW122" s="1060">
        <v>0.08</v>
      </c>
      <c r="DX122" s="1060">
        <v>0.08</v>
      </c>
      <c r="DY122" s="1082">
        <f>DY117/DT117-1</f>
        <v>8.0016124615196027E-2</v>
      </c>
      <c r="DZ122" s="1929"/>
      <c r="EA122" s="1929"/>
    </row>
    <row r="123" spans="1:131" ht="12" customHeight="1" x14ac:dyDescent="0.2">
      <c r="A123" s="1984"/>
      <c r="B123" s="2318"/>
      <c r="C123" s="1883"/>
      <c r="D123" s="1883"/>
      <c r="E123" s="1984"/>
      <c r="F123" s="2056"/>
      <c r="G123" s="1850"/>
      <c r="H123" s="1850"/>
      <c r="I123" s="2134"/>
      <c r="J123" s="1984"/>
      <c r="K123" s="2056"/>
      <c r="L123" s="1850"/>
      <c r="M123" s="1850"/>
      <c r="N123" s="2134"/>
      <c r="O123" s="1984"/>
      <c r="P123" s="2056"/>
      <c r="Q123" s="1850"/>
      <c r="R123" s="1850"/>
      <c r="S123" s="2134"/>
      <c r="T123" s="1984"/>
      <c r="U123" s="2056"/>
      <c r="V123" s="2045"/>
      <c r="W123" s="1984"/>
      <c r="X123" s="2134"/>
      <c r="Y123" s="1984"/>
      <c r="Z123" s="2056"/>
      <c r="AA123" s="1850"/>
      <c r="AB123" s="1850"/>
      <c r="AC123" s="2134"/>
      <c r="AD123" s="1984"/>
      <c r="AE123" s="2056"/>
      <c r="AF123" s="1850"/>
      <c r="AG123" s="1850"/>
      <c r="AH123" s="2134"/>
      <c r="AI123" s="1984"/>
      <c r="AJ123" s="2319"/>
      <c r="AK123" s="2319"/>
      <c r="AL123" s="1984"/>
      <c r="AM123" s="2134"/>
      <c r="AN123" s="2317"/>
      <c r="AO123" s="2320"/>
      <c r="AP123" s="2320"/>
      <c r="AQ123" s="1984"/>
      <c r="AR123" s="2134"/>
      <c r="AS123" s="2321"/>
      <c r="AT123" s="2319"/>
      <c r="AU123" s="2319"/>
      <c r="AV123" s="1984"/>
      <c r="AW123" s="2322"/>
      <c r="AX123" s="2320"/>
      <c r="AY123" s="2320"/>
      <c r="AZ123" s="2320"/>
      <c r="BA123" s="1984"/>
      <c r="BB123" s="2322"/>
      <c r="BC123" s="2320"/>
      <c r="BD123" s="2320"/>
      <c r="BE123" s="2320"/>
      <c r="BF123" s="1984"/>
      <c r="BG123" s="2322"/>
      <c r="BH123" s="2320"/>
      <c r="BI123" s="2320"/>
      <c r="BJ123" s="2320"/>
      <c r="BK123" s="1984"/>
      <c r="BL123" s="2322"/>
      <c r="BM123" s="1850"/>
      <c r="BN123" s="1850"/>
      <c r="BO123" s="1850"/>
      <c r="BP123" s="1850"/>
      <c r="BQ123" s="2322"/>
      <c r="BR123" s="1850"/>
      <c r="BS123" s="1850"/>
      <c r="BT123" s="1850"/>
      <c r="BU123" s="1850"/>
      <c r="BV123" s="2322"/>
      <c r="BW123" s="1850"/>
      <c r="BX123" s="1850"/>
      <c r="BY123" s="1850"/>
      <c r="BZ123" s="1850"/>
      <c r="CA123" s="365"/>
      <c r="CB123" s="1850"/>
      <c r="CC123" s="1850"/>
      <c r="CD123" s="1850"/>
      <c r="CE123" s="1850"/>
      <c r="CF123" s="2322"/>
      <c r="CG123" s="1850"/>
      <c r="CH123" s="1850"/>
      <c r="CI123" s="1850"/>
      <c r="CJ123" s="1850"/>
      <c r="CK123" s="2322"/>
      <c r="CL123" s="1850"/>
      <c r="CM123" s="2350"/>
      <c r="CN123" s="2350"/>
      <c r="CO123" s="1850"/>
      <c r="CP123" s="2322"/>
      <c r="CQ123" s="1850"/>
      <c r="CR123" s="1850"/>
      <c r="CS123" s="1850"/>
      <c r="CT123" s="1850"/>
      <c r="CU123" s="2322"/>
      <c r="CV123" s="1850"/>
      <c r="CW123" s="1850"/>
      <c r="CX123" s="1850"/>
      <c r="CY123" s="1850"/>
      <c r="CZ123" s="2586"/>
      <c r="DA123" s="1850"/>
      <c r="DB123" s="1850"/>
      <c r="DC123" s="1850"/>
      <c r="DD123" s="1850"/>
      <c r="DE123" s="2322"/>
      <c r="DF123" s="1850"/>
      <c r="DG123" s="1850"/>
      <c r="DH123" s="1850"/>
      <c r="DI123" s="1850"/>
      <c r="DJ123" s="2322"/>
      <c r="DK123" s="1850"/>
      <c r="DL123" s="1850"/>
      <c r="DM123" s="1850"/>
      <c r="DN123" s="1850"/>
      <c r="DO123" s="2322"/>
      <c r="DP123" s="1850"/>
      <c r="DQ123" s="1850"/>
      <c r="DR123" s="1850"/>
      <c r="DS123" s="1850"/>
      <c r="DT123" s="2322"/>
      <c r="DU123" s="1850"/>
      <c r="DV123" s="1850"/>
      <c r="DW123" s="1850"/>
      <c r="DX123" s="1850"/>
      <c r="DY123" s="2322"/>
      <c r="DZ123" s="1850"/>
      <c r="EA123" s="1850"/>
    </row>
    <row r="124" spans="1:131" ht="12" customHeight="1" x14ac:dyDescent="0.2">
      <c r="A124" s="1984"/>
      <c r="B124" s="2318"/>
      <c r="C124" s="1883"/>
      <c r="D124" s="1883"/>
      <c r="E124" s="1984"/>
      <c r="F124" s="2056"/>
      <c r="G124" s="1850"/>
      <c r="H124" s="1850"/>
      <c r="I124" s="2134"/>
      <c r="J124" s="1984"/>
      <c r="K124" s="2056"/>
      <c r="L124" s="1850"/>
      <c r="M124" s="1850"/>
      <c r="N124" s="2134"/>
      <c r="O124" s="1984"/>
      <c r="P124" s="2056"/>
      <c r="Q124" s="1850"/>
      <c r="R124" s="1850"/>
      <c r="S124" s="2134"/>
      <c r="T124" s="1984"/>
      <c r="U124" s="2056"/>
      <c r="V124" s="2045"/>
      <c r="W124" s="1984"/>
      <c r="X124" s="2134"/>
      <c r="Y124" s="1984"/>
      <c r="Z124" s="2056"/>
      <c r="AA124" s="1850"/>
      <c r="AB124" s="1850"/>
      <c r="AC124" s="2134"/>
      <c r="AD124" s="1984"/>
      <c r="AE124" s="2056"/>
      <c r="AF124" s="1850"/>
      <c r="AG124" s="1850"/>
      <c r="AH124" s="2134"/>
      <c r="AI124" s="1984"/>
      <c r="AJ124" s="2319"/>
      <c r="AK124" s="2319"/>
      <c r="AL124" s="1984"/>
      <c r="AM124" s="2134"/>
      <c r="AN124" s="2317"/>
      <c r="AO124" s="2320"/>
      <c r="AP124" s="2320"/>
      <c r="AQ124" s="1984"/>
      <c r="AR124" s="2134"/>
      <c r="AS124" s="2321"/>
      <c r="AT124" s="2319"/>
      <c r="AU124" s="2319"/>
      <c r="AV124" s="1984"/>
      <c r="AW124" s="2322"/>
      <c r="AX124" s="2320"/>
      <c r="AY124" s="2320"/>
      <c r="AZ124" s="2320"/>
      <c r="BA124" s="1984"/>
      <c r="BB124" s="2322"/>
      <c r="BC124" s="2320"/>
      <c r="BD124" s="2320"/>
      <c r="BE124" s="2320"/>
      <c r="BF124" s="1984"/>
      <c r="BG124" s="2322"/>
      <c r="BH124" s="2320"/>
      <c r="BI124" s="2320"/>
      <c r="BJ124" s="2320"/>
      <c r="BK124" s="1984"/>
      <c r="BL124" s="2322"/>
      <c r="BM124" s="1850"/>
      <c r="BN124" s="1850"/>
      <c r="BO124" s="1850"/>
      <c r="BP124" s="1850"/>
      <c r="BQ124" s="2322"/>
      <c r="BR124" s="1850"/>
      <c r="BS124" s="1850"/>
      <c r="BT124" s="1850"/>
      <c r="BU124" s="1850"/>
      <c r="BV124" s="2322"/>
      <c r="BW124" s="1850"/>
      <c r="BX124" s="1850"/>
      <c r="BY124" s="1850"/>
      <c r="BZ124" s="1850"/>
      <c r="CA124" s="365"/>
      <c r="CB124" s="1850"/>
      <c r="CC124" s="1850"/>
      <c r="CD124" s="1850"/>
      <c r="CE124" s="1850"/>
      <c r="CF124" s="2322"/>
      <c r="CG124" s="1850"/>
      <c r="CH124" s="1850"/>
      <c r="CI124" s="1850"/>
      <c r="CJ124" s="1850"/>
      <c r="CK124" s="2322"/>
      <c r="CL124" s="1850"/>
      <c r="CM124" s="1850"/>
      <c r="CN124" s="2350"/>
      <c r="CO124" s="1850"/>
      <c r="CP124" s="2322"/>
      <c r="CQ124" s="1850"/>
      <c r="CR124" s="1850"/>
      <c r="CS124" s="1850"/>
      <c r="CT124" s="1850"/>
      <c r="CU124" s="2322"/>
      <c r="CV124" s="1850"/>
      <c r="CW124" s="1850"/>
      <c r="CX124" s="1850"/>
      <c r="CY124" s="1850"/>
      <c r="CZ124" s="2586"/>
      <c r="DA124" s="1850"/>
      <c r="DB124" s="1850"/>
      <c r="DC124" s="1850"/>
      <c r="DD124" s="1850"/>
      <c r="DE124" s="2322"/>
      <c r="DF124" s="1850"/>
      <c r="DG124" s="1850"/>
      <c r="DH124" s="1850"/>
      <c r="DI124" s="1850"/>
      <c r="DJ124" s="2322"/>
      <c r="DK124" s="1850"/>
      <c r="DL124" s="1850"/>
      <c r="DM124" s="1850"/>
      <c r="DN124" s="1850"/>
      <c r="DO124" s="2322"/>
      <c r="DP124" s="1850"/>
      <c r="DQ124" s="1850"/>
      <c r="DR124" s="1850"/>
      <c r="DS124" s="1850"/>
      <c r="DT124" s="2322"/>
      <c r="DU124" s="1850"/>
      <c r="DV124" s="1850"/>
      <c r="DW124" s="1850"/>
      <c r="DX124" s="1850"/>
      <c r="DY124" s="2322"/>
      <c r="DZ124" s="1850"/>
      <c r="EA124" s="1850"/>
    </row>
    <row r="125" spans="1:131" ht="12" customHeight="1" x14ac:dyDescent="0.2">
      <c r="A125" s="2090"/>
      <c r="B125" s="2419" t="s">
        <v>1018</v>
      </c>
      <c r="C125" s="2324"/>
      <c r="D125" s="2324"/>
      <c r="E125" s="2274"/>
      <c r="F125" s="2275"/>
      <c r="G125" s="2325"/>
      <c r="H125" s="2325"/>
      <c r="I125" s="2276"/>
      <c r="J125" s="2274"/>
      <c r="K125" s="2275"/>
      <c r="L125" s="2325"/>
      <c r="M125" s="2325"/>
      <c r="N125" s="2276"/>
      <c r="O125" s="2274"/>
      <c r="P125" s="2275"/>
      <c r="Q125" s="2325"/>
      <c r="R125" s="2325"/>
      <c r="S125" s="2276"/>
      <c r="T125" s="2274"/>
      <c r="U125" s="2275"/>
      <c r="V125" s="2326"/>
      <c r="W125" s="2274"/>
      <c r="X125" s="2276"/>
      <c r="Y125" s="2274"/>
      <c r="Z125" s="2275"/>
      <c r="AA125" s="2325"/>
      <c r="AB125" s="2325"/>
      <c r="AC125" s="2276"/>
      <c r="AD125" s="2274"/>
      <c r="AE125" s="2275"/>
      <c r="AF125" s="2325"/>
      <c r="AG125" s="2325"/>
      <c r="AH125" s="2276"/>
      <c r="AI125" s="2274"/>
      <c r="AJ125" s="2327"/>
      <c r="AK125" s="2327"/>
      <c r="AL125" s="2274"/>
      <c r="AM125" s="2276"/>
      <c r="AN125" s="2328"/>
      <c r="AO125" s="2329"/>
      <c r="AP125" s="2329"/>
      <c r="AQ125" s="2274"/>
      <c r="AR125" s="2276"/>
      <c r="AS125" s="2330"/>
      <c r="AT125" s="2327"/>
      <c r="AU125" s="2327"/>
      <c r="AV125" s="2274"/>
      <c r="AW125" s="2331"/>
      <c r="AX125" s="2329"/>
      <c r="AY125" s="2329"/>
      <c r="AZ125" s="2329"/>
      <c r="BA125" s="2274"/>
      <c r="BB125" s="2331"/>
      <c r="BC125" s="2329"/>
      <c r="BD125" s="2329"/>
      <c r="BE125" s="2329"/>
      <c r="BF125" s="2274"/>
      <c r="BG125" s="2331"/>
      <c r="BH125" s="2329"/>
      <c r="BI125" s="2329"/>
      <c r="BJ125" s="2329"/>
      <c r="BK125" s="2274"/>
      <c r="BL125" s="2331"/>
      <c r="BM125" s="2325"/>
      <c r="BN125" s="2325"/>
      <c r="BO125" s="2325"/>
      <c r="BP125" s="2325"/>
      <c r="BQ125" s="2331"/>
      <c r="BR125" s="2325"/>
      <c r="BS125" s="2325"/>
      <c r="BT125" s="2325"/>
      <c r="BU125" s="2325"/>
      <c r="BV125" s="2331"/>
      <c r="BW125" s="2325"/>
      <c r="BX125" s="2325"/>
      <c r="BY125" s="2325"/>
      <c r="BZ125" s="2325"/>
      <c r="CA125" s="1104"/>
      <c r="CB125" s="2325"/>
      <c r="CC125" s="2325"/>
      <c r="CD125" s="2325"/>
      <c r="CE125" s="2325"/>
      <c r="CF125" s="2331"/>
      <c r="CG125" s="2325"/>
      <c r="CH125" s="2325"/>
      <c r="CI125" s="2325"/>
      <c r="CJ125" s="2325"/>
      <c r="CK125" s="2331"/>
      <c r="CL125" s="2325"/>
      <c r="CM125" s="2325"/>
      <c r="CN125" s="2325"/>
      <c r="CO125" s="2325"/>
      <c r="CP125" s="2331"/>
      <c r="CQ125" s="2325"/>
      <c r="CR125" s="2325"/>
      <c r="CS125" s="2325"/>
      <c r="CT125" s="2325"/>
      <c r="CU125" s="2331"/>
      <c r="CV125" s="2325"/>
      <c r="CW125" s="2325"/>
      <c r="CX125" s="2325"/>
      <c r="CY125" s="2325"/>
      <c r="CZ125" s="2590"/>
      <c r="DA125" s="2325"/>
      <c r="DB125" s="2325"/>
      <c r="DC125" s="2325"/>
      <c r="DD125" s="2325"/>
      <c r="DE125" s="2331"/>
      <c r="DF125" s="2325"/>
      <c r="DG125" s="2325"/>
      <c r="DH125" s="2325"/>
      <c r="DI125" s="2325"/>
      <c r="DJ125" s="2331"/>
      <c r="DK125" s="2325"/>
      <c r="DL125" s="2325"/>
      <c r="DM125" s="2325"/>
      <c r="DN125" s="2325"/>
      <c r="DO125" s="2331"/>
      <c r="DP125" s="2325"/>
      <c r="DQ125" s="2325"/>
      <c r="DR125" s="2325"/>
      <c r="DS125" s="2325"/>
      <c r="DT125" s="2331"/>
      <c r="DU125" s="2325"/>
      <c r="DV125" s="2325"/>
      <c r="DW125" s="2325"/>
      <c r="DX125" s="2325"/>
      <c r="DY125" s="2331"/>
      <c r="DZ125" s="1943"/>
      <c r="EA125" s="1943"/>
    </row>
    <row r="126" spans="1:131" ht="12" customHeight="1" x14ac:dyDescent="0.2">
      <c r="A126" s="1984"/>
      <c r="B126" s="2318"/>
      <c r="C126" s="1883"/>
      <c r="D126" s="1883"/>
      <c r="E126" s="1984"/>
      <c r="F126" s="2056"/>
      <c r="G126" s="1850"/>
      <c r="H126" s="1850"/>
      <c r="I126" s="2134"/>
      <c r="J126" s="1984"/>
      <c r="K126" s="2056"/>
      <c r="L126" s="1850"/>
      <c r="M126" s="1850"/>
      <c r="N126" s="2134"/>
      <c r="O126" s="1984"/>
      <c r="P126" s="2056"/>
      <c r="Q126" s="1850"/>
      <c r="R126" s="1850"/>
      <c r="S126" s="2134"/>
      <c r="T126" s="1984"/>
      <c r="U126" s="2056"/>
      <c r="V126" s="2045"/>
      <c r="W126" s="1984"/>
      <c r="X126" s="2134"/>
      <c r="Y126" s="1984"/>
      <c r="Z126" s="2056"/>
      <c r="AA126" s="1850"/>
      <c r="AB126" s="1850"/>
      <c r="AC126" s="2134"/>
      <c r="AD126" s="1984"/>
      <c r="AE126" s="2056"/>
      <c r="AF126" s="1850"/>
      <c r="AG126" s="1850"/>
      <c r="AH126" s="2134"/>
      <c r="AI126" s="1984"/>
      <c r="AJ126" s="2319"/>
      <c r="AK126" s="2319"/>
      <c r="AL126" s="1984"/>
      <c r="AM126" s="2134"/>
      <c r="AN126" s="2317"/>
      <c r="AO126" s="2320"/>
      <c r="AP126" s="2320"/>
      <c r="AQ126" s="1984"/>
      <c r="AR126" s="2134"/>
      <c r="AS126" s="2321"/>
      <c r="AT126" s="2319"/>
      <c r="AU126" s="2319"/>
      <c r="AV126" s="1984"/>
      <c r="AW126" s="2322"/>
      <c r="AX126" s="2320"/>
      <c r="AY126" s="2320"/>
      <c r="AZ126" s="2320"/>
      <c r="BA126" s="1984"/>
      <c r="BB126" s="2322"/>
      <c r="BC126" s="2320"/>
      <c r="BD126" s="2320"/>
      <c r="BE126" s="2320"/>
      <c r="BF126" s="1984"/>
      <c r="BG126" s="2322"/>
      <c r="BH126" s="2320"/>
      <c r="BI126" s="2320"/>
      <c r="BJ126" s="2320"/>
      <c r="BK126" s="1984"/>
      <c r="BL126" s="2322"/>
      <c r="BM126" s="1850"/>
      <c r="BN126" s="1850"/>
      <c r="BO126" s="1850"/>
      <c r="BP126" s="1850"/>
      <c r="BQ126" s="2322"/>
      <c r="BR126" s="1850"/>
      <c r="BS126" s="1850"/>
      <c r="BT126" s="1850"/>
      <c r="BU126" s="1850"/>
      <c r="BV126" s="2322"/>
      <c r="BW126" s="1850"/>
      <c r="BX126" s="1850"/>
      <c r="BY126" s="1850"/>
      <c r="BZ126" s="1850"/>
      <c r="CA126" s="365"/>
      <c r="CB126" s="1850"/>
      <c r="CC126" s="1850"/>
      <c r="CD126" s="1850"/>
      <c r="CE126" s="1850"/>
      <c r="CF126" s="2322"/>
      <c r="CG126" s="1850"/>
      <c r="CH126" s="1850"/>
      <c r="CI126" s="1850"/>
      <c r="CJ126" s="1850"/>
      <c r="CK126" s="2322"/>
      <c r="CL126" s="1850"/>
      <c r="CM126" s="1850"/>
      <c r="CN126" s="1850"/>
      <c r="CO126" s="1850"/>
      <c r="CP126" s="2322"/>
      <c r="CQ126" s="1850"/>
      <c r="CR126" s="1850"/>
      <c r="CS126" s="1850"/>
      <c r="CT126" s="1850"/>
      <c r="CU126" s="2322"/>
      <c r="CV126" s="1850"/>
      <c r="CW126" s="1850"/>
      <c r="CX126" s="1850"/>
      <c r="CY126" s="1850"/>
      <c r="CZ126" s="2586"/>
      <c r="DA126" s="1850"/>
      <c r="DB126" s="1850"/>
      <c r="DC126" s="1850"/>
      <c r="DD126" s="1850"/>
      <c r="DE126" s="2322"/>
      <c r="DF126" s="1850"/>
      <c r="DG126" s="1850"/>
      <c r="DH126" s="1850"/>
      <c r="DI126" s="1850"/>
      <c r="DJ126" s="2322"/>
      <c r="DK126" s="1850"/>
      <c r="DL126" s="1850"/>
      <c r="DM126" s="1850"/>
      <c r="DN126" s="1850"/>
      <c r="DO126" s="2322"/>
      <c r="DP126" s="1850"/>
      <c r="DQ126" s="1850"/>
      <c r="DR126" s="1850"/>
      <c r="DS126" s="1850"/>
      <c r="DT126" s="2322"/>
      <c r="DU126" s="1850"/>
      <c r="DV126" s="1850"/>
      <c r="DW126" s="1850"/>
      <c r="DX126" s="1850"/>
      <c r="DY126" s="2322"/>
      <c r="DZ126" s="1850"/>
      <c r="EA126" s="1850"/>
    </row>
    <row r="127" spans="1:131" ht="11.25" customHeight="1" x14ac:dyDescent="0.2">
      <c r="A127" s="1911"/>
      <c r="B127" s="1932" t="s">
        <v>1019</v>
      </c>
      <c r="C127" s="1911"/>
      <c r="D127" s="1902"/>
      <c r="E127" s="1902"/>
      <c r="F127" s="1902"/>
      <c r="G127" s="1902"/>
      <c r="H127" s="1902"/>
      <c r="I127" s="239"/>
      <c r="J127" s="1899">
        <f>J159*J17</f>
        <v>1563.0100799999998</v>
      </c>
      <c r="K127" s="1899">
        <f>K159*K17</f>
        <v>1533.0392999999999</v>
      </c>
      <c r="L127" s="1899">
        <f>L159*L17</f>
        <v>1464.6125999999997</v>
      </c>
      <c r="M127" s="1899">
        <f>M159*M17</f>
        <v>1591.1983999999998</v>
      </c>
      <c r="N127" s="306">
        <f>N15</f>
        <v>6183.1781999999994</v>
      </c>
      <c r="O127" s="1899">
        <f>O159*O17</f>
        <v>1533.2940000000003</v>
      </c>
      <c r="P127" s="1899">
        <f>P159*P17</f>
        <v>1593.3220000000001</v>
      </c>
      <c r="Q127" s="1899">
        <f>Q159*Q17</f>
        <v>1504.9460000000001</v>
      </c>
      <c r="R127" s="1899">
        <f>R159*R17</f>
        <v>1779.8990000000003</v>
      </c>
      <c r="S127" s="306">
        <f>S15</f>
        <v>6394.3864000000012</v>
      </c>
      <c r="T127" s="1899">
        <f>T159*T17</f>
        <v>1785.7040000000002</v>
      </c>
      <c r="U127" s="1899">
        <f>U159*U17</f>
        <v>1831.2840000000003</v>
      </c>
      <c r="V127" s="1899">
        <f>V159*V17</f>
        <v>1725.3620000000001</v>
      </c>
      <c r="W127" s="1899">
        <f>W159*W17</f>
        <v>2152.5370000000003</v>
      </c>
      <c r="X127" s="306">
        <f>X15</f>
        <v>7279.9510000000009</v>
      </c>
      <c r="Y127" s="1899">
        <f>Y159*Y17</f>
        <v>1880.2190000000001</v>
      </c>
      <c r="Z127" s="1899">
        <f>Z159*Z17</f>
        <v>2018.7300000000002</v>
      </c>
      <c r="AA127" s="1899">
        <f>AA159*AA17</f>
        <v>1953.4860000000003</v>
      </c>
      <c r="AB127" s="1899">
        <f>AB159*AB17</f>
        <v>2190.4679999999998</v>
      </c>
      <c r="AC127" s="306">
        <f>AC15</f>
        <v>7229.5232999999998</v>
      </c>
      <c r="AD127" s="1899">
        <f>AD159*AD17</f>
        <v>2028.0851612551517</v>
      </c>
      <c r="AE127" s="1899">
        <f>AE159*AE17</f>
        <v>2063.45266318527</v>
      </c>
      <c r="AF127" s="1899">
        <f>AF159*AF17</f>
        <v>1980.984370482307</v>
      </c>
      <c r="AG127" s="1899">
        <f>AG159*AG17</f>
        <v>2213.6878429120975</v>
      </c>
      <c r="AH127" s="306">
        <f>AH15</f>
        <v>7230.4292999999998</v>
      </c>
      <c r="AI127" s="1899">
        <f>AI159*AI17</f>
        <v>1958.015455812063</v>
      </c>
      <c r="AJ127" s="1899">
        <f>AJ159*AJ17</f>
        <v>2021.8102459662148</v>
      </c>
      <c r="AK127" s="1899">
        <f>AK159*AK17</f>
        <v>1987.4144638926894</v>
      </c>
      <c r="AL127" s="1899">
        <f>AL159*AL17</f>
        <v>2212.4968679175672</v>
      </c>
      <c r="AM127" s="306">
        <f>AM15</f>
        <v>7471.5047999999988</v>
      </c>
      <c r="AN127" s="1899">
        <f>AN159*AN17</f>
        <v>2043.7210333362609</v>
      </c>
      <c r="AO127" s="1899">
        <f>AO159*AO17</f>
        <v>2061.9714430806107</v>
      </c>
      <c r="AP127" s="1899">
        <f>AP159*AP17</f>
        <v>2011.7152064509221</v>
      </c>
      <c r="AQ127" s="1899">
        <f>AQ159*AQ17</f>
        <v>2473.8948517430704</v>
      </c>
      <c r="AR127" s="306">
        <f>AR15</f>
        <v>7887.5784000000012</v>
      </c>
      <c r="AS127" s="1899">
        <f>AS159*AS17</f>
        <v>2094.10976215746</v>
      </c>
      <c r="AT127" s="1899">
        <f>AT159*AT17</f>
        <v>2164.6986234056099</v>
      </c>
      <c r="AU127" s="1899">
        <f>AU159*AU17</f>
        <v>2369.2539833810893</v>
      </c>
      <c r="AV127" s="1899">
        <f>AV159*AV17</f>
        <v>2790.1888899753567</v>
      </c>
      <c r="AW127" s="306">
        <f>AW15</f>
        <v>8618.6100000000024</v>
      </c>
      <c r="AX127" s="1899">
        <f>AX159*AX17</f>
        <v>2653.234914233245</v>
      </c>
      <c r="AY127" s="1899">
        <f>AY159*AY17</f>
        <v>2732.7210265620288</v>
      </c>
      <c r="AZ127" s="1899">
        <f>AZ159*AZ17</f>
        <v>2648.894635553384</v>
      </c>
      <c r="BA127" s="1899">
        <f>BA159*BA17</f>
        <v>2947.7236646788797</v>
      </c>
      <c r="BB127" s="306">
        <f>BB15</f>
        <v>10705.704399999997</v>
      </c>
      <c r="BC127" s="1899">
        <f>BC159*BC17</f>
        <v>2790.739100000003</v>
      </c>
      <c r="BD127" s="1899">
        <f>BD159*BD17</f>
        <v>3068.2574999999993</v>
      </c>
      <c r="BE127" s="1899">
        <f>BE159*BE17</f>
        <v>3198.1460000000006</v>
      </c>
      <c r="BF127" s="1899">
        <f>BF159*BF17</f>
        <v>3673.1069999999995</v>
      </c>
      <c r="BG127" s="306">
        <f>BG15</f>
        <v>12730.249599999997</v>
      </c>
      <c r="BH127" s="1899">
        <f>BH159*BH17</f>
        <v>3529.1087999999995</v>
      </c>
      <c r="BI127" s="1899">
        <f>BI159*BI17</f>
        <v>3644.9027999999998</v>
      </c>
      <c r="BJ127" s="1899">
        <f>BJ159*BJ17</f>
        <v>3463.0755999999997</v>
      </c>
      <c r="BK127" s="1899">
        <f>BK159*BK17</f>
        <v>3863.9819999999995</v>
      </c>
      <c r="BL127" s="306">
        <f>BL15</f>
        <v>14517.852999999997</v>
      </c>
      <c r="BM127" s="1899">
        <f>BM159*BM17</f>
        <v>3766.9007999999994</v>
      </c>
      <c r="BN127" s="1899">
        <f>BN159*BN17</f>
        <v>3790.1975999999991</v>
      </c>
      <c r="BO127" s="1899">
        <f>BO159*BO17</f>
        <v>3658.8139999999994</v>
      </c>
      <c r="BP127" s="1899">
        <f>BP159*BP17</f>
        <v>4730.3729999999996</v>
      </c>
      <c r="BQ127" s="306">
        <f>BQ15</f>
        <v>15921.717499999999</v>
      </c>
      <c r="BR127" s="1899">
        <f>BR159*BR17</f>
        <v>4292.0141999999996</v>
      </c>
      <c r="BS127" s="1899">
        <f>BS159*BS17</f>
        <v>4511.6844000000001</v>
      </c>
      <c r="BT127" s="1899">
        <f>BT159*BT17</f>
        <v>4299.3063999999995</v>
      </c>
      <c r="BU127" s="1899">
        <f>BU159*BU17</f>
        <v>4799.0599999999995</v>
      </c>
      <c r="BV127" s="306">
        <f>SUM(BR127:BU127)</f>
        <v>17902.064999999999</v>
      </c>
      <c r="BW127" s="1899">
        <f>BW159*BW17</f>
        <v>4417.0479999999989</v>
      </c>
      <c r="BX127" s="1899">
        <f>BX159*BX17</f>
        <v>4636.7639999999992</v>
      </c>
      <c r="BY127" s="1899">
        <f>BY159*BY17</f>
        <v>4431.7669999999989</v>
      </c>
      <c r="BZ127" s="1899">
        <f>BZ159*BZ17</f>
        <v>4901.1129999999994</v>
      </c>
      <c r="CA127" s="306">
        <f>SUM(BW127:BZ127)</f>
        <v>18386.691999999995</v>
      </c>
      <c r="CB127" s="1899">
        <f>CB159*CB17</f>
        <v>4507.3830000000007</v>
      </c>
      <c r="CC127" s="1899">
        <f>CC159*CC17</f>
        <v>4759.1459999999997</v>
      </c>
      <c r="CD127" s="1899">
        <f>CD159*CD17</f>
        <v>4628.2949999999992</v>
      </c>
      <c r="CE127" s="1899">
        <f>CE159*CE17</f>
        <v>5004.1420999999991</v>
      </c>
      <c r="CF127" s="239">
        <f>SUM(CB127:CE127)</f>
        <v>18898.966099999998</v>
      </c>
      <c r="CG127" s="1899">
        <f>CG159*CG17</f>
        <v>4823.2240000000011</v>
      </c>
      <c r="CH127" s="1899">
        <f>CH159*CH17</f>
        <v>4943.9520000000011</v>
      </c>
      <c r="CI127" s="1899">
        <f>CI159*CI17</f>
        <v>4790.705100000001</v>
      </c>
      <c r="CJ127" s="1899">
        <f>CJ159*CJ17</f>
        <v>5274.7199999999993</v>
      </c>
      <c r="CK127" s="239">
        <f>SUM(CG127:CJ127)</f>
        <v>19832.601100000003</v>
      </c>
      <c r="CL127" s="1899">
        <f>CL159*CL17</f>
        <v>4975.8100000000013</v>
      </c>
      <c r="CM127" s="1899">
        <f>CM159*CM17</f>
        <v>4987.1055000000006</v>
      </c>
      <c r="CN127" s="1899">
        <f>CN159*CN17</f>
        <v>4820.0640000000003</v>
      </c>
      <c r="CO127" s="1900">
        <f ca="1">CJ127*(1+CO154)</f>
        <v>5323.1650931500199</v>
      </c>
      <c r="CP127" s="239">
        <f ca="1">SUM(CL127:CO127)</f>
        <v>20106.144593150024</v>
      </c>
      <c r="CQ127" s="1900">
        <f ca="1">CL127*(1+CQ154)</f>
        <v>4926.9693967084522</v>
      </c>
      <c r="CR127" s="1900">
        <f ca="1">CM127*(1+CR154)</f>
        <v>5107.7156115018206</v>
      </c>
      <c r="CS127" s="1900">
        <f ca="1">CN127*(1+CS154)</f>
        <v>4739.0116904811975</v>
      </c>
      <c r="CT127" s="1900">
        <f ca="1">CO127*(1+CT154)</f>
        <v>5089.9273750613165</v>
      </c>
      <c r="CU127" s="239">
        <f ca="1">SUM(CQ127:CT127)</f>
        <v>19863.624073752788</v>
      </c>
      <c r="CV127" s="1900">
        <f ca="1">CQ127*(1+CV154)</f>
        <v>4765.2878975369676</v>
      </c>
      <c r="CW127" s="1900">
        <f ca="1">CR127*(1+CW154)</f>
        <v>4870.2078682632282</v>
      </c>
      <c r="CX127" s="1900">
        <f ca="1">CS127*(1+CX154)</f>
        <v>4613.4288388338082</v>
      </c>
      <c r="CY127" s="1900">
        <f ca="1">CT127*(1+CY154)</f>
        <v>5224.8114796001937</v>
      </c>
      <c r="CZ127" s="239">
        <f ca="1">SUM(CV127:CY127)</f>
        <v>19473.736084234195</v>
      </c>
      <c r="DA127" s="1900">
        <f>DA15</f>
        <v>5108.4480000000003</v>
      </c>
      <c r="DB127" s="1900">
        <f>DB15</f>
        <v>5039.6723999999995</v>
      </c>
      <c r="DC127" s="1900">
        <f>DC15</f>
        <v>4834.2479999999996</v>
      </c>
      <c r="DD127" s="1900">
        <f>DD15</f>
        <v>5295.2396000000008</v>
      </c>
      <c r="DE127" s="239">
        <f>SUM(DA127:DD127)</f>
        <v>20277.608</v>
      </c>
      <c r="DF127" s="1900">
        <f>DF15</f>
        <v>4912.4869999999992</v>
      </c>
      <c r="DG127" s="1900">
        <f>DG15</f>
        <v>4966.8176000000003</v>
      </c>
      <c r="DH127" s="1900">
        <f>DH15</f>
        <v>4725.6046218400006</v>
      </c>
      <c r="DI127" s="1900">
        <f>DI15</f>
        <v>5290.0908369755598</v>
      </c>
      <c r="DJ127" s="239">
        <f>SUM(DF127:DI127)</f>
        <v>19895.00005881556</v>
      </c>
      <c r="DK127" s="1900">
        <f>DF127*(1+DK154)</f>
        <v>4887.9245649999993</v>
      </c>
      <c r="DL127" s="1900">
        <f>DG127*(1+DL154)</f>
        <v>4917.1494240000002</v>
      </c>
      <c r="DM127" s="1900">
        <f>DH127*(1+DM154)</f>
        <v>4678.3485756216005</v>
      </c>
      <c r="DN127" s="1900">
        <f>DI127*(1+DN154)</f>
        <v>5237.1899286058042</v>
      </c>
      <c r="DO127" s="239">
        <f>SUM(DK127:DN127)</f>
        <v>19720.612493227403</v>
      </c>
      <c r="DP127" s="1900">
        <f>DK127*(1+DP154)</f>
        <v>4863.4849421749996</v>
      </c>
      <c r="DQ127" s="1900">
        <f>DL127*(1+DQ154)</f>
        <v>4892.5636768800005</v>
      </c>
      <c r="DR127" s="1900">
        <f>DM127*(1+DR154)</f>
        <v>4654.9568327434927</v>
      </c>
      <c r="DS127" s="1900">
        <f>DN127*(1+DS154)</f>
        <v>5211.0039789627754</v>
      </c>
      <c r="DT127" s="239">
        <f>SUM(DP127:DS127)</f>
        <v>19622.009430761267</v>
      </c>
      <c r="DU127" s="1900">
        <f>DP127*(1+DU154)</f>
        <v>4839.1675174641241</v>
      </c>
      <c r="DV127" s="1900">
        <f>DQ127*(1+DV154)</f>
        <v>4868.1008584956007</v>
      </c>
      <c r="DW127" s="1900">
        <f>DR127*(1+DW154)</f>
        <v>4631.6820485797753</v>
      </c>
      <c r="DX127" s="1900">
        <f>DS127*(1+DX154)</f>
        <v>5184.9489590679614</v>
      </c>
      <c r="DY127" s="239">
        <f>SUM(DU127:DX127)</f>
        <v>19523.899383607462</v>
      </c>
      <c r="DZ127" s="1884"/>
      <c r="EA127" s="1884"/>
    </row>
    <row r="128" spans="1:131" ht="11.25" customHeight="1" x14ac:dyDescent="0.2">
      <c r="A128" s="1911"/>
      <c r="B128" s="2420" t="s">
        <v>1020</v>
      </c>
      <c r="C128" s="1892"/>
      <c r="D128" s="1906"/>
      <c r="E128" s="1906"/>
      <c r="F128" s="1906"/>
      <c r="G128" s="1906"/>
      <c r="H128" s="1906"/>
      <c r="I128" s="1024"/>
      <c r="J128" s="1905"/>
      <c r="K128" s="1905"/>
      <c r="L128" s="1905"/>
      <c r="M128" s="1905"/>
      <c r="N128" s="1021">
        <f t="shared" ref="N128:BY128" si="183">N127-N129</f>
        <v>3960.5600330399989</v>
      </c>
      <c r="O128" s="1905">
        <f t="shared" si="183"/>
        <v>1533.2940000000003</v>
      </c>
      <c r="P128" s="1905">
        <f t="shared" si="183"/>
        <v>1593.3220000000001</v>
      </c>
      <c r="Q128" s="1905">
        <f t="shared" si="183"/>
        <v>1504.9460000000001</v>
      </c>
      <c r="R128" s="1905">
        <f t="shared" si="183"/>
        <v>1779.8990000000003</v>
      </c>
      <c r="S128" s="1021">
        <f t="shared" si="183"/>
        <v>4135.8322530000005</v>
      </c>
      <c r="T128" s="1905">
        <f t="shared" si="183"/>
        <v>1785.7040000000002</v>
      </c>
      <c r="U128" s="1905">
        <f t="shared" si="183"/>
        <v>1831.2840000000003</v>
      </c>
      <c r="V128" s="1905">
        <f t="shared" si="183"/>
        <v>1725.3620000000001</v>
      </c>
      <c r="W128" s="1905">
        <f t="shared" si="183"/>
        <v>2152.5370000000003</v>
      </c>
      <c r="X128" s="1021">
        <f t="shared" si="183"/>
        <v>4899.4869397999992</v>
      </c>
      <c r="Y128" s="1905">
        <f t="shared" si="183"/>
        <v>1880.2190000000001</v>
      </c>
      <c r="Z128" s="1905">
        <f t="shared" si="183"/>
        <v>2018.7300000000002</v>
      </c>
      <c r="AA128" s="1905">
        <f t="shared" si="183"/>
        <v>1953.4860000000003</v>
      </c>
      <c r="AB128" s="1905">
        <f t="shared" si="183"/>
        <v>2190.4679999999998</v>
      </c>
      <c r="AC128" s="1021">
        <f t="shared" si="183"/>
        <v>5179.0076100000006</v>
      </c>
      <c r="AD128" s="1905">
        <f t="shared" si="183"/>
        <v>2028.0851612551517</v>
      </c>
      <c r="AE128" s="1905">
        <f t="shared" si="183"/>
        <v>2063.45266318527</v>
      </c>
      <c r="AF128" s="1905">
        <f t="shared" si="183"/>
        <v>1980.984370482307</v>
      </c>
      <c r="AG128" s="1905">
        <f t="shared" si="183"/>
        <v>2213.6878429120975</v>
      </c>
      <c r="AH128" s="1021">
        <f t="shared" si="183"/>
        <v>5446.1019912979882</v>
      </c>
      <c r="AI128" s="1905">
        <f t="shared" si="183"/>
        <v>1958.015455812063</v>
      </c>
      <c r="AJ128" s="1905">
        <f t="shared" si="183"/>
        <v>2021.8102459662148</v>
      </c>
      <c r="AK128" s="1905">
        <f t="shared" si="183"/>
        <v>1987.4144638926894</v>
      </c>
      <c r="AL128" s="1905">
        <f t="shared" si="183"/>
        <v>2212.4968679175672</v>
      </c>
      <c r="AM128" s="1021">
        <f t="shared" si="183"/>
        <v>5745.7921221032775</v>
      </c>
      <c r="AN128" s="1905">
        <f t="shared" si="183"/>
        <v>2043.7210333362609</v>
      </c>
      <c r="AO128" s="1905">
        <f t="shared" si="183"/>
        <v>2061.9714430806107</v>
      </c>
      <c r="AP128" s="1905">
        <f t="shared" si="183"/>
        <v>2011.7152064509221</v>
      </c>
      <c r="AQ128" s="1905">
        <f t="shared" si="183"/>
        <v>2473.8948517430704</v>
      </c>
      <c r="AR128" s="1021">
        <f t="shared" si="183"/>
        <v>6051.0806988818749</v>
      </c>
      <c r="AS128" s="1905">
        <f t="shared" si="183"/>
        <v>2094.10976215746</v>
      </c>
      <c r="AT128" s="1905">
        <f t="shared" si="183"/>
        <v>2164.6986234056099</v>
      </c>
      <c r="AU128" s="1905">
        <f t="shared" si="183"/>
        <v>2369.2539833810893</v>
      </c>
      <c r="AV128" s="1905">
        <f t="shared" si="183"/>
        <v>2790.1888899753567</v>
      </c>
      <c r="AW128" s="1021">
        <f t="shared" si="183"/>
        <v>6902.350419335472</v>
      </c>
      <c r="AX128" s="1905">
        <f t="shared" si="183"/>
        <v>2653.234914233245</v>
      </c>
      <c r="AY128" s="1905">
        <f t="shared" si="183"/>
        <v>2732.7210265620288</v>
      </c>
      <c r="AZ128" s="1905">
        <f t="shared" si="183"/>
        <v>2648.894635553384</v>
      </c>
      <c r="BA128" s="1905">
        <f t="shared" si="183"/>
        <v>2947.7236646788797</v>
      </c>
      <c r="BB128" s="1021">
        <f t="shared" si="183"/>
        <v>6782.6505161530395</v>
      </c>
      <c r="BC128" s="1905">
        <f t="shared" si="183"/>
        <v>2790.739100000003</v>
      </c>
      <c r="BD128" s="1905">
        <f t="shared" si="183"/>
        <v>3068.2574999999993</v>
      </c>
      <c r="BE128" s="1905">
        <f t="shared" si="183"/>
        <v>3198.1460000000006</v>
      </c>
      <c r="BF128" s="1905">
        <f t="shared" si="183"/>
        <v>3673.1069999999995</v>
      </c>
      <c r="BG128" s="1021">
        <f t="shared" si="183"/>
        <v>8026.6307499999948</v>
      </c>
      <c r="BH128" s="1905">
        <f t="shared" si="183"/>
        <v>3529.1087999999995</v>
      </c>
      <c r="BI128" s="1905">
        <f t="shared" si="183"/>
        <v>3644.9027999999998</v>
      </c>
      <c r="BJ128" s="1905">
        <f t="shared" si="183"/>
        <v>3463.0755999999997</v>
      </c>
      <c r="BK128" s="1905">
        <f t="shared" si="183"/>
        <v>3863.9819999999995</v>
      </c>
      <c r="BL128" s="1021">
        <f t="shared" si="183"/>
        <v>9132.0262999999995</v>
      </c>
      <c r="BM128" s="1905">
        <f t="shared" si="183"/>
        <v>2309.9551182687501</v>
      </c>
      <c r="BN128" s="1905">
        <f t="shared" si="183"/>
        <v>2245.9446437374991</v>
      </c>
      <c r="BO128" s="1905">
        <f t="shared" si="183"/>
        <v>2103.0473905999997</v>
      </c>
      <c r="BP128" s="1905">
        <f t="shared" si="183"/>
        <v>2778.3861171999997</v>
      </c>
      <c r="BQ128" s="1021">
        <f t="shared" si="183"/>
        <v>9412.8653698062499</v>
      </c>
      <c r="BR128" s="1905">
        <f t="shared" si="183"/>
        <v>2569.7655732776743</v>
      </c>
      <c r="BS128" s="1905">
        <f t="shared" si="183"/>
        <v>2629.4290696446997</v>
      </c>
      <c r="BT128" s="1905">
        <f t="shared" si="183"/>
        <v>2537.2222456173467</v>
      </c>
      <c r="BU128" s="1905">
        <f t="shared" si="183"/>
        <v>2630.2596943969675</v>
      </c>
      <c r="BV128" s="1021">
        <f t="shared" si="183"/>
        <v>10366.676582936689</v>
      </c>
      <c r="BW128" s="1905">
        <f t="shared" si="183"/>
        <v>2732.2601704547128</v>
      </c>
      <c r="BX128" s="1905">
        <f t="shared" si="183"/>
        <v>2717.523991048005</v>
      </c>
      <c r="BY128" s="1905">
        <f t="shared" si="183"/>
        <v>2561.825927794001</v>
      </c>
      <c r="BZ128" s="1905">
        <f t="shared" ref="BZ128:DJ128" si="184">BZ127-BZ129</f>
        <v>2668.6015553823904</v>
      </c>
      <c r="CA128" s="1021">
        <f t="shared" si="184"/>
        <v>10680.211644679108</v>
      </c>
      <c r="CB128" s="1905">
        <f t="shared" si="184"/>
        <v>2775.1301407705569</v>
      </c>
      <c r="CC128" s="1905">
        <f t="shared" si="184"/>
        <v>2753.9296499211728</v>
      </c>
      <c r="CD128" s="1905">
        <f t="shared" si="184"/>
        <v>2710.33312986378</v>
      </c>
      <c r="CE128" s="1905">
        <f t="shared" si="184"/>
        <v>2908.0014487956187</v>
      </c>
      <c r="CF128" s="1024">
        <f t="shared" si="184"/>
        <v>11147.394369351128</v>
      </c>
      <c r="CG128" s="1905">
        <f t="shared" si="184"/>
        <v>3059.4304251941471</v>
      </c>
      <c r="CH128" s="1906">
        <f t="shared" si="184"/>
        <v>2911.7021299200005</v>
      </c>
      <c r="CI128" s="1906">
        <f t="shared" si="184"/>
        <v>2807.8455476960007</v>
      </c>
      <c r="CJ128" s="1906">
        <f t="shared" si="184"/>
        <v>2935.9483548799994</v>
      </c>
      <c r="CK128" s="1024">
        <f t="shared" si="184"/>
        <v>11714.92645769015</v>
      </c>
      <c r="CL128" s="1906">
        <f t="shared" si="184"/>
        <v>2855.7360830000007</v>
      </c>
      <c r="CM128" s="1906">
        <f t="shared" si="184"/>
        <v>2839.1727736499997</v>
      </c>
      <c r="CN128" s="1906">
        <f t="shared" si="184"/>
        <v>2778.5469312</v>
      </c>
      <c r="CO128" s="1906">
        <f t="shared" ca="1" si="184"/>
        <v>2994.4235881508798</v>
      </c>
      <c r="CP128" s="1024">
        <f t="shared" ca="1" si="184"/>
        <v>11467.879376000883</v>
      </c>
      <c r="CQ128" s="1906">
        <f t="shared" ca="1" si="184"/>
        <v>2771.5528489969965</v>
      </c>
      <c r="CR128" s="1906">
        <f t="shared" ca="1" si="184"/>
        <v>2873.2274579139207</v>
      </c>
      <c r="CS128" s="1906">
        <f t="shared" ca="1" si="184"/>
        <v>2665.8215821185972</v>
      </c>
      <c r="CT128" s="1906">
        <f t="shared" ca="1" si="184"/>
        <v>2863.2210963119487</v>
      </c>
      <c r="CU128" s="1024">
        <f t="shared" ca="1" si="184"/>
        <v>11173.822985341463</v>
      </c>
      <c r="CV128" s="1906">
        <f ca="1">CV127-CV129</f>
        <v>2680.602655566081</v>
      </c>
      <c r="CW128" s="1906">
        <f ca="1">CW127-CW129</f>
        <v>2739.6229620403446</v>
      </c>
      <c r="CX128" s="1906">
        <f ca="1">CX127-CX129</f>
        <v>2595.1778491778127</v>
      </c>
      <c r="CY128" s="1906">
        <f ca="1">CY127-CY129</f>
        <v>2939.0970342605146</v>
      </c>
      <c r="CZ128" s="1024">
        <f t="shared" ca="1" si="184"/>
        <v>10954.500501044749</v>
      </c>
      <c r="DA128" s="1906">
        <f>DA127-DA129</f>
        <v>2873.5020000000004</v>
      </c>
      <c r="DB128" s="1906">
        <f>DB127-DB129</f>
        <v>2872.6132679999996</v>
      </c>
      <c r="DC128" s="1906">
        <f>DC127-DC129</f>
        <v>2755.5213599999997</v>
      </c>
      <c r="DD128" s="1906">
        <f>DD127-DD129</f>
        <v>3018.2865720000004</v>
      </c>
      <c r="DE128" s="1024">
        <f t="shared" si="184"/>
        <v>11519.923199999999</v>
      </c>
      <c r="DF128" s="1906">
        <f>DF127-DF129</f>
        <v>2800.1175899999994</v>
      </c>
      <c r="DG128" s="1906">
        <f>DG127-DG129</f>
        <v>2831.0860320000002</v>
      </c>
      <c r="DH128" s="1906">
        <f>DH127-DH129</f>
        <v>2693.5946344488002</v>
      </c>
      <c r="DI128" s="1906">
        <f>DI127-DI129</f>
        <v>3015.3517770760691</v>
      </c>
      <c r="DJ128" s="1024">
        <f t="shared" si="184"/>
        <v>11340.150033524867</v>
      </c>
      <c r="DK128" s="1906">
        <f t="shared" ref="DK128:DT128" si="185">DK127-DK129</f>
        <v>2712.7981335749996</v>
      </c>
      <c r="DL128" s="1906">
        <f t="shared" si="185"/>
        <v>2753.60367744</v>
      </c>
      <c r="DM128" s="1906">
        <f t="shared" si="185"/>
        <v>2643.2669452262044</v>
      </c>
      <c r="DN128" s="1906">
        <f t="shared" si="185"/>
        <v>2959.0123096622792</v>
      </c>
      <c r="DO128" s="1024">
        <f t="shared" si="185"/>
        <v>11068.681065903482</v>
      </c>
      <c r="DP128" s="1906">
        <f t="shared" si="185"/>
        <v>2674.9167181962498</v>
      </c>
      <c r="DQ128" s="1906">
        <f t="shared" si="185"/>
        <v>2715.3728406684004</v>
      </c>
      <c r="DR128" s="1906">
        <f t="shared" si="185"/>
        <v>2606.7758263363557</v>
      </c>
      <c r="DS128" s="1906">
        <f t="shared" si="185"/>
        <v>2918.1622282191543</v>
      </c>
      <c r="DT128" s="1024">
        <f t="shared" si="185"/>
        <v>10915.227613420158</v>
      </c>
      <c r="DU128" s="1906">
        <f t="shared" ref="DU128:DY128" si="186">DU127-DU129</f>
        <v>2637.3462970179476</v>
      </c>
      <c r="DV128" s="1906">
        <f t="shared" si="186"/>
        <v>2677.4554721725804</v>
      </c>
      <c r="DW128" s="1906">
        <f t="shared" si="186"/>
        <v>2570.5835369617753</v>
      </c>
      <c r="DX128" s="1906">
        <f t="shared" si="186"/>
        <v>2877.6466722827186</v>
      </c>
      <c r="DY128" s="1024">
        <f t="shared" si="186"/>
        <v>10763.031978435023</v>
      </c>
      <c r="DZ128" s="1884"/>
      <c r="EA128" s="1884"/>
    </row>
    <row r="129" spans="1:131" ht="12" customHeight="1" x14ac:dyDescent="0.2">
      <c r="A129" s="238"/>
      <c r="B129" s="254" t="s">
        <v>1021</v>
      </c>
      <c r="C129" s="238"/>
      <c r="D129" s="238"/>
      <c r="E129" s="238"/>
      <c r="F129" s="238"/>
      <c r="G129" s="238"/>
      <c r="H129" s="238"/>
      <c r="I129" s="239"/>
      <c r="J129" s="238"/>
      <c r="K129" s="238"/>
      <c r="L129" s="238"/>
      <c r="M129" s="238"/>
      <c r="N129" s="306">
        <f>N21-N108</f>
        <v>2222.6181669600005</v>
      </c>
      <c r="O129" s="238"/>
      <c r="P129" s="238"/>
      <c r="Q129" s="238"/>
      <c r="R129" s="238"/>
      <c r="S129" s="306">
        <f>S21-S108</f>
        <v>2258.5541470000007</v>
      </c>
      <c r="T129" s="238"/>
      <c r="U129" s="238"/>
      <c r="V129" s="238"/>
      <c r="W129" s="238"/>
      <c r="X129" s="306">
        <f>X21-X108</f>
        <v>2380.4640602000022</v>
      </c>
      <c r="Y129" s="238"/>
      <c r="Z129" s="238"/>
      <c r="AA129" s="238"/>
      <c r="AB129" s="238"/>
      <c r="AC129" s="306">
        <f>AC21-AC108</f>
        <v>2050.5156899999993</v>
      </c>
      <c r="AD129" s="238"/>
      <c r="AE129" s="238"/>
      <c r="AF129" s="238"/>
      <c r="AG129" s="238"/>
      <c r="AH129" s="306">
        <f>AH21-AH108</f>
        <v>1784.3273087020116</v>
      </c>
      <c r="AI129" s="238"/>
      <c r="AJ129" s="238"/>
      <c r="AK129" s="238"/>
      <c r="AL129" s="238"/>
      <c r="AM129" s="306">
        <f>AM21-AM108</f>
        <v>1725.7126778967213</v>
      </c>
      <c r="AN129" s="238"/>
      <c r="AO129" s="1054"/>
      <c r="AP129" s="1054"/>
      <c r="AQ129" s="238"/>
      <c r="AR129" s="306">
        <f>AR21-AR108</f>
        <v>1836.4977011181263</v>
      </c>
      <c r="AS129" s="1054"/>
      <c r="AT129" s="238"/>
      <c r="AU129" s="238"/>
      <c r="AV129" s="238"/>
      <c r="AW129" s="306">
        <f>AW21-AW108</f>
        <v>1716.2595806645304</v>
      </c>
      <c r="AX129" s="1054"/>
      <c r="AY129" s="1054"/>
      <c r="AZ129" s="1054"/>
      <c r="BA129" s="238"/>
      <c r="BB129" s="306">
        <f>BB21-BB108</f>
        <v>3923.0538838469574</v>
      </c>
      <c r="BC129" s="1054"/>
      <c r="BD129" s="1054"/>
      <c r="BE129" s="1054"/>
      <c r="BF129" s="238"/>
      <c r="BG129" s="306">
        <f>BG21-BG108</f>
        <v>4703.6188500000026</v>
      </c>
      <c r="BH129" s="1054"/>
      <c r="BI129" s="1054"/>
      <c r="BJ129" s="1054"/>
      <c r="BK129" s="238"/>
      <c r="BL129" s="306">
        <f t="shared" ref="BL129:BU129" si="187">BL21-BL108</f>
        <v>5385.8266999999978</v>
      </c>
      <c r="BM129" s="1018">
        <f t="shared" si="187"/>
        <v>1456.9456817312494</v>
      </c>
      <c r="BN129" s="1018">
        <f t="shared" si="187"/>
        <v>1544.2529562625</v>
      </c>
      <c r="BO129" s="1018">
        <f t="shared" si="187"/>
        <v>1555.7666093999994</v>
      </c>
      <c r="BP129" s="1018">
        <f t="shared" si="187"/>
        <v>1951.9868827999999</v>
      </c>
      <c r="BQ129" s="306">
        <f t="shared" si="187"/>
        <v>6508.852130193749</v>
      </c>
      <c r="BR129" s="1018">
        <f t="shared" si="187"/>
        <v>1722.2486267223253</v>
      </c>
      <c r="BS129" s="1018">
        <f t="shared" si="187"/>
        <v>1882.2553303553004</v>
      </c>
      <c r="BT129" s="1018">
        <f t="shared" si="187"/>
        <v>1762.0841543826527</v>
      </c>
      <c r="BU129" s="1018">
        <f t="shared" si="187"/>
        <v>2168.800305603032</v>
      </c>
      <c r="BV129" s="306">
        <f>SUM(BR129:BU129)</f>
        <v>7535.38841706331</v>
      </c>
      <c r="BW129" s="1018">
        <f>BW21-BW108</f>
        <v>1684.7878295452861</v>
      </c>
      <c r="BX129" s="1018">
        <f>BX21-BX108</f>
        <v>1919.2400089519942</v>
      </c>
      <c r="BY129" s="1018">
        <f>BY21-BY108</f>
        <v>1869.9410722059979</v>
      </c>
      <c r="BZ129" s="1018">
        <f>BZ21-BZ108</f>
        <v>2232.511444617609</v>
      </c>
      <c r="CA129" s="306">
        <f>SUM(BW129:BZ129)</f>
        <v>7706.4803553208876</v>
      </c>
      <c r="CB129" s="1018">
        <f>CB21-CB108</f>
        <v>1732.2528592294439</v>
      </c>
      <c r="CC129" s="1018">
        <f>CC21-CC108</f>
        <v>2005.216350078827</v>
      </c>
      <c r="CD129" s="1018">
        <f>CD21-CD108</f>
        <v>1917.9618701362192</v>
      </c>
      <c r="CE129" s="1018">
        <f>CE21-CE108</f>
        <v>2096.1406512043804</v>
      </c>
      <c r="CF129" s="239">
        <f>SUM(CB129:CE129)</f>
        <v>7751.5717306488705</v>
      </c>
      <c r="CG129" s="1018">
        <f>CG21-CG108</f>
        <v>1763.793574805854</v>
      </c>
      <c r="CH129" s="1018">
        <f>CH21-CH108</f>
        <v>2032.2498700800006</v>
      </c>
      <c r="CI129" s="1018">
        <f>CI21-CI108</f>
        <v>1982.8595523040003</v>
      </c>
      <c r="CJ129" s="1018">
        <f>CJ21-CJ108</f>
        <v>2338.7716451199999</v>
      </c>
      <c r="CK129" s="239">
        <f>SUM(CG129:CJ129)</f>
        <v>8117.6746423098539</v>
      </c>
      <c r="CL129" s="1018">
        <f>CL21-CL108</f>
        <v>2120.0739170000006</v>
      </c>
      <c r="CM129" s="1018">
        <f>CM21-CM108</f>
        <v>2147.9327263500008</v>
      </c>
      <c r="CN129" s="1018">
        <f>CN21-CN108</f>
        <v>2041.5170688000003</v>
      </c>
      <c r="CO129" s="238">
        <f ca="1">CO127*CO130</f>
        <v>2328.74150499914</v>
      </c>
      <c r="CP129" s="239">
        <f ca="1">SUM(CL129:CO129)</f>
        <v>8638.2652171491409</v>
      </c>
      <c r="CQ129" s="238">
        <f ca="1">CQ127*CQ130</f>
        <v>2155.4165477114557</v>
      </c>
      <c r="CR129" s="238">
        <f ca="1">CR127*CR130</f>
        <v>2234.4881535878999</v>
      </c>
      <c r="CS129" s="238">
        <f ca="1">CS127*CS130</f>
        <v>2073.1901083626003</v>
      </c>
      <c r="CT129" s="238">
        <f ca="1">CT127*CT130</f>
        <v>2226.7062787493678</v>
      </c>
      <c r="CU129" s="239">
        <f ca="1">SUM(CQ129:CT129)</f>
        <v>8689.8010884113246</v>
      </c>
      <c r="CV129" s="238">
        <f ca="1">CV127*CV130</f>
        <v>2084.6852419708866</v>
      </c>
      <c r="CW129" s="238">
        <f ca="1">CW127*CW130</f>
        <v>2130.5849062228835</v>
      </c>
      <c r="CX129" s="238">
        <f ca="1">CX127*CX130</f>
        <v>2018.2509896559955</v>
      </c>
      <c r="CY129" s="238">
        <f ca="1">CY127*CY130</f>
        <v>2285.7144453396791</v>
      </c>
      <c r="CZ129" s="239">
        <f ca="1">SUM(CV129:CY129)</f>
        <v>8519.2355831894456</v>
      </c>
      <c r="DA129" s="238">
        <f>DA127*DA130</f>
        <v>2234.9459999999999</v>
      </c>
      <c r="DB129" s="238">
        <f>DB127*DB130</f>
        <v>2167.0591319999999</v>
      </c>
      <c r="DC129" s="238">
        <f>DC127*DC130</f>
        <v>2078.7266399999999</v>
      </c>
      <c r="DD129" s="238">
        <f>DD127*DD130</f>
        <v>2276.9530280000004</v>
      </c>
      <c r="DE129" s="239">
        <f>SUM(DA129:DD129)</f>
        <v>8757.6848000000009</v>
      </c>
      <c r="DF129" s="238">
        <f>DF127*DF130</f>
        <v>2112.3694099999998</v>
      </c>
      <c r="DG129" s="238">
        <f>DG127*DG130</f>
        <v>2135.7315680000002</v>
      </c>
      <c r="DH129" s="238">
        <f>DH127*DH130</f>
        <v>2032.0099873912002</v>
      </c>
      <c r="DI129" s="238">
        <f>DI127*DI130</f>
        <v>2274.7390598994907</v>
      </c>
      <c r="DJ129" s="239">
        <f>SUM(DF129:DI129)</f>
        <v>8554.8500252906924</v>
      </c>
      <c r="DK129" s="238">
        <f>DK127*DK130</f>
        <v>2175.1264314249997</v>
      </c>
      <c r="DL129" s="238">
        <f>DL127*DL130</f>
        <v>2163.5457465600002</v>
      </c>
      <c r="DM129" s="238">
        <f>DM127*DM130</f>
        <v>2035.0816303953961</v>
      </c>
      <c r="DN129" s="238">
        <f>DN127*DN130</f>
        <v>2278.177618943525</v>
      </c>
      <c r="DO129" s="239">
        <f>SUM(DK129:DN129)</f>
        <v>8651.9314273239215</v>
      </c>
      <c r="DP129" s="238">
        <f>DP127*DP130</f>
        <v>2188.5682239787498</v>
      </c>
      <c r="DQ129" s="238">
        <f>DQ127*DQ130</f>
        <v>2177.1908362116001</v>
      </c>
      <c r="DR129" s="238">
        <f>DR127*DR130</f>
        <v>2048.1810064071369</v>
      </c>
      <c r="DS129" s="238">
        <f>DS127*DS130</f>
        <v>2292.8417507436211</v>
      </c>
      <c r="DT129" s="239">
        <f>SUM(DP129:DS129)</f>
        <v>8706.7818173411088</v>
      </c>
      <c r="DU129" s="238">
        <f>DU127*DU130</f>
        <v>2201.8212204461765</v>
      </c>
      <c r="DV129" s="238">
        <f>DV127*DV130</f>
        <v>2190.6453863230204</v>
      </c>
      <c r="DW129" s="238">
        <f>DW127*DW130</f>
        <v>2061.098511618</v>
      </c>
      <c r="DX129" s="238">
        <f>DX127*DX130</f>
        <v>2307.3022867852428</v>
      </c>
      <c r="DY129" s="239">
        <f>SUM(DU129:DX129)</f>
        <v>8760.8674051724392</v>
      </c>
      <c r="DZ129" s="238"/>
      <c r="EA129" s="238"/>
    </row>
    <row r="130" spans="1:131" ht="12" customHeight="1" x14ac:dyDescent="0.2">
      <c r="A130" s="2057"/>
      <c r="B130" s="2421" t="s">
        <v>516</v>
      </c>
      <c r="C130" s="2353"/>
      <c r="D130" s="2353"/>
      <c r="E130" s="2057"/>
      <c r="F130" s="2354"/>
      <c r="G130" s="2017"/>
      <c r="H130" s="2017"/>
      <c r="I130" s="2355"/>
      <c r="J130" s="2057"/>
      <c r="K130" s="2354"/>
      <c r="L130" s="2017"/>
      <c r="M130" s="2017"/>
      <c r="N130" s="2422">
        <f>N129/N127</f>
        <v>0.35946209134972057</v>
      </c>
      <c r="O130" s="2057"/>
      <c r="P130" s="2354"/>
      <c r="Q130" s="2017"/>
      <c r="R130" s="2017"/>
      <c r="S130" s="2422">
        <f>S129/S127</f>
        <v>0.35320889381974169</v>
      </c>
      <c r="T130" s="2057"/>
      <c r="U130" s="2354"/>
      <c r="V130" s="2356"/>
      <c r="W130" s="2057"/>
      <c r="X130" s="2422">
        <f>X129/X127</f>
        <v>0.32698902234369459</v>
      </c>
      <c r="Y130" s="2057"/>
      <c r="Z130" s="2354"/>
      <c r="AA130" s="2017"/>
      <c r="AB130" s="2017"/>
      <c r="AC130" s="2422">
        <f>AC129/AC127</f>
        <v>0.28363082943518547</v>
      </c>
      <c r="AD130" s="2057"/>
      <c r="AE130" s="2354"/>
      <c r="AF130" s="2017"/>
      <c r="AG130" s="2017"/>
      <c r="AH130" s="2422">
        <f>AH129/AH127</f>
        <v>0.24678027191304003</v>
      </c>
      <c r="AI130" s="2057"/>
      <c r="AJ130" s="2357"/>
      <c r="AK130" s="2357"/>
      <c r="AL130" s="2057"/>
      <c r="AM130" s="2422">
        <f>AM129/AM127</f>
        <v>0.23097257166946095</v>
      </c>
      <c r="AN130" s="2358"/>
      <c r="AO130" s="2359"/>
      <c r="AP130" s="2359"/>
      <c r="AQ130" s="2057"/>
      <c r="AR130" s="2422">
        <f>AR129/AR127</f>
        <v>0.23283416125767142</v>
      </c>
      <c r="AS130" s="2360"/>
      <c r="AT130" s="2357"/>
      <c r="AU130" s="2357"/>
      <c r="AV130" s="2057"/>
      <c r="AW130" s="2422">
        <f>AW129/AW127</f>
        <v>0.19913415047954716</v>
      </c>
      <c r="AX130" s="2359"/>
      <c r="AY130" s="2359"/>
      <c r="AZ130" s="2359"/>
      <c r="BA130" s="2057"/>
      <c r="BB130" s="2422">
        <f>BB129/BB127</f>
        <v>0.36644519008454585</v>
      </c>
      <c r="BC130" s="2359"/>
      <c r="BD130" s="2359"/>
      <c r="BE130" s="2359"/>
      <c r="BF130" s="2057"/>
      <c r="BG130" s="2422">
        <f>BG129/BG127</f>
        <v>0.36948363133429868</v>
      </c>
      <c r="BH130" s="2359"/>
      <c r="BI130" s="2359"/>
      <c r="BJ130" s="2359"/>
      <c r="BK130" s="2057"/>
      <c r="BL130" s="2422">
        <f t="shared" ref="BL130:CT130" si="188">BL129/BL127</f>
        <v>0.37097955875431432</v>
      </c>
      <c r="BM130" s="2423">
        <f t="shared" si="188"/>
        <v>0.38677569680923096</v>
      </c>
      <c r="BN130" s="2423">
        <f t="shared" si="188"/>
        <v>0.40743336343796438</v>
      </c>
      <c r="BO130" s="2423">
        <f t="shared" si="188"/>
        <v>0.42521063093122519</v>
      </c>
      <c r="BP130" s="2423">
        <f t="shared" si="188"/>
        <v>0.41264967536386665</v>
      </c>
      <c r="BQ130" s="2422">
        <f t="shared" si="188"/>
        <v>0.40880339261098869</v>
      </c>
      <c r="BR130" s="2423">
        <f t="shared" si="188"/>
        <v>0.40126815673683591</v>
      </c>
      <c r="BS130" s="2423">
        <f t="shared" si="188"/>
        <v>0.41719569976022713</v>
      </c>
      <c r="BT130" s="2423">
        <f t="shared" si="188"/>
        <v>0.40985312290900061</v>
      </c>
      <c r="BU130" s="2423">
        <f t="shared" si="188"/>
        <v>0.45192189837239632</v>
      </c>
      <c r="BV130" s="2422">
        <f t="shared" si="188"/>
        <v>0.42092286096957587</v>
      </c>
      <c r="BW130" s="2423">
        <f t="shared" si="188"/>
        <v>0.38142846297918576</v>
      </c>
      <c r="BX130" s="2423">
        <f t="shared" si="188"/>
        <v>0.41391798438566091</v>
      </c>
      <c r="BY130" s="2423">
        <f t="shared" si="188"/>
        <v>0.42194029429029062</v>
      </c>
      <c r="BZ130" s="2423">
        <f t="shared" si="188"/>
        <v>0.45551111443821213</v>
      </c>
      <c r="CA130" s="2422">
        <f t="shared" si="188"/>
        <v>0.41913359702337372</v>
      </c>
      <c r="CB130" s="2423">
        <f t="shared" si="188"/>
        <v>0.38431454776073914</v>
      </c>
      <c r="CC130" s="2423">
        <f t="shared" si="188"/>
        <v>0.42133953236123184</v>
      </c>
      <c r="CD130" s="2423">
        <f t="shared" si="188"/>
        <v>0.41439922695857107</v>
      </c>
      <c r="CE130" s="2423">
        <f t="shared" si="188"/>
        <v>0.4188811207428304</v>
      </c>
      <c r="CF130" s="2424">
        <f t="shared" si="188"/>
        <v>0.41015850759417316</v>
      </c>
      <c r="CG130" s="2423">
        <f t="shared" si="188"/>
        <v>0.36568767587942286</v>
      </c>
      <c r="CH130" s="2423">
        <f t="shared" si="188"/>
        <v>0.41105776716278802</v>
      </c>
      <c r="CI130" s="2423">
        <f t="shared" si="188"/>
        <v>0.41389722617324115</v>
      </c>
      <c r="CJ130" s="2423">
        <f t="shared" si="188"/>
        <v>0.44339256777990116</v>
      </c>
      <c r="CK130" s="2424">
        <f>CK129/CK127</f>
        <v>0.40930963121674707</v>
      </c>
      <c r="CL130" s="2423">
        <f t="shared" si="188"/>
        <v>0.42607613976417913</v>
      </c>
      <c r="CM130" s="2423">
        <f t="shared" si="188"/>
        <v>0.43069727046079148</v>
      </c>
      <c r="CN130" s="2423">
        <f t="shared" si="188"/>
        <v>0.42354563524467725</v>
      </c>
      <c r="CO130" s="2423">
        <f t="shared" ca="1" si="188"/>
        <v>0.4374730943430295</v>
      </c>
      <c r="CP130" s="2424">
        <f ca="1">CP129/CP127</f>
        <v>0.42963309933084426</v>
      </c>
      <c r="CQ130" s="1739">
        <f t="shared" ca="1" si="188"/>
        <v>0.43747309434302944</v>
      </c>
      <c r="CR130" s="1739">
        <f t="shared" ca="1" si="188"/>
        <v>0.43747309434302939</v>
      </c>
      <c r="CS130" s="1739">
        <f t="shared" ca="1" si="188"/>
        <v>0.43747309434302944</v>
      </c>
      <c r="CT130" s="1739">
        <f t="shared" ca="1" si="188"/>
        <v>0.4374730943430295</v>
      </c>
      <c r="CU130" s="2424">
        <f t="shared" ref="CU130:CZ130" ca="1" si="189">CU129/CU127</f>
        <v>0.43747309434302944</v>
      </c>
      <c r="CV130" s="1440">
        <f t="shared" ca="1" si="189"/>
        <v>0.4374730943430295</v>
      </c>
      <c r="CW130" s="1440">
        <f t="shared" ca="1" si="189"/>
        <v>0.43747309434302944</v>
      </c>
      <c r="CX130" s="1440">
        <f t="shared" ca="1" si="189"/>
        <v>0.43747309434302944</v>
      </c>
      <c r="CY130" s="1440">
        <f t="shared" ca="1" si="189"/>
        <v>0.4374730943430295</v>
      </c>
      <c r="CZ130" s="2424">
        <f t="shared" ca="1" si="189"/>
        <v>0.43747309434302961</v>
      </c>
      <c r="DA130" s="1440">
        <v>0.4375</v>
      </c>
      <c r="DB130" s="1440">
        <v>0.43</v>
      </c>
      <c r="DC130" s="1440">
        <v>0.43</v>
      </c>
      <c r="DD130" s="1440">
        <v>0.43</v>
      </c>
      <c r="DE130" s="2424">
        <f>DE129/DE127</f>
        <v>0.43188944179214833</v>
      </c>
      <c r="DF130" s="1440">
        <v>0.43</v>
      </c>
      <c r="DG130" s="1440">
        <v>0.43</v>
      </c>
      <c r="DH130" s="2752">
        <v>0.43</v>
      </c>
      <c r="DI130" s="2752">
        <v>0.43</v>
      </c>
      <c r="DJ130" s="2424">
        <f>DJ129/DJ127</f>
        <v>0.4300000000000001</v>
      </c>
      <c r="DK130" s="1106">
        <f>'Key Inputs and Scenarios'!AX19</f>
        <v>0.44500000000000001</v>
      </c>
      <c r="DL130" s="1106">
        <f>'Key Inputs and Scenarios'!AY19</f>
        <v>0.44</v>
      </c>
      <c r="DM130" s="1106">
        <f>'Key Inputs and Scenarios'!AZ19</f>
        <v>0.435</v>
      </c>
      <c r="DN130" s="1106">
        <f>'Key Inputs and Scenarios'!BA19</f>
        <v>0.435</v>
      </c>
      <c r="DO130" s="2424">
        <f>DO129/DO127</f>
        <v>0.43872528960726909</v>
      </c>
      <c r="DP130" s="1106">
        <f>'Key Inputs and Scenarios'!BC19</f>
        <v>0.45</v>
      </c>
      <c r="DQ130" s="1106">
        <f>'Key Inputs and Scenarios'!BD19</f>
        <v>0.44500000000000001</v>
      </c>
      <c r="DR130" s="1106">
        <f>'Key Inputs and Scenarios'!BE19</f>
        <v>0.44</v>
      </c>
      <c r="DS130" s="1106">
        <f>'Key Inputs and Scenarios'!BF19</f>
        <v>0.44</v>
      </c>
      <c r="DT130" s="2424">
        <f>DT129/DT127</f>
        <v>0.44372528960726909</v>
      </c>
      <c r="DU130" s="1106">
        <f>'Key Inputs and Scenarios'!BH19</f>
        <v>0.45500000000000002</v>
      </c>
      <c r="DV130" s="1106">
        <f>'Key Inputs and Scenarios'!BI19</f>
        <v>0.45</v>
      </c>
      <c r="DW130" s="1106">
        <f>'Key Inputs and Scenarios'!BJ19</f>
        <v>0.44500000000000001</v>
      </c>
      <c r="DX130" s="1106">
        <f>'Key Inputs and Scenarios'!BK19</f>
        <v>0.44500000000000001</v>
      </c>
      <c r="DY130" s="2424">
        <f>DY129/DY127</f>
        <v>0.44872528960726898</v>
      </c>
      <c r="DZ130" s="2017"/>
      <c r="EA130" s="2017"/>
    </row>
    <row r="131" spans="1:131" ht="12" customHeight="1" x14ac:dyDescent="0.2">
      <c r="A131" s="1984"/>
      <c r="B131" s="2390" t="s">
        <v>1022</v>
      </c>
      <c r="C131" s="1883"/>
      <c r="D131" s="1883"/>
      <c r="E131" s="1984"/>
      <c r="F131" s="2056"/>
      <c r="G131" s="1850"/>
      <c r="H131" s="1850"/>
      <c r="I131" s="2134"/>
      <c r="J131" s="1984"/>
      <c r="K131" s="2056"/>
      <c r="L131" s="1850"/>
      <c r="M131" s="1850"/>
      <c r="N131" s="2134"/>
      <c r="O131" s="1984"/>
      <c r="P131" s="2056"/>
      <c r="Q131" s="1850"/>
      <c r="R131" s="1850"/>
      <c r="S131" s="2425">
        <f>S130-N130</f>
        <v>-6.2531975299788822E-3</v>
      </c>
      <c r="T131" s="1984"/>
      <c r="U131" s="2056"/>
      <c r="V131" s="2045"/>
      <c r="W131" s="1984"/>
      <c r="X131" s="2425">
        <f>X130-S130</f>
        <v>-2.6219871476047096E-2</v>
      </c>
      <c r="Y131" s="1984"/>
      <c r="Z131" s="2056"/>
      <c r="AA131" s="1850"/>
      <c r="AB131" s="1850"/>
      <c r="AC131" s="2425">
        <f>AC130-X130</f>
        <v>-4.3358192908509119E-2</v>
      </c>
      <c r="AD131" s="1984"/>
      <c r="AE131" s="2056"/>
      <c r="AF131" s="1850"/>
      <c r="AG131" s="1850"/>
      <c r="AH131" s="2425">
        <f>AH130-AC130</f>
        <v>-3.6850557522145444E-2</v>
      </c>
      <c r="AI131" s="1984"/>
      <c r="AJ131" s="2319"/>
      <c r="AK131" s="2319"/>
      <c r="AL131" s="1984"/>
      <c r="AM131" s="2425">
        <f>AM130-AH130</f>
        <v>-1.5807700243579081E-2</v>
      </c>
      <c r="AN131" s="2317"/>
      <c r="AO131" s="2320"/>
      <c r="AP131" s="2320"/>
      <c r="AQ131" s="1984"/>
      <c r="AR131" s="2425">
        <f>AR130-AM130</f>
        <v>1.8615895882104772E-3</v>
      </c>
      <c r="AS131" s="2321"/>
      <c r="AT131" s="2319"/>
      <c r="AU131" s="2319"/>
      <c r="AV131" s="1984"/>
      <c r="AW131" s="2425">
        <f>AW130-AR130</f>
        <v>-3.3700010778124262E-2</v>
      </c>
      <c r="AX131" s="2320"/>
      <c r="AY131" s="2320"/>
      <c r="AZ131" s="2320"/>
      <c r="BA131" s="1984"/>
      <c r="BB131" s="2425">
        <f>BB130-AW130</f>
        <v>0.16731103960499868</v>
      </c>
      <c r="BC131" s="2320"/>
      <c r="BD131" s="2320"/>
      <c r="BE131" s="2320"/>
      <c r="BF131" s="1984"/>
      <c r="BG131" s="2425">
        <f>BG130-BB130</f>
        <v>3.0384412497528324E-3</v>
      </c>
      <c r="BH131" s="2320"/>
      <c r="BI131" s="2320"/>
      <c r="BJ131" s="2320"/>
      <c r="BK131" s="1984"/>
      <c r="BL131" s="2425">
        <f>BL130-BG130</f>
        <v>1.4959274200156414E-3</v>
      </c>
      <c r="BM131" s="1850"/>
      <c r="BN131" s="1850"/>
      <c r="BO131" s="1850"/>
      <c r="BP131" s="1850"/>
      <c r="BQ131" s="2425">
        <f t="shared" ref="BQ131:DJ131" si="190">BQ130-BL130</f>
        <v>3.7823833856674371E-2</v>
      </c>
      <c r="BR131" s="2426">
        <f t="shared" si="190"/>
        <v>1.449245992760495E-2</v>
      </c>
      <c r="BS131" s="2426">
        <f t="shared" si="190"/>
        <v>9.7623363222627546E-3</v>
      </c>
      <c r="BT131" s="2426">
        <f t="shared" si="190"/>
        <v>-1.5357508022224575E-2</v>
      </c>
      <c r="BU131" s="2426">
        <f t="shared" si="190"/>
        <v>3.9272223008529672E-2</v>
      </c>
      <c r="BV131" s="2425">
        <f t="shared" si="190"/>
        <v>1.2119468358587182E-2</v>
      </c>
      <c r="BW131" s="2426">
        <f t="shared" si="190"/>
        <v>-1.9839693757650156E-2</v>
      </c>
      <c r="BX131" s="2426">
        <f t="shared" si="190"/>
        <v>-3.2777153745662257E-3</v>
      </c>
      <c r="BY131" s="2426">
        <f t="shared" si="190"/>
        <v>1.2087171381290007E-2</v>
      </c>
      <c r="BZ131" s="2426">
        <f t="shared" si="190"/>
        <v>3.5892160658158034E-3</v>
      </c>
      <c r="CA131" s="2425">
        <f t="shared" si="190"/>
        <v>-1.7892639462021576E-3</v>
      </c>
      <c r="CB131" s="2426">
        <f t="shared" si="190"/>
        <v>2.8860847815533885E-3</v>
      </c>
      <c r="CC131" s="2426">
        <f t="shared" si="190"/>
        <v>7.4215479755709302E-3</v>
      </c>
      <c r="CD131" s="2316">
        <f t="shared" si="190"/>
        <v>-7.5410673317195531E-3</v>
      </c>
      <c r="CE131" s="2316">
        <f t="shared" si="190"/>
        <v>-3.6629993695381724E-2</v>
      </c>
      <c r="CF131" s="2315">
        <f t="shared" si="190"/>
        <v>-8.9750894292005556E-3</v>
      </c>
      <c r="CG131" s="2426">
        <f t="shared" si="190"/>
        <v>-1.8626871881316287E-2</v>
      </c>
      <c r="CH131" s="2426">
        <f t="shared" si="190"/>
        <v>-1.0281765198443815E-2</v>
      </c>
      <c r="CI131" s="2426">
        <f t="shared" si="190"/>
        <v>-5.0200078532991466E-4</v>
      </c>
      <c r="CJ131" s="2426">
        <f t="shared" si="190"/>
        <v>2.4511447037070755E-2</v>
      </c>
      <c r="CK131" s="2315">
        <f t="shared" si="190"/>
        <v>-8.4887637742608879E-4</v>
      </c>
      <c r="CL131" s="2316">
        <f t="shared" si="190"/>
        <v>6.0388463884756272E-2</v>
      </c>
      <c r="CM131" s="2316">
        <f t="shared" si="190"/>
        <v>1.9639503298003458E-2</v>
      </c>
      <c r="CN131" s="2316">
        <f t="shared" si="190"/>
        <v>9.6484090714361037E-3</v>
      </c>
      <c r="CO131" s="2316">
        <f t="shared" ca="1" si="190"/>
        <v>-5.9194734368716584E-3</v>
      </c>
      <c r="CP131" s="2315">
        <f t="shared" ca="1" si="190"/>
        <v>2.0323468114097187E-2</v>
      </c>
      <c r="CQ131" s="2316">
        <f t="shared" ca="1" si="190"/>
        <v>1.1396954578850316E-2</v>
      </c>
      <c r="CR131" s="2316">
        <f t="shared" ca="1" si="190"/>
        <v>6.775823882237908E-3</v>
      </c>
      <c r="CS131" s="2316">
        <f t="shared" ca="1" si="190"/>
        <v>1.3927459098352191E-2</v>
      </c>
      <c r="CT131" s="2316">
        <f t="shared" ca="1" si="190"/>
        <v>0</v>
      </c>
      <c r="CU131" s="2315">
        <f t="shared" ca="1" si="190"/>
        <v>7.8399950121851858E-3</v>
      </c>
      <c r="CV131" s="2316">
        <f ca="1">CV130-CQ130</f>
        <v>0</v>
      </c>
      <c r="CW131" s="2316">
        <f ca="1">CW130-CR130</f>
        <v>0</v>
      </c>
      <c r="CX131" s="2316">
        <f ca="1">CX130-CS130</f>
        <v>0</v>
      </c>
      <c r="CY131" s="2316">
        <f ca="1">CY130-CT130</f>
        <v>0</v>
      </c>
      <c r="CZ131" s="2315">
        <f t="shared" ca="1" si="190"/>
        <v>0</v>
      </c>
      <c r="DA131" s="2316">
        <f ca="1">DA130-CV130</f>
        <v>2.6905656970499514E-5</v>
      </c>
      <c r="DB131" s="2316">
        <f ca="1">DB130-CW130</f>
        <v>-7.4730943430294516E-3</v>
      </c>
      <c r="DC131" s="2316">
        <f ca="1">DC130-CX130</f>
        <v>-7.4730943430294516E-3</v>
      </c>
      <c r="DD131" s="2316">
        <f ca="1">DD130-CY130</f>
        <v>-7.4730943430295071E-3</v>
      </c>
      <c r="DE131" s="2315">
        <f t="shared" ca="1" si="190"/>
        <v>-5.5836525508812795E-3</v>
      </c>
      <c r="DF131" s="2316">
        <f>DF130-DA130</f>
        <v>-7.5000000000000067E-3</v>
      </c>
      <c r="DG131" s="2316">
        <f>DG130-DB130</f>
        <v>0</v>
      </c>
      <c r="DH131" s="2753">
        <f>DH130-DC130</f>
        <v>0</v>
      </c>
      <c r="DI131" s="2753">
        <f>DI130-DD130</f>
        <v>0</v>
      </c>
      <c r="DJ131" s="2315">
        <f t="shared" si="190"/>
        <v>-1.8894417921482276E-3</v>
      </c>
      <c r="DK131" s="2316">
        <f t="shared" ref="DK131:DT131" si="191">DK130-DF130</f>
        <v>1.5000000000000013E-2</v>
      </c>
      <c r="DL131" s="2316">
        <f t="shared" si="191"/>
        <v>1.0000000000000009E-2</v>
      </c>
      <c r="DM131" s="2316">
        <f t="shared" si="191"/>
        <v>5.0000000000000044E-3</v>
      </c>
      <c r="DN131" s="2316">
        <f t="shared" si="191"/>
        <v>5.0000000000000044E-3</v>
      </c>
      <c r="DO131" s="2315">
        <f t="shared" si="191"/>
        <v>8.7252896072689823E-3</v>
      </c>
      <c r="DP131" s="2316">
        <f t="shared" si="191"/>
        <v>5.0000000000000044E-3</v>
      </c>
      <c r="DQ131" s="2316">
        <f t="shared" si="191"/>
        <v>5.0000000000000044E-3</v>
      </c>
      <c r="DR131" s="2316">
        <f t="shared" si="191"/>
        <v>5.0000000000000044E-3</v>
      </c>
      <c r="DS131" s="2316">
        <f t="shared" si="191"/>
        <v>5.0000000000000044E-3</v>
      </c>
      <c r="DT131" s="2315">
        <f t="shared" si="191"/>
        <v>5.0000000000000044E-3</v>
      </c>
      <c r="DU131" s="2316">
        <f t="shared" ref="DU131" si="192">DU130-DP130</f>
        <v>5.0000000000000044E-3</v>
      </c>
      <c r="DV131" s="2316">
        <f t="shared" ref="DV131" si="193">DV130-DQ130</f>
        <v>5.0000000000000044E-3</v>
      </c>
      <c r="DW131" s="2316">
        <f t="shared" ref="DW131" si="194">DW130-DR130</f>
        <v>5.0000000000000044E-3</v>
      </c>
      <c r="DX131" s="2316">
        <f t="shared" ref="DX131" si="195">DX130-DS130</f>
        <v>5.0000000000000044E-3</v>
      </c>
      <c r="DY131" s="2315">
        <f t="shared" ref="DY131" si="196">DY130-DT130</f>
        <v>4.9999999999998934E-3</v>
      </c>
      <c r="DZ131" s="1850"/>
      <c r="EA131" s="1850"/>
    </row>
    <row r="132" spans="1:131" ht="12" customHeight="1" x14ac:dyDescent="0.2">
      <c r="A132" s="1984"/>
      <c r="B132" s="2390"/>
      <c r="C132" s="1883"/>
      <c r="D132" s="1883"/>
      <c r="E132" s="1984"/>
      <c r="F132" s="2056"/>
      <c r="G132" s="1850"/>
      <c r="H132" s="1850"/>
      <c r="I132" s="2134"/>
      <c r="J132" s="1984"/>
      <c r="K132" s="2056"/>
      <c r="L132" s="1850"/>
      <c r="M132" s="1850"/>
      <c r="N132" s="2134"/>
      <c r="O132" s="1984"/>
      <c r="P132" s="2056"/>
      <c r="Q132" s="1850"/>
      <c r="R132" s="1850"/>
      <c r="S132" s="2315"/>
      <c r="T132" s="1984"/>
      <c r="U132" s="2056"/>
      <c r="V132" s="2045"/>
      <c r="W132" s="1984"/>
      <c r="X132" s="2315"/>
      <c r="Y132" s="1984"/>
      <c r="Z132" s="2056"/>
      <c r="AA132" s="1850"/>
      <c r="AB132" s="1850"/>
      <c r="AC132" s="2315"/>
      <c r="AD132" s="1984"/>
      <c r="AE132" s="2056"/>
      <c r="AF132" s="1850"/>
      <c r="AG132" s="1850"/>
      <c r="AH132" s="2315"/>
      <c r="AI132" s="1984"/>
      <c r="AJ132" s="2319"/>
      <c r="AK132" s="2319"/>
      <c r="AL132" s="1984"/>
      <c r="AM132" s="2315"/>
      <c r="AN132" s="2317"/>
      <c r="AO132" s="2320"/>
      <c r="AP132" s="2320"/>
      <c r="AQ132" s="1984"/>
      <c r="AR132" s="2315"/>
      <c r="AS132" s="2321"/>
      <c r="AT132" s="2319"/>
      <c r="AU132" s="2319"/>
      <c r="AV132" s="1984"/>
      <c r="AW132" s="2315"/>
      <c r="AX132" s="2320"/>
      <c r="AY132" s="2320"/>
      <c r="AZ132" s="2320"/>
      <c r="BA132" s="1984"/>
      <c r="BB132" s="2315"/>
      <c r="BC132" s="2320"/>
      <c r="BD132" s="2320"/>
      <c r="BE132" s="2320"/>
      <c r="BF132" s="1984"/>
      <c r="BG132" s="2315"/>
      <c r="BH132" s="2320"/>
      <c r="BI132" s="2320"/>
      <c r="BJ132" s="2320"/>
      <c r="BK132" s="1984"/>
      <c r="BL132" s="2315"/>
      <c r="BM132" s="1850"/>
      <c r="BN132" s="1850"/>
      <c r="BO132" s="1850"/>
      <c r="BP132" s="1850"/>
      <c r="BQ132" s="2315"/>
      <c r="BR132" s="2314"/>
      <c r="BS132" s="2314"/>
      <c r="BT132" s="2314"/>
      <c r="BU132" s="2314"/>
      <c r="BV132" s="2315"/>
      <c r="BW132" s="2314"/>
      <c r="BX132" s="2314"/>
      <c r="BY132" s="2314"/>
      <c r="BZ132" s="2314"/>
      <c r="CA132" s="2315"/>
      <c r="CB132" s="2314"/>
      <c r="CC132" s="2314"/>
      <c r="CD132" s="2314"/>
      <c r="CE132" s="2314"/>
      <c r="CF132" s="2315"/>
      <c r="CG132" s="2314"/>
      <c r="CH132" s="2314"/>
      <c r="CI132" s="2314"/>
      <c r="CJ132" s="2314"/>
      <c r="CK132" s="2315"/>
      <c r="CL132" s="2314"/>
      <c r="CM132" s="2314"/>
      <c r="CN132" s="2314"/>
      <c r="CO132" s="2314"/>
      <c r="CP132" s="2315"/>
      <c r="CQ132" s="2314"/>
      <c r="CR132" s="2314"/>
      <c r="CS132" s="2314"/>
      <c r="CT132" s="2314"/>
      <c r="CU132" s="2315"/>
      <c r="CV132" s="2314"/>
      <c r="CW132" s="2314"/>
      <c r="CX132" s="2314"/>
      <c r="CY132" s="2314"/>
      <c r="CZ132" s="2315"/>
      <c r="DA132" s="2314"/>
      <c r="DB132" s="2314"/>
      <c r="DC132" s="2314"/>
      <c r="DD132" s="2314"/>
      <c r="DE132" s="2315">
        <f>DE129/IS!DE12</f>
        <v>0.30300891275465025</v>
      </c>
      <c r="DF132" s="2314"/>
      <c r="DG132" s="2314"/>
      <c r="DH132" s="2314"/>
      <c r="DI132" s="2314"/>
      <c r="DJ132" s="2315"/>
      <c r="DK132" s="2314"/>
      <c r="DL132" s="2314"/>
      <c r="DM132" s="2314"/>
      <c r="DN132" s="2314"/>
      <c r="DO132" s="2315"/>
      <c r="DP132" s="2314"/>
      <c r="DQ132" s="2314"/>
      <c r="DR132" s="2314"/>
      <c r="DS132" s="2314"/>
      <c r="DT132" s="2315"/>
      <c r="DU132" s="2314"/>
      <c r="DV132" s="2314"/>
      <c r="DW132" s="2314"/>
      <c r="DX132" s="2314"/>
      <c r="DY132" s="2315"/>
      <c r="DZ132" s="1850"/>
      <c r="EA132" s="1850"/>
    </row>
    <row r="133" spans="1:131" ht="12" customHeight="1" x14ac:dyDescent="0.2">
      <c r="A133" s="2090"/>
      <c r="B133" s="2419" t="s">
        <v>1023</v>
      </c>
      <c r="C133" s="2324"/>
      <c r="D133" s="2324"/>
      <c r="E133" s="2274"/>
      <c r="F133" s="2275"/>
      <c r="G133" s="2325"/>
      <c r="H133" s="2325"/>
      <c r="I133" s="2276"/>
      <c r="J133" s="2274"/>
      <c r="K133" s="2275"/>
      <c r="L133" s="2325"/>
      <c r="M133" s="2325"/>
      <c r="N133" s="2276"/>
      <c r="O133" s="2274"/>
      <c r="P133" s="2275"/>
      <c r="Q133" s="2325"/>
      <c r="R133" s="2325"/>
      <c r="S133" s="2276"/>
      <c r="T133" s="2274"/>
      <c r="U133" s="2275"/>
      <c r="V133" s="2326"/>
      <c r="W133" s="2274"/>
      <c r="X133" s="2276"/>
      <c r="Y133" s="2274"/>
      <c r="Z133" s="2275"/>
      <c r="AA133" s="2325"/>
      <c r="AB133" s="2325"/>
      <c r="AC133" s="2276"/>
      <c r="AD133" s="2274"/>
      <c r="AE133" s="2275"/>
      <c r="AF133" s="2325"/>
      <c r="AG133" s="2325"/>
      <c r="AH133" s="2276"/>
      <c r="AI133" s="2274"/>
      <c r="AJ133" s="2327"/>
      <c r="AK133" s="2327"/>
      <c r="AL133" s="2274"/>
      <c r="AM133" s="2276"/>
      <c r="AN133" s="2328"/>
      <c r="AO133" s="2329"/>
      <c r="AP133" s="2329"/>
      <c r="AQ133" s="2274"/>
      <c r="AR133" s="2276"/>
      <c r="AS133" s="2330"/>
      <c r="AT133" s="2327"/>
      <c r="AU133" s="2327"/>
      <c r="AV133" s="2274"/>
      <c r="AW133" s="2331"/>
      <c r="AX133" s="2329"/>
      <c r="AY133" s="2329"/>
      <c r="AZ133" s="2329"/>
      <c r="BA133" s="2274"/>
      <c r="BB133" s="2331"/>
      <c r="BC133" s="2329"/>
      <c r="BD133" s="2329"/>
      <c r="BE133" s="2329"/>
      <c r="BF133" s="2274"/>
      <c r="BG133" s="2331"/>
      <c r="BH133" s="2329"/>
      <c r="BI133" s="2329"/>
      <c r="BJ133" s="2329"/>
      <c r="BK133" s="2274"/>
      <c r="BL133" s="2331"/>
      <c r="BM133" s="2325"/>
      <c r="BN133" s="2325"/>
      <c r="BO133" s="2325"/>
      <c r="BP133" s="2325"/>
      <c r="BQ133" s="2331"/>
      <c r="BR133" s="2325"/>
      <c r="BS133" s="2325"/>
      <c r="BT133" s="2325"/>
      <c r="BU133" s="2325"/>
      <c r="BV133" s="2331"/>
      <c r="BW133" s="2325"/>
      <c r="BX133" s="2325"/>
      <c r="BY133" s="2325"/>
      <c r="BZ133" s="2325"/>
      <c r="CA133" s="1104"/>
      <c r="CB133" s="2325"/>
      <c r="CC133" s="2325"/>
      <c r="CD133" s="2325"/>
      <c r="CE133" s="2325"/>
      <c r="CF133" s="2331"/>
      <c r="CG133" s="2325"/>
      <c r="CH133" s="2325"/>
      <c r="CI133" s="2325"/>
      <c r="CJ133" s="2325"/>
      <c r="CK133" s="2331"/>
      <c r="CL133" s="2325"/>
      <c r="CM133" s="2325"/>
      <c r="CN133" s="2325"/>
      <c r="CO133" s="2325"/>
      <c r="CP133" s="2331"/>
      <c r="CQ133" s="2325"/>
      <c r="CR133" s="2325"/>
      <c r="CS133" s="2325"/>
      <c r="CT133" s="2325"/>
      <c r="CU133" s="2331"/>
      <c r="CV133" s="2325"/>
      <c r="CW133" s="2325"/>
      <c r="CX133" s="2325"/>
      <c r="CY133" s="2325"/>
      <c r="CZ133" s="2331"/>
      <c r="DA133" s="2325"/>
      <c r="DB133" s="2325"/>
      <c r="DC133" s="2325"/>
      <c r="DD133" s="2325"/>
      <c r="DE133" s="2331"/>
      <c r="DF133" s="2325"/>
      <c r="DG133" s="2325"/>
      <c r="DH133" s="2325"/>
      <c r="DI133" s="2325"/>
      <c r="DJ133" s="2331"/>
      <c r="DK133" s="2325"/>
      <c r="DL133" s="2325"/>
      <c r="DM133" s="2325"/>
      <c r="DN133" s="2325"/>
      <c r="DO133" s="2331"/>
      <c r="DP133" s="2325"/>
      <c r="DQ133" s="2325"/>
      <c r="DR133" s="2325"/>
      <c r="DS133" s="2325"/>
      <c r="DT133" s="2331"/>
      <c r="DU133" s="2325"/>
      <c r="DV133" s="2325"/>
      <c r="DW133" s="2325"/>
      <c r="DX133" s="2325"/>
      <c r="DY133" s="2331"/>
      <c r="DZ133" s="1943"/>
      <c r="EA133" s="1943"/>
    </row>
    <row r="134" spans="1:131" ht="6" customHeight="1" x14ac:dyDescent="0.2">
      <c r="A134" s="1984"/>
      <c r="B134" s="2318"/>
      <c r="C134" s="1883"/>
      <c r="D134" s="1883"/>
      <c r="E134" s="1984"/>
      <c r="F134" s="2056"/>
      <c r="G134" s="1850"/>
      <c r="H134" s="1850"/>
      <c r="I134" s="2134"/>
      <c r="J134" s="1984"/>
      <c r="K134" s="2056"/>
      <c r="L134" s="1850"/>
      <c r="M134" s="1850"/>
      <c r="N134" s="2134"/>
      <c r="O134" s="1984"/>
      <c r="P134" s="2056"/>
      <c r="Q134" s="1850"/>
      <c r="R134" s="1850"/>
      <c r="S134" s="2134"/>
      <c r="T134" s="1984"/>
      <c r="U134" s="2056"/>
      <c r="V134" s="2045"/>
      <c r="W134" s="1984"/>
      <c r="X134" s="2134"/>
      <c r="Y134" s="1984"/>
      <c r="Z134" s="2056"/>
      <c r="AA134" s="1850"/>
      <c r="AB134" s="1850"/>
      <c r="AC134" s="2134"/>
      <c r="AD134" s="1984"/>
      <c r="AE134" s="2056"/>
      <c r="AF134" s="1850"/>
      <c r="AG134" s="1850"/>
      <c r="AH134" s="2134"/>
      <c r="AI134" s="1984"/>
      <c r="AJ134" s="2319"/>
      <c r="AK134" s="2319"/>
      <c r="AL134" s="1984"/>
      <c r="AM134" s="2134"/>
      <c r="AN134" s="2317"/>
      <c r="AO134" s="2320"/>
      <c r="AP134" s="2320"/>
      <c r="AQ134" s="1984"/>
      <c r="AR134" s="2134"/>
      <c r="AS134" s="2321"/>
      <c r="AT134" s="2319"/>
      <c r="AU134" s="2319"/>
      <c r="AV134" s="1984"/>
      <c r="AW134" s="2322"/>
      <c r="AX134" s="2320"/>
      <c r="AY134" s="2320"/>
      <c r="AZ134" s="2320"/>
      <c r="BA134" s="1984"/>
      <c r="BB134" s="2322"/>
      <c r="BC134" s="2320"/>
      <c r="BD134" s="2320"/>
      <c r="BE134" s="2320"/>
      <c r="BF134" s="1984"/>
      <c r="BG134" s="2322"/>
      <c r="BH134" s="2320"/>
      <c r="BI134" s="2320"/>
      <c r="BJ134" s="2320"/>
      <c r="BK134" s="1984"/>
      <c r="BL134" s="2322"/>
      <c r="BM134" s="1850"/>
      <c r="BN134" s="1850"/>
      <c r="BO134" s="1850"/>
      <c r="BP134" s="1850"/>
      <c r="BQ134" s="2322"/>
      <c r="BR134" s="1850"/>
      <c r="BS134" s="1850"/>
      <c r="BT134" s="1850"/>
      <c r="BU134" s="1850"/>
      <c r="BV134" s="2322"/>
      <c r="BW134" s="1850"/>
      <c r="BX134" s="1850"/>
      <c r="BY134" s="1850"/>
      <c r="BZ134" s="1850"/>
      <c r="CA134" s="2322"/>
      <c r="CB134" s="1850"/>
      <c r="CC134" s="1850"/>
      <c r="CD134" s="1850"/>
      <c r="CE134" s="1850"/>
      <c r="CF134" s="2322"/>
      <c r="CG134" s="1850"/>
      <c r="CH134" s="1850"/>
      <c r="CI134" s="1850"/>
      <c r="CJ134" s="1850"/>
      <c r="CK134" s="2322"/>
      <c r="CL134" s="1850"/>
      <c r="CM134" s="1850"/>
      <c r="CN134" s="1850"/>
      <c r="CO134" s="1850"/>
      <c r="CP134" s="2322"/>
      <c r="CQ134" s="1850"/>
      <c r="CR134" s="1850"/>
      <c r="CS134" s="1850"/>
      <c r="CT134" s="1850"/>
      <c r="CU134" s="2322"/>
      <c r="CV134" s="1850"/>
      <c r="CW134" s="1850"/>
      <c r="CX134" s="1850"/>
      <c r="CY134" s="1850"/>
      <c r="CZ134" s="2322"/>
      <c r="DA134" s="1850"/>
      <c r="DB134" s="1850"/>
      <c r="DC134" s="1850"/>
      <c r="DD134" s="1850"/>
      <c r="DE134" s="2322"/>
      <c r="DF134" s="1850"/>
      <c r="DG134" s="1850"/>
      <c r="DH134" s="1850"/>
      <c r="DI134" s="1850"/>
      <c r="DJ134" s="2322"/>
      <c r="DK134" s="1850"/>
      <c r="DL134" s="1850"/>
      <c r="DM134" s="1850"/>
      <c r="DN134" s="1850"/>
      <c r="DO134" s="2322"/>
      <c r="DP134" s="1850"/>
      <c r="DQ134" s="1850"/>
      <c r="DR134" s="1850"/>
      <c r="DS134" s="1850"/>
      <c r="DT134" s="2322"/>
      <c r="DU134" s="1850"/>
      <c r="DV134" s="1850"/>
      <c r="DW134" s="1850"/>
      <c r="DX134" s="1850"/>
      <c r="DY134" s="2322"/>
      <c r="DZ134" s="1850"/>
      <c r="EA134" s="1850"/>
    </row>
    <row r="135" spans="1:131" ht="6" customHeight="1" x14ac:dyDescent="0.2">
      <c r="A135" s="1984"/>
      <c r="B135" s="2318"/>
      <c r="C135" s="1883"/>
      <c r="D135" s="1883"/>
      <c r="E135" s="1984"/>
      <c r="F135" s="2056"/>
      <c r="G135" s="1850"/>
      <c r="H135" s="1850"/>
      <c r="I135" s="2134"/>
      <c r="J135" s="1984"/>
      <c r="K135" s="2056"/>
      <c r="L135" s="1850"/>
      <c r="M135" s="1850"/>
      <c r="N135" s="2134"/>
      <c r="O135" s="1984"/>
      <c r="P135" s="2056"/>
      <c r="Q135" s="1850"/>
      <c r="R135" s="1850"/>
      <c r="S135" s="2134"/>
      <c r="T135" s="1984"/>
      <c r="U135" s="2056"/>
      <c r="V135" s="2045"/>
      <c r="W135" s="1984"/>
      <c r="X135" s="2134"/>
      <c r="Y135" s="1984"/>
      <c r="Z135" s="2056"/>
      <c r="AA135" s="1850"/>
      <c r="AB135" s="1850"/>
      <c r="AC135" s="2134"/>
      <c r="AD135" s="1984"/>
      <c r="AE135" s="2056"/>
      <c r="AF135" s="1850"/>
      <c r="AG135" s="1850"/>
      <c r="AH135" s="2134"/>
      <c r="AI135" s="1984"/>
      <c r="AJ135" s="2319"/>
      <c r="AK135" s="2319"/>
      <c r="AL135" s="1984"/>
      <c r="AM135" s="2134"/>
      <c r="AN135" s="2317"/>
      <c r="AO135" s="2320"/>
      <c r="AP135" s="2320"/>
      <c r="AQ135" s="1984"/>
      <c r="AR135" s="2134"/>
      <c r="AS135" s="2321"/>
      <c r="AT135" s="2319"/>
      <c r="AU135" s="2319"/>
      <c r="AV135" s="1984"/>
      <c r="AW135" s="2322"/>
      <c r="AX135" s="2320"/>
      <c r="AY135" s="2320"/>
      <c r="AZ135" s="2320"/>
      <c r="BA135" s="1984"/>
      <c r="BB135" s="2322"/>
      <c r="BC135" s="2320"/>
      <c r="BD135" s="2320"/>
      <c r="BE135" s="2320"/>
      <c r="BF135" s="1984"/>
      <c r="BG135" s="2322"/>
      <c r="BH135" s="2320"/>
      <c r="BI135" s="2320"/>
      <c r="BJ135" s="2320"/>
      <c r="BK135" s="1984"/>
      <c r="BL135" s="2322"/>
      <c r="BM135" s="1850"/>
      <c r="BN135" s="1850"/>
      <c r="BO135" s="1850"/>
      <c r="BP135" s="1850"/>
      <c r="BQ135" s="2322"/>
      <c r="BR135" s="1850"/>
      <c r="BS135" s="1850"/>
      <c r="BT135" s="1850"/>
      <c r="BU135" s="1850"/>
      <c r="BV135" s="2322"/>
      <c r="BW135" s="1850"/>
      <c r="BX135" s="1850"/>
      <c r="BY135" s="1850"/>
      <c r="BZ135" s="1850"/>
      <c r="CA135" s="2322"/>
      <c r="CB135" s="1850"/>
      <c r="CC135" s="1850"/>
      <c r="CD135" s="1850"/>
      <c r="CE135" s="1850"/>
      <c r="CF135" s="2322"/>
      <c r="CG135" s="1850"/>
      <c r="CH135" s="1850"/>
      <c r="CI135" s="1850"/>
      <c r="CJ135" s="1850"/>
      <c r="CK135" s="2322"/>
      <c r="CL135" s="1850"/>
      <c r="CM135" s="1850"/>
      <c r="CN135" s="1850"/>
      <c r="CO135" s="1850"/>
      <c r="CP135" s="2322"/>
      <c r="CQ135" s="1850"/>
      <c r="CR135" s="1850"/>
      <c r="CS135" s="1850"/>
      <c r="CT135" s="1850"/>
      <c r="CU135" s="2322"/>
      <c r="CV135" s="1850"/>
      <c r="CW135" s="1850"/>
      <c r="CX135" s="1850"/>
      <c r="CY135" s="1850"/>
      <c r="CZ135" s="2322"/>
      <c r="DA135" s="1850"/>
      <c r="DB135" s="1850"/>
      <c r="DC135" s="1850"/>
      <c r="DD135" s="1850"/>
      <c r="DE135" s="2322"/>
      <c r="DF135" s="1850"/>
      <c r="DG135" s="1850"/>
      <c r="DH135" s="1850"/>
      <c r="DI135" s="1850"/>
      <c r="DJ135" s="2322"/>
      <c r="DK135" s="1850"/>
      <c r="DL135" s="1850"/>
      <c r="DM135" s="1850"/>
      <c r="DN135" s="1850"/>
      <c r="DO135" s="2322"/>
      <c r="DP135" s="1850"/>
      <c r="DQ135" s="1850"/>
      <c r="DR135" s="1850"/>
      <c r="DS135" s="1850"/>
      <c r="DT135" s="2322"/>
      <c r="DU135" s="1850"/>
      <c r="DV135" s="1850"/>
      <c r="DW135" s="1850"/>
      <c r="DX135" s="1850"/>
      <c r="DY135" s="2322"/>
      <c r="DZ135" s="1850"/>
      <c r="EA135" s="1850"/>
    </row>
    <row r="136" spans="1:131" ht="11.25" customHeight="1" x14ac:dyDescent="0.2">
      <c r="A136" s="1930"/>
      <c r="B136" s="2427" t="s">
        <v>1024</v>
      </c>
      <c r="C136" s="2086"/>
      <c r="D136" s="1929"/>
      <c r="E136" s="1929"/>
      <c r="F136" s="2406"/>
      <c r="G136" s="1929"/>
      <c r="H136" s="1929"/>
      <c r="I136" s="2322"/>
      <c r="J136" s="2147">
        <f t="shared" ref="J136:BU136" si="197">J56/E56-1</f>
        <v>0.1873783359497645</v>
      </c>
      <c r="K136" s="2147">
        <f t="shared" si="197"/>
        <v>0.15400030362835881</v>
      </c>
      <c r="L136" s="2147">
        <f t="shared" si="197"/>
        <v>0.14209654341441369</v>
      </c>
      <c r="M136" s="2147">
        <f t="shared" si="197"/>
        <v>-2.9830926282621517E-2</v>
      </c>
      <c r="N136" s="2333">
        <f t="shared" si="197"/>
        <v>1.3753156565656566</v>
      </c>
      <c r="O136" s="2147">
        <f t="shared" si="197"/>
        <v>-8.9541823547697574E-2</v>
      </c>
      <c r="P136" s="2147">
        <f t="shared" si="197"/>
        <v>-1.3964532849211952E-2</v>
      </c>
      <c r="Q136" s="2147">
        <f t="shared" si="197"/>
        <v>-3.8177754040313872E-3</v>
      </c>
      <c r="R136" s="2147">
        <f t="shared" si="197"/>
        <v>1.7740863787375494E-2</v>
      </c>
      <c r="S136" s="2333">
        <f t="shared" si="197"/>
        <v>1.7740863787375494E-2</v>
      </c>
      <c r="T136" s="2147">
        <f t="shared" si="197"/>
        <v>7.3492951760288916E-2</v>
      </c>
      <c r="U136" s="2147">
        <f t="shared" si="197"/>
        <v>8.9389946966411671E-3</v>
      </c>
      <c r="V136" s="2147">
        <f t="shared" si="197"/>
        <v>2.1180831347631379E-3</v>
      </c>
      <c r="W136" s="2147">
        <f t="shared" si="197"/>
        <v>-1.5113925703466702E-2</v>
      </c>
      <c r="X136" s="2333">
        <f t="shared" si="197"/>
        <v>-1.0902918326042954E-2</v>
      </c>
      <c r="Y136" s="2147">
        <f t="shared" si="197"/>
        <v>-5.1799795440298224E-3</v>
      </c>
      <c r="Z136" s="2147">
        <f t="shared" si="197"/>
        <v>-1.2165691427815761E-2</v>
      </c>
      <c r="AA136" s="2147">
        <f t="shared" si="197"/>
        <v>-1.0898282694848049E-2</v>
      </c>
      <c r="AB136" s="2147">
        <f t="shared" si="197"/>
        <v>2.0847834012793776E-2</v>
      </c>
      <c r="AC136" s="2333">
        <f t="shared" si="197"/>
        <v>1.650165016501659E-2</v>
      </c>
      <c r="AD136" s="2147">
        <f t="shared" si="197"/>
        <v>2.1491111700716381E-2</v>
      </c>
      <c r="AE136" s="2147">
        <f t="shared" si="197"/>
        <v>3.0755329473578508E-2</v>
      </c>
      <c r="AF136" s="2147">
        <f t="shared" si="197"/>
        <v>2.962564726521566E-2</v>
      </c>
      <c r="AG136" s="2147">
        <f t="shared" si="197"/>
        <v>2.2727272727272707E-2</v>
      </c>
      <c r="AH136" s="2333">
        <f t="shared" si="197"/>
        <v>2.2727272727272707E-2</v>
      </c>
      <c r="AI136" s="2147">
        <f t="shared" si="197"/>
        <v>-2.2727272727272707E-2</v>
      </c>
      <c r="AJ136" s="2147">
        <f t="shared" si="197"/>
        <v>-3.2467532467532756E-3</v>
      </c>
      <c r="AK136" s="2147">
        <f t="shared" si="197"/>
        <v>3.3631966582392536E-3</v>
      </c>
      <c r="AL136" s="2147">
        <f t="shared" si="197"/>
        <v>2.2222222222212373E-4</v>
      </c>
      <c r="AM136" s="2333">
        <f t="shared" si="197"/>
        <v>2.2222222222212373E-4</v>
      </c>
      <c r="AN136" s="2147">
        <f t="shared" si="197"/>
        <v>4.960132890365454E-2</v>
      </c>
      <c r="AO136" s="2147">
        <f t="shared" si="197"/>
        <v>3.5439739413680726E-2</v>
      </c>
      <c r="AP136" s="2147">
        <f t="shared" si="197"/>
        <v>3.626256423515728E-2</v>
      </c>
      <c r="AQ136" s="2147">
        <f t="shared" si="197"/>
        <v>-2.2217285047765323E-4</v>
      </c>
      <c r="AR136" s="2333">
        <f t="shared" si="197"/>
        <v>-2.2217285047765323E-4</v>
      </c>
      <c r="AS136" s="2147">
        <f t="shared" si="197"/>
        <v>3.6575127401639929E-2</v>
      </c>
      <c r="AT136" s="2147">
        <f t="shared" si="197"/>
        <v>3.6271549012205861E-2</v>
      </c>
      <c r="AU136" s="2147">
        <f t="shared" si="197"/>
        <v>0.35324205470479986</v>
      </c>
      <c r="AV136" s="2147">
        <f t="shared" si="197"/>
        <v>0.38095238095238093</v>
      </c>
      <c r="AW136" s="2333">
        <f t="shared" si="197"/>
        <v>0.38095238095238093</v>
      </c>
      <c r="AX136" s="2147">
        <f t="shared" si="197"/>
        <v>0.34235082027223296</v>
      </c>
      <c r="AY136" s="2147">
        <f t="shared" si="197"/>
        <v>0.34756079050423483</v>
      </c>
      <c r="AZ136" s="2147">
        <f t="shared" si="197"/>
        <v>3.7359699462997442E-2</v>
      </c>
      <c r="BA136" s="2147">
        <f t="shared" si="197"/>
        <v>3.4712643678160848E-2</v>
      </c>
      <c r="BB136" s="2333">
        <f t="shared" si="197"/>
        <v>3.4712643678160848E-2</v>
      </c>
      <c r="BC136" s="2147">
        <f t="shared" si="197"/>
        <v>3.1073703366697014E-2</v>
      </c>
      <c r="BD136" s="2147">
        <f t="shared" si="197"/>
        <v>0.248974994368101</v>
      </c>
      <c r="BE136" s="2147">
        <f t="shared" si="197"/>
        <v>0.21999555654299052</v>
      </c>
      <c r="BF136" s="2147">
        <f t="shared" si="197"/>
        <v>0.23305932015107755</v>
      </c>
      <c r="BG136" s="2333">
        <f t="shared" si="197"/>
        <v>0.23305932015107755</v>
      </c>
      <c r="BH136" s="2147">
        <f t="shared" si="197"/>
        <v>0.24443718307373241</v>
      </c>
      <c r="BI136" s="2147">
        <f t="shared" si="197"/>
        <v>2.4728545146279091E-2</v>
      </c>
      <c r="BJ136" s="2147">
        <f t="shared" si="197"/>
        <v>2.9993444055943952E-2</v>
      </c>
      <c r="BK136" s="2147">
        <f t="shared" si="197"/>
        <v>1.8018018018018056E-2</v>
      </c>
      <c r="BL136" s="2333">
        <f t="shared" si="197"/>
        <v>1.8018018018018056E-2</v>
      </c>
      <c r="BM136" s="2147">
        <f t="shared" si="197"/>
        <v>1.2208773118904004E-2</v>
      </c>
      <c r="BN136" s="2147">
        <f t="shared" si="197"/>
        <v>2.5011881083554899E-2</v>
      </c>
      <c r="BO136" s="2147">
        <f t="shared" si="197"/>
        <v>3.5007691083647208E-2</v>
      </c>
      <c r="BP136" s="2147">
        <f t="shared" si="197"/>
        <v>0.17345132743362823</v>
      </c>
      <c r="BQ136" s="2333">
        <f t="shared" si="197"/>
        <v>0.17345132743362823</v>
      </c>
      <c r="BR136" s="2147">
        <f t="shared" si="197"/>
        <v>0.15939775626461938</v>
      </c>
      <c r="BS136" s="2147">
        <f t="shared" si="197"/>
        <v>0.14278593433315034</v>
      </c>
      <c r="BT136" s="2147">
        <f t="shared" si="197"/>
        <v>0.146483980105516</v>
      </c>
      <c r="BU136" s="2147">
        <f t="shared" si="197"/>
        <v>1.473349703885618E-2</v>
      </c>
      <c r="BV136" s="2333">
        <f t="shared" ref="BV136:CC136" si="198">BV56/BQ56-1</f>
        <v>2.2624434389140191E-2</v>
      </c>
      <c r="BW136" s="2147">
        <f t="shared" si="198"/>
        <v>2.1846064814815103E-2</v>
      </c>
      <c r="BX136" s="2147">
        <f t="shared" si="198"/>
        <v>2.3024895668441347E-2</v>
      </c>
      <c r="BY136" s="2147">
        <f t="shared" si="198"/>
        <v>2.0547945205479534E-2</v>
      </c>
      <c r="BZ136" s="2147">
        <f t="shared" si="198"/>
        <v>2.2348754448398678E-2</v>
      </c>
      <c r="CA136" s="2333">
        <f t="shared" si="198"/>
        <v>1.4459944343531372E-2</v>
      </c>
      <c r="CB136" s="2147">
        <f t="shared" si="198"/>
        <v>2.3078012176128926E-2</v>
      </c>
      <c r="CC136" s="2147">
        <f t="shared" si="198"/>
        <v>2.2084681389787475E-2</v>
      </c>
      <c r="CD136" s="1930">
        <f>CD58</f>
        <v>2.1252796420581754E-2</v>
      </c>
      <c r="CE136" s="1930">
        <f>CE58</f>
        <v>2.0189362294625202E-2</v>
      </c>
      <c r="CF136" s="2322">
        <f>CF56/CA56-1</f>
        <v>2.0189362294625202E-2</v>
      </c>
      <c r="CG136" s="2147">
        <f>CG56/CB56-1</f>
        <v>1.7437032936618024E-2</v>
      </c>
      <c r="CH136" s="2147">
        <f>CH56/CC56-1</f>
        <v>1.56895127993395E-2</v>
      </c>
      <c r="CI136" s="2147">
        <f>CI56/CD56-1</f>
        <v>1.574479737130341E-2</v>
      </c>
      <c r="CJ136" s="1930">
        <f>CJ58</f>
        <v>1.7879077385014375E-2</v>
      </c>
      <c r="CK136" s="2322">
        <f>CK56/CF56-1</f>
        <v>1.7879077385014375E-2</v>
      </c>
      <c r="CL136" s="1930">
        <f>CL58</f>
        <v>2.4347116430903037E-2</v>
      </c>
      <c r="CM136" s="1930">
        <f>CM58</f>
        <v>3.2113821138211263E-2</v>
      </c>
      <c r="CN136" s="1930">
        <f>CN58</f>
        <v>3.3158107561666039E-2</v>
      </c>
      <c r="CO136" s="1930">
        <f ca="1">CO58</f>
        <v>3.3158107561666039E-2</v>
      </c>
      <c r="CP136" s="2322">
        <f ca="1">CP56/CK56-1</f>
        <v>3.3158107561666039E-2</v>
      </c>
      <c r="CQ136" s="1930">
        <f ca="1">CQ58</f>
        <v>3.3158107561666039E-2</v>
      </c>
      <c r="CR136" s="1930">
        <f ca="1">CR58</f>
        <v>3.3158107561666039E-2</v>
      </c>
      <c r="CS136" s="1930">
        <f ca="1">CS58</f>
        <v>3.3158107561666039E-2</v>
      </c>
      <c r="CT136" s="1930">
        <f ca="1">CT58</f>
        <v>3.3158107561666039E-2</v>
      </c>
      <c r="CU136" s="2322">
        <f ca="1">CU56/CP56-1</f>
        <v>3.3158107561666039E-2</v>
      </c>
      <c r="CV136" s="1930">
        <f ca="1">CV58</f>
        <v>3.3158107561666039E-2</v>
      </c>
      <c r="CW136" s="1930">
        <f ca="1">CW58</f>
        <v>3.3158107561666039E-2</v>
      </c>
      <c r="CX136" s="1930">
        <f ca="1">CX58</f>
        <v>3.3158107561666039E-2</v>
      </c>
      <c r="CY136" s="1930">
        <f ca="1">CY58</f>
        <v>3.3158107561666039E-2</v>
      </c>
      <c r="CZ136" s="2322">
        <f ca="1">CZ56/CU56-1</f>
        <v>3.3158107561666039E-2</v>
      </c>
      <c r="DA136" s="1930">
        <f>DA58</f>
        <v>2.5000000000000001E-2</v>
      </c>
      <c r="DB136" s="1930">
        <f>DB58</f>
        <v>2.5000000000000001E-2</v>
      </c>
      <c r="DC136" s="1930">
        <f>DC58</f>
        <v>2.5000000000000001E-2</v>
      </c>
      <c r="DD136" s="1930">
        <f>DD58</f>
        <v>2.5000000000000001E-2</v>
      </c>
      <c r="DE136" s="2322">
        <f ca="1">DE56/CZ56-1</f>
        <v>2.4999999999999911E-2</v>
      </c>
      <c r="DF136" s="2415">
        <f>DF58</f>
        <v>0</v>
      </c>
      <c r="DG136" s="2415">
        <f>DG58</f>
        <v>0</v>
      </c>
      <c r="DH136" s="2415">
        <f>DH58</f>
        <v>0</v>
      </c>
      <c r="DI136" s="2415">
        <f>DI58</f>
        <v>0</v>
      </c>
      <c r="DJ136" s="2322">
        <f ca="1">DJ56/DE56-1</f>
        <v>0</v>
      </c>
      <c r="DK136" s="1930">
        <f>DK58</f>
        <v>0</v>
      </c>
      <c r="DL136" s="1930">
        <f>DL58</f>
        <v>0</v>
      </c>
      <c r="DM136" s="1930">
        <f>DM58</f>
        <v>0</v>
      </c>
      <c r="DN136" s="1930">
        <f>DN58</f>
        <v>0</v>
      </c>
      <c r="DO136" s="2322">
        <f ca="1">DO56/DJ56-1</f>
        <v>0</v>
      </c>
      <c r="DP136" s="1930">
        <f>DP58</f>
        <v>0</v>
      </c>
      <c r="DQ136" s="1930">
        <f>DQ58</f>
        <v>0</v>
      </c>
      <c r="DR136" s="1930">
        <f>DR58</f>
        <v>0</v>
      </c>
      <c r="DS136" s="1930">
        <f>DS58</f>
        <v>0</v>
      </c>
      <c r="DT136" s="2322">
        <f ca="1">DT56/DO56-1</f>
        <v>0</v>
      </c>
      <c r="DU136" s="1930">
        <f>DU58</f>
        <v>0</v>
      </c>
      <c r="DV136" s="1930">
        <f>DV58</f>
        <v>0</v>
      </c>
      <c r="DW136" s="1930">
        <f>DW58</f>
        <v>0</v>
      </c>
      <c r="DX136" s="1930">
        <f>DX58</f>
        <v>0</v>
      </c>
      <c r="DY136" s="2322">
        <f ca="1">DY56/DT56-1</f>
        <v>0</v>
      </c>
      <c r="DZ136" s="1929"/>
      <c r="EA136" s="1929"/>
    </row>
    <row r="137" spans="1:131" ht="11.25" customHeight="1" x14ac:dyDescent="0.2">
      <c r="A137" s="1984"/>
      <c r="B137" s="2428" t="s">
        <v>1025</v>
      </c>
      <c r="C137" s="2429"/>
      <c r="D137" s="1984"/>
      <c r="E137" s="1883"/>
      <c r="F137" s="1883"/>
      <c r="G137" s="1883"/>
      <c r="H137" s="1984"/>
      <c r="I137" s="2033"/>
      <c r="J137" s="1883"/>
      <c r="K137" s="1883"/>
      <c r="L137" s="1883"/>
      <c r="M137" s="1883"/>
      <c r="N137" s="2430">
        <f>N141/N136</f>
        <v>0</v>
      </c>
      <c r="O137" s="2431">
        <f>+O141/O136</f>
        <v>0.40505607912654662</v>
      </c>
      <c r="P137" s="2431">
        <f>+P141/P136</f>
        <v>1.9181237498447603</v>
      </c>
      <c r="Q137" s="2431">
        <f>+Q141/Q136</f>
        <v>2.9339376369207324</v>
      </c>
      <c r="R137" s="2431">
        <f>+R141/R136</f>
        <v>-1.1248988367594484</v>
      </c>
      <c r="S137" s="2430">
        <f>S141/S136</f>
        <v>-8.6328224751584415E-2</v>
      </c>
      <c r="T137" s="2431">
        <f>+T141/T136</f>
        <v>-0.53584131292796822</v>
      </c>
      <c r="U137" s="2431">
        <f>+U141/U136</f>
        <v>-5.1068832307266225</v>
      </c>
      <c r="V137" s="2431">
        <f>+V141/V136</f>
        <v>-15.362442781833394</v>
      </c>
      <c r="W137" s="2431">
        <f>+W141/W136</f>
        <v>-0.81772734739478126</v>
      </c>
      <c r="X137" s="2430">
        <f>X141/X136</f>
        <v>0.26276950079766331</v>
      </c>
      <c r="Y137" s="2431">
        <f>+Y141/Y136</f>
        <v>1.7300963726706426</v>
      </c>
      <c r="Z137" s="2431">
        <f>+Z141/Z136</f>
        <v>3.090298901115029</v>
      </c>
      <c r="AA137" s="2431">
        <f>+AA141/AA136</f>
        <v>5.0266588838818258</v>
      </c>
      <c r="AB137" s="2431">
        <f>+AB141/AB136</f>
        <v>-5.7977870826189459</v>
      </c>
      <c r="AC137" s="2430">
        <f>AC141/AC136</f>
        <v>-0.15168946854314944</v>
      </c>
      <c r="AD137" s="2431">
        <f>+AD141/AD136</f>
        <v>-0.78877939423790855</v>
      </c>
      <c r="AE137" s="2431">
        <f>+AE141/AE136</f>
        <v>0.71369913772677029</v>
      </c>
      <c r="AF137" s="2431">
        <f>+AF141/AF136</f>
        <v>0.77917077825552084</v>
      </c>
      <c r="AG137" s="2431">
        <f>+AG141/AG136</f>
        <v>2.2016789481111356</v>
      </c>
      <c r="AH137" s="2430">
        <f>AH141/AH136</f>
        <v>1.3246406645596485</v>
      </c>
      <c r="AI137" s="2431">
        <f>+AI141/AI136</f>
        <v>-3.2558719185538076</v>
      </c>
      <c r="AJ137" s="2431">
        <f>+AJ141/AJ136</f>
        <v>-7.7224240854927322</v>
      </c>
      <c r="AK137" s="2431">
        <f>+AK141/AK136</f>
        <v>2.3492409845564275</v>
      </c>
      <c r="AL137" s="2431">
        <f>+AL141/AL136</f>
        <v>-35.059178976036669</v>
      </c>
      <c r="AM137" s="2430">
        <f>AM141/AM136</f>
        <v>-51.899260814152392</v>
      </c>
      <c r="AN137" s="2431">
        <f>+AN141/AN136</f>
        <v>-0.35889781669546139</v>
      </c>
      <c r="AO137" s="2431">
        <f>+AO141/AO136</f>
        <v>0.74140610313037458</v>
      </c>
      <c r="AP137" s="2431">
        <f>+AP141/AP136</f>
        <v>1.0318074361310705</v>
      </c>
      <c r="AQ137" s="2431">
        <f>+AQ141/AQ136</f>
        <v>-521.67222518605922</v>
      </c>
      <c r="AR137" s="2430">
        <f>AR141/AR136</f>
        <v>-158.67033568252668</v>
      </c>
      <c r="AS137" s="2431">
        <f>+AS141/AS136</f>
        <v>0.8730918046180387</v>
      </c>
      <c r="AT137" s="2431">
        <f>+AT141/AT136</f>
        <v>0.69722091110414075</v>
      </c>
      <c r="AU137" s="2431">
        <f>+AU141/AU136</f>
        <v>0.46394738375324257</v>
      </c>
      <c r="AV137" s="2431">
        <f>+AV141/AV136</f>
        <v>0.3214568632871812</v>
      </c>
      <c r="AW137" s="2430">
        <f>AW141/AW136</f>
        <v>0.2262995709752301</v>
      </c>
      <c r="AX137" s="2431">
        <f>+AX141/AX136</f>
        <v>0.70911773538704814</v>
      </c>
      <c r="AY137" s="2431">
        <f>+AY141/AY136</f>
        <v>0.59057413344823528</v>
      </c>
      <c r="AZ137" s="2431">
        <f>+AZ141/AZ136</f>
        <v>1.6068589485503775</v>
      </c>
      <c r="BA137" s="2431">
        <f>+BA141/BA136</f>
        <v>0.9059421502688646</v>
      </c>
      <c r="BB137" s="2430">
        <f>BB141/BB136</f>
        <v>2.6587664052148847</v>
      </c>
      <c r="BC137" s="2431">
        <f>+BC141/BC136</f>
        <v>0.59227967602951825</v>
      </c>
      <c r="BD137" s="2431">
        <f>+BD141/BD136</f>
        <v>0.32042807532847734</v>
      </c>
      <c r="BE137" s="2431">
        <f>+BE141/BE136</f>
        <v>0.77611662361283518</v>
      </c>
      <c r="BF137" s="2431">
        <f>+BF141/BF136</f>
        <v>0.59517753672174301</v>
      </c>
      <c r="BG137" s="2430">
        <f>BG141/BG136</f>
        <v>0.3749610133822226</v>
      </c>
      <c r="BH137" s="2431">
        <f>+BH141/BH136</f>
        <v>0.5643854065342383</v>
      </c>
      <c r="BI137" s="2431">
        <f>+BI141/BI136</f>
        <v>3.346994635737345</v>
      </c>
      <c r="BJ137" s="2431">
        <f>+BJ141/BJ136</f>
        <v>0.31843850967106346</v>
      </c>
      <c r="BK137" s="2431">
        <f>+BK141/BK136</f>
        <v>0.6343241340224044</v>
      </c>
      <c r="BL137" s="2430">
        <f>BL141/BL136</f>
        <v>3.0958909992169032</v>
      </c>
      <c r="BM137" s="2431">
        <f>+BM141/BM136</f>
        <v>0.39385723316743509</v>
      </c>
      <c r="BN137" s="2431">
        <f>+BN141/BN136</f>
        <v>0.49643847848828687</v>
      </c>
      <c r="BO137" s="2431">
        <f>+BO141/BO136</f>
        <v>0.38988360289383839</v>
      </c>
      <c r="BP137" s="2431">
        <f>+BP141/BP136</f>
        <v>0.72432729073286373</v>
      </c>
      <c r="BQ137" s="2430">
        <f>BQ141/BQ136</f>
        <v>0.23648101950626985</v>
      </c>
      <c r="BR137" s="2431">
        <f>+BR141/BR136</f>
        <v>0.58596792219077787</v>
      </c>
      <c r="BS137" s="2431">
        <f>+BS141/BS136</f>
        <v>0.61988328612048826</v>
      </c>
      <c r="BT137" s="2431">
        <f>+BT141/BT136</f>
        <v>0.68607537807636887</v>
      </c>
      <c r="BU137" s="2431">
        <f>+BU141/BU136</f>
        <v>-0.81712360644896787</v>
      </c>
      <c r="BV137" s="2430">
        <f>BV141/BV136</f>
        <v>2.8324333925745773</v>
      </c>
      <c r="BW137" s="2431">
        <f>+BW141/BW136</f>
        <v>7.7007232818999502E-2</v>
      </c>
      <c r="BX137" s="2431">
        <f>+BX141/BX136</f>
        <v>0.55866019328292127</v>
      </c>
      <c r="BY137" s="2431">
        <f>+BY141/BY136</f>
        <v>0.74236886506277422</v>
      </c>
      <c r="BZ137" s="2431">
        <f>+BZ141/BZ136</f>
        <v>0.68039575032583277</v>
      </c>
      <c r="CA137" s="2430">
        <f>CA141/CA136</f>
        <v>1.4026292308549027</v>
      </c>
      <c r="CB137" s="2431">
        <f>+CB141/CB136</f>
        <v>0.76905492659131036</v>
      </c>
      <c r="CC137" s="2431">
        <f>+CC141/CC136</f>
        <v>0.66036164797640429</v>
      </c>
      <c r="CD137" s="2431">
        <f>+CD141/CD136</f>
        <v>0.50315848597978841</v>
      </c>
      <c r="CE137" s="2431">
        <f>+CE141/CE136</f>
        <v>0.65813678005489173</v>
      </c>
      <c r="CF137" s="2033">
        <f>CF141/CF136</f>
        <v>0.54595581093569345</v>
      </c>
      <c r="CG137" s="2431">
        <f>+CG141/CG136</f>
        <v>0.75874821299072692</v>
      </c>
      <c r="CH137" s="2431">
        <f>+CH141/CH136</f>
        <v>0.69885837867936196</v>
      </c>
      <c r="CI137" s="2431">
        <f>+CI141/CI136</f>
        <v>0.72608633458077865</v>
      </c>
      <c r="CJ137" s="2431">
        <f>+CJ141/CJ136</f>
        <v>0.51822104450507522</v>
      </c>
      <c r="CK137" s="2033">
        <f>CK141/CK136</f>
        <v>0.82004511285692683</v>
      </c>
      <c r="CL137" s="2431">
        <f>+CL141/CL136</f>
        <v>0.48415347946981424</v>
      </c>
      <c r="CM137" s="2431">
        <f>+CM141/CM136</f>
        <v>0.46594437264900601</v>
      </c>
      <c r="CN137" s="2431">
        <f>+CN141/CN136</f>
        <v>0.3943621851995795</v>
      </c>
      <c r="CO137" s="2431">
        <f ca="1">+CO141/CO136</f>
        <v>0.53382666129569845</v>
      </c>
      <c r="CP137" s="2033">
        <f ca="1">CP141/CP136</f>
        <v>1.1182336625380045</v>
      </c>
      <c r="CQ137" s="2431">
        <f ca="1">+CQ141/CQ136</f>
        <v>0.33279144089561358</v>
      </c>
      <c r="CR137" s="2431">
        <f ca="1">+CR141/CR136</f>
        <v>8.5198570404573223E-2</v>
      </c>
      <c r="CS137" s="2431">
        <f ca="1">+CS141/CS136</f>
        <v>-8.9233546748310577E-2</v>
      </c>
      <c r="CT137" s="2431">
        <f ca="1">+CT141/CT136</f>
        <v>-1.1681837882129585E-2</v>
      </c>
      <c r="CU137" s="2033">
        <f ca="1">CU141/CU136</f>
        <v>0.90269363753993537</v>
      </c>
      <c r="CV137" s="2431">
        <f ca="1">+CV141/CV136</f>
        <v>0.12329401390161536</v>
      </c>
      <c r="CW137" s="2431">
        <f ca="1">+CW141/CW136</f>
        <v>0.31444367098188902</v>
      </c>
      <c r="CX137" s="2431">
        <f ca="1">+CX141/CX136</f>
        <v>1.7384814144507692</v>
      </c>
      <c r="CY137" s="2431">
        <f ca="1">+CY141/CY136</f>
        <v>3.5350899680058645</v>
      </c>
      <c r="CZ137" s="2033">
        <f ca="1">CZ141/CZ136</f>
        <v>1.7998125598898393</v>
      </c>
      <c r="DA137" s="2431">
        <f>+DA141/DA136</f>
        <v>7.1792766523010316</v>
      </c>
      <c r="DB137" s="2431">
        <f>+DB141/DB136</f>
        <v>6.9085662373949717</v>
      </c>
      <c r="DC137" s="2431">
        <f>+DC141/DC136</f>
        <v>4.7755469371626367</v>
      </c>
      <c r="DD137" s="2431">
        <v>0</v>
      </c>
      <c r="DE137" s="2653">
        <v>0</v>
      </c>
      <c r="DF137" s="2702">
        <v>0</v>
      </c>
      <c r="DG137" s="2702">
        <v>0</v>
      </c>
      <c r="DH137" s="2702">
        <v>0</v>
      </c>
      <c r="DI137" s="2702">
        <v>0</v>
      </c>
      <c r="DJ137" s="2033">
        <v>0</v>
      </c>
      <c r="DK137" s="2431">
        <v>0</v>
      </c>
      <c r="DL137" s="2431">
        <v>0</v>
      </c>
      <c r="DM137" s="2431">
        <v>0</v>
      </c>
      <c r="DN137" s="2431">
        <v>0</v>
      </c>
      <c r="DO137" s="2431">
        <v>0</v>
      </c>
      <c r="DP137" s="2431">
        <v>0</v>
      </c>
      <c r="DQ137" s="2431">
        <v>0</v>
      </c>
      <c r="DR137" s="2431">
        <v>0</v>
      </c>
      <c r="DS137" s="2431">
        <v>0</v>
      </c>
      <c r="DT137" s="2431">
        <v>0</v>
      </c>
      <c r="DU137" s="2431">
        <v>0</v>
      </c>
      <c r="DV137" s="2431">
        <v>0</v>
      </c>
      <c r="DW137" s="2431">
        <v>0</v>
      </c>
      <c r="DX137" s="2431">
        <v>0</v>
      </c>
      <c r="DY137" s="2431">
        <v>0</v>
      </c>
      <c r="DZ137" s="1850"/>
      <c r="EA137" s="1850"/>
    </row>
    <row r="138" spans="1:131" ht="11.25" customHeight="1" x14ac:dyDescent="0.2">
      <c r="A138" s="1984"/>
      <c r="B138" s="2428" t="s">
        <v>1026</v>
      </c>
      <c r="C138" s="2429"/>
      <c r="D138" s="1850"/>
      <c r="E138" s="1850"/>
      <c r="F138" s="2056"/>
      <c r="G138" s="1850"/>
      <c r="H138" s="1850"/>
      <c r="I138" s="2033"/>
      <c r="J138" s="1883"/>
      <c r="K138" s="1883"/>
      <c r="L138" s="1883"/>
      <c r="M138" s="1883"/>
      <c r="N138" s="2430">
        <f>N142/N136</f>
        <v>0</v>
      </c>
      <c r="O138" s="2431">
        <f>+O142/O136</f>
        <v>0.21232630662266122</v>
      </c>
      <c r="P138" s="2431">
        <f>+P142/P136</f>
        <v>2.1968264528709978</v>
      </c>
      <c r="Q138" s="2431">
        <f>+Q142/Q136</f>
        <v>-0.66494568532426557</v>
      </c>
      <c r="R138" s="2431">
        <f>+R142/R136</f>
        <v>3.020723260830116</v>
      </c>
      <c r="S138" s="2430">
        <f>S142/S136</f>
        <v>1.925414556362214</v>
      </c>
      <c r="T138" s="2431">
        <f>+T142/T136</f>
        <v>1.5595977232166096</v>
      </c>
      <c r="U138" s="2431">
        <f>+U142/U136</f>
        <v>13.910915276736173</v>
      </c>
      <c r="V138" s="2431">
        <f>+V142/V136</f>
        <v>48.374432218163747</v>
      </c>
      <c r="W138" s="2431">
        <f>+W142/W136</f>
        <v>-11.271662552578405</v>
      </c>
      <c r="X138" s="2430">
        <f>X142/X136</f>
        <v>-9.4003219645543599</v>
      </c>
      <c r="Y138" s="2431">
        <f>+Y142/Y136</f>
        <v>-10.217937043852377</v>
      </c>
      <c r="Z138" s="2431">
        <f>+Z142/Z136</f>
        <v>-5.947684144674259</v>
      </c>
      <c r="AA138" s="2431">
        <f>+AA142/AA136</f>
        <v>-9.4710380858151897</v>
      </c>
      <c r="AB138" s="2431">
        <f>+AB142/AB136</f>
        <v>0.84524522608040076</v>
      </c>
      <c r="AC138" s="2430">
        <f>AC142/AC136</f>
        <v>-1.0863718665963589</v>
      </c>
      <c r="AD138" s="2431">
        <f>+AD142/AD136</f>
        <v>3.1940205472168328</v>
      </c>
      <c r="AE138" s="2431">
        <f>+AE142/AE136</f>
        <v>0.6552965301383723</v>
      </c>
      <c r="AF138" s="2431">
        <f>+AF142/AF136</f>
        <v>0.37388428304450178</v>
      </c>
      <c r="AG138" s="2431">
        <f>+AG142/AG136</f>
        <v>-0.89758228098639226</v>
      </c>
      <c r="AH138" s="2430">
        <f>AH142/AH136</f>
        <v>-0.52248594349229638</v>
      </c>
      <c r="AI138" s="2431">
        <f>+AI142/AI136</f>
        <v>4.6881861827083453</v>
      </c>
      <c r="AJ138" s="2431">
        <f>+AJ142/AJ136</f>
        <v>11.451729942488734</v>
      </c>
      <c r="AK138" s="2431">
        <f>+AK142/AK136</f>
        <v>-2.9002442592918376</v>
      </c>
      <c r="AL138" s="2431">
        <f>+AL142/AL136</f>
        <v>24.578977771178447</v>
      </c>
      <c r="AM138" s="2430">
        <f>AM142/AM136</f>
        <v>46.538082800995817</v>
      </c>
      <c r="AN138" s="2431">
        <f>+AN142/AN136</f>
        <v>1.4268096606196246</v>
      </c>
      <c r="AO138" s="2431">
        <f>+AO142/AO136</f>
        <v>0.1654633898475939</v>
      </c>
      <c r="AP138" s="2431">
        <f>+AP142/AP136</f>
        <v>-0.18676795772502605</v>
      </c>
      <c r="AQ138" s="2431">
        <f>+AQ142/AQ136</f>
        <v>-356.23681503473176</v>
      </c>
      <c r="AR138" s="2430">
        <f>AR142/AR136</f>
        <v>-196.63995348601426</v>
      </c>
      <c r="AS138" s="2431">
        <f>+AS142/AS136</f>
        <v>0.12728280904316355</v>
      </c>
      <c r="AT138" s="2431">
        <f>+AT142/AT136</f>
        <v>0.24316262515796022</v>
      </c>
      <c r="AU138" s="2431">
        <f>+AU142/AU136</f>
        <v>0.45217811503309208</v>
      </c>
      <c r="AV138" s="2431">
        <f>+AV142/AV136</f>
        <v>0.30148823343017328</v>
      </c>
      <c r="AW138" s="2430">
        <f>AW142/AW136</f>
        <v>0.18291360553703054</v>
      </c>
      <c r="AX138" s="2431">
        <f>+AX142/AX136</f>
        <v>0.57835109330975187</v>
      </c>
      <c r="AY138" s="2431">
        <f>+AY142/AY136</f>
        <v>0.70607082345269967</v>
      </c>
      <c r="AZ138" s="2431">
        <f>+AZ142/AZ136</f>
        <v>1.7138518202346986</v>
      </c>
      <c r="BA138" s="2431">
        <f>+BA142/BA136</f>
        <v>-0.59170790148256613</v>
      </c>
      <c r="BB138" s="2430">
        <f>BB142/BB136</f>
        <v>5.4133407743581969</v>
      </c>
      <c r="BC138" s="2431">
        <f>+BC142/BC136</f>
        <v>0.15527946131409365</v>
      </c>
      <c r="BD138" s="2431">
        <f>+BD142/BD136</f>
        <v>0.16782710276502227</v>
      </c>
      <c r="BE138" s="2431">
        <f>+BE142/BE136</f>
        <v>0.65160932392285009</v>
      </c>
      <c r="BF138" s="2431">
        <f>+BF142/BF136</f>
        <v>0.81988801317693438</v>
      </c>
      <c r="BG138" s="2430">
        <f>BG142/BG136</f>
        <v>0.54646608259640095</v>
      </c>
      <c r="BH138" s="2431">
        <f>+BH142/BH136</f>
        <v>0.81239092141461811</v>
      </c>
      <c r="BI138" s="2431">
        <f>+BI142/BI136</f>
        <v>5.2141772490662079</v>
      </c>
      <c r="BJ138" s="2431">
        <f>+BJ142/BJ136</f>
        <v>0.57840955244828229</v>
      </c>
      <c r="BK138" s="2431">
        <f>+BK142/BK136</f>
        <v>1.0636876402457121</v>
      </c>
      <c r="BL138" s="2430">
        <f>BL142/BL136</f>
        <v>4.6952560784489155</v>
      </c>
      <c r="BM138" s="2431">
        <f>+BM142/BM136</f>
        <v>4.2903724563348646</v>
      </c>
      <c r="BN138" s="2431">
        <f>+BN142/BN136</f>
        <v>0.87408308487122099</v>
      </c>
      <c r="BO138" s="2431">
        <f>+BO142/BO136</f>
        <v>0.67189663401899535</v>
      </c>
      <c r="BP138" s="2431">
        <f>+BP142/BP136</f>
        <v>1.1889347914315613</v>
      </c>
      <c r="BQ138" s="2430">
        <f>BQ142/BQ136</f>
        <v>0.43642895367784662</v>
      </c>
      <c r="BR138" s="2431">
        <f>+BR142/BR136</f>
        <v>0.83063886934799847</v>
      </c>
      <c r="BS138" s="2431">
        <f>+BS142/BS136</f>
        <v>1.1230516956060566</v>
      </c>
      <c r="BT138" s="2431">
        <f>+BT142/BT136</f>
        <v>1.1404294772426715</v>
      </c>
      <c r="BU138" s="2431">
        <f>+BU142/BU136</f>
        <v>0.78192023219715256</v>
      </c>
      <c r="BV138" s="2430">
        <f>BV142/BV136</f>
        <v>4.9888821734731224</v>
      </c>
      <c r="BW138" s="2431">
        <f>+BW142/BW136</f>
        <v>1.653923971147615</v>
      </c>
      <c r="BX138" s="2431">
        <f>+BX142/BX136</f>
        <v>1.0303404655498452</v>
      </c>
      <c r="BY138" s="2431">
        <f>+BY142/BY136</f>
        <v>0.81807500533883604</v>
      </c>
      <c r="BZ138" s="2431">
        <f>+BZ142/BZ136</f>
        <v>0.50406415842422592</v>
      </c>
      <c r="CA138" s="2430">
        <f>CA142/CA136</f>
        <v>1.5005762777114446</v>
      </c>
      <c r="CB138" s="2431">
        <f>+CB142/CB136</f>
        <v>0.71286216732398822</v>
      </c>
      <c r="CC138" s="2431">
        <f>+CC142/CC136</f>
        <v>0.83287769186403504</v>
      </c>
      <c r="CD138" s="2431">
        <f>+CD142/CD136</f>
        <v>1.1455100372047133</v>
      </c>
      <c r="CE138" s="2431">
        <f>+CE142/CE136</f>
        <v>0.99168917505487764</v>
      </c>
      <c r="CF138" s="2033">
        <f>CF142/CF136</f>
        <v>0.98049585346876433</v>
      </c>
      <c r="CG138" s="2431">
        <f>+CG142/CG136</f>
        <v>0.97906130478787246</v>
      </c>
      <c r="CH138" s="2431">
        <f>+CH142/CH136</f>
        <v>1.0090661827718101</v>
      </c>
      <c r="CI138" s="2431">
        <f>+CI142/CI136</f>
        <v>0.83143004241821661</v>
      </c>
      <c r="CJ138" s="2431">
        <f>+CJ142/CJ136</f>
        <v>0.84292865646027304</v>
      </c>
      <c r="CK138" s="2033">
        <f>CK142/CK136</f>
        <v>0.8532188752219737</v>
      </c>
      <c r="CL138" s="2431">
        <f>+CL142/CL136</f>
        <v>0.72434393025247235</v>
      </c>
      <c r="CM138" s="2431">
        <f ca="1">+CM142/CM136</f>
        <v>0.85</v>
      </c>
      <c r="CN138" s="2431">
        <f ca="1">+CN142/CN136</f>
        <v>0.85</v>
      </c>
      <c r="CO138" s="2431">
        <f ca="1">+CO142/CO136</f>
        <v>0.85</v>
      </c>
      <c r="CP138" s="2033">
        <f ca="1">CP142/CP136</f>
        <v>0.44755268699610756</v>
      </c>
      <c r="CQ138" s="1740">
        <v>0.85</v>
      </c>
      <c r="CR138" s="1740">
        <v>0.85</v>
      </c>
      <c r="CS138" s="1740">
        <v>0.85</v>
      </c>
      <c r="CT138" s="1740">
        <v>0.85</v>
      </c>
      <c r="CU138" s="2033">
        <f ca="1">CU142/CU136</f>
        <v>0.96611005972909847</v>
      </c>
      <c r="CV138" s="1740">
        <f>'Key Inputs and Scenarios'!AI10</f>
        <v>0.85</v>
      </c>
      <c r="CW138" s="1107">
        <v>0.95</v>
      </c>
      <c r="CX138" s="1107">
        <v>0.95</v>
      </c>
      <c r="CY138" s="1107">
        <v>0.95</v>
      </c>
      <c r="CZ138" s="2033">
        <f ca="1">CZ142/CZ136</f>
        <v>0.98396045065437365</v>
      </c>
      <c r="DA138" s="1107">
        <v>0.95</v>
      </c>
      <c r="DB138" s="1107">
        <v>0.95</v>
      </c>
      <c r="DC138" s="1107">
        <v>0.95</v>
      </c>
      <c r="DD138" s="1107">
        <v>0.95</v>
      </c>
      <c r="DE138" s="2653">
        <v>0</v>
      </c>
      <c r="DF138" s="1107">
        <v>0.95</v>
      </c>
      <c r="DG138" s="1107">
        <v>0.95</v>
      </c>
      <c r="DH138" s="2754">
        <v>0.95</v>
      </c>
      <c r="DI138" s="2754">
        <v>0.95</v>
      </c>
      <c r="DJ138" s="2033">
        <v>0</v>
      </c>
      <c r="DK138" s="1107">
        <f>'Key Inputs and Scenarios'!AX10</f>
        <v>0.85</v>
      </c>
      <c r="DL138" s="1107">
        <f>'Key Inputs and Scenarios'!AY10</f>
        <v>0.85</v>
      </c>
      <c r="DM138" s="1107">
        <f>'Key Inputs and Scenarios'!AZ10</f>
        <v>0.85</v>
      </c>
      <c r="DN138" s="1107">
        <f>'Key Inputs and Scenarios'!BA10</f>
        <v>0.85</v>
      </c>
      <c r="DO138" s="2033"/>
      <c r="DP138" s="1107">
        <f>'Key Inputs and Scenarios'!BC10</f>
        <v>0.85</v>
      </c>
      <c r="DQ138" s="1107">
        <f>'Key Inputs and Scenarios'!BD10</f>
        <v>0.85</v>
      </c>
      <c r="DR138" s="1107">
        <f>'Key Inputs and Scenarios'!BE10</f>
        <v>0.85</v>
      </c>
      <c r="DS138" s="1107">
        <f>'Key Inputs and Scenarios'!BF10</f>
        <v>0.85</v>
      </c>
      <c r="DT138" s="2033"/>
      <c r="DU138" s="1107">
        <f>'Key Inputs and Scenarios'!BH10</f>
        <v>0.85</v>
      </c>
      <c r="DV138" s="1107">
        <f>'Key Inputs and Scenarios'!BI10</f>
        <v>0.85</v>
      </c>
      <c r="DW138" s="1107">
        <f>'Key Inputs and Scenarios'!BJ10</f>
        <v>0.85</v>
      </c>
      <c r="DX138" s="1107">
        <f>'Key Inputs and Scenarios'!BK10</f>
        <v>0.85</v>
      </c>
      <c r="DY138" s="2033"/>
      <c r="DZ138" s="1850"/>
      <c r="EA138" s="1850"/>
    </row>
    <row r="139" spans="1:131" ht="6" customHeight="1" x14ac:dyDescent="0.2">
      <c r="A139" s="1984"/>
      <c r="B139" s="1849"/>
      <c r="C139" s="1850"/>
      <c r="D139" s="1850"/>
      <c r="E139" s="1850"/>
      <c r="F139" s="2056"/>
      <c r="G139" s="1850"/>
      <c r="H139" s="1850"/>
      <c r="I139" s="2134"/>
      <c r="J139" s="1984"/>
      <c r="K139" s="2056"/>
      <c r="L139" s="1850"/>
      <c r="M139" s="1850"/>
      <c r="N139" s="2134"/>
      <c r="O139" s="2432"/>
      <c r="P139" s="2432"/>
      <c r="Q139" s="2432"/>
      <c r="R139" s="2432"/>
      <c r="S139" s="2134"/>
      <c r="T139" s="2432"/>
      <c r="U139" s="2432"/>
      <c r="V139" s="2432"/>
      <c r="W139" s="2432"/>
      <c r="X139" s="2134"/>
      <c r="Y139" s="2432"/>
      <c r="Z139" s="2432"/>
      <c r="AA139" s="2432"/>
      <c r="AB139" s="2432"/>
      <c r="AC139" s="2134"/>
      <c r="AD139" s="2432"/>
      <c r="AE139" s="2432"/>
      <c r="AF139" s="2432"/>
      <c r="AG139" s="2432"/>
      <c r="AH139" s="2134"/>
      <c r="AI139" s="1984"/>
      <c r="AJ139" s="2056"/>
      <c r="AK139" s="1984"/>
      <c r="AL139" s="2096"/>
      <c r="AM139" s="2134"/>
      <c r="AN139" s="1850"/>
      <c r="AO139" s="1850"/>
      <c r="AP139" s="1850"/>
      <c r="AQ139" s="2096"/>
      <c r="AR139" s="2134"/>
      <c r="AS139" s="1850"/>
      <c r="AT139" s="1850"/>
      <c r="AU139" s="1850"/>
      <c r="AV139" s="2096"/>
      <c r="AW139" s="2134"/>
      <c r="AX139" s="2432"/>
      <c r="AY139" s="2432"/>
      <c r="AZ139" s="2432"/>
      <c r="BA139" s="2432"/>
      <c r="BB139" s="2134"/>
      <c r="BC139" s="2432"/>
      <c r="BD139" s="2432"/>
      <c r="BE139" s="2432"/>
      <c r="BF139" s="2432"/>
      <c r="BG139" s="2134"/>
      <c r="BH139" s="2432"/>
      <c r="BI139" s="2432"/>
      <c r="BJ139" s="2432"/>
      <c r="BK139" s="2432"/>
      <c r="BL139" s="2134"/>
      <c r="BM139" s="2432"/>
      <c r="BN139" s="2432"/>
      <c r="BO139" s="2432"/>
      <c r="BP139" s="2432"/>
      <c r="BQ139" s="2134"/>
      <c r="BR139" s="1850"/>
      <c r="BS139" s="1850"/>
      <c r="BT139" s="1850"/>
      <c r="BU139" s="1850"/>
      <c r="BV139" s="2134"/>
      <c r="BW139" s="1850"/>
      <c r="BX139" s="1850"/>
      <c r="BY139" s="1850"/>
      <c r="BZ139" s="1850"/>
      <c r="CA139" s="2134"/>
      <c r="CB139" s="1850"/>
      <c r="CC139" s="1850"/>
      <c r="CD139" s="1850"/>
      <c r="CE139" s="1850"/>
      <c r="CF139" s="2134"/>
      <c r="CG139" s="1850"/>
      <c r="CH139" s="1850"/>
      <c r="CI139" s="1850"/>
      <c r="CJ139" s="1850"/>
      <c r="CK139" s="2134"/>
      <c r="CL139" s="1850"/>
      <c r="CM139" s="1850"/>
      <c r="CN139" s="1850"/>
      <c r="CO139" s="1850"/>
      <c r="CP139" s="2134"/>
      <c r="CQ139" s="1850"/>
      <c r="CR139" s="1850"/>
      <c r="CS139" s="1850"/>
      <c r="CT139" s="1850"/>
      <c r="CU139" s="2134"/>
      <c r="CV139" s="1850"/>
      <c r="CW139" s="1850"/>
      <c r="CX139" s="1850"/>
      <c r="CY139" s="1850"/>
      <c r="CZ139" s="2134"/>
      <c r="DA139" s="1850"/>
      <c r="DB139" s="1850"/>
      <c r="DC139" s="1850"/>
      <c r="DD139" s="1850"/>
      <c r="DE139" s="2654"/>
      <c r="DF139" s="1850"/>
      <c r="DG139" s="1850"/>
      <c r="DH139" s="1850"/>
      <c r="DI139" s="1850"/>
      <c r="DJ139" s="2134"/>
      <c r="DK139" s="1850"/>
      <c r="DL139" s="1850"/>
      <c r="DM139" s="1850"/>
      <c r="DN139" s="1850"/>
      <c r="DO139" s="2134"/>
      <c r="DP139" s="1850"/>
      <c r="DQ139" s="1850"/>
      <c r="DR139" s="1850"/>
      <c r="DS139" s="1850"/>
      <c r="DT139" s="2134"/>
      <c r="DU139" s="1850"/>
      <c r="DV139" s="1850"/>
      <c r="DW139" s="1850"/>
      <c r="DX139" s="1850"/>
      <c r="DY139" s="2134"/>
      <c r="DZ139" s="1850"/>
      <c r="EA139" s="1850"/>
    </row>
    <row r="140" spans="1:131" ht="11.25" customHeight="1" x14ac:dyDescent="0.2">
      <c r="A140" s="1984"/>
      <c r="B140" s="2142" t="s">
        <v>1027</v>
      </c>
      <c r="C140" s="2370"/>
      <c r="D140" s="2370"/>
      <c r="E140" s="1984"/>
      <c r="F140" s="2056"/>
      <c r="G140" s="1850"/>
      <c r="H140" s="1850"/>
      <c r="I140" s="2134"/>
      <c r="J140" s="1984"/>
      <c r="K140" s="2056"/>
      <c r="L140" s="1850"/>
      <c r="M140" s="1850"/>
      <c r="N140" s="2134"/>
      <c r="O140" s="2432"/>
      <c r="P140" s="2432"/>
      <c r="Q140" s="2432"/>
      <c r="R140" s="2432"/>
      <c r="S140" s="2134"/>
      <c r="T140" s="2432"/>
      <c r="U140" s="2432"/>
      <c r="V140" s="2432"/>
      <c r="W140" s="2432"/>
      <c r="X140" s="2134"/>
      <c r="Y140" s="2432"/>
      <c r="Z140" s="2432"/>
      <c r="AA140" s="2432"/>
      <c r="AB140" s="2432"/>
      <c r="AC140" s="2134"/>
      <c r="AD140" s="2432"/>
      <c r="AE140" s="2432"/>
      <c r="AF140" s="2432"/>
      <c r="AG140" s="2432"/>
      <c r="AH140" s="2134"/>
      <c r="AI140" s="1984"/>
      <c r="AJ140" s="2056"/>
      <c r="AK140" s="1984"/>
      <c r="AL140" s="2096"/>
      <c r="AM140" s="2134"/>
      <c r="AN140" s="1850"/>
      <c r="AO140" s="1850"/>
      <c r="AP140" s="1850"/>
      <c r="AQ140" s="2096"/>
      <c r="AR140" s="2134"/>
      <c r="AS140" s="1850"/>
      <c r="AT140" s="1850"/>
      <c r="AU140" s="1850"/>
      <c r="AV140" s="2096"/>
      <c r="AW140" s="2134"/>
      <c r="AX140" s="2432"/>
      <c r="AY140" s="2432"/>
      <c r="AZ140" s="2432"/>
      <c r="BA140" s="2432"/>
      <c r="BB140" s="2134"/>
      <c r="BC140" s="2432"/>
      <c r="BD140" s="2432"/>
      <c r="BE140" s="2432"/>
      <c r="BF140" s="2432"/>
      <c r="BG140" s="2134"/>
      <c r="BH140" s="2432"/>
      <c r="BI140" s="2432"/>
      <c r="BJ140" s="2432"/>
      <c r="BK140" s="2432"/>
      <c r="BL140" s="2134"/>
      <c r="BM140" s="2432"/>
      <c r="BN140" s="2432"/>
      <c r="BO140" s="2432"/>
      <c r="BP140" s="2432"/>
      <c r="BQ140" s="2134"/>
      <c r="BR140" s="1850"/>
      <c r="BS140" s="1850"/>
      <c r="BT140" s="1850"/>
      <c r="BU140" s="1850"/>
      <c r="BV140" s="2134"/>
      <c r="BW140" s="1850"/>
      <c r="BX140" s="1850"/>
      <c r="BY140" s="1850"/>
      <c r="BZ140" s="1850"/>
      <c r="CA140" s="2134"/>
      <c r="CB140" s="1850"/>
      <c r="CC140" s="1850"/>
      <c r="CD140" s="1850"/>
      <c r="CE140" s="1850"/>
      <c r="CF140" s="2134"/>
      <c r="CG140" s="1850"/>
      <c r="CH140" s="1850"/>
      <c r="CI140" s="1850"/>
      <c r="CJ140" s="1850"/>
      <c r="CK140" s="2134"/>
      <c r="CL140" s="1850"/>
      <c r="CM140" s="1850"/>
      <c r="CN140" s="1850"/>
      <c r="CO140" s="1850"/>
      <c r="CP140" s="2134"/>
      <c r="CQ140" s="1850"/>
      <c r="CR140" s="1850"/>
      <c r="CS140" s="1850"/>
      <c r="CT140" s="1850"/>
      <c r="CU140" s="2134"/>
      <c r="CV140" s="1850"/>
      <c r="CW140" s="1850"/>
      <c r="CX140" s="1850"/>
      <c r="CY140" s="1850"/>
      <c r="CZ140" s="2134"/>
      <c r="DA140" s="1850"/>
      <c r="DB140" s="1850"/>
      <c r="DC140" s="1850"/>
      <c r="DD140" s="1850"/>
      <c r="DE140" s="2654"/>
      <c r="DF140" s="1850"/>
      <c r="DG140" s="1850"/>
      <c r="DH140" s="1850"/>
      <c r="DI140" s="1850"/>
      <c r="DJ140" s="2134"/>
      <c r="DK140" s="1850"/>
      <c r="DL140" s="1850"/>
      <c r="DM140" s="1850"/>
      <c r="DN140" s="1850"/>
      <c r="DO140" s="2134"/>
      <c r="DP140" s="1850"/>
      <c r="DQ140" s="1850"/>
      <c r="DR140" s="1850"/>
      <c r="DS140" s="1850"/>
      <c r="DT140" s="2134"/>
      <c r="DU140" s="1850"/>
      <c r="DV140" s="1850"/>
      <c r="DW140" s="1850"/>
      <c r="DX140" s="1850"/>
      <c r="DY140" s="2134"/>
      <c r="DZ140" s="1850"/>
      <c r="EA140" s="1850"/>
    </row>
    <row r="141" spans="1:131" ht="11.25" customHeight="1" x14ac:dyDescent="0.2">
      <c r="A141" s="1984"/>
      <c r="B141" s="2433" t="s">
        <v>1028</v>
      </c>
      <c r="C141" s="2434"/>
      <c r="D141" s="2351"/>
      <c r="E141" s="1984"/>
      <c r="F141" s="2056"/>
      <c r="G141" s="1850"/>
      <c r="H141" s="1850"/>
      <c r="I141" s="2134"/>
      <c r="J141" s="1929"/>
      <c r="K141" s="1929"/>
      <c r="L141" s="1929"/>
      <c r="M141" s="1929"/>
      <c r="N141" s="2322"/>
      <c r="O141" s="2147">
        <f t="shared" ref="O141:BZ141" si="199">+O153-O146</f>
        <v>-3.6269459964071465E-2</v>
      </c>
      <c r="P141" s="2147">
        <f t="shared" si="199"/>
        <v>-2.6785702113560766E-2</v>
      </c>
      <c r="Q141" s="2147">
        <f t="shared" si="199"/>
        <v>-1.1201114947197943E-2</v>
      </c>
      <c r="R141" s="2147">
        <f t="shared" si="199"/>
        <v>-1.9956677037526516E-2</v>
      </c>
      <c r="S141" s="2333">
        <f t="shared" si="199"/>
        <v>-1.5315372763237967E-3</v>
      </c>
      <c r="T141" s="2147">
        <f t="shared" si="199"/>
        <v>-3.9380559762185047E-2</v>
      </c>
      <c r="U141" s="2147">
        <f t="shared" si="199"/>
        <v>-4.565040211583099E-2</v>
      </c>
      <c r="V141" s="2147">
        <f t="shared" si="199"/>
        <v>-3.2538930964965018E-2</v>
      </c>
      <c r="W141" s="2147">
        <f t="shared" si="199"/>
        <v>1.2359070374217629E-2</v>
      </c>
      <c r="X141" s="2333">
        <f t="shared" si="199"/>
        <v>-2.8649544057720022E-3</v>
      </c>
      <c r="Y141" s="2147">
        <f t="shared" si="199"/>
        <v>-8.9618638196341249E-3</v>
      </c>
      <c r="Z141" s="2147">
        <f t="shared" si="199"/>
        <v>-3.7595622850683574E-2</v>
      </c>
      <c r="AA141" s="2147">
        <f t="shared" si="199"/>
        <v>-5.4781949527113516E-2</v>
      </c>
      <c r="AB141" s="2147">
        <f t="shared" si="199"/>
        <v>-0.12087130273995966</v>
      </c>
      <c r="AC141" s="2333">
        <f t="shared" si="199"/>
        <v>-2.5031265436163408E-3</v>
      </c>
      <c r="AD141" s="2147">
        <f t="shared" si="199"/>
        <v>-1.6951746068790297E-2</v>
      </c>
      <c r="AE141" s="2147">
        <f t="shared" si="199"/>
        <v>2.1950052125795705E-2</v>
      </c>
      <c r="AF141" s="2147">
        <f t="shared" si="199"/>
        <v>2.3083438635961628E-2</v>
      </c>
      <c r="AG141" s="2147">
        <f t="shared" si="199"/>
        <v>5.0038157911616671E-2</v>
      </c>
      <c r="AH141" s="2333">
        <f t="shared" si="199"/>
        <v>3.0105469649082894E-2</v>
      </c>
      <c r="AI141" s="2147">
        <f t="shared" si="199"/>
        <v>7.3997089058041018E-2</v>
      </c>
      <c r="AJ141" s="2147">
        <f t="shared" si="199"/>
        <v>2.5072805472379223E-2</v>
      </c>
      <c r="AK141" s="2147">
        <f t="shared" si="199"/>
        <v>7.9009594286588714E-3</v>
      </c>
      <c r="AL141" s="2147">
        <f t="shared" si="199"/>
        <v>-7.7909286613380285E-3</v>
      </c>
      <c r="AM141" s="2333">
        <f t="shared" si="199"/>
        <v>-1.1533169069806531E-2</v>
      </c>
      <c r="AN141" s="2147">
        <f t="shared" si="199"/>
        <v>-1.7801808648715098E-2</v>
      </c>
      <c r="AO141" s="2147">
        <f t="shared" si="199"/>
        <v>2.6275239094652972E-2</v>
      </c>
      <c r="AP141" s="2147">
        <f t="shared" si="199"/>
        <v>3.741598343101589E-2</v>
      </c>
      <c r="AQ141" s="2147">
        <f t="shared" si="199"/>
        <v>0.11590140528460699</v>
      </c>
      <c r="AR141" s="2333">
        <f t="shared" si="199"/>
        <v>3.5252240764833048E-2</v>
      </c>
      <c r="AS141" s="2147">
        <f t="shared" si="199"/>
        <v>3.1933443987232482E-2</v>
      </c>
      <c r="AT141" s="2147">
        <f t="shared" si="199"/>
        <v>2.5289282449448669E-2</v>
      </c>
      <c r="AU141" s="2147">
        <f t="shared" si="199"/>
        <v>0.16388572711191168</v>
      </c>
      <c r="AV141" s="2147">
        <f t="shared" si="199"/>
        <v>0.12245975744273568</v>
      </c>
      <c r="AW141" s="2333">
        <f t="shared" si="199"/>
        <v>8.6209360371516219E-2</v>
      </c>
      <c r="AX141" s="2147">
        <f t="shared" si="199"/>
        <v>0.24276703837934419</v>
      </c>
      <c r="AY141" s="2147">
        <f t="shared" si="199"/>
        <v>0.20526041267262213</v>
      </c>
      <c r="AZ141" s="2147">
        <f t="shared" si="199"/>
        <v>6.0031767397270168E-2</v>
      </c>
      <c r="BA141" s="2147">
        <f t="shared" si="199"/>
        <v>3.1447647055309946E-2</v>
      </c>
      <c r="BB141" s="2333">
        <f t="shared" si="199"/>
        <v>9.2292810847688908E-2</v>
      </c>
      <c r="BC141" s="2147">
        <f t="shared" si="199"/>
        <v>1.8404322963064657E-2</v>
      </c>
      <c r="BD141" s="2147">
        <f t="shared" si="199"/>
        <v>7.9778578250289084E-2</v>
      </c>
      <c r="BE141" s="2147">
        <f t="shared" si="199"/>
        <v>0.17074220855397237</v>
      </c>
      <c r="BF141" s="2147">
        <f t="shared" si="199"/>
        <v>0.13871167207756241</v>
      </c>
      <c r="BG141" s="2333">
        <f t="shared" si="199"/>
        <v>8.7388158862019893E-2</v>
      </c>
      <c r="BH141" s="2147">
        <f t="shared" si="199"/>
        <v>0.13795677894115249</v>
      </c>
      <c r="BI141" s="2147">
        <f t="shared" si="199"/>
        <v>8.2766307954184881E-2</v>
      </c>
      <c r="BJ141" s="2147">
        <f t="shared" si="199"/>
        <v>9.5510676250772086E-3</v>
      </c>
      <c r="BK141" s="2147">
        <f t="shared" si="199"/>
        <v>1.1429263676079382E-2</v>
      </c>
      <c r="BL141" s="2333">
        <f t="shared" si="199"/>
        <v>5.5781819805710085E-2</v>
      </c>
      <c r="BM141" s="2147">
        <f t="shared" si="199"/>
        <v>4.808513600980488E-3</v>
      </c>
      <c r="BN141" s="2147">
        <f t="shared" si="199"/>
        <v>1.2416860189249958E-2</v>
      </c>
      <c r="BO141" s="2147">
        <f t="shared" si="199"/>
        <v>1.3648924728686875E-2</v>
      </c>
      <c r="BP141" s="2147">
        <f t="shared" si="199"/>
        <v>0.12563553007401879</v>
      </c>
      <c r="BQ141" s="2333">
        <f t="shared" si="199"/>
        <v>4.1017946746220238E-2</v>
      </c>
      <c r="BR141" s="2147">
        <f t="shared" si="199"/>
        <v>9.3401972040251066E-2</v>
      </c>
      <c r="BS141" s="2147">
        <f t="shared" si="199"/>
        <v>8.8510614186217487E-2</v>
      </c>
      <c r="BT141" s="2147">
        <f t="shared" si="199"/>
        <v>0.10049905203302319</v>
      </c>
      <c r="BU141" s="2147">
        <f t="shared" si="199"/>
        <v>-1.2039088235995352E-2</v>
      </c>
      <c r="BV141" s="2333">
        <f t="shared" si="199"/>
        <v>6.4082203451913289E-2</v>
      </c>
      <c r="BW141" s="2147">
        <f t="shared" si="199"/>
        <v>1.6823049993734199E-3</v>
      </c>
      <c r="BX141" s="2147">
        <f t="shared" si="199"/>
        <v>1.2863092664450539E-2</v>
      </c>
      <c r="BY141" s="2147">
        <f t="shared" si="199"/>
        <v>1.5254154761563915E-2</v>
      </c>
      <c r="BZ141" s="2147">
        <f t="shared" si="199"/>
        <v>1.520599755176601E-2</v>
      </c>
      <c r="CA141" s="2333">
        <f t="shared" ref="CA141:DJ141" si="200">+CA153-CA146</f>
        <v>2.0281940612772109E-2</v>
      </c>
      <c r="CB141" s="2147">
        <f t="shared" si="200"/>
        <v>1.7748258959986198E-2</v>
      </c>
      <c r="CC141" s="2147">
        <f t="shared" si="200"/>
        <v>1.4583876597593883E-2</v>
      </c>
      <c r="CD141" s="2147">
        <f t="shared" si="200"/>
        <v>1.0693524869816583E-2</v>
      </c>
      <c r="CE141" s="2147">
        <f t="shared" si="200"/>
        <v>1.3287361891946271E-2</v>
      </c>
      <c r="CF141" s="2322">
        <f t="shared" si="200"/>
        <v>1.1022499663836616E-2</v>
      </c>
      <c r="CG141" s="2147">
        <f t="shared" si="200"/>
        <v>1.3230317580519374E-2</v>
      </c>
      <c r="CH141" s="2147">
        <f t="shared" si="200"/>
        <v>1.09647474772155E-2</v>
      </c>
      <c r="CI141" s="2147">
        <f t="shared" si="200"/>
        <v>1.1432082212046772E-2</v>
      </c>
      <c r="CJ141" s="2147">
        <f>+CJ153-CJ146</f>
        <v>9.2653141572492173E-3</v>
      </c>
      <c r="CK141" s="2322">
        <f t="shared" si="200"/>
        <v>1.466165003197184E-2</v>
      </c>
      <c r="CL141" s="2147">
        <f>+CL153-CL146</f>
        <v>1.178774113507839E-2</v>
      </c>
      <c r="CM141" s="2147">
        <f t="shared" si="200"/>
        <v>1.4963254243606235E-2</v>
      </c>
      <c r="CN141" s="2147">
        <f t="shared" si="200"/>
        <v>1.3076303755101319E-2</v>
      </c>
      <c r="CO141" s="2147">
        <f t="shared" si="200"/>
        <v>1.7700681854527833E-2</v>
      </c>
      <c r="CP141" s="2322">
        <f t="shared" si="200"/>
        <v>3.7078512061510915E-2</v>
      </c>
      <c r="CQ141" s="2147">
        <f t="shared" si="200"/>
        <v>1.1034734392818581E-2</v>
      </c>
      <c r="CR141" s="2147">
        <f t="shared" si="200"/>
        <v>2.8250233615750159E-3</v>
      </c>
      <c r="CS141" s="2147">
        <f t="shared" si="200"/>
        <v>-2.9588155411894371E-3</v>
      </c>
      <c r="CT141" s="2147">
        <f t="shared" si="200"/>
        <v>-3.8734763701359781E-4</v>
      </c>
      <c r="CU141" s="2322">
        <f t="shared" si="200"/>
        <v>2.9931612728780754E-2</v>
      </c>
      <c r="CV141" s="2147">
        <f t="shared" si="200"/>
        <v>4.0881961746593101E-3</v>
      </c>
      <c r="CW141" s="2147">
        <f t="shared" si="200"/>
        <v>1.0426357064502602E-2</v>
      </c>
      <c r="CX141" s="2147">
        <f>+CX153-CX146</f>
        <v>5.7644753734315921E-2</v>
      </c>
      <c r="CY141" s="2147">
        <f>+CY153-CY146</f>
        <v>0.11721689339930501</v>
      </c>
      <c r="CZ141" s="2322">
        <f t="shared" si="200"/>
        <v>5.9678378451664793E-2</v>
      </c>
      <c r="DA141" s="2147">
        <f>+DA153-DA146</f>
        <v>0.1794819163075258</v>
      </c>
      <c r="DB141" s="2147">
        <f>+DB153-DB146</f>
        <v>0.1727141559348743</v>
      </c>
      <c r="DC141" s="2147">
        <f>+DC153-DC146</f>
        <v>0.11938867342906592</v>
      </c>
      <c r="DD141" s="2147">
        <f>+DD153-DD146</f>
        <v>5.5389461787217042E-2</v>
      </c>
      <c r="DE141" s="2586">
        <f t="shared" si="200"/>
        <v>-0.19611415652382591</v>
      </c>
      <c r="DF141" s="2147">
        <f t="shared" si="200"/>
        <v>8.6398170246619471E-3</v>
      </c>
      <c r="DG141" s="2147">
        <f>+DG153-DG146</f>
        <v>3.1691613965602917E-3</v>
      </c>
      <c r="DH141" s="2147">
        <f>+DH153-DH146</f>
        <v>5.2176694109893063E-3</v>
      </c>
      <c r="DI141" s="2147">
        <f>+DI153-DI146</f>
        <v>3.2086024166999919E-4</v>
      </c>
      <c r="DJ141" s="2322">
        <f t="shared" si="200"/>
        <v>1.8741148364221916E-3</v>
      </c>
      <c r="DK141" s="2147">
        <f t="shared" ref="DK141:DT141" si="201">+DK153-DK146</f>
        <v>6.1699485183697167E-3</v>
      </c>
      <c r="DL141" s="2147">
        <f t="shared" si="201"/>
        <v>6.2945286326616667E-3</v>
      </c>
      <c r="DM141" s="2147">
        <f t="shared" si="201"/>
        <v>5.0254345751665763E-3</v>
      </c>
      <c r="DN141" s="2147">
        <f t="shared" si="201"/>
        <v>3.6179672609042424E-3</v>
      </c>
      <c r="DO141" s="2322">
        <f t="shared" si="201"/>
        <v>5.2446232549445693E-3</v>
      </c>
      <c r="DP141" s="2147">
        <f t="shared" si="201"/>
        <v>3.7697470040731762E-3</v>
      </c>
      <c r="DQ141" s="2147">
        <f t="shared" si="201"/>
        <v>3.8227183541268417E-3</v>
      </c>
      <c r="DR141" s="2147">
        <f t="shared" si="201"/>
        <v>3.7924943197100713E-3</v>
      </c>
      <c r="DS141" s="2147">
        <f t="shared" si="201"/>
        <v>3.5831386179130398E-3</v>
      </c>
      <c r="DT141" s="2322">
        <f t="shared" si="201"/>
        <v>3.7417040069209762E-3</v>
      </c>
      <c r="DU141" s="2147">
        <f t="shared" ref="DU141:DY141" si="202">+DU153-DU146</f>
        <v>3.6144732170975136E-3</v>
      </c>
      <c r="DV141" s="2147">
        <f t="shared" si="202"/>
        <v>3.6643828145419555E-3</v>
      </c>
      <c r="DW141" s="2147">
        <f t="shared" si="202"/>
        <v>3.6352251395987967E-3</v>
      </c>
      <c r="DX141" s="2147">
        <f t="shared" si="202"/>
        <v>3.4348313437646549E-3</v>
      </c>
      <c r="DY141" s="2322">
        <f t="shared" si="202"/>
        <v>3.5870100375814395E-3</v>
      </c>
      <c r="DZ141" s="1850"/>
      <c r="EA141" s="1850"/>
    </row>
    <row r="142" spans="1:131" ht="11.25" customHeight="1" x14ac:dyDescent="0.2">
      <c r="A142" s="1984"/>
      <c r="B142" s="2433" t="s">
        <v>1029</v>
      </c>
      <c r="C142" s="2434"/>
      <c r="D142" s="2351"/>
      <c r="E142" s="1984"/>
      <c r="F142" s="2056"/>
      <c r="G142" s="1850"/>
      <c r="H142" s="1850"/>
      <c r="I142" s="2134"/>
      <c r="J142" s="1929"/>
      <c r="K142" s="1929"/>
      <c r="L142" s="1929"/>
      <c r="M142" s="1929"/>
      <c r="N142" s="2322"/>
      <c r="O142" s="2147">
        <f t="shared" ref="O142:BZ142" si="203">+O154-O149</f>
        <v>-1.9012084682140662E-2</v>
      </c>
      <c r="P142" s="2147">
        <f t="shared" si="203"/>
        <v>-3.0677655165134821E-2</v>
      </c>
      <c r="Q142" s="2147">
        <f t="shared" si="203"/>
        <v>2.5386132824477756E-3</v>
      </c>
      <c r="R142" s="2147">
        <f t="shared" si="203"/>
        <v>5.359023990974382E-2</v>
      </c>
      <c r="S142" s="2333">
        <f t="shared" si="203"/>
        <v>3.4158517378652054E-2</v>
      </c>
      <c r="T142" s="2147">
        <f t="shared" si="203"/>
        <v>0.11461944023781472</v>
      </c>
      <c r="U142" s="2147">
        <f t="shared" si="203"/>
        <v>0.12434959788416924</v>
      </c>
      <c r="V142" s="2147">
        <f t="shared" si="203"/>
        <v>0.1024610690350352</v>
      </c>
      <c r="W142" s="2147">
        <f t="shared" si="203"/>
        <v>0.17035907037421785</v>
      </c>
      <c r="X142" s="2333">
        <f t="shared" si="203"/>
        <v>0.10249094261804384</v>
      </c>
      <c r="Y142" s="2147">
        <f t="shared" si="203"/>
        <v>5.2928704869339871E-2</v>
      </c>
      <c r="Z142" s="2147">
        <f t="shared" si="203"/>
        <v>7.235769001421935E-2</v>
      </c>
      <c r="AA142" s="2147">
        <f t="shared" si="203"/>
        <v>0.10321805047288649</v>
      </c>
      <c r="AB142" s="2147">
        <f t="shared" si="203"/>
        <v>1.7621532173430543E-2</v>
      </c>
      <c r="AC142" s="2333">
        <f t="shared" si="203"/>
        <v>-1.7926928491689188E-2</v>
      </c>
      <c r="AD142" s="2147">
        <f t="shared" si="203"/>
        <v>6.8643052354620218E-2</v>
      </c>
      <c r="AE142" s="2147">
        <f t="shared" si="203"/>
        <v>2.0153860687298408E-2</v>
      </c>
      <c r="AF142" s="2147">
        <f t="shared" si="203"/>
        <v>1.1076563887484462E-2</v>
      </c>
      <c r="AG142" s="2147">
        <f t="shared" si="203"/>
        <v>-2.0399597295145261E-2</v>
      </c>
      <c r="AH142" s="2333">
        <f t="shared" si="203"/>
        <v>-1.1874680533915816E-2</v>
      </c>
      <c r="AI142" s="2147">
        <f t="shared" si="203"/>
        <v>-0.10654968597064411</v>
      </c>
      <c r="AJ142" s="2147">
        <f t="shared" si="203"/>
        <v>-3.7180941371717E-2</v>
      </c>
      <c r="AK142" s="2147">
        <f t="shared" si="203"/>
        <v>-9.7540918009278877E-3</v>
      </c>
      <c r="AL142" s="2147">
        <f t="shared" si="203"/>
        <v>5.4619950602594562E-3</v>
      </c>
      <c r="AM142" s="2333">
        <f t="shared" si="203"/>
        <v>1.0341796177994488E-2</v>
      </c>
      <c r="AN142" s="2147">
        <f t="shared" si="203"/>
        <v>7.0771655259305705E-2</v>
      </c>
      <c r="AO142" s="2147">
        <f t="shared" si="203"/>
        <v>5.8639794187029925E-3</v>
      </c>
      <c r="AP142" s="2147">
        <f t="shared" si="203"/>
        <v>-6.7726850640728968E-3</v>
      </c>
      <c r="AQ142" s="2147">
        <f t="shared" si="203"/>
        <v>7.9146148641346864E-2</v>
      </c>
      <c r="AR142" s="2333">
        <f t="shared" si="203"/>
        <v>4.3688058983780934E-2</v>
      </c>
      <c r="AS142" s="2147">
        <f t="shared" si="203"/>
        <v>4.655384956792314E-3</v>
      </c>
      <c r="AT142" s="2147">
        <f t="shared" si="203"/>
        <v>8.8198850763535966E-3</v>
      </c>
      <c r="AU142" s="2147">
        <f t="shared" si="203"/>
        <v>0.1597283264468328</v>
      </c>
      <c r="AV142" s="2147">
        <f t="shared" si="203"/>
        <v>0.11485266035435172</v>
      </c>
      <c r="AW142" s="2333">
        <f t="shared" si="203"/>
        <v>6.9681373537916397E-2</v>
      </c>
      <c r="AX142" s="2147">
        <f t="shared" si="203"/>
        <v>0.19799897119993631</v>
      </c>
      <c r="AY142" s="2147">
        <f t="shared" si="203"/>
        <v>0.24540253355119634</v>
      </c>
      <c r="AZ142" s="2147">
        <f t="shared" si="203"/>
        <v>6.4028988928079456E-2</v>
      </c>
      <c r="BA142" s="2147">
        <f t="shared" si="203"/>
        <v>-2.0539745545716623E-2</v>
      </c>
      <c r="BB142" s="2333">
        <f t="shared" si="203"/>
        <v>0.18791136940875541</v>
      </c>
      <c r="BC142" s="2147">
        <f t="shared" si="203"/>
        <v>4.8251079198146501E-3</v>
      </c>
      <c r="BD142" s="2147">
        <f t="shared" si="203"/>
        <v>4.1784751965736125E-2</v>
      </c>
      <c r="BE142" s="2147">
        <f t="shared" si="203"/>
        <v>0.14335115586500918</v>
      </c>
      <c r="BF142" s="2147">
        <f t="shared" si="203"/>
        <v>0.19108254295103405</v>
      </c>
      <c r="BG142" s="2333">
        <f t="shared" si="203"/>
        <v>0.12735901369553979</v>
      </c>
      <c r="BH142" s="2147">
        <f t="shared" si="203"/>
        <v>0.19857854838526318</v>
      </c>
      <c r="BI142" s="2147">
        <f t="shared" si="203"/>
        <v>0.12893901750423503</v>
      </c>
      <c r="BJ142" s="2147">
        <f t="shared" si="203"/>
        <v>1.7348494552781132E-2</v>
      </c>
      <c r="BK142" s="2147">
        <f t="shared" si="203"/>
        <v>1.9165543067490347E-2</v>
      </c>
      <c r="BL142" s="2333">
        <f t="shared" si="203"/>
        <v>8.459920862070136E-2</v>
      </c>
      <c r="BM142" s="2147">
        <f t="shared" si="203"/>
        <v>5.2380183914987236E-2</v>
      </c>
      <c r="BN142" s="2147">
        <f t="shared" si="203"/>
        <v>2.1862462175945802E-2</v>
      </c>
      <c r="BO142" s="2147">
        <f t="shared" si="203"/>
        <v>2.3521549803879355E-2</v>
      </c>
      <c r="BP142" s="2147">
        <f t="shared" si="203"/>
        <v>0.20622231780582825</v>
      </c>
      <c r="BQ142" s="2333">
        <f t="shared" si="203"/>
        <v>7.5699181345891944E-2</v>
      </c>
      <c r="BR142" s="2147">
        <f t="shared" si="203"/>
        <v>0.13240197204025128</v>
      </c>
      <c r="BS142" s="2147">
        <f t="shared" si="203"/>
        <v>0.16035598566153955</v>
      </c>
      <c r="BT142" s="2147">
        <f t="shared" si="203"/>
        <v>0.1670546488561595</v>
      </c>
      <c r="BU142" s="2147">
        <f t="shared" si="203"/>
        <v>1.1520419425698484E-2</v>
      </c>
      <c r="BV142" s="2333">
        <f t="shared" si="203"/>
        <v>0.11287063740889378</v>
      </c>
      <c r="BW142" s="2147">
        <f t="shared" si="203"/>
        <v>3.6131730272467182E-2</v>
      </c>
      <c r="BX142" s="2147">
        <f t="shared" si="203"/>
        <v>2.3723481722258469E-2</v>
      </c>
      <c r="BY142" s="2147">
        <f t="shared" si="203"/>
        <v>1.6809760383674779E-2</v>
      </c>
      <c r="BZ142" s="2147">
        <f t="shared" si="203"/>
        <v>1.1265206102861755E-2</v>
      </c>
      <c r="CA142" s="2333">
        <f t="shared" ref="CA142:CI142" si="204">+CA154-CA149</f>
        <v>2.1698249458930965E-2</v>
      </c>
      <c r="CB142" s="2147">
        <f t="shared" si="204"/>
        <v>1.6451441777404655E-2</v>
      </c>
      <c r="CC142" s="2147">
        <f t="shared" si="204"/>
        <v>1.8393838461478802E-2</v>
      </c>
      <c r="CD142" s="2147">
        <f t="shared" si="204"/>
        <v>2.4345291618444804E-2</v>
      </c>
      <c r="CE142" s="2147">
        <f t="shared" si="204"/>
        <v>2.0021572038840918E-2</v>
      </c>
      <c r="CF142" s="2322">
        <f t="shared" si="204"/>
        <v>1.9795586014058626E-2</v>
      </c>
      <c r="CG142" s="2147">
        <f t="shared" si="204"/>
        <v>1.707192421855435E-2</v>
      </c>
      <c r="CH142" s="2147">
        <f t="shared" si="204"/>
        <v>1.5831756789978967E-2</v>
      </c>
      <c r="CI142" s="2147">
        <f t="shared" si="204"/>
        <v>1.3090697546289019E-2</v>
      </c>
      <c r="CJ142" s="2147">
        <f>+CJ154-CJ149</f>
        <v>1.5070786678899419E-2</v>
      </c>
      <c r="CK142" s="2322">
        <f>+CK154-CK149</f>
        <v>1.5254766296448591E-2</v>
      </c>
      <c r="CL142" s="2147">
        <f>+CL154-CL149</f>
        <v>1.7635686005874854E-2</v>
      </c>
      <c r="CM142" s="2147">
        <f ca="1">CM138*CM136</f>
        <v>2.7296747967479572E-2</v>
      </c>
      <c r="CN142" s="1930">
        <f ca="1">CN138*CN136</f>
        <v>2.8184391427416133E-2</v>
      </c>
      <c r="CO142" s="1930">
        <f ca="1">CO138*CO136</f>
        <v>2.8184391427416133E-2</v>
      </c>
      <c r="CP142" s="2322">
        <f>+CP154-CP149</f>
        <v>1.4840000134929589E-2</v>
      </c>
      <c r="CQ142" s="1930">
        <f ca="1">CQ138*CQ136</f>
        <v>2.8184391427416133E-2</v>
      </c>
      <c r="CR142" s="1930">
        <f ca="1">CR138*CR136</f>
        <v>2.8184391427416133E-2</v>
      </c>
      <c r="CS142" s="1930">
        <f ca="1">CS138*CS136</f>
        <v>2.8184391427416133E-2</v>
      </c>
      <c r="CT142" s="1930">
        <f ca="1">CT138*CT136</f>
        <v>2.8184391427416133E-2</v>
      </c>
      <c r="CU142" s="2322">
        <f>+CU154-CU149</f>
        <v>3.2034381276905048E-2</v>
      </c>
      <c r="CV142" s="1930">
        <f ca="1">CV138*CV136</f>
        <v>2.8184391427416133E-2</v>
      </c>
      <c r="CW142" s="1930">
        <f ca="1">CW138*CW136</f>
        <v>3.1500202183582737E-2</v>
      </c>
      <c r="CX142" s="1930">
        <f ca="1">CX138*CX136</f>
        <v>3.1500202183582737E-2</v>
      </c>
      <c r="CY142" s="1930">
        <f ca="1">CY138*CY136</f>
        <v>3.1500202183582737E-2</v>
      </c>
      <c r="CZ142" s="2322">
        <f>+CZ154-CZ149</f>
        <v>3.2626266459223112E-2</v>
      </c>
      <c r="DA142" s="1930">
        <f>DA138*DA136</f>
        <v>2.375E-2</v>
      </c>
      <c r="DB142" s="1930">
        <f>DB138*DB136</f>
        <v>2.375E-2</v>
      </c>
      <c r="DC142" s="1930">
        <f>DC138*DC136</f>
        <v>2.375E-2</v>
      </c>
      <c r="DD142" s="1930">
        <f>DD138*DD136</f>
        <v>2.375E-2</v>
      </c>
      <c r="DE142" s="2586">
        <f>+DE154-DE149</f>
        <v>5.3772066808709121E-2</v>
      </c>
      <c r="DF142" s="1930">
        <f>DF138*DF136</f>
        <v>0</v>
      </c>
      <c r="DG142" s="1930">
        <f>DG138*DG136</f>
        <v>0</v>
      </c>
      <c r="DH142" s="1930">
        <f>DH138*DH136</f>
        <v>0</v>
      </c>
      <c r="DI142" s="1930">
        <f>DI138*DI136</f>
        <v>0</v>
      </c>
      <c r="DJ142" s="2322">
        <f>+DJ154-DJ149</f>
        <v>7.1983220316498356E-3</v>
      </c>
      <c r="DK142" s="1930">
        <f>DK138*DK136</f>
        <v>0</v>
      </c>
      <c r="DL142" s="1930">
        <f>DL138*DL136</f>
        <v>0</v>
      </c>
      <c r="DM142" s="1930">
        <f>DM138*DM136</f>
        <v>0</v>
      </c>
      <c r="DN142" s="1930">
        <f>DN138*DN136</f>
        <v>0</v>
      </c>
      <c r="DO142" s="2322">
        <f>+DO154-DO149</f>
        <v>-9.1940344226770776E-17</v>
      </c>
      <c r="DP142" s="1930">
        <f>DP138*DP136</f>
        <v>0</v>
      </c>
      <c r="DQ142" s="1930">
        <f>DQ138*DQ136</f>
        <v>0</v>
      </c>
      <c r="DR142" s="1930">
        <f>DR138*DR136</f>
        <v>0</v>
      </c>
      <c r="DS142" s="1930">
        <f>DS138*DS136</f>
        <v>0</v>
      </c>
      <c r="DT142" s="2322">
        <f>+DT154-DT149</f>
        <v>0</v>
      </c>
      <c r="DU142" s="1930">
        <f>DU138*DU136</f>
        <v>0</v>
      </c>
      <c r="DV142" s="1930">
        <f>DV138*DV136</f>
        <v>0</v>
      </c>
      <c r="DW142" s="1930">
        <f>DW138*DW136</f>
        <v>0</v>
      </c>
      <c r="DX142" s="1930">
        <f>DX138*DX136</f>
        <v>0</v>
      </c>
      <c r="DY142" s="2322">
        <f>+DY154-DY149</f>
        <v>1.0668549377257364E-16</v>
      </c>
      <c r="DZ142" s="1850"/>
      <c r="EA142" s="1850"/>
    </row>
    <row r="143" spans="1:131" ht="11.25" customHeight="1" x14ac:dyDescent="0.2">
      <c r="A143" s="1984"/>
      <c r="B143" s="2435" t="s">
        <v>1030</v>
      </c>
      <c r="C143" s="2436"/>
      <c r="D143" s="2351"/>
      <c r="E143" s="1984"/>
      <c r="F143" s="2056"/>
      <c r="G143" s="1850"/>
      <c r="H143" s="1850"/>
      <c r="I143" s="2134"/>
      <c r="J143" s="1929"/>
      <c r="K143" s="1929"/>
      <c r="L143" s="1929"/>
      <c r="M143" s="1929"/>
      <c r="N143" s="2322"/>
      <c r="O143" s="1929"/>
      <c r="P143" s="1929"/>
      <c r="Q143" s="1929"/>
      <c r="R143" s="1929"/>
      <c r="S143" s="2322"/>
      <c r="T143" s="1929"/>
      <c r="U143" s="1929"/>
      <c r="V143" s="1929"/>
      <c r="W143" s="1929"/>
      <c r="X143" s="2322"/>
      <c r="Y143" s="1929"/>
      <c r="Z143" s="1929"/>
      <c r="AA143" s="1929"/>
      <c r="AB143" s="1929"/>
      <c r="AC143" s="2322"/>
      <c r="AD143" s="1929"/>
      <c r="AE143" s="1929"/>
      <c r="AF143" s="1929"/>
      <c r="AG143" s="1929"/>
      <c r="AH143" s="2322"/>
      <c r="AI143" s="1929"/>
      <c r="AJ143" s="1929"/>
      <c r="AK143" s="1929"/>
      <c r="AL143" s="1929"/>
      <c r="AM143" s="2322"/>
      <c r="AN143" s="1929"/>
      <c r="AO143" s="1929"/>
      <c r="AP143" s="1929"/>
      <c r="AQ143" s="1929"/>
      <c r="AR143" s="2322"/>
      <c r="AS143" s="1929"/>
      <c r="AT143" s="1929"/>
      <c r="AU143" s="1929"/>
      <c r="AV143" s="1929"/>
      <c r="AW143" s="2322"/>
      <c r="AX143" s="1929"/>
      <c r="AY143" s="1929"/>
      <c r="AZ143" s="1929"/>
      <c r="BA143" s="1929"/>
      <c r="BB143" s="2322"/>
      <c r="BC143" s="1929"/>
      <c r="BD143" s="1929"/>
      <c r="BE143" s="1929"/>
      <c r="BF143" s="1929"/>
      <c r="BG143" s="2322"/>
      <c r="BH143" s="1929"/>
      <c r="BI143" s="1929"/>
      <c r="BJ143" s="1929"/>
      <c r="BK143" s="1929"/>
      <c r="BL143" s="2322"/>
      <c r="BM143" s="1929"/>
      <c r="BN143" s="1929"/>
      <c r="BO143" s="1929"/>
      <c r="BP143" s="1929"/>
      <c r="BQ143" s="2322"/>
      <c r="BR143" s="1929"/>
      <c r="BS143" s="1929"/>
      <c r="BT143" s="1929"/>
      <c r="BU143" s="1929"/>
      <c r="BV143" s="2322"/>
      <c r="BW143" s="1929"/>
      <c r="BX143" s="1929"/>
      <c r="BY143" s="1929"/>
      <c r="BZ143" s="1929"/>
      <c r="CA143" s="2322"/>
      <c r="CB143" s="1929"/>
      <c r="CC143" s="1929"/>
      <c r="CD143" s="1929"/>
      <c r="CE143" s="1929"/>
      <c r="CF143" s="2322"/>
      <c r="CG143" s="1929"/>
      <c r="CH143" s="1929"/>
      <c r="CI143" s="1929"/>
      <c r="CJ143" s="1929"/>
      <c r="CK143" s="2322"/>
      <c r="CL143" s="1929"/>
      <c r="CM143" s="1929"/>
      <c r="CN143" s="1929"/>
      <c r="CO143" s="1929"/>
      <c r="CP143" s="2322"/>
      <c r="CQ143" s="1929"/>
      <c r="CR143" s="1929"/>
      <c r="CS143" s="1929"/>
      <c r="CT143" s="1929"/>
      <c r="CU143" s="2322"/>
      <c r="CV143" s="1929"/>
      <c r="CW143" s="1929"/>
      <c r="CX143" s="1929"/>
      <c r="CY143" s="1929"/>
      <c r="CZ143" s="2322"/>
      <c r="DA143" s="1929"/>
      <c r="DB143" s="1929"/>
      <c r="DC143" s="1929"/>
      <c r="DD143" s="1929"/>
      <c r="DE143" s="2586"/>
      <c r="DF143" s="1929"/>
      <c r="DG143" s="1929"/>
      <c r="DH143" s="1929"/>
      <c r="DI143" s="1929"/>
      <c r="DJ143" s="2322"/>
      <c r="DK143" s="1929"/>
      <c r="DL143" s="1929"/>
      <c r="DM143" s="1929"/>
      <c r="DN143" s="1929"/>
      <c r="DO143" s="2322"/>
      <c r="DP143" s="1929"/>
      <c r="DQ143" s="1929"/>
      <c r="DR143" s="1929"/>
      <c r="DS143" s="1929"/>
      <c r="DT143" s="2322"/>
      <c r="DU143" s="1929"/>
      <c r="DV143" s="1929"/>
      <c r="DW143" s="1929"/>
      <c r="DX143" s="1929"/>
      <c r="DY143" s="2322"/>
      <c r="DZ143" s="1850"/>
      <c r="EA143" s="1850"/>
    </row>
    <row r="144" spans="1:131" ht="6.75" customHeight="1" x14ac:dyDescent="0.2">
      <c r="A144" s="1984"/>
      <c r="B144" s="2142"/>
      <c r="C144" s="2370"/>
      <c r="D144" s="2370"/>
      <c r="E144" s="1984"/>
      <c r="F144" s="2056"/>
      <c r="G144" s="1850"/>
      <c r="H144" s="1850"/>
      <c r="I144" s="2134"/>
      <c r="J144" s="1984"/>
      <c r="K144" s="2056"/>
      <c r="L144" s="1850"/>
      <c r="M144" s="1850"/>
      <c r="N144" s="2134"/>
      <c r="O144" s="2432"/>
      <c r="P144" s="2432"/>
      <c r="Q144" s="2432"/>
      <c r="R144" s="2432"/>
      <c r="S144" s="2134"/>
      <c r="T144" s="2432"/>
      <c r="U144" s="2432"/>
      <c r="V144" s="2432"/>
      <c r="W144" s="2432"/>
      <c r="X144" s="2134"/>
      <c r="Y144" s="2432"/>
      <c r="Z144" s="2432"/>
      <c r="AA144" s="2432"/>
      <c r="AB144" s="2432"/>
      <c r="AC144" s="2134"/>
      <c r="AD144" s="2432"/>
      <c r="AE144" s="2432"/>
      <c r="AF144" s="2432"/>
      <c r="AG144" s="2432"/>
      <c r="AH144" s="2134"/>
      <c r="AI144" s="1850"/>
      <c r="AJ144" s="1850"/>
      <c r="AK144" s="1850"/>
      <c r="AL144" s="2096"/>
      <c r="AM144" s="2134"/>
      <c r="AN144" s="2096"/>
      <c r="AO144" s="2056"/>
      <c r="AP144" s="1984"/>
      <c r="AQ144" s="2096"/>
      <c r="AR144" s="2134"/>
      <c r="AS144" s="2115"/>
      <c r="AT144" s="2056"/>
      <c r="AU144" s="1984"/>
      <c r="AV144" s="2096"/>
      <c r="AW144" s="2134"/>
      <c r="AX144" s="1984"/>
      <c r="AY144" s="2056"/>
      <c r="AZ144" s="1984"/>
      <c r="BA144" s="2096"/>
      <c r="BB144" s="2134"/>
      <c r="BC144" s="1984"/>
      <c r="BD144" s="2056"/>
      <c r="BE144" s="1984"/>
      <c r="BF144" s="2096"/>
      <c r="BG144" s="2134"/>
      <c r="BH144" s="1850"/>
      <c r="BI144" s="1850"/>
      <c r="BJ144" s="1850"/>
      <c r="BK144" s="1850"/>
      <c r="BL144" s="2134"/>
      <c r="BM144" s="1850"/>
      <c r="BN144" s="1850"/>
      <c r="BO144" s="1850"/>
      <c r="BP144" s="1850"/>
      <c r="BQ144" s="2134"/>
      <c r="BR144" s="1850"/>
      <c r="BS144" s="1850"/>
      <c r="BT144" s="1850"/>
      <c r="BU144" s="1850"/>
      <c r="BV144" s="2134"/>
      <c r="BW144" s="1850"/>
      <c r="BX144" s="1850"/>
      <c r="BY144" s="1850"/>
      <c r="BZ144" s="1850"/>
      <c r="CA144" s="2134"/>
      <c r="CB144" s="1850"/>
      <c r="CC144" s="1850"/>
      <c r="CD144" s="1850"/>
      <c r="CE144" s="1850"/>
      <c r="CF144" s="2134"/>
      <c r="CG144" s="1850"/>
      <c r="CH144" s="1850"/>
      <c r="CI144" s="1850"/>
      <c r="CJ144" s="1850"/>
      <c r="CK144" s="2134"/>
      <c r="CL144" s="1850"/>
      <c r="CM144" s="1850"/>
      <c r="CN144" s="1850"/>
      <c r="CO144" s="1850"/>
      <c r="CP144" s="2134"/>
      <c r="CQ144" s="1850"/>
      <c r="CR144" s="1850"/>
      <c r="CS144" s="1850"/>
      <c r="CT144" s="1850"/>
      <c r="CU144" s="2134"/>
      <c r="CV144" s="1850"/>
      <c r="CW144" s="1850"/>
      <c r="CX144" s="1850"/>
      <c r="CY144" s="1850"/>
      <c r="CZ144" s="2134"/>
      <c r="DA144" s="1850"/>
      <c r="DB144" s="1850"/>
      <c r="DC144" s="1850"/>
      <c r="DD144" s="1850"/>
      <c r="DE144" s="2654"/>
      <c r="DF144" s="1850"/>
      <c r="DG144" s="1850"/>
      <c r="DH144" s="1850"/>
      <c r="DI144" s="1850"/>
      <c r="DJ144" s="2134"/>
      <c r="DK144" s="1850"/>
      <c r="DL144" s="1850"/>
      <c r="DM144" s="1850"/>
      <c r="DN144" s="1850"/>
      <c r="DO144" s="2134"/>
      <c r="DP144" s="1850"/>
      <c r="DQ144" s="1850"/>
      <c r="DR144" s="1850"/>
      <c r="DS144" s="1850"/>
      <c r="DT144" s="2134"/>
      <c r="DU144" s="1850"/>
      <c r="DV144" s="1850"/>
      <c r="DW144" s="1850"/>
      <c r="DX144" s="1850"/>
      <c r="DY144" s="2134"/>
      <c r="DZ144" s="1850"/>
      <c r="EA144" s="1850"/>
    </row>
    <row r="145" spans="1:131" ht="11.25" customHeight="1" x14ac:dyDescent="0.2">
      <c r="A145" s="1984"/>
      <c r="B145" s="2142" t="s">
        <v>1031</v>
      </c>
      <c r="C145" s="2370"/>
      <c r="D145" s="2370"/>
      <c r="E145" s="1984"/>
      <c r="F145" s="2056"/>
      <c r="G145" s="1850"/>
      <c r="H145" s="1850"/>
      <c r="I145" s="2134"/>
      <c r="J145" s="1984"/>
      <c r="K145" s="2056"/>
      <c r="L145" s="1850"/>
      <c r="M145" s="1850"/>
      <c r="N145" s="2134"/>
      <c r="O145" s="2432"/>
      <c r="P145" s="2432"/>
      <c r="Q145" s="2432"/>
      <c r="R145" s="2432"/>
      <c r="S145" s="2134"/>
      <c r="T145" s="2432"/>
      <c r="U145" s="2432"/>
      <c r="V145" s="2432"/>
      <c r="W145" s="2432"/>
      <c r="X145" s="2134"/>
      <c r="Y145" s="2432"/>
      <c r="Z145" s="2432"/>
      <c r="AA145" s="2432"/>
      <c r="AB145" s="2432"/>
      <c r="AC145" s="2134"/>
      <c r="AD145" s="2432"/>
      <c r="AE145" s="2432"/>
      <c r="AF145" s="2432"/>
      <c r="AG145" s="2432"/>
      <c r="AH145" s="2134"/>
      <c r="AI145" s="1850"/>
      <c r="AJ145" s="1850"/>
      <c r="AK145" s="1850"/>
      <c r="AL145" s="2096"/>
      <c r="AM145" s="2134"/>
      <c r="AN145" s="2096"/>
      <c r="AO145" s="2437"/>
      <c r="AP145" s="1984"/>
      <c r="AQ145" s="2096"/>
      <c r="AR145" s="2134"/>
      <c r="AS145" s="2115"/>
      <c r="AT145" s="2056"/>
      <c r="AU145" s="1984"/>
      <c r="AV145" s="2096"/>
      <c r="AW145" s="2134"/>
      <c r="AX145" s="2438"/>
      <c r="AY145" s="2056"/>
      <c r="AZ145" s="1984"/>
      <c r="BA145" s="2096"/>
      <c r="BB145" s="2134"/>
      <c r="BC145" s="1984"/>
      <c r="BD145" s="1929"/>
      <c r="BE145" s="1929"/>
      <c r="BF145" s="2096"/>
      <c r="BG145" s="2134"/>
      <c r="BH145" s="1929"/>
      <c r="BI145" s="1929"/>
      <c r="BJ145" s="1929"/>
      <c r="BK145" s="1929"/>
      <c r="BL145" s="2134"/>
      <c r="BM145" s="1929"/>
      <c r="BN145" s="1929"/>
      <c r="BO145" s="1929"/>
      <c r="BP145" s="1929"/>
      <c r="BQ145" s="2134"/>
      <c r="BR145" s="1929"/>
      <c r="BS145" s="1929"/>
      <c r="BT145" s="1929"/>
      <c r="BU145" s="1929"/>
      <c r="BV145" s="2134"/>
      <c r="BW145" s="1929"/>
      <c r="BX145" s="1929"/>
      <c r="BY145" s="1929"/>
      <c r="BZ145" s="1929"/>
      <c r="CA145" s="2134"/>
      <c r="CB145" s="1929"/>
      <c r="CC145" s="1929"/>
      <c r="CD145" s="1929"/>
      <c r="CE145" s="1929"/>
      <c r="CF145" s="2134"/>
      <c r="CG145" s="1929"/>
      <c r="CH145" s="1929"/>
      <c r="CI145" s="1929"/>
      <c r="CJ145" s="1929"/>
      <c r="CK145" s="2134"/>
      <c r="CL145" s="1929"/>
      <c r="CM145" s="1929"/>
      <c r="CN145" s="1929"/>
      <c r="CO145" s="1929"/>
      <c r="CP145" s="2134"/>
      <c r="CQ145" s="1929"/>
      <c r="CR145" s="1929"/>
      <c r="CS145" s="1929"/>
      <c r="CT145" s="1929"/>
      <c r="CU145" s="2134"/>
      <c r="CV145" s="1929"/>
      <c r="CW145" s="1929"/>
      <c r="CX145" s="1929"/>
      <c r="CY145" s="1929"/>
      <c r="CZ145" s="2134"/>
      <c r="DA145" s="1929"/>
      <c r="DB145" s="1929"/>
      <c r="DC145" s="1929"/>
      <c r="DD145" s="1929"/>
      <c r="DE145" s="2654"/>
      <c r="DF145" s="1929"/>
      <c r="DG145" s="1929"/>
      <c r="DH145" s="1929"/>
      <c r="DI145" s="1929"/>
      <c r="DJ145" s="2134"/>
      <c r="DK145" s="1929"/>
      <c r="DL145" s="1929"/>
      <c r="DM145" s="1929"/>
      <c r="DN145" s="1929"/>
      <c r="DO145" s="2134"/>
      <c r="DP145" s="1929"/>
      <c r="DQ145" s="1929"/>
      <c r="DR145" s="1929"/>
      <c r="DS145" s="1929"/>
      <c r="DT145" s="2134"/>
      <c r="DU145" s="1929"/>
      <c r="DV145" s="1929"/>
      <c r="DW145" s="1929"/>
      <c r="DX145" s="1929"/>
      <c r="DY145" s="2134"/>
      <c r="DZ145" s="1850"/>
      <c r="EA145" s="1850"/>
    </row>
    <row r="146" spans="1:131" ht="11.25" customHeight="1" x14ac:dyDescent="0.2">
      <c r="A146" s="1984"/>
      <c r="B146" s="2433" t="s">
        <v>1028</v>
      </c>
      <c r="C146" s="2434"/>
      <c r="D146" s="1930"/>
      <c r="E146" s="1984"/>
      <c r="F146" s="2056"/>
      <c r="G146" s="1850"/>
      <c r="H146" s="1850"/>
      <c r="I146" s="2134"/>
      <c r="J146" s="1984"/>
      <c r="K146" s="2056"/>
      <c r="L146" s="1850"/>
      <c r="M146" s="1850"/>
      <c r="N146" s="2414">
        <v>0.16700000000000001</v>
      </c>
      <c r="O146" s="2348">
        <v>0.14399999999999999</v>
      </c>
      <c r="P146" s="2348">
        <v>0.154</v>
      </c>
      <c r="Q146" s="2348">
        <v>0.17299999999999999</v>
      </c>
      <c r="R146" s="2348">
        <v>0.185</v>
      </c>
      <c r="S146" s="2414">
        <v>0.16500000000000001</v>
      </c>
      <c r="T146" s="2348">
        <v>0.20399999999999999</v>
      </c>
      <c r="U146" s="2348">
        <v>0.19500000000000001</v>
      </c>
      <c r="V146" s="2348">
        <v>0.17899999999999999</v>
      </c>
      <c r="W146" s="2348">
        <v>0.19700000000000001</v>
      </c>
      <c r="X146" s="2414">
        <v>0.19400000000000001</v>
      </c>
      <c r="Y146" s="2348">
        <v>0.152</v>
      </c>
      <c r="Z146" s="2348">
        <v>0.186</v>
      </c>
      <c r="AA146" s="2348">
        <v>0.187</v>
      </c>
      <c r="AB146" s="2348">
        <v>0.18099999999999999</v>
      </c>
      <c r="AC146" s="2414">
        <v>0.17699999999999999</v>
      </c>
      <c r="AD146" s="2348">
        <v>0.17599999999999999</v>
      </c>
      <c r="AE146" s="2348">
        <v>0.13200000000000001</v>
      </c>
      <c r="AF146" s="2348">
        <v>0.11799999999999999</v>
      </c>
      <c r="AG146" s="2348">
        <v>0.10100000000000001</v>
      </c>
      <c r="AH146" s="2414">
        <v>0.13</v>
      </c>
      <c r="AI146" s="2348">
        <v>0.11700000000000001</v>
      </c>
      <c r="AJ146" s="2348">
        <v>0.123</v>
      </c>
      <c r="AK146" s="2348">
        <v>0.12</v>
      </c>
      <c r="AL146" s="2348">
        <v>0.109</v>
      </c>
      <c r="AM146" s="2414">
        <f>SUM(AI146:AL146)/4</f>
        <v>0.11724999999999999</v>
      </c>
      <c r="AN146" s="2348">
        <v>7.0999999999999994E-2</v>
      </c>
      <c r="AO146" s="2348">
        <v>7.4999999999999997E-2</v>
      </c>
      <c r="AP146" s="2348">
        <v>8.5000000000000006E-2</v>
      </c>
      <c r="AQ146" s="2348">
        <v>9.0999999999999998E-2</v>
      </c>
      <c r="AR146" s="2414">
        <f>SUM(AN146:AQ146)/4</f>
        <v>8.0499999999999988E-2</v>
      </c>
      <c r="AS146" s="2348">
        <v>8.3000000000000004E-2</v>
      </c>
      <c r="AT146" s="2348">
        <v>7.0000000000000007E-2</v>
      </c>
      <c r="AU146" s="2348">
        <v>6.8000000000000005E-2</v>
      </c>
      <c r="AV146" s="2348">
        <v>5.8999999999999997E-2</v>
      </c>
      <c r="AW146" s="2414">
        <f>SUM(AS146:AV146)/4</f>
        <v>7.0000000000000007E-2</v>
      </c>
      <c r="AX146" s="2348">
        <v>8.7999999999999995E-2</v>
      </c>
      <c r="AY146" s="2348">
        <v>7.3999999999999996E-2</v>
      </c>
      <c r="AZ146" s="2348">
        <v>5.8000000000000003E-2</v>
      </c>
      <c r="BA146" s="2348">
        <v>6.3E-2</v>
      </c>
      <c r="BB146" s="2414">
        <f>SUM(AX146:BA146)/4</f>
        <v>7.0749999999999993E-2</v>
      </c>
      <c r="BC146" s="2348">
        <v>6.8000000000000005E-2</v>
      </c>
      <c r="BD146" s="2348">
        <v>9.0999999999999998E-2</v>
      </c>
      <c r="BE146" s="2348">
        <v>0.10199999999999999</v>
      </c>
      <c r="BF146" s="2348">
        <v>0.10199999999999999</v>
      </c>
      <c r="BG146" s="2414">
        <f>SUM(BC146:BF146)/4</f>
        <v>9.0749999999999997E-2</v>
      </c>
      <c r="BH146" s="2348">
        <v>7.8E-2</v>
      </c>
      <c r="BI146" s="2348">
        <v>5.7000000000000002E-2</v>
      </c>
      <c r="BJ146" s="2348">
        <v>4.3490000000000001E-2</v>
      </c>
      <c r="BK146" s="2348">
        <v>3.5799999999999998E-2</v>
      </c>
      <c r="BL146" s="2414">
        <f>SUM(BH146:BK146)/4</f>
        <v>5.3572500000000002E-2</v>
      </c>
      <c r="BM146" s="2348">
        <v>4.2999999999999997E-2</v>
      </c>
      <c r="BN146" s="2348">
        <v>3.6999999999999998E-2</v>
      </c>
      <c r="BO146" s="2348">
        <v>3.7999999999999999E-2</v>
      </c>
      <c r="BP146" s="2348">
        <v>4.4999999999999998E-2</v>
      </c>
      <c r="BQ146" s="2333">
        <f>AVERAGE(BM146:BP146)</f>
        <v>4.0749999999999995E-2</v>
      </c>
      <c r="BR146" s="2348">
        <v>4.5999999999999999E-2</v>
      </c>
      <c r="BS146" s="2348">
        <v>7.4999999999999997E-2</v>
      </c>
      <c r="BT146" s="2348">
        <v>0.08</v>
      </c>
      <c r="BU146" s="2348">
        <v>7.2999999999999995E-2</v>
      </c>
      <c r="BV146" s="2333">
        <f>AVERAGE(BR146:BU146)</f>
        <v>6.8500000000000005E-2</v>
      </c>
      <c r="BW146" s="2348">
        <v>3.6999999999999998E-2</v>
      </c>
      <c r="BX146" s="2348">
        <v>2.9000000000000001E-2</v>
      </c>
      <c r="BY146" s="2348">
        <v>0.03</v>
      </c>
      <c r="BZ146" s="2348">
        <v>0.02</v>
      </c>
      <c r="CA146" s="2333">
        <f>SUM(BW98:BZ98)/SUM(BR93:BU93)-1</f>
        <v>1.9925672056470889E-2</v>
      </c>
      <c r="CB146" s="2348">
        <v>3.6499999999999998E-2</v>
      </c>
      <c r="CC146" s="2348">
        <v>2.5999999999999999E-2</v>
      </c>
      <c r="CD146" s="2348">
        <v>2.4E-2</v>
      </c>
      <c r="CE146" s="2348">
        <v>3.5999999999999997E-2</v>
      </c>
      <c r="CF146" s="2322">
        <f>SUM(CB98:CE98)/SUM(BW93:BZ93)-1</f>
        <v>3.3677231648929773E-2</v>
      </c>
      <c r="CG146" s="2348">
        <v>9.8000000000000004E-2</v>
      </c>
      <c r="CH146" s="2346">
        <v>7.1999999999999995E-2</v>
      </c>
      <c r="CI146" s="2348">
        <v>5.2999999999999999E-2</v>
      </c>
      <c r="CJ146" s="2348">
        <v>0.04</v>
      </c>
      <c r="CK146" s="2322">
        <f>SUM(CG98:CJ98)/SUM(CB93:CE93)-1</f>
        <v>6.2035780169162669E-2</v>
      </c>
      <c r="CL146" s="2348">
        <v>-2.3E-2</v>
      </c>
      <c r="CM146" s="2348">
        <v>8.0000000000000002E-3</v>
      </c>
      <c r="CN146" s="2348">
        <v>5.7000000000000002E-2</v>
      </c>
      <c r="CO146" s="2348">
        <v>6.8000000000000005E-2</v>
      </c>
      <c r="CP146" s="2322">
        <f>SUM(CL98:CO98)/SUM(CG93:CJ93)-1</f>
        <v>4.4232609496037689E-3</v>
      </c>
      <c r="CQ146" s="2348">
        <v>3.7999999999999999E-2</v>
      </c>
      <c r="CR146" s="2348">
        <v>0.05</v>
      </c>
      <c r="CS146" s="2348">
        <v>5.1999999999999998E-2</v>
      </c>
      <c r="CT146" s="2348">
        <v>5.5E-2</v>
      </c>
      <c r="CU146" s="2322">
        <f>SUM(CQ98:CT98)/SUM(CL93:CO93)-1</f>
        <v>2.0303544683329511E-2</v>
      </c>
      <c r="CV146" s="2348">
        <v>4.2000000000000003E-2</v>
      </c>
      <c r="CW146" s="2348">
        <v>4.1000000000000002E-2</v>
      </c>
      <c r="CX146" s="2348">
        <v>4.5999999999999999E-2</v>
      </c>
      <c r="CY146" s="2348">
        <v>0.05</v>
      </c>
      <c r="CZ146" s="2322">
        <f>SUM(CV98:CY98)/SUM(CQ93:CT93)-1</f>
        <v>3.546806556489579E-2</v>
      </c>
      <c r="DA146" s="2348">
        <v>5.5E-2</v>
      </c>
      <c r="DB146" s="2348">
        <v>3.9E-2</v>
      </c>
      <c r="DC146" s="2348">
        <v>3.4000000000000002E-2</v>
      </c>
      <c r="DD146" s="2348">
        <v>2E-3</v>
      </c>
      <c r="DE146" s="2655">
        <f>DE76+0.015</f>
        <v>0.35479865944831157</v>
      </c>
      <c r="DF146" s="2411">
        <v>-4.7E-2</v>
      </c>
      <c r="DG146" s="2411">
        <v>-2.8000000000000001E-2</v>
      </c>
      <c r="DH146" s="2411">
        <v>-3.4000000000000002E-2</v>
      </c>
      <c r="DI146" s="2411">
        <v>4.0000000000000001E-3</v>
      </c>
      <c r="DJ146" s="2322">
        <f>SUM(DF98:DI98)/SUM(DA93:DD93)-1</f>
        <v>-2.3582913261956495E-2</v>
      </c>
      <c r="DK146" s="1930">
        <f>DK98/DF93-1</f>
        <v>7.0940629987018333E-2</v>
      </c>
      <c r="DL146" s="1930">
        <f>DL98/DG93-1</f>
        <v>6.9000209092018316E-2</v>
      </c>
      <c r="DM146" s="1930">
        <f>DM98/DH93-1</f>
        <v>3.6446113801999802E-2</v>
      </c>
      <c r="DN146" s="1930">
        <f>DN98/DI93-1</f>
        <v>2.987801225168063E-3</v>
      </c>
      <c r="DO146" s="2322">
        <f>SUM(DK98:DN98)/SUM(DF93:DI93)-1</f>
        <v>4.4008371789064693E-2</v>
      </c>
      <c r="DP146" s="1930">
        <f>DP98/DK93-1</f>
        <v>3.532069058551901E-2</v>
      </c>
      <c r="DQ146" s="1930">
        <f>DQ98/DL93-1</f>
        <v>3.4113932585641438E-2</v>
      </c>
      <c r="DR146" s="1930">
        <f>DR98/DM93-1</f>
        <v>3.310103452195623E-2</v>
      </c>
      <c r="DS146" s="1930">
        <f>DS98/DN93-1</f>
        <v>3.1807645825927766E-2</v>
      </c>
      <c r="DT146" s="2322">
        <f>SUM(DP98:DS98)/SUM(DK93:DN93)-1</f>
        <v>3.3582308760586432E-2</v>
      </c>
      <c r="DU146" s="1930">
        <f>DU98/DP93-1</f>
        <v>3.1161059906164024E-2</v>
      </c>
      <c r="DV146" s="1930">
        <f>DV98/DQ93-1</f>
        <v>2.9768809663500262E-2</v>
      </c>
      <c r="DW146" s="1930">
        <f>DW98/DR93-1</f>
        <v>2.8681401753393398E-2</v>
      </c>
      <c r="DX146" s="1930">
        <f>DX98/DS93-1</f>
        <v>2.7274369524042719E-2</v>
      </c>
      <c r="DY146" s="2322">
        <f>SUM(DU98:DX98)/SUM(DP93:DS93)-1</f>
        <v>2.9219368249212119E-2</v>
      </c>
      <c r="DZ146" s="1850"/>
      <c r="EA146" s="1850"/>
    </row>
    <row r="147" spans="1:131" ht="11.25" hidden="1" customHeight="1" outlineLevel="1" x14ac:dyDescent="0.2">
      <c r="A147" s="2169"/>
      <c r="B147" s="1108" t="s">
        <v>756</v>
      </c>
      <c r="C147" s="245"/>
      <c r="D147" s="245"/>
      <c r="E147" s="245"/>
      <c r="F147" s="245"/>
      <c r="G147" s="245"/>
      <c r="H147" s="245"/>
      <c r="I147" s="246"/>
      <c r="J147" s="245"/>
      <c r="K147" s="245"/>
      <c r="L147" s="245"/>
      <c r="M147" s="245"/>
      <c r="N147" s="246"/>
      <c r="O147" s="245"/>
      <c r="P147" s="245"/>
      <c r="Q147" s="245"/>
      <c r="R147" s="245"/>
      <c r="S147" s="246"/>
      <c r="T147" s="245"/>
      <c r="U147" s="245"/>
      <c r="V147" s="245"/>
      <c r="W147" s="245"/>
      <c r="X147" s="246"/>
      <c r="Y147" s="245"/>
      <c r="Z147" s="245"/>
      <c r="AA147" s="245"/>
      <c r="AB147" s="245"/>
      <c r="AC147" s="246"/>
      <c r="AD147" s="245"/>
      <c r="AE147" s="245"/>
      <c r="AF147" s="245"/>
      <c r="AG147" s="245"/>
      <c r="AH147" s="246"/>
      <c r="AI147" s="245"/>
      <c r="AJ147" s="245"/>
      <c r="AK147" s="245"/>
      <c r="AL147" s="245"/>
      <c r="AM147" s="246"/>
      <c r="AN147" s="245"/>
      <c r="AO147" s="245"/>
      <c r="AP147" s="245"/>
      <c r="AQ147" s="245"/>
      <c r="AR147" s="246"/>
      <c r="AS147" s="245"/>
      <c r="AT147" s="245"/>
      <c r="AU147" s="245"/>
      <c r="AV147" s="245"/>
      <c r="AW147" s="246"/>
      <c r="AX147" s="245"/>
      <c r="AY147" s="245"/>
      <c r="AZ147" s="245"/>
      <c r="BA147" s="245"/>
      <c r="BB147" s="246"/>
      <c r="BC147" s="245"/>
      <c r="BD147" s="245"/>
      <c r="BE147" s="245"/>
      <c r="BF147" s="245"/>
      <c r="BG147" s="246"/>
      <c r="BH147" s="245"/>
      <c r="BI147" s="245"/>
      <c r="BJ147" s="245"/>
      <c r="BK147" s="245"/>
      <c r="BL147" s="246"/>
      <c r="BM147" s="1109">
        <v>0</v>
      </c>
      <c r="BN147" s="1109">
        <v>0</v>
      </c>
      <c r="BO147" s="1109">
        <v>0</v>
      </c>
      <c r="BP147" s="1109">
        <v>0</v>
      </c>
      <c r="BQ147" s="246"/>
      <c r="BR147" s="1035">
        <v>1.2E-2</v>
      </c>
      <c r="BS147" s="1035">
        <v>1.9E-2</v>
      </c>
      <c r="BT147" s="1035">
        <v>2.5000000000000001E-2</v>
      </c>
      <c r="BU147" s="1035">
        <v>2.7E-2</v>
      </c>
      <c r="BV147" s="246"/>
      <c r="BW147" s="1035">
        <v>2.5999999999999999E-2</v>
      </c>
      <c r="BX147" s="1035">
        <v>2.9000000000000001E-2</v>
      </c>
      <c r="BY147" s="1035">
        <v>2.4E-2</v>
      </c>
      <c r="BZ147" s="1035">
        <v>2.1999999999999999E-2</v>
      </c>
      <c r="CA147" s="246"/>
      <c r="CB147" s="270">
        <v>1.7000000000000001E-2</v>
      </c>
      <c r="CC147" s="270">
        <v>1.6E-2</v>
      </c>
      <c r="CD147" s="270">
        <v>1.4E-2</v>
      </c>
      <c r="CE147" s="270">
        <v>1.6E-2</v>
      </c>
      <c r="CF147" s="246"/>
      <c r="CG147" s="1624">
        <v>0.01</v>
      </c>
      <c r="CH147" s="268"/>
      <c r="CI147" s="268"/>
      <c r="CJ147" s="270">
        <f>CI147</f>
        <v>0</v>
      </c>
      <c r="CK147" s="246"/>
      <c r="CL147" s="270">
        <v>0.01</v>
      </c>
      <c r="CM147" s="1678">
        <v>0.01</v>
      </c>
      <c r="CN147" s="270">
        <v>0.01</v>
      </c>
      <c r="CO147" s="270">
        <f>CN147</f>
        <v>0.01</v>
      </c>
      <c r="CP147" s="246"/>
      <c r="CQ147" s="270">
        <v>0.01</v>
      </c>
      <c r="CR147" s="270">
        <v>0.01</v>
      </c>
      <c r="CS147" s="270">
        <v>0.01</v>
      </c>
      <c r="CT147" s="1624">
        <v>0.01</v>
      </c>
      <c r="CU147" s="246"/>
      <c r="CV147" s="1624">
        <v>0.01</v>
      </c>
      <c r="CW147" s="1624">
        <v>0.01</v>
      </c>
      <c r="CX147" s="1624">
        <v>0.01</v>
      </c>
      <c r="CY147" s="1624">
        <v>0.01</v>
      </c>
      <c r="CZ147" s="246"/>
      <c r="DA147" s="1624"/>
      <c r="DB147" s="1624"/>
      <c r="DC147" s="1624"/>
      <c r="DD147" s="1624"/>
      <c r="DE147" s="2656"/>
      <c r="DF147" s="1624"/>
      <c r="DG147" s="1624"/>
      <c r="DH147" s="1624"/>
      <c r="DI147" s="1624"/>
      <c r="DJ147" s="246"/>
      <c r="DK147" s="270">
        <v>0.01</v>
      </c>
      <c r="DL147" s="270">
        <v>0.01</v>
      </c>
      <c r="DM147" s="270">
        <v>0.01</v>
      </c>
      <c r="DN147" s="270">
        <f>DM147</f>
        <v>0.01</v>
      </c>
      <c r="DO147" s="246"/>
      <c r="DP147" s="270">
        <v>0.01</v>
      </c>
      <c r="DQ147" s="270">
        <v>0.01</v>
      </c>
      <c r="DR147" s="270">
        <v>0.01</v>
      </c>
      <c r="DS147" s="270">
        <f>DR147</f>
        <v>0.01</v>
      </c>
      <c r="DT147" s="246"/>
      <c r="DU147" s="270">
        <v>0.01</v>
      </c>
      <c r="DV147" s="270">
        <v>0.01</v>
      </c>
      <c r="DW147" s="270">
        <v>0.01</v>
      </c>
      <c r="DX147" s="270">
        <f>DW147</f>
        <v>0.01</v>
      </c>
      <c r="DY147" s="246"/>
      <c r="DZ147" s="2170"/>
      <c r="EA147" s="2170"/>
    </row>
    <row r="148" spans="1:131" ht="11.25" hidden="1" customHeight="1" outlineLevel="1" x14ac:dyDescent="0.2">
      <c r="A148" s="1930"/>
      <c r="B148" s="2433" t="s">
        <v>1032</v>
      </c>
      <c r="C148" s="1110"/>
      <c r="D148" s="1110"/>
      <c r="E148" s="1110"/>
      <c r="F148" s="1110"/>
      <c r="G148" s="1110"/>
      <c r="H148" s="1110"/>
      <c r="I148" s="1111"/>
      <c r="J148" s="1110"/>
      <c r="K148" s="1110"/>
      <c r="L148" s="1110"/>
      <c r="M148" s="1110"/>
      <c r="N148" s="1111"/>
      <c r="O148" s="1110"/>
      <c r="P148" s="1110"/>
      <c r="Q148" s="1110"/>
      <c r="R148" s="1110"/>
      <c r="S148" s="1111"/>
      <c r="T148" s="1110"/>
      <c r="U148" s="1110"/>
      <c r="V148" s="1110"/>
      <c r="W148" s="1110"/>
      <c r="X148" s="1111"/>
      <c r="Y148" s="1110"/>
      <c r="Z148" s="1110"/>
      <c r="AA148" s="1110"/>
      <c r="AB148" s="1110"/>
      <c r="AC148" s="1111"/>
      <c r="AD148" s="1110"/>
      <c r="AE148" s="1110"/>
      <c r="AF148" s="1110"/>
      <c r="AG148" s="1110"/>
      <c r="AH148" s="1111"/>
      <c r="AI148" s="1110"/>
      <c r="AJ148" s="1110"/>
      <c r="AK148" s="1110"/>
      <c r="AL148" s="1110"/>
      <c r="AM148" s="1111"/>
      <c r="AN148" s="1110"/>
      <c r="AO148" s="1110"/>
      <c r="AP148" s="1110"/>
      <c r="AQ148" s="1110"/>
      <c r="AR148" s="1111"/>
      <c r="AS148" s="1110"/>
      <c r="AT148" s="1110"/>
      <c r="AU148" s="1110"/>
      <c r="AV148" s="1110"/>
      <c r="AW148" s="1111"/>
      <c r="AX148" s="1110"/>
      <c r="AY148" s="1110"/>
      <c r="AZ148" s="1110"/>
      <c r="BA148" s="1110"/>
      <c r="BB148" s="1111"/>
      <c r="BC148" s="1110"/>
      <c r="BD148" s="1110"/>
      <c r="BE148" s="1110"/>
      <c r="BF148" s="1110"/>
      <c r="BG148" s="1111"/>
      <c r="BH148" s="1110"/>
      <c r="BI148" s="1110"/>
      <c r="BJ148" s="1110"/>
      <c r="BK148" s="1110"/>
      <c r="BL148" s="1111"/>
      <c r="BM148" s="1110"/>
      <c r="BN148" s="1110"/>
      <c r="BO148" s="1110"/>
      <c r="BP148" s="1110"/>
      <c r="BQ148" s="1111"/>
      <c r="BR148" s="1112">
        <f>BR146-BR147</f>
        <v>3.4000000000000002E-2</v>
      </c>
      <c r="BS148" s="1112">
        <f>BS146-BS147</f>
        <v>5.5999999999999994E-2</v>
      </c>
      <c r="BT148" s="1112">
        <f>BT146-BT147</f>
        <v>5.5E-2</v>
      </c>
      <c r="BU148" s="1112">
        <f>BU146-BU147</f>
        <v>4.5999999999999999E-2</v>
      </c>
      <c r="BV148" s="1111"/>
      <c r="BW148" s="1112">
        <f>BW146-BW147</f>
        <v>1.0999999999999999E-2</v>
      </c>
      <c r="BX148" s="1112">
        <f>BX146-BX147</f>
        <v>0</v>
      </c>
      <c r="BY148" s="1112">
        <f>BY146-BY147</f>
        <v>5.9999999999999984E-3</v>
      </c>
      <c r="BZ148" s="1112">
        <f>BZ146-BZ147</f>
        <v>-1.9999999999999983E-3</v>
      </c>
      <c r="CA148" s="1111"/>
      <c r="CB148" s="1112">
        <f>CB146-CB147</f>
        <v>1.9499999999999997E-2</v>
      </c>
      <c r="CC148" s="1112">
        <f>CC146-CC147</f>
        <v>9.9999999999999985E-3</v>
      </c>
      <c r="CD148" s="1113">
        <f>CD146-CD147</f>
        <v>0.01</v>
      </c>
      <c r="CE148" s="1113">
        <f>CE146-CE147</f>
        <v>1.9999999999999997E-2</v>
      </c>
      <c r="CF148" s="1111"/>
      <c r="CG148" s="1113">
        <f>CG146-CG147</f>
        <v>8.8000000000000009E-2</v>
      </c>
      <c r="CH148" s="1113">
        <f>CH146-CH147</f>
        <v>7.1999999999999995E-2</v>
      </c>
      <c r="CI148" s="1113">
        <f>CI146-CI147</f>
        <v>5.2999999999999999E-2</v>
      </c>
      <c r="CJ148" s="1113">
        <f>CJ146-CJ147</f>
        <v>0.04</v>
      </c>
      <c r="CK148" s="1111"/>
      <c r="CL148" s="1113">
        <f>CL146-CL147</f>
        <v>-3.3000000000000002E-2</v>
      </c>
      <c r="CM148" s="1113">
        <f>CM146-CM147</f>
        <v>-2E-3</v>
      </c>
      <c r="CN148" s="1113">
        <f>CN146-CN147</f>
        <v>4.7E-2</v>
      </c>
      <c r="CO148" s="1113">
        <f>CO146-CO147</f>
        <v>5.8000000000000003E-2</v>
      </c>
      <c r="CP148" s="1111"/>
      <c r="CQ148" s="1113">
        <f>CQ146-CQ147</f>
        <v>2.7999999999999997E-2</v>
      </c>
      <c r="CR148" s="1113">
        <f>CR146-CR147</f>
        <v>0.04</v>
      </c>
      <c r="CS148" s="1113">
        <f>CS146-CS147</f>
        <v>4.1999999999999996E-2</v>
      </c>
      <c r="CT148" s="1113">
        <f>CT146-CT147</f>
        <v>4.4999999999999998E-2</v>
      </c>
      <c r="CU148" s="1111"/>
      <c r="CV148" s="1113">
        <f>CV146-CV147</f>
        <v>3.2000000000000001E-2</v>
      </c>
      <c r="CW148" s="1113">
        <f>CW146-CW147</f>
        <v>3.1E-2</v>
      </c>
      <c r="CX148" s="1113">
        <f>CX146-CX147</f>
        <v>3.5999999999999997E-2</v>
      </c>
      <c r="CY148" s="1113">
        <f>CY146-CY147</f>
        <v>0.04</v>
      </c>
      <c r="CZ148" s="1111"/>
      <c r="DA148" s="1113">
        <f>DA146-DA147</f>
        <v>5.5E-2</v>
      </c>
      <c r="DB148" s="1113">
        <f>DB146-DB147</f>
        <v>3.9E-2</v>
      </c>
      <c r="DC148" s="1113">
        <f>DC146-DC147</f>
        <v>3.4000000000000002E-2</v>
      </c>
      <c r="DD148" s="1113">
        <f>DD146-DD147</f>
        <v>2E-3</v>
      </c>
      <c r="DE148" s="2657"/>
      <c r="DF148" s="2684">
        <f>DF146-DF147</f>
        <v>-4.7E-2</v>
      </c>
      <c r="DG148" s="2684">
        <f>DG146-DG147</f>
        <v>-2.8000000000000001E-2</v>
      </c>
      <c r="DH148" s="2684">
        <f>DH146-DH147</f>
        <v>-3.4000000000000002E-2</v>
      </c>
      <c r="DI148" s="2684">
        <v>4.0000000000000001E-3</v>
      </c>
      <c r="DJ148" s="1111"/>
      <c r="DK148" s="1113">
        <f>DK146-DK147</f>
        <v>6.0940629987018331E-2</v>
      </c>
      <c r="DL148" s="1113">
        <f>DL146-DL147</f>
        <v>5.9000209092018314E-2</v>
      </c>
      <c r="DM148" s="1113">
        <f>DM146-DM147</f>
        <v>2.64461138019998E-2</v>
      </c>
      <c r="DN148" s="1113">
        <f>DN146-DN147</f>
        <v>-7.0121987748319372E-3</v>
      </c>
      <c r="DO148" s="1111"/>
      <c r="DP148" s="1113">
        <f>DP146-DP147</f>
        <v>2.5320690585519008E-2</v>
      </c>
      <c r="DQ148" s="1113">
        <f>DQ146-DQ147</f>
        <v>2.4113932585641436E-2</v>
      </c>
      <c r="DR148" s="1113">
        <f>DR146-DR147</f>
        <v>2.3101034521956228E-2</v>
      </c>
      <c r="DS148" s="1113">
        <f>DS146-DS147</f>
        <v>2.1807645825927764E-2</v>
      </c>
      <c r="DT148" s="1111"/>
      <c r="DU148" s="1113">
        <f>DU146-DU147</f>
        <v>2.1161059906164022E-2</v>
      </c>
      <c r="DV148" s="1113">
        <f>DV146-DV147</f>
        <v>1.976880966350026E-2</v>
      </c>
      <c r="DW148" s="1113">
        <f>DW146-DW147</f>
        <v>1.8681401753393397E-2</v>
      </c>
      <c r="DX148" s="1113">
        <f>DX146-DX147</f>
        <v>1.7274369524042717E-2</v>
      </c>
      <c r="DY148" s="1111"/>
      <c r="DZ148" s="1929"/>
      <c r="EA148" s="1929"/>
    </row>
    <row r="149" spans="1:131" ht="11.25" customHeight="1" collapsed="1" x14ac:dyDescent="0.2">
      <c r="A149" s="1984"/>
      <c r="B149" s="2413" t="s">
        <v>1029</v>
      </c>
      <c r="C149" s="2434"/>
      <c r="D149" s="1930"/>
      <c r="E149" s="1984"/>
      <c r="F149" s="2056"/>
      <c r="G149" s="1850"/>
      <c r="H149" s="1850"/>
      <c r="I149" s="2134"/>
      <c r="J149" s="1984"/>
      <c r="K149" s="2056"/>
      <c r="L149" s="1850"/>
      <c r="M149" s="1850"/>
      <c r="N149" s="2322"/>
      <c r="O149" s="1930"/>
      <c r="P149" s="2348">
        <v>7.0000000000000007E-2</v>
      </c>
      <c r="Q149" s="2348">
        <v>2.5000000000000001E-2</v>
      </c>
      <c r="R149" s="2348">
        <v>6.5000000000000002E-2</v>
      </c>
      <c r="S149" s="2377"/>
      <c r="T149" s="2348">
        <v>0.05</v>
      </c>
      <c r="U149" s="2348">
        <v>2.5000000000000001E-2</v>
      </c>
      <c r="V149" s="2348">
        <v>4.3999999999999997E-2</v>
      </c>
      <c r="W149" s="2348">
        <v>3.9E-2</v>
      </c>
      <c r="X149" s="2414">
        <v>3.5999999999999997E-2</v>
      </c>
      <c r="Y149" s="2348">
        <v>0</v>
      </c>
      <c r="Z149" s="2348">
        <v>0.03</v>
      </c>
      <c r="AA149" s="2348">
        <v>2.9000000000000001E-2</v>
      </c>
      <c r="AB149" s="2348">
        <v>0</v>
      </c>
      <c r="AC149" s="2414">
        <v>1.0999999999999999E-2</v>
      </c>
      <c r="AD149" s="2348">
        <v>0.01</v>
      </c>
      <c r="AE149" s="2348">
        <v>2E-3</v>
      </c>
      <c r="AF149" s="2348">
        <v>3.0000000000000001E-3</v>
      </c>
      <c r="AG149" s="2348">
        <v>3.1E-2</v>
      </c>
      <c r="AH149" s="2414">
        <v>1.2E-2</v>
      </c>
      <c r="AI149" s="2348">
        <v>7.1999999999999995E-2</v>
      </c>
      <c r="AJ149" s="2348">
        <v>1.7000000000000001E-2</v>
      </c>
      <c r="AK149" s="2348">
        <v>1.2999999999999999E-2</v>
      </c>
      <c r="AL149" s="2348">
        <v>-6.0000000000000001E-3</v>
      </c>
      <c r="AM149" s="2414">
        <v>2.3E-2</v>
      </c>
      <c r="AN149" s="2348">
        <v>-2.7E-2</v>
      </c>
      <c r="AO149" s="2348">
        <v>1.4E-2</v>
      </c>
      <c r="AP149" s="2348">
        <v>1.9E-2</v>
      </c>
      <c r="AQ149" s="2348">
        <v>3.9E-2</v>
      </c>
      <c r="AR149" s="2414">
        <v>1.2E-2</v>
      </c>
      <c r="AS149" s="2348">
        <v>0.02</v>
      </c>
      <c r="AT149" s="2348">
        <v>4.1000000000000002E-2</v>
      </c>
      <c r="AU149" s="2348">
        <v>1.7999999999999999E-2</v>
      </c>
      <c r="AV149" s="2348">
        <v>1.2999999999999999E-2</v>
      </c>
      <c r="AW149" s="2414">
        <f>SUM(AS149:AV149)/4</f>
        <v>2.3E-2</v>
      </c>
      <c r="AX149" s="2348">
        <v>6.9000000000000006E-2</v>
      </c>
      <c r="AY149" s="2348">
        <v>1.7000000000000001E-2</v>
      </c>
      <c r="AZ149" s="2348">
        <v>5.3999999999999999E-2</v>
      </c>
      <c r="BA149" s="2348">
        <v>7.6999999999999999E-2</v>
      </c>
      <c r="BB149" s="2414">
        <f>SUM(AX149:BA149)/4</f>
        <v>5.4250000000000007E-2</v>
      </c>
      <c r="BC149" s="2348">
        <v>4.7E-2</v>
      </c>
      <c r="BD149" s="2348">
        <v>8.1000000000000003E-2</v>
      </c>
      <c r="BE149" s="2348">
        <v>6.4000000000000001E-2</v>
      </c>
      <c r="BF149" s="2348">
        <v>5.5E-2</v>
      </c>
      <c r="BG149" s="2414">
        <f>SUM(BC149:BF149)/4</f>
        <v>6.1749999999999999E-2</v>
      </c>
      <c r="BH149" s="2348">
        <v>6.6000000000000003E-2</v>
      </c>
      <c r="BI149" s="2348">
        <v>5.8999999999999997E-2</v>
      </c>
      <c r="BJ149" s="2348">
        <v>6.5490000000000007E-2</v>
      </c>
      <c r="BK149" s="2348">
        <v>3.2800000000000003E-2</v>
      </c>
      <c r="BL149" s="2414">
        <f>SUM(BH149:BK149)/4</f>
        <v>5.5822499999999997E-2</v>
      </c>
      <c r="BM149" s="2348">
        <v>1.4999999999999999E-2</v>
      </c>
      <c r="BN149" s="2348">
        <v>1.7999999999999999E-2</v>
      </c>
      <c r="BO149" s="2348">
        <v>3.3000000000000002E-2</v>
      </c>
      <c r="BP149" s="2348">
        <v>1.7999999999999999E-2</v>
      </c>
      <c r="BQ149" s="2333">
        <f>AVERAGE(BM149:BP149)</f>
        <v>2.1000000000000001E-2</v>
      </c>
      <c r="BR149" s="2348">
        <v>7.0000000000000001E-3</v>
      </c>
      <c r="BS149" s="2348">
        <v>0.03</v>
      </c>
      <c r="BT149" s="2348">
        <v>8.0000000000000002E-3</v>
      </c>
      <c r="BU149" s="2348">
        <v>3.0000000000000001E-3</v>
      </c>
      <c r="BV149" s="2333">
        <f>(BR149*BM15+BS149*BN15+BT149*BO15+BU149*BP15)/SUM(BM15:BP15)</f>
        <v>1.1509631239887377E-2</v>
      </c>
      <c r="BW149" s="2348">
        <v>-7.0000000000000001E-3</v>
      </c>
      <c r="BX149" s="2348">
        <v>4.0000000000000001E-3</v>
      </c>
      <c r="BY149" s="2348">
        <v>1.4E-2</v>
      </c>
      <c r="BZ149" s="2348">
        <v>0.01</v>
      </c>
      <c r="CA149" s="2333">
        <f>(BW149*BR15+BX149*BS15+BY149*BT15+BZ149*BU15)/SUM(BR15:BU15)</f>
        <v>5.3727616227513411E-3</v>
      </c>
      <c r="CB149" s="2348">
        <v>4.0000000000000001E-3</v>
      </c>
      <c r="CC149" s="2348">
        <v>8.0000000000000002E-3</v>
      </c>
      <c r="CD149" s="2348">
        <v>0.02</v>
      </c>
      <c r="CE149" s="2348">
        <v>1E-3</v>
      </c>
      <c r="CF149" s="2322">
        <f>(CB149*BW15+CC149*BX15+CD149*BY15+CE149*BZ15)/SUM(BW15:BZ15)</f>
        <v>8.0655485500056232E-3</v>
      </c>
      <c r="CG149" s="2348">
        <v>5.2999999999999999E-2</v>
      </c>
      <c r="CH149" s="2346">
        <v>2.3E-2</v>
      </c>
      <c r="CI149" s="2348">
        <v>2.1999999999999999E-2</v>
      </c>
      <c r="CJ149" s="2348">
        <v>3.9E-2</v>
      </c>
      <c r="CK149" s="2322">
        <f>(CG149*CB15+CH149*CC15+CI149*CD15+CJ149*CE15)/SUM(CB15:CE15)</f>
        <v>3.4146613390665853E-2</v>
      </c>
      <c r="CL149" s="2348">
        <v>1.4E-2</v>
      </c>
      <c r="CM149" s="2348">
        <v>-4.0000000000000001E-3</v>
      </c>
      <c r="CN149" s="2348">
        <v>-0.01</v>
      </c>
      <c r="CO149" s="2348">
        <v>-1.9E-2</v>
      </c>
      <c r="CP149" s="2322">
        <f>(CL149*CG15+CM149*CH15+CN149*CI15+CO149*CJ15)/SUM(CG15:CJ15)</f>
        <v>-5.061232386708971E-3</v>
      </c>
      <c r="CQ149" s="2348">
        <v>-3.7999999999999999E-2</v>
      </c>
      <c r="CR149" s="2348">
        <v>-4.0000000000000001E-3</v>
      </c>
      <c r="CS149" s="2348">
        <v>-4.4999999999999998E-2</v>
      </c>
      <c r="CT149" s="2348">
        <v>-7.1999999999999995E-2</v>
      </c>
      <c r="CU149" s="2322">
        <f>(CQ149*CL15+CR149*CM15+CS149*CN15+CT149*CO15)/SUM(CL15:CO15)</f>
        <v>-4.012018162199215E-2</v>
      </c>
      <c r="CV149" s="2348">
        <v>-6.0999999999999999E-2</v>
      </c>
      <c r="CW149" s="2348">
        <v>-7.8E-2</v>
      </c>
      <c r="CX149" s="2348">
        <v>-5.7999999999999996E-2</v>
      </c>
      <c r="CY149" s="2348">
        <v>-5.0000000000000001E-3</v>
      </c>
      <c r="CZ149" s="2322">
        <f>(CV149*CQ15+CW149*CR15+CX149*CS15+CY149*CT15)/SUM(CQ15:CT15)</f>
        <v>-5.0277388739775324E-2</v>
      </c>
      <c r="DA149" s="2348">
        <v>7.0000000000000001E-3</v>
      </c>
      <c r="DB149" s="2348">
        <v>-2.5000000000000001E-2</v>
      </c>
      <c r="DC149" s="2348">
        <v>-0.01</v>
      </c>
      <c r="DD149" s="2348">
        <v>-2.8999999999999998E-2</v>
      </c>
      <c r="DE149" s="2586">
        <f>(DA149*CV15+DB149*CW15+DC149*CX15+DD149*CY15)/SUM(CV15:CY15)</f>
        <v>-1.4639512243504529E-2</v>
      </c>
      <c r="DF149" s="2411">
        <v>-4.9000000000000002E-2</v>
      </c>
      <c r="DG149" s="2411">
        <v>-2.1000000000000001E-2</v>
      </c>
      <c r="DH149" s="2411">
        <v>-2.7999999999999997E-2</v>
      </c>
      <c r="DI149" s="2411">
        <v>-6.9999999999999993E-3</v>
      </c>
      <c r="DJ149" s="2322">
        <f>(DF149*DA15+DG149*DB15+DH149*DC15+DI149*DD15)/SUM(DA15:DD15)</f>
        <v>-2.6066816835595204E-2</v>
      </c>
      <c r="DK149" s="2412">
        <f>'Key Inputs and Scenarios'!AX13</f>
        <v>-5.0000000000000001E-3</v>
      </c>
      <c r="DL149" s="2412">
        <f>'Key Inputs and Scenarios'!AY13</f>
        <v>-0.01</v>
      </c>
      <c r="DM149" s="2412">
        <f>'Key Inputs and Scenarios'!AZ13</f>
        <v>-0.01</v>
      </c>
      <c r="DN149" s="2412">
        <f>'Key Inputs and Scenarios'!BA13</f>
        <v>-0.01</v>
      </c>
      <c r="DO149" s="2322">
        <f>(DK149*DF15+DL149*DG15+DM149*DH15+DN149*DI15)/SUM(DF15:DI15)</f>
        <v>-8.7653965857056506E-3</v>
      </c>
      <c r="DP149" s="2412">
        <f>'Key Inputs and Scenarios'!BC13</f>
        <v>-5.0000000000000001E-3</v>
      </c>
      <c r="DQ149" s="2412">
        <f>'Key Inputs and Scenarios'!BD13</f>
        <v>-5.0000000000000001E-3</v>
      </c>
      <c r="DR149" s="2412">
        <f>'Key Inputs and Scenarios'!BE13</f>
        <v>-5.0000000000000001E-3</v>
      </c>
      <c r="DS149" s="2412">
        <f>'Key Inputs and Scenarios'!BF13</f>
        <v>-5.0000000000000001E-3</v>
      </c>
      <c r="DT149" s="2322">
        <f>(DP149*DK15+DQ149*DL15+DR149*DM15+DS149*DN15)/SUM(DK15:DN15)</f>
        <v>-5.0000000000000001E-3</v>
      </c>
      <c r="DU149" s="2412">
        <f>'Key Inputs and Scenarios'!BH13</f>
        <v>-5.0000000000000001E-3</v>
      </c>
      <c r="DV149" s="2412">
        <f>'Key Inputs and Scenarios'!BI13</f>
        <v>-5.0000000000000001E-3</v>
      </c>
      <c r="DW149" s="2412">
        <f>'Key Inputs and Scenarios'!BJ13</f>
        <v>-5.0000000000000001E-3</v>
      </c>
      <c r="DX149" s="2412">
        <f>'Key Inputs and Scenarios'!BK13</f>
        <v>-5.0000000000000001E-3</v>
      </c>
      <c r="DY149" s="2322">
        <f>(DU149*DP15+DV149*DQ15+DW149*DR15+DX149*DS15)/SUM(DP15:DS15)</f>
        <v>-5.0000000000000001E-3</v>
      </c>
      <c r="DZ149" s="1850"/>
      <c r="EA149" s="1850"/>
    </row>
    <row r="150" spans="1:131" ht="11.25" customHeight="1" x14ac:dyDescent="0.2">
      <c r="A150" s="2090"/>
      <c r="B150" s="2435" t="s">
        <v>1030</v>
      </c>
      <c r="C150" s="2436"/>
      <c r="D150" s="2143"/>
      <c r="E150" s="2090"/>
      <c r="F150" s="2060"/>
      <c r="G150" s="1943"/>
      <c r="H150" s="1943"/>
      <c r="I150" s="2087"/>
      <c r="J150" s="2090"/>
      <c r="K150" s="2060"/>
      <c r="L150" s="1943"/>
      <c r="M150" s="1943"/>
      <c r="N150" s="2087"/>
      <c r="O150" s="2439">
        <v>7.2999999999999995E-2</v>
      </c>
      <c r="P150" s="2439">
        <v>0.11700000000000001</v>
      </c>
      <c r="Q150" s="2439">
        <v>0.108</v>
      </c>
      <c r="R150" s="2439">
        <v>0.13</v>
      </c>
      <c r="S150" s="2156">
        <f>AVERAGE(O150:R150)</f>
        <v>0.107</v>
      </c>
      <c r="T150" s="2439">
        <v>0.13400000000000001</v>
      </c>
      <c r="U150" s="2439">
        <v>0.11600000000000001</v>
      </c>
      <c r="V150" s="2439">
        <v>0.122</v>
      </c>
      <c r="W150" s="2439">
        <v>0.126</v>
      </c>
      <c r="X150" s="2156">
        <f>AVERAGE(T150:W150)</f>
        <v>0.1245</v>
      </c>
      <c r="Y150" s="2439">
        <v>8.7999999999999995E-2</v>
      </c>
      <c r="Z150" s="2439">
        <v>0.122</v>
      </c>
      <c r="AA150" s="2439">
        <v>0.122</v>
      </c>
      <c r="AB150" s="2439">
        <v>0.105</v>
      </c>
      <c r="AC150" s="2156">
        <f>AVERAGE(Y150:AB150)</f>
        <v>0.10924999999999999</v>
      </c>
      <c r="AD150" s="2439">
        <v>0.113</v>
      </c>
      <c r="AE150" s="2439">
        <v>8.3000000000000004E-2</v>
      </c>
      <c r="AF150" s="2439">
        <v>7.5999999999999998E-2</v>
      </c>
      <c r="AG150" s="2439">
        <v>7.4999999999999997E-2</v>
      </c>
      <c r="AH150" s="2156">
        <f>AVERAGE(AD150:AG150)</f>
        <v>8.6750000000000008E-2</v>
      </c>
      <c r="AI150" s="2439">
        <v>0.10199999999999999</v>
      </c>
      <c r="AJ150" s="2439">
        <v>8.5999999999999993E-2</v>
      </c>
      <c r="AK150" s="2439">
        <v>8.4000000000000005E-2</v>
      </c>
      <c r="AL150" s="2439">
        <v>6.7000000000000004E-2</v>
      </c>
      <c r="AM150" s="2156">
        <f>AVERAGE(AI150:AL150)</f>
        <v>8.4750000000000006E-2</v>
      </c>
      <c r="AN150" s="2439">
        <v>3.9E-2</v>
      </c>
      <c r="AO150" s="2439">
        <v>5.5E-2</v>
      </c>
      <c r="AP150" s="2439">
        <v>6.4000000000000001E-2</v>
      </c>
      <c r="AQ150" s="2439">
        <v>7.3999999999999996E-2</v>
      </c>
      <c r="AR150" s="2156">
        <f>AVERAGE(AN150:AQ150)</f>
        <v>5.7999999999999996E-2</v>
      </c>
      <c r="AS150" s="2439">
        <v>6.4000000000000001E-2</v>
      </c>
      <c r="AT150" s="2439">
        <v>6.0999999999999999E-2</v>
      </c>
      <c r="AU150" s="2439">
        <v>5.1999999999999998E-2</v>
      </c>
      <c r="AV150" s="2439">
        <v>4.3999999999999997E-2</v>
      </c>
      <c r="AW150" s="2156">
        <f>AVERAGE(AS150:AV150)</f>
        <v>5.5249999999999994E-2</v>
      </c>
      <c r="AX150" s="2439">
        <v>8.2000000000000003E-2</v>
      </c>
      <c r="AY150" s="2439">
        <v>5.6000000000000001E-2</v>
      </c>
      <c r="AZ150" s="2439">
        <v>5.7000000000000002E-2</v>
      </c>
      <c r="BA150" s="2439">
        <v>6.7396000000000011E-2</v>
      </c>
      <c r="BB150" s="2156">
        <f>AVERAGE(AX150:BA150)</f>
        <v>6.5599000000000005E-2</v>
      </c>
      <c r="BC150" s="2439">
        <v>6.2E-2</v>
      </c>
      <c r="BD150" s="2439">
        <v>8.7849999999999998E-2</v>
      </c>
      <c r="BE150" s="2439">
        <v>9.0999999999999998E-2</v>
      </c>
      <c r="BF150" s="2439">
        <v>8.6999999999999994E-2</v>
      </c>
      <c r="BG150" s="2156">
        <f>AVERAGE(BC150:BF150)</f>
        <v>8.1962499999999994E-2</v>
      </c>
      <c r="BH150" s="2439">
        <v>7.4999999999999997E-2</v>
      </c>
      <c r="BI150" s="2439">
        <v>5.7000000000000002E-2</v>
      </c>
      <c r="BJ150" s="2439">
        <v>0.05</v>
      </c>
      <c r="BK150" s="2439">
        <v>3.4000000000000002E-2</v>
      </c>
      <c r="BL150" s="2156">
        <f>AVERAGE(BH150:BK150)</f>
        <v>5.3999999999999999E-2</v>
      </c>
      <c r="BM150" s="2439">
        <v>3.4000000000000002E-2</v>
      </c>
      <c r="BN150" s="2439">
        <v>3.8425485069213491E-2</v>
      </c>
      <c r="BO150" s="2439">
        <v>3.5999999999999997E-2</v>
      </c>
      <c r="BP150" s="2439">
        <v>3.4000000000000002E-2</v>
      </c>
      <c r="BQ150" s="2440">
        <f>AVERAGE(BM150:BP150)</f>
        <v>3.5606371267303372E-2</v>
      </c>
      <c r="BR150" s="2439">
        <v>3.3000000000000002E-2</v>
      </c>
      <c r="BS150" s="2439">
        <v>0.06</v>
      </c>
      <c r="BT150" s="2439">
        <v>5.7000000000000002E-2</v>
      </c>
      <c r="BU150" s="2439">
        <v>4.9000000000000002E-2</v>
      </c>
      <c r="BV150" s="2440">
        <f>AVERAGE(BR150:BU150)</f>
        <v>4.9750000000000003E-2</v>
      </c>
      <c r="BW150" s="2439">
        <v>2.3E-2</v>
      </c>
      <c r="BX150" s="2157">
        <f>(BX158*BX146)+(BX159*BX149)</f>
        <v>2.0900000000000002E-2</v>
      </c>
      <c r="BY150" s="2157">
        <f>(BY158*BY146)+(BY159*BY149)</f>
        <v>2.4992E-2</v>
      </c>
      <c r="BZ150" s="2157">
        <f>(BZ158*BZ146)+(BZ159*BZ149)</f>
        <v>1.6710000000000003E-2</v>
      </c>
      <c r="CA150" s="2440">
        <f>AVERAGE(BW150:BZ150)</f>
        <v>2.1400500000000003E-2</v>
      </c>
      <c r="CB150" s="2157">
        <f>(CB158*CB146)+(CB159*CB149)</f>
        <v>2.6457499999999998E-2</v>
      </c>
      <c r="CC150" s="2157">
        <f>(CC158*CC146)+(CC159*CC149)</f>
        <v>2.0222E-2</v>
      </c>
      <c r="CD150" s="2086">
        <f>(CD158*CD146)+(CD159*CD149)</f>
        <v>2.2740000000000003E-2</v>
      </c>
      <c r="CE150" s="2086">
        <f>(CE158*CE146)+(CE159*CE149)</f>
        <v>2.4695000000000002E-2</v>
      </c>
      <c r="CF150" s="2377">
        <f>AVERAGE(CB150:CE150)</f>
        <v>2.3528624999999997E-2</v>
      </c>
      <c r="CG150" s="2086">
        <f>(CG158*CG146)+(CG159*CG149)</f>
        <v>8.4455000000000002E-2</v>
      </c>
      <c r="CH150" s="2086">
        <f>(CH158*CH146)+(CH159*CH149)</f>
        <v>5.6711999999999992E-2</v>
      </c>
      <c r="CI150" s="2086">
        <f>(CI158*CI146)+(CI159*CI149)</f>
        <v>4.3420999999999994E-2</v>
      </c>
      <c r="CJ150" s="2086">
        <f>(CJ158*CJ146)+(CJ159*CJ149)</f>
        <v>3.9676000000000003E-2</v>
      </c>
      <c r="CK150" s="2377">
        <f>AVERAGE(CG150:CJ150)</f>
        <v>5.6065999999999991E-2</v>
      </c>
      <c r="CL150" s="2086">
        <f>(CL158*CL146)+(CL159*CL149)</f>
        <v>-1.1529999999999999E-2</v>
      </c>
      <c r="CM150" s="2086">
        <f>(CM158*CM146)+(CM159*CM149)</f>
        <v>4.2919999999999998E-3</v>
      </c>
      <c r="CN150" s="2086">
        <f>(CN158*CN146)+(CN159*CN149)</f>
        <v>3.7168E-2</v>
      </c>
      <c r="CO150" s="2086">
        <f>(CO158*CO146)+(CO159*CO149)</f>
        <v>4.1465000000000002E-2</v>
      </c>
      <c r="CP150" s="2377">
        <f>AVERAGE(CL150:CO150)</f>
        <v>1.784875E-2</v>
      </c>
      <c r="CQ150" s="2086">
        <f>(CQ158*CQ146)+(CQ159*CQ149)</f>
        <v>1.5579999999999997E-2</v>
      </c>
      <c r="CR150" s="2086">
        <f>(CR158*CR146)+(CR159*CR149)</f>
        <v>3.3583999999999996E-2</v>
      </c>
      <c r="CS150" s="2086">
        <f>(CS158*CS146)+(CS159*CS149)</f>
        <v>2.4645999999999994E-2</v>
      </c>
      <c r="CT150" s="2086">
        <f>(CT158*CT146)+(CT159*CT149)</f>
        <v>1.8423999999999999E-2</v>
      </c>
      <c r="CU150" s="2377">
        <f>AVERAGE(CQ150:CT150)</f>
        <v>2.3058499999999996E-2</v>
      </c>
      <c r="CV150" s="2086">
        <v>1.2E-2</v>
      </c>
      <c r="CW150" s="2086">
        <v>5.0000000000000001E-3</v>
      </c>
      <c r="CX150" s="2086">
        <v>1.7000000000000001E-2</v>
      </c>
      <c r="CY150" s="2086">
        <v>3.5000000000000003E-2</v>
      </c>
      <c r="CZ150" s="2377">
        <f>AVERAGE(CV150:CY150)</f>
        <v>1.7250000000000001E-2</v>
      </c>
      <c r="DA150" s="2086">
        <v>4.2000000000000003E-2</v>
      </c>
      <c r="DB150" s="2086">
        <v>2.1000000000000001E-2</v>
      </c>
      <c r="DC150" s="2086">
        <v>2.1000000000000001E-2</v>
      </c>
      <c r="DD150" s="2086">
        <v>2.1000000000000001E-2</v>
      </c>
      <c r="DE150" s="2651">
        <f>AVERAGE(DA150:DD150)</f>
        <v>2.6250000000000002E-2</v>
      </c>
      <c r="DF150" s="2685">
        <v>-4.7E-2</v>
      </c>
      <c r="DG150" s="2685">
        <v>-2.5999999999999999E-2</v>
      </c>
      <c r="DH150" s="2685">
        <v>-3.2000000000000001E-2</v>
      </c>
      <c r="DI150" s="2685">
        <v>1E-3</v>
      </c>
      <c r="DJ150" s="2377">
        <f>AVERAGE(DF150:DI150)</f>
        <v>-2.5999999999999999E-2</v>
      </c>
      <c r="DK150" s="2086">
        <f>(DK158*DK146)+(DK159*DK149)</f>
        <v>5.2770316326924693E-2</v>
      </c>
      <c r="DL150" s="2086">
        <f>(DL158*DL146)+(DL159*DL149)</f>
        <v>5.0145967140428349E-2</v>
      </c>
      <c r="DM150" s="2086">
        <f>(DM158*DM146)+(DM159*DM149)</f>
        <v>2.566927098495192E-2</v>
      </c>
      <c r="DN150" s="2086">
        <f>(DN158*DN146)+(DN159*DN149)</f>
        <v>-2.5745011146181135E-4</v>
      </c>
      <c r="DO150" s="2377">
        <f>AVERAGE(DK150:DN150)</f>
        <v>3.2082026085210789E-2</v>
      </c>
      <c r="DP150" s="2086">
        <f>(DP158*DP146)+(DP159*DP149)</f>
        <v>2.5987767279576399E-2</v>
      </c>
      <c r="DQ150" s="2086">
        <f>(DQ158*DQ146)+(DQ159*DQ149)</f>
        <v>2.5075907590617435E-2</v>
      </c>
      <c r="DR150" s="2086">
        <f>(DR158*DR146)+(DR159*DR149)</f>
        <v>2.4537394311745425E-2</v>
      </c>
      <c r="DS150" s="2086">
        <f>(DS158*DS146)+(DS159*DS149)</f>
        <v>2.2882330702481048E-2</v>
      </c>
      <c r="DT150" s="2377">
        <f>AVERAGE(DP150:DS150)</f>
        <v>2.4620849971105079E-2</v>
      </c>
      <c r="DU150" s="2086">
        <f>(DU158*DU146)+(DU159*DU149)</f>
        <v>2.3040440270579176E-2</v>
      </c>
      <c r="DV150" s="2086">
        <f>(DV158*DV146)+(DV159*DV149)</f>
        <v>2.1966543606323819E-2</v>
      </c>
      <c r="DW150" s="2086">
        <f>(DW158*DW146)+(DW159*DW149)</f>
        <v>2.1325008855921299E-2</v>
      </c>
      <c r="DX150" s="2086">
        <f>(DX158*DX146)+(DX159*DX149)</f>
        <v>1.9655437138372596E-2</v>
      </c>
      <c r="DY150" s="2377">
        <f>AVERAGE(DU150:DX150)</f>
        <v>2.1496857467799224E-2</v>
      </c>
      <c r="DZ150" s="1943"/>
      <c r="EA150" s="1943"/>
    </row>
    <row r="151" spans="1:131" ht="6" customHeight="1" x14ac:dyDescent="0.2">
      <c r="A151" s="1984"/>
      <c r="B151" s="2142"/>
      <c r="C151" s="2370"/>
      <c r="D151" s="2370"/>
      <c r="E151" s="1984"/>
      <c r="F151" s="2056"/>
      <c r="G151" s="1850"/>
      <c r="H151" s="1850"/>
      <c r="I151" s="2134"/>
      <c r="J151" s="1984"/>
      <c r="K151" s="2056"/>
      <c r="L151" s="1850"/>
      <c r="M151" s="1850"/>
      <c r="N151" s="2134"/>
      <c r="O151" s="2432"/>
      <c r="P151" s="2432"/>
      <c r="Q151" s="2432"/>
      <c r="R151" s="2432"/>
      <c r="S151" s="2134"/>
      <c r="T151" s="2432"/>
      <c r="U151" s="2432"/>
      <c r="V151" s="2432"/>
      <c r="W151" s="2432"/>
      <c r="X151" s="2134"/>
      <c r="Y151" s="2432"/>
      <c r="Z151" s="2432"/>
      <c r="AA151" s="2432"/>
      <c r="AB151" s="2432"/>
      <c r="AC151" s="2134"/>
      <c r="AD151" s="2432"/>
      <c r="AE151" s="2432"/>
      <c r="AF151" s="2432"/>
      <c r="AG151" s="2432"/>
      <c r="AH151" s="2134"/>
      <c r="AI151" s="1984"/>
      <c r="AJ151" s="2056"/>
      <c r="AK151" s="1984"/>
      <c r="AL151" s="2096"/>
      <c r="AM151" s="2134"/>
      <c r="AN151" s="1984"/>
      <c r="AO151" s="2056"/>
      <c r="AP151" s="1984"/>
      <c r="AQ151" s="2096"/>
      <c r="AR151" s="2441"/>
      <c r="AS151" s="1984"/>
      <c r="AT151" s="2056"/>
      <c r="AU151" s="1984"/>
      <c r="AV151" s="2096"/>
      <c r="AW151" s="2441"/>
      <c r="AX151" s="1984"/>
      <c r="AY151" s="2056"/>
      <c r="AZ151" s="1984"/>
      <c r="BA151" s="2096"/>
      <c r="BB151" s="2134"/>
      <c r="BC151" s="1984"/>
      <c r="BD151" s="2056"/>
      <c r="BE151" s="1984"/>
      <c r="BF151" s="2096"/>
      <c r="BG151" s="2134"/>
      <c r="BH151" s="1850"/>
      <c r="BI151" s="1850"/>
      <c r="BJ151" s="1850"/>
      <c r="BK151" s="1850"/>
      <c r="BL151" s="2134"/>
      <c r="BM151" s="1850"/>
      <c r="BN151" s="1850"/>
      <c r="BO151" s="1850"/>
      <c r="BP151" s="1850"/>
      <c r="BQ151" s="2134"/>
      <c r="BR151" s="1850"/>
      <c r="BS151" s="1850"/>
      <c r="BT151" s="1850"/>
      <c r="BU151" s="1850"/>
      <c r="BV151" s="2134"/>
      <c r="BW151" s="1850"/>
      <c r="BX151" s="1850"/>
      <c r="BY151" s="1850"/>
      <c r="BZ151" s="1850"/>
      <c r="CA151" s="2134"/>
      <c r="CB151" s="1850"/>
      <c r="CC151" s="1850"/>
      <c r="CD151" s="1850"/>
      <c r="CE151" s="1850"/>
      <c r="CF151" s="2134"/>
      <c r="CG151" s="1850"/>
      <c r="CH151" s="1850"/>
      <c r="CI151" s="1850"/>
      <c r="CJ151" s="1850"/>
      <c r="CK151" s="2134"/>
      <c r="CL151" s="1850"/>
      <c r="CM151" s="1850"/>
      <c r="CN151" s="1850"/>
      <c r="CO151" s="1850"/>
      <c r="CP151" s="2134"/>
      <c r="CQ151" s="1850"/>
      <c r="CR151" s="1850"/>
      <c r="CS151" s="1850"/>
      <c r="CT151" s="1850"/>
      <c r="CU151" s="2134"/>
      <c r="CV151" s="1850"/>
      <c r="CW151" s="1850"/>
      <c r="CX151" s="1850"/>
      <c r="CY151" s="1850"/>
      <c r="CZ151" s="2134"/>
      <c r="DA151" s="1850"/>
      <c r="DB151" s="1850"/>
      <c r="DC151" s="1850"/>
      <c r="DD151" s="1850"/>
      <c r="DE151" s="2654"/>
      <c r="DF151" s="1850"/>
      <c r="DG151" s="1850"/>
      <c r="DH151" s="1850"/>
      <c r="DI151" s="1850"/>
      <c r="DJ151" s="2134"/>
      <c r="DK151" s="1850"/>
      <c r="DL151" s="1850"/>
      <c r="DM151" s="1850"/>
      <c r="DN151" s="1850"/>
      <c r="DO151" s="2134"/>
      <c r="DP151" s="1850"/>
      <c r="DQ151" s="1850"/>
      <c r="DR151" s="1850"/>
      <c r="DS151" s="1850"/>
      <c r="DT151" s="2134"/>
      <c r="DU151" s="1850"/>
      <c r="DV151" s="1850"/>
      <c r="DW151" s="1850"/>
      <c r="DX151" s="1850"/>
      <c r="DY151" s="2134"/>
      <c r="DZ151" s="1850"/>
      <c r="EA151" s="1850"/>
    </row>
    <row r="152" spans="1:131" ht="11.25" customHeight="1" x14ac:dyDescent="0.2">
      <c r="A152" s="1984"/>
      <c r="B152" s="2142" t="s">
        <v>1033</v>
      </c>
      <c r="C152" s="2370"/>
      <c r="D152" s="2370"/>
      <c r="E152" s="1984"/>
      <c r="F152" s="2056"/>
      <c r="G152" s="1850"/>
      <c r="H152" s="1850"/>
      <c r="I152" s="2134"/>
      <c r="J152" s="1984"/>
      <c r="K152" s="2056"/>
      <c r="L152" s="1850"/>
      <c r="M152" s="1850"/>
      <c r="N152" s="2134"/>
      <c r="O152" s="2432"/>
      <c r="P152" s="2432"/>
      <c r="Q152" s="2432"/>
      <c r="R152" s="2432"/>
      <c r="S152" s="2134"/>
      <c r="T152" s="2432"/>
      <c r="U152" s="2432"/>
      <c r="V152" s="2432"/>
      <c r="W152" s="2432"/>
      <c r="X152" s="2134"/>
      <c r="Y152" s="2432"/>
      <c r="Z152" s="2432"/>
      <c r="AA152" s="2432"/>
      <c r="AB152" s="2432"/>
      <c r="AC152" s="2134"/>
      <c r="AD152" s="2432"/>
      <c r="AE152" s="2432"/>
      <c r="AF152" s="2432"/>
      <c r="AG152" s="2432"/>
      <c r="AH152" s="2134"/>
      <c r="AI152" s="1984"/>
      <c r="AJ152" s="2056"/>
      <c r="AK152" s="1984"/>
      <c r="AL152" s="2096"/>
      <c r="AM152" s="2134"/>
      <c r="AN152" s="1984"/>
      <c r="AO152" s="2056"/>
      <c r="AP152" s="1984"/>
      <c r="AQ152" s="2096" t="s">
        <v>1034</v>
      </c>
      <c r="AR152" s="2441" t="s">
        <v>1035</v>
      </c>
      <c r="AS152" s="1984"/>
      <c r="AT152" s="2056"/>
      <c r="AU152" s="1984"/>
      <c r="AV152" s="2096" t="s">
        <v>1036</v>
      </c>
      <c r="AW152" s="2441"/>
      <c r="AX152" s="1984"/>
      <c r="AY152" s="2056"/>
      <c r="AZ152" s="1984"/>
      <c r="BA152" s="2096"/>
      <c r="BB152" s="2134"/>
      <c r="BC152" s="1984"/>
      <c r="BD152" s="2056"/>
      <c r="BE152" s="1984"/>
      <c r="BF152" s="2096"/>
      <c r="BG152" s="2134"/>
      <c r="BH152" s="1850"/>
      <c r="BI152" s="1850"/>
      <c r="BJ152" s="1850"/>
      <c r="BK152" s="1850"/>
      <c r="BL152" s="2134"/>
      <c r="BM152" s="1850"/>
      <c r="BN152" s="1850"/>
      <c r="BO152" s="1850"/>
      <c r="BP152" s="1850"/>
      <c r="BQ152" s="2134"/>
      <c r="BR152" s="1850"/>
      <c r="BS152" s="1850"/>
      <c r="BT152" s="1850"/>
      <c r="BU152" s="1850"/>
      <c r="BV152" s="2134"/>
      <c r="BW152" s="1850"/>
      <c r="BX152" s="1850"/>
      <c r="BY152" s="1850"/>
      <c r="BZ152" s="1850"/>
      <c r="CA152" s="2134"/>
      <c r="CB152" s="1850"/>
      <c r="CC152" s="1850"/>
      <c r="CD152" s="1850"/>
      <c r="CE152" s="1850"/>
      <c r="CF152" s="2134"/>
      <c r="CG152" s="1850"/>
      <c r="CH152" s="1850"/>
      <c r="CI152" s="1850"/>
      <c r="CJ152" s="1850"/>
      <c r="CK152" s="2134"/>
      <c r="CL152" s="1850"/>
      <c r="CM152" s="1850"/>
      <c r="CN152" s="1850"/>
      <c r="CO152" s="1850"/>
      <c r="CP152" s="2134"/>
      <c r="CQ152" s="1850"/>
      <c r="CR152" s="1850"/>
      <c r="CS152" s="1850"/>
      <c r="CT152" s="1850"/>
      <c r="CU152" s="2134"/>
      <c r="CV152" s="1850"/>
      <c r="CW152" s="1850"/>
      <c r="CX152" s="1850"/>
      <c r="CY152" s="1850"/>
      <c r="CZ152" s="2134"/>
      <c r="DA152" s="1850"/>
      <c r="DB152" s="1850"/>
      <c r="DC152" s="1850"/>
      <c r="DD152" s="1850"/>
      <c r="DE152" s="2654"/>
      <c r="DF152" s="1850"/>
      <c r="DG152" s="1850"/>
      <c r="DH152" s="1850"/>
      <c r="DI152" s="1850"/>
      <c r="DJ152" s="2134"/>
      <c r="DK152" s="1850"/>
      <c r="DL152" s="1850"/>
      <c r="DM152" s="1850"/>
      <c r="DN152" s="1850"/>
      <c r="DO152" s="2134"/>
      <c r="DP152" s="1850"/>
      <c r="DQ152" s="1850"/>
      <c r="DR152" s="1850"/>
      <c r="DS152" s="1850"/>
      <c r="DT152" s="2134"/>
      <c r="DU152" s="1850"/>
      <c r="DV152" s="1850"/>
      <c r="DW152" s="1850"/>
      <c r="DX152" s="1850"/>
      <c r="DY152" s="2134"/>
      <c r="DZ152" s="1850"/>
      <c r="EA152" s="1850"/>
    </row>
    <row r="153" spans="1:131" ht="11.25" customHeight="1" x14ac:dyDescent="0.2">
      <c r="A153" s="1984"/>
      <c r="B153" s="2390" t="s">
        <v>1037</v>
      </c>
      <c r="C153" s="2442"/>
      <c r="D153" s="2351"/>
      <c r="E153" s="1984"/>
      <c r="F153" s="2056"/>
      <c r="G153" s="1850"/>
      <c r="H153" s="1850"/>
      <c r="I153" s="2322"/>
      <c r="J153" s="2336"/>
      <c r="K153" s="2336"/>
      <c r="L153" s="2336"/>
      <c r="M153" s="2336"/>
      <c r="N153" s="2322"/>
      <c r="O153" s="2335">
        <f t="shared" ref="O153:X154" si="205">O14/J14-1</f>
        <v>0.10773054003592852</v>
      </c>
      <c r="P153" s="2335">
        <f t="shared" si="205"/>
        <v>0.12721429788643923</v>
      </c>
      <c r="Q153" s="2335">
        <f t="shared" si="205"/>
        <v>0.16179888505280204</v>
      </c>
      <c r="R153" s="2335">
        <f t="shared" si="205"/>
        <v>0.16504332296247348</v>
      </c>
      <c r="S153" s="2333">
        <f t="shared" si="205"/>
        <v>0.16346846272367621</v>
      </c>
      <c r="T153" s="2335">
        <f t="shared" si="205"/>
        <v>0.16461944023781494</v>
      </c>
      <c r="U153" s="2335">
        <f t="shared" si="205"/>
        <v>0.14934959788416902</v>
      </c>
      <c r="V153" s="2335">
        <f t="shared" si="205"/>
        <v>0.14646106903503497</v>
      </c>
      <c r="W153" s="2335">
        <f t="shared" si="205"/>
        <v>0.20935907037421764</v>
      </c>
      <c r="X153" s="2333">
        <f t="shared" si="205"/>
        <v>0.191135045594228</v>
      </c>
      <c r="Y153" s="2335">
        <f t="shared" ref="Y153:AH154" si="206">Y14/T14-1</f>
        <v>0.14303813618036587</v>
      </c>
      <c r="Z153" s="2335">
        <f t="shared" si="206"/>
        <v>0.14840437714931642</v>
      </c>
      <c r="AA153" s="2335">
        <f t="shared" si="206"/>
        <v>0.13221805047288648</v>
      </c>
      <c r="AB153" s="2335">
        <f t="shared" si="206"/>
        <v>6.0128697260040331E-2</v>
      </c>
      <c r="AC153" s="2333">
        <f t="shared" si="206"/>
        <v>0.17449687345638365</v>
      </c>
      <c r="AD153" s="2335">
        <f t="shared" si="206"/>
        <v>0.15904825393120969</v>
      </c>
      <c r="AE153" s="2335">
        <f t="shared" si="206"/>
        <v>0.15395005212579571</v>
      </c>
      <c r="AF153" s="2335">
        <f t="shared" si="206"/>
        <v>0.14108343863596162</v>
      </c>
      <c r="AG153" s="2335">
        <f t="shared" si="206"/>
        <v>0.15103815791161668</v>
      </c>
      <c r="AH153" s="2333">
        <f t="shared" si="206"/>
        <v>0.1601054696490829</v>
      </c>
      <c r="AI153" s="2335">
        <f t="shared" ref="AI153:AR154" si="207">AI14/AD14-1</f>
        <v>0.19099708905804103</v>
      </c>
      <c r="AJ153" s="2335">
        <f t="shared" si="207"/>
        <v>0.14807280547237922</v>
      </c>
      <c r="AK153" s="2335">
        <f t="shared" si="207"/>
        <v>0.12790095942865887</v>
      </c>
      <c r="AL153" s="2335">
        <f t="shared" si="207"/>
        <v>0.10120907133866197</v>
      </c>
      <c r="AM153" s="2333">
        <f t="shared" si="207"/>
        <v>0.10571683093019346</v>
      </c>
      <c r="AN153" s="2335">
        <f t="shared" si="207"/>
        <v>5.3198191351284896E-2</v>
      </c>
      <c r="AO153" s="2335">
        <f t="shared" si="207"/>
        <v>0.10127523909465297</v>
      </c>
      <c r="AP153" s="2335">
        <f t="shared" si="207"/>
        <v>0.1224159834310159</v>
      </c>
      <c r="AQ153" s="2335">
        <f t="shared" si="207"/>
        <v>0.20690140528460699</v>
      </c>
      <c r="AR153" s="2333">
        <f t="shared" si="207"/>
        <v>0.11575224076483304</v>
      </c>
      <c r="AS153" s="2335">
        <f t="shared" ref="AS153:BB154" si="208">AS14/AN14-1</f>
        <v>0.11493344398723249</v>
      </c>
      <c r="AT153" s="2335">
        <f t="shared" si="208"/>
        <v>9.5289282449448676E-2</v>
      </c>
      <c r="AU153" s="2335">
        <f t="shared" si="208"/>
        <v>0.23188572711191169</v>
      </c>
      <c r="AV153" s="2335">
        <f t="shared" si="208"/>
        <v>0.18145975744273568</v>
      </c>
      <c r="AW153" s="2333">
        <f t="shared" si="208"/>
        <v>0.15620936037151623</v>
      </c>
      <c r="AX153" s="2335">
        <f t="shared" si="208"/>
        <v>0.33076703837934418</v>
      </c>
      <c r="AY153" s="2335">
        <f t="shared" si="208"/>
        <v>0.27926041267262214</v>
      </c>
      <c r="AZ153" s="2335">
        <f t="shared" si="208"/>
        <v>0.11803176739727017</v>
      </c>
      <c r="BA153" s="2335">
        <f t="shared" si="208"/>
        <v>9.4447647055309947E-2</v>
      </c>
      <c r="BB153" s="2333">
        <f t="shared" si="208"/>
        <v>0.1630428108476889</v>
      </c>
      <c r="BC153" s="2335">
        <f t="shared" ref="BC153:BL154" si="209">BC14/AX14-1</f>
        <v>8.6404322963064661E-2</v>
      </c>
      <c r="BD153" s="2335">
        <f t="shared" si="209"/>
        <v>0.17077857825028908</v>
      </c>
      <c r="BE153" s="2335">
        <f t="shared" si="209"/>
        <v>0.27274220855397235</v>
      </c>
      <c r="BF153" s="2335">
        <f t="shared" si="209"/>
        <v>0.24071167207756239</v>
      </c>
      <c r="BG153" s="2333">
        <f t="shared" si="209"/>
        <v>0.17813815886201989</v>
      </c>
      <c r="BH153" s="2335">
        <f t="shared" si="209"/>
        <v>0.21595677894115251</v>
      </c>
      <c r="BI153" s="2335">
        <f t="shared" si="209"/>
        <v>0.13976630795418488</v>
      </c>
      <c r="BJ153" s="2335">
        <f t="shared" si="209"/>
        <v>5.304106762507721E-2</v>
      </c>
      <c r="BK153" s="2335">
        <f t="shared" si="209"/>
        <v>4.722926367607938E-2</v>
      </c>
      <c r="BL153" s="2333">
        <f t="shared" si="209"/>
        <v>0.10935431980571009</v>
      </c>
      <c r="BM153" s="2335">
        <f t="shared" ref="BM153:BV154" si="210">BM14/BH14-1</f>
        <v>4.7808513600980485E-2</v>
      </c>
      <c r="BN153" s="2335">
        <f t="shared" si="210"/>
        <v>4.9416860189249956E-2</v>
      </c>
      <c r="BO153" s="2335">
        <f t="shared" si="210"/>
        <v>5.1648924728686874E-2</v>
      </c>
      <c r="BP153" s="2335">
        <f t="shared" si="210"/>
        <v>0.17063553007401877</v>
      </c>
      <c r="BQ153" s="2333">
        <f t="shared" si="210"/>
        <v>8.1767946746220233E-2</v>
      </c>
      <c r="BR153" s="2335">
        <f t="shared" si="210"/>
        <v>0.13940197204025107</v>
      </c>
      <c r="BS153" s="2335">
        <f t="shared" si="210"/>
        <v>0.16351061418621748</v>
      </c>
      <c r="BT153" s="2335">
        <f t="shared" si="210"/>
        <v>0.18049905203302319</v>
      </c>
      <c r="BU153" s="2335">
        <f t="shared" si="210"/>
        <v>6.0960911764004644E-2</v>
      </c>
      <c r="BV153" s="2333">
        <f t="shared" si="210"/>
        <v>0.13258220345191329</v>
      </c>
      <c r="BW153" s="2335">
        <f t="shared" ref="BW153:CF154" si="211">BW14/BR14-1</f>
        <v>3.8682304999373418E-2</v>
      </c>
      <c r="BX153" s="2335">
        <f t="shared" si="211"/>
        <v>4.1863092664450541E-2</v>
      </c>
      <c r="BY153" s="2335">
        <f t="shared" si="211"/>
        <v>4.5254154761563914E-2</v>
      </c>
      <c r="BZ153" s="2335">
        <f t="shared" si="211"/>
        <v>3.5205997551766011E-2</v>
      </c>
      <c r="CA153" s="2333">
        <f t="shared" si="211"/>
        <v>4.0207612669242998E-2</v>
      </c>
      <c r="CB153" s="2335">
        <f t="shared" si="211"/>
        <v>5.4248258959986195E-2</v>
      </c>
      <c r="CC153" s="2335">
        <f t="shared" si="211"/>
        <v>4.0583876597593882E-2</v>
      </c>
      <c r="CD153" s="2335">
        <f t="shared" si="211"/>
        <v>3.4693524869816583E-2</v>
      </c>
      <c r="CE153" s="2335">
        <f t="shared" si="211"/>
        <v>4.9287361891946269E-2</v>
      </c>
      <c r="CF153" s="2322">
        <f t="shared" si="211"/>
        <v>4.4699731312766389E-2</v>
      </c>
      <c r="CG153" s="2334">
        <f>CG93/CB93-1</f>
        <v>0.11123031758051938</v>
      </c>
      <c r="CH153" s="2334">
        <f>CH93/CC93-1</f>
        <v>8.2964747477215495E-2</v>
      </c>
      <c r="CI153" s="2334">
        <f>CI93/CD93-1</f>
        <v>6.4432082212046771E-2</v>
      </c>
      <c r="CJ153" s="2334">
        <f>CJ93/CE93-1</f>
        <v>4.9265314157249218E-2</v>
      </c>
      <c r="CK153" s="2322">
        <f>CK14/CF14-1</f>
        <v>7.6697430201134509E-2</v>
      </c>
      <c r="CL153" s="2334">
        <f>CL93/CG93-1</f>
        <v>-1.1212258864921609E-2</v>
      </c>
      <c r="CM153" s="2443">
        <f>CM93/CH93-1</f>
        <v>2.2963254243606235E-2</v>
      </c>
      <c r="CN153" s="2334">
        <f>CN93/CI93-1</f>
        <v>7.0076303755101321E-2</v>
      </c>
      <c r="CO153" s="2334">
        <f>CO93/CJ93-1</f>
        <v>8.5700681854527838E-2</v>
      </c>
      <c r="CP153" s="2322">
        <f>CP14/CK14-1</f>
        <v>4.1501773011114684E-2</v>
      </c>
      <c r="CQ153" s="2334">
        <f>CQ93/CL93-1</f>
        <v>4.903473439281858E-2</v>
      </c>
      <c r="CR153" s="2334">
        <f>CR93/CM93-1</f>
        <v>5.2825023361575019E-2</v>
      </c>
      <c r="CS153" s="2334">
        <f>CS93/CN93-1</f>
        <v>4.9041184458810561E-2</v>
      </c>
      <c r="CT153" s="2334">
        <f>CT93/CO93-1</f>
        <v>5.4612652362986402E-2</v>
      </c>
      <c r="CU153" s="2322">
        <f>CU14/CP14-1</f>
        <v>5.0235157412110265E-2</v>
      </c>
      <c r="CV153" s="2334">
        <f>CV93/CQ93-1</f>
        <v>4.6088196174659313E-2</v>
      </c>
      <c r="CW153" s="2334">
        <f>CW93/CR93-1</f>
        <v>5.1426357064502604E-2</v>
      </c>
      <c r="CX153" s="2334">
        <f>CX93/CS93-1</f>
        <v>0.10364475373431592</v>
      </c>
      <c r="CY153" s="2334">
        <f>CY93/CT93-1</f>
        <v>0.16721689339930501</v>
      </c>
      <c r="CZ153" s="2322">
        <f>CZ14/CU14-1</f>
        <v>9.5146444016560583E-2</v>
      </c>
      <c r="DA153" s="2334">
        <f>DA93/CV93-1</f>
        <v>0.2344819163075258</v>
      </c>
      <c r="DB153" s="2334">
        <f>DB93/CW93-1</f>
        <v>0.2117141559348743</v>
      </c>
      <c r="DC153" s="2334">
        <f>DC93/CX93-1</f>
        <v>0.15338867342906592</v>
      </c>
      <c r="DD153" s="2334">
        <f>DD93/CY93-1</f>
        <v>5.7389461787217044E-2</v>
      </c>
      <c r="DE153" s="2586">
        <f>DE14/CZ14-1</f>
        <v>0.15868450292448566</v>
      </c>
      <c r="DF153" s="2334">
        <f>DF93/DA93-1</f>
        <v>-3.8360182975338053E-2</v>
      </c>
      <c r="DG153" s="2334">
        <f>DG93/DB93-1</f>
        <v>-2.4830838603439709E-2</v>
      </c>
      <c r="DH153" s="2334">
        <f>DH93/DC93-1</f>
        <v>-2.8782330589010696E-2</v>
      </c>
      <c r="DI153" s="2334">
        <f>DI93/DD93-1</f>
        <v>4.3208602416699993E-3</v>
      </c>
      <c r="DJ153" s="2322">
        <f>DJ14/DE14-1</f>
        <v>-2.1708798425534304E-2</v>
      </c>
      <c r="DK153" s="2334">
        <f>DK93/DF93-1</f>
        <v>7.711057850538805E-2</v>
      </c>
      <c r="DL153" s="2334">
        <f>DL93/DG93-1</f>
        <v>7.5294737724679983E-2</v>
      </c>
      <c r="DM153" s="2334">
        <f>DM93/DH93-1</f>
        <v>4.1471548377166378E-2</v>
      </c>
      <c r="DN153" s="2334">
        <f>DN93/DI93-1</f>
        <v>6.6057684860723054E-3</v>
      </c>
      <c r="DO153" s="2322">
        <f>DO14/DJ14-1</f>
        <v>4.9252995044009262E-2</v>
      </c>
      <c r="DP153" s="2334">
        <f>DP93/DK93-1</f>
        <v>3.9090437589592186E-2</v>
      </c>
      <c r="DQ153" s="2334">
        <f>DQ93/DL93-1</f>
        <v>3.7936650939768279E-2</v>
      </c>
      <c r="DR153" s="2334">
        <f>DR93/DM93-1</f>
        <v>3.6893528841666301E-2</v>
      </c>
      <c r="DS153" s="2334">
        <f>DS93/DN93-1</f>
        <v>3.5390784443840806E-2</v>
      </c>
      <c r="DT153" s="2322">
        <f>DT14/DO14-1</f>
        <v>3.7324012767507408E-2</v>
      </c>
      <c r="DU153" s="2334">
        <f>DU93/DP93-1</f>
        <v>3.4775533123261537E-2</v>
      </c>
      <c r="DV153" s="2334">
        <f>DV93/DQ93-1</f>
        <v>3.3433192478042217E-2</v>
      </c>
      <c r="DW153" s="2334">
        <f>DW93/DR93-1</f>
        <v>3.2316626892992195E-2</v>
      </c>
      <c r="DX153" s="2334">
        <f>DX93/DS93-1</f>
        <v>3.0709200867807374E-2</v>
      </c>
      <c r="DY153" s="2322">
        <f>DY14/DT14-1</f>
        <v>3.2806378286793558E-2</v>
      </c>
      <c r="DZ153" s="1850"/>
      <c r="EA153" s="1850"/>
    </row>
    <row r="154" spans="1:131" ht="11.25" customHeight="1" x14ac:dyDescent="0.2">
      <c r="A154" s="1984"/>
      <c r="B154" s="2444" t="s">
        <v>1029</v>
      </c>
      <c r="C154" s="2445"/>
      <c r="D154" s="2446"/>
      <c r="E154" s="2106"/>
      <c r="F154" s="2447"/>
      <c r="G154" s="2106"/>
      <c r="H154" s="2106"/>
      <c r="I154" s="2448"/>
      <c r="J154" s="2449"/>
      <c r="K154" s="2449"/>
      <c r="L154" s="2449"/>
      <c r="M154" s="2449"/>
      <c r="N154" s="2448"/>
      <c r="O154" s="2450">
        <f t="shared" si="205"/>
        <v>-1.9012084682140662E-2</v>
      </c>
      <c r="P154" s="2335">
        <f t="shared" si="205"/>
        <v>3.9322344834865186E-2</v>
      </c>
      <c r="Q154" s="2335">
        <f t="shared" si="205"/>
        <v>2.7538613282447777E-2</v>
      </c>
      <c r="R154" s="2335">
        <f t="shared" si="205"/>
        <v>0.11859023990974382</v>
      </c>
      <c r="S154" s="2333">
        <f t="shared" si="205"/>
        <v>3.4158517378652054E-2</v>
      </c>
      <c r="T154" s="2335">
        <f t="shared" si="205"/>
        <v>0.16461944023781472</v>
      </c>
      <c r="U154" s="2335">
        <f t="shared" si="205"/>
        <v>0.14934959788416924</v>
      </c>
      <c r="V154" s="2335">
        <f t="shared" si="205"/>
        <v>0.1464610690350352</v>
      </c>
      <c r="W154" s="2335">
        <f t="shared" si="205"/>
        <v>0.20935907037421786</v>
      </c>
      <c r="X154" s="2333">
        <f t="shared" si="205"/>
        <v>0.13849094261804384</v>
      </c>
      <c r="Y154" s="2335">
        <f t="shared" si="206"/>
        <v>5.2928704869339871E-2</v>
      </c>
      <c r="Z154" s="2335">
        <f t="shared" si="206"/>
        <v>0.10235769001421935</v>
      </c>
      <c r="AA154" s="2335">
        <f t="shared" si="206"/>
        <v>0.13221805047288648</v>
      </c>
      <c r="AB154" s="2335">
        <f t="shared" si="206"/>
        <v>1.7621532173430543E-2</v>
      </c>
      <c r="AC154" s="2333">
        <f t="shared" si="206"/>
        <v>-6.9269284916891882E-3</v>
      </c>
      <c r="AD154" s="2335">
        <f t="shared" si="206"/>
        <v>7.8643052354620213E-2</v>
      </c>
      <c r="AE154" s="2335">
        <f t="shared" si="206"/>
        <v>2.215386068729841E-2</v>
      </c>
      <c r="AF154" s="2335">
        <f t="shared" si="206"/>
        <v>1.4076563887484461E-2</v>
      </c>
      <c r="AG154" s="2335">
        <f t="shared" si="206"/>
        <v>1.0600402704854739E-2</v>
      </c>
      <c r="AH154" s="2333">
        <f t="shared" si="206"/>
        <v>1.2531946608418387E-4</v>
      </c>
      <c r="AI154" s="2335">
        <f t="shared" si="207"/>
        <v>-3.4549685970644117E-2</v>
      </c>
      <c r="AJ154" s="2335">
        <f t="shared" si="207"/>
        <v>-2.0180941371716998E-2</v>
      </c>
      <c r="AK154" s="2335">
        <f t="shared" si="207"/>
        <v>3.2459081990721117E-3</v>
      </c>
      <c r="AL154" s="2335">
        <f t="shared" si="207"/>
        <v>-5.3800493974054397E-4</v>
      </c>
      <c r="AM154" s="2333">
        <f t="shared" si="207"/>
        <v>3.3341796177994487E-2</v>
      </c>
      <c r="AN154" s="2335">
        <f t="shared" si="207"/>
        <v>4.3771655259305708E-2</v>
      </c>
      <c r="AO154" s="2335">
        <f t="shared" si="207"/>
        <v>1.9863979418702993E-2</v>
      </c>
      <c r="AP154" s="2335">
        <f t="shared" si="207"/>
        <v>1.2227314935927103E-2</v>
      </c>
      <c r="AQ154" s="2335">
        <f t="shared" si="207"/>
        <v>0.11814614864134687</v>
      </c>
      <c r="AR154" s="2333">
        <f t="shared" si="207"/>
        <v>5.568805898378093E-2</v>
      </c>
      <c r="AS154" s="2335">
        <f t="shared" si="208"/>
        <v>2.4655384956792314E-2</v>
      </c>
      <c r="AT154" s="2335">
        <f t="shared" si="208"/>
        <v>4.9819885076353598E-2</v>
      </c>
      <c r="AU154" s="2335">
        <f t="shared" si="208"/>
        <v>0.17772832644683279</v>
      </c>
      <c r="AV154" s="2335">
        <f t="shared" si="208"/>
        <v>0.12785266035435172</v>
      </c>
      <c r="AW154" s="2333">
        <f t="shared" si="208"/>
        <v>9.2681373537916389E-2</v>
      </c>
      <c r="AX154" s="2335">
        <f t="shared" si="208"/>
        <v>0.26699897119993632</v>
      </c>
      <c r="AY154" s="2335">
        <f t="shared" si="208"/>
        <v>0.26240253355119636</v>
      </c>
      <c r="AZ154" s="2335">
        <f t="shared" si="208"/>
        <v>0.11802898892807945</v>
      </c>
      <c r="BA154" s="2335">
        <f t="shared" si="208"/>
        <v>5.6460254454283376E-2</v>
      </c>
      <c r="BB154" s="2333">
        <f t="shared" si="208"/>
        <v>0.24216136940875543</v>
      </c>
      <c r="BC154" s="2335">
        <f t="shared" si="209"/>
        <v>5.182510791981465E-2</v>
      </c>
      <c r="BD154" s="2335">
        <f t="shared" si="209"/>
        <v>0.12278475196573613</v>
      </c>
      <c r="BE154" s="2335">
        <f t="shared" si="209"/>
        <v>0.20735115586500918</v>
      </c>
      <c r="BF154" s="2335">
        <f t="shared" si="209"/>
        <v>0.24608254295103404</v>
      </c>
      <c r="BG154" s="2333">
        <f t="shared" si="209"/>
        <v>0.18910901369553978</v>
      </c>
      <c r="BH154" s="2335">
        <f t="shared" si="209"/>
        <v>0.26457854838526318</v>
      </c>
      <c r="BI154" s="2335">
        <f t="shared" si="209"/>
        <v>0.18793901750423503</v>
      </c>
      <c r="BJ154" s="2335">
        <f t="shared" si="209"/>
        <v>8.2838494552781139E-2</v>
      </c>
      <c r="BK154" s="2335">
        <f t="shared" si="209"/>
        <v>5.196554306749035E-2</v>
      </c>
      <c r="BL154" s="2333">
        <f t="shared" si="209"/>
        <v>0.14042170862070136</v>
      </c>
      <c r="BM154" s="2335">
        <f t="shared" si="210"/>
        <v>6.7380183914987235E-2</v>
      </c>
      <c r="BN154" s="2335">
        <f t="shared" si="210"/>
        <v>3.9862462175945801E-2</v>
      </c>
      <c r="BO154" s="2335">
        <f t="shared" si="210"/>
        <v>5.6521549803879356E-2</v>
      </c>
      <c r="BP154" s="2335">
        <f t="shared" si="210"/>
        <v>0.22422231780582824</v>
      </c>
      <c r="BQ154" s="2333">
        <f t="shared" si="210"/>
        <v>9.6699181345891949E-2</v>
      </c>
      <c r="BR154" s="2335">
        <f t="shared" si="210"/>
        <v>0.13940197204025129</v>
      </c>
      <c r="BS154" s="2335">
        <f t="shared" si="210"/>
        <v>0.19035598566153955</v>
      </c>
      <c r="BT154" s="2335">
        <f t="shared" si="210"/>
        <v>0.17505464885615951</v>
      </c>
      <c r="BU154" s="2335">
        <f t="shared" si="210"/>
        <v>1.4520419425698483E-2</v>
      </c>
      <c r="BV154" s="2333">
        <f t="shared" si="210"/>
        <v>0.12438026864878116</v>
      </c>
      <c r="BW154" s="2335">
        <f t="shared" si="211"/>
        <v>2.9131730272467182E-2</v>
      </c>
      <c r="BX154" s="2335">
        <f t="shared" si="211"/>
        <v>2.772348172225847E-2</v>
      </c>
      <c r="BY154" s="2335">
        <f t="shared" si="211"/>
        <v>3.0809760383674778E-2</v>
      </c>
      <c r="BZ154" s="2335">
        <f t="shared" si="211"/>
        <v>2.1265206102861756E-2</v>
      </c>
      <c r="CA154" s="2333">
        <f t="shared" si="211"/>
        <v>2.7071011081682306E-2</v>
      </c>
      <c r="CB154" s="2335">
        <f t="shared" si="211"/>
        <v>2.0451441777404655E-2</v>
      </c>
      <c r="CC154" s="2335">
        <f t="shared" si="211"/>
        <v>2.6393838461478802E-2</v>
      </c>
      <c r="CD154" s="2335">
        <f t="shared" si="211"/>
        <v>4.4345291618444804E-2</v>
      </c>
      <c r="CE154" s="2335">
        <f t="shared" si="211"/>
        <v>2.1021572038840919E-2</v>
      </c>
      <c r="CF154" s="2322">
        <f t="shared" si="211"/>
        <v>2.7861134564064249E-2</v>
      </c>
      <c r="CG154" s="2335">
        <f>CG15/CB15-1</f>
        <v>7.0071924218554349E-2</v>
      </c>
      <c r="CH154" s="2335">
        <f>CH15/CC15-1</f>
        <v>3.8831756789978966E-2</v>
      </c>
      <c r="CI154" s="2335">
        <f>CI15/CD15-1</f>
        <v>3.5090697546289018E-2</v>
      </c>
      <c r="CJ154" s="2335">
        <f>CJ15/CE15-1</f>
        <v>5.4070786678899418E-2</v>
      </c>
      <c r="CK154" s="2322">
        <f>CK15/CF15-1</f>
        <v>4.9401379687114444E-2</v>
      </c>
      <c r="CL154" s="2335">
        <f>CL15/CG15-1</f>
        <v>3.1635686005874852E-2</v>
      </c>
      <c r="CM154" s="2451">
        <f>CM15/CH15-1</f>
        <v>8.7285434810044915E-3</v>
      </c>
      <c r="CN154" s="2334">
        <f ca="1">CN149+CN142</f>
        <v>1.8184391427416131E-2</v>
      </c>
      <c r="CO154" s="2334">
        <f ca="1">CO149+CO142</f>
        <v>9.1843914274161338E-3</v>
      </c>
      <c r="CP154" s="2322">
        <f>CP15/CK15-1</f>
        <v>9.7787677482206181E-3</v>
      </c>
      <c r="CQ154" s="2334">
        <f ca="1">CQ149+CQ142</f>
        <v>-9.8156085725838657E-3</v>
      </c>
      <c r="CR154" s="2334">
        <f ca="1">CR149+CR142</f>
        <v>2.4184391427416133E-2</v>
      </c>
      <c r="CS154" s="2334">
        <f ca="1">CS149+CS142</f>
        <v>-1.6815608572583865E-2</v>
      </c>
      <c r="CT154" s="2334">
        <f ca="1">CT149+CT142</f>
        <v>-4.3815608572583861E-2</v>
      </c>
      <c r="CU154" s="2322">
        <f>CU15/CP15-1</f>
        <v>-8.0858003450871019E-3</v>
      </c>
      <c r="CV154" s="2334">
        <f ca="1">CV149+CV142</f>
        <v>-3.2815608572583865E-2</v>
      </c>
      <c r="CW154" s="2334">
        <f ca="1">CW149+CW142</f>
        <v>-4.6499797816417263E-2</v>
      </c>
      <c r="CX154" s="2334">
        <f ca="1">CX149+CX142</f>
        <v>-2.6499797816417259E-2</v>
      </c>
      <c r="CY154" s="2334">
        <f ca="1">CY149+CY142</f>
        <v>2.6500202183582736E-2</v>
      </c>
      <c r="CZ154" s="2322">
        <f>CZ15/CU15-1</f>
        <v>-1.7651122280552212E-2</v>
      </c>
      <c r="DA154" s="2334">
        <f>DA149+DA142</f>
        <v>3.075E-2</v>
      </c>
      <c r="DB154" s="2334">
        <f>DB149+DB142</f>
        <v>-1.2500000000000011E-3</v>
      </c>
      <c r="DC154" s="2334">
        <f>DC149+DC142</f>
        <v>1.375E-2</v>
      </c>
      <c r="DD154" s="2334">
        <f>DD149+DD142</f>
        <v>-5.2499999999999977E-3</v>
      </c>
      <c r="DE154" s="2586">
        <f>DE15/CZ15-1</f>
        <v>3.9132554565204591E-2</v>
      </c>
      <c r="DF154" s="2334">
        <f>DF149+DF142</f>
        <v>-4.9000000000000002E-2</v>
      </c>
      <c r="DG154" s="2334">
        <f>DG149+DG142</f>
        <v>-2.1000000000000001E-2</v>
      </c>
      <c r="DH154" s="2334">
        <f>DH149+DH142</f>
        <v>-2.7999999999999997E-2</v>
      </c>
      <c r="DI154" s="2334">
        <f>DI149+DI142</f>
        <v>-6.9999999999999993E-3</v>
      </c>
      <c r="DJ154" s="2322">
        <f>DJ15/DE15-1</f>
        <v>-1.8868494803945368E-2</v>
      </c>
      <c r="DK154" s="2334">
        <f>DK149+DK142</f>
        <v>-5.0000000000000001E-3</v>
      </c>
      <c r="DL154" s="2334">
        <f>DL149+DL142</f>
        <v>-0.01</v>
      </c>
      <c r="DM154" s="2334">
        <f>DM149+DM142</f>
        <v>-0.01</v>
      </c>
      <c r="DN154" s="2334">
        <f>DN149+DN142</f>
        <v>-0.01</v>
      </c>
      <c r="DO154" s="2322">
        <f>DO15/DJ15-1</f>
        <v>-8.7653965857057425E-3</v>
      </c>
      <c r="DP154" s="2334">
        <f>DP149+DP142</f>
        <v>-5.0000000000000001E-3</v>
      </c>
      <c r="DQ154" s="2334">
        <f>DQ149+DQ142</f>
        <v>-5.0000000000000001E-3</v>
      </c>
      <c r="DR154" s="2334">
        <f>DR149+DR142</f>
        <v>-5.0000000000000001E-3</v>
      </c>
      <c r="DS154" s="2334">
        <f>DS149+DS142</f>
        <v>-5.0000000000000001E-3</v>
      </c>
      <c r="DT154" s="2322">
        <f>DT15/DO15-1</f>
        <v>-5.0000000000000044E-3</v>
      </c>
      <c r="DU154" s="2334">
        <f>DU149+DU142</f>
        <v>-5.0000000000000001E-3</v>
      </c>
      <c r="DV154" s="2334">
        <f>DV149+DV142</f>
        <v>-5.0000000000000001E-3</v>
      </c>
      <c r="DW154" s="2334">
        <f>DW149+DW142</f>
        <v>-5.0000000000000001E-3</v>
      </c>
      <c r="DX154" s="2334">
        <f>DX149+DX142</f>
        <v>-5.0000000000000001E-3</v>
      </c>
      <c r="DY154" s="2322">
        <f>DY15/DT15-1</f>
        <v>-4.9999999999998934E-3</v>
      </c>
      <c r="DZ154" s="1850"/>
      <c r="EA154" s="1850"/>
    </row>
    <row r="155" spans="1:131" ht="11.25" customHeight="1" x14ac:dyDescent="0.2">
      <c r="A155" s="1984"/>
      <c r="B155" s="2435" t="s">
        <v>1030</v>
      </c>
      <c r="C155" s="2436"/>
      <c r="D155" s="2351"/>
      <c r="E155" s="1984"/>
      <c r="F155" s="2056"/>
      <c r="G155" s="1850"/>
      <c r="H155" s="1850"/>
      <c r="I155" s="2322"/>
      <c r="J155" s="2336"/>
      <c r="K155" s="2336"/>
      <c r="L155" s="2336"/>
      <c r="M155" s="2336"/>
      <c r="N155" s="2322"/>
      <c r="O155" s="2335">
        <f t="shared" ref="O155:BV155" si="212">O17/J17-1</f>
        <v>4.9428932665616765E-2</v>
      </c>
      <c r="P155" s="2452">
        <f t="shared" si="212"/>
        <v>8.7662919013230756E-2</v>
      </c>
      <c r="Q155" s="2452">
        <f t="shared" si="212"/>
        <v>0.10272436547384611</v>
      </c>
      <c r="R155" s="2452">
        <f t="shared" si="212"/>
        <v>0.14460396641927242</v>
      </c>
      <c r="S155" s="2453">
        <f t="shared" si="212"/>
        <v>0.10489105748238026</v>
      </c>
      <c r="T155" s="2452">
        <f t="shared" si="212"/>
        <v>0.16461944023781472</v>
      </c>
      <c r="U155" s="2452">
        <f t="shared" si="212"/>
        <v>0.14934959788416902</v>
      </c>
      <c r="V155" s="2452">
        <f t="shared" si="212"/>
        <v>0.1464610690350352</v>
      </c>
      <c r="W155" s="2452">
        <f t="shared" si="212"/>
        <v>0.20935907037421764</v>
      </c>
      <c r="X155" s="2453">
        <f t="shared" si="212"/>
        <v>0.1688139459323259</v>
      </c>
      <c r="Y155" s="2452">
        <f t="shared" si="212"/>
        <v>0.10429108071662485</v>
      </c>
      <c r="Z155" s="2452">
        <f t="shared" si="212"/>
        <v>0.12860430168122461</v>
      </c>
      <c r="AA155" s="2452">
        <f t="shared" si="212"/>
        <v>0.13221805047288648</v>
      </c>
      <c r="AB155" s="2452">
        <f t="shared" si="212"/>
        <v>4.1850616272798069E-2</v>
      </c>
      <c r="AC155" s="2453">
        <f t="shared" si="212"/>
        <v>9.9568843251829575E-2</v>
      </c>
      <c r="AD155" s="2452">
        <f t="shared" si="212"/>
        <v>0.126082121284808</v>
      </c>
      <c r="AE155" s="2452">
        <f t="shared" si="212"/>
        <v>9.8595651721626876E-2</v>
      </c>
      <c r="AF155" s="2452">
        <f t="shared" si="212"/>
        <v>8.9010619989086104E-2</v>
      </c>
      <c r="AG155" s="2452">
        <f t="shared" si="212"/>
        <v>9.2054300724776716E-2</v>
      </c>
      <c r="AH155" s="2453">
        <f t="shared" si="212"/>
        <v>0.10043287363082443</v>
      </c>
      <c r="AI155" s="2452">
        <f t="shared" si="212"/>
        <v>0.10241862086326758</v>
      </c>
      <c r="AJ155" s="2452">
        <f t="shared" si="212"/>
        <v>8.2323308840239529E-2</v>
      </c>
      <c r="AK155" s="2452">
        <f t="shared" si="212"/>
        <v>8.0309133308921199E-2</v>
      </c>
      <c r="AL155" s="2452">
        <f t="shared" si="212"/>
        <v>6.1662716179439858E-2</v>
      </c>
      <c r="AM155" s="2453">
        <f t="shared" si="212"/>
        <v>8.1181694149198069E-2</v>
      </c>
      <c r="AN155" s="2452">
        <f t="shared" si="212"/>
        <v>4.9956086421921508E-2</v>
      </c>
      <c r="AO155" s="2452">
        <f t="shared" si="212"/>
        <v>7.2474672359188697E-2</v>
      </c>
      <c r="AP155" s="2452">
        <f t="shared" si="212"/>
        <v>8.3348199950048274E-2</v>
      </c>
      <c r="AQ155" s="2452">
        <f t="shared" si="212"/>
        <v>0.17442571981411348</v>
      </c>
      <c r="AR155" s="2453">
        <f t="shared" si="212"/>
        <v>9.6291445867772163E-2</v>
      </c>
      <c r="AS155" s="2452">
        <f t="shared" si="212"/>
        <v>8.4066651052296937E-2</v>
      </c>
      <c r="AT155" s="2452">
        <f t="shared" si="212"/>
        <v>7.9992821366224653E-2</v>
      </c>
      <c r="AU155" s="2452">
        <f t="shared" si="212"/>
        <v>0.21394460362941725</v>
      </c>
      <c r="AV155" s="2452">
        <f t="shared" si="212"/>
        <v>0.16278480299659215</v>
      </c>
      <c r="AW155" s="2453">
        <f t="shared" si="212"/>
        <v>0.13638862847943289</v>
      </c>
      <c r="AX155" s="2452">
        <f t="shared" si="212"/>
        <v>0.31015910739363273</v>
      </c>
      <c r="AY155" s="2452">
        <f t="shared" si="212"/>
        <v>0.27374765846878968</v>
      </c>
      <c r="AZ155" s="2452">
        <f t="shared" si="212"/>
        <v>0.11803087441330473</v>
      </c>
      <c r="BA155" s="2452">
        <f t="shared" si="212"/>
        <v>8.1611645312083647E-2</v>
      </c>
      <c r="BB155" s="2453">
        <f t="shared" si="212"/>
        <v>0.18677837841600908</v>
      </c>
      <c r="BC155" s="2452">
        <f t="shared" si="212"/>
        <v>7.5597488721627304E-2</v>
      </c>
      <c r="BD155" s="2452">
        <f t="shared" si="212"/>
        <v>0.15522373898502062</v>
      </c>
      <c r="BE155" s="2452">
        <f t="shared" si="212"/>
        <v>0.25172593698055068</v>
      </c>
      <c r="BF155" s="2452">
        <f t="shared" si="212"/>
        <v>0.24248429679889827</v>
      </c>
      <c r="BG155" s="2453">
        <f t="shared" si="212"/>
        <v>0.18158300727974508</v>
      </c>
      <c r="BH155" s="2452">
        <f t="shared" si="212"/>
        <v>0.23081640475277898</v>
      </c>
      <c r="BI155" s="2452">
        <f t="shared" si="212"/>
        <v>0.15494071146245059</v>
      </c>
      <c r="BJ155" s="2452">
        <f t="shared" si="212"/>
        <v>6.227826997266539E-2</v>
      </c>
      <c r="BK155" s="2452">
        <f t="shared" si="212"/>
        <v>4.8796972154636409E-2</v>
      </c>
      <c r="BL155" s="2453">
        <f t="shared" si="212"/>
        <v>0.11917161467124737</v>
      </c>
      <c r="BM155" s="2452">
        <f t="shared" si="212"/>
        <v>5.3954018079578558E-2</v>
      </c>
      <c r="BN155" s="2452">
        <f t="shared" si="212"/>
        <v>4.6321235232939406E-2</v>
      </c>
      <c r="BO155" s="2452">
        <f t="shared" si="212"/>
        <v>5.3188674252447665E-2</v>
      </c>
      <c r="BP155" s="2452">
        <f t="shared" si="212"/>
        <v>0.18842634360097943</v>
      </c>
      <c r="BQ155" s="2453">
        <f t="shared" si="212"/>
        <v>8.6575804287314373E-2</v>
      </c>
      <c r="BR155" s="2452">
        <f t="shared" si="212"/>
        <v>0.13940197204025107</v>
      </c>
      <c r="BS155" s="2452">
        <f t="shared" si="212"/>
        <v>0.17215482380127112</v>
      </c>
      <c r="BT155" s="2452">
        <f t="shared" si="212"/>
        <v>0.17877317622595723</v>
      </c>
      <c r="BU155" s="2452">
        <f t="shared" si="212"/>
        <v>4.5078263384303874E-2</v>
      </c>
      <c r="BV155" s="2453">
        <f t="shared" si="212"/>
        <v>0.12992678082625186</v>
      </c>
      <c r="BW155" s="2452">
        <f t="shared" ref="BW155:CF155" si="213">BW17/BR17-1</f>
        <v>3.5645222236217133E-2</v>
      </c>
      <c r="BX155" s="2452">
        <f t="shared" si="213"/>
        <v>3.7239439886353809E-2</v>
      </c>
      <c r="BY155" s="2452">
        <f t="shared" si="213"/>
        <v>4.0689726138151139E-2</v>
      </c>
      <c r="BZ155" s="2452">
        <f t="shared" si="213"/>
        <v>3.0577654790729936E-2</v>
      </c>
      <c r="CA155" s="2453">
        <f t="shared" si="213"/>
        <v>3.5949778701110935E-2</v>
      </c>
      <c r="CB155" s="2452">
        <f t="shared" si="213"/>
        <v>4.3568464730290524E-2</v>
      </c>
      <c r="CC155" s="2452">
        <f t="shared" si="213"/>
        <v>3.5986304241492517E-2</v>
      </c>
      <c r="CD155" s="2454">
        <f t="shared" si="213"/>
        <v>3.7714527862137137E-2</v>
      </c>
      <c r="CE155" s="2454">
        <f t="shared" si="213"/>
        <v>3.99879170302746E-2</v>
      </c>
      <c r="CF155" s="2455">
        <f t="shared" si="213"/>
        <v>3.9300723689946748E-2</v>
      </c>
      <c r="CG155" s="2454">
        <f t="shared" ref="CG155:DJ155" si="214">CG17/CB17-1</f>
        <v>9.8512374031672012E-2</v>
      </c>
      <c r="CH155" s="2454">
        <f t="shared" si="214"/>
        <v>6.8798057466612716E-2</v>
      </c>
      <c r="CI155" s="2454">
        <f t="shared" si="214"/>
        <v>5.518954604233306E-2</v>
      </c>
      <c r="CJ155" s="2454">
        <f t="shared" si="214"/>
        <v>5.0817481781742391E-2</v>
      </c>
      <c r="CK155" s="2455">
        <f t="shared" si="214"/>
        <v>6.8041752588563043E-2</v>
      </c>
      <c r="CL155" s="2454">
        <f t="shared" si="214"/>
        <v>1.6849725411882677E-3</v>
      </c>
      <c r="CM155" s="2454">
        <f t="shared" si="214"/>
        <v>1.8522024485674526E-2</v>
      </c>
      <c r="CN155" s="2454">
        <f t="shared" si="214"/>
        <v>5.0316372009623356E-2</v>
      </c>
      <c r="CO155" s="2454">
        <f t="shared" si="214"/>
        <v>5.6019656019655972E-2</v>
      </c>
      <c r="CP155" s="2455">
        <f t="shared" si="214"/>
        <v>3.1617858450150083E-2</v>
      </c>
      <c r="CQ155" s="2454">
        <f t="shared" si="214"/>
        <v>2.6714846427013939E-2</v>
      </c>
      <c r="CR155" s="2454">
        <f t="shared" si="214"/>
        <v>4.5261625205241796E-2</v>
      </c>
      <c r="CS155" s="2454">
        <f t="shared" si="214"/>
        <v>2.8586342422009414E-2</v>
      </c>
      <c r="CT155" s="2454">
        <f t="shared" si="214"/>
        <v>2.943229409027448E-2</v>
      </c>
      <c r="CU155" s="2455">
        <f t="shared" si="214"/>
        <v>3.2448813321861225E-2</v>
      </c>
      <c r="CV155" s="2454">
        <f t="shared" si="214"/>
        <v>2.8580443937426425E-2</v>
      </c>
      <c r="CW155" s="2454">
        <f t="shared" si="214"/>
        <v>2.2056905749851641E-2</v>
      </c>
      <c r="CX155" s="2454">
        <f t="shared" si="214"/>
        <v>6.9388573793844444E-2</v>
      </c>
      <c r="CY155" s="2454">
        <f t="shared" si="214"/>
        <v>0.12457162124533827</v>
      </c>
      <c r="CZ155" s="2455">
        <f t="shared" si="214"/>
        <v>6.2096757091506527E-2</v>
      </c>
      <c r="DA155" s="2454">
        <f t="shared" si="214"/>
        <v>0.18649267291219296</v>
      </c>
      <c r="DB155" s="2454">
        <f t="shared" si="214"/>
        <v>0.15987611717830208</v>
      </c>
      <c r="DC155" s="2454">
        <f t="shared" si="214"/>
        <v>0.12455395659333934</v>
      </c>
      <c r="DD155" s="2454">
        <f t="shared" si="214"/>
        <v>4.7467576757042274E-2</v>
      </c>
      <c r="DE155" s="2455">
        <f t="shared" si="214"/>
        <v>0.12628592491912038</v>
      </c>
      <c r="DF155" s="2454">
        <f t="shared" si="214"/>
        <v>-3.8360182975338053E-2</v>
      </c>
      <c r="DG155" s="2454">
        <f t="shared" si="214"/>
        <v>-2.2216444068864472E-2</v>
      </c>
      <c r="DH155" s="2454">
        <f t="shared" si="214"/>
        <v>-2.726825621341733E-2</v>
      </c>
      <c r="DI155" s="2454">
        <f t="shared" si="214"/>
        <v>2.9763878718687131E-3</v>
      </c>
      <c r="DJ155" s="2455">
        <f t="shared" si="214"/>
        <v>-2.0998638187416097E-2</v>
      </c>
      <c r="DK155" s="2454">
        <f t="shared" ref="DK155:DT155" si="215">DK17/DF17-1</f>
        <v>5.6254491565019604E-2</v>
      </c>
      <c r="DL155" s="2454">
        <f t="shared" si="215"/>
        <v>5.3629874342611128E-2</v>
      </c>
      <c r="DM155" s="2454">
        <f t="shared" si="215"/>
        <v>2.9057488312809632E-2</v>
      </c>
      <c r="DN155" s="2454">
        <f t="shared" si="215"/>
        <v>2.4045090590960605E-3</v>
      </c>
      <c r="DO155" s="2455">
        <f t="shared" si="215"/>
        <v>3.4715111156961465E-2</v>
      </c>
      <c r="DP155" s="2454">
        <f t="shared" si="215"/>
        <v>2.8540919096650796E-2</v>
      </c>
      <c r="DQ155" s="2454">
        <f t="shared" si="215"/>
        <v>2.7689361537452717E-2</v>
      </c>
      <c r="DR155" s="2454">
        <f t="shared" si="215"/>
        <v>2.7173017513145714E-2</v>
      </c>
      <c r="DS155" s="2454">
        <f t="shared" si="215"/>
        <v>2.5298371961433919E-2</v>
      </c>
      <c r="DT155" s="2455">
        <f t="shared" si="215"/>
        <v>2.7164379995868959E-2</v>
      </c>
      <c r="DU155" s="2454">
        <f t="shared" ref="DU155" si="216">DU17/DP17-1</f>
        <v>2.5568795969168834E-2</v>
      </c>
      <c r="DV155" s="2454">
        <f t="shared" ref="DV155" si="217">DV17/DQ17-1</f>
        <v>2.4552465553063341E-2</v>
      </c>
      <c r="DW155" s="2454">
        <f t="shared" ref="DW155" si="218">DW17/DR17-1</f>
        <v>2.3929291205660563E-2</v>
      </c>
      <c r="DX155" s="2454">
        <f t="shared" ref="DX155" si="219">DX17/DS17-1</f>
        <v>2.2050242561728384E-2</v>
      </c>
      <c r="DY155" s="2455">
        <f t="shared" ref="DY155" si="220">DY17/DT17-1</f>
        <v>2.4015356035359758E-2</v>
      </c>
      <c r="DZ155" s="1850"/>
      <c r="EA155" s="1850"/>
    </row>
    <row r="156" spans="1:131" ht="6" customHeight="1" x14ac:dyDescent="0.2">
      <c r="A156" s="1984"/>
      <c r="B156" s="2318"/>
      <c r="C156" s="1883"/>
      <c r="D156" s="1883"/>
      <c r="E156" s="1984"/>
      <c r="F156" s="2056"/>
      <c r="G156" s="1850"/>
      <c r="H156" s="1850"/>
      <c r="I156" s="2134"/>
      <c r="J156" s="1984"/>
      <c r="K156" s="2056"/>
      <c r="L156" s="1850"/>
      <c r="M156" s="1850"/>
      <c r="N156" s="2134"/>
      <c r="O156" s="1984"/>
      <c r="P156" s="2056"/>
      <c r="Q156" s="1850"/>
      <c r="R156" s="1850"/>
      <c r="S156" s="2134"/>
      <c r="T156" s="1984"/>
      <c r="U156" s="2056"/>
      <c r="V156" s="2045"/>
      <c r="W156" s="1984"/>
      <c r="X156" s="2134"/>
      <c r="Y156" s="1984"/>
      <c r="Z156" s="2056"/>
      <c r="AA156" s="1850"/>
      <c r="AB156" s="1850"/>
      <c r="AC156" s="2134"/>
      <c r="AD156" s="1984"/>
      <c r="AE156" s="2056"/>
      <c r="AF156" s="1850"/>
      <c r="AG156" s="1850"/>
      <c r="AH156" s="2134"/>
      <c r="AI156" s="1984"/>
      <c r="AJ156" s="2319"/>
      <c r="AK156" s="2319"/>
      <c r="AL156" s="1984"/>
      <c r="AM156" s="2134"/>
      <c r="AN156" s="2317"/>
      <c r="AO156" s="2320"/>
      <c r="AP156" s="2320"/>
      <c r="AQ156" s="1984"/>
      <c r="AR156" s="2134"/>
      <c r="AS156" s="2321"/>
      <c r="AT156" s="2319"/>
      <c r="AU156" s="2319"/>
      <c r="AV156" s="1984"/>
      <c r="AW156" s="2322"/>
      <c r="AX156" s="2320"/>
      <c r="AY156" s="2320"/>
      <c r="AZ156" s="2320"/>
      <c r="BA156" s="1984"/>
      <c r="BB156" s="2322"/>
      <c r="BC156" s="2320"/>
      <c r="BD156" s="2320"/>
      <c r="BE156" s="2320"/>
      <c r="BF156" s="1984"/>
      <c r="BG156" s="2322"/>
      <c r="BH156" s="2320"/>
      <c r="BI156" s="2320"/>
      <c r="BJ156" s="2320"/>
      <c r="BK156" s="1984"/>
      <c r="BL156" s="2322"/>
      <c r="BM156" s="1850"/>
      <c r="BN156" s="1850"/>
      <c r="BO156" s="1850"/>
      <c r="BP156" s="1850"/>
      <c r="BQ156" s="2322"/>
      <c r="BR156" s="1850"/>
      <c r="BS156" s="1850"/>
      <c r="BT156" s="1850"/>
      <c r="BU156" s="1850"/>
      <c r="BV156" s="2322"/>
      <c r="BW156" s="1850"/>
      <c r="BX156" s="1850"/>
      <c r="BY156" s="1850"/>
      <c r="BZ156" s="1850"/>
      <c r="CA156" s="2322"/>
      <c r="CB156" s="1850"/>
      <c r="CC156" s="1850"/>
      <c r="CD156" s="1850"/>
      <c r="CE156" s="1850"/>
      <c r="CF156" s="2322"/>
      <c r="CG156" s="1850"/>
      <c r="CH156" s="1850"/>
      <c r="CI156" s="1850"/>
      <c r="CJ156" s="1850"/>
      <c r="CK156" s="2322"/>
      <c r="CL156" s="1850"/>
      <c r="CM156" s="1850"/>
      <c r="CN156" s="1850"/>
      <c r="CO156" s="1850"/>
      <c r="CP156" s="2322"/>
      <c r="CQ156" s="1850"/>
      <c r="CR156" s="1850"/>
      <c r="CS156" s="1850"/>
      <c r="CT156" s="1850"/>
      <c r="CU156" s="2322"/>
      <c r="CV156" s="1850"/>
      <c r="CW156" s="1850"/>
      <c r="CX156" s="1850"/>
      <c r="CY156" s="1850"/>
      <c r="CZ156" s="2586"/>
      <c r="DA156" s="1850"/>
      <c r="DB156" s="1850"/>
      <c r="DC156" s="1850"/>
      <c r="DD156" s="1850"/>
      <c r="DE156" s="2586"/>
      <c r="DF156" s="1850"/>
      <c r="DG156" s="1850"/>
      <c r="DH156" s="1850"/>
      <c r="DI156" s="1850"/>
      <c r="DJ156" s="2322"/>
      <c r="DK156" s="1850"/>
      <c r="DL156" s="1850"/>
      <c r="DM156" s="1850"/>
      <c r="DN156" s="1850"/>
      <c r="DO156" s="2322"/>
      <c r="DP156" s="1850"/>
      <c r="DQ156" s="1850"/>
      <c r="DR156" s="1850"/>
      <c r="DS156" s="1850"/>
      <c r="DT156" s="2322"/>
      <c r="DU156" s="1850"/>
      <c r="DV156" s="1850"/>
      <c r="DW156" s="1850"/>
      <c r="DX156" s="1850"/>
      <c r="DY156" s="2322"/>
      <c r="DZ156" s="1850"/>
      <c r="EA156" s="1850"/>
    </row>
    <row r="157" spans="1:131" ht="11.25" customHeight="1" x14ac:dyDescent="0.2">
      <c r="A157" s="1931"/>
      <c r="B157" s="2456" t="s">
        <v>458</v>
      </c>
      <c r="C157" s="2457"/>
      <c r="D157" s="2458"/>
      <c r="E157" s="2458"/>
      <c r="F157" s="2078"/>
      <c r="G157" s="2458"/>
      <c r="H157" s="2458"/>
      <c r="I157" s="2459"/>
      <c r="J157" s="2311"/>
      <c r="K157" s="2311"/>
      <c r="L157" s="2311"/>
      <c r="M157" s="2311"/>
      <c r="N157" s="2006"/>
      <c r="O157" s="2311"/>
      <c r="P157" s="2311"/>
      <c r="Q157" s="2311"/>
      <c r="R157" s="2311"/>
      <c r="S157" s="2006"/>
      <c r="T157" s="2311"/>
      <c r="U157" s="2311"/>
      <c r="V157" s="2311"/>
      <c r="W157" s="2311"/>
      <c r="X157" s="2006"/>
      <c r="Y157" s="2311"/>
      <c r="Z157" s="2311"/>
      <c r="AA157" s="2311"/>
      <c r="AB157" s="2311"/>
      <c r="AC157" s="2006"/>
      <c r="AD157" s="2311"/>
      <c r="AE157" s="2311"/>
      <c r="AF157" s="2311"/>
      <c r="AG157" s="2311"/>
      <c r="AH157" s="2006"/>
      <c r="AI157" s="2311"/>
      <c r="AJ157" s="2311"/>
      <c r="AK157" s="2311"/>
      <c r="AL157" s="2311"/>
      <c r="AM157" s="2006"/>
      <c r="AN157" s="2311"/>
      <c r="AO157" s="2311"/>
      <c r="AP157" s="2311"/>
      <c r="AQ157" s="2311"/>
      <c r="AR157" s="2006"/>
      <c r="AS157" s="2312"/>
      <c r="AT157" s="2460"/>
      <c r="AU157" s="2311"/>
      <c r="AV157" s="2311"/>
      <c r="AW157" s="2006"/>
      <c r="AX157" s="2311"/>
      <c r="AY157" s="2311"/>
      <c r="AZ157" s="2311"/>
      <c r="BA157" s="2311"/>
      <c r="BB157" s="2006"/>
      <c r="BC157" s="2311"/>
      <c r="BD157" s="2311"/>
      <c r="BE157" s="2311"/>
      <c r="BF157" s="2311"/>
      <c r="BG157" s="2006"/>
      <c r="BH157" s="2311"/>
      <c r="BI157" s="2311"/>
      <c r="BJ157" s="2311"/>
      <c r="BK157" s="2311"/>
      <c r="BL157" s="2006"/>
      <c r="BM157" s="2311"/>
      <c r="BN157" s="2311"/>
      <c r="BO157" s="2311"/>
      <c r="BP157" s="2311"/>
      <c r="BQ157" s="2459"/>
      <c r="BR157" s="2311"/>
      <c r="BS157" s="2311"/>
      <c r="BT157" s="2311"/>
      <c r="BU157" s="2311"/>
      <c r="BV157" s="2459"/>
      <c r="BW157" s="2311"/>
      <c r="BX157" s="2311"/>
      <c r="BY157" s="2311"/>
      <c r="BZ157" s="2311"/>
      <c r="CA157" s="2461"/>
      <c r="CB157" s="2311"/>
      <c r="CC157" s="2311"/>
      <c r="CD157" s="2311"/>
      <c r="CE157" s="2311"/>
      <c r="CF157" s="2461"/>
      <c r="CG157" s="2311"/>
      <c r="CH157" s="2311"/>
      <c r="CI157" s="2311"/>
      <c r="CJ157" s="2311"/>
      <c r="CK157" s="2461"/>
      <c r="CL157" s="571"/>
      <c r="CM157" s="571"/>
      <c r="CN157" s="2311"/>
      <c r="CO157" s="2311"/>
      <c r="CP157" s="2461"/>
      <c r="CQ157" s="2311"/>
      <c r="CR157" s="2311"/>
      <c r="CS157" s="2311"/>
      <c r="CT157" s="2311"/>
      <c r="CU157" s="2461"/>
      <c r="CV157" s="2311"/>
      <c r="CW157" s="2311"/>
      <c r="CX157" s="2311"/>
      <c r="CY157" s="2311"/>
      <c r="CZ157" s="2591"/>
      <c r="DA157" s="2311"/>
      <c r="DB157" s="2311"/>
      <c r="DC157" s="2311"/>
      <c r="DD157" s="2311"/>
      <c r="DE157" s="2461"/>
      <c r="DF157" s="2311"/>
      <c r="DG157" s="2311"/>
      <c r="DH157" s="2311"/>
      <c r="DI157" s="2311"/>
      <c r="DJ157" s="2461"/>
      <c r="DK157" s="2311"/>
      <c r="DL157" s="2311"/>
      <c r="DM157" s="2311"/>
      <c r="DN157" s="2311"/>
      <c r="DO157" s="2461"/>
      <c r="DP157" s="2311"/>
      <c r="DQ157" s="2311"/>
      <c r="DR157" s="2311"/>
      <c r="DS157" s="2311"/>
      <c r="DT157" s="2461"/>
      <c r="DU157" s="2311"/>
      <c r="DV157" s="2311"/>
      <c r="DW157" s="2311"/>
      <c r="DX157" s="2311"/>
      <c r="DY157" s="2461"/>
      <c r="DZ157" s="2458"/>
      <c r="EA157" s="2458"/>
    </row>
    <row r="158" spans="1:131" ht="11.25" customHeight="1" x14ac:dyDescent="0.2">
      <c r="A158" s="1931"/>
      <c r="B158" t="s">
        <v>1028</v>
      </c>
      <c r="D158" s="1931"/>
      <c r="E158" s="1930"/>
      <c r="F158" s="2406"/>
      <c r="G158" s="1929"/>
      <c r="H158" s="1929"/>
      <c r="I158">
        <v>0.51600000000000001</v>
      </c>
      <c r="J158" s="2347">
        <v>0.54</v>
      </c>
      <c r="K158" s="2347">
        <v>0.55000000000000004</v>
      </c>
      <c r="L158" s="2347">
        <v>0.56000000000000005</v>
      </c>
      <c r="M158" s="2347">
        <v>0.56000000000000005</v>
      </c>
      <c r="N158" s="2414">
        <v>0.54700000000000004</v>
      </c>
      <c r="O158" s="2347">
        <v>0.56999999999999995</v>
      </c>
      <c r="P158" s="2347">
        <v>0.56999999999999995</v>
      </c>
      <c r="Q158" s="2347">
        <v>0.59</v>
      </c>
      <c r="R158" s="2347">
        <v>0.56999999999999995</v>
      </c>
      <c r="S158" s="2414">
        <v>0.57599999999999996</v>
      </c>
      <c r="T158" s="2347">
        <v>0.56999999999999995</v>
      </c>
      <c r="U158" s="2347">
        <v>0.56999999999999995</v>
      </c>
      <c r="V158" s="2347">
        <v>0.59</v>
      </c>
      <c r="W158" s="2347">
        <v>0.56999999999999995</v>
      </c>
      <c r="X158" s="2414">
        <v>0.58699999999999997</v>
      </c>
      <c r="Y158" s="2347">
        <v>0.59</v>
      </c>
      <c r="Z158" s="2347">
        <v>0.57999999999999996</v>
      </c>
      <c r="AA158" s="2347">
        <v>0.59</v>
      </c>
      <c r="AB158" s="2347">
        <v>0.57999999999999996</v>
      </c>
      <c r="AC158" s="2414">
        <v>0.627</v>
      </c>
      <c r="AD158" s="2347">
        <v>0.60727229115331782</v>
      </c>
      <c r="AE158" s="2347">
        <v>0.60922417559554765</v>
      </c>
      <c r="AF158" s="2347">
        <v>0.61821181211434328</v>
      </c>
      <c r="AG158" s="2347">
        <v>0.61132686455761609</v>
      </c>
      <c r="AH158" s="2414">
        <v>0.66100000000000003</v>
      </c>
      <c r="AI158" s="2347">
        <v>0.65606614161038768</v>
      </c>
      <c r="AJ158" s="2347">
        <v>0.64623361866525264</v>
      </c>
      <c r="AK158" s="2347">
        <v>0.64544645094146902</v>
      </c>
      <c r="AL158" s="2347">
        <v>0.63409845570020551</v>
      </c>
      <c r="AM158" s="2414">
        <v>0.67600000000000005</v>
      </c>
      <c r="AN158" s="2347">
        <v>0.65809197421349397</v>
      </c>
      <c r="AO158" s="2347">
        <v>0.66358777624188559</v>
      </c>
      <c r="AP158" s="2347">
        <v>0.66872258893210124</v>
      </c>
      <c r="AQ158" s="2347">
        <v>0.65163279751273406</v>
      </c>
      <c r="AR158" s="2414">
        <v>0.68799999999999994</v>
      </c>
      <c r="AS158" s="2347">
        <v>0.67682992605480641</v>
      </c>
      <c r="AT158" s="2347">
        <v>0.6729864911164406</v>
      </c>
      <c r="AU158" s="2347">
        <v>0.67860577018081214</v>
      </c>
      <c r="AV158" s="2347">
        <v>0.66209837358304591</v>
      </c>
      <c r="AW158" s="2414">
        <v>0.7</v>
      </c>
      <c r="AX158" s="2347">
        <v>0.6874760104322597</v>
      </c>
      <c r="AY158" s="2347">
        <v>0.67589916309142539</v>
      </c>
      <c r="AZ158" s="2347">
        <v>0.67860631219095302</v>
      </c>
      <c r="BA158" s="2347">
        <v>0.66995581106010549</v>
      </c>
      <c r="BB158" s="2414">
        <v>0.68600000000000005</v>
      </c>
      <c r="BC158" s="2347">
        <v>0.69438327766522445</v>
      </c>
      <c r="BD158" s="2347">
        <v>0.68500000000000005</v>
      </c>
      <c r="BE158" s="2347">
        <v>0.69</v>
      </c>
      <c r="BF158" s="2347">
        <v>0.66900000000000004</v>
      </c>
      <c r="BG158" s="2414">
        <v>0.68400000000000005</v>
      </c>
      <c r="BH158" s="2347">
        <v>0.68600000000000005</v>
      </c>
      <c r="BI158" s="2347">
        <v>0.67600000000000005</v>
      </c>
      <c r="BJ158" s="2347">
        <v>0.68400000000000005</v>
      </c>
      <c r="BK158" s="2347">
        <v>0.66800000000000004</v>
      </c>
      <c r="BL158" s="2414">
        <v>0.67800000000000005</v>
      </c>
      <c r="BM158" s="2347">
        <v>0.68200000000000005</v>
      </c>
      <c r="BN158" s="2347">
        <v>0.67800000000000005</v>
      </c>
      <c r="BO158" s="2347">
        <v>0.68300000000000005</v>
      </c>
      <c r="BP158" s="2347">
        <v>0.65800000000000003</v>
      </c>
      <c r="BQ158" s="2414">
        <v>0.67500000000000004</v>
      </c>
      <c r="BR158" s="2347">
        <v>0.68200000000000005</v>
      </c>
      <c r="BS158" s="2347">
        <v>0.67300000000000004</v>
      </c>
      <c r="BT158" s="2347">
        <v>0.68400000000000005</v>
      </c>
      <c r="BU158" s="2347">
        <v>0.66800000000000004</v>
      </c>
      <c r="BV158" s="2333">
        <f>BV14/BV17</f>
        <v>0.67658630656670593</v>
      </c>
      <c r="BW158" s="2347">
        <v>0.68400000000000005</v>
      </c>
      <c r="BX158" s="2347">
        <v>0.67600000000000005</v>
      </c>
      <c r="BY158" s="2347">
        <v>0.68700000000000006</v>
      </c>
      <c r="BZ158" s="2347">
        <v>0.67100000000000004</v>
      </c>
      <c r="CA158" s="2333">
        <f>CA14/CA17</f>
        <v>0.67936712878193395</v>
      </c>
      <c r="CB158" s="2347">
        <v>0.69099999999999995</v>
      </c>
      <c r="CC158" s="2347">
        <v>0.67900000000000005</v>
      </c>
      <c r="CD158" s="2347">
        <v>0.68500000000000005</v>
      </c>
      <c r="CE158" s="2347">
        <v>0.67700000000000005</v>
      </c>
      <c r="CF158" s="2322">
        <f>CF14/CF17</f>
        <v>0.68289633666506155</v>
      </c>
      <c r="CG158" s="2347">
        <v>0.69899999999999995</v>
      </c>
      <c r="CH158" s="2345">
        <v>0.68799999999999994</v>
      </c>
      <c r="CI158" s="2347">
        <v>0.69099999999999995</v>
      </c>
      <c r="CJ158" s="2347">
        <v>0.67600000000000005</v>
      </c>
      <c r="CK158" s="2322">
        <f>CK14/CK17</f>
        <v>0.68843069945439317</v>
      </c>
      <c r="CL158" s="2347">
        <v>0.69</v>
      </c>
      <c r="CM158" s="2347">
        <v>0.69099999999999995</v>
      </c>
      <c r="CN158" s="2347">
        <v>0.70399999999999996</v>
      </c>
      <c r="CO158" s="2347">
        <v>0.69499999999999995</v>
      </c>
      <c r="CP158" s="2322">
        <f>CP14/CP17</f>
        <v>0.69502654321457669</v>
      </c>
      <c r="CQ158" s="2347">
        <v>0.70499999999999996</v>
      </c>
      <c r="CR158" s="2347">
        <v>0.69599999999999995</v>
      </c>
      <c r="CS158" s="2347">
        <v>0.71799999999999997</v>
      </c>
      <c r="CT158" s="2347">
        <v>0.71199999999999997</v>
      </c>
      <c r="CU158" s="2322">
        <f>CU14/CU17</f>
        <v>0.70699999999999996</v>
      </c>
      <c r="CV158" s="2347">
        <v>0.71699999999999997</v>
      </c>
      <c r="CW158" s="2347">
        <v>0.71599999999999997</v>
      </c>
      <c r="CX158" s="2347">
        <v>0.74099999999999999</v>
      </c>
      <c r="CY158" s="2347">
        <v>0.73899999999999999</v>
      </c>
      <c r="CZ158" s="2322">
        <f>CZ14/CZ17</f>
        <v>0.72899999999999998</v>
      </c>
      <c r="DA158" s="2347">
        <v>0.746</v>
      </c>
      <c r="DB158" s="2347">
        <v>0.748</v>
      </c>
      <c r="DC158" s="2347">
        <v>0.76</v>
      </c>
      <c r="DD158" s="2347">
        <v>0.746</v>
      </c>
      <c r="DE158" s="2322">
        <f>DE14/DE17</f>
        <v>0.74997030855429303</v>
      </c>
      <c r="DF158" s="2347">
        <v>0.746</v>
      </c>
      <c r="DG158" s="2347">
        <v>0.746</v>
      </c>
      <c r="DH158" s="2737">
        <v>0.75881704639249092</v>
      </c>
      <c r="DI158" s="2737">
        <v>0.747</v>
      </c>
      <c r="DJ158" s="2322">
        <f>DJ14/DJ17</f>
        <v>0.74942628572278402</v>
      </c>
      <c r="DK158" s="2334">
        <f>DK14/DK$17</f>
        <v>0.76073001154718145</v>
      </c>
      <c r="DL158" s="2334">
        <f>DL14/DL$17</f>
        <v>0.76133934114492263</v>
      </c>
      <c r="DM158" s="2334">
        <f>DM14/DM$17</f>
        <v>0.76797105430629442</v>
      </c>
      <c r="DN158" s="2334">
        <f>DN14/DN$17</f>
        <v>0.75013081272439319</v>
      </c>
      <c r="DO158" s="2322">
        <f>DO14/DO17</f>
        <v>0.759955823956315</v>
      </c>
      <c r="DP158" s="2334">
        <f>DP14/DP$17</f>
        <v>0.76853265233273338</v>
      </c>
      <c r="DQ158" s="2334">
        <f>DQ14/DQ$17</f>
        <v>0.76893080297577077</v>
      </c>
      <c r="DR158" s="2334">
        <f>DR14/DR$17</f>
        <v>0.77523864331620984</v>
      </c>
      <c r="DS158" s="2334">
        <f>DS14/DS$17</f>
        <v>0.75751464340706043</v>
      </c>
      <c r="DT158" s="2322">
        <f>DT14/DT17</f>
        <v>0.76747250993611427</v>
      </c>
      <c r="DU158" s="2334">
        <f>DU14/DU$17</f>
        <v>0.77543192437784147</v>
      </c>
      <c r="DV158" s="2334">
        <f>DV14/DV$17</f>
        <v>0.77559582474383248</v>
      </c>
      <c r="DW158" s="2334">
        <f>DW14/DW$17</f>
        <v>0.78158887354707718</v>
      </c>
      <c r="DX158" s="2334">
        <f>DX14/DX$17</f>
        <v>0.76393241764198005</v>
      </c>
      <c r="DY158" s="2322">
        <f>DY14/DY17</f>
        <v>0.77406114932755243</v>
      </c>
      <c r="DZ158" s="2458"/>
      <c r="EA158" s="2458"/>
    </row>
    <row r="159" spans="1:131" ht="11.25" customHeight="1" x14ac:dyDescent="0.2">
      <c r="A159" s="1931"/>
      <c r="B159" t="s">
        <v>1038</v>
      </c>
      <c r="D159" s="1931"/>
      <c r="E159" s="1930"/>
      <c r="F159" s="2406"/>
      <c r="G159" s="1929"/>
      <c r="H159" s="1929"/>
      <c r="I159" s="2333">
        <f t="shared" ref="I159:BT159" si="221">1-I158</f>
        <v>0.48399999999999999</v>
      </c>
      <c r="J159" s="2335">
        <f t="shared" si="221"/>
        <v>0.45999999999999996</v>
      </c>
      <c r="K159" s="2335">
        <f t="shared" si="221"/>
        <v>0.44999999999999996</v>
      </c>
      <c r="L159" s="2335">
        <f t="shared" si="221"/>
        <v>0.43999999999999995</v>
      </c>
      <c r="M159" s="2335">
        <f t="shared" si="221"/>
        <v>0.43999999999999995</v>
      </c>
      <c r="N159" s="2333">
        <f t="shared" si="221"/>
        <v>0.45299999999999996</v>
      </c>
      <c r="O159" s="2335">
        <f t="shared" si="221"/>
        <v>0.43000000000000005</v>
      </c>
      <c r="P159" s="2335">
        <f t="shared" si="221"/>
        <v>0.43000000000000005</v>
      </c>
      <c r="Q159" s="2335">
        <f t="shared" si="221"/>
        <v>0.41000000000000003</v>
      </c>
      <c r="R159" s="2335">
        <f t="shared" si="221"/>
        <v>0.43000000000000005</v>
      </c>
      <c r="S159" s="2333">
        <f t="shared" si="221"/>
        <v>0.42400000000000004</v>
      </c>
      <c r="T159" s="2335">
        <f t="shared" si="221"/>
        <v>0.43000000000000005</v>
      </c>
      <c r="U159" s="2335">
        <f t="shared" si="221"/>
        <v>0.43000000000000005</v>
      </c>
      <c r="V159" s="2335">
        <f t="shared" si="221"/>
        <v>0.41000000000000003</v>
      </c>
      <c r="W159" s="2335">
        <f t="shared" si="221"/>
        <v>0.43000000000000005</v>
      </c>
      <c r="X159" s="2333">
        <f t="shared" si="221"/>
        <v>0.41300000000000003</v>
      </c>
      <c r="Y159" s="2335">
        <f t="shared" si="221"/>
        <v>0.41000000000000003</v>
      </c>
      <c r="Z159" s="2335">
        <f t="shared" si="221"/>
        <v>0.42000000000000004</v>
      </c>
      <c r="AA159" s="2335">
        <f t="shared" si="221"/>
        <v>0.41000000000000003</v>
      </c>
      <c r="AB159" s="2335">
        <f t="shared" si="221"/>
        <v>0.42000000000000004</v>
      </c>
      <c r="AC159" s="2333">
        <f t="shared" si="221"/>
        <v>0.373</v>
      </c>
      <c r="AD159" s="2335">
        <f t="shared" si="221"/>
        <v>0.39272770884668218</v>
      </c>
      <c r="AE159" s="2335">
        <f t="shared" si="221"/>
        <v>0.39077582440445235</v>
      </c>
      <c r="AF159" s="2335">
        <f t="shared" si="221"/>
        <v>0.38178818788565672</v>
      </c>
      <c r="AG159" s="2335">
        <f t="shared" si="221"/>
        <v>0.38867313544238391</v>
      </c>
      <c r="AH159" s="2333">
        <f t="shared" si="221"/>
        <v>0.33899999999999997</v>
      </c>
      <c r="AI159" s="2335">
        <f t="shared" si="221"/>
        <v>0.34393385838961232</v>
      </c>
      <c r="AJ159" s="2335">
        <f t="shared" si="221"/>
        <v>0.35376638133474736</v>
      </c>
      <c r="AK159" s="2335">
        <f t="shared" si="221"/>
        <v>0.35455354905853098</v>
      </c>
      <c r="AL159" s="2335">
        <f t="shared" si="221"/>
        <v>0.36590154429979449</v>
      </c>
      <c r="AM159" s="2333">
        <f t="shared" si="221"/>
        <v>0.32399999999999995</v>
      </c>
      <c r="AN159" s="2335">
        <f t="shared" si="221"/>
        <v>0.34190802578650603</v>
      </c>
      <c r="AO159" s="2335">
        <f t="shared" si="221"/>
        <v>0.33641222375811441</v>
      </c>
      <c r="AP159" s="2335">
        <f t="shared" si="221"/>
        <v>0.33127741106789876</v>
      </c>
      <c r="AQ159" s="2335">
        <f t="shared" si="221"/>
        <v>0.34836720248726594</v>
      </c>
      <c r="AR159" s="2333">
        <f t="shared" si="221"/>
        <v>0.31200000000000006</v>
      </c>
      <c r="AS159" s="2335">
        <f t="shared" si="221"/>
        <v>0.32317007394519359</v>
      </c>
      <c r="AT159" s="2335">
        <f t="shared" si="221"/>
        <v>0.3270135088835594</v>
      </c>
      <c r="AU159" s="2335">
        <f t="shared" si="221"/>
        <v>0.32139422981918786</v>
      </c>
      <c r="AV159" s="2335">
        <f t="shared" si="221"/>
        <v>0.33790162641695409</v>
      </c>
      <c r="AW159" s="2333">
        <f t="shared" si="221"/>
        <v>0.30000000000000004</v>
      </c>
      <c r="AX159" s="2335">
        <f t="shared" si="221"/>
        <v>0.3125239895677403</v>
      </c>
      <c r="AY159" s="2335">
        <f t="shared" si="221"/>
        <v>0.32410083690857461</v>
      </c>
      <c r="AZ159" s="2335">
        <f t="shared" si="221"/>
        <v>0.32139368780904698</v>
      </c>
      <c r="BA159" s="2335">
        <f t="shared" si="221"/>
        <v>0.33004418893989451</v>
      </c>
      <c r="BB159" s="2333">
        <f t="shared" si="221"/>
        <v>0.31399999999999995</v>
      </c>
      <c r="BC159" s="2335">
        <f t="shared" si="221"/>
        <v>0.30561672233477555</v>
      </c>
      <c r="BD159" s="2335">
        <f t="shared" si="221"/>
        <v>0.31499999999999995</v>
      </c>
      <c r="BE159" s="2335">
        <f t="shared" si="221"/>
        <v>0.31000000000000005</v>
      </c>
      <c r="BF159" s="2335">
        <f t="shared" si="221"/>
        <v>0.33099999999999996</v>
      </c>
      <c r="BG159" s="2333">
        <f t="shared" si="221"/>
        <v>0.31599999999999995</v>
      </c>
      <c r="BH159" s="2335">
        <f t="shared" si="221"/>
        <v>0.31399999999999995</v>
      </c>
      <c r="BI159" s="2335">
        <f t="shared" si="221"/>
        <v>0.32399999999999995</v>
      </c>
      <c r="BJ159" s="2335">
        <f t="shared" si="221"/>
        <v>0.31599999999999995</v>
      </c>
      <c r="BK159" s="2335">
        <f t="shared" si="221"/>
        <v>0.33199999999999996</v>
      </c>
      <c r="BL159" s="2333">
        <f t="shared" si="221"/>
        <v>0.32199999999999995</v>
      </c>
      <c r="BM159" s="2335">
        <f t="shared" si="221"/>
        <v>0.31799999999999995</v>
      </c>
      <c r="BN159" s="2335">
        <f t="shared" si="221"/>
        <v>0.32199999999999995</v>
      </c>
      <c r="BO159" s="2335">
        <f t="shared" si="221"/>
        <v>0.31699999999999995</v>
      </c>
      <c r="BP159" s="2335">
        <f t="shared" si="221"/>
        <v>0.34199999999999997</v>
      </c>
      <c r="BQ159" s="2333">
        <f t="shared" si="221"/>
        <v>0.32499999999999996</v>
      </c>
      <c r="BR159" s="2335">
        <f t="shared" si="221"/>
        <v>0.31799999999999995</v>
      </c>
      <c r="BS159" s="2335">
        <f t="shared" si="221"/>
        <v>0.32699999999999996</v>
      </c>
      <c r="BT159" s="2335">
        <f t="shared" si="221"/>
        <v>0.31599999999999995</v>
      </c>
      <c r="BU159" s="2335">
        <f t="shared" ref="BU159:DJ159" si="222">1-BU158</f>
        <v>0.33199999999999996</v>
      </c>
      <c r="BV159" s="2333">
        <f t="shared" si="222"/>
        <v>0.32341369343329407</v>
      </c>
      <c r="BW159" s="2335">
        <f t="shared" si="222"/>
        <v>0.31599999999999995</v>
      </c>
      <c r="BX159" s="2335">
        <f t="shared" si="222"/>
        <v>0.32399999999999995</v>
      </c>
      <c r="BY159" s="2335">
        <f t="shared" si="222"/>
        <v>0.31299999999999994</v>
      </c>
      <c r="BZ159" s="2335">
        <f t="shared" si="222"/>
        <v>0.32899999999999996</v>
      </c>
      <c r="CA159" s="2333">
        <f t="shared" si="222"/>
        <v>0.32063287121806605</v>
      </c>
      <c r="CB159" s="2335">
        <f t="shared" si="222"/>
        <v>0.30900000000000005</v>
      </c>
      <c r="CC159" s="2335">
        <f t="shared" si="222"/>
        <v>0.32099999999999995</v>
      </c>
      <c r="CD159" s="2334">
        <f t="shared" si="222"/>
        <v>0.31499999999999995</v>
      </c>
      <c r="CE159" s="2334">
        <f t="shared" si="222"/>
        <v>0.32299999999999995</v>
      </c>
      <c r="CF159" s="2322">
        <f t="shared" si="222"/>
        <v>0.31710366333493845</v>
      </c>
      <c r="CG159" s="2334">
        <f t="shared" si="222"/>
        <v>0.30100000000000005</v>
      </c>
      <c r="CH159" s="2334">
        <f t="shared" si="222"/>
        <v>0.31200000000000006</v>
      </c>
      <c r="CI159" s="2334">
        <f t="shared" si="222"/>
        <v>0.30900000000000005</v>
      </c>
      <c r="CJ159" s="2334">
        <f t="shared" si="222"/>
        <v>0.32399999999999995</v>
      </c>
      <c r="CK159" s="2322">
        <f t="shared" si="222"/>
        <v>0.31156930054560683</v>
      </c>
      <c r="CL159" s="2334">
        <f t="shared" si="222"/>
        <v>0.31000000000000005</v>
      </c>
      <c r="CM159" s="2334">
        <f t="shared" si="222"/>
        <v>0.30900000000000005</v>
      </c>
      <c r="CN159" s="2334">
        <f t="shared" si="222"/>
        <v>0.29600000000000004</v>
      </c>
      <c r="CO159" s="2334">
        <f t="shared" si="222"/>
        <v>0.30500000000000005</v>
      </c>
      <c r="CP159" s="2322">
        <f t="shared" si="222"/>
        <v>0.30497345678542331</v>
      </c>
      <c r="CQ159" s="2334">
        <f t="shared" si="222"/>
        <v>0.29500000000000004</v>
      </c>
      <c r="CR159" s="2334">
        <f t="shared" si="222"/>
        <v>0.30400000000000005</v>
      </c>
      <c r="CS159" s="2334">
        <f t="shared" si="222"/>
        <v>0.28200000000000003</v>
      </c>
      <c r="CT159" s="2334">
        <f t="shared" si="222"/>
        <v>0.28800000000000003</v>
      </c>
      <c r="CU159" s="2322">
        <f t="shared" si="222"/>
        <v>0.29300000000000004</v>
      </c>
      <c r="CV159" s="2347">
        <f t="shared" si="222"/>
        <v>0.28300000000000003</v>
      </c>
      <c r="CW159" s="2347">
        <f t="shared" si="222"/>
        <v>0.28400000000000003</v>
      </c>
      <c r="CX159" s="2347">
        <f>1-CX158</f>
        <v>0.25900000000000001</v>
      </c>
      <c r="CY159" s="2347">
        <f>1-CY158</f>
        <v>0.26100000000000001</v>
      </c>
      <c r="CZ159" s="2322">
        <f t="shared" si="222"/>
        <v>0.27100000000000002</v>
      </c>
      <c r="DA159" s="2347">
        <f>1-DA158</f>
        <v>0.254</v>
      </c>
      <c r="DB159" s="2347">
        <f>1-DB158</f>
        <v>0.252</v>
      </c>
      <c r="DC159" s="2347">
        <f>1-DC158</f>
        <v>0.24</v>
      </c>
      <c r="DD159" s="2347">
        <f>1-DD158</f>
        <v>0.254</v>
      </c>
      <c r="DE159" s="2322">
        <f t="shared" si="222"/>
        <v>0.25002969144570697</v>
      </c>
      <c r="DF159" s="2347">
        <f>1-DF158</f>
        <v>0.254</v>
      </c>
      <c r="DG159" s="2347">
        <f>1-DG158</f>
        <v>0.254</v>
      </c>
      <c r="DH159" s="2347">
        <f>1-DH158</f>
        <v>0.24118295360750908</v>
      </c>
      <c r="DI159" s="2347">
        <f>1-DI158</f>
        <v>0.253</v>
      </c>
      <c r="DJ159" s="2322">
        <f t="shared" si="222"/>
        <v>0.25057371427721598</v>
      </c>
      <c r="DK159" s="2334">
        <f t="shared" ref="DK159:DT159" si="223">1-DK158</f>
        <v>0.23926998845281855</v>
      </c>
      <c r="DL159" s="2334">
        <f t="shared" si="223"/>
        <v>0.23866065885507737</v>
      </c>
      <c r="DM159" s="2334">
        <f t="shared" si="223"/>
        <v>0.23202894569370558</v>
      </c>
      <c r="DN159" s="2334">
        <f t="shared" si="223"/>
        <v>0.24986918727560681</v>
      </c>
      <c r="DO159" s="2322">
        <f t="shared" si="223"/>
        <v>0.240044176043685</v>
      </c>
      <c r="DP159" s="2334">
        <f t="shared" si="223"/>
        <v>0.23146734766726662</v>
      </c>
      <c r="DQ159" s="2334">
        <f t="shared" si="223"/>
        <v>0.23106919702422923</v>
      </c>
      <c r="DR159" s="2334">
        <f t="shared" si="223"/>
        <v>0.22476135668379016</v>
      </c>
      <c r="DS159" s="2334">
        <f t="shared" si="223"/>
        <v>0.24248535659293957</v>
      </c>
      <c r="DT159" s="2322">
        <f t="shared" si="223"/>
        <v>0.23252749006388573</v>
      </c>
      <c r="DU159" s="2334">
        <f t="shared" ref="DU159:DY159" si="224">1-DU158</f>
        <v>0.22456807562215853</v>
      </c>
      <c r="DV159" s="2334">
        <f t="shared" si="224"/>
        <v>0.22440417525616752</v>
      </c>
      <c r="DW159" s="2334">
        <f t="shared" si="224"/>
        <v>0.21841112645292282</v>
      </c>
      <c r="DX159" s="2334">
        <f t="shared" si="224"/>
        <v>0.23606758235801995</v>
      </c>
      <c r="DY159" s="2322">
        <f t="shared" si="224"/>
        <v>0.22593885067244757</v>
      </c>
      <c r="DZ159" s="2458"/>
      <c r="EA159" s="2458"/>
    </row>
    <row r="160" spans="1:131" ht="11.25" customHeight="1" x14ac:dyDescent="0.2">
      <c r="A160" s="1931"/>
      <c r="B160" s="2456" t="s">
        <v>734</v>
      </c>
      <c r="C160" s="2457"/>
      <c r="D160" s="2458"/>
      <c r="E160" s="2458"/>
      <c r="F160" s="2078"/>
      <c r="G160" s="2458"/>
      <c r="H160" s="2458"/>
      <c r="I160" s="2459"/>
      <c r="J160" s="2311"/>
      <c r="K160" s="2311"/>
      <c r="L160" s="2311"/>
      <c r="M160" s="2311"/>
      <c r="N160" s="2006"/>
      <c r="O160" s="2311"/>
      <c r="P160" s="2311"/>
      <c r="Q160" s="2311"/>
      <c r="R160" s="2311"/>
      <c r="S160" s="2006"/>
      <c r="T160" s="2311"/>
      <c r="U160" s="2311"/>
      <c r="V160" s="2311"/>
      <c r="W160" s="2311"/>
      <c r="X160" s="2006"/>
      <c r="Y160" s="2311"/>
      <c r="Z160" s="2311"/>
      <c r="AA160" s="2311"/>
      <c r="AB160" s="2311"/>
      <c r="AC160" s="2006"/>
      <c r="AD160" s="2311"/>
      <c r="AE160" s="2311"/>
      <c r="AF160" s="2311"/>
      <c r="AG160" s="2311"/>
      <c r="AH160" s="2006"/>
      <c r="AI160" s="2311"/>
      <c r="AJ160" s="2311"/>
      <c r="AK160" s="2311"/>
      <c r="AL160" s="2311"/>
      <c r="AM160" s="2006"/>
      <c r="AN160" s="2311"/>
      <c r="AO160" s="2311"/>
      <c r="AP160" s="2311"/>
      <c r="AQ160" s="2311"/>
      <c r="AR160" s="2006"/>
      <c r="AS160" s="2312"/>
      <c r="AT160" s="2460"/>
      <c r="AU160" s="2311"/>
      <c r="AV160" s="2311"/>
      <c r="AW160" s="2006"/>
      <c r="AX160" s="2311"/>
      <c r="AY160" s="2311"/>
      <c r="AZ160" s="2311"/>
      <c r="BA160" s="2311"/>
      <c r="BB160" s="2006"/>
      <c r="BC160" s="2311"/>
      <c r="BD160" s="2311"/>
      <c r="BE160" s="2311"/>
      <c r="BF160" s="2311"/>
      <c r="BG160" s="2006"/>
      <c r="BH160" s="2336"/>
      <c r="BI160" s="2336"/>
      <c r="BJ160" s="2336"/>
      <c r="BK160" s="2336"/>
      <c r="BL160" s="2006"/>
      <c r="BM160" s="2336"/>
      <c r="BN160" s="2336"/>
      <c r="BO160" s="2336"/>
      <c r="BP160" s="2336"/>
      <c r="BQ160" s="2459"/>
      <c r="BR160" s="2336"/>
      <c r="BS160" s="2336"/>
      <c r="BT160" s="2336"/>
      <c r="BU160" s="2336"/>
      <c r="BV160" s="2459"/>
      <c r="BW160" s="2336"/>
      <c r="BX160" s="2336"/>
      <c r="BY160" s="2336"/>
      <c r="BZ160" s="2336"/>
      <c r="CA160" s="2461"/>
      <c r="CB160" s="2336"/>
      <c r="CC160" s="2336"/>
      <c r="CD160" s="2336"/>
      <c r="CE160" s="2336"/>
      <c r="CF160" s="2461"/>
      <c r="CG160" s="2336"/>
      <c r="CH160" s="2336"/>
      <c r="CI160" s="2336"/>
      <c r="CJ160" s="2336"/>
      <c r="CK160" s="2461"/>
      <c r="CL160" s="2336"/>
      <c r="CM160" s="2336"/>
      <c r="CN160" s="2336"/>
      <c r="CO160" s="2336"/>
      <c r="CP160" s="2461"/>
      <c r="CQ160" s="2336"/>
      <c r="CR160" s="2336"/>
      <c r="CS160" s="2336"/>
      <c r="CT160" s="2336"/>
      <c r="CU160" s="2461"/>
      <c r="CV160" s="2336"/>
      <c r="CW160" s="2336"/>
      <c r="CX160" s="2336"/>
      <c r="CY160" s="2336"/>
      <c r="CZ160" s="2591"/>
      <c r="DA160" s="2336"/>
      <c r="DB160" s="2336"/>
      <c r="DC160" s="2336"/>
      <c r="DD160" s="2336"/>
      <c r="DE160" s="2461"/>
      <c r="DF160" s="2336"/>
      <c r="DG160" s="2336"/>
      <c r="DH160" s="2336"/>
      <c r="DI160" s="2336"/>
      <c r="DJ160" s="2461"/>
      <c r="DK160" s="2336"/>
      <c r="DL160" s="2336"/>
      <c r="DM160" s="2336"/>
      <c r="DN160" s="2336"/>
      <c r="DO160" s="2461"/>
      <c r="DP160" s="2336"/>
      <c r="DQ160" s="2336"/>
      <c r="DR160" s="2336"/>
      <c r="DS160" s="2336"/>
      <c r="DT160" s="2461"/>
      <c r="DU160" s="2336"/>
      <c r="DV160" s="2336"/>
      <c r="DW160" s="2336"/>
      <c r="DX160" s="2336"/>
      <c r="DY160" s="2461"/>
      <c r="DZ160" s="2458"/>
      <c r="EA160" s="2458"/>
    </row>
    <row r="161" spans="1:131" ht="11.25" customHeight="1" x14ac:dyDescent="0.2">
      <c r="A161" s="1931"/>
      <c r="B161" t="s">
        <v>1028</v>
      </c>
      <c r="D161" s="2458"/>
      <c r="E161" s="2458"/>
      <c r="F161" s="2078"/>
      <c r="G161" s="2458"/>
      <c r="H161" s="2458"/>
      <c r="I161" s="2459"/>
      <c r="J161" s="2336"/>
      <c r="K161" s="2336"/>
      <c r="L161" s="2336"/>
      <c r="M161" s="2336"/>
      <c r="N161" s="2333">
        <f>N108/(N$108+N$129)</f>
        <v>0.39816304840136502</v>
      </c>
      <c r="O161" s="2336"/>
      <c r="P161" s="2336"/>
      <c r="Q161" s="2336"/>
      <c r="R161" s="2336"/>
      <c r="S161" s="2333">
        <f>S108/(S$108+S$129)</f>
        <v>0.42628238194426799</v>
      </c>
      <c r="T161" s="2336"/>
      <c r="U161" s="2336"/>
      <c r="V161" s="2336"/>
      <c r="W161" s="2336"/>
      <c r="X161" s="2333">
        <f>X108/(X$108+X$129)</f>
        <v>0.45776541304298285</v>
      </c>
      <c r="Y161" s="2336"/>
      <c r="Z161" s="2336"/>
      <c r="AA161" s="2336"/>
      <c r="AB161" s="2336"/>
      <c r="AC161" s="2333">
        <f>AC108/(AC$108+AC$129)</f>
        <v>0.55962552026286971</v>
      </c>
      <c r="AD161" s="2336"/>
      <c r="AE161" s="2336"/>
      <c r="AF161" s="2336"/>
      <c r="AG161" s="2336"/>
      <c r="AH161" s="2333">
        <f>AH108/(AH$108+AH$129)</f>
        <v>0.62702967983486746</v>
      </c>
      <c r="AI161" s="2336"/>
      <c r="AJ161" s="2336"/>
      <c r="AK161" s="2336"/>
      <c r="AL161" s="2336"/>
      <c r="AM161" s="2333">
        <f>AM108/(AM$108+AM$129)</f>
        <v>0.6511950120471508</v>
      </c>
      <c r="AN161" s="2336"/>
      <c r="AO161" s="2336"/>
      <c r="AP161" s="2336"/>
      <c r="AQ161" s="2336"/>
      <c r="AR161" s="2333">
        <f>AR108/(AR$108+AR$129)</f>
        <v>0.66943900838451931</v>
      </c>
      <c r="AS161" s="2336"/>
      <c r="AT161" s="2336"/>
      <c r="AU161" s="2336"/>
      <c r="AV161" s="2336"/>
      <c r="AW161" s="2333">
        <f>AW108/(AW$108+AW$129)</f>
        <v>0.72163948672237421</v>
      </c>
      <c r="AX161" s="2336"/>
      <c r="AY161" s="2336"/>
      <c r="AZ161" s="2336"/>
      <c r="BA161" s="2336"/>
      <c r="BB161" s="2333">
        <f>BB108/(BB$108+BB$129)</f>
        <v>0.58038165343755466</v>
      </c>
      <c r="BC161" s="2336"/>
      <c r="BD161" s="2336"/>
      <c r="BE161" s="2336"/>
      <c r="BF161" s="2336"/>
      <c r="BG161" s="2333">
        <f>BG108/(BG$108+BG$129)</f>
        <v>0.58313816314231504</v>
      </c>
      <c r="BH161" s="2336"/>
      <c r="BI161" s="2336"/>
      <c r="BJ161" s="2336"/>
      <c r="BK161" s="2336"/>
      <c r="BL161" s="2333">
        <f>BL108/(BL$108+BL$129)</f>
        <v>0.58920059341296371</v>
      </c>
      <c r="BM161" s="2335">
        <f>(BM108)/(BM$108+BM$129)</f>
        <v>0.58432362860734688</v>
      </c>
      <c r="BN161" s="2335">
        <f>(BN108)/(BN$108+BN$129)</f>
        <v>0.56170267752887915</v>
      </c>
      <c r="BO161" s="2335">
        <f>(BO108)/(BO$108+BO$129)</f>
        <v>0.55653423140071845</v>
      </c>
      <c r="BP161" s="2335">
        <f>(BP108)/(BP$108+BP$129)</f>
        <v>0.53568342464319696</v>
      </c>
      <c r="BQ161" s="2333">
        <f>BQ108/(BQ$108+BQ$129)</f>
        <v>0.55843449769383813</v>
      </c>
      <c r="BR161" s="2335">
        <f>(BR108)/(BR$108+BR$129)</f>
        <v>0.56467099066722481</v>
      </c>
      <c r="BS161" s="2335">
        <f>(BS108)/(BS$108+BS$129)</f>
        <v>0.54436945841173046</v>
      </c>
      <c r="BT161" s="2335">
        <f>(BT108)/(BT$108+BT$129)</f>
        <v>0.55885032311477534</v>
      </c>
      <c r="BU161" s="2335">
        <f>(BU108)/(BU$108+BU$129)</f>
        <v>0.51921961746773837</v>
      </c>
      <c r="BV161" s="2333">
        <f>BV108/(BV$108+BV$129)</f>
        <v>0.54585849010623344</v>
      </c>
      <c r="BW161" s="2335">
        <f>(BW108)/(BW$108+BW$129)</f>
        <v>0.57742968910326409</v>
      </c>
      <c r="BX161" s="2335">
        <f>(BX108)/(BX$108+BX$129)</f>
        <v>0.54617166967321018</v>
      </c>
      <c r="BY161" s="2335">
        <f>(BY108)/(BY$108+BY$129)</f>
        <v>0.55275267347381063</v>
      </c>
      <c r="BZ161" s="2335">
        <f>(BZ108)/(BZ$108+BZ$129)</f>
        <v>0.51906259271486233</v>
      </c>
      <c r="CA161" s="2333">
        <f>CA108/(CA$108+CA$129)</f>
        <v>0.54771522065139455</v>
      </c>
      <c r="CB161" s="2335">
        <f>(CB108)/(CB$108+CB$129)</f>
        <v>0.58228771178455663</v>
      </c>
      <c r="CC161" s="2335">
        <f>(CC108)/(CC$108+CC$129)</f>
        <v>0.54509610932875974</v>
      </c>
      <c r="CD161" s="2334">
        <f>(CD108)/(CD$108+CD$129)</f>
        <v>0.55458386666599646</v>
      </c>
      <c r="CE161" s="2334">
        <f>(CE108)/(CE$108+CE$129)</f>
        <v>0.54508862120656709</v>
      </c>
      <c r="CF161" s="2322">
        <f>CF108/(CF$108+CF$129)</f>
        <v>0.55626192236164651</v>
      </c>
      <c r="CG161" s="2334">
        <f>(CG108)/(CG$108+CG$129)</f>
        <v>0.61421837821394265</v>
      </c>
      <c r="CH161" s="2334">
        <f>(CH108)/(CH$108+CH$129)</f>
        <v>0.57387140758633692</v>
      </c>
      <c r="CI161" s="2334">
        <f>(CI108)/(CI$108+CI$129)</f>
        <v>0.57561381925304445</v>
      </c>
      <c r="CJ161" s="2334">
        <f>(CJ108)/(CJ$108+CJ$129)</f>
        <v>0.54096729242001962</v>
      </c>
      <c r="CK161" s="2322">
        <f>CK108/(CK$108+CK$129)</f>
        <v>0.57517768927226487</v>
      </c>
      <c r="CL161" s="2334">
        <f>(CL108)/(CL$108+CL$129)</f>
        <v>0.57187521869951519</v>
      </c>
      <c r="CM161" s="2334">
        <f>(CM108)/(CM$108+CM$129)</f>
        <v>0.57037908505680446</v>
      </c>
      <c r="CN161" s="2334">
        <f>(CN108)/(CN$108+CN$129)</f>
        <v>0.58199896216216207</v>
      </c>
      <c r="CO161" s="2334">
        <f ca="1">(CO108)/(CO$108+CO$129)</f>
        <v>0.56091341858048449</v>
      </c>
      <c r="CP161" s="2322">
        <f ca="1">CP108/(CP$108+CP$129)</f>
        <v>0.57107217021541379</v>
      </c>
      <c r="CQ161" s="2334">
        <f ca="1">(CQ108)/(CQ$108+CQ$129)</f>
        <v>0.5730218786282707</v>
      </c>
      <c r="CR161" s="2334">
        <f ca="1">(CR108)/(CR$108+CR$129)</f>
        <v>0.57203857559731719</v>
      </c>
      <c r="CS161" s="2334">
        <f ca="1">(CS108)/(CS$108+CS$129)</f>
        <v>0.58449184615386807</v>
      </c>
      <c r="CT161" s="2334">
        <f ca="1">(CT108)/(CT$108+CT$129)</f>
        <v>0.59185738304710522</v>
      </c>
      <c r="CU161" s="2322">
        <f ca="1">CU108/(CU$108+CU$129)</f>
        <v>0.58049762371273694</v>
      </c>
      <c r="CV161" s="2334">
        <f ca="1">(CV108)/(CV$108+CV$129)</f>
        <v>0.59026368574397403</v>
      </c>
      <c r="CW161" s="2334">
        <f ca="1">(CW108)/(CW$108+CW$129)</f>
        <v>0.58877903039214774</v>
      </c>
      <c r="CX161" s="2334">
        <f ca="1">(CX108)/(CX$108+CX$129)</f>
        <v>0.63306624319774507</v>
      </c>
      <c r="CY161" s="2334">
        <f ca="1">(CY108)/(CY$108+CY$129)</f>
        <v>0.62799899983603791</v>
      </c>
      <c r="CZ161" s="2586">
        <f ca="1">CZ108/(CZ$108+CZ$129)</f>
        <v>0.61123667251973368</v>
      </c>
      <c r="DA161" s="2334">
        <f>(DA108)/(DA$108+DA$129)</f>
        <v>0.61713651810977865</v>
      </c>
      <c r="DB161" s="2334">
        <f>(DB108)/(DB$108+DB$129)</f>
        <v>0.62370071524645521</v>
      </c>
      <c r="DC161" s="2334">
        <f>(DC108)/(DC$108+DC$129)</f>
        <v>0.65101604379342859</v>
      </c>
      <c r="DD161" s="2334">
        <f>(DD108)/(DD$108+DD$129)</f>
        <v>0.63187140238727446</v>
      </c>
      <c r="DE161" s="2322">
        <f>DE108/(DE$108+DE$129)</f>
        <v>0.63106961724715671</v>
      </c>
      <c r="DF161" s="2334">
        <f>(DF108)/(DF$108+DF$129)</f>
        <v>0.62727925458580969</v>
      </c>
      <c r="DG161" s="2334">
        <f>(DG108)/(DG$108+DG$129)</f>
        <v>0.6234834885685423</v>
      </c>
      <c r="DH161" s="2334">
        <f>(DH108)/(DH$108+DH$129)</f>
        <v>0.6394952272965998</v>
      </c>
      <c r="DI161" s="2334">
        <f>(DI108)/(DI$108+DI$129)</f>
        <v>0.62472319066490389</v>
      </c>
      <c r="DJ161" s="2322">
        <f>DJ108/(DJ$108+DJ$129)</f>
        <v>0.62866096839488694</v>
      </c>
      <c r="DK161" s="2334">
        <f>(DK108)/(DK$108+DK$129)</f>
        <v>0.61726464515315849</v>
      </c>
      <c r="DL161" s="2334">
        <f>(DL108)/(DL$108+DL$129)</f>
        <v>0.61769179424994303</v>
      </c>
      <c r="DM161" s="2334">
        <f>(DM108)/(DM$108+DM$129)</f>
        <v>0.63566314375259203</v>
      </c>
      <c r="DN161" s="2334">
        <f>(DN108)/(DN$108+DN$129)</f>
        <v>0.62552654386695394</v>
      </c>
      <c r="DO161" s="2322">
        <f>DO108/(DO$108+DO$129)</f>
        <v>0.62401986218981897</v>
      </c>
      <c r="DP161" s="2334">
        <f>(DP108)/(DP$108+DP$129)</f>
        <v>0.62213219335752246</v>
      </c>
      <c r="DQ161" s="2334">
        <f>(DQ108)/(DQ$108+DQ$129)</f>
        <v>0.6224577977837662</v>
      </c>
      <c r="DR161" s="2334">
        <f>(DR108)/(DR$108+DR$129)</f>
        <v>0.64021834911572328</v>
      </c>
      <c r="DS161" s="2334">
        <f>(DS108)/(DS$108+DS$129)</f>
        <v>0.63000541494891904</v>
      </c>
      <c r="DT161" s="2322">
        <f>DT108/(DT$108+DT$129)</f>
        <v>0.62868398881237386</v>
      </c>
      <c r="DU161" s="2334">
        <f>(DU108)/(DU$108+DU$129)</f>
        <v>0.6267246252128813</v>
      </c>
      <c r="DV161" s="2334">
        <f>(DV108)/(DV$108+DV$129)</f>
        <v>0.62693505477085232</v>
      </c>
      <c r="DW161" s="2334">
        <f>(DW108)/(DW$108+DW$129)</f>
        <v>0.64449097399477218</v>
      </c>
      <c r="DX161" s="2334">
        <f>(DX108)/(DX$108+DX$129)</f>
        <v>0.63420847747568476</v>
      </c>
      <c r="DY161" s="2322">
        <f>DY108/(DY$108+DY$129)</f>
        <v>0.63306755854297236</v>
      </c>
      <c r="DZ161" s="2458"/>
      <c r="EA161" s="2458"/>
    </row>
    <row r="162" spans="1:131" x14ac:dyDescent="0.2">
      <c r="A162" s="1931"/>
      <c r="B162" t="s">
        <v>1038</v>
      </c>
      <c r="D162" s="2458"/>
      <c r="E162" s="2458"/>
      <c r="F162" s="2078"/>
      <c r="G162" s="2458"/>
      <c r="H162" s="2458"/>
      <c r="I162" s="2459"/>
      <c r="J162" s="2336"/>
      <c r="K162" s="2336"/>
      <c r="L162" s="2336"/>
      <c r="M162" s="2336"/>
      <c r="N162" s="2333">
        <f>N129/(N$108+N$129)</f>
        <v>0.60183695159863493</v>
      </c>
      <c r="O162" s="2336"/>
      <c r="P162" s="2336"/>
      <c r="Q162" s="2336"/>
      <c r="R162" s="2336"/>
      <c r="S162" s="2333">
        <f>S129/(S$108+S$129)</f>
        <v>0.57371761805573207</v>
      </c>
      <c r="T162" s="2336"/>
      <c r="U162" s="2336"/>
      <c r="V162" s="2336"/>
      <c r="W162" s="2336"/>
      <c r="X162" s="2333">
        <f>X129/(X$108+X$129)</f>
        <v>0.54223458695701721</v>
      </c>
      <c r="Y162" s="2336"/>
      <c r="Z162" s="2336"/>
      <c r="AA162" s="2336"/>
      <c r="AB162" s="2336"/>
      <c r="AC162" s="2333">
        <f>AC129/(AC$108+AC$129)</f>
        <v>0.44037447973713023</v>
      </c>
      <c r="AD162" s="2336"/>
      <c r="AE162" s="2336"/>
      <c r="AF162" s="2336"/>
      <c r="AG162" s="2336"/>
      <c r="AH162" s="2333">
        <f>AH129/(AH$108+AH$129)</f>
        <v>0.3729703201651326</v>
      </c>
      <c r="AI162" s="2336"/>
      <c r="AJ162" s="2336"/>
      <c r="AK162" s="2336"/>
      <c r="AL162" s="2336"/>
      <c r="AM162" s="2333">
        <f>AM129/(AM$108+AM$129)</f>
        <v>0.3488049879528492</v>
      </c>
      <c r="AN162" s="2336"/>
      <c r="AO162" s="2336"/>
      <c r="AP162" s="2336"/>
      <c r="AQ162" s="2336"/>
      <c r="AR162" s="2333">
        <f>AR129/(AR$108+AR$129)</f>
        <v>0.33056099161548069</v>
      </c>
      <c r="AS162" s="2336"/>
      <c r="AT162" s="2336"/>
      <c r="AU162" s="2336"/>
      <c r="AV162" s="2336"/>
      <c r="AW162" s="2333">
        <f>AW129/(AW$108+AW$129)</f>
        <v>0.27836051327762584</v>
      </c>
      <c r="AX162" s="2336"/>
      <c r="AY162" s="2336"/>
      <c r="AZ162" s="2336"/>
      <c r="BA162" s="2336"/>
      <c r="BB162" s="2333">
        <f>BB129/(BB$108+BB$129)</f>
        <v>0.41961834656244529</v>
      </c>
      <c r="BC162" s="2336"/>
      <c r="BD162" s="2336"/>
      <c r="BE162" s="2336"/>
      <c r="BF162" s="2336"/>
      <c r="BG162" s="2333">
        <f>BG129/(BG$108+BG$129)</f>
        <v>0.41686183685768496</v>
      </c>
      <c r="BH162" s="2336"/>
      <c r="BI162" s="2336"/>
      <c r="BJ162" s="2336"/>
      <c r="BK162" s="2336"/>
      <c r="BL162" s="2333">
        <f>BL129/(BL$108+BL$129)</f>
        <v>0.41079940658703629</v>
      </c>
      <c r="BM162" s="2335">
        <f>1-BM161</f>
        <v>0.41567637139265312</v>
      </c>
      <c r="BN162" s="2335">
        <f>1-BN161</f>
        <v>0.43829732247112085</v>
      </c>
      <c r="BO162" s="2335">
        <f>1-BO161</f>
        <v>0.44346576859928155</v>
      </c>
      <c r="BP162" s="2335">
        <f>1-BP161</f>
        <v>0.46431657535680304</v>
      </c>
      <c r="BQ162" s="2333">
        <f>BQ129/(BQ$108+BQ$129)</f>
        <v>0.44156550230616193</v>
      </c>
      <c r="BR162" s="2335">
        <f>1-BR161</f>
        <v>0.43532900933277519</v>
      </c>
      <c r="BS162" s="2335">
        <f>1-BS161</f>
        <v>0.45563054158826954</v>
      </c>
      <c r="BT162" s="2335">
        <f>1-BT161</f>
        <v>0.44114967688522466</v>
      </c>
      <c r="BU162" s="2335">
        <f>1-BU161</f>
        <v>0.48078038253226163</v>
      </c>
      <c r="BV162" s="2333">
        <f>BV129/(BV$108+BV$129)</f>
        <v>0.45414150989376656</v>
      </c>
      <c r="BW162" s="2335">
        <f>1-BW161</f>
        <v>0.42257031089673591</v>
      </c>
      <c r="BX162" s="2335">
        <f>1-BX161</f>
        <v>0.45382833032678982</v>
      </c>
      <c r="BY162" s="2335">
        <f>1-BY161</f>
        <v>0.44724732652618937</v>
      </c>
      <c r="BZ162" s="2335">
        <f>1-BZ161</f>
        <v>0.48093740728513767</v>
      </c>
      <c r="CA162" s="2333">
        <f>CA129/(CA$108+CA$129)</f>
        <v>0.45228477934860539</v>
      </c>
      <c r="CB162" s="2335">
        <f>1-CB161</f>
        <v>0.41771228821544337</v>
      </c>
      <c r="CC162" s="2335">
        <f>1-CC161</f>
        <v>0.45490389067124026</v>
      </c>
      <c r="CD162" s="2334">
        <f>1-CD161</f>
        <v>0.44541613333400354</v>
      </c>
      <c r="CE162" s="2334">
        <f>1-CE161</f>
        <v>0.45491137879343291</v>
      </c>
      <c r="CF162" s="2322">
        <f>CF129/(CF$108+CF$129)</f>
        <v>0.44373807763835355</v>
      </c>
      <c r="CG162" s="2334">
        <f>1-CG161</f>
        <v>0.38578162178605735</v>
      </c>
      <c r="CH162" s="2334">
        <f>1-CH161</f>
        <v>0.42612859241366308</v>
      </c>
      <c r="CI162" s="2334">
        <f>1-CI161</f>
        <v>0.42438618074695555</v>
      </c>
      <c r="CJ162" s="2334">
        <f>1-CJ161</f>
        <v>0.45903270757998038</v>
      </c>
      <c r="CK162" s="2322">
        <f>CK129/(CK$108+CK$129)</f>
        <v>0.42482231072773508</v>
      </c>
      <c r="CL162" s="2334">
        <f>1-CL161</f>
        <v>0.42812478130048481</v>
      </c>
      <c r="CM162" s="2334">
        <f>1-CM161</f>
        <v>0.42962091494319554</v>
      </c>
      <c r="CN162" s="2334">
        <f>1-CN161</f>
        <v>0.41800103783783793</v>
      </c>
      <c r="CO162" s="2334">
        <f ca="1">1-CO161</f>
        <v>0.43908658141951551</v>
      </c>
      <c r="CP162" s="2322">
        <f ca="1">CP129/(CP$108+CP$129)</f>
        <v>0.42892782978458627</v>
      </c>
      <c r="CQ162" s="2334">
        <f ca="1">1-CQ161</f>
        <v>0.4269781213717293</v>
      </c>
      <c r="CR162" s="2334">
        <f ca="1">1-CR161</f>
        <v>0.42796142440268281</v>
      </c>
      <c r="CS162" s="2334">
        <f ca="1">1-CS161</f>
        <v>0.41550815384613193</v>
      </c>
      <c r="CT162" s="2334">
        <f ca="1">1-CT161</f>
        <v>0.40814261695289478</v>
      </c>
      <c r="CU162" s="2322">
        <f ca="1">CU129/(CU$108+CU$129)</f>
        <v>0.41950237628726311</v>
      </c>
      <c r="CV162" s="2334">
        <f ca="1">1-CV161</f>
        <v>0.40973631425602597</v>
      </c>
      <c r="CW162" s="2334">
        <f ca="1">1-CW161</f>
        <v>0.41122096960785226</v>
      </c>
      <c r="CX162" s="2334">
        <f ca="1">1-CX161</f>
        <v>0.36693375680225493</v>
      </c>
      <c r="CY162" s="2334">
        <f ca="1">1-CY161</f>
        <v>0.37200100016396209</v>
      </c>
      <c r="CZ162" s="2586">
        <f ca="1">CZ129/(CZ$108+CZ$129)</f>
        <v>0.38876332748026637</v>
      </c>
      <c r="DA162" s="2334">
        <f>1-DA161</f>
        <v>0.38286348189022135</v>
      </c>
      <c r="DB162" s="2334">
        <f>1-DB161</f>
        <v>0.37629928475354479</v>
      </c>
      <c r="DC162" s="2334">
        <f>1-DC161</f>
        <v>0.34898395620657141</v>
      </c>
      <c r="DD162" s="2334">
        <f>1-DD161</f>
        <v>0.36812859761272554</v>
      </c>
      <c r="DE162" s="2322">
        <f>DE129/(DE$108+DE$129)</f>
        <v>0.36893038275284329</v>
      </c>
      <c r="DF162" s="2334">
        <f>1-DF161</f>
        <v>0.37272074541419031</v>
      </c>
      <c r="DG162" s="2334">
        <f>1-DG161</f>
        <v>0.3765165114314577</v>
      </c>
      <c r="DH162" s="2334">
        <f>1-DH161</f>
        <v>0.3605047727034002</v>
      </c>
      <c r="DI162" s="2334">
        <f>1-DI161</f>
        <v>0.37527680933509611</v>
      </c>
      <c r="DJ162" s="2322">
        <f>DJ129/(DJ$108+DJ$129)</f>
        <v>0.37133903160511317</v>
      </c>
      <c r="DK162" s="2334">
        <f>1-DK161</f>
        <v>0.38273535484684151</v>
      </c>
      <c r="DL162" s="2334">
        <f>1-DL161</f>
        <v>0.38230820575005697</v>
      </c>
      <c r="DM162" s="2334">
        <f>1-DM161</f>
        <v>0.36433685624740797</v>
      </c>
      <c r="DN162" s="2334">
        <f>1-DN161</f>
        <v>0.37447345613304606</v>
      </c>
      <c r="DO162" s="2322">
        <f>DO129/(DO$108+DO$129)</f>
        <v>0.37598013781018103</v>
      </c>
      <c r="DP162" s="2334">
        <f>1-DP161</f>
        <v>0.37786780664247754</v>
      </c>
      <c r="DQ162" s="2334">
        <f>1-DQ161</f>
        <v>0.3775422022162338</v>
      </c>
      <c r="DR162" s="2334">
        <f>1-DR161</f>
        <v>0.35978165088427672</v>
      </c>
      <c r="DS162" s="2334">
        <f>1-DS161</f>
        <v>0.36999458505108096</v>
      </c>
      <c r="DT162" s="2322">
        <f>DT129/(DT$108+DT$129)</f>
        <v>0.37131601118762619</v>
      </c>
      <c r="DU162" s="2334">
        <f>1-DU161</f>
        <v>0.3732753747871187</v>
      </c>
      <c r="DV162" s="2334">
        <f>1-DV161</f>
        <v>0.37306494522914768</v>
      </c>
      <c r="DW162" s="2334">
        <f>1-DW161</f>
        <v>0.35550902600522782</v>
      </c>
      <c r="DX162" s="2334">
        <f>1-DX161</f>
        <v>0.36579152252431524</v>
      </c>
      <c r="DY162" s="2322">
        <f>DY129/(DY$108+DY$129)</f>
        <v>0.36693244145702758</v>
      </c>
      <c r="DZ162" s="2458"/>
      <c r="EA162" s="2458"/>
    </row>
    <row r="163" spans="1:131" x14ac:dyDescent="0.2">
      <c r="A163" s="1931"/>
      <c r="CY163" s="2575"/>
      <c r="CZ163" s="2588"/>
      <c r="DA163" s="2584"/>
      <c r="DB163" s="2614"/>
      <c r="DC163" s="2631"/>
      <c r="DG163" s="2705"/>
      <c r="DH163" s="2734"/>
      <c r="DI163" s="2795"/>
      <c r="DZ163" s="2458"/>
      <c r="EA163" s="2458"/>
    </row>
    <row r="164" spans="1:131" ht="11.25" customHeight="1" x14ac:dyDescent="0.2">
      <c r="A164" s="1931"/>
      <c r="D164" s="2458"/>
      <c r="E164" s="2458"/>
      <c r="F164" s="2078"/>
      <c r="G164" s="2458"/>
      <c r="H164" s="2458"/>
      <c r="I164" s="2312"/>
      <c r="J164" s="2336"/>
      <c r="K164" s="2336"/>
      <c r="L164" s="2336"/>
      <c r="M164" s="2336"/>
      <c r="N164" s="2336"/>
      <c r="O164" s="2336"/>
      <c r="P164" s="2336"/>
      <c r="Q164" s="2336"/>
      <c r="R164" s="2336"/>
      <c r="S164" s="2336"/>
      <c r="T164" s="2336"/>
      <c r="U164" s="2336"/>
      <c r="V164" s="2336"/>
      <c r="W164" s="2336"/>
      <c r="X164" s="2336"/>
      <c r="Y164" s="2336"/>
      <c r="Z164" s="2336"/>
      <c r="AA164" s="2336"/>
      <c r="AB164" s="2336"/>
      <c r="AC164" s="2336"/>
      <c r="AD164" s="2336"/>
      <c r="AE164" s="2336"/>
      <c r="AF164" s="2336"/>
      <c r="AG164" s="2336"/>
      <c r="AH164" s="2336"/>
      <c r="AI164" s="2336"/>
      <c r="AJ164" s="2336"/>
      <c r="AK164" s="2336"/>
      <c r="AL164" s="2336"/>
      <c r="AM164" s="2336"/>
      <c r="AN164" s="2336"/>
      <c r="AO164" s="2336"/>
      <c r="AP164" s="2336"/>
      <c r="AQ164" s="2336"/>
      <c r="AR164" s="2336"/>
      <c r="AS164" s="2336"/>
      <c r="AT164" s="2336"/>
      <c r="AU164" s="2336"/>
      <c r="AV164" s="2336"/>
      <c r="AW164" s="2336"/>
      <c r="AX164" s="2336"/>
      <c r="AY164" s="2336"/>
      <c r="AZ164" s="2336"/>
      <c r="BA164" s="2336"/>
      <c r="BB164" s="2336"/>
      <c r="BC164" s="2336"/>
      <c r="BD164" s="2336"/>
      <c r="BE164" s="2336"/>
      <c r="BF164" s="2336"/>
      <c r="BG164" s="2336"/>
      <c r="BH164" s="2336"/>
      <c r="BI164" s="2336"/>
      <c r="BJ164" s="2336"/>
      <c r="BK164" s="2336"/>
      <c r="BL164" s="2336"/>
      <c r="BM164" s="2336"/>
      <c r="BN164" s="2336"/>
      <c r="BO164" s="2336"/>
      <c r="BP164" s="2336"/>
      <c r="BQ164" s="2336"/>
      <c r="BR164" s="2336"/>
      <c r="BS164" s="2336"/>
      <c r="BT164" s="2336"/>
      <c r="BU164" s="2336"/>
      <c r="BV164" s="2336"/>
      <c r="BW164" s="2336"/>
      <c r="BX164" s="2336"/>
      <c r="BY164" s="2336"/>
      <c r="BZ164" s="2336"/>
      <c r="CA164" s="2336"/>
      <c r="CB164" s="2336"/>
      <c r="CC164" s="2336"/>
      <c r="CD164" s="2336"/>
      <c r="CE164" s="2336"/>
      <c r="CF164" s="2336"/>
      <c r="CG164" s="2336"/>
      <c r="CH164" s="2336"/>
      <c r="CI164" s="2336"/>
      <c r="CJ164" s="2336"/>
      <c r="CK164" s="2336"/>
      <c r="CL164" s="2336"/>
      <c r="CM164" s="2336"/>
      <c r="CN164" s="2336"/>
      <c r="CO164" s="2336"/>
      <c r="CP164" s="2336"/>
      <c r="CQ164" s="2336"/>
      <c r="CR164" s="2336"/>
      <c r="CS164" s="2336"/>
      <c r="CT164" s="2336"/>
      <c r="CU164" s="2336"/>
      <c r="CV164" s="2336"/>
      <c r="CW164" s="2336"/>
      <c r="CX164" s="2336"/>
      <c r="CY164" s="2336"/>
      <c r="CZ164" s="2586"/>
      <c r="DA164" s="2336"/>
      <c r="DB164" s="2336"/>
      <c r="DC164" s="2336"/>
      <c r="DD164" s="2336"/>
      <c r="DE164" s="2336"/>
      <c r="DF164" s="2336"/>
      <c r="DG164" s="2336"/>
      <c r="DH164" s="2336"/>
      <c r="DI164" s="2336"/>
      <c r="DJ164" s="2336"/>
      <c r="DK164" s="2336"/>
      <c r="DL164" s="2336"/>
      <c r="DM164" s="2336"/>
      <c r="DN164" s="2336"/>
      <c r="DO164" s="2336"/>
      <c r="DP164" s="2336"/>
      <c r="DQ164" s="2336"/>
      <c r="DR164" s="2336"/>
      <c r="DS164" s="2336"/>
      <c r="DT164" s="2336"/>
      <c r="DU164" s="2336"/>
      <c r="DV164" s="2336"/>
      <c r="DW164" s="2336"/>
      <c r="DX164" s="2336"/>
      <c r="DY164" s="2336"/>
      <c r="DZ164" s="2458"/>
      <c r="EA164" s="2458"/>
    </row>
    <row r="165" spans="1:131" ht="12" thickBot="1" x14ac:dyDescent="0.25">
      <c r="A165" s="2225"/>
      <c r="B165" s="1115" t="s">
        <v>1039</v>
      </c>
      <c r="CY165" s="2575"/>
      <c r="CZ165" s="2588"/>
      <c r="DA165" s="2584"/>
      <c r="DB165" s="2614"/>
      <c r="DC165" s="2631"/>
      <c r="DG165" s="2705"/>
      <c r="DH165" s="2734"/>
      <c r="DI165" s="2795"/>
      <c r="DZ165" s="2227"/>
      <c r="EA165" s="2227"/>
    </row>
    <row r="166" spans="1:131" x14ac:dyDescent="0.2">
      <c r="A166" s="2225"/>
      <c r="B166" s="1116"/>
      <c r="C166" s="2227"/>
      <c r="D166" s="2227"/>
      <c r="E166" s="2228"/>
      <c r="F166" s="2228"/>
      <c r="G166" s="2228"/>
      <c r="H166" s="2225"/>
      <c r="I166" s="2249"/>
      <c r="J166" s="2228"/>
      <c r="K166" s="2228"/>
      <c r="L166" s="2228"/>
      <c r="M166" s="2228"/>
      <c r="N166" s="2249"/>
      <c r="O166" s="2228"/>
      <c r="P166" s="2228"/>
      <c r="Q166" s="2228"/>
      <c r="R166" s="2228"/>
      <c r="S166" s="2249"/>
      <c r="T166" s="2228"/>
      <c r="U166" s="2228"/>
      <c r="V166" s="2228"/>
      <c r="W166" s="2228"/>
      <c r="X166" s="2249"/>
      <c r="Y166" s="2228"/>
      <c r="Z166" s="2228"/>
      <c r="AA166" s="2228"/>
      <c r="AB166" s="2228"/>
      <c r="AC166" s="2249"/>
      <c r="AD166" s="2228"/>
      <c r="AE166" s="2228"/>
      <c r="AF166" s="2241"/>
      <c r="AG166" s="2232"/>
      <c r="AH166" s="2249"/>
      <c r="AI166" s="2247"/>
      <c r="AJ166" s="2247"/>
      <c r="AK166" s="2247"/>
      <c r="AL166" s="2232"/>
      <c r="AM166" s="2249"/>
      <c r="AN166" s="2247"/>
      <c r="AO166" s="2247"/>
      <c r="AP166" s="2247"/>
      <c r="AQ166" s="2232"/>
      <c r="AR166" s="2249"/>
      <c r="AS166" s="2238"/>
      <c r="AT166" s="2228"/>
      <c r="AU166" s="2228"/>
      <c r="AV166" s="2228"/>
      <c r="AW166" s="2249"/>
      <c r="AX166" s="2248"/>
      <c r="AY166" s="2248"/>
      <c r="AZ166" s="2248"/>
      <c r="BA166" s="2232"/>
      <c r="BB166" s="2249"/>
      <c r="BC166" s="2228"/>
      <c r="BD166" s="2228"/>
      <c r="BE166" s="2228"/>
      <c r="BF166" s="2228"/>
      <c r="BG166" s="2249"/>
      <c r="BH166" s="2228"/>
      <c r="BI166" s="2228"/>
      <c r="BJ166" s="2228"/>
      <c r="BK166" s="2228"/>
      <c r="BL166" s="2249"/>
      <c r="BM166" s="2228"/>
      <c r="BN166" s="2228"/>
      <c r="BO166" s="2228"/>
      <c r="BP166" s="2228"/>
      <c r="BQ166" s="2249"/>
      <c r="BR166" s="2232"/>
      <c r="BS166" s="2232"/>
      <c r="BT166" s="2232"/>
      <c r="BU166" s="2232"/>
      <c r="BV166" s="2249"/>
      <c r="BW166" s="2232"/>
      <c r="BX166" s="2232"/>
      <c r="BY166" s="2232"/>
      <c r="BZ166" s="2232"/>
      <c r="CA166" s="2249"/>
      <c r="CB166" s="2232"/>
      <c r="CC166" s="2232"/>
      <c r="CD166" s="2232"/>
      <c r="CE166" s="2232"/>
      <c r="CF166" s="2249"/>
      <c r="CG166" s="2232"/>
      <c r="CH166" s="2232"/>
      <c r="CI166" s="2232"/>
      <c r="CJ166" s="2232"/>
      <c r="CK166" s="2249"/>
      <c r="CL166" s="2232"/>
      <c r="CM166" s="2232"/>
      <c r="CN166" s="2232"/>
      <c r="CO166" s="2232"/>
      <c r="CP166" s="2249"/>
      <c r="CQ166" s="2232"/>
      <c r="CR166" s="2232"/>
      <c r="CS166" s="2232"/>
      <c r="CT166" s="2232"/>
      <c r="CU166" s="2249"/>
      <c r="CV166" s="2232"/>
      <c r="CW166" s="2232"/>
      <c r="CX166" s="2232"/>
      <c r="CY166" s="2232"/>
      <c r="CZ166" s="2592"/>
      <c r="DA166" s="2232"/>
      <c r="DB166" s="2232"/>
      <c r="DC166" s="2232"/>
      <c r="DD166" s="2232"/>
      <c r="DE166" s="2249"/>
      <c r="DF166" s="2232"/>
      <c r="DG166" s="2232"/>
      <c r="DH166" s="2232"/>
      <c r="DI166" s="2232"/>
      <c r="DJ166" s="2249"/>
      <c r="DK166" s="2232"/>
      <c r="DL166" s="2232"/>
      <c r="DM166" s="2232"/>
      <c r="DN166" s="2232"/>
      <c r="DO166" s="2249"/>
      <c r="DP166" s="2232"/>
      <c r="DQ166" s="2232"/>
      <c r="DR166" s="2232"/>
      <c r="DS166" s="2232"/>
      <c r="DT166" s="2249"/>
      <c r="DU166" s="2232"/>
      <c r="DV166" s="2232"/>
      <c r="DW166" s="2232"/>
      <c r="DX166" s="2232"/>
      <c r="DY166" s="2249"/>
      <c r="DZ166" s="2227"/>
      <c r="EA166" s="2227"/>
    </row>
    <row r="167" spans="1:131" x14ac:dyDescent="0.2">
      <c r="A167" s="2233"/>
      <c r="B167" t="s">
        <v>1040</v>
      </c>
      <c r="I167" s="2243"/>
      <c r="N167" s="2243"/>
      <c r="S167" s="2243"/>
      <c r="X167" s="2243"/>
      <c r="AC167" s="2243"/>
      <c r="AF167" s="2235"/>
      <c r="AG167" s="2233"/>
      <c r="AH167" s="2243"/>
      <c r="AL167" s="2233"/>
      <c r="AM167" s="2243"/>
      <c r="AQ167" s="2233"/>
      <c r="AR167" s="2243"/>
      <c r="AW167" s="2243"/>
      <c r="BB167" s="2243"/>
      <c r="BG167" s="2243"/>
      <c r="BL167" s="2205">
        <f>BL14/BG14-1</f>
        <v>0.10935431980571009</v>
      </c>
      <c r="BQ167" s="2205">
        <f t="shared" ref="BQ167:BZ168" si="225">BQ14/BL14-1</f>
        <v>8.1767946746220233E-2</v>
      </c>
      <c r="BR167">
        <f t="shared" si="225"/>
        <v>0.13940197204025107</v>
      </c>
      <c r="BS167">
        <f t="shared" si="225"/>
        <v>0.16351061418621748</v>
      </c>
      <c r="BT167">
        <f t="shared" si="225"/>
        <v>0.18049905203302319</v>
      </c>
      <c r="BU167">
        <f t="shared" si="225"/>
        <v>6.0960911764004644E-2</v>
      </c>
      <c r="BV167" s="2205">
        <f t="shared" si="225"/>
        <v>0.13258220345191329</v>
      </c>
      <c r="BW167">
        <f t="shared" si="225"/>
        <v>3.8682304999373418E-2</v>
      </c>
      <c r="BX167">
        <f t="shared" si="225"/>
        <v>4.1863092664450541E-2</v>
      </c>
      <c r="BY167">
        <f t="shared" si="225"/>
        <v>4.5254154761563914E-2</v>
      </c>
      <c r="BZ167">
        <f t="shared" si="225"/>
        <v>3.5205997551766011E-2</v>
      </c>
      <c r="CA167" s="2205">
        <f t="shared" ref="CA167:CJ168" si="226">CA14/BV14-1</f>
        <v>4.0207612669242998E-2</v>
      </c>
      <c r="CB167">
        <f t="shared" si="226"/>
        <v>5.4248258959986195E-2</v>
      </c>
      <c r="CC167">
        <f t="shared" si="226"/>
        <v>4.0583876597593882E-2</v>
      </c>
      <c r="CD167" s="2233">
        <f t="shared" si="226"/>
        <v>3.4693524869816583E-2</v>
      </c>
      <c r="CE167" s="2233">
        <f t="shared" si="226"/>
        <v>4.9287361891946269E-2</v>
      </c>
      <c r="CF167" s="2243">
        <f t="shared" si="226"/>
        <v>4.4699731312766389E-2</v>
      </c>
      <c r="CG167" s="2233">
        <f t="shared" si="226"/>
        <v>0.11123031758051938</v>
      </c>
      <c r="CH167" s="2233">
        <f t="shared" si="226"/>
        <v>8.2964747477215495E-2</v>
      </c>
      <c r="CI167" s="2233">
        <f t="shared" si="226"/>
        <v>6.4432082212046771E-2</v>
      </c>
      <c r="CJ167" s="2233">
        <f t="shared" si="226"/>
        <v>4.9265314157249218E-2</v>
      </c>
      <c r="CK167" s="2243">
        <f t="shared" ref="CK167:CT168" si="227">CK14/CF14-1</f>
        <v>7.6697430201134509E-2</v>
      </c>
      <c r="CL167" s="2233">
        <f t="shared" si="227"/>
        <v>-1.1212258864921609E-2</v>
      </c>
      <c r="CM167" s="2233">
        <f t="shared" si="227"/>
        <v>2.2963254243606235E-2</v>
      </c>
      <c r="CN167" s="2233">
        <f t="shared" si="227"/>
        <v>7.0076303755101321E-2</v>
      </c>
      <c r="CO167" s="2233">
        <f t="shared" si="227"/>
        <v>8.5700681854527838E-2</v>
      </c>
      <c r="CP167" s="2243">
        <f t="shared" si="227"/>
        <v>4.1501773011114684E-2</v>
      </c>
      <c r="CQ167" s="2233">
        <f t="shared" si="227"/>
        <v>4.903473439281858E-2</v>
      </c>
      <c r="CR167" s="2233">
        <f t="shared" si="227"/>
        <v>5.2825023361575019E-2</v>
      </c>
      <c r="CS167" s="2233">
        <f t="shared" si="227"/>
        <v>4.9041184458810561E-2</v>
      </c>
      <c r="CT167" s="2233">
        <f t="shared" si="227"/>
        <v>5.4612652362986402E-2</v>
      </c>
      <c r="CU167" s="2243">
        <f t="shared" ref="CU167:DD168" si="228">CU14/CP14-1</f>
        <v>5.0235157412110265E-2</v>
      </c>
      <c r="CV167" s="2233">
        <f t="shared" si="228"/>
        <v>4.6088196174659313E-2</v>
      </c>
      <c r="CW167" s="2233">
        <f t="shared" si="228"/>
        <v>5.1426357064502604E-2</v>
      </c>
      <c r="CX167" s="2233">
        <f t="shared" si="228"/>
        <v>0.10364475373431592</v>
      </c>
      <c r="CY167" s="2233">
        <f t="shared" si="228"/>
        <v>0.16721689339930501</v>
      </c>
      <c r="CZ167" s="2593">
        <f t="shared" si="228"/>
        <v>9.5146444016560583E-2</v>
      </c>
      <c r="DA167" s="2233">
        <f t="shared" si="228"/>
        <v>0.2344819163075258</v>
      </c>
      <c r="DB167" s="2233">
        <f t="shared" si="228"/>
        <v>0.2117141559348743</v>
      </c>
      <c r="DC167" s="2233">
        <f t="shared" si="228"/>
        <v>0.15338867342906592</v>
      </c>
      <c r="DD167" s="2233">
        <f t="shared" si="228"/>
        <v>5.7389461787217044E-2</v>
      </c>
      <c r="DE167" s="2243">
        <f t="shared" ref="DE167:DN168" si="229">DE14/CZ14-1</f>
        <v>0.15868450292448566</v>
      </c>
      <c r="DF167" s="2233">
        <f t="shared" si="229"/>
        <v>-3.8360182975338053E-2</v>
      </c>
      <c r="DG167" s="2233">
        <f t="shared" si="229"/>
        <v>-2.4830838603439709E-2</v>
      </c>
      <c r="DH167" s="2233">
        <f t="shared" si="229"/>
        <v>-2.8782330589010696E-2</v>
      </c>
      <c r="DI167" s="2233">
        <f t="shared" si="229"/>
        <v>4.3208602416699993E-3</v>
      </c>
      <c r="DJ167" s="2243">
        <f t="shared" si="229"/>
        <v>-2.1708798425534304E-2</v>
      </c>
      <c r="DK167" s="2233">
        <f t="shared" si="229"/>
        <v>7.711057850538805E-2</v>
      </c>
      <c r="DL167" s="2233">
        <f t="shared" si="229"/>
        <v>7.5294737724679983E-2</v>
      </c>
      <c r="DM167" s="2233">
        <f t="shared" si="229"/>
        <v>4.1471548377166378E-2</v>
      </c>
      <c r="DN167" s="2233">
        <f t="shared" si="229"/>
        <v>6.6057684860723054E-3</v>
      </c>
      <c r="DO167" s="2243">
        <f t="shared" ref="DO167:DT168" si="230">DO14/DJ14-1</f>
        <v>4.9252995044009262E-2</v>
      </c>
      <c r="DP167" s="2233">
        <f t="shared" si="230"/>
        <v>3.9090437589592186E-2</v>
      </c>
      <c r="DQ167" s="2233">
        <f t="shared" si="230"/>
        <v>3.7936650939768279E-2</v>
      </c>
      <c r="DR167" s="2233">
        <f t="shared" si="230"/>
        <v>3.6893528841666301E-2</v>
      </c>
      <c r="DS167" s="2233">
        <f t="shared" si="230"/>
        <v>3.5390784443840806E-2</v>
      </c>
      <c r="DT167" s="2243">
        <f t="shared" si="230"/>
        <v>3.7324012767507408E-2</v>
      </c>
      <c r="DU167" s="2233">
        <f t="shared" ref="DU167:DU168" si="231">DU14/DP14-1</f>
        <v>3.4775533123261537E-2</v>
      </c>
      <c r="DV167" s="2233">
        <f t="shared" ref="DV167:DV168" si="232">DV14/DQ14-1</f>
        <v>3.3433192478042217E-2</v>
      </c>
      <c r="DW167" s="2233">
        <f t="shared" ref="DW167:DW168" si="233">DW14/DR14-1</f>
        <v>3.2316626892992195E-2</v>
      </c>
      <c r="DX167" s="2233">
        <f t="shared" ref="DX167:DX168" si="234">DX14/DS14-1</f>
        <v>3.0709200867807374E-2</v>
      </c>
      <c r="DY167" s="2243">
        <f t="shared" ref="DY167:DY168" si="235">DY14/DT14-1</f>
        <v>3.2806378286793558E-2</v>
      </c>
    </row>
    <row r="168" spans="1:131" x14ac:dyDescent="0.2">
      <c r="A168" s="2233"/>
      <c r="B168" t="s">
        <v>1041</v>
      </c>
      <c r="I168" s="2243"/>
      <c r="N168" s="2243"/>
      <c r="S168" s="2243"/>
      <c r="X168" s="2243"/>
      <c r="AC168" s="2243"/>
      <c r="AF168" s="2235"/>
      <c r="AG168" s="2233"/>
      <c r="AH168" s="2243"/>
      <c r="AL168" s="2233"/>
      <c r="AM168" s="2243"/>
      <c r="AQ168" s="2233"/>
      <c r="AR168" s="2243"/>
      <c r="AW168" s="2243"/>
      <c r="BB168" s="2243"/>
      <c r="BG168" s="2243"/>
      <c r="BL168" s="2205">
        <f>BL15/BG15-1</f>
        <v>0.14042170862070136</v>
      </c>
      <c r="BQ168" s="2205">
        <f t="shared" si="225"/>
        <v>9.6699181345891949E-2</v>
      </c>
      <c r="BR168">
        <f t="shared" si="225"/>
        <v>0.13940197204025129</v>
      </c>
      <c r="BS168">
        <f t="shared" si="225"/>
        <v>0.19035598566153955</v>
      </c>
      <c r="BT168">
        <f t="shared" si="225"/>
        <v>0.17505464885615951</v>
      </c>
      <c r="BU168">
        <f t="shared" si="225"/>
        <v>1.4520419425698483E-2</v>
      </c>
      <c r="BV168" s="2205">
        <f t="shared" si="225"/>
        <v>0.12438026864878116</v>
      </c>
      <c r="BW168">
        <f t="shared" si="225"/>
        <v>2.9131730272467182E-2</v>
      </c>
      <c r="BX168">
        <f t="shared" si="225"/>
        <v>2.772348172225847E-2</v>
      </c>
      <c r="BY168">
        <f t="shared" si="225"/>
        <v>3.0809760383674778E-2</v>
      </c>
      <c r="BZ168">
        <f t="shared" si="225"/>
        <v>2.1265206102861756E-2</v>
      </c>
      <c r="CA168" s="2205">
        <f t="shared" si="226"/>
        <v>2.7071011081682306E-2</v>
      </c>
      <c r="CB168">
        <f t="shared" si="226"/>
        <v>2.0451441777404655E-2</v>
      </c>
      <c r="CC168">
        <f t="shared" si="226"/>
        <v>2.6393838461478802E-2</v>
      </c>
      <c r="CD168" s="2233">
        <f t="shared" si="226"/>
        <v>4.4345291618444804E-2</v>
      </c>
      <c r="CE168" s="2233">
        <f t="shared" si="226"/>
        <v>2.1021572038840919E-2</v>
      </c>
      <c r="CF168" s="2243">
        <f t="shared" si="226"/>
        <v>2.7861134564064249E-2</v>
      </c>
      <c r="CG168" s="2233">
        <f t="shared" si="226"/>
        <v>7.0071924218554349E-2</v>
      </c>
      <c r="CH168" s="2233">
        <f t="shared" si="226"/>
        <v>3.8831756789978966E-2</v>
      </c>
      <c r="CI168" s="2233">
        <f t="shared" si="226"/>
        <v>3.5090697546289018E-2</v>
      </c>
      <c r="CJ168" s="2233">
        <f t="shared" si="226"/>
        <v>5.4070786678899418E-2</v>
      </c>
      <c r="CK168" s="2243">
        <f t="shared" si="227"/>
        <v>4.9401379687114444E-2</v>
      </c>
      <c r="CL168" s="2233">
        <f t="shared" si="227"/>
        <v>3.1635686005874852E-2</v>
      </c>
      <c r="CM168" s="2233">
        <f t="shared" si="227"/>
        <v>8.7285434810044915E-3</v>
      </c>
      <c r="CN168" s="2233">
        <f t="shared" si="227"/>
        <v>6.1283045787976498E-3</v>
      </c>
      <c r="CO168" s="2233">
        <f t="shared" si="227"/>
        <v>-5.9074225740888275E-3</v>
      </c>
      <c r="CP168" s="2243">
        <f t="shared" si="227"/>
        <v>9.7787677482206181E-3</v>
      </c>
      <c r="CQ168" s="2233">
        <f t="shared" si="227"/>
        <v>-2.2964904206551284E-2</v>
      </c>
      <c r="CR168" s="2233">
        <f t="shared" si="227"/>
        <v>2.834800667441284E-2</v>
      </c>
      <c r="CS168" s="2233">
        <f t="shared" si="227"/>
        <v>-2.0063011611464066E-2</v>
      </c>
      <c r="CT168" s="2233">
        <f t="shared" si="227"/>
        <v>-2.79458993508227E-2</v>
      </c>
      <c r="CU168" s="2243">
        <f t="shared" si="228"/>
        <v>-8.0858003450871019E-3</v>
      </c>
      <c r="CV168" s="2233">
        <f t="shared" si="228"/>
        <v>-1.3260116493926777E-2</v>
      </c>
      <c r="CW168" s="2233">
        <f t="shared" si="228"/>
        <v>-4.5183680154743944E-2</v>
      </c>
      <c r="CX168" s="2233">
        <f t="shared" si="228"/>
        <v>-1.7831061657426539E-2</v>
      </c>
      <c r="CY168" s="2233">
        <f t="shared" si="228"/>
        <v>1.9143031753587669E-2</v>
      </c>
      <c r="CZ168" s="2593">
        <f t="shared" si="228"/>
        <v>-1.7651122280552212E-2</v>
      </c>
      <c r="DA168" s="2233">
        <f t="shared" si="228"/>
        <v>6.4908618090802284E-2</v>
      </c>
      <c r="DB168" s="2233">
        <f t="shared" si="228"/>
        <v>2.918585045398614E-2</v>
      </c>
      <c r="DC168" s="2233">
        <f t="shared" si="228"/>
        <v>4.2057720395372256E-2</v>
      </c>
      <c r="DD168" s="2233">
        <f t="shared" si="228"/>
        <v>1.937457661413311E-2</v>
      </c>
      <c r="DE168" s="2243">
        <f t="shared" si="229"/>
        <v>3.9132554565204591E-2</v>
      </c>
      <c r="DF168" s="2233">
        <f t="shared" si="229"/>
        <v>-3.8360182975338275E-2</v>
      </c>
      <c r="DG168" s="2233">
        <f t="shared" si="229"/>
        <v>-1.4456257117029914E-2</v>
      </c>
      <c r="DH168" s="2233">
        <f t="shared" si="229"/>
        <v>-2.2473687357371652E-2</v>
      </c>
      <c r="DI168" s="2233">
        <f t="shared" si="229"/>
        <v>-9.7233806463470351E-4</v>
      </c>
      <c r="DJ168" s="2243">
        <f t="shared" si="229"/>
        <v>-1.8868494803945368E-2</v>
      </c>
      <c r="DK168" s="2233">
        <f t="shared" si="229"/>
        <v>-5.0000000000000044E-3</v>
      </c>
      <c r="DL168" s="2233">
        <f t="shared" si="229"/>
        <v>-1.0000000000000009E-2</v>
      </c>
      <c r="DM168" s="2233">
        <f t="shared" si="229"/>
        <v>-1.0000000000000009E-2</v>
      </c>
      <c r="DN168" s="2233">
        <f t="shared" si="229"/>
        <v>-1.0000000000000009E-2</v>
      </c>
      <c r="DO168" s="2243">
        <f t="shared" si="230"/>
        <v>-8.7653965857057425E-3</v>
      </c>
      <c r="DP168" s="2233">
        <f t="shared" si="230"/>
        <v>-5.0000000000000044E-3</v>
      </c>
      <c r="DQ168" s="2233">
        <f t="shared" si="230"/>
        <v>-4.9999999999998934E-3</v>
      </c>
      <c r="DR168" s="2233">
        <f t="shared" si="230"/>
        <v>-5.0000000000000044E-3</v>
      </c>
      <c r="DS168" s="2233">
        <f t="shared" si="230"/>
        <v>-5.0000000000000044E-3</v>
      </c>
      <c r="DT168" s="2243">
        <f t="shared" si="230"/>
        <v>-5.0000000000000044E-3</v>
      </c>
      <c r="DU168" s="2233">
        <f t="shared" si="231"/>
        <v>-5.0000000000001155E-3</v>
      </c>
      <c r="DV168" s="2233">
        <f t="shared" si="232"/>
        <v>-4.9999999999998934E-3</v>
      </c>
      <c r="DW168" s="2233">
        <f t="shared" si="233"/>
        <v>-5.0000000000000044E-3</v>
      </c>
      <c r="DX168" s="2233">
        <f t="shared" si="234"/>
        <v>-5.0000000000000044E-3</v>
      </c>
      <c r="DY168" s="2243">
        <f t="shared" si="235"/>
        <v>-4.9999999999998934E-3</v>
      </c>
    </row>
    <row r="169" spans="1:131" x14ac:dyDescent="0.2">
      <c r="A169" s="2233"/>
      <c r="B169" t="s">
        <v>517</v>
      </c>
      <c r="I169" s="2243"/>
      <c r="N169" s="2243"/>
      <c r="S169" s="2243"/>
      <c r="X169" s="2243"/>
      <c r="AC169" s="2243"/>
      <c r="AF169" s="2235"/>
      <c r="AG169" s="2233"/>
      <c r="AH169" s="2243"/>
      <c r="AL169" s="2233"/>
      <c r="AM169" s="2243"/>
      <c r="AQ169" s="2233"/>
      <c r="AR169" s="2243"/>
      <c r="AW169" s="2243"/>
      <c r="BB169" s="2243"/>
      <c r="BG169" s="2243"/>
      <c r="BL169" s="2205">
        <f>BL17/BG17-1</f>
        <v>0.11917161467124737</v>
      </c>
      <c r="BQ169" s="2205">
        <f t="shared" ref="BQ169:DJ169" si="236">BQ17/BL17-1</f>
        <v>8.6575804287314373E-2</v>
      </c>
      <c r="BR169">
        <f t="shared" si="236"/>
        <v>0.13940197204025107</v>
      </c>
      <c r="BS169">
        <f t="shared" si="236"/>
        <v>0.17215482380127112</v>
      </c>
      <c r="BT169">
        <f t="shared" si="236"/>
        <v>0.17877317622595723</v>
      </c>
      <c r="BU169">
        <f t="shared" si="236"/>
        <v>4.5078263384303874E-2</v>
      </c>
      <c r="BV169" s="2205">
        <f t="shared" si="236"/>
        <v>0.12992678082625186</v>
      </c>
      <c r="BW169">
        <f t="shared" si="236"/>
        <v>3.5645222236217133E-2</v>
      </c>
      <c r="BX169">
        <f t="shared" si="236"/>
        <v>3.7239439886353809E-2</v>
      </c>
      <c r="BY169">
        <f t="shared" si="236"/>
        <v>4.0689726138151139E-2</v>
      </c>
      <c r="BZ169">
        <f t="shared" si="236"/>
        <v>3.0577654790729936E-2</v>
      </c>
      <c r="CA169" s="2205">
        <f t="shared" si="236"/>
        <v>3.5949778701110935E-2</v>
      </c>
      <c r="CB169">
        <f t="shared" si="236"/>
        <v>4.3568464730290524E-2</v>
      </c>
      <c r="CC169">
        <f t="shared" si="236"/>
        <v>3.5986304241492517E-2</v>
      </c>
      <c r="CD169" s="2233">
        <f t="shared" si="236"/>
        <v>3.7714527862137137E-2</v>
      </c>
      <c r="CE169" s="2233">
        <f t="shared" si="236"/>
        <v>3.99879170302746E-2</v>
      </c>
      <c r="CF169" s="2243">
        <f t="shared" si="236"/>
        <v>3.9300723689946748E-2</v>
      </c>
      <c r="CG169" s="2233">
        <f t="shared" si="236"/>
        <v>9.8512374031672012E-2</v>
      </c>
      <c r="CH169" s="2233">
        <f t="shared" si="236"/>
        <v>6.8798057466612716E-2</v>
      </c>
      <c r="CI169" s="2233">
        <f t="shared" si="236"/>
        <v>5.518954604233306E-2</v>
      </c>
      <c r="CJ169" s="2233">
        <f t="shared" si="236"/>
        <v>5.0817481781742391E-2</v>
      </c>
      <c r="CK169" s="2243">
        <f t="shared" si="236"/>
        <v>6.8041752588563043E-2</v>
      </c>
      <c r="CL169" s="2233">
        <f t="shared" si="236"/>
        <v>1.6849725411882677E-3</v>
      </c>
      <c r="CM169" s="2233">
        <f t="shared" si="236"/>
        <v>1.8522024485674526E-2</v>
      </c>
      <c r="CN169" s="2233">
        <f t="shared" si="236"/>
        <v>5.0316372009623356E-2</v>
      </c>
      <c r="CO169" s="2233">
        <f t="shared" si="236"/>
        <v>5.6019656019655972E-2</v>
      </c>
      <c r="CP169" s="2243">
        <f t="shared" si="236"/>
        <v>3.1617858450150083E-2</v>
      </c>
      <c r="CQ169" s="2233">
        <f t="shared" si="236"/>
        <v>2.6714846427013939E-2</v>
      </c>
      <c r="CR169" s="2233">
        <f t="shared" si="236"/>
        <v>4.5261625205241796E-2</v>
      </c>
      <c r="CS169" s="2233">
        <f t="shared" si="236"/>
        <v>2.8586342422009414E-2</v>
      </c>
      <c r="CT169" s="2233">
        <f t="shared" si="236"/>
        <v>2.943229409027448E-2</v>
      </c>
      <c r="CU169" s="2243">
        <f t="shared" si="236"/>
        <v>3.2448813321861225E-2</v>
      </c>
      <c r="CV169" s="2233">
        <f t="shared" si="236"/>
        <v>2.8580443937426425E-2</v>
      </c>
      <c r="CW169" s="2233">
        <f t="shared" si="236"/>
        <v>2.2056905749851641E-2</v>
      </c>
      <c r="CX169" s="2233">
        <f t="shared" si="236"/>
        <v>6.9388573793844444E-2</v>
      </c>
      <c r="CY169" s="2233">
        <f t="shared" si="236"/>
        <v>0.12457162124533827</v>
      </c>
      <c r="CZ169" s="2593">
        <f t="shared" si="236"/>
        <v>6.2096757091506527E-2</v>
      </c>
      <c r="DA169" s="2233">
        <f t="shared" si="236"/>
        <v>0.18649267291219296</v>
      </c>
      <c r="DB169" s="2233">
        <f t="shared" si="236"/>
        <v>0.15987611717830208</v>
      </c>
      <c r="DC169" s="2233">
        <f t="shared" si="236"/>
        <v>0.12455395659333934</v>
      </c>
      <c r="DD169" s="2233">
        <f t="shared" si="236"/>
        <v>4.7467576757042274E-2</v>
      </c>
      <c r="DE169" s="2243">
        <f t="shared" si="236"/>
        <v>0.12628592491912038</v>
      </c>
      <c r="DF169" s="2233">
        <f t="shared" si="236"/>
        <v>-3.8360182975338053E-2</v>
      </c>
      <c r="DG169" s="2233">
        <f t="shared" si="236"/>
        <v>-2.2216444068864472E-2</v>
      </c>
      <c r="DH169" s="2233">
        <f t="shared" si="236"/>
        <v>-2.726825621341733E-2</v>
      </c>
      <c r="DI169" s="2233">
        <f t="shared" si="236"/>
        <v>2.9763878718687131E-3</v>
      </c>
      <c r="DJ169" s="2243">
        <f t="shared" si="236"/>
        <v>-2.0998638187416097E-2</v>
      </c>
      <c r="DK169" s="2233">
        <f t="shared" ref="DK169:DT169" si="237">DK17/DF17-1</f>
        <v>5.6254491565019604E-2</v>
      </c>
      <c r="DL169" s="2233">
        <f t="shared" si="237"/>
        <v>5.3629874342611128E-2</v>
      </c>
      <c r="DM169" s="2233">
        <f t="shared" si="237"/>
        <v>2.9057488312809632E-2</v>
      </c>
      <c r="DN169" s="2233">
        <f t="shared" si="237"/>
        <v>2.4045090590960605E-3</v>
      </c>
      <c r="DO169" s="2243">
        <f t="shared" si="237"/>
        <v>3.4715111156961465E-2</v>
      </c>
      <c r="DP169" s="2233">
        <f t="shared" si="237"/>
        <v>2.8540919096650796E-2</v>
      </c>
      <c r="DQ169" s="2233">
        <f t="shared" si="237"/>
        <v>2.7689361537452717E-2</v>
      </c>
      <c r="DR169" s="2233">
        <f t="shared" si="237"/>
        <v>2.7173017513145714E-2</v>
      </c>
      <c r="DS169" s="2233">
        <f t="shared" si="237"/>
        <v>2.5298371961433919E-2</v>
      </c>
      <c r="DT169" s="2243">
        <f t="shared" si="237"/>
        <v>2.7164379995868959E-2</v>
      </c>
      <c r="DU169" s="2233">
        <f t="shared" ref="DU169" si="238">DU17/DP17-1</f>
        <v>2.5568795969168834E-2</v>
      </c>
      <c r="DV169" s="2233">
        <f t="shared" ref="DV169" si="239">DV17/DQ17-1</f>
        <v>2.4552465553063341E-2</v>
      </c>
      <c r="DW169" s="2233">
        <f t="shared" ref="DW169" si="240">DW17/DR17-1</f>
        <v>2.3929291205660563E-2</v>
      </c>
      <c r="DX169" s="2233">
        <f t="shared" ref="DX169" si="241">DX17/DS17-1</f>
        <v>2.2050242561728384E-2</v>
      </c>
      <c r="DY169" s="2243">
        <f t="shared" ref="DY169" si="242">DY17/DT17-1</f>
        <v>2.4015356035359758E-2</v>
      </c>
    </row>
    <row r="170" spans="1:131" x14ac:dyDescent="0.2">
      <c r="A170" s="2233"/>
      <c r="B170" t="s">
        <v>1042</v>
      </c>
      <c r="I170" s="2243"/>
      <c r="N170" s="2243"/>
      <c r="S170" s="2243"/>
      <c r="X170" s="2243"/>
      <c r="AC170" s="2243"/>
      <c r="AF170" s="2235"/>
      <c r="AG170" s="2233"/>
      <c r="AH170" s="2243"/>
      <c r="AL170" s="2233"/>
      <c r="AM170" s="2243"/>
      <c r="AQ170" s="2233"/>
      <c r="AR170" s="2243"/>
      <c r="AW170" s="2243"/>
      <c r="BB170" s="2243"/>
      <c r="BG170" s="2243"/>
      <c r="BL170" s="2205">
        <f>BL21/BG21-1</f>
        <v>0.16193700480351669</v>
      </c>
      <c r="BQ170" s="2205">
        <f t="shared" ref="BQ170:DJ170" si="243">BQ21/BL21-1</f>
        <v>0.12431162570744281</v>
      </c>
      <c r="BR170">
        <f t="shared" si="243"/>
        <v>0.12873038516405133</v>
      </c>
      <c r="BS170">
        <f t="shared" si="243"/>
        <v>0.17250872761331704</v>
      </c>
      <c r="BT170">
        <f t="shared" si="243"/>
        <v>0.13856108545692969</v>
      </c>
      <c r="BU170">
        <f t="shared" si="243"/>
        <v>7.3025689819219863E-2</v>
      </c>
      <c r="BV170" s="2205">
        <f t="shared" si="243"/>
        <v>0.12568179967979165</v>
      </c>
      <c r="BW170">
        <f t="shared" si="243"/>
        <v>7.7852484707547909E-3</v>
      </c>
      <c r="BX170">
        <f t="shared" si="243"/>
        <v>2.3698288591416317E-2</v>
      </c>
      <c r="BY170">
        <f t="shared" si="243"/>
        <v>4.6741606789675316E-2</v>
      </c>
      <c r="BZ170">
        <f t="shared" si="243"/>
        <v>2.9040124140988777E-2</v>
      </c>
      <c r="CA170" s="2205">
        <f t="shared" si="243"/>
        <v>2.6878804315072724E-2</v>
      </c>
      <c r="CB170">
        <f t="shared" si="243"/>
        <v>4.0130423877602128E-2</v>
      </c>
      <c r="CC170">
        <f t="shared" si="243"/>
        <v>4.2326791203594283E-2</v>
      </c>
      <c r="CD170" s="2233">
        <f t="shared" si="243"/>
        <v>2.9897153790959141E-2</v>
      </c>
      <c r="CE170" s="2233">
        <f t="shared" si="243"/>
        <v>-7.3675140025850627E-3</v>
      </c>
      <c r="CF170" s="2243">
        <f t="shared" si="243"/>
        <v>2.5224485004988306E-2</v>
      </c>
      <c r="CG170" s="2233">
        <f t="shared" si="243"/>
        <v>0.10248372317337839</v>
      </c>
      <c r="CH170" s="2233">
        <f t="shared" si="243"/>
        <v>8.1919237749546348E-2</v>
      </c>
      <c r="CI170" s="2233">
        <f t="shared" si="243"/>
        <v>8.5067347886669697E-2</v>
      </c>
      <c r="CJ170" s="2233">
        <f t="shared" si="243"/>
        <v>0.10573375580537347</v>
      </c>
      <c r="CK170" s="2243">
        <f t="shared" si="243"/>
        <v>9.3858765341637618E-2</v>
      </c>
      <c r="CL170" s="2233">
        <f t="shared" si="243"/>
        <v>8.3114610673665767E-2</v>
      </c>
      <c r="CM170" s="2233">
        <f t="shared" si="243"/>
        <v>4.8331970392736512E-2</v>
      </c>
      <c r="CN170" s="2233">
        <f t="shared" si="243"/>
        <v>4.5309590565674185E-2</v>
      </c>
      <c r="CO170" s="2233">
        <f t="shared" si="243"/>
        <v>3.7095191364082458E-2</v>
      </c>
      <c r="CP170" s="2243">
        <f t="shared" si="243"/>
        <v>5.2919135040087273E-2</v>
      </c>
      <c r="CQ170" s="2233">
        <f t="shared" si="243"/>
        <v>4.680936995153484E-2</v>
      </c>
      <c r="CR170" s="2233">
        <f t="shared" si="243"/>
        <v>5.9844787583006598E-2</v>
      </c>
      <c r="CS170" s="2233">
        <f t="shared" si="243"/>
        <v>7.2174447174447209E-2</v>
      </c>
      <c r="CT170" s="2233">
        <f t="shared" si="243"/>
        <v>5.189250567751702E-2</v>
      </c>
      <c r="CU170" s="2243">
        <f t="shared" si="243"/>
        <v>5.7540905385792929E-2</v>
      </c>
      <c r="CV170" s="2233">
        <f t="shared" si="243"/>
        <v>2.1374281415178054E-2</v>
      </c>
      <c r="CW170" s="2233">
        <f t="shared" si="243"/>
        <v>4.3783498150524736E-3</v>
      </c>
      <c r="CX170" s="2233">
        <f t="shared" si="243"/>
        <v>2.6148031142938732E-2</v>
      </c>
      <c r="CY170" s="2233">
        <f t="shared" si="243"/>
        <v>7.989903259508413E-2</v>
      </c>
      <c r="CZ170" s="2593">
        <f t="shared" si="243"/>
        <v>3.3604779180158806E-2</v>
      </c>
      <c r="DA170" s="2233">
        <f t="shared" si="243"/>
        <v>0.10112189778264646</v>
      </c>
      <c r="DB170" s="2233">
        <f t="shared" si="243"/>
        <v>9.7895527996993525E-2</v>
      </c>
      <c r="DC170" s="2233">
        <f t="shared" si="243"/>
        <v>9.7735786118083867E-2</v>
      </c>
      <c r="DD170" s="2233">
        <f t="shared" si="243"/>
        <v>3.4354393410995332E-2</v>
      </c>
      <c r="DE170" s="2243">
        <f t="shared" si="243"/>
        <v>8.1291155996203068E-2</v>
      </c>
      <c r="DF170" s="2233">
        <f t="shared" si="243"/>
        <v>-2.6329331046312188E-2</v>
      </c>
      <c r="DG170" s="2233">
        <f t="shared" si="243"/>
        <v>-2.7845284956357963E-2</v>
      </c>
      <c r="DH170" s="2233">
        <f t="shared" si="243"/>
        <v>-3.5899117446512641E-2</v>
      </c>
      <c r="DI170" s="2233">
        <f t="shared" si="243"/>
        <v>1.1021244273174302E-2</v>
      </c>
      <c r="DJ170" s="2243">
        <f t="shared" si="243"/>
        <v>-1.9324104570628164E-2</v>
      </c>
      <c r="DK170" s="2233">
        <f t="shared" ref="DK170:DT170" si="244">DK21/DF21-1</f>
        <v>1.1641318456350191E-3</v>
      </c>
      <c r="DL170" s="2233">
        <f t="shared" si="244"/>
        <v>-3.7205104204093287E-3</v>
      </c>
      <c r="DM170" s="2233">
        <f t="shared" si="244"/>
        <v>-1.7783329960295635E-2</v>
      </c>
      <c r="DN170" s="2233">
        <f t="shared" si="244"/>
        <v>-3.078623112549761E-2</v>
      </c>
      <c r="DO170" s="2243">
        <f t="shared" si="244"/>
        <v>-1.3245788367874489E-2</v>
      </c>
      <c r="DP170" s="2233">
        <f t="shared" si="244"/>
        <v>1.9140997359999634E-2</v>
      </c>
      <c r="DQ170" s="2233">
        <f t="shared" si="244"/>
        <v>1.9010197627642667E-2</v>
      </c>
      <c r="DR170" s="2233">
        <f t="shared" si="244"/>
        <v>1.9179305342607256E-2</v>
      </c>
      <c r="DS170" s="2233">
        <f t="shared" si="244"/>
        <v>1.8619934496022061E-2</v>
      </c>
      <c r="DT170" s="2243">
        <f t="shared" si="244"/>
        <v>1.8980373607295098E-2</v>
      </c>
      <c r="DU170" s="2233">
        <f t="shared" ref="DU170" si="245">DU21/DP21-1</f>
        <v>1.8433124218446784E-2</v>
      </c>
      <c r="DV170" s="2233">
        <f t="shared" ref="DV170" si="246">DV21/DQ21-1</f>
        <v>1.8255220821283613E-2</v>
      </c>
      <c r="DW170" s="2233">
        <f t="shared" ref="DW170" si="247">DW21/DR21-1</f>
        <v>1.8400945848936479E-2</v>
      </c>
      <c r="DX170" s="2233">
        <f t="shared" ref="DX170" si="248">DX21/DS21-1</f>
        <v>1.7869607960927292E-2</v>
      </c>
      <c r="DY170" s="2243">
        <f t="shared" ref="DY170" si="249">DY21/DT21-1</f>
        <v>1.8232633349872573E-2</v>
      </c>
    </row>
    <row r="171" spans="1:131" x14ac:dyDescent="0.2">
      <c r="A171" s="2233"/>
      <c r="B171" t="s">
        <v>1043</v>
      </c>
      <c r="I171" s="2243"/>
      <c r="N171" s="2243"/>
      <c r="S171" s="2243"/>
      <c r="X171" s="2243"/>
      <c r="AC171" s="2243"/>
      <c r="AF171" s="2235"/>
      <c r="AG171" s="2233"/>
      <c r="AH171" s="2243"/>
      <c r="AL171" s="2233"/>
      <c r="AM171" s="2243"/>
      <c r="AQ171" s="2233"/>
      <c r="AR171" s="2243"/>
      <c r="AW171" s="2243"/>
      <c r="BB171" s="2243"/>
      <c r="BG171" s="2243"/>
      <c r="BL171" s="2205">
        <f>BL108/BG108-1</f>
        <v>0.17401675282163542</v>
      </c>
      <c r="BQ171" s="2205">
        <f t="shared" ref="BQ171:DJ171" si="250">BQ108/BL108-1</f>
        <v>6.5603811286765845E-2</v>
      </c>
      <c r="BR171">
        <f t="shared" si="250"/>
        <v>9.076763899800544E-2</v>
      </c>
      <c r="BS171">
        <f t="shared" si="250"/>
        <v>0.13632704020904796</v>
      </c>
      <c r="BT171">
        <f t="shared" si="250"/>
        <v>0.14329935984723519</v>
      </c>
      <c r="BU171">
        <f t="shared" si="250"/>
        <v>4.0047092314053456E-2</v>
      </c>
      <c r="BV171" s="2205">
        <f t="shared" si="250"/>
        <v>0.10030479396943259</v>
      </c>
      <c r="BW171">
        <f t="shared" si="250"/>
        <v>3.0556080133869123E-2</v>
      </c>
      <c r="BX171">
        <f t="shared" si="250"/>
        <v>2.7087385013981446E-2</v>
      </c>
      <c r="BY171">
        <f t="shared" si="250"/>
        <v>3.5320545874384157E-2</v>
      </c>
      <c r="BZ171">
        <f t="shared" si="250"/>
        <v>2.872891715697512E-2</v>
      </c>
      <c r="CA171" s="2205">
        <f t="shared" si="250"/>
        <v>3.0396558501635251E-2</v>
      </c>
      <c r="CB171">
        <f t="shared" si="250"/>
        <v>4.8881233345932307E-2</v>
      </c>
      <c r="CC171">
        <f t="shared" si="250"/>
        <v>4.0274166681257606E-2</v>
      </c>
      <c r="CD171" s="2233">
        <f t="shared" si="250"/>
        <v>3.3309060683821778E-2</v>
      </c>
      <c r="CE171" s="2233">
        <f t="shared" si="250"/>
        <v>4.2403518865028911E-2</v>
      </c>
      <c r="CF171" s="2243">
        <f t="shared" si="250"/>
        <v>4.1222375019736246E-2</v>
      </c>
      <c r="CG171" s="2233">
        <f t="shared" si="250"/>
        <v>0.16294015956388508</v>
      </c>
      <c r="CH171" s="2233">
        <f t="shared" si="250"/>
        <v>0.139033108540499</v>
      </c>
      <c r="CI171" s="2233">
        <f t="shared" si="250"/>
        <v>0.12621336069261657</v>
      </c>
      <c r="CJ171" s="2233">
        <f t="shared" si="250"/>
        <v>9.7373477896855354E-2</v>
      </c>
      <c r="CK171" s="2243">
        <f t="shared" si="250"/>
        <v>0.13105559044606618</v>
      </c>
      <c r="CL171" s="2233">
        <f t="shared" si="250"/>
        <v>8.4465506499271648E-3</v>
      </c>
      <c r="CM171" s="2233">
        <f t="shared" si="250"/>
        <v>4.1952294893603082E-2</v>
      </c>
      <c r="CN171" s="2233">
        <f t="shared" si="250"/>
        <v>5.6904953457924234E-2</v>
      </c>
      <c r="CO171" s="2233">
        <f t="shared" si="250"/>
        <v>7.9323795407916675E-2</v>
      </c>
      <c r="CP171" s="2243">
        <f t="shared" si="250"/>
        <v>4.6422211688044612E-2</v>
      </c>
      <c r="CQ171" s="2233">
        <f t="shared" si="250"/>
        <v>2.1444751644317472E-2</v>
      </c>
      <c r="CR171" s="2233">
        <f t="shared" si="250"/>
        <v>4.73694380821299E-2</v>
      </c>
      <c r="CS171" s="2233">
        <f t="shared" si="250"/>
        <v>2.5983009603797402E-2</v>
      </c>
      <c r="CT171" s="2233">
        <f t="shared" si="250"/>
        <v>8.5428224392068097E-2</v>
      </c>
      <c r="CU171" s="2243">
        <f t="shared" si="250"/>
        <v>4.5544571094779718E-2</v>
      </c>
      <c r="CV171" s="2233">
        <f t="shared" si="250"/>
        <v>3.8210235062791087E-2</v>
      </c>
      <c r="CW171" s="2233">
        <f t="shared" si="250"/>
        <v>2.1356079923886773E-2</v>
      </c>
      <c r="CX171" s="2233">
        <f t="shared" si="250"/>
        <v>0.19398433460700137</v>
      </c>
      <c r="CY171" s="2233">
        <f t="shared" si="250"/>
        <v>0.19500234920315185</v>
      </c>
      <c r="CZ171" s="2593">
        <f t="shared" si="250"/>
        <v>0.11390687311773284</v>
      </c>
      <c r="DA171" s="2233">
        <f t="shared" si="250"/>
        <v>0.19956071600404668</v>
      </c>
      <c r="DB171" s="2233">
        <f t="shared" si="250"/>
        <v>0.17743701328014017</v>
      </c>
      <c r="DC171" s="2233">
        <f t="shared" si="250"/>
        <v>0.11364545403589354</v>
      </c>
      <c r="DD171" s="2233">
        <f t="shared" si="250"/>
        <v>1.2852951199266993E-2</v>
      </c>
      <c r="DE171" s="2243">
        <f t="shared" si="250"/>
        <v>0.11840067209448368</v>
      </c>
      <c r="DF171" s="2233">
        <f t="shared" si="250"/>
        <v>-1.3168752176599297E-2</v>
      </c>
      <c r="DG171" s="2233">
        <f t="shared" si="250"/>
        <v>-1.5367908504510086E-2</v>
      </c>
      <c r="DH171" s="2233">
        <f t="shared" si="250"/>
        <v>-7.0459074762148077E-2</v>
      </c>
      <c r="DI171" s="2233">
        <f t="shared" si="250"/>
        <v>-3.108814422208328E-2</v>
      </c>
      <c r="DJ171" s="2243">
        <f t="shared" si="250"/>
        <v>-3.3201122532571126E-2</v>
      </c>
      <c r="DK171" s="2233">
        <f t="shared" ref="DK171:DT171" si="251">DK108/DF108-1</f>
        <v>-1.3243266886363236E-2</v>
      </c>
      <c r="DL171" s="2233">
        <f t="shared" si="251"/>
        <v>-1.1590986468550946E-2</v>
      </c>
      <c r="DM171" s="2233">
        <f t="shared" si="251"/>
        <v>-1.4960532029934193E-2</v>
      </c>
      <c r="DN171" s="2233">
        <f t="shared" si="251"/>
        <v>4.9507996048629987E-3</v>
      </c>
      <c r="DO171" s="2243">
        <f t="shared" si="251"/>
        <v>-8.5101282377801901E-3</v>
      </c>
      <c r="DP171" s="2233">
        <f t="shared" si="251"/>
        <v>2.7177611753267605E-2</v>
      </c>
      <c r="DQ171" s="2233">
        <f t="shared" si="251"/>
        <v>2.687270486524107E-2</v>
      </c>
      <c r="DR171" s="2233">
        <f t="shared" si="251"/>
        <v>2.6482813628901924E-2</v>
      </c>
      <c r="DS171" s="2233">
        <f t="shared" si="251"/>
        <v>2.591341774283018E-2</v>
      </c>
      <c r="DT171" s="2243">
        <f t="shared" si="251"/>
        <v>2.6596563053131739E-2</v>
      </c>
      <c r="DU171" s="2233">
        <f t="shared" ref="DU171" si="252">DU108/DP108-1</f>
        <v>2.5950955271317078E-2</v>
      </c>
      <c r="DV171" s="2233">
        <f t="shared" ref="DV171" si="253">DV108/DQ108-1</f>
        <v>2.5579396561857592E-2</v>
      </c>
      <c r="DW171" s="2233">
        <f t="shared" ref="DW171" si="254">DW108/DR108-1</f>
        <v>2.5197447736286405E-2</v>
      </c>
      <c r="DX171" s="2233">
        <f t="shared" ref="DX171" si="255">DX108/DS108-1</f>
        <v>2.4660295000817456E-2</v>
      </c>
      <c r="DY171" s="2243">
        <f t="shared" ref="DY171" si="256">DY108/DT108-1</f>
        <v>2.5332374761598331E-2</v>
      </c>
    </row>
    <row r="172" spans="1:131" x14ac:dyDescent="0.2">
      <c r="A172" s="2233"/>
      <c r="B172" t="s">
        <v>1021</v>
      </c>
      <c r="I172" s="2243"/>
      <c r="N172" s="2243"/>
      <c r="S172" s="2243"/>
      <c r="X172" s="2243"/>
      <c r="AC172" s="2243"/>
      <c r="AF172" s="2235"/>
      <c r="AG172" s="2233"/>
      <c r="AH172" s="2243"/>
      <c r="AL172" s="2233"/>
      <c r="AM172" s="2243"/>
      <c r="AQ172" s="2233"/>
      <c r="AR172" s="2243"/>
      <c r="AW172" s="2243"/>
      <c r="BB172" s="2243"/>
      <c r="BG172" s="2243"/>
      <c r="BL172" s="2205">
        <f>BL129/BG129-1</f>
        <v>0.14503893103498267</v>
      </c>
      <c r="BQ172" s="2205">
        <f t="shared" ref="BQ172:DJ172" si="257">BQ129/BL129-1</f>
        <v>0.20851495838025236</v>
      </c>
      <c r="BR172">
        <f t="shared" si="257"/>
        <v>0.18209528901298744</v>
      </c>
      <c r="BS172">
        <f t="shared" si="257"/>
        <v>0.21887759561804909</v>
      </c>
      <c r="BT172">
        <f t="shared" si="257"/>
        <v>0.13261471465968944</v>
      </c>
      <c r="BU172">
        <f t="shared" si="257"/>
        <v>0.11107319660469606</v>
      </c>
      <c r="BV172" s="2205">
        <f t="shared" si="257"/>
        <v>0.15771387432625605</v>
      </c>
      <c r="BW172">
        <f t="shared" si="257"/>
        <v>-2.1751097138821507E-2</v>
      </c>
      <c r="BX172">
        <f t="shared" si="257"/>
        <v>1.9649129424812228E-2</v>
      </c>
      <c r="BY172">
        <f t="shared" si="257"/>
        <v>6.1209856268830132E-2</v>
      </c>
      <c r="BZ172">
        <f t="shared" si="257"/>
        <v>2.9376212669272039E-2</v>
      </c>
      <c r="CA172" s="2205">
        <f t="shared" si="257"/>
        <v>2.2705125308491558E-2</v>
      </c>
      <c r="CB172">
        <f t="shared" si="257"/>
        <v>2.8172704510198265E-2</v>
      </c>
      <c r="CC172">
        <f t="shared" si="257"/>
        <v>4.4797076304062822E-2</v>
      </c>
      <c r="CD172" s="2233">
        <f t="shared" si="257"/>
        <v>2.5680380330686203E-2</v>
      </c>
      <c r="CE172" s="2233">
        <f t="shared" si="257"/>
        <v>-6.1084028815174385E-2</v>
      </c>
      <c r="CF172" s="2243">
        <f t="shared" si="257"/>
        <v>5.8510984585653514E-3</v>
      </c>
      <c r="CG172" s="2233">
        <f t="shared" si="257"/>
        <v>1.8207916591599815E-2</v>
      </c>
      <c r="CH172" s="2233">
        <f t="shared" si="257"/>
        <v>1.3481597634146025E-2</v>
      </c>
      <c r="CI172" s="2233">
        <f t="shared" si="257"/>
        <v>3.3836794765462086E-2</v>
      </c>
      <c r="CJ172" s="2233">
        <f t="shared" si="257"/>
        <v>0.11575129454037869</v>
      </c>
      <c r="CK172" s="2243">
        <f t="shared" si="257"/>
        <v>4.7229507044803887E-2</v>
      </c>
      <c r="CL172" s="2233">
        <f t="shared" si="257"/>
        <v>0.20199662096703319</v>
      </c>
      <c r="CM172" s="2233">
        <f t="shared" si="257"/>
        <v>5.692353975421649E-2</v>
      </c>
      <c r="CN172" s="2233">
        <f t="shared" si="257"/>
        <v>2.958228505283822E-2</v>
      </c>
      <c r="CO172" s="2233">
        <f t="shared" ca="1" si="257"/>
        <v>-4.2886359349312286E-3</v>
      </c>
      <c r="CP172" s="2243">
        <f t="shared" ca="1" si="257"/>
        <v>6.413050507419138E-2</v>
      </c>
      <c r="CQ172" s="2233">
        <f t="shared" ca="1" si="257"/>
        <v>1.6670470981250629E-2</v>
      </c>
      <c r="CR172" s="2233">
        <f t="shared" ca="1" si="257"/>
        <v>4.029708480906824E-2</v>
      </c>
      <c r="CS172" s="2233">
        <f t="shared" ca="1" si="257"/>
        <v>1.5514462282315122E-2</v>
      </c>
      <c r="CT172" s="2233">
        <f t="shared" ca="1" si="257"/>
        <v>-4.3815608572583931E-2</v>
      </c>
      <c r="CU172" s="2243">
        <f t="shared" ca="1" si="257"/>
        <v>5.9659977977837286E-3</v>
      </c>
      <c r="CV172" s="2233">
        <f t="shared" ca="1" si="257"/>
        <v>-3.281560857258381E-2</v>
      </c>
      <c r="CW172" s="2233">
        <f t="shared" ca="1" si="257"/>
        <v>-4.6499797816416999E-2</v>
      </c>
      <c r="CX172" s="2233">
        <f t="shared" ca="1" si="257"/>
        <v>-2.6499797816417092E-2</v>
      </c>
      <c r="CY172" s="2233">
        <f t="shared" ca="1" si="257"/>
        <v>2.6500202183582733E-2</v>
      </c>
      <c r="CZ172" s="2593">
        <f t="shared" ca="1" si="257"/>
        <v>-1.9628240449524714E-2</v>
      </c>
      <c r="DA172" s="2233">
        <f t="shared" ca="1" si="257"/>
        <v>7.2078391022260435E-2</v>
      </c>
      <c r="DB172" s="2233">
        <f t="shared" ca="1" si="257"/>
        <v>1.711934862139719E-2</v>
      </c>
      <c r="DC172" s="2233">
        <f t="shared" ca="1" si="257"/>
        <v>2.9964385328661303E-2</v>
      </c>
      <c r="DD172" s="2233">
        <f t="shared" ca="1" si="257"/>
        <v>-3.8331198184192727E-3</v>
      </c>
      <c r="DE172" s="2243">
        <f t="shared" ca="1" si="257"/>
        <v>2.7989508504856264E-2</v>
      </c>
      <c r="DF172" s="2233">
        <f t="shared" si="257"/>
        <v>-5.484543698147526E-2</v>
      </c>
      <c r="DG172" s="2233">
        <f t="shared" si="257"/>
        <v>-1.4456257117029914E-2</v>
      </c>
      <c r="DH172" s="2233">
        <f t="shared" si="257"/>
        <v>-2.2473687357371652E-2</v>
      </c>
      <c r="DI172" s="2233">
        <f t="shared" si="257"/>
        <v>-9.7233806463470351E-4</v>
      </c>
      <c r="DJ172" s="2243">
        <f t="shared" si="257"/>
        <v>-2.3160775860454397E-2</v>
      </c>
      <c r="DK172" s="2233">
        <f t="shared" ref="DK172:DT172" si="258">DK129/DF129-1</f>
        <v>2.9709302325581444E-2</v>
      </c>
      <c r="DL172" s="2233">
        <f t="shared" si="258"/>
        <v>1.3023255813953583E-2</v>
      </c>
      <c r="DM172" s="2233">
        <f t="shared" si="258"/>
        <v>1.5116279069766758E-3</v>
      </c>
      <c r="DN172" s="2233">
        <f t="shared" si="258"/>
        <v>1.5116279069768979E-3</v>
      </c>
      <c r="DO172" s="2243">
        <f t="shared" si="258"/>
        <v>1.1348112678331912E-2</v>
      </c>
      <c r="DP172" s="2233">
        <f t="shared" si="258"/>
        <v>6.1797752808989692E-3</v>
      </c>
      <c r="DQ172" s="2233">
        <f t="shared" si="258"/>
        <v>6.306818181818219E-3</v>
      </c>
      <c r="DR172" s="2233">
        <f t="shared" si="258"/>
        <v>6.4367816091954744E-3</v>
      </c>
      <c r="DS172" s="2233">
        <f t="shared" si="258"/>
        <v>6.4367816091952523E-3</v>
      </c>
      <c r="DT172" s="2243">
        <f t="shared" si="258"/>
        <v>6.3396699890572172E-3</v>
      </c>
      <c r="DU172" s="2233">
        <f t="shared" ref="DU172" si="259">DU129/DP129-1</f>
        <v>6.0555555555554808E-3</v>
      </c>
      <c r="DV172" s="2233">
        <f t="shared" ref="DV172" si="260">DV129/DQ129-1</f>
        <v>6.1797752808989692E-3</v>
      </c>
      <c r="DW172" s="2233">
        <f t="shared" ref="DW172" si="261">DW129/DR129-1</f>
        <v>6.306818181818219E-3</v>
      </c>
      <c r="DX172" s="2233">
        <f t="shared" ref="DX172" si="262">DX129/DS129-1</f>
        <v>6.306818181818219E-3</v>
      </c>
      <c r="DY172" s="2243">
        <f t="shared" ref="DY172" si="263">DY129/DT129-1</f>
        <v>6.2118919442324394E-3</v>
      </c>
    </row>
    <row r="173" spans="1:131" x14ac:dyDescent="0.2">
      <c r="A173" s="2233"/>
      <c r="B173" t="s">
        <v>1044</v>
      </c>
      <c r="I173" s="2243"/>
      <c r="N173" s="2243"/>
      <c r="S173" s="2243"/>
      <c r="X173" s="2243"/>
      <c r="AC173" s="2243"/>
      <c r="AF173" s="2235"/>
      <c r="AG173" s="2233"/>
      <c r="AH173" s="2243"/>
      <c r="AL173" s="2233"/>
      <c r="AM173" s="2243"/>
      <c r="AQ173" s="2233"/>
      <c r="AR173" s="2243"/>
      <c r="AW173" s="2243"/>
      <c r="BB173" s="2243"/>
      <c r="BG173" s="2243"/>
      <c r="BL173" s="2205">
        <f>BL26/BG26-1</f>
        <v>0.13533301842229561</v>
      </c>
      <c r="BQ173" s="2205">
        <f t="shared" ref="BQ173:DJ173" si="264">BQ26/BL26-1</f>
        <v>4.7306012065737368E-2</v>
      </c>
      <c r="BR173">
        <f t="shared" si="264"/>
        <v>0.13750052194246121</v>
      </c>
      <c r="BS173">
        <f t="shared" si="264"/>
        <v>0.17876338397731595</v>
      </c>
      <c r="BT173">
        <f t="shared" si="264"/>
        <v>0.18832913171054289</v>
      </c>
      <c r="BU173">
        <f t="shared" si="264"/>
        <v>5.091135475391706E-2</v>
      </c>
      <c r="BV173" s="2205">
        <f t="shared" si="264"/>
        <v>0.13453440330525979</v>
      </c>
      <c r="BW173">
        <f t="shared" si="264"/>
        <v>-9.9845826297627616E-3</v>
      </c>
      <c r="BX173">
        <f t="shared" si="264"/>
        <v>2.717840089038881E-2</v>
      </c>
      <c r="BY173">
        <f t="shared" si="264"/>
        <v>-1.8779995826667673E-3</v>
      </c>
      <c r="BZ173">
        <f t="shared" si="264"/>
        <v>-1.4316274477538249E-2</v>
      </c>
      <c r="CA173" s="2205">
        <f t="shared" si="264"/>
        <v>-3.5015844669694651E-5</v>
      </c>
      <c r="CB173">
        <f t="shared" si="264"/>
        <v>2.9291805710048191E-2</v>
      </c>
      <c r="CC173">
        <f t="shared" si="264"/>
        <v>8.0391471513456825E-3</v>
      </c>
      <c r="CD173" s="2233">
        <f t="shared" si="264"/>
        <v>6.2717770034843578E-3</v>
      </c>
      <c r="CE173" s="2233">
        <f t="shared" si="264"/>
        <v>-4.5976627712854712E-2</v>
      </c>
      <c r="CF173" s="2243">
        <f t="shared" si="264"/>
        <v>-1.5495053838746609E-3</v>
      </c>
      <c r="CG173" s="2233">
        <f t="shared" si="264"/>
        <v>7.8530259365994226E-2</v>
      </c>
      <c r="CH173" s="2233">
        <f t="shared" si="264"/>
        <v>4.680998613037457E-2</v>
      </c>
      <c r="CI173" s="2233">
        <f t="shared" si="264"/>
        <v>6.4750692520775699E-2</v>
      </c>
      <c r="CJ173" s="2233">
        <f t="shared" si="264"/>
        <v>0.12550309732964693</v>
      </c>
      <c r="CK173" s="2243">
        <f t="shared" si="264"/>
        <v>7.8787931926385113E-2</v>
      </c>
      <c r="CL173" s="2233">
        <f t="shared" si="264"/>
        <v>2.6252505010019966E-2</v>
      </c>
      <c r="CM173" s="2233">
        <f t="shared" si="264"/>
        <v>3.2262338522689671E-2</v>
      </c>
      <c r="CN173" s="2233">
        <f t="shared" si="264"/>
        <v>1.3983739837398312E-2</v>
      </c>
      <c r="CO173" s="2233">
        <f t="shared" si="264"/>
        <v>3.2712459964551188E-2</v>
      </c>
      <c r="CP173" s="2243">
        <f t="shared" si="264"/>
        <v>2.634936889929218E-2</v>
      </c>
      <c r="CQ173" s="2233">
        <f t="shared" si="264"/>
        <v>2.0373624943044844E-2</v>
      </c>
      <c r="CR173" s="2233">
        <f t="shared" si="264"/>
        <v>5.4742651777692108E-2</v>
      </c>
      <c r="CS173" s="2233">
        <f t="shared" si="264"/>
        <v>9.4547787042976283E-2</v>
      </c>
      <c r="CT173" s="2233">
        <f t="shared" si="264"/>
        <v>4.643039956640882E-2</v>
      </c>
      <c r="CU173" s="2243">
        <f t="shared" si="264"/>
        <v>5.4022378663456827E-2</v>
      </c>
      <c r="CV173" s="2233">
        <f t="shared" si="264"/>
        <v>4.079484562388358E-2</v>
      </c>
      <c r="CW173" s="2233">
        <f t="shared" si="264"/>
        <v>1.5393976270155152E-2</v>
      </c>
      <c r="CX173" s="2233">
        <f t="shared" si="264"/>
        <v>-7.2907835633123641E-3</v>
      </c>
      <c r="CY173" s="2233">
        <f t="shared" si="264"/>
        <v>6.3845131902280361E-3</v>
      </c>
      <c r="CZ173" s="2593">
        <f t="shared" si="264"/>
        <v>1.320827573722072E-2</v>
      </c>
      <c r="DA173" s="2233">
        <f t="shared" si="264"/>
        <v>0.11921179246728575</v>
      </c>
      <c r="DB173" s="2233">
        <f t="shared" si="264"/>
        <v>9.476869606903171E-2</v>
      </c>
      <c r="DC173" s="2233">
        <f t="shared" si="264"/>
        <v>8.5740559528573401E-2</v>
      </c>
      <c r="DD173" s="2233">
        <f t="shared" si="264"/>
        <v>4.332020496846023E-2</v>
      </c>
      <c r="DE173" s="2243">
        <f t="shared" si="264"/>
        <v>8.507228683212209E-2</v>
      </c>
      <c r="DF173" s="2233">
        <f t="shared" si="264"/>
        <v>-3.1488732510061013E-3</v>
      </c>
      <c r="DG173" s="2233">
        <f t="shared" si="264"/>
        <v>1.3218752565751668E-2</v>
      </c>
      <c r="DH173" s="2233">
        <f t="shared" si="264"/>
        <v>9.0016815571987152E-3</v>
      </c>
      <c r="DI173" s="2233">
        <f t="shared" si="264"/>
        <v>1.8533967637708981E-2</v>
      </c>
      <c r="DJ173" s="2243">
        <f t="shared" si="264"/>
        <v>9.3991986380470571E-3</v>
      </c>
      <c r="DK173" s="2233">
        <f t="shared" ref="DK173:DT173" si="265">DK26/DF26-1</f>
        <v>-1.0000000000000009E-2</v>
      </c>
      <c r="DL173" s="2233">
        <f t="shared" si="265"/>
        <v>-1.0000000000000009E-2</v>
      </c>
      <c r="DM173" s="2233">
        <f t="shared" si="265"/>
        <v>-1.0000000000000009E-2</v>
      </c>
      <c r="DN173" s="2233">
        <f t="shared" si="265"/>
        <v>-1.0000000000000009E-2</v>
      </c>
      <c r="DO173" s="2243">
        <f t="shared" si="265"/>
        <v>-9.9999999999998979E-3</v>
      </c>
      <c r="DP173" s="2233">
        <f t="shared" si="265"/>
        <v>1.8999999999999906E-2</v>
      </c>
      <c r="DQ173" s="2233">
        <f t="shared" si="265"/>
        <v>1.8999999999999906E-2</v>
      </c>
      <c r="DR173" s="2233">
        <f t="shared" si="265"/>
        <v>1.8999999999999906E-2</v>
      </c>
      <c r="DS173" s="2233">
        <f t="shared" si="265"/>
        <v>1.8999999999999906E-2</v>
      </c>
      <c r="DT173" s="2243">
        <f t="shared" si="265"/>
        <v>1.8999999999999906E-2</v>
      </c>
      <c r="DU173" s="2233">
        <f t="shared" ref="DU173" si="266">DU26/DP26-1</f>
        <v>1.8999999999999906E-2</v>
      </c>
      <c r="DV173" s="2233">
        <f t="shared" ref="DV173" si="267">DV26/DQ26-1</f>
        <v>1.8999999999999906E-2</v>
      </c>
      <c r="DW173" s="2233">
        <f t="shared" ref="DW173" si="268">DW26/DR26-1</f>
        <v>1.8999999999999906E-2</v>
      </c>
      <c r="DX173" s="2233">
        <f t="shared" ref="DX173" si="269">DX26/DS26-1</f>
        <v>1.8999999999999906E-2</v>
      </c>
      <c r="DY173" s="2243">
        <f t="shared" ref="DY173" si="270">DY26/DT26-1</f>
        <v>1.8999999999999906E-2</v>
      </c>
    </row>
    <row r="174" spans="1:131" x14ac:dyDescent="0.2">
      <c r="A174" s="2233"/>
      <c r="B174" t="s">
        <v>518</v>
      </c>
      <c r="I174" s="2243"/>
      <c r="N174" s="2243"/>
      <c r="S174" s="2243"/>
      <c r="X174" s="2243"/>
      <c r="AC174" s="2243"/>
      <c r="AF174" s="2235"/>
      <c r="AG174" s="2233"/>
      <c r="AH174" s="2243"/>
      <c r="AL174" s="2233"/>
      <c r="AM174" s="2243"/>
      <c r="AQ174" s="2233"/>
      <c r="AR174" s="2243"/>
      <c r="AW174" s="2243"/>
      <c r="BB174" s="2243"/>
      <c r="BG174" s="2243"/>
      <c r="BL174" s="2205">
        <f>BL36/BG36-1</f>
        <v>0.26738874499646825</v>
      </c>
      <c r="BQ174" s="2205">
        <f t="shared" ref="BQ174:DJ174" si="271">BQ36/BL36-1</f>
        <v>0.39427042693122272</v>
      </c>
      <c r="BR174">
        <f t="shared" si="271"/>
        <v>8.3806976485010454E-2</v>
      </c>
      <c r="BS174">
        <f t="shared" si="271"/>
        <v>0.12558635394456275</v>
      </c>
      <c r="BT174">
        <f t="shared" si="271"/>
        <v>5.08200508200507E-2</v>
      </c>
      <c r="BU174">
        <f t="shared" si="271"/>
        <v>0.16035761841354379</v>
      </c>
      <c r="BV174" s="2205">
        <f t="shared" si="271"/>
        <v>0.1083573179831574</v>
      </c>
      <c r="BW174">
        <f t="shared" si="271"/>
        <v>5.9125964010282805E-2</v>
      </c>
      <c r="BX174">
        <f t="shared" si="271"/>
        <v>3.807539306686869E-2</v>
      </c>
      <c r="BY174">
        <f t="shared" si="271"/>
        <v>0.14200923279841726</v>
      </c>
      <c r="BZ174">
        <f t="shared" si="271"/>
        <v>0.12459016393442623</v>
      </c>
      <c r="CA174" s="2205">
        <f t="shared" si="271"/>
        <v>9.0887232507814275E-2</v>
      </c>
      <c r="CB174">
        <f t="shared" si="271"/>
        <v>6.4077669902912637E-2</v>
      </c>
      <c r="CC174">
        <f t="shared" si="271"/>
        <v>0.13138686131386867</v>
      </c>
      <c r="CD174" s="2233">
        <f t="shared" si="271"/>
        <v>8.0846968238690975E-2</v>
      </c>
      <c r="CE174" s="2233">
        <f t="shared" si="271"/>
        <v>5.8892128279883549E-2</v>
      </c>
      <c r="CF174" s="2243">
        <f t="shared" si="271"/>
        <v>8.2609653956357887E-2</v>
      </c>
      <c r="CG174" s="2233">
        <f t="shared" si="271"/>
        <v>0.18339416058394153</v>
      </c>
      <c r="CH174" s="2233">
        <f t="shared" si="271"/>
        <v>0.18467741935483906</v>
      </c>
      <c r="CI174" s="2233">
        <f t="shared" si="271"/>
        <v>0.16162065894924305</v>
      </c>
      <c r="CJ174" s="2233">
        <f t="shared" si="271"/>
        <v>8.8243392070484372E-2</v>
      </c>
      <c r="CK174" s="2243">
        <f t="shared" si="271"/>
        <v>0.15059652265971724</v>
      </c>
      <c r="CL174" s="2233">
        <f t="shared" si="271"/>
        <v>0.18504240555127227</v>
      </c>
      <c r="CM174" s="2233">
        <f t="shared" si="271"/>
        <v>8.5976855003403463E-2</v>
      </c>
      <c r="CN174" s="2233">
        <f t="shared" si="271"/>
        <v>0.12763510923725563</v>
      </c>
      <c r="CO174" s="2233">
        <f t="shared" si="271"/>
        <v>5.6925996204933549E-2</v>
      </c>
      <c r="CP174" s="2243">
        <f t="shared" si="271"/>
        <v>0.11020083163761929</v>
      </c>
      <c r="CQ174" s="2233">
        <f t="shared" si="271"/>
        <v>0.13871177618737818</v>
      </c>
      <c r="CR174" s="2233">
        <f t="shared" si="271"/>
        <v>6.882717984078246E-2</v>
      </c>
      <c r="CS174" s="2233">
        <f t="shared" si="271"/>
        <v>3.8069340584636402E-2</v>
      </c>
      <c r="CT174" s="2233">
        <f t="shared" si="271"/>
        <v>6.5110712148414018E-2</v>
      </c>
      <c r="CU174" s="2243">
        <f t="shared" si="271"/>
        <v>7.7745724622667156E-2</v>
      </c>
      <c r="CV174" s="2233">
        <f t="shared" si="271"/>
        <v>-1.3427036910067414E-2</v>
      </c>
      <c r="CW174" s="2233">
        <f t="shared" si="271"/>
        <v>-1.4251363556389784E-2</v>
      </c>
      <c r="CX174" s="2233">
        <f t="shared" si="271"/>
        <v>7.5767508146691531E-2</v>
      </c>
      <c r="CY174" s="2233">
        <f t="shared" si="271"/>
        <v>0.19764212990785324</v>
      </c>
      <c r="CZ174" s="2593">
        <f t="shared" si="271"/>
        <v>6.2060668690198773E-2</v>
      </c>
      <c r="DA174" s="2233">
        <f t="shared" si="271"/>
        <v>2.913071176232096E-2</v>
      </c>
      <c r="DB174" s="2233">
        <f t="shared" si="271"/>
        <v>6.1934792955735229E-2</v>
      </c>
      <c r="DC174" s="2233">
        <f t="shared" si="271"/>
        <v>0.11061261859358651</v>
      </c>
      <c r="DD174" s="2233">
        <f t="shared" si="271"/>
        <v>7.5702823169667699E-3</v>
      </c>
      <c r="DE174" s="2243">
        <f t="shared" si="271"/>
        <v>4.9046407884623999E-2</v>
      </c>
      <c r="DF174" s="2233">
        <f t="shared" si="271"/>
        <v>-8.5706246482836312E-2</v>
      </c>
      <c r="DG174" s="2233">
        <f t="shared" si="271"/>
        <v>-0.1246568435206451</v>
      </c>
      <c r="DH174" s="2233">
        <f t="shared" si="271"/>
        <v>-0.14074573724512118</v>
      </c>
      <c r="DI174" s="2233">
        <f t="shared" si="271"/>
        <v>-2.0281151929958385E-3</v>
      </c>
      <c r="DJ174" s="2243">
        <f t="shared" si="271"/>
        <v>-8.4408323072736602E-2</v>
      </c>
      <c r="DK174" s="2233">
        <f t="shared" ref="DK174:DT174" si="272">DK36/DF36-1</f>
        <v>1.5301699483724729E-2</v>
      </c>
      <c r="DL174" s="2233">
        <f t="shared" si="272"/>
        <v>5.3738239950520406E-3</v>
      </c>
      <c r="DM174" s="2233">
        <f t="shared" si="272"/>
        <v>-4.7858972733009209E-2</v>
      </c>
      <c r="DN174" s="2233">
        <f t="shared" si="272"/>
        <v>-7.8605836274579732E-2</v>
      </c>
      <c r="DO174" s="2243">
        <f t="shared" si="272"/>
        <v>-3.0479184810583093E-2</v>
      </c>
      <c r="DP174" s="2233">
        <f t="shared" si="272"/>
        <v>2.5288410315892573E-2</v>
      </c>
      <c r="DQ174" s="2233">
        <f t="shared" si="272"/>
        <v>2.2334645246519402E-2</v>
      </c>
      <c r="DR174" s="2233">
        <f t="shared" si="272"/>
        <v>1.9473141153748319E-2</v>
      </c>
      <c r="DS174" s="2233">
        <f t="shared" si="272"/>
        <v>2.3184833111828507E-2</v>
      </c>
      <c r="DT174" s="2243">
        <f t="shared" si="272"/>
        <v>2.267561490006087E-2</v>
      </c>
      <c r="DU174" s="2233">
        <f t="shared" ref="DU174" si="273">DU36/DP36-1</f>
        <v>2.3033304312427338E-2</v>
      </c>
      <c r="DV174" s="2233">
        <f t="shared" ref="DV174" si="274">DV36/DQ36-1</f>
        <v>2.2443768323923141E-2</v>
      </c>
      <c r="DW174" s="2233">
        <f t="shared" ref="DW174" si="275">DW36/DR36-1</f>
        <v>2.3164273608810459E-2</v>
      </c>
      <c r="DX174" s="2233">
        <f t="shared" ref="DX174" si="276">DX36/DS36-1</f>
        <v>2.0095001942035395E-2</v>
      </c>
      <c r="DY174" s="2243">
        <f t="shared" ref="DY174" si="277">DY36/DT36-1</f>
        <v>2.2055930693475778E-2</v>
      </c>
    </row>
    <row r="175" spans="1:131" ht="12" thickBot="1" x14ac:dyDescent="0.25">
      <c r="A175" s="2225"/>
      <c r="C175" s="2265"/>
      <c r="D175" s="2265"/>
      <c r="E175" s="2266"/>
      <c r="F175" s="2266"/>
      <c r="G175" s="2266"/>
      <c r="H175" s="2265"/>
      <c r="J175" s="2266"/>
      <c r="K175" s="2266"/>
      <c r="L175" s="2266"/>
      <c r="M175" s="2266"/>
      <c r="O175" s="2266"/>
      <c r="P175" s="2266"/>
      <c r="Q175" s="2266"/>
      <c r="R175" s="2266"/>
      <c r="T175" s="2266"/>
      <c r="U175" s="2266"/>
      <c r="V175" s="2266"/>
      <c r="W175" s="2266"/>
      <c r="Y175" s="2266"/>
      <c r="Z175" s="2266"/>
      <c r="AA175" s="2266"/>
      <c r="AB175" s="2266"/>
      <c r="AD175" s="2266"/>
      <c r="AE175" s="2266"/>
      <c r="AF175" s="2267"/>
      <c r="AG175" s="2266"/>
      <c r="AI175" s="2267"/>
      <c r="AJ175" s="2267"/>
      <c r="AK175" s="2267"/>
      <c r="AL175" s="2266"/>
      <c r="AN175" s="2267"/>
      <c r="AO175" s="2267"/>
      <c r="AP175" s="2267"/>
      <c r="AQ175" s="2266"/>
      <c r="AS175" s="2268"/>
      <c r="AT175" s="2266"/>
      <c r="AU175" s="2266"/>
      <c r="AV175" s="2266"/>
      <c r="AX175" s="2269"/>
      <c r="AY175" s="2269"/>
      <c r="AZ175" s="2269"/>
      <c r="BA175" s="2266"/>
      <c r="BC175" s="2266"/>
      <c r="BD175" s="2266"/>
      <c r="BE175" s="2266"/>
      <c r="BF175" s="2266"/>
      <c r="BH175" s="2266"/>
      <c r="BI175" s="2266"/>
      <c r="BJ175" s="2266"/>
      <c r="BK175" s="2266"/>
      <c r="BM175" s="2266"/>
      <c r="BN175" s="2266"/>
      <c r="BO175" s="2266"/>
      <c r="BP175" s="2266"/>
      <c r="BR175" s="2266"/>
      <c r="BS175" s="2266"/>
      <c r="BT175" s="2266"/>
      <c r="BU175" s="2266"/>
      <c r="BW175" s="2266"/>
      <c r="BX175" s="2266"/>
      <c r="BY175" s="2266"/>
      <c r="BZ175" s="2266"/>
      <c r="CB175" s="2266"/>
      <c r="CC175" s="2266"/>
      <c r="CD175" s="2266"/>
      <c r="CE175" s="2266"/>
      <c r="CG175" s="2266"/>
      <c r="CH175" s="2266"/>
      <c r="CI175" s="2266"/>
      <c r="CJ175" s="2266"/>
      <c r="CL175" s="2266"/>
      <c r="CM175" s="2266"/>
      <c r="CN175" s="2266"/>
      <c r="CO175" s="2266"/>
      <c r="CQ175" s="2266"/>
      <c r="CR175" s="2266"/>
      <c r="CS175" s="2266"/>
      <c r="CT175" s="2266"/>
      <c r="CV175" s="2266"/>
      <c r="CW175" s="2266"/>
      <c r="CX175" s="2266"/>
      <c r="CY175" s="2266"/>
      <c r="CZ175" s="1823"/>
      <c r="DA175" s="2266"/>
      <c r="DB175" s="2266"/>
      <c r="DC175" s="2266"/>
      <c r="DD175" s="2266"/>
      <c r="DF175" s="2266"/>
      <c r="DG175" s="2266"/>
      <c r="DH175" s="2266"/>
      <c r="DI175" s="2266"/>
      <c r="DK175" s="2266"/>
      <c r="DL175" s="2266"/>
      <c r="DM175" s="2266"/>
      <c r="DN175" s="2266"/>
      <c r="DP175" s="2266"/>
      <c r="DQ175" s="2266"/>
      <c r="DR175" s="2266"/>
      <c r="DS175" s="2266"/>
      <c r="DU175" s="2266"/>
      <c r="DV175" s="2266"/>
      <c r="DW175" s="2266"/>
      <c r="DX175" s="2266"/>
      <c r="DZ175" s="2227"/>
      <c r="EA175" s="2227"/>
    </row>
    <row r="176" spans="1:131" x14ac:dyDescent="0.2">
      <c r="A176" s="2227"/>
      <c r="B176" s="2227"/>
      <c r="C176" s="2227"/>
      <c r="D176" s="2227"/>
      <c r="E176" s="2228"/>
      <c r="F176" s="2228"/>
      <c r="G176" s="2228"/>
      <c r="H176" s="2225"/>
      <c r="I176" s="2228"/>
      <c r="J176" s="2228"/>
      <c r="K176" s="2228"/>
      <c r="L176" s="2228"/>
      <c r="M176" s="2228"/>
      <c r="N176" s="2228"/>
      <c r="O176" s="2228"/>
      <c r="P176" s="2228"/>
      <c r="Q176" s="2228"/>
      <c r="R176" s="2228"/>
      <c r="S176" s="2228"/>
      <c r="T176" s="2228"/>
      <c r="U176" s="2228"/>
      <c r="V176" s="2228"/>
      <c r="W176" s="2228"/>
      <c r="X176" s="2228"/>
      <c r="Y176" s="2228"/>
      <c r="Z176" s="2228"/>
      <c r="AA176" s="2228"/>
      <c r="AB176" s="2228"/>
      <c r="AC176" s="2228"/>
      <c r="AD176" s="2228"/>
      <c r="AE176" s="2228"/>
      <c r="AF176" s="2241"/>
      <c r="AG176" s="2228"/>
      <c r="AH176" s="2228"/>
      <c r="AI176" s="2247"/>
      <c r="AJ176" s="2247"/>
      <c r="AK176" s="2247"/>
      <c r="AL176" s="2228"/>
      <c r="AM176" s="2228"/>
      <c r="AN176" s="2247"/>
      <c r="AO176" s="2247"/>
      <c r="AP176" s="2247"/>
      <c r="AQ176" s="2228"/>
      <c r="AR176" s="2228"/>
      <c r="AS176" s="2238"/>
      <c r="AT176" s="2228"/>
      <c r="AU176" s="2228"/>
      <c r="AV176" s="2228"/>
      <c r="AW176" s="2228"/>
      <c r="AX176" s="2248"/>
      <c r="AY176" s="2248"/>
      <c r="AZ176" s="2248"/>
      <c r="BA176" s="2228"/>
      <c r="BB176" s="2228"/>
      <c r="BC176" s="2228"/>
      <c r="BD176" s="2228"/>
      <c r="BE176" s="2228"/>
      <c r="BF176" s="2228"/>
      <c r="BH176" s="2228"/>
      <c r="BI176" s="2228"/>
      <c r="BJ176" s="2228"/>
      <c r="BK176" s="2228"/>
      <c r="BL176" s="2225"/>
      <c r="BM176" s="2228"/>
      <c r="BN176" s="2228"/>
      <c r="BO176" s="2228"/>
      <c r="BP176" s="2228"/>
      <c r="BR176" s="2228"/>
      <c r="BS176" s="2228"/>
      <c r="BT176" s="2228"/>
      <c r="BU176" s="2228"/>
      <c r="BW176" s="2228"/>
      <c r="BX176" s="2228"/>
      <c r="BY176" s="2228"/>
      <c r="BZ176" s="2228"/>
      <c r="CB176" s="2228"/>
      <c r="CC176" s="2228"/>
      <c r="CD176" s="2228"/>
      <c r="CE176" s="2228"/>
      <c r="CG176" s="2228"/>
      <c r="CH176" s="2228"/>
      <c r="CI176" s="2228"/>
      <c r="CJ176" s="2228"/>
      <c r="CL176" s="2228"/>
      <c r="CM176" s="2228"/>
      <c r="CN176" s="2228"/>
      <c r="CO176" s="2228"/>
      <c r="CQ176" s="2228"/>
      <c r="CR176" s="2228"/>
      <c r="CS176" s="2228"/>
      <c r="CT176" s="2228"/>
      <c r="CV176" s="2228"/>
      <c r="CW176" s="2228"/>
      <c r="CX176" s="2228"/>
      <c r="CY176" s="2228"/>
      <c r="DA176" s="2228"/>
      <c r="DB176" s="2228"/>
      <c r="DC176" s="2228"/>
      <c r="DD176" s="2228"/>
      <c r="DF176" s="2228"/>
      <c r="DG176" s="2228"/>
      <c r="DH176" s="2228"/>
      <c r="DI176" s="2228"/>
      <c r="DK176" s="2228"/>
      <c r="DL176" s="2228"/>
      <c r="DM176" s="2228"/>
      <c r="DN176" s="2228"/>
      <c r="DP176" s="2228"/>
      <c r="DQ176" s="2228"/>
      <c r="DR176" s="2228"/>
      <c r="DS176" s="2228"/>
      <c r="DU176" s="2228"/>
      <c r="DV176" s="2228"/>
      <c r="DW176" s="2228"/>
      <c r="DX176" s="2228"/>
      <c r="DZ176" s="2227"/>
      <c r="EA176" s="2227"/>
    </row>
    <row r="177" spans="1:131" ht="12" hidden="1" outlineLevel="1" thickBot="1" x14ac:dyDescent="0.25">
      <c r="A177" s="2225"/>
      <c r="B177" s="1118" t="s">
        <v>1045</v>
      </c>
      <c r="DH177" s="2734"/>
      <c r="DI177" s="2795"/>
      <c r="DZ177" s="2227"/>
      <c r="EA177" s="2227"/>
    </row>
    <row r="178" spans="1:131" hidden="1" outlineLevel="1" x14ac:dyDescent="0.2">
      <c r="A178" s="2225"/>
      <c r="B178">
        <v>1000</v>
      </c>
      <c r="C178" s="2252"/>
      <c r="D178" s="2227"/>
      <c r="E178" s="2227"/>
      <c r="F178" s="2227"/>
      <c r="G178" s="2227"/>
      <c r="H178" s="2227"/>
      <c r="I178" s="2250"/>
      <c r="J178" s="2227"/>
      <c r="K178" s="2227"/>
      <c r="L178" s="2227"/>
      <c r="M178" s="2227"/>
      <c r="N178" s="2250"/>
      <c r="O178" s="2227"/>
      <c r="P178" s="2227"/>
      <c r="Q178" s="2227"/>
      <c r="R178" s="2227"/>
      <c r="S178" s="2250"/>
      <c r="T178" s="2227"/>
      <c r="U178" s="2227"/>
      <c r="V178" s="2227"/>
      <c r="W178" s="2227"/>
      <c r="X178" s="2250"/>
      <c r="Y178" s="2227"/>
      <c r="Z178" s="2227"/>
      <c r="AA178" s="2227"/>
      <c r="AB178" s="2227"/>
      <c r="AC178" s="2250"/>
      <c r="AD178" s="2227"/>
      <c r="AE178" s="2227"/>
      <c r="AF178" s="2227"/>
      <c r="AG178" s="2227"/>
      <c r="AH178" s="2250"/>
      <c r="AI178" s="2227"/>
      <c r="AJ178" s="2227"/>
      <c r="AK178" s="2227"/>
      <c r="AL178" s="2227"/>
      <c r="AM178" s="2250"/>
      <c r="AN178" s="2227"/>
      <c r="AO178" s="2227"/>
      <c r="AP178" s="2227"/>
      <c r="AQ178" s="2227"/>
      <c r="AR178" s="2250"/>
      <c r="AT178" s="2227"/>
      <c r="AU178" s="2227"/>
      <c r="AV178" s="2227"/>
      <c r="AW178" s="2250"/>
      <c r="AX178" s="2227"/>
      <c r="AY178" s="2227"/>
      <c r="AZ178" s="2225"/>
      <c r="BA178" s="2225"/>
      <c r="BB178" s="2250"/>
      <c r="BC178" s="2225"/>
      <c r="BD178" s="2225"/>
      <c r="BE178" s="2225"/>
      <c r="BF178" s="2225"/>
      <c r="BG178" s="2250"/>
      <c r="BH178" s="2225"/>
      <c r="BI178" s="2225"/>
      <c r="BJ178" s="2225"/>
      <c r="BK178" s="2225"/>
      <c r="BL178" s="2250"/>
      <c r="BM178" s="2225"/>
      <c r="BN178" s="2225"/>
      <c r="BO178" s="2225"/>
      <c r="BP178" s="2225"/>
      <c r="BQ178" s="2250"/>
      <c r="BR178" s="2225"/>
      <c r="BS178" s="2225"/>
      <c r="BT178" s="2225"/>
      <c r="BU178" s="2225"/>
      <c r="BV178" s="2250"/>
      <c r="BW178" s="2225"/>
      <c r="BX178" s="2225"/>
      <c r="BY178" s="2225"/>
      <c r="BZ178" s="2225"/>
      <c r="CA178" s="2250"/>
      <c r="CB178" s="2225"/>
      <c r="CC178" s="2225"/>
      <c r="CD178" s="2225"/>
      <c r="CE178" s="2225"/>
      <c r="CF178" s="2250"/>
      <c r="CG178" s="2225"/>
      <c r="CH178" s="2225"/>
      <c r="CI178" s="2225"/>
      <c r="CJ178" s="2225"/>
      <c r="CK178" s="2250"/>
      <c r="CL178" s="2225"/>
      <c r="CM178" s="2225"/>
      <c r="CN178" s="2225"/>
      <c r="CO178" s="2225"/>
      <c r="CP178" s="2250"/>
      <c r="CQ178" s="2225"/>
      <c r="CR178" s="2225"/>
      <c r="CS178" s="2225"/>
      <c r="CT178" s="2225"/>
      <c r="CU178" s="2250"/>
      <c r="CV178" s="2225"/>
      <c r="CW178" s="2225"/>
      <c r="CX178" s="2225"/>
      <c r="CY178" s="2225"/>
      <c r="CZ178" s="2250"/>
      <c r="DA178" s="2225"/>
      <c r="DB178" s="2225"/>
      <c r="DC178" s="2225"/>
      <c r="DD178" s="2225"/>
      <c r="DE178" s="2250"/>
      <c r="DF178" s="2225"/>
      <c r="DG178" s="2225"/>
      <c r="DH178" s="2225"/>
      <c r="DI178" s="2225"/>
      <c r="DJ178" s="2250"/>
      <c r="DK178" s="2225"/>
      <c r="DL178" s="2225"/>
      <c r="DM178" s="2225"/>
      <c r="DN178" s="2225"/>
      <c r="DO178" s="2250"/>
      <c r="DP178" s="2225"/>
      <c r="DQ178" s="2225"/>
      <c r="DR178" s="2225"/>
      <c r="DS178" s="2225"/>
      <c r="DT178" s="2250"/>
      <c r="DU178" s="2225"/>
      <c r="DV178" s="2225"/>
      <c r="DW178" s="2225"/>
      <c r="DX178" s="2225"/>
      <c r="DY178" s="2250"/>
      <c r="DZ178" s="2227"/>
      <c r="EA178" s="2227"/>
    </row>
    <row r="179" spans="1:131" hidden="1" outlineLevel="1" x14ac:dyDescent="0.2">
      <c r="A179" s="2225"/>
      <c r="B179" s="2226" t="s">
        <v>1046</v>
      </c>
      <c r="C179" s="2227"/>
      <c r="D179" s="2227"/>
      <c r="E179" s="2227"/>
      <c r="F179" s="2227"/>
      <c r="G179" s="2227"/>
      <c r="H179" s="2227"/>
      <c r="I179">
        <f>I54</f>
        <v>1408</v>
      </c>
      <c r="J179" s="2227"/>
      <c r="K179" s="2227"/>
      <c r="L179" s="2227"/>
      <c r="M179" s="2227"/>
      <c r="N179">
        <f>N54</f>
        <v>3888</v>
      </c>
      <c r="O179" s="2227"/>
      <c r="P179" s="2227"/>
      <c r="Q179" s="2227"/>
      <c r="R179" s="2227"/>
      <c r="S179">
        <f>S54</f>
        <v>4122</v>
      </c>
      <c r="T179" s="2227"/>
      <c r="U179" s="2227"/>
      <c r="V179" s="2227"/>
      <c r="W179" s="2227"/>
      <c r="X179">
        <f>X54</f>
        <v>4098</v>
      </c>
      <c r="Y179" s="2227"/>
      <c r="Z179" s="2227"/>
      <c r="AA179" s="2227"/>
      <c r="AB179" s="2227"/>
      <c r="AC179">
        <f>AC54</f>
        <v>4133</v>
      </c>
      <c r="AD179" s="2227"/>
      <c r="AE179" s="2227"/>
      <c r="AF179" s="2227"/>
      <c r="AG179" s="2227"/>
      <c r="AH179">
        <f>AH54</f>
        <v>4191</v>
      </c>
      <c r="AI179" s="2227"/>
      <c r="AJ179" s="2227"/>
      <c r="AK179" s="2227"/>
      <c r="AL179" s="2227"/>
      <c r="AM179">
        <f>AM54</f>
        <v>4087</v>
      </c>
      <c r="AN179" s="2227"/>
      <c r="AO179" s="2227"/>
      <c r="AP179" s="2227"/>
      <c r="AQ179" s="2227"/>
      <c r="AR179">
        <f>AR54</f>
        <v>4179</v>
      </c>
      <c r="AT179" s="2227"/>
      <c r="AU179" s="2227"/>
      <c r="AV179" s="2227"/>
      <c r="AW179">
        <f>AW54</f>
        <v>5375</v>
      </c>
      <c r="AX179" s="2227"/>
      <c r="AY179" s="2227"/>
      <c r="AZ179" s="2227"/>
      <c r="BA179" s="2227"/>
      <c r="BB179">
        <f>BB54</f>
        <v>5471</v>
      </c>
      <c r="BC179" s="2227"/>
      <c r="BD179" s="2227"/>
      <c r="BE179" s="2227"/>
      <c r="BF179" s="2227"/>
      <c r="BG179">
        <f>BG54</f>
        <v>6202</v>
      </c>
      <c r="BH179" s="2227"/>
      <c r="BI179" s="2227"/>
      <c r="BJ179" s="2227"/>
      <c r="BK179" s="2227"/>
      <c r="BL179">
        <f t="shared" ref="BL179:DJ179" si="278">BL54</f>
        <v>6245</v>
      </c>
      <c r="BM179">
        <f t="shared" si="278"/>
        <v>6267</v>
      </c>
      <c r="BN179">
        <f t="shared" si="278"/>
        <v>6308</v>
      </c>
      <c r="BO179">
        <f t="shared" si="278"/>
        <v>6347</v>
      </c>
      <c r="BP179">
        <f t="shared" si="278"/>
        <v>6923</v>
      </c>
      <c r="BQ179">
        <f t="shared" si="278"/>
        <v>6923</v>
      </c>
      <c r="BR179">
        <f t="shared" si="278"/>
        <v>6912</v>
      </c>
      <c r="BS179">
        <f t="shared" si="278"/>
        <v>6949</v>
      </c>
      <c r="BT179">
        <f t="shared" si="278"/>
        <v>7008</v>
      </c>
      <c r="BU179">
        <f t="shared" si="278"/>
        <v>7025</v>
      </c>
      <c r="BV179">
        <f t="shared" si="278"/>
        <v>7025</v>
      </c>
      <c r="BW179">
        <f t="shared" si="278"/>
        <v>7063</v>
      </c>
      <c r="BX179">
        <f t="shared" si="278"/>
        <v>7109</v>
      </c>
      <c r="BY179">
        <f t="shared" si="278"/>
        <v>7152</v>
      </c>
      <c r="BZ179">
        <f t="shared" si="278"/>
        <v>7182</v>
      </c>
      <c r="CA179">
        <f t="shared" si="278"/>
        <v>7182</v>
      </c>
      <c r="CB179">
        <f t="shared" si="278"/>
        <v>7226</v>
      </c>
      <c r="CC179">
        <f t="shared" si="278"/>
        <v>7266</v>
      </c>
      <c r="CD179">
        <f t="shared" si="278"/>
        <v>7304</v>
      </c>
      <c r="CE179">
        <f t="shared" si="278"/>
        <v>7327</v>
      </c>
      <c r="CF179">
        <f t="shared" si="278"/>
        <v>7327</v>
      </c>
      <c r="CG179">
        <f t="shared" si="278"/>
        <v>7352</v>
      </c>
      <c r="CH179">
        <f t="shared" si="278"/>
        <v>7380</v>
      </c>
      <c r="CI179">
        <f t="shared" si="278"/>
        <v>7419</v>
      </c>
      <c r="CJ179">
        <f t="shared" si="278"/>
        <v>7458</v>
      </c>
      <c r="CK179">
        <f t="shared" si="278"/>
        <v>7458</v>
      </c>
      <c r="CL179">
        <f t="shared" si="278"/>
        <v>7531</v>
      </c>
      <c r="CM179">
        <f t="shared" si="278"/>
        <v>7617</v>
      </c>
      <c r="CN179">
        <f t="shared" si="278"/>
        <v>7665</v>
      </c>
      <c r="CO179">
        <f t="shared" si="278"/>
        <v>7660</v>
      </c>
      <c r="CP179">
        <f t="shared" si="278"/>
        <v>7579</v>
      </c>
      <c r="CQ179">
        <f t="shared" si="278"/>
        <v>7829</v>
      </c>
      <c r="CR179">
        <f t="shared" si="278"/>
        <v>7859</v>
      </c>
      <c r="CS179">
        <f t="shared" si="278"/>
        <v>7933</v>
      </c>
      <c r="CT179">
        <f t="shared" si="278"/>
        <v>7981</v>
      </c>
      <c r="CU179">
        <f t="shared" si="278"/>
        <v>7967</v>
      </c>
      <c r="CV179">
        <f t="shared" si="278"/>
        <v>8006</v>
      </c>
      <c r="CW179">
        <f t="shared" si="278"/>
        <v>8028</v>
      </c>
      <c r="CX179">
        <f>CX54</f>
        <v>7944</v>
      </c>
      <c r="CY179">
        <f t="shared" si="278"/>
        <v>9655</v>
      </c>
      <c r="CZ179">
        <f t="shared" si="278"/>
        <v>9655</v>
      </c>
      <c r="DA179">
        <f t="shared" si="278"/>
        <v>9674</v>
      </c>
      <c r="DB179">
        <f t="shared" si="278"/>
        <v>9686</v>
      </c>
      <c r="DC179">
        <f t="shared" si="278"/>
        <v>9728</v>
      </c>
      <c r="DD179">
        <f t="shared" si="278"/>
        <v>9747</v>
      </c>
      <c r="DE179">
        <f t="shared" si="278"/>
        <v>9747</v>
      </c>
      <c r="DF179">
        <f t="shared" si="278"/>
        <v>9676</v>
      </c>
      <c r="DG179">
        <f t="shared" si="278"/>
        <v>9700</v>
      </c>
      <c r="DH179" s="2734">
        <f t="shared" ref="DH179:DI179" si="279">DH54</f>
        <v>9751</v>
      </c>
      <c r="DI179" s="2795">
        <f t="shared" si="279"/>
        <v>9803</v>
      </c>
      <c r="DJ179">
        <f t="shared" si="278"/>
        <v>9803</v>
      </c>
      <c r="DK179" s="2559">
        <f t="shared" ref="DK179:DT179" si="280">DK54</f>
        <v>9828</v>
      </c>
      <c r="DL179" s="2559">
        <f t="shared" si="280"/>
        <v>9853</v>
      </c>
      <c r="DM179" s="2559">
        <f t="shared" si="280"/>
        <v>9878</v>
      </c>
      <c r="DN179" s="2559">
        <f t="shared" si="280"/>
        <v>9903</v>
      </c>
      <c r="DO179" s="2559">
        <f t="shared" si="280"/>
        <v>9903</v>
      </c>
      <c r="DP179" s="2649">
        <f t="shared" si="280"/>
        <v>9928</v>
      </c>
      <c r="DQ179" s="2649">
        <f t="shared" si="280"/>
        <v>9953</v>
      </c>
      <c r="DR179" s="2649">
        <f t="shared" si="280"/>
        <v>9978</v>
      </c>
      <c r="DS179" s="2649">
        <f t="shared" si="280"/>
        <v>10003</v>
      </c>
      <c r="DT179" s="2649">
        <f t="shared" si="280"/>
        <v>10003</v>
      </c>
      <c r="DU179" s="2771">
        <f t="shared" ref="DU179:DY179" si="281">DU54</f>
        <v>10028</v>
      </c>
      <c r="DV179" s="2771">
        <f t="shared" si="281"/>
        <v>10053</v>
      </c>
      <c r="DW179" s="2771">
        <f t="shared" si="281"/>
        <v>10078</v>
      </c>
      <c r="DX179" s="2771">
        <f t="shared" si="281"/>
        <v>10103</v>
      </c>
      <c r="DY179" s="2771">
        <f t="shared" si="281"/>
        <v>10103</v>
      </c>
      <c r="DZ179" s="2227"/>
      <c r="EA179" s="2227"/>
    </row>
    <row r="180" spans="1:131" hidden="1" outlineLevel="1" x14ac:dyDescent="0.2">
      <c r="A180" s="2225"/>
      <c r="B180" s="2226" t="s">
        <v>1047</v>
      </c>
      <c r="C180" s="2252"/>
      <c r="D180" s="2227"/>
      <c r="E180" s="2227"/>
      <c r="F180" s="2227"/>
      <c r="G180" s="2227"/>
      <c r="H180" s="2227"/>
      <c r="I180">
        <f>I56</f>
        <v>12672</v>
      </c>
      <c r="J180" s="2227"/>
      <c r="K180" s="2227"/>
      <c r="L180" s="2227"/>
      <c r="M180" s="2227"/>
      <c r="N180">
        <f>N56</f>
        <v>30100</v>
      </c>
      <c r="O180" s="2227"/>
      <c r="P180" s="2227"/>
      <c r="Q180" s="2227"/>
      <c r="R180" s="2227"/>
      <c r="S180">
        <f>S56</f>
        <v>30634</v>
      </c>
      <c r="T180" s="2227"/>
      <c r="U180" s="2227"/>
      <c r="V180" s="2227"/>
      <c r="W180" s="2227"/>
      <c r="X180">
        <f>X56</f>
        <v>30300</v>
      </c>
      <c r="Y180" s="2227"/>
      <c r="Z180" s="2227"/>
      <c r="AA180" s="2227"/>
      <c r="AB180" s="2227"/>
      <c r="AC180">
        <f>AC56</f>
        <v>30800</v>
      </c>
      <c r="AD180" s="2227"/>
      <c r="AE180" s="2227"/>
      <c r="AF180" s="2227"/>
      <c r="AG180" s="2227"/>
      <c r="AH180">
        <f>AH56</f>
        <v>31500</v>
      </c>
      <c r="AI180" s="2227"/>
      <c r="AJ180" s="2227"/>
      <c r="AK180" s="2227"/>
      <c r="AL180" s="2227"/>
      <c r="AM180">
        <f>AM56</f>
        <v>31507</v>
      </c>
      <c r="AN180" s="2227"/>
      <c r="AO180" s="2227"/>
      <c r="AP180" s="2227"/>
      <c r="AQ180" s="2227"/>
      <c r="AR180">
        <f>AR56</f>
        <v>31500</v>
      </c>
      <c r="AT180" s="2227"/>
      <c r="AU180" s="2227"/>
      <c r="AV180" s="2227"/>
      <c r="AW180">
        <f>AW56</f>
        <v>43500</v>
      </c>
      <c r="AX180" s="2227"/>
      <c r="AY180" s="2227"/>
      <c r="AZ180" s="2227"/>
      <c r="BA180" s="2227"/>
      <c r="BB180">
        <f>BB56</f>
        <v>45010</v>
      </c>
      <c r="BC180" s="2227"/>
      <c r="BD180" s="2227"/>
      <c r="BE180" s="2227"/>
      <c r="BF180" s="2227"/>
      <c r="BG180">
        <f>BG56</f>
        <v>55500</v>
      </c>
      <c r="BH180" s="2227"/>
      <c r="BI180" s="2227"/>
      <c r="BJ180" s="2227"/>
      <c r="BK180" s="2227"/>
      <c r="BL180">
        <f t="shared" ref="BL180:DJ180" si="282">BL56</f>
        <v>56500</v>
      </c>
      <c r="BM180">
        <f t="shared" si="282"/>
        <v>57094</v>
      </c>
      <c r="BN180">
        <f t="shared" si="282"/>
        <v>58234</v>
      </c>
      <c r="BO180">
        <f t="shared" si="282"/>
        <v>58539</v>
      </c>
      <c r="BP180">
        <f t="shared" si="282"/>
        <v>66300</v>
      </c>
      <c r="BQ180">
        <f t="shared" si="282"/>
        <v>66300</v>
      </c>
      <c r="BR180">
        <f t="shared" si="282"/>
        <v>66194.655496172185</v>
      </c>
      <c r="BS180">
        <f t="shared" si="282"/>
        <v>66548.996099956683</v>
      </c>
      <c r="BT180">
        <f t="shared" si="282"/>
        <v>67114.025711396796</v>
      </c>
      <c r="BU180">
        <f t="shared" si="282"/>
        <v>67276.830853676161</v>
      </c>
      <c r="BV180">
        <f t="shared" si="282"/>
        <v>67800</v>
      </c>
      <c r="BW180">
        <f t="shared" si="282"/>
        <v>67640.748230535915</v>
      </c>
      <c r="BX180">
        <f t="shared" si="282"/>
        <v>68081.279791997702</v>
      </c>
      <c r="BY180">
        <f t="shared" si="282"/>
        <v>68493.081034233721</v>
      </c>
      <c r="BZ180">
        <f t="shared" si="282"/>
        <v>68780.384226491427</v>
      </c>
      <c r="CA180">
        <f t="shared" si="282"/>
        <v>68780.384226491427</v>
      </c>
      <c r="CB180">
        <f t="shared" si="282"/>
        <v>69201.762241802688</v>
      </c>
      <c r="CC180">
        <f t="shared" si="282"/>
        <v>69584.833164812953</v>
      </c>
      <c r="CD180">
        <f t="shared" si="282"/>
        <v>69948.750541672693</v>
      </c>
      <c r="CE180">
        <f t="shared" si="282"/>
        <v>70169.016322403593</v>
      </c>
      <c r="CF180">
        <f t="shared" si="282"/>
        <v>70169.016322403593</v>
      </c>
      <c r="CG180">
        <f t="shared" si="282"/>
        <v>70408.435649285006</v>
      </c>
      <c r="CH180">
        <f t="shared" si="282"/>
        <v>70676.585295392186</v>
      </c>
      <c r="CI180">
        <f t="shared" si="282"/>
        <v>71050.079445327181</v>
      </c>
      <c r="CJ180">
        <f t="shared" si="282"/>
        <v>71423.573595262191</v>
      </c>
      <c r="CK180">
        <f t="shared" si="282"/>
        <v>71423.573595262191</v>
      </c>
      <c r="CL180">
        <f t="shared" si="282"/>
        <v>72122.678029755887</v>
      </c>
      <c r="CM180">
        <f t="shared" si="282"/>
        <v>72946.280514227939</v>
      </c>
      <c r="CN180">
        <f t="shared" si="282"/>
        <v>73405.965621840252</v>
      </c>
      <c r="CO180">
        <f t="shared" ca="1" si="282"/>
        <v>73791.844130972459</v>
      </c>
      <c r="CP180">
        <f t="shared" ca="1" si="282"/>
        <v>73791.844130972459</v>
      </c>
      <c r="CQ180">
        <f t="shared" ca="1" si="282"/>
        <v>74514.129545501943</v>
      </c>
      <c r="CR180">
        <f t="shared" ca="1" si="282"/>
        <v>75365.041129742167</v>
      </c>
      <c r="CS180">
        <f t="shared" ca="1" si="282"/>
        <v>75839.968525597185</v>
      </c>
      <c r="CT180">
        <f t="shared" ca="1" si="282"/>
        <v>76238.642035840938</v>
      </c>
      <c r="CU180">
        <f t="shared" ca="1" si="282"/>
        <v>76238.642035840938</v>
      </c>
      <c r="CV180">
        <f t="shared" ca="1" si="282"/>
        <v>76984.877067835609</v>
      </c>
      <c r="CW180">
        <f t="shared" ca="1" si="282"/>
        <v>77864.00326991154</v>
      </c>
      <c r="CX180">
        <f ca="1">CX56</f>
        <v>78354.678359442303</v>
      </c>
      <c r="CY180">
        <f t="shared" ca="1" si="282"/>
        <v>78766.571128820709</v>
      </c>
      <c r="CZ180">
        <f t="shared" ca="1" si="282"/>
        <v>78766.571128820709</v>
      </c>
      <c r="DA180">
        <f t="shared" ca="1" si="282"/>
        <v>78909.498994531488</v>
      </c>
      <c r="DB180">
        <f t="shared" ca="1" si="282"/>
        <v>79810.603351659316</v>
      </c>
      <c r="DC180">
        <f t="shared" ca="1" si="282"/>
        <v>80313.545318428354</v>
      </c>
      <c r="DD180">
        <f t="shared" ca="1" si="282"/>
        <v>80735.735407041226</v>
      </c>
      <c r="DE180">
        <f t="shared" ca="1" si="282"/>
        <v>80735.735407041226</v>
      </c>
      <c r="DF180">
        <f t="shared" ca="1" si="282"/>
        <v>78909.498994531488</v>
      </c>
      <c r="DG180">
        <f t="shared" ca="1" si="282"/>
        <v>79810.603351659316</v>
      </c>
      <c r="DH180" s="2734">
        <f t="shared" ref="DH180:DI180" ca="1" si="283">DH56</f>
        <v>80313.545318428354</v>
      </c>
      <c r="DI180" s="2795">
        <f t="shared" ca="1" si="283"/>
        <v>80735.735407041226</v>
      </c>
      <c r="DJ180">
        <f t="shared" ca="1" si="282"/>
        <v>80735.735407041226</v>
      </c>
      <c r="DK180" s="2559">
        <f t="shared" ref="DK180:DT180" ca="1" si="284">DK56</f>
        <v>78909.498994531488</v>
      </c>
      <c r="DL180" s="2559">
        <f t="shared" ca="1" si="284"/>
        <v>79810.603351659316</v>
      </c>
      <c r="DM180" s="2559">
        <f t="shared" ca="1" si="284"/>
        <v>80313.545318428354</v>
      </c>
      <c r="DN180" s="2559">
        <f t="shared" ca="1" si="284"/>
        <v>80735.735407041226</v>
      </c>
      <c r="DO180" s="2559">
        <f t="shared" ca="1" si="284"/>
        <v>80735.735407041226</v>
      </c>
      <c r="DP180" s="2649">
        <f t="shared" ca="1" si="284"/>
        <v>78909.498994531488</v>
      </c>
      <c r="DQ180" s="2649">
        <f t="shared" ca="1" si="284"/>
        <v>79810.603351659316</v>
      </c>
      <c r="DR180" s="2649">
        <f t="shared" ca="1" si="284"/>
        <v>80313.545318428354</v>
      </c>
      <c r="DS180" s="2649">
        <f t="shared" ca="1" si="284"/>
        <v>80735.735407041226</v>
      </c>
      <c r="DT180" s="2649">
        <f t="shared" ca="1" si="284"/>
        <v>80735.735407041226</v>
      </c>
      <c r="DU180" s="2771">
        <f t="shared" ref="DU180:DY180" ca="1" si="285">DU56</f>
        <v>78909.498994531488</v>
      </c>
      <c r="DV180" s="2771">
        <f t="shared" ca="1" si="285"/>
        <v>79810.603351659316</v>
      </c>
      <c r="DW180" s="2771">
        <f t="shared" ca="1" si="285"/>
        <v>80313.545318428354</v>
      </c>
      <c r="DX180" s="2771">
        <f t="shared" ca="1" si="285"/>
        <v>80735.735407041226</v>
      </c>
      <c r="DY180" s="2771">
        <f t="shared" ca="1" si="285"/>
        <v>80735.735407041226</v>
      </c>
      <c r="DZ180" s="2227"/>
      <c r="EA180" s="2227"/>
    </row>
    <row r="181" spans="1:131" ht="12" hidden="1" customHeight="1" outlineLevel="1" x14ac:dyDescent="0.2">
      <c r="A181" s="2225"/>
      <c r="B181" s="2226" t="s">
        <v>1048</v>
      </c>
      <c r="C181" s="2252"/>
      <c r="D181" s="2227"/>
      <c r="E181" s="2227"/>
      <c r="F181" s="2227"/>
      <c r="G181" s="2227"/>
      <c r="H181" s="2227"/>
      <c r="I181">
        <f>I180-I194</f>
        <v>12672</v>
      </c>
      <c r="J181" s="2227"/>
      <c r="K181" s="2227"/>
      <c r="L181" s="2227"/>
      <c r="M181" s="2227"/>
      <c r="N181">
        <f>N180-N194</f>
        <v>30100</v>
      </c>
      <c r="O181" s="2227"/>
      <c r="P181" s="2227"/>
      <c r="Q181" s="2227"/>
      <c r="R181" s="2227"/>
      <c r="S181">
        <f>S180-S194</f>
        <v>30634</v>
      </c>
      <c r="T181" s="2227"/>
      <c r="U181" s="2227"/>
      <c r="V181" s="2227"/>
      <c r="W181" s="2227"/>
      <c r="X181">
        <f>X180-X194</f>
        <v>30300</v>
      </c>
      <c r="Y181" s="2227"/>
      <c r="Z181" s="2227"/>
      <c r="AA181" s="2227"/>
      <c r="AB181" s="2227"/>
      <c r="AC181">
        <f>AC180-AC194</f>
        <v>30708</v>
      </c>
      <c r="AD181" s="2227"/>
      <c r="AE181" s="2227"/>
      <c r="AF181" s="2227"/>
      <c r="AG181" s="2227"/>
      <c r="AH181">
        <f>AH180-AH194</f>
        <v>31408</v>
      </c>
      <c r="AI181" s="2227"/>
      <c r="AJ181" s="2227"/>
      <c r="AK181" s="2227"/>
      <c r="AL181" s="2227"/>
      <c r="AM181">
        <f>AM180-AM194</f>
        <v>31441</v>
      </c>
      <c r="AN181" s="2227"/>
      <c r="AO181" s="2227"/>
      <c r="AP181" s="2227"/>
      <c r="AQ181" s="2227"/>
      <c r="AR181">
        <f>AR180-AR194</f>
        <v>31406</v>
      </c>
      <c r="AT181" s="2227"/>
      <c r="AU181" s="2227"/>
      <c r="AV181" s="2227"/>
      <c r="AW181">
        <f>AW180-AW194</f>
        <v>43406</v>
      </c>
      <c r="AX181" s="2227"/>
      <c r="AY181" s="2227"/>
      <c r="AZ181" s="2227"/>
      <c r="BA181" s="2227"/>
      <c r="BB181">
        <f>BB180-BB194</f>
        <v>44908</v>
      </c>
      <c r="BC181" s="2227"/>
      <c r="BD181" s="2227"/>
      <c r="BE181" s="2227"/>
      <c r="BF181" s="2227"/>
      <c r="BG181">
        <f>BG180-BG194</f>
        <v>55396</v>
      </c>
      <c r="BH181" s="2227"/>
      <c r="BI181" s="2227"/>
      <c r="BJ181" s="2227"/>
      <c r="BK181" s="2227"/>
      <c r="BL181">
        <f t="shared" ref="BL181:DJ181" si="286">BL180-BL194</f>
        <v>56388</v>
      </c>
      <c r="BM181">
        <f t="shared" si="286"/>
        <v>56982</v>
      </c>
      <c r="BN181">
        <f t="shared" si="286"/>
        <v>58122</v>
      </c>
      <c r="BO181">
        <f t="shared" si="286"/>
        <v>58425</v>
      </c>
      <c r="BP181">
        <f t="shared" si="286"/>
        <v>66184</v>
      </c>
      <c r="BQ181">
        <f t="shared" si="286"/>
        <v>66184</v>
      </c>
      <c r="BR181">
        <f t="shared" si="286"/>
        <v>66090.655496172185</v>
      </c>
      <c r="BS181">
        <f t="shared" si="286"/>
        <v>66448.996099956683</v>
      </c>
      <c r="BT181">
        <f t="shared" si="286"/>
        <v>67016.025711396796</v>
      </c>
      <c r="BU181">
        <f t="shared" si="286"/>
        <v>67176.830853676161</v>
      </c>
      <c r="BV181">
        <f t="shared" si="286"/>
        <v>67700</v>
      </c>
      <c r="BW181">
        <f t="shared" si="286"/>
        <v>67540.748230535915</v>
      </c>
      <c r="BX181">
        <f t="shared" si="286"/>
        <v>67981.279791997702</v>
      </c>
      <c r="BY181">
        <f t="shared" si="286"/>
        <v>68393.081034233721</v>
      </c>
      <c r="BZ181">
        <f t="shared" si="286"/>
        <v>68680.384226491427</v>
      </c>
      <c r="CA181">
        <f t="shared" si="286"/>
        <v>68680.384226491427</v>
      </c>
      <c r="CB181">
        <f t="shared" si="286"/>
        <v>69101.762241802688</v>
      </c>
      <c r="CC181">
        <f t="shared" si="286"/>
        <v>69484.833164812953</v>
      </c>
      <c r="CD181">
        <f t="shared" si="286"/>
        <v>69848.750541672693</v>
      </c>
      <c r="CE181">
        <f t="shared" si="286"/>
        <v>70069.016322403593</v>
      </c>
      <c r="CF181">
        <f t="shared" si="286"/>
        <v>70069.016322403593</v>
      </c>
      <c r="CG181">
        <f t="shared" si="286"/>
        <v>70308.435649285006</v>
      </c>
      <c r="CH181">
        <f t="shared" si="286"/>
        <v>70576.585295392186</v>
      </c>
      <c r="CI181">
        <f t="shared" si="286"/>
        <v>70950.079445327181</v>
      </c>
      <c r="CJ181">
        <f t="shared" si="286"/>
        <v>71323.573595262191</v>
      </c>
      <c r="CK181">
        <f t="shared" si="286"/>
        <v>71323.573595262191</v>
      </c>
      <c r="CL181">
        <f t="shared" si="286"/>
        <v>72022.678029755887</v>
      </c>
      <c r="CM181">
        <f t="shared" si="286"/>
        <v>72846.280514227939</v>
      </c>
      <c r="CN181">
        <f t="shared" si="286"/>
        <v>73305.965621840252</v>
      </c>
      <c r="CO181">
        <f t="shared" ca="1" si="286"/>
        <v>73691.844130972459</v>
      </c>
      <c r="CP181">
        <f t="shared" ca="1" si="286"/>
        <v>73691.844130972459</v>
      </c>
      <c r="CQ181">
        <f t="shared" ca="1" si="286"/>
        <v>74414.129545501943</v>
      </c>
      <c r="CR181">
        <f t="shared" ca="1" si="286"/>
        <v>75265.041129742167</v>
      </c>
      <c r="CS181">
        <f t="shared" ca="1" si="286"/>
        <v>75739.968525597185</v>
      </c>
      <c r="CT181">
        <f t="shared" ca="1" si="286"/>
        <v>76138.642035840938</v>
      </c>
      <c r="CU181">
        <f t="shared" ca="1" si="286"/>
        <v>76138.642035840938</v>
      </c>
      <c r="CV181">
        <f t="shared" ca="1" si="286"/>
        <v>76884.877067835609</v>
      </c>
      <c r="CW181">
        <f t="shared" ca="1" si="286"/>
        <v>77764.00326991154</v>
      </c>
      <c r="CX181">
        <f ca="1">CX180-CX194</f>
        <v>78254.678359442303</v>
      </c>
      <c r="CY181">
        <f t="shared" ca="1" si="286"/>
        <v>78666.571128820709</v>
      </c>
      <c r="CZ181">
        <f t="shared" ca="1" si="286"/>
        <v>78666.571128820709</v>
      </c>
      <c r="DA181">
        <f t="shared" ca="1" si="286"/>
        <v>78809.498994531488</v>
      </c>
      <c r="DB181">
        <f t="shared" ca="1" si="286"/>
        <v>79710.603351659316</v>
      </c>
      <c r="DC181">
        <f t="shared" ca="1" si="286"/>
        <v>80213.545318428354</v>
      </c>
      <c r="DD181">
        <f t="shared" ca="1" si="286"/>
        <v>80635.735407041226</v>
      </c>
      <c r="DE181">
        <f t="shared" ca="1" si="286"/>
        <v>80635.735407041226</v>
      </c>
      <c r="DF181">
        <f t="shared" ca="1" si="286"/>
        <v>78809.498994531488</v>
      </c>
      <c r="DG181">
        <f t="shared" ca="1" si="286"/>
        <v>79710.603351659316</v>
      </c>
      <c r="DH181" s="2734">
        <f t="shared" ref="DH181:DI181" ca="1" si="287">DH180-DH194</f>
        <v>80213.545318428354</v>
      </c>
      <c r="DI181" s="2795">
        <f t="shared" ca="1" si="287"/>
        <v>80635.735407041226</v>
      </c>
      <c r="DJ181">
        <f t="shared" ca="1" si="286"/>
        <v>80635.735407041226</v>
      </c>
      <c r="DK181" s="2559">
        <f t="shared" ref="DK181:DT181" ca="1" si="288">DK180-DK194</f>
        <v>78809.498994531488</v>
      </c>
      <c r="DL181" s="2559">
        <f t="shared" ca="1" si="288"/>
        <v>79710.603351659316</v>
      </c>
      <c r="DM181" s="2559">
        <f t="shared" ca="1" si="288"/>
        <v>80213.545318428354</v>
      </c>
      <c r="DN181" s="2559">
        <f t="shared" ca="1" si="288"/>
        <v>80635.735407041226</v>
      </c>
      <c r="DO181" s="2559">
        <f t="shared" ca="1" si="288"/>
        <v>80635.735407041226</v>
      </c>
      <c r="DP181" s="2649">
        <f t="shared" ca="1" si="288"/>
        <v>78809.498994531488</v>
      </c>
      <c r="DQ181" s="2649">
        <f t="shared" ca="1" si="288"/>
        <v>79710.603351659316</v>
      </c>
      <c r="DR181" s="2649">
        <f t="shared" ca="1" si="288"/>
        <v>80213.545318428354</v>
      </c>
      <c r="DS181" s="2649">
        <f t="shared" ca="1" si="288"/>
        <v>80635.735407041226</v>
      </c>
      <c r="DT181" s="2649">
        <f t="shared" ca="1" si="288"/>
        <v>80635.735407041226</v>
      </c>
      <c r="DU181" s="2771">
        <f t="shared" ref="DU181:DY181" ca="1" si="289">DU180-DU194</f>
        <v>78809.498994531488</v>
      </c>
      <c r="DV181" s="2771">
        <f t="shared" ca="1" si="289"/>
        <v>79710.603351659316</v>
      </c>
      <c r="DW181" s="2771">
        <f t="shared" ca="1" si="289"/>
        <v>80213.545318428354</v>
      </c>
      <c r="DX181" s="2771">
        <f t="shared" ca="1" si="289"/>
        <v>80635.735407041226</v>
      </c>
      <c r="DY181" s="2771">
        <f t="shared" ca="1" si="289"/>
        <v>80635.735407041226</v>
      </c>
      <c r="DZ181" s="2227"/>
      <c r="EA181" s="2227"/>
    </row>
    <row r="182" spans="1:131" ht="5.25" hidden="1" customHeight="1" outlineLevel="1" x14ac:dyDescent="0.2">
      <c r="A182" s="2225"/>
      <c r="B182" s="2226"/>
      <c r="C182" s="2252"/>
      <c r="D182" s="2227"/>
      <c r="E182" s="2227"/>
      <c r="F182" s="2227"/>
      <c r="G182" s="2227"/>
      <c r="H182" s="2227"/>
      <c r="J182" s="2227"/>
      <c r="K182" s="2227"/>
      <c r="L182" s="2227"/>
      <c r="M182" s="2227"/>
      <c r="O182" s="2227"/>
      <c r="P182" s="2227"/>
      <c r="Q182" s="2227"/>
      <c r="R182" s="2227"/>
      <c r="T182" s="2227"/>
      <c r="U182" s="2227"/>
      <c r="V182" s="2227"/>
      <c r="W182" s="2227"/>
      <c r="Y182" s="2227"/>
      <c r="Z182" s="2227"/>
      <c r="AA182" s="2227"/>
      <c r="AB182" s="2227"/>
      <c r="AD182" s="2227"/>
      <c r="AE182" s="2227"/>
      <c r="AF182" s="2227"/>
      <c r="AG182" s="2227"/>
      <c r="AI182" s="2227"/>
      <c r="AJ182" s="2227"/>
      <c r="AK182" s="2227"/>
      <c r="AL182" s="2227"/>
      <c r="AN182" s="2227"/>
      <c r="AO182" s="2227"/>
      <c r="AP182" s="2227"/>
      <c r="AQ182" s="2227"/>
      <c r="AT182" s="2227"/>
      <c r="AU182" s="2227"/>
      <c r="AV182" s="2227"/>
      <c r="AX182" s="2227"/>
      <c r="AY182" s="2227"/>
      <c r="AZ182" s="2227"/>
      <c r="BA182" s="2227"/>
      <c r="BC182" s="2227"/>
      <c r="BD182" s="2227"/>
      <c r="BE182" s="2227"/>
      <c r="BF182" s="2227"/>
      <c r="BH182" s="2227"/>
      <c r="BI182" s="2227"/>
      <c r="BJ182" s="2227"/>
      <c r="BK182" s="2227"/>
      <c r="DH182" s="2734"/>
      <c r="DI182" s="2795"/>
      <c r="DZ182" s="2227"/>
      <c r="EA182" s="2227"/>
    </row>
    <row r="183" spans="1:131" ht="11.25" hidden="1" customHeight="1" outlineLevel="1" x14ac:dyDescent="0.2">
      <c r="B183" t="s">
        <v>1049</v>
      </c>
      <c r="X183">
        <v>4086</v>
      </c>
      <c r="Y183">
        <v>4058</v>
      </c>
      <c r="Z183">
        <v>4053</v>
      </c>
      <c r="AA183">
        <v>4066</v>
      </c>
      <c r="AB183">
        <f>AC183</f>
        <v>4087</v>
      </c>
      <c r="AC183">
        <v>4087</v>
      </c>
      <c r="AD183">
        <v>4080</v>
      </c>
      <c r="AE183">
        <v>4082</v>
      </c>
      <c r="AF183">
        <v>4086</v>
      </c>
      <c r="AG183">
        <f>AH183</f>
        <v>4145</v>
      </c>
      <c r="AH183">
        <v>4145</v>
      </c>
      <c r="AI183">
        <v>3958</v>
      </c>
      <c r="AJ183">
        <v>3969</v>
      </c>
      <c r="AK183">
        <v>3994</v>
      </c>
      <c r="AL183">
        <f>AM183</f>
        <v>4054</v>
      </c>
      <c r="AM183">
        <v>4054</v>
      </c>
      <c r="AN183">
        <v>4052</v>
      </c>
      <c r="AO183">
        <v>4066</v>
      </c>
      <c r="AP183">
        <v>4090</v>
      </c>
      <c r="AQ183">
        <f>AR183</f>
        <v>4132</v>
      </c>
      <c r="AR183">
        <v>4132</v>
      </c>
      <c r="AS183">
        <v>4140</v>
      </c>
      <c r="AT183">
        <v>4159</v>
      </c>
      <c r="AU183">
        <v>5336</v>
      </c>
      <c r="AV183">
        <f>AW183</f>
        <v>5328</v>
      </c>
      <c r="AW183">
        <v>5328</v>
      </c>
      <c r="AX183">
        <v>5361</v>
      </c>
      <c r="AY183">
        <v>5390</v>
      </c>
      <c r="AZ183">
        <v>5411</v>
      </c>
      <c r="BA183">
        <f>BB183</f>
        <v>5420</v>
      </c>
      <c r="BB183">
        <v>5420</v>
      </c>
      <c r="BC183">
        <v>5431</v>
      </c>
      <c r="BD183">
        <v>6153</v>
      </c>
      <c r="BE183">
        <v>6106</v>
      </c>
      <c r="BF183">
        <f>BG183</f>
        <v>6150</v>
      </c>
      <c r="BG183">
        <v>6150</v>
      </c>
      <c r="BH183">
        <v>6156</v>
      </c>
      <c r="BI183">
        <v>6177</v>
      </c>
      <c r="BJ183">
        <v>6206</v>
      </c>
      <c r="BK183">
        <f>BL183</f>
        <v>6245</v>
      </c>
      <c r="BL183">
        <v>6245</v>
      </c>
      <c r="BM183">
        <f>BM179</f>
        <v>6267</v>
      </c>
      <c r="BN183">
        <f>BN179</f>
        <v>6308</v>
      </c>
      <c r="BO183">
        <f>BO179</f>
        <v>6347</v>
      </c>
      <c r="BP183">
        <f>BP179</f>
        <v>6923</v>
      </c>
      <c r="BQ183">
        <v>6923</v>
      </c>
      <c r="BR183">
        <f t="shared" ref="BR183:DJ183" si="290">BR179</f>
        <v>6912</v>
      </c>
      <c r="BS183">
        <f t="shared" si="290"/>
        <v>6949</v>
      </c>
      <c r="BT183">
        <f t="shared" si="290"/>
        <v>7008</v>
      </c>
      <c r="BU183">
        <f t="shared" si="290"/>
        <v>7025</v>
      </c>
      <c r="BV183">
        <f t="shared" si="290"/>
        <v>7025</v>
      </c>
      <c r="BW183">
        <f t="shared" si="290"/>
        <v>7063</v>
      </c>
      <c r="BX183">
        <f t="shared" si="290"/>
        <v>7109</v>
      </c>
      <c r="BY183">
        <f t="shared" si="290"/>
        <v>7152</v>
      </c>
      <c r="BZ183">
        <f t="shared" si="290"/>
        <v>7182</v>
      </c>
      <c r="CA183">
        <f t="shared" si="290"/>
        <v>7182</v>
      </c>
      <c r="CB183">
        <f t="shared" si="290"/>
        <v>7226</v>
      </c>
      <c r="CC183">
        <f t="shared" si="290"/>
        <v>7266</v>
      </c>
      <c r="CD183">
        <f t="shared" si="290"/>
        <v>7304</v>
      </c>
      <c r="CE183">
        <f t="shared" si="290"/>
        <v>7327</v>
      </c>
      <c r="CF183">
        <f t="shared" si="290"/>
        <v>7327</v>
      </c>
      <c r="CG183">
        <f t="shared" si="290"/>
        <v>7352</v>
      </c>
      <c r="CH183">
        <f t="shared" si="290"/>
        <v>7380</v>
      </c>
      <c r="CI183">
        <f t="shared" si="290"/>
        <v>7419</v>
      </c>
      <c r="CJ183">
        <f t="shared" si="290"/>
        <v>7458</v>
      </c>
      <c r="CK183">
        <f t="shared" si="290"/>
        <v>7458</v>
      </c>
      <c r="CL183">
        <f t="shared" si="290"/>
        <v>7531</v>
      </c>
      <c r="CM183">
        <f t="shared" si="290"/>
        <v>7617</v>
      </c>
      <c r="CN183">
        <f t="shared" si="290"/>
        <v>7665</v>
      </c>
      <c r="CO183">
        <f t="shared" si="290"/>
        <v>7660</v>
      </c>
      <c r="CP183">
        <f t="shared" si="290"/>
        <v>7579</v>
      </c>
      <c r="CQ183">
        <f t="shared" si="290"/>
        <v>7829</v>
      </c>
      <c r="CR183">
        <f t="shared" si="290"/>
        <v>7859</v>
      </c>
      <c r="CS183">
        <f t="shared" si="290"/>
        <v>7933</v>
      </c>
      <c r="CT183">
        <f t="shared" si="290"/>
        <v>7981</v>
      </c>
      <c r="CU183">
        <f t="shared" si="290"/>
        <v>7967</v>
      </c>
      <c r="CV183">
        <f t="shared" si="290"/>
        <v>8006</v>
      </c>
      <c r="CW183">
        <f t="shared" si="290"/>
        <v>8028</v>
      </c>
      <c r="CX183">
        <f>CX179</f>
        <v>7944</v>
      </c>
      <c r="CY183">
        <f t="shared" si="290"/>
        <v>9655</v>
      </c>
      <c r="CZ183">
        <f t="shared" si="290"/>
        <v>9655</v>
      </c>
      <c r="DA183">
        <f t="shared" si="290"/>
        <v>9674</v>
      </c>
      <c r="DB183">
        <f t="shared" si="290"/>
        <v>9686</v>
      </c>
      <c r="DC183">
        <f t="shared" si="290"/>
        <v>9728</v>
      </c>
      <c r="DD183">
        <f t="shared" si="290"/>
        <v>9747</v>
      </c>
      <c r="DE183">
        <f t="shared" si="290"/>
        <v>9747</v>
      </c>
      <c r="DF183">
        <f t="shared" si="290"/>
        <v>9676</v>
      </c>
      <c r="DG183">
        <f t="shared" si="290"/>
        <v>9700</v>
      </c>
      <c r="DH183" s="2734">
        <f t="shared" ref="DH183:DI183" si="291">DH179</f>
        <v>9751</v>
      </c>
      <c r="DI183" s="2795">
        <f t="shared" si="291"/>
        <v>9803</v>
      </c>
      <c r="DJ183">
        <f t="shared" si="290"/>
        <v>9803</v>
      </c>
      <c r="DK183" s="2559">
        <f t="shared" ref="DK183:DT183" si="292">DK179</f>
        <v>9828</v>
      </c>
      <c r="DL183" s="2559">
        <f t="shared" si="292"/>
        <v>9853</v>
      </c>
      <c r="DM183" s="2559">
        <f t="shared" si="292"/>
        <v>9878</v>
      </c>
      <c r="DN183" s="2559">
        <f t="shared" si="292"/>
        <v>9903</v>
      </c>
      <c r="DO183" s="2559">
        <f t="shared" si="292"/>
        <v>9903</v>
      </c>
      <c r="DP183" s="2649">
        <f t="shared" si="292"/>
        <v>9928</v>
      </c>
      <c r="DQ183" s="2649">
        <f t="shared" si="292"/>
        <v>9953</v>
      </c>
      <c r="DR183" s="2649">
        <f t="shared" si="292"/>
        <v>9978</v>
      </c>
      <c r="DS183" s="2649">
        <f t="shared" si="292"/>
        <v>10003</v>
      </c>
      <c r="DT183" s="2649">
        <f t="shared" si="292"/>
        <v>10003</v>
      </c>
      <c r="DU183" s="2771">
        <f t="shared" ref="DU183:DY183" si="293">DU179</f>
        <v>10028</v>
      </c>
      <c r="DV183" s="2771">
        <f t="shared" si="293"/>
        <v>10053</v>
      </c>
      <c r="DW183" s="2771">
        <f t="shared" si="293"/>
        <v>10078</v>
      </c>
      <c r="DX183" s="2771">
        <f t="shared" si="293"/>
        <v>10103</v>
      </c>
      <c r="DY183" s="2771">
        <f t="shared" si="293"/>
        <v>10103</v>
      </c>
    </row>
    <row r="184" spans="1:131" ht="11.25" hidden="1" customHeight="1" outlineLevel="1" x14ac:dyDescent="0.2">
      <c r="B184" t="s">
        <v>1050</v>
      </c>
      <c r="X184">
        <f>(X181/X183)*$B$178</f>
        <v>7415.565345080764</v>
      </c>
      <c r="AC184">
        <f>(AC181/AC183)*$B$178</f>
        <v>7513.5796427697578</v>
      </c>
      <c r="AH184">
        <f>(AH181/AH183)*$B$178</f>
        <v>7577.3220747889018</v>
      </c>
      <c r="AM184">
        <f>(AM181/AM183)*$B$178</f>
        <v>7755.5500740009875</v>
      </c>
      <c r="AR184">
        <f>(AR181/AR183)*$B$178</f>
        <v>7600.6776379477251</v>
      </c>
      <c r="AW184">
        <f>(AW181/AW183)*$B$178</f>
        <v>8146.7717717717715</v>
      </c>
      <c r="BB184">
        <f>(BB181/BB183)*$B$178</f>
        <v>8285.6088560885619</v>
      </c>
      <c r="BG184">
        <f>(BG181/BG183)*$B$178</f>
        <v>9007.4796747967484</v>
      </c>
      <c r="BL184">
        <f t="shared" ref="BL184:DJ184" si="294">(BL181/BL183)*$B$178</f>
        <v>9029.3034427542043</v>
      </c>
      <c r="BM184">
        <f t="shared" si="294"/>
        <v>9092.3887027285782</v>
      </c>
      <c r="BN184">
        <f t="shared" si="294"/>
        <v>9214.013950538998</v>
      </c>
      <c r="BO184">
        <f t="shared" si="294"/>
        <v>9205.1362848589888</v>
      </c>
      <c r="BP184">
        <f t="shared" si="294"/>
        <v>9560.0173335259296</v>
      </c>
      <c r="BQ184">
        <f t="shared" si="294"/>
        <v>9560.0173335259296</v>
      </c>
      <c r="BR184">
        <f t="shared" si="294"/>
        <v>9561.7267789600974</v>
      </c>
      <c r="BS184">
        <f t="shared" si="294"/>
        <v>9562.3825154636179</v>
      </c>
      <c r="BT184">
        <f t="shared" si="294"/>
        <v>9562.7890569915508</v>
      </c>
      <c r="BU184">
        <f t="shared" si="294"/>
        <v>9562.5381998115536</v>
      </c>
      <c r="BV184">
        <f t="shared" si="294"/>
        <v>9637.0106761565839</v>
      </c>
      <c r="BW184">
        <f t="shared" si="294"/>
        <v>9562.6147855777872</v>
      </c>
      <c r="BX184">
        <f t="shared" si="294"/>
        <v>9562.706399211942</v>
      </c>
      <c r="BY184">
        <f t="shared" si="294"/>
        <v>9562.7909723481152</v>
      </c>
      <c r="BZ184">
        <f t="shared" si="294"/>
        <v>9562.8493771221692</v>
      </c>
      <c r="CA184">
        <f t="shared" si="294"/>
        <v>9562.8493771221692</v>
      </c>
      <c r="CB184">
        <f t="shared" si="294"/>
        <v>9562.9341602273307</v>
      </c>
      <c r="CC184">
        <f t="shared" si="294"/>
        <v>9563.0103447306574</v>
      </c>
      <c r="CD184">
        <f t="shared" si="294"/>
        <v>9563.0819471074337</v>
      </c>
      <c r="CE184">
        <f t="shared" si="294"/>
        <v>9563.1249245808103</v>
      </c>
      <c r="CF184">
        <f t="shared" si="294"/>
        <v>9563.1249245808103</v>
      </c>
      <c r="CG184">
        <f t="shared" si="294"/>
        <v>9563.1713342335424</v>
      </c>
      <c r="CH184">
        <f t="shared" si="294"/>
        <v>9563.2229397550382</v>
      </c>
      <c r="CI184">
        <f t="shared" si="294"/>
        <v>9563.2941697435217</v>
      </c>
      <c r="CJ184">
        <f t="shared" si="294"/>
        <v>9563.3646547683293</v>
      </c>
      <c r="CK184">
        <f t="shared" si="294"/>
        <v>9563.3646547683293</v>
      </c>
      <c r="CL184">
        <f t="shared" si="294"/>
        <v>9563.4946261792447</v>
      </c>
      <c r="CM184">
        <f t="shared" si="294"/>
        <v>9563.6445469644132</v>
      </c>
      <c r="CN184">
        <f t="shared" si="294"/>
        <v>9563.7267608402144</v>
      </c>
      <c r="CO184">
        <f t="shared" ca="1" si="294"/>
        <v>9620.345186811026</v>
      </c>
      <c r="CP184">
        <f t="shared" ca="1" si="294"/>
        <v>9723.1619119900333</v>
      </c>
      <c r="CQ184">
        <f t="shared" ca="1" si="294"/>
        <v>9504.9341608764771</v>
      </c>
      <c r="CR184">
        <f t="shared" ca="1" si="294"/>
        <v>9576.9234164323916</v>
      </c>
      <c r="CS184">
        <f t="shared" ca="1" si="294"/>
        <v>9547.4560097815684</v>
      </c>
      <c r="CT184">
        <f t="shared" ca="1" si="294"/>
        <v>9539.9877253277718</v>
      </c>
      <c r="CU184">
        <f t="shared" ca="1" si="294"/>
        <v>9556.7518558856445</v>
      </c>
      <c r="CV184">
        <f t="shared" ca="1" si="294"/>
        <v>9603.4070781708233</v>
      </c>
      <c r="CW184">
        <f t="shared" ca="1" si="294"/>
        <v>9686.5973181255031</v>
      </c>
      <c r="CX184">
        <f ca="1">(CX181/CX183)*$B$178</f>
        <v>9850.7903272208332</v>
      </c>
      <c r="CY184">
        <f t="shared" ca="1" si="294"/>
        <v>8147.7546482465768</v>
      </c>
      <c r="CZ184">
        <f t="shared" ca="1" si="294"/>
        <v>8147.7546482465768</v>
      </c>
      <c r="DA184">
        <f t="shared" ca="1" si="294"/>
        <v>8146.5266688579159</v>
      </c>
      <c r="DB184">
        <f t="shared" ca="1" si="294"/>
        <v>8229.4655535473175</v>
      </c>
      <c r="DC184">
        <f t="shared" ca="1" si="294"/>
        <v>8245.6358263187049</v>
      </c>
      <c r="DD184">
        <f t="shared" ca="1" si="294"/>
        <v>8272.877337338794</v>
      </c>
      <c r="DE184">
        <f t="shared" ca="1" si="294"/>
        <v>8272.877337338794</v>
      </c>
      <c r="DF184">
        <f t="shared" ca="1" si="294"/>
        <v>8144.8428063798556</v>
      </c>
      <c r="DG184">
        <f t="shared" ca="1" si="294"/>
        <v>8217.5879743978676</v>
      </c>
      <c r="DH184" s="2734">
        <f t="shared" ref="DH184:DI184" ca="1" si="295">(DH181/DH183)*$B$178</f>
        <v>8226.1865776257164</v>
      </c>
      <c r="DI184" s="2795">
        <f t="shared" ca="1" si="295"/>
        <v>8225.6182196308509</v>
      </c>
      <c r="DJ184">
        <f t="shared" ca="1" si="294"/>
        <v>8225.6182196308509</v>
      </c>
      <c r="DK184" s="2559">
        <f t="shared" ref="DK184:DT184" ca="1" si="296">(DK181/DK183)*$B$178</f>
        <v>8018.8745415681205</v>
      </c>
      <c r="DL184" s="2559">
        <f t="shared" ca="1" si="296"/>
        <v>8089.9830865380409</v>
      </c>
      <c r="DM184" s="2559">
        <f t="shared" ca="1" si="296"/>
        <v>8120.4237009949748</v>
      </c>
      <c r="DN184" s="2559">
        <f t="shared" ca="1" si="296"/>
        <v>8142.5563371747176</v>
      </c>
      <c r="DO184" s="2559">
        <f t="shared" ca="1" si="296"/>
        <v>8142.5563371747176</v>
      </c>
      <c r="DP184" s="2649">
        <f t="shared" ca="1" si="296"/>
        <v>7938.1042500535341</v>
      </c>
      <c r="DQ184" s="2649">
        <f t="shared" ca="1" si="296"/>
        <v>8008.7012309514039</v>
      </c>
      <c r="DR184" s="2649">
        <f t="shared" ca="1" si="296"/>
        <v>8039.040420768526</v>
      </c>
      <c r="DS184" s="2649">
        <f t="shared" ca="1" si="296"/>
        <v>8061.1551941458792</v>
      </c>
      <c r="DT184" s="2649">
        <f t="shared" ca="1" si="296"/>
        <v>8061.1551941458792</v>
      </c>
      <c r="DU184" s="2771">
        <f t="shared" ref="DU184:DY184" ca="1" si="297">(DU181/DU183)*$B$178</f>
        <v>7858.9448538623337</v>
      </c>
      <c r="DV184" s="2771">
        <f t="shared" ca="1" si="297"/>
        <v>7929.0364420232081</v>
      </c>
      <c r="DW184" s="2771">
        <f t="shared" ca="1" si="297"/>
        <v>7959.2722086156336</v>
      </c>
      <c r="DX184" s="2771">
        <f t="shared" ca="1" si="297"/>
        <v>7981.3654762982505</v>
      </c>
      <c r="DY184" s="2771">
        <f t="shared" ca="1" si="297"/>
        <v>7981.3654762982505</v>
      </c>
    </row>
    <row r="185" spans="1:131" ht="11.25" hidden="1" customHeight="1" outlineLevel="1" x14ac:dyDescent="0.2">
      <c r="A185" s="2184"/>
      <c r="B185" s="765" t="s">
        <v>1051</v>
      </c>
      <c r="C185" s="469"/>
      <c r="D185" s="469"/>
      <c r="E185" s="469"/>
      <c r="F185" s="469"/>
      <c r="G185" s="469"/>
      <c r="H185" s="469"/>
      <c r="I185" s="580"/>
      <c r="J185" s="469"/>
      <c r="K185" s="469"/>
      <c r="L185" s="469"/>
      <c r="M185" s="469"/>
      <c r="N185" s="580"/>
      <c r="O185" s="469"/>
      <c r="P185" s="469"/>
      <c r="Q185" s="469"/>
      <c r="R185" s="469"/>
      <c r="S185" s="580"/>
      <c r="T185" s="469"/>
      <c r="U185" s="469"/>
      <c r="V185" s="469"/>
      <c r="W185" s="469"/>
      <c r="X185" s="799">
        <v>0.02</v>
      </c>
      <c r="Y185" s="469"/>
      <c r="Z185" s="469"/>
      <c r="AA185" s="469"/>
      <c r="AB185" s="469"/>
      <c r="AC185" s="799">
        <v>0.02</v>
      </c>
      <c r="AD185" s="469"/>
      <c r="AE185" s="469"/>
      <c r="AF185" s="469"/>
      <c r="AG185" s="469"/>
      <c r="AH185" s="799">
        <v>0.02</v>
      </c>
      <c r="AI185" s="469"/>
      <c r="AJ185" s="469"/>
      <c r="AK185" s="469"/>
      <c r="AL185" s="469"/>
      <c r="AM185" s="799">
        <v>0.02</v>
      </c>
      <c r="AN185" s="469"/>
      <c r="AO185" s="469"/>
      <c r="AP185" s="469"/>
      <c r="AQ185" s="469"/>
      <c r="AR185" s="799">
        <v>0.04</v>
      </c>
      <c r="AS185" s="469"/>
      <c r="AT185" s="469"/>
      <c r="AU185" s="469"/>
      <c r="AV185" s="469"/>
      <c r="AW185" s="799">
        <v>0.03</v>
      </c>
      <c r="AX185" s="469"/>
      <c r="AY185" s="469"/>
      <c r="AZ185" s="469"/>
      <c r="BA185" s="469"/>
      <c r="BB185" s="799">
        <v>0.03</v>
      </c>
      <c r="BC185" s="469"/>
      <c r="BD185" s="469"/>
      <c r="BE185" s="469"/>
      <c r="BF185" s="469"/>
      <c r="BG185" s="799">
        <v>0.06</v>
      </c>
      <c r="BH185" s="469"/>
      <c r="BI185" s="469"/>
      <c r="BJ185" s="469"/>
      <c r="BK185" s="469"/>
      <c r="BL185" s="799">
        <v>3.5999999999999997E-2</v>
      </c>
      <c r="BM185" s="469"/>
      <c r="BN185" s="469"/>
      <c r="BO185" s="469"/>
      <c r="BP185" s="469"/>
      <c r="BQ185" s="799">
        <v>5.1999999999999998E-2</v>
      </c>
      <c r="BR185" s="469"/>
      <c r="BS185" s="469"/>
      <c r="BT185" s="469"/>
      <c r="BU185" s="469"/>
      <c r="BV185" s="1119">
        <v>0.05</v>
      </c>
      <c r="BW185" s="469"/>
      <c r="BX185" s="469"/>
      <c r="BY185" s="469"/>
      <c r="BZ185" s="469"/>
      <c r="CA185" s="1119">
        <v>0.05</v>
      </c>
      <c r="CB185" s="469"/>
      <c r="CC185" s="469"/>
      <c r="CD185" s="469"/>
      <c r="CE185" s="469"/>
      <c r="CF185" s="1119">
        <v>0.05</v>
      </c>
      <c r="CG185" s="469"/>
      <c r="CH185" s="469"/>
      <c r="CI185" s="469"/>
      <c r="CJ185" s="469"/>
      <c r="CK185" s="1119">
        <v>0.05</v>
      </c>
      <c r="CL185" s="469"/>
      <c r="CM185" s="469"/>
      <c r="CN185" s="469"/>
      <c r="CO185" s="469"/>
      <c r="CP185" s="1119">
        <v>0.05</v>
      </c>
      <c r="CQ185" s="469"/>
      <c r="CR185" s="469"/>
      <c r="CS185" s="469"/>
      <c r="CT185" s="469"/>
      <c r="CU185" s="1119">
        <v>0.05</v>
      </c>
      <c r="CV185" s="469"/>
      <c r="CW185" s="469"/>
      <c r="CX185" s="469"/>
      <c r="CY185" s="469"/>
      <c r="CZ185" s="1119">
        <v>0.05</v>
      </c>
      <c r="DA185" s="469"/>
      <c r="DB185" s="469"/>
      <c r="DC185" s="469"/>
      <c r="DD185" s="469"/>
      <c r="DE185" s="1119">
        <v>0.05</v>
      </c>
      <c r="DF185" s="469"/>
      <c r="DG185" s="469"/>
      <c r="DH185" s="469"/>
      <c r="DI185" s="469"/>
      <c r="DJ185" s="1119">
        <v>0.05</v>
      </c>
      <c r="DK185" s="469"/>
      <c r="DL185" s="469"/>
      <c r="DM185" s="469"/>
      <c r="DN185" s="469"/>
      <c r="DO185" s="1119">
        <v>0.05</v>
      </c>
      <c r="DP185" s="469"/>
      <c r="DQ185" s="469"/>
      <c r="DR185" s="469"/>
      <c r="DS185" s="469"/>
      <c r="DT185" s="1119">
        <v>0.05</v>
      </c>
      <c r="DU185" s="469"/>
      <c r="DV185" s="469"/>
      <c r="DW185" s="469"/>
      <c r="DX185" s="469"/>
      <c r="DY185" s="1119">
        <v>0.05</v>
      </c>
      <c r="DZ185" s="2186"/>
      <c r="EA185" s="2186"/>
    </row>
    <row r="186" spans="1:131" ht="11.25" hidden="1" customHeight="1" outlineLevel="1" x14ac:dyDescent="0.2">
      <c r="DH186" s="2734"/>
      <c r="DI186" s="2795"/>
    </row>
    <row r="187" spans="1:131" ht="11.25" hidden="1" customHeight="1" outlineLevel="1" x14ac:dyDescent="0.2">
      <c r="B187" t="s">
        <v>1052</v>
      </c>
      <c r="AM187">
        <f>AM183-AM188</f>
        <v>97</v>
      </c>
      <c r="AR187">
        <f>AR183-AR188</f>
        <v>116</v>
      </c>
      <c r="AW187">
        <f>AW183-AW188</f>
        <v>67</v>
      </c>
      <c r="BB187">
        <f>BB183-BB188</f>
        <v>53</v>
      </c>
      <c r="BG187">
        <f>BG183-BG188</f>
        <v>92</v>
      </c>
      <c r="BL187">
        <f>BL183-BL188</f>
        <v>81</v>
      </c>
      <c r="BM187">
        <v>66</v>
      </c>
      <c r="BN187">
        <v>66</v>
      </c>
      <c r="BO187">
        <v>66</v>
      </c>
      <c r="BP187">
        <f>BP183-BP188</f>
        <v>66</v>
      </c>
      <c r="BQ187">
        <f>BQ183-BQ188</f>
        <v>66</v>
      </c>
      <c r="BR187">
        <f>BR183-BR188</f>
        <v>63</v>
      </c>
      <c r="BS187">
        <f>BS183-BS188</f>
        <v>62</v>
      </c>
      <c r="BT187">
        <f>BT183-BT188</f>
        <v>62</v>
      </c>
      <c r="BU187">
        <v>60</v>
      </c>
      <c r="BV187">
        <v>60</v>
      </c>
      <c r="BW187">
        <v>60</v>
      </c>
      <c r="BX187">
        <v>60</v>
      </c>
      <c r="BY187">
        <v>61</v>
      </c>
      <c r="BZ187">
        <v>62</v>
      </c>
      <c r="CA187">
        <v>60</v>
      </c>
      <c r="CB187">
        <v>60</v>
      </c>
      <c r="CC187">
        <v>60</v>
      </c>
      <c r="CD187">
        <v>60</v>
      </c>
      <c r="CE187">
        <v>60</v>
      </c>
      <c r="CF187">
        <v>60</v>
      </c>
      <c r="CG187">
        <v>60</v>
      </c>
      <c r="CH187">
        <v>60</v>
      </c>
      <c r="CI187">
        <v>60</v>
      </c>
      <c r="CJ187">
        <v>60</v>
      </c>
      <c r="CK187">
        <v>60</v>
      </c>
      <c r="CL187">
        <v>60</v>
      </c>
      <c r="CM187">
        <v>60</v>
      </c>
      <c r="CN187">
        <v>60</v>
      </c>
      <c r="CO187">
        <v>60</v>
      </c>
      <c r="CP187">
        <v>60</v>
      </c>
      <c r="CQ187">
        <v>60</v>
      </c>
      <c r="CR187">
        <v>60</v>
      </c>
      <c r="CS187">
        <v>60</v>
      </c>
      <c r="CT187">
        <v>60</v>
      </c>
      <c r="CU187">
        <v>60</v>
      </c>
      <c r="CV187">
        <v>60</v>
      </c>
      <c r="CW187">
        <v>60</v>
      </c>
      <c r="CX187">
        <v>60</v>
      </c>
      <c r="CY187">
        <v>60</v>
      </c>
      <c r="CZ187">
        <v>60</v>
      </c>
      <c r="DA187">
        <v>60</v>
      </c>
      <c r="DB187">
        <v>60</v>
      </c>
      <c r="DC187">
        <v>60</v>
      </c>
      <c r="DD187">
        <v>60</v>
      </c>
      <c r="DE187">
        <v>60</v>
      </c>
      <c r="DF187">
        <v>60</v>
      </c>
      <c r="DG187">
        <v>60</v>
      </c>
      <c r="DH187" s="2739">
        <v>60</v>
      </c>
      <c r="DI187" s="2739">
        <v>60</v>
      </c>
      <c r="DJ187">
        <v>60</v>
      </c>
      <c r="DK187" s="2559">
        <v>60</v>
      </c>
      <c r="DL187" s="2559">
        <v>60</v>
      </c>
      <c r="DM187" s="2559">
        <v>60</v>
      </c>
      <c r="DN187" s="2559">
        <v>60</v>
      </c>
      <c r="DO187" s="2559">
        <v>60</v>
      </c>
      <c r="DP187" s="2649">
        <v>60</v>
      </c>
      <c r="DQ187" s="2649">
        <v>60</v>
      </c>
      <c r="DR187" s="2649">
        <v>60</v>
      </c>
      <c r="DS187" s="2649">
        <v>60</v>
      </c>
      <c r="DT187" s="2649">
        <v>60</v>
      </c>
      <c r="DU187" s="2771">
        <v>60</v>
      </c>
      <c r="DV187" s="2771">
        <v>60</v>
      </c>
      <c r="DW187" s="2771">
        <v>60</v>
      </c>
      <c r="DX187" s="2771">
        <v>60</v>
      </c>
      <c r="DY187" s="2771">
        <v>60</v>
      </c>
    </row>
    <row r="188" spans="1:131" ht="11.25" hidden="1" customHeight="1" outlineLevel="1" x14ac:dyDescent="0.2">
      <c r="B188" t="s">
        <v>1053</v>
      </c>
      <c r="AL188">
        <f>AM188</f>
        <v>3957</v>
      </c>
      <c r="AM188">
        <v>3957</v>
      </c>
      <c r="AQ188">
        <f>AR188</f>
        <v>4016</v>
      </c>
      <c r="AR188">
        <v>4016</v>
      </c>
      <c r="AV188">
        <f>AW188</f>
        <v>5261</v>
      </c>
      <c r="AW188">
        <v>5261</v>
      </c>
      <c r="BA188">
        <f>BB188</f>
        <v>5367</v>
      </c>
      <c r="BB188">
        <v>5367</v>
      </c>
      <c r="BF188">
        <f>BG188</f>
        <v>6058</v>
      </c>
      <c r="BG188">
        <v>6058</v>
      </c>
      <c r="BK188">
        <f>BL188</f>
        <v>6164</v>
      </c>
      <c r="BL188">
        <v>6164</v>
      </c>
      <c r="BM188">
        <f>BM183-BM187</f>
        <v>6201</v>
      </c>
      <c r="BN188">
        <f>BN183-BN187</f>
        <v>6242</v>
      </c>
      <c r="BO188">
        <f>BO183-BO187</f>
        <v>6281</v>
      </c>
      <c r="BP188">
        <f>BQ188</f>
        <v>6857</v>
      </c>
      <c r="BQ188">
        <v>6857</v>
      </c>
      <c r="BR188">
        <v>6849</v>
      </c>
      <c r="BS188">
        <v>6887</v>
      </c>
      <c r="BT188">
        <v>6946</v>
      </c>
      <c r="BU188">
        <f t="shared" ref="BU188:DJ188" si="298">BU183-BU187</f>
        <v>6965</v>
      </c>
      <c r="BV188">
        <f t="shared" si="298"/>
        <v>6965</v>
      </c>
      <c r="BW188">
        <f t="shared" si="298"/>
        <v>7003</v>
      </c>
      <c r="BX188">
        <f t="shared" si="298"/>
        <v>7049</v>
      </c>
      <c r="BY188">
        <f t="shared" si="298"/>
        <v>7091</v>
      </c>
      <c r="BZ188">
        <f t="shared" si="298"/>
        <v>7120</v>
      </c>
      <c r="CA188">
        <f t="shared" si="298"/>
        <v>7122</v>
      </c>
      <c r="CB188">
        <f t="shared" si="298"/>
        <v>7166</v>
      </c>
      <c r="CC188">
        <f t="shared" si="298"/>
        <v>7206</v>
      </c>
      <c r="CD188">
        <f t="shared" si="298"/>
        <v>7244</v>
      </c>
      <c r="CE188">
        <f t="shared" si="298"/>
        <v>7267</v>
      </c>
      <c r="CF188">
        <f t="shared" si="298"/>
        <v>7267</v>
      </c>
      <c r="CG188">
        <f t="shared" si="298"/>
        <v>7292</v>
      </c>
      <c r="CH188">
        <f t="shared" si="298"/>
        <v>7320</v>
      </c>
      <c r="CI188">
        <f t="shared" si="298"/>
        <v>7359</v>
      </c>
      <c r="CJ188">
        <f t="shared" si="298"/>
        <v>7398</v>
      </c>
      <c r="CK188">
        <f t="shared" si="298"/>
        <v>7398</v>
      </c>
      <c r="CL188">
        <f t="shared" si="298"/>
        <v>7471</v>
      </c>
      <c r="CM188">
        <f t="shared" si="298"/>
        <v>7557</v>
      </c>
      <c r="CN188">
        <f t="shared" si="298"/>
        <v>7605</v>
      </c>
      <c r="CO188">
        <f t="shared" si="298"/>
        <v>7600</v>
      </c>
      <c r="CP188">
        <f t="shared" si="298"/>
        <v>7519</v>
      </c>
      <c r="CQ188">
        <f t="shared" si="298"/>
        <v>7769</v>
      </c>
      <c r="CR188">
        <f t="shared" si="298"/>
        <v>7799</v>
      </c>
      <c r="CS188">
        <f t="shared" si="298"/>
        <v>7873</v>
      </c>
      <c r="CT188">
        <f t="shared" si="298"/>
        <v>7921</v>
      </c>
      <c r="CU188">
        <f t="shared" si="298"/>
        <v>7907</v>
      </c>
      <c r="CV188">
        <f t="shared" si="298"/>
        <v>7946</v>
      </c>
      <c r="CW188">
        <f t="shared" si="298"/>
        <v>7968</v>
      </c>
      <c r="CX188">
        <f>CX183-CX187</f>
        <v>7884</v>
      </c>
      <c r="CY188">
        <f t="shared" si="298"/>
        <v>9595</v>
      </c>
      <c r="CZ188">
        <f t="shared" si="298"/>
        <v>9595</v>
      </c>
      <c r="DA188">
        <f t="shared" si="298"/>
        <v>9614</v>
      </c>
      <c r="DB188">
        <f t="shared" si="298"/>
        <v>9626</v>
      </c>
      <c r="DC188">
        <f t="shared" si="298"/>
        <v>9668</v>
      </c>
      <c r="DD188">
        <f t="shared" si="298"/>
        <v>9687</v>
      </c>
      <c r="DE188">
        <f t="shared" si="298"/>
        <v>9687</v>
      </c>
      <c r="DF188">
        <f t="shared" si="298"/>
        <v>9616</v>
      </c>
      <c r="DG188">
        <f t="shared" si="298"/>
        <v>9640</v>
      </c>
      <c r="DH188" s="2734">
        <f t="shared" ref="DH188:DI188" si="299">DH183-DH187</f>
        <v>9691</v>
      </c>
      <c r="DI188" s="2795">
        <f t="shared" si="299"/>
        <v>9743</v>
      </c>
      <c r="DJ188">
        <f t="shared" si="298"/>
        <v>9743</v>
      </c>
      <c r="DK188" s="2559">
        <f t="shared" ref="DK188:DT188" si="300">DK183-DK187</f>
        <v>9768</v>
      </c>
      <c r="DL188" s="2559">
        <f t="shared" si="300"/>
        <v>9793</v>
      </c>
      <c r="DM188" s="2559">
        <f t="shared" si="300"/>
        <v>9818</v>
      </c>
      <c r="DN188" s="2559">
        <f t="shared" si="300"/>
        <v>9843</v>
      </c>
      <c r="DO188" s="2559">
        <f t="shared" si="300"/>
        <v>9843</v>
      </c>
      <c r="DP188" s="2649">
        <f t="shared" si="300"/>
        <v>9868</v>
      </c>
      <c r="DQ188" s="2649">
        <f t="shared" si="300"/>
        <v>9893</v>
      </c>
      <c r="DR188" s="2649">
        <f t="shared" si="300"/>
        <v>9918</v>
      </c>
      <c r="DS188" s="2649">
        <f t="shared" si="300"/>
        <v>9943</v>
      </c>
      <c r="DT188" s="2649">
        <f t="shared" si="300"/>
        <v>9943</v>
      </c>
      <c r="DU188" s="2771">
        <f t="shared" ref="DU188:DY188" si="301">DU183-DU187</f>
        <v>9968</v>
      </c>
      <c r="DV188" s="2771">
        <f t="shared" si="301"/>
        <v>9993</v>
      </c>
      <c r="DW188" s="2771">
        <f t="shared" si="301"/>
        <v>10018</v>
      </c>
      <c r="DX188" s="2771">
        <f t="shared" si="301"/>
        <v>10043</v>
      </c>
      <c r="DY188" s="2771">
        <f t="shared" si="301"/>
        <v>10043</v>
      </c>
    </row>
    <row r="189" spans="1:131" ht="11.25" hidden="1" customHeight="1" outlineLevel="1" x14ac:dyDescent="0.2">
      <c r="B189" t="s">
        <v>1054</v>
      </c>
      <c r="AM189">
        <f>AM184</f>
        <v>7755.5500740009875</v>
      </c>
      <c r="AR189">
        <f>AR184</f>
        <v>7600.6776379477251</v>
      </c>
      <c r="AW189">
        <f>AW184</f>
        <v>8146.7717717717715</v>
      </c>
      <c r="BB189">
        <f>BB184</f>
        <v>8285.6088560885619</v>
      </c>
      <c r="BG189">
        <f>BG184</f>
        <v>9007.4796747967484</v>
      </c>
      <c r="BL189">
        <f t="shared" ref="BL189:DJ189" si="302">BL184</f>
        <v>9029.3034427542043</v>
      </c>
      <c r="BM189">
        <f t="shared" si="302"/>
        <v>9092.3887027285782</v>
      </c>
      <c r="BN189">
        <f t="shared" si="302"/>
        <v>9214.013950538998</v>
      </c>
      <c r="BO189">
        <f t="shared" si="302"/>
        <v>9205.1362848589888</v>
      </c>
      <c r="BP189">
        <f t="shared" si="302"/>
        <v>9560.0173335259296</v>
      </c>
      <c r="BQ189">
        <f t="shared" si="302"/>
        <v>9560.0173335259296</v>
      </c>
      <c r="BR189">
        <f t="shared" si="302"/>
        <v>9561.7267789600974</v>
      </c>
      <c r="BS189">
        <f t="shared" si="302"/>
        <v>9562.3825154636179</v>
      </c>
      <c r="BT189">
        <f t="shared" si="302"/>
        <v>9562.7890569915508</v>
      </c>
      <c r="BU189">
        <f t="shared" si="302"/>
        <v>9562.5381998115536</v>
      </c>
      <c r="BV189">
        <f t="shared" si="302"/>
        <v>9637.0106761565839</v>
      </c>
      <c r="BW189">
        <f t="shared" si="302"/>
        <v>9562.6147855777872</v>
      </c>
      <c r="BX189">
        <f t="shared" si="302"/>
        <v>9562.706399211942</v>
      </c>
      <c r="BY189">
        <f t="shared" si="302"/>
        <v>9562.7909723481152</v>
      </c>
      <c r="BZ189">
        <f t="shared" si="302"/>
        <v>9562.8493771221692</v>
      </c>
      <c r="CA189">
        <f t="shared" si="302"/>
        <v>9562.8493771221692</v>
      </c>
      <c r="CB189">
        <f t="shared" si="302"/>
        <v>9562.9341602273307</v>
      </c>
      <c r="CC189">
        <f t="shared" si="302"/>
        <v>9563.0103447306574</v>
      </c>
      <c r="CD189">
        <f t="shared" si="302"/>
        <v>9563.0819471074337</v>
      </c>
      <c r="CE189">
        <f t="shared" si="302"/>
        <v>9563.1249245808103</v>
      </c>
      <c r="CF189">
        <f t="shared" si="302"/>
        <v>9563.1249245808103</v>
      </c>
      <c r="CG189">
        <f t="shared" si="302"/>
        <v>9563.1713342335424</v>
      </c>
      <c r="CH189">
        <f t="shared" si="302"/>
        <v>9563.2229397550382</v>
      </c>
      <c r="CI189">
        <f t="shared" si="302"/>
        <v>9563.2941697435217</v>
      </c>
      <c r="CJ189">
        <f t="shared" si="302"/>
        <v>9563.3646547683293</v>
      </c>
      <c r="CK189">
        <f t="shared" si="302"/>
        <v>9563.3646547683293</v>
      </c>
      <c r="CL189">
        <f t="shared" si="302"/>
        <v>9563.4946261792447</v>
      </c>
      <c r="CM189">
        <f t="shared" si="302"/>
        <v>9563.6445469644132</v>
      </c>
      <c r="CN189">
        <f t="shared" si="302"/>
        <v>9563.7267608402144</v>
      </c>
      <c r="CO189">
        <f t="shared" ca="1" si="302"/>
        <v>9620.345186811026</v>
      </c>
      <c r="CP189">
        <f t="shared" ca="1" si="302"/>
        <v>9723.1619119900333</v>
      </c>
      <c r="CQ189">
        <f t="shared" ca="1" si="302"/>
        <v>9504.9341608764771</v>
      </c>
      <c r="CR189">
        <f t="shared" ca="1" si="302"/>
        <v>9576.9234164323916</v>
      </c>
      <c r="CS189">
        <f t="shared" ca="1" si="302"/>
        <v>9547.4560097815684</v>
      </c>
      <c r="CT189">
        <f t="shared" ca="1" si="302"/>
        <v>9539.9877253277718</v>
      </c>
      <c r="CU189">
        <f t="shared" ca="1" si="302"/>
        <v>9556.7518558856445</v>
      </c>
      <c r="CV189">
        <f t="shared" ca="1" si="302"/>
        <v>9603.4070781708233</v>
      </c>
      <c r="CW189">
        <f t="shared" ca="1" si="302"/>
        <v>9686.5973181255031</v>
      </c>
      <c r="CX189">
        <f ca="1">CX184</f>
        <v>9850.7903272208332</v>
      </c>
      <c r="CY189">
        <f t="shared" ca="1" si="302"/>
        <v>8147.7546482465768</v>
      </c>
      <c r="CZ189">
        <f t="shared" ca="1" si="302"/>
        <v>8147.7546482465768</v>
      </c>
      <c r="DA189">
        <f t="shared" ca="1" si="302"/>
        <v>8146.5266688579159</v>
      </c>
      <c r="DB189">
        <f t="shared" ca="1" si="302"/>
        <v>8229.4655535473175</v>
      </c>
      <c r="DC189">
        <f t="shared" ca="1" si="302"/>
        <v>8245.6358263187049</v>
      </c>
      <c r="DD189">
        <f t="shared" ca="1" si="302"/>
        <v>8272.877337338794</v>
      </c>
      <c r="DE189">
        <f t="shared" ca="1" si="302"/>
        <v>8272.877337338794</v>
      </c>
      <c r="DF189">
        <f t="shared" ca="1" si="302"/>
        <v>8144.8428063798556</v>
      </c>
      <c r="DG189">
        <f t="shared" ca="1" si="302"/>
        <v>8217.5879743978676</v>
      </c>
      <c r="DH189" s="2734">
        <f t="shared" ref="DH189:DI189" ca="1" si="303">DH184</f>
        <v>8226.1865776257164</v>
      </c>
      <c r="DI189" s="2795">
        <f t="shared" ca="1" si="303"/>
        <v>8225.6182196308509</v>
      </c>
      <c r="DJ189">
        <f t="shared" ca="1" si="302"/>
        <v>8225.6182196308509</v>
      </c>
      <c r="DK189" s="2559">
        <f t="shared" ref="DK189:DT189" ca="1" si="304">DK184</f>
        <v>8018.8745415681205</v>
      </c>
      <c r="DL189" s="2559">
        <f t="shared" ca="1" si="304"/>
        <v>8089.9830865380409</v>
      </c>
      <c r="DM189" s="2559">
        <f t="shared" ca="1" si="304"/>
        <v>8120.4237009949748</v>
      </c>
      <c r="DN189" s="2559">
        <f t="shared" ca="1" si="304"/>
        <v>8142.5563371747176</v>
      </c>
      <c r="DO189" s="2559">
        <f t="shared" ca="1" si="304"/>
        <v>8142.5563371747176</v>
      </c>
      <c r="DP189" s="2649">
        <f t="shared" ca="1" si="304"/>
        <v>7938.1042500535341</v>
      </c>
      <c r="DQ189" s="2649">
        <f t="shared" ca="1" si="304"/>
        <v>8008.7012309514039</v>
      </c>
      <c r="DR189" s="2649">
        <f t="shared" ca="1" si="304"/>
        <v>8039.040420768526</v>
      </c>
      <c r="DS189" s="2649">
        <f t="shared" ca="1" si="304"/>
        <v>8061.1551941458792</v>
      </c>
      <c r="DT189" s="2649">
        <f t="shared" ca="1" si="304"/>
        <v>8061.1551941458792</v>
      </c>
      <c r="DU189" s="2771">
        <f t="shared" ref="DU189:DY189" ca="1" si="305">DU184</f>
        <v>7858.9448538623337</v>
      </c>
      <c r="DV189" s="2771">
        <f t="shared" ca="1" si="305"/>
        <v>7929.0364420232081</v>
      </c>
      <c r="DW189" s="2771">
        <f t="shared" ca="1" si="305"/>
        <v>7959.2722086156336</v>
      </c>
      <c r="DX189" s="2771">
        <f t="shared" ca="1" si="305"/>
        <v>7981.3654762982505</v>
      </c>
      <c r="DY189" s="2771">
        <f t="shared" ca="1" si="305"/>
        <v>7981.3654762982505</v>
      </c>
    </row>
    <row r="190" spans="1:131" ht="11.25" hidden="1" customHeight="1" outlineLevel="1" x14ac:dyDescent="0.2">
      <c r="B190" t="s">
        <v>1055</v>
      </c>
      <c r="AM190">
        <f>AM188*AM189/$B$178</f>
        <v>30688.711642821909</v>
      </c>
      <c r="AR190">
        <f>AR188*AR189/$B$178</f>
        <v>30524.321393998063</v>
      </c>
      <c r="AW190">
        <f>AW188*AW189/$B$178</f>
        <v>42860.166291291287</v>
      </c>
      <c r="BB190">
        <f>BB188*BB189/$B$178</f>
        <v>44468.862730627312</v>
      </c>
      <c r="BG190">
        <f>BG188*BG189/$B$178</f>
        <v>54567.311869918703</v>
      </c>
      <c r="BL190">
        <f t="shared" ref="BL190:DJ190" si="306">BL188*BL189/$B$178</f>
        <v>55656.626421136913</v>
      </c>
      <c r="BM190">
        <f t="shared" si="306"/>
        <v>56381.902345619914</v>
      </c>
      <c r="BN190">
        <f t="shared" si="306"/>
        <v>57513.875079264428</v>
      </c>
      <c r="BO190">
        <f t="shared" si="306"/>
        <v>57817.461005199308</v>
      </c>
      <c r="BP190">
        <f t="shared" si="306"/>
        <v>65553.03885598731</v>
      </c>
      <c r="BQ190">
        <f t="shared" si="306"/>
        <v>65553.03885598731</v>
      </c>
      <c r="BR190">
        <f t="shared" si="306"/>
        <v>65488.266709097705</v>
      </c>
      <c r="BS190">
        <f t="shared" si="306"/>
        <v>65856.128383997944</v>
      </c>
      <c r="BT190">
        <f t="shared" si="306"/>
        <v>66423.132789863317</v>
      </c>
      <c r="BU190">
        <f t="shared" si="306"/>
        <v>66603.078561687464</v>
      </c>
      <c r="BV190">
        <f t="shared" si="306"/>
        <v>67121.779359430613</v>
      </c>
      <c r="BW190">
        <f t="shared" si="306"/>
        <v>66966.991343401241</v>
      </c>
      <c r="BX190">
        <f t="shared" si="306"/>
        <v>67407.51740804498</v>
      </c>
      <c r="BY190">
        <f t="shared" si="306"/>
        <v>67809.750784920485</v>
      </c>
      <c r="BZ190">
        <f t="shared" si="306"/>
        <v>68087.487565109855</v>
      </c>
      <c r="CA190">
        <f t="shared" si="306"/>
        <v>68106.613263864085</v>
      </c>
      <c r="CB190">
        <f t="shared" si="306"/>
        <v>68527.986192189055</v>
      </c>
      <c r="CC190">
        <f t="shared" si="306"/>
        <v>68911.052544129125</v>
      </c>
      <c r="CD190">
        <f t="shared" si="306"/>
        <v>69274.965624846256</v>
      </c>
      <c r="CE190">
        <f t="shared" si="306"/>
        <v>69495.228826928753</v>
      </c>
      <c r="CF190">
        <f t="shared" si="306"/>
        <v>69495.228826928753</v>
      </c>
      <c r="CG190">
        <f t="shared" si="306"/>
        <v>69734.645369230988</v>
      </c>
      <c r="CH190">
        <f t="shared" si="306"/>
        <v>70002.791919006879</v>
      </c>
      <c r="CI190">
        <f t="shared" si="306"/>
        <v>70376.281795142582</v>
      </c>
      <c r="CJ190">
        <f t="shared" si="306"/>
        <v>70749.771715976109</v>
      </c>
      <c r="CK190">
        <f t="shared" si="306"/>
        <v>70749.771715976109</v>
      </c>
      <c r="CL190">
        <f t="shared" si="306"/>
        <v>71448.868352185134</v>
      </c>
      <c r="CM190">
        <f t="shared" si="306"/>
        <v>72272.46184141007</v>
      </c>
      <c r="CN190">
        <f t="shared" si="306"/>
        <v>72732.142016189828</v>
      </c>
      <c r="CO190">
        <f t="shared" ca="1" si="306"/>
        <v>73114.623419763797</v>
      </c>
      <c r="CP190">
        <f t="shared" ca="1" si="306"/>
        <v>73108.454416253066</v>
      </c>
      <c r="CQ190">
        <f t="shared" ca="1" si="306"/>
        <v>73843.833495849351</v>
      </c>
      <c r="CR190">
        <f t="shared" ca="1" si="306"/>
        <v>74690.42572475622</v>
      </c>
      <c r="CS190">
        <f t="shared" ca="1" si="306"/>
        <v>75167.121165010292</v>
      </c>
      <c r="CT190">
        <f t="shared" ca="1" si="306"/>
        <v>75566.24277232129</v>
      </c>
      <c r="CU190">
        <f t="shared" ca="1" si="306"/>
        <v>75565.236924487777</v>
      </c>
      <c r="CV190">
        <f t="shared" ca="1" si="306"/>
        <v>76308.672643145372</v>
      </c>
      <c r="CW190">
        <f t="shared" ca="1" si="306"/>
        <v>77182.807430824018</v>
      </c>
      <c r="CX190">
        <f ca="1">CX188*CX189/$B$178</f>
        <v>77663.630939809053</v>
      </c>
      <c r="CY190">
        <f t="shared" ca="1" si="306"/>
        <v>78177.7058499259</v>
      </c>
      <c r="CZ190">
        <f t="shared" ca="1" si="306"/>
        <v>78177.7058499259</v>
      </c>
      <c r="DA190">
        <f t="shared" ca="1" si="306"/>
        <v>78320.7073944</v>
      </c>
      <c r="DB190">
        <f t="shared" ca="1" si="306"/>
        <v>79216.835418446484</v>
      </c>
      <c r="DC190">
        <f t="shared" ca="1" si="306"/>
        <v>79718.807168849249</v>
      </c>
      <c r="DD190">
        <f t="shared" ca="1" si="306"/>
        <v>80139.362766800899</v>
      </c>
      <c r="DE190">
        <f t="shared" ca="1" si="306"/>
        <v>80139.362766800899</v>
      </c>
      <c r="DF190">
        <f t="shared" ca="1" si="306"/>
        <v>78320.808426148695</v>
      </c>
      <c r="DG190">
        <f t="shared" ca="1" si="306"/>
        <v>79217.548073195445</v>
      </c>
      <c r="DH190" s="2734">
        <f t="shared" ref="DH190:DI190" ca="1" si="307">DH188*DH189/$B$178</f>
        <v>79719.974123770822</v>
      </c>
      <c r="DI190" s="2795">
        <f t="shared" ca="1" si="307"/>
        <v>80142.19831386338</v>
      </c>
      <c r="DJ190">
        <f t="shared" ca="1" si="306"/>
        <v>80142.19831386338</v>
      </c>
      <c r="DK190" s="2559">
        <f t="shared" ref="DK190:DT190" ca="1" si="308">DK188*DK189/$B$178</f>
        <v>78328.366522037395</v>
      </c>
      <c r="DL190" s="2559">
        <f t="shared" ca="1" si="308"/>
        <v>79225.204366467035</v>
      </c>
      <c r="DM190" s="2559">
        <f t="shared" ca="1" si="308"/>
        <v>79726.319896368674</v>
      </c>
      <c r="DN190" s="2559">
        <f t="shared" ca="1" si="308"/>
        <v>80147.182026810755</v>
      </c>
      <c r="DO190" s="2559">
        <f t="shared" ca="1" si="308"/>
        <v>80147.182026810755</v>
      </c>
      <c r="DP190" s="2649">
        <f t="shared" ca="1" si="308"/>
        <v>78333.212739528273</v>
      </c>
      <c r="DQ190" s="2649">
        <f t="shared" ca="1" si="308"/>
        <v>79230.081277802237</v>
      </c>
      <c r="DR190" s="2649">
        <f t="shared" ca="1" si="308"/>
        <v>79731.202893182242</v>
      </c>
      <c r="DS190" s="2649">
        <f t="shared" ca="1" si="308"/>
        <v>80152.066095392482</v>
      </c>
      <c r="DT190" s="2649">
        <f t="shared" ca="1" si="308"/>
        <v>80152.066095392482</v>
      </c>
      <c r="DU190" s="2771">
        <f t="shared" ref="DU190:DY190" ca="1" si="309">DU188*DU189/$B$178</f>
        <v>78337.962303299733</v>
      </c>
      <c r="DV190" s="2771">
        <f t="shared" ca="1" si="309"/>
        <v>79234.861165137918</v>
      </c>
      <c r="DW190" s="2771">
        <f t="shared" ca="1" si="309"/>
        <v>79735.988985911419</v>
      </c>
      <c r="DX190" s="2771">
        <f t="shared" ca="1" si="309"/>
        <v>80156.853478463338</v>
      </c>
      <c r="DY190" s="2771">
        <f t="shared" ca="1" si="309"/>
        <v>80156.853478463338</v>
      </c>
    </row>
    <row r="191" spans="1:131" ht="11.25" hidden="1" customHeight="1" outlineLevel="1" x14ac:dyDescent="0.2">
      <c r="DH191" s="2734"/>
      <c r="DI191" s="2795"/>
    </row>
    <row r="192" spans="1:131" ht="11.25" hidden="1" customHeight="1" outlineLevel="1" x14ac:dyDescent="0.2">
      <c r="B192" t="s">
        <v>1056</v>
      </c>
      <c r="I192">
        <v>0</v>
      </c>
      <c r="N192">
        <v>0</v>
      </c>
      <c r="S192">
        <v>0</v>
      </c>
      <c r="X192">
        <v>0</v>
      </c>
      <c r="Y192">
        <f>Y54-Y183</f>
        <v>20</v>
      </c>
      <c r="Z192">
        <f>Z54-Z183</f>
        <v>29</v>
      </c>
      <c r="AA192">
        <f>AA54-AA183</f>
        <v>40</v>
      </c>
      <c r="AB192">
        <f>AB54-AB183</f>
        <v>46</v>
      </c>
      <c r="AC192">
        <f>AB192</f>
        <v>46</v>
      </c>
      <c r="AD192">
        <f>AD54-AD183</f>
        <v>47</v>
      </c>
      <c r="AE192">
        <f>AE54-AE183</f>
        <v>48</v>
      </c>
      <c r="AF192">
        <f>AF54-AF183</f>
        <v>49</v>
      </c>
      <c r="AG192">
        <f>AG54-AG183</f>
        <v>46</v>
      </c>
      <c r="AH192">
        <f>AG192</f>
        <v>46</v>
      </c>
      <c r="AI192">
        <f>AI54-AI183</f>
        <v>33</v>
      </c>
      <c r="AJ192">
        <f>AJ54-AJ183</f>
        <v>33</v>
      </c>
      <c r="AK192">
        <f>AK54-AK183</f>
        <v>33</v>
      </c>
      <c r="AL192">
        <f>AL54-AL183</f>
        <v>33</v>
      </c>
      <c r="AM192">
        <f>AL192</f>
        <v>33</v>
      </c>
      <c r="AN192">
        <f>AN54-AN183</f>
        <v>47</v>
      </c>
      <c r="AO192">
        <f>AO54-AO183</f>
        <v>47</v>
      </c>
      <c r="AP192">
        <f>AP54-AP183</f>
        <v>47</v>
      </c>
      <c r="AQ192">
        <f>AQ54-AQ183</f>
        <v>47</v>
      </c>
      <c r="AR192">
        <f>AQ192</f>
        <v>47</v>
      </c>
      <c r="AS192">
        <f>AS54-AS183</f>
        <v>47</v>
      </c>
      <c r="AT192">
        <f>AT54-AT183</f>
        <v>47</v>
      </c>
      <c r="AU192">
        <f>AU54-AU183</f>
        <v>47</v>
      </c>
      <c r="AV192">
        <f>AV54-AV183</f>
        <v>47</v>
      </c>
      <c r="AW192">
        <f>AV192</f>
        <v>47</v>
      </c>
      <c r="AX192">
        <f>AX54-AX183</f>
        <v>48</v>
      </c>
      <c r="AY192">
        <f>AY54-AY183</f>
        <v>49</v>
      </c>
      <c r="AZ192">
        <f>AZ54-AZ183</f>
        <v>50</v>
      </c>
      <c r="BA192">
        <f>BA54-BA183</f>
        <v>51</v>
      </c>
      <c r="BB192">
        <f>BA192</f>
        <v>51</v>
      </c>
      <c r="BC192">
        <f>BC54-BC183</f>
        <v>52</v>
      </c>
      <c r="BD192">
        <f>BD54-BD183</f>
        <v>52</v>
      </c>
      <c r="BE192">
        <f>BE54-BE183</f>
        <v>51</v>
      </c>
      <c r="BF192">
        <f>BF54-BF183</f>
        <v>52</v>
      </c>
      <c r="BG192">
        <f>BF192</f>
        <v>52</v>
      </c>
      <c r="BH192">
        <f>BH54-BH183</f>
        <v>52</v>
      </c>
      <c r="BI192">
        <f>BI54-BI183</f>
        <v>53</v>
      </c>
      <c r="BJ192">
        <f>BJ54-BJ183</f>
        <v>53</v>
      </c>
      <c r="BK192">
        <v>56</v>
      </c>
      <c r="BL192">
        <f>BK192</f>
        <v>56</v>
      </c>
      <c r="BM192">
        <v>56</v>
      </c>
      <c r="BN192">
        <v>56</v>
      </c>
      <c r="BO192">
        <v>57</v>
      </c>
      <c r="BP192">
        <v>58</v>
      </c>
      <c r="BQ192">
        <f>BP192</f>
        <v>58</v>
      </c>
      <c r="BR192">
        <v>52</v>
      </c>
      <c r="BS192">
        <v>50</v>
      </c>
      <c r="BT192">
        <v>49</v>
      </c>
      <c r="BU192" s="1120">
        <v>50</v>
      </c>
      <c r="BV192">
        <f>BU192</f>
        <v>50</v>
      </c>
      <c r="BW192" s="1120">
        <v>50</v>
      </c>
      <c r="BX192" s="1120">
        <v>50</v>
      </c>
      <c r="BY192" s="1120">
        <v>50</v>
      </c>
      <c r="BZ192" s="1120">
        <v>50</v>
      </c>
      <c r="CA192">
        <f>BZ192</f>
        <v>50</v>
      </c>
      <c r="CB192" s="1120">
        <v>50</v>
      </c>
      <c r="CC192" s="1120">
        <v>50</v>
      </c>
      <c r="CD192" s="1120">
        <v>50</v>
      </c>
      <c r="CE192" s="1120">
        <v>50</v>
      </c>
      <c r="CF192">
        <f>CE192</f>
        <v>50</v>
      </c>
      <c r="CG192" s="1120">
        <v>50</v>
      </c>
      <c r="CH192" s="1120">
        <v>50</v>
      </c>
      <c r="CI192" s="1120">
        <v>50</v>
      </c>
      <c r="CJ192" s="1120">
        <v>50</v>
      </c>
      <c r="CK192">
        <f>CJ192</f>
        <v>50</v>
      </c>
      <c r="CL192" s="1120">
        <v>50</v>
      </c>
      <c r="CM192" s="1120">
        <v>50</v>
      </c>
      <c r="CN192" s="1120">
        <v>50</v>
      </c>
      <c r="CO192" s="1120">
        <v>50</v>
      </c>
      <c r="CP192">
        <f>CO192</f>
        <v>50</v>
      </c>
      <c r="CQ192" s="1120">
        <v>50</v>
      </c>
      <c r="CR192" s="1120">
        <v>50</v>
      </c>
      <c r="CS192" s="1120">
        <v>50</v>
      </c>
      <c r="CT192" s="1120">
        <v>50</v>
      </c>
      <c r="CU192">
        <f>CT192</f>
        <v>50</v>
      </c>
      <c r="CV192" s="1120">
        <v>50</v>
      </c>
      <c r="CW192" s="1120">
        <v>50</v>
      </c>
      <c r="CX192" s="1120">
        <v>50</v>
      </c>
      <c r="CY192" s="1120">
        <v>50</v>
      </c>
      <c r="CZ192">
        <f>CY192</f>
        <v>50</v>
      </c>
      <c r="DA192" s="1120">
        <v>50</v>
      </c>
      <c r="DB192" s="1120">
        <v>50</v>
      </c>
      <c r="DC192" s="1120">
        <v>50</v>
      </c>
      <c r="DD192" s="1120">
        <v>50</v>
      </c>
      <c r="DE192">
        <f>DD192</f>
        <v>50</v>
      </c>
      <c r="DF192" s="1120">
        <v>50</v>
      </c>
      <c r="DG192" s="1120">
        <v>50</v>
      </c>
      <c r="DH192" s="2740">
        <v>50</v>
      </c>
      <c r="DI192" s="2740">
        <v>50</v>
      </c>
      <c r="DJ192">
        <f>DI192</f>
        <v>50</v>
      </c>
      <c r="DK192" s="1120">
        <v>50</v>
      </c>
      <c r="DL192" s="1120">
        <v>50</v>
      </c>
      <c r="DM192" s="1120">
        <v>50</v>
      </c>
      <c r="DN192" s="1120">
        <v>50</v>
      </c>
      <c r="DO192" s="2559">
        <f>DN192</f>
        <v>50</v>
      </c>
      <c r="DP192" s="1120">
        <v>50</v>
      </c>
      <c r="DQ192" s="1120">
        <v>50</v>
      </c>
      <c r="DR192" s="1120">
        <v>50</v>
      </c>
      <c r="DS192" s="1120">
        <v>50</v>
      </c>
      <c r="DT192" s="2649">
        <f>DS192</f>
        <v>50</v>
      </c>
      <c r="DU192" s="1120">
        <v>50</v>
      </c>
      <c r="DV192" s="1120">
        <v>50</v>
      </c>
      <c r="DW192" s="1120">
        <v>50</v>
      </c>
      <c r="DX192" s="1120">
        <v>50</v>
      </c>
      <c r="DY192" s="2771">
        <f>DX192</f>
        <v>50</v>
      </c>
    </row>
    <row r="193" spans="1:131" ht="11.25" hidden="1" customHeight="1" outlineLevel="1" x14ac:dyDescent="0.2">
      <c r="B193" t="s">
        <v>1054</v>
      </c>
      <c r="I193" s="2223">
        <v>2</v>
      </c>
      <c r="N193" s="2223">
        <v>2</v>
      </c>
      <c r="S193" s="2223">
        <v>2</v>
      </c>
      <c r="X193" s="2223">
        <v>2</v>
      </c>
      <c r="AC193" s="2223">
        <v>2</v>
      </c>
      <c r="AH193" s="2223">
        <v>2</v>
      </c>
      <c r="AM193" s="2223">
        <v>2</v>
      </c>
      <c r="AR193" s="2223">
        <v>2</v>
      </c>
      <c r="AW193" s="2223">
        <v>2</v>
      </c>
      <c r="BB193" s="2223">
        <v>2</v>
      </c>
      <c r="BG193" s="2223">
        <v>2</v>
      </c>
      <c r="BL193" s="1121">
        <v>2</v>
      </c>
      <c r="BM193" s="1122">
        <v>2</v>
      </c>
      <c r="BN193" s="1122">
        <v>2</v>
      </c>
      <c r="BO193" s="1122">
        <v>2</v>
      </c>
      <c r="BP193" s="1122">
        <v>2</v>
      </c>
      <c r="BQ193" s="1121">
        <v>2</v>
      </c>
      <c r="BR193" s="1122">
        <v>2</v>
      </c>
      <c r="BS193" s="1122">
        <v>2</v>
      </c>
      <c r="BT193" s="1122">
        <v>2</v>
      </c>
      <c r="BU193" s="1122">
        <v>2</v>
      </c>
      <c r="BV193" s="1121">
        <v>2</v>
      </c>
      <c r="BW193" s="1122">
        <v>2</v>
      </c>
      <c r="BX193" s="1122">
        <v>2</v>
      </c>
      <c r="BY193" s="1122">
        <v>2</v>
      </c>
      <c r="BZ193" s="1122">
        <v>2</v>
      </c>
      <c r="CA193" s="1121">
        <v>2</v>
      </c>
      <c r="CB193" s="1122">
        <v>2</v>
      </c>
      <c r="CC193" s="1122">
        <v>2</v>
      </c>
      <c r="CD193" s="1122">
        <v>2</v>
      </c>
      <c r="CE193" s="1122">
        <v>2</v>
      </c>
      <c r="CF193" s="1121">
        <v>2</v>
      </c>
      <c r="CG193" s="1122">
        <v>2</v>
      </c>
      <c r="CH193" s="1122">
        <v>2</v>
      </c>
      <c r="CI193" s="1122">
        <v>2</v>
      </c>
      <c r="CJ193" s="1122">
        <v>2</v>
      </c>
      <c r="CK193" s="1121">
        <v>2</v>
      </c>
      <c r="CL193" s="1122">
        <v>2</v>
      </c>
      <c r="CM193" s="1122">
        <v>2</v>
      </c>
      <c r="CN193" s="1122">
        <v>2</v>
      </c>
      <c r="CO193" s="1122">
        <v>2</v>
      </c>
      <c r="CP193" s="1121">
        <v>2</v>
      </c>
      <c r="CQ193" s="1122">
        <v>2</v>
      </c>
      <c r="CR193" s="1122">
        <v>2</v>
      </c>
      <c r="CS193" s="1122">
        <v>2</v>
      </c>
      <c r="CT193" s="1122">
        <v>2</v>
      </c>
      <c r="CU193" s="1121">
        <v>2</v>
      </c>
      <c r="CV193" s="1122">
        <v>2</v>
      </c>
      <c r="CW193" s="1122">
        <v>2</v>
      </c>
      <c r="CX193" s="1122">
        <v>2</v>
      </c>
      <c r="CY193" s="1122">
        <v>2</v>
      </c>
      <c r="CZ193" s="1121">
        <v>2</v>
      </c>
      <c r="DA193" s="1122">
        <v>2</v>
      </c>
      <c r="DB193" s="1122">
        <v>2</v>
      </c>
      <c r="DC193" s="1122">
        <v>2</v>
      </c>
      <c r="DD193" s="1122">
        <v>2</v>
      </c>
      <c r="DE193" s="1121">
        <v>2</v>
      </c>
      <c r="DF193" s="1122">
        <v>2</v>
      </c>
      <c r="DG193" s="1122">
        <v>2</v>
      </c>
      <c r="DH193" s="2741">
        <v>2</v>
      </c>
      <c r="DI193" s="2741">
        <v>2</v>
      </c>
      <c r="DJ193" s="1121">
        <v>2</v>
      </c>
      <c r="DK193" s="1122">
        <v>2</v>
      </c>
      <c r="DL193" s="1122">
        <v>2</v>
      </c>
      <c r="DM193" s="1122">
        <v>2</v>
      </c>
      <c r="DN193" s="1122">
        <v>2</v>
      </c>
      <c r="DO193" s="1121">
        <v>2</v>
      </c>
      <c r="DP193" s="1122">
        <v>2</v>
      </c>
      <c r="DQ193" s="1122">
        <v>2</v>
      </c>
      <c r="DR193" s="1122">
        <v>2</v>
      </c>
      <c r="DS193" s="1122">
        <v>2</v>
      </c>
      <c r="DT193" s="1121">
        <v>2</v>
      </c>
      <c r="DU193" s="1122">
        <v>2</v>
      </c>
      <c r="DV193" s="1122">
        <v>2</v>
      </c>
      <c r="DW193" s="1122">
        <v>2</v>
      </c>
      <c r="DX193" s="1122">
        <v>2</v>
      </c>
      <c r="DY193" s="1121">
        <v>2</v>
      </c>
    </row>
    <row r="194" spans="1:131" ht="11.25" hidden="1" customHeight="1" outlineLevel="1" x14ac:dyDescent="0.2">
      <c r="B194" t="s">
        <v>1055</v>
      </c>
      <c r="I194">
        <f>I192*I193</f>
        <v>0</v>
      </c>
      <c r="N194">
        <f>N192*N193</f>
        <v>0</v>
      </c>
      <c r="S194">
        <f>S192*S193</f>
        <v>0</v>
      </c>
      <c r="X194">
        <f>X192*X193</f>
        <v>0</v>
      </c>
      <c r="AC194">
        <f>AC192*AC193</f>
        <v>92</v>
      </c>
      <c r="AH194">
        <f>AH192*AH193</f>
        <v>92</v>
      </c>
      <c r="AM194">
        <f>AM192*AM193</f>
        <v>66</v>
      </c>
      <c r="AR194">
        <f>AR192*AR193</f>
        <v>94</v>
      </c>
      <c r="AW194">
        <f>AW192*AW193</f>
        <v>94</v>
      </c>
      <c r="BB194">
        <f>BB192*BB193</f>
        <v>102</v>
      </c>
      <c r="BG194">
        <f>BG192*BG193</f>
        <v>104</v>
      </c>
      <c r="BL194">
        <f t="shared" ref="BL194:DJ194" si="310">BL192*BL193</f>
        <v>112</v>
      </c>
      <c r="BM194">
        <f t="shared" si="310"/>
        <v>112</v>
      </c>
      <c r="BN194">
        <f t="shared" si="310"/>
        <v>112</v>
      </c>
      <c r="BO194">
        <f t="shared" si="310"/>
        <v>114</v>
      </c>
      <c r="BP194">
        <f t="shared" si="310"/>
        <v>116</v>
      </c>
      <c r="BQ194">
        <f t="shared" si="310"/>
        <v>116</v>
      </c>
      <c r="BR194">
        <f t="shared" si="310"/>
        <v>104</v>
      </c>
      <c r="BS194">
        <f t="shared" si="310"/>
        <v>100</v>
      </c>
      <c r="BT194">
        <f t="shared" si="310"/>
        <v>98</v>
      </c>
      <c r="BU194">
        <f t="shared" si="310"/>
        <v>100</v>
      </c>
      <c r="BV194">
        <f t="shared" si="310"/>
        <v>100</v>
      </c>
      <c r="BW194">
        <f t="shared" si="310"/>
        <v>100</v>
      </c>
      <c r="BX194">
        <f t="shared" si="310"/>
        <v>100</v>
      </c>
      <c r="BY194">
        <f t="shared" si="310"/>
        <v>100</v>
      </c>
      <c r="BZ194">
        <f t="shared" si="310"/>
        <v>100</v>
      </c>
      <c r="CA194">
        <f t="shared" si="310"/>
        <v>100</v>
      </c>
      <c r="CB194">
        <f t="shared" si="310"/>
        <v>100</v>
      </c>
      <c r="CC194">
        <f t="shared" si="310"/>
        <v>100</v>
      </c>
      <c r="CD194" s="2222">
        <f t="shared" si="310"/>
        <v>100</v>
      </c>
      <c r="CE194" s="2222">
        <f t="shared" si="310"/>
        <v>100</v>
      </c>
      <c r="CF194">
        <f t="shared" si="310"/>
        <v>100</v>
      </c>
      <c r="CG194" s="2222">
        <f t="shared" si="310"/>
        <v>100</v>
      </c>
      <c r="CH194" s="2222">
        <f t="shared" si="310"/>
        <v>100</v>
      </c>
      <c r="CI194" s="2222">
        <f t="shared" si="310"/>
        <v>100</v>
      </c>
      <c r="CJ194" s="2222">
        <f t="shared" si="310"/>
        <v>100</v>
      </c>
      <c r="CK194">
        <f t="shared" si="310"/>
        <v>100</v>
      </c>
      <c r="CL194" s="2222">
        <f t="shared" si="310"/>
        <v>100</v>
      </c>
      <c r="CM194" s="2222">
        <f t="shared" si="310"/>
        <v>100</v>
      </c>
      <c r="CN194" s="2222">
        <f t="shared" si="310"/>
        <v>100</v>
      </c>
      <c r="CO194" s="2222">
        <f t="shared" si="310"/>
        <v>100</v>
      </c>
      <c r="CP194">
        <f t="shared" si="310"/>
        <v>100</v>
      </c>
      <c r="CQ194" s="2222">
        <f t="shared" si="310"/>
        <v>100</v>
      </c>
      <c r="CR194" s="2222">
        <f t="shared" si="310"/>
        <v>100</v>
      </c>
      <c r="CS194" s="2222">
        <f t="shared" si="310"/>
        <v>100</v>
      </c>
      <c r="CT194" s="2222">
        <f t="shared" si="310"/>
        <v>100</v>
      </c>
      <c r="CU194">
        <f t="shared" si="310"/>
        <v>100</v>
      </c>
      <c r="CV194" s="2222">
        <f t="shared" si="310"/>
        <v>100</v>
      </c>
      <c r="CW194" s="2222">
        <f t="shared" si="310"/>
        <v>100</v>
      </c>
      <c r="CX194" s="2222">
        <f>CX192*CX193</f>
        <v>100</v>
      </c>
      <c r="CY194" s="2222">
        <f t="shared" si="310"/>
        <v>100</v>
      </c>
      <c r="CZ194">
        <f t="shared" si="310"/>
        <v>100</v>
      </c>
      <c r="DA194" s="2222">
        <f t="shared" si="310"/>
        <v>100</v>
      </c>
      <c r="DB194" s="2222">
        <f t="shared" si="310"/>
        <v>100</v>
      </c>
      <c r="DC194" s="2222">
        <f t="shared" si="310"/>
        <v>100</v>
      </c>
      <c r="DD194" s="2222">
        <f t="shared" si="310"/>
        <v>100</v>
      </c>
      <c r="DE194">
        <f t="shared" si="310"/>
        <v>100</v>
      </c>
      <c r="DF194" s="2222">
        <f t="shared" si="310"/>
        <v>100</v>
      </c>
      <c r="DG194" s="2222">
        <f t="shared" si="310"/>
        <v>100</v>
      </c>
      <c r="DH194" s="2222">
        <f t="shared" ref="DH194:DI194" si="311">DH192*DH193</f>
        <v>100</v>
      </c>
      <c r="DI194" s="2222">
        <f t="shared" si="311"/>
        <v>100</v>
      </c>
      <c r="DJ194">
        <f t="shared" si="310"/>
        <v>100</v>
      </c>
      <c r="DK194" s="2222">
        <f t="shared" ref="DK194:DT194" si="312">DK192*DK193</f>
        <v>100</v>
      </c>
      <c r="DL194" s="2222">
        <f t="shared" si="312"/>
        <v>100</v>
      </c>
      <c r="DM194" s="2222">
        <f t="shared" si="312"/>
        <v>100</v>
      </c>
      <c r="DN194" s="2222">
        <f t="shared" si="312"/>
        <v>100</v>
      </c>
      <c r="DO194" s="2559">
        <f t="shared" si="312"/>
        <v>100</v>
      </c>
      <c r="DP194" s="2222">
        <f t="shared" si="312"/>
        <v>100</v>
      </c>
      <c r="DQ194" s="2222">
        <f t="shared" si="312"/>
        <v>100</v>
      </c>
      <c r="DR194" s="2222">
        <f t="shared" si="312"/>
        <v>100</v>
      </c>
      <c r="DS194" s="2222">
        <f t="shared" si="312"/>
        <v>100</v>
      </c>
      <c r="DT194" s="2649">
        <f t="shared" si="312"/>
        <v>100</v>
      </c>
      <c r="DU194" s="2222">
        <f t="shared" ref="DU194:DY194" si="313">DU192*DU193</f>
        <v>100</v>
      </c>
      <c r="DV194" s="2222">
        <f t="shared" si="313"/>
        <v>100</v>
      </c>
      <c r="DW194" s="2222">
        <f t="shared" si="313"/>
        <v>100</v>
      </c>
      <c r="DX194" s="2222">
        <f t="shared" si="313"/>
        <v>100</v>
      </c>
      <c r="DY194" s="2771">
        <f t="shared" si="313"/>
        <v>100</v>
      </c>
    </row>
    <row r="195" spans="1:131" ht="11.25" hidden="1" customHeight="1" outlineLevel="1" x14ac:dyDescent="0.2">
      <c r="DH195" s="2734"/>
      <c r="DI195" s="2795"/>
    </row>
    <row r="196" spans="1:131" ht="11.25" hidden="1" customHeight="1" outlineLevel="1" x14ac:dyDescent="0.2">
      <c r="B196" t="s">
        <v>1057</v>
      </c>
      <c r="DH196" s="2734"/>
      <c r="DI196" s="2795"/>
    </row>
    <row r="197" spans="1:131" ht="11.25" hidden="1" customHeight="1" outlineLevel="1" x14ac:dyDescent="0.2">
      <c r="A197" s="2187"/>
      <c r="B197" t="s">
        <v>1058</v>
      </c>
      <c r="C197" s="2187"/>
      <c r="E197" s="2190"/>
      <c r="F197" s="2190"/>
      <c r="G197" s="2190"/>
      <c r="H197" s="2190"/>
      <c r="I197" s="2192">
        <f>(I17/I179)</f>
        <v>8.3567471590909079</v>
      </c>
      <c r="J197" s="2190"/>
      <c r="K197" s="2190"/>
      <c r="L197" s="2190"/>
      <c r="M197" s="2190"/>
      <c r="N197" s="2192">
        <f>(N17/N179)</f>
        <v>3.5106481481481482</v>
      </c>
      <c r="O197" s="2190"/>
      <c r="P197" s="2190"/>
      <c r="Q197" s="2190"/>
      <c r="R197" s="2190"/>
      <c r="S197" s="2192">
        <f>(S17/S179)</f>
        <v>3.658685104318292</v>
      </c>
      <c r="T197" s="2190"/>
      <c r="U197" s="2190"/>
      <c r="V197" s="2190"/>
      <c r="W197" s="2190"/>
      <c r="X197" s="2192">
        <f>(X17/X179)</f>
        <v>4.3013665202537821</v>
      </c>
      <c r="Y197" s="2190"/>
      <c r="Z197" s="2190"/>
      <c r="AA197" s="2190"/>
      <c r="AB197" s="2190"/>
      <c r="AC197" s="2192">
        <f>(AC17/AC179)</f>
        <v>4.6895959351560608</v>
      </c>
      <c r="AD197" s="2190"/>
      <c r="AE197" s="2190"/>
      <c r="AF197" s="2190"/>
      <c r="AG197" s="2190"/>
      <c r="AH197" s="2192">
        <f>(AH17/AH179)</f>
        <v>5.0891672631830112</v>
      </c>
      <c r="AI197" s="2190"/>
      <c r="AJ197" s="2190"/>
      <c r="AK197" s="2190"/>
      <c r="AL197" s="2190"/>
      <c r="AM197" s="2192">
        <f>(AM17/AM179)</f>
        <v>5.6423293369219474</v>
      </c>
      <c r="AN197" s="2190"/>
      <c r="AO197" s="2190"/>
      <c r="AP197" s="2190"/>
      <c r="AQ197" s="2190"/>
      <c r="AR197" s="2192">
        <f>(AR17/AR179)</f>
        <v>6.0494615936826994</v>
      </c>
      <c r="AS197" s="2190"/>
      <c r="AT197" s="2190"/>
      <c r="AU197" s="2190"/>
      <c r="AV197" s="2190"/>
      <c r="AW197" s="2192">
        <f>(AW17/AW179)</f>
        <v>5.3448744186046513</v>
      </c>
      <c r="AX197" s="2190"/>
      <c r="AY197" s="2190"/>
      <c r="AZ197" s="2190"/>
      <c r="BA197" s="2190"/>
      <c r="BB197" s="2192">
        <f>(BB17/BB179)</f>
        <v>6.2318771705355509</v>
      </c>
      <c r="BC197" s="2190"/>
      <c r="BD197" s="2190"/>
      <c r="BE197" s="2190"/>
      <c r="BF197" s="2190"/>
      <c r="BG197" s="2192">
        <f>(BG17/BG179)</f>
        <v>6.4955820702999034</v>
      </c>
      <c r="BH197" s="2190"/>
      <c r="BI197" s="2190"/>
      <c r="BJ197" s="2190"/>
      <c r="BK197" s="2190"/>
      <c r="BL197" s="2192">
        <f t="shared" ref="BL197:DJ197" si="314">(BL17/BL179)</f>
        <v>7.2196156925540436</v>
      </c>
      <c r="BM197" s="2195">
        <f t="shared" si="314"/>
        <v>1.8901547790011171</v>
      </c>
      <c r="BN197" s="2195">
        <f t="shared" si="314"/>
        <v>1.866011414077362</v>
      </c>
      <c r="BO197" s="2195">
        <f t="shared" si="314"/>
        <v>1.8184969276823697</v>
      </c>
      <c r="BP197" s="2195">
        <f t="shared" si="314"/>
        <v>1.9979055322836921</v>
      </c>
      <c r="BQ197" s="2192">
        <f t="shared" si="314"/>
        <v>7.0763975155279502</v>
      </c>
      <c r="BR197" s="2195">
        <f t="shared" si="314"/>
        <v>1.9526765046296295</v>
      </c>
      <c r="BS197" s="2195">
        <f t="shared" si="314"/>
        <v>1.985494315728882</v>
      </c>
      <c r="BT197" s="2195">
        <f t="shared" si="314"/>
        <v>1.9414098173515981</v>
      </c>
      <c r="BU197" s="2195">
        <f t="shared" si="314"/>
        <v>2.0576512455516016</v>
      </c>
      <c r="BV197" s="2192">
        <f t="shared" si="314"/>
        <v>7.8797153024911033</v>
      </c>
      <c r="BW197" s="2195">
        <f t="shared" si="314"/>
        <v>1.979045731275662</v>
      </c>
      <c r="BX197" s="2195">
        <f t="shared" si="314"/>
        <v>2.013082008721339</v>
      </c>
      <c r="BY197" s="2195">
        <f t="shared" si="314"/>
        <v>1.9797259507829978</v>
      </c>
      <c r="BZ197" s="2195">
        <f t="shared" si="314"/>
        <v>2.0742133110554164</v>
      </c>
      <c r="CA197" s="2192">
        <f t="shared" si="314"/>
        <v>7.9845446950710111</v>
      </c>
      <c r="CB197" s="2195">
        <f t="shared" si="314"/>
        <v>2.0186825352892335</v>
      </c>
      <c r="CC197" s="2195">
        <f t="shared" si="314"/>
        <v>2.0404624277456649</v>
      </c>
      <c r="CD197" s="2187">
        <f t="shared" si="314"/>
        <v>2.0116374589266157</v>
      </c>
      <c r="CE197" s="2187">
        <f t="shared" si="314"/>
        <v>2.1144670397161187</v>
      </c>
      <c r="CF197" s="2191">
        <f t="shared" si="314"/>
        <v>8.1341203766889585</v>
      </c>
      <c r="CG197" s="2187">
        <f t="shared" si="314"/>
        <v>2.1795429815016321</v>
      </c>
      <c r="CH197" s="2187">
        <f t="shared" si="314"/>
        <v>2.1471544715447153</v>
      </c>
      <c r="CI197" s="2187">
        <f t="shared" si="314"/>
        <v>2.0897560318102171</v>
      </c>
      <c r="CJ197" s="2187">
        <f t="shared" si="314"/>
        <v>2.1828908554572273</v>
      </c>
      <c r="CK197" s="2191">
        <f t="shared" si="314"/>
        <v>8.5349825690533656</v>
      </c>
      <c r="CL197" s="2187">
        <f t="shared" si="314"/>
        <v>2.1313238613729917</v>
      </c>
      <c r="CM197" s="2187">
        <f t="shared" si="314"/>
        <v>2.1188788236838652</v>
      </c>
      <c r="CN197" s="2187">
        <f t="shared" si="314"/>
        <v>2.1244618395303325</v>
      </c>
      <c r="CO197" s="2187">
        <f t="shared" si="314"/>
        <v>2.2443864229765014</v>
      </c>
      <c r="CP197" s="2191">
        <f t="shared" si="314"/>
        <v>8.6642696925715796</v>
      </c>
      <c r="CQ197" s="2187">
        <f t="shared" si="314"/>
        <v>2.1049687060927322</v>
      </c>
      <c r="CR197" s="2187">
        <f t="shared" si="314"/>
        <v>2.1465835348008651</v>
      </c>
      <c r="CS197" s="2187">
        <f t="shared" si="314"/>
        <v>2.1113702256397326</v>
      </c>
      <c r="CT197" s="2187">
        <f t="shared" si="314"/>
        <v>2.2175166019295829</v>
      </c>
      <c r="CU197" s="2191">
        <f t="shared" si="314"/>
        <v>8.5097652817873737</v>
      </c>
      <c r="CV197" s="2187">
        <f t="shared" si="314"/>
        <v>2.1172620534599051</v>
      </c>
      <c r="CW197" s="2187">
        <f t="shared" si="314"/>
        <v>2.1477453911310413</v>
      </c>
      <c r="CX197" s="2187">
        <f>(CX17/CX179)</f>
        <v>2.2547487307099696</v>
      </c>
      <c r="CY197" s="2187">
        <f t="shared" si="314"/>
        <v>2.0613846248368719</v>
      </c>
      <c r="CZ197" s="2191">
        <f t="shared" si="314"/>
        <v>7.4580313277638526</v>
      </c>
      <c r="DA197" s="2187">
        <f t="shared" si="314"/>
        <v>2.0789745710150922</v>
      </c>
      <c r="DB197" s="2187">
        <f t="shared" si="314"/>
        <v>2.0647016312203181</v>
      </c>
      <c r="DC197" s="2187">
        <f t="shared" si="314"/>
        <v>2.0705900493421052</v>
      </c>
      <c r="DD197" s="2187">
        <f t="shared" si="314"/>
        <v>2.1388529804042271</v>
      </c>
      <c r="DE197" s="2191">
        <f t="shared" si="314"/>
        <v>8.3205909510618632</v>
      </c>
      <c r="DF197" s="2187">
        <f t="shared" si="314"/>
        <v>1.9988114923522116</v>
      </c>
      <c r="DG197" s="2187">
        <f t="shared" si="314"/>
        <v>2.0159175257731961</v>
      </c>
      <c r="DH197" s="2187">
        <f t="shared" ref="DH197:DI197" si="315">(DH17/DH179)</f>
        <v>2.0093778787375656</v>
      </c>
      <c r="DI197" s="2187">
        <f t="shared" si="315"/>
        <v>2.1329643934020193</v>
      </c>
      <c r="DJ197" s="2191">
        <f t="shared" si="314"/>
        <v>8.0993362893083738</v>
      </c>
      <c r="DK197" s="2187">
        <f t="shared" ref="DK197:DT197" si="316">(DK17/DK179)</f>
        <v>2.0786009355019597</v>
      </c>
      <c r="DL197" s="2187">
        <f t="shared" si="316"/>
        <v>2.0910484131579374</v>
      </c>
      <c r="DM197" s="2187">
        <f t="shared" si="316"/>
        <v>2.0411803965136381</v>
      </c>
      <c r="DN197" s="2187">
        <f t="shared" si="316"/>
        <v>2.1165027678826545</v>
      </c>
      <c r="DO197" s="2191">
        <f t="shared" si="316"/>
        <v>8.2958797208989257</v>
      </c>
      <c r="DP197" s="2187">
        <f t="shared" si="316"/>
        <v>2.1163918084510462</v>
      </c>
      <c r="DQ197" s="2187">
        <f t="shared" si="316"/>
        <v>2.1273572490654575</v>
      </c>
      <c r="DR197" s="2187">
        <f t="shared" si="316"/>
        <v>2.0756327450030576</v>
      </c>
      <c r="DS197" s="2187">
        <f t="shared" si="316"/>
        <v>2.148352881928405</v>
      </c>
      <c r="DT197" s="2191">
        <f t="shared" si="316"/>
        <v>8.4360453845667127</v>
      </c>
      <c r="DU197" s="2187">
        <f t="shared" ref="DU197:DY197" si="317">(DU17/DU179)</f>
        <v>2.1488609492629114</v>
      </c>
      <c r="DV197" s="2187">
        <f t="shared" si="317"/>
        <v>2.1579081327000682</v>
      </c>
      <c r="DW197" s="2187">
        <f t="shared" si="317"/>
        <v>2.1042126442055693</v>
      </c>
      <c r="DX197" s="2187">
        <f t="shared" si="317"/>
        <v>2.1739911921788968</v>
      </c>
      <c r="DY197" s="2191">
        <f t="shared" si="317"/>
        <v>8.5531343264504969</v>
      </c>
      <c r="DZ197" s="2190"/>
      <c r="EA197" s="2190"/>
    </row>
    <row r="198" spans="1:131" ht="11.25" hidden="1" customHeight="1" outlineLevel="1" x14ac:dyDescent="0.2">
      <c r="A198" s="2187"/>
      <c r="B198" t="s">
        <v>1059</v>
      </c>
      <c r="C198" s="2187"/>
      <c r="E198" s="2190"/>
      <c r="F198" s="2190"/>
      <c r="G198" s="2190"/>
      <c r="H198" s="2190"/>
      <c r="I198" s="2192">
        <f>(I21)/I179</f>
        <v>2.2980063920454539</v>
      </c>
      <c r="J198" s="2190"/>
      <c r="K198" s="2190"/>
      <c r="L198" s="2190"/>
      <c r="M198" s="2190"/>
      <c r="N198" s="2192">
        <f>(N21)/N179</f>
        <v>0.94986033950617299</v>
      </c>
      <c r="O198" s="2190"/>
      <c r="P198" s="2190"/>
      <c r="Q198" s="2190"/>
      <c r="R198" s="2190"/>
      <c r="S198" s="2192">
        <f>(S21)/S179</f>
        <v>0.95504609412906372</v>
      </c>
      <c r="T198" s="2190"/>
      <c r="U198" s="2190"/>
      <c r="V198" s="2190"/>
      <c r="W198" s="2190"/>
      <c r="X198" s="2192">
        <f>(X21)/X179</f>
        <v>1.0712786725231827</v>
      </c>
      <c r="Y198" s="2190"/>
      <c r="Z198" s="2190"/>
      <c r="AA198" s="2190"/>
      <c r="AB198" s="2190"/>
      <c r="AC198" s="2192">
        <f>(AC21)/AC179</f>
        <v>1.1266150496007741</v>
      </c>
      <c r="AD198" s="2190"/>
      <c r="AE198" s="2190"/>
      <c r="AF198" s="2190"/>
      <c r="AG198" s="2190"/>
      <c r="AH198" s="2192">
        <f>(AH21)/AH179</f>
        <v>1.1415175375805302</v>
      </c>
      <c r="AI198" s="2190"/>
      <c r="AJ198" s="2190"/>
      <c r="AK198" s="2190"/>
      <c r="AL198" s="2190"/>
      <c r="AM198" s="2192">
        <f>(AM21)/AM179</f>
        <v>1.2105456324932713</v>
      </c>
      <c r="AN198" s="2190"/>
      <c r="AO198" s="2190"/>
      <c r="AP198" s="2190"/>
      <c r="AQ198" s="2190"/>
      <c r="AR198" s="2192">
        <f>(AR21)/AR179</f>
        <v>1.3294328786791101</v>
      </c>
      <c r="AS198" s="2190"/>
      <c r="AT198" s="2190"/>
      <c r="AU198" s="2190"/>
      <c r="AV198" s="2190"/>
      <c r="AW198" s="2192">
        <f>(AW21)/AW179</f>
        <v>1.1470883720930236</v>
      </c>
      <c r="AX198" s="2190"/>
      <c r="AY198" s="2190"/>
      <c r="AZ198" s="2190"/>
      <c r="BA198" s="2190"/>
      <c r="BB198" s="2192">
        <f>(BB21)/BB179</f>
        <v>1.70884664595138</v>
      </c>
      <c r="BC198" s="2190"/>
      <c r="BD198" s="2190"/>
      <c r="BE198" s="2190"/>
      <c r="BF198" s="2190"/>
      <c r="BG198" s="2192">
        <f>(BG21)/BG179</f>
        <v>1.8193163495646565</v>
      </c>
      <c r="BH198" s="2190"/>
      <c r="BI198" s="2190"/>
      <c r="BJ198" s="2190"/>
      <c r="BK198" s="2190"/>
      <c r="BL198" s="2192">
        <f t="shared" ref="BL198:DJ198" si="318">(BL21)/BL179</f>
        <v>2.0993755004003205</v>
      </c>
      <c r="BM198" s="2195">
        <f t="shared" si="318"/>
        <v>0.55927876176799107</v>
      </c>
      <c r="BN198" s="2195">
        <f t="shared" si="318"/>
        <v>0.55854470513633481</v>
      </c>
      <c r="BO198" s="2195">
        <f t="shared" si="318"/>
        <v>0.5527335749172837</v>
      </c>
      <c r="BP198" s="2195">
        <f t="shared" si="318"/>
        <v>0.6072511916799076</v>
      </c>
      <c r="BQ198" s="2192">
        <f t="shared" si="318"/>
        <v>2.1291925465838508</v>
      </c>
      <c r="BR198" s="2195">
        <f t="shared" si="318"/>
        <v>0.57236689814814812</v>
      </c>
      <c r="BS198" s="2195">
        <f t="shared" si="318"/>
        <v>0.59448841559936683</v>
      </c>
      <c r="BT198" s="2195">
        <f t="shared" si="318"/>
        <v>0.56996289954337898</v>
      </c>
      <c r="BU198" s="2195">
        <f t="shared" si="318"/>
        <v>0.64213523131672601</v>
      </c>
      <c r="BV198" s="2192">
        <f t="shared" si="318"/>
        <v>2.3619928825622778</v>
      </c>
      <c r="BW198" s="2195">
        <f t="shared" si="318"/>
        <v>0.56449100948605413</v>
      </c>
      <c r="BX198" s="2195">
        <f t="shared" si="318"/>
        <v>0.59487972991981997</v>
      </c>
      <c r="BY198" s="2195">
        <f t="shared" si="318"/>
        <v>0.5845917225950783</v>
      </c>
      <c r="BZ198" s="2195">
        <f t="shared" si="318"/>
        <v>0.64633806739069899</v>
      </c>
      <c r="CA198" s="2192">
        <f t="shared" si="318"/>
        <v>2.3724589250905042</v>
      </c>
      <c r="CB198" s="2195">
        <f t="shared" si="318"/>
        <v>0.57389980625518955</v>
      </c>
      <c r="CC198" s="2195">
        <f t="shared" si="318"/>
        <v>0.60666116157445638</v>
      </c>
      <c r="CD198" s="2187">
        <f t="shared" si="318"/>
        <v>0.58953997809419501</v>
      </c>
      <c r="CE198" s="2187">
        <f t="shared" si="318"/>
        <v>0.62887948682953465</v>
      </c>
      <c r="CF198" s="2191">
        <f t="shared" si="318"/>
        <v>2.3841681452163228</v>
      </c>
      <c r="CG198" s="2187">
        <f t="shared" si="318"/>
        <v>0.62187159956474425</v>
      </c>
      <c r="CH198" s="2187">
        <f t="shared" si="318"/>
        <v>0.64621951219512197</v>
      </c>
      <c r="CI198" s="2187">
        <f t="shared" si="318"/>
        <v>0.62977490227793509</v>
      </c>
      <c r="CJ198" s="2187">
        <f t="shared" si="318"/>
        <v>0.68315902386698846</v>
      </c>
      <c r="CK198" s="2191">
        <f t="shared" si="318"/>
        <v>2.5621346205416993</v>
      </c>
      <c r="CL198" s="2187">
        <f t="shared" si="318"/>
        <v>0.65754879830035851</v>
      </c>
      <c r="CM198" s="2187">
        <f t="shared" si="318"/>
        <v>0.65637390048575561</v>
      </c>
      <c r="CN198" s="2187">
        <f t="shared" si="318"/>
        <v>0.63718199608610571</v>
      </c>
      <c r="CO198" s="2187">
        <f t="shared" si="318"/>
        <v>0.68981723237597914</v>
      </c>
      <c r="CP198" s="2191">
        <f t="shared" si="318"/>
        <v>2.6546510093679903</v>
      </c>
      <c r="CQ198" s="2187">
        <f t="shared" si="318"/>
        <v>0.66212798569421383</v>
      </c>
      <c r="CR198" s="2187">
        <f t="shared" si="318"/>
        <v>0.6742333630232854</v>
      </c>
      <c r="CS198" s="2187">
        <f t="shared" si="318"/>
        <v>0.66009076011597123</v>
      </c>
      <c r="CT198" s="2187">
        <f t="shared" si="318"/>
        <v>0.69642901891993481</v>
      </c>
      <c r="CU198" s="2191">
        <f t="shared" si="318"/>
        <v>2.6706790510857283</v>
      </c>
      <c r="CV198" s="2187">
        <f t="shared" si="318"/>
        <v>0.66132900324756438</v>
      </c>
      <c r="CW198" s="2187">
        <f t="shared" si="318"/>
        <v>0.66292974588938713</v>
      </c>
      <c r="CX198" s="2187">
        <f>(CX21)/CX179</f>
        <v>0.67641291101208445</v>
      </c>
      <c r="CY198" s="2187">
        <f t="shared" si="318"/>
        <v>0.62167734883169301</v>
      </c>
      <c r="CZ198" s="2191">
        <f t="shared" si="318"/>
        <v>2.2778165684153282</v>
      </c>
      <c r="DA198" s="2187">
        <f t="shared" si="318"/>
        <v>0.60264626834814972</v>
      </c>
      <c r="DB198" s="2187">
        <f t="shared" si="318"/>
        <v>0.60324179227751396</v>
      </c>
      <c r="DC198" s="2187">
        <f t="shared" si="318"/>
        <v>0.60635279605263159</v>
      </c>
      <c r="DD198" s="2187">
        <f t="shared" si="318"/>
        <v>0.63696522006771317</v>
      </c>
      <c r="DE198" s="2191">
        <f t="shared" si="318"/>
        <v>2.439735303170206</v>
      </c>
      <c r="DF198" s="2187">
        <f t="shared" si="318"/>
        <v>0.58665770979743692</v>
      </c>
      <c r="DG198" s="2187">
        <f t="shared" si="318"/>
        <v>0.58559793814432992</v>
      </c>
      <c r="DH198" s="2187">
        <f t="shared" ref="DH198:DI198" si="319">(DH21)/DH179</f>
        <v>0.5832063855840427</v>
      </c>
      <c r="DI198" s="2187">
        <f t="shared" si="319"/>
        <v>0.6403065791155772</v>
      </c>
      <c r="DJ198" s="2191">
        <f t="shared" si="318"/>
        <v>2.3789218464653681</v>
      </c>
      <c r="DK198" s="2187">
        <f t="shared" ref="DK198:DT198" si="320">(DK21)/DK179</f>
        <v>0.57825683703924979</v>
      </c>
      <c r="DL198" s="2187">
        <f t="shared" si="320"/>
        <v>0.57435972644463096</v>
      </c>
      <c r="DM198" s="2187">
        <f t="shared" si="320"/>
        <v>0.56547017781716291</v>
      </c>
      <c r="DN198" s="2187">
        <f t="shared" si="320"/>
        <v>0.61432722600220868</v>
      </c>
      <c r="DO198" s="2191">
        <f t="shared" si="320"/>
        <v>2.3237071104370899</v>
      </c>
      <c r="DP198" s="2187">
        <f t="shared" si="320"/>
        <v>0.58338925799433583</v>
      </c>
      <c r="DQ198" s="2187">
        <f t="shared" si="320"/>
        <v>0.57939799618597687</v>
      </c>
      <c r="DR198" s="2187">
        <f t="shared" si="320"/>
        <v>0.57053964109322197</v>
      </c>
      <c r="DS198" s="2187">
        <f t="shared" si="320"/>
        <v>0.61951017585725354</v>
      </c>
      <c r="DT198" s="2191">
        <f t="shared" si="320"/>
        <v>2.3441409214570696</v>
      </c>
      <c r="DU198" s="2187">
        <f t="shared" ref="DU198:DY198" si="321">(DU21)/DU179</f>
        <v>0.58821810475981195</v>
      </c>
      <c r="DV198" s="2187">
        <f t="shared" si="321"/>
        <v>0.58410638803081394</v>
      </c>
      <c r="DW198" s="2187">
        <f t="shared" si="321"/>
        <v>0.57527269923730495</v>
      </c>
      <c r="DX198" s="2187">
        <f t="shared" si="321"/>
        <v>0.62433906166641195</v>
      </c>
      <c r="DY198" s="2191">
        <f t="shared" si="321"/>
        <v>2.3632553178594957</v>
      </c>
      <c r="DZ198" s="2190"/>
      <c r="EA198" s="2190"/>
    </row>
    <row r="199" spans="1:131" ht="11.25" hidden="1" customHeight="1" outlineLevel="1" x14ac:dyDescent="0.2">
      <c r="A199" s="2187"/>
      <c r="B199" t="s">
        <v>176</v>
      </c>
      <c r="C199" s="2187"/>
      <c r="E199" s="2190"/>
      <c r="F199" s="2190"/>
      <c r="G199" s="2190"/>
      <c r="H199" s="2190"/>
      <c r="I199" s="2192">
        <f>(I31/I$179)</f>
        <v>0.57365056818181825</v>
      </c>
      <c r="J199" s="2190"/>
      <c r="K199" s="2190"/>
      <c r="L199" s="2190"/>
      <c r="M199" s="2190"/>
      <c r="N199" s="2192">
        <f>(N31/N$179)</f>
        <v>0.2595164609053498</v>
      </c>
      <c r="O199" s="2190"/>
      <c r="P199" s="2190"/>
      <c r="Q199" s="2190"/>
      <c r="R199" s="2190"/>
      <c r="S199" s="2192">
        <f>(S31/S$179)</f>
        <v>0.28539543910722948</v>
      </c>
      <c r="T199" s="2190"/>
      <c r="U199" s="2190"/>
      <c r="V199" s="2190"/>
      <c r="W199" s="2190"/>
      <c r="X199" s="2192">
        <f>(X31/X$179)</f>
        <v>0.3375549048316252</v>
      </c>
      <c r="Y199" s="2190"/>
      <c r="Z199" s="2190"/>
      <c r="AA199" s="2190"/>
      <c r="AB199" s="2190"/>
      <c r="AC199" s="2192">
        <f>(AC31/AC$179)</f>
        <v>0.3769416888458747</v>
      </c>
      <c r="AD199" s="2190"/>
      <c r="AE199" s="2190"/>
      <c r="AF199" s="2190"/>
      <c r="AG199" s="2190"/>
      <c r="AH199" s="2192">
        <f>(AH31/AH$179)</f>
        <v>0.32965879265091869</v>
      </c>
      <c r="AI199" s="2190"/>
      <c r="AJ199" s="2190"/>
      <c r="AK199" s="2190"/>
      <c r="AL199" s="2190"/>
      <c r="AM199" s="2192">
        <f>(AM31/AM$179)</f>
        <v>0.35042818693418148</v>
      </c>
      <c r="AN199" s="2190"/>
      <c r="AO199" s="2190"/>
      <c r="AP199" s="2190"/>
      <c r="AQ199" s="2190"/>
      <c r="AR199" s="2192">
        <f>(AR31/AR$179)</f>
        <v>0.39473558267528114</v>
      </c>
      <c r="AS199" s="2190"/>
      <c r="AT199" s="2190"/>
      <c r="AU199" s="2190"/>
      <c r="AV199" s="2190"/>
      <c r="AW199" s="2192">
        <f>(AW31/AW$179)</f>
        <v>0.33337674418604651</v>
      </c>
      <c r="AX199" s="2190"/>
      <c r="AY199" s="2190"/>
      <c r="AZ199" s="2190"/>
      <c r="BA199" s="2190"/>
      <c r="BB199" s="2192">
        <f>(BB31/BB$179)</f>
        <v>0.42873332114787055</v>
      </c>
      <c r="BC199" s="2190"/>
      <c r="BD199" s="2190"/>
      <c r="BE199" s="2190"/>
      <c r="BF199" s="2190"/>
      <c r="BG199" s="2192">
        <f>(BG31/BG$179)</f>
        <v>0.45395033860045148</v>
      </c>
      <c r="BH199" s="2190"/>
      <c r="BI199" s="2190"/>
      <c r="BJ199" s="2190"/>
      <c r="BK199" s="2190"/>
      <c r="BL199" s="2192">
        <f>(BL31/BL$179)</f>
        <v>0.5599039231385109</v>
      </c>
      <c r="BM199" s="2190"/>
      <c r="BN199" s="2190"/>
      <c r="BO199" s="2190"/>
      <c r="BP199" s="2190"/>
      <c r="BQ199" s="2192">
        <f>(BQ31/BQ$179)</f>
        <v>0.67479416437960427</v>
      </c>
      <c r="BR199" s="2190"/>
      <c r="BS199" s="2190"/>
      <c r="BT199" s="2190"/>
      <c r="BU199" s="2190"/>
      <c r="BV199" s="2192">
        <f>(BV31/BV$179)</f>
        <v>0.7359572953736655</v>
      </c>
      <c r="BW199" s="2190"/>
      <c r="BX199" s="2190"/>
      <c r="BY199" s="2190"/>
      <c r="BZ199" s="2190"/>
      <c r="CA199" s="2192">
        <f>(CA31/CA$179)</f>
        <v>0.78195488721804507</v>
      </c>
      <c r="CB199" s="2190"/>
      <c r="CC199" s="2190"/>
      <c r="CD199" s="2190"/>
      <c r="CE199" s="2190"/>
      <c r="CF199" s="2191">
        <f>(CF31/CF$179)</f>
        <v>0.82755561621400242</v>
      </c>
      <c r="CG199" s="2190"/>
      <c r="CH199" s="2190"/>
      <c r="CI199" s="2190"/>
      <c r="CJ199" s="2190"/>
      <c r="CK199" s="2191">
        <f>(CK31/CK$179)</f>
        <v>0.9123759721104846</v>
      </c>
      <c r="CL199" s="2190"/>
      <c r="CM199" s="2190"/>
      <c r="CN199" s="2190"/>
      <c r="CO199" s="2190"/>
      <c r="CP199" s="2191">
        <f>(CP31/CP$179)</f>
        <v>0.9884549412851299</v>
      </c>
      <c r="CQ199" s="2190"/>
      <c r="CR199" s="2190"/>
      <c r="CS199" s="2190"/>
      <c r="CT199" s="2190"/>
      <c r="CU199" s="2191">
        <f>(CU31/CU$179)</f>
        <v>1</v>
      </c>
      <c r="CV199" s="2190"/>
      <c r="CW199" s="2190"/>
      <c r="CX199" s="2190"/>
      <c r="CY199" s="2190"/>
      <c r="CZ199" s="2191">
        <f>(CZ31/CZ$179)</f>
        <v>0.88101634961210418</v>
      </c>
      <c r="DA199" s="2190"/>
      <c r="DB199" s="2190"/>
      <c r="DC199" s="2190"/>
      <c r="DD199" s="2190"/>
      <c r="DE199" s="2191">
        <f>(DE31/DE$179)</f>
        <v>0.93841181902123738</v>
      </c>
      <c r="DF199" s="2190"/>
      <c r="DG199" s="2190"/>
      <c r="DH199" s="2190"/>
      <c r="DI199" s="2190"/>
      <c r="DJ199" s="2191">
        <f>(DJ31/DJ$179)</f>
        <v>0.87214410155564648</v>
      </c>
      <c r="DK199" s="2190"/>
      <c r="DL199" s="2190"/>
      <c r="DM199" s="2190"/>
      <c r="DN199" s="2190"/>
      <c r="DO199" s="2191">
        <f>(DO31/DO$179)</f>
        <v>0.84706035581561157</v>
      </c>
      <c r="DP199" s="2190"/>
      <c r="DQ199" s="2190"/>
      <c r="DR199" s="2190"/>
      <c r="DS199" s="2190"/>
      <c r="DT199" s="2191">
        <f>(DT31/DT$179)</f>
        <v>0.85448039617207383</v>
      </c>
      <c r="DU199" s="2190"/>
      <c r="DV199" s="2190"/>
      <c r="DW199" s="2190"/>
      <c r="DX199" s="2190"/>
      <c r="DY199" s="2191">
        <f>(DY31/DY$179)</f>
        <v>0.86031612703697735</v>
      </c>
      <c r="DZ199" s="2190"/>
      <c r="EA199" s="2190"/>
    </row>
    <row r="200" spans="1:131" ht="11.25" hidden="1" customHeight="1" outlineLevel="1" x14ac:dyDescent="0.2">
      <c r="A200" s="2187"/>
      <c r="B200" t="s">
        <v>1060</v>
      </c>
      <c r="C200" s="2187"/>
      <c r="E200" s="2190"/>
      <c r="F200" s="2190"/>
      <c r="G200" s="2190"/>
      <c r="H200" s="2190"/>
      <c r="I200" s="2192">
        <f>(I36/I179)</f>
        <v>0.42791193181818182</v>
      </c>
      <c r="J200" s="2190"/>
      <c r="K200" s="2190"/>
      <c r="L200" s="2190"/>
      <c r="M200" s="2190"/>
      <c r="N200" s="2192">
        <f>(N36/N179)</f>
        <v>0.1983539094650206</v>
      </c>
      <c r="O200" s="2190"/>
      <c r="P200" s="2190"/>
      <c r="Q200" s="2190"/>
      <c r="R200" s="2190"/>
      <c r="S200" s="2192">
        <f>(S36/S179)</f>
        <v>0.22508491023774865</v>
      </c>
      <c r="T200" s="2190"/>
      <c r="U200" s="2190"/>
      <c r="V200" s="2190"/>
      <c r="W200" s="2190"/>
      <c r="X200" s="2192">
        <f>(X36/X$179)</f>
        <v>0.27035139092240118</v>
      </c>
      <c r="Y200" s="2190"/>
      <c r="Z200" s="2190"/>
      <c r="AA200" s="2190"/>
      <c r="AB200" s="2190"/>
      <c r="AC200" s="2192">
        <f>(AC36/AC179)</f>
        <v>0.3069199128962013</v>
      </c>
      <c r="AD200" s="2190"/>
      <c r="AE200" s="2190"/>
      <c r="AF200" s="2190"/>
      <c r="AG200" s="2190"/>
      <c r="AH200" s="2192">
        <f>(AH36/AH179)</f>
        <v>0.25767120019088524</v>
      </c>
      <c r="AI200" s="2190"/>
      <c r="AJ200" s="2190"/>
      <c r="AK200" s="2190"/>
      <c r="AL200" s="2190"/>
      <c r="AM200" s="2192">
        <f>(AM36/AM179)</f>
        <v>0.27761194029850744</v>
      </c>
      <c r="AN200" s="2190"/>
      <c r="AO200" s="2190"/>
      <c r="AP200" s="2190"/>
      <c r="AQ200" s="2190"/>
      <c r="AR200" s="2192">
        <f>(AR36/AR179)</f>
        <v>0.31660684374252213</v>
      </c>
      <c r="AS200" s="2190"/>
      <c r="AT200" s="2190"/>
      <c r="AU200" s="2190"/>
      <c r="AV200" s="2190"/>
      <c r="AW200" s="2192">
        <f>(AW36/AW179)</f>
        <v>0.24573023255813953</v>
      </c>
      <c r="AX200" s="2190"/>
      <c r="AY200" s="2190"/>
      <c r="AZ200" s="2190"/>
      <c r="BA200" s="2190"/>
      <c r="BB200" s="2192">
        <f>(BB36/BB179)</f>
        <v>0.32847742643026867</v>
      </c>
      <c r="BC200" s="2190"/>
      <c r="BD200" s="2190"/>
      <c r="BE200" s="2190"/>
      <c r="BF200" s="2190"/>
      <c r="BG200" s="2192">
        <f>(BG36/BG179)</f>
        <v>0.34238955175749758</v>
      </c>
      <c r="BH200" s="2190"/>
      <c r="BI200" s="2190"/>
      <c r="BJ200" s="2190"/>
      <c r="BK200" s="2190"/>
      <c r="BL200" s="2192">
        <f t="shared" ref="BL200:DJ200" si="322">(BL36/BL179)</f>
        <v>0.43095276220976786</v>
      </c>
      <c r="BM200" s="2195">
        <f t="shared" si="322"/>
        <v>0.14317855433221638</v>
      </c>
      <c r="BN200" s="2195">
        <f t="shared" si="322"/>
        <v>0.14870006341154091</v>
      </c>
      <c r="BO200" s="2195">
        <f t="shared" si="322"/>
        <v>0.13641090278871909</v>
      </c>
      <c r="BP200" s="2195">
        <f t="shared" si="322"/>
        <v>0.15187057633973713</v>
      </c>
      <c r="BQ200" s="2192">
        <f t="shared" si="322"/>
        <v>0.54201935577061966</v>
      </c>
      <c r="BR200" s="2195">
        <f t="shared" si="322"/>
        <v>0.14069733796296297</v>
      </c>
      <c r="BS200" s="2195">
        <f t="shared" si="322"/>
        <v>0.15193553029212836</v>
      </c>
      <c r="BT200" s="2195">
        <f t="shared" si="322"/>
        <v>0.12982305936073057</v>
      </c>
      <c r="BU200" s="2195">
        <f t="shared" si="322"/>
        <v>0.17366548042704627</v>
      </c>
      <c r="BV200" s="2192">
        <f t="shared" si="322"/>
        <v>0.59202846975088963</v>
      </c>
      <c r="BW200" s="2195">
        <f t="shared" si="322"/>
        <v>0.14583038368965029</v>
      </c>
      <c r="BX200" s="2195">
        <f t="shared" si="322"/>
        <v>0.15417076944717964</v>
      </c>
      <c r="BY200" s="2195">
        <f t="shared" si="322"/>
        <v>0.14527404921700224</v>
      </c>
      <c r="BZ200" s="2195">
        <f t="shared" si="322"/>
        <v>0.19103313840155944</v>
      </c>
      <c r="CA200" s="2192">
        <f t="shared" si="322"/>
        <v>0.63171818434976335</v>
      </c>
      <c r="CB200" s="2195">
        <f t="shared" si="322"/>
        <v>0.15167450871851648</v>
      </c>
      <c r="CC200" s="2195">
        <f t="shared" si="322"/>
        <v>0.17065785851913021</v>
      </c>
      <c r="CD200" s="2187">
        <f t="shared" si="322"/>
        <v>0.1537513691128149</v>
      </c>
      <c r="CE200" s="2187">
        <f t="shared" si="322"/>
        <v>0.19828033301487652</v>
      </c>
      <c r="CF200" s="2191">
        <f t="shared" si="322"/>
        <v>0.67036986488330774</v>
      </c>
      <c r="CG200" s="2187">
        <f t="shared" si="322"/>
        <v>0.1764145810663765</v>
      </c>
      <c r="CH200" s="2187">
        <f t="shared" si="322"/>
        <v>0.1990514905149052</v>
      </c>
      <c r="CI200" s="2187">
        <f t="shared" si="322"/>
        <v>0.17583232241541988</v>
      </c>
      <c r="CJ200" s="2187">
        <f t="shared" si="322"/>
        <v>0.21198712791633145</v>
      </c>
      <c r="CK200" s="2191">
        <f t="shared" si="322"/>
        <v>0.75777688388307785</v>
      </c>
      <c r="CL200" s="2187">
        <f t="shared" si="322"/>
        <v>0.20408976231576151</v>
      </c>
      <c r="CM200" s="2187">
        <f t="shared" si="322"/>
        <v>0.20943941184193254</v>
      </c>
      <c r="CN200" s="2187">
        <f t="shared" si="322"/>
        <v>0.19191128506197</v>
      </c>
      <c r="CO200" s="2187">
        <f t="shared" si="322"/>
        <v>0.21814621409921672</v>
      </c>
      <c r="CP200" s="2191">
        <f t="shared" si="322"/>
        <v>0.82785327879667492</v>
      </c>
      <c r="CQ200" s="2187">
        <f t="shared" si="322"/>
        <v>0.22355345510282287</v>
      </c>
      <c r="CR200" s="2187">
        <f t="shared" si="322"/>
        <v>0.21696144547652377</v>
      </c>
      <c r="CS200" s="2187">
        <f t="shared" si="322"/>
        <v>0.19248707928904576</v>
      </c>
      <c r="CT200" s="2187">
        <f t="shared" si="322"/>
        <v>0.22300463601052498</v>
      </c>
      <c r="CU200" s="2191">
        <f t="shared" si="322"/>
        <v>0.84876365005648302</v>
      </c>
      <c r="CV200" s="2187">
        <f t="shared" si="322"/>
        <v>0.21567574319260557</v>
      </c>
      <c r="CW200" s="2187">
        <f t="shared" si="322"/>
        <v>0.20936721474838069</v>
      </c>
      <c r="CX200" s="2187">
        <f>(CX36/CX179)</f>
        <v>0.2067846154254781</v>
      </c>
      <c r="CY200" s="2187">
        <f t="shared" si="322"/>
        <v>0.22077301530916593</v>
      </c>
      <c r="CZ200" s="2191">
        <f t="shared" si="322"/>
        <v>0.74383847206110754</v>
      </c>
      <c r="DA200" s="2187">
        <f t="shared" si="322"/>
        <v>0.18368823651023361</v>
      </c>
      <c r="DB200" s="2187">
        <f t="shared" si="322"/>
        <v>0.18427627503613464</v>
      </c>
      <c r="DC200" s="2187">
        <f t="shared" si="322"/>
        <v>0.1875411184210527</v>
      </c>
      <c r="DD200" s="2187">
        <f t="shared" si="322"/>
        <v>0.22034472145275469</v>
      </c>
      <c r="DE200" s="2191">
        <f t="shared" si="322"/>
        <v>0.77295578126603059</v>
      </c>
      <c r="DF200" s="2187">
        <f t="shared" si="322"/>
        <v>0.16791029350971473</v>
      </c>
      <c r="DG200" s="2187">
        <f t="shared" si="322"/>
        <v>0.16107216494845367</v>
      </c>
      <c r="DH200" s="2187">
        <f t="shared" ref="DH200:DI200" si="323">(DH36/DH179)</f>
        <v>0.16076540631422431</v>
      </c>
      <c r="DI200" s="2187">
        <f t="shared" si="323"/>
        <v>0.21864166245027059</v>
      </c>
      <c r="DJ200" s="2191">
        <f t="shared" si="322"/>
        <v>0.70366904967560973</v>
      </c>
      <c r="DK200" s="2187">
        <f t="shared" ref="DK200:DT200" si="324">(DK36/DK179)</f>
        <v>0.16784296613260147</v>
      </c>
      <c r="DL200" s="2187">
        <f t="shared" si="324"/>
        <v>0.15942312621636759</v>
      </c>
      <c r="DM200" s="2187">
        <f t="shared" si="324"/>
        <v>0.15110332331748016</v>
      </c>
      <c r="DN200" s="2187">
        <f t="shared" si="324"/>
        <v>0.19942086765610753</v>
      </c>
      <c r="DO200" s="2191">
        <f t="shared" si="324"/>
        <v>0.67533274905478924</v>
      </c>
      <c r="DP200" s="2187">
        <f t="shared" si="324"/>
        <v>0.17035409329615614</v>
      </c>
      <c r="DQ200" s="2187">
        <f t="shared" si="324"/>
        <v>0.16134625092162069</v>
      </c>
      <c r="DR200" s="2187">
        <f t="shared" si="324"/>
        <v>0.15250192538522225</v>
      </c>
      <c r="DS200" s="2187">
        <f t="shared" si="324"/>
        <v>0.20200457506944983</v>
      </c>
      <c r="DT200" s="2191">
        <f t="shared" si="324"/>
        <v>0.68374194237534547</v>
      </c>
      <c r="DU200" s="2187">
        <f t="shared" ref="DU200:DY200" si="325">(DU36/DU179)</f>
        <v>0.17253999801450454</v>
      </c>
      <c r="DV200" s="2187">
        <f t="shared" si="325"/>
        <v>0.16332649129005483</v>
      </c>
      <c r="DW200" s="2187">
        <f t="shared" si="325"/>
        <v>0.1544862529896332</v>
      </c>
      <c r="DX200" s="2187">
        <f t="shared" si="325"/>
        <v>0.2040242270167176</v>
      </c>
      <c r="DY200" s="2191">
        <f t="shared" si="325"/>
        <v>0.69190552709173425</v>
      </c>
      <c r="DZ200" s="2190"/>
      <c r="EA200" s="2190"/>
    </row>
    <row r="201" spans="1:131" ht="11.25" hidden="1" customHeight="1" outlineLevel="1" x14ac:dyDescent="0.2">
      <c r="A201" s="2187"/>
      <c r="B201" t="s">
        <v>1061</v>
      </c>
      <c r="C201" s="2187"/>
      <c r="E201" s="2190"/>
      <c r="F201" s="2190"/>
      <c r="G201" s="2190"/>
      <c r="H201" s="2190"/>
      <c r="I201" s="2192">
        <f>(I24/I179)</f>
        <v>1.870094460227272</v>
      </c>
      <c r="J201" s="2190"/>
      <c r="K201" s="2190"/>
      <c r="L201" s="2190"/>
      <c r="M201" s="2190"/>
      <c r="N201" s="2192">
        <f>(N24/N179)</f>
        <v>0.75150643004115247</v>
      </c>
      <c r="O201" s="2190"/>
      <c r="P201" s="2190"/>
      <c r="Q201" s="2190"/>
      <c r="R201" s="2190"/>
      <c r="S201" s="2192">
        <f>(S24/S179)</f>
        <v>0.72996118389131504</v>
      </c>
      <c r="T201" s="2190"/>
      <c r="U201" s="2190"/>
      <c r="V201" s="2190"/>
      <c r="W201" s="2190"/>
      <c r="X201" s="2192">
        <f>(X24/X179)</f>
        <v>0.80092728160078142</v>
      </c>
      <c r="Y201" s="2190"/>
      <c r="Z201" s="2190"/>
      <c r="AA201" s="2190"/>
      <c r="AB201" s="2190"/>
      <c r="AC201" s="2192">
        <f>(AC24/AC179)</f>
        <v>0.81969513670457272</v>
      </c>
      <c r="AD201" s="2190"/>
      <c r="AE201" s="2190"/>
      <c r="AF201" s="2190"/>
      <c r="AG201" s="2190"/>
      <c r="AH201" s="2192">
        <f>(AH24/AH179)</f>
        <v>0.88384633738964502</v>
      </c>
      <c r="AI201" s="2190"/>
      <c r="AJ201" s="2190"/>
      <c r="AK201" s="2190"/>
      <c r="AL201" s="2190"/>
      <c r="AM201" s="2192">
        <f>(AM24/AM179)</f>
        <v>0.93293369219476385</v>
      </c>
      <c r="AN201" s="2190"/>
      <c r="AO201" s="2190"/>
      <c r="AP201" s="2190"/>
      <c r="AQ201" s="2190"/>
      <c r="AR201" s="2192">
        <f>(AR24/AR179)</f>
        <v>1.0128260349365878</v>
      </c>
      <c r="AS201" s="2190"/>
      <c r="AT201" s="2190"/>
      <c r="AU201" s="2190"/>
      <c r="AV201" s="2190"/>
      <c r="AW201" s="2192">
        <f>(AW24/AW179)</f>
        <v>0.90135813953488408</v>
      </c>
      <c r="AX201" s="2190"/>
      <c r="AY201" s="2190"/>
      <c r="AZ201" s="2190"/>
      <c r="BA201" s="2190"/>
      <c r="BB201" s="2192">
        <f>(BB24/BB179)</f>
        <v>1.3803692195211112</v>
      </c>
      <c r="BC201" s="2190"/>
      <c r="BD201" s="2190"/>
      <c r="BE201" s="2190"/>
      <c r="BF201" s="2190"/>
      <c r="BG201" s="2192">
        <f>(BG24/BG179)</f>
        <v>1.476926797807159</v>
      </c>
      <c r="BH201" s="2190"/>
      <c r="BI201" s="2190"/>
      <c r="BJ201" s="2190"/>
      <c r="BK201" s="2190"/>
      <c r="BL201" s="2192">
        <f t="shared" ref="BL201:DJ201" si="326">(BL24/BL179)</f>
        <v>1.6684227381905523</v>
      </c>
      <c r="BM201" s="2195">
        <f t="shared" si="326"/>
        <v>0.41610020743577464</v>
      </c>
      <c r="BN201" s="2195">
        <f t="shared" si="326"/>
        <v>0.40984464172479396</v>
      </c>
      <c r="BO201" s="2195">
        <f t="shared" si="326"/>
        <v>0.41632267212856461</v>
      </c>
      <c r="BP201" s="2195">
        <f t="shared" si="326"/>
        <v>0.45538061534017044</v>
      </c>
      <c r="BQ201" s="2192">
        <f t="shared" si="326"/>
        <v>1.5871731908132312</v>
      </c>
      <c r="BR201" s="2195">
        <f t="shared" si="326"/>
        <v>0.43166956018518515</v>
      </c>
      <c r="BS201" s="2195">
        <f t="shared" si="326"/>
        <v>0.44255288530723846</v>
      </c>
      <c r="BT201" s="2195">
        <f t="shared" si="326"/>
        <v>0.4401398401826484</v>
      </c>
      <c r="BU201" s="2195">
        <f t="shared" si="326"/>
        <v>0.46846975088967974</v>
      </c>
      <c r="BV201" s="2192">
        <f t="shared" si="326"/>
        <v>1.7700355871886122</v>
      </c>
      <c r="BW201" s="2195">
        <f t="shared" si="326"/>
        <v>0.41866062579640378</v>
      </c>
      <c r="BX201" s="2195">
        <f t="shared" si="326"/>
        <v>0.4407089604726403</v>
      </c>
      <c r="BY201" s="2195">
        <f t="shared" si="326"/>
        <v>0.43931767337807609</v>
      </c>
      <c r="BZ201" s="2195">
        <f t="shared" si="326"/>
        <v>0.45530492898913949</v>
      </c>
      <c r="CA201" s="2192">
        <f t="shared" si="326"/>
        <v>1.7407407407407407</v>
      </c>
      <c r="CB201" s="2195">
        <f t="shared" si="326"/>
        <v>0.42222529753667315</v>
      </c>
      <c r="CC201" s="2195">
        <f t="shared" si="326"/>
        <v>0.4360033030553262</v>
      </c>
      <c r="CD201" s="2187">
        <f t="shared" si="326"/>
        <v>0.43578860898138005</v>
      </c>
      <c r="CE201" s="2187">
        <f t="shared" si="326"/>
        <v>0.43059915381465813</v>
      </c>
      <c r="CF201" s="2191">
        <f t="shared" si="326"/>
        <v>1.713798280333015</v>
      </c>
      <c r="CG201" s="2187">
        <f t="shared" si="326"/>
        <v>0.44545701849836777</v>
      </c>
      <c r="CH201" s="2187">
        <f t="shared" si="326"/>
        <v>0.4471680216802168</v>
      </c>
      <c r="CI201" s="2187">
        <f t="shared" si="326"/>
        <v>0.45394257986251518</v>
      </c>
      <c r="CJ201" s="2187">
        <f t="shared" si="326"/>
        <v>0.471171895950657</v>
      </c>
      <c r="CK201" s="2191">
        <f t="shared" si="326"/>
        <v>1.8043577366586216</v>
      </c>
      <c r="CL201" s="2187">
        <f t="shared" si="326"/>
        <v>0.45345903598459703</v>
      </c>
      <c r="CM201" s="2187">
        <f t="shared" si="326"/>
        <v>0.44693448864382307</v>
      </c>
      <c r="CN201" s="2187">
        <f t="shared" si="326"/>
        <v>0.44527071102413568</v>
      </c>
      <c r="CO201" s="2187">
        <f t="shared" si="326"/>
        <v>0.47167101827676239</v>
      </c>
      <c r="CP201" s="2191">
        <f t="shared" si="326"/>
        <v>1.8267977305713154</v>
      </c>
      <c r="CQ201" s="2187">
        <f t="shared" si="326"/>
        <v>0.43857453059139095</v>
      </c>
      <c r="CR201" s="2187">
        <f t="shared" si="326"/>
        <v>0.45727191754676166</v>
      </c>
      <c r="CS201" s="2187">
        <f t="shared" si="326"/>
        <v>0.46760368082692549</v>
      </c>
      <c r="CT201" s="2187">
        <f t="shared" si="326"/>
        <v>0.47342438290940986</v>
      </c>
      <c r="CU201" s="2191">
        <f t="shared" si="326"/>
        <v>1.8219154010292455</v>
      </c>
      <c r="CV201" s="2187">
        <f t="shared" si="326"/>
        <v>0.44565326005495881</v>
      </c>
      <c r="CW201" s="2187">
        <f t="shared" si="326"/>
        <v>0.45356253114100648</v>
      </c>
      <c r="CX201" s="2187">
        <f>(CX24/CX179)</f>
        <v>0.46962829558660635</v>
      </c>
      <c r="CY201" s="2187">
        <f t="shared" si="326"/>
        <v>0.40090433352252713</v>
      </c>
      <c r="CZ201" s="2191">
        <f t="shared" si="326"/>
        <v>1.5339780963542204</v>
      </c>
      <c r="DA201" s="2187">
        <f t="shared" si="326"/>
        <v>0.41895803183791608</v>
      </c>
      <c r="DB201" s="2187">
        <f t="shared" si="326"/>
        <v>0.41896551724137931</v>
      </c>
      <c r="DC201" s="2187">
        <f t="shared" si="326"/>
        <v>0.41881167763157895</v>
      </c>
      <c r="DD201" s="2187">
        <f t="shared" si="326"/>
        <v>0.41662049861495848</v>
      </c>
      <c r="DE201" s="2191">
        <f t="shared" si="326"/>
        <v>1.6667795219041754</v>
      </c>
      <c r="DF201" s="2187">
        <f t="shared" si="326"/>
        <v>0.41874741628772222</v>
      </c>
      <c r="DG201" s="2187">
        <f t="shared" si="326"/>
        <v>0.42452577319587625</v>
      </c>
      <c r="DH201" s="2187">
        <f t="shared" ref="DH201:DI201" si="327">(DH24/DH179)</f>
        <v>0.42244097926981838</v>
      </c>
      <c r="DI201" s="2187">
        <f t="shared" si="327"/>
        <v>0.42166491666530659</v>
      </c>
      <c r="DJ201" s="2191">
        <f t="shared" si="326"/>
        <v>1.6752527967897584</v>
      </c>
      <c r="DK201" s="2187">
        <f t="shared" ref="DK201:DT201" si="328">(DK24/DK179)</f>
        <v>0.41041387090664827</v>
      </c>
      <c r="DL201" s="2187">
        <f t="shared" si="328"/>
        <v>0.4149366002282634</v>
      </c>
      <c r="DM201" s="2187">
        <f t="shared" si="328"/>
        <v>0.41436685449968269</v>
      </c>
      <c r="DN201" s="2187">
        <f t="shared" si="328"/>
        <v>0.41490635834610112</v>
      </c>
      <c r="DO201" s="2191">
        <f t="shared" si="328"/>
        <v>1.6483743613823008</v>
      </c>
      <c r="DP201" s="2187">
        <f t="shared" si="328"/>
        <v>0.41303516469817964</v>
      </c>
      <c r="DQ201" s="2187">
        <f t="shared" si="328"/>
        <v>0.41805174526435618</v>
      </c>
      <c r="DR201" s="2187">
        <f t="shared" si="328"/>
        <v>0.41803771570799975</v>
      </c>
      <c r="DS201" s="2187">
        <f t="shared" si="328"/>
        <v>0.41750560078780369</v>
      </c>
      <c r="DT201" s="2191">
        <f t="shared" si="328"/>
        <v>1.6603989790817244</v>
      </c>
      <c r="DU201" s="2187">
        <f t="shared" ref="DU201:DY201" si="329">(DU24/DU179)</f>
        <v>0.41567810674530742</v>
      </c>
      <c r="DV201" s="2187">
        <f t="shared" si="329"/>
        <v>0.42077989674075916</v>
      </c>
      <c r="DW201" s="2187">
        <f t="shared" si="329"/>
        <v>0.42078644624767175</v>
      </c>
      <c r="DX201" s="2187">
        <f t="shared" si="329"/>
        <v>0.42031483464969432</v>
      </c>
      <c r="DY201" s="2191">
        <f t="shared" si="329"/>
        <v>1.6713497907677615</v>
      </c>
      <c r="DZ201" s="2190"/>
      <c r="EA201" s="2190"/>
    </row>
    <row r="202" spans="1:131" ht="5.25" hidden="1" customHeight="1" outlineLevel="1" x14ac:dyDescent="0.2">
      <c r="DH202" s="2734"/>
      <c r="DI202" s="2795"/>
    </row>
    <row r="203" spans="1:131" ht="11.25" hidden="1" customHeight="1" outlineLevel="1" x14ac:dyDescent="0.2">
      <c r="B203" t="s">
        <v>1062</v>
      </c>
      <c r="DH203" s="2734"/>
      <c r="DI203" s="2795"/>
    </row>
    <row r="204" spans="1:131" ht="11.25" hidden="1" customHeight="1" outlineLevel="1" x14ac:dyDescent="0.2">
      <c r="B204" s="2226" t="s">
        <v>207</v>
      </c>
      <c r="I204">
        <f>(I17*$B$178)/(AVERAGE(I$181,D$181))</f>
        <v>928.52746212121212</v>
      </c>
      <c r="N204">
        <f>(N17*$B$178)/(AVERAGE(N$181,I$181))</f>
        <v>638.23997007388016</v>
      </c>
      <c r="S204">
        <f>(S17*$B$178)/(AVERAGE(S$181,N$181))</f>
        <v>496.62791846412222</v>
      </c>
      <c r="X204">
        <f>(X17*$B$178)/(AVERAGE(X$181,S$181))</f>
        <v>578.56040962352711</v>
      </c>
      <c r="AC204">
        <f>(AC17*$B$178)/(AVERAGE(AC$181,X$181))</f>
        <v>635.3953579858379</v>
      </c>
      <c r="AH204">
        <f>(AH17*$B$178)/(AVERAGE(AH$181,AC$181))</f>
        <v>686.7377165303626</v>
      </c>
      <c r="AM204">
        <f>(AM17*$B$178)/(AVERAGE(AM$181,AH$181))</f>
        <v>733.82870053620582</v>
      </c>
      <c r="AR204">
        <f>(AR17*$B$178)/(AVERAGE(AR$181,AM$181))</f>
        <v>804.51572867439972</v>
      </c>
      <c r="AW204">
        <f>(AW17*$B$178)/(AVERAGE(AW$181,AR$181))</f>
        <v>768.02384644174731</v>
      </c>
      <c r="BB204">
        <f>(BB17*$B$178)/(AVERAGE(BB$181,AW$181))</f>
        <v>772.12220033063841</v>
      </c>
      <c r="BG204">
        <f>(BG17*$B$178)/(AVERAGE(BG$181,BB$181))</f>
        <v>803.27005902057749</v>
      </c>
      <c r="BL204">
        <f>(BL17*$B$178)/(AVERAGE(BL$181,BG$181))</f>
        <v>806.67179560581121</v>
      </c>
      <c r="BM204">
        <f>(BM17*$B$178)/BM$181</f>
        <v>207.88319118318066</v>
      </c>
      <c r="BN204">
        <f>(BN17*$B$178)/BN$181</f>
        <v>202.51883968204811</v>
      </c>
      <c r="BO204">
        <f>(BO17*$B$178)/BO$181</f>
        <v>197.55241762943945</v>
      </c>
      <c r="BP204">
        <f>(BP17*$B$178)/BP$181</f>
        <v>208.98555542124984</v>
      </c>
      <c r="BQ204">
        <f>(BQ17*$B$178)/(AVERAGE(BQ$181,BL$181))</f>
        <v>799.36527102437753</v>
      </c>
      <c r="BR204">
        <f>(BR17*$B$178)/BR$181</f>
        <v>204.21797754421891</v>
      </c>
      <c r="BS204">
        <f>(BS17*$B$178)/BS$181</f>
        <v>207.63594350237287</v>
      </c>
      <c r="BT204">
        <f>(BT17*$B$178)/BT$181</f>
        <v>203.01711203513304</v>
      </c>
      <c r="BU204">
        <f>(BU17*$B$178)/BU$181</f>
        <v>215.17835563701604</v>
      </c>
      <c r="BV204">
        <f>(BV17*$B$178)/(AVERAGE(BV$181,BQ$181))</f>
        <v>826.90986226882978</v>
      </c>
      <c r="BW204">
        <f>(BW17*$B$178)/BW$181</f>
        <v>206.95654647308737</v>
      </c>
      <c r="BX204">
        <f>(BX17*$B$178)/BX$181</f>
        <v>210.51383621766701</v>
      </c>
      <c r="BY204">
        <f>(BY17*$B$178)/BY$181</f>
        <v>207.02386536604197</v>
      </c>
      <c r="BZ204">
        <f>(BZ17*$B$178)/BZ$181</f>
        <v>216.90327111265523</v>
      </c>
      <c r="CA204">
        <f>(CA17*$B$178)/(AVERAGE(CA$181,BV$181))</f>
        <v>840.95671566323279</v>
      </c>
      <c r="CB204">
        <f>(CB17*$B$178)/CB$181</f>
        <v>211.09447178722866</v>
      </c>
      <c r="CC204">
        <f>(CC17*$B$178)/CC$181</f>
        <v>213.37030434877508</v>
      </c>
      <c r="CD204">
        <f>(CD17*$B$178)/CD$181</f>
        <v>210.35451437651645</v>
      </c>
      <c r="CE204">
        <f>(CE17*$B$178)/CE$181</f>
        <v>221.10628653204634</v>
      </c>
      <c r="CF204">
        <f>(CF17*$B$178)/(AVERAGE(CF$181,CA$181))</f>
        <v>859.08407191997253</v>
      </c>
      <c r="CG204">
        <f>(CG17*$B$178)/CG$181</f>
        <v>227.91006302474821</v>
      </c>
      <c r="CH204">
        <f>(CH17*$B$178)/CH$181</f>
        <v>224.52205549018757</v>
      </c>
      <c r="CI204">
        <f>(CI17*$B$178)/CI$181</f>
        <v>218.51843044019449</v>
      </c>
      <c r="CJ204">
        <f>(CJ17*$B$178)/CJ$181</f>
        <v>228.25552870336591</v>
      </c>
      <c r="CK204">
        <f>(CK17*$B$178)/(AVERAGE(CK$181,CF$181))</f>
        <v>900.38523287629494</v>
      </c>
      <c r="CL204">
        <f>(CL17*$B$178)/CL$181</f>
        <v>222.8603606404165</v>
      </c>
      <c r="CM204">
        <f>(CM17*$B$178)/CM$181</f>
        <v>221.55558095856</v>
      </c>
      <c r="CN204">
        <f>(CN17*$B$178)/CN$181</f>
        <v>222.13744627556562</v>
      </c>
      <c r="CO204">
        <f ca="1">(CO17*$B$178)/CO$181</f>
        <v>233.29583080380877</v>
      </c>
      <c r="CP204">
        <f ca="1">(CP17*$B$178)/(AVERAGE(CP$181,CK$181))</f>
        <v>905.6485307509522</v>
      </c>
      <c r="CQ204">
        <f ca="1">(CQ17*$B$178)/CQ$181</f>
        <v>221.46062986496551</v>
      </c>
      <c r="CR204">
        <f ca="1">(CR17*$B$178)/CR$181</f>
        <v>224.14124468382909</v>
      </c>
      <c r="CS204">
        <f ca="1">(CS17*$B$178)/CS$181</f>
        <v>221.14479747029887</v>
      </c>
      <c r="CT204">
        <f ca="1">(CT17*$B$178)/CT$181</f>
        <v>232.44438732790869</v>
      </c>
      <c r="CU204">
        <f ca="1">(CU17*$B$178)/(AVERAGE(CU$181,CP$181))</f>
        <v>904.98671845085039</v>
      </c>
      <c r="CV204">
        <f ca="1">(CV17*$B$178)/CV$181</f>
        <v>220.46988492996212</v>
      </c>
      <c r="CW204">
        <f ca="1">(CW17*$B$178)/CW$181</f>
        <v>221.72341025389721</v>
      </c>
      <c r="CX204">
        <f ca="1">(CX17*$B$178)/CX$181</f>
        <v>228.8901352898954</v>
      </c>
      <c r="CY204">
        <f ca="1">(CY17*$B$178)/CY$181</f>
        <v>253.00033123610177</v>
      </c>
      <c r="CZ204">
        <f ca="1">(CZ17*$B$178)/(AVERAGE(CZ$181,CU$181))</f>
        <v>930.29544674271403</v>
      </c>
      <c r="DA204">
        <f ca="1">(DA17*$B$178)/DA$181</f>
        <v>255.19766343642854</v>
      </c>
      <c r="DB204">
        <f ca="1">(DB17*$B$178)/DB$181</f>
        <v>250.8913389072182</v>
      </c>
      <c r="DC204">
        <f ca="1">(DC17*$B$178)/DC$181</f>
        <v>251.11344873285876</v>
      </c>
      <c r="DD204">
        <f ca="1">(DD17*$B$178)/DD$181</f>
        <v>258.5379781651942</v>
      </c>
      <c r="DE204">
        <f ca="1">(DE17*$B$178)/(AVERAGE(DE$181,CZ$181))</f>
        <v>1018.1999465493324</v>
      </c>
      <c r="DF204">
        <f ca="1">(DF17*$B$178)/DF$181</f>
        <v>245.40823437212839</v>
      </c>
      <c r="DG204">
        <f ca="1">(DG17*$B$178)/DG$181</f>
        <v>245.31742550902345</v>
      </c>
      <c r="DH204" s="2734">
        <f ca="1">(DH17*$B$178)/DH$181</f>
        <v>244.26602287417631</v>
      </c>
      <c r="DI204" s="2795">
        <f ca="1">(DI17*$B$178)/DI$181</f>
        <v>259.30748746782257</v>
      </c>
      <c r="DJ204">
        <f ca="1">(DJ17*$B$178)/(AVERAGE(DJ$181,DE$181))</f>
        <v>984.64772775119843</v>
      </c>
      <c r="DK204" s="2559">
        <f ca="1">(DK17*$B$178)/DK$181</f>
        <v>259.21354982260158</v>
      </c>
      <c r="DL204" s="2559">
        <f ca="1">(DL17*$B$178)/DL$181</f>
        <v>258.47376821312525</v>
      </c>
      <c r="DM204" s="2559">
        <f ca="1">(DM17*$B$178)/DM$181</f>
        <v>251.36377997905919</v>
      </c>
      <c r="DN204" s="2559">
        <f ca="1">(DN17*$B$178)/DN$181</f>
        <v>259.93099467053031</v>
      </c>
      <c r="DO204" s="2559">
        <f ca="1">(DO17*$B$178)/(AVERAGE(DO$181,DJ$181))</f>
        <v>1018.8298830705307</v>
      </c>
      <c r="DP204" s="2649">
        <f ca="1">(DP17*$B$178)/DP$181</f>
        <v>266.61174277684415</v>
      </c>
      <c r="DQ204" s="2649">
        <f ca="1">(DQ17*$B$178)/DQ$181</f>
        <v>265.63074182912624</v>
      </c>
      <c r="DR204" s="2649">
        <f ca="1">(DR17*$B$178)/DR$181</f>
        <v>258.19409237460064</v>
      </c>
      <c r="DS204" s="2649">
        <f ca="1">(DS17*$B$178)/DS$181</f>
        <v>266.50682565801094</v>
      </c>
      <c r="DT204" s="2649">
        <f ca="1">(DT17*$B$178)/(AVERAGE(DT$181,DO$181))</f>
        <v>1046.5057651654051</v>
      </c>
      <c r="DU204" s="2771">
        <f ca="1">(DU17*$B$178)/DU$181</f>
        <v>273.42868403088977</v>
      </c>
      <c r="DV204" s="2771">
        <f ca="1">(DV17*$B$178)/DV$181</f>
        <v>272.15263146772054</v>
      </c>
      <c r="DW204" s="2771">
        <f ca="1">(DW17*$B$178)/DW$181</f>
        <v>264.37249399861372</v>
      </c>
      <c r="DX204" s="2771">
        <f ca="1">(DX17*$B$178)/DX$181</f>
        <v>272.38336580812631</v>
      </c>
      <c r="DY204" s="2771">
        <f ca="1">(DY17*$B$178)/(AVERAGE(DY$181,DT$181))</f>
        <v>1071.6379737089089</v>
      </c>
    </row>
    <row r="205" spans="1:131" ht="11.25" hidden="1" customHeight="1" outlineLevel="1" x14ac:dyDescent="0.2">
      <c r="B205" s="2226" t="s">
        <v>176</v>
      </c>
      <c r="I205">
        <f>(I31*$B$178)/AVERAGE(I$181,D$181)</f>
        <v>63.738952020202021</v>
      </c>
      <c r="N205">
        <f>(N31*$B$178)/AVERAGE(N$181,I$181)</f>
        <v>47.180398391471059</v>
      </c>
      <c r="S205">
        <f>(S31*$B$178)/AVERAGE(S$181,N$181)</f>
        <v>38.739421082095689</v>
      </c>
      <c r="X205">
        <f>(X31*$B$178)/AVERAGE(X$181,S$181)</f>
        <v>45.403223159484043</v>
      </c>
      <c r="AC205">
        <f>(AC31*$B$178)/AVERAGE(AC$181,X$181)</f>
        <v>51.071990558615262</v>
      </c>
      <c r="AH205">
        <f>(AH31*$B$178)/AVERAGE(AH$181,AC$181)</f>
        <v>44.484512846931558</v>
      </c>
      <c r="AM205">
        <f>(AM31*$B$178)/AVERAGE(AM$181,AH$181)</f>
        <v>45.575904151219582</v>
      </c>
      <c r="AR205">
        <f>(AR31*$B$178)/AVERAGE(AR$181,AM$181)</f>
        <v>52.4957436313587</v>
      </c>
      <c r="AW205">
        <f>(AW31*$B$178)/AVERAGE(AW$181,AR$181)</f>
        <v>47.904079559428972</v>
      </c>
      <c r="BB205">
        <f>(BB31*$B$178)/AVERAGE(BB$181,AW$181)</f>
        <v>53.119550694114182</v>
      </c>
      <c r="BG205">
        <f>(BG31*$B$178)/AVERAGE(BG$181,BB$181)</f>
        <v>56.137342478864255</v>
      </c>
      <c r="BL205">
        <f>(BL31*$B$178)/AVERAGE(BL$181,BG$181)</f>
        <v>62.559937021398419</v>
      </c>
      <c r="BQ205">
        <f>(BQ31*$B$178)/AVERAGE(BQ$181,BL$181)</f>
        <v>76.22621805958947</v>
      </c>
      <c r="BV205">
        <f>(BV31*$B$178)/AVERAGE(BV$181,BQ$181)</f>
        <v>77.232529652535035</v>
      </c>
      <c r="CA205">
        <f>(CA31*$B$178)/AVERAGE(CA$181,BV$181)</f>
        <v>82.357884997204906</v>
      </c>
      <c r="CF205">
        <f>(CF31*$B$178)/AVERAGE(CF$181,CA$181)</f>
        <v>87.402179411409136</v>
      </c>
      <c r="CK205">
        <f>(CK31*$B$178)/AVERAGE(CK$181,CF$181)</f>
        <v>96.249739876217248</v>
      </c>
      <c r="CP205">
        <f ca="1">(CP31*$B$178)/AVERAGE(CP$181,CK$181)</f>
        <v>103.32004855018552</v>
      </c>
      <c r="CU205">
        <f ca="1">(CU31*$B$178)/AVERAGE(CU$181,CP$181)</f>
        <v>106.3468484128118</v>
      </c>
      <c r="CZ205">
        <f ca="1">(CZ31*$B$178)/AVERAGE(CZ$181,CU$181)</f>
        <v>109.89568996564813</v>
      </c>
      <c r="DE205">
        <f ca="1">(DE31*$B$178)/AVERAGE(DE$181,CZ$181)</f>
        <v>114.83449548096665</v>
      </c>
      <c r="DH205" s="2734"/>
      <c r="DI205" s="2795"/>
      <c r="DJ205">
        <f ca="1">(DJ31*$B$178)/AVERAGE(DJ$181,DE$181)</f>
        <v>106.02778761044742</v>
      </c>
      <c r="DO205" s="2559">
        <f ca="1">(DO31*$B$178)/AVERAGE(DO$181,DJ$181)</f>
        <v>104.02879891028452</v>
      </c>
      <c r="DT205" s="2649">
        <f ca="1">(DT31*$B$178)/AVERAGE(DT$181,DO$181)</f>
        <v>105.99974514727234</v>
      </c>
      <c r="DY205" s="2771">
        <f ca="1">(DY31*$B$178)/AVERAGE(DY$181,DT$181)</f>
        <v>107.79059417737517</v>
      </c>
    </row>
    <row r="206" spans="1:131" ht="11.25" hidden="1" customHeight="1" outlineLevel="1" x14ac:dyDescent="0.2">
      <c r="B206" s="2226" t="s">
        <v>518</v>
      </c>
      <c r="I206">
        <f>(I36*$B$178)/AVERAGE(I$181,D$181)</f>
        <v>47.545770202020201</v>
      </c>
      <c r="N206">
        <f>(N36*$B$178)/AVERAGE(N$181,I$181)</f>
        <v>36.060974469278968</v>
      </c>
      <c r="S206">
        <f>(S36*$B$178)/AVERAGE(S$181,N$181)</f>
        <v>30.552902822142457</v>
      </c>
      <c r="X206">
        <f>(X36*$B$178)/AVERAGE(X$181,S$181)</f>
        <v>36.363934749072769</v>
      </c>
      <c r="AC206">
        <f>(AC36*$B$178)/AVERAGE(AC$181,X$181)</f>
        <v>41.58471020194073</v>
      </c>
      <c r="AH206">
        <f>(AH36*$B$178)/AVERAGE(AH$181,AC$181)</f>
        <v>34.770429518964519</v>
      </c>
      <c r="AM206">
        <f>(AM36*$B$178)/AVERAGE(AM$181,AH$181)</f>
        <v>36.105586405511623</v>
      </c>
      <c r="AR206">
        <f>(AR36*$B$178)/AVERAGE(AR$181,AM$181)</f>
        <v>42.105430649036549</v>
      </c>
      <c r="AW206">
        <f>(AW36*$B$178)/AVERAGE(AW$181,AR$181)</f>
        <v>35.309843340640541</v>
      </c>
      <c r="BB206">
        <f>(BB36*$B$178)/AVERAGE(BB$181,AW$181)</f>
        <v>40.697964082704893</v>
      </c>
      <c r="BG206">
        <f>(BG36*$B$178)/AVERAGE(BG$181,BB$181)</f>
        <v>42.34128250119636</v>
      </c>
      <c r="BL206">
        <f>(BL36*$B$178)/AVERAGE(BL$181,BG$181)</f>
        <v>48.151792743147496</v>
      </c>
      <c r="BM206">
        <f>(BM21*$B$178)/BM$181</f>
        <v>61.510652486750203</v>
      </c>
      <c r="BN206">
        <f>(BN21*$B$178)/BN$181</f>
        <v>60.619042703279312</v>
      </c>
      <c r="BO206">
        <f>(BO21*$B$178)/BO$181</f>
        <v>60.046213093709888</v>
      </c>
      <c r="BP206">
        <f>(BP21*$B$178)/BP$181</f>
        <v>63.519883959869453</v>
      </c>
      <c r="BQ206">
        <f>(BQ36*$B$178)/AVERAGE(BQ$181,BL$181)</f>
        <v>61.227686584211732</v>
      </c>
      <c r="BR206">
        <f>(BR21*$B$178)/BR$181</f>
        <v>59.860202176828672</v>
      </c>
      <c r="BS206">
        <f>(BS21*$B$178)/BS$181</f>
        <v>62.169487012049736</v>
      </c>
      <c r="BT206">
        <f>(BT21*$B$178)/BT$181</f>
        <v>59.602161685943223</v>
      </c>
      <c r="BU206">
        <f>(BU21*$B$178)/BU$181</f>
        <v>67.151128486930432</v>
      </c>
      <c r="BV206">
        <f>(BV36*$B$178)/AVERAGE(BV$181,BQ$181)</f>
        <v>62.128409668070866</v>
      </c>
      <c r="BW206">
        <f>(BW21*$B$178)/BW$181</f>
        <v>59.031030962097539</v>
      </c>
      <c r="BX206">
        <f>(BX21*$B$178)/BX$181</f>
        <v>62.208302240550189</v>
      </c>
      <c r="BY206">
        <f>(BY21*$B$178)/BY$181</f>
        <v>61.13191476060608</v>
      </c>
      <c r="BZ206">
        <f>(BZ21*$B$178)/BZ$181</f>
        <v>67.588439585483357</v>
      </c>
      <c r="CA206">
        <f>(CA36*$B$178)/AVERAGE(CA$181,BV$181)</f>
        <v>66.534495055612297</v>
      </c>
      <c r="CB206">
        <f>(CB21*$B$178)/CB$181</f>
        <v>60.012941283446715</v>
      </c>
      <c r="CC206">
        <f>(CC21*$B$178)/CC$181</f>
        <v>63.438304436085289</v>
      </c>
      <c r="CD206">
        <f>(CD21*$B$178)/CD$181</f>
        <v>61.647487844911176</v>
      </c>
      <c r="CE206">
        <f>(CE21*$B$178)/CE$181</f>
        <v>65.760877515369373</v>
      </c>
      <c r="CF206">
        <f>(CF36*$B$178)/AVERAGE(CF$181,CA$181)</f>
        <v>70.801026607233339</v>
      </c>
      <c r="CG206">
        <f>(CG21*$B$178)/CG$181</f>
        <v>65.02775887101528</v>
      </c>
      <c r="CH206">
        <f>(CH21*$B$178)/CH$181</f>
        <v>67.573402425738578</v>
      </c>
      <c r="CI206">
        <f>(CI21*$B$178)/CI$181</f>
        <v>65.853344161515537</v>
      </c>
      <c r="CJ206">
        <f>(CJ21*$B$178)/CJ$181</f>
        <v>71.435007293835952</v>
      </c>
      <c r="CK206">
        <f>(CK36*$B$178)/AVERAGE(CK$181,CF$181)</f>
        <v>79.94054007060646</v>
      </c>
      <c r="CL206">
        <f>(CL21*$B$178)/CL$181</f>
        <v>68.756121480988256</v>
      </c>
      <c r="CM206">
        <f>(CM21*$B$178)/CM$181</f>
        <v>68.632193225342576</v>
      </c>
      <c r="CN206">
        <f>(CN21*$B$178)/CN$181</f>
        <v>66.624864137181433</v>
      </c>
      <c r="CO206">
        <f ca="1">(CO21*$B$178)/CO$181</f>
        <v>71.704000114432617</v>
      </c>
      <c r="CP206">
        <f ca="1">(CP36*$B$178)/AVERAGE(CP$181,CK$181)</f>
        <v>86.532867999523333</v>
      </c>
      <c r="CQ206">
        <f ca="1">(CQ21*$B$178)/CQ$181</f>
        <v>69.661501540917257</v>
      </c>
      <c r="CR206">
        <f ca="1">(CR21*$B$178)/CR$181</f>
        <v>70.401874767674784</v>
      </c>
      <c r="CS206">
        <f ca="1">(CS21*$B$178)/CS$181</f>
        <v>69.137868709705955</v>
      </c>
      <c r="CT206">
        <f ca="1">(CT21*$B$178)/CT$181</f>
        <v>73.001039306474297</v>
      </c>
      <c r="CU206">
        <f ca="1">(CU36*$B$178)/AVERAGE(CU$181,CP$181)</f>
        <v>90.263339230861632</v>
      </c>
      <c r="CV206">
        <f ca="1">(CV21*$B$178)/CV$181</f>
        <v>68.863997731680954</v>
      </c>
      <c r="CW206">
        <f ca="1">(CW21*$B$178)/CW$181</f>
        <v>68.437834682042265</v>
      </c>
      <c r="CX206">
        <f ca="1">(CX21*$B$178)/CX$181</f>
        <v>68.665852032495579</v>
      </c>
      <c r="CY206">
        <f ca="1">(CY21*$B$178)/CY$181</f>
        <v>76.300450329033907</v>
      </c>
      <c r="CZ206">
        <f ca="1">(CZ36*$B$178)/AVERAGE(CZ$181,CU$181)</f>
        <v>92.784478002184215</v>
      </c>
      <c r="DA206">
        <f ca="1">(DA21*$B$178)/DA$181</f>
        <v>73.975854108710138</v>
      </c>
      <c r="DB206">
        <f ca="1">(DB21*$B$178)/DB$181</f>
        <v>73.302669335250584</v>
      </c>
      <c r="DC206">
        <f ca="1">(DC21*$B$178)/DC$181</f>
        <v>73.536208586517233</v>
      </c>
      <c r="DD206">
        <f ca="1">(DD21*$B$178)/DD$181</f>
        <v>76.994399178727718</v>
      </c>
      <c r="DE206">
        <f ca="1">(DE36*$B$178)/AVERAGE(DE$181,CZ$181)</f>
        <v>94.587456563963258</v>
      </c>
      <c r="DF206">
        <f ca="1">(DF21*$B$178)/DF$181</f>
        <v>72.028119356448215</v>
      </c>
      <c r="DG206">
        <f ca="1">(DG21*$B$178)/DG$181</f>
        <v>71.261535619548852</v>
      </c>
      <c r="DH206" s="2734">
        <f ca="1">(DH21*$B$178)/DH$181</f>
        <v>70.896323597898601</v>
      </c>
      <c r="DI206" s="2795">
        <f ca="1">(DI21*$B$178)/DI$181</f>
        <v>77.842973259742763</v>
      </c>
      <c r="DJ206">
        <f ca="1">(DJ36*$B$178)/AVERAGE(DJ$181,DE$181)</f>
        <v>85.546038107660806</v>
      </c>
      <c r="DK206" s="2559">
        <f ca="1">(DK21*$B$178)/DK$181</f>
        <v>72.111969583972254</v>
      </c>
      <c r="DL206" s="2559">
        <f ca="1">(DL21*$B$178)/DL$181</f>
        <v>70.996406333701955</v>
      </c>
      <c r="DM206" s="2559">
        <f ca="1">(DM21*$B$178)/DM$181</f>
        <v>69.635550882385274</v>
      </c>
      <c r="DN206" s="2559">
        <f ca="1">(DN21*$B$178)/DN$181</f>
        <v>75.44648149347239</v>
      </c>
      <c r="DO206" s="2559">
        <f ca="1">(DO36*$B$178)/AVERAGE(DO$181,DJ$181)</f>
        <v>82.938664602364227</v>
      </c>
      <c r="DP206" s="2649">
        <f ca="1">(DP21*$B$178)/DP$181</f>
        <v>73.492264603403441</v>
      </c>
      <c r="DQ206" s="2649">
        <f ca="1">(DQ21*$B$178)/DQ$181</f>
        <v>72.346062048958046</v>
      </c>
      <c r="DR206" s="2649">
        <f ca="1">(DR21*$B$178)/DR$181</f>
        <v>70.971112375459214</v>
      </c>
      <c r="DS206" s="2649">
        <f ca="1">(DS21*$B$178)/DS$181</f>
        <v>76.85129003683619</v>
      </c>
      <c r="DT206" s="2649">
        <f ca="1">(DT36*$B$178)/AVERAGE(DT$181,DO$181)</f>
        <v>84.819349821212739</v>
      </c>
      <c r="DU206" s="2771">
        <f ca="1">(DU21*$B$178)/DU$181</f>
        <v>74.846956645932949</v>
      </c>
      <c r="DV206" s="2771">
        <f ca="1">(DV21*$B$178)/DV$181</f>
        <v>73.666755387212064</v>
      </c>
      <c r="DW206" s="2771">
        <f ca="1">(DW21*$B$178)/DW$181</f>
        <v>72.277047971118819</v>
      </c>
      <c r="DX206" s="2771">
        <f ca="1">(DX21*$B$178)/DX$181</f>
        <v>78.224592461085962</v>
      </c>
      <c r="DY206" s="2771">
        <f ca="1">(DY36*$B$178)/AVERAGE(DY$181,DT$181)</f>
        <v>86.690119522335081</v>
      </c>
    </row>
    <row r="207" spans="1:131" ht="11.25" hidden="1" customHeight="1" outlineLevel="1" x14ac:dyDescent="0.2">
      <c r="B207" s="2226" t="s">
        <v>1063</v>
      </c>
      <c r="I207">
        <f>(I24*$B$178)/AVERAGE(I$181,D$181,)</f>
        <v>415.5765467171716</v>
      </c>
      <c r="N207">
        <f>(N24*$B$178)/AVERAGE(N$181,I$181,)</f>
        <v>204.9371317684467</v>
      </c>
      <c r="S207">
        <f>(S24*$B$178)/AVERAGE(S$181,N$181,)</f>
        <v>148.6267988276748</v>
      </c>
      <c r="X207">
        <f>(X24*$B$178)/AVERAGE(X$181,S$181,)</f>
        <v>161.59451209505377</v>
      </c>
      <c r="AC207">
        <f>(AC24*$B$178)/AVERAGE(AC$181,X$181,)</f>
        <v>166.59126671911875</v>
      </c>
      <c r="AH207">
        <f>(AH24*$B$178)/AVERAGE(AH$181,AC$181,)</f>
        <v>178.90076630819766</v>
      </c>
      <c r="AM207">
        <f>(AM24*$B$178)/AVERAGE(AM$181,AH$181,)</f>
        <v>182.00289582968702</v>
      </c>
      <c r="AR207">
        <f>(AR24*$B$178)/AVERAGE(AR$181,AM$181,)</f>
        <v>202.04305694782568</v>
      </c>
      <c r="AW207">
        <f>(AW24*$B$178)/AVERAGE(AW$181,AR$181,)</f>
        <v>194.27899267497202</v>
      </c>
      <c r="BB207">
        <f>(BB24*$B$178)/AVERAGE(BB$181,AW$181,)</f>
        <v>256.5391670629798</v>
      </c>
      <c r="BG207">
        <f>(BG24*$B$178)/AVERAGE(BG$181,BB$181,)</f>
        <v>273.96414898707928</v>
      </c>
      <c r="BL207">
        <f>(BL24*$B$178)/AVERAGE(BL$181,BG$181,)</f>
        <v>279.62767480140269</v>
      </c>
      <c r="BM207">
        <f>(BM24*$B$178)/BM$181</f>
        <v>45.763574462110839</v>
      </c>
      <c r="BN207">
        <f>(BN24*$B$178)/BN$181</f>
        <v>44.480575341523</v>
      </c>
      <c r="BO207">
        <f>(BO24*$B$178)/BO$181</f>
        <v>45.227214377406924</v>
      </c>
      <c r="BP207">
        <f>(BP24*$B$178)/BP$181</f>
        <v>47.633869213102862</v>
      </c>
      <c r="BQ207">
        <f>(BQ24*$B$178)/AVERAGE(BQ$181,BL$181,)</f>
        <v>268.93580915706684</v>
      </c>
      <c r="BR207">
        <f>(BR24*$B$178)/BR$181</f>
        <v>45.145565248218922</v>
      </c>
      <c r="BS207">
        <f>(BS24*$B$178)/BS$181</f>
        <v>46.280608895489465</v>
      </c>
      <c r="BT207">
        <f>(BT24*$B$178)/BT$181</f>
        <v>46.026304413862718</v>
      </c>
      <c r="BU207">
        <f>(BU24*$B$178)/BU$181</f>
        <v>48.990105043335852</v>
      </c>
      <c r="BV207">
        <f>(BV24*$B$178)/AVERAGE(BV$181,BQ$181,)</f>
        <v>278.62552657524424</v>
      </c>
      <c r="BW207">
        <f>(BW24*$B$178)/BW$181</f>
        <v>43.780977816634667</v>
      </c>
      <c r="BX207">
        <f>(BX24*$B$178)/BX$181</f>
        <v>46.086216817130229</v>
      </c>
      <c r="BY207">
        <f>(BY24*$B$178)/BY$181</f>
        <v>45.940319583311243</v>
      </c>
      <c r="BZ207">
        <f>(BZ24*$B$178)/BZ$181</f>
        <v>47.611847790721797</v>
      </c>
      <c r="CA207">
        <f>(CA24*$B$178)/AVERAGE(CA$181,BV$181,)</f>
        <v>275.01022388756832</v>
      </c>
      <c r="CB207">
        <f>(CB24*$B$178)/CB$181</f>
        <v>44.15227486274317</v>
      </c>
      <c r="CC207">
        <f>(CC24*$B$178)/CC$181</f>
        <v>45.592683405970554</v>
      </c>
      <c r="CD207">
        <f>(CD24*$B$178)/CD$181</f>
        <v>45.569891734870474</v>
      </c>
      <c r="CE207">
        <f>(CE24*$B$178)/CE$181</f>
        <v>45.027034281216714</v>
      </c>
      <c r="CF207">
        <f>(CF24*$B$178)/AVERAGE(CF$181,CA$181,)</f>
        <v>271.50387569944718</v>
      </c>
      <c r="CG207">
        <f>(CG24*$B$178)/CG$181</f>
        <v>46.580470319898303</v>
      </c>
      <c r="CH207">
        <f>(CH24*$B$178)/CH$181</f>
        <v>46.759133871208377</v>
      </c>
      <c r="CI207">
        <f>(CI24*$B$178)/CI$181</f>
        <v>47.467177293228609</v>
      </c>
      <c r="CJ207">
        <f>(CJ24*$B$178)/CJ$181</f>
        <v>49.268423087446429</v>
      </c>
      <c r="CK207">
        <f>(CK24*$B$178)/AVERAGE(CK$181,CF$181,)</f>
        <v>285.5220349489901</v>
      </c>
      <c r="CL207">
        <f>(CL24*$B$178)/CL$181</f>
        <v>47.415620932466659</v>
      </c>
      <c r="CM207">
        <f>(CM24*$B$178)/CM$181</f>
        <v>46.732653691702083</v>
      </c>
      <c r="CN207">
        <f>(CN24*$B$178)/CN$181</f>
        <v>46.558284459500463</v>
      </c>
      <c r="CO207">
        <f ca="1">(CO24*$B$178)/CO$181</f>
        <v>49.028492129720867</v>
      </c>
      <c r="CP207">
        <f ca="1">(CP24*$B$178)/AVERAGE(CP$181,CK$181,)</f>
        <v>286.42402753625117</v>
      </c>
      <c r="CQ207">
        <f ca="1">(CQ24*$B$178)/CQ$181</f>
        <v>46.14177470019937</v>
      </c>
      <c r="CR207">
        <f ca="1">(CR24*$B$178)/CR$181</f>
        <v>47.747266806181187</v>
      </c>
      <c r="CS207">
        <f ca="1">(CS24*$B$178)/CS$181</f>
        <v>48.976782961645043</v>
      </c>
      <c r="CT207">
        <f ca="1">(CT24*$B$178)/CT$181</f>
        <v>49.625261220463905</v>
      </c>
      <c r="CU207">
        <f ca="1">(CU24*$B$178)/AVERAGE(CU$181,CP$181,)</f>
        <v>290.63244146133655</v>
      </c>
      <c r="CV207">
        <f ca="1">(CV24*$B$178)/CV$181</f>
        <v>46.405745005640547</v>
      </c>
      <c r="CW207">
        <f ca="1">(CW24*$B$178)/CW$181</f>
        <v>46.82372109061486</v>
      </c>
      <c r="CX207">
        <f ca="1">(CX24*$B$178)/CX$181</f>
        <v>47.674174354201362</v>
      </c>
      <c r="CY207">
        <f ca="1">(CY24*$B$178)/CY$181</f>
        <v>49.204271708010133</v>
      </c>
      <c r="CZ207">
        <f ca="1">(CZ24*$B$178)/AVERAGE(CZ$181,CU$181,)</f>
        <v>287.01666211744015</v>
      </c>
      <c r="DA207">
        <f ca="1">(DA24*$B$178)/DA$181</f>
        <v>51.427810755163328</v>
      </c>
      <c r="DB207">
        <f ca="1">(DB24*$B$178)/DB$181</f>
        <v>50.91041629802848</v>
      </c>
      <c r="DC207">
        <f ca="1">(DC24*$B$178)/DC$181</f>
        <v>50.791920290100784</v>
      </c>
      <c r="DD207">
        <f ca="1">(DD24*$B$178)/DD$181</f>
        <v>50.35980610211444</v>
      </c>
      <c r="DE207">
        <f ca="1">(DE24*$B$178)/AVERAGE(DE$181,CZ$181,)</f>
        <v>305.94848913269249</v>
      </c>
      <c r="DF207">
        <f ca="1">(DF24*$B$178)/DF$181</f>
        <v>51.412584164266164</v>
      </c>
      <c r="DG207">
        <f ca="1">(DG24*$B$178)/DG$181</f>
        <v>51.660630165262425</v>
      </c>
      <c r="DH207" s="2734">
        <f ca="1">(DH24*$B$178)/DH$181</f>
        <v>51.353196925876865</v>
      </c>
      <c r="DI207" s="2795">
        <f ca="1">(DI24*$B$178)/DI$181</f>
        <v>51.262398206007433</v>
      </c>
      <c r="DJ207">
        <f ca="1">(DJ24*$B$178)/AVERAGE(DJ$181,DE$181,)</f>
        <v>305.49426536567495</v>
      </c>
      <c r="DK207" s="2559">
        <f ca="1">(DK24*$B$178)/DK$181</f>
        <v>51.180981667583282</v>
      </c>
      <c r="DL207" s="2559">
        <f ca="1">(DL24*$B$178)/DL$181</f>
        <v>51.290169063360537</v>
      </c>
      <c r="DM207" s="2559">
        <f ca="1">(DM24*$B$178)/DM$181</f>
        <v>51.02773817687757</v>
      </c>
      <c r="DN207" s="2559">
        <f ca="1">(DN24*$B$178)/DN$181</f>
        <v>50.955294770495165</v>
      </c>
      <c r="DO207" s="2559">
        <f ca="1">(DO24*$B$178)/AVERAGE(DO$181,DJ$181,)</f>
        <v>303.65912616226046</v>
      </c>
      <c r="DP207" s="2649">
        <f ca="1">(DP24*$B$178)/DP$181</f>
        <v>52.03196527626784</v>
      </c>
      <c r="DQ207" s="2649">
        <f ca="1">(DQ24*$B$178)/DQ$181</f>
        <v>52.199692960039819</v>
      </c>
      <c r="DR207" s="2649">
        <f ca="1">(DR24*$B$178)/DR$181</f>
        <v>52.00094710657465</v>
      </c>
      <c r="DS207" s="2649">
        <f ca="1">(DS24*$B$178)/DS$181</f>
        <v>51.792279236976107</v>
      </c>
      <c r="DT207" s="2649">
        <f ca="1">(DT24*$B$178)/AVERAGE(DT$181,DO$181,)</f>
        <v>308.96297225877669</v>
      </c>
      <c r="DU207" s="2771">
        <f ca="1">(DU24*$B$178)/DU$181</f>
        <v>52.892355713759649</v>
      </c>
      <c r="DV207" s="2771">
        <f ca="1">(DV24*$B$178)/DV$181</f>
        <v>53.068225857893914</v>
      </c>
      <c r="DW207" s="2771">
        <f ca="1">(DW24*$B$178)/DW$181</f>
        <v>52.867452603541466</v>
      </c>
      <c r="DX207" s="2771">
        <f ca="1">(DX24*$B$178)/DX$181</f>
        <v>52.662020790537198</v>
      </c>
      <c r="DY207" s="2771">
        <f ca="1">(DY24*$B$178)/AVERAGE(DY$181,DT$181,)</f>
        <v>314.10974645837143</v>
      </c>
    </row>
    <row r="208" spans="1:131" ht="11.25" hidden="1" customHeight="1" outlineLevel="1" x14ac:dyDescent="0.2">
      <c r="DH208" s="2734"/>
      <c r="DI208" s="2795"/>
    </row>
    <row r="209" spans="1:131" ht="11.25" hidden="1" customHeight="1" outlineLevel="1" x14ac:dyDescent="0.2">
      <c r="B209" t="s">
        <v>1064</v>
      </c>
      <c r="DH209" s="2734"/>
      <c r="DI209" s="2795"/>
    </row>
    <row r="210" spans="1:131" ht="11.25" hidden="1" customHeight="1" outlineLevel="1" x14ac:dyDescent="0.2">
      <c r="A210" s="2187"/>
      <c r="B210" s="2226" t="s">
        <v>1065</v>
      </c>
      <c r="C210" s="2187"/>
      <c r="E210" s="2190"/>
      <c r="F210" s="2190"/>
      <c r="G210" s="2190"/>
      <c r="H210" s="2190"/>
      <c r="I210">
        <f>(I14/I179)</f>
        <v>4.3120815340909084</v>
      </c>
      <c r="J210" s="2190"/>
      <c r="K210" s="2190"/>
      <c r="L210" s="2190"/>
      <c r="M210" s="2190"/>
      <c r="N210">
        <f>(N14/N179)</f>
        <v>1.9203245370370372</v>
      </c>
      <c r="O210" s="2190"/>
      <c r="P210" s="2190"/>
      <c r="Q210" s="2190"/>
      <c r="R210" s="2190"/>
      <c r="S210">
        <f>(S14/S179)</f>
        <v>2.1074026200873361</v>
      </c>
      <c r="T210" s="2190"/>
      <c r="U210" s="2190"/>
      <c r="V210" s="2190"/>
      <c r="W210" s="2190"/>
      <c r="X210" s="2192">
        <f>((X14/X183))</f>
        <v>2.5323174253548699</v>
      </c>
      <c r="Y210" s="2190"/>
      <c r="Z210" s="2190"/>
      <c r="AA210" s="2190"/>
      <c r="AB210" s="2190"/>
      <c r="AC210" s="2192">
        <f>((AC14/AC183))</f>
        <v>2.9734711769023732</v>
      </c>
      <c r="AD210" s="2190"/>
      <c r="AE210" s="2190"/>
      <c r="AF210" s="2190"/>
      <c r="AG210" s="2190"/>
      <c r="AH210" s="2192">
        <f>((AH14/AH183))</f>
        <v>3.4012715802171294</v>
      </c>
      <c r="AI210" s="2190"/>
      <c r="AJ210" s="2190"/>
      <c r="AK210" s="2190"/>
      <c r="AL210" s="2190"/>
      <c r="AM210" s="2192">
        <f>AM14/AM188</f>
        <v>3.9395236795552191</v>
      </c>
      <c r="AN210" s="2190"/>
      <c r="AO210" s="2190"/>
      <c r="AP210" s="2190"/>
      <c r="AQ210" s="2190"/>
      <c r="AR210" s="2192">
        <f>AR14/AR188</f>
        <v>4.3309565737051789</v>
      </c>
      <c r="AS210" s="2190"/>
      <c r="AT210" s="2190"/>
      <c r="AU210" s="2190"/>
      <c r="AV210" s="2190"/>
      <c r="AW210" s="2192">
        <f>AW14/AW188</f>
        <v>3.8224843185706141</v>
      </c>
      <c r="AX210" s="2190"/>
      <c r="AY210" s="2190"/>
      <c r="AZ210" s="2190"/>
      <c r="BA210" s="2190"/>
      <c r="BB210" s="2192">
        <f>BB14/BB188</f>
        <v>4.3579086267933667</v>
      </c>
      <c r="BC210" s="2190"/>
      <c r="BD210" s="2190"/>
      <c r="BE210" s="2190"/>
      <c r="BF210" s="2190"/>
      <c r="BG210" s="2192">
        <f>BG14/BG188</f>
        <v>4.5485887091449326</v>
      </c>
      <c r="BH210" s="2190"/>
      <c r="BI210" s="2190"/>
      <c r="BJ210" s="2190"/>
      <c r="BK210" s="2190"/>
      <c r="BL210" s="2192">
        <f t="shared" ref="BL210:DJ210" si="330">BL14/BL188</f>
        <v>4.9592224205061646</v>
      </c>
      <c r="BM210" s="2195">
        <f t="shared" si="330"/>
        <v>1.3028058700209646</v>
      </c>
      <c r="BN210" s="2195">
        <f t="shared" si="330"/>
        <v>1.2785329061198334</v>
      </c>
      <c r="BO210" s="2195">
        <f t="shared" si="330"/>
        <v>1.255084540678236</v>
      </c>
      <c r="BP210" s="2195">
        <f t="shared" si="330"/>
        <v>1.327275339069564</v>
      </c>
      <c r="BQ210" s="2192">
        <f t="shared" si="330"/>
        <v>4.8225437509114775</v>
      </c>
      <c r="BR210" s="2195">
        <f t="shared" si="330"/>
        <v>1.3439751496568841</v>
      </c>
      <c r="BS210" s="2195">
        <f t="shared" si="330"/>
        <v>1.3482671119500509</v>
      </c>
      <c r="BT210" s="2195">
        <f t="shared" si="330"/>
        <v>1.3397773682695076</v>
      </c>
      <c r="BU210" s="2195">
        <f t="shared" si="330"/>
        <v>1.38635175879397</v>
      </c>
      <c r="BV210" s="2192">
        <f t="shared" si="330"/>
        <v>5.377234027279254</v>
      </c>
      <c r="BW210" s="2195">
        <f t="shared" si="330"/>
        <v>1.3652651720691134</v>
      </c>
      <c r="BX210" s="2195">
        <f t="shared" si="330"/>
        <v>1.372426727195347</v>
      </c>
      <c r="BY210" s="2195">
        <f t="shared" si="330"/>
        <v>1.371771682414328</v>
      </c>
      <c r="BZ210" s="2195">
        <f t="shared" si="330"/>
        <v>1.4039167134831461</v>
      </c>
      <c r="CA210" s="2192">
        <f t="shared" si="330"/>
        <v>5.4701359168772825</v>
      </c>
      <c r="CB210" s="2195">
        <f t="shared" si="330"/>
        <v>1.4065890315378173</v>
      </c>
      <c r="CC210" s="2195">
        <f t="shared" si="330"/>
        <v>1.3970099916736054</v>
      </c>
      <c r="CD210" s="2187">
        <f t="shared" si="330"/>
        <v>1.3893850082827168</v>
      </c>
      <c r="CE210" s="2187">
        <f t="shared" si="330"/>
        <v>1.443313320489886</v>
      </c>
      <c r="CF210" s="2191">
        <f t="shared" si="330"/>
        <v>5.6006239025732762</v>
      </c>
      <c r="CG210" s="2187">
        <f t="shared" si="330"/>
        <v>1.536036204059243</v>
      </c>
      <c r="CH210" s="2187">
        <f t="shared" si="330"/>
        <v>1.489350819672131</v>
      </c>
      <c r="CI210" s="2187">
        <f t="shared" si="330"/>
        <v>1.4557949313765455</v>
      </c>
      <c r="CJ210" s="2187">
        <f t="shared" si="330"/>
        <v>1.487602054609354</v>
      </c>
      <c r="CK210" s="2191">
        <f t="shared" si="330"/>
        <v>5.9233980670451469</v>
      </c>
      <c r="CL210" s="2187">
        <f t="shared" si="330"/>
        <v>1.4824240396198634</v>
      </c>
      <c r="CM210" s="2187">
        <f t="shared" si="330"/>
        <v>1.4757700807198622</v>
      </c>
      <c r="CN210" s="2187">
        <f t="shared" si="330"/>
        <v>1.5074209072978304</v>
      </c>
      <c r="CO210" s="2187">
        <f t="shared" si="330"/>
        <v>1.5721631578947366</v>
      </c>
      <c r="CP210" s="2191">
        <f t="shared" si="330"/>
        <v>6.0699508578268384</v>
      </c>
      <c r="CQ210" s="2187">
        <f t="shared" si="330"/>
        <v>1.495463894967177</v>
      </c>
      <c r="CR210" s="2187">
        <f t="shared" si="330"/>
        <v>1.5055160918066417</v>
      </c>
      <c r="CS210" s="2187">
        <f t="shared" si="330"/>
        <v>1.5275169566874127</v>
      </c>
      <c r="CT210" s="2187">
        <f t="shared" si="330"/>
        <v>1.5908314606741571</v>
      </c>
      <c r="CU210" s="2191">
        <f t="shared" si="330"/>
        <v>6.0620578095358537</v>
      </c>
      <c r="CV210" s="2187">
        <f t="shared" si="330"/>
        <v>1.5295398439466397</v>
      </c>
      <c r="CW210" s="2187">
        <f t="shared" si="330"/>
        <v>1.549365411646586</v>
      </c>
      <c r="CX210" s="2187">
        <f>CX14/CX188</f>
        <v>1.6834839449922829</v>
      </c>
      <c r="CY210" s="2187">
        <f t="shared" si="330"/>
        <v>1.5328892194392076</v>
      </c>
      <c r="CZ210" s="2191">
        <f t="shared" si="330"/>
        <v>5.4709032006575544</v>
      </c>
      <c r="DA210" s="2187">
        <f t="shared" si="330"/>
        <v>1.560594133555232</v>
      </c>
      <c r="DB210" s="2187">
        <f t="shared" si="330"/>
        <v>1.5540232287554541</v>
      </c>
      <c r="DC210" s="2187">
        <f t="shared" si="330"/>
        <v>1.5834145635084818</v>
      </c>
      <c r="DD210" s="2187">
        <f t="shared" si="330"/>
        <v>1.6054671621761123</v>
      </c>
      <c r="DE210" s="2191">
        <f t="shared" si="330"/>
        <v>6.2788471146897908</v>
      </c>
      <c r="DF210" s="2187">
        <f t="shared" si="330"/>
        <v>1.5004173252911814</v>
      </c>
      <c r="DG210" s="2187">
        <f t="shared" si="330"/>
        <v>1.5132346887966805</v>
      </c>
      <c r="DH210" s="2187">
        <f t="shared" ref="DH210:DI210" si="331">DH14/DH188</f>
        <v>1.5341903904375194</v>
      </c>
      <c r="DI210" s="2187">
        <f t="shared" si="331"/>
        <v>1.6031365197110168</v>
      </c>
      <c r="DJ210" s="2191">
        <f t="shared" si="330"/>
        <v>6.1072353058887856</v>
      </c>
      <c r="DK210" s="2187">
        <f t="shared" ref="DK210:DT210" si="332">DK14/DK188</f>
        <v>1.5909669767724468</v>
      </c>
      <c r="DL210" s="2187">
        <f t="shared" si="332"/>
        <v>1.6017513112269128</v>
      </c>
      <c r="DM210" s="2187">
        <f t="shared" si="332"/>
        <v>1.5771472174720023</v>
      </c>
      <c r="DN210" s="2187">
        <f t="shared" si="332"/>
        <v>1.5973318075521816</v>
      </c>
      <c r="DO210" s="2191">
        <f t="shared" si="332"/>
        <v>6.3429324781910665</v>
      </c>
      <c r="DP210" s="2187">
        <f t="shared" si="332"/>
        <v>1.6364058504384869</v>
      </c>
      <c r="DQ210" s="2187">
        <f t="shared" si="332"/>
        <v>1.6457114144413727</v>
      </c>
      <c r="DR210" s="2187">
        <f t="shared" si="332"/>
        <v>1.6188452003324274</v>
      </c>
      <c r="DS210" s="2187">
        <f t="shared" si="332"/>
        <v>1.6372291963157057</v>
      </c>
      <c r="DT210" s="2191">
        <f t="shared" si="332"/>
        <v>6.5135022177471145</v>
      </c>
      <c r="DU210" s="2187">
        <f t="shared" ref="DU210:DY210" si="333">DU14/DU188</f>
        <v>1.6763252489711429</v>
      </c>
      <c r="DV210" s="2187">
        <f t="shared" si="333"/>
        <v>1.6837135594454304</v>
      </c>
      <c r="DW210" s="2187">
        <f t="shared" si="333"/>
        <v>1.6544792353487674</v>
      </c>
      <c r="DX210" s="2187">
        <f t="shared" si="333"/>
        <v>1.6707043767315972</v>
      </c>
      <c r="DY210" s="2191">
        <f t="shared" si="333"/>
        <v>6.6602027996138515</v>
      </c>
      <c r="DZ210" s="2190"/>
      <c r="EA210" s="2190"/>
    </row>
    <row r="211" spans="1:131" ht="11.25" hidden="1" customHeight="1" outlineLevel="1" x14ac:dyDescent="0.2">
      <c r="A211" s="2187"/>
      <c r="B211" s="2226" t="s">
        <v>1066</v>
      </c>
      <c r="C211" s="2187"/>
      <c r="E211" s="2190"/>
      <c r="F211" s="2190"/>
      <c r="G211" s="2190"/>
      <c r="H211" s="2190"/>
      <c r="I211" s="2192">
        <f>(I14/(I181))*$B$178</f>
        <v>479.12017045454542</v>
      </c>
      <c r="J211" s="2190"/>
      <c r="K211" s="2190"/>
      <c r="L211" s="2190"/>
      <c r="M211" s="2190"/>
      <c r="N211" s="2192">
        <f>(N14/(N181))*$B$178</f>
        <v>248.04723588039869</v>
      </c>
      <c r="O211" s="2190"/>
      <c r="P211" s="2190"/>
      <c r="Q211" s="2190"/>
      <c r="R211" s="2190"/>
      <c r="S211" s="2192">
        <f>(S14/(S181))*$B$178</f>
        <v>283.56445779199578</v>
      </c>
      <c r="T211" s="2190"/>
      <c r="U211" s="2190"/>
      <c r="V211" s="2190"/>
      <c r="W211" s="2190"/>
      <c r="X211" s="2192">
        <f>(X14/(X181))*$B$178</f>
        <v>341.48676567656759</v>
      </c>
      <c r="Y211" s="2190"/>
      <c r="Z211" s="2190"/>
      <c r="AA211" s="2190"/>
      <c r="AB211" s="2190"/>
      <c r="AC211" s="2192">
        <f>(AC14/(AC181))*$B$178</f>
        <v>395.74627784290738</v>
      </c>
      <c r="AD211" s="2190"/>
      <c r="AE211" s="2190"/>
      <c r="AF211" s="2190"/>
      <c r="AG211" s="2190"/>
      <c r="AH211" s="2192">
        <f>(AH14/(AH181))*$B$178</f>
        <v>448.87514964340295</v>
      </c>
      <c r="AI211" s="2190"/>
      <c r="AJ211" s="2190"/>
      <c r="AK211" s="2190"/>
      <c r="AL211" s="2190"/>
      <c r="AM211" s="2192">
        <f>(AM14/AM190)*$B$178</f>
        <v>507.96186498256588</v>
      </c>
      <c r="AN211" s="2190"/>
      <c r="AO211" s="2190"/>
      <c r="AP211" s="2190"/>
      <c r="AQ211" s="2190"/>
      <c r="AR211" s="2192">
        <f>(AR14/AR190)*$B$178</f>
        <v>569.81190099184232</v>
      </c>
      <c r="AS211" s="2190"/>
      <c r="AT211" s="2190"/>
      <c r="AU211" s="2190"/>
      <c r="AV211" s="2190"/>
      <c r="AW211" s="2192">
        <f>(AW14/AW190)*$B$178</f>
        <v>469.20233261171808</v>
      </c>
      <c r="AX211" s="2190"/>
      <c r="AY211" s="2190"/>
      <c r="AZ211" s="2190"/>
      <c r="BA211" s="2190"/>
      <c r="BB211" s="2192">
        <f>(BB14/BB190)*$B$178</f>
        <v>525.9611819101284</v>
      </c>
      <c r="BC211" s="2190"/>
      <c r="BD211" s="2190"/>
      <c r="BE211" s="2190"/>
      <c r="BF211" s="2190"/>
      <c r="BG211" s="2192">
        <f>(BG14/BG190)*$B$178</f>
        <v>504.9790699913591</v>
      </c>
      <c r="BH211" s="2190"/>
      <c r="BI211" s="2190"/>
      <c r="BJ211" s="2190"/>
      <c r="BK211" s="2190"/>
      <c r="BL211" s="2192">
        <f t="shared" ref="BL211:DJ211" si="334">(BL14/BL190)*$B$178</f>
        <v>549.23643356850744</v>
      </c>
      <c r="BM211" s="2195">
        <f t="shared" si="334"/>
        <v>143.28532496966383</v>
      </c>
      <c r="BN211" s="2195">
        <f t="shared" si="334"/>
        <v>138.75960173090925</v>
      </c>
      <c r="BO211" s="2195">
        <f t="shared" si="334"/>
        <v>136.34611176182736</v>
      </c>
      <c r="BP211" s="2195">
        <f t="shared" si="334"/>
        <v>138.83608081074865</v>
      </c>
      <c r="BQ211" s="2192">
        <f t="shared" si="334"/>
        <v>504.44926851746874</v>
      </c>
      <c r="BR211" s="2195">
        <f t="shared" si="334"/>
        <v>140.55778634191955</v>
      </c>
      <c r="BS211" s="2195">
        <f t="shared" si="334"/>
        <v>140.99698582123514</v>
      </c>
      <c r="BT211" s="2195">
        <f t="shared" si="334"/>
        <v>140.10320213954409</v>
      </c>
      <c r="BU211" s="2195">
        <f t="shared" si="334"/>
        <v>144.97738255532309</v>
      </c>
      <c r="BV211" s="2192">
        <f t="shared" si="334"/>
        <v>557.97738613939077</v>
      </c>
      <c r="BW211" s="2195">
        <f t="shared" si="334"/>
        <v>142.77111466710852</v>
      </c>
      <c r="BX211" s="2195">
        <f t="shared" si="334"/>
        <v>143.51865150941452</v>
      </c>
      <c r="BY211" s="2195">
        <f t="shared" si="334"/>
        <v>143.44888290259195</v>
      </c>
      <c r="BZ211" s="2195">
        <f t="shared" si="334"/>
        <v>146.80945585547209</v>
      </c>
      <c r="CA211" s="2192">
        <f t="shared" si="334"/>
        <v>572.01945792054903</v>
      </c>
      <c r="CB211" s="2195">
        <f t="shared" si="334"/>
        <v>147.08759968126557</v>
      </c>
      <c r="CC211" s="2195">
        <f t="shared" si="334"/>
        <v>146.08475169572267</v>
      </c>
      <c r="CD211" s="2187">
        <f t="shared" si="334"/>
        <v>145.28632254405883</v>
      </c>
      <c r="CE211" s="2187">
        <f t="shared" si="334"/>
        <v>150.92486314593992</v>
      </c>
      <c r="CF211" s="2191">
        <f t="shared" si="334"/>
        <v>585.64788672555937</v>
      </c>
      <c r="CG211" s="2187">
        <f t="shared" si="334"/>
        <v>160.61996071958399</v>
      </c>
      <c r="CH211" s="2187">
        <f t="shared" si="334"/>
        <v>155.73733134263631</v>
      </c>
      <c r="CI211" s="2187">
        <f t="shared" si="334"/>
        <v>152.22735027668696</v>
      </c>
      <c r="CJ211" s="2187">
        <f t="shared" si="334"/>
        <v>155.55216268655298</v>
      </c>
      <c r="CK211" s="2191">
        <f t="shared" si="334"/>
        <v>619.38431513136095</v>
      </c>
      <c r="CL211" s="2187">
        <f t="shared" si="334"/>
        <v>155.00861322824974</v>
      </c>
      <c r="CM211" s="2187">
        <f t="shared" si="334"/>
        <v>154.31042773210189</v>
      </c>
      <c r="CN211" s="2187">
        <f t="shared" si="334"/>
        <v>157.6185670078049</v>
      </c>
      <c r="CO211" s="2187">
        <f t="shared" ca="1" si="334"/>
        <v>163.42065979608378</v>
      </c>
      <c r="CP211" s="2191">
        <f t="shared" ca="1" si="334"/>
        <v>624.27746372728097</v>
      </c>
      <c r="CQ211" s="2187">
        <f t="shared" ca="1" si="334"/>
        <v>157.33553432939047</v>
      </c>
      <c r="CR211" s="2187">
        <f t="shared" ca="1" si="334"/>
        <v>157.20247790886884</v>
      </c>
      <c r="CS211" s="2187">
        <f t="shared" ca="1" si="334"/>
        <v>159.99203925343457</v>
      </c>
      <c r="CT211" s="2187">
        <f t="shared" ca="1" si="334"/>
        <v>166.75403642822818</v>
      </c>
      <c r="CU211" s="2191">
        <f t="shared" ca="1" si="334"/>
        <v>634.32198522581302</v>
      </c>
      <c r="CV211" s="2187">
        <f t="shared" ca="1" si="334"/>
        <v>159.27054132937718</v>
      </c>
      <c r="CW211" s="2187">
        <f t="shared" ca="1" si="334"/>
        <v>159.94939820068939</v>
      </c>
      <c r="CX211" s="2187">
        <f ca="1">(CX14/CX190)*$B$178</f>
        <v>170.89836338717788</v>
      </c>
      <c r="CY211" s="2187">
        <f t="shared" ca="1" si="334"/>
        <v>188.13639899786264</v>
      </c>
      <c r="CZ211" s="2191">
        <f t="shared" ca="1" si="334"/>
        <v>671.46145617368472</v>
      </c>
      <c r="DA211" s="2187">
        <f t="shared" ca="1" si="334"/>
        <v>191.56558334498354</v>
      </c>
      <c r="DB211" s="2187">
        <f t="shared" ca="1" si="334"/>
        <v>188.83647044194637</v>
      </c>
      <c r="DC211" s="2187">
        <f t="shared" ca="1" si="334"/>
        <v>192.03062042280405</v>
      </c>
      <c r="DD211" s="2187">
        <f t="shared" ca="1" si="334"/>
        <v>194.06393890672101</v>
      </c>
      <c r="DE211" s="2191">
        <f t="shared" ca="1" si="334"/>
        <v>758.96775192723453</v>
      </c>
      <c r="DF211" s="2187">
        <f t="shared" ca="1" si="334"/>
        <v>184.2168548809689</v>
      </c>
      <c r="DG211" s="2187">
        <f t="shared" ca="1" si="334"/>
        <v>184.14584589921117</v>
      </c>
      <c r="DH211" s="2187">
        <f t="shared" ref="DH211:DI211" ca="1" si="335">(DH14/DH190)*$B$178</f>
        <v>186.50080155127299</v>
      </c>
      <c r="DI211" s="2187">
        <f t="shared" ca="1" si="335"/>
        <v>194.89556613326047</v>
      </c>
      <c r="DJ211" s="2191">
        <f t="shared" ca="1" si="334"/>
        <v>742.46520356531516</v>
      </c>
      <c r="DK211" s="2187">
        <f t="shared" ref="DK211:DT211" ca="1" si="336">(DK14/DK190)*$B$178</f>
        <v>198.40277691404404</v>
      </c>
      <c r="DL211" s="2187">
        <f t="shared" ca="1" si="336"/>
        <v>197.99192335670912</v>
      </c>
      <c r="DM211" s="2187">
        <f t="shared" ca="1" si="336"/>
        <v>194.21981851498197</v>
      </c>
      <c r="DN211" s="2187">
        <f t="shared" ca="1" si="336"/>
        <v>196.17080206858222</v>
      </c>
      <c r="DO211" s="2191">
        <f t="shared" ca="1" si="336"/>
        <v>778.98539666621696</v>
      </c>
      <c r="DP211" s="2187">
        <f t="shared" ca="1" si="336"/>
        <v>206.14567394065793</v>
      </c>
      <c r="DQ211" s="2187">
        <f t="shared" ca="1" si="336"/>
        <v>205.49042435010006</v>
      </c>
      <c r="DR211" s="2187">
        <f t="shared" ca="1" si="336"/>
        <v>201.37293950534297</v>
      </c>
      <c r="DS211" s="2187">
        <f t="shared" ca="1" si="336"/>
        <v>203.10106391509291</v>
      </c>
      <c r="DT211" s="2191">
        <f t="shared" ca="1" si="336"/>
        <v>808.01101838075374</v>
      </c>
      <c r="DU211" s="2187">
        <f t="shared" ref="DU211:DY211" ca="1" si="337">(DU14/DU190)*$B$178</f>
        <v>213.30156657700698</v>
      </c>
      <c r="DV211" s="2187">
        <f t="shared" ca="1" si="337"/>
        <v>212.34781448624625</v>
      </c>
      <c r="DW211" s="2187">
        <f t="shared" ca="1" si="337"/>
        <v>207.86815577909891</v>
      </c>
      <c r="DX211" s="2187">
        <f t="shared" ca="1" si="337"/>
        <v>209.32563252403122</v>
      </c>
      <c r="DY211" s="2191">
        <f t="shared" ca="1" si="337"/>
        <v>834.46909171021275</v>
      </c>
      <c r="DZ211" s="2190"/>
      <c r="EA211" s="2190"/>
    </row>
    <row r="212" spans="1:131" ht="11.25" hidden="1" customHeight="1" outlineLevel="1" x14ac:dyDescent="0.2">
      <c r="DH212" s="2734"/>
      <c r="DI212" s="2795"/>
    </row>
    <row r="213" spans="1:131" ht="6" hidden="1" customHeight="1" outlineLevel="1" x14ac:dyDescent="0.2">
      <c r="DH213" s="2734"/>
      <c r="DI213" s="2795"/>
    </row>
    <row r="214" spans="1:131" ht="11.25" hidden="1" customHeight="1" outlineLevel="1" x14ac:dyDescent="0.2">
      <c r="B214" t="s">
        <v>1067</v>
      </c>
      <c r="DH214" s="2734"/>
      <c r="DI214" s="2795"/>
    </row>
    <row r="215" spans="1:131" ht="11.25" hidden="1" customHeight="1" outlineLevel="1" x14ac:dyDescent="0.2">
      <c r="A215" s="2187"/>
      <c r="B215" s="2226" t="s">
        <v>1068</v>
      </c>
      <c r="C215" s="2187"/>
      <c r="E215" s="2190"/>
      <c r="F215" s="2190"/>
      <c r="G215" s="2190"/>
      <c r="H215" s="2190"/>
      <c r="I215" s="2192">
        <f>(I$15/(I179-I192))</f>
        <v>4.0446656249999995</v>
      </c>
      <c r="J215" s="2190"/>
      <c r="K215" s="2190"/>
      <c r="L215" s="2190"/>
      <c r="M215" s="2190"/>
      <c r="N215" s="2192">
        <f>(N$15/(N179-N192))</f>
        <v>1.590323611111111</v>
      </c>
      <c r="O215" s="2190"/>
      <c r="P215" s="2190"/>
      <c r="Q215" s="2190"/>
      <c r="R215" s="2190"/>
      <c r="S215" s="2192">
        <f>(S$15/(S179-S192))</f>
        <v>1.551282484230956</v>
      </c>
      <c r="T215" s="2190"/>
      <c r="U215" s="2190"/>
      <c r="V215" s="2190"/>
      <c r="W215" s="2190"/>
      <c r="X215" s="2192">
        <f>(X$15/(X179-X192))</f>
        <v>1.7764643728648124</v>
      </c>
      <c r="Y215" s="2190"/>
      <c r="Z215" s="2190"/>
      <c r="AA215" s="2190"/>
      <c r="AB215" s="2190"/>
      <c r="AC215" s="2192">
        <f>(AC$15/(AC179-AC192))</f>
        <v>1.768907095669195</v>
      </c>
      <c r="AD215" s="2190"/>
      <c r="AE215" s="2190"/>
      <c r="AF215" s="2190"/>
      <c r="AG215" s="2190"/>
      <c r="AH215" s="2192">
        <f>(AH$15/(AH179-AH192))</f>
        <v>1.7443737756332931</v>
      </c>
      <c r="AI215" s="2190"/>
      <c r="AJ215" s="2190"/>
      <c r="AK215" s="2190"/>
      <c r="AL215" s="2190"/>
      <c r="AM215" s="2192">
        <f>(AM$15/(AM179-AM192))</f>
        <v>1.8429957572767635</v>
      </c>
      <c r="AN215" s="2190"/>
      <c r="AO215" s="2190"/>
      <c r="AP215" s="2190"/>
      <c r="AQ215" s="2190"/>
      <c r="AR215" s="2192">
        <f>(AR$15/(AR179-AR192))</f>
        <v>1.9089008712487903</v>
      </c>
      <c r="AS215" s="2190"/>
      <c r="AT215" s="2190"/>
      <c r="AU215" s="2190"/>
      <c r="AV215" s="2190"/>
      <c r="AW215" s="2192">
        <f>(AW$15/(AW179-AW192))</f>
        <v>1.6176069819819825</v>
      </c>
      <c r="AX215" s="2190"/>
      <c r="AY215" s="2190"/>
      <c r="AZ215" s="2190"/>
      <c r="BA215" s="2190"/>
      <c r="BB215" s="2192">
        <f>(BB$15/(BB179-BB192))</f>
        <v>1.9752222140221396</v>
      </c>
      <c r="BC215" s="2190"/>
      <c r="BD215" s="2190"/>
      <c r="BE215" s="2190"/>
      <c r="BF215" s="2190"/>
      <c r="BG215" s="2192">
        <f>(BG$15/(BG179-BG192))</f>
        <v>2.0699592845528452</v>
      </c>
      <c r="BH215" s="2190"/>
      <c r="BI215" s="2190"/>
      <c r="BJ215" s="2190"/>
      <c r="BK215" s="2190"/>
      <c r="BL215" s="2192">
        <f t="shared" ref="BL215:DJ215" si="338">(BL$15/(BL179-BL192))</f>
        <v>2.3457510098561962</v>
      </c>
      <c r="BM215" s="2195">
        <f t="shared" si="338"/>
        <v>0.60648861696989198</v>
      </c>
      <c r="BN215" s="2195">
        <f t="shared" si="338"/>
        <v>0.60623761996161218</v>
      </c>
      <c r="BO215" s="2195">
        <f t="shared" si="338"/>
        <v>0.58168744038155795</v>
      </c>
      <c r="BP215" s="2195">
        <f t="shared" si="338"/>
        <v>0.68905651857246897</v>
      </c>
      <c r="BQ215" s="2192">
        <f t="shared" si="338"/>
        <v>2.3192596504005825</v>
      </c>
      <c r="BR215" s="2195">
        <f t="shared" si="338"/>
        <v>0.62565804664723024</v>
      </c>
      <c r="BS215" s="2195">
        <f t="shared" si="338"/>
        <v>0.65396208146108137</v>
      </c>
      <c r="BT215" s="2195">
        <f t="shared" si="338"/>
        <v>0.6178052018968242</v>
      </c>
      <c r="BU215" s="2195">
        <f t="shared" si="338"/>
        <v>0.688037275985663</v>
      </c>
      <c r="BV215" s="2192">
        <f t="shared" si="338"/>
        <v>2.5666043010752686</v>
      </c>
      <c r="BW215" s="2195">
        <f t="shared" si="338"/>
        <v>0.62983715956081543</v>
      </c>
      <c r="BX215" s="2195">
        <f t="shared" si="338"/>
        <v>0.65685847853803647</v>
      </c>
      <c r="BY215" s="2195">
        <f t="shared" si="338"/>
        <v>0.6240167558434242</v>
      </c>
      <c r="BZ215" s="2195">
        <f t="shared" si="338"/>
        <v>0.68720036455412215</v>
      </c>
      <c r="CA215" s="2192">
        <f t="shared" si="338"/>
        <v>2.5780555243970831</v>
      </c>
      <c r="CB215" s="2195">
        <f t="shared" si="338"/>
        <v>0.62811914715719075</v>
      </c>
      <c r="CC215" s="2195">
        <f t="shared" si="338"/>
        <v>0.65952688470066512</v>
      </c>
      <c r="CD215" s="2187">
        <f t="shared" si="338"/>
        <v>0.63803349875930515</v>
      </c>
      <c r="CE215" s="2187">
        <f t="shared" si="338"/>
        <v>0.68766553524804164</v>
      </c>
      <c r="CF215" s="2191">
        <f t="shared" si="338"/>
        <v>2.5970820530438363</v>
      </c>
      <c r="CG215" s="2187">
        <f t="shared" si="338"/>
        <v>0.66053464804163253</v>
      </c>
      <c r="CH215" s="2187">
        <f t="shared" si="338"/>
        <v>0.67448185538881322</v>
      </c>
      <c r="CI215" s="2187">
        <f t="shared" si="338"/>
        <v>0.65011604016827262</v>
      </c>
      <c r="CJ215" s="2187">
        <f t="shared" si="338"/>
        <v>0.71203023758099349</v>
      </c>
      <c r="CK215" s="2191">
        <f t="shared" si="338"/>
        <v>2.677186973542117</v>
      </c>
      <c r="CL215" s="2187">
        <f t="shared" si="338"/>
        <v>0.66512632001069394</v>
      </c>
      <c r="CM215" s="2187">
        <f t="shared" si="338"/>
        <v>0.65905979912779178</v>
      </c>
      <c r="CN215" s="2187">
        <f t="shared" si="338"/>
        <v>0.63296966513460284</v>
      </c>
      <c r="CO215" s="2187">
        <f t="shared" si="338"/>
        <v>0.68903547963206324</v>
      </c>
      <c r="CP215" s="2191">
        <f t="shared" si="338"/>
        <v>2.6599202417319705</v>
      </c>
      <c r="CQ215" s="2187">
        <f t="shared" si="338"/>
        <v>0.62495706388996031</v>
      </c>
      <c r="CR215" s="2187">
        <f t="shared" si="338"/>
        <v>0.65673965936739676</v>
      </c>
      <c r="CS215" s="2187">
        <f t="shared" si="338"/>
        <v>0.59918292528225303</v>
      </c>
      <c r="CT215" s="2187">
        <f t="shared" si="338"/>
        <v>0.64267103770016409</v>
      </c>
      <c r="CU215" s="2191">
        <f t="shared" si="338"/>
        <v>2.509108109132248</v>
      </c>
      <c r="CV215" s="2187">
        <f>(CV$15/(CV179-CV192))</f>
        <v>0.60295077928607343</v>
      </c>
      <c r="CW215" s="2187">
        <f>(CW$15/(CW179-CW192))</f>
        <v>0.61378245174229129</v>
      </c>
      <c r="CX215" s="2187">
        <f>(CX$15/(CX179-CX192))</f>
        <v>0.58767880598439826</v>
      </c>
      <c r="CY215" s="2187">
        <f t="shared" si="338"/>
        <v>0.54082212309014055</v>
      </c>
      <c r="CZ215" s="2191">
        <f t="shared" si="338"/>
        <v>2.0316477104894077</v>
      </c>
      <c r="DA215" s="2187">
        <f t="shared" si="338"/>
        <v>0.53080299251870322</v>
      </c>
      <c r="DB215" s="2187">
        <f t="shared" si="338"/>
        <v>0.52300460772104607</v>
      </c>
      <c r="DC215" s="2187">
        <f t="shared" si="338"/>
        <v>0.49950898946063232</v>
      </c>
      <c r="DD215" s="2187">
        <f t="shared" si="338"/>
        <v>0.54606987728163359</v>
      </c>
      <c r="DE215" s="2191">
        <f t="shared" si="338"/>
        <v>2.0911217902444057</v>
      </c>
      <c r="DF215" s="2187">
        <f t="shared" si="338"/>
        <v>0.51033523789736124</v>
      </c>
      <c r="DG215" s="2187">
        <f t="shared" si="338"/>
        <v>0.51469612435233159</v>
      </c>
      <c r="DH215" s="2187">
        <f t="shared" ref="DH215:DI215" si="339">(DH$15/(DH179-DH192))</f>
        <v>0.48712551508504287</v>
      </c>
      <c r="DI215" s="2187">
        <f t="shared" si="339"/>
        <v>0.54240652486163843</v>
      </c>
      <c r="DJ215" s="2191">
        <f t="shared" si="338"/>
        <v>2.0398851695699332</v>
      </c>
      <c r="DK215" s="2187">
        <f t="shared" ref="DK215:DT215" si="340">(DK$15/(DK179-DK192))</f>
        <v>0.49989001482920836</v>
      </c>
      <c r="DL215" s="2187">
        <f t="shared" si="340"/>
        <v>0.50159639130878308</v>
      </c>
      <c r="DM215" s="2187">
        <f t="shared" si="340"/>
        <v>0.47602244359194146</v>
      </c>
      <c r="DN215" s="2187">
        <f t="shared" si="340"/>
        <v>0.53153252091807612</v>
      </c>
      <c r="DO215" s="2191">
        <f t="shared" si="340"/>
        <v>2.0014830501600938</v>
      </c>
      <c r="DP215" s="2187">
        <f t="shared" si="340"/>
        <v>0.49235522799908882</v>
      </c>
      <c r="DQ215" s="2187">
        <f t="shared" si="340"/>
        <v>0.49404863949106337</v>
      </c>
      <c r="DR215" s="2187">
        <f t="shared" si="340"/>
        <v>0.46887155849551698</v>
      </c>
      <c r="DS215" s="2187">
        <f t="shared" si="340"/>
        <v>0.52356113523186731</v>
      </c>
      <c r="DT215" s="2191">
        <f t="shared" si="340"/>
        <v>1.9714668372110185</v>
      </c>
      <c r="DU215" s="2187">
        <f t="shared" ref="DU215:DY215" si="341">(DU$15/(DU179-DU192))</f>
        <v>0.48498371592143957</v>
      </c>
      <c r="DV215" s="2187">
        <f t="shared" si="341"/>
        <v>0.48666408662357302</v>
      </c>
      <c r="DW215" s="2187">
        <f t="shared" si="341"/>
        <v>0.46187495498402226</v>
      </c>
      <c r="DX215" s="2187">
        <f t="shared" si="341"/>
        <v>0.51576136069511203</v>
      </c>
      <c r="DY215" s="2191">
        <f t="shared" si="341"/>
        <v>1.9420968251872537</v>
      </c>
      <c r="DZ215" s="2190"/>
      <c r="EA215" s="2190"/>
    </row>
    <row r="216" spans="1:131" ht="11.25" hidden="1" customHeight="1" outlineLevel="1" x14ac:dyDescent="0.2">
      <c r="A216" s="2187"/>
      <c r="B216" s="2226" t="s">
        <v>1069</v>
      </c>
      <c r="C216" s="2187"/>
      <c r="E216" s="2190"/>
      <c r="F216" s="2190"/>
      <c r="G216" s="2190"/>
      <c r="H216" s="2190"/>
      <c r="I216" s="2192">
        <f>(I$15/(I180-I194))*$B$178</f>
        <v>449.40729166666665</v>
      </c>
      <c r="J216" s="2190"/>
      <c r="K216" s="2190"/>
      <c r="L216" s="2190"/>
      <c r="M216" s="2190"/>
      <c r="N216" s="2192">
        <f>(N$15/(N180-N194))*$B$178</f>
        <v>205.42120265780727</v>
      </c>
      <c r="O216" s="2190"/>
      <c r="P216" s="2190"/>
      <c r="Q216" s="2190"/>
      <c r="R216" s="2190"/>
      <c r="S216" s="2192">
        <f>(S$15/(S180-S194))*$B$178</f>
        <v>208.73494809688586</v>
      </c>
      <c r="T216" s="2190"/>
      <c r="U216" s="2190"/>
      <c r="V216" s="2190"/>
      <c r="W216" s="2190"/>
      <c r="X216" s="2192">
        <f>(X$15/(X180-X194))*$B$178</f>
        <v>240.26240924092411</v>
      </c>
      <c r="Y216" s="2190"/>
      <c r="Z216" s="2190"/>
      <c r="AA216" s="2190"/>
      <c r="AB216" s="2190"/>
      <c r="AC216" s="2192">
        <f>(AC$15/(AC180-AC194))*$B$178</f>
        <v>235.42800898788587</v>
      </c>
      <c r="AD216" s="2190"/>
      <c r="AE216" s="2190"/>
      <c r="AF216" s="2190"/>
      <c r="AG216" s="2190"/>
      <c r="AH216" s="2192">
        <f>(AH$15/(AH180-AH194))*$B$178</f>
        <v>230.20979686704024</v>
      </c>
      <c r="AI216" s="2190"/>
      <c r="AJ216" s="2190"/>
      <c r="AK216" s="2190"/>
      <c r="AL216" s="2190"/>
      <c r="AM216" s="2192">
        <f>(AM$15/(AM180-AM194))*$B$178</f>
        <v>237.63572405457839</v>
      </c>
      <c r="AN216" s="2190"/>
      <c r="AO216" s="2190"/>
      <c r="AP216" s="2190"/>
      <c r="AQ216" s="2190"/>
      <c r="AR216" s="2192">
        <f>(AR$15/(AR180-AR194))*$B$178</f>
        <v>251.14877411959503</v>
      </c>
      <c r="AS216" s="2190"/>
      <c r="AT216" s="2190"/>
      <c r="AU216" s="2190"/>
      <c r="AV216" s="2190"/>
      <c r="AW216" s="2192">
        <f>(AW$15/(AW180-AW194))*$B$178</f>
        <v>198.55803345159663</v>
      </c>
      <c r="AX216" s="2190"/>
      <c r="AY216" s="2190"/>
      <c r="AZ216" s="2190"/>
      <c r="BA216" s="2190"/>
      <c r="BB216" s="2192">
        <f>(BB$15/(BB180-BB194))*$B$178</f>
        <v>238.39192126124513</v>
      </c>
      <c r="BC216" s="2190"/>
      <c r="BD216" s="2190"/>
      <c r="BE216" s="2190"/>
      <c r="BF216" s="2190"/>
      <c r="BG216" s="2192">
        <f>(BG$15/(BG180-BG194))*$B$178</f>
        <v>229.80449129901069</v>
      </c>
      <c r="BH216" s="2190"/>
      <c r="BI216" s="2190"/>
      <c r="BJ216" s="2190"/>
      <c r="BK216" s="2190"/>
      <c r="BL216" s="2192">
        <f t="shared" ref="BL216:DJ216" si="342">(BL$15/(BL180-BL194))*$B$178</f>
        <v>257.46352060722131</v>
      </c>
      <c r="BM216" s="2195">
        <f t="shared" si="342"/>
        <v>66.106854796251426</v>
      </c>
      <c r="BN216" s="2195">
        <f t="shared" si="342"/>
        <v>65.211066377619474</v>
      </c>
      <c r="BO216" s="2195">
        <f t="shared" si="342"/>
        <v>62.6241163885323</v>
      </c>
      <c r="BP216" s="2195">
        <f t="shared" si="342"/>
        <v>71.473059954067438</v>
      </c>
      <c r="BQ216" s="2192">
        <f t="shared" si="342"/>
        <v>240.56747098996735</v>
      </c>
      <c r="BR216" s="2195">
        <f t="shared" si="342"/>
        <v>64.941316859061615</v>
      </c>
      <c r="BS216" s="2195">
        <f t="shared" si="342"/>
        <v>67.896953525275933</v>
      </c>
      <c r="BT216" s="2195">
        <f t="shared" si="342"/>
        <v>64.153407403102037</v>
      </c>
      <c r="BU216" s="2195">
        <f t="shared" si="342"/>
        <v>71.439214071489317</v>
      </c>
      <c r="BV216" s="2192">
        <f t="shared" si="342"/>
        <v>264.4322747415066</v>
      </c>
      <c r="BW216" s="2195">
        <f t="shared" si="342"/>
        <v>65.398268685495594</v>
      </c>
      <c r="BX216" s="2195">
        <f t="shared" si="342"/>
        <v>68.20648293452409</v>
      </c>
      <c r="BY216" s="2195">
        <f t="shared" si="342"/>
        <v>64.798469859571114</v>
      </c>
      <c r="BZ216" s="2195">
        <f t="shared" si="342"/>
        <v>71.361176196063568</v>
      </c>
      <c r="CA216" s="2192">
        <f t="shared" si="342"/>
        <v>267.71387794461219</v>
      </c>
      <c r="CB216" s="2195">
        <f t="shared" si="342"/>
        <v>65.228191782253674</v>
      </c>
      <c r="CC216" s="2195">
        <f t="shared" si="342"/>
        <v>68.491867695956785</v>
      </c>
      <c r="CD216" s="2187">
        <f t="shared" si="342"/>
        <v>66.261672028602675</v>
      </c>
      <c r="CE216" s="2187">
        <f t="shared" si="342"/>
        <v>71.417330549850959</v>
      </c>
      <c r="CF216" s="2191">
        <f t="shared" si="342"/>
        <v>269.71930093954114</v>
      </c>
      <c r="CG216" s="2187">
        <f t="shared" si="342"/>
        <v>68.600928970449232</v>
      </c>
      <c r="CH216" s="2187">
        <f t="shared" si="342"/>
        <v>70.050881312938529</v>
      </c>
      <c r="CI216" s="2187">
        <f t="shared" si="342"/>
        <v>67.522195006020112</v>
      </c>
      <c r="CJ216" s="2187">
        <f t="shared" si="342"/>
        <v>73.954791299890545</v>
      </c>
      <c r="CK216" s="2191">
        <f t="shared" si="342"/>
        <v>278.06516275451207</v>
      </c>
      <c r="CL216" s="2187">
        <f t="shared" si="342"/>
        <v>69.086711798529137</v>
      </c>
      <c r="CM216" s="2187">
        <f t="shared" si="342"/>
        <v>68.460674516195041</v>
      </c>
      <c r="CN216" s="2187">
        <f t="shared" si="342"/>
        <v>65.752684097567439</v>
      </c>
      <c r="CO216" s="2187">
        <f t="shared" ca="1" si="342"/>
        <v>71.1552283951617</v>
      </c>
      <c r="CP216" s="2191">
        <f t="shared" ca="1" si="342"/>
        <v>271.76059625278003</v>
      </c>
      <c r="CQ216" s="2187">
        <f t="shared" ca="1" si="342"/>
        <v>65.330885810164844</v>
      </c>
      <c r="CR216" s="2187">
        <f t="shared" ca="1" si="342"/>
        <v>68.138938383884053</v>
      </c>
      <c r="CS216" s="2187">
        <f t="shared" ca="1" si="342"/>
        <v>62.36283288662429</v>
      </c>
      <c r="CT216" s="2187">
        <f t="shared" ca="1" si="342"/>
        <v>66.943983550437707</v>
      </c>
      <c r="CU216" s="2191">
        <f t="shared" ca="1" si="342"/>
        <v>260.90048848847459</v>
      </c>
      <c r="CV216" s="2187">
        <f ca="1">(CV$15/(CV180-CV194))*$B$178</f>
        <v>62.392977435179276</v>
      </c>
      <c r="CW216" s="2187">
        <f ca="1">(CW$15/(CW180-CW194))*$B$178</f>
        <v>62.969448512106815</v>
      </c>
      <c r="CX216" s="2187">
        <f ca="1">(CX$15/(CX180-CX194))*$B$178</f>
        <v>59.282545040082908</v>
      </c>
      <c r="CY216" s="2187">
        <f t="shared" ca="1" si="342"/>
        <v>66.033086452622555</v>
      </c>
      <c r="CZ216" s="2191">
        <f t="shared" ca="1" si="342"/>
        <v>248.05932150386451</v>
      </c>
      <c r="DA216" s="2187">
        <f t="shared" ca="1" si="342"/>
        <v>64.820206512852849</v>
      </c>
      <c r="DB216" s="2187">
        <f t="shared" ca="1" si="342"/>
        <v>63.224617404618975</v>
      </c>
      <c r="DC216" s="2187">
        <f t="shared" ca="1" si="342"/>
        <v>60.267227695886092</v>
      </c>
      <c r="DD216" s="2187">
        <f t="shared" ca="1" si="342"/>
        <v>65.66864645395934</v>
      </c>
      <c r="DE216" s="2191">
        <f t="shared" ca="1" si="342"/>
        <v>251.47173145554686</v>
      </c>
      <c r="DF216" s="2187">
        <f t="shared" ca="1" si="342"/>
        <v>62.333691530520603</v>
      </c>
      <c r="DG216" s="2187">
        <f t="shared" ca="1" si="342"/>
        <v>62.310626079291964</v>
      </c>
      <c r="DH216" s="2187">
        <f t="shared" ref="DH216:DI216" ca="1" si="343">(DH$15/(DH180-DH194))*$B$178</f>
        <v>58.912800862753222</v>
      </c>
      <c r="DI216" s="2187">
        <f t="shared" ca="1" si="343"/>
        <v>65.604794329359109</v>
      </c>
      <c r="DJ216" s="2191">
        <f t="shared" ca="1" si="342"/>
        <v>246.72683839723871</v>
      </c>
      <c r="DK216" s="2187">
        <f t="shared" ref="DK216:DT216" ca="1" si="344">(DK$15/(DK180-DK194))*$B$178</f>
        <v>62.022023072868002</v>
      </c>
      <c r="DL216" s="2187">
        <f t="shared" ca="1" si="344"/>
        <v>61.687519818499041</v>
      </c>
      <c r="DM216" s="2187">
        <f t="shared" ca="1" si="344"/>
        <v>58.323672854125689</v>
      </c>
      <c r="DN216" s="2187">
        <f t="shared" ca="1" si="344"/>
        <v>64.948746386065508</v>
      </c>
      <c r="DO216" s="2191">
        <f t="shared" ca="1" si="344"/>
        <v>244.56417981034957</v>
      </c>
      <c r="DP216" s="2187">
        <f t="shared" ca="1" si="344"/>
        <v>61.711912957503664</v>
      </c>
      <c r="DQ216" s="2187">
        <f t="shared" ca="1" si="344"/>
        <v>61.379082219406548</v>
      </c>
      <c r="DR216" s="2187">
        <f t="shared" ca="1" si="344"/>
        <v>58.032054489855057</v>
      </c>
      <c r="DS216" s="2187">
        <f t="shared" ca="1" si="344"/>
        <v>64.624002654135197</v>
      </c>
      <c r="DT216" s="2191">
        <f t="shared" ca="1" si="344"/>
        <v>243.34135891129785</v>
      </c>
      <c r="DU216" s="2187">
        <f t="shared" ref="DU216:DY216" ca="1" si="345">(DU$15/(DU180-DU194))*$B$178</f>
        <v>61.403353392716141</v>
      </c>
      <c r="DV216" s="2187">
        <f t="shared" ca="1" si="345"/>
        <v>61.072186808309517</v>
      </c>
      <c r="DW216" s="2187">
        <f t="shared" ca="1" si="345"/>
        <v>57.741894217405793</v>
      </c>
      <c r="DX216" s="2187">
        <f t="shared" ca="1" si="345"/>
        <v>64.300882640864515</v>
      </c>
      <c r="DY216" s="2191">
        <f t="shared" ca="1" si="345"/>
        <v>242.1246521167414</v>
      </c>
      <c r="DZ216" s="2190"/>
      <c r="EA216" s="2190"/>
    </row>
    <row r="217" spans="1:131" ht="11.25" hidden="1" customHeight="1" outlineLevel="1" x14ac:dyDescent="0.2">
      <c r="A217" s="2187"/>
      <c r="B217" s="2226"/>
      <c r="C217" s="2187"/>
      <c r="E217" s="2190"/>
      <c r="F217" s="2190"/>
      <c r="G217" s="2190"/>
      <c r="H217" s="2190"/>
      <c r="I217" s="2191"/>
      <c r="J217" s="2190"/>
      <c r="K217" s="2190"/>
      <c r="L217" s="2190"/>
      <c r="M217" s="2190"/>
      <c r="N217" s="2191"/>
      <c r="O217" s="2190"/>
      <c r="P217" s="2190"/>
      <c r="Q217" s="2190"/>
      <c r="R217" s="2190"/>
      <c r="S217" s="2191"/>
      <c r="T217" s="2190"/>
      <c r="U217" s="2190"/>
      <c r="V217" s="2190"/>
      <c r="W217" s="2190"/>
      <c r="X217" s="2191"/>
      <c r="Y217" s="2190"/>
      <c r="Z217" s="2190"/>
      <c r="AA217" s="2190"/>
      <c r="AB217" s="2190"/>
      <c r="AC217" s="2191"/>
      <c r="AD217" s="2190"/>
      <c r="AE217" s="2190"/>
      <c r="AF217" s="2190"/>
      <c r="AG217" s="2190"/>
      <c r="AH217" s="2191"/>
      <c r="AI217" s="2190"/>
      <c r="AJ217" s="2190"/>
      <c r="AK217" s="2190"/>
      <c r="AL217" s="2190"/>
      <c r="AM217" s="2191"/>
      <c r="AN217" s="2190"/>
      <c r="AO217" s="2190"/>
      <c r="AP217" s="2190"/>
      <c r="AQ217" s="2190"/>
      <c r="AR217" s="2191"/>
      <c r="AS217" s="2190"/>
      <c r="AT217" s="2190"/>
      <c r="AU217" s="2190"/>
      <c r="AV217" s="2190"/>
      <c r="AW217" s="2191"/>
      <c r="AX217" s="2190"/>
      <c r="AY217" s="2190"/>
      <c r="AZ217" s="2190"/>
      <c r="BA217" s="2190"/>
      <c r="BB217" s="2191"/>
      <c r="BC217" s="2190"/>
      <c r="BD217" s="2190"/>
      <c r="BE217" s="2190"/>
      <c r="BF217" s="2190"/>
      <c r="BG217" s="2191"/>
      <c r="BH217" s="2190"/>
      <c r="BI217" s="2190"/>
      <c r="BJ217" s="2190"/>
      <c r="BK217" s="2190"/>
      <c r="BL217" s="2191"/>
      <c r="BM217" s="2190"/>
      <c r="BN217" s="2190"/>
      <c r="BO217" s="2190"/>
      <c r="BP217" s="2190"/>
      <c r="BQ217" s="2191"/>
      <c r="BR217" s="2190"/>
      <c r="BS217" s="2190"/>
      <c r="BT217" s="2190"/>
      <c r="BU217" s="2190"/>
      <c r="BV217" s="2191"/>
      <c r="BW217" s="2190"/>
      <c r="BX217" s="2190"/>
      <c r="BY217" s="2190"/>
      <c r="BZ217" s="2190"/>
      <c r="CA217" s="2191"/>
      <c r="CB217" s="2190"/>
      <c r="CC217" s="2190"/>
      <c r="CD217" s="2190"/>
      <c r="CE217" s="2190"/>
      <c r="CF217" s="2191"/>
      <c r="CG217" s="2190"/>
      <c r="CH217" s="2190"/>
      <c r="CI217" s="2190"/>
      <c r="CJ217" s="2190"/>
      <c r="CK217" s="2191"/>
      <c r="CL217" s="2190"/>
      <c r="CM217" s="2190"/>
      <c r="CN217" s="2190"/>
      <c r="CO217" s="2190"/>
      <c r="CP217" s="2191"/>
      <c r="CQ217" s="2190"/>
      <c r="CR217" s="2190"/>
      <c r="CS217" s="2190"/>
      <c r="CT217" s="2190"/>
      <c r="CU217" s="2191"/>
      <c r="CV217" s="2190"/>
      <c r="CW217" s="2190"/>
      <c r="CX217" s="2190"/>
      <c r="CY217" s="2190"/>
      <c r="CZ217" s="2191"/>
      <c r="DA217" s="2190"/>
      <c r="DB217" s="2190"/>
      <c r="DC217" s="2190"/>
      <c r="DD217" s="2190"/>
      <c r="DE217" s="2191"/>
      <c r="DF217" s="2190"/>
      <c r="DG217" s="2190"/>
      <c r="DH217" s="2190"/>
      <c r="DI217" s="2190"/>
      <c r="DJ217" s="2191"/>
      <c r="DK217" s="2190"/>
      <c r="DL217" s="2190"/>
      <c r="DM217" s="2190"/>
      <c r="DN217" s="2190"/>
      <c r="DO217" s="2191"/>
      <c r="DP217" s="2190"/>
      <c r="DQ217" s="2190"/>
      <c r="DR217" s="2190"/>
      <c r="DS217" s="2190"/>
      <c r="DT217" s="2191"/>
      <c r="DU217" s="2190"/>
      <c r="DV217" s="2190"/>
      <c r="DW217" s="2190"/>
      <c r="DX217" s="2190"/>
      <c r="DY217" s="2191"/>
      <c r="DZ217" s="2190"/>
      <c r="EA217" s="2190"/>
    </row>
    <row r="218" spans="1:131" ht="11.25" hidden="1" customHeight="1" outlineLevel="1" x14ac:dyDescent="0.2">
      <c r="A218" s="2225"/>
      <c r="B218" s="2226" t="s">
        <v>1070</v>
      </c>
      <c r="C218" s="2225"/>
      <c r="D218" s="2252"/>
      <c r="E218" s="2227"/>
      <c r="F218" s="2227"/>
      <c r="G218" s="2227"/>
      <c r="H218" s="2227"/>
      <c r="I218" s="2250"/>
      <c r="J218">
        <v>13</v>
      </c>
      <c r="K218">
        <v>13</v>
      </c>
      <c r="L218">
        <v>13</v>
      </c>
      <c r="M218">
        <v>13</v>
      </c>
      <c r="N218" s="2250"/>
      <c r="O218">
        <v>13</v>
      </c>
      <c r="P218">
        <v>13</v>
      </c>
      <c r="Q218">
        <v>13</v>
      </c>
      <c r="R218">
        <v>13</v>
      </c>
      <c r="S218" s="2250"/>
      <c r="T218">
        <v>13</v>
      </c>
      <c r="U218">
        <v>13</v>
      </c>
      <c r="V218">
        <v>13</v>
      </c>
      <c r="W218">
        <v>14</v>
      </c>
      <c r="X218" s="2250"/>
      <c r="Y218">
        <v>13</v>
      </c>
      <c r="Z218">
        <v>13</v>
      </c>
      <c r="AA218">
        <v>13</v>
      </c>
      <c r="AB218">
        <v>13</v>
      </c>
      <c r="AC218" s="2250"/>
      <c r="AD218">
        <v>13</v>
      </c>
      <c r="AE218">
        <v>13</v>
      </c>
      <c r="AF218">
        <v>13</v>
      </c>
      <c r="AG218">
        <v>13</v>
      </c>
      <c r="AH218" s="2250"/>
      <c r="AI218">
        <v>13</v>
      </c>
      <c r="AJ218">
        <v>13</v>
      </c>
      <c r="AK218">
        <v>13</v>
      </c>
      <c r="AL218">
        <v>13</v>
      </c>
      <c r="AM218" s="2250"/>
      <c r="AN218">
        <v>13</v>
      </c>
      <c r="AO218">
        <v>13</v>
      </c>
      <c r="AP218">
        <v>13</v>
      </c>
      <c r="AQ218">
        <v>14</v>
      </c>
      <c r="AR218" s="2250"/>
      <c r="AS218">
        <v>13</v>
      </c>
      <c r="AT218">
        <v>13</v>
      </c>
      <c r="AU218">
        <v>13</v>
      </c>
      <c r="AV218">
        <v>13</v>
      </c>
      <c r="AW218" s="2250"/>
      <c r="AX218">
        <v>13</v>
      </c>
      <c r="AY218">
        <v>13</v>
      </c>
      <c r="AZ218">
        <v>13</v>
      </c>
      <c r="BA218">
        <v>13</v>
      </c>
      <c r="BB218" s="2250"/>
      <c r="BC218">
        <v>13</v>
      </c>
      <c r="BD218">
        <v>13</v>
      </c>
      <c r="BE218">
        <v>13</v>
      </c>
      <c r="BF218">
        <v>13</v>
      </c>
      <c r="BG218" s="2250"/>
      <c r="BH218">
        <v>13</v>
      </c>
      <c r="BI218">
        <v>13</v>
      </c>
      <c r="BJ218">
        <v>13</v>
      </c>
      <c r="BK218">
        <v>13</v>
      </c>
      <c r="BL218">
        <v>52</v>
      </c>
      <c r="BM218">
        <v>13</v>
      </c>
      <c r="BN218">
        <v>13</v>
      </c>
      <c r="BO218">
        <v>13</v>
      </c>
      <c r="BP218">
        <v>14</v>
      </c>
      <c r="BQ218">
        <v>52</v>
      </c>
      <c r="BR218">
        <v>13</v>
      </c>
      <c r="BS218">
        <v>13</v>
      </c>
      <c r="BT218">
        <v>13</v>
      </c>
      <c r="BU218">
        <v>13</v>
      </c>
      <c r="BV218">
        <v>52</v>
      </c>
      <c r="BW218">
        <v>13</v>
      </c>
      <c r="BX218">
        <v>13</v>
      </c>
      <c r="BY218">
        <v>13</v>
      </c>
      <c r="BZ218">
        <v>13</v>
      </c>
      <c r="CA218">
        <v>52</v>
      </c>
      <c r="CB218">
        <v>13</v>
      </c>
      <c r="CC218">
        <v>13</v>
      </c>
      <c r="CD218">
        <v>13</v>
      </c>
      <c r="CE218">
        <v>13</v>
      </c>
      <c r="CF218" s="2250">
        <v>52</v>
      </c>
      <c r="CG218" s="2225">
        <v>13</v>
      </c>
      <c r="CH218" s="2225">
        <v>13</v>
      </c>
      <c r="CI218" s="2225">
        <v>13</v>
      </c>
      <c r="CJ218" s="2225">
        <v>13</v>
      </c>
      <c r="CK218" s="2250">
        <v>52</v>
      </c>
      <c r="CL218" s="2225">
        <v>13</v>
      </c>
      <c r="CM218" s="2225">
        <v>13</v>
      </c>
      <c r="CN218" s="2225">
        <v>13</v>
      </c>
      <c r="CO218" s="2225">
        <v>13</v>
      </c>
      <c r="CP218" s="2250">
        <v>52</v>
      </c>
      <c r="CQ218" s="2225">
        <v>13</v>
      </c>
      <c r="CR218" s="2225">
        <v>13</v>
      </c>
      <c r="CS218" s="2225">
        <v>13</v>
      </c>
      <c r="CT218" s="2225">
        <v>13</v>
      </c>
      <c r="CU218" s="2250">
        <v>52</v>
      </c>
      <c r="CV218" s="2225">
        <v>13</v>
      </c>
      <c r="CW218" s="2225">
        <v>13</v>
      </c>
      <c r="CX218" s="2225">
        <v>13</v>
      </c>
      <c r="CY218" s="2225">
        <v>13</v>
      </c>
      <c r="CZ218" s="2250">
        <v>52</v>
      </c>
      <c r="DA218" s="2225">
        <v>13</v>
      </c>
      <c r="DB218" s="2225">
        <v>13</v>
      </c>
      <c r="DC218" s="2225">
        <v>13</v>
      </c>
      <c r="DD218" s="2225">
        <v>13</v>
      </c>
      <c r="DE218" s="2250">
        <v>52</v>
      </c>
      <c r="DF218" s="2225">
        <v>13</v>
      </c>
      <c r="DG218" s="2225">
        <v>13</v>
      </c>
      <c r="DH218" s="2742">
        <v>13</v>
      </c>
      <c r="DI218" s="2742">
        <v>13</v>
      </c>
      <c r="DJ218" s="2250">
        <v>52</v>
      </c>
      <c r="DK218" s="2225">
        <v>13</v>
      </c>
      <c r="DL218" s="2225">
        <v>13</v>
      </c>
      <c r="DM218" s="2225">
        <v>13</v>
      </c>
      <c r="DN218" s="2225">
        <v>13</v>
      </c>
      <c r="DO218" s="2250">
        <v>52</v>
      </c>
      <c r="DP218" s="2225">
        <v>13</v>
      </c>
      <c r="DQ218" s="2225">
        <v>13</v>
      </c>
      <c r="DR218" s="2225">
        <v>13</v>
      </c>
      <c r="DS218" s="2225">
        <v>13</v>
      </c>
      <c r="DT218" s="2250">
        <v>52</v>
      </c>
      <c r="DU218" s="2225">
        <v>13</v>
      </c>
      <c r="DV218" s="2225">
        <v>13</v>
      </c>
      <c r="DW218" s="2225">
        <v>13</v>
      </c>
      <c r="DX218" s="2225">
        <v>13</v>
      </c>
      <c r="DY218" s="2250">
        <v>52</v>
      </c>
      <c r="DZ218" s="2227"/>
      <c r="EA218" s="2227"/>
    </row>
    <row r="219" spans="1:131" ht="12" hidden="1" outlineLevel="1" thickBot="1" x14ac:dyDescent="0.25">
      <c r="A219" s="2225"/>
      <c r="B219" s="2259"/>
      <c r="C219" s="2260"/>
      <c r="D219" s="2265"/>
      <c r="E219" s="2265"/>
      <c r="F219" s="2265"/>
      <c r="G219" s="2265"/>
      <c r="H219" s="2265"/>
      <c r="J219" s="2265"/>
      <c r="K219" s="2265"/>
      <c r="L219" s="2265"/>
      <c r="M219" s="2265"/>
      <c r="O219" s="2265"/>
      <c r="P219" s="2265"/>
      <c r="Q219" s="2265"/>
      <c r="R219" s="2265"/>
      <c r="T219" s="2265"/>
      <c r="U219" s="2265"/>
      <c r="V219" s="2265"/>
      <c r="W219" s="2265"/>
      <c r="Y219" s="2265"/>
      <c r="Z219" s="2265"/>
      <c r="AA219" s="2265"/>
      <c r="AB219" s="2265"/>
      <c r="AD219" s="2265"/>
      <c r="AE219" s="2265"/>
      <c r="AF219" s="2265"/>
      <c r="AG219" s="2265"/>
      <c r="AI219" s="2265"/>
      <c r="AJ219" s="2265"/>
      <c r="AK219" s="2265"/>
      <c r="AL219" s="2265"/>
      <c r="AN219" s="2265"/>
      <c r="AO219" s="2265"/>
      <c r="AP219" s="2265"/>
      <c r="AQ219" s="2265"/>
      <c r="AT219" s="2265"/>
      <c r="AU219" s="2265"/>
      <c r="AV219" s="2265"/>
      <c r="AX219" s="2265"/>
      <c r="AY219" s="2265"/>
      <c r="AZ219" s="2265"/>
      <c r="BA219" s="2265"/>
      <c r="BC219" s="2265"/>
      <c r="BD219" s="2265"/>
      <c r="BE219" s="2265"/>
      <c r="BF219" s="2265"/>
      <c r="BH219" s="2265"/>
      <c r="BI219" s="2265"/>
      <c r="BJ219" s="2265"/>
      <c r="BK219" s="2265"/>
      <c r="BM219" s="2265"/>
      <c r="BN219" s="2265"/>
      <c r="BO219" s="2265"/>
      <c r="BP219" s="2265"/>
      <c r="BR219" s="2265"/>
      <c r="BS219" s="2265"/>
      <c r="BT219" s="2265"/>
      <c r="BU219" s="2265"/>
      <c r="BW219" s="2265"/>
      <c r="BX219" s="2265"/>
      <c r="BY219" s="2265"/>
      <c r="BZ219" s="2265"/>
      <c r="CB219" s="2265"/>
      <c r="CC219" s="2265"/>
      <c r="CD219" s="2265"/>
      <c r="CE219" s="2265"/>
      <c r="CG219" s="2265"/>
      <c r="CH219" s="2265"/>
      <c r="CI219" s="2265"/>
      <c r="CJ219" s="2265"/>
      <c r="CL219" s="2265"/>
      <c r="CM219" s="2265"/>
      <c r="CN219" s="2265"/>
      <c r="CO219" s="2265"/>
      <c r="CQ219" s="2265"/>
      <c r="CR219" s="2265"/>
      <c r="CS219" s="2265"/>
      <c r="CT219" s="2265"/>
      <c r="CV219" s="2265"/>
      <c r="CW219" s="2265"/>
      <c r="CX219" s="2265"/>
      <c r="CY219" s="2265"/>
      <c r="DA219" s="2265"/>
      <c r="DB219" s="2265"/>
      <c r="DC219" s="2265"/>
      <c r="DD219" s="2265"/>
      <c r="DF219" s="2265"/>
      <c r="DG219" s="2265"/>
      <c r="DH219" s="2265"/>
      <c r="DI219" s="2265"/>
      <c r="DK219" s="2265"/>
      <c r="DL219" s="2265"/>
      <c r="DM219" s="2265"/>
      <c r="DN219" s="2265"/>
      <c r="DP219" s="2265"/>
      <c r="DQ219" s="2265"/>
      <c r="DR219" s="2265"/>
      <c r="DS219" s="2265"/>
      <c r="DU219" s="2265"/>
      <c r="DV219" s="2265"/>
      <c r="DW219" s="2265"/>
      <c r="DX219" s="2265"/>
      <c r="DZ219" s="2227"/>
      <c r="EA219" s="2227"/>
    </row>
    <row r="220" spans="1:131" collapsed="1" x14ac:dyDescent="0.2">
      <c r="A220" s="2227"/>
      <c r="B220" s="2227"/>
      <c r="C220" s="2227"/>
      <c r="D220" s="2227"/>
      <c r="E220" s="2227"/>
      <c r="F220" s="2227"/>
      <c r="G220" s="2227"/>
      <c r="H220" s="2227"/>
      <c r="I220" s="2227"/>
      <c r="J220" s="2227"/>
      <c r="K220" s="2227"/>
      <c r="L220" s="2227"/>
      <c r="M220" s="2227"/>
      <c r="N220" s="2227"/>
      <c r="O220" s="2227"/>
      <c r="P220" s="2227"/>
      <c r="Q220" s="2227"/>
      <c r="R220" s="2227"/>
      <c r="S220" s="2227"/>
      <c r="T220" s="2227"/>
      <c r="U220" s="2227"/>
      <c r="V220" s="2227"/>
      <c r="W220" s="2227"/>
      <c r="X220" s="2227"/>
      <c r="Y220" s="2227"/>
      <c r="Z220" s="2227"/>
      <c r="AA220" s="2227"/>
      <c r="AB220" s="2227"/>
      <c r="AC220" s="2227"/>
      <c r="AD220" s="2227"/>
      <c r="AE220" s="2227"/>
      <c r="AF220" s="2227"/>
      <c r="AG220" s="2227"/>
      <c r="AH220" s="2227"/>
      <c r="AI220" s="2227"/>
      <c r="AJ220" s="2227"/>
      <c r="AK220" s="2227"/>
      <c r="AL220" s="2227"/>
      <c r="AM220" s="2227"/>
      <c r="AN220" s="2227"/>
      <c r="AO220" s="2227"/>
      <c r="AP220" s="2227"/>
      <c r="AQ220" s="2227"/>
      <c r="AR220" s="2227"/>
      <c r="AT220" s="2227"/>
      <c r="AU220" s="2227"/>
      <c r="AV220" s="2227"/>
      <c r="AX220" s="2227"/>
      <c r="AY220" s="2227"/>
      <c r="AZ220" s="2227"/>
      <c r="BA220" s="2227"/>
      <c r="BB220" s="2227"/>
      <c r="BC220" s="2227"/>
      <c r="BD220" s="2227"/>
      <c r="BE220" s="2227"/>
      <c r="BF220" s="2227"/>
      <c r="BG220" s="2227"/>
      <c r="BH220" s="2227"/>
      <c r="BI220" s="2227"/>
      <c r="BJ220" s="2227"/>
      <c r="BK220" s="2227"/>
      <c r="BL220" s="2227"/>
      <c r="BM220" s="2227"/>
      <c r="BN220" s="2227"/>
      <c r="BO220" s="2227"/>
      <c r="BP220" s="2227"/>
      <c r="BQ220" s="2227"/>
      <c r="BR220" s="2227"/>
      <c r="BS220" s="2227"/>
      <c r="BT220" s="2227"/>
      <c r="BU220" s="2227"/>
      <c r="BV220" s="2227"/>
      <c r="BW220" s="2227"/>
      <c r="BX220" s="2227"/>
      <c r="BY220" s="2227"/>
      <c r="BZ220" s="2227"/>
      <c r="CA220" s="2227"/>
      <c r="CB220" s="2227"/>
      <c r="CC220" s="2227"/>
      <c r="CD220" s="2227"/>
      <c r="CE220" s="2227"/>
      <c r="CF220" s="2227"/>
      <c r="CG220" s="2227"/>
      <c r="CH220" s="2227"/>
      <c r="CI220" s="2227"/>
      <c r="CJ220" s="2227"/>
      <c r="CK220" s="2227"/>
      <c r="CL220" s="2227"/>
      <c r="CM220" s="2227"/>
      <c r="CN220" s="2227"/>
      <c r="CO220" s="2227"/>
      <c r="CP220" s="2227"/>
      <c r="CQ220" s="2227"/>
      <c r="CR220" s="2227"/>
      <c r="CS220" s="2227"/>
      <c r="CT220" s="2227"/>
      <c r="CU220" s="2227"/>
      <c r="CV220" s="2227"/>
      <c r="CW220" s="2227"/>
      <c r="CX220" s="2227"/>
      <c r="CY220" s="2227"/>
      <c r="CZ220" s="2227"/>
      <c r="DA220" s="2227"/>
      <c r="DB220" s="2227"/>
      <c r="DC220" s="2227"/>
      <c r="DD220" s="2227"/>
      <c r="DE220" s="2227"/>
      <c r="DF220" s="2227"/>
      <c r="DG220" s="2227"/>
      <c r="DH220" s="2227"/>
      <c r="DI220" s="2227"/>
      <c r="DJ220" s="2227"/>
      <c r="DK220" s="2227"/>
      <c r="DL220" s="2227"/>
      <c r="DM220" s="2227"/>
      <c r="DN220" s="2227"/>
      <c r="DO220" s="2227"/>
      <c r="DP220" s="2227"/>
      <c r="DQ220" s="2227"/>
      <c r="DR220" s="2227"/>
      <c r="DS220" s="2227"/>
      <c r="DT220" s="2227"/>
      <c r="DU220" s="2227"/>
      <c r="DV220" s="2227"/>
      <c r="DW220" s="2227"/>
      <c r="DX220" s="2227"/>
      <c r="DY220" s="2227"/>
      <c r="DZ220" s="2227"/>
      <c r="EA220" s="2227"/>
    </row>
    <row r="221" spans="1:131" ht="12" thickBot="1" x14ac:dyDescent="0.25">
      <c r="B221" s="2227"/>
      <c r="C221" s="2227"/>
      <c r="DH221" s="2734"/>
      <c r="DI221" s="2795"/>
    </row>
    <row r="222" spans="1:131" ht="12" thickBot="1" x14ac:dyDescent="0.25">
      <c r="B222" s="685" t="s">
        <v>1427</v>
      </c>
      <c r="C222" s="686"/>
      <c r="D222" s="686"/>
      <c r="E222" s="686"/>
      <c r="F222" s="686"/>
      <c r="G222" s="686"/>
      <c r="H222" s="686"/>
      <c r="I222" s="687"/>
      <c r="J222" s="686"/>
      <c r="K222" s="686"/>
      <c r="L222" s="686"/>
      <c r="M222" s="686"/>
      <c r="N222" s="687"/>
      <c r="O222" s="686"/>
      <c r="P222" s="686"/>
      <c r="Q222" s="686"/>
      <c r="R222" s="686"/>
      <c r="S222" s="687"/>
      <c r="T222" s="686"/>
      <c r="U222" s="686"/>
      <c r="V222" s="686"/>
      <c r="W222" s="686"/>
      <c r="X222" s="687"/>
      <c r="Y222" s="686"/>
      <c r="Z222" s="686"/>
      <c r="AA222" s="686"/>
      <c r="AB222" s="686"/>
      <c r="AC222" s="687"/>
      <c r="AD222" s="686"/>
      <c r="AE222" s="686"/>
      <c r="AF222" s="686"/>
      <c r="AG222" s="686"/>
      <c r="AH222" s="687"/>
      <c r="AI222" s="686"/>
      <c r="AJ222" s="686"/>
      <c r="AK222" s="686"/>
      <c r="AL222" s="686"/>
      <c r="AM222" s="687"/>
      <c r="AN222" s="686"/>
      <c r="AO222" s="686"/>
      <c r="AP222" s="686"/>
      <c r="AQ222" s="686"/>
      <c r="AR222" s="687"/>
      <c r="AS222" s="686"/>
      <c r="AT222" s="686"/>
      <c r="AU222" s="686"/>
      <c r="AV222" s="686"/>
      <c r="AW222" s="687"/>
      <c r="AX222" s="686"/>
      <c r="AY222" s="686"/>
      <c r="AZ222" s="686"/>
      <c r="BA222" s="686"/>
      <c r="BB222" s="687"/>
      <c r="BC222" s="686"/>
      <c r="BD222" s="686"/>
      <c r="BE222" s="686"/>
      <c r="BF222" s="686"/>
      <c r="BG222" s="687"/>
      <c r="BH222" s="686"/>
      <c r="BI222" s="686"/>
      <c r="BJ222" s="686"/>
      <c r="BK222" s="686"/>
      <c r="BL222" s="687"/>
      <c r="BM222" s="686"/>
      <c r="BN222" s="686"/>
      <c r="BO222" s="686"/>
      <c r="BP222" s="686"/>
      <c r="BQ222" s="687"/>
      <c r="BR222" s="686"/>
      <c r="BS222" s="686"/>
      <c r="BT222" s="686"/>
      <c r="BU222" s="686"/>
      <c r="BV222" s="687"/>
      <c r="BW222" s="686"/>
      <c r="BX222" s="686"/>
      <c r="BY222" s="686"/>
      <c r="BZ222" s="686"/>
      <c r="CA222" s="687"/>
      <c r="CB222" s="686"/>
      <c r="CC222" s="686"/>
      <c r="CD222" s="686"/>
      <c r="CE222" s="686"/>
      <c r="CF222" s="687"/>
      <c r="CG222" s="686"/>
      <c r="CH222" s="686"/>
      <c r="CI222" s="686"/>
      <c r="CJ222" s="686"/>
      <c r="CK222" s="687"/>
      <c r="CL222" s="686"/>
      <c r="CM222" s="686"/>
      <c r="CN222" s="686"/>
      <c r="CO222" s="686"/>
      <c r="CP222" s="687"/>
      <c r="CQ222" s="686"/>
      <c r="CR222" s="686"/>
      <c r="CS222" s="686"/>
      <c r="CT222" s="686"/>
      <c r="CU222" s="687"/>
      <c r="CV222" s="686"/>
      <c r="CW222" s="686"/>
      <c r="CX222" s="686"/>
      <c r="CY222" s="686"/>
      <c r="CZ222" s="687"/>
      <c r="DA222" s="686"/>
      <c r="DB222" s="686"/>
      <c r="DC222" s="686"/>
      <c r="DD222" s="686"/>
      <c r="DE222" s="687"/>
      <c r="DF222" s="686"/>
      <c r="DG222" s="686"/>
      <c r="DH222" s="686"/>
      <c r="DI222" s="2803"/>
      <c r="DJ222" s="687"/>
      <c r="DK222" s="686"/>
      <c r="DL222" s="686"/>
      <c r="DM222" s="686"/>
      <c r="DN222" s="686"/>
      <c r="DO222" s="687"/>
      <c r="DP222" s="686"/>
      <c r="DQ222" s="686"/>
      <c r="DR222" s="686"/>
      <c r="DS222" s="686"/>
      <c r="DT222" s="687"/>
      <c r="DU222" s="686"/>
      <c r="DV222" s="686"/>
      <c r="DW222" s="686"/>
      <c r="DX222" s="686"/>
      <c r="DY222" s="687"/>
    </row>
    <row r="223" spans="1:131" x14ac:dyDescent="0.2">
      <c r="B223" s="690"/>
      <c r="C223" s="691"/>
      <c r="D223" s="599"/>
      <c r="E223" s="599"/>
      <c r="F223" s="599"/>
      <c r="G223" s="599"/>
      <c r="H223" s="599"/>
      <c r="I223" s="598"/>
      <c r="J223" s="599"/>
      <c r="K223" s="599"/>
      <c r="L223" s="599"/>
      <c r="M223" s="599"/>
      <c r="N223" s="598"/>
      <c r="O223" s="599"/>
      <c r="P223" s="599"/>
      <c r="Q223" s="599"/>
      <c r="R223" s="599"/>
      <c r="S223" s="598"/>
      <c r="T223" s="599"/>
      <c r="U223" s="599"/>
      <c r="V223" s="599"/>
      <c r="W223" s="599"/>
      <c r="X223" s="598"/>
      <c r="Y223" s="599"/>
      <c r="Z223" s="599"/>
      <c r="AA223" s="599"/>
      <c r="AB223" s="599"/>
      <c r="AC223" s="598"/>
      <c r="AD223" s="599"/>
      <c r="AE223" s="599"/>
      <c r="AF223" s="599"/>
      <c r="AG223" s="599"/>
      <c r="AH223" s="598"/>
      <c r="AI223" s="599"/>
      <c r="AJ223" s="599"/>
      <c r="AK223" s="599"/>
      <c r="AL223" s="599"/>
      <c r="AM223" s="598"/>
      <c r="AN223" s="599"/>
      <c r="AO223" s="599"/>
      <c r="AP223" s="599"/>
      <c r="AQ223" s="599"/>
      <c r="AR223" s="598"/>
      <c r="AS223" s="599"/>
      <c r="AT223" s="599"/>
      <c r="AU223" s="599"/>
      <c r="AV223" s="599"/>
      <c r="AW223" s="598"/>
      <c r="AX223" s="599"/>
      <c r="AY223" s="599"/>
      <c r="AZ223" s="599"/>
      <c r="BA223" s="599"/>
      <c r="BB223" s="598"/>
      <c r="BC223" s="599"/>
      <c r="BD223" s="599"/>
      <c r="BE223" s="599"/>
      <c r="BF223" s="599"/>
      <c r="BG223" s="598"/>
      <c r="BH223" s="599"/>
      <c r="BI223" s="599"/>
      <c r="BJ223" s="599"/>
      <c r="BK223" s="599"/>
      <c r="BL223" s="598"/>
      <c r="BM223" s="599"/>
      <c r="BN223" s="599"/>
      <c r="BO223" s="599"/>
      <c r="BP223" s="599"/>
      <c r="BQ223" s="598"/>
      <c r="BR223" s="599"/>
      <c r="BS223" s="599"/>
      <c r="BT223" s="599"/>
      <c r="BU223" s="599"/>
      <c r="BV223" s="598"/>
      <c r="BW223" s="599"/>
      <c r="BX223" s="599"/>
      <c r="BY223" s="599"/>
      <c r="BZ223" s="599"/>
      <c r="CA223" s="598"/>
      <c r="CB223" s="599"/>
      <c r="CC223" s="599"/>
      <c r="CD223" s="599"/>
      <c r="CE223" s="599"/>
      <c r="CF223" s="598"/>
      <c r="CG223" s="526"/>
      <c r="CH223" s="526"/>
      <c r="CI223" s="526"/>
      <c r="CJ223" s="526"/>
      <c r="CK223" s="598"/>
      <c r="CL223" s="526"/>
      <c r="CM223" s="526"/>
      <c r="CN223" s="526"/>
      <c r="CO223" s="526"/>
      <c r="CP223" s="598"/>
      <c r="CQ223" s="526"/>
      <c r="CR223" s="526"/>
      <c r="CS223" s="526"/>
      <c r="CT223" s="526"/>
      <c r="CU223" s="598"/>
      <c r="CV223" s="526"/>
      <c r="CW223" s="526"/>
      <c r="CX223" s="526"/>
      <c r="CY223" s="526"/>
      <c r="CZ223" s="2484"/>
      <c r="DA223" s="526"/>
      <c r="DB223" s="526"/>
      <c r="DC223" s="526"/>
      <c r="DD223" s="526"/>
      <c r="DE223" s="2484"/>
      <c r="DF223" s="526"/>
      <c r="DG223" s="526"/>
      <c r="DH223" s="526"/>
      <c r="DI223" s="1609"/>
      <c r="DJ223" s="2484"/>
      <c r="DK223" s="526"/>
      <c r="DL223" s="526"/>
      <c r="DM223" s="526"/>
      <c r="DN223" s="526"/>
      <c r="DO223" s="2484"/>
      <c r="DP223" s="526"/>
      <c r="DQ223" s="526"/>
      <c r="DR223" s="526"/>
      <c r="DS223" s="526"/>
      <c r="DT223" s="2484"/>
      <c r="DU223" s="526"/>
      <c r="DV223" s="526"/>
      <c r="DW223" s="526"/>
      <c r="DX223" s="526"/>
      <c r="DY223" s="2484"/>
    </row>
    <row r="224" spans="1:131" x14ac:dyDescent="0.2">
      <c r="B224" s="756" t="s">
        <v>520</v>
      </c>
      <c r="C224" s="771"/>
      <c r="D224" s="771"/>
      <c r="E224" s="771"/>
      <c r="F224" s="771"/>
      <c r="G224" s="771"/>
      <c r="H224" s="771"/>
      <c r="I224" s="772"/>
      <c r="J224" s="771"/>
      <c r="K224" s="771"/>
      <c r="L224" s="771"/>
      <c r="M224" s="771"/>
      <c r="N224" s="772"/>
      <c r="O224" s="771"/>
      <c r="P224" s="771"/>
      <c r="Q224" s="771"/>
      <c r="R224" s="771"/>
      <c r="S224" s="772"/>
      <c r="T224" s="771"/>
      <c r="U224" s="771"/>
      <c r="V224" s="771"/>
      <c r="W224" s="771"/>
      <c r="X224" s="772"/>
      <c r="Y224" s="771"/>
      <c r="Z224" s="771"/>
      <c r="AA224" s="771"/>
      <c r="AB224" s="771"/>
      <c r="AC224" s="772"/>
      <c r="AD224" s="771"/>
      <c r="AE224" s="771"/>
      <c r="AF224" s="771"/>
      <c r="AG224" s="771"/>
      <c r="AH224" s="772"/>
      <c r="AI224" s="771"/>
      <c r="AJ224" s="771"/>
      <c r="AK224" s="771"/>
      <c r="AL224" s="771"/>
      <c r="AM224" s="772"/>
      <c r="AN224" s="771"/>
      <c r="AO224" s="771"/>
      <c r="AP224" s="771"/>
      <c r="AQ224" s="771"/>
      <c r="AR224" s="772"/>
      <c r="AS224" s="771"/>
      <c r="AT224" s="771"/>
      <c r="AU224" s="771"/>
      <c r="AV224" s="771"/>
      <c r="AW224" s="772"/>
      <c r="AX224" s="771"/>
      <c r="AY224" s="771"/>
      <c r="AZ224" s="771"/>
      <c r="BA224" s="771"/>
      <c r="BB224" s="772"/>
      <c r="BC224" s="771"/>
      <c r="BD224" s="771"/>
      <c r="BE224" s="773"/>
      <c r="BF224" s="773"/>
      <c r="BG224" s="772"/>
      <c r="BH224" s="773"/>
      <c r="BI224" s="773"/>
      <c r="BJ224" s="773"/>
      <c r="BK224" s="773"/>
      <c r="BL224" s="774"/>
      <c r="BM224" s="773"/>
      <c r="BN224" s="773"/>
      <c r="BO224" s="773"/>
      <c r="BP224" s="773"/>
      <c r="BQ224" s="774"/>
      <c r="BR224" s="773"/>
      <c r="BS224" s="773"/>
      <c r="BT224" s="773"/>
      <c r="BU224" s="773"/>
      <c r="BV224" s="774"/>
      <c r="BW224" s="773"/>
      <c r="BX224" s="773"/>
      <c r="BY224" s="773"/>
      <c r="BZ224" s="773"/>
      <c r="CA224" s="774"/>
      <c r="CB224" s="773"/>
      <c r="CC224" s="773"/>
      <c r="CD224" s="775"/>
      <c r="CE224" s="775"/>
      <c r="CF224" s="772"/>
      <c r="CG224" s="775"/>
      <c r="CH224" s="775"/>
      <c r="CI224" s="775"/>
      <c r="CJ224" s="775"/>
      <c r="CK224" s="772"/>
      <c r="CL224" s="775"/>
      <c r="CM224" s="775"/>
      <c r="CN224" s="775"/>
      <c r="CO224" s="775"/>
      <c r="CP224" s="772"/>
      <c r="CQ224" s="775"/>
      <c r="CR224" s="775"/>
      <c r="CS224" s="775"/>
      <c r="CT224" s="775"/>
      <c r="CU224" s="772"/>
      <c r="CV224" s="775"/>
      <c r="CW224" s="775"/>
      <c r="CX224" s="775"/>
      <c r="CY224" s="2490">
        <v>1018.0991099999999</v>
      </c>
      <c r="CZ224" s="2491">
        <f>SUM(CV224:CY224)</f>
        <v>1018.0991099999999</v>
      </c>
      <c r="DA224" s="2490">
        <v>1065.1633550399999</v>
      </c>
      <c r="DB224" s="2490">
        <v>1076.8422107087488</v>
      </c>
      <c r="DC224" s="2490">
        <v>1076.2175497089877</v>
      </c>
      <c r="DD224" s="2490">
        <v>1092.3271779236998</v>
      </c>
      <c r="DE224" s="2491">
        <v>4310.5502933814369</v>
      </c>
      <c r="DF224" s="2490">
        <v>1145.8256244343199</v>
      </c>
      <c r="DG224" s="2490">
        <v>1159.6316345390371</v>
      </c>
      <c r="DH224" s="2490">
        <v>1159.4940302553841</v>
      </c>
      <c r="DI224" s="2838">
        <v>1178.2073548951819</v>
      </c>
      <c r="DJ224" s="2491">
        <v>4643.1586441239233</v>
      </c>
      <c r="DK224" s="2490">
        <v>1236.8867680939122</v>
      </c>
      <c r="DL224" s="2490">
        <v>1253.1862266047983</v>
      </c>
      <c r="DM224" s="2490">
        <v>1253.6380558988319</v>
      </c>
      <c r="DN224" s="2490">
        <v>1275.3932523237229</v>
      </c>
      <c r="DO224" s="2491">
        <v>5019.1043029212651</v>
      </c>
      <c r="DP224" s="2490">
        <v>0</v>
      </c>
      <c r="DQ224" s="2490">
        <v>0</v>
      </c>
      <c r="DR224" s="2490">
        <v>0</v>
      </c>
      <c r="DS224" s="2490">
        <v>0</v>
      </c>
      <c r="DT224" s="2491">
        <v>0</v>
      </c>
      <c r="DU224" s="2490">
        <v>0</v>
      </c>
      <c r="DV224" s="2490">
        <v>0</v>
      </c>
      <c r="DW224" s="2490">
        <v>0</v>
      </c>
      <c r="DX224" s="2490">
        <v>0</v>
      </c>
      <c r="DY224" s="2491">
        <v>0</v>
      </c>
    </row>
    <row r="225" spans="2:129" x14ac:dyDescent="0.2">
      <c r="B225" s="938" t="s">
        <v>1145</v>
      </c>
      <c r="C225" s="816"/>
      <c r="D225" s="816"/>
      <c r="E225" s="816"/>
      <c r="F225" s="816"/>
      <c r="G225" s="816"/>
      <c r="H225" s="816"/>
      <c r="I225" s="939"/>
      <c r="J225" s="816"/>
      <c r="K225" s="816"/>
      <c r="L225" s="816"/>
      <c r="M225" s="816"/>
      <c r="N225" s="939"/>
      <c r="O225" s="816"/>
      <c r="P225" s="816"/>
      <c r="Q225" s="816"/>
      <c r="R225" s="816"/>
      <c r="S225" s="939"/>
      <c r="T225" s="816"/>
      <c r="U225" s="816"/>
      <c r="V225" s="816"/>
      <c r="W225" s="816"/>
      <c r="X225" s="939"/>
      <c r="Y225" s="816"/>
      <c r="Z225" s="816"/>
      <c r="AA225" s="816"/>
      <c r="AB225" s="816"/>
      <c r="AC225" s="939"/>
      <c r="AD225" s="816"/>
      <c r="AE225" s="816"/>
      <c r="AF225" s="816"/>
      <c r="AG225" s="816"/>
      <c r="AH225" s="939"/>
      <c r="AI225" s="816"/>
      <c r="AJ225" s="816"/>
      <c r="AK225" s="816"/>
      <c r="AL225" s="816"/>
      <c r="AM225" s="939"/>
      <c r="AN225" s="816"/>
      <c r="AO225" s="816"/>
      <c r="AP225" s="816"/>
      <c r="AQ225" s="816"/>
      <c r="AR225" s="939"/>
      <c r="AS225" s="816"/>
      <c r="AT225" s="816"/>
      <c r="AU225" s="816"/>
      <c r="AV225" s="816"/>
      <c r="AW225" s="939"/>
      <c r="AX225" s="816"/>
      <c r="AY225" s="816"/>
      <c r="AZ225" s="816"/>
      <c r="BA225" s="816"/>
      <c r="BB225" s="939"/>
      <c r="BC225" s="816"/>
      <c r="BD225" s="816"/>
      <c r="BE225" s="816"/>
      <c r="BF225" s="816"/>
      <c r="BG225" s="939"/>
      <c r="BH225" s="816"/>
      <c r="BI225" s="816"/>
      <c r="BJ225" s="816"/>
      <c r="BK225" s="816"/>
      <c r="BL225" s="774"/>
      <c r="BM225" s="818"/>
      <c r="BN225" s="818"/>
      <c r="BO225" s="818"/>
      <c r="BP225" s="818"/>
      <c r="BQ225" s="774"/>
      <c r="BR225" s="818"/>
      <c r="BS225" s="818"/>
      <c r="BT225" s="818"/>
      <c r="BU225" s="818"/>
      <c r="BV225" s="774"/>
      <c r="BW225" s="818"/>
      <c r="BX225" s="818"/>
      <c r="BY225" s="818"/>
      <c r="BZ225" s="818"/>
      <c r="CA225" s="774"/>
      <c r="CB225" s="818"/>
      <c r="CC225" s="818"/>
      <c r="CD225" s="819"/>
      <c r="CE225" s="819"/>
      <c r="CF225" s="772"/>
      <c r="CG225" s="819"/>
      <c r="CH225" s="819"/>
      <c r="CI225" s="819"/>
      <c r="CJ225" s="819"/>
      <c r="CK225" s="772"/>
      <c r="CL225" s="819"/>
      <c r="CM225" s="819"/>
      <c r="CN225" s="819"/>
      <c r="CO225" s="819"/>
      <c r="CP225" s="772"/>
      <c r="CQ225" s="819"/>
      <c r="CR225" s="819"/>
      <c r="CS225" s="819"/>
      <c r="CT225" s="819"/>
      <c r="CU225" s="772"/>
      <c r="CV225" s="819"/>
      <c r="CW225" s="974"/>
      <c r="CX225" s="974"/>
      <c r="CY225" s="819">
        <v>-0.1661442389083615</v>
      </c>
      <c r="CZ225" s="939"/>
      <c r="DA225" s="819">
        <v>6.9542919386302859E-2</v>
      </c>
      <c r="DB225" s="819">
        <v>7.0902448302353926E-2</v>
      </c>
      <c r="DC225" s="819">
        <v>7.1475010602367606E-2</v>
      </c>
      <c r="DD225" s="819">
        <v>7.2908489158486578E-2</v>
      </c>
      <c r="DE225" s="939">
        <v>0</v>
      </c>
      <c r="DF225" s="819">
        <v>7.5727604608863963E-2</v>
      </c>
      <c r="DG225" s="819">
        <v>7.6881666605359555E-2</v>
      </c>
      <c r="DH225" s="819">
        <v>7.7378853902646982E-2</v>
      </c>
      <c r="DI225" s="819">
        <v>7.8621294706521461E-2</v>
      </c>
      <c r="DJ225" s="939">
        <v>0</v>
      </c>
      <c r="DK225" s="819">
        <v>7.9472078227040832E-2</v>
      </c>
      <c r="DL225" s="819">
        <v>8.0676129625378845E-2</v>
      </c>
      <c r="DM225" s="819">
        <v>8.1194058086450083E-2</v>
      </c>
      <c r="DN225" s="819">
        <v>8.2486242361971218E-2</v>
      </c>
      <c r="DO225" s="939">
        <v>0</v>
      </c>
      <c r="DP225" s="819">
        <v>0</v>
      </c>
      <c r="DQ225" s="819">
        <v>0</v>
      </c>
      <c r="DR225" s="819">
        <v>0</v>
      </c>
      <c r="DS225" s="819">
        <v>0</v>
      </c>
      <c r="DT225" s="939">
        <v>0</v>
      </c>
      <c r="DU225" s="819">
        <v>0</v>
      </c>
      <c r="DV225" s="819">
        <v>0</v>
      </c>
      <c r="DW225" s="819">
        <v>0</v>
      </c>
      <c r="DX225" s="819">
        <v>0</v>
      </c>
      <c r="DY225" s="939">
        <v>0</v>
      </c>
    </row>
    <row r="226" spans="2:129" x14ac:dyDescent="0.2">
      <c r="B226" s="690"/>
      <c r="C226" s="941"/>
      <c r="D226" s="941"/>
      <c r="E226" s="941"/>
      <c r="F226" s="941"/>
      <c r="G226" s="941"/>
      <c r="H226" s="941"/>
      <c r="I226" s="942"/>
      <c r="J226" s="941"/>
      <c r="K226" s="941"/>
      <c r="L226" s="941"/>
      <c r="M226" s="941"/>
      <c r="N226" s="942"/>
      <c r="O226" s="941"/>
      <c r="P226" s="941"/>
      <c r="Q226" s="941"/>
      <c r="R226" s="941"/>
      <c r="S226" s="942"/>
      <c r="T226" s="941"/>
      <c r="U226" s="941"/>
      <c r="V226" s="941"/>
      <c r="W226" s="941"/>
      <c r="X226" s="942"/>
      <c r="Y226" s="941"/>
      <c r="Z226" s="941"/>
      <c r="AA226" s="941"/>
      <c r="AB226" s="941"/>
      <c r="AC226" s="942"/>
      <c r="AD226" s="941"/>
      <c r="AE226" s="941"/>
      <c r="AF226" s="941"/>
      <c r="AG226" s="941"/>
      <c r="AH226" s="942"/>
      <c r="AI226" s="941"/>
      <c r="AJ226" s="941"/>
      <c r="AK226" s="941"/>
      <c r="AL226" s="941"/>
      <c r="AM226" s="942"/>
      <c r="AN226" s="941"/>
      <c r="AO226" s="941"/>
      <c r="AP226" s="941"/>
      <c r="AQ226" s="941"/>
      <c r="AR226" s="942"/>
      <c r="AS226" s="941"/>
      <c r="AT226" s="941"/>
      <c r="AU226" s="941"/>
      <c r="AV226" s="941"/>
      <c r="AW226" s="942"/>
      <c r="AX226" s="941"/>
      <c r="AY226" s="941"/>
      <c r="AZ226" s="941"/>
      <c r="BA226" s="941"/>
      <c r="BB226" s="942"/>
      <c r="BC226" s="941"/>
      <c r="BD226" s="941"/>
      <c r="BE226" s="943"/>
      <c r="BF226" s="943"/>
      <c r="BG226" s="942"/>
      <c r="BH226" s="943"/>
      <c r="BI226" s="943"/>
      <c r="BJ226" s="943"/>
      <c r="BK226" s="943"/>
      <c r="BL226" s="944"/>
      <c r="BM226" s="945"/>
      <c r="BN226" s="945"/>
      <c r="BO226" s="945"/>
      <c r="BP226" s="945"/>
      <c r="BQ226" s="944"/>
      <c r="BR226" s="945"/>
      <c r="BS226" s="945"/>
      <c r="BT226" s="945"/>
      <c r="BU226" s="945"/>
      <c r="BV226" s="944"/>
      <c r="BW226" s="945"/>
      <c r="BX226" s="945"/>
      <c r="BY226" s="945"/>
      <c r="BZ226" s="945"/>
      <c r="CA226" s="944"/>
      <c r="CB226" s="945"/>
      <c r="CC226" s="945"/>
      <c r="CD226" s="946"/>
      <c r="CE226" s="946"/>
      <c r="CF226" s="947"/>
      <c r="CG226" s="948"/>
      <c r="CH226" s="948"/>
      <c r="CI226" s="948"/>
      <c r="CJ226" s="948"/>
      <c r="CK226" s="942"/>
      <c r="CL226" s="948"/>
      <c r="CM226" s="948"/>
      <c r="CN226" s="948"/>
      <c r="CO226" s="948"/>
      <c r="CP226" s="942"/>
      <c r="CQ226" s="948"/>
      <c r="CR226" s="948"/>
      <c r="CS226" s="948"/>
      <c r="CT226" s="948"/>
      <c r="CU226" s="942"/>
      <c r="CV226" s="948"/>
      <c r="CW226" s="948"/>
      <c r="CX226" s="948"/>
      <c r="CY226" s="948"/>
      <c r="CZ226" s="942"/>
      <c r="DA226" s="948"/>
      <c r="DB226" s="948"/>
      <c r="DC226" s="948"/>
      <c r="DD226" s="948"/>
      <c r="DE226" s="942"/>
      <c r="DF226" s="948"/>
      <c r="DG226" s="948"/>
      <c r="DH226" s="948"/>
      <c r="DI226" s="948"/>
      <c r="DJ226" s="942"/>
      <c r="DK226" s="948"/>
      <c r="DL226" s="948"/>
      <c r="DM226" s="948"/>
      <c r="DN226" s="948"/>
      <c r="DO226" s="942"/>
      <c r="DP226" s="948"/>
      <c r="DQ226" s="948"/>
      <c r="DR226" s="948"/>
      <c r="DS226" s="948"/>
      <c r="DT226" s="942"/>
      <c r="DU226" s="948"/>
      <c r="DV226" s="948"/>
      <c r="DW226" s="948"/>
      <c r="DX226" s="948"/>
      <c r="DY226" s="942"/>
    </row>
    <row r="227" spans="2:129" x14ac:dyDescent="0.2">
      <c r="B227" s="756" t="s">
        <v>1146</v>
      </c>
      <c r="C227" s="597"/>
      <c r="D227" s="597"/>
      <c r="E227" s="597"/>
      <c r="F227" s="597"/>
      <c r="G227" s="597"/>
      <c r="H227" s="597"/>
      <c r="I227" s="598"/>
      <c r="J227" s="597"/>
      <c r="K227" s="597"/>
      <c r="L227" s="597"/>
      <c r="M227" s="597"/>
      <c r="N227" s="598"/>
      <c r="O227" s="597"/>
      <c r="P227" s="597"/>
      <c r="Q227" s="597"/>
      <c r="R227" s="597"/>
      <c r="S227" s="598"/>
      <c r="T227" s="597"/>
      <c r="U227" s="597"/>
      <c r="V227" s="597"/>
      <c r="W227" s="597"/>
      <c r="X227" s="598"/>
      <c r="Y227" s="597"/>
      <c r="Z227" s="597"/>
      <c r="AA227" s="597"/>
      <c r="AB227" s="597"/>
      <c r="AC227" s="598"/>
      <c r="AD227" s="597"/>
      <c r="AE227" s="597"/>
      <c r="AF227" s="597"/>
      <c r="AG227" s="597"/>
      <c r="AH227" s="598"/>
      <c r="AI227" s="597"/>
      <c r="AJ227" s="597"/>
      <c r="AK227" s="597"/>
      <c r="AL227" s="597"/>
      <c r="AM227" s="598"/>
      <c r="AN227" s="597"/>
      <c r="AO227" s="597"/>
      <c r="AP227" s="597"/>
      <c r="AQ227" s="597"/>
      <c r="AR227" s="598"/>
      <c r="AS227" s="597"/>
      <c r="AT227" s="597"/>
      <c r="AU227" s="597"/>
      <c r="AV227" s="597"/>
      <c r="AW227" s="598"/>
      <c r="AX227" s="597"/>
      <c r="AY227" s="597"/>
      <c r="AZ227" s="597"/>
      <c r="BA227" s="597"/>
      <c r="BB227" s="598"/>
      <c r="BC227" s="597"/>
      <c r="BD227" s="597"/>
      <c r="BE227" s="597"/>
      <c r="BF227" s="597"/>
      <c r="BG227" s="598"/>
      <c r="BH227" s="597"/>
      <c r="BI227" s="597"/>
      <c r="BJ227" s="597"/>
      <c r="BK227" s="597"/>
      <c r="BL227" s="598"/>
      <c r="BM227" s="818"/>
      <c r="BN227" s="818"/>
      <c r="BO227" s="818"/>
      <c r="BP227" s="818"/>
      <c r="BQ227" s="598"/>
      <c r="BR227" s="818"/>
      <c r="BS227" s="818"/>
      <c r="BT227" s="818"/>
      <c r="BU227" s="818"/>
      <c r="BV227" s="598"/>
      <c r="BW227" s="818"/>
      <c r="BX227" s="818"/>
      <c r="BY227" s="818"/>
      <c r="BZ227" s="818"/>
      <c r="CA227" s="598"/>
      <c r="CB227" s="818"/>
      <c r="CC227" s="818"/>
      <c r="CD227" s="819"/>
      <c r="CE227" s="819"/>
      <c r="CF227" s="598"/>
      <c r="CG227" s="682"/>
      <c r="CH227" s="682"/>
      <c r="CI227" s="682"/>
      <c r="CJ227" s="682"/>
      <c r="CK227" s="598"/>
      <c r="CL227" s="682"/>
      <c r="CM227" s="682"/>
      <c r="CN227" s="682"/>
      <c r="CO227" s="682"/>
      <c r="CP227" s="598"/>
      <c r="CQ227" s="1039"/>
      <c r="CR227" s="1039"/>
      <c r="CS227" s="1039"/>
      <c r="CT227" s="1039"/>
      <c r="CU227" s="772"/>
      <c r="CV227" s="1039"/>
      <c r="CW227" s="1039"/>
      <c r="CX227" s="1039"/>
      <c r="CY227" s="2488">
        <v>780.96685896249983</v>
      </c>
      <c r="CZ227" s="2489">
        <f>SUM(CV227:CY227)</f>
        <v>780.96685896249983</v>
      </c>
      <c r="DA227" s="2488">
        <v>817.06905692859993</v>
      </c>
      <c r="DB227" s="2488">
        <v>826.02771246450277</v>
      </c>
      <c r="DC227" s="2488">
        <v>825.54854542260261</v>
      </c>
      <c r="DD227" s="2488">
        <v>837.90597273230469</v>
      </c>
      <c r="DE227" s="2489">
        <v>3306.5512875480099</v>
      </c>
      <c r="DF227" s="2488">
        <v>855.42636159610061</v>
      </c>
      <c r="DG227" s="2488">
        <v>866.04663486915433</v>
      </c>
      <c r="DH227" s="2488">
        <v>865.9407827739542</v>
      </c>
      <c r="DI227" s="2839">
        <v>880.33600775311857</v>
      </c>
      <c r="DJ227" s="2489">
        <v>3467.7497869923282</v>
      </c>
      <c r="DK227" s="2488">
        <v>925.47514635624191</v>
      </c>
      <c r="DL227" s="2488">
        <v>938.01350481574104</v>
      </c>
      <c r="DM227" s="2488">
        <v>938.36107450017641</v>
      </c>
      <c r="DN227" s="2488">
        <v>955.09625935002384</v>
      </c>
      <c r="DO227" s="2489">
        <v>3756.9459850221833</v>
      </c>
      <c r="DP227" s="2488">
        <v>0</v>
      </c>
      <c r="DQ227" s="2488">
        <v>0</v>
      </c>
      <c r="DR227" s="2488">
        <v>0</v>
      </c>
      <c r="DS227" s="2488">
        <v>0</v>
      </c>
      <c r="DT227" s="2489">
        <v>0</v>
      </c>
      <c r="DU227" s="2488">
        <v>0</v>
      </c>
      <c r="DV227" s="2488">
        <v>0</v>
      </c>
      <c r="DW227" s="2488">
        <v>0</v>
      </c>
      <c r="DX227" s="2488">
        <v>0</v>
      </c>
      <c r="DY227" s="2489">
        <v>0</v>
      </c>
    </row>
    <row r="228" spans="2:129" x14ac:dyDescent="0.2">
      <c r="B228" s="2482" t="s">
        <v>1145</v>
      </c>
      <c r="C228" s="670"/>
      <c r="D228" s="670"/>
      <c r="E228" s="670"/>
      <c r="F228" s="670"/>
      <c r="G228" s="670"/>
      <c r="H228" s="670"/>
      <c r="I228" s="949"/>
      <c r="J228" s="670"/>
      <c r="K228" s="670"/>
      <c r="L228" s="670"/>
      <c r="M228" s="670"/>
      <c r="N228" s="949"/>
      <c r="O228" s="670"/>
      <c r="P228" s="670"/>
      <c r="Q228" s="670"/>
      <c r="R228" s="670"/>
      <c r="S228" s="949"/>
      <c r="T228" s="670"/>
      <c r="U228" s="670"/>
      <c r="V228" s="670"/>
      <c r="W228" s="670"/>
      <c r="X228" s="949"/>
      <c r="Y228" s="670"/>
      <c r="Z228" s="670"/>
      <c r="AA228" s="670"/>
      <c r="AB228" s="670"/>
      <c r="AC228" s="949"/>
      <c r="AD228" s="670"/>
      <c r="AE228" s="670"/>
      <c r="AF228" s="670"/>
      <c r="AG228" s="670"/>
      <c r="AH228" s="949"/>
      <c r="AI228" s="670"/>
      <c r="AJ228" s="670"/>
      <c r="AK228" s="670"/>
      <c r="AL228" s="670"/>
      <c r="AM228" s="949"/>
      <c r="AN228" s="670"/>
      <c r="AO228" s="670"/>
      <c r="AP228" s="670"/>
      <c r="AQ228" s="670"/>
      <c r="AR228" s="949"/>
      <c r="AS228" s="670"/>
      <c r="AT228" s="670"/>
      <c r="AU228" s="670"/>
      <c r="AV228" s="670"/>
      <c r="AW228" s="949"/>
      <c r="AX228" s="670"/>
      <c r="AY228" s="670"/>
      <c r="AZ228" s="670"/>
      <c r="BA228" s="670"/>
      <c r="BB228" s="949"/>
      <c r="BC228" s="670"/>
      <c r="BD228" s="670"/>
      <c r="BE228" s="670"/>
      <c r="BF228" s="670"/>
      <c r="BG228" s="949"/>
      <c r="BH228" s="670"/>
      <c r="BI228" s="670"/>
      <c r="BJ228" s="670"/>
      <c r="BK228" s="670"/>
      <c r="BL228" s="949"/>
      <c r="BM228" s="670"/>
      <c r="BN228" s="670"/>
      <c r="BO228" s="670"/>
      <c r="BP228" s="670"/>
      <c r="BQ228" s="949"/>
      <c r="BR228" s="670"/>
      <c r="BS228" s="670"/>
      <c r="BT228" s="670"/>
      <c r="BU228" s="670"/>
      <c r="BV228" s="949"/>
      <c r="BW228" s="670"/>
      <c r="BX228" s="670"/>
      <c r="BY228" s="670"/>
      <c r="BZ228" s="670"/>
      <c r="CA228" s="949"/>
      <c r="CB228" s="670"/>
      <c r="CC228" s="670"/>
      <c r="CD228" s="670"/>
      <c r="CE228" s="670"/>
      <c r="CF228" s="949"/>
      <c r="CG228" s="950"/>
      <c r="CH228" s="950"/>
      <c r="CI228" s="950"/>
      <c r="CJ228" s="950"/>
      <c r="CK228" s="949"/>
      <c r="CL228" s="950"/>
      <c r="CM228" s="950"/>
      <c r="CN228" s="950"/>
      <c r="CO228" s="950"/>
      <c r="CP228" s="949"/>
      <c r="CQ228" s="950"/>
      <c r="CR228" s="950"/>
      <c r="CS228" s="950"/>
      <c r="CT228" s="950"/>
      <c r="CU228" s="949"/>
      <c r="CV228" s="950"/>
      <c r="CW228" s="571"/>
      <c r="CX228" s="571"/>
      <c r="CY228" s="571">
        <v>-0.13417684388801054</v>
      </c>
      <c r="CZ228" s="572"/>
      <c r="DA228" s="571">
        <v>6.2848181884652909E-2</v>
      </c>
      <c r="DB228" s="571">
        <v>6.9392171471378772E-2</v>
      </c>
      <c r="DC228" s="571">
        <v>7.1475010602367606E-2</v>
      </c>
      <c r="DD228" s="571">
        <v>7.29084891584868E-2</v>
      </c>
      <c r="DE228" s="572">
        <v>0</v>
      </c>
      <c r="DF228" s="571">
        <v>4.6944997295194968E-2</v>
      </c>
      <c r="DG228" s="571">
        <v>4.8447433180241362E-2</v>
      </c>
      <c r="DH228" s="571">
        <v>4.8927755460673295E-2</v>
      </c>
      <c r="DI228" s="571">
        <v>5.0638181850470643E-2</v>
      </c>
      <c r="DJ228" s="572">
        <v>0</v>
      </c>
      <c r="DK228" s="571">
        <v>8.188756847455636E-2</v>
      </c>
      <c r="DL228" s="571">
        <v>8.3098146276452844E-2</v>
      </c>
      <c r="DM228" s="571">
        <v>8.3631921682024268E-2</v>
      </c>
      <c r="DN228" s="571">
        <v>8.492240569338505E-2</v>
      </c>
      <c r="DO228" s="572">
        <v>0</v>
      </c>
      <c r="DP228" s="571">
        <v>0</v>
      </c>
      <c r="DQ228" s="571">
        <v>0</v>
      </c>
      <c r="DR228" s="571">
        <v>0</v>
      </c>
      <c r="DS228" s="571">
        <v>0</v>
      </c>
      <c r="DT228" s="572">
        <v>0</v>
      </c>
      <c r="DU228" s="571">
        <v>0</v>
      </c>
      <c r="DV228" s="571">
        <v>0</v>
      </c>
      <c r="DW228" s="571">
        <v>0</v>
      </c>
      <c r="DX228" s="571">
        <v>0</v>
      </c>
      <c r="DY228" s="572">
        <v>0</v>
      </c>
    </row>
    <row r="229" spans="2:129" x14ac:dyDescent="0.2">
      <c r="B229" s="690"/>
      <c r="C229" s="670"/>
      <c r="D229" s="670"/>
      <c r="E229" s="670"/>
      <c r="F229" s="670"/>
      <c r="G229" s="670"/>
      <c r="H229" s="670"/>
      <c r="I229" s="949"/>
      <c r="J229" s="670"/>
      <c r="K229" s="670"/>
      <c r="L229" s="670"/>
      <c r="M229" s="670"/>
      <c r="N229" s="949"/>
      <c r="O229" s="670"/>
      <c r="P229" s="670"/>
      <c r="Q229" s="670"/>
      <c r="R229" s="670"/>
      <c r="S229" s="949"/>
      <c r="T229" s="670"/>
      <c r="U229" s="670"/>
      <c r="V229" s="670"/>
      <c r="W229" s="670"/>
      <c r="X229" s="949"/>
      <c r="Y229" s="670"/>
      <c r="Z229" s="670"/>
      <c r="AA229" s="670"/>
      <c r="AB229" s="670"/>
      <c r="AC229" s="949"/>
      <c r="AD229" s="670"/>
      <c r="AE229" s="670"/>
      <c r="AF229" s="670"/>
      <c r="AG229" s="670"/>
      <c r="AH229" s="949"/>
      <c r="AI229" s="670"/>
      <c r="AJ229" s="670"/>
      <c r="AK229" s="670"/>
      <c r="AL229" s="670"/>
      <c r="AM229" s="949"/>
      <c r="AN229" s="670"/>
      <c r="AO229" s="670"/>
      <c r="AP229" s="670"/>
      <c r="AQ229" s="670"/>
      <c r="AR229" s="949"/>
      <c r="AS229" s="670"/>
      <c r="AT229" s="670"/>
      <c r="AU229" s="670"/>
      <c r="AV229" s="670"/>
      <c r="AW229" s="949"/>
      <c r="AX229" s="670"/>
      <c r="AY229" s="670"/>
      <c r="AZ229" s="670"/>
      <c r="BA229" s="670"/>
      <c r="BB229" s="949"/>
      <c r="BC229" s="670"/>
      <c r="BD229" s="670"/>
      <c r="BE229" s="670"/>
      <c r="BF229" s="670"/>
      <c r="BG229" s="949"/>
      <c r="BH229" s="670"/>
      <c r="BI229" s="670"/>
      <c r="BJ229" s="670"/>
      <c r="BK229" s="670"/>
      <c r="BL229" s="949"/>
      <c r="BM229" s="670"/>
      <c r="BN229" s="670"/>
      <c r="BO229" s="670"/>
      <c r="BP229" s="670"/>
      <c r="BQ229" s="949"/>
      <c r="BR229" s="670"/>
      <c r="BS229" s="670"/>
      <c r="BT229" s="670"/>
      <c r="BU229" s="670"/>
      <c r="BV229" s="949"/>
      <c r="BW229" s="670"/>
      <c r="BX229" s="670"/>
      <c r="BY229" s="670"/>
      <c r="BZ229" s="670"/>
      <c r="CA229" s="949"/>
      <c r="CB229" s="670"/>
      <c r="CC229" s="670"/>
      <c r="CD229" s="670"/>
      <c r="CE229" s="670"/>
      <c r="CF229" s="949"/>
      <c r="CG229" s="950"/>
      <c r="CH229" s="950"/>
      <c r="CI229" s="950"/>
      <c r="CJ229" s="950"/>
      <c r="CK229" s="949"/>
      <c r="CL229" s="950"/>
      <c r="CM229" s="950"/>
      <c r="CN229" s="950"/>
      <c r="CO229" s="950"/>
      <c r="CP229" s="949"/>
      <c r="CQ229" s="950"/>
      <c r="CR229" s="950"/>
      <c r="CS229" s="950"/>
      <c r="CT229" s="950"/>
      <c r="CU229" s="949"/>
      <c r="CV229" s="950"/>
      <c r="CW229" s="571"/>
      <c r="CX229" s="571"/>
      <c r="CY229" s="571"/>
      <c r="CZ229" s="572"/>
      <c r="DA229" s="571"/>
      <c r="DB229" s="571"/>
      <c r="DC229" s="571"/>
      <c r="DD229" s="571"/>
      <c r="DE229" s="572"/>
      <c r="DF229" s="571"/>
      <c r="DG229" s="571"/>
      <c r="DH229" s="571"/>
      <c r="DI229" s="571"/>
      <c r="DJ229" s="572"/>
      <c r="DK229" s="571"/>
      <c r="DL229" s="571"/>
      <c r="DM229" s="571"/>
      <c r="DN229" s="571"/>
      <c r="DO229" s="572"/>
      <c r="DP229" s="571"/>
      <c r="DQ229" s="571"/>
      <c r="DR229" s="571"/>
      <c r="DS229" s="571"/>
      <c r="DT229" s="572"/>
      <c r="DU229" s="571"/>
      <c r="DV229" s="571"/>
      <c r="DW229" s="571"/>
      <c r="DX229" s="571"/>
      <c r="DY229" s="572"/>
    </row>
    <row r="230" spans="2:129" x14ac:dyDescent="0.2">
      <c r="B230" s="690" t="s">
        <v>173</v>
      </c>
      <c r="C230" s="670"/>
      <c r="D230" s="670"/>
      <c r="E230" s="670"/>
      <c r="F230" s="670"/>
      <c r="G230" s="670"/>
      <c r="H230" s="670"/>
      <c r="I230" s="949"/>
      <c r="J230" s="670"/>
      <c r="K230" s="670"/>
      <c r="L230" s="670"/>
      <c r="M230" s="670"/>
      <c r="N230" s="949"/>
      <c r="O230" s="670"/>
      <c r="P230" s="670"/>
      <c r="Q230" s="670"/>
      <c r="R230" s="670"/>
      <c r="S230" s="949"/>
      <c r="T230" s="670"/>
      <c r="U230" s="670"/>
      <c r="V230" s="670"/>
      <c r="W230" s="670"/>
      <c r="X230" s="949"/>
      <c r="Y230" s="670"/>
      <c r="Z230" s="670"/>
      <c r="AA230" s="670"/>
      <c r="AB230" s="670"/>
      <c r="AC230" s="949"/>
      <c r="AD230" s="670"/>
      <c r="AE230" s="670"/>
      <c r="AF230" s="670"/>
      <c r="AG230" s="670"/>
      <c r="AH230" s="949"/>
      <c r="AI230" s="670"/>
      <c r="AJ230" s="670"/>
      <c r="AK230" s="670"/>
      <c r="AL230" s="670"/>
      <c r="AM230" s="949"/>
      <c r="AN230" s="670"/>
      <c r="AO230" s="670"/>
      <c r="AP230" s="670"/>
      <c r="AQ230" s="670"/>
      <c r="AR230" s="949"/>
      <c r="AS230" s="670"/>
      <c r="AT230" s="670"/>
      <c r="AU230" s="670"/>
      <c r="AV230" s="670"/>
      <c r="AW230" s="949"/>
      <c r="AX230" s="670"/>
      <c r="AY230" s="670"/>
      <c r="AZ230" s="670"/>
      <c r="BA230" s="670"/>
      <c r="BB230" s="949"/>
      <c r="BC230" s="670"/>
      <c r="BD230" s="670"/>
      <c r="BE230" s="670"/>
      <c r="BF230" s="670"/>
      <c r="BG230" s="949"/>
      <c r="BH230" s="670"/>
      <c r="BI230" s="670"/>
      <c r="BJ230" s="670"/>
      <c r="BK230" s="670"/>
      <c r="BL230" s="949"/>
      <c r="BM230" s="670"/>
      <c r="BN230" s="670"/>
      <c r="BO230" s="670"/>
      <c r="BP230" s="670"/>
      <c r="BQ230" s="949"/>
      <c r="BR230" s="670"/>
      <c r="BS230" s="670"/>
      <c r="BT230" s="670"/>
      <c r="BU230" s="670"/>
      <c r="BV230" s="949"/>
      <c r="BW230" s="670"/>
      <c r="BX230" s="670"/>
      <c r="BY230" s="670"/>
      <c r="BZ230" s="670"/>
      <c r="CA230" s="949"/>
      <c r="CB230" s="670"/>
      <c r="CC230" s="670"/>
      <c r="CD230" s="670"/>
      <c r="CE230" s="670"/>
      <c r="CF230" s="949"/>
      <c r="CG230" s="950"/>
      <c r="CH230" s="950"/>
      <c r="CI230" s="950"/>
      <c r="CJ230" s="950"/>
      <c r="CK230" s="949"/>
      <c r="CL230" s="950"/>
      <c r="CM230" s="950"/>
      <c r="CN230" s="950"/>
      <c r="CO230" s="950"/>
      <c r="CP230" s="949"/>
      <c r="CQ230" s="950"/>
      <c r="CR230" s="950"/>
      <c r="CS230" s="950"/>
      <c r="CT230" s="950"/>
      <c r="CU230" s="949"/>
      <c r="CV230" s="950"/>
      <c r="CW230" s="571"/>
      <c r="CX230" s="571"/>
      <c r="CY230" s="2496">
        <v>237.1322510375</v>
      </c>
      <c r="CZ230" s="2497">
        <f>SUM(CV230:CY230)</f>
        <v>237.1322510375</v>
      </c>
      <c r="DA230" s="2498">
        <v>248.09429811140001</v>
      </c>
      <c r="DB230" s="2498">
        <v>250.81449824424604</v>
      </c>
      <c r="DC230" s="2498">
        <v>250.66900428638505</v>
      </c>
      <c r="DD230" s="2498">
        <v>254.4212051913951</v>
      </c>
      <c r="DE230" s="2497">
        <v>1003.9990058334262</v>
      </c>
      <c r="DF230" s="2498">
        <v>290.39926283821933</v>
      </c>
      <c r="DG230" s="2498">
        <v>293.58499966988285</v>
      </c>
      <c r="DH230" s="2498">
        <v>293.55324748142993</v>
      </c>
      <c r="DI230" s="2498">
        <v>297.87134714206326</v>
      </c>
      <c r="DJ230" s="2497">
        <v>1175.4088571315954</v>
      </c>
      <c r="DK230" s="2498">
        <v>311.41162173767032</v>
      </c>
      <c r="DL230" s="2498">
        <v>315.17272178905722</v>
      </c>
      <c r="DM230" s="2498">
        <v>315.27698139865549</v>
      </c>
      <c r="DN230" s="2498">
        <v>320.29699297369905</v>
      </c>
      <c r="DO230" s="2497">
        <v>1262.158317899082</v>
      </c>
      <c r="DP230" s="2498">
        <v>0</v>
      </c>
      <c r="DQ230" s="2498">
        <v>0</v>
      </c>
      <c r="DR230" s="2498">
        <v>0</v>
      </c>
      <c r="DS230" s="2498">
        <v>0</v>
      </c>
      <c r="DT230" s="2497">
        <v>0</v>
      </c>
      <c r="DU230" s="2498">
        <v>0</v>
      </c>
      <c r="DV230" s="2498">
        <v>0</v>
      </c>
      <c r="DW230" s="2498">
        <v>0</v>
      </c>
      <c r="DX230" s="2498">
        <v>0</v>
      </c>
      <c r="DY230" s="2497">
        <v>0</v>
      </c>
    </row>
    <row r="231" spans="2:129" x14ac:dyDescent="0.2">
      <c r="B231" s="690" t="s">
        <v>1145</v>
      </c>
      <c r="C231" s="670"/>
      <c r="D231" s="670"/>
      <c r="E231" s="670"/>
      <c r="F231" s="670"/>
      <c r="G231" s="670"/>
      <c r="H231" s="670"/>
      <c r="I231" s="949"/>
      <c r="J231" s="670"/>
      <c r="K231" s="670"/>
      <c r="L231" s="670"/>
      <c r="M231" s="670"/>
      <c r="N231" s="949"/>
      <c r="O231" s="670"/>
      <c r="P231" s="670"/>
      <c r="Q231" s="670"/>
      <c r="R231" s="670"/>
      <c r="S231" s="949"/>
      <c r="T231" s="670"/>
      <c r="U231" s="670"/>
      <c r="V231" s="670"/>
      <c r="W231" s="670"/>
      <c r="X231" s="949"/>
      <c r="Y231" s="670"/>
      <c r="Z231" s="670"/>
      <c r="AA231" s="670"/>
      <c r="AB231" s="670"/>
      <c r="AC231" s="949"/>
      <c r="AD231" s="670"/>
      <c r="AE231" s="670"/>
      <c r="AF231" s="670"/>
      <c r="AG231" s="670"/>
      <c r="AH231" s="949"/>
      <c r="AI231" s="670"/>
      <c r="AJ231" s="670"/>
      <c r="AK231" s="670"/>
      <c r="AL231" s="670"/>
      <c r="AM231" s="949"/>
      <c r="AN231" s="670"/>
      <c r="AO231" s="670"/>
      <c r="AP231" s="670"/>
      <c r="AQ231" s="670"/>
      <c r="AR231" s="949"/>
      <c r="AS231" s="670"/>
      <c r="AT231" s="670"/>
      <c r="AU231" s="670"/>
      <c r="AV231" s="670"/>
      <c r="AW231" s="949"/>
      <c r="AX231" s="670"/>
      <c r="AY231" s="670"/>
      <c r="AZ231" s="670"/>
      <c r="BA231" s="670"/>
      <c r="BB231" s="949"/>
      <c r="BC231" s="670"/>
      <c r="BD231" s="670"/>
      <c r="BE231" s="670"/>
      <c r="BF231" s="670"/>
      <c r="BG231" s="949"/>
      <c r="BH231" s="670"/>
      <c r="BI231" s="670"/>
      <c r="BJ231" s="670"/>
      <c r="BK231" s="670"/>
      <c r="BL231" s="949"/>
      <c r="BM231" s="670"/>
      <c r="BN231" s="670"/>
      <c r="BO231" s="670"/>
      <c r="BP231" s="670"/>
      <c r="BQ231" s="949"/>
      <c r="BR231" s="670"/>
      <c r="BS231" s="670"/>
      <c r="BT231" s="670"/>
      <c r="BU231" s="670"/>
      <c r="BV231" s="949"/>
      <c r="BW231" s="670"/>
      <c r="BX231" s="670"/>
      <c r="BY231" s="670"/>
      <c r="BZ231" s="670"/>
      <c r="CA231" s="949"/>
      <c r="CB231" s="670"/>
      <c r="CC231" s="670"/>
      <c r="CD231" s="670"/>
      <c r="CE231" s="670"/>
      <c r="CF231" s="949"/>
      <c r="CG231" s="950"/>
      <c r="CH231" s="950"/>
      <c r="CI231" s="950"/>
      <c r="CJ231" s="950"/>
      <c r="CK231" s="949"/>
      <c r="CL231" s="950"/>
      <c r="CM231" s="950"/>
      <c r="CN231" s="950"/>
      <c r="CO231" s="950"/>
      <c r="CP231" s="949"/>
      <c r="CQ231" s="950"/>
      <c r="CR231" s="950"/>
      <c r="CS231" s="950"/>
      <c r="CT231" s="950"/>
      <c r="CU231" s="949"/>
      <c r="CV231" s="950"/>
      <c r="CW231" s="571"/>
      <c r="CX231" s="571"/>
      <c r="CY231" s="571">
        <v>-0.25654548834493374</v>
      </c>
      <c r="CZ231" s="2499"/>
      <c r="DA231" s="2500">
        <v>9.2200134366155373E-2</v>
      </c>
      <c r="DB231" s="2500">
        <v>7.5906665350495839E-2</v>
      </c>
      <c r="DC231" s="2500">
        <v>7.1475010602367384E-2</v>
      </c>
      <c r="DD231" s="2500">
        <v>7.2908489158486578E-2</v>
      </c>
      <c r="DE231" s="2499">
        <v>0</v>
      </c>
      <c r="DF231" s="2500">
        <v>0.17051969774744058</v>
      </c>
      <c r="DG231" s="2500">
        <v>0.17052643178540028</v>
      </c>
      <c r="DH231" s="2500">
        <v>0.17107916200939766</v>
      </c>
      <c r="DI231" s="2500">
        <v>0.17078034795873887</v>
      </c>
      <c r="DJ231" s="2499">
        <v>0</v>
      </c>
      <c r="DK231" s="2500">
        <v>7.2356791453554559E-2</v>
      </c>
      <c r="DL231" s="2500">
        <v>7.353142069059504E-2</v>
      </c>
      <c r="DM231" s="2500">
        <v>7.4002703440028572E-2</v>
      </c>
      <c r="DN231" s="2500">
        <v>7.5286347769933037E-2</v>
      </c>
      <c r="DO231" s="2499">
        <v>0</v>
      </c>
      <c r="DP231" s="2500">
        <v>0</v>
      </c>
      <c r="DQ231" s="2500">
        <v>0</v>
      </c>
      <c r="DR231" s="2500">
        <v>0</v>
      </c>
      <c r="DS231" s="2500">
        <v>0</v>
      </c>
      <c r="DT231" s="2499">
        <v>0</v>
      </c>
      <c r="DU231" s="2500">
        <v>0</v>
      </c>
      <c r="DV231" s="2500">
        <v>0</v>
      </c>
      <c r="DW231" s="2500">
        <v>0</v>
      </c>
      <c r="DX231" s="2500">
        <v>0</v>
      </c>
      <c r="DY231" s="2499">
        <v>0</v>
      </c>
    </row>
    <row r="232" spans="2:129" x14ac:dyDescent="0.2">
      <c r="B232" s="690"/>
      <c r="C232" s="670"/>
      <c r="D232" s="670"/>
      <c r="E232" s="670"/>
      <c r="F232" s="670"/>
      <c r="G232" s="670"/>
      <c r="H232" s="670"/>
      <c r="I232" s="949"/>
      <c r="J232" s="670"/>
      <c r="K232" s="670"/>
      <c r="L232" s="670"/>
      <c r="M232" s="670"/>
      <c r="N232" s="949"/>
      <c r="O232" s="670"/>
      <c r="P232" s="670"/>
      <c r="Q232" s="670"/>
      <c r="R232" s="670"/>
      <c r="S232" s="949"/>
      <c r="T232" s="670"/>
      <c r="U232" s="670"/>
      <c r="V232" s="670"/>
      <c r="W232" s="670"/>
      <c r="X232" s="949"/>
      <c r="Y232" s="670"/>
      <c r="Z232" s="670"/>
      <c r="AA232" s="670"/>
      <c r="AB232" s="670"/>
      <c r="AC232" s="949"/>
      <c r="AD232" s="670"/>
      <c r="AE232" s="670"/>
      <c r="AF232" s="670"/>
      <c r="AG232" s="670"/>
      <c r="AH232" s="949"/>
      <c r="AI232" s="670"/>
      <c r="AJ232" s="670"/>
      <c r="AK232" s="670"/>
      <c r="AL232" s="670"/>
      <c r="AM232" s="949"/>
      <c r="AN232" s="670"/>
      <c r="AO232" s="670"/>
      <c r="AP232" s="670"/>
      <c r="AQ232" s="670"/>
      <c r="AR232" s="949"/>
      <c r="AS232" s="670"/>
      <c r="AT232" s="670"/>
      <c r="AU232" s="670"/>
      <c r="AV232" s="670"/>
      <c r="AW232" s="949"/>
      <c r="AX232" s="670"/>
      <c r="AY232" s="670"/>
      <c r="AZ232" s="670"/>
      <c r="BA232" s="670"/>
      <c r="BB232" s="949"/>
      <c r="BC232" s="670"/>
      <c r="BD232" s="670"/>
      <c r="BE232" s="670"/>
      <c r="BF232" s="670"/>
      <c r="BG232" s="949"/>
      <c r="BH232" s="670"/>
      <c r="BI232" s="670"/>
      <c r="BJ232" s="670"/>
      <c r="BK232" s="670"/>
      <c r="BL232" s="949"/>
      <c r="BM232" s="670"/>
      <c r="BN232" s="670"/>
      <c r="BO232" s="670"/>
      <c r="BP232" s="670"/>
      <c r="BQ232" s="949"/>
      <c r="BR232" s="670"/>
      <c r="BS232" s="670"/>
      <c r="BT232" s="670"/>
      <c r="BU232" s="670"/>
      <c r="BV232" s="949"/>
      <c r="BW232" s="670"/>
      <c r="BX232" s="670"/>
      <c r="BY232" s="670"/>
      <c r="BZ232" s="670"/>
      <c r="CA232" s="949"/>
      <c r="CB232" s="670"/>
      <c r="CC232" s="670"/>
      <c r="CD232" s="670"/>
      <c r="CE232" s="670"/>
      <c r="CF232" s="949"/>
      <c r="CG232" s="950"/>
      <c r="CH232" s="950"/>
      <c r="CI232" s="950"/>
      <c r="CJ232" s="950"/>
      <c r="CK232" s="949"/>
      <c r="CL232" s="950"/>
      <c r="CM232" s="950"/>
      <c r="CN232" s="950"/>
      <c r="CO232" s="950"/>
      <c r="CP232" s="949"/>
      <c r="CQ232" s="950"/>
      <c r="CR232" s="950"/>
      <c r="CS232" s="950"/>
      <c r="CT232" s="950"/>
      <c r="CU232" s="949"/>
      <c r="CV232" s="950"/>
      <c r="CW232" s="571"/>
      <c r="CX232" s="571"/>
      <c r="CY232" s="571"/>
      <c r="CZ232" s="572"/>
      <c r="DA232" s="571"/>
      <c r="DB232" s="571"/>
      <c r="DC232" s="571"/>
      <c r="DD232" s="571"/>
      <c r="DE232" s="572"/>
      <c r="DF232" s="571"/>
      <c r="DG232" s="571"/>
      <c r="DH232" s="571"/>
      <c r="DI232" s="571"/>
      <c r="DJ232" s="572"/>
      <c r="DK232" s="571"/>
      <c r="DL232" s="571"/>
      <c r="DM232" s="571"/>
      <c r="DN232" s="571"/>
      <c r="DO232" s="572"/>
      <c r="DP232" s="571"/>
      <c r="DQ232" s="571"/>
      <c r="DR232" s="571"/>
      <c r="DS232" s="571"/>
      <c r="DT232" s="572"/>
      <c r="DU232" s="571"/>
      <c r="DV232" s="571"/>
      <c r="DW232" s="571"/>
      <c r="DX232" s="571"/>
      <c r="DY232" s="572"/>
    </row>
    <row r="233" spans="2:129" x14ac:dyDescent="0.2">
      <c r="B233" s="2482" t="s">
        <v>208</v>
      </c>
      <c r="C233" s="670"/>
      <c r="D233" s="670"/>
      <c r="E233" s="670"/>
      <c r="F233" s="670"/>
      <c r="G233" s="670"/>
      <c r="H233" s="670"/>
      <c r="I233" s="949"/>
      <c r="J233" s="670"/>
      <c r="K233" s="670"/>
      <c r="L233" s="670"/>
      <c r="M233" s="670"/>
      <c r="N233" s="949"/>
      <c r="O233" s="670"/>
      <c r="P233" s="670"/>
      <c r="Q233" s="670"/>
      <c r="R233" s="670"/>
      <c r="S233" s="949"/>
      <c r="T233" s="670"/>
      <c r="U233" s="670"/>
      <c r="V233" s="670"/>
      <c r="W233" s="670"/>
      <c r="X233" s="949"/>
      <c r="Y233" s="670"/>
      <c r="Z233" s="670"/>
      <c r="AA233" s="670"/>
      <c r="AB233" s="670"/>
      <c r="AC233" s="949"/>
      <c r="AD233" s="670"/>
      <c r="AE233" s="670"/>
      <c r="AF233" s="670"/>
      <c r="AG233" s="670"/>
      <c r="AH233" s="949"/>
      <c r="AI233" s="670"/>
      <c r="AJ233" s="670"/>
      <c r="AK233" s="670"/>
      <c r="AL233" s="670"/>
      <c r="AM233" s="949"/>
      <c r="AN233" s="670"/>
      <c r="AO233" s="670"/>
      <c r="AP233" s="670"/>
      <c r="AQ233" s="670"/>
      <c r="AR233" s="949"/>
      <c r="AS233" s="670"/>
      <c r="AT233" s="670"/>
      <c r="AU233" s="670"/>
      <c r="AV233" s="670"/>
      <c r="AW233" s="949"/>
      <c r="AX233" s="670"/>
      <c r="AY233" s="670"/>
      <c r="AZ233" s="670"/>
      <c r="BA233" s="670"/>
      <c r="BB233" s="949"/>
      <c r="BC233" s="670"/>
      <c r="BD233" s="670"/>
      <c r="BE233" s="670"/>
      <c r="BF233" s="670"/>
      <c r="BG233" s="949"/>
      <c r="BH233" s="670"/>
      <c r="BI233" s="670"/>
      <c r="BJ233" s="670"/>
      <c r="BK233" s="670"/>
      <c r="BL233" s="949"/>
      <c r="BM233" s="670"/>
      <c r="BN233" s="670"/>
      <c r="BO233" s="670"/>
      <c r="BP233" s="670"/>
      <c r="BQ233" s="949"/>
      <c r="BR233" s="670"/>
      <c r="BS233" s="670"/>
      <c r="BT233" s="670"/>
      <c r="BU233" s="670"/>
      <c r="BV233" s="949"/>
      <c r="BW233" s="670"/>
      <c r="BX233" s="670"/>
      <c r="BY233" s="670"/>
      <c r="BZ233" s="670"/>
      <c r="CA233" s="949"/>
      <c r="CB233" s="670"/>
      <c r="CC233" s="670"/>
      <c r="CD233" s="670"/>
      <c r="CE233" s="670"/>
      <c r="CF233" s="949"/>
      <c r="CG233" s="950"/>
      <c r="CH233" s="950"/>
      <c r="CI233" s="950"/>
      <c r="CJ233" s="950"/>
      <c r="CK233" s="949"/>
      <c r="CL233" s="950"/>
      <c r="CM233" s="950"/>
      <c r="CN233" s="950"/>
      <c r="CO233" s="950"/>
      <c r="CP233" s="949"/>
      <c r="CQ233" s="950"/>
      <c r="CR233" s="950"/>
      <c r="CS233" s="950"/>
      <c r="CT233" s="950"/>
      <c r="CU233" s="949"/>
      <c r="CV233" s="950"/>
      <c r="CW233" s="571"/>
      <c r="CX233" s="571"/>
      <c r="CY233" s="2486">
        <v>150.19856992003159</v>
      </c>
      <c r="CZ233" s="2487">
        <f>SUM(CV233:CY233)</f>
        <v>150.19856992003159</v>
      </c>
      <c r="DA233" s="2486">
        <v>125.63624168353731</v>
      </c>
      <c r="DB233" s="2486">
        <v>137.82163192656276</v>
      </c>
      <c r="DC233" s="2486">
        <v>129.63248788515776</v>
      </c>
      <c r="DD233" s="2486">
        <v>162.37566235641668</v>
      </c>
      <c r="DE233" s="2487">
        <v>555.46602385167455</v>
      </c>
      <c r="DF233" s="2486">
        <v>123.67305736693527</v>
      </c>
      <c r="DG233" s="2486">
        <v>141.1282120335685</v>
      </c>
      <c r="DH233" s="2486">
        <v>132.12982981570426</v>
      </c>
      <c r="DI233" s="2486">
        <v>166.95139483823618</v>
      </c>
      <c r="DJ233" s="2487">
        <v>563.88249405444424</v>
      </c>
      <c r="DK233" s="2486">
        <v>131.54925358891077</v>
      </c>
      <c r="DL233" s="2486">
        <v>154.70195491252341</v>
      </c>
      <c r="DM233" s="2486">
        <v>144.77478187090401</v>
      </c>
      <c r="DN233" s="2486">
        <v>181.96755251792729</v>
      </c>
      <c r="DO233" s="2487">
        <v>612.99354289026542</v>
      </c>
      <c r="DP233" s="2486">
        <v>0</v>
      </c>
      <c r="DQ233" s="2486">
        <v>0</v>
      </c>
      <c r="DR233" s="2486">
        <v>0</v>
      </c>
      <c r="DS233" s="2486">
        <v>0</v>
      </c>
      <c r="DT233" s="2487">
        <v>0</v>
      </c>
      <c r="DU233" s="2486">
        <v>0</v>
      </c>
      <c r="DV233" s="2486">
        <v>0</v>
      </c>
      <c r="DW233" s="2486">
        <v>0</v>
      </c>
      <c r="DX233" s="2486">
        <v>0</v>
      </c>
      <c r="DY233" s="2487">
        <v>0</v>
      </c>
    </row>
    <row r="234" spans="2:129" x14ac:dyDescent="0.2">
      <c r="B234" s="2482" t="s">
        <v>1145</v>
      </c>
      <c r="C234" s="670"/>
      <c r="D234" s="670"/>
      <c r="E234" s="670"/>
      <c r="F234" s="670"/>
      <c r="G234" s="670"/>
      <c r="H234" s="670"/>
      <c r="I234" s="949"/>
      <c r="J234" s="670"/>
      <c r="K234" s="670"/>
      <c r="L234" s="670"/>
      <c r="M234" s="670"/>
      <c r="N234" s="949"/>
      <c r="O234" s="670"/>
      <c r="P234" s="670"/>
      <c r="Q234" s="670"/>
      <c r="R234" s="670"/>
      <c r="S234" s="949"/>
      <c r="T234" s="670"/>
      <c r="U234" s="670"/>
      <c r="V234" s="670"/>
      <c r="W234" s="670"/>
      <c r="X234" s="949"/>
      <c r="Y234" s="670"/>
      <c r="Z234" s="670"/>
      <c r="AA234" s="670"/>
      <c r="AB234" s="670"/>
      <c r="AC234" s="949"/>
      <c r="AD234" s="670"/>
      <c r="AE234" s="670"/>
      <c r="AF234" s="670"/>
      <c r="AG234" s="670"/>
      <c r="AH234" s="949"/>
      <c r="AI234" s="670"/>
      <c r="AJ234" s="670"/>
      <c r="AK234" s="670"/>
      <c r="AL234" s="670"/>
      <c r="AM234" s="949"/>
      <c r="AN234" s="670"/>
      <c r="AO234" s="670"/>
      <c r="AP234" s="670"/>
      <c r="AQ234" s="670"/>
      <c r="AR234" s="949"/>
      <c r="AS234" s="670"/>
      <c r="AT234" s="670"/>
      <c r="AU234" s="670"/>
      <c r="AV234" s="670"/>
      <c r="AW234" s="949"/>
      <c r="AX234" s="670"/>
      <c r="AY234" s="670"/>
      <c r="AZ234" s="670"/>
      <c r="BA234" s="670"/>
      <c r="BB234" s="949"/>
      <c r="BC234" s="670"/>
      <c r="BD234" s="670"/>
      <c r="BE234" s="670"/>
      <c r="BF234" s="670"/>
      <c r="BG234" s="949"/>
      <c r="BH234" s="670"/>
      <c r="BI234" s="670"/>
      <c r="BJ234" s="670"/>
      <c r="BK234" s="670"/>
      <c r="BL234" s="949"/>
      <c r="BM234" s="670"/>
      <c r="BN234" s="670"/>
      <c r="BO234" s="670"/>
      <c r="BP234" s="670"/>
      <c r="BQ234" s="949"/>
      <c r="BR234" s="670"/>
      <c r="BS234" s="670"/>
      <c r="BT234" s="670"/>
      <c r="BU234" s="670"/>
      <c r="BV234" s="949"/>
      <c r="BW234" s="670"/>
      <c r="BX234" s="670"/>
      <c r="BY234" s="670"/>
      <c r="BZ234" s="670"/>
      <c r="CA234" s="949"/>
      <c r="CB234" s="670"/>
      <c r="CC234" s="670"/>
      <c r="CD234" s="670"/>
      <c r="CE234" s="670"/>
      <c r="CF234" s="949"/>
      <c r="CG234" s="950"/>
      <c r="CH234" s="950"/>
      <c r="CI234" s="950"/>
      <c r="CJ234" s="950"/>
      <c r="CK234" s="949"/>
      <c r="CL234" s="950"/>
      <c r="CM234" s="950"/>
      <c r="CN234" s="950"/>
      <c r="CO234" s="950"/>
      <c r="CP234" s="949"/>
      <c r="CQ234" s="950"/>
      <c r="CR234" s="950"/>
      <c r="CS234" s="950"/>
      <c r="CT234" s="950"/>
      <c r="CU234" s="949"/>
      <c r="CV234" s="950"/>
      <c r="CW234" s="571"/>
      <c r="CX234" s="571"/>
      <c r="CY234" s="571">
        <v>-0.15191785879223607</v>
      </c>
      <c r="CZ234" s="572"/>
      <c r="DA234" s="571">
        <v>3.5755761448661216E-2</v>
      </c>
      <c r="DB234" s="571">
        <v>9.7147535334795476E-2</v>
      </c>
      <c r="DC234" s="571">
        <v>8.7171388654435189E-2</v>
      </c>
      <c r="DD234" s="571">
        <v>8.1073291462551156E-2</v>
      </c>
      <c r="DE234" s="572">
        <v>0</v>
      </c>
      <c r="DF234" s="571">
        <v>-1.5625939540177103E-2</v>
      </c>
      <c r="DG234" s="571">
        <v>2.399173526524212E-2</v>
      </c>
      <c r="DH234" s="571">
        <v>1.9264784401568535E-2</v>
      </c>
      <c r="DI234" s="571">
        <v>2.8179915730078386E-2</v>
      </c>
      <c r="DJ234" s="572">
        <v>0</v>
      </c>
      <c r="DK234" s="571">
        <v>6.3685627166206515E-2</v>
      </c>
      <c r="DL234" s="571">
        <v>9.6180222815593241E-2</v>
      </c>
      <c r="DM234" s="571">
        <v>9.5700963762967328E-2</v>
      </c>
      <c r="DN234" s="571">
        <v>8.9943289747538069E-2</v>
      </c>
      <c r="DO234" s="572">
        <v>0</v>
      </c>
      <c r="DP234" s="571">
        <v>0</v>
      </c>
      <c r="DQ234" s="571">
        <v>0</v>
      </c>
      <c r="DR234" s="571">
        <v>0</v>
      </c>
      <c r="DS234" s="571">
        <v>0</v>
      </c>
      <c r="DT234" s="572">
        <v>0</v>
      </c>
      <c r="DU234" s="571">
        <v>0</v>
      </c>
      <c r="DV234" s="571">
        <v>0</v>
      </c>
      <c r="DW234" s="571">
        <v>0</v>
      </c>
      <c r="DX234" s="571">
        <v>0</v>
      </c>
      <c r="DY234" s="572">
        <v>0</v>
      </c>
    </row>
    <row r="235" spans="2:129" x14ac:dyDescent="0.2">
      <c r="B235" s="802"/>
      <c r="C235" s="538"/>
      <c r="D235" s="538"/>
      <c r="E235" s="538"/>
      <c r="F235" s="538"/>
      <c r="G235" s="538"/>
      <c r="H235" s="538"/>
      <c r="I235" s="539"/>
      <c r="J235" s="538"/>
      <c r="K235" s="538"/>
      <c r="L235" s="538"/>
      <c r="M235" s="538"/>
      <c r="N235" s="539"/>
      <c r="O235" s="538"/>
      <c r="P235" s="538"/>
      <c r="Q235" s="538"/>
      <c r="R235" s="538"/>
      <c r="S235" s="539"/>
      <c r="T235" s="538"/>
      <c r="U235" s="538"/>
      <c r="V235" s="538"/>
      <c r="W235" s="538"/>
      <c r="X235" s="539"/>
      <c r="Y235" s="538"/>
      <c r="Z235" s="538"/>
      <c r="AA235" s="538"/>
      <c r="AB235" s="538"/>
      <c r="AC235" s="539"/>
      <c r="AD235" s="538"/>
      <c r="AE235" s="538"/>
      <c r="AF235" s="538"/>
      <c r="AG235" s="538"/>
      <c r="AH235" s="539"/>
      <c r="AI235" s="538"/>
      <c r="AJ235" s="538"/>
      <c r="AK235" s="538"/>
      <c r="AL235" s="538"/>
      <c r="AM235" s="539"/>
      <c r="AN235" s="538"/>
      <c r="AO235" s="538"/>
      <c r="AP235" s="538"/>
      <c r="AQ235" s="538"/>
      <c r="AR235" s="539"/>
      <c r="AS235" s="538"/>
      <c r="AT235" s="538"/>
      <c r="AU235" s="538"/>
      <c r="AV235" s="538"/>
      <c r="AW235" s="539"/>
      <c r="AX235" s="538"/>
      <c r="AY235" s="538"/>
      <c r="AZ235" s="538"/>
      <c r="BA235" s="538"/>
      <c r="BB235" s="539"/>
      <c r="BC235" s="538"/>
      <c r="BD235" s="538"/>
      <c r="BE235" s="538"/>
      <c r="BF235" s="538"/>
      <c r="BG235" s="539"/>
      <c r="BH235" s="538"/>
      <c r="BI235" s="538"/>
      <c r="BJ235" s="823"/>
      <c r="BK235" s="823"/>
      <c r="BL235" s="539"/>
      <c r="BM235" s="823"/>
      <c r="BN235" s="823"/>
      <c r="BO235" s="823"/>
      <c r="BP235" s="823"/>
      <c r="BQ235" s="806"/>
      <c r="BR235" s="823"/>
      <c r="BS235" s="823"/>
      <c r="BT235" s="823"/>
      <c r="BU235" s="823"/>
      <c r="BV235" s="806"/>
      <c r="BW235" s="823"/>
      <c r="BX235" s="823"/>
      <c r="BY235" s="823"/>
      <c r="BZ235" s="823"/>
      <c r="CA235" s="806"/>
      <c r="CB235" s="717"/>
      <c r="CC235" s="717"/>
      <c r="CD235" s="717"/>
      <c r="CE235" s="717"/>
      <c r="CF235" s="539"/>
      <c r="CG235" s="717"/>
      <c r="CH235" s="717"/>
      <c r="CI235" s="717"/>
      <c r="CJ235" s="717"/>
      <c r="CK235" s="539"/>
      <c r="CL235" s="717"/>
      <c r="CM235" s="717"/>
      <c r="CN235" s="717"/>
      <c r="CO235" s="717"/>
      <c r="CP235" s="539"/>
      <c r="CQ235" s="717"/>
      <c r="CR235" s="717"/>
      <c r="CS235" s="717"/>
      <c r="CT235" s="717"/>
      <c r="CU235" s="539"/>
      <c r="CV235" s="717"/>
      <c r="CW235" s="717"/>
      <c r="CX235" s="717"/>
      <c r="CY235" s="717"/>
      <c r="CZ235" s="539"/>
      <c r="DA235" s="717"/>
      <c r="DB235" s="717"/>
      <c r="DC235" s="717"/>
      <c r="DD235" s="717"/>
      <c r="DE235" s="539"/>
      <c r="DF235" s="717"/>
      <c r="DG235" s="717"/>
      <c r="DH235" s="717"/>
      <c r="DI235" s="2483"/>
      <c r="DJ235" s="539"/>
      <c r="DK235" s="717"/>
      <c r="DL235" s="717"/>
      <c r="DM235" s="717"/>
      <c r="DN235" s="717"/>
      <c r="DO235" s="539"/>
      <c r="DP235" s="717"/>
      <c r="DQ235" s="717"/>
      <c r="DR235" s="717"/>
      <c r="DS235" s="717"/>
      <c r="DT235" s="539"/>
      <c r="DU235" s="717"/>
      <c r="DV235" s="717"/>
      <c r="DW235" s="717"/>
      <c r="DX235" s="717"/>
      <c r="DY235" s="539"/>
    </row>
    <row r="236" spans="2:129" x14ac:dyDescent="0.2">
      <c r="B236" s="802" t="s">
        <v>513</v>
      </c>
      <c r="C236" s="538"/>
      <c r="D236" s="538"/>
      <c r="E236" s="538"/>
      <c r="F236" s="538"/>
      <c r="G236" s="538"/>
      <c r="H236" s="538"/>
      <c r="I236" s="539"/>
      <c r="J236" s="538"/>
      <c r="K236" s="538"/>
      <c r="L236" s="538"/>
      <c r="M236" s="538"/>
      <c r="N236" s="539"/>
      <c r="O236" s="538"/>
      <c r="P236" s="538"/>
      <c r="Q236" s="538"/>
      <c r="R236" s="538"/>
      <c r="S236" s="539"/>
      <c r="T236" s="538"/>
      <c r="U236" s="538"/>
      <c r="V236" s="538"/>
      <c r="W236" s="538"/>
      <c r="X236" s="539"/>
      <c r="Y236" s="538"/>
      <c r="Z236" s="538"/>
      <c r="AA236" s="538"/>
      <c r="AB236" s="538"/>
      <c r="AC236" s="539"/>
      <c r="AD236" s="538"/>
      <c r="AE236" s="538"/>
      <c r="AF236" s="538"/>
      <c r="AG236" s="538"/>
      <c r="AH236" s="539"/>
      <c r="AI236" s="538"/>
      <c r="AJ236" s="538"/>
      <c r="AK236" s="538"/>
      <c r="AL236" s="538"/>
      <c r="AM236" s="539"/>
      <c r="AN236" s="538"/>
      <c r="AO236" s="538"/>
      <c r="AP236" s="538"/>
      <c r="AQ236" s="538"/>
      <c r="AR236" s="539"/>
      <c r="AS236" s="538"/>
      <c r="AT236" s="538"/>
      <c r="AU236" s="538"/>
      <c r="AV236" s="538"/>
      <c r="AW236" s="539"/>
      <c r="AX236" s="538"/>
      <c r="AY236" s="538"/>
      <c r="AZ236" s="538"/>
      <c r="BA236" s="538"/>
      <c r="BB236" s="539"/>
      <c r="BC236" s="538"/>
      <c r="BD236" s="538"/>
      <c r="BE236" s="538"/>
      <c r="BF236" s="538"/>
      <c r="BG236" s="539"/>
      <c r="BH236" s="538"/>
      <c r="BI236" s="538"/>
      <c r="BJ236" s="823"/>
      <c r="BK236" s="823"/>
      <c r="BL236" s="539"/>
      <c r="BM236" s="823"/>
      <c r="BN236" s="823"/>
      <c r="BO236" s="823"/>
      <c r="BP236" s="823"/>
      <c r="BQ236" s="806"/>
      <c r="BR236" s="823"/>
      <c r="BS236" s="823"/>
      <c r="BT236" s="823"/>
      <c r="BU236" s="823"/>
      <c r="BV236" s="806"/>
      <c r="BW236" s="823"/>
      <c r="BX236" s="823"/>
      <c r="BY236" s="823"/>
      <c r="BZ236" s="823"/>
      <c r="CA236" s="806"/>
      <c r="CB236" s="717"/>
      <c r="CC236" s="717"/>
      <c r="CD236" s="717"/>
      <c r="CE236" s="717"/>
      <c r="CF236" s="539"/>
      <c r="CG236" s="717"/>
      <c r="CH236" s="717"/>
      <c r="CI236" s="717"/>
      <c r="CJ236" s="717"/>
      <c r="CK236" s="539"/>
      <c r="CL236" s="717"/>
      <c r="CM236" s="717"/>
      <c r="CN236" s="717"/>
      <c r="CO236" s="717"/>
      <c r="CP236" s="539"/>
      <c r="CQ236" s="775"/>
      <c r="CR236" s="775"/>
      <c r="CS236" s="775"/>
      <c r="CT236" s="775"/>
      <c r="CU236" s="772"/>
      <c r="CV236" s="775"/>
      <c r="CW236" s="775"/>
      <c r="CX236" s="775"/>
      <c r="CY236" s="2490">
        <v>86.93368111746841</v>
      </c>
      <c r="CZ236" s="2491">
        <f>SUM(CV236:CY236)</f>
        <v>86.93368111746841</v>
      </c>
      <c r="DA236" s="2490">
        <v>122.4580564278627</v>
      </c>
      <c r="DB236" s="2490">
        <v>112.99286631768327</v>
      </c>
      <c r="DC236" s="2490">
        <v>121.03651640122729</v>
      </c>
      <c r="DD236" s="2490">
        <v>92.04554283497842</v>
      </c>
      <c r="DE236" s="2491">
        <v>448.53298198175162</v>
      </c>
      <c r="DF236" s="2490">
        <v>166.72620547128406</v>
      </c>
      <c r="DG236" s="2490">
        <v>152.45678763631435</v>
      </c>
      <c r="DH236" s="2490">
        <v>161.42341766572568</v>
      </c>
      <c r="DI236" s="2838">
        <v>130.91995230382707</v>
      </c>
      <c r="DJ236" s="2491">
        <v>611.52636307715125</v>
      </c>
      <c r="DK236" s="2490">
        <v>179.86236814875954</v>
      </c>
      <c r="DL236" s="2490">
        <v>160.47076687653382</v>
      </c>
      <c r="DM236" s="2490">
        <v>170.50219952775149</v>
      </c>
      <c r="DN236" s="2490">
        <v>138.32944045577176</v>
      </c>
      <c r="DO236" s="2491">
        <v>649.1647750088166</v>
      </c>
      <c r="DP236" s="2490">
        <v>0</v>
      </c>
      <c r="DQ236" s="2490">
        <v>0</v>
      </c>
      <c r="DR236" s="2490">
        <v>0</v>
      </c>
      <c r="DS236" s="2490">
        <v>0</v>
      </c>
      <c r="DT236" s="2491">
        <v>0</v>
      </c>
      <c r="DU236" s="2490">
        <v>0</v>
      </c>
      <c r="DV236" s="2490">
        <v>0</v>
      </c>
      <c r="DW236" s="2490">
        <v>0</v>
      </c>
      <c r="DX236" s="2490">
        <v>0</v>
      </c>
      <c r="DY236" s="2491">
        <v>0</v>
      </c>
    </row>
    <row r="237" spans="2:129" x14ac:dyDescent="0.2">
      <c r="B237" s="802" t="s">
        <v>1145</v>
      </c>
      <c r="C237" s="538"/>
      <c r="D237" s="538"/>
      <c r="E237" s="538"/>
      <c r="F237" s="538"/>
      <c r="G237" s="538"/>
      <c r="H237" s="538"/>
      <c r="I237" s="539"/>
      <c r="J237" s="538"/>
      <c r="K237" s="538"/>
      <c r="L237" s="538"/>
      <c r="M237" s="538"/>
      <c r="N237" s="539"/>
      <c r="O237" s="538"/>
      <c r="P237" s="538"/>
      <c r="Q237" s="538"/>
      <c r="R237" s="538"/>
      <c r="S237" s="539"/>
      <c r="T237" s="538"/>
      <c r="U237" s="538"/>
      <c r="V237" s="538"/>
      <c r="W237" s="538"/>
      <c r="X237" s="539"/>
      <c r="Y237" s="538"/>
      <c r="Z237" s="538"/>
      <c r="AA237" s="538"/>
      <c r="AB237" s="538"/>
      <c r="AC237" s="539"/>
      <c r="AD237" s="538"/>
      <c r="AE237" s="538"/>
      <c r="AF237" s="538"/>
      <c r="AG237" s="538"/>
      <c r="AH237" s="539"/>
      <c r="AI237" s="538"/>
      <c r="AJ237" s="538"/>
      <c r="AK237" s="538"/>
      <c r="AL237" s="538"/>
      <c r="AM237" s="539"/>
      <c r="AN237" s="538"/>
      <c r="AO237" s="538"/>
      <c r="AP237" s="538"/>
      <c r="AQ237" s="538"/>
      <c r="AR237" s="539"/>
      <c r="AS237" s="538"/>
      <c r="AT237" s="538"/>
      <c r="AU237" s="538"/>
      <c r="AV237" s="538"/>
      <c r="AW237" s="539"/>
      <c r="AX237" s="538"/>
      <c r="AY237" s="538"/>
      <c r="AZ237" s="538"/>
      <c r="BA237" s="538"/>
      <c r="BB237" s="539"/>
      <c r="BC237" s="538"/>
      <c r="BD237" s="538"/>
      <c r="BE237" s="538"/>
      <c r="BF237" s="538"/>
      <c r="BG237" s="539"/>
      <c r="BH237" s="538"/>
      <c r="BI237" s="538"/>
      <c r="BJ237" s="823"/>
      <c r="BK237" s="823"/>
      <c r="BL237" s="539"/>
      <c r="BM237" s="823"/>
      <c r="BN237" s="823"/>
      <c r="BO237" s="823"/>
      <c r="BP237" s="823"/>
      <c r="BQ237" s="806"/>
      <c r="BR237" s="823"/>
      <c r="BS237" s="823"/>
      <c r="BT237" s="823"/>
      <c r="BU237" s="823"/>
      <c r="BV237" s="806"/>
      <c r="BW237" s="823"/>
      <c r="BX237" s="823"/>
      <c r="BY237" s="823"/>
      <c r="BZ237" s="823"/>
      <c r="CA237" s="806"/>
      <c r="CB237" s="717"/>
      <c r="CC237" s="717"/>
      <c r="CD237" s="717"/>
      <c r="CE237" s="717"/>
      <c r="CF237" s="539"/>
      <c r="CG237" s="717"/>
      <c r="CH237" s="717"/>
      <c r="CI237" s="717"/>
      <c r="CJ237" s="717"/>
      <c r="CK237" s="539"/>
      <c r="CL237" s="717"/>
      <c r="CM237" s="717"/>
      <c r="CN237" s="717"/>
      <c r="CO237" s="717"/>
      <c r="CP237" s="539"/>
      <c r="CQ237" s="717"/>
      <c r="CR237" s="717"/>
      <c r="CS237" s="717"/>
      <c r="CT237" s="717"/>
      <c r="CU237" s="539"/>
      <c r="CV237" s="717"/>
      <c r="CW237" s="717"/>
      <c r="CX237" s="717"/>
      <c r="CY237" s="2492">
        <v>-0.38717038016337424</v>
      </c>
      <c r="CZ237" s="2493"/>
      <c r="DA237" s="2492">
        <v>0.15688158901202542</v>
      </c>
      <c r="DB237" s="2492">
        <v>5.1086085785198687E-2</v>
      </c>
      <c r="DC237" s="2492">
        <v>5.515889622287351E-2</v>
      </c>
      <c r="DD237" s="2492">
        <v>5.8801855066998199E-2</v>
      </c>
      <c r="DE237" s="2493">
        <v>0</v>
      </c>
      <c r="DF237" s="2492">
        <v>0.36149642036413288</v>
      </c>
      <c r="DG237" s="2492">
        <v>0.34926029053619123</v>
      </c>
      <c r="DH237" s="2492">
        <v>0.33367534414670974</v>
      </c>
      <c r="DI237" s="2494">
        <v>0.42233885826002115</v>
      </c>
      <c r="DJ237" s="2493">
        <v>0</v>
      </c>
      <c r="DK237" s="2492">
        <v>7.8788830108281749E-2</v>
      </c>
      <c r="DL237" s="2492">
        <v>5.2565578512232758E-2</v>
      </c>
      <c r="DM237" s="2492">
        <v>5.6242037204453643E-2</v>
      </c>
      <c r="DN237" s="2492">
        <v>5.6595561039843867E-2</v>
      </c>
      <c r="DO237" s="2493">
        <v>0</v>
      </c>
      <c r="DP237" s="2492">
        <v>0</v>
      </c>
      <c r="DQ237" s="2492">
        <v>0</v>
      </c>
      <c r="DR237" s="2492">
        <v>0</v>
      </c>
      <c r="DS237" s="2492">
        <v>0</v>
      </c>
      <c r="DT237" s="2493">
        <v>0</v>
      </c>
      <c r="DU237" s="2492">
        <v>0</v>
      </c>
      <c r="DV237" s="2492">
        <v>0</v>
      </c>
      <c r="DW237" s="2492">
        <v>0</v>
      </c>
      <c r="DX237" s="2492">
        <v>0</v>
      </c>
      <c r="DY237" s="2493">
        <v>0</v>
      </c>
    </row>
    <row r="238" spans="2:129" x14ac:dyDescent="0.2">
      <c r="B238" s="802"/>
      <c r="C238" s="538"/>
      <c r="D238" s="538"/>
      <c r="E238" s="538"/>
      <c r="F238" s="538"/>
      <c r="G238" s="538"/>
      <c r="H238" s="538"/>
      <c r="I238" s="539"/>
      <c r="J238" s="538"/>
      <c r="K238" s="538"/>
      <c r="L238" s="538"/>
      <c r="M238" s="538"/>
      <c r="N238" s="539"/>
      <c r="O238" s="538"/>
      <c r="P238" s="538"/>
      <c r="Q238" s="538"/>
      <c r="R238" s="538"/>
      <c r="S238" s="539"/>
      <c r="T238" s="538"/>
      <c r="U238" s="538"/>
      <c r="V238" s="538"/>
      <c r="W238" s="538"/>
      <c r="X238" s="539"/>
      <c r="Y238" s="538"/>
      <c r="Z238" s="538"/>
      <c r="AA238" s="538"/>
      <c r="AB238" s="538"/>
      <c r="AC238" s="539"/>
      <c r="AD238" s="538"/>
      <c r="AE238" s="538"/>
      <c r="AF238" s="538"/>
      <c r="AG238" s="538"/>
      <c r="AH238" s="539"/>
      <c r="AI238" s="538"/>
      <c r="AJ238" s="538"/>
      <c r="AK238" s="538"/>
      <c r="AL238" s="538"/>
      <c r="AM238" s="539"/>
      <c r="AN238" s="538"/>
      <c r="AO238" s="538"/>
      <c r="AP238" s="538"/>
      <c r="AQ238" s="538"/>
      <c r="AR238" s="539"/>
      <c r="AS238" s="538"/>
      <c r="AT238" s="538"/>
      <c r="AU238" s="538"/>
      <c r="AV238" s="538"/>
      <c r="AW238" s="539"/>
      <c r="AX238" s="538"/>
      <c r="AY238" s="538"/>
      <c r="AZ238" s="538"/>
      <c r="BA238" s="538"/>
      <c r="BB238" s="539"/>
      <c r="BC238" s="538"/>
      <c r="BD238" s="538"/>
      <c r="BE238" s="538"/>
      <c r="BF238" s="538"/>
      <c r="BG238" s="539"/>
      <c r="BH238" s="538"/>
      <c r="BI238" s="538"/>
      <c r="BJ238" s="823"/>
      <c r="BK238" s="823"/>
      <c r="BL238" s="539"/>
      <c r="BM238" s="823"/>
      <c r="BN238" s="823"/>
      <c r="BO238" s="823"/>
      <c r="BP238" s="823"/>
      <c r="BQ238" s="806"/>
      <c r="BR238" s="823"/>
      <c r="BS238" s="823"/>
      <c r="BT238" s="823"/>
      <c r="BU238" s="823"/>
      <c r="BV238" s="806"/>
      <c r="BW238" s="823"/>
      <c r="BX238" s="823"/>
      <c r="BY238" s="823"/>
      <c r="BZ238" s="823"/>
      <c r="CA238" s="806"/>
      <c r="CB238" s="717"/>
      <c r="CC238" s="717"/>
      <c r="CD238" s="717"/>
      <c r="CE238" s="717"/>
      <c r="CF238" s="539"/>
      <c r="CG238" s="717"/>
      <c r="CH238" s="717"/>
      <c r="CI238" s="717"/>
      <c r="CJ238" s="717"/>
      <c r="CK238" s="539"/>
      <c r="CL238" s="717"/>
      <c r="CM238" s="717"/>
      <c r="CN238" s="717"/>
      <c r="CO238" s="717"/>
      <c r="CP238" s="539"/>
      <c r="CQ238" s="717"/>
      <c r="CR238" s="717"/>
      <c r="CS238" s="717"/>
      <c r="CT238" s="717"/>
      <c r="CU238" s="539"/>
      <c r="CV238" s="717"/>
      <c r="CW238" s="717"/>
      <c r="CX238" s="717"/>
      <c r="CY238" s="717"/>
      <c r="CZ238" s="539"/>
      <c r="DA238" s="717"/>
      <c r="DB238" s="717"/>
      <c r="DC238" s="717"/>
      <c r="DD238" s="717"/>
      <c r="DE238" s="539"/>
      <c r="DF238" s="717"/>
      <c r="DG238" s="717"/>
      <c r="DH238" s="717"/>
      <c r="DI238" s="2483"/>
      <c r="DJ238" s="539"/>
      <c r="DK238" s="717"/>
      <c r="DL238" s="717"/>
      <c r="DM238" s="717"/>
      <c r="DN238" s="717"/>
      <c r="DO238" s="539"/>
      <c r="DP238" s="717"/>
      <c r="DQ238" s="717"/>
      <c r="DR238" s="717"/>
      <c r="DS238" s="717"/>
      <c r="DT238" s="539"/>
      <c r="DU238" s="717"/>
      <c r="DV238" s="717"/>
      <c r="DW238" s="717"/>
      <c r="DX238" s="717"/>
      <c r="DY238" s="539"/>
    </row>
    <row r="239" spans="2:129" x14ac:dyDescent="0.2">
      <c r="B239" s="802" t="s">
        <v>1147</v>
      </c>
      <c r="C239" s="538"/>
      <c r="D239" s="538"/>
      <c r="E239" s="538"/>
      <c r="F239" s="538"/>
      <c r="G239" s="538"/>
      <c r="H239" s="538"/>
      <c r="I239" s="539"/>
      <c r="J239" s="538"/>
      <c r="K239" s="538"/>
      <c r="L239" s="538"/>
      <c r="M239" s="538"/>
      <c r="N239" s="539"/>
      <c r="O239" s="538"/>
      <c r="P239" s="538"/>
      <c r="Q239" s="538"/>
      <c r="R239" s="538"/>
      <c r="S239" s="539"/>
      <c r="T239" s="538"/>
      <c r="U239" s="538"/>
      <c r="V239" s="538"/>
      <c r="W239" s="538"/>
      <c r="X239" s="539"/>
      <c r="Y239" s="538"/>
      <c r="Z239" s="538"/>
      <c r="AA239" s="538"/>
      <c r="AB239" s="538"/>
      <c r="AC239" s="539"/>
      <c r="AD239" s="538"/>
      <c r="AE239" s="538"/>
      <c r="AF239" s="538"/>
      <c r="AG239" s="538"/>
      <c r="AH239" s="539"/>
      <c r="AI239" s="538"/>
      <c r="AJ239" s="538"/>
      <c r="AK239" s="538"/>
      <c r="AL239" s="538"/>
      <c r="AM239" s="539"/>
      <c r="AN239" s="538"/>
      <c r="AO239" s="538"/>
      <c r="AP239" s="538"/>
      <c r="AQ239" s="538"/>
      <c r="AR239" s="539"/>
      <c r="AS239" s="538"/>
      <c r="AT239" s="538"/>
      <c r="AU239" s="538"/>
      <c r="AV239" s="538"/>
      <c r="AW239" s="539"/>
      <c r="AX239" s="538"/>
      <c r="AY239" s="538"/>
      <c r="AZ239" s="538"/>
      <c r="BA239" s="538"/>
      <c r="BB239" s="539"/>
      <c r="BC239" s="538"/>
      <c r="BD239" s="538"/>
      <c r="BE239" s="538"/>
      <c r="BF239" s="538"/>
      <c r="BG239" s="539"/>
      <c r="BH239" s="538"/>
      <c r="BI239" s="538"/>
      <c r="BJ239" s="823"/>
      <c r="BK239" s="823"/>
      <c r="BL239" s="539"/>
      <c r="BM239" s="823"/>
      <c r="BN239" s="823"/>
      <c r="BO239" s="823"/>
      <c r="BP239" s="823"/>
      <c r="BQ239" s="806"/>
      <c r="BR239" s="823"/>
      <c r="BS239" s="823"/>
      <c r="BT239" s="823"/>
      <c r="BU239" s="823"/>
      <c r="BV239" s="806"/>
      <c r="BW239" s="823"/>
      <c r="BX239" s="823"/>
      <c r="BY239" s="823"/>
      <c r="BZ239" s="823"/>
      <c r="CA239" s="806"/>
      <c r="CB239" s="717"/>
      <c r="CC239" s="717"/>
      <c r="CD239" s="717"/>
      <c r="CE239" s="717"/>
      <c r="CF239" s="539"/>
      <c r="CG239" s="717"/>
      <c r="CH239" s="717"/>
      <c r="CI239" s="717"/>
      <c r="CJ239" s="717"/>
      <c r="CK239" s="539"/>
      <c r="CL239" s="717"/>
      <c r="CM239" s="717"/>
      <c r="CN239" s="717"/>
      <c r="CO239" s="717"/>
      <c r="CP239" s="539"/>
      <c r="CQ239" s="823"/>
      <c r="CR239" s="823"/>
      <c r="CS239" s="823"/>
      <c r="CT239" s="823"/>
      <c r="CU239" s="1709"/>
      <c r="CV239" s="823"/>
      <c r="CW239" s="823"/>
      <c r="CX239" s="823"/>
      <c r="CY239" s="2483">
        <v>0.23291666666666669</v>
      </c>
      <c r="CZ239" s="2485">
        <f>SUM(CV239:CY239)</f>
        <v>0.23291666666666669</v>
      </c>
      <c r="DA239" s="2483">
        <v>0.23291666666666669</v>
      </c>
      <c r="DB239" s="2483">
        <v>0.23291666666666663</v>
      </c>
      <c r="DC239" s="2483">
        <v>0.23291666666666666</v>
      </c>
      <c r="DD239" s="2483">
        <v>0.23291666666666669</v>
      </c>
      <c r="DE239" s="2485">
        <v>0.23291666666666663</v>
      </c>
      <c r="DF239" s="2483">
        <v>0.25344106175107217</v>
      </c>
      <c r="DG239" s="2483">
        <v>0.25317091300858247</v>
      </c>
      <c r="DH239" s="2483">
        <v>0.25317357383614419</v>
      </c>
      <c r="DI239" s="2483">
        <v>0.25281742293024739</v>
      </c>
      <c r="DJ239" s="2485">
        <v>0.25314854546680537</v>
      </c>
      <c r="DK239" s="2483">
        <v>0.25177051753699897</v>
      </c>
      <c r="DL239" s="2483">
        <v>0.25149711598964875</v>
      </c>
      <c r="DM239" s="2483">
        <v>0.25148963842885941</v>
      </c>
      <c r="DN239" s="2483">
        <v>0.25113586918397823</v>
      </c>
      <c r="DO239" s="2485">
        <v>0.25147082860271885</v>
      </c>
      <c r="DP239" s="2483">
        <v>0</v>
      </c>
      <c r="DQ239" s="2483">
        <v>0</v>
      </c>
      <c r="DR239" s="2483">
        <v>0</v>
      </c>
      <c r="DS239" s="2483">
        <v>0</v>
      </c>
      <c r="DT239" s="2485">
        <v>0</v>
      </c>
      <c r="DU239" s="2483">
        <v>0</v>
      </c>
      <c r="DV239" s="2483">
        <v>0</v>
      </c>
      <c r="DW239" s="2483">
        <v>0</v>
      </c>
      <c r="DX239" s="2483">
        <v>0</v>
      </c>
      <c r="DY239" s="2485">
        <v>0</v>
      </c>
    </row>
    <row r="240" spans="2:129" x14ac:dyDescent="0.2">
      <c r="B240" s="802" t="s">
        <v>1148</v>
      </c>
      <c r="C240" s="538"/>
      <c r="D240" s="538"/>
      <c r="E240" s="538"/>
      <c r="F240" s="538"/>
      <c r="G240" s="538"/>
      <c r="H240" s="538"/>
      <c r="I240" s="539"/>
      <c r="J240" s="538"/>
      <c r="K240" s="538"/>
      <c r="L240" s="538"/>
      <c r="M240" s="538"/>
      <c r="N240" s="539"/>
      <c r="O240" s="538"/>
      <c r="P240" s="538"/>
      <c r="Q240" s="538"/>
      <c r="R240" s="538"/>
      <c r="S240" s="539"/>
      <c r="T240" s="538"/>
      <c r="U240" s="538"/>
      <c r="V240" s="538"/>
      <c r="W240" s="538"/>
      <c r="X240" s="539"/>
      <c r="Y240" s="538"/>
      <c r="Z240" s="538"/>
      <c r="AA240" s="538"/>
      <c r="AB240" s="538"/>
      <c r="AC240" s="539"/>
      <c r="AD240" s="538"/>
      <c r="AE240" s="538"/>
      <c r="AF240" s="538"/>
      <c r="AG240" s="538"/>
      <c r="AH240" s="539"/>
      <c r="AI240" s="538"/>
      <c r="AJ240" s="538"/>
      <c r="AK240" s="538"/>
      <c r="AL240" s="538"/>
      <c r="AM240" s="539"/>
      <c r="AN240" s="538"/>
      <c r="AO240" s="538"/>
      <c r="AP240" s="538"/>
      <c r="AQ240" s="538"/>
      <c r="AR240" s="539"/>
      <c r="AS240" s="538"/>
      <c r="AT240" s="538"/>
      <c r="AU240" s="538"/>
      <c r="AV240" s="538"/>
      <c r="AW240" s="539"/>
      <c r="AX240" s="538"/>
      <c r="AY240" s="538"/>
      <c r="AZ240" s="538"/>
      <c r="BA240" s="538"/>
      <c r="BB240" s="539"/>
      <c r="BC240" s="538"/>
      <c r="BD240" s="538"/>
      <c r="BE240" s="538"/>
      <c r="BF240" s="538"/>
      <c r="BG240" s="539"/>
      <c r="BH240" s="538"/>
      <c r="BI240" s="538"/>
      <c r="BJ240" s="823"/>
      <c r="BK240" s="823"/>
      <c r="BL240" s="539"/>
      <c r="BM240" s="823"/>
      <c r="BN240" s="823"/>
      <c r="BO240" s="823"/>
      <c r="BP240" s="823"/>
      <c r="BQ240" s="806"/>
      <c r="BR240" s="823"/>
      <c r="BS240" s="823"/>
      <c r="BT240" s="823"/>
      <c r="BU240" s="823"/>
      <c r="BV240" s="806"/>
      <c r="BW240" s="823"/>
      <c r="BX240" s="823"/>
      <c r="BY240" s="823"/>
      <c r="BZ240" s="823"/>
      <c r="CA240" s="806"/>
      <c r="CB240" s="717"/>
      <c r="CC240" s="717"/>
      <c r="CD240" s="717"/>
      <c r="CE240" s="717"/>
      <c r="CF240" s="539"/>
      <c r="CG240" s="717"/>
      <c r="CH240" s="717"/>
      <c r="CI240" s="717"/>
      <c r="CJ240" s="717"/>
      <c r="CK240" s="539"/>
      <c r="CL240" s="717"/>
      <c r="CM240" s="717"/>
      <c r="CN240" s="717"/>
      <c r="CO240" s="717"/>
      <c r="CP240" s="539"/>
      <c r="CQ240" s="823"/>
      <c r="CR240" s="823"/>
      <c r="CS240" s="823"/>
      <c r="CT240" s="823"/>
      <c r="CU240" s="539"/>
      <c r="CV240" s="823"/>
      <c r="CW240" s="823"/>
      <c r="CX240" s="823"/>
      <c r="CY240" s="2494">
        <v>8.5388230147326633E-2</v>
      </c>
      <c r="CZ240" s="2495"/>
      <c r="DA240" s="2494">
        <v>0.11496645641105824</v>
      </c>
      <c r="DB240" s="2494">
        <v>0.10492982648155516</v>
      </c>
      <c r="DC240" s="2494">
        <v>0.11246473023410175</v>
      </c>
      <c r="DD240" s="2494">
        <v>8.426554304905147E-2</v>
      </c>
      <c r="DE240" s="2495">
        <v>0.10405469173400997</v>
      </c>
      <c r="DF240" s="2494">
        <v>0.14550748553349446</v>
      </c>
      <c r="DG240" s="2494">
        <v>0.13147001435237418</v>
      </c>
      <c r="DH240" s="2494">
        <v>0.13921884326577463</v>
      </c>
      <c r="DI240" s="2494">
        <v>0.11111792144216774</v>
      </c>
      <c r="DJ240" s="2495">
        <v>0.13170481776474705</v>
      </c>
      <c r="DK240" s="2494">
        <v>0.14541538707373677</v>
      </c>
      <c r="DL240" s="2494">
        <v>0.12805021589751278</v>
      </c>
      <c r="DM240" s="2494">
        <v>0.13600592190503105</v>
      </c>
      <c r="DN240" s="2494">
        <v>0.10846022605477977</v>
      </c>
      <c r="DO240" s="2495">
        <v>0.12933876959500198</v>
      </c>
      <c r="DP240" s="2494">
        <v>0</v>
      </c>
      <c r="DQ240" s="2494">
        <v>0</v>
      </c>
      <c r="DR240" s="2494">
        <v>0</v>
      </c>
      <c r="DS240" s="2494">
        <v>0</v>
      </c>
      <c r="DT240" s="2495">
        <v>0</v>
      </c>
      <c r="DU240" s="2494">
        <v>0</v>
      </c>
      <c r="DV240" s="2494">
        <v>0</v>
      </c>
      <c r="DW240" s="2494">
        <v>0</v>
      </c>
      <c r="DX240" s="2494">
        <v>0</v>
      </c>
      <c r="DY240" s="2495">
        <v>0</v>
      </c>
    </row>
    <row r="241" spans="1:129" ht="12" thickBot="1" x14ac:dyDescent="0.25">
      <c r="B241" s="757"/>
      <c r="C241" s="758"/>
      <c r="D241" s="758"/>
      <c r="E241" s="758"/>
      <c r="F241" s="758"/>
      <c r="G241" s="758"/>
      <c r="H241" s="758"/>
      <c r="I241" s="759"/>
      <c r="J241" s="758"/>
      <c r="K241" s="758"/>
      <c r="L241" s="758"/>
      <c r="M241" s="758"/>
      <c r="N241" s="759"/>
      <c r="O241" s="758"/>
      <c r="P241" s="758"/>
      <c r="Q241" s="758"/>
      <c r="R241" s="758"/>
      <c r="S241" s="759"/>
      <c r="T241" s="758"/>
      <c r="U241" s="758"/>
      <c r="V241" s="758"/>
      <c r="W241" s="758"/>
      <c r="X241" s="759"/>
      <c r="Y241" s="758"/>
      <c r="Z241" s="758"/>
      <c r="AA241" s="758"/>
      <c r="AB241" s="758"/>
      <c r="AC241" s="759"/>
      <c r="AD241" s="758"/>
      <c r="AE241" s="758"/>
      <c r="AF241" s="758"/>
      <c r="AG241" s="758"/>
      <c r="AH241" s="759"/>
      <c r="AI241" s="758"/>
      <c r="AJ241" s="758"/>
      <c r="AK241" s="758"/>
      <c r="AL241" s="758"/>
      <c r="AM241" s="759"/>
      <c r="AN241" s="758"/>
      <c r="AO241" s="758"/>
      <c r="AP241" s="758"/>
      <c r="AQ241" s="758"/>
      <c r="AR241" s="759"/>
      <c r="AS241" s="758"/>
      <c r="AT241" s="758"/>
      <c r="AU241" s="758"/>
      <c r="AV241" s="758"/>
      <c r="AW241" s="759"/>
      <c r="AX241" s="758"/>
      <c r="AY241" s="758"/>
      <c r="AZ241" s="758"/>
      <c r="BA241" s="758"/>
      <c r="BB241" s="759"/>
      <c r="BC241" s="758"/>
      <c r="BD241" s="758"/>
      <c r="BE241" s="758"/>
      <c r="BF241" s="758"/>
      <c r="BG241" s="759"/>
      <c r="BH241" s="758"/>
      <c r="BI241" s="758"/>
      <c r="BJ241" s="758"/>
      <c r="BK241" s="758"/>
      <c r="BL241" s="763"/>
      <c r="BM241" s="758"/>
      <c r="BN241" s="758"/>
      <c r="BO241" s="758"/>
      <c r="BP241" s="758"/>
      <c r="BQ241" s="763"/>
      <c r="BR241" s="758"/>
      <c r="BS241" s="758"/>
      <c r="BT241" s="758"/>
      <c r="BU241" s="758"/>
      <c r="BV241" s="763"/>
      <c r="BW241" s="760"/>
      <c r="BX241" s="760"/>
      <c r="BY241" s="760"/>
      <c r="BZ241" s="760"/>
      <c r="CA241" s="763"/>
      <c r="CB241" s="760"/>
      <c r="CC241" s="760"/>
      <c r="CD241" s="760"/>
      <c r="CE241" s="760"/>
      <c r="CF241" s="763"/>
      <c r="CG241" s="907"/>
      <c r="CH241" s="907"/>
      <c r="CI241" s="907"/>
      <c r="CJ241" s="907"/>
      <c r="CK241" s="763"/>
      <c r="CL241" s="907"/>
      <c r="CM241" s="907"/>
      <c r="CN241" s="907"/>
      <c r="CO241" s="907"/>
      <c r="CP241" s="763"/>
      <c r="CQ241" s="907"/>
      <c r="CR241" s="907"/>
      <c r="CS241" s="907"/>
      <c r="CT241" s="907"/>
      <c r="CU241" s="763"/>
      <c r="CV241" s="907"/>
      <c r="CW241" s="907"/>
      <c r="CX241" s="907"/>
      <c r="CY241" s="907"/>
      <c r="CZ241" s="763"/>
      <c r="DA241" s="907"/>
      <c r="DB241" s="907"/>
      <c r="DC241" s="907"/>
      <c r="DD241" s="907"/>
      <c r="DE241" s="763"/>
      <c r="DF241" s="907"/>
      <c r="DG241" s="907"/>
      <c r="DH241" s="907"/>
      <c r="DI241" s="2828"/>
      <c r="DJ241" s="763"/>
      <c r="DK241" s="907"/>
      <c r="DL241" s="907"/>
      <c r="DM241" s="907"/>
      <c r="DN241" s="907"/>
      <c r="DO241" s="763"/>
      <c r="DP241" s="907"/>
      <c r="DQ241" s="907"/>
      <c r="DR241" s="907"/>
      <c r="DS241" s="907"/>
      <c r="DT241" s="763"/>
      <c r="DU241" s="907"/>
      <c r="DV241" s="907"/>
      <c r="DW241" s="907"/>
      <c r="DX241" s="907"/>
      <c r="DY241" s="763"/>
    </row>
    <row r="242" spans="1:129" x14ac:dyDescent="0.2">
      <c r="DI242" s="2795"/>
    </row>
    <row r="243" spans="1:129" x14ac:dyDescent="0.2">
      <c r="DI243" s="2795"/>
    </row>
    <row r="244" spans="1:129" x14ac:dyDescent="0.2">
      <c r="DI244" s="2795"/>
    </row>
    <row r="245" spans="1:129" x14ac:dyDescent="0.2">
      <c r="A245" s="463"/>
      <c r="DI245" s="2795"/>
    </row>
    <row r="246" spans="1:129" x14ac:dyDescent="0.2">
      <c r="A246" s="463"/>
      <c r="DI246" s="2795"/>
    </row>
    <row r="247" spans="1:129" outlineLevel="1" x14ac:dyDescent="0.2">
      <c r="DK247"/>
      <c r="DL247"/>
      <c r="DM247"/>
      <c r="DN247"/>
      <c r="DO247"/>
      <c r="DP247"/>
      <c r="DQ247"/>
      <c r="DR247"/>
      <c r="DS247"/>
      <c r="DT247"/>
      <c r="DU247"/>
      <c r="DV247"/>
      <c r="DW247"/>
      <c r="DX247"/>
      <c r="DY247"/>
    </row>
  </sheetData>
  <phoneticPr fontId="5" type="noConversion"/>
  <pageMargins left="0.2" right="0.3" top="0.3" bottom="0.31" header="0.05" footer="0.06"/>
  <pageSetup paperSize="5" scale="94" fitToHeight="4" orientation="landscape" r:id="rId1"/>
  <headerFooter alignWithMargins="0">
    <oddFooter>&amp;R&amp;D</oddFooter>
  </headerFooter>
  <rowBreaks count="2" manualBreakCount="2">
    <brk id="42" min="1" max="113" man="1"/>
    <brk id="122" min="1" max="113" man="1"/>
  </rowBreaks>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D662"/>
  <sheetViews>
    <sheetView showGridLines="0" zoomScaleSheetLayoutView="100" workbookViewId="0">
      <pane xSplit="3" ySplit="6" topLeftCell="DE63" activePane="bottomRight" state="frozen"/>
      <selection pane="topRight" activeCell="D1" sqref="D1"/>
      <selection pane="bottomLeft" activeCell="A11" sqref="A11"/>
      <selection pane="bottomRight" activeCell="DK102" sqref="DK102"/>
    </sheetView>
  </sheetViews>
  <sheetFormatPr defaultColWidth="10.85546875" defaultRowHeight="11.25" outlineLevelRow="1" outlineLevelCol="2" x14ac:dyDescent="0.2"/>
  <cols>
    <col min="1" max="1" width="3.28515625" customWidth="1"/>
    <col min="2" max="2" width="40.85546875" customWidth="1"/>
    <col min="3" max="3" width="2.28515625" customWidth="1"/>
    <col min="4" max="4" width="2.140625" hidden="1" customWidth="1"/>
    <col min="5" max="8" width="10.85546875" hidden="1" customWidth="1" outlineLevel="1"/>
    <col min="9" max="9" width="10.85546875" hidden="1" customWidth="1" outlineLevel="1" collapsed="1"/>
    <col min="10" max="13" width="10.85546875" hidden="1" customWidth="1" outlineLevel="2"/>
    <col min="14" max="14" width="10.85546875" hidden="1" customWidth="1" outlineLevel="1"/>
    <col min="15" max="18" width="10.85546875" hidden="1" customWidth="1" outlineLevel="2"/>
    <col min="19" max="19" width="10.85546875" hidden="1" customWidth="1" outlineLevel="1"/>
    <col min="20" max="23" width="10.85546875" hidden="1" customWidth="1" outlineLevel="2"/>
    <col min="24" max="24" width="10.85546875" hidden="1" customWidth="1" outlineLevel="1"/>
    <col min="25" max="28" width="10.85546875" hidden="1" customWidth="1" outlineLevel="2"/>
    <col min="29" max="29" width="10.85546875" hidden="1" customWidth="1" outlineLevel="1"/>
    <col min="30" max="33" width="10.85546875" hidden="1" customWidth="1" outlineLevel="2"/>
    <col min="34" max="34" width="10.85546875" hidden="1" customWidth="1" outlineLevel="1"/>
    <col min="35" max="38" width="10.85546875" hidden="1" customWidth="1" outlineLevel="2"/>
    <col min="39" max="39" width="10.85546875" hidden="1" customWidth="1" outlineLevel="1"/>
    <col min="40" max="43" width="10.85546875" hidden="1" customWidth="1" outlineLevel="2"/>
    <col min="44" max="44" width="10.85546875" hidden="1" customWidth="1" outlineLevel="1"/>
    <col min="45" max="48" width="10.85546875" hidden="1" customWidth="1" outlineLevel="2"/>
    <col min="49" max="49" width="10.85546875" hidden="1" customWidth="1" outlineLevel="1"/>
    <col min="50" max="53" width="10.85546875" hidden="1" customWidth="1" outlineLevel="2"/>
    <col min="54" max="54" width="10.85546875" hidden="1" customWidth="1" outlineLevel="1"/>
    <col min="55" max="58" width="10.85546875" hidden="1" customWidth="1" outlineLevel="2"/>
    <col min="59" max="59" width="10.85546875" hidden="1" customWidth="1" outlineLevel="1"/>
    <col min="60" max="63" width="10.85546875" hidden="1" customWidth="1" outlineLevel="2"/>
    <col min="64" max="64" width="10.85546875" hidden="1" customWidth="1" outlineLevel="1"/>
    <col min="65" max="68" width="10.85546875" hidden="1" customWidth="1" outlineLevel="2"/>
    <col min="69" max="69" width="10.85546875" hidden="1" customWidth="1" outlineLevel="1" collapsed="1"/>
    <col min="70" max="73" width="10.85546875" hidden="1" customWidth="1" outlineLevel="1"/>
    <col min="74" max="74" width="10.85546875" hidden="1" customWidth="1" collapsed="1"/>
    <col min="75" max="78" width="10.85546875" hidden="1" customWidth="1" outlineLevel="1"/>
    <col min="79" max="79" width="10.85546875" hidden="1" customWidth="1" collapsed="1"/>
    <col min="80" max="83" width="10.85546875" hidden="1" customWidth="1" outlineLevel="1"/>
    <col min="84" max="84" width="10.85546875" hidden="1" customWidth="1" collapsed="1"/>
    <col min="85" max="88" width="10.85546875" hidden="1" customWidth="1" outlineLevel="1"/>
    <col min="89" max="89" width="10.85546875" hidden="1" customWidth="1" collapsed="1"/>
    <col min="90" max="93" width="10.85546875" hidden="1" customWidth="1" outlineLevel="1"/>
    <col min="94" max="94" width="10.85546875" hidden="1" customWidth="1" collapsed="1"/>
    <col min="95" max="98" width="10.85546875" hidden="1" customWidth="1" outlineLevel="1"/>
    <col min="99" max="99" width="10.85546875" hidden="1" customWidth="1" collapsed="1"/>
    <col min="100" max="103" width="10.85546875" hidden="1" customWidth="1" outlineLevel="1"/>
    <col min="104" max="104" width="10.85546875" hidden="1" customWidth="1" collapsed="1"/>
    <col min="105" max="108" width="10.85546875" customWidth="1" outlineLevel="1"/>
    <col min="110" max="113" width="10.85546875" customWidth="1" outlineLevel="1"/>
    <col min="115" max="118" width="10.85546875" style="2559" customWidth="1" outlineLevel="1"/>
    <col min="119" max="119" width="10.85546875" style="2559"/>
    <col min="120" max="123" width="10.85546875" style="2649" customWidth="1" outlineLevel="1"/>
    <col min="124" max="124" width="10.85546875" style="2649"/>
    <col min="125" max="128" width="10.85546875" style="2771" customWidth="1" outlineLevel="1"/>
    <col min="129" max="129" width="10.85546875" style="2771"/>
  </cols>
  <sheetData>
    <row r="1" spans="1:129" ht="12" outlineLevel="1" thickBot="1" x14ac:dyDescent="0.25">
      <c r="A1" s="526"/>
      <c r="B1" s="526"/>
      <c r="C1" s="526"/>
      <c r="D1" s="526"/>
      <c r="E1" s="526"/>
      <c r="F1" s="526"/>
      <c r="G1" s="526"/>
      <c r="H1" s="526"/>
      <c r="I1" s="526"/>
      <c r="J1" s="526"/>
      <c r="K1" s="526"/>
      <c r="L1" s="526"/>
      <c r="M1" s="526"/>
      <c r="N1" s="526"/>
      <c r="O1" s="526"/>
      <c r="P1" s="526"/>
      <c r="Q1" s="526"/>
      <c r="R1" s="526"/>
      <c r="S1" s="526"/>
      <c r="T1" s="526"/>
      <c r="U1" s="526"/>
      <c r="V1" s="526"/>
      <c r="W1" s="526"/>
      <c r="X1" s="526"/>
      <c r="Y1" s="526"/>
      <c r="Z1" s="526"/>
      <c r="AA1" s="526"/>
      <c r="AB1" s="526"/>
      <c r="AC1" s="526"/>
      <c r="AD1" s="526"/>
      <c r="AE1" s="526"/>
      <c r="AF1" s="526"/>
      <c r="AG1" s="526"/>
      <c r="AH1" s="526"/>
      <c r="AI1" s="526"/>
      <c r="AJ1" s="526"/>
      <c r="AK1" s="526"/>
      <c r="AL1" s="526"/>
      <c r="AM1" s="526"/>
      <c r="AN1" s="526"/>
      <c r="AO1" s="526"/>
      <c r="AP1" s="526"/>
      <c r="AQ1" s="526"/>
      <c r="AR1" s="526"/>
      <c r="AS1" s="526"/>
      <c r="AT1" s="526"/>
      <c r="AU1" s="526"/>
      <c r="AV1" s="526"/>
      <c r="AW1" s="526"/>
      <c r="AX1" s="526"/>
      <c r="AY1" s="526"/>
      <c r="AZ1" s="526"/>
      <c r="BA1" s="526"/>
      <c r="BB1" s="526"/>
      <c r="BC1" s="526"/>
      <c r="BD1" s="526"/>
      <c r="BE1" s="526"/>
      <c r="BF1" s="526"/>
      <c r="BG1" s="526"/>
      <c r="BH1" s="526"/>
      <c r="BI1" s="526"/>
      <c r="BJ1" s="526"/>
      <c r="BK1" s="526"/>
      <c r="BL1" s="527"/>
      <c r="BM1" s="526"/>
      <c r="BN1" s="526"/>
      <c r="BO1" s="526"/>
      <c r="BP1" s="526"/>
      <c r="BQ1" s="527"/>
      <c r="BR1" s="528">
        <f>IS!BR39</f>
        <v>0.55021606063577999</v>
      </c>
      <c r="BS1" s="528">
        <f>IS!BS39</f>
        <v>0.64812778766525536</v>
      </c>
      <c r="BT1" s="528">
        <f>IS!BT39</f>
        <v>0.64524552002788882</v>
      </c>
      <c r="BU1" s="528">
        <f>IS!BU39</f>
        <v>0.78443093266307806</v>
      </c>
      <c r="BV1" s="529">
        <f>IS!BV39</f>
        <v>2.6198718948576971</v>
      </c>
      <c r="BW1" s="528">
        <f>IS!BW39</f>
        <v>0.6026185636170035</v>
      </c>
      <c r="BX1" s="528">
        <f>IS!BX39</f>
        <v>0.64703158304519548</v>
      </c>
      <c r="BY1" s="528">
        <f>IS!BY39</f>
        <v>0.64668561716094253</v>
      </c>
      <c r="BZ1" s="528">
        <f>IS!BZ39</f>
        <v>0.79724049088073767</v>
      </c>
      <c r="CA1" s="529">
        <f>IS!CA39</f>
        <v>2.6932650056875942</v>
      </c>
      <c r="CB1" s="528">
        <f>IS!CB39</f>
        <v>0.56689453276295543</v>
      </c>
      <c r="CC1" s="528">
        <f>IS!CC39</f>
        <v>0.6490597042974332</v>
      </c>
      <c r="CD1" s="528">
        <f>IS!CD39</f>
        <v>0.70044232998757094</v>
      </c>
      <c r="CE1" s="528">
        <f>IS!CE39</f>
        <v>0.89217492364951256</v>
      </c>
      <c r="CF1" s="529">
        <f>IS!CF39</f>
        <v>2.8002475696472944</v>
      </c>
      <c r="CG1" s="528">
        <f>IS!CG39</f>
        <v>0.64781315613724044</v>
      </c>
      <c r="CH1" s="528">
        <f>IS!CH39</f>
        <v>0.80977072210473211</v>
      </c>
      <c r="CI1" s="528">
        <f>IS!CI39</f>
        <v>0.85093021430253546</v>
      </c>
      <c r="CJ1" s="528">
        <f>IS!CJ39</f>
        <v>1.1366469175340272</v>
      </c>
      <c r="CK1" s="529">
        <f>IS!CK39</f>
        <v>3.4334131350251869</v>
      </c>
      <c r="CL1" s="528">
        <f>IS!CL39</f>
        <v>0.83078162771958097</v>
      </c>
      <c r="CM1" s="528">
        <f>IS!CM39</f>
        <v>0.96835545483975405</v>
      </c>
      <c r="CN1" s="528">
        <f>IS!CN39</f>
        <v>1.0548939641109298</v>
      </c>
      <c r="CO1" s="528">
        <f>IS!CO39</f>
        <v>1.1157368859283929</v>
      </c>
      <c r="CP1" s="529">
        <f>IS!CP39</f>
        <v>3.9650868749490167</v>
      </c>
      <c r="CQ1" s="528">
        <f>IS!CQ39</f>
        <v>1.0152966885190788</v>
      </c>
      <c r="CR1" s="528">
        <f>IS!CR39</f>
        <v>1.1303236797274276</v>
      </c>
      <c r="CS1" s="528">
        <f>IS!CS39</f>
        <v>1.1474397461188779</v>
      </c>
      <c r="CT1" s="528">
        <f>IS!CT39</f>
        <v>1.2096213963181661</v>
      </c>
      <c r="CU1" s="529">
        <f>IS!CU39</f>
        <v>4.4994339179287808</v>
      </c>
      <c r="CV1" s="528">
        <f>IS!CV39</f>
        <v>1.1388473383194015</v>
      </c>
      <c r="CW1" s="528">
        <f>IS!CW39</f>
        <v>1.2178809292465331</v>
      </c>
      <c r="CX1" s="528">
        <f>IS!CX39</f>
        <v>1.284180196672404</v>
      </c>
      <c r="CY1" s="528">
        <f>IS!CY39</f>
        <v>1.5302145999820418</v>
      </c>
      <c r="CZ1" s="529">
        <f>IS!CZ39</f>
        <v>5.1711230642203807</v>
      </c>
      <c r="DA1" s="528">
        <f>IS!DA39</f>
        <v>1.1842009464870769</v>
      </c>
      <c r="DB1" s="528">
        <f>IS!DB39</f>
        <v>1.319509019899572</v>
      </c>
      <c r="DC1" s="528">
        <f>IS!DC39</f>
        <v>1.6343464478836474</v>
      </c>
      <c r="DD1" s="528">
        <f>IS!DD39</f>
        <v>1.7100215214746888</v>
      </c>
      <c r="DE1" s="529">
        <f>IS!DE39</f>
        <v>5.8480779357449846</v>
      </c>
      <c r="DF1" s="528">
        <f>IS!DF39</f>
        <v>1.1674881608195611</v>
      </c>
      <c r="DG1" s="528">
        <f>IS!DG39</f>
        <v>1.3300449306505178</v>
      </c>
      <c r="DH1" s="528">
        <f>IS!DH39</f>
        <v>1.4977543239392239</v>
      </c>
      <c r="DI1" s="528">
        <f>IS!DI39</f>
        <v>1.9205729894147003</v>
      </c>
      <c r="DJ1" s="529">
        <f>IS!DJ39</f>
        <v>5.9158604048240031</v>
      </c>
      <c r="DK1" s="528">
        <f ca="1">IS!DK39</f>
        <v>1.4073745520773424</v>
      </c>
      <c r="DL1" s="528">
        <f ca="1">IS!DL39</f>
        <v>1.4150198957330835</v>
      </c>
      <c r="DM1" s="528">
        <f ca="1">IS!DM39</f>
        <v>1.5607488799006144</v>
      </c>
      <c r="DN1" s="528">
        <f ca="1">IS!DN39</f>
        <v>1.8974900348024621</v>
      </c>
      <c r="DO1" s="529">
        <f ca="1">IS!DO39</f>
        <v>6.2806333625135036</v>
      </c>
      <c r="DP1" s="528">
        <f ca="1">IS!DP39</f>
        <v>1.3113081987370612</v>
      </c>
      <c r="DQ1" s="528">
        <f ca="1">IS!DQ39</f>
        <v>1.5021960513281856</v>
      </c>
      <c r="DR1" s="528">
        <f ca="1">IS!DR39</f>
        <v>1.6249895238941481</v>
      </c>
      <c r="DS1" s="528">
        <f ca="1">IS!DS39</f>
        <v>1.9772125562546987</v>
      </c>
      <c r="DT1" s="529">
        <f ca="1">IS!DT39</f>
        <v>6.4157063302140935</v>
      </c>
      <c r="DU1" s="528">
        <f ca="1">IS!DU39</f>
        <v>1.3908319908745324</v>
      </c>
      <c r="DV1" s="528">
        <f ca="1">IS!DV39</f>
        <v>1.5946081479959977</v>
      </c>
      <c r="DW1" s="528">
        <f ca="1">IS!DW39</f>
        <v>1.7271494529126037</v>
      </c>
      <c r="DX1" s="528">
        <f ca="1">IS!DX39</f>
        <v>2.0826733753797417</v>
      </c>
      <c r="DY1" s="529">
        <f ca="1">IS!DY39</f>
        <v>6.7952629671628753</v>
      </c>
    </row>
    <row r="2" spans="1:129" ht="18.75" x14ac:dyDescent="0.3">
      <c r="A2" s="526"/>
      <c r="B2" s="290" t="str">
        <f>IS!B2</f>
        <v>CVS/Caremark</v>
      </c>
      <c r="C2" s="291"/>
      <c r="D2" s="291"/>
      <c r="E2" s="291"/>
      <c r="F2" s="291"/>
      <c r="G2" s="291"/>
      <c r="H2" s="291"/>
      <c r="I2" s="291"/>
      <c r="J2" s="291"/>
      <c r="K2" s="291"/>
      <c r="L2" s="291"/>
      <c r="M2" s="291"/>
      <c r="N2" s="291"/>
      <c r="O2" s="291"/>
      <c r="P2" s="291"/>
      <c r="Q2" s="291"/>
      <c r="R2" s="291"/>
      <c r="S2" s="291"/>
      <c r="T2" s="291"/>
      <c r="U2" s="291"/>
      <c r="V2" s="291"/>
      <c r="W2" s="291"/>
      <c r="X2" s="291"/>
      <c r="Y2" s="291"/>
      <c r="Z2" s="291"/>
      <c r="AA2" s="291"/>
      <c r="AB2" s="291"/>
      <c r="AC2" s="291"/>
      <c r="AD2" s="291"/>
      <c r="AE2" s="291"/>
      <c r="AF2" s="291"/>
      <c r="AG2" s="291"/>
      <c r="AH2" s="291"/>
      <c r="AI2" s="291"/>
      <c r="AJ2" s="291"/>
      <c r="AK2" s="291"/>
      <c r="AL2" s="291"/>
      <c r="AM2" s="291"/>
      <c r="AN2" s="291"/>
      <c r="AO2" s="291"/>
      <c r="AP2" s="291"/>
      <c r="AQ2" s="291"/>
      <c r="AR2" s="291"/>
      <c r="AS2" s="291"/>
      <c r="AT2" s="291"/>
      <c r="AU2" s="291"/>
      <c r="AV2" s="291"/>
      <c r="AW2" s="291"/>
      <c r="AX2" s="291"/>
      <c r="AY2" s="291"/>
      <c r="AZ2" s="291"/>
      <c r="BA2" s="291"/>
      <c r="BB2" s="291"/>
      <c r="BC2" s="291"/>
      <c r="BD2" s="291"/>
      <c r="BE2" s="291"/>
      <c r="BF2" s="291"/>
      <c r="BG2" s="291"/>
      <c r="BH2" s="291"/>
      <c r="BI2" s="291"/>
      <c r="BJ2" s="291"/>
      <c r="BK2" s="291"/>
      <c r="BL2" s="291"/>
      <c r="BM2" s="291"/>
      <c r="BN2" s="291"/>
      <c r="BO2" s="291"/>
      <c r="BP2" s="291"/>
      <c r="BQ2" s="291"/>
      <c r="BR2" s="291"/>
      <c r="BS2" s="291"/>
      <c r="BT2" s="291"/>
      <c r="BU2" s="291"/>
      <c r="BV2" s="291"/>
      <c r="BW2" s="291"/>
      <c r="BX2" s="291"/>
      <c r="BY2" s="291"/>
      <c r="BZ2" s="291"/>
      <c r="CA2" s="292"/>
      <c r="CB2" s="291"/>
      <c r="CC2" s="291"/>
      <c r="CD2" s="291"/>
      <c r="CE2" s="291"/>
      <c r="CF2" s="293"/>
      <c r="CG2" s="291"/>
      <c r="CH2" s="291"/>
      <c r="CI2" s="291"/>
      <c r="CJ2" s="291"/>
      <c r="CK2" s="293"/>
      <c r="CL2" s="293"/>
      <c r="CM2" s="293"/>
      <c r="CN2" s="293"/>
      <c r="CO2" s="293"/>
      <c r="CP2" s="291"/>
      <c r="CQ2" s="293"/>
      <c r="CR2" s="293"/>
      <c r="CS2" s="293"/>
      <c r="CT2" s="293"/>
      <c r="CU2" s="291"/>
      <c r="CV2" s="293"/>
      <c r="CW2" s="293"/>
      <c r="CX2" s="293"/>
      <c r="CY2" s="293"/>
      <c r="CZ2" s="294"/>
      <c r="DA2" s="293"/>
      <c r="DB2" s="293"/>
      <c r="DC2" s="293"/>
      <c r="DD2" s="293"/>
      <c r="DE2" s="294"/>
      <c r="DF2" s="293"/>
      <c r="DG2" s="293"/>
      <c r="DH2" s="293"/>
      <c r="DI2" s="293"/>
      <c r="DJ2" s="294"/>
      <c r="DK2" s="293"/>
      <c r="DL2" s="293"/>
      <c r="DM2" s="293"/>
      <c r="DN2" s="293"/>
      <c r="DO2" s="294"/>
      <c r="DP2" s="293"/>
      <c r="DQ2" s="293"/>
      <c r="DR2" s="293"/>
      <c r="DS2" s="293"/>
      <c r="DT2" s="294"/>
      <c r="DU2" s="293"/>
      <c r="DV2" s="293"/>
      <c r="DW2" s="293"/>
      <c r="DX2" s="293"/>
      <c r="DY2" s="294"/>
    </row>
    <row r="3" spans="1:129" ht="12" thickBot="1" x14ac:dyDescent="0.25">
      <c r="A3" s="526"/>
      <c r="B3" s="296" t="s">
        <v>241</v>
      </c>
      <c r="C3" s="298"/>
      <c r="D3" s="298"/>
      <c r="E3" s="298"/>
      <c r="F3" s="298"/>
      <c r="G3" s="298"/>
      <c r="H3" s="298"/>
      <c r="I3" s="298"/>
      <c r="J3" s="298"/>
      <c r="K3" s="298"/>
      <c r="L3" s="298"/>
      <c r="M3" s="298"/>
      <c r="N3" s="298"/>
      <c r="O3" s="298"/>
      <c r="P3" s="298"/>
      <c r="Q3" s="298"/>
      <c r="R3" s="298"/>
      <c r="S3" s="298"/>
      <c r="T3" s="298"/>
      <c r="U3" s="298"/>
      <c r="V3" s="298"/>
      <c r="W3" s="298"/>
      <c r="X3" s="298"/>
      <c r="Y3" s="298"/>
      <c r="Z3" s="298"/>
      <c r="AA3" s="298"/>
      <c r="AB3" s="298"/>
      <c r="AC3" s="298"/>
      <c r="AD3" s="298"/>
      <c r="AE3" s="298"/>
      <c r="AF3" s="298"/>
      <c r="AG3" s="298"/>
      <c r="AH3" s="298"/>
      <c r="AI3" s="298"/>
      <c r="AJ3" s="298"/>
      <c r="AK3" s="298"/>
      <c r="AL3" s="298"/>
      <c r="AM3" s="298"/>
      <c r="AN3" s="298"/>
      <c r="AO3" s="298"/>
      <c r="AP3" s="298"/>
      <c r="AQ3" s="298"/>
      <c r="AR3" s="298"/>
      <c r="AS3" s="298"/>
      <c r="AT3" s="298"/>
      <c r="AU3" s="298"/>
      <c r="AV3" s="298"/>
      <c r="AW3" s="298"/>
      <c r="AX3" s="298"/>
      <c r="AY3" s="298"/>
      <c r="AZ3" s="298"/>
      <c r="BA3" s="298"/>
      <c r="BB3" s="298"/>
      <c r="BC3" s="298"/>
      <c r="BD3" s="298"/>
      <c r="BE3" s="298"/>
      <c r="BF3" s="298"/>
      <c r="BG3" s="298"/>
      <c r="BH3" s="298"/>
      <c r="BI3" s="298"/>
      <c r="BJ3" s="298"/>
      <c r="BK3" s="298"/>
      <c r="BL3" s="298"/>
      <c r="BM3" s="298"/>
      <c r="BN3" s="298"/>
      <c r="BO3" s="298"/>
      <c r="BP3" s="298"/>
      <c r="BQ3" s="298"/>
      <c r="BR3" s="298"/>
      <c r="BS3" s="298"/>
      <c r="BT3" s="298"/>
      <c r="BU3" s="298"/>
      <c r="BV3" s="298"/>
      <c r="BW3" s="298"/>
      <c r="BX3" s="298"/>
      <c r="BY3" s="298"/>
      <c r="BZ3" s="298"/>
      <c r="CA3" s="298"/>
      <c r="CB3" s="298"/>
      <c r="CC3" s="298"/>
      <c r="CD3" s="298"/>
      <c r="CE3" s="298"/>
      <c r="CF3" s="298"/>
      <c r="CG3" s="298"/>
      <c r="CH3" s="298"/>
      <c r="CI3" s="298"/>
      <c r="CJ3" s="298"/>
      <c r="CK3" s="530"/>
      <c r="CL3" s="298"/>
      <c r="CM3" s="298"/>
      <c r="CN3" s="298"/>
      <c r="CO3" s="298"/>
      <c r="CP3" s="298"/>
      <c r="CQ3" s="298"/>
      <c r="CR3" s="298"/>
      <c r="CS3" s="298"/>
      <c r="CT3" s="298"/>
      <c r="CU3" s="298"/>
      <c r="CV3" s="298"/>
      <c r="CW3" s="298"/>
      <c r="CX3" s="298"/>
      <c r="CY3" s="298"/>
      <c r="CZ3" s="299"/>
      <c r="DA3" s="298"/>
      <c r="DB3" s="298"/>
      <c r="DC3" s="298"/>
      <c r="DD3" s="298"/>
      <c r="DE3" s="299"/>
      <c r="DF3" s="298"/>
      <c r="DG3" s="298"/>
      <c r="DH3" s="298"/>
      <c r="DI3" s="298"/>
      <c r="DJ3" s="299"/>
      <c r="DK3" s="298"/>
      <c r="DL3" s="298"/>
      <c r="DM3" s="298"/>
      <c r="DN3" s="298"/>
      <c r="DO3" s="299"/>
      <c r="DP3" s="298"/>
      <c r="DQ3" s="298"/>
      <c r="DR3" s="298"/>
      <c r="DS3" s="298"/>
      <c r="DT3" s="299"/>
      <c r="DU3" s="298"/>
      <c r="DV3" s="298"/>
      <c r="DW3" s="298"/>
      <c r="DX3" s="298"/>
      <c r="DY3" s="299"/>
    </row>
    <row r="4" spans="1:129" ht="12" thickBot="1" x14ac:dyDescent="0.25">
      <c r="A4" s="531"/>
      <c r="B4" s="363"/>
      <c r="C4" s="295"/>
      <c r="D4" s="295"/>
      <c r="E4" s="295"/>
      <c r="F4" s="295"/>
      <c r="G4" s="295"/>
      <c r="H4" s="295"/>
      <c r="I4" s="295"/>
      <c r="J4" s="295"/>
      <c r="K4" s="295"/>
      <c r="L4" s="295"/>
      <c r="M4" s="295"/>
      <c r="N4" s="295"/>
      <c r="O4" s="295"/>
      <c r="P4" s="295"/>
      <c r="Q4" s="295"/>
      <c r="R4" s="295"/>
      <c r="S4" s="295"/>
      <c r="T4" s="295"/>
      <c r="U4" s="295"/>
      <c r="V4" s="295"/>
      <c r="W4" s="295"/>
      <c r="X4" s="295"/>
      <c r="Y4" s="295"/>
      <c r="Z4" s="295"/>
      <c r="AA4" s="295"/>
      <c r="AB4" s="295"/>
      <c r="AC4" s="295"/>
      <c r="AD4" s="295"/>
      <c r="AE4" s="295"/>
      <c r="AF4" s="295"/>
      <c r="AG4" s="295"/>
      <c r="AH4" s="295"/>
      <c r="AI4" s="295"/>
      <c r="AJ4" s="295"/>
      <c r="AK4" s="295"/>
      <c r="AL4" s="295"/>
      <c r="AM4" s="295"/>
      <c r="AN4" s="295"/>
      <c r="AO4" s="295"/>
      <c r="AP4" s="295"/>
      <c r="AQ4" s="295"/>
      <c r="AR4" s="295"/>
      <c r="AS4" s="295"/>
      <c r="AT4" s="295"/>
      <c r="AU4" s="295"/>
      <c r="AV4" s="295"/>
      <c r="AW4" s="295"/>
      <c r="AX4" s="295"/>
      <c r="AY4" s="295"/>
      <c r="AZ4" s="295"/>
      <c r="BA4" s="295"/>
      <c r="BB4" s="295"/>
      <c r="BC4" s="295"/>
      <c r="BD4" s="295"/>
      <c r="BE4" s="295"/>
      <c r="BF4" s="295"/>
      <c r="BG4" s="295"/>
      <c r="BH4" s="295"/>
      <c r="BI4" s="295"/>
      <c r="BJ4" s="295"/>
      <c r="BK4" s="295"/>
      <c r="BL4" s="295"/>
      <c r="BM4" s="295"/>
      <c r="BN4" s="295"/>
      <c r="BO4" s="295"/>
      <c r="BP4" s="295"/>
      <c r="BQ4" s="295"/>
      <c r="BR4" s="295"/>
      <c r="BS4" s="295"/>
      <c r="BT4" s="295"/>
      <c r="BU4" s="295"/>
      <c r="BV4" s="295"/>
      <c r="BW4" s="295"/>
      <c r="BX4" s="295"/>
      <c r="BY4" s="295"/>
      <c r="BZ4" s="295"/>
      <c r="CA4" s="295"/>
      <c r="CB4" s="295"/>
      <c r="CC4" s="295"/>
      <c r="CD4" s="295"/>
      <c r="CE4" s="295"/>
      <c r="CF4" s="295"/>
      <c r="CG4" s="532"/>
      <c r="CH4" s="295"/>
      <c r="CI4" s="295"/>
      <c r="CJ4" s="295"/>
      <c r="CK4" s="295"/>
      <c r="CL4" s="295"/>
      <c r="CM4" s="295"/>
      <c r="CN4" s="295"/>
      <c r="CO4" s="295"/>
      <c r="CP4" s="295"/>
      <c r="CQ4" s="295"/>
      <c r="CR4" s="295"/>
      <c r="CS4" s="295"/>
      <c r="CT4" s="295"/>
      <c r="CU4" s="295"/>
      <c r="CV4" s="2578">
        <f>CV14/$CZ$14</f>
        <v>0.23792627519325091</v>
      </c>
      <c r="CW4" s="2578">
        <f>CW14/$CZ$14</f>
        <v>0.2435319489229337</v>
      </c>
      <c r="CX4" s="2578">
        <f>CX14/$CZ$14</f>
        <v>0.25436034060649459</v>
      </c>
      <c r="CY4" s="2578">
        <f>CY14/$CZ$14</f>
        <v>0.2641814352773208</v>
      </c>
      <c r="CZ4" s="295"/>
      <c r="DA4" s="295"/>
      <c r="DB4" s="2576"/>
      <c r="DC4" s="2576"/>
      <c r="DD4" s="2577"/>
      <c r="DE4" s="2578"/>
      <c r="DF4" s="295"/>
      <c r="DG4" s="295"/>
      <c r="DH4" s="295"/>
      <c r="DI4" s="295"/>
      <c r="DJ4" s="295"/>
      <c r="DK4" s="295"/>
      <c r="DL4" s="295"/>
      <c r="DM4" s="295"/>
      <c r="DN4" s="295"/>
      <c r="DO4" s="295"/>
      <c r="DP4" s="295"/>
      <c r="DQ4" s="295"/>
      <c r="DR4" s="295"/>
      <c r="DS4" s="295"/>
      <c r="DT4" s="295"/>
      <c r="DU4" s="295"/>
      <c r="DV4" s="295"/>
      <c r="DW4" s="295"/>
      <c r="DX4" s="295"/>
      <c r="DY4" s="295"/>
    </row>
    <row r="5" spans="1:129" ht="12.75" thickBot="1" x14ac:dyDescent="0.25">
      <c r="A5" s="526"/>
      <c r="B5" s="301" t="s">
        <v>715</v>
      </c>
      <c r="C5" s="46"/>
      <c r="D5" s="46"/>
      <c r="E5" s="47" t="s">
        <v>54</v>
      </c>
      <c r="F5" s="48"/>
      <c r="G5" s="48"/>
      <c r="H5" s="48"/>
      <c r="I5" s="49"/>
      <c r="J5" s="48" t="s">
        <v>55</v>
      </c>
      <c r="K5" s="48"/>
      <c r="L5" s="48"/>
      <c r="M5" s="48"/>
      <c r="N5" s="49"/>
      <c r="O5" s="48" t="s">
        <v>56</v>
      </c>
      <c r="P5" s="48"/>
      <c r="Q5" s="48"/>
      <c r="R5" s="48"/>
      <c r="S5" s="49"/>
      <c r="T5" s="48" t="s">
        <v>57</v>
      </c>
      <c r="U5" s="48"/>
      <c r="V5" s="48"/>
      <c r="W5" s="48"/>
      <c r="X5" s="49"/>
      <c r="Y5" s="48" t="s">
        <v>58</v>
      </c>
      <c r="Z5" s="48"/>
      <c r="AA5" s="48"/>
      <c r="AB5" s="48"/>
      <c r="AC5" s="49"/>
      <c r="AD5" s="48" t="s">
        <v>59</v>
      </c>
      <c r="AE5" s="48"/>
      <c r="AF5" s="48"/>
      <c r="AG5" s="48"/>
      <c r="AH5" s="49"/>
      <c r="AI5" s="48" t="s">
        <v>60</v>
      </c>
      <c r="AJ5" s="48"/>
      <c r="AK5" s="48"/>
      <c r="AL5" s="48"/>
      <c r="AM5" s="49"/>
      <c r="AN5" s="48" t="s">
        <v>61</v>
      </c>
      <c r="AO5" s="48"/>
      <c r="AP5" s="48"/>
      <c r="AQ5" s="48"/>
      <c r="AR5" s="49"/>
      <c r="AS5" s="48" t="s">
        <v>62</v>
      </c>
      <c r="AT5" s="48"/>
      <c r="AU5" s="48"/>
      <c r="AV5" s="48"/>
      <c r="AW5" s="49"/>
      <c r="AX5" s="48" t="s">
        <v>63</v>
      </c>
      <c r="AY5" s="48"/>
      <c r="AZ5" s="48"/>
      <c r="BA5" s="48"/>
      <c r="BB5" s="49"/>
      <c r="BC5" s="48" t="s">
        <v>64</v>
      </c>
      <c r="BD5" s="48"/>
      <c r="BE5" s="48"/>
      <c r="BF5" s="48"/>
      <c r="BG5" s="49"/>
      <c r="BH5" s="48" t="s">
        <v>65</v>
      </c>
      <c r="BI5" s="48"/>
      <c r="BJ5" s="48"/>
      <c r="BK5" s="48"/>
      <c r="BL5" s="49"/>
      <c r="BM5" s="48" t="s">
        <v>66</v>
      </c>
      <c r="BN5" s="48"/>
      <c r="BO5" s="48"/>
      <c r="BP5" s="48"/>
      <c r="BQ5" s="49"/>
      <c r="BR5" s="48" t="s">
        <v>67</v>
      </c>
      <c r="BS5" s="48"/>
      <c r="BT5" s="48"/>
      <c r="BU5" s="48"/>
      <c r="BV5" s="49"/>
      <c r="BW5" s="48" t="s">
        <v>68</v>
      </c>
      <c r="BX5" s="48"/>
      <c r="BY5" s="48"/>
      <c r="BZ5" s="48"/>
      <c r="CA5" s="49"/>
      <c r="CB5" s="48" t="s">
        <v>69</v>
      </c>
      <c r="CC5" s="48"/>
      <c r="CD5" s="48"/>
      <c r="CE5" s="48"/>
      <c r="CF5" s="49"/>
      <c r="CG5" s="48" t="s">
        <v>70</v>
      </c>
      <c r="CH5" s="48"/>
      <c r="CI5" s="48"/>
      <c r="CJ5" s="48"/>
      <c r="CK5" s="49"/>
      <c r="CL5" s="48" t="s">
        <v>71</v>
      </c>
      <c r="CM5" s="48"/>
      <c r="CN5" s="48"/>
      <c r="CO5" s="48"/>
      <c r="CP5" s="49"/>
      <c r="CQ5" s="48" t="s">
        <v>72</v>
      </c>
      <c r="CR5" s="48"/>
      <c r="CS5" s="48"/>
      <c r="CT5" s="48"/>
      <c r="CU5" s="49"/>
      <c r="CV5" s="48" t="s">
        <v>73</v>
      </c>
      <c r="CW5" s="48"/>
      <c r="CX5" s="48"/>
      <c r="CY5" s="48"/>
      <c r="CZ5" s="49"/>
      <c r="DA5" s="48" t="str">
        <f>IS!DA5</f>
        <v>Fiscal Year End, Dec 31 2016</v>
      </c>
      <c r="DB5" s="48"/>
      <c r="DC5" s="48"/>
      <c r="DD5" s="48"/>
      <c r="DE5" s="49"/>
      <c r="DF5" s="48" t="str">
        <f>IS!DF5</f>
        <v>Fiscal Year End, Dec 31 2017</v>
      </c>
      <c r="DG5" s="48"/>
      <c r="DH5" s="48"/>
      <c r="DI5" s="48"/>
      <c r="DJ5" s="49"/>
      <c r="DK5" s="48" t="str">
        <f>IS!DK5</f>
        <v>Fiscal Year End, Dec 31 2018</v>
      </c>
      <c r="DL5" s="48"/>
      <c r="DM5" s="48"/>
      <c r="DN5" s="48"/>
      <c r="DO5" s="49"/>
      <c r="DP5" s="48" t="str">
        <f>IS!DP5</f>
        <v>Fiscal Year End, Dec 31 2019</v>
      </c>
      <c r="DQ5" s="48"/>
      <c r="DR5" s="48"/>
      <c r="DS5" s="48"/>
      <c r="DT5" s="49"/>
      <c r="DU5" s="48" t="str">
        <f>IS!DU5</f>
        <v>Fiscal Year End, Dec 31 2020</v>
      </c>
      <c r="DV5" s="48"/>
      <c r="DW5" s="48"/>
      <c r="DX5" s="48"/>
      <c r="DY5" s="49"/>
    </row>
    <row r="6" spans="1:129" ht="12.75" thickBot="1" x14ac:dyDescent="0.25">
      <c r="A6" s="526"/>
      <c r="B6" s="50" t="s">
        <v>74</v>
      </c>
      <c r="C6" s="51"/>
      <c r="D6" s="52"/>
      <c r="E6" s="303" t="str">
        <f>IS!E6</f>
        <v>1Q96A</v>
      </c>
      <c r="F6" s="304" t="str">
        <f>IS!F6</f>
        <v>2Q96A</v>
      </c>
      <c r="G6" s="304" t="str">
        <f>IS!G6</f>
        <v>3Q96A</v>
      </c>
      <c r="H6" s="304" t="str">
        <f>IS!H6</f>
        <v>4Q96A</v>
      </c>
      <c r="I6" s="55" t="str">
        <f>IS!I6</f>
        <v>1996A</v>
      </c>
      <c r="J6" s="304" t="str">
        <f>IS!J6</f>
        <v>1Q97A</v>
      </c>
      <c r="K6" s="304" t="str">
        <f>IS!K6</f>
        <v>2Q97A</v>
      </c>
      <c r="L6" s="304" t="str">
        <f>IS!L6</f>
        <v>3Q97A</v>
      </c>
      <c r="M6" s="304" t="str">
        <f>IS!M6</f>
        <v>4Q97A</v>
      </c>
      <c r="N6" s="55" t="str">
        <f>IS!N6</f>
        <v>1997A</v>
      </c>
      <c r="O6" s="304" t="str">
        <f>IS!O6</f>
        <v>1Q98A</v>
      </c>
      <c r="P6" s="304" t="str">
        <f>IS!P6</f>
        <v>2Q98A</v>
      </c>
      <c r="Q6" s="304" t="str">
        <f>IS!Q6</f>
        <v>3Q98A</v>
      </c>
      <c r="R6" s="304" t="str">
        <f>IS!R6</f>
        <v>4Q98A</v>
      </c>
      <c r="S6" s="55" t="str">
        <f>IS!S6</f>
        <v>1998A</v>
      </c>
      <c r="T6" s="304" t="str">
        <f>IS!T6</f>
        <v>1Q99A</v>
      </c>
      <c r="U6" s="304" t="str">
        <f>IS!U6</f>
        <v>2Q99A</v>
      </c>
      <c r="V6" s="304" t="str">
        <f>IS!V6</f>
        <v>3Q99A</v>
      </c>
      <c r="W6" s="304" t="str">
        <f>IS!W6</f>
        <v>4Q99A</v>
      </c>
      <c r="X6" s="55" t="str">
        <f>IS!X6</f>
        <v>1999A</v>
      </c>
      <c r="Y6" s="304" t="str">
        <f>IS!Y6</f>
        <v>1Q00A</v>
      </c>
      <c r="Z6" s="304" t="str">
        <f>IS!Z6</f>
        <v>2Q00A</v>
      </c>
      <c r="AA6" s="304" t="str">
        <f>IS!AA6</f>
        <v>3Q00A</v>
      </c>
      <c r="AB6" s="304" t="str">
        <f>IS!AB6</f>
        <v>4Q00A</v>
      </c>
      <c r="AC6" s="55" t="str">
        <f>IS!AC6</f>
        <v>2000A</v>
      </c>
      <c r="AD6" s="304" t="str">
        <f>IS!AD6</f>
        <v>1Q01A</v>
      </c>
      <c r="AE6" s="304" t="str">
        <f>IS!AE6</f>
        <v>2Q01A</v>
      </c>
      <c r="AF6" s="304" t="str">
        <f>IS!AF6</f>
        <v>3Q01A</v>
      </c>
      <c r="AG6" s="304" t="str">
        <f>IS!AG6</f>
        <v>4Q01A</v>
      </c>
      <c r="AH6" s="55" t="str">
        <f>IS!AH6</f>
        <v>2001A</v>
      </c>
      <c r="AI6" s="304" t="str">
        <f>IS!AI6</f>
        <v>1Q02A</v>
      </c>
      <c r="AJ6" s="304" t="str">
        <f>IS!AJ6</f>
        <v>2Q02A</v>
      </c>
      <c r="AK6" s="304" t="str">
        <f>IS!AK6</f>
        <v>3Q02A</v>
      </c>
      <c r="AL6" s="304" t="str">
        <f>IS!AL6</f>
        <v>4Q02A</v>
      </c>
      <c r="AM6" s="55" t="str">
        <f>IS!AM6</f>
        <v>2002A</v>
      </c>
      <c r="AN6" s="304" t="str">
        <f>IS!AN6</f>
        <v>1Q03A</v>
      </c>
      <c r="AO6" s="304" t="str">
        <f>IS!AO6</f>
        <v>2Q03A</v>
      </c>
      <c r="AP6" s="304" t="str">
        <f>IS!AP6</f>
        <v>3Q03A</v>
      </c>
      <c r="AQ6" s="304" t="str">
        <f>IS!AQ6</f>
        <v>4Q03A</v>
      </c>
      <c r="AR6" s="55" t="str">
        <f>IS!AR6</f>
        <v>2003A</v>
      </c>
      <c r="AS6" s="304" t="str">
        <f>IS!AS6</f>
        <v>1QA</v>
      </c>
      <c r="AT6" s="304" t="str">
        <f>IS!AT6</f>
        <v>2QA</v>
      </c>
      <c r="AU6" s="304" t="str">
        <f>IS!AU6</f>
        <v>3QA</v>
      </c>
      <c r="AV6" s="304" t="str">
        <f>IS!AV6</f>
        <v>4QA</v>
      </c>
      <c r="AW6" s="55" t="str">
        <f>IS!AW6</f>
        <v>2004A</v>
      </c>
      <c r="AX6" s="304" t="str">
        <f>IS!AX6</f>
        <v>1QA</v>
      </c>
      <c r="AY6" s="304" t="str">
        <f>IS!AY6</f>
        <v>2QA</v>
      </c>
      <c r="AZ6" s="304" t="str">
        <f>IS!AZ6</f>
        <v>3QA</v>
      </c>
      <c r="BA6" s="304" t="str">
        <f>IS!BA6</f>
        <v>4QA</v>
      </c>
      <c r="BB6" s="55" t="str">
        <f>IS!BB6</f>
        <v>2005A</v>
      </c>
      <c r="BC6" s="304" t="str">
        <f>IS!BC6</f>
        <v>1QA</v>
      </c>
      <c r="BD6" s="304" t="str">
        <f>IS!BD6</f>
        <v>2QA</v>
      </c>
      <c r="BE6" s="304" t="str">
        <f>IS!BE6</f>
        <v>3QA</v>
      </c>
      <c r="BF6" s="304" t="str">
        <f>IS!BF6</f>
        <v>4QA</v>
      </c>
      <c r="BG6" s="55" t="str">
        <f>IS!BG6</f>
        <v>2006A</v>
      </c>
      <c r="BH6" s="304" t="str">
        <f>IS!BH6</f>
        <v>1QA</v>
      </c>
      <c r="BI6" s="304" t="str">
        <f>IS!BI6</f>
        <v>2QA</v>
      </c>
      <c r="BJ6" s="304" t="str">
        <f>IS!BJ6</f>
        <v>3QA</v>
      </c>
      <c r="BK6" s="304" t="str">
        <f>IS!BK6</f>
        <v>4QA</v>
      </c>
      <c r="BL6" s="55" t="str">
        <f>IS!BL6</f>
        <v>2007A</v>
      </c>
      <c r="BM6" s="304" t="str">
        <f>IS!BM6</f>
        <v>1QA</v>
      </c>
      <c r="BN6" s="304" t="str">
        <f>IS!BN6</f>
        <v>2QA</v>
      </c>
      <c r="BO6" s="304" t="str">
        <f>IS!BO6</f>
        <v>3QA</v>
      </c>
      <c r="BP6" s="304" t="str">
        <f>IS!BP6</f>
        <v>4QA</v>
      </c>
      <c r="BQ6" s="55" t="str">
        <f>IS!BQ6</f>
        <v>2008A</v>
      </c>
      <c r="BR6" s="304" t="str">
        <f>IS!BR6</f>
        <v>1QA</v>
      </c>
      <c r="BS6" s="304" t="str">
        <f>IS!BS6</f>
        <v>2QA</v>
      </c>
      <c r="BT6" s="304" t="str">
        <f>IS!BT6</f>
        <v>3QA</v>
      </c>
      <c r="BU6" s="304" t="str">
        <f>IS!BU6</f>
        <v>4QA</v>
      </c>
      <c r="BV6" s="55" t="str">
        <f>IS!BV6</f>
        <v>2009A</v>
      </c>
      <c r="BW6" s="304" t="str">
        <f>IS!BW6</f>
        <v>1QA</v>
      </c>
      <c r="BX6" s="304" t="str">
        <f>IS!BX6</f>
        <v>2QA</v>
      </c>
      <c r="BY6" s="304" t="str">
        <f>IS!BY6</f>
        <v>3QA</v>
      </c>
      <c r="BZ6" s="304" t="str">
        <f>IS!BZ6</f>
        <v>4QA</v>
      </c>
      <c r="CA6" s="55" t="str">
        <f>IS!CA6</f>
        <v>2010A</v>
      </c>
      <c r="CB6" s="304" t="str">
        <f>IS!CB6</f>
        <v>1QA</v>
      </c>
      <c r="CC6" s="304" t="str">
        <f>IS!CC6</f>
        <v>2QA</v>
      </c>
      <c r="CD6" s="304" t="str">
        <f>IS!CD6</f>
        <v>3QA</v>
      </c>
      <c r="CE6" s="304" t="str">
        <f>IS!CE6</f>
        <v>4QA</v>
      </c>
      <c r="CF6" s="55" t="str">
        <f>IS!CF6</f>
        <v>2011A</v>
      </c>
      <c r="CG6" s="304" t="str">
        <f>IS!CG6</f>
        <v>1QA</v>
      </c>
      <c r="CH6" s="304" t="str">
        <f>IS!CH6</f>
        <v>2QA</v>
      </c>
      <c r="CI6" s="304" t="str">
        <f>IS!CI6</f>
        <v>3QA</v>
      </c>
      <c r="CJ6" s="304" t="str">
        <f>IS!CJ6</f>
        <v>4QA</v>
      </c>
      <c r="CK6" s="55" t="str">
        <f>IS!CK6</f>
        <v>2012A</v>
      </c>
      <c r="CL6" s="304" t="str">
        <f>IS!CL6</f>
        <v>1QA</v>
      </c>
      <c r="CM6" s="304" t="str">
        <f>IS!CM6</f>
        <v>2QA</v>
      </c>
      <c r="CN6" s="304" t="str">
        <f>IS!CN6</f>
        <v>3QA</v>
      </c>
      <c r="CO6" s="304" t="str">
        <f>IS!CO6</f>
        <v>4QA</v>
      </c>
      <c r="CP6" s="55" t="str">
        <f>IS!CP6</f>
        <v>2013A</v>
      </c>
      <c r="CQ6" s="304" t="str">
        <f>IS!CQ6</f>
        <v>1QA</v>
      </c>
      <c r="CR6" s="304" t="str">
        <f>IS!CR6</f>
        <v>2QA</v>
      </c>
      <c r="CS6" s="304" t="str">
        <f>IS!CS6</f>
        <v>3QA</v>
      </c>
      <c r="CT6" s="304" t="str">
        <f>IS!CT6</f>
        <v>4QA</v>
      </c>
      <c r="CU6" s="55" t="str">
        <f>IS!CU6</f>
        <v>2014A</v>
      </c>
      <c r="CV6" s="304" t="str">
        <f>IS!CV6</f>
        <v>1QA</v>
      </c>
      <c r="CW6" s="304" t="str">
        <f>IS!CW6</f>
        <v>2QA</v>
      </c>
      <c r="CX6" s="304" t="str">
        <f>IS!CX6</f>
        <v>3QA</v>
      </c>
      <c r="CY6" s="304" t="str">
        <f>IS!CY6</f>
        <v>4QA</v>
      </c>
      <c r="CZ6" s="55" t="str">
        <f>IS!CZ6</f>
        <v>2015A</v>
      </c>
      <c r="DA6" s="304" t="str">
        <f>IS!DA6</f>
        <v>1QA</v>
      </c>
      <c r="DB6" s="304" t="str">
        <f>IS!DB6</f>
        <v>2QA</v>
      </c>
      <c r="DC6" s="304" t="str">
        <f>IS!DC6</f>
        <v>3QA</v>
      </c>
      <c r="DD6" s="304" t="str">
        <f>IS!DD6</f>
        <v>4QA</v>
      </c>
      <c r="DE6" s="55" t="str">
        <f>IS!DE6</f>
        <v>2016A</v>
      </c>
      <c r="DF6" s="304" t="str">
        <f>IS!DF6</f>
        <v>1QA</v>
      </c>
      <c r="DG6" s="304" t="str">
        <f>IS!DG6</f>
        <v>2QA</v>
      </c>
      <c r="DH6" s="304" t="str">
        <f>IS!DH6</f>
        <v>3QA</v>
      </c>
      <c r="DI6" s="304" t="str">
        <f>IS!DI6</f>
        <v>4QA</v>
      </c>
      <c r="DJ6" s="55" t="str">
        <f>IS!DJ6</f>
        <v>2017A</v>
      </c>
      <c r="DK6" s="304" t="str">
        <f>IS!DK6</f>
        <v>1QE</v>
      </c>
      <c r="DL6" s="304" t="str">
        <f>IS!DL6</f>
        <v>2QE</v>
      </c>
      <c r="DM6" s="304" t="str">
        <f>IS!DM6</f>
        <v>3QE</v>
      </c>
      <c r="DN6" s="304" t="str">
        <f>IS!DN6</f>
        <v>4QE</v>
      </c>
      <c r="DO6" s="55" t="str">
        <f>IS!DO6</f>
        <v>2018E</v>
      </c>
      <c r="DP6" s="304" t="str">
        <f>IS!DP6</f>
        <v>1QE</v>
      </c>
      <c r="DQ6" s="304" t="str">
        <f>IS!DQ6</f>
        <v>2QE</v>
      </c>
      <c r="DR6" s="304" t="str">
        <f>IS!DR6</f>
        <v>3QE</v>
      </c>
      <c r="DS6" s="304" t="str">
        <f>IS!DS6</f>
        <v>4QE</v>
      </c>
      <c r="DT6" s="55" t="str">
        <f>IS!DT6</f>
        <v>2019E</v>
      </c>
      <c r="DU6" s="304" t="str">
        <f>IS!DU6</f>
        <v>1QE</v>
      </c>
      <c r="DV6" s="304" t="str">
        <f>IS!DV6</f>
        <v>2QE</v>
      </c>
      <c r="DW6" s="304" t="str">
        <f>IS!DW6</f>
        <v>3QE</v>
      </c>
      <c r="DX6" s="304" t="str">
        <f>IS!DX6</f>
        <v>4QE</v>
      </c>
      <c r="DY6" s="55" t="str">
        <f>IS!DY6</f>
        <v>2020E</v>
      </c>
    </row>
    <row r="7" spans="1:129" ht="12" outlineLevel="1" x14ac:dyDescent="0.2">
      <c r="A7" s="526"/>
      <c r="B7" s="533"/>
      <c r="C7" s="361"/>
      <c r="D7" s="52"/>
      <c r="E7" s="534"/>
      <c r="F7" s="534"/>
      <c r="G7" s="534"/>
      <c r="H7" s="534"/>
      <c r="I7" s="535"/>
      <c r="J7" s="534"/>
      <c r="K7" s="534"/>
      <c r="L7" s="534"/>
      <c r="M7" s="534"/>
      <c r="N7" s="535"/>
      <c r="O7" s="534"/>
      <c r="P7" s="534"/>
      <c r="Q7" s="534"/>
      <c r="R7" s="534"/>
      <c r="S7" s="535"/>
      <c r="T7" s="534"/>
      <c r="U7" s="534"/>
      <c r="V7" s="534"/>
      <c r="W7" s="534"/>
      <c r="X7" s="535"/>
      <c r="Y7" s="534"/>
      <c r="Z7" s="534"/>
      <c r="AA7" s="534"/>
      <c r="AB7" s="534"/>
      <c r="AC7" s="535"/>
      <c r="AD7" s="534"/>
      <c r="AE7" s="534"/>
      <c r="AF7" s="534"/>
      <c r="AG7" s="534"/>
      <c r="AH7" s="535"/>
      <c r="AI7" s="534"/>
      <c r="AJ7" s="534"/>
      <c r="AK7" s="534"/>
      <c r="AL7" s="534"/>
      <c r="AM7" s="535"/>
      <c r="AN7" s="534"/>
      <c r="AO7" s="534"/>
      <c r="AP7" s="534"/>
      <c r="AQ7" s="534"/>
      <c r="AR7" s="535"/>
      <c r="AS7" s="534"/>
      <c r="AT7" s="534"/>
      <c r="AU7" s="534"/>
      <c r="AV7" s="534"/>
      <c r="AW7" s="535"/>
      <c r="AX7" s="534"/>
      <c r="AY7" s="534"/>
      <c r="AZ7" s="534"/>
      <c r="BA7" s="534"/>
      <c r="BB7" s="535"/>
      <c r="BC7" s="534"/>
      <c r="BD7" s="534"/>
      <c r="BE7" s="534"/>
      <c r="BF7" s="534"/>
      <c r="BG7" s="535"/>
      <c r="BH7" s="534"/>
      <c r="BI7" s="534"/>
      <c r="BJ7" s="534"/>
      <c r="BK7" s="534"/>
      <c r="BL7" s="535"/>
      <c r="BM7" s="534"/>
      <c r="BN7" s="534"/>
      <c r="BO7" s="534"/>
      <c r="BP7" s="534"/>
      <c r="BQ7" s="535"/>
      <c r="BR7" s="534"/>
      <c r="BS7" s="534"/>
      <c r="BT7" s="534"/>
      <c r="BU7" s="534"/>
      <c r="BV7" s="535"/>
      <c r="BW7" s="534"/>
      <c r="BX7" s="534"/>
      <c r="BY7" s="534"/>
      <c r="BZ7" s="534"/>
      <c r="CA7" s="535"/>
      <c r="CB7" s="534"/>
      <c r="CC7" s="534"/>
      <c r="CD7" s="534"/>
      <c r="CE7" s="534"/>
      <c r="CF7" s="535"/>
      <c r="CG7" s="534"/>
      <c r="CH7" s="534"/>
      <c r="CI7" s="534"/>
      <c r="CJ7" s="534"/>
      <c r="CK7" s="535"/>
      <c r="CL7" s="534"/>
      <c r="CM7" s="534"/>
      <c r="CN7" s="534"/>
      <c r="CO7" s="534"/>
      <c r="CP7" s="535"/>
      <c r="CQ7" s="534"/>
      <c r="CR7" s="534"/>
      <c r="CS7" s="534"/>
      <c r="CT7" s="534"/>
      <c r="CU7" s="535"/>
      <c r="CV7" s="534"/>
      <c r="CW7" s="534"/>
      <c r="CX7" s="534"/>
      <c r="CY7" s="534"/>
      <c r="CZ7" s="535"/>
      <c r="DA7" s="534"/>
      <c r="DB7" s="534"/>
      <c r="DC7" s="534"/>
      <c r="DD7" s="534"/>
      <c r="DE7" s="535"/>
      <c r="DF7" s="534"/>
      <c r="DG7" s="534"/>
      <c r="DH7" s="534"/>
      <c r="DI7" s="534"/>
      <c r="DJ7" s="535"/>
      <c r="DK7" s="534"/>
      <c r="DL7" s="534"/>
      <c r="DM7" s="534"/>
      <c r="DN7" s="534"/>
      <c r="DO7" s="535"/>
      <c r="DP7" s="534"/>
      <c r="DQ7" s="534"/>
      <c r="DR7" s="534"/>
      <c r="DS7" s="534"/>
      <c r="DT7" s="535"/>
      <c r="DU7" s="534"/>
      <c r="DV7" s="534"/>
      <c r="DW7" s="534"/>
      <c r="DX7" s="534"/>
      <c r="DY7" s="535"/>
    </row>
    <row r="8" spans="1:129" x14ac:dyDescent="0.2">
      <c r="A8" s="474"/>
      <c r="B8" s="537" t="s">
        <v>716</v>
      </c>
      <c r="C8" s="538"/>
      <c r="D8" s="538"/>
      <c r="E8" s="538"/>
      <c r="F8" s="538"/>
      <c r="G8" s="538"/>
      <c r="H8" s="538"/>
      <c r="I8" s="539"/>
      <c r="J8" s="538"/>
      <c r="K8" s="538"/>
      <c r="L8" s="538"/>
      <c r="M8" s="538"/>
      <c r="N8" s="539"/>
      <c r="O8" s="538"/>
      <c r="P8" s="538"/>
      <c r="Q8" s="538"/>
      <c r="R8" s="538"/>
      <c r="S8" s="539"/>
      <c r="T8" s="538"/>
      <c r="U8" s="538"/>
      <c r="V8" s="538"/>
      <c r="W8" s="538"/>
      <c r="X8" s="539"/>
      <c r="Y8" s="538"/>
      <c r="Z8" s="538"/>
      <c r="AA8" s="538"/>
      <c r="AB8" s="538"/>
      <c r="AC8" s="539"/>
      <c r="AD8" s="538"/>
      <c r="AE8" s="538"/>
      <c r="AF8" s="538"/>
      <c r="AG8" s="538"/>
      <c r="AH8" s="539"/>
      <c r="AI8" s="538"/>
      <c r="AJ8" s="538"/>
      <c r="AK8" s="538"/>
      <c r="AL8" s="538"/>
      <c r="AM8" s="539"/>
      <c r="AN8" s="538"/>
      <c r="AO8" s="538"/>
      <c r="AP8" s="538"/>
      <c r="AQ8" s="538"/>
      <c r="AR8" s="539"/>
      <c r="AS8" s="538"/>
      <c r="AT8" s="538"/>
      <c r="AU8" s="538"/>
      <c r="AV8" s="538"/>
      <c r="AW8" s="539"/>
      <c r="AX8" s="538"/>
      <c r="AY8" s="538"/>
      <c r="AZ8" s="538"/>
      <c r="BA8" s="538"/>
      <c r="BB8" s="539"/>
      <c r="BC8" s="538"/>
      <c r="BD8" s="538"/>
      <c r="BE8" s="538"/>
      <c r="BF8" s="538"/>
      <c r="BG8" s="539"/>
      <c r="BH8" s="540"/>
      <c r="BI8" s="538"/>
      <c r="BJ8" s="538"/>
      <c r="BK8" s="538"/>
      <c r="BL8" s="539"/>
      <c r="BM8" s="538"/>
      <c r="BN8" s="538"/>
      <c r="BO8" s="538"/>
      <c r="BP8" s="538"/>
      <c r="BQ8" s="539"/>
      <c r="BR8" s="538"/>
      <c r="BS8" s="538"/>
      <c r="BT8" s="538"/>
      <c r="BU8" s="538"/>
      <c r="BV8" s="539"/>
      <c r="BW8" s="538"/>
      <c r="BX8" s="538"/>
      <c r="BY8" s="538"/>
      <c r="BZ8" s="538"/>
      <c r="CA8" s="539"/>
      <c r="CB8" s="538"/>
      <c r="CC8" s="538"/>
      <c r="CD8" s="538"/>
      <c r="CE8" s="538"/>
      <c r="CF8" s="541"/>
      <c r="CG8" s="542"/>
      <c r="CH8" s="542"/>
      <c r="CI8" s="542"/>
      <c r="CJ8" s="542"/>
      <c r="CK8" s="539"/>
      <c r="CL8" s="542"/>
      <c r="CM8" s="542"/>
      <c r="CN8" s="542"/>
      <c r="CO8" s="542"/>
      <c r="CP8" s="539"/>
      <c r="CQ8" s="542"/>
      <c r="CR8" s="542"/>
      <c r="CS8" s="542"/>
      <c r="CT8" s="542"/>
      <c r="CU8" s="539"/>
      <c r="CV8" s="542"/>
      <c r="CW8" s="542"/>
      <c r="CX8" s="542"/>
      <c r="CY8" s="542"/>
      <c r="CZ8" s="539"/>
      <c r="DA8" s="542"/>
      <c r="DB8" s="542"/>
      <c r="DC8" s="542"/>
      <c r="DD8" s="542"/>
      <c r="DE8" s="539"/>
      <c r="DF8" s="542"/>
      <c r="DG8" s="542"/>
      <c r="DH8" s="542"/>
      <c r="DI8" s="542"/>
      <c r="DJ8" s="539"/>
      <c r="DK8" s="542"/>
      <c r="DL8" s="542"/>
      <c r="DM8" s="542"/>
      <c r="DN8" s="542"/>
      <c r="DO8" s="539"/>
      <c r="DP8" s="542"/>
      <c r="DQ8" s="542"/>
      <c r="DR8" s="542"/>
      <c r="DS8" s="542"/>
      <c r="DT8" s="539"/>
      <c r="DU8" s="542"/>
      <c r="DV8" s="542"/>
      <c r="DW8" s="542"/>
      <c r="DX8" s="542"/>
      <c r="DY8" s="539"/>
    </row>
    <row r="9" spans="1:129" x14ac:dyDescent="0.2">
      <c r="A9" s="474"/>
      <c r="B9" s="543"/>
      <c r="C9" s="538"/>
      <c r="D9" s="538"/>
      <c r="E9" s="538"/>
      <c r="F9" s="538"/>
      <c r="G9" s="538"/>
      <c r="H9" s="538"/>
      <c r="I9" s="539"/>
      <c r="J9" s="538"/>
      <c r="K9" s="538"/>
      <c r="L9" s="538"/>
      <c r="M9" s="538"/>
      <c r="N9" s="539"/>
      <c r="O9" s="538"/>
      <c r="P9" s="538"/>
      <c r="Q9" s="538"/>
      <c r="R9" s="538"/>
      <c r="S9" s="539"/>
      <c r="T9" s="538"/>
      <c r="U9" s="538"/>
      <c r="V9" s="538"/>
      <c r="W9" s="538"/>
      <c r="X9" s="539"/>
      <c r="Y9" s="538"/>
      <c r="Z9" s="538"/>
      <c r="AA9" s="538"/>
      <c r="AB9" s="538"/>
      <c r="AC9" s="539"/>
      <c r="AD9" s="538"/>
      <c r="AE9" s="538"/>
      <c r="AF9" s="538"/>
      <c r="AG9" s="538"/>
      <c r="AH9" s="539"/>
      <c r="AI9" s="538"/>
      <c r="AJ9" s="538"/>
      <c r="AK9" s="538"/>
      <c r="AL9" s="538"/>
      <c r="AM9" s="539"/>
      <c r="AN9" s="538"/>
      <c r="AO9" s="538"/>
      <c r="AP9" s="538"/>
      <c r="AQ9" s="538"/>
      <c r="AR9" s="539"/>
      <c r="AS9" s="538"/>
      <c r="AT9" s="538"/>
      <c r="AU9" s="538"/>
      <c r="AV9" s="538"/>
      <c r="AW9" s="539"/>
      <c r="AX9" s="538"/>
      <c r="AY9" s="538"/>
      <c r="AZ9" s="538"/>
      <c r="BA9" s="538"/>
      <c r="BB9" s="539"/>
      <c r="BC9" s="538"/>
      <c r="BD9" s="538"/>
      <c r="BE9" s="538"/>
      <c r="BF9" s="538"/>
      <c r="BG9" s="539"/>
      <c r="BH9" s="538"/>
      <c r="BI9" s="538"/>
      <c r="BJ9" s="538"/>
      <c r="BK9" s="538"/>
      <c r="BL9" s="539"/>
      <c r="BM9" s="538"/>
      <c r="BN9" s="538"/>
      <c r="BO9" s="538"/>
      <c r="BP9" s="538"/>
      <c r="BQ9" s="539"/>
      <c r="BR9" s="538"/>
      <c r="BS9" s="538"/>
      <c r="BT9" s="538"/>
      <c r="BU9" s="538"/>
      <c r="BV9" s="539"/>
      <c r="BW9" s="538"/>
      <c r="BX9" s="538"/>
      <c r="BY9" s="538"/>
      <c r="BZ9" s="538"/>
      <c r="CA9" s="539"/>
      <c r="CB9" s="538"/>
      <c r="CC9" s="538"/>
      <c r="CD9" s="538"/>
      <c r="CE9" s="538"/>
      <c r="CF9" s="539"/>
      <c r="CG9" s="542"/>
      <c r="CH9" s="542"/>
      <c r="CI9" s="542"/>
      <c r="CJ9" s="542"/>
      <c r="CK9" s="539"/>
      <c r="CL9" s="542"/>
      <c r="CM9" s="542"/>
      <c r="CN9" s="545"/>
      <c r="CO9" s="542"/>
      <c r="CP9" s="539"/>
      <c r="CQ9" s="542"/>
      <c r="CR9" s="542"/>
      <c r="CS9" s="542"/>
      <c r="CT9" s="542"/>
      <c r="CU9" s="539"/>
      <c r="CV9" s="542"/>
      <c r="CW9" s="542"/>
      <c r="CX9" s="542"/>
      <c r="CY9" s="542"/>
      <c r="CZ9" s="539"/>
      <c r="DA9" s="542"/>
      <c r="DB9" s="542"/>
      <c r="DC9" s="542"/>
      <c r="DD9" s="542"/>
      <c r="DE9" s="539"/>
      <c r="DF9" s="542"/>
      <c r="DG9" s="542"/>
      <c r="DH9" s="542"/>
      <c r="DI9" s="542"/>
      <c r="DJ9" s="539"/>
      <c r="DK9" s="542"/>
      <c r="DL9" s="542"/>
      <c r="DM9" s="542"/>
      <c r="DN9" s="542"/>
      <c r="DO9" s="539"/>
      <c r="DP9" s="542"/>
      <c r="DQ9" s="542"/>
      <c r="DR9" s="542"/>
      <c r="DS9" s="542"/>
      <c r="DT9" s="539"/>
      <c r="DU9" s="542"/>
      <c r="DV9" s="542"/>
      <c r="DW9" s="542"/>
      <c r="DX9" s="542"/>
      <c r="DY9" s="539"/>
    </row>
    <row r="10" spans="1:129" x14ac:dyDescent="0.2">
      <c r="A10" s="467"/>
      <c r="B10" s="544" t="s">
        <v>717</v>
      </c>
      <c r="C10" s="545"/>
      <c r="D10" s="545"/>
      <c r="E10" s="545"/>
      <c r="F10" s="545"/>
      <c r="G10" s="545"/>
      <c r="H10" s="545"/>
      <c r="I10" s="546"/>
      <c r="J10" s="545"/>
      <c r="K10" s="545"/>
      <c r="L10" s="545"/>
      <c r="M10" s="545"/>
      <c r="N10" s="546"/>
      <c r="O10" s="545"/>
      <c r="P10" s="545"/>
      <c r="Q10" s="545"/>
      <c r="R10" s="545"/>
      <c r="S10" s="546"/>
      <c r="T10" s="545"/>
      <c r="U10" s="545"/>
      <c r="V10" s="545"/>
      <c r="W10" s="545"/>
      <c r="X10" s="546"/>
      <c r="Y10" s="545"/>
      <c r="Z10" s="545"/>
      <c r="AA10" s="545"/>
      <c r="AB10" s="545"/>
      <c r="AC10" s="546"/>
      <c r="AD10" s="545"/>
      <c r="AE10" s="545"/>
      <c r="AF10" s="545"/>
      <c r="AG10" s="545"/>
      <c r="AH10" s="546"/>
      <c r="AI10" s="545"/>
      <c r="AJ10" s="545"/>
      <c r="AK10" s="545"/>
      <c r="AL10" s="545"/>
      <c r="AM10" s="546"/>
      <c r="AN10" s="545"/>
      <c r="AO10" s="545"/>
      <c r="AP10" s="545"/>
      <c r="AQ10" s="545"/>
      <c r="AR10" s="546"/>
      <c r="AS10" s="545"/>
      <c r="AT10" s="545"/>
      <c r="AU10" s="545"/>
      <c r="AV10" s="545"/>
      <c r="AW10" s="546"/>
      <c r="AX10" s="545"/>
      <c r="AY10" s="545"/>
      <c r="AZ10" s="545"/>
      <c r="BA10" s="545"/>
      <c r="BB10" s="546"/>
      <c r="BC10" s="545"/>
      <c r="BD10" s="545"/>
      <c r="BE10" s="545"/>
      <c r="BF10" s="545"/>
      <c r="BG10" s="546"/>
      <c r="BH10" s="547">
        <f>BH122</f>
        <v>156</v>
      </c>
      <c r="BI10" s="547">
        <f>BI122</f>
        <v>1412.1</v>
      </c>
      <c r="BJ10" s="547">
        <f>BJ122</f>
        <v>1454.6</v>
      </c>
      <c r="BK10" s="547">
        <f>BK122</f>
        <v>1595.5</v>
      </c>
      <c r="BL10" s="548">
        <f>SUM(BH10:BK10)</f>
        <v>4618.2</v>
      </c>
      <c r="BM10" s="547">
        <f>BM122</f>
        <v>1664.9</v>
      </c>
      <c r="BN10" s="547">
        <f>BN122</f>
        <v>1540.2</v>
      </c>
      <c r="BO10" s="547">
        <f>BO122</f>
        <v>1499.5</v>
      </c>
      <c r="BP10" s="547">
        <f>BP122</f>
        <v>1643.7</v>
      </c>
      <c r="BQ10" s="548">
        <f>SUM(BM10:BP10)</f>
        <v>6348.3</v>
      </c>
      <c r="BR10" s="547">
        <f>BR122</f>
        <v>1667.9</v>
      </c>
      <c r="BS10" s="547">
        <f>BS122</f>
        <v>1770</v>
      </c>
      <c r="BT10" s="547">
        <f>BT122</f>
        <v>1765.0614000000003</v>
      </c>
      <c r="BU10" s="547">
        <f>BU122</f>
        <v>1826.4</v>
      </c>
      <c r="BV10" s="548">
        <f>SUM(BR10:BU10)</f>
        <v>7029.3613999999998</v>
      </c>
      <c r="BW10" s="547">
        <f>BW122</f>
        <v>1534</v>
      </c>
      <c r="BX10" s="547">
        <f>BX122</f>
        <v>1526</v>
      </c>
      <c r="BY10" s="547">
        <f>BY122</f>
        <v>1523</v>
      </c>
      <c r="BZ10" s="547">
        <f>BZ122</f>
        <v>1553.2</v>
      </c>
      <c r="CA10" s="548">
        <f>SUM(BW10:BZ10)</f>
        <v>6136.2</v>
      </c>
      <c r="CB10" s="547">
        <f>CB122</f>
        <v>1875.4</v>
      </c>
      <c r="CC10" s="547">
        <f>CC122</f>
        <v>1947.4</v>
      </c>
      <c r="CD10" s="545">
        <f>CD122</f>
        <v>2000.6000000000001</v>
      </c>
      <c r="CE10" s="545">
        <f>CE122</f>
        <v>2184.6400000000003</v>
      </c>
      <c r="CF10" s="546">
        <f>SUM(CB10:CE10)</f>
        <v>8008.0400000000009</v>
      </c>
      <c r="CG10" s="545">
        <f>CG122</f>
        <v>2516.8000000000002</v>
      </c>
      <c r="CH10" s="545">
        <f>CH122</f>
        <v>2524.98</v>
      </c>
      <c r="CI10" s="545">
        <f>CI122</f>
        <v>2472.7000000000003</v>
      </c>
      <c r="CJ10" s="545">
        <f>CJ122</f>
        <v>2567.6000000000004</v>
      </c>
      <c r="CK10" s="546">
        <f>SUM(CG10:CJ10)</f>
        <v>10082.080000000002</v>
      </c>
      <c r="CL10" s="545">
        <f>CL122</f>
        <v>2478.4</v>
      </c>
      <c r="CM10" s="545">
        <f>CM122</f>
        <v>2541.7800000000002</v>
      </c>
      <c r="CN10" s="545">
        <f>CN122</f>
        <v>2612.56</v>
      </c>
      <c r="CO10" s="545">
        <f>CO122</f>
        <v>2609.58</v>
      </c>
      <c r="CP10" s="546">
        <f>SUM(CL10:CO10)</f>
        <v>10242.32</v>
      </c>
      <c r="CQ10" s="545">
        <f>CQ122</f>
        <v>2660.46</v>
      </c>
      <c r="CR10" s="545">
        <f>CR122</f>
        <v>2805.08</v>
      </c>
      <c r="CS10" s="545">
        <f>CS122</f>
        <v>2884.06</v>
      </c>
      <c r="CT10" s="545">
        <f>CT122</f>
        <v>3074.84</v>
      </c>
      <c r="CU10" s="546">
        <f>SUM(CQ10:CT10)</f>
        <v>11424.44</v>
      </c>
      <c r="CV10" s="545">
        <f>CV122</f>
        <v>3011.78</v>
      </c>
      <c r="CW10" s="545">
        <f>CW122</f>
        <v>3053.46</v>
      </c>
      <c r="CX10" s="545">
        <f>CX122</f>
        <v>3143.2495656880001</v>
      </c>
      <c r="CY10" s="545">
        <f>CY122</f>
        <v>3239.5</v>
      </c>
      <c r="CZ10" s="546">
        <f>SUM(CV10:CY10)</f>
        <v>12447.989565688</v>
      </c>
      <c r="DA10" s="545">
        <v>3000</v>
      </c>
      <c r="DB10" s="545">
        <v>2600</v>
      </c>
      <c r="DC10" s="545">
        <v>2600</v>
      </c>
      <c r="DD10" s="545">
        <v>2600</v>
      </c>
      <c r="DE10" s="546">
        <f>SUM(DA10:DD10)</f>
        <v>10800</v>
      </c>
      <c r="DF10" s="545">
        <f>DF122</f>
        <v>4060.2000000000003</v>
      </c>
      <c r="DG10" s="545">
        <f>DG122</f>
        <v>4148.22</v>
      </c>
      <c r="DH10" s="545">
        <f>DH122</f>
        <v>4243.1242171060003</v>
      </c>
      <c r="DI10" s="545">
        <f>DI122</f>
        <v>4459.423724180002</v>
      </c>
      <c r="DJ10" s="546">
        <f>SUM(DF10:DI10)</f>
        <v>16910.967941286002</v>
      </c>
      <c r="DK10" s="545">
        <f ca="1">DK122</f>
        <v>4399.6648706313927</v>
      </c>
      <c r="DL10" s="545">
        <f ca="1">DL122</f>
        <v>4476.980858275293</v>
      </c>
      <c r="DM10" s="545">
        <f ca="1">DM122</f>
        <v>4500.2061857291774</v>
      </c>
      <c r="DN10" s="545">
        <f ca="1">DN122</f>
        <v>4642.7165428862181</v>
      </c>
      <c r="DO10" s="546">
        <f ca="1">SUM(DK10:DN10)</f>
        <v>18019.56845752208</v>
      </c>
      <c r="DP10" s="545">
        <f ca="1">DP122</f>
        <v>4606.6201316242777</v>
      </c>
      <c r="DQ10" s="545">
        <f ca="1">DQ122</f>
        <v>4682.7083967509634</v>
      </c>
      <c r="DR10" s="545">
        <f ca="1">DR122</f>
        <v>4704.6953751463871</v>
      </c>
      <c r="DS10" s="545">
        <f ca="1">DS122</f>
        <v>4850.2418671463711</v>
      </c>
      <c r="DT10" s="546">
        <f ca="1">SUM(DP10:DS10)</f>
        <v>18844.265770668</v>
      </c>
      <c r="DU10" s="545">
        <f ca="1">DU122</f>
        <v>4806.3087284160374</v>
      </c>
      <c r="DV10" s="545">
        <f ca="1">DV122</f>
        <v>4879.9285633880036</v>
      </c>
      <c r="DW10" s="545">
        <f ca="1">DW122</f>
        <v>4900.1975956434626</v>
      </c>
      <c r="DX10" s="545">
        <f ca="1">DX122</f>
        <v>5047.8100318043798</v>
      </c>
      <c r="DY10" s="546">
        <f ca="1">SUM(DU10:DX10)</f>
        <v>19634.244919251883</v>
      </c>
    </row>
    <row r="11" spans="1:129" x14ac:dyDescent="0.2">
      <c r="A11" s="471"/>
      <c r="B11" s="549" t="s">
        <v>718</v>
      </c>
      <c r="C11" s="550"/>
      <c r="D11" s="550"/>
      <c r="E11" s="550"/>
      <c r="F11" s="550"/>
      <c r="G11" s="550"/>
      <c r="H11" s="550"/>
      <c r="I11" s="551"/>
      <c r="J11" s="550"/>
      <c r="K11" s="550"/>
      <c r="L11" s="550"/>
      <c r="M11" s="550"/>
      <c r="N11" s="551"/>
      <c r="O11" s="550"/>
      <c r="P11" s="550"/>
      <c r="Q11" s="550"/>
      <c r="R11" s="550"/>
      <c r="S11" s="551"/>
      <c r="T11" s="550"/>
      <c r="U11" s="550"/>
      <c r="V11" s="550"/>
      <c r="W11" s="550"/>
      <c r="X11" s="551"/>
      <c r="Y11" s="550"/>
      <c r="Z11" s="550"/>
      <c r="AA11" s="550"/>
      <c r="AB11" s="550"/>
      <c r="AC11" s="551"/>
      <c r="AD11" s="550"/>
      <c r="AE11" s="550"/>
      <c r="AF11" s="550"/>
      <c r="AG11" s="550"/>
      <c r="AH11" s="551"/>
      <c r="AI11" s="550"/>
      <c r="AJ11" s="550"/>
      <c r="AK11" s="550"/>
      <c r="AL11" s="550"/>
      <c r="AM11" s="551"/>
      <c r="AN11" s="550"/>
      <c r="AO11" s="550"/>
      <c r="AP11" s="550"/>
      <c r="AQ11" s="550"/>
      <c r="AR11" s="551"/>
      <c r="AS11" s="550"/>
      <c r="AT11" s="550"/>
      <c r="AU11" s="550"/>
      <c r="AV11" s="550"/>
      <c r="AW11" s="551"/>
      <c r="AX11" s="550"/>
      <c r="AY11" s="550"/>
      <c r="AZ11" s="550"/>
      <c r="BA11" s="550"/>
      <c r="BB11" s="551"/>
      <c r="BC11" s="552">
        <v>688.2</v>
      </c>
      <c r="BD11" s="552">
        <v>665.9</v>
      </c>
      <c r="BE11" s="552">
        <v>753.3</v>
      </c>
      <c r="BF11" s="552">
        <v>827.9</v>
      </c>
      <c r="BG11" s="553">
        <f>SUM(BC11:BF11)</f>
        <v>2935.2999999999997</v>
      </c>
      <c r="BH11" s="552">
        <v>1209.7</v>
      </c>
      <c r="BI11" s="552">
        <v>4171.7</v>
      </c>
      <c r="BJ11" s="552">
        <v>4151.5</v>
      </c>
      <c r="BK11" s="552">
        <v>4302.7</v>
      </c>
      <c r="BL11" s="553">
        <f>SUM(BH11:BK11)</f>
        <v>13835.599999999999</v>
      </c>
      <c r="BM11" s="552">
        <v>3647.1</v>
      </c>
      <c r="BN11" s="552">
        <v>3620.8</v>
      </c>
      <c r="BO11" s="552">
        <v>3617.2</v>
      </c>
      <c r="BP11" s="552">
        <v>4016</v>
      </c>
      <c r="BQ11" s="553">
        <f>SUM(BM11:BP11)</f>
        <v>14901.099999999999</v>
      </c>
      <c r="BR11" s="552">
        <v>3955</v>
      </c>
      <c r="BS11" s="552">
        <v>4072.7</v>
      </c>
      <c r="BT11" s="552">
        <v>4156.5</v>
      </c>
      <c r="BU11" s="552">
        <v>4273</v>
      </c>
      <c r="BV11" s="553">
        <f>SUM(BR11:BU11)</f>
        <v>16457.2</v>
      </c>
      <c r="BW11" s="552">
        <v>4078</v>
      </c>
      <c r="BX11" s="552">
        <v>4111</v>
      </c>
      <c r="BY11" s="552">
        <v>4197</v>
      </c>
      <c r="BZ11" s="552">
        <v>4289</v>
      </c>
      <c r="CA11" s="553">
        <f>SUM(BW11:BZ11)</f>
        <v>16675</v>
      </c>
      <c r="CB11" s="552">
        <v>4535</v>
      </c>
      <c r="CC11" s="552">
        <v>4753</v>
      </c>
      <c r="CD11" s="552">
        <v>4741</v>
      </c>
      <c r="CE11" s="552">
        <v>4900.8</v>
      </c>
      <c r="CF11" s="551">
        <f>SUM(CB11:CE11)</f>
        <v>18929.8</v>
      </c>
      <c r="CG11" s="552">
        <v>5666</v>
      </c>
      <c r="CH11" s="552">
        <v>5744</v>
      </c>
      <c r="CI11" s="552">
        <v>5674.6</v>
      </c>
      <c r="CJ11" s="552">
        <v>5759</v>
      </c>
      <c r="CK11" s="551">
        <f>SUM(CG11:CJ11)</f>
        <v>22843.599999999999</v>
      </c>
      <c r="CL11" s="552">
        <v>5869</v>
      </c>
      <c r="CM11" s="552">
        <v>6035.8</v>
      </c>
      <c r="CN11" s="552">
        <v>6369.1</v>
      </c>
      <c r="CO11" s="552">
        <v>6516</v>
      </c>
      <c r="CP11" s="551">
        <f>SUM(CL11:CO11)</f>
        <v>24789.9</v>
      </c>
      <c r="CQ11" s="552">
        <v>6834.2</v>
      </c>
      <c r="CR11" s="552">
        <v>7752.5</v>
      </c>
      <c r="CS11" s="552">
        <v>8053.6</v>
      </c>
      <c r="CT11" s="552">
        <v>8440.6</v>
      </c>
      <c r="CU11" s="551">
        <f>SUM(CQ11:CT11)</f>
        <v>31080.9</v>
      </c>
      <c r="CV11" s="552">
        <v>8750</v>
      </c>
      <c r="CW11" s="552">
        <v>9106.7000000000007</v>
      </c>
      <c r="CX11" s="552">
        <v>9735.3278159000001</v>
      </c>
      <c r="CY11" s="552">
        <v>10235.4</v>
      </c>
      <c r="CZ11" s="551">
        <f>SUM(CV11:CY11)</f>
        <v>37827.427815900002</v>
      </c>
      <c r="DA11" s="552">
        <v>10149.5</v>
      </c>
      <c r="DB11" s="552">
        <v>10646.1</v>
      </c>
      <c r="DC11" s="552">
        <v>10872.2</v>
      </c>
      <c r="DD11" s="552">
        <v>11115.2</v>
      </c>
      <c r="DE11" s="551">
        <f>SUM(DA11:DD11)</f>
        <v>42783</v>
      </c>
      <c r="DF11" s="552">
        <v>10847.7</v>
      </c>
      <c r="DG11" s="552">
        <v>11512.8</v>
      </c>
      <c r="DH11" s="2736">
        <v>11589.802071530001</v>
      </c>
      <c r="DI11" s="2796">
        <v>11759.183056169999</v>
      </c>
      <c r="DJ11" s="551">
        <f>SUM(DF11:DI11)</f>
        <v>45709.485127699998</v>
      </c>
      <c r="DK11" s="550">
        <f ca="1">DK171</f>
        <v>10110.216331923362</v>
      </c>
      <c r="DL11" s="550">
        <f ca="1">DL171</f>
        <v>12414.691702484246</v>
      </c>
      <c r="DM11" s="550">
        <f ca="1">DM171</f>
        <v>12377.562969594101</v>
      </c>
      <c r="DN11" s="550">
        <f ca="1">DN171</f>
        <v>12287.034899540671</v>
      </c>
      <c r="DO11" s="551">
        <f ca="1">SUM(DK11:DN11)</f>
        <v>47189.505903542376</v>
      </c>
      <c r="DP11" s="550">
        <f ca="1">DP171</f>
        <v>10691.761062420155</v>
      </c>
      <c r="DQ11" s="550">
        <f ca="1">DQ171</f>
        <v>13095.031577823971</v>
      </c>
      <c r="DR11" s="550">
        <f ca="1">DR171</f>
        <v>13028.923906532535</v>
      </c>
      <c r="DS11" s="550">
        <f ca="1">DS171</f>
        <v>12906.969893853189</v>
      </c>
      <c r="DT11" s="551">
        <f ca="1">SUM(DP11:DS11)</f>
        <v>49722.686440629848</v>
      </c>
      <c r="DU11" s="550">
        <f ca="1">DU171</f>
        <v>11215.334409893465</v>
      </c>
      <c r="DV11" s="550">
        <f ca="1">DV171</f>
        <v>13689.507876146688</v>
      </c>
      <c r="DW11" s="550">
        <f ca="1">DW171</f>
        <v>13586.233305115558</v>
      </c>
      <c r="DX11" s="550">
        <f ca="1">DX171</f>
        <v>13425.472254768019</v>
      </c>
      <c r="DY11" s="551">
        <f ca="1">SUM(DU11:DX11)</f>
        <v>51916.547845923735</v>
      </c>
    </row>
    <row r="12" spans="1:129" x14ac:dyDescent="0.2">
      <c r="A12" s="471"/>
      <c r="B12" s="549" t="s">
        <v>719</v>
      </c>
      <c r="C12" s="550"/>
      <c r="D12" s="550"/>
      <c r="E12" s="550"/>
      <c r="F12" s="550"/>
      <c r="G12" s="550"/>
      <c r="H12" s="550"/>
      <c r="I12" s="551"/>
      <c r="J12" s="550"/>
      <c r="K12" s="550"/>
      <c r="L12" s="550"/>
      <c r="M12" s="550"/>
      <c r="N12" s="551"/>
      <c r="O12" s="550"/>
      <c r="P12" s="550"/>
      <c r="Q12" s="550"/>
      <c r="R12" s="550"/>
      <c r="S12" s="551"/>
      <c r="T12" s="550"/>
      <c r="U12" s="550"/>
      <c r="V12" s="550"/>
      <c r="W12" s="550"/>
      <c r="X12" s="551"/>
      <c r="Y12" s="550"/>
      <c r="Z12" s="550"/>
      <c r="AA12" s="550"/>
      <c r="AB12" s="550"/>
      <c r="AC12" s="551"/>
      <c r="AD12" s="550"/>
      <c r="AE12" s="550"/>
      <c r="AF12" s="550"/>
      <c r="AG12" s="550"/>
      <c r="AH12" s="551"/>
      <c r="AI12" s="550"/>
      <c r="AJ12" s="550"/>
      <c r="AK12" s="550"/>
      <c r="AL12" s="550"/>
      <c r="AM12" s="551"/>
      <c r="AN12" s="550"/>
      <c r="AO12" s="550"/>
      <c r="AP12" s="550"/>
      <c r="AQ12" s="550"/>
      <c r="AR12" s="551"/>
      <c r="AS12" s="550"/>
      <c r="AT12" s="550"/>
      <c r="AU12" s="550"/>
      <c r="AV12" s="550"/>
      <c r="AW12" s="551"/>
      <c r="AX12" s="550"/>
      <c r="AY12" s="550"/>
      <c r="AZ12" s="550"/>
      <c r="BA12" s="550"/>
      <c r="BB12" s="551"/>
      <c r="BC12" s="552">
        <v>189.1</v>
      </c>
      <c r="BD12" s="552">
        <v>184.8</v>
      </c>
      <c r="BE12" s="552">
        <v>177.2</v>
      </c>
      <c r="BF12" s="552">
        <v>181.7</v>
      </c>
      <c r="BG12" s="553">
        <f>SUM(BC12:BF12)</f>
        <v>732.8</v>
      </c>
      <c r="BH12" s="552">
        <v>885.9</v>
      </c>
      <c r="BI12" s="552">
        <v>6296.5</v>
      </c>
      <c r="BJ12" s="552">
        <v>6426</v>
      </c>
      <c r="BK12" s="552">
        <v>7222.9</v>
      </c>
      <c r="BL12" s="553">
        <f>SUM(BH12:BK12)</f>
        <v>20831.3</v>
      </c>
      <c r="BM12" s="552">
        <v>7023.8</v>
      </c>
      <c r="BN12" s="552">
        <v>6942.9</v>
      </c>
      <c r="BO12" s="552">
        <v>6848.9</v>
      </c>
      <c r="BP12" s="552">
        <v>7673.7</v>
      </c>
      <c r="BQ12" s="553">
        <f>SUM(BM12:BP12)</f>
        <v>28489.3</v>
      </c>
      <c r="BR12" s="552">
        <v>7498.2</v>
      </c>
      <c r="BS12" s="552">
        <v>8844.9</v>
      </c>
      <c r="BT12" s="552">
        <v>8782.2000000000007</v>
      </c>
      <c r="BU12" s="552">
        <v>9132</v>
      </c>
      <c r="BV12" s="553">
        <f>SUM(BR12:BU12)</f>
        <v>34257.300000000003</v>
      </c>
      <c r="BW12" s="552">
        <v>7670</v>
      </c>
      <c r="BX12" s="552">
        <v>7630</v>
      </c>
      <c r="BY12" s="552">
        <v>7615</v>
      </c>
      <c r="BZ12" s="552">
        <v>7766</v>
      </c>
      <c r="CA12" s="553">
        <f>SUM(BW12:BZ12)</f>
        <v>30681</v>
      </c>
      <c r="CB12" s="552">
        <v>9377</v>
      </c>
      <c r="CC12" s="552">
        <v>9737</v>
      </c>
      <c r="CD12" s="552">
        <v>10003</v>
      </c>
      <c r="CE12" s="552">
        <v>10923.2</v>
      </c>
      <c r="CF12" s="551">
        <f>SUM(CB12:CE12)</f>
        <v>40040.199999999997</v>
      </c>
      <c r="CG12" s="552">
        <v>12584</v>
      </c>
      <c r="CH12" s="552">
        <v>12624.9</v>
      </c>
      <c r="CI12" s="552">
        <v>12363.5</v>
      </c>
      <c r="CJ12" s="552">
        <v>12838</v>
      </c>
      <c r="CK12" s="551">
        <f>SUM(CG12:CJ12)</f>
        <v>50410.400000000001</v>
      </c>
      <c r="CL12" s="552">
        <v>12392</v>
      </c>
      <c r="CM12" s="552">
        <v>12708.9</v>
      </c>
      <c r="CN12" s="552">
        <v>13062.8</v>
      </c>
      <c r="CO12" s="552">
        <v>13047.9</v>
      </c>
      <c r="CP12" s="551">
        <f>SUM(CL12:CO12)</f>
        <v>51211.6</v>
      </c>
      <c r="CQ12" s="552">
        <v>13302.3</v>
      </c>
      <c r="CR12" s="552">
        <v>14025.4</v>
      </c>
      <c r="CS12" s="552">
        <v>14420.3</v>
      </c>
      <c r="CT12" s="552">
        <v>15374.2</v>
      </c>
      <c r="CU12" s="551">
        <f>SUM(CQ12:CT12)</f>
        <v>57122.2</v>
      </c>
      <c r="CV12" s="552">
        <v>15058.9</v>
      </c>
      <c r="CW12" s="552">
        <v>15267.3</v>
      </c>
      <c r="CX12" s="552">
        <v>15716.24782844</v>
      </c>
      <c r="CY12" s="552">
        <v>16197.5</v>
      </c>
      <c r="CZ12" s="551">
        <f>SUM(CV12:CY12)</f>
        <v>62239.947828439996</v>
      </c>
      <c r="DA12" s="552">
        <f>18536.3</f>
        <v>18536.3</v>
      </c>
      <c r="DB12" s="552">
        <v>18777.7</v>
      </c>
      <c r="DC12" s="552">
        <v>19468.799999999996</v>
      </c>
      <c r="DD12" s="552">
        <v>20065.2</v>
      </c>
      <c r="DE12" s="551">
        <f>SUM(DA12:DD12)</f>
        <v>76848</v>
      </c>
      <c r="DF12" s="552">
        <v>20301</v>
      </c>
      <c r="DG12" s="552">
        <v>20741.099999999999</v>
      </c>
      <c r="DH12" s="2736">
        <v>21215.621085530001</v>
      </c>
      <c r="DI12" s="2796">
        <v>22297.118620900008</v>
      </c>
      <c r="DJ12" s="551">
        <f>SUM(DF12:DI12)</f>
        <v>84554.839706430008</v>
      </c>
      <c r="DK12" s="550">
        <f ca="1">DK160</f>
        <v>21998.324353156961</v>
      </c>
      <c r="DL12" s="550">
        <f ca="1">DL160</f>
        <v>22384.904291376464</v>
      </c>
      <c r="DM12" s="550">
        <f ca="1">DM160</f>
        <v>22501.030928645887</v>
      </c>
      <c r="DN12" s="550">
        <f ca="1">DN160</f>
        <v>23213.58271443109</v>
      </c>
      <c r="DO12" s="551">
        <f ca="1">SUM(DK12:DN12)</f>
        <v>90097.842287610401</v>
      </c>
      <c r="DP12" s="550">
        <f ca="1">DP160</f>
        <v>23033.100658121388</v>
      </c>
      <c r="DQ12" s="550">
        <f ca="1">DQ160</f>
        <v>23413.541983754818</v>
      </c>
      <c r="DR12" s="550">
        <f ca="1">DR160</f>
        <v>23523.476875731936</v>
      </c>
      <c r="DS12" s="550">
        <f ca="1">DS160</f>
        <v>24251.209335731855</v>
      </c>
      <c r="DT12" s="551">
        <f ca="1">SUM(DP12:DS12)</f>
        <v>94221.32885333999</v>
      </c>
      <c r="DU12" s="550">
        <f ca="1">DU160</f>
        <v>24031.543642080185</v>
      </c>
      <c r="DV12" s="550">
        <f ca="1">DV160</f>
        <v>24399.642816940017</v>
      </c>
      <c r="DW12" s="550">
        <f ca="1">DW160</f>
        <v>24500.987978217312</v>
      </c>
      <c r="DX12" s="550">
        <f ca="1">DX160</f>
        <v>25239.050159021899</v>
      </c>
      <c r="DY12" s="551">
        <f ca="1">SUM(DU12:DX12)</f>
        <v>98171.224596259417</v>
      </c>
    </row>
    <row r="13" spans="1:129" x14ac:dyDescent="0.2">
      <c r="A13" s="471"/>
      <c r="B13" s="554" t="s">
        <v>341</v>
      </c>
      <c r="C13" s="555"/>
      <c r="D13" s="555"/>
      <c r="E13" s="555"/>
      <c r="F13" s="555"/>
      <c r="G13" s="555"/>
      <c r="H13" s="555"/>
      <c r="I13" s="556"/>
      <c r="J13" s="555"/>
      <c r="K13" s="555"/>
      <c r="L13" s="555"/>
      <c r="M13" s="555"/>
      <c r="N13" s="556"/>
      <c r="O13" s="555"/>
      <c r="P13" s="555"/>
      <c r="Q13" s="555"/>
      <c r="R13" s="555"/>
      <c r="S13" s="556"/>
      <c r="T13" s="555"/>
      <c r="U13" s="555"/>
      <c r="V13" s="555"/>
      <c r="W13" s="555"/>
      <c r="X13" s="556"/>
      <c r="Y13" s="555"/>
      <c r="Z13" s="555"/>
      <c r="AA13" s="555"/>
      <c r="AB13" s="555"/>
      <c r="AC13" s="556"/>
      <c r="AD13" s="555"/>
      <c r="AE13" s="555"/>
      <c r="AF13" s="555"/>
      <c r="AG13" s="555"/>
      <c r="AH13" s="556"/>
      <c r="AI13" s="555"/>
      <c r="AJ13" s="555"/>
      <c r="AK13" s="555"/>
      <c r="AL13" s="555"/>
      <c r="AM13" s="556"/>
      <c r="AN13" s="555"/>
      <c r="AO13" s="555"/>
      <c r="AP13" s="555"/>
      <c r="AQ13" s="555"/>
      <c r="AR13" s="556"/>
      <c r="AS13" s="555"/>
      <c r="AT13" s="555"/>
      <c r="AU13" s="555"/>
      <c r="AV13" s="555"/>
      <c r="AW13" s="556"/>
      <c r="AX13" s="555"/>
      <c r="AY13" s="555"/>
      <c r="AZ13" s="555"/>
      <c r="BA13" s="555"/>
      <c r="BB13" s="556"/>
      <c r="BC13" s="557">
        <v>12.8</v>
      </c>
      <c r="BD13" s="557">
        <v>4.0999999999999996</v>
      </c>
      <c r="BE13" s="557">
        <v>3</v>
      </c>
      <c r="BF13" s="557">
        <v>3.3</v>
      </c>
      <c r="BG13" s="558">
        <f>SUM(BC13:BF13)</f>
        <v>23.2</v>
      </c>
      <c r="BH13" s="557">
        <v>14.7</v>
      </c>
      <c r="BI13" s="557">
        <v>85.9</v>
      </c>
      <c r="BJ13" s="557">
        <v>85.1</v>
      </c>
      <c r="BK13" s="557">
        <v>85.8</v>
      </c>
      <c r="BL13" s="558">
        <f>SUM(BH13:BK13)</f>
        <v>271.5</v>
      </c>
      <c r="BM13" s="557">
        <v>93.8</v>
      </c>
      <c r="BN13" s="552">
        <v>93.1</v>
      </c>
      <c r="BO13" s="552">
        <v>97.3</v>
      </c>
      <c r="BP13" s="552">
        <v>94.6</v>
      </c>
      <c r="BQ13" s="553">
        <f>SUM(BM13:BP13)</f>
        <v>378.79999999999995</v>
      </c>
      <c r="BR13" s="552">
        <v>81.599999999999994</v>
      </c>
      <c r="BS13" s="552">
        <v>90.3</v>
      </c>
      <c r="BT13" s="552">
        <v>91.6</v>
      </c>
      <c r="BU13" s="552">
        <v>87</v>
      </c>
      <c r="BV13" s="553">
        <f>SUM(BR13:BU13)</f>
        <v>350.5</v>
      </c>
      <c r="BW13" s="552">
        <v>88</v>
      </c>
      <c r="BX13" s="552">
        <v>99</v>
      </c>
      <c r="BY13" s="552">
        <v>114</v>
      </c>
      <c r="BZ13" s="552">
        <v>122</v>
      </c>
      <c r="CA13" s="553">
        <f>SUM(BW13:BZ13)</f>
        <v>423</v>
      </c>
      <c r="CB13" s="552">
        <v>102</v>
      </c>
      <c r="CC13" s="552">
        <v>99</v>
      </c>
      <c r="CD13" s="552">
        <v>54</v>
      </c>
      <c r="CE13" s="552">
        <v>49.3</v>
      </c>
      <c r="CF13" s="551">
        <f>SUM(CB13:CE13)</f>
        <v>304.3</v>
      </c>
      <c r="CG13" s="552">
        <v>50</v>
      </c>
      <c r="CH13" s="552">
        <v>53.7</v>
      </c>
      <c r="CI13" s="552">
        <v>41.3</v>
      </c>
      <c r="CJ13" s="552">
        <v>45</v>
      </c>
      <c r="CK13" s="551">
        <f>SUM(CG13:CJ13)</f>
        <v>190</v>
      </c>
      <c r="CL13" s="552">
        <v>50</v>
      </c>
      <c r="CM13" s="552">
        <v>55.1</v>
      </c>
      <c r="CN13" s="552">
        <v>50.7</v>
      </c>
      <c r="CO13" s="552">
        <v>51.1</v>
      </c>
      <c r="CP13" s="551">
        <f>SUM(CL13:CO13)</f>
        <v>206.9</v>
      </c>
      <c r="CQ13" s="552">
        <v>58.6</v>
      </c>
      <c r="CR13" s="552">
        <v>58.4</v>
      </c>
      <c r="CS13" s="552">
        <v>60.1</v>
      </c>
      <c r="CT13" s="552">
        <v>59.5</v>
      </c>
      <c r="CU13" s="551">
        <f>SUM(CQ13:CT13)</f>
        <v>236.6</v>
      </c>
      <c r="CV13" s="552">
        <f>CV14-CV11-CV12</f>
        <v>70.000000000001819</v>
      </c>
      <c r="CW13" s="552">
        <f>CW14-CW11-CW12</f>
        <v>67.5</v>
      </c>
      <c r="CX13" s="552">
        <f>CX14-CX11-CX12</f>
        <v>76.689917650002826</v>
      </c>
      <c r="CY13" s="552">
        <f>CY14-CY11-CY12</f>
        <v>81.03617506000046</v>
      </c>
      <c r="CZ13" s="551">
        <f>SUM(CV13:CY13)</f>
        <v>295.2260927100051</v>
      </c>
      <c r="DA13" s="552">
        <v>79.2</v>
      </c>
      <c r="DB13" s="552">
        <v>86</v>
      </c>
      <c r="DC13" s="552">
        <v>88.1</v>
      </c>
      <c r="DD13" s="552">
        <v>78.900000000000006</v>
      </c>
      <c r="DE13" s="551">
        <f>SUM(DA13:DD13)</f>
        <v>332.2</v>
      </c>
      <c r="DF13" s="552">
        <v>74</v>
      </c>
      <c r="DG13" s="552">
        <v>71.7</v>
      </c>
      <c r="DH13" s="2736">
        <v>90.359291429999999</v>
      </c>
      <c r="DI13" s="2796">
        <v>95.61617579</v>
      </c>
      <c r="DJ13" s="551">
        <f>SUM(DF13:DI13)</f>
        <v>331.67546721999997</v>
      </c>
      <c r="DK13" s="550">
        <f t="shared" ref="DK13:DN13" si="0">DK179</f>
        <v>74</v>
      </c>
      <c r="DL13" s="550">
        <f t="shared" si="0"/>
        <v>71.7</v>
      </c>
      <c r="DM13" s="550">
        <f t="shared" si="0"/>
        <v>90.359291429999999</v>
      </c>
      <c r="DN13" s="550">
        <f t="shared" si="0"/>
        <v>95.61617579</v>
      </c>
      <c r="DO13" s="551">
        <f>SUM(DK13:DN13)</f>
        <v>331.67546721999997</v>
      </c>
      <c r="DP13" s="550">
        <f>DP179</f>
        <v>77.7</v>
      </c>
      <c r="DQ13" s="550">
        <f>DQ179</f>
        <v>75.285000000000011</v>
      </c>
      <c r="DR13" s="550">
        <f>DR179</f>
        <v>94.877256001500001</v>
      </c>
      <c r="DS13" s="550">
        <f>DS179</f>
        <v>100.3969845795</v>
      </c>
      <c r="DT13" s="551">
        <f>SUM(DP13:DS13)</f>
        <v>348.25924058100003</v>
      </c>
      <c r="DU13" s="550">
        <f>DU179</f>
        <v>81.585000000000008</v>
      </c>
      <c r="DV13" s="550">
        <f>DV179</f>
        <v>79.049250000000015</v>
      </c>
      <c r="DW13" s="550">
        <f>DW179</f>
        <v>99.621118801575008</v>
      </c>
      <c r="DX13" s="550">
        <f>DX179</f>
        <v>105.416833808475</v>
      </c>
      <c r="DY13" s="551">
        <f>SUM(DU13:DX13)</f>
        <v>365.67220261005002</v>
      </c>
    </row>
    <row r="14" spans="1:129" x14ac:dyDescent="0.2">
      <c r="A14" s="559"/>
      <c r="B14" s="560" t="s">
        <v>720</v>
      </c>
      <c r="C14" s="561"/>
      <c r="D14" s="561"/>
      <c r="E14" s="561"/>
      <c r="F14" s="561"/>
      <c r="G14" s="561"/>
      <c r="H14" s="561"/>
      <c r="I14" s="562">
        <v>208.9</v>
      </c>
      <c r="J14" s="561"/>
      <c r="K14" s="561"/>
      <c r="L14" s="561"/>
      <c r="M14" s="561"/>
      <c r="N14" s="562">
        <v>320.7</v>
      </c>
      <c r="O14" s="563">
        <v>111.9</v>
      </c>
      <c r="P14" s="563">
        <v>120.1</v>
      </c>
      <c r="Q14" s="563">
        <v>123.7</v>
      </c>
      <c r="R14" s="563">
        <v>132.69999999999999</v>
      </c>
      <c r="S14" s="564">
        <f>SUM(O14:R14)</f>
        <v>488.4</v>
      </c>
      <c r="T14" s="563">
        <v>189.5</v>
      </c>
      <c r="U14" s="563">
        <v>205.6</v>
      </c>
      <c r="V14" s="563">
        <v>204</v>
      </c>
      <c r="W14" s="563">
        <v>289.3</v>
      </c>
      <c r="X14" s="562">
        <v>470.6</v>
      </c>
      <c r="Y14" s="563">
        <v>249.9</v>
      </c>
      <c r="Z14" s="563">
        <v>192</v>
      </c>
      <c r="AA14" s="563">
        <v>203</v>
      </c>
      <c r="AB14" s="563">
        <v>330.9</v>
      </c>
      <c r="AC14" s="562">
        <v>705.4</v>
      </c>
      <c r="AD14" s="563">
        <v>221.8</v>
      </c>
      <c r="AE14" s="563">
        <v>213.8</v>
      </c>
      <c r="AF14" s="563">
        <v>222.1</v>
      </c>
      <c r="AG14" s="563">
        <v>255</v>
      </c>
      <c r="AH14" s="562">
        <v>912.7</v>
      </c>
      <c r="AI14" s="563">
        <v>277.7</v>
      </c>
      <c r="AJ14" s="563">
        <v>274.39999999999998</v>
      </c>
      <c r="AK14" s="563">
        <v>271</v>
      </c>
      <c r="AL14" s="563">
        <v>298.2</v>
      </c>
      <c r="AM14" s="562">
        <v>1121.3</v>
      </c>
      <c r="AN14" s="563">
        <v>335.4</v>
      </c>
      <c r="AO14" s="563">
        <v>315.60000000000002</v>
      </c>
      <c r="AP14" s="563">
        <v>305.5</v>
      </c>
      <c r="AQ14" s="563">
        <v>350.8</v>
      </c>
      <c r="AR14" s="562">
        <v>1307.3</v>
      </c>
      <c r="AS14" s="563">
        <v>338.7</v>
      </c>
      <c r="AT14" s="563">
        <v>323.5</v>
      </c>
      <c r="AU14" s="563">
        <v>537.6</v>
      </c>
      <c r="AV14" s="563">
        <v>665.8</v>
      </c>
      <c r="AW14" s="562">
        <v>1865.6</v>
      </c>
      <c r="AX14" s="563">
        <v>692.5</v>
      </c>
      <c r="AY14" s="563">
        <v>689.9</v>
      </c>
      <c r="AZ14" s="563">
        <v>750.6</v>
      </c>
      <c r="BA14" s="563">
        <v>823.2</v>
      </c>
      <c r="BB14" s="562">
        <v>2956.2</v>
      </c>
      <c r="BC14" s="563">
        <v>890.1</v>
      </c>
      <c r="BD14" s="563">
        <v>854.8</v>
      </c>
      <c r="BE14" s="563">
        <v>933.5</v>
      </c>
      <c r="BF14" s="563">
        <v>1012.9</v>
      </c>
      <c r="BG14" s="564">
        <f>SUM(BG11:BG13)</f>
        <v>3691.2999999999993</v>
      </c>
      <c r="BH14" s="563">
        <v>2106.3000000000002</v>
      </c>
      <c r="BI14" s="565">
        <f t="shared" ref="BI14:CZ14" si="1">SUM(BI11:BI13)</f>
        <v>10554.1</v>
      </c>
      <c r="BJ14" s="565">
        <f t="shared" si="1"/>
        <v>10662.6</v>
      </c>
      <c r="BK14" s="565">
        <f t="shared" si="1"/>
        <v>11611.399999999998</v>
      </c>
      <c r="BL14" s="564">
        <f t="shared" si="1"/>
        <v>34938.399999999994</v>
      </c>
      <c r="BM14" s="565">
        <f t="shared" si="1"/>
        <v>10764.699999999999</v>
      </c>
      <c r="BN14" s="566">
        <f t="shared" si="1"/>
        <v>10656.800000000001</v>
      </c>
      <c r="BO14" s="566">
        <f t="shared" si="1"/>
        <v>10563.399999999998</v>
      </c>
      <c r="BP14" s="566">
        <f t="shared" si="1"/>
        <v>11784.300000000001</v>
      </c>
      <c r="BQ14" s="567">
        <f t="shared" si="1"/>
        <v>43769.2</v>
      </c>
      <c r="BR14" s="566">
        <f t="shared" si="1"/>
        <v>11534.800000000001</v>
      </c>
      <c r="BS14" s="566">
        <f t="shared" si="1"/>
        <v>13007.899999999998</v>
      </c>
      <c r="BT14" s="566">
        <f t="shared" si="1"/>
        <v>13030.300000000001</v>
      </c>
      <c r="BU14" s="566">
        <f t="shared" si="1"/>
        <v>13492</v>
      </c>
      <c r="BV14" s="567">
        <f t="shared" si="1"/>
        <v>51065</v>
      </c>
      <c r="BW14" s="566">
        <f t="shared" si="1"/>
        <v>11836</v>
      </c>
      <c r="BX14" s="566">
        <f t="shared" si="1"/>
        <v>11840</v>
      </c>
      <c r="BY14" s="566">
        <f t="shared" si="1"/>
        <v>11926</v>
      </c>
      <c r="BZ14" s="566">
        <f t="shared" si="1"/>
        <v>12177</v>
      </c>
      <c r="CA14" s="567">
        <f t="shared" si="1"/>
        <v>47779</v>
      </c>
      <c r="CB14" s="566">
        <f t="shared" si="1"/>
        <v>14014</v>
      </c>
      <c r="CC14" s="566">
        <f t="shared" si="1"/>
        <v>14589</v>
      </c>
      <c r="CD14" s="568">
        <f t="shared" si="1"/>
        <v>14798</v>
      </c>
      <c r="CE14" s="568">
        <f t="shared" si="1"/>
        <v>15873.3</v>
      </c>
      <c r="CF14" s="569">
        <f t="shared" si="1"/>
        <v>59274.3</v>
      </c>
      <c r="CG14" s="568">
        <f t="shared" si="1"/>
        <v>18300</v>
      </c>
      <c r="CH14" s="568">
        <f t="shared" si="1"/>
        <v>18422.600000000002</v>
      </c>
      <c r="CI14" s="568">
        <f t="shared" si="1"/>
        <v>18079.399999999998</v>
      </c>
      <c r="CJ14" s="568">
        <f t="shared" si="1"/>
        <v>18642</v>
      </c>
      <c r="CK14" s="569">
        <f t="shared" si="1"/>
        <v>73444</v>
      </c>
      <c r="CL14" s="568">
        <f t="shared" si="1"/>
        <v>18311</v>
      </c>
      <c r="CM14" s="568">
        <f t="shared" si="1"/>
        <v>18799.8</v>
      </c>
      <c r="CN14" s="568">
        <f t="shared" si="1"/>
        <v>19482.600000000002</v>
      </c>
      <c r="CO14" s="568">
        <f>SUM(CO11:CO13)</f>
        <v>19615</v>
      </c>
      <c r="CP14" s="569">
        <f t="shared" si="1"/>
        <v>76208.399999999994</v>
      </c>
      <c r="CQ14" s="568">
        <f>SUM(CQ11:CQ13)</f>
        <v>20195.099999999999</v>
      </c>
      <c r="CR14" s="568">
        <f t="shared" si="1"/>
        <v>21836.300000000003</v>
      </c>
      <c r="CS14" s="568">
        <f t="shared" si="1"/>
        <v>22534</v>
      </c>
      <c r="CT14" s="568">
        <f t="shared" si="1"/>
        <v>23874.300000000003</v>
      </c>
      <c r="CU14" s="569">
        <f t="shared" si="1"/>
        <v>88439.700000000012</v>
      </c>
      <c r="CV14" s="1803">
        <v>23878.9</v>
      </c>
      <c r="CW14" s="2477">
        <v>24441.5</v>
      </c>
      <c r="CX14" s="2477">
        <v>25528.265561990003</v>
      </c>
      <c r="CY14" s="2477">
        <v>26513.93617506</v>
      </c>
      <c r="CZ14" s="569">
        <f t="shared" si="1"/>
        <v>100362.60173705</v>
      </c>
      <c r="DA14" s="2477">
        <v>28765</v>
      </c>
      <c r="DB14" s="2477">
        <v>29509.7</v>
      </c>
      <c r="DC14" s="2477">
        <v>30429.1</v>
      </c>
      <c r="DD14" s="2477">
        <v>31259.3</v>
      </c>
      <c r="DE14" s="569">
        <f t="shared" ref="DE14:DJ14" si="2">SUM(DE11:DE13)</f>
        <v>119963.2</v>
      </c>
      <c r="DF14" s="2477">
        <v>31222.7</v>
      </c>
      <c r="DG14" s="2477">
        <v>32325.599999999999</v>
      </c>
      <c r="DH14" s="2477">
        <v>32895.800000000003</v>
      </c>
      <c r="DI14" s="2477">
        <v>34151.917852860002</v>
      </c>
      <c r="DJ14" s="569">
        <f t="shared" si="2"/>
        <v>130596.00030135001</v>
      </c>
      <c r="DK14" s="568">
        <f t="shared" ref="DK14:DT14" ca="1" si="3">SUM(DK11:DK13)</f>
        <v>32182.540685080323</v>
      </c>
      <c r="DL14" s="568">
        <f t="shared" ca="1" si="3"/>
        <v>34871.295993860709</v>
      </c>
      <c r="DM14" s="568">
        <f t="shared" ca="1" si="3"/>
        <v>34968.953189669992</v>
      </c>
      <c r="DN14" s="568">
        <f t="shared" ca="1" si="3"/>
        <v>35596.233789761754</v>
      </c>
      <c r="DO14" s="569">
        <f t="shared" ca="1" si="3"/>
        <v>137619.02365837278</v>
      </c>
      <c r="DP14" s="568">
        <f t="shared" ca="1" si="3"/>
        <v>33802.56172054154</v>
      </c>
      <c r="DQ14" s="568">
        <f t="shared" ca="1" si="3"/>
        <v>36583.858561578789</v>
      </c>
      <c r="DR14" s="568">
        <f t="shared" ca="1" si="3"/>
        <v>36647.278038265969</v>
      </c>
      <c r="DS14" s="568">
        <f t="shared" ca="1" si="3"/>
        <v>37258.576214164546</v>
      </c>
      <c r="DT14" s="569">
        <f t="shared" ca="1" si="3"/>
        <v>144292.27453455084</v>
      </c>
      <c r="DU14" s="568">
        <f t="shared" ref="DU14:DY14" ca="1" si="4">SUM(DU11:DU13)</f>
        <v>35328.463051973646</v>
      </c>
      <c r="DV14" s="568">
        <f t="shared" ca="1" si="4"/>
        <v>38168.1999430867</v>
      </c>
      <c r="DW14" s="568">
        <f t="shared" ca="1" si="4"/>
        <v>38186.84240213444</v>
      </c>
      <c r="DX14" s="568">
        <f t="shared" ca="1" si="4"/>
        <v>38769.939247598399</v>
      </c>
      <c r="DY14" s="569">
        <f t="shared" ca="1" si="4"/>
        <v>150453.44464479323</v>
      </c>
    </row>
    <row r="15" spans="1:129" x14ac:dyDescent="0.2">
      <c r="A15" s="461"/>
      <c r="B15" s="570" t="s">
        <v>204</v>
      </c>
      <c r="C15" s="571"/>
      <c r="D15" s="571"/>
      <c r="E15" s="571"/>
      <c r="F15" s="571"/>
      <c r="G15" s="571"/>
      <c r="H15" s="571"/>
      <c r="I15" s="572"/>
      <c r="J15" s="571"/>
      <c r="K15" s="571"/>
      <c r="L15" s="571"/>
      <c r="M15" s="571"/>
      <c r="N15" s="572"/>
      <c r="O15" s="571"/>
      <c r="P15" s="571"/>
      <c r="Q15" s="571"/>
      <c r="R15" s="571"/>
      <c r="S15" s="572">
        <f t="shared" ref="S15:AX15" si="5">S14/N14-1</f>
        <v>0.52291861552853125</v>
      </c>
      <c r="T15" s="461">
        <f t="shared" si="5"/>
        <v>0.69347631814119737</v>
      </c>
      <c r="U15" s="461">
        <f t="shared" si="5"/>
        <v>0.7119067443796836</v>
      </c>
      <c r="V15" s="461">
        <f t="shared" si="5"/>
        <v>0.64915117219078411</v>
      </c>
      <c r="W15" s="461">
        <f t="shared" si="5"/>
        <v>1.1801055011303694</v>
      </c>
      <c r="X15" s="572">
        <f t="shared" si="5"/>
        <v>-3.6445536445536386E-2</v>
      </c>
      <c r="Y15" s="461">
        <f t="shared" si="5"/>
        <v>0.31873350923482846</v>
      </c>
      <c r="Z15" s="461">
        <f t="shared" si="5"/>
        <v>-6.6147859922178975E-2</v>
      </c>
      <c r="AA15" s="461">
        <f t="shared" si="5"/>
        <v>-4.9019607843137081E-3</v>
      </c>
      <c r="AB15" s="461">
        <f t="shared" si="5"/>
        <v>0.14379536812996885</v>
      </c>
      <c r="AC15" s="572">
        <f t="shared" si="5"/>
        <v>0.49893752656183588</v>
      </c>
      <c r="AD15" s="461">
        <f t="shared" si="5"/>
        <v>-0.11244497799119646</v>
      </c>
      <c r="AE15" s="461">
        <f t="shared" si="5"/>
        <v>0.11354166666666665</v>
      </c>
      <c r="AF15" s="461">
        <f t="shared" si="5"/>
        <v>9.4088669950738835E-2</v>
      </c>
      <c r="AG15" s="461">
        <f t="shared" si="5"/>
        <v>-0.2293744333635539</v>
      </c>
      <c r="AH15" s="572">
        <f t="shared" si="5"/>
        <v>0.293875815140346</v>
      </c>
      <c r="AI15" s="461">
        <f t="shared" si="5"/>
        <v>0.25202885482416582</v>
      </c>
      <c r="AJ15" s="461">
        <f t="shared" si="5"/>
        <v>0.28344246959775465</v>
      </c>
      <c r="AK15" s="461">
        <f t="shared" si="5"/>
        <v>0.22017109410175606</v>
      </c>
      <c r="AL15" s="461">
        <f t="shared" si="5"/>
        <v>0.16941176470588237</v>
      </c>
      <c r="AM15" s="572">
        <f t="shared" si="5"/>
        <v>0.22855264599539815</v>
      </c>
      <c r="AN15" s="461">
        <f t="shared" si="5"/>
        <v>0.20777817788980912</v>
      </c>
      <c r="AO15" s="461">
        <f t="shared" si="5"/>
        <v>0.15014577259475237</v>
      </c>
      <c r="AP15" s="461">
        <f t="shared" si="5"/>
        <v>0.12730627306273057</v>
      </c>
      <c r="AQ15" s="461">
        <f t="shared" si="5"/>
        <v>0.17639168343393696</v>
      </c>
      <c r="AR15" s="572">
        <f t="shared" si="5"/>
        <v>0.16587889057344163</v>
      </c>
      <c r="AS15" s="461">
        <f t="shared" si="5"/>
        <v>9.8389982110913543E-3</v>
      </c>
      <c r="AT15" s="461">
        <f t="shared" si="5"/>
        <v>2.5031685678073456E-2</v>
      </c>
      <c r="AU15" s="461">
        <f t="shared" si="5"/>
        <v>0.7597381342062195</v>
      </c>
      <c r="AV15" s="461">
        <f t="shared" si="5"/>
        <v>0.89794754846066116</v>
      </c>
      <c r="AW15" s="572">
        <f t="shared" si="5"/>
        <v>0.42706341314158958</v>
      </c>
      <c r="AX15" s="461">
        <f t="shared" si="5"/>
        <v>1.0445822261588429</v>
      </c>
      <c r="AY15" s="461">
        <f t="shared" ref="AY15:CD15" si="6">AY14/AT14-1</f>
        <v>1.1326120556414221</v>
      </c>
      <c r="AZ15" s="461">
        <f t="shared" si="6"/>
        <v>0.39620535714285721</v>
      </c>
      <c r="BA15" s="461">
        <f t="shared" si="6"/>
        <v>0.23640732952838706</v>
      </c>
      <c r="BB15" s="572">
        <f t="shared" si="6"/>
        <v>0.58458404802744424</v>
      </c>
      <c r="BC15" s="461">
        <f t="shared" si="6"/>
        <v>0.28534296028880868</v>
      </c>
      <c r="BD15" s="461">
        <f t="shared" si="6"/>
        <v>0.23902014784751402</v>
      </c>
      <c r="BE15" s="461">
        <f t="shared" si="6"/>
        <v>0.24367172928323999</v>
      </c>
      <c r="BF15" s="461">
        <f t="shared" si="6"/>
        <v>0.23044217687074831</v>
      </c>
      <c r="BG15" s="572">
        <f t="shared" si="6"/>
        <v>0.24866382518097541</v>
      </c>
      <c r="BH15" s="461">
        <f t="shared" si="6"/>
        <v>1.3663633299629256</v>
      </c>
      <c r="BI15" s="461">
        <f t="shared" si="6"/>
        <v>11.346864763687414</v>
      </c>
      <c r="BJ15" s="461">
        <f t="shared" si="6"/>
        <v>10.422174611676487</v>
      </c>
      <c r="BK15" s="461">
        <f t="shared" si="6"/>
        <v>10.463520584460458</v>
      </c>
      <c r="BL15" s="572">
        <f t="shared" si="6"/>
        <v>8.4650665077344023</v>
      </c>
      <c r="BM15" s="461">
        <f t="shared" si="6"/>
        <v>4.110715472629729</v>
      </c>
      <c r="BN15" s="461">
        <f t="shared" si="6"/>
        <v>9.7308155124549156E-3</v>
      </c>
      <c r="BO15" s="461">
        <f t="shared" si="6"/>
        <v>-9.3035469772853041E-3</v>
      </c>
      <c r="BP15" s="461">
        <f t="shared" si="6"/>
        <v>1.4890538608609116E-2</v>
      </c>
      <c r="BQ15" s="572">
        <f t="shared" si="6"/>
        <v>0.25275341744327173</v>
      </c>
      <c r="BR15" s="461">
        <f t="shared" si="6"/>
        <v>7.1539383354854547E-2</v>
      </c>
      <c r="BS15" s="461">
        <f t="shared" si="6"/>
        <v>0.22061969822085392</v>
      </c>
      <c r="BT15" s="461">
        <f t="shared" si="6"/>
        <v>0.23353276407217405</v>
      </c>
      <c r="BU15" s="461">
        <f t="shared" si="6"/>
        <v>0.14491314715341597</v>
      </c>
      <c r="BV15" s="572">
        <f t="shared" si="6"/>
        <v>0.16668799064182127</v>
      </c>
      <c r="BW15" s="461">
        <f t="shared" si="6"/>
        <v>2.6112286298852094E-2</v>
      </c>
      <c r="BX15" s="461">
        <f t="shared" si="6"/>
        <v>-8.9783900552740881E-2</v>
      </c>
      <c r="BY15" s="461">
        <f t="shared" si="6"/>
        <v>-8.4748624360145297E-2</v>
      </c>
      <c r="BZ15" s="461">
        <f t="shared" si="6"/>
        <v>-9.7465164541950755E-2</v>
      </c>
      <c r="CA15" s="572">
        <f t="shared" si="6"/>
        <v>-6.4349358660530709E-2</v>
      </c>
      <c r="CB15" s="461">
        <f t="shared" si="6"/>
        <v>0.18401486988847582</v>
      </c>
      <c r="CC15" s="461">
        <f t="shared" si="6"/>
        <v>0.23217905405405403</v>
      </c>
      <c r="CD15" s="461">
        <f t="shared" si="6"/>
        <v>0.24081838001006206</v>
      </c>
      <c r="CE15" s="461">
        <f t="shared" ref="CE15:DD15" si="7">CE14/BZ14-1</f>
        <v>0.30354767184035469</v>
      </c>
      <c r="CF15" s="572">
        <f t="shared" si="7"/>
        <v>0.24059314761715411</v>
      </c>
      <c r="CG15" s="461">
        <f t="shared" si="7"/>
        <v>0.3058370201227345</v>
      </c>
      <c r="CH15" s="461">
        <f t="shared" si="7"/>
        <v>0.26277332236616635</v>
      </c>
      <c r="CI15" s="461">
        <f t="shared" si="7"/>
        <v>0.22174618191647499</v>
      </c>
      <c r="CJ15" s="461">
        <f t="shared" si="7"/>
        <v>0.17442497779289745</v>
      </c>
      <c r="CK15" s="572">
        <f t="shared" si="7"/>
        <v>0.23905301285717417</v>
      </c>
      <c r="CL15" s="461">
        <f t="shared" si="7"/>
        <v>6.0109289617482631E-4</v>
      </c>
      <c r="CM15" s="461">
        <f t="shared" si="7"/>
        <v>2.0474851541041783E-2</v>
      </c>
      <c r="CN15" s="461">
        <f t="shared" si="7"/>
        <v>7.761319512815712E-2</v>
      </c>
      <c r="CO15" s="461">
        <f t="shared" si="7"/>
        <v>5.219397060401243E-2</v>
      </c>
      <c r="CP15" s="572">
        <f t="shared" si="7"/>
        <v>3.7639562115353131E-2</v>
      </c>
      <c r="CQ15" s="461">
        <f t="shared" si="7"/>
        <v>0.10289443503904749</v>
      </c>
      <c r="CR15" s="461">
        <f t="shared" si="7"/>
        <v>0.16151767571995457</v>
      </c>
      <c r="CS15" s="461">
        <f t="shared" si="7"/>
        <v>0.1566218061244391</v>
      </c>
      <c r="CT15" s="461">
        <f t="shared" si="7"/>
        <v>0.21714504205964835</v>
      </c>
      <c r="CU15" s="572">
        <f t="shared" si="7"/>
        <v>0.16049805533248329</v>
      </c>
      <c r="CV15" s="461">
        <f t="shared" si="7"/>
        <v>0.18241058474580485</v>
      </c>
      <c r="CW15" s="461">
        <f t="shared" si="7"/>
        <v>0.11930592637030979</v>
      </c>
      <c r="CX15" s="461">
        <f t="shared" si="7"/>
        <v>0.13287767648841764</v>
      </c>
      <c r="CY15" s="461">
        <f t="shared" si="7"/>
        <v>0.11056391915406927</v>
      </c>
      <c r="CZ15" s="572">
        <f t="shared" si="7"/>
        <v>0.13481390978316288</v>
      </c>
      <c r="DA15" s="461">
        <f t="shared" si="7"/>
        <v>0.20461997830720846</v>
      </c>
      <c r="DB15" s="461">
        <f t="shared" si="7"/>
        <v>0.20736043205204258</v>
      </c>
      <c r="DC15" s="461">
        <f t="shared" si="7"/>
        <v>0.19197678847822042</v>
      </c>
      <c r="DD15" s="461">
        <f t="shared" si="7"/>
        <v>0.17897621060895763</v>
      </c>
      <c r="DE15" s="572">
        <f t="shared" ref="DE15:DT15" si="8">DE14/CZ14-1</f>
        <v>0.1952978293080081</v>
      </c>
      <c r="DF15" s="461">
        <f t="shared" si="8"/>
        <v>8.5440639666261031E-2</v>
      </c>
      <c r="DG15" s="461">
        <f t="shared" si="8"/>
        <v>9.5422860957583344E-2</v>
      </c>
      <c r="DH15" s="461">
        <f t="shared" si="8"/>
        <v>8.1063850064576393E-2</v>
      </c>
      <c r="DI15" s="461">
        <f t="shared" si="8"/>
        <v>9.2536232508725558E-2</v>
      </c>
      <c r="DJ15" s="572">
        <f t="shared" si="8"/>
        <v>8.8633850225319222E-2</v>
      </c>
      <c r="DK15" s="461">
        <f t="shared" ca="1" si="8"/>
        <v>3.074175792229128E-2</v>
      </c>
      <c r="DL15" s="461">
        <f t="shared" ca="1" si="8"/>
        <v>7.875170124794928E-2</v>
      </c>
      <c r="DM15" s="461">
        <f t="shared" ca="1" si="8"/>
        <v>6.3021820100741976E-2</v>
      </c>
      <c r="DN15" s="461">
        <f t="shared" ca="1" si="8"/>
        <v>4.2290917398092764E-2</v>
      </c>
      <c r="DO15" s="572">
        <f t="shared" ca="1" si="8"/>
        <v>5.3776710931553451E-2</v>
      </c>
      <c r="DP15" s="461">
        <f t="shared" ca="1" si="8"/>
        <v>5.033850656210781E-2</v>
      </c>
      <c r="DQ15" s="461">
        <f t="shared" ca="1" si="8"/>
        <v>4.9110952687837717E-2</v>
      </c>
      <c r="DR15" s="461">
        <f t="shared" ca="1" si="8"/>
        <v>4.7994712323609523E-2</v>
      </c>
      <c r="DS15" s="461">
        <f t="shared" ca="1" si="8"/>
        <v>4.6699952422520452E-2</v>
      </c>
      <c r="DT15" s="572">
        <f t="shared" ca="1" si="8"/>
        <v>4.8490758753992003E-2</v>
      </c>
      <c r="DU15" s="461">
        <f t="shared" ref="DU15" ca="1" si="9">DU14/DP14-1</f>
        <v>4.5141588499927998E-2</v>
      </c>
      <c r="DV15" s="461">
        <f t="shared" ref="DV15" ca="1" si="10">DV14/DQ14-1</f>
        <v>4.3307115318115263E-2</v>
      </c>
      <c r="DW15" s="461">
        <f t="shared" ref="DW15" ca="1" si="11">DW14/DR14-1</f>
        <v>4.2010333271161437E-2</v>
      </c>
      <c r="DX15" s="461">
        <f t="shared" ref="DX15" ca="1" si="12">DX14/DS14-1</f>
        <v>4.056416500583504E-2</v>
      </c>
      <c r="DY15" s="572">
        <f t="shared" ref="DY15" ca="1" si="13">DY14/DT14-1</f>
        <v>4.2699237572605409E-2</v>
      </c>
    </row>
    <row r="16" spans="1:129" ht="6.75" customHeight="1" x14ac:dyDescent="0.2">
      <c r="A16" s="474"/>
      <c r="B16" s="543"/>
      <c r="C16" s="538"/>
      <c r="D16" s="538"/>
      <c r="E16" s="538"/>
      <c r="F16" s="538"/>
      <c r="G16" s="538"/>
      <c r="H16" s="538"/>
      <c r="I16" s="539"/>
      <c r="J16" s="538"/>
      <c r="K16" s="538"/>
      <c r="L16" s="538"/>
      <c r="M16" s="538"/>
      <c r="N16" s="539"/>
      <c r="O16" s="538"/>
      <c r="P16" s="538"/>
      <c r="Q16" s="538"/>
      <c r="R16" s="538"/>
      <c r="S16" s="539"/>
      <c r="T16" s="538"/>
      <c r="U16" s="538"/>
      <c r="V16" s="538"/>
      <c r="W16" s="538"/>
      <c r="X16" s="539"/>
      <c r="Y16" s="538"/>
      <c r="Z16" s="538"/>
      <c r="AA16" s="538"/>
      <c r="AB16" s="538"/>
      <c r="AC16" s="539"/>
      <c r="AD16" s="538"/>
      <c r="AE16" s="538"/>
      <c r="AF16" s="538"/>
      <c r="AG16" s="538"/>
      <c r="AH16" s="539"/>
      <c r="AI16" s="538"/>
      <c r="AJ16" s="538"/>
      <c r="AK16" s="538"/>
      <c r="AL16" s="538"/>
      <c r="AM16" s="539"/>
      <c r="AN16" s="538"/>
      <c r="AO16" s="538"/>
      <c r="AP16" s="538"/>
      <c r="AQ16" s="538"/>
      <c r="AR16" s="539"/>
      <c r="AS16" s="538"/>
      <c r="AT16" s="538"/>
      <c r="AU16" s="538"/>
      <c r="AV16" s="538"/>
      <c r="AW16" s="539"/>
      <c r="AX16" s="538"/>
      <c r="AY16" s="538"/>
      <c r="AZ16" s="538"/>
      <c r="BA16" s="538"/>
      <c r="BB16" s="539"/>
      <c r="BC16" s="538"/>
      <c r="BD16" s="538"/>
      <c r="BE16" s="538"/>
      <c r="BF16" s="538"/>
      <c r="BG16" s="539"/>
      <c r="BH16" s="538"/>
      <c r="BI16" s="538"/>
      <c r="BJ16" s="538"/>
      <c r="BK16" s="538"/>
      <c r="BL16" s="539"/>
      <c r="BM16" s="538"/>
      <c r="BN16" s="538"/>
      <c r="BO16" s="538"/>
      <c r="BP16" s="538"/>
      <c r="BQ16" s="539"/>
      <c r="BR16" s="538"/>
      <c r="BS16" s="538"/>
      <c r="BT16" s="538"/>
      <c r="BU16" s="538"/>
      <c r="BV16" s="539"/>
      <c r="BW16" s="538"/>
      <c r="BX16" s="538"/>
      <c r="BY16" s="538"/>
      <c r="BZ16" s="538"/>
      <c r="CA16" s="539"/>
      <c r="CB16" s="538"/>
      <c r="CC16" s="538"/>
      <c r="CD16" s="538"/>
      <c r="CE16" s="538"/>
      <c r="CF16" s="573"/>
      <c r="CG16" s="538"/>
      <c r="CH16" s="538"/>
      <c r="CI16" s="538"/>
      <c r="CJ16" s="538"/>
      <c r="CK16" s="573"/>
      <c r="CL16" s="538"/>
      <c r="CM16" s="538"/>
      <c r="CN16" s="538"/>
      <c r="CO16" s="538"/>
      <c r="CP16" s="573"/>
      <c r="CQ16" s="538"/>
      <c r="CR16" s="538"/>
      <c r="CS16" s="538"/>
      <c r="CT16" s="538"/>
      <c r="CU16" s="573"/>
      <c r="CV16" s="538"/>
      <c r="CW16" s="538"/>
      <c r="CX16" s="538"/>
      <c r="CY16" s="538"/>
      <c r="CZ16" s="573"/>
      <c r="DA16" s="538"/>
      <c r="DB16" s="538"/>
      <c r="DC16" s="538"/>
      <c r="DD16" s="538"/>
      <c r="DE16" s="573"/>
      <c r="DF16" s="538"/>
      <c r="DG16" s="538"/>
      <c r="DH16" s="538"/>
      <c r="DI16" s="2797"/>
      <c r="DJ16" s="573"/>
      <c r="DK16" s="538"/>
      <c r="DL16" s="538"/>
      <c r="DM16" s="538"/>
      <c r="DN16" s="538"/>
      <c r="DO16" s="573"/>
      <c r="DP16" s="538"/>
      <c r="DQ16" s="538"/>
      <c r="DR16" s="538"/>
      <c r="DS16" s="538"/>
      <c r="DT16" s="573"/>
      <c r="DU16" s="538"/>
      <c r="DV16" s="538"/>
      <c r="DW16" s="538"/>
      <c r="DX16" s="538"/>
      <c r="DY16" s="573"/>
    </row>
    <row r="17" spans="1:133" x14ac:dyDescent="0.2">
      <c r="A17" s="471"/>
      <c r="B17" s="549" t="s">
        <v>721</v>
      </c>
      <c r="C17" s="550"/>
      <c r="D17" s="550"/>
      <c r="E17" s="550"/>
      <c r="F17" s="550"/>
      <c r="G17" s="550"/>
      <c r="H17" s="550"/>
      <c r="I17" s="551"/>
      <c r="J17" s="550"/>
      <c r="K17" s="550"/>
      <c r="L17" s="550"/>
      <c r="M17" s="550"/>
      <c r="N17" s="551"/>
      <c r="O17" s="550"/>
      <c r="P17" s="550"/>
      <c r="Q17" s="550"/>
      <c r="R17" s="550"/>
      <c r="S17" s="551"/>
      <c r="T17" s="550"/>
      <c r="U17" s="550"/>
      <c r="V17" s="550"/>
      <c r="W17" s="550"/>
      <c r="X17" s="551"/>
      <c r="Y17" s="550"/>
      <c r="Z17" s="550"/>
      <c r="AA17" s="550"/>
      <c r="AB17" s="550"/>
      <c r="AC17" s="551"/>
      <c r="AD17" s="550"/>
      <c r="AE17" s="550"/>
      <c r="AF17" s="550"/>
      <c r="AG17" s="550"/>
      <c r="AH17" s="551"/>
      <c r="AI17" s="550"/>
      <c r="AJ17" s="550"/>
      <c r="AK17" s="550"/>
      <c r="AL17" s="550"/>
      <c r="AM17" s="551"/>
      <c r="AN17" s="550"/>
      <c r="AO17" s="550"/>
      <c r="AP17" s="550"/>
      <c r="AQ17" s="550"/>
      <c r="AR17" s="551"/>
      <c r="AS17" s="550"/>
      <c r="AT17" s="550"/>
      <c r="AU17" s="550"/>
      <c r="AV17" s="550"/>
      <c r="AW17" s="551"/>
      <c r="AX17" s="550"/>
      <c r="AY17" s="550"/>
      <c r="AZ17" s="550"/>
      <c r="BA17" s="550"/>
      <c r="BB17" s="553">
        <f t="shared" ref="BB17:BP17" si="14">BB14-BB60</f>
        <v>2610.6999999999998</v>
      </c>
      <c r="BC17" s="574">
        <f t="shared" si="14"/>
        <v>795.7</v>
      </c>
      <c r="BD17" s="574">
        <f t="shared" si="14"/>
        <v>747.19999999999993</v>
      </c>
      <c r="BE17" s="574">
        <f t="shared" si="14"/>
        <v>806.6</v>
      </c>
      <c r="BF17" s="574">
        <f t="shared" si="14"/>
        <v>883</v>
      </c>
      <c r="BG17" s="553">
        <f t="shared" si="14"/>
        <v>3232.5</v>
      </c>
      <c r="BH17" s="574">
        <f t="shared" si="14"/>
        <v>1862.8000000000002</v>
      </c>
      <c r="BI17" s="574">
        <f t="shared" si="14"/>
        <v>9691.3000000000011</v>
      </c>
      <c r="BJ17" s="574">
        <f t="shared" si="14"/>
        <v>9727.3000000000011</v>
      </c>
      <c r="BK17" s="574">
        <f t="shared" si="14"/>
        <v>10609.899999999998</v>
      </c>
      <c r="BL17" s="553">
        <f t="shared" si="14"/>
        <v>31941.299999999996</v>
      </c>
      <c r="BM17" s="574">
        <f t="shared" si="14"/>
        <v>9976.6999999999989</v>
      </c>
      <c r="BN17" s="574">
        <f t="shared" si="14"/>
        <v>9806.9000000000015</v>
      </c>
      <c r="BO17" s="574">
        <f t="shared" si="14"/>
        <v>9670.8999999999978</v>
      </c>
      <c r="BP17" s="574">
        <f t="shared" si="14"/>
        <v>10764.7</v>
      </c>
      <c r="BQ17" s="553">
        <f>BQ14-BQ19</f>
        <v>40218.699999999997</v>
      </c>
      <c r="BR17" s="574">
        <f>BR14-BR60</f>
        <v>10743.000000000002</v>
      </c>
      <c r="BS17" s="574">
        <f>BS14-BS60</f>
        <v>12086.799999999997</v>
      </c>
      <c r="BT17" s="574">
        <f>BT14-BT60</f>
        <v>12012.900000000001</v>
      </c>
      <c r="BU17" s="574">
        <f>BU14-BU60</f>
        <v>12435</v>
      </c>
      <c r="BV17" s="553">
        <f t="shared" ref="BV17:CF17" si="15">BV14-BV19</f>
        <v>47229.9</v>
      </c>
      <c r="BW17" s="574">
        <f t="shared" si="15"/>
        <v>11054</v>
      </c>
      <c r="BX17" s="574">
        <f t="shared" si="15"/>
        <v>11019</v>
      </c>
      <c r="BY17" s="574">
        <f t="shared" si="15"/>
        <v>11044</v>
      </c>
      <c r="BZ17" s="574">
        <f t="shared" si="15"/>
        <v>11309</v>
      </c>
      <c r="CA17" s="553">
        <f t="shared" si="15"/>
        <v>44426</v>
      </c>
      <c r="CB17" s="574">
        <f t="shared" si="15"/>
        <v>13375</v>
      </c>
      <c r="CC17" s="574">
        <f t="shared" si="15"/>
        <v>13860</v>
      </c>
      <c r="CD17" s="550">
        <f t="shared" si="15"/>
        <v>13884</v>
      </c>
      <c r="CE17" s="550">
        <f t="shared" si="15"/>
        <v>14857.8</v>
      </c>
      <c r="CF17" s="551">
        <f t="shared" si="15"/>
        <v>55976.800000000003</v>
      </c>
      <c r="CG17" s="550">
        <f>CG14-CG60</f>
        <v>17759</v>
      </c>
      <c r="CH17" s="550">
        <f>CH14-CH60</f>
        <v>17742.600000000002</v>
      </c>
      <c r="CI17" s="550">
        <f>CI14-CI60</f>
        <v>17104.699999999997</v>
      </c>
      <c r="CJ17" s="550">
        <f>CJ14-CJ60</f>
        <v>17440</v>
      </c>
      <c r="CK17" s="551">
        <f>CK14-CK19</f>
        <v>69636</v>
      </c>
      <c r="CL17" s="550">
        <f>CL14-CL60</f>
        <v>17681</v>
      </c>
      <c r="CM17" s="550">
        <f>CM14-CM60</f>
        <v>17963.8</v>
      </c>
      <c r="CN17" s="550">
        <f>CN14-CN60</f>
        <v>18331.800000000003</v>
      </c>
      <c r="CO17" s="550">
        <f>CO14-CO60</f>
        <v>18560.900000000001</v>
      </c>
      <c r="CP17" s="551">
        <f t="shared" ref="CP17:CV17" si="16">CP14-CP19</f>
        <v>71971</v>
      </c>
      <c r="CQ17" s="550">
        <f t="shared" si="16"/>
        <v>19260.399999999998</v>
      </c>
      <c r="CR17" s="550">
        <f t="shared" si="16"/>
        <v>20641.300000000003</v>
      </c>
      <c r="CS17" s="550">
        <f t="shared" si="16"/>
        <v>21131.200000000001</v>
      </c>
      <c r="CT17" s="550">
        <f t="shared" si="16"/>
        <v>22636.100000000002</v>
      </c>
      <c r="CU17" s="551">
        <f t="shared" si="16"/>
        <v>83669.000000000015</v>
      </c>
      <c r="CV17" s="550">
        <f t="shared" si="16"/>
        <v>22853</v>
      </c>
      <c r="CW17" s="550">
        <f t="shared" ref="CW17:DB17" si="17">CW14-CW19</f>
        <v>23200.799999999999</v>
      </c>
      <c r="CX17" s="550">
        <f t="shared" si="17"/>
        <v>24060.108922380001</v>
      </c>
      <c r="CY17" s="550">
        <f t="shared" si="17"/>
        <v>25021.785866219998</v>
      </c>
      <c r="CZ17" s="551">
        <f t="shared" si="17"/>
        <v>95135.694788599998</v>
      </c>
      <c r="DA17" s="550">
        <f t="shared" si="17"/>
        <v>27663.200000000001</v>
      </c>
      <c r="DB17" s="550">
        <f t="shared" si="17"/>
        <v>28142.3</v>
      </c>
      <c r="DC17" s="550">
        <f t="shared" ref="DC17:DT17" si="18">DC14-DC19</f>
        <v>28632.399999999998</v>
      </c>
      <c r="DD17" s="550">
        <f t="shared" si="18"/>
        <v>29624.399999999998</v>
      </c>
      <c r="DE17" s="551">
        <f t="shared" si="18"/>
        <v>114062.39999999999</v>
      </c>
      <c r="DF17" s="550">
        <f t="shared" si="18"/>
        <v>30126.3</v>
      </c>
      <c r="DG17" s="550">
        <f>DG14-DG19</f>
        <v>30856.6</v>
      </c>
      <c r="DH17" s="550">
        <f>DH14-DH19</f>
        <v>31250.733081140002</v>
      </c>
      <c r="DI17" s="550">
        <f>DI14-DI19</f>
        <v>32322.673028600002</v>
      </c>
      <c r="DJ17" s="551">
        <f t="shared" si="18"/>
        <v>124556.28855823001</v>
      </c>
      <c r="DK17" s="550">
        <f t="shared" ca="1" si="18"/>
        <v>31008.362202841035</v>
      </c>
      <c r="DL17" s="550">
        <f t="shared" ca="1" si="18"/>
        <v>33318.401070813205</v>
      </c>
      <c r="DM17" s="550">
        <f t="shared" ca="1" si="18"/>
        <v>33161.803019981082</v>
      </c>
      <c r="DN17" s="550">
        <f t="shared" ca="1" si="18"/>
        <v>33783.35891133589</v>
      </c>
      <c r="DO17" s="551">
        <f t="shared" ca="1" si="18"/>
        <v>131271.92520497122</v>
      </c>
      <c r="DP17" s="550">
        <f t="shared" ca="1" si="18"/>
        <v>32572.331679952586</v>
      </c>
      <c r="DQ17" s="550">
        <f t="shared" ca="1" si="18"/>
        <v>34987.487071394789</v>
      </c>
      <c r="DR17" s="550">
        <f t="shared" ca="1" si="18"/>
        <v>34781.192444196968</v>
      </c>
      <c r="DS17" s="550">
        <f t="shared" ca="1" si="18"/>
        <v>35387.795024491854</v>
      </c>
      <c r="DT17" s="551">
        <f t="shared" ca="1" si="18"/>
        <v>137728.8062200362</v>
      </c>
      <c r="DU17" s="550">
        <f t="shared" ref="DU17:DY17" ca="1" si="19">DU14-DU19</f>
        <v>34057.730276061433</v>
      </c>
      <c r="DV17" s="550">
        <f t="shared" ca="1" si="19"/>
        <v>36508.357601665411</v>
      </c>
      <c r="DW17" s="550">
        <f t="shared" ca="1" si="19"/>
        <v>36241.169553629239</v>
      </c>
      <c r="DX17" s="550">
        <f t="shared" ca="1" si="19"/>
        <v>36821.129953313037</v>
      </c>
      <c r="DY17" s="551">
        <f t="shared" ca="1" si="19"/>
        <v>143628.38738466916</v>
      </c>
    </row>
    <row r="18" spans="1:133" ht="6" customHeight="1" x14ac:dyDescent="0.2">
      <c r="A18" s="471"/>
      <c r="B18" s="575"/>
      <c r="I18" s="576"/>
      <c r="N18" s="576"/>
      <c r="S18" s="576"/>
      <c r="X18" s="576"/>
      <c r="AC18" s="576"/>
      <c r="AH18" s="576"/>
      <c r="AM18" s="576"/>
      <c r="AR18" s="576"/>
      <c r="AW18" s="576"/>
      <c r="BB18" s="576"/>
      <c r="BG18" s="576"/>
      <c r="BL18" s="576"/>
      <c r="BQ18" s="576"/>
      <c r="BV18" s="576"/>
      <c r="CA18" s="576"/>
      <c r="CF18" s="576"/>
      <c r="CK18" s="576"/>
      <c r="CP18" s="576"/>
      <c r="CU18" s="576"/>
      <c r="CY18" s="2575"/>
      <c r="CZ18" s="576"/>
      <c r="DA18" s="2585"/>
      <c r="DB18" s="2614"/>
      <c r="DC18" s="2631"/>
      <c r="DD18" s="2649"/>
      <c r="DE18" s="576"/>
      <c r="DG18" s="2705"/>
      <c r="DH18" s="2734"/>
      <c r="DI18" s="2795"/>
      <c r="DJ18" s="576"/>
      <c r="DO18" s="576"/>
      <c r="DT18" s="576"/>
      <c r="DY18" s="576"/>
    </row>
    <row r="19" spans="1:133" x14ac:dyDescent="0.2">
      <c r="A19" s="559"/>
      <c r="B19" s="560" t="s">
        <v>173</v>
      </c>
      <c r="C19" s="561"/>
      <c r="D19" s="561"/>
      <c r="E19" s="561"/>
      <c r="F19" s="561"/>
      <c r="G19" s="561"/>
      <c r="H19" s="561"/>
      <c r="I19" s="577"/>
      <c r="J19" s="561"/>
      <c r="K19" s="561"/>
      <c r="L19" s="561"/>
      <c r="M19" s="561"/>
      <c r="N19" s="577"/>
      <c r="O19" s="561"/>
      <c r="P19" s="561"/>
      <c r="Q19" s="561"/>
      <c r="R19" s="561"/>
      <c r="S19" s="577"/>
      <c r="T19" s="561"/>
      <c r="U19" s="561"/>
      <c r="V19" s="561"/>
      <c r="W19" s="561"/>
      <c r="X19" s="577"/>
      <c r="Y19" s="561"/>
      <c r="Z19" s="561"/>
      <c r="AA19" s="561"/>
      <c r="AB19" s="561"/>
      <c r="AC19" s="577"/>
      <c r="AD19" s="561"/>
      <c r="AE19" s="561"/>
      <c r="AF19" s="561"/>
      <c r="AG19" s="561"/>
      <c r="AH19" s="577"/>
      <c r="AI19" s="561"/>
      <c r="AJ19" s="561"/>
      <c r="AK19" s="561"/>
      <c r="AL19" s="561"/>
      <c r="AM19" s="577"/>
      <c r="AN19" s="561"/>
      <c r="AO19" s="561"/>
      <c r="AP19" s="561"/>
      <c r="AQ19" s="561"/>
      <c r="AR19" s="577"/>
      <c r="AS19" s="561"/>
      <c r="AT19" s="561"/>
      <c r="AU19" s="561"/>
      <c r="AV19" s="561"/>
      <c r="AW19" s="577"/>
      <c r="AX19" s="561"/>
      <c r="AY19" s="561"/>
      <c r="AZ19" s="561"/>
      <c r="BA19" s="561"/>
      <c r="BB19" s="577"/>
      <c r="BC19" s="561"/>
      <c r="BD19" s="561"/>
      <c r="BE19" s="561"/>
      <c r="BF19" s="561"/>
      <c r="BG19" s="577"/>
      <c r="BH19" s="563">
        <v>243.5</v>
      </c>
      <c r="BI19" s="563">
        <v>862.8</v>
      </c>
      <c r="BJ19" s="563">
        <v>935.3</v>
      </c>
      <c r="BK19" s="563">
        <v>1001.5</v>
      </c>
      <c r="BL19" s="562">
        <v>2997.1</v>
      </c>
      <c r="BM19" s="563">
        <v>788</v>
      </c>
      <c r="BN19" s="563">
        <v>850</v>
      </c>
      <c r="BO19" s="563">
        <v>892.6</v>
      </c>
      <c r="BP19" s="563">
        <v>1019.9</v>
      </c>
      <c r="BQ19" s="564">
        <f>SUM(BM19:BP19)</f>
        <v>3550.5</v>
      </c>
      <c r="BR19" s="563">
        <v>797.8</v>
      </c>
      <c r="BS19" s="563">
        <v>931.2</v>
      </c>
      <c r="BT19" s="563">
        <v>1031.0999999999999</v>
      </c>
      <c r="BU19" s="563">
        <v>1075</v>
      </c>
      <c r="BV19" s="564">
        <f>SUM(BR19:BU19)</f>
        <v>3835.1</v>
      </c>
      <c r="BW19" s="563">
        <v>782</v>
      </c>
      <c r="BX19" s="563">
        <v>821</v>
      </c>
      <c r="BY19" s="563">
        <v>882</v>
      </c>
      <c r="BZ19" s="563">
        <v>868</v>
      </c>
      <c r="CA19" s="564">
        <f>SUM(BW19:BZ19)</f>
        <v>3353</v>
      </c>
      <c r="CB19" s="563">
        <v>639</v>
      </c>
      <c r="CC19" s="563">
        <v>729</v>
      </c>
      <c r="CD19" s="563">
        <v>914</v>
      </c>
      <c r="CE19" s="563">
        <v>1015.5</v>
      </c>
      <c r="CF19" s="577">
        <f>SUM(CB19:CE19)</f>
        <v>3297.5</v>
      </c>
      <c r="CG19" s="578">
        <v>616</v>
      </c>
      <c r="CH19" s="563">
        <v>777.3</v>
      </c>
      <c r="CI19" s="563">
        <v>1080.7</v>
      </c>
      <c r="CJ19" s="563">
        <v>1334</v>
      </c>
      <c r="CK19" s="577">
        <f>SUM(CG19:CJ19)</f>
        <v>3808</v>
      </c>
      <c r="CL19" s="563">
        <v>768</v>
      </c>
      <c r="CM19" s="563">
        <v>963.5</v>
      </c>
      <c r="CN19" s="563">
        <v>1294.3</v>
      </c>
      <c r="CO19" s="563">
        <v>1211.5999999999999</v>
      </c>
      <c r="CP19" s="577">
        <f>SUM(CL19:CO19)</f>
        <v>4237.3999999999996</v>
      </c>
      <c r="CQ19" s="563">
        <v>934.7</v>
      </c>
      <c r="CR19" s="563">
        <v>1195</v>
      </c>
      <c r="CS19" s="563">
        <v>1402.8</v>
      </c>
      <c r="CT19" s="563">
        <v>1238.2</v>
      </c>
      <c r="CU19" s="577">
        <f>SUM(CQ19:CT19)</f>
        <v>4770.7</v>
      </c>
      <c r="CV19" s="563">
        <v>1025.9000000000001</v>
      </c>
      <c r="CW19" s="563">
        <v>1240.7</v>
      </c>
      <c r="CX19" s="563">
        <v>1468.1566396100009</v>
      </c>
      <c r="CY19" s="563">
        <v>1492.150308840002</v>
      </c>
      <c r="CZ19" s="577">
        <f>SUM(CV19:CY19)</f>
        <v>5226.9069484500033</v>
      </c>
      <c r="DA19" s="563">
        <v>1101.8</v>
      </c>
      <c r="DB19" s="563">
        <v>1367.4</v>
      </c>
      <c r="DC19" s="563">
        <v>1796.7</v>
      </c>
      <c r="DD19" s="563">
        <v>1634.9</v>
      </c>
      <c r="DE19" s="577">
        <f>SUM(DA19:DD19)</f>
        <v>5900.7999999999993</v>
      </c>
      <c r="DF19" s="563">
        <v>1096.4000000000001</v>
      </c>
      <c r="DG19" s="563">
        <v>1469</v>
      </c>
      <c r="DH19" s="563">
        <v>1645.06691886</v>
      </c>
      <c r="DI19" s="563">
        <v>1829.2448242600017</v>
      </c>
      <c r="DJ19" s="577">
        <f>SUM(DF19:DI19)</f>
        <v>6039.7117431200022</v>
      </c>
      <c r="DK19" s="561">
        <f t="shared" ref="DK19:DN19" ca="1" si="20">DK218</f>
        <v>1174.178482239286</v>
      </c>
      <c r="DL19" s="561">
        <f t="shared" ca="1" si="20"/>
        <v>1552.894923047505</v>
      </c>
      <c r="DM19" s="561">
        <f t="shared" ca="1" si="20"/>
        <v>1807.1501696889095</v>
      </c>
      <c r="DN19" s="561">
        <f t="shared" ca="1" si="20"/>
        <v>1812.8748784258657</v>
      </c>
      <c r="DO19" s="577">
        <f ca="1">SUM(DK19:DN19)</f>
        <v>6347.0984534015661</v>
      </c>
      <c r="DP19" s="561">
        <f ca="1">DP218</f>
        <v>1230.2300405889555</v>
      </c>
      <c r="DQ19" s="561">
        <f ca="1">DQ218</f>
        <v>1596.3714901839958</v>
      </c>
      <c r="DR19" s="561">
        <f ca="1">DR218</f>
        <v>1866.0855940690028</v>
      </c>
      <c r="DS19" s="561">
        <f ca="1">DS218</f>
        <v>1870.7811896726914</v>
      </c>
      <c r="DT19" s="577">
        <f ca="1">SUM(DP19:DS19)</f>
        <v>6563.4683145146455</v>
      </c>
      <c r="DU19" s="561">
        <f ca="1">DU218</f>
        <v>1270.7327759122106</v>
      </c>
      <c r="DV19" s="561">
        <f ca="1">DV218</f>
        <v>1659.8423414212884</v>
      </c>
      <c r="DW19" s="561">
        <f ca="1">DW218</f>
        <v>1945.6728485051995</v>
      </c>
      <c r="DX19" s="561">
        <f ca="1">DX218</f>
        <v>1948.8092942853621</v>
      </c>
      <c r="DY19" s="577">
        <f ca="1">SUM(DU19:DX19)</f>
        <v>6825.0572601240601</v>
      </c>
    </row>
    <row r="20" spans="1:133" x14ac:dyDescent="0.2">
      <c r="A20" s="473"/>
      <c r="B20" s="579" t="s">
        <v>722</v>
      </c>
      <c r="C20" s="469"/>
      <c r="D20" s="469"/>
      <c r="E20" s="469"/>
      <c r="F20" s="469"/>
      <c r="G20" s="469"/>
      <c r="H20" s="469"/>
      <c r="I20" s="580"/>
      <c r="J20" s="469"/>
      <c r="K20" s="469"/>
      <c r="L20" s="469"/>
      <c r="M20" s="469"/>
      <c r="N20" s="580"/>
      <c r="O20" s="469"/>
      <c r="P20" s="469"/>
      <c r="Q20" s="469"/>
      <c r="R20" s="469"/>
      <c r="S20" s="580"/>
      <c r="T20" s="469"/>
      <c r="U20" s="469"/>
      <c r="V20" s="469"/>
      <c r="W20" s="469"/>
      <c r="X20" s="580"/>
      <c r="Y20" s="469"/>
      <c r="Z20" s="469"/>
      <c r="AA20" s="469"/>
      <c r="AB20" s="469"/>
      <c r="AC20" s="580"/>
      <c r="AD20" s="469"/>
      <c r="AE20" s="469"/>
      <c r="AF20" s="469"/>
      <c r="AG20" s="469"/>
      <c r="AH20" s="580"/>
      <c r="AI20" s="469"/>
      <c r="AJ20" s="469"/>
      <c r="AK20" s="469"/>
      <c r="AL20" s="469"/>
      <c r="AM20" s="580"/>
      <c r="AN20" s="469"/>
      <c r="AO20" s="469"/>
      <c r="AP20" s="469"/>
      <c r="AQ20" s="469"/>
      <c r="AR20" s="580"/>
      <c r="AS20" s="469"/>
      <c r="AT20" s="469"/>
      <c r="AU20" s="469"/>
      <c r="AV20" s="469"/>
      <c r="AW20" s="580"/>
      <c r="AX20" s="469"/>
      <c r="AY20" s="469"/>
      <c r="AZ20" s="469"/>
      <c r="BA20" s="469"/>
      <c r="BB20" s="580"/>
      <c r="BC20" s="469"/>
      <c r="BD20" s="469"/>
      <c r="BE20" s="469"/>
      <c r="BF20" s="469"/>
      <c r="BG20" s="580"/>
      <c r="BH20" s="581">
        <f t="shared" ref="BH20:CZ20" si="21">BH19/BH14</f>
        <v>0.11560556425960214</v>
      </c>
      <c r="BI20" s="581">
        <f t="shared" si="21"/>
        <v>8.1750220293535208E-2</v>
      </c>
      <c r="BJ20" s="581">
        <f t="shared" si="21"/>
        <v>8.7717817417890559E-2</v>
      </c>
      <c r="BK20" s="581">
        <f t="shared" si="21"/>
        <v>8.6251442547840937E-2</v>
      </c>
      <c r="BL20" s="582">
        <f t="shared" si="21"/>
        <v>8.5782405605293904E-2</v>
      </c>
      <c r="BM20" s="581">
        <f t="shared" si="21"/>
        <v>7.3202225793566014E-2</v>
      </c>
      <c r="BN20" s="581">
        <f t="shared" si="21"/>
        <v>7.9761279183244493E-2</v>
      </c>
      <c r="BO20" s="581">
        <f t="shared" si="21"/>
        <v>8.4499308934623346E-2</v>
      </c>
      <c r="BP20" s="581">
        <f t="shared" si="21"/>
        <v>8.6547355379615235E-2</v>
      </c>
      <c r="BQ20" s="582">
        <f t="shared" si="21"/>
        <v>8.1118686199427914E-2</v>
      </c>
      <c r="BR20" s="581">
        <f t="shared" si="21"/>
        <v>6.9164614904463004E-2</v>
      </c>
      <c r="BS20" s="581">
        <f t="shared" si="21"/>
        <v>7.1587266199770919E-2</v>
      </c>
      <c r="BT20" s="581">
        <f t="shared" si="21"/>
        <v>7.9130948635104323E-2</v>
      </c>
      <c r="BU20" s="581">
        <f t="shared" si="21"/>
        <v>7.9676845538096647E-2</v>
      </c>
      <c r="BV20" s="582">
        <f t="shared" si="21"/>
        <v>7.510232057182023E-2</v>
      </c>
      <c r="BW20" s="581">
        <f t="shared" si="21"/>
        <v>6.6069618114227777E-2</v>
      </c>
      <c r="BX20" s="581">
        <f t="shared" si="21"/>
        <v>6.9341216216216223E-2</v>
      </c>
      <c r="BY20" s="581">
        <f t="shared" si="21"/>
        <v>7.3956062384705687E-2</v>
      </c>
      <c r="BZ20" s="581">
        <f t="shared" si="21"/>
        <v>7.1281924940461525E-2</v>
      </c>
      <c r="CA20" s="582">
        <f t="shared" si="21"/>
        <v>7.0177274534837478E-2</v>
      </c>
      <c r="CB20" s="581">
        <f t="shared" si="21"/>
        <v>4.5597259882974167E-2</v>
      </c>
      <c r="CC20" s="581">
        <f t="shared" si="21"/>
        <v>4.9969154842689698E-2</v>
      </c>
      <c r="CD20" s="468">
        <f t="shared" si="21"/>
        <v>6.1765103392350321E-2</v>
      </c>
      <c r="CE20" s="468">
        <f t="shared" si="21"/>
        <v>6.3975354841148344E-2</v>
      </c>
      <c r="CF20" s="580">
        <f t="shared" si="21"/>
        <v>5.5631192607926198E-2</v>
      </c>
      <c r="CG20" s="468">
        <f t="shared" si="21"/>
        <v>3.3661202185792348E-2</v>
      </c>
      <c r="CH20" s="468">
        <f t="shared" si="21"/>
        <v>4.2192741523997691E-2</v>
      </c>
      <c r="CI20" s="468">
        <f t="shared" si="21"/>
        <v>5.9775213779218343E-2</v>
      </c>
      <c r="CJ20" s="468">
        <f t="shared" si="21"/>
        <v>7.1558845617423025E-2</v>
      </c>
      <c r="CK20" s="583">
        <f t="shared" si="21"/>
        <v>5.1849027830728173E-2</v>
      </c>
      <c r="CL20" s="468">
        <f t="shared" si="21"/>
        <v>4.1942002075255308E-2</v>
      </c>
      <c r="CM20" s="468">
        <f t="shared" si="21"/>
        <v>5.125054521856616E-2</v>
      </c>
      <c r="CN20" s="468">
        <f t="shared" si="21"/>
        <v>6.6433638220771349E-2</v>
      </c>
      <c r="CO20" s="468">
        <f>CO19/CO14</f>
        <v>6.176905429518225E-2</v>
      </c>
      <c r="CP20" s="580">
        <f t="shared" si="21"/>
        <v>5.5602794442607378E-2</v>
      </c>
      <c r="CQ20" s="468">
        <f>CQ19/CQ14</f>
        <v>4.6283504414437168E-2</v>
      </c>
      <c r="CR20" s="468">
        <f t="shared" si="21"/>
        <v>5.4725388458667444E-2</v>
      </c>
      <c r="CS20" s="468">
        <f t="shared" si="21"/>
        <v>6.2252596077039139E-2</v>
      </c>
      <c r="CT20" s="468">
        <f t="shared" si="21"/>
        <v>5.1863300704104408E-2</v>
      </c>
      <c r="CU20" s="580">
        <f t="shared" si="21"/>
        <v>5.3942969051229243E-2</v>
      </c>
      <c r="CV20" s="468">
        <f t="shared" si="21"/>
        <v>4.2962615530866166E-2</v>
      </c>
      <c r="CW20" s="468">
        <f>CW19/CW14</f>
        <v>5.0762023607389073E-2</v>
      </c>
      <c r="CX20" s="468">
        <f>CX19/CX14</f>
        <v>5.7511021892376217E-2</v>
      </c>
      <c r="CY20" s="468">
        <f>CY19/CY14</f>
        <v>5.6277962615131225E-2</v>
      </c>
      <c r="CZ20" s="580">
        <f t="shared" si="21"/>
        <v>5.2080225681519279E-2</v>
      </c>
      <c r="DA20" s="468">
        <f>DA19/DA14</f>
        <v>3.8303493829306444E-2</v>
      </c>
      <c r="DB20" s="468">
        <f>DB19/DB14</f>
        <v>4.6337306038353496E-2</v>
      </c>
      <c r="DC20" s="468">
        <f>DC19/DC14</f>
        <v>5.9045453201047683E-2</v>
      </c>
      <c r="DD20" s="468">
        <f>DD19/DD14</f>
        <v>5.2301235152418642E-2</v>
      </c>
      <c r="DE20" s="580">
        <f t="shared" ref="DE20:DJ20" si="22">DE19/DE14</f>
        <v>4.9188417781452977E-2</v>
      </c>
      <c r="DF20" s="468">
        <f t="shared" si="22"/>
        <v>3.5115476880602896E-2</v>
      </c>
      <c r="DG20" s="468">
        <f>DG19/DG14</f>
        <v>4.5443858737347492E-2</v>
      </c>
      <c r="DH20" s="468">
        <f>DH19/DH14</f>
        <v>5.0008418061272257E-2</v>
      </c>
      <c r="DI20" s="468">
        <f>DI19/DI14</f>
        <v>5.3561994150405065E-2</v>
      </c>
      <c r="DJ20" s="580">
        <f t="shared" si="22"/>
        <v>4.6247294933867651E-2</v>
      </c>
      <c r="DK20" s="468">
        <f t="shared" ref="DK20:DT20" ca="1" si="23">DK19/DK14</f>
        <v>3.6484952935478765E-2</v>
      </c>
      <c r="DL20" s="468">
        <f t="shared" ca="1" si="23"/>
        <v>4.4532182667397884E-2</v>
      </c>
      <c r="DM20" s="468">
        <f t="shared" ca="1" si="23"/>
        <v>5.1678703674285308E-2</v>
      </c>
      <c r="DN20" s="468">
        <f t="shared" ca="1" si="23"/>
        <v>5.0928839526480682E-2</v>
      </c>
      <c r="DO20" s="580">
        <f t="shared" ca="1" si="23"/>
        <v>4.6120792639524053E-2</v>
      </c>
      <c r="DP20" s="468">
        <f t="shared" ca="1" si="23"/>
        <v>3.6394580113771516E-2</v>
      </c>
      <c r="DQ20" s="468">
        <f t="shared" ca="1" si="23"/>
        <v>4.3635951836434823E-2</v>
      </c>
      <c r="DR20" s="468">
        <f t="shared" ca="1" si="23"/>
        <v>5.0920169081056801E-2</v>
      </c>
      <c r="DS20" s="468">
        <f t="shared" ca="1" si="23"/>
        <v>5.0210753597220895E-2</v>
      </c>
      <c r="DT20" s="580">
        <f t="shared" ca="1" si="23"/>
        <v>4.5487316182981234E-2</v>
      </c>
      <c r="DU20" s="468">
        <f t="shared" ref="DU20:DY20" ca="1" si="24">DU19/DU14</f>
        <v>3.5969093080634888E-2</v>
      </c>
      <c r="DV20" s="468">
        <f t="shared" ca="1" si="24"/>
        <v>4.3487571955091141E-2</v>
      </c>
      <c r="DW20" s="468">
        <f t="shared" ca="1" si="24"/>
        <v>5.0951393886299608E-2</v>
      </c>
      <c r="DX20" s="468">
        <f t="shared" ca="1" si="24"/>
        <v>5.0265987827310843E-2</v>
      </c>
      <c r="DY20" s="580">
        <f t="shared" ca="1" si="24"/>
        <v>4.5363250248190684E-2</v>
      </c>
    </row>
    <row r="21" spans="1:133" x14ac:dyDescent="0.2">
      <c r="A21" s="473"/>
      <c r="B21" s="579"/>
      <c r="C21" s="469"/>
      <c r="D21" s="469"/>
      <c r="E21" s="469"/>
      <c r="F21" s="469"/>
      <c r="G21" s="469"/>
      <c r="H21" s="469"/>
      <c r="I21" s="580"/>
      <c r="J21" s="469"/>
      <c r="K21" s="469"/>
      <c r="L21" s="469"/>
      <c r="M21" s="469"/>
      <c r="N21" s="580"/>
      <c r="O21" s="469"/>
      <c r="P21" s="469"/>
      <c r="Q21" s="469"/>
      <c r="R21" s="469"/>
      <c r="S21" s="580"/>
      <c r="T21" s="469"/>
      <c r="U21" s="469"/>
      <c r="V21" s="469"/>
      <c r="W21" s="469"/>
      <c r="X21" s="580"/>
      <c r="Y21" s="469"/>
      <c r="Z21" s="469"/>
      <c r="AA21" s="469"/>
      <c r="AB21" s="469"/>
      <c r="AC21" s="580"/>
      <c r="AD21" s="469"/>
      <c r="AE21" s="469"/>
      <c r="AF21" s="469"/>
      <c r="AG21" s="469"/>
      <c r="AH21" s="580"/>
      <c r="AI21" s="469"/>
      <c r="AJ21" s="469"/>
      <c r="AK21" s="469"/>
      <c r="AL21" s="469"/>
      <c r="AM21" s="580"/>
      <c r="AN21" s="469"/>
      <c r="AO21" s="469"/>
      <c r="AP21" s="469"/>
      <c r="AQ21" s="469"/>
      <c r="AR21" s="580"/>
      <c r="AS21" s="469"/>
      <c r="AT21" s="469"/>
      <c r="AU21" s="469"/>
      <c r="AV21" s="469"/>
      <c r="AW21" s="580"/>
      <c r="AX21" s="469"/>
      <c r="AY21" s="469"/>
      <c r="AZ21" s="469"/>
      <c r="BA21" s="469"/>
      <c r="BB21" s="580"/>
      <c r="BC21" s="469"/>
      <c r="BD21" s="469"/>
      <c r="BE21" s="469"/>
      <c r="BF21" s="469"/>
      <c r="BG21" s="580"/>
      <c r="BH21" s="469"/>
      <c r="BI21" s="469"/>
      <c r="BJ21" s="469"/>
      <c r="BK21" s="469"/>
      <c r="BL21" s="580"/>
      <c r="BM21" s="469"/>
      <c r="BN21" s="469"/>
      <c r="BO21" s="469"/>
      <c r="BP21" s="469"/>
      <c r="BQ21" s="580"/>
      <c r="BR21" s="469"/>
      <c r="BS21" s="469"/>
      <c r="BT21" s="469"/>
      <c r="BU21" s="469"/>
      <c r="BV21" s="580"/>
      <c r="BW21" s="469"/>
      <c r="BX21" s="469"/>
      <c r="BY21" s="469"/>
      <c r="BZ21" s="469"/>
      <c r="CA21" s="580"/>
      <c r="CB21" s="469"/>
      <c r="CC21" s="469"/>
      <c r="CD21" s="469"/>
      <c r="CE21" s="469"/>
      <c r="CF21" s="580"/>
      <c r="CG21" s="469"/>
      <c r="CH21" s="469"/>
      <c r="CI21" s="469"/>
      <c r="CJ21" s="469"/>
      <c r="CK21" s="580"/>
      <c r="CL21" s="469"/>
      <c r="CM21" s="469"/>
      <c r="CN21" s="469"/>
      <c r="CO21" s="469"/>
      <c r="CP21" s="580"/>
      <c r="CQ21" s="469"/>
      <c r="CR21" s="469"/>
      <c r="CS21" s="469"/>
      <c r="CT21" s="469"/>
      <c r="CU21" s="580"/>
      <c r="CV21" s="469"/>
      <c r="CW21" s="469"/>
      <c r="CX21" s="469"/>
      <c r="CY21" s="469"/>
      <c r="CZ21" s="580"/>
      <c r="DA21" s="469"/>
      <c r="DB21" s="469"/>
      <c r="DC21" s="469"/>
      <c r="DD21" s="469"/>
      <c r="DE21" s="580"/>
      <c r="DF21" s="469"/>
      <c r="DG21" s="469"/>
      <c r="DH21" s="469"/>
      <c r="DI21" s="469"/>
      <c r="DJ21" s="580"/>
      <c r="DK21" s="469"/>
      <c r="DL21" s="469"/>
      <c r="DM21" s="469"/>
      <c r="DN21" s="469"/>
      <c r="DO21" s="580">
        <f ca="1">DO20-DJ20</f>
        <v>-1.2650229434359866E-4</v>
      </c>
      <c r="DP21" s="469"/>
      <c r="DQ21" s="469"/>
      <c r="DR21" s="469"/>
      <c r="DS21" s="469"/>
      <c r="DT21" s="580"/>
      <c r="DU21" s="469"/>
      <c r="DV21" s="469"/>
      <c r="DW21" s="469"/>
      <c r="DX21" s="469"/>
      <c r="DY21" s="580"/>
    </row>
    <row r="22" spans="1:133" outlineLevel="1" x14ac:dyDescent="0.2">
      <c r="A22" s="466"/>
      <c r="B22" s="584" t="s">
        <v>723</v>
      </c>
      <c r="C22" s="585"/>
      <c r="D22" s="585"/>
      <c r="E22" s="585"/>
      <c r="F22" s="585"/>
      <c r="G22" s="585"/>
      <c r="H22" s="585"/>
      <c r="I22" s="586"/>
      <c r="J22" s="585"/>
      <c r="K22" s="585"/>
      <c r="L22" s="585"/>
      <c r="M22" s="585"/>
      <c r="N22" s="586"/>
      <c r="O22" s="585"/>
      <c r="P22" s="585"/>
      <c r="Q22" s="585"/>
      <c r="R22" s="585"/>
      <c r="S22" s="586"/>
      <c r="T22" s="585"/>
      <c r="U22" s="585"/>
      <c r="V22" s="585"/>
      <c r="W22" s="585"/>
      <c r="X22" s="586"/>
      <c r="Y22" s="585"/>
      <c r="Z22" s="585"/>
      <c r="AA22" s="585"/>
      <c r="AB22" s="585"/>
      <c r="AC22" s="586"/>
      <c r="AD22" s="585"/>
      <c r="AE22" s="585"/>
      <c r="AF22" s="585"/>
      <c r="AG22" s="585"/>
      <c r="AH22" s="586"/>
      <c r="AI22" s="585"/>
      <c r="AJ22" s="585"/>
      <c r="AK22" s="585"/>
      <c r="AL22" s="585"/>
      <c r="AM22" s="586"/>
      <c r="AN22" s="585"/>
      <c r="AO22" s="585"/>
      <c r="AP22" s="585"/>
      <c r="AQ22" s="585"/>
      <c r="AR22" s="586"/>
      <c r="AS22" s="585"/>
      <c r="AT22" s="585"/>
      <c r="AU22" s="585"/>
      <c r="AV22" s="585"/>
      <c r="AW22" s="586"/>
      <c r="AX22" s="585"/>
      <c r="AY22" s="585"/>
      <c r="AZ22" s="585"/>
      <c r="BA22" s="585"/>
      <c r="BB22" s="586"/>
      <c r="BC22" s="585"/>
      <c r="BD22" s="585"/>
      <c r="BE22" s="585"/>
      <c r="BF22" s="585"/>
      <c r="BG22" s="586"/>
      <c r="BH22" s="587"/>
      <c r="BI22" s="588">
        <f>BI24-BI23</f>
        <v>261.99999999999994</v>
      </c>
      <c r="BJ22" s="585"/>
      <c r="BK22" s="585"/>
      <c r="BL22" s="589">
        <f>SUM(BH22:BK22)</f>
        <v>261.99999999999994</v>
      </c>
      <c r="BM22" s="588">
        <f>BM24-BM23</f>
        <v>195.70000000000002</v>
      </c>
      <c r="BN22" s="588">
        <f>BN24-BN23</f>
        <v>186.5</v>
      </c>
      <c r="BO22" s="588">
        <f>BO24-BO23</f>
        <v>184.3</v>
      </c>
      <c r="BP22" s="587"/>
      <c r="BQ22" s="589">
        <f>SUM(BM22:BP22)</f>
        <v>566.5</v>
      </c>
      <c r="BR22" s="585"/>
      <c r="BS22" s="585"/>
      <c r="BT22" s="585"/>
      <c r="BU22" s="585"/>
      <c r="BV22" s="586"/>
      <c r="BW22" s="585"/>
      <c r="BX22" s="585"/>
      <c r="BY22" s="585"/>
      <c r="BZ22" s="590"/>
      <c r="CA22" s="591"/>
      <c r="CB22" s="585"/>
      <c r="CC22" s="585"/>
      <c r="CD22" s="585"/>
      <c r="CE22" s="585"/>
      <c r="CF22" s="586"/>
      <c r="CG22" s="585"/>
      <c r="CH22" s="585"/>
      <c r="CI22" s="585"/>
      <c r="CJ22" s="585"/>
      <c r="CK22" s="580"/>
      <c r="CL22" s="585"/>
      <c r="CM22" s="585"/>
      <c r="CN22" s="585"/>
      <c r="CO22" s="585"/>
      <c r="CP22" s="586"/>
      <c r="CQ22" s="585"/>
      <c r="CR22" s="585"/>
      <c r="CS22" s="585"/>
      <c r="CT22" s="585"/>
      <c r="CU22" s="586"/>
      <c r="CV22" s="585"/>
      <c r="CW22" s="585"/>
      <c r="CX22" s="585"/>
      <c r="CY22" s="585"/>
      <c r="CZ22" s="586"/>
      <c r="DA22" s="585"/>
      <c r="DB22" s="585"/>
      <c r="DC22" s="585"/>
      <c r="DD22" s="585"/>
      <c r="DE22" s="586"/>
      <c r="DF22" s="585"/>
      <c r="DG22" s="585"/>
      <c r="DH22" s="585"/>
      <c r="DI22" s="2798"/>
      <c r="DJ22" s="586"/>
      <c r="DK22" s="585"/>
      <c r="DL22" s="585"/>
      <c r="DM22" s="585"/>
      <c r="DN22" s="585"/>
      <c r="DO22" s="586"/>
      <c r="DP22" s="585"/>
      <c r="DQ22" s="585"/>
      <c r="DR22" s="585"/>
      <c r="DS22" s="585"/>
      <c r="DT22" s="586"/>
      <c r="DU22" s="585"/>
      <c r="DV22" s="585"/>
      <c r="DW22" s="585"/>
      <c r="DX22" s="585"/>
      <c r="DY22" s="586"/>
    </row>
    <row r="23" spans="1:133" outlineLevel="1" x14ac:dyDescent="0.2">
      <c r="A23" s="466"/>
      <c r="B23" s="584" t="s">
        <v>724</v>
      </c>
      <c r="C23" s="585"/>
      <c r="D23" s="585"/>
      <c r="E23" s="585"/>
      <c r="F23" s="585"/>
      <c r="G23" s="585"/>
      <c r="H23" s="585"/>
      <c r="I23" s="586"/>
      <c r="J23" s="585"/>
      <c r="K23" s="585"/>
      <c r="L23" s="585"/>
      <c r="M23" s="585"/>
      <c r="N23" s="586"/>
      <c r="O23" s="585"/>
      <c r="P23" s="585"/>
      <c r="Q23" s="585"/>
      <c r="R23" s="585"/>
      <c r="S23" s="586"/>
      <c r="T23" s="585"/>
      <c r="U23" s="585"/>
      <c r="V23" s="585"/>
      <c r="W23" s="585"/>
      <c r="X23" s="586"/>
      <c r="Y23" s="585"/>
      <c r="Z23" s="585"/>
      <c r="AA23" s="585"/>
      <c r="AB23" s="585"/>
      <c r="AC23" s="586"/>
      <c r="AD23" s="585"/>
      <c r="AE23" s="585"/>
      <c r="AF23" s="585"/>
      <c r="AG23" s="585"/>
      <c r="AH23" s="586"/>
      <c r="AI23" s="585"/>
      <c r="AJ23" s="585"/>
      <c r="AK23" s="585"/>
      <c r="AL23" s="585"/>
      <c r="AM23" s="586"/>
      <c r="AN23" s="585"/>
      <c r="AO23" s="585"/>
      <c r="AP23" s="585"/>
      <c r="AQ23" s="585"/>
      <c r="AR23" s="586"/>
      <c r="AS23" s="585"/>
      <c r="AT23" s="585"/>
      <c r="AU23" s="585"/>
      <c r="AV23" s="585"/>
      <c r="AW23" s="586"/>
      <c r="AX23" s="585"/>
      <c r="AY23" s="585"/>
      <c r="AZ23" s="585"/>
      <c r="BA23" s="585"/>
      <c r="BB23" s="586"/>
      <c r="BC23" s="585"/>
      <c r="BD23" s="585"/>
      <c r="BE23" s="585"/>
      <c r="BF23" s="585"/>
      <c r="BG23" s="586"/>
      <c r="BH23" s="592">
        <v>215.2</v>
      </c>
      <c r="BI23" s="592">
        <v>18.8</v>
      </c>
      <c r="BJ23" s="585"/>
      <c r="BK23" s="585"/>
      <c r="BL23" s="589">
        <f>SUM(BH23:BK23)</f>
        <v>234</v>
      </c>
      <c r="BM23" s="592">
        <v>10.4</v>
      </c>
      <c r="BN23" s="592">
        <v>5</v>
      </c>
      <c r="BO23" s="592">
        <v>2.7</v>
      </c>
      <c r="BP23" s="587"/>
      <c r="BQ23" s="589">
        <f>SUM(BM23:BP23)</f>
        <v>18.100000000000001</v>
      </c>
      <c r="BR23" s="585"/>
      <c r="BS23" s="585"/>
      <c r="BT23" s="585"/>
      <c r="BU23" s="585"/>
      <c r="BV23" s="586"/>
      <c r="BW23" s="585"/>
      <c r="BX23" s="585"/>
      <c r="BY23" s="585"/>
      <c r="BZ23" s="585"/>
      <c r="CA23" s="586"/>
      <c r="CB23" s="585"/>
      <c r="CC23" s="585"/>
      <c r="CD23" s="585"/>
      <c r="CE23" s="585"/>
      <c r="CF23" s="586"/>
      <c r="CG23" s="585"/>
      <c r="CH23" s="585"/>
      <c r="CI23" s="585"/>
      <c r="CJ23" s="585"/>
      <c r="CK23" s="593"/>
      <c r="CL23" s="585"/>
      <c r="CM23" s="585"/>
      <c r="CN23" s="585"/>
      <c r="CO23" s="585"/>
      <c r="CP23" s="586"/>
      <c r="CQ23" s="585"/>
      <c r="CR23" s="585"/>
      <c r="CS23" s="585"/>
      <c r="CT23" s="585"/>
      <c r="CU23" s="586"/>
      <c r="CV23" s="585"/>
      <c r="CW23" s="585"/>
      <c r="CX23" s="585"/>
      <c r="CY23" s="585"/>
      <c r="CZ23" s="586"/>
      <c r="DA23" s="585"/>
      <c r="DB23" s="585"/>
      <c r="DC23" s="585"/>
      <c r="DD23" s="585"/>
      <c r="DE23" s="586"/>
      <c r="DF23" s="585"/>
      <c r="DG23" s="585"/>
      <c r="DH23" s="585"/>
      <c r="DI23" s="2798"/>
      <c r="DJ23" s="586"/>
      <c r="DK23" s="585"/>
      <c r="DL23" s="585"/>
      <c r="DM23" s="585"/>
      <c r="DN23" s="585"/>
      <c r="DO23" s="586"/>
      <c r="DP23" s="585"/>
      <c r="DQ23" s="585"/>
      <c r="DR23" s="585"/>
      <c r="DS23" s="585"/>
      <c r="DT23" s="586"/>
      <c r="DU23" s="585"/>
      <c r="DV23" s="585"/>
      <c r="DW23" s="585"/>
      <c r="DX23" s="585"/>
      <c r="DY23" s="586"/>
      <c r="EA23">
        <f>38000</f>
        <v>38000</v>
      </c>
      <c r="EB23" s="2777">
        <f>38000</f>
        <v>38000</v>
      </c>
    </row>
    <row r="24" spans="1:133" x14ac:dyDescent="0.2">
      <c r="A24" s="471"/>
      <c r="B24" s="594" t="s">
        <v>725</v>
      </c>
      <c r="C24" s="550"/>
      <c r="D24" s="550"/>
      <c r="E24" s="550"/>
      <c r="F24" s="550"/>
      <c r="G24" s="550"/>
      <c r="H24" s="550"/>
      <c r="I24" s="551"/>
      <c r="J24" s="550"/>
      <c r="K24" s="550"/>
      <c r="L24" s="550"/>
      <c r="M24" s="550"/>
      <c r="N24" s="551"/>
      <c r="O24" s="550"/>
      <c r="P24" s="550"/>
      <c r="Q24" s="550"/>
      <c r="R24" s="550"/>
      <c r="S24" s="551"/>
      <c r="T24" s="550"/>
      <c r="U24" s="550"/>
      <c r="V24" s="550"/>
      <c r="W24" s="550"/>
      <c r="X24" s="551"/>
      <c r="Y24" s="550"/>
      <c r="Z24" s="550"/>
      <c r="AA24" s="550"/>
      <c r="AB24" s="550"/>
      <c r="AC24" s="551"/>
      <c r="AD24" s="550"/>
      <c r="AE24" s="550"/>
      <c r="AF24" s="550"/>
      <c r="AG24" s="550"/>
      <c r="AH24" s="551"/>
      <c r="AI24" s="550"/>
      <c r="AJ24" s="550"/>
      <c r="AK24" s="550"/>
      <c r="AL24" s="550"/>
      <c r="AM24" s="551"/>
      <c r="AN24" s="550"/>
      <c r="AO24" s="550"/>
      <c r="AP24" s="550"/>
      <c r="AQ24" s="550"/>
      <c r="AR24" s="551"/>
      <c r="AS24" s="550"/>
      <c r="AT24" s="550"/>
      <c r="AU24" s="550"/>
      <c r="AV24" s="550"/>
      <c r="AW24" s="551"/>
      <c r="AX24" s="550"/>
      <c r="AY24" s="550"/>
      <c r="AZ24" s="550"/>
      <c r="BA24" s="550"/>
      <c r="BB24" s="553">
        <f t="shared" ref="BB24:BK24" si="25">BB60-BB34</f>
        <v>123.1</v>
      </c>
      <c r="BC24" s="574">
        <f t="shared" si="25"/>
        <v>37.000000000000007</v>
      </c>
      <c r="BD24" s="574">
        <f t="shared" si="25"/>
        <v>34.799999999999997</v>
      </c>
      <c r="BE24" s="574">
        <f t="shared" si="25"/>
        <v>33.200000000000003</v>
      </c>
      <c r="BF24" s="574">
        <f t="shared" si="25"/>
        <v>35.700000000000003</v>
      </c>
      <c r="BG24" s="553">
        <f t="shared" si="25"/>
        <v>140.69999999999925</v>
      </c>
      <c r="BH24" s="574">
        <f t="shared" si="25"/>
        <v>141.9</v>
      </c>
      <c r="BI24" s="574">
        <f t="shared" si="25"/>
        <v>280.79999999999995</v>
      </c>
      <c r="BJ24" s="574">
        <f t="shared" si="25"/>
        <v>280.59999999999991</v>
      </c>
      <c r="BK24" s="574">
        <f t="shared" si="25"/>
        <v>246.79999999999995</v>
      </c>
      <c r="BL24" s="595">
        <v>895.1</v>
      </c>
      <c r="BM24" s="574">
        <f>BM19-BM34</f>
        <v>206.10000000000002</v>
      </c>
      <c r="BN24" s="574">
        <f>BN19-BN34</f>
        <v>191.5</v>
      </c>
      <c r="BO24" s="574">
        <f>BO19-BO34</f>
        <v>187</v>
      </c>
      <c r="BP24" s="574">
        <f>BP19-BP34</f>
        <v>210.90000000000009</v>
      </c>
      <c r="BQ24" s="595">
        <v>795</v>
      </c>
      <c r="BR24" s="574">
        <f>BR19-BR34</f>
        <v>260.89999999999998</v>
      </c>
      <c r="BS24" s="574">
        <f>BS19-BS34</f>
        <v>234.30000000000007</v>
      </c>
      <c r="BT24" s="574">
        <f>BT19-BT34</f>
        <v>231.89999999999986</v>
      </c>
      <c r="BU24" s="574">
        <f>BU19-BU34</f>
        <v>242</v>
      </c>
      <c r="BV24" s="595">
        <v>969</v>
      </c>
      <c r="BW24" s="574">
        <f>BW19-BW34</f>
        <v>244</v>
      </c>
      <c r="BX24" s="574">
        <f>BX19-BX34</f>
        <v>230</v>
      </c>
      <c r="BY24" s="574">
        <f>BY19-BY34</f>
        <v>230</v>
      </c>
      <c r="BZ24" s="574">
        <f>BZ19-BZ34</f>
        <v>260</v>
      </c>
      <c r="CA24" s="553">
        <f>CA26+CA32</f>
        <v>964</v>
      </c>
      <c r="CB24" s="552">
        <v>242</v>
      </c>
      <c r="CC24" s="552">
        <v>275</v>
      </c>
      <c r="CD24" s="552">
        <v>257</v>
      </c>
      <c r="CE24" s="552">
        <v>291.10000000000002</v>
      </c>
      <c r="CF24" s="551">
        <f>CF26+CF32</f>
        <v>1065.0999999999999</v>
      </c>
      <c r="CG24" s="552">
        <v>267</v>
      </c>
      <c r="CH24" s="552">
        <v>265.89999999999998</v>
      </c>
      <c r="CI24" s="552">
        <v>296.7</v>
      </c>
      <c r="CJ24" s="552">
        <v>299</v>
      </c>
      <c r="CK24" s="551">
        <f>CK26+CK32</f>
        <v>1128.5999999999999</v>
      </c>
      <c r="CL24" s="552">
        <v>269</v>
      </c>
      <c r="CM24" s="552">
        <v>288.10000000000002</v>
      </c>
      <c r="CN24" s="552">
        <v>293.3</v>
      </c>
      <c r="CO24" s="552">
        <v>311.2</v>
      </c>
      <c r="CP24" s="551">
        <f ca="1">CP26+CP32</f>
        <v>1161.5999999999999</v>
      </c>
      <c r="CQ24" s="552">
        <v>294.10000000000002</v>
      </c>
      <c r="CR24" s="552">
        <v>316.7</v>
      </c>
      <c r="CS24" s="552">
        <v>316.39999999999998</v>
      </c>
      <c r="CT24" s="552">
        <v>329.5</v>
      </c>
      <c r="CU24" s="551">
        <f>CU26+CU32</f>
        <v>1256.6999999999998</v>
      </c>
      <c r="CV24" s="552">
        <v>291.89999999999998</v>
      </c>
      <c r="CW24" s="552">
        <v>300.2</v>
      </c>
      <c r="CX24" s="552">
        <v>305.8</v>
      </c>
      <c r="CY24" s="552">
        <v>339.85660813999999</v>
      </c>
      <c r="CZ24" s="551">
        <f>SUM(CV24:CY24)</f>
        <v>1237.7566081399998</v>
      </c>
      <c r="DA24" s="552">
        <v>319.32900000000001</v>
      </c>
      <c r="DB24" s="552">
        <v>328.4</v>
      </c>
      <c r="DC24" s="552">
        <v>340.5</v>
      </c>
      <c r="DD24" s="552">
        <v>329</v>
      </c>
      <c r="DE24" s="551">
        <f>DE26+DE32</f>
        <v>1317.229</v>
      </c>
      <c r="DF24" s="552">
        <v>312.5</v>
      </c>
      <c r="DG24" s="552">
        <v>334.3</v>
      </c>
      <c r="DH24" s="552">
        <v>292.14958975000002</v>
      </c>
      <c r="DI24" s="2799">
        <v>346.15327301999997</v>
      </c>
      <c r="DJ24" s="551">
        <f t="shared" ref="DJ24:DT24" si="26">DJ26+DJ32</f>
        <v>1285.10286277</v>
      </c>
      <c r="DK24" s="550">
        <f t="shared" si="26"/>
        <v>376.17849694080002</v>
      </c>
      <c r="DL24" s="550">
        <f t="shared" si="26"/>
        <v>343.14503238766713</v>
      </c>
      <c r="DM24" s="550">
        <f t="shared" si="26"/>
        <v>336.23305155920002</v>
      </c>
      <c r="DN24" s="550">
        <f t="shared" si="26"/>
        <v>350.90581616116117</v>
      </c>
      <c r="DO24" s="551">
        <f t="shared" si="26"/>
        <v>1406.4623970488283</v>
      </c>
      <c r="DP24" s="550">
        <f t="shared" si="26"/>
        <v>353.96382799679998</v>
      </c>
      <c r="DQ24" s="550">
        <f t="shared" si="26"/>
        <v>322.2224282710248</v>
      </c>
      <c r="DR24" s="550">
        <f t="shared" si="26"/>
        <v>317.7740818872</v>
      </c>
      <c r="DS24" s="550">
        <f t="shared" si="26"/>
        <v>326.66051516967843</v>
      </c>
      <c r="DT24" s="551">
        <f t="shared" si="26"/>
        <v>1320.6208533247034</v>
      </c>
      <c r="DU24" s="550">
        <f t="shared" ref="DU24:DY24" si="27">DU26+DU32</f>
        <v>330.83620118964802</v>
      </c>
      <c r="DV24" s="550">
        <f t="shared" si="27"/>
        <v>298.49710827640916</v>
      </c>
      <c r="DW24" s="550">
        <f t="shared" si="27"/>
        <v>294.04645900434099</v>
      </c>
      <c r="DX24" s="550">
        <f t="shared" si="27"/>
        <v>302.33496696416694</v>
      </c>
      <c r="DY24" s="551">
        <f t="shared" si="27"/>
        <v>1225.714735434565</v>
      </c>
      <c r="EA24" s="2517">
        <f ca="1">DT35</f>
        <v>3.6334914520559036E-2</v>
      </c>
      <c r="EB24" s="2517">
        <f ca="1">EA24*0.85</f>
        <v>3.0884677342475179E-2</v>
      </c>
    </row>
    <row r="25" spans="1:133" x14ac:dyDescent="0.2">
      <c r="A25" s="473"/>
      <c r="B25" s="579" t="s">
        <v>217</v>
      </c>
      <c r="C25" s="469"/>
      <c r="D25" s="469"/>
      <c r="E25" s="469"/>
      <c r="F25" s="469"/>
      <c r="G25" s="469"/>
      <c r="H25" s="469"/>
      <c r="I25" s="580"/>
      <c r="J25" s="469"/>
      <c r="K25" s="469"/>
      <c r="L25" s="469"/>
      <c r="M25" s="469"/>
      <c r="N25" s="580"/>
      <c r="O25" s="469"/>
      <c r="P25" s="469"/>
      <c r="Q25" s="469"/>
      <c r="R25" s="469"/>
      <c r="S25" s="580"/>
      <c r="T25" s="469"/>
      <c r="U25" s="469"/>
      <c r="V25" s="469"/>
      <c r="W25" s="469"/>
      <c r="X25" s="580"/>
      <c r="Y25" s="469"/>
      <c r="Z25" s="469"/>
      <c r="AA25" s="469"/>
      <c r="AB25" s="469"/>
      <c r="AC25" s="580"/>
      <c r="AD25" s="469"/>
      <c r="AE25" s="469"/>
      <c r="AF25" s="469"/>
      <c r="AG25" s="469"/>
      <c r="AH25" s="580"/>
      <c r="AI25" s="469"/>
      <c r="AJ25" s="469"/>
      <c r="AK25" s="469"/>
      <c r="AL25" s="469"/>
      <c r="AM25" s="580"/>
      <c r="AN25" s="469"/>
      <c r="AO25" s="469"/>
      <c r="AP25" s="469"/>
      <c r="AQ25" s="469"/>
      <c r="AR25" s="580"/>
      <c r="AS25" s="469"/>
      <c r="AT25" s="469"/>
      <c r="AU25" s="469"/>
      <c r="AV25" s="469"/>
      <c r="AW25" s="580"/>
      <c r="AX25" s="469"/>
      <c r="AY25" s="469"/>
      <c r="AZ25" s="469"/>
      <c r="BA25" s="469"/>
      <c r="BB25" s="582">
        <f>BB24/BB$14</f>
        <v>4.1641296258710506E-2</v>
      </c>
      <c r="BC25" s="581">
        <f>BC24/BC14</f>
        <v>4.1568363105269075E-2</v>
      </c>
      <c r="BD25" s="581">
        <f>BD24/BD14</f>
        <v>4.071127749181095E-2</v>
      </c>
      <c r="BE25" s="581">
        <f>BE24/BE14</f>
        <v>3.5565077664702738E-2</v>
      </c>
      <c r="BF25" s="581">
        <f>BF24/BF14</f>
        <v>3.5245335176226682E-2</v>
      </c>
      <c r="BG25" s="582">
        <f>BG24/BG$14</f>
        <v>3.8116652669790932E-2</v>
      </c>
      <c r="BH25" s="581">
        <f>BH24/BH14</f>
        <v>6.736932060959977E-2</v>
      </c>
      <c r="BI25" s="581">
        <f>BI24/BI14</f>
        <v>2.6605774059370285E-2</v>
      </c>
      <c r="BJ25" s="581">
        <f>BJ24/BJ14</f>
        <v>2.6316283082925357E-2</v>
      </c>
      <c r="BK25" s="581">
        <f>BK24/BK14</f>
        <v>2.1254973560466437E-2</v>
      </c>
      <c r="BL25" s="582">
        <f>BL24/BL$14</f>
        <v>2.561937581572139E-2</v>
      </c>
      <c r="BM25" s="581">
        <f>BM24/BM14</f>
        <v>1.9145912101591316E-2</v>
      </c>
      <c r="BN25" s="581">
        <f>BN24/BN14</f>
        <v>1.7969747015989787E-2</v>
      </c>
      <c r="BO25" s="581">
        <f>BO24/BO14</f>
        <v>1.7702633621750577E-2</v>
      </c>
      <c r="BP25" s="581">
        <f>BP24/BP14</f>
        <v>1.7896693057712385E-2</v>
      </c>
      <c r="BQ25" s="582">
        <f>BQ24/BQ$14</f>
        <v>1.8163457408405911E-2</v>
      </c>
      <c r="BR25" s="581">
        <f>BR24/BR14</f>
        <v>2.2618510940805213E-2</v>
      </c>
      <c r="BS25" s="581">
        <f>BS24/BS14</f>
        <v>1.8012131089568655E-2</v>
      </c>
      <c r="BT25" s="581">
        <f>BT24/BT14</f>
        <v>1.7796980883018797E-2</v>
      </c>
      <c r="BU25" s="581">
        <f>BU24/BU14</f>
        <v>1.7936554995552922E-2</v>
      </c>
      <c r="BV25" s="582">
        <f>BV24/BV$14</f>
        <v>1.8975815137569765E-2</v>
      </c>
      <c r="BW25" s="581">
        <f>BW24/BW14</f>
        <v>2.0615072659682324E-2</v>
      </c>
      <c r="BX25" s="581">
        <f>BX24/BX14</f>
        <v>1.9425675675675675E-2</v>
      </c>
      <c r="BY25" s="581">
        <f>BY24/BY14</f>
        <v>1.9285594499413049E-2</v>
      </c>
      <c r="BZ25" s="581">
        <f>BZ24/BZ14</f>
        <v>2.1351728668801841E-2</v>
      </c>
      <c r="CA25" s="582">
        <f>CA24/CA$14</f>
        <v>2.0176228049980118E-2</v>
      </c>
      <c r="CB25" s="581">
        <f>CB24/CB14</f>
        <v>1.726844583987441E-2</v>
      </c>
      <c r="CC25" s="581">
        <f>CC24/CC14</f>
        <v>1.8849818356295841E-2</v>
      </c>
      <c r="CD25" s="581">
        <f>CD24/CD14</f>
        <v>1.7367211785376403E-2</v>
      </c>
      <c r="CE25" s="581">
        <f>CE24/CE14</f>
        <v>1.8338971732405993E-2</v>
      </c>
      <c r="CF25" s="580">
        <f>CF24/CF$14</f>
        <v>1.7969001742745166E-2</v>
      </c>
      <c r="CG25" s="581">
        <f>CG24/CG14</f>
        <v>1.4590163934426229E-2</v>
      </c>
      <c r="CH25" s="468">
        <f>CH24/CH14</f>
        <v>1.4433359026413206E-2</v>
      </c>
      <c r="CI25" s="468">
        <f>CI24/CI14</f>
        <v>1.6410942841023488E-2</v>
      </c>
      <c r="CJ25" s="468">
        <f>CJ24/CJ14</f>
        <v>1.6039051603905161E-2</v>
      </c>
      <c r="CK25" s="580">
        <f>CK24/CK$14</f>
        <v>1.5366810086596589E-2</v>
      </c>
      <c r="CL25" s="468">
        <f>CL24/CL14</f>
        <v>1.4690623122713123E-2</v>
      </c>
      <c r="CM25" s="468">
        <f>CM24/CM14</f>
        <v>1.532463111309695E-2</v>
      </c>
      <c r="CN25" s="468">
        <f>CN24/CN14</f>
        <v>1.5054458850461437E-2</v>
      </c>
      <c r="CO25" s="468">
        <f>CO24/CO14</f>
        <v>1.5865409125669132E-2</v>
      </c>
      <c r="CP25" s="580">
        <f ca="1">CP24/CP$14</f>
        <v>1.5242414222054261E-2</v>
      </c>
      <c r="CQ25" s="468">
        <f>CQ24/CQ14</f>
        <v>1.4562938534595027E-2</v>
      </c>
      <c r="CR25" s="468">
        <f>CR24/CR14</f>
        <v>1.4503372824150609E-2</v>
      </c>
      <c r="CS25" s="468">
        <f>CS24/CS14</f>
        <v>1.404100470400284E-2</v>
      </c>
      <c r="CT25" s="468">
        <f>CT24/CT14</f>
        <v>1.3801451770313684E-2</v>
      </c>
      <c r="CU25" s="580">
        <f>CU24/CU$14</f>
        <v>1.4209681851023915E-2</v>
      </c>
      <c r="CV25" s="468">
        <f>CV24/CV14</f>
        <v>1.2224181180875164E-2</v>
      </c>
      <c r="CW25" s="468">
        <f>CW24/CW14</f>
        <v>1.2282388560440234E-2</v>
      </c>
      <c r="CX25" s="468">
        <f>CX24/CX14</f>
        <v>1.1978878833637532E-2</v>
      </c>
      <c r="CY25" s="468">
        <f>CY24/CY14</f>
        <v>1.28180367447547E-2</v>
      </c>
      <c r="CZ25" s="580">
        <f>CZ24/CZ$14</f>
        <v>1.2332846964080523E-2</v>
      </c>
      <c r="DA25" s="468">
        <f>DA24/DA14</f>
        <v>1.110130366765166E-2</v>
      </c>
      <c r="DB25" s="468">
        <f>DB24/DB14</f>
        <v>1.112854417361071E-2</v>
      </c>
      <c r="DC25" s="468">
        <f>DC24/DC14</f>
        <v>1.1189946465718671E-2</v>
      </c>
      <c r="DD25" s="468">
        <f>DD24/DD14</f>
        <v>1.0524867799342915E-2</v>
      </c>
      <c r="DE25" s="580">
        <f>DE24/DE$14</f>
        <v>1.0980275617856142E-2</v>
      </c>
      <c r="DF25" s="468">
        <f>DF24/DF14</f>
        <v>1.0008743638442542E-2</v>
      </c>
      <c r="DG25" s="468">
        <f>DG24/DG14</f>
        <v>1.0341648724230951E-2</v>
      </c>
      <c r="DH25" s="468">
        <f>DH24/DH14</f>
        <v>8.8810604925248816E-3</v>
      </c>
      <c r="DI25" s="468">
        <f>DI24/DI14</f>
        <v>1.0135690607811996E-2</v>
      </c>
      <c r="DJ25" s="580">
        <f>DJ24/DJ$14</f>
        <v>9.8402926567783683E-3</v>
      </c>
      <c r="DK25" s="468">
        <f ca="1">DK24/DK14</f>
        <v>1.1688899910726894E-2</v>
      </c>
      <c r="DL25" s="468">
        <f ca="1">DL24/DL14</f>
        <v>9.8403292050883266E-3</v>
      </c>
      <c r="DM25" s="468">
        <f ca="1">DM24/DM14</f>
        <v>9.6151877848755559E-3</v>
      </c>
      <c r="DN25" s="468">
        <f ca="1">DN24/DN14</f>
        <v>9.857947844529813E-3</v>
      </c>
      <c r="DO25" s="580">
        <f ca="1">DO24/DO$14</f>
        <v>1.0219970754481215E-2</v>
      </c>
      <c r="DP25" s="468">
        <f ca="1">DP24/DP14</f>
        <v>1.047150896204707E-2</v>
      </c>
      <c r="DQ25" s="468">
        <f ca="1">DQ24/DQ14</f>
        <v>8.8077759137585952E-3</v>
      </c>
      <c r="DR25" s="468">
        <f ca="1">DR24/DR14</f>
        <v>8.6711510075970725E-3</v>
      </c>
      <c r="DS25" s="468">
        <f ca="1">DS24/DS14</f>
        <v>8.7673912522049698E-3</v>
      </c>
      <c r="DT25" s="580">
        <f ca="1">DT24/DT$14</f>
        <v>9.1524016624221979E-3</v>
      </c>
      <c r="DU25" s="468">
        <f ca="1">DU24/DU14</f>
        <v>9.3645795092454683E-3</v>
      </c>
      <c r="DV25" s="468">
        <f ca="1">DV24/DV14</f>
        <v>7.8205707557994254E-3</v>
      </c>
      <c r="DW25" s="468">
        <f ca="1">DW24/DW14</f>
        <v>7.7002035389002301E-3</v>
      </c>
      <c r="DX25" s="468">
        <f ca="1">DX24/DX14</f>
        <v>7.7981800547416401E-3</v>
      </c>
      <c r="DY25" s="580">
        <f ca="1">DY24/DY$14</f>
        <v>8.1468040717071321E-3</v>
      </c>
      <c r="EA25">
        <f ca="1">EA23*EA24</f>
        <v>1380.7267517812434</v>
      </c>
      <c r="EB25" s="2777">
        <f ca="1">EB23*EB24</f>
        <v>1173.6177390140567</v>
      </c>
      <c r="EC25">
        <f ca="1">EA25-EB25</f>
        <v>207.10901276718664</v>
      </c>
    </row>
    <row r="26" spans="1:133" outlineLevel="1" x14ac:dyDescent="0.2">
      <c r="A26" s="471"/>
      <c r="B26" s="549" t="s">
        <v>726</v>
      </c>
      <c r="C26" s="550"/>
      <c r="D26" s="550"/>
      <c r="E26" s="550"/>
      <c r="F26" s="550"/>
      <c r="G26" s="550"/>
      <c r="H26" s="550"/>
      <c r="I26" s="551"/>
      <c r="J26" s="550"/>
      <c r="K26" s="550"/>
      <c r="L26" s="550"/>
      <c r="M26" s="550"/>
      <c r="N26" s="551"/>
      <c r="O26" s="550"/>
      <c r="P26" s="550"/>
      <c r="Q26" s="550"/>
      <c r="R26" s="550"/>
      <c r="S26" s="551"/>
      <c r="T26" s="550"/>
      <c r="U26" s="550"/>
      <c r="V26" s="550"/>
      <c r="W26" s="550"/>
      <c r="X26" s="551"/>
      <c r="Y26" s="550"/>
      <c r="Z26" s="550"/>
      <c r="AA26" s="550"/>
      <c r="AB26" s="550"/>
      <c r="AC26" s="551"/>
      <c r="AD26" s="550"/>
      <c r="AE26" s="550"/>
      <c r="AF26" s="550"/>
      <c r="AG26" s="550"/>
      <c r="AH26" s="551"/>
      <c r="AI26" s="550"/>
      <c r="AJ26" s="550"/>
      <c r="AK26" s="550"/>
      <c r="AL26" s="550"/>
      <c r="AM26" s="551"/>
      <c r="AN26" s="550"/>
      <c r="AO26" s="550"/>
      <c r="AP26" s="550"/>
      <c r="AQ26" s="550"/>
      <c r="AR26" s="551"/>
      <c r="AS26" s="550"/>
      <c r="AT26" s="550"/>
      <c r="AU26" s="550"/>
      <c r="AV26" s="550"/>
      <c r="AW26" s="551"/>
      <c r="AX26" s="550"/>
      <c r="AY26" s="550"/>
      <c r="AZ26" s="550"/>
      <c r="BA26" s="550"/>
      <c r="BB26" s="553">
        <f t="shared" ref="BB26:BZ26" si="28">BB24-BB32</f>
        <v>82.5</v>
      </c>
      <c r="BC26" s="574">
        <f t="shared" si="28"/>
        <v>26.650000000000006</v>
      </c>
      <c r="BD26" s="574">
        <f t="shared" si="28"/>
        <v>24.449999999999996</v>
      </c>
      <c r="BE26" s="574">
        <f t="shared" si="28"/>
        <v>22.85</v>
      </c>
      <c r="BF26" s="574">
        <f t="shared" si="28"/>
        <v>25.35</v>
      </c>
      <c r="BG26" s="553">
        <f t="shared" si="28"/>
        <v>99.299999999999244</v>
      </c>
      <c r="BH26" s="574">
        <f t="shared" si="28"/>
        <v>53.600000000000009</v>
      </c>
      <c r="BI26" s="574">
        <f t="shared" si="28"/>
        <v>188.79999999999995</v>
      </c>
      <c r="BJ26" s="574">
        <f t="shared" si="28"/>
        <v>192.1999999999999</v>
      </c>
      <c r="BK26" s="574">
        <f t="shared" si="28"/>
        <v>156.59999999999997</v>
      </c>
      <c r="BL26" s="553">
        <f t="shared" si="28"/>
        <v>605.79999999999995</v>
      </c>
      <c r="BM26" s="574">
        <f t="shared" si="28"/>
        <v>119.60000000000002</v>
      </c>
      <c r="BN26" s="574">
        <f t="shared" si="28"/>
        <v>103.9</v>
      </c>
      <c r="BO26" s="574">
        <f t="shared" si="28"/>
        <v>98.8</v>
      </c>
      <c r="BP26" s="574">
        <f t="shared" si="28"/>
        <v>118.20000000000009</v>
      </c>
      <c r="BQ26" s="553">
        <f t="shared" si="28"/>
        <v>438</v>
      </c>
      <c r="BR26" s="574">
        <f t="shared" si="28"/>
        <v>166.49999999999997</v>
      </c>
      <c r="BS26" s="574">
        <f t="shared" si="28"/>
        <v>142.00000000000006</v>
      </c>
      <c r="BT26" s="574">
        <f t="shared" si="28"/>
        <v>140.69999999999987</v>
      </c>
      <c r="BU26" s="574">
        <f t="shared" si="28"/>
        <v>142</v>
      </c>
      <c r="BV26" s="553">
        <f t="shared" si="28"/>
        <v>592</v>
      </c>
      <c r="BW26" s="574">
        <f t="shared" si="28"/>
        <v>146</v>
      </c>
      <c r="BX26" s="574">
        <f t="shared" si="28"/>
        <v>134</v>
      </c>
      <c r="BY26" s="574">
        <f t="shared" si="28"/>
        <v>132</v>
      </c>
      <c r="BZ26" s="574">
        <f t="shared" si="28"/>
        <v>162</v>
      </c>
      <c r="CA26" s="553">
        <f>SUM(BW26:BZ26)</f>
        <v>574</v>
      </c>
      <c r="CB26" s="574">
        <f>CB24-CB32</f>
        <v>143</v>
      </c>
      <c r="CC26" s="574">
        <f>CC24-CC32</f>
        <v>168</v>
      </c>
      <c r="CD26" s="574">
        <f>CD24-CD32</f>
        <v>145</v>
      </c>
      <c r="CE26" s="574">
        <f>CE24-CE32</f>
        <v>175.20000000000002</v>
      </c>
      <c r="CF26" s="551">
        <f>SUM(CB26:CE26)</f>
        <v>631.20000000000005</v>
      </c>
      <c r="CG26" s="574">
        <f>CG24-CG32</f>
        <v>145</v>
      </c>
      <c r="CH26" s="574">
        <f>CH24-CH32</f>
        <v>136.89999999999998</v>
      </c>
      <c r="CI26" s="574">
        <f>CI24-CI32</f>
        <v>167.2</v>
      </c>
      <c r="CJ26" s="574">
        <f>CJ24-CJ32</f>
        <v>162</v>
      </c>
      <c r="CK26" s="551">
        <f>SUM(CG26:CJ26)</f>
        <v>611.09999999999991</v>
      </c>
      <c r="CL26" s="550">
        <f ca="1">CL24-CL32</f>
        <v>124.21513002364065</v>
      </c>
      <c r="CM26" s="550">
        <f>CM24-CM32</f>
        <v>148.80000000000001</v>
      </c>
      <c r="CN26" s="550">
        <f>CN24-CN32</f>
        <v>151.5</v>
      </c>
      <c r="CO26" s="550">
        <f>CO24-CO32</f>
        <v>169.1</v>
      </c>
      <c r="CP26" s="551">
        <f ca="1">SUM(CL26:CO26)</f>
        <v>593.61513002364063</v>
      </c>
      <c r="CQ26" s="550">
        <f>CQ24-CQ32</f>
        <v>138.60000000000002</v>
      </c>
      <c r="CR26" s="550">
        <f>CR24-CR32</f>
        <v>160</v>
      </c>
      <c r="CS26" s="550">
        <f>CS24-CS32</f>
        <v>160.19999999999999</v>
      </c>
      <c r="CT26" s="550">
        <f>CT24-CT32</f>
        <v>168.1</v>
      </c>
      <c r="CU26" s="551">
        <f>SUM(CQ26:CT26)</f>
        <v>626.9</v>
      </c>
      <c r="CV26" s="550">
        <f>CV24-CV32</f>
        <v>131.79999999999998</v>
      </c>
      <c r="CW26" s="550">
        <f>CW24-CW32</f>
        <v>140.1</v>
      </c>
      <c r="CX26" s="550">
        <f>CX24-CX32</f>
        <v>141.83558597000001</v>
      </c>
      <c r="CY26" s="550">
        <f>CY24-CY32</f>
        <v>169.62961639999997</v>
      </c>
      <c r="CZ26" s="551">
        <f>SUM(CV26:CY26)</f>
        <v>583.36520236999991</v>
      </c>
      <c r="DA26" s="550">
        <f>DA24-DA32</f>
        <v>141.32900000000001</v>
      </c>
      <c r="DB26" s="550">
        <f>DB24-DB32</f>
        <v>150.79999999999998</v>
      </c>
      <c r="DC26" s="550">
        <f>DC24-DC32</f>
        <v>161.5</v>
      </c>
      <c r="DD26" s="550">
        <f>DD24-DD32</f>
        <v>150.1</v>
      </c>
      <c r="DE26" s="551">
        <f>SUM(DA26:DD26)</f>
        <v>603.72900000000004</v>
      </c>
      <c r="DF26" s="550">
        <f>DF24-DF32</f>
        <v>132.19999999999999</v>
      </c>
      <c r="DG26" s="550">
        <f>DG24-DG32</f>
        <v>155.5</v>
      </c>
      <c r="DH26" s="550">
        <f>DH24-DH32</f>
        <v>115.73384750999998</v>
      </c>
      <c r="DI26" s="550">
        <f>DI24-DI32</f>
        <v>169.95395961999995</v>
      </c>
      <c r="DJ26" s="551">
        <f>SUM(DF26:DI26)</f>
        <v>573.38780712999994</v>
      </c>
      <c r="DK26" s="550">
        <f>DK93*DK258</f>
        <v>175.55242000000001</v>
      </c>
      <c r="DL26" s="550">
        <f>DL93*DL258</f>
        <v>146.02970932846713</v>
      </c>
      <c r="DM26" s="550">
        <f>DM93*DM258</f>
        <v>141.20126450000001</v>
      </c>
      <c r="DN26" s="550">
        <f>DN93*DN258</f>
        <v>151.56169498356115</v>
      </c>
      <c r="DO26" s="551">
        <f>SUM(DK26:DN26)</f>
        <v>614.34508881202828</v>
      </c>
      <c r="DP26" s="550">
        <f>DP93*DP258</f>
        <v>153.9985216</v>
      </c>
      <c r="DQ26" s="550">
        <f>DQ93*DQ258</f>
        <v>123.77482153182478</v>
      </c>
      <c r="DR26" s="550">
        <f>DR93*DR258</f>
        <v>118.89912750000001</v>
      </c>
      <c r="DS26" s="550">
        <f>DS93*DS258</f>
        <v>128.43949087607842</v>
      </c>
      <c r="DT26" s="551">
        <f>SUM(DP26:DS26)</f>
        <v>525.11196150790329</v>
      </c>
      <c r="DU26" s="550">
        <f>DU93*DU258</f>
        <v>131.793230142</v>
      </c>
      <c r="DV26" s="550">
        <f>DV93*DV258</f>
        <v>100.85541132261712</v>
      </c>
      <c r="DW26" s="550">
        <f>DW93*DW258</f>
        <v>95.932832550324989</v>
      </c>
      <c r="DX26" s="550">
        <f>DX93*DX258</f>
        <v>104.62737922099087</v>
      </c>
      <c r="DY26" s="551">
        <f>SUM(DU26:DX26)</f>
        <v>433.20885323593296</v>
      </c>
    </row>
    <row r="27" spans="1:133" outlineLevel="1" x14ac:dyDescent="0.2">
      <c r="A27" s="473"/>
      <c r="B27" s="579" t="s">
        <v>217</v>
      </c>
      <c r="C27" s="469"/>
      <c r="D27" s="469"/>
      <c r="E27" s="469"/>
      <c r="F27" s="469"/>
      <c r="G27" s="469"/>
      <c r="H27" s="469"/>
      <c r="I27" s="580"/>
      <c r="J27" s="469"/>
      <c r="K27" s="469"/>
      <c r="L27" s="469"/>
      <c r="M27" s="469"/>
      <c r="N27" s="580"/>
      <c r="O27" s="469"/>
      <c r="P27" s="469"/>
      <c r="Q27" s="469"/>
      <c r="R27" s="469"/>
      <c r="S27" s="580"/>
      <c r="T27" s="469"/>
      <c r="U27" s="469"/>
      <c r="V27" s="469"/>
      <c r="W27" s="469"/>
      <c r="X27" s="580"/>
      <c r="Y27" s="469"/>
      <c r="Z27" s="469"/>
      <c r="AA27" s="469"/>
      <c r="AB27" s="469"/>
      <c r="AC27" s="580"/>
      <c r="AD27" s="469"/>
      <c r="AE27" s="469"/>
      <c r="AF27" s="469"/>
      <c r="AG27" s="469"/>
      <c r="AH27" s="580"/>
      <c r="AI27" s="469"/>
      <c r="AJ27" s="469"/>
      <c r="AK27" s="469"/>
      <c r="AL27" s="469"/>
      <c r="AM27" s="580"/>
      <c r="AN27" s="469"/>
      <c r="AO27" s="469"/>
      <c r="AP27" s="469"/>
      <c r="AQ27" s="469"/>
      <c r="AR27" s="580"/>
      <c r="AS27" s="469"/>
      <c r="AT27" s="469"/>
      <c r="AU27" s="469"/>
      <c r="AV27" s="469"/>
      <c r="AW27" s="580"/>
      <c r="AX27" s="469"/>
      <c r="AY27" s="469"/>
      <c r="AZ27" s="469"/>
      <c r="BA27" s="469"/>
      <c r="BB27" s="582">
        <f t="shared" ref="BB27:CG27" si="29">BB26/BB$14</f>
        <v>2.7907448751775931E-2</v>
      </c>
      <c r="BC27" s="581">
        <f t="shared" si="29"/>
        <v>2.9940456128524889E-2</v>
      </c>
      <c r="BD27" s="581">
        <f t="shared" si="29"/>
        <v>2.8603182030884414E-2</v>
      </c>
      <c r="BE27" s="581">
        <f t="shared" si="29"/>
        <v>2.4477771826459563E-2</v>
      </c>
      <c r="BF27" s="581">
        <f t="shared" si="29"/>
        <v>2.5027149767992894E-2</v>
      </c>
      <c r="BG27" s="582">
        <f t="shared" si="29"/>
        <v>2.6901091756291622E-2</v>
      </c>
      <c r="BH27" s="581">
        <f t="shared" si="29"/>
        <v>2.54474671224422E-2</v>
      </c>
      <c r="BI27" s="581">
        <f t="shared" si="29"/>
        <v>1.7888782558437E-2</v>
      </c>
      <c r="BJ27" s="581">
        <f t="shared" si="29"/>
        <v>1.8025622268489853E-2</v>
      </c>
      <c r="BK27" s="581">
        <f t="shared" si="29"/>
        <v>1.3486745784315414E-2</v>
      </c>
      <c r="BL27" s="582">
        <f t="shared" si="29"/>
        <v>1.73390882238454E-2</v>
      </c>
      <c r="BM27" s="581">
        <f t="shared" si="29"/>
        <v>1.1110388584911798E-2</v>
      </c>
      <c r="BN27" s="581">
        <f t="shared" si="29"/>
        <v>9.7496434201636509E-3</v>
      </c>
      <c r="BO27" s="581">
        <f t="shared" si="29"/>
        <v>9.3530492076414808E-3</v>
      </c>
      <c r="BP27" s="581">
        <f t="shared" si="29"/>
        <v>1.0030294544436248E-2</v>
      </c>
      <c r="BQ27" s="582">
        <f t="shared" si="29"/>
        <v>1.0007036911800993E-2</v>
      </c>
      <c r="BR27" s="581">
        <f t="shared" si="29"/>
        <v>1.4434580573568676E-2</v>
      </c>
      <c r="BS27" s="581">
        <f t="shared" si="29"/>
        <v>1.0916443084587064E-2</v>
      </c>
      <c r="BT27" s="581">
        <f t="shared" si="29"/>
        <v>1.0797909487885917E-2</v>
      </c>
      <c r="BU27" s="581">
        <f t="shared" si="29"/>
        <v>1.0524755410613698E-2</v>
      </c>
      <c r="BV27" s="582">
        <f t="shared" si="29"/>
        <v>1.1593067658866151E-2</v>
      </c>
      <c r="BW27" s="581">
        <f t="shared" si="29"/>
        <v>1.2335248394727948E-2</v>
      </c>
      <c r="BX27" s="581">
        <f t="shared" si="29"/>
        <v>1.1317567567567568E-2</v>
      </c>
      <c r="BY27" s="581">
        <f t="shared" si="29"/>
        <v>1.1068254234445749E-2</v>
      </c>
      <c r="BZ27" s="581">
        <f t="shared" si="29"/>
        <v>1.3303769401330377E-2</v>
      </c>
      <c r="CA27" s="582">
        <f t="shared" si="29"/>
        <v>1.2013646162540028E-2</v>
      </c>
      <c r="CB27" s="581">
        <f t="shared" si="29"/>
        <v>1.020408163265306E-2</v>
      </c>
      <c r="CC27" s="581">
        <f t="shared" si="29"/>
        <v>1.1515525395846186E-2</v>
      </c>
      <c r="CD27" s="581">
        <f t="shared" si="29"/>
        <v>9.7986214353290978E-3</v>
      </c>
      <c r="CE27" s="581">
        <f t="shared" si="29"/>
        <v>1.1037402430496496E-2</v>
      </c>
      <c r="CF27" s="580">
        <f t="shared" si="29"/>
        <v>1.0648797202160127E-2</v>
      </c>
      <c r="CG27" s="581">
        <f t="shared" si="29"/>
        <v>7.9234972677595626E-3</v>
      </c>
      <c r="CH27" s="581">
        <f t="shared" ref="CH27:CZ27" si="30">CH26/CH$14</f>
        <v>7.4310900741480553E-3</v>
      </c>
      <c r="CI27" s="581">
        <f t="shared" si="30"/>
        <v>9.2480945164109436E-3</v>
      </c>
      <c r="CJ27" s="468">
        <f t="shared" si="30"/>
        <v>8.6900547151593181E-3</v>
      </c>
      <c r="CK27" s="580">
        <f t="shared" si="30"/>
        <v>8.3206252382767819E-3</v>
      </c>
      <c r="CL27" s="468">
        <f t="shared" ca="1" si="30"/>
        <v>6.7836344286844328E-3</v>
      </c>
      <c r="CM27" s="468">
        <f t="shared" si="30"/>
        <v>7.9149778189129688E-3</v>
      </c>
      <c r="CN27" s="468">
        <f t="shared" si="30"/>
        <v>7.7761695050968544E-3</v>
      </c>
      <c r="CO27" s="468">
        <f>CO26/CO$14</f>
        <v>8.6209533520265093E-3</v>
      </c>
      <c r="CP27" s="580">
        <f t="shared" ca="1" si="30"/>
        <v>7.7893661331774541E-3</v>
      </c>
      <c r="CQ27" s="468">
        <f>CQ26/CQ$14</f>
        <v>6.8630509380988476E-3</v>
      </c>
      <c r="CR27" s="468">
        <f t="shared" si="30"/>
        <v>7.3272486639220005E-3</v>
      </c>
      <c r="CS27" s="468">
        <f t="shared" si="30"/>
        <v>7.1092571225703375E-3</v>
      </c>
      <c r="CT27" s="468">
        <f t="shared" si="30"/>
        <v>7.0410441353254329E-3</v>
      </c>
      <c r="CU27" s="580">
        <f t="shared" si="30"/>
        <v>7.0884455736507463E-3</v>
      </c>
      <c r="CV27" s="468">
        <f t="shared" si="30"/>
        <v>5.5195172306932048E-3</v>
      </c>
      <c r="CW27" s="468">
        <f>CW26/CW$14</f>
        <v>5.732054088333367E-3</v>
      </c>
      <c r="CX27" s="468">
        <f>CX26/CX$14</f>
        <v>5.5560212512511765E-3</v>
      </c>
      <c r="CY27" s="468">
        <f>CY26/CY$14</f>
        <v>6.3977530638985218E-3</v>
      </c>
      <c r="CZ27" s="580">
        <f t="shared" si="30"/>
        <v>5.8125755238830554E-3</v>
      </c>
      <c r="DA27" s="468">
        <f>DA26/DA$14</f>
        <v>4.9132278811055106E-3</v>
      </c>
      <c r="DB27" s="468">
        <f>DB26/DB$14</f>
        <v>5.1101841089540041E-3</v>
      </c>
      <c r="DC27" s="468">
        <f>DC26/DC$14</f>
        <v>5.3074195424774318E-3</v>
      </c>
      <c r="DD27" s="468">
        <f>DD26/DD$14</f>
        <v>4.8017709929524975E-3</v>
      </c>
      <c r="DE27" s="580">
        <f t="shared" ref="DE27:DJ27" si="31">DE26/DE$14</f>
        <v>5.0326183362897963E-3</v>
      </c>
      <c r="DF27" s="468">
        <f>DF26/DF$14</f>
        <v>4.2340989088067334E-3</v>
      </c>
      <c r="DG27" s="468">
        <f>DG26/DG$14</f>
        <v>4.8104288860840944E-3</v>
      </c>
      <c r="DH27" s="468">
        <f>DH26/DH$14</f>
        <v>3.5181952562333176E-3</v>
      </c>
      <c r="DI27" s="468">
        <f>DI26/DI$14</f>
        <v>4.9764104127981617E-3</v>
      </c>
      <c r="DJ27" s="580">
        <f t="shared" si="31"/>
        <v>4.3905464624254091E-3</v>
      </c>
      <c r="DK27" s="468">
        <f t="shared" ref="DK27:DT27" ca="1" si="32">DK26/DK$14</f>
        <v>5.4548962345097041E-3</v>
      </c>
      <c r="DL27" s="468">
        <f t="shared" ca="1" si="32"/>
        <v>4.1876765737119863E-3</v>
      </c>
      <c r="DM27" s="468">
        <f t="shared" ca="1" si="32"/>
        <v>4.0379036722698229E-3</v>
      </c>
      <c r="DN27" s="468">
        <f t="shared" ca="1" si="32"/>
        <v>4.2578014258113335E-3</v>
      </c>
      <c r="DO27" s="580">
        <f t="shared" ca="1" si="32"/>
        <v>4.4641000385025722E-3</v>
      </c>
      <c r="DP27" s="468">
        <f t="shared" ca="1" si="32"/>
        <v>4.5558239897071579E-3</v>
      </c>
      <c r="DQ27" s="468">
        <f t="shared" ca="1" si="32"/>
        <v>3.3833178455871232E-3</v>
      </c>
      <c r="DR27" s="468">
        <f t="shared" ca="1" si="32"/>
        <v>3.2444190636982417E-3</v>
      </c>
      <c r="DS27" s="468">
        <f t="shared" ca="1" si="32"/>
        <v>3.4472463504187727E-3</v>
      </c>
      <c r="DT27" s="580">
        <f t="shared" ca="1" si="32"/>
        <v>3.6392243673597719E-3</v>
      </c>
      <c r="DU27" s="468">
        <f t="shared" ref="DU27:DY27" ca="1" si="33">DU26/DU$14</f>
        <v>3.7305112862711215E-3</v>
      </c>
      <c r="DV27" s="468">
        <f t="shared" ca="1" si="33"/>
        <v>2.6423937066197634E-3</v>
      </c>
      <c r="DW27" s="468">
        <f t="shared" ca="1" si="33"/>
        <v>2.512195995156773E-3</v>
      </c>
      <c r="DX27" s="468">
        <f t="shared" ca="1" si="33"/>
        <v>2.6986727668775498E-3</v>
      </c>
      <c r="DY27" s="580">
        <f t="shared" ca="1" si="33"/>
        <v>2.8793548347045114E-3</v>
      </c>
    </row>
    <row r="28" spans="1:133" ht="12" customHeight="1" x14ac:dyDescent="0.2">
      <c r="A28" s="526"/>
      <c r="B28" s="596"/>
      <c r="C28" s="597"/>
      <c r="D28" s="597"/>
      <c r="E28" s="597"/>
      <c r="F28" s="597"/>
      <c r="G28" s="597"/>
      <c r="H28" s="597"/>
      <c r="I28" s="598"/>
      <c r="J28" s="597"/>
      <c r="K28" s="597"/>
      <c r="L28" s="597"/>
      <c r="M28" s="597"/>
      <c r="N28" s="598"/>
      <c r="O28" s="597"/>
      <c r="P28" s="597"/>
      <c r="Q28" s="597"/>
      <c r="R28" s="597"/>
      <c r="S28" s="598"/>
      <c r="T28" s="597"/>
      <c r="U28" s="597"/>
      <c r="V28" s="597"/>
      <c r="W28" s="597"/>
      <c r="X28" s="598"/>
      <c r="Y28" s="597"/>
      <c r="Z28" s="597"/>
      <c r="AA28" s="597"/>
      <c r="AB28" s="597"/>
      <c r="AC28" s="598"/>
      <c r="AD28" s="597"/>
      <c r="AE28" s="597"/>
      <c r="AF28" s="597"/>
      <c r="AG28" s="597"/>
      <c r="AH28" s="598"/>
      <c r="AI28" s="597"/>
      <c r="AJ28" s="597"/>
      <c r="AK28" s="597"/>
      <c r="AL28" s="597"/>
      <c r="AM28" s="598"/>
      <c r="AN28" s="597"/>
      <c r="AO28" s="597"/>
      <c r="AP28" s="597"/>
      <c r="AQ28" s="597"/>
      <c r="AR28" s="598"/>
      <c r="AS28" s="597"/>
      <c r="AT28" s="597"/>
      <c r="AU28" s="597"/>
      <c r="AV28" s="597"/>
      <c r="AW28" s="598"/>
      <c r="AX28" s="597"/>
      <c r="AY28" s="597"/>
      <c r="AZ28" s="597"/>
      <c r="BA28" s="597"/>
      <c r="BB28" s="598"/>
      <c r="BC28" s="597"/>
      <c r="BD28" s="597"/>
      <c r="BE28" s="597"/>
      <c r="BF28" s="597"/>
      <c r="BG28" s="598"/>
      <c r="BH28" s="597"/>
      <c r="BI28" s="597"/>
      <c r="BJ28" s="597"/>
      <c r="BK28" s="597"/>
      <c r="BL28" s="598"/>
      <c r="BM28" s="597"/>
      <c r="BN28" s="597"/>
      <c r="BO28" s="597"/>
      <c r="BP28" s="597"/>
      <c r="BQ28" s="598"/>
      <c r="BR28" s="597"/>
      <c r="BS28" s="597"/>
      <c r="BT28" s="597"/>
      <c r="BU28" s="597"/>
      <c r="BV28" s="598"/>
      <c r="BW28" s="469"/>
      <c r="BX28" s="469"/>
      <c r="BY28" s="469"/>
      <c r="BZ28" s="599"/>
      <c r="CA28" s="598"/>
      <c r="CB28" s="600"/>
      <c r="CC28" s="600"/>
      <c r="CD28" s="600"/>
      <c r="CE28" s="600"/>
      <c r="CF28" s="593"/>
      <c r="CG28" s="597"/>
      <c r="CH28" s="597"/>
      <c r="CI28" s="597"/>
      <c r="CJ28" s="597"/>
      <c r="CK28" s="593"/>
      <c r="CL28" s="597"/>
      <c r="CM28" s="597"/>
      <c r="CN28" s="597"/>
      <c r="CO28" s="597"/>
      <c r="CP28" s="593"/>
      <c r="CQ28" s="597"/>
      <c r="CR28" s="597"/>
      <c r="CS28" s="597"/>
      <c r="CT28" s="597"/>
      <c r="CU28" s="593"/>
      <c r="CV28" s="597"/>
      <c r="CW28" s="597"/>
      <c r="CX28" s="597"/>
      <c r="CY28" s="597"/>
      <c r="CZ28" s="593"/>
      <c r="DA28" s="597"/>
      <c r="DB28" s="597"/>
      <c r="DC28" s="597"/>
      <c r="DD28" s="597"/>
      <c r="DE28" s="593"/>
      <c r="DF28" s="597"/>
      <c r="DG28" s="597"/>
      <c r="DH28" s="597"/>
      <c r="DI28" s="2800"/>
      <c r="DJ28" s="593"/>
      <c r="DK28" s="597"/>
      <c r="DL28" s="597"/>
      <c r="DM28" s="597"/>
      <c r="DN28" s="597"/>
      <c r="DO28" s="593"/>
      <c r="DP28" s="597"/>
      <c r="DQ28" s="597"/>
      <c r="DR28" s="597"/>
      <c r="DS28" s="597"/>
      <c r="DT28" s="593"/>
      <c r="DU28" s="597"/>
      <c r="DV28" s="597"/>
      <c r="DW28" s="597"/>
      <c r="DX28" s="597"/>
      <c r="DY28" s="593"/>
    </row>
    <row r="29" spans="1:133" x14ac:dyDescent="0.2">
      <c r="A29" s="559"/>
      <c r="B29" s="560" t="s">
        <v>176</v>
      </c>
      <c r="C29" s="561"/>
      <c r="D29" s="561"/>
      <c r="E29" s="561"/>
      <c r="F29" s="561"/>
      <c r="G29" s="561"/>
      <c r="H29" s="561"/>
      <c r="I29" s="564">
        <f>I34+I32</f>
        <v>2.4000000000000004</v>
      </c>
      <c r="J29" s="561"/>
      <c r="K29" s="561"/>
      <c r="L29" s="561"/>
      <c r="M29" s="561"/>
      <c r="N29" s="564">
        <f>N34+N32</f>
        <v>8.3000000000000007</v>
      </c>
      <c r="O29" s="561"/>
      <c r="P29" s="561"/>
      <c r="Q29" s="561"/>
      <c r="R29" s="561"/>
      <c r="S29" s="564">
        <f>S34+S32</f>
        <v>13.799999999999999</v>
      </c>
      <c r="T29" s="561"/>
      <c r="U29" s="561"/>
      <c r="V29" s="561"/>
      <c r="W29" s="561"/>
      <c r="X29" s="564">
        <f>X34+X32</f>
        <v>30.1</v>
      </c>
      <c r="Y29" s="561"/>
      <c r="Z29" s="561"/>
      <c r="AA29" s="561"/>
      <c r="AB29" s="561"/>
      <c r="AC29" s="564">
        <f>AC34+AC32</f>
        <v>42.2</v>
      </c>
      <c r="AD29" s="561"/>
      <c r="AE29" s="561"/>
      <c r="AF29" s="561"/>
      <c r="AG29" s="561"/>
      <c r="AH29" s="564">
        <f>AH34+AH32</f>
        <v>58.800000000000004</v>
      </c>
      <c r="AI29" s="561"/>
      <c r="AJ29" s="561"/>
      <c r="AK29" s="561"/>
      <c r="AL29" s="561"/>
      <c r="AM29" s="564">
        <f>AM34+AM32</f>
        <v>84.3</v>
      </c>
      <c r="AN29" s="561"/>
      <c r="AO29" s="561"/>
      <c r="AP29" s="561"/>
      <c r="AQ29" s="561"/>
      <c r="AR29" s="564">
        <f>AR34+AR32</f>
        <v>115.7</v>
      </c>
      <c r="AS29" s="561"/>
      <c r="AT29" s="561"/>
      <c r="AU29" s="561"/>
      <c r="AV29" s="561"/>
      <c r="AW29" s="564">
        <f>AW34+AW32</f>
        <v>159.6</v>
      </c>
      <c r="AX29" s="561"/>
      <c r="AY29" s="561"/>
      <c r="AZ29" s="561"/>
      <c r="BA29" s="561"/>
      <c r="BB29" s="564">
        <f>BB34+BB32</f>
        <v>263</v>
      </c>
      <c r="BC29" s="565">
        <f>BC32+BC34</f>
        <v>67.75</v>
      </c>
      <c r="BD29" s="565">
        <f>BD32+BD34</f>
        <v>83.149999999999991</v>
      </c>
      <c r="BE29" s="565">
        <f>BE32+BE34</f>
        <v>104.05</v>
      </c>
      <c r="BF29" s="565">
        <f>BF32+BF34</f>
        <v>104.55</v>
      </c>
      <c r="BG29" s="564">
        <f>BG34+BG32</f>
        <v>359.5</v>
      </c>
      <c r="BH29" s="565">
        <f>BH32+BH34</f>
        <v>189.89999999999998</v>
      </c>
      <c r="BI29" s="565">
        <f>BI32+BI34</f>
        <v>674</v>
      </c>
      <c r="BJ29" s="565">
        <f>BJ32+BJ34</f>
        <v>743.1</v>
      </c>
      <c r="BK29" s="565">
        <f>BK32+BK34</f>
        <v>844.90000000000009</v>
      </c>
      <c r="BL29" s="564">
        <f>BL34+BL32</f>
        <v>2391.3000000000002</v>
      </c>
      <c r="BM29" s="565">
        <f>BM32+BM34</f>
        <v>668.4</v>
      </c>
      <c r="BN29" s="565">
        <f>BN32+BN34</f>
        <v>746.1</v>
      </c>
      <c r="BO29" s="565">
        <f>BO32+BO34</f>
        <v>793.80000000000007</v>
      </c>
      <c r="BP29" s="565">
        <f>BP32+BP34</f>
        <v>901.69999999999993</v>
      </c>
      <c r="BQ29" s="564">
        <f>BQ34+BQ32</f>
        <v>3112.5</v>
      </c>
      <c r="BR29" s="565">
        <f>BR32+BR34</f>
        <v>631.29999999999995</v>
      </c>
      <c r="BS29" s="565">
        <f>BS32+BS34</f>
        <v>789.19999999999993</v>
      </c>
      <c r="BT29" s="565">
        <f>BT32+BT34</f>
        <v>890.40000000000009</v>
      </c>
      <c r="BU29" s="565">
        <f>BU32+BU34</f>
        <v>933</v>
      </c>
      <c r="BV29" s="564">
        <f>BV34+BV32</f>
        <v>3243.1</v>
      </c>
      <c r="BW29" s="565">
        <f>BW32+BW34</f>
        <v>636</v>
      </c>
      <c r="BX29" s="565">
        <f>BX32+BX34</f>
        <v>687</v>
      </c>
      <c r="BY29" s="565">
        <f>BY32+BY34</f>
        <v>750</v>
      </c>
      <c r="BZ29" s="565">
        <f>BZ32+BZ34</f>
        <v>706</v>
      </c>
      <c r="CA29" s="564">
        <f>CA34+CA32</f>
        <v>2779</v>
      </c>
      <c r="CB29" s="565">
        <f>CB32+CB34</f>
        <v>496</v>
      </c>
      <c r="CC29" s="565">
        <f>CC32+CC34</f>
        <v>561</v>
      </c>
      <c r="CD29" s="565">
        <f>CD32+CD34</f>
        <v>769</v>
      </c>
      <c r="CE29" s="565">
        <f>CE32+CE34</f>
        <v>840.3</v>
      </c>
      <c r="CF29" s="577">
        <f>CF34+CF32</f>
        <v>2666.3</v>
      </c>
      <c r="CG29" s="565">
        <f>CG32+CG34</f>
        <v>471</v>
      </c>
      <c r="CH29" s="561">
        <f>CH32+CH34</f>
        <v>640.4</v>
      </c>
      <c r="CI29" s="561">
        <f>CI32+CI34</f>
        <v>913.5</v>
      </c>
      <c r="CJ29" s="561">
        <f>CJ32+CJ34</f>
        <v>1172</v>
      </c>
      <c r="CK29" s="577">
        <f>CK34+CK32</f>
        <v>3196.9</v>
      </c>
      <c r="CL29" s="561">
        <f ca="1">CL32+CL34</f>
        <v>643.78486997635935</v>
      </c>
      <c r="CM29" s="561">
        <f>CM32+CM34</f>
        <v>814.7</v>
      </c>
      <c r="CN29" s="561">
        <f>CN32+CN34</f>
        <v>1142.8</v>
      </c>
      <c r="CO29" s="561">
        <f>CO32+CO34</f>
        <v>1042.4999999999998</v>
      </c>
      <c r="CP29" s="577">
        <f ca="1">CP34+CP32</f>
        <v>3643.784869976359</v>
      </c>
      <c r="CQ29" s="561">
        <f>CQ32+CQ34</f>
        <v>796.1</v>
      </c>
      <c r="CR29" s="561">
        <f>CR32+CR34</f>
        <v>1035</v>
      </c>
      <c r="CS29" s="561">
        <f>CS32+CS34</f>
        <v>1242.6000000000001</v>
      </c>
      <c r="CT29" s="561">
        <f>CT32+CT34</f>
        <v>1070.1000000000001</v>
      </c>
      <c r="CU29" s="577">
        <f>CU34+CU32</f>
        <v>4143.8</v>
      </c>
      <c r="CV29" s="561">
        <f>CV32+CV34</f>
        <v>894.10000000000014</v>
      </c>
      <c r="CW29" s="561">
        <f>CW32+CW34</f>
        <v>1100.5999999999999</v>
      </c>
      <c r="CX29" s="561">
        <f>CX32+CX34</f>
        <v>1326.3210536400009</v>
      </c>
      <c r="CY29" s="561">
        <f>CY32+CY34</f>
        <v>1322.5206924400022</v>
      </c>
      <c r="CZ29" s="577">
        <f>SUM(CV29:CY29)</f>
        <v>4643.5417460800036</v>
      </c>
      <c r="DA29" s="561">
        <f>DA32+DA34</f>
        <v>960.471</v>
      </c>
      <c r="DB29" s="561">
        <f>DB32+DB34</f>
        <v>1216.5999999999999</v>
      </c>
      <c r="DC29" s="561">
        <f>DC32+DC34</f>
        <v>1635.2</v>
      </c>
      <c r="DD29" s="561">
        <f>DD32+DD34</f>
        <v>1484.8000000000002</v>
      </c>
      <c r="DE29" s="577">
        <f>DE34+DE32</f>
        <v>5297.070999999999</v>
      </c>
      <c r="DF29" s="561">
        <f>DF32+DF34</f>
        <v>964.2</v>
      </c>
      <c r="DG29" s="561">
        <f>DG32+DG34</f>
        <v>1313.5</v>
      </c>
      <c r="DH29" s="561">
        <f>DH32+DH34</f>
        <v>1529.3330713500002</v>
      </c>
      <c r="DI29" s="561">
        <f>DI32+DI34</f>
        <v>1659.2908646400017</v>
      </c>
      <c r="DJ29" s="577">
        <f>DJ34+DJ32</f>
        <v>5466.3239359900026</v>
      </c>
      <c r="DK29" s="561">
        <f ca="1">DK32+DK34</f>
        <v>998.62606223928606</v>
      </c>
      <c r="DL29" s="561">
        <f ca="1">DL32+DL34</f>
        <v>1406.8652137190379</v>
      </c>
      <c r="DM29" s="561">
        <f ca="1">DM32+DM34</f>
        <v>1665.9489051889095</v>
      </c>
      <c r="DN29" s="561">
        <f ca="1">DN32+DN34</f>
        <v>1661.3131834423045</v>
      </c>
      <c r="DO29" s="577">
        <f ca="1">DO34+DO32</f>
        <v>5732.7533645895383</v>
      </c>
      <c r="DP29" s="561">
        <f ca="1">DP32+DP34</f>
        <v>1076.2315189889555</v>
      </c>
      <c r="DQ29" s="561">
        <f ca="1">DQ32+DQ34</f>
        <v>1472.5966686521708</v>
      </c>
      <c r="DR29" s="561">
        <f ca="1">DR32+DR34</f>
        <v>1747.1864665690027</v>
      </c>
      <c r="DS29" s="561">
        <f ca="1">DS32+DS34</f>
        <v>1742.3416987966132</v>
      </c>
      <c r="DT29" s="577">
        <f ca="1">DT34+DT32</f>
        <v>6038.3563530067422</v>
      </c>
      <c r="DU29" s="561">
        <f ca="1">DU32+DU34</f>
        <v>1138.9395457702105</v>
      </c>
      <c r="DV29" s="561">
        <f ca="1">DV32+DV34</f>
        <v>1558.9869300986713</v>
      </c>
      <c r="DW29" s="561">
        <f ca="1">DW32+DW34</f>
        <v>1849.7400159548745</v>
      </c>
      <c r="DX29" s="561">
        <f ca="1">DX32+DX34</f>
        <v>1844.1819150643712</v>
      </c>
      <c r="DY29" s="577">
        <f ca="1">DY34+DY32</f>
        <v>6391.8484068881271</v>
      </c>
    </row>
    <row r="30" spans="1:133" x14ac:dyDescent="0.2">
      <c r="A30" s="473"/>
      <c r="B30" s="579" t="s">
        <v>727</v>
      </c>
      <c r="C30" s="469"/>
      <c r="D30" s="469"/>
      <c r="E30" s="469"/>
      <c r="F30" s="469"/>
      <c r="G30" s="469"/>
      <c r="H30" s="469"/>
      <c r="I30" s="582">
        <f>I29/I14</f>
        <v>1.1488750598372429E-2</v>
      </c>
      <c r="J30" s="469"/>
      <c r="K30" s="469"/>
      <c r="L30" s="469"/>
      <c r="M30" s="469"/>
      <c r="N30" s="582">
        <f>N29/N14</f>
        <v>2.5880885562831309E-2</v>
      </c>
      <c r="O30" s="469"/>
      <c r="P30" s="469"/>
      <c r="Q30" s="469"/>
      <c r="R30" s="469"/>
      <c r="S30" s="582">
        <f>S29/S14</f>
        <v>2.8255528255528253E-2</v>
      </c>
      <c r="T30" s="469"/>
      <c r="U30" s="469"/>
      <c r="V30" s="469"/>
      <c r="W30" s="469"/>
      <c r="X30" s="582">
        <f>X29/X14</f>
        <v>6.396090097747556E-2</v>
      </c>
      <c r="Y30" s="469"/>
      <c r="Z30" s="469"/>
      <c r="AA30" s="469"/>
      <c r="AB30" s="469"/>
      <c r="AC30" s="582">
        <f>AC29/AC14</f>
        <v>5.9824213212361789E-2</v>
      </c>
      <c r="AD30" s="469"/>
      <c r="AE30" s="469"/>
      <c r="AF30" s="469"/>
      <c r="AG30" s="469"/>
      <c r="AH30" s="582">
        <f>AH29/AH14</f>
        <v>6.4424235783937772E-2</v>
      </c>
      <c r="AI30" s="469"/>
      <c r="AJ30" s="469"/>
      <c r="AK30" s="469"/>
      <c r="AL30" s="469"/>
      <c r="AM30" s="582">
        <f>AM29/AM14</f>
        <v>7.5180593953446895E-2</v>
      </c>
      <c r="AN30" s="469"/>
      <c r="AO30" s="469"/>
      <c r="AP30" s="469"/>
      <c r="AQ30" s="469"/>
      <c r="AR30" s="582">
        <f>AR29/AR14</f>
        <v>8.8503021494683698E-2</v>
      </c>
      <c r="AS30" s="469"/>
      <c r="AT30" s="469"/>
      <c r="AU30" s="469"/>
      <c r="AV30" s="469"/>
      <c r="AW30" s="582">
        <f>AW29/AW14</f>
        <v>8.554888507718697E-2</v>
      </c>
      <c r="AX30" s="469"/>
      <c r="AY30" s="469"/>
      <c r="AZ30" s="469"/>
      <c r="BA30" s="469"/>
      <c r="BB30" s="582">
        <f>BB29/BB14</f>
        <v>8.896556389960085E-2</v>
      </c>
      <c r="BC30" s="581">
        <f>BC29/BC$14</f>
        <v>7.6115043253567008E-2</v>
      </c>
      <c r="BD30" s="581">
        <f>BD29/BD$14</f>
        <v>9.7274216190921844E-2</v>
      </c>
      <c r="BE30" s="581">
        <f>BE29/BE$14</f>
        <v>0.11146223888591322</v>
      </c>
      <c r="BF30" s="581">
        <f>BF29/BF$14</f>
        <v>0.10321848158752098</v>
      </c>
      <c r="BG30" s="582">
        <f>BG29/BG14</f>
        <v>9.7391163004903442E-2</v>
      </c>
      <c r="BH30" s="581">
        <f>BH29/BH$14</f>
        <v>9.0158097137159929E-2</v>
      </c>
      <c r="BI30" s="581">
        <f>BI29/BI$14</f>
        <v>6.3861437735098212E-2</v>
      </c>
      <c r="BJ30" s="581">
        <f>BJ29/BJ$14</f>
        <v>6.9692195149400712E-2</v>
      </c>
      <c r="BK30" s="581">
        <f>BK29/BK$14</f>
        <v>7.2764696763525524E-2</v>
      </c>
      <c r="BL30" s="582">
        <f>BL29/BL14</f>
        <v>6.8443317381448515E-2</v>
      </c>
      <c r="BM30" s="581">
        <f>BM29/BM$14</f>
        <v>6.2091837208654216E-2</v>
      </c>
      <c r="BN30" s="581">
        <f>BN29/BN$14</f>
        <v>7.0011635763080851E-2</v>
      </c>
      <c r="BO30" s="581">
        <f>BO29/BO$14</f>
        <v>7.5146259726981871E-2</v>
      </c>
      <c r="BP30" s="581">
        <f>BP29/BP$14</f>
        <v>7.6517060835178993E-2</v>
      </c>
      <c r="BQ30" s="582">
        <f>BQ29/BQ14</f>
        <v>7.1111649287626921E-2</v>
      </c>
      <c r="BR30" s="581">
        <f>BR29/BR$14</f>
        <v>5.473003433089433E-2</v>
      </c>
      <c r="BS30" s="581">
        <f>BS29/BS$14</f>
        <v>6.0670823115183854E-2</v>
      </c>
      <c r="BT30" s="581">
        <f>BT29/BT$14</f>
        <v>6.8333039147218402E-2</v>
      </c>
      <c r="BU30" s="581">
        <f>BU29/BU$14</f>
        <v>6.9152090127482954E-2</v>
      </c>
      <c r="BV30" s="582">
        <f>BV29/BV14</f>
        <v>6.3509252912954076E-2</v>
      </c>
      <c r="BW30" s="581">
        <f>BW29/BW$14</f>
        <v>5.3734369719499832E-2</v>
      </c>
      <c r="BX30" s="581">
        <f>BX29/BX$14</f>
        <v>5.8023648648648646E-2</v>
      </c>
      <c r="BY30" s="581">
        <f>BY29/BY$14</f>
        <v>6.2887808150259933E-2</v>
      </c>
      <c r="BZ30" s="581">
        <f>BZ29/BZ$14</f>
        <v>5.7978155539131146E-2</v>
      </c>
      <c r="CA30" s="582">
        <f>CA29/CA14</f>
        <v>5.8163628372297452E-2</v>
      </c>
      <c r="CB30" s="581">
        <f>CB29/CB$14</f>
        <v>3.5393178250321108E-2</v>
      </c>
      <c r="CC30" s="581">
        <f>CC29/CC$14</f>
        <v>3.845362944684351E-2</v>
      </c>
      <c r="CD30" s="581">
        <f>CD29/CD$14</f>
        <v>5.1966481957021221E-2</v>
      </c>
      <c r="CE30" s="581">
        <f>CE29/CE$14</f>
        <v>5.2937952410651849E-2</v>
      </c>
      <c r="CF30" s="580">
        <f>CF29/CF14</f>
        <v>4.4982395405766075E-2</v>
      </c>
      <c r="CG30" s="581">
        <f>CG29/CG$14</f>
        <v>2.5737704918032785E-2</v>
      </c>
      <c r="CH30" s="581">
        <f>CH29/CH$14</f>
        <v>3.4761651449849634E-2</v>
      </c>
      <c r="CI30" s="468">
        <f>CI29/CI$14</f>
        <v>5.0527119262807403E-2</v>
      </c>
      <c r="CJ30" s="468">
        <f>CJ29/CJ$14</f>
        <v>6.2868790902263702E-2</v>
      </c>
      <c r="CK30" s="580">
        <f>CK29/CK14</f>
        <v>4.3528402592451394E-2</v>
      </c>
      <c r="CL30" s="581">
        <f ca="1">CL29/CL$14</f>
        <v>3.5158367646570876E-2</v>
      </c>
      <c r="CM30" s="581">
        <f>CM29/CM$14</f>
        <v>4.3335567399653191E-2</v>
      </c>
      <c r="CN30" s="581">
        <f>CN29/CN$14</f>
        <v>5.8657468715674489E-2</v>
      </c>
      <c r="CO30" s="581">
        <f>CO29/CO$14</f>
        <v>5.3148100943155738E-2</v>
      </c>
      <c r="CP30" s="580">
        <f ca="1">CP29/CP14</f>
        <v>4.7813428309429924E-2</v>
      </c>
      <c r="CQ30" s="581">
        <f>CQ29/CQ$14</f>
        <v>3.9420453476338324E-2</v>
      </c>
      <c r="CR30" s="581">
        <f>CR29/CR$14</f>
        <v>4.7398139794745442E-2</v>
      </c>
      <c r="CS30" s="468">
        <f>CS29/CS$14</f>
        <v>5.514333895446881E-2</v>
      </c>
      <c r="CT30" s="468">
        <f>CT29/CT$14</f>
        <v>4.482225656877898E-2</v>
      </c>
      <c r="CU30" s="580">
        <f>CU29/CU14</f>
        <v>4.6854523477578507E-2</v>
      </c>
      <c r="CV30" s="581">
        <f>CV29/CV$14</f>
        <v>3.7443098300172957E-2</v>
      </c>
      <c r="CW30" s="581">
        <f>CW29/CW$14</f>
        <v>4.5029969519055697E-2</v>
      </c>
      <c r="CX30" s="581">
        <f>CX29/CX$14</f>
        <v>5.1955000641125036E-2</v>
      </c>
      <c r="CY30" s="581">
        <f>CY29/CY$14</f>
        <v>4.9880209551232707E-2</v>
      </c>
      <c r="CZ30" s="580">
        <f>CZ29/CZ14</f>
        <v>4.6267650157636231E-2</v>
      </c>
      <c r="DA30" s="581">
        <f>DA29/DA$14</f>
        <v>3.3390265948200937E-2</v>
      </c>
      <c r="DB30" s="581">
        <f>DB29/DB$14</f>
        <v>4.122712192939948E-2</v>
      </c>
      <c r="DC30" s="581">
        <f>DC29/DC$14</f>
        <v>5.3738033658570251E-2</v>
      </c>
      <c r="DD30" s="581">
        <f>DD29/DD$14</f>
        <v>4.7499464159466147E-2</v>
      </c>
      <c r="DE30" s="580">
        <f>DE29/DE14</f>
        <v>4.4155799445163173E-2</v>
      </c>
      <c r="DF30" s="581">
        <f>DF29/DF$14</f>
        <v>3.0881377971796162E-2</v>
      </c>
      <c r="DG30" s="581">
        <f>DG29/DG$14</f>
        <v>4.0633429851263399E-2</v>
      </c>
      <c r="DH30" s="581">
        <f>DH29/DH$14</f>
        <v>4.6490222805038943E-2</v>
      </c>
      <c r="DI30" s="581">
        <f>DI29/DI$14</f>
        <v>4.8585583737606901E-2</v>
      </c>
      <c r="DJ30" s="580">
        <f>DJ29/DJ14</f>
        <v>4.1856748471442239E-2</v>
      </c>
      <c r="DK30" s="581">
        <f ca="1">DK29/DK$14</f>
        <v>3.1030056700969061E-2</v>
      </c>
      <c r="DL30" s="581">
        <f ca="1">DL29/DL$14</f>
        <v>4.0344506093685895E-2</v>
      </c>
      <c r="DM30" s="468">
        <f ca="1">DM29/DM$14</f>
        <v>4.7640800002015482E-2</v>
      </c>
      <c r="DN30" s="468">
        <f ca="1">DN29/DN$14</f>
        <v>4.6671038100669346E-2</v>
      </c>
      <c r="DO30" s="580">
        <f ca="1">DO29/DO14</f>
        <v>4.1656692601021485E-2</v>
      </c>
      <c r="DP30" s="581">
        <f ca="1">DP29/DP$14</f>
        <v>3.1838756124064359E-2</v>
      </c>
      <c r="DQ30" s="581">
        <f ca="1">DQ29/DQ$14</f>
        <v>4.0252633990847698E-2</v>
      </c>
      <c r="DR30" s="468">
        <f ca="1">DR29/DR$14</f>
        <v>4.7675750017358562E-2</v>
      </c>
      <c r="DS30" s="468">
        <f ca="1">DS29/DS$14</f>
        <v>4.676350724680213E-2</v>
      </c>
      <c r="DT30" s="580">
        <f ca="1">DT29/DT14</f>
        <v>4.1848091815621463E-2</v>
      </c>
      <c r="DU30" s="581">
        <f ca="1">DU29/DU$14</f>
        <v>3.2238581794363765E-2</v>
      </c>
      <c r="DV30" s="581">
        <f ca="1">DV29/DV$14</f>
        <v>4.0845178248471378E-2</v>
      </c>
      <c r="DW30" s="468">
        <f ca="1">DW29/DW$14</f>
        <v>4.8439197891142836E-2</v>
      </c>
      <c r="DX30" s="468">
        <f ca="1">DX29/DX$14</f>
        <v>4.7567315060433296E-2</v>
      </c>
      <c r="DY30" s="580">
        <f ca="1">DY29/DY14</f>
        <v>4.2483895413486177E-2</v>
      </c>
    </row>
    <row r="31" spans="1:133" ht="9.75" customHeight="1" x14ac:dyDescent="0.2">
      <c r="A31" s="526"/>
      <c r="B31" s="596"/>
      <c r="C31" s="597"/>
      <c r="D31" s="597"/>
      <c r="E31" s="597"/>
      <c r="F31" s="597"/>
      <c r="G31" s="597"/>
      <c r="H31" s="597"/>
      <c r="I31" s="598"/>
      <c r="J31" s="597"/>
      <c r="K31" s="597"/>
      <c r="L31" s="597"/>
      <c r="M31" s="597"/>
      <c r="N31" s="598"/>
      <c r="O31" s="597"/>
      <c r="P31" s="597"/>
      <c r="Q31" s="597"/>
      <c r="R31" s="597"/>
      <c r="S31" s="598"/>
      <c r="T31" s="597"/>
      <c r="U31" s="597"/>
      <c r="V31" s="597"/>
      <c r="W31" s="597"/>
      <c r="X31" s="598"/>
      <c r="Y31" s="597"/>
      <c r="Z31" s="597"/>
      <c r="AA31" s="597"/>
      <c r="AB31" s="597"/>
      <c r="AC31" s="598"/>
      <c r="AD31" s="597"/>
      <c r="AE31" s="597"/>
      <c r="AF31" s="597"/>
      <c r="AG31" s="597"/>
      <c r="AH31" s="598"/>
      <c r="AI31" s="597"/>
      <c r="AJ31" s="597"/>
      <c r="AK31" s="597"/>
      <c r="AL31" s="597"/>
      <c r="AM31" s="598"/>
      <c r="AN31" s="597"/>
      <c r="AO31" s="597"/>
      <c r="AP31" s="597"/>
      <c r="AQ31" s="597"/>
      <c r="AR31" s="598"/>
      <c r="AS31" s="597"/>
      <c r="AT31" s="597"/>
      <c r="AU31" s="597"/>
      <c r="AV31" s="597"/>
      <c r="AW31" s="598"/>
      <c r="AX31" s="597"/>
      <c r="AY31" s="597"/>
      <c r="AZ31" s="597"/>
      <c r="BA31" s="597"/>
      <c r="BB31" s="598"/>
      <c r="BC31" s="597"/>
      <c r="BD31" s="597"/>
      <c r="BE31" s="597"/>
      <c r="BF31" s="597"/>
      <c r="BG31" s="598"/>
      <c r="BH31" s="597"/>
      <c r="BI31" s="597"/>
      <c r="BJ31" s="597"/>
      <c r="BK31" s="597"/>
      <c r="BL31" s="598"/>
      <c r="BM31" s="597"/>
      <c r="BN31" s="597"/>
      <c r="BO31" s="597"/>
      <c r="BP31" s="597"/>
      <c r="BQ31" s="598"/>
      <c r="BR31" s="597"/>
      <c r="BS31" s="597"/>
      <c r="BT31" s="597"/>
      <c r="BU31" s="597"/>
      <c r="BV31" s="598"/>
      <c r="BW31" s="600"/>
      <c r="BX31" s="600"/>
      <c r="BY31" s="597"/>
      <c r="BZ31" s="597"/>
      <c r="CA31" s="598"/>
      <c r="CB31" s="600"/>
      <c r="CC31" s="600"/>
      <c r="CD31" s="600"/>
      <c r="CE31" s="600"/>
      <c r="CF31" s="598"/>
      <c r="CG31" s="597"/>
      <c r="CH31" s="597"/>
      <c r="CI31" s="597"/>
      <c r="CJ31" s="597"/>
      <c r="CK31" s="598"/>
      <c r="CL31" s="597"/>
      <c r="CM31" s="597"/>
      <c r="CN31" s="597"/>
      <c r="CO31" s="597"/>
      <c r="CP31" s="598"/>
      <c r="CQ31" s="597"/>
      <c r="CR31" s="597"/>
      <c r="CS31" s="597"/>
      <c r="CT31" s="597"/>
      <c r="CU31" s="598"/>
      <c r="CV31" s="597"/>
      <c r="CW31" s="597"/>
      <c r="CX31" s="597"/>
      <c r="CY31" s="597"/>
      <c r="CZ31" s="598"/>
      <c r="DA31" s="597"/>
      <c r="DB31" s="597"/>
      <c r="DC31" s="597"/>
      <c r="DD31" s="597"/>
      <c r="DE31" s="598"/>
      <c r="DF31" s="597"/>
      <c r="DG31" s="597"/>
      <c r="DH31" s="597"/>
      <c r="DI31" s="2800"/>
      <c r="DJ31" s="598"/>
      <c r="DK31" s="597"/>
      <c r="DL31" s="597"/>
      <c r="DM31" s="597"/>
      <c r="DN31" s="597"/>
      <c r="DO31" s="598"/>
      <c r="DP31" s="597"/>
      <c r="DQ31" s="597"/>
      <c r="DR31" s="597"/>
      <c r="DS31" s="597"/>
      <c r="DT31" s="598"/>
      <c r="DU31" s="597"/>
      <c r="DV31" s="597"/>
      <c r="DW31" s="597"/>
      <c r="DX31" s="597"/>
      <c r="DY31" s="598"/>
    </row>
    <row r="32" spans="1:133" x14ac:dyDescent="0.2">
      <c r="A32" s="471"/>
      <c r="B32" s="549" t="s">
        <v>728</v>
      </c>
      <c r="C32" s="550"/>
      <c r="D32" s="550"/>
      <c r="E32" s="550"/>
      <c r="F32" s="550"/>
      <c r="G32" s="550"/>
      <c r="H32" s="550"/>
      <c r="I32" s="595">
        <v>0.2</v>
      </c>
      <c r="J32" s="550"/>
      <c r="K32" s="550"/>
      <c r="L32" s="550"/>
      <c r="M32" s="550"/>
      <c r="N32" s="595">
        <v>0.4</v>
      </c>
      <c r="O32" s="550"/>
      <c r="P32" s="550"/>
      <c r="Q32" s="550"/>
      <c r="R32" s="550"/>
      <c r="S32" s="595">
        <v>1.1000000000000001</v>
      </c>
      <c r="T32" s="550"/>
      <c r="U32" s="550"/>
      <c r="V32" s="550"/>
      <c r="W32" s="550"/>
      <c r="X32" s="595">
        <v>2.5</v>
      </c>
      <c r="Y32" s="550"/>
      <c r="Z32" s="550"/>
      <c r="AA32" s="550"/>
      <c r="AB32" s="550"/>
      <c r="AC32" s="595">
        <v>7.2</v>
      </c>
      <c r="AD32" s="550"/>
      <c r="AE32" s="550"/>
      <c r="AF32" s="550"/>
      <c r="AG32" s="550"/>
      <c r="AH32" s="595">
        <v>19.100000000000001</v>
      </c>
      <c r="AI32" s="550"/>
      <c r="AJ32" s="550"/>
      <c r="AK32" s="550"/>
      <c r="AL32" s="550"/>
      <c r="AM32" s="595">
        <v>12.7</v>
      </c>
      <c r="AN32" s="550"/>
      <c r="AO32" s="550"/>
      <c r="AP32" s="550"/>
      <c r="AQ32" s="550"/>
      <c r="AR32" s="595">
        <v>15.2</v>
      </c>
      <c r="AS32" s="550"/>
      <c r="AT32" s="550"/>
      <c r="AU32" s="550"/>
      <c r="AV32" s="550"/>
      <c r="AW32" s="595">
        <v>25.7</v>
      </c>
      <c r="AX32" s="550"/>
      <c r="AY32" s="550"/>
      <c r="AZ32" s="550"/>
      <c r="BA32" s="550"/>
      <c r="BB32" s="595">
        <v>40.6</v>
      </c>
      <c r="BC32" s="552">
        <f>$BG32/4</f>
        <v>10.35</v>
      </c>
      <c r="BD32" s="552">
        <f>$BG32/4</f>
        <v>10.35</v>
      </c>
      <c r="BE32" s="552">
        <f>$BG32/4</f>
        <v>10.35</v>
      </c>
      <c r="BF32" s="552">
        <f>$BG32/4</f>
        <v>10.35</v>
      </c>
      <c r="BG32" s="595">
        <v>41.4</v>
      </c>
      <c r="BH32" s="552">
        <v>88.3</v>
      </c>
      <c r="BI32" s="552">
        <v>92</v>
      </c>
      <c r="BJ32" s="552">
        <v>88.4</v>
      </c>
      <c r="BK32" s="552">
        <v>90.2</v>
      </c>
      <c r="BL32" s="595">
        <v>289.3</v>
      </c>
      <c r="BM32" s="552">
        <v>86.5</v>
      </c>
      <c r="BN32" s="552">
        <v>87.6</v>
      </c>
      <c r="BO32" s="552">
        <v>88.2</v>
      </c>
      <c r="BP32" s="552">
        <v>92.7</v>
      </c>
      <c r="BQ32" s="595">
        <v>357</v>
      </c>
      <c r="BR32" s="552">
        <v>94.4</v>
      </c>
      <c r="BS32" s="552">
        <v>92.3</v>
      </c>
      <c r="BT32" s="552">
        <v>91.2</v>
      </c>
      <c r="BU32" s="552">
        <v>100</v>
      </c>
      <c r="BV32" s="595">
        <v>377</v>
      </c>
      <c r="BW32" s="552">
        <v>98</v>
      </c>
      <c r="BX32" s="552">
        <v>96</v>
      </c>
      <c r="BY32" s="552">
        <v>98</v>
      </c>
      <c r="BZ32" s="552">
        <v>98</v>
      </c>
      <c r="CA32" s="553">
        <f>SUM(BW32:BZ32)</f>
        <v>390</v>
      </c>
      <c r="CB32" s="552">
        <v>99</v>
      </c>
      <c r="CC32" s="552">
        <v>107</v>
      </c>
      <c r="CD32" s="552">
        <v>112</v>
      </c>
      <c r="CE32" s="552">
        <v>115.9</v>
      </c>
      <c r="CF32" s="551">
        <f>SUM(CB32:CE32)</f>
        <v>433.9</v>
      </c>
      <c r="CG32" s="552">
        <v>122</v>
      </c>
      <c r="CH32" s="552">
        <v>129</v>
      </c>
      <c r="CI32" s="552">
        <v>129.5</v>
      </c>
      <c r="CJ32" s="552">
        <v>137</v>
      </c>
      <c r="CK32" s="551">
        <f>SUM(CG32:CJ32)</f>
        <v>517.5</v>
      </c>
      <c r="CL32" s="552">
        <f ca="1">IS!CL130</f>
        <v>144.78486997635935</v>
      </c>
      <c r="CM32" s="552">
        <v>139.30000000000001</v>
      </c>
      <c r="CN32" s="552">
        <v>141.80000000000001</v>
      </c>
      <c r="CO32" s="552">
        <v>142.1</v>
      </c>
      <c r="CP32" s="551">
        <f ca="1">SUM(CL32:CO32)</f>
        <v>567.98486997635939</v>
      </c>
      <c r="CQ32" s="552">
        <v>155.5</v>
      </c>
      <c r="CR32" s="552">
        <v>156.69999999999999</v>
      </c>
      <c r="CS32" s="552">
        <v>156.19999999999999</v>
      </c>
      <c r="CT32" s="552">
        <v>161.4</v>
      </c>
      <c r="CU32" s="551">
        <f>SUM(CQ32:CT32)</f>
        <v>629.79999999999995</v>
      </c>
      <c r="CV32" s="552">
        <v>160.1</v>
      </c>
      <c r="CW32" s="552">
        <v>160.1</v>
      </c>
      <c r="CX32" s="552">
        <v>163.96441403</v>
      </c>
      <c r="CY32" s="552">
        <v>170.22699174000002</v>
      </c>
      <c r="CZ32" s="551">
        <f>SUM(CV32:CY32)</f>
        <v>654.39140577000001</v>
      </c>
      <c r="DA32" s="552">
        <v>178</v>
      </c>
      <c r="DB32" s="552">
        <v>177.6</v>
      </c>
      <c r="DC32" s="552">
        <v>179</v>
      </c>
      <c r="DD32" s="552">
        <v>178.9</v>
      </c>
      <c r="DE32" s="551">
        <f>SUM(DA32:DD32)</f>
        <v>713.5</v>
      </c>
      <c r="DF32" s="552">
        <v>180.3</v>
      </c>
      <c r="DG32" s="552">
        <v>178.8</v>
      </c>
      <c r="DH32" s="2755">
        <v>176.41574224000004</v>
      </c>
      <c r="DI32" s="2801">
        <v>176.19931340000002</v>
      </c>
      <c r="DJ32" s="551">
        <f>SUM(DF32:DI32)</f>
        <v>711.71505564000006</v>
      </c>
      <c r="DK32" s="550">
        <f>IS!DK130</f>
        <v>200.6260769408</v>
      </c>
      <c r="DL32" s="550">
        <f>IS!DL130</f>
        <v>197.11532305920002</v>
      </c>
      <c r="DM32" s="550">
        <f>IS!DM130</f>
        <v>195.03178705920001</v>
      </c>
      <c r="DN32" s="550">
        <f>IS!DN130</f>
        <v>199.34412117760002</v>
      </c>
      <c r="DO32" s="551">
        <f>SUM(DK32:DN32)</f>
        <v>792.1173082368</v>
      </c>
      <c r="DP32" s="550">
        <f>IS!DP130</f>
        <v>199.9653063968</v>
      </c>
      <c r="DQ32" s="550">
        <f>IS!DQ130</f>
        <v>198.44760673920001</v>
      </c>
      <c r="DR32" s="550">
        <f>IS!DR130</f>
        <v>198.87495438720001</v>
      </c>
      <c r="DS32" s="550">
        <f>IS!DS130</f>
        <v>198.22102429360001</v>
      </c>
      <c r="DT32" s="551">
        <f>SUM(DP32:DS32)</f>
        <v>795.50889181680009</v>
      </c>
      <c r="DU32" s="550">
        <f>IS!DU130</f>
        <v>199.04297104764802</v>
      </c>
      <c r="DV32" s="550">
        <f>IS!DV130</f>
        <v>197.64169695379204</v>
      </c>
      <c r="DW32" s="550">
        <f>IS!DW130</f>
        <v>198.11362645401601</v>
      </c>
      <c r="DX32" s="550">
        <f>IS!DX130</f>
        <v>197.70758774317605</v>
      </c>
      <c r="DY32" s="551">
        <f>SUM(DU32:DX32)</f>
        <v>792.50588219863209</v>
      </c>
    </row>
    <row r="33" spans="1:134" ht="5.25" customHeight="1" x14ac:dyDescent="0.2">
      <c r="A33" s="526"/>
      <c r="B33" s="596"/>
      <c r="C33" s="597"/>
      <c r="D33" s="597"/>
      <c r="E33" s="597"/>
      <c r="F33" s="597"/>
      <c r="G33" s="597"/>
      <c r="H33" s="597"/>
      <c r="I33" s="598"/>
      <c r="J33" s="597"/>
      <c r="K33" s="597"/>
      <c r="L33" s="597"/>
      <c r="M33" s="597"/>
      <c r="N33" s="598"/>
      <c r="O33" s="597"/>
      <c r="P33" s="597"/>
      <c r="Q33" s="597"/>
      <c r="R33" s="597"/>
      <c r="S33" s="598"/>
      <c r="T33" s="597"/>
      <c r="U33" s="597"/>
      <c r="V33" s="597"/>
      <c r="W33" s="597"/>
      <c r="X33" s="598"/>
      <c r="Y33" s="597"/>
      <c r="Z33" s="597"/>
      <c r="AA33" s="597"/>
      <c r="AB33" s="597"/>
      <c r="AC33" s="598"/>
      <c r="AD33" s="597"/>
      <c r="AE33" s="597"/>
      <c r="AF33" s="597"/>
      <c r="AG33" s="597"/>
      <c r="AH33" s="598"/>
      <c r="AI33" s="597"/>
      <c r="AJ33" s="597"/>
      <c r="AK33" s="597"/>
      <c r="AL33" s="597"/>
      <c r="AM33" s="598"/>
      <c r="AN33" s="597"/>
      <c r="AO33" s="597"/>
      <c r="AP33" s="597"/>
      <c r="AQ33" s="597"/>
      <c r="AR33" s="598"/>
      <c r="AS33" s="597"/>
      <c r="AT33" s="597"/>
      <c r="AU33" s="597"/>
      <c r="AV33" s="597"/>
      <c r="AW33" s="598"/>
      <c r="AX33" s="597"/>
      <c r="AY33" s="597"/>
      <c r="AZ33" s="597"/>
      <c r="BA33" s="597"/>
      <c r="BB33" s="598"/>
      <c r="BC33" s="597"/>
      <c r="BD33" s="597"/>
      <c r="BE33" s="597"/>
      <c r="BF33" s="597"/>
      <c r="BG33" s="586"/>
      <c r="BH33" s="597"/>
      <c r="BI33" s="597"/>
      <c r="BJ33" s="597"/>
      <c r="BK33" s="597"/>
      <c r="BL33" s="598"/>
      <c r="BM33" s="597"/>
      <c r="BN33" s="597"/>
      <c r="BO33" s="597"/>
      <c r="BP33" s="597"/>
      <c r="BQ33" s="586"/>
      <c r="BR33" s="597"/>
      <c r="BS33" s="597"/>
      <c r="BT33" s="597"/>
      <c r="BU33" s="597"/>
      <c r="BV33" s="586"/>
      <c r="BW33" s="597"/>
      <c r="BX33" s="597"/>
      <c r="BY33" s="597"/>
      <c r="BZ33" s="597"/>
      <c r="CA33" s="598"/>
      <c r="CB33" s="597"/>
      <c r="CC33" s="597"/>
      <c r="CD33" s="597"/>
      <c r="CE33" s="597"/>
      <c r="CF33" s="598"/>
      <c r="CG33" s="597"/>
      <c r="CH33" s="597"/>
      <c r="CI33" s="597"/>
      <c r="CJ33" s="597"/>
      <c r="CK33" s="598"/>
      <c r="CL33" s="597"/>
      <c r="CM33" s="597"/>
      <c r="CN33" s="597"/>
      <c r="CO33" s="597"/>
      <c r="CP33" s="598"/>
      <c r="CQ33" s="597"/>
      <c r="CR33" s="597"/>
      <c r="CS33" s="597"/>
      <c r="CT33" s="597"/>
      <c r="CU33" s="598"/>
      <c r="CV33" s="597"/>
      <c r="CW33" s="597"/>
      <c r="CX33" s="597"/>
      <c r="CY33" s="597"/>
      <c r="CZ33" s="598"/>
      <c r="DA33" s="597"/>
      <c r="DB33" s="597"/>
      <c r="DC33" s="597"/>
      <c r="DD33" s="597"/>
      <c r="DE33" s="598"/>
      <c r="DF33" s="597"/>
      <c r="DG33" s="597"/>
      <c r="DH33" s="597"/>
      <c r="DI33" s="2800"/>
      <c r="DJ33" s="598"/>
      <c r="DK33" s="597"/>
      <c r="DL33" s="597"/>
      <c r="DM33" s="597"/>
      <c r="DN33" s="597"/>
      <c r="DO33" s="598"/>
      <c r="DP33" s="597"/>
      <c r="DQ33" s="597"/>
      <c r="DR33" s="597"/>
      <c r="DS33" s="597"/>
      <c r="DT33" s="598"/>
      <c r="DU33" s="597"/>
      <c r="DV33" s="597"/>
      <c r="DW33" s="597"/>
      <c r="DX33" s="597"/>
      <c r="DY33" s="598"/>
    </row>
    <row r="34" spans="1:134" x14ac:dyDescent="0.2">
      <c r="A34" s="561"/>
      <c r="B34" s="560" t="s">
        <v>178</v>
      </c>
      <c r="C34" s="561"/>
      <c r="D34" s="561"/>
      <c r="E34" s="561"/>
      <c r="F34" s="561"/>
      <c r="G34" s="561"/>
      <c r="H34" s="561"/>
      <c r="I34" s="562">
        <v>2.2000000000000002</v>
      </c>
      <c r="J34" s="561"/>
      <c r="K34" s="561"/>
      <c r="L34" s="561"/>
      <c r="M34" s="561"/>
      <c r="N34" s="562">
        <v>7.9</v>
      </c>
      <c r="O34" s="561"/>
      <c r="P34" s="561"/>
      <c r="Q34" s="561"/>
      <c r="R34" s="561"/>
      <c r="S34" s="562">
        <v>12.7</v>
      </c>
      <c r="T34" s="561"/>
      <c r="U34" s="561"/>
      <c r="V34" s="561"/>
      <c r="W34" s="561"/>
      <c r="X34" s="562">
        <v>27.6</v>
      </c>
      <c r="Y34" s="561"/>
      <c r="Z34" s="561"/>
      <c r="AA34" s="561"/>
      <c r="AB34" s="561"/>
      <c r="AC34" s="562">
        <v>35</v>
      </c>
      <c r="AD34" s="561"/>
      <c r="AE34" s="561"/>
      <c r="AF34" s="561"/>
      <c r="AG34" s="561"/>
      <c r="AH34" s="562">
        <v>39.700000000000003</v>
      </c>
      <c r="AI34" s="563">
        <v>13.3</v>
      </c>
      <c r="AJ34" s="563">
        <v>18.2</v>
      </c>
      <c r="AK34" s="563">
        <v>18.3</v>
      </c>
      <c r="AL34" s="561"/>
      <c r="AM34" s="562">
        <v>71.599999999999994</v>
      </c>
      <c r="AN34" s="563">
        <v>24.6</v>
      </c>
      <c r="AO34" s="563">
        <v>23.8</v>
      </c>
      <c r="AP34" s="563">
        <v>24.7</v>
      </c>
      <c r="AQ34" s="561"/>
      <c r="AR34" s="562">
        <v>100.5</v>
      </c>
      <c r="AS34" s="563">
        <v>25.1</v>
      </c>
      <c r="AT34" s="563">
        <v>24.3</v>
      </c>
      <c r="AU34" s="563">
        <v>33.5</v>
      </c>
      <c r="AV34" s="561"/>
      <c r="AW34" s="562">
        <v>133.9</v>
      </c>
      <c r="AX34" s="563">
        <v>51.8</v>
      </c>
      <c r="AY34" s="563">
        <v>55.7</v>
      </c>
      <c r="AZ34" s="563">
        <v>55.2</v>
      </c>
      <c r="BA34" s="561"/>
      <c r="BB34" s="562">
        <v>222.4</v>
      </c>
      <c r="BC34" s="563">
        <v>57.4</v>
      </c>
      <c r="BD34" s="563">
        <v>72.8</v>
      </c>
      <c r="BE34" s="563">
        <v>93.7</v>
      </c>
      <c r="BF34" s="563">
        <v>94.2</v>
      </c>
      <c r="BG34" s="562">
        <v>318.10000000000002</v>
      </c>
      <c r="BH34" s="563">
        <v>101.6</v>
      </c>
      <c r="BI34" s="563">
        <v>582</v>
      </c>
      <c r="BJ34" s="563">
        <v>654.70000000000005</v>
      </c>
      <c r="BK34" s="563">
        <v>754.7</v>
      </c>
      <c r="BL34" s="564">
        <f>BL19-BL24</f>
        <v>2102</v>
      </c>
      <c r="BM34" s="563">
        <f>530+IS!BM118-PBM!BM49</f>
        <v>581.9</v>
      </c>
      <c r="BN34" s="563">
        <f>614.1+IS!BN118-PBM!BN49</f>
        <v>658.5</v>
      </c>
      <c r="BO34" s="563">
        <f>658+IS!BO118-PBM!BO49</f>
        <v>705.6</v>
      </c>
      <c r="BP34" s="563">
        <f>760.4+IS!BP118-PBM!BP49</f>
        <v>808.99999999999989</v>
      </c>
      <c r="BQ34" s="564">
        <f>BQ19-BQ24</f>
        <v>2755.5</v>
      </c>
      <c r="BR34" s="563">
        <f>485.8+IS!BR118-PBM!BR49</f>
        <v>536.9</v>
      </c>
      <c r="BS34" s="563">
        <f>637.5+IS!BS118-PBM!BS49</f>
        <v>696.9</v>
      </c>
      <c r="BT34" s="563">
        <f>729+IS!BT118-PBM!BT49</f>
        <v>799.2</v>
      </c>
      <c r="BU34" s="563">
        <v>833</v>
      </c>
      <c r="BV34" s="564">
        <f>BV19-BV24</f>
        <v>2866.1</v>
      </c>
      <c r="BW34" s="563">
        <v>538</v>
      </c>
      <c r="BX34" s="563">
        <v>591</v>
      </c>
      <c r="BY34" s="563">
        <v>652</v>
      </c>
      <c r="BZ34" s="563">
        <v>608</v>
      </c>
      <c r="CA34" s="564">
        <f t="shared" ref="CA34:CV34" si="34">CA19-CA24</f>
        <v>2389</v>
      </c>
      <c r="CB34" s="565">
        <f t="shared" si="34"/>
        <v>397</v>
      </c>
      <c r="CC34" s="565">
        <f t="shared" si="34"/>
        <v>454</v>
      </c>
      <c r="CD34" s="561">
        <f t="shared" si="34"/>
        <v>657</v>
      </c>
      <c r="CE34" s="561">
        <f t="shared" si="34"/>
        <v>724.4</v>
      </c>
      <c r="CF34" s="577">
        <f t="shared" si="34"/>
        <v>2232.4</v>
      </c>
      <c r="CG34" s="561">
        <f t="shared" si="34"/>
        <v>349</v>
      </c>
      <c r="CH34" s="561">
        <f t="shared" si="34"/>
        <v>511.4</v>
      </c>
      <c r="CI34" s="561">
        <f t="shared" si="34"/>
        <v>784</v>
      </c>
      <c r="CJ34" s="561">
        <f t="shared" si="34"/>
        <v>1035</v>
      </c>
      <c r="CK34" s="577">
        <f t="shared" si="34"/>
        <v>2679.4</v>
      </c>
      <c r="CL34" s="561">
        <f t="shared" si="34"/>
        <v>499</v>
      </c>
      <c r="CM34" s="561">
        <f>CM19-CM24</f>
        <v>675.4</v>
      </c>
      <c r="CN34" s="561">
        <f>CN19-CN24</f>
        <v>1001</v>
      </c>
      <c r="CO34" s="561">
        <f>CO19-CO24</f>
        <v>900.39999999999986</v>
      </c>
      <c r="CP34" s="577">
        <f t="shared" ca="1" si="34"/>
        <v>3075.7999999999997</v>
      </c>
      <c r="CQ34" s="561">
        <f>CQ19-CQ24</f>
        <v>640.6</v>
      </c>
      <c r="CR34" s="561">
        <f t="shared" si="34"/>
        <v>878.3</v>
      </c>
      <c r="CS34" s="561">
        <f t="shared" si="34"/>
        <v>1086.4000000000001</v>
      </c>
      <c r="CT34" s="561">
        <f t="shared" si="34"/>
        <v>908.7</v>
      </c>
      <c r="CU34" s="577">
        <f t="shared" si="34"/>
        <v>3514</v>
      </c>
      <c r="CV34" s="561">
        <f t="shared" si="34"/>
        <v>734.00000000000011</v>
      </c>
      <c r="CW34" s="561">
        <f>CW19-CW24</f>
        <v>940.5</v>
      </c>
      <c r="CX34" s="561">
        <f>CX19-CX24</f>
        <v>1162.3566396100009</v>
      </c>
      <c r="CY34" s="561">
        <f>CY19-CY24</f>
        <v>1152.2937007000021</v>
      </c>
      <c r="CZ34" s="577">
        <f>SUM(CV34:CY34)</f>
        <v>3989.1503403100032</v>
      </c>
      <c r="DA34" s="561">
        <f>DA19-DA24</f>
        <v>782.471</v>
      </c>
      <c r="DB34" s="561">
        <f>DB19-DB24</f>
        <v>1039</v>
      </c>
      <c r="DC34" s="561">
        <f>DC19-DC24</f>
        <v>1456.2</v>
      </c>
      <c r="DD34" s="561">
        <f>DD19-DD24</f>
        <v>1305.9000000000001</v>
      </c>
      <c r="DE34" s="577">
        <f t="shared" ref="DE34:DJ34" si="35">DE19-DE24</f>
        <v>4583.570999999999</v>
      </c>
      <c r="DF34" s="561">
        <f>DF19-DF24</f>
        <v>783.90000000000009</v>
      </c>
      <c r="DG34" s="561">
        <f>DG19-DG24</f>
        <v>1134.7</v>
      </c>
      <c r="DH34" s="561">
        <f>DH19-DH24</f>
        <v>1352.9173291100001</v>
      </c>
      <c r="DI34" s="561">
        <f>DI19-DI24</f>
        <v>1483.0915512400018</v>
      </c>
      <c r="DJ34" s="577">
        <f t="shared" si="35"/>
        <v>4754.6088803500024</v>
      </c>
      <c r="DK34" s="561">
        <f t="shared" ref="DK34:DT34" ca="1" si="36">DK19-DK24</f>
        <v>797.99998529848608</v>
      </c>
      <c r="DL34" s="561">
        <f t="shared" ca="1" si="36"/>
        <v>1209.749890659838</v>
      </c>
      <c r="DM34" s="561">
        <f t="shared" ca="1" si="36"/>
        <v>1470.9171181297095</v>
      </c>
      <c r="DN34" s="561">
        <f t="shared" ca="1" si="36"/>
        <v>1461.9690622647045</v>
      </c>
      <c r="DO34" s="577">
        <f t="shared" ca="1" si="36"/>
        <v>4940.6360563527378</v>
      </c>
      <c r="DP34" s="561">
        <f t="shared" ca="1" si="36"/>
        <v>876.26621259215551</v>
      </c>
      <c r="DQ34" s="561">
        <f t="shared" ca="1" si="36"/>
        <v>1274.1490619129709</v>
      </c>
      <c r="DR34" s="561">
        <f t="shared" ca="1" si="36"/>
        <v>1548.3115121818028</v>
      </c>
      <c r="DS34" s="561">
        <f t="shared" ca="1" si="36"/>
        <v>1544.1206745030131</v>
      </c>
      <c r="DT34" s="577">
        <f t="shared" ca="1" si="36"/>
        <v>5242.8474611899419</v>
      </c>
      <c r="DU34" s="561">
        <f t="shared" ref="DU34:DY34" ca="1" si="37">DU19-DU24</f>
        <v>939.8965747225626</v>
      </c>
      <c r="DV34" s="561">
        <f t="shared" ca="1" si="37"/>
        <v>1361.3452331448793</v>
      </c>
      <c r="DW34" s="561">
        <f t="shared" ca="1" si="37"/>
        <v>1651.6263895008585</v>
      </c>
      <c r="DX34" s="561">
        <f t="shared" ca="1" si="37"/>
        <v>1646.4743273211952</v>
      </c>
      <c r="DY34" s="577">
        <f t="shared" ca="1" si="37"/>
        <v>5599.3425246894949</v>
      </c>
      <c r="EA34">
        <f>DJ34</f>
        <v>4754.6088803500024</v>
      </c>
      <c r="EB34">
        <f ca="1">DO34</f>
        <v>4940.6360563527378</v>
      </c>
      <c r="EC34">
        <f ca="1">DT34</f>
        <v>5242.8474611899419</v>
      </c>
      <c r="ED34">
        <f ca="1">DY34</f>
        <v>5599.3425246894949</v>
      </c>
    </row>
    <row r="35" spans="1:134" x14ac:dyDescent="0.2">
      <c r="A35" s="473"/>
      <c r="B35" s="579" t="s">
        <v>729</v>
      </c>
      <c r="C35" s="469"/>
      <c r="D35" s="469"/>
      <c r="E35" s="469"/>
      <c r="F35" s="469"/>
      <c r="G35" s="469"/>
      <c r="H35" s="469"/>
      <c r="I35" s="582">
        <f>I34/I14</f>
        <v>1.0531354715174725E-2</v>
      </c>
      <c r="J35" s="469"/>
      <c r="K35" s="469"/>
      <c r="L35" s="469"/>
      <c r="M35" s="469"/>
      <c r="N35" s="582">
        <f>N34/N14</f>
        <v>2.4633613969441848E-2</v>
      </c>
      <c r="O35" s="469"/>
      <c r="P35" s="469"/>
      <c r="Q35" s="469"/>
      <c r="R35" s="469"/>
      <c r="S35" s="582">
        <f>S34/S14</f>
        <v>2.6003276003276003E-2</v>
      </c>
      <c r="T35" s="469"/>
      <c r="U35" s="469"/>
      <c r="V35" s="469"/>
      <c r="W35" s="469"/>
      <c r="X35" s="582">
        <f>X34/X14</f>
        <v>5.8648533786655334E-2</v>
      </c>
      <c r="Y35" s="469"/>
      <c r="Z35" s="469"/>
      <c r="AA35" s="469"/>
      <c r="AB35" s="469"/>
      <c r="AC35" s="582">
        <f>AC34/AC14</f>
        <v>4.9617238446271618E-2</v>
      </c>
      <c r="AD35" s="469"/>
      <c r="AE35" s="469"/>
      <c r="AF35" s="469"/>
      <c r="AG35" s="469"/>
      <c r="AH35" s="582">
        <f>AH34/AH14</f>
        <v>4.3497315656842339E-2</v>
      </c>
      <c r="AI35" s="469"/>
      <c r="AJ35" s="469"/>
      <c r="AK35" s="469"/>
      <c r="AL35" s="469"/>
      <c r="AM35" s="582">
        <f>AM34/AM14</f>
        <v>6.3854454650851683E-2</v>
      </c>
      <c r="AN35" s="469"/>
      <c r="AO35" s="469"/>
      <c r="AP35" s="469"/>
      <c r="AQ35" s="469"/>
      <c r="AR35" s="582">
        <f>AR34/AR14</f>
        <v>7.6876003977663893E-2</v>
      </c>
      <c r="AS35" s="469"/>
      <c r="AT35" s="469"/>
      <c r="AU35" s="469"/>
      <c r="AV35" s="469"/>
      <c r="AW35" s="582">
        <f>AW34/AW14</f>
        <v>7.1773156089193837E-2</v>
      </c>
      <c r="AX35" s="469"/>
      <c r="AY35" s="469"/>
      <c r="AZ35" s="469"/>
      <c r="BA35" s="469"/>
      <c r="BB35" s="582">
        <f>BB34/BB14</f>
        <v>7.5231716392666265E-2</v>
      </c>
      <c r="BC35" s="601">
        <v>6.4487136276822829E-2</v>
      </c>
      <c r="BD35" s="601">
        <v>8.5166120729995326E-2</v>
      </c>
      <c r="BE35" s="601">
        <v>0.10037493304767006</v>
      </c>
      <c r="BF35" s="601">
        <v>9.3000296179287206E-2</v>
      </c>
      <c r="BG35" s="582">
        <f>BG34/BG14</f>
        <v>8.6175602091404138E-2</v>
      </c>
      <c r="BH35" s="601">
        <v>5.2409610008055718E-2</v>
      </c>
      <c r="BI35" s="601">
        <v>5.5144446234164916E-2</v>
      </c>
      <c r="BJ35" s="601">
        <v>6.1401534334965209E-2</v>
      </c>
      <c r="BK35" s="601">
        <v>6.4996468987374489E-2</v>
      </c>
      <c r="BL35" s="582">
        <f>BL34/BL14</f>
        <v>6.0163029789572511E-2</v>
      </c>
      <c r="BM35" s="581">
        <f>BM34/BM$14</f>
        <v>5.4056313691974701E-2</v>
      </c>
      <c r="BN35" s="581">
        <f>BN34/BN14</f>
        <v>6.1791532167254706E-2</v>
      </c>
      <c r="BO35" s="581">
        <f>BO34/BO14</f>
        <v>6.6796675312872769E-2</v>
      </c>
      <c r="BP35" s="581">
        <f>BP34/BP14</f>
        <v>6.8650662321902853E-2</v>
      </c>
      <c r="BQ35" s="582">
        <f>BQ34/BQ$14</f>
        <v>6.2955228791022E-2</v>
      </c>
      <c r="BR35" s="581">
        <f t="shared" ref="BR35:CZ35" si="38">BR34/BR14</f>
        <v>4.6546103963657798E-2</v>
      </c>
      <c r="BS35" s="581">
        <f t="shared" si="38"/>
        <v>5.3575135110202267E-2</v>
      </c>
      <c r="BT35" s="581">
        <f t="shared" si="38"/>
        <v>6.1333967752085522E-2</v>
      </c>
      <c r="BU35" s="581">
        <f t="shared" si="38"/>
        <v>6.1740290542543728E-2</v>
      </c>
      <c r="BV35" s="582">
        <f t="shared" si="38"/>
        <v>5.6126505434250462E-2</v>
      </c>
      <c r="BW35" s="581">
        <f t="shared" si="38"/>
        <v>4.5454545454545456E-2</v>
      </c>
      <c r="BX35" s="581">
        <f t="shared" si="38"/>
        <v>4.9915540540540537E-2</v>
      </c>
      <c r="BY35" s="581">
        <f t="shared" si="38"/>
        <v>5.4670467885292638E-2</v>
      </c>
      <c r="BZ35" s="581">
        <f t="shared" si="38"/>
        <v>4.9930196271659684E-2</v>
      </c>
      <c r="CA35" s="582">
        <f t="shared" si="38"/>
        <v>5.0001046484857363E-2</v>
      </c>
      <c r="CB35" s="581">
        <f t="shared" si="38"/>
        <v>2.8328814043099757E-2</v>
      </c>
      <c r="CC35" s="581">
        <f t="shared" si="38"/>
        <v>3.1119336486393857E-2</v>
      </c>
      <c r="CD35" s="468">
        <f t="shared" si="38"/>
        <v>4.4397891606973917E-2</v>
      </c>
      <c r="CE35" s="468">
        <f t="shared" si="38"/>
        <v>4.5636383108742351E-2</v>
      </c>
      <c r="CF35" s="580">
        <f t="shared" si="38"/>
        <v>3.7662190865181029E-2</v>
      </c>
      <c r="CG35" s="581">
        <f t="shared" si="38"/>
        <v>1.9071038251366121E-2</v>
      </c>
      <c r="CH35" s="581">
        <f t="shared" si="38"/>
        <v>2.7759382497584483E-2</v>
      </c>
      <c r="CI35" s="468">
        <f t="shared" si="38"/>
        <v>4.3364270938194859E-2</v>
      </c>
      <c r="CJ35" s="468">
        <f t="shared" si="38"/>
        <v>5.5519794013517865E-2</v>
      </c>
      <c r="CK35" s="580">
        <f t="shared" si="38"/>
        <v>3.6482217744131587E-2</v>
      </c>
      <c r="CL35" s="581">
        <f t="shared" si="38"/>
        <v>2.7251378952542187E-2</v>
      </c>
      <c r="CM35" s="581">
        <f t="shared" si="38"/>
        <v>3.5925914105469206E-2</v>
      </c>
      <c r="CN35" s="581">
        <f t="shared" si="38"/>
        <v>5.1379179370309912E-2</v>
      </c>
      <c r="CO35" s="581">
        <f>CO34/CO14</f>
        <v>4.5903645169513119E-2</v>
      </c>
      <c r="CP35" s="580">
        <f t="shared" ca="1" si="38"/>
        <v>4.0360380220553112E-2</v>
      </c>
      <c r="CQ35" s="581">
        <f>CQ34/CQ14</f>
        <v>3.1720565879842143E-2</v>
      </c>
      <c r="CR35" s="581">
        <f t="shared" si="38"/>
        <v>4.0222015634516828E-2</v>
      </c>
      <c r="CS35" s="468">
        <f t="shared" si="38"/>
        <v>4.8211591373036301E-2</v>
      </c>
      <c r="CT35" s="468">
        <f t="shared" si="38"/>
        <v>3.8061848933790728E-2</v>
      </c>
      <c r="CU35" s="580">
        <f t="shared" si="38"/>
        <v>3.9733287200205331E-2</v>
      </c>
      <c r="CV35" s="581">
        <f t="shared" si="38"/>
        <v>3.0738434349991E-2</v>
      </c>
      <c r="CW35" s="581">
        <f>CW34/CW14</f>
        <v>3.8479635046948839E-2</v>
      </c>
      <c r="CX35" s="581">
        <f>CX34/CX14</f>
        <v>4.5532143058738685E-2</v>
      </c>
      <c r="CY35" s="581">
        <f>CY34/CY14</f>
        <v>4.3459925870376524E-2</v>
      </c>
      <c r="CZ35" s="580">
        <f t="shared" si="38"/>
        <v>3.9747378717438754E-2</v>
      </c>
      <c r="DA35" s="581">
        <f>DA34/DA14</f>
        <v>2.7202190161654788E-2</v>
      </c>
      <c r="DB35" s="581">
        <f>DB34/DB14</f>
        <v>3.5208761864742776E-2</v>
      </c>
      <c r="DC35" s="581">
        <f>DC34/DC14</f>
        <v>4.7855506735329012E-2</v>
      </c>
      <c r="DD35" s="581">
        <f>DD34/DD14</f>
        <v>4.177636735307573E-2</v>
      </c>
      <c r="DE35" s="580">
        <f t="shared" ref="DE35:DJ35" si="39">DE34/DE14</f>
        <v>3.8208142163596831E-2</v>
      </c>
      <c r="DF35" s="581">
        <f>DF34/DF14</f>
        <v>2.5106733242160353E-2</v>
      </c>
      <c r="DG35" s="581">
        <f>DG34/DG14</f>
        <v>3.5102210013116544E-2</v>
      </c>
      <c r="DH35" s="581">
        <f>DH34/DH14</f>
        <v>4.1127357568747379E-2</v>
      </c>
      <c r="DI35" s="581">
        <f>DI34/DI14</f>
        <v>4.3426303542593067E-2</v>
      </c>
      <c r="DJ35" s="580">
        <f t="shared" si="39"/>
        <v>3.6407002277089283E-2</v>
      </c>
      <c r="DK35" s="581">
        <f t="shared" ref="DK35:DT35" ca="1" si="40">DK34/DK14</f>
        <v>2.4796053024751869E-2</v>
      </c>
      <c r="DL35" s="581">
        <f t="shared" ca="1" si="40"/>
        <v>3.4691853462309553E-2</v>
      </c>
      <c r="DM35" s="468">
        <f t="shared" ca="1" si="40"/>
        <v>4.206351588940975E-2</v>
      </c>
      <c r="DN35" s="468">
        <f t="shared" ca="1" si="40"/>
        <v>4.1070891681950869E-2</v>
      </c>
      <c r="DO35" s="580">
        <f t="shared" ca="1" si="40"/>
        <v>3.5900821885042837E-2</v>
      </c>
      <c r="DP35" s="581">
        <f t="shared" ca="1" si="40"/>
        <v>2.5923071151724448E-2</v>
      </c>
      <c r="DQ35" s="581">
        <f t="shared" ca="1" si="40"/>
        <v>3.4828175922676223E-2</v>
      </c>
      <c r="DR35" s="468">
        <f t="shared" ca="1" si="40"/>
        <v>4.2249018073459731E-2</v>
      </c>
      <c r="DS35" s="468">
        <f t="shared" ca="1" si="40"/>
        <v>4.144336234501593E-2</v>
      </c>
      <c r="DT35" s="580">
        <f t="shared" ca="1" si="40"/>
        <v>3.6334914520559036E-2</v>
      </c>
      <c r="DU35" s="581">
        <f t="shared" ref="DU35:DY35" ca="1" si="41">DU34/DU14</f>
        <v>2.6604513571389422E-2</v>
      </c>
      <c r="DV35" s="581">
        <f t="shared" ca="1" si="41"/>
        <v>3.5667001199291719E-2</v>
      </c>
      <c r="DW35" s="468">
        <f t="shared" ca="1" si="41"/>
        <v>4.3251190347399382E-2</v>
      </c>
      <c r="DX35" s="468">
        <f t="shared" ca="1" si="41"/>
        <v>4.2467807772569206E-2</v>
      </c>
      <c r="DY35" s="580">
        <f t="shared" ca="1" si="41"/>
        <v>3.721644617648355E-2</v>
      </c>
      <c r="DZ35" s="2517"/>
    </row>
    <row r="36" spans="1:134" x14ac:dyDescent="0.2">
      <c r="A36" s="473"/>
      <c r="B36" s="579" t="s">
        <v>204</v>
      </c>
      <c r="C36" s="469"/>
      <c r="D36" s="469"/>
      <c r="E36" s="469"/>
      <c r="F36" s="469"/>
      <c r="G36" s="469"/>
      <c r="H36" s="469"/>
      <c r="I36" s="580"/>
      <c r="J36" s="469"/>
      <c r="K36" s="469"/>
      <c r="L36" s="469"/>
      <c r="M36" s="469"/>
      <c r="N36" s="580"/>
      <c r="O36" s="469"/>
      <c r="P36" s="469"/>
      <c r="Q36" s="469"/>
      <c r="R36" s="469"/>
      <c r="S36" s="580"/>
      <c r="T36" s="469"/>
      <c r="U36" s="469"/>
      <c r="V36" s="469"/>
      <c r="W36" s="469"/>
      <c r="X36" s="580"/>
      <c r="Y36" s="469"/>
      <c r="Z36" s="469"/>
      <c r="AA36" s="469"/>
      <c r="AB36" s="469"/>
      <c r="AC36" s="580"/>
      <c r="AD36" s="469"/>
      <c r="AE36" s="469"/>
      <c r="AF36" s="469"/>
      <c r="AG36" s="469"/>
      <c r="AH36" s="580"/>
      <c r="AI36" s="469"/>
      <c r="AJ36" s="469"/>
      <c r="AK36" s="469"/>
      <c r="AL36" s="469"/>
      <c r="AM36" s="580"/>
      <c r="AN36" s="469"/>
      <c r="AO36" s="469"/>
      <c r="AP36" s="469"/>
      <c r="AQ36" s="469"/>
      <c r="AR36" s="580"/>
      <c r="AS36" s="469"/>
      <c r="AT36" s="469"/>
      <c r="AU36" s="469"/>
      <c r="AV36" s="469"/>
      <c r="AW36" s="580"/>
      <c r="AX36" s="469"/>
      <c r="AY36" s="469"/>
      <c r="AZ36" s="469"/>
      <c r="BA36" s="469"/>
      <c r="BB36" s="580"/>
      <c r="BC36" s="469"/>
      <c r="BD36" s="469"/>
      <c r="BE36" s="469"/>
      <c r="BF36" s="469"/>
      <c r="BG36" s="580"/>
      <c r="BH36" s="581">
        <f>BH34/BC34-1</f>
        <v>0.7700348432055748</v>
      </c>
      <c r="BI36" s="581">
        <f>BI34/BD34-1</f>
        <v>6.9945054945054945</v>
      </c>
      <c r="BJ36" s="581">
        <f>BJ34/BE34-1</f>
        <v>5.9871931696905021</v>
      </c>
      <c r="BK36" s="581">
        <f>BK34/BF34-1</f>
        <v>7.011677282377919</v>
      </c>
      <c r="BL36" s="580"/>
      <c r="BM36" s="581">
        <f t="shared" ref="BM36:DI36" si="42">BM34/BH34-1</f>
        <v>4.7273622047244093</v>
      </c>
      <c r="BN36" s="581">
        <f t="shared" si="42"/>
        <v>0.13144329896907214</v>
      </c>
      <c r="BO36" s="581">
        <f t="shared" si="42"/>
        <v>7.7745532304872356E-2</v>
      </c>
      <c r="BP36" s="581">
        <f t="shared" si="42"/>
        <v>7.1949118855173966E-2</v>
      </c>
      <c r="BQ36" s="582">
        <f t="shared" si="42"/>
        <v>0.31089438629876298</v>
      </c>
      <c r="BR36" s="581">
        <f t="shared" si="42"/>
        <v>-7.7332875064444084E-2</v>
      </c>
      <c r="BS36" s="581">
        <f t="shared" si="42"/>
        <v>5.8314350797266545E-2</v>
      </c>
      <c r="BT36" s="581">
        <f t="shared" si="42"/>
        <v>0.13265306122448983</v>
      </c>
      <c r="BU36" s="581">
        <f t="shared" si="42"/>
        <v>2.9666254635352329E-2</v>
      </c>
      <c r="BV36" s="582">
        <f t="shared" si="42"/>
        <v>4.013790600616951E-2</v>
      </c>
      <c r="BW36" s="581">
        <f t="shared" si="42"/>
        <v>2.0487986589681206E-3</v>
      </c>
      <c r="BX36" s="581">
        <f t="shared" si="42"/>
        <v>-0.15195867412828234</v>
      </c>
      <c r="BY36" s="581">
        <f t="shared" si="42"/>
        <v>-0.18418418418418425</v>
      </c>
      <c r="BZ36" s="581">
        <f t="shared" si="42"/>
        <v>-0.27010804321728688</v>
      </c>
      <c r="CA36" s="582">
        <f t="shared" si="42"/>
        <v>-0.16646313806217505</v>
      </c>
      <c r="CB36" s="581">
        <f t="shared" si="42"/>
        <v>-0.26208178438661711</v>
      </c>
      <c r="CC36" s="581">
        <f t="shared" si="42"/>
        <v>-0.23181049069373938</v>
      </c>
      <c r="CD36" s="468">
        <f t="shared" si="42"/>
        <v>7.6687116564417845E-3</v>
      </c>
      <c r="CE36" s="468">
        <f t="shared" si="42"/>
        <v>0.1914473684210527</v>
      </c>
      <c r="CF36" s="572">
        <f t="shared" si="42"/>
        <v>-6.5550439514441172E-2</v>
      </c>
      <c r="CG36" s="468">
        <f t="shared" si="42"/>
        <v>-0.12090680100755669</v>
      </c>
      <c r="CH36" s="468">
        <f t="shared" si="42"/>
        <v>0.12643171806167386</v>
      </c>
      <c r="CI36" s="468">
        <f t="shared" si="42"/>
        <v>0.19330289193302885</v>
      </c>
      <c r="CJ36" s="468">
        <f t="shared" si="42"/>
        <v>0.42876863611264504</v>
      </c>
      <c r="CK36" s="580">
        <f t="shared" si="42"/>
        <v>0.20023293316609925</v>
      </c>
      <c r="CL36" s="468">
        <f t="shared" si="42"/>
        <v>0.42979942693409745</v>
      </c>
      <c r="CM36" s="468">
        <f t="shared" si="42"/>
        <v>0.3206883066093078</v>
      </c>
      <c r="CN36" s="468">
        <f t="shared" si="42"/>
        <v>0.27678571428571419</v>
      </c>
      <c r="CO36" s="468">
        <f t="shared" si="42"/>
        <v>-0.1300483091787441</v>
      </c>
      <c r="CP36" s="580">
        <f t="shared" ca="1" si="42"/>
        <v>0.14794356945584819</v>
      </c>
      <c r="CQ36" s="468">
        <f t="shared" si="42"/>
        <v>0.2837675350701403</v>
      </c>
      <c r="CR36" s="468">
        <f t="shared" si="42"/>
        <v>0.30041456914421083</v>
      </c>
      <c r="CS36" s="468">
        <f t="shared" si="42"/>
        <v>8.5314685314685335E-2</v>
      </c>
      <c r="CT36" s="468">
        <f t="shared" si="42"/>
        <v>9.218125277654643E-3</v>
      </c>
      <c r="CU36" s="580">
        <f t="shared" ca="1" si="42"/>
        <v>0.14246700045516625</v>
      </c>
      <c r="CV36" s="468">
        <f t="shared" si="42"/>
        <v>0.14580081173899484</v>
      </c>
      <c r="CW36" s="468">
        <f t="shared" si="42"/>
        <v>7.0818626892861225E-2</v>
      </c>
      <c r="CX36" s="468">
        <f t="shared" si="42"/>
        <v>6.9915905384757782E-2</v>
      </c>
      <c r="CY36" s="468">
        <f t="shared" si="42"/>
        <v>0.26806834015626935</v>
      </c>
      <c r="CZ36" s="580">
        <f t="shared" si="42"/>
        <v>0.13521637459021152</v>
      </c>
      <c r="DA36" s="468">
        <f t="shared" si="42"/>
        <v>6.6036784741144272E-2</v>
      </c>
      <c r="DB36" s="468">
        <f t="shared" si="42"/>
        <v>0.10473152578415745</v>
      </c>
      <c r="DC36" s="468">
        <f t="shared" si="42"/>
        <v>0.25279965750321765</v>
      </c>
      <c r="DD36" s="468">
        <f t="shared" si="42"/>
        <v>0.13330481560966989</v>
      </c>
      <c r="DE36" s="580">
        <f>DE34/CZ34-1</f>
        <v>0.14900934008012401</v>
      </c>
      <c r="DF36" s="468">
        <f t="shared" si="42"/>
        <v>1.8262657657601711E-3</v>
      </c>
      <c r="DG36" s="468">
        <f t="shared" si="42"/>
        <v>9.2107795957651728E-2</v>
      </c>
      <c r="DH36" s="468">
        <f t="shared" si="42"/>
        <v>-7.0926157732454254E-2</v>
      </c>
      <c r="DI36" s="468">
        <f t="shared" si="42"/>
        <v>0.13568539033616789</v>
      </c>
      <c r="DJ36" s="580">
        <f t="shared" ref="DJ36:DT36" si="43">DJ34/DE34-1</f>
        <v>3.73154207385471E-2</v>
      </c>
      <c r="DK36" s="468">
        <f t="shared" ca="1" si="43"/>
        <v>1.7986969381918572E-2</v>
      </c>
      <c r="DL36" s="468">
        <f t="shared" ca="1" si="43"/>
        <v>6.6140733814962438E-2</v>
      </c>
      <c r="DM36" s="468">
        <f t="shared" ca="1" si="43"/>
        <v>8.7218772707519543E-2</v>
      </c>
      <c r="DN36" s="468">
        <f t="shared" ca="1" si="43"/>
        <v>-1.4242201675032762E-2</v>
      </c>
      <c r="DO36" s="580">
        <f t="shared" ca="1" si="43"/>
        <v>3.9125652747496131E-2</v>
      </c>
      <c r="DP36" s="468">
        <f t="shared" ca="1" si="43"/>
        <v>9.8077980871634329E-2</v>
      </c>
      <c r="DQ36" s="468">
        <f t="shared" ca="1" si="43"/>
        <v>5.3233459040039621E-2</v>
      </c>
      <c r="DR36" s="468">
        <f t="shared" ca="1" si="43"/>
        <v>5.2616420801806507E-2</v>
      </c>
      <c r="DS36" s="468">
        <f t="shared" ca="1" si="43"/>
        <v>5.6192442342828608E-2</v>
      </c>
      <c r="DT36" s="580">
        <f t="shared" ca="1" si="43"/>
        <v>6.1168521904910733E-2</v>
      </c>
      <c r="DU36" s="468">
        <f t="shared" ref="DU36" ca="1" si="44">DU34/DP34-1</f>
        <v>7.2615332208435746E-2</v>
      </c>
      <c r="DV36" s="468">
        <f t="shared" ref="DV36" ca="1" si="45">DV34/DQ34-1</f>
        <v>6.8434827476931748E-2</v>
      </c>
      <c r="DW36" s="468">
        <f t="shared" ref="DW36" ca="1" si="46">DW34/DR34-1</f>
        <v>6.6727448905594899E-2</v>
      </c>
      <c r="DX36" s="468">
        <f t="shared" ref="DX36" ca="1" si="47">DX34/DS34-1</f>
        <v>6.6286045195998344E-2</v>
      </c>
      <c r="DY36" s="580">
        <f t="shared" ref="DY36" ca="1" si="48">DY34/DT34-1</f>
        <v>6.7996459202465775E-2</v>
      </c>
    </row>
    <row r="37" spans="1:134" x14ac:dyDescent="0.2">
      <c r="A37" s="473"/>
      <c r="B37" s="1619" t="s">
        <v>1078</v>
      </c>
      <c r="C37" s="469"/>
      <c r="D37" s="469"/>
      <c r="E37" s="469"/>
      <c r="F37" s="469"/>
      <c r="G37" s="469"/>
      <c r="H37" s="469"/>
      <c r="I37" s="580"/>
      <c r="J37" s="469"/>
      <c r="K37" s="469"/>
      <c r="L37" s="469"/>
      <c r="M37" s="469"/>
      <c r="N37" s="580"/>
      <c r="O37" s="469"/>
      <c r="P37" s="469"/>
      <c r="Q37" s="469"/>
      <c r="R37" s="469"/>
      <c r="S37" s="580"/>
      <c r="T37" s="469"/>
      <c r="U37" s="469"/>
      <c r="V37" s="469"/>
      <c r="W37" s="469"/>
      <c r="X37" s="580"/>
      <c r="Y37" s="469"/>
      <c r="Z37" s="469"/>
      <c r="AA37" s="469"/>
      <c r="AB37" s="469"/>
      <c r="AC37" s="580"/>
      <c r="AD37" s="469"/>
      <c r="AE37" s="469"/>
      <c r="AF37" s="469"/>
      <c r="AG37" s="469"/>
      <c r="AH37" s="580"/>
      <c r="AI37" s="469"/>
      <c r="AJ37" s="469"/>
      <c r="AK37" s="469"/>
      <c r="AL37" s="469"/>
      <c r="AM37" s="580"/>
      <c r="AN37" s="469"/>
      <c r="AO37" s="469"/>
      <c r="AP37" s="469"/>
      <c r="AQ37" s="469"/>
      <c r="AR37" s="580"/>
      <c r="AS37" s="469"/>
      <c r="AT37" s="469"/>
      <c r="AU37" s="469"/>
      <c r="AV37" s="469"/>
      <c r="AW37" s="580"/>
      <c r="AX37" s="469"/>
      <c r="AY37" s="469"/>
      <c r="AZ37" s="469"/>
      <c r="BA37" s="469"/>
      <c r="BB37" s="580"/>
      <c r="BC37" s="469"/>
      <c r="BD37" s="469"/>
      <c r="BE37" s="469"/>
      <c r="BF37" s="469"/>
      <c r="BG37" s="580"/>
      <c r="BH37" s="469"/>
      <c r="BI37" s="469"/>
      <c r="BJ37" s="469"/>
      <c r="BK37" s="469"/>
      <c r="BL37" s="576"/>
      <c r="BM37" s="469"/>
      <c r="BN37" s="469"/>
      <c r="BO37" s="469"/>
      <c r="BP37" s="469"/>
      <c r="BQ37" s="580"/>
      <c r="BR37" s="469"/>
      <c r="BS37" s="469"/>
      <c r="BT37" s="469"/>
      <c r="BU37" s="469"/>
      <c r="BV37" s="580"/>
      <c r="BW37" s="469"/>
      <c r="BX37" s="469"/>
      <c r="BY37" s="469"/>
      <c r="BZ37" s="469"/>
      <c r="CA37" s="602"/>
      <c r="CB37" s="468">
        <f>CB35-BW35</f>
        <v>-1.7125731411445699E-2</v>
      </c>
      <c r="CC37" s="468">
        <f>CC35-BX35</f>
        <v>-1.8796204054146681E-2</v>
      </c>
      <c r="CD37" s="468">
        <f>CD35-BY35</f>
        <v>-1.0272576278318721E-2</v>
      </c>
      <c r="CE37" s="468">
        <f>CE35-BZ35</f>
        <v>-4.2938131629173329E-3</v>
      </c>
      <c r="CF37" s="603"/>
      <c r="CG37" s="468">
        <f t="shared" ref="CG37:CU37" si="49">CG35-CB35</f>
        <v>-9.2577757917336363E-3</v>
      </c>
      <c r="CH37" s="468">
        <f t="shared" si="49"/>
        <v>-3.3599539888093735E-3</v>
      </c>
      <c r="CI37" s="468">
        <f t="shared" si="49"/>
        <v>-1.0336206687790589E-3</v>
      </c>
      <c r="CJ37" s="468">
        <f t="shared" si="49"/>
        <v>9.8834109047755137E-3</v>
      </c>
      <c r="CK37" s="580">
        <f t="shared" si="49"/>
        <v>-1.1799731210494421E-3</v>
      </c>
      <c r="CL37" s="468">
        <f t="shared" si="49"/>
        <v>8.1803407011760663E-3</v>
      </c>
      <c r="CM37" s="468">
        <f t="shared" si="49"/>
        <v>8.1665316078847229E-3</v>
      </c>
      <c r="CN37" s="468">
        <f t="shared" si="49"/>
        <v>8.0149084321150532E-3</v>
      </c>
      <c r="CO37" s="468">
        <f t="shared" si="49"/>
        <v>-9.616148844004746E-3</v>
      </c>
      <c r="CP37" s="580">
        <f t="shared" ca="1" si="49"/>
        <v>3.8781624764215247E-3</v>
      </c>
      <c r="CQ37" s="468">
        <f t="shared" si="49"/>
        <v>4.4691869272999556E-3</v>
      </c>
      <c r="CR37" s="468">
        <f t="shared" si="49"/>
        <v>4.2961015290476218E-3</v>
      </c>
      <c r="CS37" s="468">
        <f t="shared" si="49"/>
        <v>-3.1675879972736104E-3</v>
      </c>
      <c r="CT37" s="468">
        <f t="shared" si="49"/>
        <v>-7.8417962357223911E-3</v>
      </c>
      <c r="CU37" s="580">
        <f t="shared" ca="1" si="49"/>
        <v>-6.2709302034778119E-4</v>
      </c>
      <c r="CV37" s="468">
        <f t="shared" ref="CV37:DJ37" si="50">CV35-CQ35</f>
        <v>-9.821315298511428E-4</v>
      </c>
      <c r="CW37" s="468">
        <f t="shared" si="50"/>
        <v>-1.742380587567989E-3</v>
      </c>
      <c r="CX37" s="468">
        <f t="shared" si="50"/>
        <v>-2.6794483142976167E-3</v>
      </c>
      <c r="CY37" s="468">
        <f t="shared" si="50"/>
        <v>5.3980769365857967E-3</v>
      </c>
      <c r="CZ37" s="580">
        <f t="shared" si="50"/>
        <v>1.4091517233423556E-5</v>
      </c>
      <c r="DA37" s="468">
        <f t="shared" si="50"/>
        <v>-3.5362441883362121E-3</v>
      </c>
      <c r="DB37" s="468">
        <f t="shared" si="50"/>
        <v>-3.2708731822060633E-3</v>
      </c>
      <c r="DC37" s="468">
        <f t="shared" si="50"/>
        <v>2.3233636765903273E-3</v>
      </c>
      <c r="DD37" s="468">
        <f t="shared" si="50"/>
        <v>-1.6835585173007941E-3</v>
      </c>
      <c r="DE37" s="580">
        <f t="shared" si="50"/>
        <v>-1.5392365538419231E-3</v>
      </c>
      <c r="DF37" s="468">
        <f t="shared" si="50"/>
        <v>-2.0954569194944345E-3</v>
      </c>
      <c r="DG37" s="468">
        <f t="shared" si="50"/>
        <v>-1.0655185162623121E-4</v>
      </c>
      <c r="DH37" s="468">
        <f t="shared" si="50"/>
        <v>-6.7281491665816331E-3</v>
      </c>
      <c r="DI37" s="468">
        <f t="shared" si="50"/>
        <v>1.649936189517337E-3</v>
      </c>
      <c r="DJ37" s="580">
        <f t="shared" si="50"/>
        <v>-1.8011398865075481E-3</v>
      </c>
      <c r="DK37" s="468">
        <f t="shared" ref="DK37:DT37" ca="1" si="51">DK35-DF35</f>
        <v>-3.1068021740848425E-4</v>
      </c>
      <c r="DL37" s="468">
        <f t="shared" ca="1" si="51"/>
        <v>-4.1035655080699091E-4</v>
      </c>
      <c r="DM37" s="468">
        <f t="shared" ca="1" si="51"/>
        <v>9.3615832066237109E-4</v>
      </c>
      <c r="DN37" s="468">
        <f t="shared" ca="1" si="51"/>
        <v>-2.3554118606421981E-3</v>
      </c>
      <c r="DO37" s="580">
        <f t="shared" ca="1" si="51"/>
        <v>-5.0618039204644583E-4</v>
      </c>
      <c r="DP37" s="468">
        <f t="shared" ca="1" si="51"/>
        <v>1.1270181269725787E-3</v>
      </c>
      <c r="DQ37" s="468">
        <f t="shared" ca="1" si="51"/>
        <v>1.3632246036666962E-4</v>
      </c>
      <c r="DR37" s="468">
        <f t="shared" ca="1" si="51"/>
        <v>1.855021840499807E-4</v>
      </c>
      <c r="DS37" s="468">
        <f t="shared" ca="1" si="51"/>
        <v>3.7247066306506094E-4</v>
      </c>
      <c r="DT37" s="580">
        <f t="shared" ca="1" si="51"/>
        <v>4.340926355161992E-4</v>
      </c>
      <c r="DU37" s="468">
        <f t="shared" ref="DU37" ca="1" si="52">DU35-DP35</f>
        <v>6.8144241966497376E-4</v>
      </c>
      <c r="DV37" s="468">
        <f t="shared" ref="DV37" ca="1" si="53">DV35-DQ35</f>
        <v>8.3882527661549577E-4</v>
      </c>
      <c r="DW37" s="468">
        <f t="shared" ref="DW37" ca="1" si="54">DW35-DR35</f>
        <v>1.0021722739396513E-3</v>
      </c>
      <c r="DX37" s="468">
        <f t="shared" ref="DX37" ca="1" si="55">DX35-DS35</f>
        <v>1.0244454275532763E-3</v>
      </c>
      <c r="DY37" s="580">
        <f t="shared" ref="DY37" ca="1" si="56">DY35-DT35</f>
        <v>8.8153165592451399E-4</v>
      </c>
    </row>
    <row r="38" spans="1:134" outlineLevel="1" x14ac:dyDescent="0.2">
      <c r="A38" s="473"/>
      <c r="B38" s="537" t="s">
        <v>730</v>
      </c>
      <c r="C38" s="469"/>
      <c r="D38" s="469"/>
      <c r="E38" s="469"/>
      <c r="F38" s="469"/>
      <c r="G38" s="469"/>
      <c r="H38" s="469"/>
      <c r="I38" s="580"/>
      <c r="J38" s="469"/>
      <c r="K38" s="469"/>
      <c r="L38" s="469"/>
      <c r="M38" s="469"/>
      <c r="N38" s="580"/>
      <c r="O38" s="469"/>
      <c r="P38" s="469"/>
      <c r="Q38" s="469"/>
      <c r="R38" s="469"/>
      <c r="S38" s="580"/>
      <c r="T38" s="469"/>
      <c r="U38" s="469"/>
      <c r="V38" s="469"/>
      <c r="W38" s="469"/>
      <c r="X38" s="580"/>
      <c r="Y38" s="469"/>
      <c r="Z38" s="469"/>
      <c r="AA38" s="469"/>
      <c r="AB38" s="469"/>
      <c r="AC38" s="580"/>
      <c r="AD38" s="469"/>
      <c r="AE38" s="469"/>
      <c r="AF38" s="469"/>
      <c r="AG38" s="469"/>
      <c r="AH38" s="580"/>
      <c r="AI38" s="469"/>
      <c r="AJ38" s="469"/>
      <c r="AK38" s="469"/>
      <c r="AL38" s="469"/>
      <c r="AM38" s="580"/>
      <c r="AN38" s="469"/>
      <c r="AO38" s="469"/>
      <c r="AP38" s="469"/>
      <c r="AQ38" s="469"/>
      <c r="AR38" s="580"/>
      <c r="AS38" s="469"/>
      <c r="AT38" s="469"/>
      <c r="AU38" s="469"/>
      <c r="AV38" s="469"/>
      <c r="AW38" s="580"/>
      <c r="AX38" s="469"/>
      <c r="AY38" s="469"/>
      <c r="AZ38" s="469"/>
      <c r="BA38" s="469"/>
      <c r="BB38" s="580"/>
      <c r="BC38" s="469"/>
      <c r="BD38" s="469"/>
      <c r="BE38" s="469"/>
      <c r="BF38" s="469"/>
      <c r="BG38" s="580"/>
      <c r="BH38" s="469"/>
      <c r="BI38" s="469"/>
      <c r="BJ38" s="469"/>
      <c r="BK38" s="469"/>
      <c r="BL38" s="580"/>
      <c r="BM38" s="469"/>
      <c r="BN38" s="469"/>
      <c r="BO38" s="469"/>
      <c r="BP38" s="469"/>
      <c r="BQ38" s="580"/>
      <c r="BR38" s="469"/>
      <c r="BS38" s="469"/>
      <c r="BT38" s="469"/>
      <c r="BU38" s="469"/>
      <c r="BV38" s="580"/>
      <c r="BW38" s="469"/>
      <c r="BX38" s="469"/>
      <c r="BY38" s="604"/>
      <c r="BZ38" s="468"/>
      <c r="CA38" s="580"/>
      <c r="CB38" s="469"/>
      <c r="CC38" s="469"/>
      <c r="CD38" s="469"/>
      <c r="CE38" s="469"/>
      <c r="CF38" s="580"/>
      <c r="CG38" s="469"/>
      <c r="CH38" s="469"/>
      <c r="CI38" s="469"/>
      <c r="CJ38" s="469"/>
      <c r="CK38" s="577"/>
      <c r="CL38" s="469"/>
      <c r="CM38" s="469"/>
      <c r="CN38" s="469"/>
      <c r="CO38" s="469"/>
      <c r="CP38" s="605">
        <f>CK34+300</f>
        <v>2979.4</v>
      </c>
      <c r="CQ38" s="469"/>
      <c r="CR38" s="469"/>
      <c r="CS38" s="469"/>
      <c r="CT38" s="469"/>
      <c r="CU38" s="580"/>
      <c r="CV38" s="469"/>
      <c r="CW38" s="469"/>
      <c r="CX38" s="469"/>
      <c r="CY38" s="469"/>
      <c r="CZ38" s="580"/>
      <c r="DA38" s="469"/>
      <c r="DB38" s="469"/>
      <c r="DC38" s="469"/>
      <c r="DD38" s="469"/>
      <c r="DE38" s="580"/>
      <c r="DF38" s="469"/>
      <c r="DG38" s="469"/>
      <c r="DH38" s="469"/>
      <c r="DI38" s="469"/>
      <c r="DJ38" s="2634">
        <f>DE34*0.02</f>
        <v>91.671419999999983</v>
      </c>
      <c r="DK38" s="469"/>
      <c r="DL38" s="469"/>
      <c r="DM38" s="469"/>
      <c r="DN38" s="469"/>
      <c r="DO38" s="580"/>
      <c r="DP38" s="469"/>
      <c r="DQ38" s="469"/>
      <c r="DR38" s="469"/>
      <c r="DS38" s="469"/>
      <c r="DT38" s="580"/>
      <c r="DU38" s="469"/>
      <c r="DV38" s="469"/>
      <c r="DW38" s="469"/>
      <c r="DX38" s="469"/>
      <c r="DY38" s="580"/>
    </row>
    <row r="39" spans="1:134" ht="6" customHeight="1" outlineLevel="1" x14ac:dyDescent="0.2">
      <c r="A39" s="473"/>
      <c r="B39" s="606"/>
      <c r="C39" s="469"/>
      <c r="D39" s="469"/>
      <c r="E39" s="469"/>
      <c r="F39" s="469"/>
      <c r="G39" s="469"/>
      <c r="H39" s="469"/>
      <c r="I39" s="580"/>
      <c r="J39" s="469"/>
      <c r="K39" s="469"/>
      <c r="L39" s="469"/>
      <c r="M39" s="469"/>
      <c r="N39" s="580"/>
      <c r="O39" s="469"/>
      <c r="P39" s="469"/>
      <c r="Q39" s="469"/>
      <c r="R39" s="469"/>
      <c r="S39" s="580"/>
      <c r="T39" s="469"/>
      <c r="U39" s="469"/>
      <c r="V39" s="469"/>
      <c r="W39" s="469"/>
      <c r="X39" s="580"/>
      <c r="Y39" s="469"/>
      <c r="Z39" s="469"/>
      <c r="AA39" s="469"/>
      <c r="AB39" s="469"/>
      <c r="AC39" s="580"/>
      <c r="AD39" s="469"/>
      <c r="AE39" s="469"/>
      <c r="AF39" s="469"/>
      <c r="AG39" s="469"/>
      <c r="AH39" s="580"/>
      <c r="AI39" s="469"/>
      <c r="AJ39" s="469"/>
      <c r="AK39" s="469"/>
      <c r="AL39" s="469"/>
      <c r="AM39" s="580"/>
      <c r="AN39" s="469"/>
      <c r="AO39" s="469"/>
      <c r="AP39" s="469"/>
      <c r="AQ39" s="469"/>
      <c r="AR39" s="580"/>
      <c r="AS39" s="469"/>
      <c r="AT39" s="469"/>
      <c r="AU39" s="469"/>
      <c r="AV39" s="469"/>
      <c r="AW39" s="580"/>
      <c r="AX39" s="469"/>
      <c r="AY39" s="469"/>
      <c r="AZ39" s="469"/>
      <c r="BA39" s="469"/>
      <c r="BB39" s="580"/>
      <c r="BC39" s="469"/>
      <c r="BD39" s="469"/>
      <c r="BE39" s="469"/>
      <c r="BF39" s="469"/>
      <c r="BG39" s="580"/>
      <c r="BH39" s="469"/>
      <c r="BI39" s="469"/>
      <c r="BJ39" s="469"/>
      <c r="BK39" s="469"/>
      <c r="BL39" s="580"/>
      <c r="BM39" s="469"/>
      <c r="BN39" s="469"/>
      <c r="BO39" s="469"/>
      <c r="BP39" s="469"/>
      <c r="BQ39" s="580"/>
      <c r="BR39" s="469"/>
      <c r="BS39" s="469"/>
      <c r="BT39" s="469"/>
      <c r="BU39" s="469"/>
      <c r="BV39" s="580"/>
      <c r="BW39" s="469"/>
      <c r="BX39" s="469"/>
      <c r="BY39" s="469"/>
      <c r="BZ39" s="469"/>
      <c r="CA39" s="580"/>
      <c r="CB39" s="469"/>
      <c r="CC39" s="469"/>
      <c r="CD39" s="469"/>
      <c r="CE39" s="469"/>
      <c r="CF39" s="580"/>
      <c r="CG39" s="469"/>
      <c r="CH39" s="469"/>
      <c r="CI39" s="469"/>
      <c r="CJ39" s="469"/>
      <c r="CK39" s="580"/>
      <c r="CL39" s="469"/>
      <c r="CM39" s="469"/>
      <c r="CN39" s="469"/>
      <c r="CO39" s="469"/>
      <c r="CP39" s="580"/>
      <c r="CQ39" s="469"/>
      <c r="CR39" s="469"/>
      <c r="CS39" s="469"/>
      <c r="CT39" s="469"/>
      <c r="CU39" s="580"/>
      <c r="CV39" s="469"/>
      <c r="CW39" s="469"/>
      <c r="CX39" s="469"/>
      <c r="CY39" s="469"/>
      <c r="CZ39" s="580"/>
      <c r="DA39" s="469"/>
      <c r="DB39" s="469"/>
      <c r="DC39" s="469"/>
      <c r="DD39" s="469"/>
      <c r="DE39" s="580"/>
      <c r="DF39" s="469"/>
      <c r="DG39" s="469"/>
      <c r="DH39" s="469"/>
      <c r="DI39" s="469"/>
      <c r="DJ39" s="580"/>
      <c r="DK39" s="469"/>
      <c r="DL39" s="469"/>
      <c r="DM39" s="469"/>
      <c r="DN39" s="469"/>
      <c r="DO39" s="580"/>
      <c r="DP39" s="469"/>
      <c r="DQ39" s="469"/>
      <c r="DR39" s="469"/>
      <c r="DS39" s="469"/>
      <c r="DT39" s="580"/>
      <c r="DU39" s="469"/>
      <c r="DV39" s="469"/>
      <c r="DW39" s="469"/>
      <c r="DX39" s="469"/>
      <c r="DY39" s="580"/>
    </row>
    <row r="40" spans="1:134" outlineLevel="1" x14ac:dyDescent="0.2">
      <c r="A40" s="466"/>
      <c r="B40" s="607" t="s">
        <v>520</v>
      </c>
      <c r="C40" s="608"/>
      <c r="D40" s="609"/>
      <c r="E40" s="610">
        <v>0</v>
      </c>
      <c r="F40" s="610">
        <v>0</v>
      </c>
      <c r="G40" s="610">
        <v>0</v>
      </c>
      <c r="H40" s="610">
        <v>0</v>
      </c>
      <c r="I40" s="553">
        <f>SUM(E40:H40)</f>
        <v>0</v>
      </c>
      <c r="J40" s="610">
        <v>0</v>
      </c>
      <c r="K40" s="610">
        <v>0</v>
      </c>
      <c r="L40" s="610">
        <v>0</v>
      </c>
      <c r="M40" s="610">
        <v>0</v>
      </c>
      <c r="N40" s="553">
        <f>SUM(J40:M40)</f>
        <v>0</v>
      </c>
      <c r="O40" s="610">
        <v>-76.2</v>
      </c>
      <c r="P40" s="610">
        <v>-69.599999999999994</v>
      </c>
      <c r="Q40" s="610">
        <v>-69.2</v>
      </c>
      <c r="R40" s="610">
        <v>-80.900000000000006</v>
      </c>
      <c r="S40" s="553">
        <f>SUM(O40:R40)</f>
        <v>-295.89999999999998</v>
      </c>
      <c r="T40" s="610">
        <v>-101.4</v>
      </c>
      <c r="U40" s="610">
        <v>-102</v>
      </c>
      <c r="V40" s="610">
        <v>-100.4</v>
      </c>
      <c r="W40" s="610">
        <v>-112</v>
      </c>
      <c r="X40" s="553">
        <f>SUM(T40:W40)</f>
        <v>-415.8</v>
      </c>
      <c r="Y40" s="610">
        <v>-96.3</v>
      </c>
      <c r="Z40" s="610">
        <v>-55.7</v>
      </c>
      <c r="AA40" s="610">
        <v>-51.2</v>
      </c>
      <c r="AB40" s="610">
        <v>-57.5</v>
      </c>
      <c r="AC40" s="553">
        <f>SUM(Y40:AB40)</f>
        <v>-260.7</v>
      </c>
      <c r="AD40" s="610">
        <v>0</v>
      </c>
      <c r="AE40" s="610">
        <v>0</v>
      </c>
      <c r="AF40" s="610">
        <v>0</v>
      </c>
      <c r="AG40" s="610">
        <v>0</v>
      </c>
      <c r="AH40" s="553">
        <f>SUM(AD40:AG40)</f>
        <v>0</v>
      </c>
      <c r="AI40" s="610">
        <v>0</v>
      </c>
      <c r="AJ40" s="610">
        <v>0</v>
      </c>
      <c r="AK40" s="610">
        <v>0</v>
      </c>
      <c r="AL40" s="610">
        <v>0</v>
      </c>
      <c r="AM40" s="553">
        <f>SUM(AI40:AL40)</f>
        <v>0</v>
      </c>
      <c r="AN40" s="610">
        <v>0</v>
      </c>
      <c r="AO40" s="610">
        <v>0</v>
      </c>
      <c r="AP40" s="610">
        <v>0</v>
      </c>
      <c r="AQ40" s="610">
        <v>0</v>
      </c>
      <c r="AR40" s="553">
        <f>SUM(AN40:AQ40)</f>
        <v>0</v>
      </c>
      <c r="AS40" s="610">
        <v>0</v>
      </c>
      <c r="AT40" s="610">
        <v>0</v>
      </c>
      <c r="AU40" s="610">
        <v>0</v>
      </c>
      <c r="AV40" s="610">
        <v>0</v>
      </c>
      <c r="AW40" s="553">
        <f>SUM(AS40:AV40)</f>
        <v>0</v>
      </c>
      <c r="AX40" s="610">
        <v>0</v>
      </c>
      <c r="AY40" s="610">
        <v>0</v>
      </c>
      <c r="AZ40" s="610">
        <v>-22.1</v>
      </c>
      <c r="BA40" s="610">
        <v>-22.5</v>
      </c>
      <c r="BB40" s="553">
        <f>SUM(AX40:BA40)</f>
        <v>-44.6</v>
      </c>
      <c r="BC40" s="610">
        <v>-41.7</v>
      </c>
      <c r="BD40" s="610">
        <v>-30.9</v>
      </c>
      <c r="BE40" s="610">
        <v>-41.3</v>
      </c>
      <c r="BF40" s="610">
        <v>-41.6</v>
      </c>
      <c r="BG40" s="553">
        <f>SUM(BC40:BF40)</f>
        <v>-155.5</v>
      </c>
      <c r="BH40" s="610">
        <v>-160.9</v>
      </c>
      <c r="BI40" s="610">
        <v>-1100.5</v>
      </c>
      <c r="BJ40" s="610">
        <v>-1126.5</v>
      </c>
      <c r="BK40" s="610">
        <v>-1307.5</v>
      </c>
      <c r="BL40" s="553">
        <f>SUM(BH40:BK40)</f>
        <v>-3695.4</v>
      </c>
      <c r="BM40" s="610">
        <v>-1284.3</v>
      </c>
      <c r="BN40" s="610">
        <v>-1287.3</v>
      </c>
      <c r="BO40" s="610">
        <v>-1242</v>
      </c>
      <c r="BP40" s="610">
        <v>-1473.6</v>
      </c>
      <c r="BQ40" s="553">
        <f>SUM(BM40:BP40)</f>
        <v>-5287.2</v>
      </c>
      <c r="BR40" s="610">
        <v>-1637.8</v>
      </c>
      <c r="BS40" s="610">
        <v>-1934</v>
      </c>
      <c r="BT40" s="610">
        <v>-1993.8</v>
      </c>
      <c r="BU40" s="610">
        <v>-2125</v>
      </c>
      <c r="BV40" s="553">
        <f>SUM(BR40:BU40)</f>
        <v>-7690.6</v>
      </c>
      <c r="BW40" s="592">
        <v>-2054</v>
      </c>
      <c r="BX40" s="592">
        <v>-2144</v>
      </c>
      <c r="BY40" s="592">
        <v>-2210</v>
      </c>
      <c r="BZ40" s="592">
        <v>-2303</v>
      </c>
      <c r="CA40" s="553">
        <f>SUM(BW40:BZ40)</f>
        <v>-8711</v>
      </c>
      <c r="CB40" s="592">
        <v>-2721</v>
      </c>
      <c r="CC40" s="592">
        <v>-2786</v>
      </c>
      <c r="CD40" s="592">
        <v>-2817</v>
      </c>
      <c r="CE40" s="592">
        <v>-3049</v>
      </c>
      <c r="CF40" s="551">
        <f>SUM(CB40:CE40)</f>
        <v>-11373</v>
      </c>
      <c r="CG40" s="592">
        <v>-3526</v>
      </c>
      <c r="CH40" s="592">
        <v>-3554.2</v>
      </c>
      <c r="CI40" s="592">
        <v>-3356</v>
      </c>
      <c r="CJ40" s="592">
        <v>-3528</v>
      </c>
      <c r="CK40" s="551">
        <f>SUM(CG40:CJ40)</f>
        <v>-13964.2</v>
      </c>
      <c r="CL40" s="592">
        <v>-3599</v>
      </c>
      <c r="CM40" s="592">
        <v>-3691</v>
      </c>
      <c r="CN40" s="592">
        <v>-3798.5</v>
      </c>
      <c r="CO40" s="592">
        <v>-3977.1</v>
      </c>
      <c r="CP40" s="551">
        <f>SUM(CL40:CO40)</f>
        <v>-15065.6</v>
      </c>
      <c r="CQ40" s="592">
        <v>-3986</v>
      </c>
      <c r="CR40" s="592">
        <v>-4105.1000000000004</v>
      </c>
      <c r="CS40" s="592">
        <v>-4262.3999999999996</v>
      </c>
      <c r="CT40" s="592">
        <v>-4517</v>
      </c>
      <c r="CU40" s="551">
        <f>SUM(CQ40:CT40)</f>
        <v>-16870.5</v>
      </c>
      <c r="CV40" s="592">
        <v>-4498.1000000000004</v>
      </c>
      <c r="CW40" s="592">
        <v>-4514.7</v>
      </c>
      <c r="CX40" s="592">
        <v>-4796.3999999999996</v>
      </c>
      <c r="CY40" s="592">
        <v>-5271</v>
      </c>
      <c r="CZ40" s="551">
        <f>SUM(CV40:CY40)</f>
        <v>-19080.199999999997</v>
      </c>
      <c r="DA40" s="592">
        <v>-5662</v>
      </c>
      <c r="DB40" s="592">
        <v>-5783.1</v>
      </c>
      <c r="DC40" s="592">
        <v>-5956.8</v>
      </c>
      <c r="DD40" s="592">
        <v>-6135.5</v>
      </c>
      <c r="DE40" s="551">
        <f>SUM(DA40:DD40)</f>
        <v>-23537.4</v>
      </c>
      <c r="DF40" s="592">
        <v>-6049.6</v>
      </c>
      <c r="DG40" s="592">
        <v>-6194.8811650408443</v>
      </c>
      <c r="DH40" s="2756">
        <v>-6307.8326572621445</v>
      </c>
      <c r="DI40" s="2756">
        <v>-6676.2184055100006</v>
      </c>
      <c r="DJ40" s="551">
        <f>SUM(DF40:DI40)</f>
        <v>-25228.53222781299</v>
      </c>
      <c r="DK40" s="587">
        <f ca="1">DK14*DK42</f>
        <v>-6758.3335438668673</v>
      </c>
      <c r="DL40" s="587">
        <f ca="1">DL14*DL42</f>
        <v>-7322.9721587107488</v>
      </c>
      <c r="DM40" s="587">
        <f ca="1">DM14*DM42</f>
        <v>-7343.4801698306983</v>
      </c>
      <c r="DN40" s="587">
        <f ca="1">DN14*DN42</f>
        <v>-7475.2090958499684</v>
      </c>
      <c r="DO40" s="551">
        <f ca="1">SUM(DK40:DN40)</f>
        <v>-28899.994968258281</v>
      </c>
      <c r="DP40" s="587">
        <f ca="1">DP14*DP42</f>
        <v>-6253.4739183001848</v>
      </c>
      <c r="DQ40" s="587">
        <f ca="1">DQ14*DQ42</f>
        <v>-6768.013833892076</v>
      </c>
      <c r="DR40" s="587">
        <f ca="1">DR14*DR42</f>
        <v>-6779.746437079204</v>
      </c>
      <c r="DS40" s="587">
        <f ca="1">DS14*DS42</f>
        <v>-6892.8365996204411</v>
      </c>
      <c r="DT40" s="551">
        <f ca="1">SUM(DP40:DS40)</f>
        <v>-26694.070788891906</v>
      </c>
      <c r="DU40" s="587">
        <f ca="1">DU14*DU42</f>
        <v>-6535.7656646151245</v>
      </c>
      <c r="DV40" s="587">
        <f ca="1">DV14*DV42</f>
        <v>-7061.1169894710392</v>
      </c>
      <c r="DW40" s="587">
        <f ca="1">DW14*DW42</f>
        <v>-7064.5658443948714</v>
      </c>
      <c r="DX40" s="587">
        <f ca="1">DX14*DX42</f>
        <v>-7172.4387608057041</v>
      </c>
      <c r="DY40" s="551">
        <f ca="1">SUM(DU40:DX40)</f>
        <v>-27833.887259286737</v>
      </c>
    </row>
    <row r="41" spans="1:134" outlineLevel="1" x14ac:dyDescent="0.2">
      <c r="A41" s="611"/>
      <c r="B41" s="612" t="s">
        <v>731</v>
      </c>
      <c r="C41" s="613"/>
      <c r="D41" s="614"/>
      <c r="E41" s="614"/>
      <c r="F41" s="614"/>
      <c r="G41" s="614"/>
      <c r="H41" s="614"/>
      <c r="I41" s="615"/>
      <c r="J41" s="614"/>
      <c r="K41" s="614"/>
      <c r="L41" s="614"/>
      <c r="M41" s="614"/>
      <c r="N41" s="615"/>
      <c r="O41" s="614"/>
      <c r="P41" s="614"/>
      <c r="Q41" s="614"/>
      <c r="R41" s="614"/>
      <c r="S41" s="615"/>
      <c r="T41" s="614"/>
      <c r="U41" s="614"/>
      <c r="V41" s="614"/>
      <c r="W41" s="614"/>
      <c r="X41" s="615"/>
      <c r="Y41" s="614"/>
      <c r="Z41" s="614"/>
      <c r="AA41" s="614"/>
      <c r="AB41" s="614"/>
      <c r="AC41" s="615"/>
      <c r="AD41" s="614"/>
      <c r="AE41" s="614"/>
      <c r="AF41" s="614"/>
      <c r="AG41" s="614"/>
      <c r="AH41" s="615"/>
      <c r="AI41" s="614"/>
      <c r="AJ41" s="614"/>
      <c r="AK41" s="614"/>
      <c r="AL41" s="614"/>
      <c r="AM41" s="615"/>
      <c r="AN41" s="614"/>
      <c r="AO41" s="614"/>
      <c r="AP41" s="614"/>
      <c r="AQ41" s="614"/>
      <c r="AR41" s="615"/>
      <c r="AS41" s="614"/>
      <c r="AT41" s="614"/>
      <c r="AU41" s="614"/>
      <c r="AV41" s="614"/>
      <c r="AW41" s="615"/>
      <c r="AX41" s="614"/>
      <c r="AY41" s="614"/>
      <c r="AZ41" s="614"/>
      <c r="BA41" s="614"/>
      <c r="BB41" s="615"/>
      <c r="BC41" s="614"/>
      <c r="BD41" s="614"/>
      <c r="BE41" s="614"/>
      <c r="BF41" s="614"/>
      <c r="BG41" s="615"/>
      <c r="BH41" s="614"/>
      <c r="BI41" s="614"/>
      <c r="BJ41" s="614"/>
      <c r="BK41" s="614"/>
      <c r="BL41" s="616">
        <f>BL40/IS!BL10</f>
        <v>-4.8413784971734389E-2</v>
      </c>
      <c r="BM41" s="617">
        <f>BM40/IS!BM10</f>
        <v>-6.0222263903216729E-2</v>
      </c>
      <c r="BN41" s="617">
        <f>BN40/IS!BN10</f>
        <v>-6.0893175593534611E-2</v>
      </c>
      <c r="BO41" s="617">
        <f>BO40/IS!BO10</f>
        <v>-5.9530086179625567E-2</v>
      </c>
      <c r="BP41" s="617">
        <f>BP40/IS!BP10</f>
        <v>-6.1038347789348107E-2</v>
      </c>
      <c r="BQ41" s="616">
        <f>BQ40/IS!BQ10</f>
        <v>-6.0444554193975437E-2</v>
      </c>
      <c r="BR41" s="617">
        <f>BR40/IS!BR10</f>
        <v>-7.0009703384215541E-2</v>
      </c>
      <c r="BS41" s="617">
        <f>BS40/IS!BS10</f>
        <v>-7.7760935382833893E-2</v>
      </c>
      <c r="BT41" s="617">
        <f>BT40/IS!BT10</f>
        <v>-8.091096871588635E-2</v>
      </c>
      <c r="BU41" s="617">
        <f>BU40/IS!BU10</f>
        <v>-8.2294167763922232E-2</v>
      </c>
      <c r="BV41" s="616">
        <f>BV40/IS!BV10</f>
        <v>-7.7896137807673349E-2</v>
      </c>
      <c r="BW41" s="617">
        <f>BW40/IS!BW10</f>
        <v>-8.6447811447811454E-2</v>
      </c>
      <c r="BX41" s="617">
        <f>BX40/IS!BX10</f>
        <v>-8.9307285375098924E-2</v>
      </c>
      <c r="BY41" s="617">
        <f>BY40/IS!BY10</f>
        <v>-9.2565445026178014E-2</v>
      </c>
      <c r="BZ41" s="617">
        <f>BZ40/IS!BZ10</f>
        <v>-9.2971620039562386E-2</v>
      </c>
      <c r="CA41" s="616">
        <f>CA40/IS!CA10</f>
        <v>-9.0350886291267779E-2</v>
      </c>
      <c r="CB41" s="617">
        <f>CB40/IS!CB10</f>
        <v>-0.10513910355486862</v>
      </c>
      <c r="CC41" s="617">
        <f>CC40/IS!CC10</f>
        <v>-0.10462277967629276</v>
      </c>
      <c r="CD41" s="618">
        <f>CD40/IS!CD10</f>
        <v>-0.10560845767413961</v>
      </c>
      <c r="CE41" s="618">
        <f>CE40/IS!CE10</f>
        <v>-0.10767383550517357</v>
      </c>
      <c r="CF41" s="619">
        <f>CF40/IS!CF10</f>
        <v>-0.1057953488372093</v>
      </c>
      <c r="CG41" s="617">
        <f>CG40/IS!CG10</f>
        <v>-0.11448795376323138</v>
      </c>
      <c r="CH41" s="617">
        <f>CH40/IS!CH10</f>
        <v>-0.11571770895736201</v>
      </c>
      <c r="CI41" s="617">
        <f>CI40/IS!CI10</f>
        <v>-0.11102546373642372</v>
      </c>
      <c r="CJ41" s="620">
        <f>CJ40/IS!CJ10</f>
        <v>-0.11237816143212079</v>
      </c>
      <c r="CK41" s="621">
        <f>CK40/IS!CK10</f>
        <v>-0.1134068090214133</v>
      </c>
      <c r="CL41" s="618">
        <f>CL40/(CL14+Retail!CL17)</f>
        <v>-0.10473779174669694</v>
      </c>
      <c r="CM41" s="618">
        <f>CM40/(CM14+Retail!CM17)</f>
        <v>-0.10564035341291897</v>
      </c>
      <c r="CN41" s="618">
        <f>CN40/(CN14+Retail!CN17)</f>
        <v>-0.10620243467368996</v>
      </c>
      <c r="CO41" s="618">
        <f>CO40/(CO14+Retail!CO17)</f>
        <v>-0.10805281604042709</v>
      </c>
      <c r="CP41" s="619">
        <f>CP40/(CP14+Retail!CP17)</f>
        <v>-0.10618932594842358</v>
      </c>
      <c r="CQ41" s="618">
        <f>CQ40/(CQ14+Retail!CQ17)</f>
        <v>-0.10868468625681325</v>
      </c>
      <c r="CR41" s="618">
        <f>CR40/(CR14+Retail!CR17)</f>
        <v>-0.10605767019839148</v>
      </c>
      <c r="CS41" s="618">
        <f>CS40/(CS14+Retail!CS17)</f>
        <v>-0.10850357020122951</v>
      </c>
      <c r="CT41" s="618">
        <f>CT40/(CT14+Retail!CT17)</f>
        <v>-0.10865407975984008</v>
      </c>
      <c r="CU41" s="619">
        <f>CU40/(CU14+Retail!CU17)</f>
        <v>-0.10798018395130475</v>
      </c>
      <c r="CV41" s="618">
        <f>CV40/(CV14+Retail!CV17)</f>
        <v>-0.11016735366657117</v>
      </c>
      <c r="CW41" s="618">
        <f>CW40/(CW14+Retail!CW17)</f>
        <v>-0.10830878331046263</v>
      </c>
      <c r="CX41" s="618">
        <f>CX40/(CX14+Retail!CX17)</f>
        <v>-0.11041439138345799</v>
      </c>
      <c r="CY41" s="618">
        <f>CY40/(CY14+Retail!CY17)</f>
        <v>-0.11355849982789155</v>
      </c>
      <c r="CZ41" s="619">
        <f>CZ40/(CZ14+Retail!CZ17)</f>
        <v>-0.11069334403100374</v>
      </c>
      <c r="DA41" s="618">
        <f>DA40/(DA14+Retail!DA17)</f>
        <v>-0.11584180698488042</v>
      </c>
      <c r="DB41" s="618">
        <f>DB40/(DB14+Retail!DB17)</f>
        <v>-0.11681048064570861</v>
      </c>
      <c r="DC41" s="618">
        <f>DC40/(DC14+Retail!DC17)</f>
        <v>-0.1177889653917796</v>
      </c>
      <c r="DD41" s="618">
        <f>DD40/(DD14+Retail!DD17)</f>
        <v>-0.11774877319039587</v>
      </c>
      <c r="DE41" s="619">
        <f>DE40/(DE14+Retail!DE17)</f>
        <v>-0.11706421835833367</v>
      </c>
      <c r="DF41" s="618">
        <f>DF40/(DF14+Retail!DF17)</f>
        <v>-0.1196443263084615</v>
      </c>
      <c r="DG41" s="618">
        <f>DG40/(DG14+Retail!DG17)</f>
        <v>-0.11940788675869014</v>
      </c>
      <c r="DH41" s="2757">
        <f>DH40/(DH14+Retail!DH17)</f>
        <v>-0.12017381492190397</v>
      </c>
      <c r="DI41" s="2757">
        <v>-0.12125050052502828</v>
      </c>
      <c r="DJ41" s="619">
        <f>DJ40/(DJ14+Retail!DJ17)</f>
        <v>-0.1201394181885575</v>
      </c>
      <c r="DK41" s="618">
        <f ca="1">DK40/(DK14+Retail!DK17)</f>
        <v>-0.12845848972389792</v>
      </c>
      <c r="DL41" s="618">
        <f ca="1">DL40/(DL14+Retail!DL17)</f>
        <v>-0.13200634320672044</v>
      </c>
      <c r="DM41" s="618">
        <f ca="1">DM40/(DM14+Retail!DM17)</f>
        <v>-0.13319879043755384</v>
      </c>
      <c r="DN41" s="618">
        <f ca="1">DN40/(DN14+Retail!DN17)</f>
        <v>-0.1321736737085657</v>
      </c>
      <c r="DO41" s="619">
        <f ca="1">DO40/(DO14+Retail!DO17)</f>
        <v>-0.13149922473676723</v>
      </c>
      <c r="DP41" s="618">
        <f ca="1">DP40/(DP14+Retail!DZ17)</f>
        <v>-0.185</v>
      </c>
      <c r="DQ41" s="618">
        <f ca="1">DQ40/(DQ14+Retail!EA17)</f>
        <v>-0.185</v>
      </c>
      <c r="DR41" s="618">
        <f ca="1">DR40/(DR14+Retail!EB17)</f>
        <v>-0.185</v>
      </c>
      <c r="DS41" s="618">
        <f ca="1">DS40/(DS14+Retail!EC17)</f>
        <v>-0.185</v>
      </c>
      <c r="DT41" s="619">
        <f ca="1">DT40/(DT14+Retail!ED17)</f>
        <v>-0.185</v>
      </c>
      <c r="DU41" s="618">
        <f ca="1">DU40/(DU14+Retail!EE17)</f>
        <v>-0.185</v>
      </c>
      <c r="DV41" s="618">
        <f ca="1">DV40/(DV14+Retail!EF17)</f>
        <v>-0.185</v>
      </c>
      <c r="DW41" s="618">
        <f ca="1">DW40/(DW14+Retail!EG17)</f>
        <v>-0.185</v>
      </c>
      <c r="DX41" s="618">
        <f ca="1">DX40/(DX14+Retail!EH17)</f>
        <v>-0.185</v>
      </c>
      <c r="DY41" s="619">
        <f ca="1">DY40/(DY14+Retail!EI17)</f>
        <v>-0.18499999999999994</v>
      </c>
    </row>
    <row r="42" spans="1:134" outlineLevel="1" x14ac:dyDescent="0.2">
      <c r="A42" s="611"/>
      <c r="B42" s="612" t="s">
        <v>732</v>
      </c>
      <c r="C42" s="613"/>
      <c r="D42" s="614"/>
      <c r="E42" s="614"/>
      <c r="F42" s="614"/>
      <c r="G42" s="614"/>
      <c r="H42" s="614"/>
      <c r="I42" s="615"/>
      <c r="J42" s="614"/>
      <c r="K42" s="614"/>
      <c r="L42" s="614"/>
      <c r="M42" s="614"/>
      <c r="N42" s="615"/>
      <c r="O42" s="614"/>
      <c r="P42" s="614"/>
      <c r="Q42" s="614"/>
      <c r="R42" s="614"/>
      <c r="S42" s="615"/>
      <c r="T42" s="614"/>
      <c r="U42" s="614"/>
      <c r="V42" s="614"/>
      <c r="W42" s="614"/>
      <c r="X42" s="615"/>
      <c r="Y42" s="614"/>
      <c r="Z42" s="614"/>
      <c r="AA42" s="614"/>
      <c r="AB42" s="614"/>
      <c r="AC42" s="615"/>
      <c r="AD42" s="614"/>
      <c r="AE42" s="614"/>
      <c r="AF42" s="614"/>
      <c r="AG42" s="614"/>
      <c r="AH42" s="615"/>
      <c r="AI42" s="614"/>
      <c r="AJ42" s="614"/>
      <c r="AK42" s="614"/>
      <c r="AL42" s="614"/>
      <c r="AM42" s="615"/>
      <c r="AN42" s="614"/>
      <c r="AO42" s="614"/>
      <c r="AP42" s="614"/>
      <c r="AQ42" s="614"/>
      <c r="AR42" s="615"/>
      <c r="AS42" s="614"/>
      <c r="AT42" s="614"/>
      <c r="AU42" s="614"/>
      <c r="AV42" s="614"/>
      <c r="AW42" s="615"/>
      <c r="AX42" s="614"/>
      <c r="AY42" s="614"/>
      <c r="AZ42" s="622">
        <f>AZ40/AZ14</f>
        <v>-2.9443112176925128E-2</v>
      </c>
      <c r="BA42" s="622">
        <f>BA40/BA14</f>
        <v>-2.7332361516034985E-2</v>
      </c>
      <c r="BB42" s="615"/>
      <c r="BC42" s="622">
        <f>BC40/BC14</f>
        <v>-4.6848668688911362E-2</v>
      </c>
      <c r="BD42" s="622">
        <f>BD40/BD14</f>
        <v>-3.6148806738418346E-2</v>
      </c>
      <c r="BE42" s="622">
        <f>BE40/BE14</f>
        <v>-4.424209962506695E-2</v>
      </c>
      <c r="BF42" s="622">
        <f>BF40/BF14</f>
        <v>-4.1070194491065262E-2</v>
      </c>
      <c r="BG42" s="615"/>
      <c r="BH42" s="622">
        <f t="shared" ref="BH42:CX42" si="57">BH40/BH14</f>
        <v>-7.6389877985092336E-2</v>
      </c>
      <c r="BI42" s="622">
        <f t="shared" si="57"/>
        <v>-0.1042722733345335</v>
      </c>
      <c r="BJ42" s="622">
        <f t="shared" si="57"/>
        <v>-0.10564965393056103</v>
      </c>
      <c r="BK42" s="622">
        <f t="shared" si="57"/>
        <v>-0.11260485385052622</v>
      </c>
      <c r="BL42" s="616">
        <f t="shared" si="57"/>
        <v>-0.10576901060151583</v>
      </c>
      <c r="BM42" s="622">
        <f t="shared" si="57"/>
        <v>-0.11930662257192491</v>
      </c>
      <c r="BN42" s="622">
        <f t="shared" si="57"/>
        <v>-0.1207961114030478</v>
      </c>
      <c r="BO42" s="622">
        <f t="shared" si="57"/>
        <v>-0.11757578052520971</v>
      </c>
      <c r="BP42" s="622">
        <f t="shared" si="57"/>
        <v>-0.12504773300068733</v>
      </c>
      <c r="BQ42" s="616">
        <f t="shared" si="57"/>
        <v>-0.12079727296820596</v>
      </c>
      <c r="BR42" s="622">
        <f t="shared" si="57"/>
        <v>-0.14198772410444913</v>
      </c>
      <c r="BS42" s="622">
        <f t="shared" si="57"/>
        <v>-0.14867887975768573</v>
      </c>
      <c r="BT42" s="622">
        <f t="shared" si="57"/>
        <v>-0.153012593723859</v>
      </c>
      <c r="BU42" s="622">
        <f t="shared" si="57"/>
        <v>-0.15750074117995849</v>
      </c>
      <c r="BV42" s="616">
        <f t="shared" si="57"/>
        <v>-0.15060413198864192</v>
      </c>
      <c r="BW42" s="622">
        <f t="shared" si="57"/>
        <v>-0.17353835755322744</v>
      </c>
      <c r="BX42" s="622">
        <f t="shared" si="57"/>
        <v>-0.18108108108108109</v>
      </c>
      <c r="BY42" s="622">
        <f t="shared" si="57"/>
        <v>-0.18530940801609927</v>
      </c>
      <c r="BZ42" s="622">
        <f t="shared" si="57"/>
        <v>-0.18912704278557937</v>
      </c>
      <c r="CA42" s="616">
        <f t="shared" si="57"/>
        <v>-0.18231859184997593</v>
      </c>
      <c r="CB42" s="622">
        <f t="shared" si="57"/>
        <v>-0.19416297987726558</v>
      </c>
      <c r="CC42" s="622">
        <f t="shared" si="57"/>
        <v>-0.19096579614778258</v>
      </c>
      <c r="CD42" s="622">
        <f t="shared" si="57"/>
        <v>-0.19036356264360049</v>
      </c>
      <c r="CE42" s="622">
        <f t="shared" si="57"/>
        <v>-0.19208356170424551</v>
      </c>
      <c r="CF42" s="619">
        <f t="shared" si="57"/>
        <v>-0.1918706758240924</v>
      </c>
      <c r="CG42" s="622">
        <f t="shared" si="57"/>
        <v>-0.1926775956284153</v>
      </c>
      <c r="CH42" s="622">
        <f t="shared" si="57"/>
        <v>-0.19292607992357211</v>
      </c>
      <c r="CI42" s="622">
        <f t="shared" si="57"/>
        <v>-0.18562562916910963</v>
      </c>
      <c r="CJ42" s="622">
        <f t="shared" si="57"/>
        <v>-0.18925008046346958</v>
      </c>
      <c r="CK42" s="619">
        <f>CK40/CK14</f>
        <v>-0.19013397963073908</v>
      </c>
      <c r="CL42" s="622">
        <f t="shared" si="57"/>
        <v>-0.19654852274589044</v>
      </c>
      <c r="CM42" s="622">
        <f t="shared" si="57"/>
        <v>-0.19633187587101991</v>
      </c>
      <c r="CN42" s="622">
        <f t="shared" si="57"/>
        <v>-0.19496884399412806</v>
      </c>
      <c r="CO42" s="622">
        <f t="shared" si="57"/>
        <v>-0.20275809329594696</v>
      </c>
      <c r="CP42" s="619">
        <f>CP40/CP14</f>
        <v>-0.19768949354664317</v>
      </c>
      <c r="CQ42" s="622">
        <f t="shared" si="57"/>
        <v>-0.197374610672886</v>
      </c>
      <c r="CR42" s="622">
        <f t="shared" si="57"/>
        <v>-0.18799430306416379</v>
      </c>
      <c r="CS42" s="622">
        <f t="shared" si="57"/>
        <v>-0.18915416703647819</v>
      </c>
      <c r="CT42" s="622">
        <f t="shared" si="57"/>
        <v>-0.18919926448105281</v>
      </c>
      <c r="CU42" s="619">
        <f>CU40/CU14</f>
        <v>-0.19075709212039388</v>
      </c>
      <c r="CV42" s="622">
        <f t="shared" si="57"/>
        <v>-0.18837132363718598</v>
      </c>
      <c r="CW42" s="622">
        <f t="shared" si="57"/>
        <v>-0.184714522431111</v>
      </c>
      <c r="CX42" s="622">
        <f t="shared" si="57"/>
        <v>-0.18788585493021273</v>
      </c>
      <c r="CY42" s="622">
        <f t="shared" ref="CY42:DF42" si="58">CY40/CY14</f>
        <v>-0.19880111218484789</v>
      </c>
      <c r="CZ42" s="619">
        <f t="shared" si="58"/>
        <v>-0.19011264823514756</v>
      </c>
      <c r="DA42" s="622">
        <f t="shared" si="58"/>
        <v>-0.19683643316530505</v>
      </c>
      <c r="DB42" s="622">
        <f t="shared" si="58"/>
        <v>-0.195972849605384</v>
      </c>
      <c r="DC42" s="622">
        <f t="shared" si="58"/>
        <v>-0.19575997975622023</v>
      </c>
      <c r="DD42" s="622">
        <f t="shared" si="58"/>
        <v>-0.19627758778987373</v>
      </c>
      <c r="DE42" s="619">
        <f t="shared" si="58"/>
        <v>-0.19620516958533951</v>
      </c>
      <c r="DF42" s="622">
        <f t="shared" si="58"/>
        <v>-0.19375646564839044</v>
      </c>
      <c r="DG42" s="622">
        <f>DG40/DG14</f>
        <v>-0.19164009840624288</v>
      </c>
      <c r="DH42" s="2758">
        <f>DH40/DH14</f>
        <v>-0.19175191535886477</v>
      </c>
      <c r="DI42" s="2758">
        <f>DI40/DI14</f>
        <v>-0.19548590021426601</v>
      </c>
      <c r="DJ42" s="619">
        <f>DJ40/DJ14</f>
        <v>-0.19317997618302399</v>
      </c>
      <c r="DK42" s="623">
        <v>-0.21</v>
      </c>
      <c r="DL42" s="623">
        <v>-0.21</v>
      </c>
      <c r="DM42" s="623">
        <v>-0.21</v>
      </c>
      <c r="DN42" s="623">
        <v>-0.21</v>
      </c>
      <c r="DO42" s="619">
        <f ca="1">DO40/DO14</f>
        <v>-0.20999999999999996</v>
      </c>
      <c r="DP42" s="623">
        <v>-0.185</v>
      </c>
      <c r="DQ42" s="623">
        <v>-0.185</v>
      </c>
      <c r="DR42" s="623">
        <v>-0.185</v>
      </c>
      <c r="DS42" s="623">
        <v>-0.185</v>
      </c>
      <c r="DT42" s="619">
        <f ca="1">DT40/DT14</f>
        <v>-0.185</v>
      </c>
      <c r="DU42" s="623">
        <v>-0.185</v>
      </c>
      <c r="DV42" s="623">
        <v>-0.185</v>
      </c>
      <c r="DW42" s="623">
        <v>-0.185</v>
      </c>
      <c r="DX42" s="623">
        <v>-0.185</v>
      </c>
      <c r="DY42" s="619">
        <f ca="1">DY40/DY14</f>
        <v>-0.18499999999999994</v>
      </c>
    </row>
    <row r="43" spans="1:134" outlineLevel="1" x14ac:dyDescent="0.2">
      <c r="A43" s="473"/>
      <c r="B43" s="624" t="s">
        <v>733</v>
      </c>
      <c r="C43" s="469"/>
      <c r="D43" s="469"/>
      <c r="E43" s="469"/>
      <c r="F43" s="469"/>
      <c r="G43" s="469"/>
      <c r="H43" s="469"/>
      <c r="I43" s="580"/>
      <c r="J43" s="469"/>
      <c r="K43" s="469"/>
      <c r="L43" s="469"/>
      <c r="M43" s="469"/>
      <c r="N43" s="580"/>
      <c r="O43" s="469"/>
      <c r="P43" s="469"/>
      <c r="Q43" s="469"/>
      <c r="R43" s="469"/>
      <c r="S43" s="580"/>
      <c r="T43" s="469"/>
      <c r="U43" s="469"/>
      <c r="V43" s="469"/>
      <c r="W43" s="469"/>
      <c r="X43" s="580"/>
      <c r="Y43" s="469"/>
      <c r="Z43" s="469"/>
      <c r="AA43" s="469"/>
      <c r="AB43" s="469"/>
      <c r="AC43" s="580"/>
      <c r="AD43" s="469"/>
      <c r="AE43" s="469"/>
      <c r="AF43" s="469"/>
      <c r="AG43" s="469"/>
      <c r="AH43" s="580"/>
      <c r="AI43" s="469"/>
      <c r="AJ43" s="469"/>
      <c r="AK43" s="469"/>
      <c r="AL43" s="469"/>
      <c r="AM43" s="580"/>
      <c r="AN43" s="469"/>
      <c r="AO43" s="469"/>
      <c r="AP43" s="469"/>
      <c r="AQ43" s="469"/>
      <c r="AR43" s="580"/>
      <c r="AS43" s="469"/>
      <c r="AT43" s="469"/>
      <c r="AU43" s="469"/>
      <c r="AV43" s="469"/>
      <c r="AW43" s="580"/>
      <c r="AX43" s="469"/>
      <c r="AY43" s="469"/>
      <c r="AZ43" s="469"/>
      <c r="BA43" s="469"/>
      <c r="BB43" s="580"/>
      <c r="BC43" s="469"/>
      <c r="BD43" s="469"/>
      <c r="BE43" s="469"/>
      <c r="BF43" s="469"/>
      <c r="BG43" s="580"/>
      <c r="BH43" s="469"/>
      <c r="BI43" s="469"/>
      <c r="BJ43" s="469"/>
      <c r="BK43" s="469"/>
      <c r="BL43" s="625">
        <f t="shared" ref="BL43:DI43" si="59">(BL42-BG42)*10000</f>
        <v>-1057.6901060151583</v>
      </c>
      <c r="BM43" s="626">
        <f t="shared" si="59"/>
        <v>-429.16744586832573</v>
      </c>
      <c r="BN43" s="626">
        <f t="shared" si="59"/>
        <v>-165.23838068514306</v>
      </c>
      <c r="BO43" s="626">
        <f t="shared" si="59"/>
        <v>-119.26126594648687</v>
      </c>
      <c r="BP43" s="626">
        <f t="shared" si="59"/>
        <v>-124.4287915016111</v>
      </c>
      <c r="BQ43" s="625">
        <f t="shared" si="59"/>
        <v>-150.28262366690123</v>
      </c>
      <c r="BR43" s="626">
        <f t="shared" si="59"/>
        <v>-226.81101532524215</v>
      </c>
      <c r="BS43" s="626">
        <f t="shared" si="59"/>
        <v>-278.82768354637932</v>
      </c>
      <c r="BT43" s="626">
        <f t="shared" si="59"/>
        <v>-354.36813198649287</v>
      </c>
      <c r="BU43" s="626">
        <f t="shared" si="59"/>
        <v>-324.5300817927116</v>
      </c>
      <c r="BV43" s="625">
        <f t="shared" si="59"/>
        <v>-298.06859020435962</v>
      </c>
      <c r="BW43" s="626">
        <f t="shared" si="59"/>
        <v>-315.50633448778314</v>
      </c>
      <c r="BX43" s="626">
        <f t="shared" si="59"/>
        <v>-324.0220132339536</v>
      </c>
      <c r="BY43" s="626">
        <f t="shared" si="59"/>
        <v>-322.96814292240265</v>
      </c>
      <c r="BZ43" s="626">
        <f t="shared" si="59"/>
        <v>-316.26301605620881</v>
      </c>
      <c r="CA43" s="625">
        <f t="shared" si="59"/>
        <v>-317.14459861334007</v>
      </c>
      <c r="CB43" s="626">
        <f t="shared" si="59"/>
        <v>-206.2462232403814</v>
      </c>
      <c r="CC43" s="626">
        <f t="shared" si="59"/>
        <v>-98.847150667014944</v>
      </c>
      <c r="CD43" s="626">
        <f t="shared" si="59"/>
        <v>-50.54154627501223</v>
      </c>
      <c r="CE43" s="626">
        <f t="shared" si="59"/>
        <v>-29.565189186661346</v>
      </c>
      <c r="CF43" s="625">
        <f t="shared" si="59"/>
        <v>-95.520839741164707</v>
      </c>
      <c r="CG43" s="626">
        <f t="shared" si="59"/>
        <v>14.853842488502799</v>
      </c>
      <c r="CH43" s="626">
        <f t="shared" si="59"/>
        <v>-19.60283775789523</v>
      </c>
      <c r="CI43" s="626">
        <f t="shared" si="59"/>
        <v>47.379334744908633</v>
      </c>
      <c r="CJ43" s="626">
        <f t="shared" si="59"/>
        <v>28.334812407759259</v>
      </c>
      <c r="CK43" s="625">
        <f t="shared" si="59"/>
        <v>17.366961933533155</v>
      </c>
      <c r="CL43" s="626">
        <f t="shared" si="59"/>
        <v>-38.709271174751372</v>
      </c>
      <c r="CM43" s="626">
        <f t="shared" si="59"/>
        <v>-34.057959474478039</v>
      </c>
      <c r="CN43" s="626">
        <f t="shared" si="59"/>
        <v>-93.432148250184312</v>
      </c>
      <c r="CO43" s="626">
        <f t="shared" si="59"/>
        <v>-135.0801283247738</v>
      </c>
      <c r="CP43" s="625">
        <f t="shared" si="59"/>
        <v>-75.555139159040891</v>
      </c>
      <c r="CQ43" s="626">
        <f t="shared" si="59"/>
        <v>-8.2608792699556677</v>
      </c>
      <c r="CR43" s="626">
        <f t="shared" si="59"/>
        <v>83.375728068561244</v>
      </c>
      <c r="CS43" s="626">
        <f t="shared" si="59"/>
        <v>58.14676957649867</v>
      </c>
      <c r="CT43" s="626">
        <f t="shared" si="59"/>
        <v>135.58828814894147</v>
      </c>
      <c r="CU43" s="625">
        <f t="shared" si="59"/>
        <v>69.324014262492909</v>
      </c>
      <c r="CV43" s="626">
        <f t="shared" si="59"/>
        <v>90.032870357000249</v>
      </c>
      <c r="CW43" s="626">
        <f t="shared" si="59"/>
        <v>32.79780633052787</v>
      </c>
      <c r="CX43" s="626">
        <f t="shared" si="59"/>
        <v>12.683121062654623</v>
      </c>
      <c r="CY43" s="626">
        <f t="shared" si="59"/>
        <v>-96.018477037950746</v>
      </c>
      <c r="CZ43" s="625">
        <f t="shared" si="59"/>
        <v>6.4444388524631524</v>
      </c>
      <c r="DA43" s="626">
        <f t="shared" si="59"/>
        <v>-84.651095281190749</v>
      </c>
      <c r="DB43" s="626">
        <f t="shared" si="59"/>
        <v>-112.58327174272998</v>
      </c>
      <c r="DC43" s="626">
        <f t="shared" si="59"/>
        <v>-78.741248260074954</v>
      </c>
      <c r="DD43" s="626">
        <f t="shared" si="59"/>
        <v>25.235243949741637</v>
      </c>
      <c r="DE43" s="625">
        <f t="shared" ref="DE43:DJ43" si="60">(DE42-CZ42)*10000</f>
        <v>-60.925213501919487</v>
      </c>
      <c r="DF43" s="626">
        <f t="shared" si="59"/>
        <v>30.799675169146113</v>
      </c>
      <c r="DG43" s="626">
        <f t="shared" si="59"/>
        <v>43.327511991411157</v>
      </c>
      <c r="DH43" s="2759">
        <f t="shared" si="59"/>
        <v>40.080643973554601</v>
      </c>
      <c r="DI43" s="2759">
        <f t="shared" si="59"/>
        <v>7.9168757560771352</v>
      </c>
      <c r="DJ43" s="625">
        <f t="shared" si="60"/>
        <v>30.251934023155236</v>
      </c>
      <c r="DK43" s="626">
        <f t="shared" ref="DK43:DT43" si="61">(DK42-DF42)*10000</f>
        <v>-162.43534351609551</v>
      </c>
      <c r="DL43" s="626">
        <f t="shared" si="61"/>
        <v>-183.5990159375711</v>
      </c>
      <c r="DM43" s="626">
        <f t="shared" si="61"/>
        <v>-182.48084641135225</v>
      </c>
      <c r="DN43" s="626">
        <f t="shared" si="61"/>
        <v>-145.14099785733981</v>
      </c>
      <c r="DO43" s="625">
        <f t="shared" ca="1" si="61"/>
        <v>-168.20023816975976</v>
      </c>
      <c r="DP43" s="626">
        <f t="shared" si="61"/>
        <v>249.99999999999994</v>
      </c>
      <c r="DQ43" s="626">
        <f t="shared" si="61"/>
        <v>249.99999999999994</v>
      </c>
      <c r="DR43" s="626">
        <f t="shared" si="61"/>
        <v>249.99999999999994</v>
      </c>
      <c r="DS43" s="626">
        <f t="shared" si="61"/>
        <v>249.99999999999994</v>
      </c>
      <c r="DT43" s="625">
        <f t="shared" ca="1" si="61"/>
        <v>249.99999999999966</v>
      </c>
      <c r="DU43" s="626">
        <f t="shared" ref="DU43" si="62">(DU42-DP42)*10000</f>
        <v>0</v>
      </c>
      <c r="DV43" s="626">
        <f t="shared" ref="DV43" si="63">(DV42-DQ42)*10000</f>
        <v>0</v>
      </c>
      <c r="DW43" s="626">
        <f t="shared" ref="DW43" si="64">(DW42-DR42)*10000</f>
        <v>0</v>
      </c>
      <c r="DX43" s="626">
        <f t="shared" ref="DX43" si="65">(DX42-DS42)*10000</f>
        <v>0</v>
      </c>
      <c r="DY43" s="625">
        <f t="shared" ref="DY43" ca="1" si="66">(DY42-DT42)*10000</f>
        <v>5.5511151231257827E-13</v>
      </c>
    </row>
    <row r="44" spans="1:134" outlineLevel="1" x14ac:dyDescent="0.2">
      <c r="A44" s="473"/>
      <c r="B44" s="624" t="s">
        <v>194</v>
      </c>
      <c r="C44" s="469"/>
      <c r="D44" s="469"/>
      <c r="E44" s="469"/>
      <c r="F44" s="469"/>
      <c r="G44" s="469"/>
      <c r="H44" s="469"/>
      <c r="I44" s="580"/>
      <c r="J44" s="469"/>
      <c r="K44" s="469"/>
      <c r="L44" s="469"/>
      <c r="M44" s="469"/>
      <c r="N44" s="580"/>
      <c r="O44" s="469"/>
      <c r="P44" s="469"/>
      <c r="Q44" s="469"/>
      <c r="R44" s="469"/>
      <c r="S44" s="580"/>
      <c r="T44" s="469"/>
      <c r="U44" s="469"/>
      <c r="V44" s="469"/>
      <c r="W44" s="469"/>
      <c r="X44" s="580"/>
      <c r="Y44" s="469"/>
      <c r="Z44" s="469"/>
      <c r="AA44" s="469"/>
      <c r="AB44" s="469"/>
      <c r="AC44" s="580"/>
      <c r="AD44" s="469"/>
      <c r="AE44" s="469"/>
      <c r="AF44" s="469"/>
      <c r="AG44" s="469"/>
      <c r="AH44" s="580"/>
      <c r="AI44" s="469"/>
      <c r="AJ44" s="469"/>
      <c r="AK44" s="469"/>
      <c r="AL44" s="469"/>
      <c r="AM44" s="580"/>
      <c r="AN44" s="469"/>
      <c r="AO44" s="469"/>
      <c r="AP44" s="469"/>
      <c r="AQ44" s="469"/>
      <c r="AR44" s="580"/>
      <c r="AS44" s="469"/>
      <c r="AT44" s="469"/>
      <c r="AU44" s="469"/>
      <c r="AV44" s="469"/>
      <c r="AW44" s="580"/>
      <c r="AX44" s="469"/>
      <c r="AY44" s="469"/>
      <c r="AZ44" s="469"/>
      <c r="BA44" s="469"/>
      <c r="BB44" s="580"/>
      <c r="BC44" s="469"/>
      <c r="BD44" s="469"/>
      <c r="BE44" s="469"/>
      <c r="BF44" s="469"/>
      <c r="BG44" s="580"/>
      <c r="BH44" s="469"/>
      <c r="BI44" s="469"/>
      <c r="BJ44" s="469"/>
      <c r="BK44" s="469"/>
      <c r="BL44" s="582">
        <f t="shared" ref="BL44:DI44" si="67">BL40/BG40-1</f>
        <v>22.764630225080385</v>
      </c>
      <c r="BM44" s="581">
        <f t="shared" si="67"/>
        <v>6.9819763828464882</v>
      </c>
      <c r="BN44" s="581">
        <f t="shared" si="67"/>
        <v>0.16974102680599734</v>
      </c>
      <c r="BO44" s="581">
        <f t="shared" si="67"/>
        <v>0.10252996005326231</v>
      </c>
      <c r="BP44" s="581">
        <f t="shared" si="67"/>
        <v>0.12703632887189276</v>
      </c>
      <c r="BQ44" s="582">
        <f t="shared" si="67"/>
        <v>0.43075174541321637</v>
      </c>
      <c r="BR44" s="581">
        <f t="shared" si="67"/>
        <v>0.27524721638246508</v>
      </c>
      <c r="BS44" s="581">
        <f t="shared" si="67"/>
        <v>0.50236930008545011</v>
      </c>
      <c r="BT44" s="581">
        <f t="shared" si="67"/>
        <v>0.60531400966183568</v>
      </c>
      <c r="BU44" s="581">
        <f t="shared" si="67"/>
        <v>0.44204668838219341</v>
      </c>
      <c r="BV44" s="582">
        <f t="shared" si="67"/>
        <v>0.45456952640338955</v>
      </c>
      <c r="BW44" s="581">
        <f t="shared" si="67"/>
        <v>0.25412138234216641</v>
      </c>
      <c r="BX44" s="581">
        <f t="shared" si="67"/>
        <v>0.10858324715615297</v>
      </c>
      <c r="BY44" s="581">
        <f t="shared" si="67"/>
        <v>0.10843615207142143</v>
      </c>
      <c r="BZ44" s="581">
        <f t="shared" si="67"/>
        <v>8.3764705882352963E-2</v>
      </c>
      <c r="CA44" s="582">
        <f t="shared" si="67"/>
        <v>0.13268145528307285</v>
      </c>
      <c r="CB44" s="581">
        <f t="shared" si="67"/>
        <v>0.32473222979552085</v>
      </c>
      <c r="CC44" s="581">
        <f t="shared" si="67"/>
        <v>0.29944029850746268</v>
      </c>
      <c r="CD44" s="468">
        <f t="shared" si="67"/>
        <v>0.27466063348416281</v>
      </c>
      <c r="CE44" s="468">
        <f t="shared" si="67"/>
        <v>0.32392531480677378</v>
      </c>
      <c r="CF44" s="580">
        <f t="shared" si="67"/>
        <v>0.30559063253357821</v>
      </c>
      <c r="CG44" s="581">
        <f t="shared" si="67"/>
        <v>0.29584711503123851</v>
      </c>
      <c r="CH44" s="581">
        <f t="shared" si="67"/>
        <v>0.27573582196697766</v>
      </c>
      <c r="CI44" s="581">
        <f t="shared" si="67"/>
        <v>0.19133830315938938</v>
      </c>
      <c r="CJ44" s="468">
        <f t="shared" si="67"/>
        <v>0.15710068875041006</v>
      </c>
      <c r="CK44" s="580">
        <f t="shared" si="67"/>
        <v>0.22783786160204</v>
      </c>
      <c r="CL44" s="468">
        <f t="shared" si="67"/>
        <v>2.070334656834949E-2</v>
      </c>
      <c r="CM44" s="468">
        <f t="shared" si="67"/>
        <v>3.8489674188284306E-2</v>
      </c>
      <c r="CN44" s="468">
        <f t="shared" si="67"/>
        <v>0.13185339690107267</v>
      </c>
      <c r="CO44" s="468">
        <f t="shared" si="67"/>
        <v>0.12729591836734699</v>
      </c>
      <c r="CP44" s="580">
        <f t="shared" si="67"/>
        <v>7.8873118402772668E-2</v>
      </c>
      <c r="CQ44" s="468">
        <f t="shared" si="67"/>
        <v>0.107529869408169</v>
      </c>
      <c r="CR44" s="468">
        <f t="shared" si="67"/>
        <v>0.11219181793551902</v>
      </c>
      <c r="CS44" s="468">
        <f t="shared" si="67"/>
        <v>0.12212715545610098</v>
      </c>
      <c r="CT44" s="468">
        <f t="shared" si="67"/>
        <v>0.13575218123758526</v>
      </c>
      <c r="CU44" s="580">
        <f t="shared" si="67"/>
        <v>0.11980272939677139</v>
      </c>
      <c r="CV44" s="468">
        <f t="shared" si="67"/>
        <v>0.12847466131460128</v>
      </c>
      <c r="CW44" s="468">
        <f t="shared" si="67"/>
        <v>9.9778324523154049E-2</v>
      </c>
      <c r="CX44" s="468">
        <f t="shared" si="67"/>
        <v>0.12528153153153143</v>
      </c>
      <c r="CY44" s="468">
        <f t="shared" si="67"/>
        <v>0.16692495018817799</v>
      </c>
      <c r="CZ44" s="580">
        <f t="shared" si="67"/>
        <v>0.13098011321537584</v>
      </c>
      <c r="DA44" s="468">
        <f t="shared" si="67"/>
        <v>0.25875369600497988</v>
      </c>
      <c r="DB44" s="468">
        <f t="shared" si="67"/>
        <v>0.28094890025915364</v>
      </c>
      <c r="DC44" s="468">
        <f t="shared" si="67"/>
        <v>0.24193144858643989</v>
      </c>
      <c r="DD44" s="468">
        <f t="shared" si="67"/>
        <v>0.1640106241699868</v>
      </c>
      <c r="DE44" s="580">
        <f t="shared" ref="DE44:DJ44" si="68">DE40/CZ40-1</f>
        <v>0.23360342134778489</v>
      </c>
      <c r="DF44" s="468">
        <f t="shared" si="67"/>
        <v>6.8456375838926276E-2</v>
      </c>
      <c r="DG44" s="468">
        <f t="shared" si="67"/>
        <v>7.1204226978756058E-2</v>
      </c>
      <c r="DH44" s="2760">
        <f t="shared" si="67"/>
        <v>5.8929736983303949E-2</v>
      </c>
      <c r="DI44" s="2760">
        <f t="shared" si="67"/>
        <v>8.8129476898378467E-2</v>
      </c>
      <c r="DJ44" s="580">
        <f t="shared" si="68"/>
        <v>7.1848727039222071E-2</v>
      </c>
      <c r="DK44" s="468">
        <f t="shared" ref="DK44:DT44" ca="1" si="69">DK40/DF40-1</f>
        <v>0.11715378601343351</v>
      </c>
      <c r="DL44" s="468">
        <f t="shared" ca="1" si="69"/>
        <v>0.18210050582341819</v>
      </c>
      <c r="DM44" s="468">
        <f t="shared" ca="1" si="69"/>
        <v>0.16418436709417517</v>
      </c>
      <c r="DN44" s="468">
        <f t="shared" ca="1" si="69"/>
        <v>0.11967713484036824</v>
      </c>
      <c r="DO44" s="580">
        <f t="shared" ca="1" si="69"/>
        <v>0.14552819431951414</v>
      </c>
      <c r="DP44" s="468">
        <f t="shared" ca="1" si="69"/>
        <v>-7.4701791838143072E-2</v>
      </c>
      <c r="DQ44" s="468">
        <f t="shared" ca="1" si="69"/>
        <v>-7.5783208346428599E-2</v>
      </c>
      <c r="DR44" s="468">
        <f t="shared" ca="1" si="69"/>
        <v>-7.6766562953010764E-2</v>
      </c>
      <c r="DS44" s="468">
        <f t="shared" ca="1" si="69"/>
        <v>-7.7907184770636628E-2</v>
      </c>
      <c r="DT44" s="580">
        <f t="shared" ca="1" si="69"/>
        <v>-7.6329569669102204E-2</v>
      </c>
      <c r="DU44" s="468">
        <f t="shared" ref="DU44" ca="1" si="70">DU40/DP40-1</f>
        <v>4.5141588499927998E-2</v>
      </c>
      <c r="DV44" s="468">
        <f t="shared" ref="DV44" ca="1" si="71">DV40/DQ40-1</f>
        <v>4.3307115318115263E-2</v>
      </c>
      <c r="DW44" s="468">
        <f t="shared" ref="DW44" ca="1" si="72">DW40/DR40-1</f>
        <v>4.2010333271161437E-2</v>
      </c>
      <c r="DX44" s="468">
        <f t="shared" ref="DX44" ca="1" si="73">DX40/DS40-1</f>
        <v>4.056416500583504E-2</v>
      </c>
      <c r="DY44" s="580">
        <f t="shared" ref="DY44" ca="1" si="74">DY40/DT40-1</f>
        <v>4.2699237572604964E-2</v>
      </c>
    </row>
    <row r="45" spans="1:134" ht="3.75" customHeight="1" outlineLevel="1" x14ac:dyDescent="0.2">
      <c r="A45" s="473"/>
      <c r="B45" s="627"/>
      <c r="C45" s="469"/>
      <c r="D45" s="469"/>
      <c r="E45" s="469"/>
      <c r="F45" s="469"/>
      <c r="G45" s="469"/>
      <c r="H45" s="469"/>
      <c r="I45" s="580"/>
      <c r="J45" s="469"/>
      <c r="K45" s="469"/>
      <c r="L45" s="469"/>
      <c r="M45" s="469"/>
      <c r="N45" s="580"/>
      <c r="O45" s="469"/>
      <c r="P45" s="469"/>
      <c r="Q45" s="469"/>
      <c r="R45" s="469"/>
      <c r="S45" s="580"/>
      <c r="T45" s="469"/>
      <c r="U45" s="469"/>
      <c r="V45" s="469"/>
      <c r="W45" s="469"/>
      <c r="X45" s="580"/>
      <c r="Y45" s="469"/>
      <c r="Z45" s="469"/>
      <c r="AA45" s="469"/>
      <c r="AB45" s="469"/>
      <c r="AC45" s="580"/>
      <c r="AD45" s="469"/>
      <c r="AE45" s="469"/>
      <c r="AF45" s="469"/>
      <c r="AG45" s="469"/>
      <c r="AH45" s="580"/>
      <c r="AI45" s="469"/>
      <c r="AJ45" s="469"/>
      <c r="AK45" s="469"/>
      <c r="AL45" s="469"/>
      <c r="AM45" s="580"/>
      <c r="AN45" s="469"/>
      <c r="AO45" s="469"/>
      <c r="AP45" s="469"/>
      <c r="AQ45" s="469"/>
      <c r="AR45" s="580"/>
      <c r="AS45" s="469"/>
      <c r="AT45" s="469"/>
      <c r="AU45" s="469"/>
      <c r="AV45" s="469"/>
      <c r="AW45" s="580"/>
      <c r="AX45" s="469"/>
      <c r="AY45" s="469"/>
      <c r="AZ45" s="469"/>
      <c r="BA45" s="469"/>
      <c r="BB45" s="580"/>
      <c r="BC45" s="469"/>
      <c r="BD45" s="469"/>
      <c r="BE45" s="469"/>
      <c r="BF45" s="469"/>
      <c r="BG45" s="580"/>
      <c r="BH45" s="469"/>
      <c r="BI45" s="469"/>
      <c r="BJ45" s="469"/>
      <c r="BK45" s="469"/>
      <c r="BL45" s="580"/>
      <c r="BM45" s="469"/>
      <c r="BN45" s="469"/>
      <c r="BO45" s="469"/>
      <c r="BP45" s="469"/>
      <c r="BQ45" s="580"/>
      <c r="BR45" s="469"/>
      <c r="BS45" s="469"/>
      <c r="BT45" s="469"/>
      <c r="BU45" s="469"/>
      <c r="BV45" s="580"/>
      <c r="BW45" s="469"/>
      <c r="BX45" s="469"/>
      <c r="BY45" s="469"/>
      <c r="BZ45" s="469"/>
      <c r="CA45" s="580"/>
      <c r="CB45" s="469"/>
      <c r="CC45" s="469"/>
      <c r="CD45" s="469"/>
      <c r="CE45" s="469"/>
      <c r="CF45" s="580"/>
      <c r="CG45" s="469"/>
      <c r="CH45" s="469"/>
      <c r="CI45" s="469"/>
      <c r="CJ45" s="469"/>
      <c r="CK45" s="580"/>
      <c r="CL45" s="469"/>
      <c r="CM45" s="469"/>
      <c r="CN45" s="469"/>
      <c r="CO45" s="469"/>
      <c r="CP45" s="580"/>
      <c r="CQ45" s="469"/>
      <c r="CR45" s="469"/>
      <c r="CS45" s="469"/>
      <c r="CT45" s="469"/>
      <c r="CU45" s="580"/>
      <c r="CV45" s="469"/>
      <c r="CW45" s="469"/>
      <c r="CX45" s="469"/>
      <c r="CY45" s="469"/>
      <c r="CZ45" s="580"/>
      <c r="DA45" s="469"/>
      <c r="DB45" s="469"/>
      <c r="DC45" s="469"/>
      <c r="DD45" s="469"/>
      <c r="DE45" s="580"/>
      <c r="DF45" s="469"/>
      <c r="DG45" s="469"/>
      <c r="DH45" s="2761"/>
      <c r="DI45" s="2761"/>
      <c r="DJ45" s="580"/>
      <c r="DK45" s="469"/>
      <c r="DL45" s="469"/>
      <c r="DM45" s="469"/>
      <c r="DN45" s="469"/>
      <c r="DO45" s="580"/>
      <c r="DP45" s="469"/>
      <c r="DQ45" s="469"/>
      <c r="DR45" s="469"/>
      <c r="DS45" s="469"/>
      <c r="DT45" s="580"/>
      <c r="DU45" s="469"/>
      <c r="DV45" s="469"/>
      <c r="DW45" s="469"/>
      <c r="DX45" s="469"/>
      <c r="DY45" s="580"/>
    </row>
    <row r="46" spans="1:134" outlineLevel="1" x14ac:dyDescent="0.2">
      <c r="A46" s="466"/>
      <c r="B46" s="607" t="s">
        <v>173</v>
      </c>
      <c r="C46" s="608"/>
      <c r="D46" s="628"/>
      <c r="E46" s="628"/>
      <c r="F46" s="628"/>
      <c r="G46" s="628"/>
      <c r="H46" s="628"/>
      <c r="I46" s="553">
        <f>SUM(E46:H46)</f>
        <v>0</v>
      </c>
      <c r="J46" s="628"/>
      <c r="K46" s="628"/>
      <c r="L46" s="628"/>
      <c r="M46" s="628"/>
      <c r="N46" s="553">
        <f>SUM(J46:M46)</f>
        <v>0</v>
      </c>
      <c r="O46" s="628"/>
      <c r="P46" s="628"/>
      <c r="Q46" s="628"/>
      <c r="R46" s="628"/>
      <c r="S46" s="553">
        <f>SUM(O46:R46)</f>
        <v>0</v>
      </c>
      <c r="T46" s="628"/>
      <c r="U46" s="628"/>
      <c r="V46" s="628"/>
      <c r="W46" s="628"/>
      <c r="X46" s="553">
        <f>SUM(T46:W46)</f>
        <v>0</v>
      </c>
      <c r="Y46" s="628"/>
      <c r="Z46" s="628"/>
      <c r="AA46" s="628"/>
      <c r="AB46" s="628"/>
      <c r="AC46" s="595">
        <v>19.2</v>
      </c>
      <c r="AD46" s="628"/>
      <c r="AE46" s="628"/>
      <c r="AF46" s="628"/>
      <c r="AG46" s="628"/>
      <c r="AH46" s="595">
        <v>-349</v>
      </c>
      <c r="AI46" s="628"/>
      <c r="AJ46" s="628"/>
      <c r="AK46" s="628"/>
      <c r="AL46" s="628"/>
      <c r="AM46" s="553">
        <f>SUM(AI46:AL46)</f>
        <v>0</v>
      </c>
      <c r="AN46" s="628"/>
      <c r="AO46" s="628"/>
      <c r="AP46" s="628"/>
      <c r="AQ46" s="628"/>
      <c r="AR46" s="553">
        <f>SUM(AN46:AQ46)</f>
        <v>0</v>
      </c>
      <c r="AS46" s="628"/>
      <c r="AT46" s="628"/>
      <c r="AU46" s="628"/>
      <c r="AV46" s="628"/>
      <c r="AW46" s="553">
        <f>SUM(AS46:AV46)</f>
        <v>0</v>
      </c>
      <c r="AX46" s="628"/>
      <c r="AY46" s="628"/>
      <c r="AZ46" s="628"/>
      <c r="BA46" s="628"/>
      <c r="BB46" s="553">
        <f>SUM(AX46:BA46)</f>
        <v>0</v>
      </c>
      <c r="BC46" s="628"/>
      <c r="BD46" s="628"/>
      <c r="BE46" s="628"/>
      <c r="BF46" s="628"/>
      <c r="BG46" s="553">
        <f>SUM(BC46:BF46)</f>
        <v>0</v>
      </c>
      <c r="BH46" s="610">
        <v>0</v>
      </c>
      <c r="BI46" s="610">
        <v>0</v>
      </c>
      <c r="BJ46" s="610">
        <v>0</v>
      </c>
      <c r="BK46" s="610">
        <v>0</v>
      </c>
      <c r="BL46" s="553">
        <f>SUM(BH46:BK46)</f>
        <v>0</v>
      </c>
      <c r="BM46" s="610">
        <v>0</v>
      </c>
      <c r="BN46" s="610">
        <v>-0.1</v>
      </c>
      <c r="BO46" s="610">
        <v>-0.1</v>
      </c>
      <c r="BP46" s="610">
        <v>-0.3</v>
      </c>
      <c r="BQ46" s="553">
        <f>SUM(BM46:BP46)</f>
        <v>-0.5</v>
      </c>
      <c r="BR46" s="610">
        <v>-6</v>
      </c>
      <c r="BS46" s="610">
        <v>-10.1</v>
      </c>
      <c r="BT46" s="610">
        <v>-13.7</v>
      </c>
      <c r="BU46" s="610">
        <v>-18</v>
      </c>
      <c r="BV46" s="553">
        <f>SUM(BR46:BU46)</f>
        <v>-47.8</v>
      </c>
      <c r="BW46" s="610">
        <v>-23</v>
      </c>
      <c r="BX46" s="610">
        <v>-30</v>
      </c>
      <c r="BY46" s="610">
        <v>-39</v>
      </c>
      <c r="BZ46" s="610">
        <v>-43</v>
      </c>
      <c r="CA46" s="553">
        <f>SUM(BW46:BZ46)</f>
        <v>-135</v>
      </c>
      <c r="CB46" s="610">
        <v>-35</v>
      </c>
      <c r="CC46" s="610">
        <v>-42</v>
      </c>
      <c r="CD46" s="610">
        <v>-42</v>
      </c>
      <c r="CE46" s="610">
        <v>-67.900000000000006</v>
      </c>
      <c r="CF46" s="551">
        <f>SUM(CB46:CE46)</f>
        <v>-186.9</v>
      </c>
      <c r="CG46" s="610">
        <v>-75</v>
      </c>
      <c r="CH46" s="610">
        <v>-97.3</v>
      </c>
      <c r="CI46" s="610">
        <v>-106</v>
      </c>
      <c r="CJ46" s="610">
        <v>-132</v>
      </c>
      <c r="CK46" s="551">
        <f>SUM(CG46:CJ46)</f>
        <v>-410.3</v>
      </c>
      <c r="CL46" s="610">
        <v>-138</v>
      </c>
      <c r="CM46" s="610">
        <v>-127.5</v>
      </c>
      <c r="CN46" s="610">
        <v>-143.5</v>
      </c>
      <c r="CO46" s="610">
        <v>-157.5</v>
      </c>
      <c r="CP46" s="551">
        <f>SUM(CL46:CO46)</f>
        <v>-566.5</v>
      </c>
      <c r="CQ46" s="610">
        <v>-176.1</v>
      </c>
      <c r="CR46" s="610">
        <v>-170.1</v>
      </c>
      <c r="CS46" s="610">
        <v>-171.6</v>
      </c>
      <c r="CT46" s="610">
        <v>-162.6</v>
      </c>
      <c r="CU46" s="551">
        <f>SUM(CQ46:CT46)</f>
        <v>-680.4</v>
      </c>
      <c r="CV46" s="610">
        <v>-156.6</v>
      </c>
      <c r="CW46" s="610">
        <v>-160.30000000000001</v>
      </c>
      <c r="CX46" s="610">
        <v>-180.7</v>
      </c>
      <c r="CY46" s="610">
        <v>-193.70000000000002</v>
      </c>
      <c r="CZ46" s="551">
        <f>SUM(CV46:CY46)</f>
        <v>-691.3</v>
      </c>
      <c r="DA46" s="610">
        <v>-187.5</v>
      </c>
      <c r="DB46" s="610">
        <v>-188.9</v>
      </c>
      <c r="DC46" s="610">
        <v>-198.1</v>
      </c>
      <c r="DD46" s="610">
        <v>-207.8</v>
      </c>
      <c r="DE46" s="551">
        <f>SUM(DA46:DD46)</f>
        <v>-782.3</v>
      </c>
      <c r="DF46" s="610">
        <v>-192.3</v>
      </c>
      <c r="DG46" s="610">
        <v>-209.19280313430778</v>
      </c>
      <c r="DH46" s="2762">
        <v>-203.27692570268519</v>
      </c>
      <c r="DI46" s="2762">
        <v>-206.94941053103037</v>
      </c>
      <c r="DJ46" s="551">
        <f>SUM(DF46:DI46)</f>
        <v>-811.71913936802332</v>
      </c>
      <c r="DK46" s="609">
        <f ca="1">DK47*DK19</f>
        <v>-146.77231027991076</v>
      </c>
      <c r="DL46" s="609">
        <f ca="1">DL47*DL19</f>
        <v>-194.11186538093813</v>
      </c>
      <c r="DM46" s="609">
        <f ca="1">DM47*DM19</f>
        <v>-225.89377121111369</v>
      </c>
      <c r="DN46" s="609">
        <f ca="1">DN47*DN19</f>
        <v>-226.60935980323322</v>
      </c>
      <c r="DO46" s="551">
        <f ca="1">SUM(DK46:DN46)</f>
        <v>-793.38730667519576</v>
      </c>
      <c r="DP46" s="609">
        <f ca="1">DP47*DP19</f>
        <v>-159.92990527656423</v>
      </c>
      <c r="DQ46" s="609">
        <f ca="1">DQ47*DQ19</f>
        <v>-207.52829372391946</v>
      </c>
      <c r="DR46" s="609">
        <f ca="1">DR47*DR19</f>
        <v>-242.59112722897038</v>
      </c>
      <c r="DS46" s="609">
        <f ca="1">DS47*DS19</f>
        <v>-243.20155465744989</v>
      </c>
      <c r="DT46" s="551">
        <f ca="1">SUM(DP46:DS46)</f>
        <v>-853.25088088690381</v>
      </c>
      <c r="DU46" s="609">
        <f ca="1">DU47*DU19</f>
        <v>-165.19526086858738</v>
      </c>
      <c r="DV46" s="609">
        <f ca="1">DV47*DV19</f>
        <v>-215.77950438476751</v>
      </c>
      <c r="DW46" s="609">
        <f ca="1">DW47*DW19</f>
        <v>-252.93747030567593</v>
      </c>
      <c r="DX46" s="609">
        <f ca="1">DX47*DX19</f>
        <v>-253.34520825709708</v>
      </c>
      <c r="DY46" s="551">
        <f ca="1">SUM(DU46:DX46)</f>
        <v>-887.25744381612787</v>
      </c>
    </row>
    <row r="47" spans="1:134" outlineLevel="1" x14ac:dyDescent="0.2">
      <c r="A47" s="611"/>
      <c r="B47" s="612" t="s">
        <v>734</v>
      </c>
      <c r="C47" s="613"/>
      <c r="D47" s="614"/>
      <c r="E47" s="614"/>
      <c r="F47" s="614"/>
      <c r="G47" s="614"/>
      <c r="H47" s="614"/>
      <c r="I47" s="615"/>
      <c r="J47" s="614"/>
      <c r="K47" s="614"/>
      <c r="L47" s="614"/>
      <c r="M47" s="614"/>
      <c r="N47" s="615"/>
      <c r="O47" s="614"/>
      <c r="P47" s="614"/>
      <c r="Q47" s="614"/>
      <c r="R47" s="614"/>
      <c r="S47" s="615"/>
      <c r="T47" s="614"/>
      <c r="U47" s="614"/>
      <c r="V47" s="614"/>
      <c r="W47" s="614"/>
      <c r="X47" s="615"/>
      <c r="Y47" s="614"/>
      <c r="Z47" s="614"/>
      <c r="AA47" s="614"/>
      <c r="AB47" s="614"/>
      <c r="AC47" s="615"/>
      <c r="AD47" s="614"/>
      <c r="AE47" s="614"/>
      <c r="AF47" s="614"/>
      <c r="AG47" s="614"/>
      <c r="AH47" s="615"/>
      <c r="AI47" s="614"/>
      <c r="AJ47" s="614"/>
      <c r="AK47" s="614"/>
      <c r="AL47" s="614"/>
      <c r="AM47" s="615"/>
      <c r="AN47" s="614"/>
      <c r="AO47" s="614"/>
      <c r="AP47" s="614"/>
      <c r="AQ47" s="614"/>
      <c r="AR47" s="615"/>
      <c r="AS47" s="614"/>
      <c r="AT47" s="614"/>
      <c r="AU47" s="614"/>
      <c r="AV47" s="614"/>
      <c r="AW47" s="615"/>
      <c r="AX47" s="614"/>
      <c r="AY47" s="614"/>
      <c r="AZ47" s="614"/>
      <c r="BA47" s="614"/>
      <c r="BB47" s="615"/>
      <c r="BC47" s="614"/>
      <c r="BD47" s="614"/>
      <c r="BE47" s="614"/>
      <c r="BF47" s="614"/>
      <c r="BG47" s="615"/>
      <c r="BH47" s="622">
        <f>BH46/BH$19</f>
        <v>0</v>
      </c>
      <c r="BI47" s="622">
        <f>BI46/BI$19</f>
        <v>0</v>
      </c>
      <c r="BJ47" s="622">
        <f>BJ46/BJ$19</f>
        <v>0</v>
      </c>
      <c r="BK47" s="622">
        <f>BK46/BK$19</f>
        <v>0</v>
      </c>
      <c r="BL47" s="616">
        <f>BL46/BL19</f>
        <v>0</v>
      </c>
      <c r="BM47" s="622">
        <f>BM46/BM$19</f>
        <v>0</v>
      </c>
      <c r="BN47" s="622">
        <f>BN46/BN$19</f>
        <v>-1.1764705882352942E-4</v>
      </c>
      <c r="BO47" s="622">
        <f>BO46/BO$19</f>
        <v>-1.1203226529240422E-4</v>
      </c>
      <c r="BP47" s="622">
        <f>BP46/BP$19</f>
        <v>-2.9414648494950483E-4</v>
      </c>
      <c r="BQ47" s="616">
        <f>BQ46/BQ19</f>
        <v>-1.4082523588227009E-4</v>
      </c>
      <c r="BR47" s="622">
        <f>BR46/BR$19</f>
        <v>-7.520681875156681E-3</v>
      </c>
      <c r="BS47" s="622">
        <f>BS46/BS$19</f>
        <v>-1.0846219931271477E-2</v>
      </c>
      <c r="BT47" s="622">
        <f>BT46/BT$19</f>
        <v>-1.3286781107555039E-2</v>
      </c>
      <c r="BU47" s="622">
        <f>BU46/BU$19</f>
        <v>-1.6744186046511629E-2</v>
      </c>
      <c r="BV47" s="616">
        <f>BV46/BV19</f>
        <v>-1.2463821021616124E-2</v>
      </c>
      <c r="BW47" s="622">
        <f>BW46/BW$19</f>
        <v>-2.9411764705882353E-2</v>
      </c>
      <c r="BX47" s="622">
        <f>BX46/BX$19</f>
        <v>-3.6540803897685749E-2</v>
      </c>
      <c r="BY47" s="622">
        <f>BY46/BY$19</f>
        <v>-4.4217687074829932E-2</v>
      </c>
      <c r="BZ47" s="622">
        <f>BZ46/BZ$19</f>
        <v>-4.9539170506912443E-2</v>
      </c>
      <c r="CA47" s="616">
        <f>CA46/CA19</f>
        <v>-4.0262451535937965E-2</v>
      </c>
      <c r="CB47" s="622">
        <f>CB46/CB$19</f>
        <v>-5.4773082942097026E-2</v>
      </c>
      <c r="CC47" s="622">
        <f>CC46/CC$19</f>
        <v>-5.7613168724279837E-2</v>
      </c>
      <c r="CD47" s="629">
        <f>CD46/CD$19</f>
        <v>-4.5951859956236324E-2</v>
      </c>
      <c r="CE47" s="629">
        <f>CE46/CE$19</f>
        <v>-6.686361398325949E-2</v>
      </c>
      <c r="CF47" s="619">
        <f>CF46/CF19</f>
        <v>-5.667930250189538E-2</v>
      </c>
      <c r="CG47" s="629">
        <f>CG46/CG$19</f>
        <v>-0.12175324675324675</v>
      </c>
      <c r="CH47" s="629">
        <f>CH46/CH$19</f>
        <v>-0.12517689437797505</v>
      </c>
      <c r="CI47" s="629">
        <f>CI46/CI$19</f>
        <v>-9.808457481262145E-2</v>
      </c>
      <c r="CJ47" s="629">
        <f>CJ46/CJ$19</f>
        <v>-9.895052473763119E-2</v>
      </c>
      <c r="CK47" s="619">
        <f>CK46/CK19</f>
        <v>-0.1077468487394958</v>
      </c>
      <c r="CL47" s="629">
        <f>CL46/CL$19</f>
        <v>-0.1796875</v>
      </c>
      <c r="CM47" s="629">
        <f>CM46/CM$19</f>
        <v>-0.13233004670472237</v>
      </c>
      <c r="CN47" s="629">
        <f>CN46/CN$19</f>
        <v>-0.11087074094104922</v>
      </c>
      <c r="CO47" s="629">
        <f>CO46/CO$19</f>
        <v>-0.12999339716077915</v>
      </c>
      <c r="CP47" s="619">
        <f>CP46/CP19</f>
        <v>-0.13369047057157693</v>
      </c>
      <c r="CQ47" s="629">
        <f>CQ46/CQ$19</f>
        <v>-0.18840269605220925</v>
      </c>
      <c r="CR47" s="629">
        <f>CR46/CR$19</f>
        <v>-0.14234309623430963</v>
      </c>
      <c r="CS47" s="629">
        <f>CS46/CS$19</f>
        <v>-0.12232677502138579</v>
      </c>
      <c r="CT47" s="629">
        <f>CT46/CT$19</f>
        <v>-0.1313196575674366</v>
      </c>
      <c r="CU47" s="619">
        <f t="shared" ref="CU47:DF47" si="75">CU46/CU19</f>
        <v>-0.14262057978912948</v>
      </c>
      <c r="CV47" s="629">
        <f t="shared" si="75"/>
        <v>-0.15264645676966565</v>
      </c>
      <c r="CW47" s="629">
        <f t="shared" si="75"/>
        <v>-0.1292012573547191</v>
      </c>
      <c r="CX47" s="629">
        <f t="shared" si="75"/>
        <v>-0.12307951013183505</v>
      </c>
      <c r="CY47" s="629">
        <f t="shared" si="75"/>
        <v>-0.12981265952394733</v>
      </c>
      <c r="CZ47" s="619">
        <f t="shared" si="75"/>
        <v>-0.13225795041271959</v>
      </c>
      <c r="DA47" s="629">
        <f t="shared" si="75"/>
        <v>-0.17017607551279726</v>
      </c>
      <c r="DB47" s="629">
        <f t="shared" si="75"/>
        <v>-0.13814538540295451</v>
      </c>
      <c r="DC47" s="629">
        <f t="shared" si="75"/>
        <v>-0.11025769466243668</v>
      </c>
      <c r="DD47" s="629">
        <f t="shared" si="75"/>
        <v>-0.12710257508104472</v>
      </c>
      <c r="DE47" s="619">
        <f t="shared" si="75"/>
        <v>-0.13257524403470716</v>
      </c>
      <c r="DF47" s="629">
        <f t="shared" si="75"/>
        <v>-0.17539219263042685</v>
      </c>
      <c r="DG47" s="629">
        <f>DG46/DG19</f>
        <v>-0.14240490342703049</v>
      </c>
      <c r="DH47" s="2763">
        <f>DH46/DH19</f>
        <v>-0.12356757246298054</v>
      </c>
      <c r="DI47" s="2763">
        <f>DI46/DI19</f>
        <v>-0.11313379586286335</v>
      </c>
      <c r="DJ47" s="619">
        <f>DJ46/DJ19</f>
        <v>-0.13439700003773764</v>
      </c>
      <c r="DK47" s="623">
        <v>-0.125</v>
      </c>
      <c r="DL47" s="623">
        <v>-0.125</v>
      </c>
      <c r="DM47" s="623">
        <v>-0.125</v>
      </c>
      <c r="DN47" s="623">
        <v>-0.125</v>
      </c>
      <c r="DO47" s="619">
        <f ca="1">DO46/DO19</f>
        <v>-0.125</v>
      </c>
      <c r="DP47" s="623">
        <v>-0.13</v>
      </c>
      <c r="DQ47" s="623">
        <v>-0.13</v>
      </c>
      <c r="DR47" s="623">
        <v>-0.13</v>
      </c>
      <c r="DS47" s="623">
        <v>-0.13</v>
      </c>
      <c r="DT47" s="619">
        <f ca="1">DT46/DT19</f>
        <v>-0.12999999999999998</v>
      </c>
      <c r="DU47" s="623">
        <v>-0.13</v>
      </c>
      <c r="DV47" s="623">
        <v>-0.13</v>
      </c>
      <c r="DW47" s="623">
        <v>-0.13</v>
      </c>
      <c r="DX47" s="623">
        <v>-0.13</v>
      </c>
      <c r="DY47" s="619">
        <f ca="1">DY46/DY19</f>
        <v>-0.13</v>
      </c>
    </row>
    <row r="48" spans="1:134" outlineLevel="1" x14ac:dyDescent="0.2">
      <c r="A48" s="611"/>
      <c r="B48" s="612" t="s">
        <v>735</v>
      </c>
      <c r="C48" s="613"/>
      <c r="D48" s="614"/>
      <c r="E48" s="614"/>
      <c r="F48" s="614"/>
      <c r="G48" s="614"/>
      <c r="H48" s="614"/>
      <c r="I48" s="615"/>
      <c r="J48" s="614"/>
      <c r="K48" s="614"/>
      <c r="L48" s="614"/>
      <c r="M48" s="614"/>
      <c r="N48" s="615"/>
      <c r="O48" s="614"/>
      <c r="P48" s="614"/>
      <c r="Q48" s="614"/>
      <c r="R48" s="614"/>
      <c r="S48" s="615"/>
      <c r="T48" s="614"/>
      <c r="U48" s="614"/>
      <c r="V48" s="614"/>
      <c r="W48" s="614"/>
      <c r="X48" s="615"/>
      <c r="Y48" s="614"/>
      <c r="Z48" s="614"/>
      <c r="AA48" s="614"/>
      <c r="AB48" s="614"/>
      <c r="AC48" s="615"/>
      <c r="AD48" s="614"/>
      <c r="AE48" s="614"/>
      <c r="AF48" s="614"/>
      <c r="AG48" s="614"/>
      <c r="AH48" s="615"/>
      <c r="AI48" s="614"/>
      <c r="AJ48" s="614"/>
      <c r="AK48" s="614"/>
      <c r="AL48" s="614"/>
      <c r="AM48" s="615"/>
      <c r="AN48" s="614"/>
      <c r="AO48" s="614"/>
      <c r="AP48" s="614"/>
      <c r="AQ48" s="614"/>
      <c r="AR48" s="615"/>
      <c r="AS48" s="614"/>
      <c r="AT48" s="614"/>
      <c r="AU48" s="614"/>
      <c r="AV48" s="614"/>
      <c r="AW48" s="615"/>
      <c r="AX48" s="614"/>
      <c r="AY48" s="614"/>
      <c r="AZ48" s="614"/>
      <c r="BA48" s="614"/>
      <c r="BB48" s="615"/>
      <c r="BC48" s="614"/>
      <c r="BD48" s="614"/>
      <c r="BE48" s="614"/>
      <c r="BF48" s="614"/>
      <c r="BG48" s="615"/>
      <c r="BH48" s="630"/>
      <c r="BI48" s="630"/>
      <c r="BJ48" s="630"/>
      <c r="BK48" s="630"/>
      <c r="BL48" s="619"/>
      <c r="BM48" s="631">
        <f t="shared" ref="BM48:CZ48" si="76">BM46/BM$40</f>
        <v>0</v>
      </c>
      <c r="BN48" s="631">
        <f t="shared" si="76"/>
        <v>7.7681970014759587E-5</v>
      </c>
      <c r="BO48" s="631">
        <f t="shared" si="76"/>
        <v>8.0515297906602257E-5</v>
      </c>
      <c r="BP48" s="631">
        <f t="shared" si="76"/>
        <v>2.0358306188925082E-4</v>
      </c>
      <c r="BQ48" s="632">
        <f t="shared" si="76"/>
        <v>9.4568013315176279E-5</v>
      </c>
      <c r="BR48" s="631">
        <f t="shared" si="76"/>
        <v>3.6634509708145073E-3</v>
      </c>
      <c r="BS48" s="631">
        <f t="shared" si="76"/>
        <v>5.222337125129266E-3</v>
      </c>
      <c r="BT48" s="631">
        <f t="shared" si="76"/>
        <v>6.8713010332029289E-3</v>
      </c>
      <c r="BU48" s="631">
        <f t="shared" si="76"/>
        <v>8.4705882352941169E-3</v>
      </c>
      <c r="BV48" s="632">
        <f t="shared" si="76"/>
        <v>6.2153798143187782E-3</v>
      </c>
      <c r="BW48" s="631">
        <f t="shared" si="76"/>
        <v>1.1197663096397274E-2</v>
      </c>
      <c r="BX48" s="631">
        <f t="shared" si="76"/>
        <v>1.3992537313432836E-2</v>
      </c>
      <c r="BY48" s="631">
        <f t="shared" si="76"/>
        <v>1.7647058823529412E-2</v>
      </c>
      <c r="BZ48" s="631">
        <f t="shared" si="76"/>
        <v>1.8671298306556665E-2</v>
      </c>
      <c r="CA48" s="632">
        <f t="shared" si="76"/>
        <v>1.5497646653656296E-2</v>
      </c>
      <c r="CB48" s="631">
        <f t="shared" si="76"/>
        <v>1.2862918044836457E-2</v>
      </c>
      <c r="CC48" s="631">
        <f t="shared" si="76"/>
        <v>1.507537688442211E-2</v>
      </c>
      <c r="CD48" s="633">
        <f t="shared" si="76"/>
        <v>1.4909478168264111E-2</v>
      </c>
      <c r="CE48" s="633">
        <f t="shared" si="76"/>
        <v>2.2269596589045589E-2</v>
      </c>
      <c r="CF48" s="634">
        <f t="shared" si="76"/>
        <v>1.6433658665259827E-2</v>
      </c>
      <c r="CG48" s="633">
        <f t="shared" si="76"/>
        <v>2.127056154282473E-2</v>
      </c>
      <c r="CH48" s="633">
        <f t="shared" si="76"/>
        <v>2.7376062123684656E-2</v>
      </c>
      <c r="CI48" s="633">
        <f t="shared" si="76"/>
        <v>3.1585220500595951E-2</v>
      </c>
      <c r="CJ48" s="633">
        <f t="shared" si="76"/>
        <v>3.7414965986394558E-2</v>
      </c>
      <c r="CK48" s="634">
        <f t="shared" si="76"/>
        <v>2.938227753827645E-2</v>
      </c>
      <c r="CL48" s="633">
        <f t="shared" si="76"/>
        <v>3.8343984440122256E-2</v>
      </c>
      <c r="CM48" s="633">
        <f>CM46/CM$40</f>
        <v>3.4543484150636683E-2</v>
      </c>
      <c r="CN48" s="633">
        <f>CN46/CN$40</f>
        <v>3.7778070290904305E-2</v>
      </c>
      <c r="CO48" s="633">
        <f>CO46/CO$40</f>
        <v>3.960171984611903E-2</v>
      </c>
      <c r="CP48" s="634">
        <f t="shared" si="76"/>
        <v>3.7602219626168221E-2</v>
      </c>
      <c r="CQ48" s="633">
        <f>CQ46/CQ$40</f>
        <v>4.4179628700451577E-2</v>
      </c>
      <c r="CR48" s="633">
        <f t="shared" si="76"/>
        <v>4.1436262210421175E-2</v>
      </c>
      <c r="CS48" s="633">
        <f t="shared" si="76"/>
        <v>4.0259009009009014E-2</v>
      </c>
      <c r="CT48" s="633">
        <f t="shared" si="76"/>
        <v>3.5997343369493028E-2</v>
      </c>
      <c r="CU48" s="634">
        <f t="shared" si="76"/>
        <v>4.0330754867964787E-2</v>
      </c>
      <c r="CV48" s="633">
        <f t="shared" si="76"/>
        <v>3.4814699539805691E-2</v>
      </c>
      <c r="CW48" s="633">
        <f>CW46/CW$40</f>
        <v>3.5506235187277121E-2</v>
      </c>
      <c r="CX48" s="633">
        <f>CX46/CX$40</f>
        <v>3.767408890000834E-2</v>
      </c>
      <c r="CY48" s="633">
        <f>CY46/CY$40</f>
        <v>3.6748245114778984E-2</v>
      </c>
      <c r="CZ48" s="634">
        <f t="shared" si="76"/>
        <v>3.6231276401714869E-2</v>
      </c>
      <c r="DA48" s="633">
        <f>DA46/DA$40</f>
        <v>3.3115506888025434E-2</v>
      </c>
      <c r="DB48" s="633">
        <f>DB46/DB$40</f>
        <v>3.2664142069132471E-2</v>
      </c>
      <c r="DC48" s="633">
        <f>DC46/DC$40</f>
        <v>3.3256110663443458E-2</v>
      </c>
      <c r="DD48" s="633">
        <f>DD46/DD$40</f>
        <v>3.3868470377312367E-2</v>
      </c>
      <c r="DE48" s="634">
        <f t="shared" ref="DE48:DJ48" si="77">DE46/DE$40</f>
        <v>3.3236466219718402E-2</v>
      </c>
      <c r="DF48" s="633">
        <f>DF46/DF$40</f>
        <v>3.1787225601692677E-2</v>
      </c>
      <c r="DG48" s="633">
        <f>DG46/DG$40</f>
        <v>3.3768654726555762E-2</v>
      </c>
      <c r="DH48" s="2764">
        <f>DH46/DH$40</f>
        <v>3.2226112636113531E-2</v>
      </c>
      <c r="DI48" s="2764">
        <f>DI46/DI$40</f>
        <v>3.0997998861186354E-2</v>
      </c>
      <c r="DJ48" s="634">
        <f t="shared" si="77"/>
        <v>3.2174647816932855E-2</v>
      </c>
      <c r="DK48" s="633">
        <f t="shared" ref="DK48:DT48" ca="1" si="78">DK46/DK$40</f>
        <v>2.1717233890165933E-2</v>
      </c>
      <c r="DL48" s="633">
        <f t="shared" ca="1" si="78"/>
        <v>2.6507251587736834E-2</v>
      </c>
      <c r="DM48" s="633">
        <f t="shared" ca="1" si="78"/>
        <v>3.076113313945554E-2</v>
      </c>
      <c r="DN48" s="633">
        <f t="shared" ca="1" si="78"/>
        <v>3.0314785432428978E-2</v>
      </c>
      <c r="DO48" s="634">
        <f t="shared" ca="1" si="78"/>
        <v>2.7452852761621464E-2</v>
      </c>
      <c r="DP48" s="633">
        <f t="shared" ca="1" si="78"/>
        <v>2.5574569809677285E-2</v>
      </c>
      <c r="DQ48" s="633">
        <f t="shared" ca="1" si="78"/>
        <v>3.0663101290467714E-2</v>
      </c>
      <c r="DR48" s="633">
        <f t="shared" ca="1" si="78"/>
        <v>3.5781740435337217E-2</v>
      </c>
      <c r="DS48" s="633">
        <f t="shared" ca="1" si="78"/>
        <v>3.5283232257506576E-2</v>
      </c>
      <c r="DT48" s="634">
        <f t="shared" ca="1" si="78"/>
        <v>3.1964060020473292E-2</v>
      </c>
      <c r="DU48" s="633">
        <f t="shared" ref="DU48:DY48" ca="1" si="79">DU46/DU$40</f>
        <v>2.5275578921527219E-2</v>
      </c>
      <c r="DV48" s="633">
        <f t="shared" ca="1" si="79"/>
        <v>3.0558834346820805E-2</v>
      </c>
      <c r="DW48" s="633">
        <f t="shared" ca="1" si="79"/>
        <v>3.58036821903727E-2</v>
      </c>
      <c r="DX48" s="633">
        <f t="shared" ca="1" si="79"/>
        <v>3.5322045500272486E-2</v>
      </c>
      <c r="DY48" s="634">
        <f t="shared" ca="1" si="79"/>
        <v>3.1876878552782657E-2</v>
      </c>
    </row>
    <row r="49" spans="1:129" outlineLevel="1" x14ac:dyDescent="0.2">
      <c r="A49" s="466"/>
      <c r="B49" s="635" t="s">
        <v>518</v>
      </c>
      <c r="C49" s="636"/>
      <c r="D49" s="628"/>
      <c r="E49" s="628"/>
      <c r="F49" s="628"/>
      <c r="G49" s="628"/>
      <c r="H49" s="628"/>
      <c r="I49" s="553">
        <f>SUM(E49:H49)</f>
        <v>0</v>
      </c>
      <c r="J49" s="628"/>
      <c r="K49" s="628"/>
      <c r="L49" s="628"/>
      <c r="M49" s="628"/>
      <c r="N49" s="553">
        <f>SUM(J49:M49)</f>
        <v>0</v>
      </c>
      <c r="O49" s="628"/>
      <c r="P49" s="628"/>
      <c r="Q49" s="628"/>
      <c r="R49" s="628"/>
      <c r="S49" s="553">
        <f>SUM(O49:R49)</f>
        <v>0</v>
      </c>
      <c r="T49" s="628"/>
      <c r="U49" s="628"/>
      <c r="V49" s="628"/>
      <c r="W49" s="628"/>
      <c r="X49" s="553">
        <f>SUM(T49:W49)</f>
        <v>0</v>
      </c>
      <c r="Y49" s="628"/>
      <c r="Z49" s="628"/>
      <c r="AA49" s="628"/>
      <c r="AB49" s="628"/>
      <c r="AC49" s="553">
        <f>SUM(Y49:AB49)</f>
        <v>0</v>
      </c>
      <c r="AD49" s="628"/>
      <c r="AE49" s="628"/>
      <c r="AF49" s="628"/>
      <c r="AG49" s="628"/>
      <c r="AH49" s="553">
        <f>SUM(AD49:AG49)</f>
        <v>0</v>
      </c>
      <c r="AI49" s="628"/>
      <c r="AJ49" s="628"/>
      <c r="AK49" s="628"/>
      <c r="AL49" s="628"/>
      <c r="AM49" s="553">
        <f>SUM(AI49:AL49)</f>
        <v>0</v>
      </c>
      <c r="AN49" s="628"/>
      <c r="AO49" s="628"/>
      <c r="AP49" s="628"/>
      <c r="AQ49" s="628"/>
      <c r="AR49" s="553">
        <f>SUM(AN49:AQ49)</f>
        <v>0</v>
      </c>
      <c r="AS49" s="628"/>
      <c r="AT49" s="628"/>
      <c r="AU49" s="628"/>
      <c r="AV49" s="628"/>
      <c r="AW49" s="553">
        <f>SUM(AS49:AV49)</f>
        <v>0</v>
      </c>
      <c r="AX49" s="628"/>
      <c r="AY49" s="628"/>
      <c r="AZ49" s="628"/>
      <c r="BA49" s="628"/>
      <c r="BB49" s="553">
        <f>SUM(AX49:BA49)</f>
        <v>0</v>
      </c>
      <c r="BC49" s="628"/>
      <c r="BD49" s="628"/>
      <c r="BE49" s="628"/>
      <c r="BF49" s="628"/>
      <c r="BG49" s="553">
        <f>SUM(BC49:BF49)</f>
        <v>0</v>
      </c>
      <c r="BH49" s="610">
        <v>0</v>
      </c>
      <c r="BI49" s="610">
        <v>0</v>
      </c>
      <c r="BJ49" s="610">
        <v>0</v>
      </c>
      <c r="BK49" s="610">
        <v>0</v>
      </c>
      <c r="BL49" s="553">
        <f>SUM(BH49:BK49)</f>
        <v>0</v>
      </c>
      <c r="BM49" s="610">
        <v>0</v>
      </c>
      <c r="BN49" s="610">
        <v>-0.1</v>
      </c>
      <c r="BO49" s="610">
        <v>-0.1</v>
      </c>
      <c r="BP49" s="610">
        <v>-0.3</v>
      </c>
      <c r="BQ49" s="553">
        <f>SUM(BM49:BP49)</f>
        <v>-0.5</v>
      </c>
      <c r="BR49" s="610">
        <v>-6</v>
      </c>
      <c r="BS49" s="610">
        <v>-10.1</v>
      </c>
      <c r="BT49" s="610">
        <v>-13.7</v>
      </c>
      <c r="BU49" s="610">
        <v>-18</v>
      </c>
      <c r="BV49" s="553">
        <f>SUM(BR49:BU49)</f>
        <v>-47.8</v>
      </c>
      <c r="BW49" s="610">
        <v>-23</v>
      </c>
      <c r="BX49" s="610">
        <v>-30</v>
      </c>
      <c r="BY49" s="610">
        <v>-39</v>
      </c>
      <c r="BZ49" s="637">
        <f>BZ46</f>
        <v>-43</v>
      </c>
      <c r="CA49" s="553">
        <f>SUM(BW49:BZ49)</f>
        <v>-135</v>
      </c>
      <c r="CB49" s="610">
        <v>-35</v>
      </c>
      <c r="CC49" s="610">
        <v>-42</v>
      </c>
      <c r="CD49" s="610">
        <f>CD46</f>
        <v>-42</v>
      </c>
      <c r="CE49" s="610">
        <f>CE46</f>
        <v>-67.900000000000006</v>
      </c>
      <c r="CF49" s="551">
        <f>SUM(CB49:CE49)</f>
        <v>-186.9</v>
      </c>
      <c r="CG49" s="610">
        <f>CG46</f>
        <v>-75</v>
      </c>
      <c r="CH49" s="610">
        <v>-97.3</v>
      </c>
      <c r="CI49" s="610">
        <f>CI46</f>
        <v>-106</v>
      </c>
      <c r="CJ49" s="610">
        <f>CJ46</f>
        <v>-132</v>
      </c>
      <c r="CK49" s="551">
        <f>SUM(CG49:CJ49)</f>
        <v>-410.3</v>
      </c>
      <c r="CL49" s="610">
        <f>CL46</f>
        <v>-138</v>
      </c>
      <c r="CM49" s="610">
        <v>-127.5</v>
      </c>
      <c r="CN49" s="610">
        <v>-143.5</v>
      </c>
      <c r="CO49" s="610">
        <v>-157.5</v>
      </c>
      <c r="CP49" s="551">
        <f>SUM(CL49:CO49)</f>
        <v>-566.5</v>
      </c>
      <c r="CQ49" s="610">
        <v>-176.1</v>
      </c>
      <c r="CR49" s="610">
        <f>CR46</f>
        <v>-170.1</v>
      </c>
      <c r="CS49" s="610">
        <f>CS46</f>
        <v>-171.6</v>
      </c>
      <c r="CT49" s="610">
        <f>CT46</f>
        <v>-162.6</v>
      </c>
      <c r="CU49" s="551">
        <f>SUM(CQ49:CT49)</f>
        <v>-680.4</v>
      </c>
      <c r="CV49" s="610">
        <v>-140</v>
      </c>
      <c r="CW49" s="610">
        <v>-144.1</v>
      </c>
      <c r="CX49" s="610">
        <v>-165.7</v>
      </c>
      <c r="CY49" s="610">
        <v>-177.3</v>
      </c>
      <c r="CZ49" s="551">
        <f>SUM(CV49:CY49)</f>
        <v>-627.1</v>
      </c>
      <c r="DA49" s="610">
        <v>-172.2</v>
      </c>
      <c r="DB49" s="610">
        <v>-173.5</v>
      </c>
      <c r="DC49" s="610">
        <v>-183.4</v>
      </c>
      <c r="DD49" s="610">
        <v>-192.2</v>
      </c>
      <c r="DE49" s="551">
        <f>SUM(DA49:DD49)</f>
        <v>-721.3</v>
      </c>
      <c r="DF49" s="610">
        <v>-175.7</v>
      </c>
      <c r="DG49" s="610">
        <v>-189.5723201399999</v>
      </c>
      <c r="DH49" s="2762">
        <v>-186.36596535000007</v>
      </c>
      <c r="DI49" s="2762">
        <v>-17.87857258103034</v>
      </c>
      <c r="DJ49" s="551">
        <f>SUM(DF49:DI49)</f>
        <v>-569.51685807103036</v>
      </c>
      <c r="DK49" s="610">
        <f ca="1">DK46*0.9</f>
        <v>-132.09507925191969</v>
      </c>
      <c r="DL49" s="610">
        <f ca="1">DL46*0.9</f>
        <v>-174.70067884284433</v>
      </c>
      <c r="DM49" s="610">
        <f ca="1">DM46*0.9</f>
        <v>-203.30439409000232</v>
      </c>
      <c r="DN49" s="610">
        <f ca="1">DN46*0.9</f>
        <v>-203.94842382290989</v>
      </c>
      <c r="DO49" s="551">
        <f ca="1">SUM(DK49:DN49)</f>
        <v>-714.04857600767627</v>
      </c>
      <c r="DP49" s="610">
        <f ca="1">DP46*0.9</f>
        <v>-143.93691474890781</v>
      </c>
      <c r="DQ49" s="610">
        <f ca="1">DQ46*0.9</f>
        <v>-186.77546435152752</v>
      </c>
      <c r="DR49" s="610">
        <f ca="1">DR46*0.9</f>
        <v>-218.33201450607334</v>
      </c>
      <c r="DS49" s="610">
        <f ca="1">DS46*0.9</f>
        <v>-218.8813991917049</v>
      </c>
      <c r="DT49" s="551">
        <f ca="1">SUM(DP49:DS49)</f>
        <v>-767.92579279821359</v>
      </c>
      <c r="DU49" s="610">
        <f ca="1">DU46*0.9</f>
        <v>-148.67573478172864</v>
      </c>
      <c r="DV49" s="610">
        <f ca="1">DV46*0.9</f>
        <v>-194.20155394629077</v>
      </c>
      <c r="DW49" s="610">
        <f ca="1">DW46*0.9</f>
        <v>-227.64372327510833</v>
      </c>
      <c r="DX49" s="610">
        <f ca="1">DX46*0.9</f>
        <v>-228.01068743138737</v>
      </c>
      <c r="DY49" s="551">
        <f ca="1">SUM(DU49:DX49)</f>
        <v>-798.53169943451508</v>
      </c>
    </row>
    <row r="50" spans="1:129" outlineLevel="1" x14ac:dyDescent="0.2">
      <c r="A50" s="526"/>
      <c r="B50" s="612" t="s">
        <v>736</v>
      </c>
      <c r="C50" s="613"/>
      <c r="D50" s="638"/>
      <c r="E50" s="628"/>
      <c r="F50" s="628"/>
      <c r="G50" s="628"/>
      <c r="H50" s="628"/>
      <c r="I50" s="615"/>
      <c r="J50" s="628"/>
      <c r="K50" s="628"/>
      <c r="L50" s="628"/>
      <c r="M50" s="628"/>
      <c r="N50" s="615"/>
      <c r="O50" s="628"/>
      <c r="P50" s="628"/>
      <c r="Q50" s="628"/>
      <c r="R50" s="628"/>
      <c r="S50" s="615"/>
      <c r="T50" s="628"/>
      <c r="U50" s="628"/>
      <c r="V50" s="628"/>
      <c r="W50" s="628"/>
      <c r="X50" s="615"/>
      <c r="Y50" s="628"/>
      <c r="Z50" s="628"/>
      <c r="AA50" s="628"/>
      <c r="AB50" s="628"/>
      <c r="AC50" s="615"/>
      <c r="AD50" s="628"/>
      <c r="AE50" s="628"/>
      <c r="AF50" s="628"/>
      <c r="AG50" s="628"/>
      <c r="AH50" s="615"/>
      <c r="AI50" s="628"/>
      <c r="AJ50" s="628"/>
      <c r="AK50" s="628"/>
      <c r="AL50" s="628"/>
      <c r="AM50" s="615"/>
      <c r="AN50" s="628"/>
      <c r="AO50" s="628"/>
      <c r="AP50" s="628"/>
      <c r="AQ50" s="628"/>
      <c r="AR50" s="615"/>
      <c r="AS50" s="628"/>
      <c r="AT50" s="628"/>
      <c r="AU50" s="628"/>
      <c r="AV50" s="628"/>
      <c r="AW50" s="615"/>
      <c r="AX50" s="628"/>
      <c r="AY50" s="628"/>
      <c r="AZ50" s="628"/>
      <c r="BA50" s="628"/>
      <c r="BB50" s="615"/>
      <c r="BC50" s="628"/>
      <c r="BD50" s="628"/>
      <c r="BE50" s="628"/>
      <c r="BF50" s="628"/>
      <c r="BG50" s="615"/>
      <c r="BH50" s="622">
        <f>BH49/BH$34</f>
        <v>0</v>
      </c>
      <c r="BI50" s="622">
        <f>BI49/BI$34</f>
        <v>0</v>
      </c>
      <c r="BJ50" s="622">
        <f>BJ49/BJ$34</f>
        <v>0</v>
      </c>
      <c r="BK50" s="622">
        <f>BK49/BK$34</f>
        <v>0</v>
      </c>
      <c r="BL50" s="616">
        <f>(BL49/BL34)</f>
        <v>0</v>
      </c>
      <c r="BM50" s="622">
        <f>BM49/BM$34</f>
        <v>0</v>
      </c>
      <c r="BN50" s="622">
        <f>BN49/BN$34</f>
        <v>-1.5186028853454822E-4</v>
      </c>
      <c r="BO50" s="622">
        <f>BO49/BO$34</f>
        <v>-1.417233560090703E-4</v>
      </c>
      <c r="BP50" s="622">
        <f>BP49/BP$34</f>
        <v>-3.7082818294190362E-4</v>
      </c>
      <c r="BQ50" s="616">
        <f>(BQ49/BQ34)</f>
        <v>-1.8145527127563056E-4</v>
      </c>
      <c r="BR50" s="622">
        <f>BR49/BR$34</f>
        <v>-1.1175265412553549E-2</v>
      </c>
      <c r="BS50" s="622">
        <f>BS49/BS$34</f>
        <v>-1.4492753623188406E-2</v>
      </c>
      <c r="BT50" s="622">
        <f>BT49/BT$34</f>
        <v>-1.7142142142142141E-2</v>
      </c>
      <c r="BU50" s="622">
        <f>BU49/BU$34</f>
        <v>-2.1608643457382955E-2</v>
      </c>
      <c r="BV50" s="616">
        <f>(BV49/BV34)</f>
        <v>-1.6677715362339068E-2</v>
      </c>
      <c r="BW50" s="622">
        <f>BW49/BW$34</f>
        <v>-4.2750929368029739E-2</v>
      </c>
      <c r="BX50" s="622">
        <f>BX49/BX$34</f>
        <v>-5.0761421319796954E-2</v>
      </c>
      <c r="BY50" s="622">
        <f>BY49/BY$34</f>
        <v>-5.98159509202454E-2</v>
      </c>
      <c r="BZ50" s="622">
        <f>BZ49/BZ$34</f>
        <v>-7.0723684210526314E-2</v>
      </c>
      <c r="CA50" s="616">
        <f>(CA49/CA34)</f>
        <v>-5.6508999581414816E-2</v>
      </c>
      <c r="CB50" s="622">
        <f>CB49/CB$34</f>
        <v>-8.8161209068010074E-2</v>
      </c>
      <c r="CC50" s="622">
        <f>CC49/CC$34</f>
        <v>-9.2511013215859028E-2</v>
      </c>
      <c r="CD50" s="629">
        <f>CD49/CD$34</f>
        <v>-6.3926940639269403E-2</v>
      </c>
      <c r="CE50" s="629">
        <f>CE49/CE$34</f>
        <v>-9.3732744340143573E-2</v>
      </c>
      <c r="CF50" s="619">
        <f>(CF49/CF34)</f>
        <v>-8.3721555276832102E-2</v>
      </c>
      <c r="CG50" s="629">
        <f>CG49/CG$34</f>
        <v>-0.2148997134670487</v>
      </c>
      <c r="CH50" s="629">
        <f>CH49/CH$34</f>
        <v>-0.19026202581149784</v>
      </c>
      <c r="CI50" s="629">
        <f>CI49/CI$34</f>
        <v>-0.13520408163265307</v>
      </c>
      <c r="CJ50" s="629">
        <f>CJ49/CJ$34</f>
        <v>-0.12753623188405797</v>
      </c>
      <c r="CK50" s="619">
        <f>(CK49/CK34)</f>
        <v>-0.15313129805180264</v>
      </c>
      <c r="CL50" s="629">
        <f>CL49/CL$34</f>
        <v>-0.27655310621242485</v>
      </c>
      <c r="CM50" s="629">
        <f>CM49/CM$34</f>
        <v>-0.18877702102457802</v>
      </c>
      <c r="CN50" s="629">
        <f>CN49/CN$34</f>
        <v>-0.14335664335664336</v>
      </c>
      <c r="CO50" s="629">
        <f>CO49/CO$34</f>
        <v>-0.1749222567747668</v>
      </c>
      <c r="CP50" s="619">
        <f ca="1">(CP49/CP34)</f>
        <v>-0.18417972559984397</v>
      </c>
      <c r="CQ50" s="629">
        <f>CQ49/CQ$34</f>
        <v>-0.27489853262566344</v>
      </c>
      <c r="CR50" s="629">
        <f>CR49/CR$34</f>
        <v>-0.19366958897870887</v>
      </c>
      <c r="CS50" s="629">
        <f>CS49/CS$34</f>
        <v>-0.15795287187039764</v>
      </c>
      <c r="CT50" s="629">
        <f>CT49/CT$34</f>
        <v>-0.17893694288544074</v>
      </c>
      <c r="CU50" s="619">
        <f>(CU49/CU34)</f>
        <v>-0.19362549800796813</v>
      </c>
      <c r="CV50" s="629">
        <f>CV49/CV$34</f>
        <v>-0.19073569482288824</v>
      </c>
      <c r="CW50" s="629">
        <f>CW49/CW$34</f>
        <v>-0.15321637426900583</v>
      </c>
      <c r="CX50" s="629">
        <f>CX49/CX$34</f>
        <v>-0.14255521442678418</v>
      </c>
      <c r="CY50" s="629">
        <f>CY49/CY$34</f>
        <v>-0.15386702182984491</v>
      </c>
      <c r="CZ50" s="619">
        <f>(CZ49/CZ34)</f>
        <v>-0.15720139541074982</v>
      </c>
      <c r="DA50" s="629">
        <f>DA49/DA$34</f>
        <v>-0.22007205378857489</v>
      </c>
      <c r="DB50" s="629">
        <f>DB49/DB$34</f>
        <v>-0.16698748796920115</v>
      </c>
      <c r="DC50" s="629">
        <f>DC49/DC$34</f>
        <v>-0.12594423842878724</v>
      </c>
      <c r="DD50" s="629">
        <f>DD49/DD$34</f>
        <v>-0.14717819128570334</v>
      </c>
      <c r="DE50" s="619">
        <f>(DE49/DE34)</f>
        <v>-0.15736638529216632</v>
      </c>
      <c r="DF50" s="629">
        <f>DF49/DF$34</f>
        <v>-0.22413573159841813</v>
      </c>
      <c r="DG50" s="629">
        <f>DG49/DG$34</f>
        <v>-0.16706822961135093</v>
      </c>
      <c r="DH50" s="629">
        <f>DH49/DH$34</f>
        <v>-0.13775118504291656</v>
      </c>
      <c r="DI50" s="629">
        <f>DI49/DI$34</f>
        <v>-1.2054935223710364E-2</v>
      </c>
      <c r="DJ50" s="619">
        <f>(DJ49/DJ34)</f>
        <v>-0.11978206250039779</v>
      </c>
      <c r="DK50" s="629">
        <f ca="1">DK49/DK$34</f>
        <v>-0.16553268381641698</v>
      </c>
      <c r="DL50" s="629">
        <f ca="1">DL49/DL$34</f>
        <v>-0.14441057626180626</v>
      </c>
      <c r="DM50" s="629">
        <f ca="1">DM49/DM$34</f>
        <v>-0.13821607729231306</v>
      </c>
      <c r="DN50" s="629">
        <f ca="1">DN49/DN$34</f>
        <v>-0.13950255794536295</v>
      </c>
      <c r="DO50" s="619">
        <f ca="1">(DO49/DO34)</f>
        <v>-0.14452563756230188</v>
      </c>
      <c r="DP50" s="629">
        <f ca="1">DP49/DP$34</f>
        <v>-0.16426162812225309</v>
      </c>
      <c r="DQ50" s="629">
        <f ca="1">DQ49/DQ$34</f>
        <v>-0.14658839372459936</v>
      </c>
      <c r="DR50" s="629">
        <f ca="1">DR49/DR$34</f>
        <v>-0.14101297625722026</v>
      </c>
      <c r="DS50" s="629">
        <f ca="1">DS49/DS$34</f>
        <v>-0.14175148536376767</v>
      </c>
      <c r="DT50" s="619">
        <f ca="1">(DT49/DT34)</f>
        <v>-0.14647113014116217</v>
      </c>
      <c r="DU50" s="629">
        <f ca="1">DU49/DU$34</f>
        <v>-0.15818307969216139</v>
      </c>
      <c r="DV50" s="629">
        <f ca="1">DV49/DV$34</f>
        <v>-0.14265415503579548</v>
      </c>
      <c r="DW50" s="629">
        <f ca="1">DW49/DW$34</f>
        <v>-0.13783003512307951</v>
      </c>
      <c r="DX50" s="629">
        <f ca="1">DX49/DX$34</f>
        <v>-0.13848420448945567</v>
      </c>
      <c r="DY50" s="619">
        <f ca="1">(DY49/DY34)</f>
        <v>-0.1426116898392096</v>
      </c>
    </row>
    <row r="51" spans="1:129" outlineLevel="1" x14ac:dyDescent="0.2">
      <c r="A51" s="526"/>
      <c r="B51" s="612" t="s">
        <v>735</v>
      </c>
      <c r="C51" s="613"/>
      <c r="D51" s="638"/>
      <c r="E51" s="628"/>
      <c r="F51" s="628"/>
      <c r="G51" s="628"/>
      <c r="H51" s="628"/>
      <c r="I51" s="615"/>
      <c r="J51" s="628"/>
      <c r="K51" s="628"/>
      <c r="L51" s="628"/>
      <c r="M51" s="628"/>
      <c r="N51" s="615"/>
      <c r="O51" s="628"/>
      <c r="P51" s="628"/>
      <c r="Q51" s="628"/>
      <c r="R51" s="628"/>
      <c r="S51" s="615"/>
      <c r="T51" s="628"/>
      <c r="U51" s="628"/>
      <c r="V51" s="628"/>
      <c r="W51" s="628"/>
      <c r="X51" s="615"/>
      <c r="Y51" s="628"/>
      <c r="Z51" s="628"/>
      <c r="AA51" s="628"/>
      <c r="AB51" s="628"/>
      <c r="AC51" s="615"/>
      <c r="AD51" s="628"/>
      <c r="AE51" s="628"/>
      <c r="AF51" s="628"/>
      <c r="AG51" s="628"/>
      <c r="AH51" s="615"/>
      <c r="AI51" s="628"/>
      <c r="AJ51" s="628"/>
      <c r="AK51" s="628"/>
      <c r="AL51" s="628"/>
      <c r="AM51" s="615"/>
      <c r="AN51" s="628"/>
      <c r="AO51" s="628"/>
      <c r="AP51" s="628"/>
      <c r="AQ51" s="628"/>
      <c r="AR51" s="615"/>
      <c r="AS51" s="628"/>
      <c r="AT51" s="628"/>
      <c r="AU51" s="628"/>
      <c r="AV51" s="628"/>
      <c r="AW51" s="615"/>
      <c r="AX51" s="628"/>
      <c r="AY51" s="628"/>
      <c r="AZ51" s="628"/>
      <c r="BA51" s="628"/>
      <c r="BB51" s="615"/>
      <c r="BC51" s="628"/>
      <c r="BD51" s="628"/>
      <c r="BE51" s="628"/>
      <c r="BF51" s="628"/>
      <c r="BG51" s="615"/>
      <c r="BH51" s="630"/>
      <c r="BI51" s="630"/>
      <c r="BJ51" s="630"/>
      <c r="BK51" s="630"/>
      <c r="BL51" s="619"/>
      <c r="BM51" s="631">
        <f t="shared" ref="BM51:CZ51" si="80">BM49/BM$40</f>
        <v>0</v>
      </c>
      <c r="BN51" s="631">
        <f t="shared" si="80"/>
        <v>7.7681970014759587E-5</v>
      </c>
      <c r="BO51" s="631">
        <f t="shared" si="80"/>
        <v>8.0515297906602257E-5</v>
      </c>
      <c r="BP51" s="631">
        <f t="shared" si="80"/>
        <v>2.0358306188925082E-4</v>
      </c>
      <c r="BQ51" s="632">
        <f t="shared" si="80"/>
        <v>9.4568013315176279E-5</v>
      </c>
      <c r="BR51" s="631">
        <f t="shared" si="80"/>
        <v>3.6634509708145073E-3</v>
      </c>
      <c r="BS51" s="631">
        <f t="shared" si="80"/>
        <v>5.222337125129266E-3</v>
      </c>
      <c r="BT51" s="631">
        <f t="shared" si="80"/>
        <v>6.8713010332029289E-3</v>
      </c>
      <c r="BU51" s="631">
        <f t="shared" si="80"/>
        <v>8.4705882352941169E-3</v>
      </c>
      <c r="BV51" s="632">
        <f t="shared" si="80"/>
        <v>6.2153798143187782E-3</v>
      </c>
      <c r="BW51" s="631">
        <f t="shared" si="80"/>
        <v>1.1197663096397274E-2</v>
      </c>
      <c r="BX51" s="631">
        <f t="shared" si="80"/>
        <v>1.3992537313432836E-2</v>
      </c>
      <c r="BY51" s="631">
        <f t="shared" si="80"/>
        <v>1.7647058823529412E-2</v>
      </c>
      <c r="BZ51" s="631">
        <f t="shared" si="80"/>
        <v>1.8671298306556665E-2</v>
      </c>
      <c r="CA51" s="632">
        <f t="shared" si="80"/>
        <v>1.5497646653656296E-2</v>
      </c>
      <c r="CB51" s="631">
        <f t="shared" si="80"/>
        <v>1.2862918044836457E-2</v>
      </c>
      <c r="CC51" s="631">
        <f t="shared" si="80"/>
        <v>1.507537688442211E-2</v>
      </c>
      <c r="CD51" s="633">
        <f t="shared" si="80"/>
        <v>1.4909478168264111E-2</v>
      </c>
      <c r="CE51" s="633">
        <f t="shared" si="80"/>
        <v>2.2269596589045589E-2</v>
      </c>
      <c r="CF51" s="634">
        <f t="shared" si="80"/>
        <v>1.6433658665259827E-2</v>
      </c>
      <c r="CG51" s="633">
        <f t="shared" si="80"/>
        <v>2.127056154282473E-2</v>
      </c>
      <c r="CH51" s="633">
        <f t="shared" si="80"/>
        <v>2.7376062123684656E-2</v>
      </c>
      <c r="CI51" s="633">
        <f t="shared" si="80"/>
        <v>3.1585220500595951E-2</v>
      </c>
      <c r="CJ51" s="633">
        <f t="shared" si="80"/>
        <v>3.7414965986394558E-2</v>
      </c>
      <c r="CK51" s="634">
        <f t="shared" si="80"/>
        <v>2.938227753827645E-2</v>
      </c>
      <c r="CL51" s="633">
        <f t="shared" si="80"/>
        <v>3.8343984440122256E-2</v>
      </c>
      <c r="CM51" s="633">
        <f>CM49/CM$40</f>
        <v>3.4543484150636683E-2</v>
      </c>
      <c r="CN51" s="633">
        <f>CN49/CN$40</f>
        <v>3.7778070290904305E-2</v>
      </c>
      <c r="CO51" s="633">
        <f>CO49/CO$40</f>
        <v>3.960171984611903E-2</v>
      </c>
      <c r="CP51" s="634">
        <f t="shared" si="80"/>
        <v>3.7602219626168221E-2</v>
      </c>
      <c r="CQ51" s="633">
        <f>CQ49/CQ$40</f>
        <v>4.4179628700451577E-2</v>
      </c>
      <c r="CR51" s="633">
        <f t="shared" si="80"/>
        <v>4.1436262210421175E-2</v>
      </c>
      <c r="CS51" s="633">
        <f t="shared" si="80"/>
        <v>4.0259009009009014E-2</v>
      </c>
      <c r="CT51" s="633">
        <f t="shared" si="80"/>
        <v>3.5997343369493028E-2</v>
      </c>
      <c r="CU51" s="634">
        <f t="shared" si="80"/>
        <v>4.0330754867964787E-2</v>
      </c>
      <c r="CV51" s="633">
        <f t="shared" si="80"/>
        <v>3.1124252462150684E-2</v>
      </c>
      <c r="CW51" s="633">
        <f>CW49/CW$40</f>
        <v>3.1917956896360775E-2</v>
      </c>
      <c r="CX51" s="633">
        <f>CX49/CX$40</f>
        <v>3.4546743390876489E-2</v>
      </c>
      <c r="CY51" s="633">
        <f>CY49/CY$40</f>
        <v>3.3636881047239615E-2</v>
      </c>
      <c r="CZ51" s="634">
        <f t="shared" si="80"/>
        <v>3.2866531797360619E-2</v>
      </c>
      <c r="DA51" s="633">
        <f>DA49/DA$40</f>
        <v>3.0413281525962555E-2</v>
      </c>
      <c r="DB51" s="633">
        <f>DB49/DB$40</f>
        <v>3.0001210423475297E-2</v>
      </c>
      <c r="DC51" s="633">
        <f>DC49/DC$40</f>
        <v>3.0788342734354015E-2</v>
      </c>
      <c r="DD51" s="633">
        <f>DD49/DD$40</f>
        <v>3.1325890310488144E-2</v>
      </c>
      <c r="DE51" s="634">
        <f t="shared" ref="DE51:DJ51" si="81">DE49/DE$40</f>
        <v>3.0644846074757617E-2</v>
      </c>
      <c r="DF51" s="633">
        <f>DF49/DF$40</f>
        <v>2.9043242528431629E-2</v>
      </c>
      <c r="DG51" s="633">
        <f>DG49/DG$40</f>
        <v>3.0601445788791013E-2</v>
      </c>
      <c r="DH51" s="633">
        <f>DH49/DH$40</f>
        <v>2.954516637904761E-2</v>
      </c>
      <c r="DI51" s="633">
        <f>DI49/DI$40</f>
        <v>2.6779490266937403E-3</v>
      </c>
      <c r="DJ51" s="634">
        <f t="shared" si="81"/>
        <v>2.2574315974005461E-2</v>
      </c>
      <c r="DK51" s="633">
        <f t="shared" ref="DK51:DT51" ca="1" si="82">DK49/DK$40</f>
        <v>1.9545510501149339E-2</v>
      </c>
      <c r="DL51" s="633">
        <f t="shared" ca="1" si="82"/>
        <v>2.3856526428963153E-2</v>
      </c>
      <c r="DM51" s="633">
        <f t="shared" ca="1" si="82"/>
        <v>2.7685019825509985E-2</v>
      </c>
      <c r="DN51" s="633">
        <f t="shared" ca="1" si="82"/>
        <v>2.7283306889186079E-2</v>
      </c>
      <c r="DO51" s="634">
        <f t="shared" ca="1" si="82"/>
        <v>2.4707567485459322E-2</v>
      </c>
      <c r="DP51" s="633">
        <f t="shared" ca="1" si="82"/>
        <v>2.3017112828709559E-2</v>
      </c>
      <c r="DQ51" s="633">
        <f t="shared" ca="1" si="82"/>
        <v>2.7596791161420945E-2</v>
      </c>
      <c r="DR51" s="633">
        <f t="shared" ca="1" si="82"/>
        <v>3.2203566391803495E-2</v>
      </c>
      <c r="DS51" s="633">
        <f t="shared" ca="1" si="82"/>
        <v>3.1754909031755922E-2</v>
      </c>
      <c r="DT51" s="634">
        <f t="shared" ca="1" si="82"/>
        <v>2.8767654018425973E-2</v>
      </c>
      <c r="DU51" s="633">
        <f t="shared" ref="DU51:DY51" ca="1" si="83">DU49/DU$40</f>
        <v>2.2748021029374496E-2</v>
      </c>
      <c r="DV51" s="633">
        <f t="shared" ca="1" si="83"/>
        <v>2.7502950912138727E-2</v>
      </c>
      <c r="DW51" s="633">
        <f t="shared" ca="1" si="83"/>
        <v>3.2223313971335425E-2</v>
      </c>
      <c r="DX51" s="633">
        <f t="shared" ca="1" si="83"/>
        <v>3.1789840950245236E-2</v>
      </c>
      <c r="DY51" s="634">
        <f t="shared" ca="1" si="83"/>
        <v>2.8689190697504391E-2</v>
      </c>
    </row>
    <row r="52" spans="1:129" outlineLevel="1" x14ac:dyDescent="0.2">
      <c r="A52" s="473"/>
      <c r="B52" s="639"/>
      <c r="C52" s="469"/>
      <c r="D52" s="469"/>
      <c r="E52" s="469"/>
      <c r="F52" s="469"/>
      <c r="G52" s="469"/>
      <c r="H52" s="469"/>
      <c r="I52" s="580"/>
      <c r="J52" s="469"/>
      <c r="K52" s="469"/>
      <c r="L52" s="469"/>
      <c r="M52" s="469"/>
      <c r="N52" s="580"/>
      <c r="O52" s="469"/>
      <c r="P52" s="469"/>
      <c r="Q52" s="469"/>
      <c r="R52" s="469"/>
      <c r="S52" s="580"/>
      <c r="T52" s="469"/>
      <c r="U52" s="469"/>
      <c r="V52" s="469"/>
      <c r="W52" s="469"/>
      <c r="X52" s="580"/>
      <c r="Y52" s="469"/>
      <c r="Z52" s="469"/>
      <c r="AA52" s="469"/>
      <c r="AB52" s="469"/>
      <c r="AC52" s="580"/>
      <c r="AD52" s="469"/>
      <c r="AE52" s="469"/>
      <c r="AF52" s="469"/>
      <c r="AG52" s="469"/>
      <c r="AH52" s="580"/>
      <c r="AI52" s="469"/>
      <c r="AJ52" s="469"/>
      <c r="AK52" s="469"/>
      <c r="AL52" s="469"/>
      <c r="AM52" s="580"/>
      <c r="AN52" s="469"/>
      <c r="AO52" s="469"/>
      <c r="AP52" s="469"/>
      <c r="AQ52" s="469"/>
      <c r="AR52" s="580"/>
      <c r="AS52" s="469"/>
      <c r="AT52" s="469"/>
      <c r="AU52" s="469"/>
      <c r="AV52" s="469"/>
      <c r="AW52" s="580"/>
      <c r="AX52" s="469"/>
      <c r="AY52" s="469"/>
      <c r="AZ52" s="469"/>
      <c r="BA52" s="469"/>
      <c r="BB52" s="580"/>
      <c r="BC52" s="469"/>
      <c r="BD52" s="469"/>
      <c r="BE52" s="469"/>
      <c r="BF52" s="469"/>
      <c r="BG52" s="580"/>
      <c r="BH52" s="469"/>
      <c r="BI52" s="469"/>
      <c r="BJ52" s="469"/>
      <c r="BK52" s="469"/>
      <c r="BL52" s="580"/>
      <c r="BM52" s="469"/>
      <c r="BN52" s="469"/>
      <c r="BO52" s="469"/>
      <c r="BP52" s="469"/>
      <c r="BQ52" s="580"/>
      <c r="BR52" s="469"/>
      <c r="BS52" s="469"/>
      <c r="BT52" s="469"/>
      <c r="BU52" s="469"/>
      <c r="BV52" s="580"/>
      <c r="BW52" s="469"/>
      <c r="BX52" s="469"/>
      <c r="BY52" s="469"/>
      <c r="BZ52" s="469"/>
      <c r="CA52" s="580"/>
      <c r="CB52" s="469"/>
      <c r="CC52" s="469"/>
      <c r="CD52" s="469"/>
      <c r="CE52" s="469"/>
      <c r="CF52" s="580"/>
      <c r="CG52" s="469"/>
      <c r="CH52" s="469"/>
      <c r="CI52" s="469"/>
      <c r="CJ52" s="469"/>
      <c r="CK52" s="580"/>
      <c r="CL52" s="469"/>
      <c r="CM52" s="469"/>
      <c r="CN52" s="469"/>
      <c r="CO52" s="469"/>
      <c r="CP52" s="580"/>
      <c r="CQ52" s="469"/>
      <c r="CR52" s="469"/>
      <c r="CS52" s="469"/>
      <c r="CT52" s="469"/>
      <c r="CU52" s="580"/>
      <c r="CV52" s="469">
        <f>CV49/CV46</f>
        <v>0.89399744572158368</v>
      </c>
      <c r="CW52" s="469">
        <f>CW49/CW46</f>
        <v>0.89893948845913907</v>
      </c>
      <c r="CX52" s="469">
        <f>CX49/CX46</f>
        <v>0.91698948533480906</v>
      </c>
      <c r="CY52" s="469">
        <f>CY49/CY46</f>
        <v>0.91533298915849248</v>
      </c>
      <c r="CZ52" s="580"/>
      <c r="DA52" s="469"/>
      <c r="DB52" s="469"/>
      <c r="DC52" s="469"/>
      <c r="DD52" s="469"/>
      <c r="DE52" s="580"/>
      <c r="DF52" s="469"/>
      <c r="DG52" s="469"/>
      <c r="DH52" s="469"/>
      <c r="DI52" s="469"/>
      <c r="DJ52" s="580"/>
      <c r="DK52" s="469"/>
      <c r="DL52" s="469"/>
      <c r="DM52" s="469"/>
      <c r="DN52" s="469"/>
      <c r="DO52" s="580"/>
      <c r="DP52" s="469"/>
      <c r="DQ52" s="469"/>
      <c r="DR52" s="469"/>
      <c r="DS52" s="469"/>
      <c r="DT52" s="580"/>
      <c r="DU52" s="469"/>
      <c r="DV52" s="469"/>
      <c r="DW52" s="469"/>
      <c r="DX52" s="469"/>
      <c r="DY52" s="580"/>
    </row>
    <row r="53" spans="1:129" outlineLevel="1" x14ac:dyDescent="0.2">
      <c r="A53" s="473"/>
      <c r="B53" s="537" t="s">
        <v>737</v>
      </c>
      <c r="C53" s="469"/>
      <c r="D53" s="469"/>
      <c r="E53" s="469"/>
      <c r="F53" s="469"/>
      <c r="G53" s="469"/>
      <c r="H53" s="469"/>
      <c r="I53" s="580"/>
      <c r="J53" s="469"/>
      <c r="K53" s="469"/>
      <c r="L53" s="469"/>
      <c r="M53" s="469"/>
      <c r="N53" s="580"/>
      <c r="O53" s="469"/>
      <c r="P53" s="469"/>
      <c r="Q53" s="469"/>
      <c r="R53" s="469"/>
      <c r="S53" s="580"/>
      <c r="T53" s="469"/>
      <c r="U53" s="469"/>
      <c r="V53" s="469"/>
      <c r="W53" s="469"/>
      <c r="X53" s="580"/>
      <c r="Y53" s="469"/>
      <c r="Z53" s="469"/>
      <c r="AA53" s="469"/>
      <c r="AB53" s="469"/>
      <c r="AC53" s="580"/>
      <c r="AD53" s="469"/>
      <c r="AE53" s="469"/>
      <c r="AF53" s="469"/>
      <c r="AG53" s="469"/>
      <c r="AH53" s="580"/>
      <c r="AI53" s="469"/>
      <c r="AJ53" s="469"/>
      <c r="AK53" s="469"/>
      <c r="AL53" s="469"/>
      <c r="AM53" s="580"/>
      <c r="AN53" s="469"/>
      <c r="AO53" s="469"/>
      <c r="AP53" s="469"/>
      <c r="AQ53" s="469"/>
      <c r="AR53" s="580"/>
      <c r="AS53" s="469"/>
      <c r="AT53" s="469"/>
      <c r="AU53" s="469"/>
      <c r="AV53" s="469"/>
      <c r="AW53" s="580"/>
      <c r="AX53" s="469"/>
      <c r="AY53" s="469"/>
      <c r="AZ53" s="469"/>
      <c r="BA53" s="469"/>
      <c r="BB53" s="580"/>
      <c r="BC53" s="469"/>
      <c r="BD53" s="469"/>
      <c r="BE53" s="469"/>
      <c r="BF53" s="469"/>
      <c r="BG53" s="580"/>
      <c r="BH53" s="469"/>
      <c r="BI53" s="469"/>
      <c r="BJ53" s="469"/>
      <c r="BK53" s="469"/>
      <c r="BL53" s="580"/>
      <c r="BM53" s="469"/>
      <c r="BN53" s="469"/>
      <c r="BO53" s="469"/>
      <c r="BP53" s="469"/>
      <c r="BQ53" s="580"/>
      <c r="BR53" s="469"/>
      <c r="BS53" s="469"/>
      <c r="BT53" s="469"/>
      <c r="BU53" s="469"/>
      <c r="BV53" s="580"/>
      <c r="BW53" s="469"/>
      <c r="BX53" s="469"/>
      <c r="BY53" s="469"/>
      <c r="BZ53" s="469"/>
      <c r="CA53" s="580"/>
      <c r="CB53" s="469"/>
      <c r="CC53" s="469"/>
      <c r="CD53" s="469"/>
      <c r="CE53" s="469"/>
      <c r="CF53" s="580"/>
      <c r="CG53" s="469"/>
      <c r="CH53" s="469"/>
      <c r="CI53" s="469"/>
      <c r="CJ53" s="469"/>
      <c r="CK53" s="580"/>
      <c r="CL53" s="469"/>
      <c r="CM53" s="469"/>
      <c r="CN53" s="469"/>
      <c r="CO53" s="469"/>
      <c r="CP53" s="580"/>
      <c r="CQ53" s="469"/>
      <c r="CR53" s="469"/>
      <c r="CS53" s="469"/>
      <c r="CT53" s="469"/>
      <c r="CU53" s="580"/>
      <c r="CV53" s="469"/>
      <c r="CW53" s="469"/>
      <c r="CX53" s="469"/>
      <c r="CY53" s="469"/>
      <c r="CZ53" s="580"/>
      <c r="DA53" s="469"/>
      <c r="DB53" s="469"/>
      <c r="DC53" s="469"/>
      <c r="DD53" s="469"/>
      <c r="DE53" s="580"/>
      <c r="DF53" s="469"/>
      <c r="DG53" s="469"/>
      <c r="DH53" s="469"/>
      <c r="DI53" s="469"/>
      <c r="DJ53" s="580"/>
      <c r="DK53" s="469"/>
      <c r="DL53" s="469"/>
      <c r="DM53" s="469"/>
      <c r="DN53" s="469"/>
      <c r="DO53" s="580"/>
      <c r="DP53" s="469"/>
      <c r="DQ53" s="469"/>
      <c r="DR53" s="469"/>
      <c r="DS53" s="469"/>
      <c r="DT53" s="580"/>
      <c r="DU53" s="469"/>
      <c r="DV53" s="469"/>
      <c r="DW53" s="469"/>
      <c r="DX53" s="469"/>
      <c r="DY53" s="580"/>
    </row>
    <row r="54" spans="1:129" outlineLevel="1" x14ac:dyDescent="0.2">
      <c r="A54" s="473"/>
      <c r="B54" s="579"/>
      <c r="C54" s="469"/>
      <c r="D54" s="469"/>
      <c r="E54" s="469"/>
      <c r="F54" s="469"/>
      <c r="G54" s="469"/>
      <c r="H54" s="469"/>
      <c r="I54" s="580"/>
      <c r="J54" s="469"/>
      <c r="K54" s="469"/>
      <c r="L54" s="469"/>
      <c r="M54" s="469"/>
      <c r="N54" s="580"/>
      <c r="O54" s="469"/>
      <c r="P54" s="469"/>
      <c r="Q54" s="469"/>
      <c r="R54" s="469"/>
      <c r="S54" s="580"/>
      <c r="T54" s="469"/>
      <c r="U54" s="469"/>
      <c r="V54" s="469"/>
      <c r="W54" s="469"/>
      <c r="X54" s="580"/>
      <c r="Y54" s="469"/>
      <c r="Z54" s="469"/>
      <c r="AA54" s="469"/>
      <c r="AB54" s="469"/>
      <c r="AC54" s="580"/>
      <c r="AD54" s="469"/>
      <c r="AE54" s="469"/>
      <c r="AF54" s="469"/>
      <c r="AG54" s="469"/>
      <c r="AH54" s="580"/>
      <c r="AI54" s="469"/>
      <c r="AJ54" s="469"/>
      <c r="AK54" s="469"/>
      <c r="AL54" s="469"/>
      <c r="AM54" s="580"/>
      <c r="AN54" s="469"/>
      <c r="AO54" s="469"/>
      <c r="AP54" s="469"/>
      <c r="AQ54" s="469"/>
      <c r="AR54" s="580"/>
      <c r="AS54" s="469"/>
      <c r="AT54" s="469"/>
      <c r="AU54" s="469"/>
      <c r="AV54" s="469"/>
      <c r="AW54" s="580"/>
      <c r="AX54" s="469"/>
      <c r="AY54" s="469"/>
      <c r="AZ54" s="469"/>
      <c r="BA54" s="469"/>
      <c r="BB54" s="580"/>
      <c r="BC54" s="469"/>
      <c r="BD54" s="469"/>
      <c r="BE54" s="469"/>
      <c r="BF54" s="469"/>
      <c r="BG54" s="580"/>
      <c r="BH54" s="469"/>
      <c r="BI54" s="469"/>
      <c r="BJ54" s="469"/>
      <c r="BK54" s="469"/>
      <c r="BL54" s="580"/>
      <c r="BM54" s="469"/>
      <c r="BN54" s="469"/>
      <c r="BO54" s="469"/>
      <c r="BP54" s="469"/>
      <c r="BQ54" s="580"/>
      <c r="BR54" s="469"/>
      <c r="BS54" s="469"/>
      <c r="BT54" s="469"/>
      <c r="BU54" s="469"/>
      <c r="BV54" s="580"/>
      <c r="BW54" s="469"/>
      <c r="BX54" s="469"/>
      <c r="BY54" s="469"/>
      <c r="BZ54" s="469"/>
      <c r="CA54" s="580"/>
      <c r="CB54" s="469"/>
      <c r="CC54" s="469"/>
      <c r="CD54" s="469"/>
      <c r="CE54" s="469"/>
      <c r="CF54" s="580"/>
      <c r="CG54" s="469"/>
      <c r="CH54" s="469"/>
      <c r="CI54" s="469"/>
      <c r="CJ54" s="469"/>
      <c r="CK54" s="580"/>
      <c r="CL54" s="469"/>
      <c r="CM54" s="469"/>
      <c r="CN54" s="469"/>
      <c r="CO54" s="469"/>
      <c r="CP54" s="580"/>
      <c r="CQ54" s="469"/>
      <c r="CR54" s="469"/>
      <c r="CS54" s="469"/>
      <c r="CT54" s="469"/>
      <c r="CU54" s="580"/>
      <c r="CV54" s="469"/>
      <c r="CW54" s="469"/>
      <c r="CX54" s="469"/>
      <c r="CY54" s="469"/>
      <c r="CZ54" s="580"/>
      <c r="DA54" s="469"/>
      <c r="DB54" s="469"/>
      <c r="DC54" s="469"/>
      <c r="DD54" s="469"/>
      <c r="DE54" s="580"/>
      <c r="DF54" s="469"/>
      <c r="DG54" s="469"/>
      <c r="DH54" s="469"/>
      <c r="DI54" s="469"/>
      <c r="DJ54" s="580"/>
      <c r="DK54" s="469"/>
      <c r="DL54" s="469"/>
      <c r="DM54" s="469"/>
      <c r="DN54" s="469"/>
      <c r="DO54" s="580"/>
      <c r="DP54" s="469"/>
      <c r="DQ54" s="469"/>
      <c r="DR54" s="469"/>
      <c r="DS54" s="469"/>
      <c r="DT54" s="580"/>
      <c r="DU54" s="469"/>
      <c r="DV54" s="469"/>
      <c r="DW54" s="469"/>
      <c r="DX54" s="469"/>
      <c r="DY54" s="580"/>
    </row>
    <row r="55" spans="1:129" outlineLevel="1" x14ac:dyDescent="0.2">
      <c r="A55" s="466"/>
      <c r="B55" s="584" t="s">
        <v>520</v>
      </c>
      <c r="C55" s="640"/>
      <c r="D55" s="585"/>
      <c r="E55" s="585"/>
      <c r="F55" s="585"/>
      <c r="G55" s="585"/>
      <c r="H55" s="585"/>
      <c r="I55" s="586"/>
      <c r="J55" s="585"/>
      <c r="K55" s="585"/>
      <c r="L55" s="585"/>
      <c r="M55" s="585"/>
      <c r="N55" s="586"/>
      <c r="O55" s="585"/>
      <c r="P55" s="585"/>
      <c r="Q55" s="585"/>
      <c r="R55" s="585"/>
      <c r="S55" s="586"/>
      <c r="T55" s="585"/>
      <c r="U55" s="585"/>
      <c r="V55" s="585"/>
      <c r="W55" s="585"/>
      <c r="X55" s="586"/>
      <c r="Y55" s="585"/>
      <c r="Z55" s="585"/>
      <c r="AA55" s="585"/>
      <c r="AB55" s="585"/>
      <c r="AC55" s="586"/>
      <c r="AD55" s="585"/>
      <c r="AE55" s="585"/>
      <c r="AF55" s="585"/>
      <c r="AG55" s="585"/>
      <c r="AH55" s="586"/>
      <c r="AI55" s="585"/>
      <c r="AJ55" s="585"/>
      <c r="AK55" s="585"/>
      <c r="AL55" s="585"/>
      <c r="AM55" s="586"/>
      <c r="AN55" s="585"/>
      <c r="AO55" s="585"/>
      <c r="AP55" s="585"/>
      <c r="AQ55" s="585"/>
      <c r="AR55" s="586"/>
      <c r="AS55" s="585"/>
      <c r="AT55" s="585"/>
      <c r="AU55" s="585"/>
      <c r="AV55" s="585"/>
      <c r="AW55" s="586"/>
      <c r="AX55" s="585"/>
      <c r="AY55" s="585"/>
      <c r="AZ55" s="588">
        <f t="shared" ref="AZ55:CE55" si="84">AZ14+AZ40</f>
        <v>728.5</v>
      </c>
      <c r="BA55" s="588">
        <f t="shared" si="84"/>
        <v>800.7</v>
      </c>
      <c r="BB55" s="553">
        <f t="shared" si="84"/>
        <v>2911.6</v>
      </c>
      <c r="BC55" s="588">
        <f t="shared" si="84"/>
        <v>848.4</v>
      </c>
      <c r="BD55" s="588">
        <f t="shared" si="84"/>
        <v>823.9</v>
      </c>
      <c r="BE55" s="588">
        <f t="shared" si="84"/>
        <v>892.2</v>
      </c>
      <c r="BF55" s="588">
        <f t="shared" si="84"/>
        <v>971.3</v>
      </c>
      <c r="BG55" s="553">
        <f t="shared" si="84"/>
        <v>3535.7999999999993</v>
      </c>
      <c r="BH55" s="588">
        <f t="shared" si="84"/>
        <v>1945.4</v>
      </c>
      <c r="BI55" s="588">
        <f t="shared" si="84"/>
        <v>9453.6</v>
      </c>
      <c r="BJ55" s="588">
        <f t="shared" si="84"/>
        <v>9536.1</v>
      </c>
      <c r="BK55" s="588">
        <f t="shared" si="84"/>
        <v>10303.899999999998</v>
      </c>
      <c r="BL55" s="553">
        <f t="shared" si="84"/>
        <v>31242.999999999993</v>
      </c>
      <c r="BM55" s="588">
        <f t="shared" si="84"/>
        <v>9480.4</v>
      </c>
      <c r="BN55" s="588">
        <f t="shared" si="84"/>
        <v>9369.5000000000018</v>
      </c>
      <c r="BO55" s="588">
        <f t="shared" si="84"/>
        <v>9321.3999999999978</v>
      </c>
      <c r="BP55" s="588">
        <f t="shared" si="84"/>
        <v>10310.700000000001</v>
      </c>
      <c r="BQ55" s="553">
        <f t="shared" si="84"/>
        <v>38482</v>
      </c>
      <c r="BR55" s="588">
        <f t="shared" si="84"/>
        <v>9897.0000000000018</v>
      </c>
      <c r="BS55" s="588">
        <f t="shared" si="84"/>
        <v>11073.899999999998</v>
      </c>
      <c r="BT55" s="588">
        <f t="shared" si="84"/>
        <v>11036.500000000002</v>
      </c>
      <c r="BU55" s="588">
        <f t="shared" si="84"/>
        <v>11367</v>
      </c>
      <c r="BV55" s="553">
        <f t="shared" si="84"/>
        <v>43374.400000000001</v>
      </c>
      <c r="BW55" s="588">
        <f t="shared" si="84"/>
        <v>9782</v>
      </c>
      <c r="BX55" s="588">
        <f t="shared" si="84"/>
        <v>9696</v>
      </c>
      <c r="BY55" s="588">
        <f t="shared" si="84"/>
        <v>9716</v>
      </c>
      <c r="BZ55" s="588">
        <f t="shared" si="84"/>
        <v>9874</v>
      </c>
      <c r="CA55" s="553">
        <f t="shared" si="84"/>
        <v>39068</v>
      </c>
      <c r="CB55" s="588">
        <f t="shared" si="84"/>
        <v>11293</v>
      </c>
      <c r="CC55" s="588">
        <f t="shared" si="84"/>
        <v>11803</v>
      </c>
      <c r="CD55" s="587">
        <f t="shared" si="84"/>
        <v>11981</v>
      </c>
      <c r="CE55" s="587">
        <f t="shared" si="84"/>
        <v>12824.3</v>
      </c>
      <c r="CF55" s="551">
        <f t="shared" ref="CF55:CZ55" si="85">CF14+CF40</f>
        <v>47901.3</v>
      </c>
      <c r="CG55" s="587">
        <f t="shared" si="85"/>
        <v>14774</v>
      </c>
      <c r="CH55" s="587">
        <f t="shared" si="85"/>
        <v>14868.400000000001</v>
      </c>
      <c r="CI55" s="587">
        <f t="shared" si="85"/>
        <v>14723.399999999998</v>
      </c>
      <c r="CJ55" s="587">
        <f t="shared" si="85"/>
        <v>15114</v>
      </c>
      <c r="CK55" s="551">
        <f t="shared" si="85"/>
        <v>59479.8</v>
      </c>
      <c r="CL55" s="587">
        <f t="shared" si="85"/>
        <v>14712</v>
      </c>
      <c r="CM55" s="587">
        <f t="shared" si="85"/>
        <v>15108.8</v>
      </c>
      <c r="CN55" s="587">
        <f>CN14+CN40</f>
        <v>15684.100000000002</v>
      </c>
      <c r="CO55" s="587">
        <f>CO14+CO40</f>
        <v>15637.9</v>
      </c>
      <c r="CP55" s="551">
        <f t="shared" si="85"/>
        <v>61142.799999999996</v>
      </c>
      <c r="CQ55" s="587">
        <f>CQ14+CQ40</f>
        <v>16209.099999999999</v>
      </c>
      <c r="CR55" s="587">
        <f>CR14+CR40</f>
        <v>17731.200000000004</v>
      </c>
      <c r="CS55" s="587">
        <f>CS14+CS40</f>
        <v>18271.599999999999</v>
      </c>
      <c r="CT55" s="587">
        <f>CT14+CT40</f>
        <v>19357.300000000003</v>
      </c>
      <c r="CU55" s="551">
        <f t="shared" si="85"/>
        <v>71569.200000000012</v>
      </c>
      <c r="CV55" s="587">
        <f t="shared" si="85"/>
        <v>19380.800000000003</v>
      </c>
      <c r="CW55" s="587">
        <f>CW14+CW40</f>
        <v>19926.8</v>
      </c>
      <c r="CX55" s="587">
        <f>CX14+CX40</f>
        <v>20731.865561990002</v>
      </c>
      <c r="CY55" s="587">
        <f>CY14+CY40</f>
        <v>21242.93617506</v>
      </c>
      <c r="CZ55" s="551">
        <f t="shared" si="85"/>
        <v>81282.401737050008</v>
      </c>
      <c r="DA55" s="587">
        <f t="shared" ref="DA55:DT55" si="86">DA14+DA40</f>
        <v>23103</v>
      </c>
      <c r="DB55" s="587">
        <f t="shared" si="86"/>
        <v>23726.6</v>
      </c>
      <c r="DC55" s="587">
        <f t="shared" si="86"/>
        <v>24472.3</v>
      </c>
      <c r="DD55" s="587">
        <f t="shared" si="86"/>
        <v>25123.8</v>
      </c>
      <c r="DE55" s="551">
        <f t="shared" si="86"/>
        <v>96425.799999999988</v>
      </c>
      <c r="DF55" s="587">
        <f t="shared" si="86"/>
        <v>25173.1</v>
      </c>
      <c r="DG55" s="587">
        <f>DG14+DG40</f>
        <v>26130.718834959152</v>
      </c>
      <c r="DH55" s="587">
        <f>DH14+DH40</f>
        <v>26587.967342737858</v>
      </c>
      <c r="DI55" s="2802">
        <f>DI14+DI40</f>
        <v>27475.699447350002</v>
      </c>
      <c r="DJ55" s="551">
        <f t="shared" si="86"/>
        <v>105367.46807353702</v>
      </c>
      <c r="DK55" s="587">
        <f t="shared" ca="1" si="86"/>
        <v>25424.207141213454</v>
      </c>
      <c r="DL55" s="587">
        <f t="shared" ca="1" si="86"/>
        <v>27548.32383514996</v>
      </c>
      <c r="DM55" s="587">
        <f t="shared" ca="1" si="86"/>
        <v>27625.473019839294</v>
      </c>
      <c r="DN55" s="587">
        <f t="shared" ca="1" si="86"/>
        <v>28121.024693911786</v>
      </c>
      <c r="DO55" s="551">
        <f t="shared" ca="1" si="86"/>
        <v>108719.0286901145</v>
      </c>
      <c r="DP55" s="587">
        <f t="shared" ca="1" si="86"/>
        <v>27549.087802241356</v>
      </c>
      <c r="DQ55" s="587">
        <f t="shared" ca="1" si="86"/>
        <v>29815.844727686712</v>
      </c>
      <c r="DR55" s="587">
        <f t="shared" ca="1" si="86"/>
        <v>29867.531601186765</v>
      </c>
      <c r="DS55" s="587">
        <f t="shared" ca="1" si="86"/>
        <v>30365.739614544105</v>
      </c>
      <c r="DT55" s="551">
        <f t="shared" ca="1" si="86"/>
        <v>117598.20374565895</v>
      </c>
      <c r="DU55" s="587">
        <f t="shared" ref="DU55:DY55" ca="1" si="87">DU14+DU40</f>
        <v>28792.697387358523</v>
      </c>
      <c r="DV55" s="587">
        <f t="shared" ca="1" si="87"/>
        <v>31107.08295361566</v>
      </c>
      <c r="DW55" s="587">
        <f t="shared" ca="1" si="87"/>
        <v>31122.276557739569</v>
      </c>
      <c r="DX55" s="587">
        <f t="shared" ca="1" si="87"/>
        <v>31597.500486792695</v>
      </c>
      <c r="DY55" s="551">
        <f t="shared" ca="1" si="87"/>
        <v>122619.55738550649</v>
      </c>
    </row>
    <row r="56" spans="1:129" outlineLevel="1" x14ac:dyDescent="0.2">
      <c r="A56" s="473"/>
      <c r="B56" s="579" t="s">
        <v>204</v>
      </c>
      <c r="C56" s="469"/>
      <c r="D56" s="469"/>
      <c r="E56" s="469"/>
      <c r="F56" s="469"/>
      <c r="G56" s="469"/>
      <c r="H56" s="469"/>
      <c r="I56" s="580"/>
      <c r="J56" s="469"/>
      <c r="K56" s="469"/>
      <c r="L56" s="469"/>
      <c r="M56" s="469"/>
      <c r="N56" s="580"/>
      <c r="O56" s="469"/>
      <c r="P56" s="469"/>
      <c r="Q56" s="469"/>
      <c r="R56" s="469"/>
      <c r="S56" s="580"/>
      <c r="T56" s="469"/>
      <c r="U56" s="469"/>
      <c r="V56" s="469"/>
      <c r="W56" s="469"/>
      <c r="X56" s="580"/>
      <c r="Y56" s="469"/>
      <c r="Z56" s="469"/>
      <c r="AA56" s="469"/>
      <c r="AB56" s="469"/>
      <c r="AC56" s="580"/>
      <c r="AD56" s="469"/>
      <c r="AE56" s="469"/>
      <c r="AF56" s="469"/>
      <c r="AG56" s="469"/>
      <c r="AH56" s="580"/>
      <c r="AI56" s="469"/>
      <c r="AJ56" s="469"/>
      <c r="AK56" s="469"/>
      <c r="AL56" s="469"/>
      <c r="AM56" s="580"/>
      <c r="AN56" s="469"/>
      <c r="AO56" s="469"/>
      <c r="AP56" s="469"/>
      <c r="AQ56" s="469"/>
      <c r="AR56" s="580"/>
      <c r="AS56" s="469"/>
      <c r="AT56" s="469"/>
      <c r="AU56" s="469"/>
      <c r="AV56" s="469"/>
      <c r="AW56" s="580"/>
      <c r="AX56" s="469"/>
      <c r="AY56" s="469"/>
      <c r="AZ56" s="469"/>
      <c r="BA56" s="469"/>
      <c r="BB56" s="580"/>
      <c r="BC56" s="469"/>
      <c r="BD56" s="469"/>
      <c r="BE56" s="581">
        <f t="shared" ref="BE56:DI56" si="88">BE55/AZ55-1</f>
        <v>0.22470830473575854</v>
      </c>
      <c r="BF56" s="581">
        <f t="shared" si="88"/>
        <v>0.21306356937679527</v>
      </c>
      <c r="BG56" s="582">
        <f t="shared" si="88"/>
        <v>0.21438384393460619</v>
      </c>
      <c r="BH56" s="581">
        <f t="shared" si="88"/>
        <v>1.2930221593587934</v>
      </c>
      <c r="BI56" s="581">
        <f t="shared" si="88"/>
        <v>10.4742080349557</v>
      </c>
      <c r="BJ56" s="581">
        <f t="shared" si="88"/>
        <v>9.6882985877605918</v>
      </c>
      <c r="BK56" s="581">
        <f t="shared" si="88"/>
        <v>9.6083599299907316</v>
      </c>
      <c r="BL56" s="582">
        <f t="shared" si="88"/>
        <v>7.8361898297415014</v>
      </c>
      <c r="BM56" s="581">
        <f t="shared" si="88"/>
        <v>3.873239436619718</v>
      </c>
      <c r="BN56" s="581">
        <f t="shared" si="88"/>
        <v>-8.8960819158837579E-3</v>
      </c>
      <c r="BO56" s="581">
        <f t="shared" si="88"/>
        <v>-2.2514445108587688E-2</v>
      </c>
      <c r="BP56" s="581">
        <f t="shared" si="88"/>
        <v>6.5994429293780854E-4</v>
      </c>
      <c r="BQ56" s="582">
        <f t="shared" si="88"/>
        <v>0.23169990077777447</v>
      </c>
      <c r="BR56" s="581">
        <f t="shared" si="88"/>
        <v>4.3943293531918615E-2</v>
      </c>
      <c r="BS56" s="581">
        <f t="shared" si="88"/>
        <v>0.18190938684027924</v>
      </c>
      <c r="BT56" s="581">
        <f t="shared" si="88"/>
        <v>0.18399596627116144</v>
      </c>
      <c r="BU56" s="581">
        <f t="shared" si="88"/>
        <v>0.10244697256248347</v>
      </c>
      <c r="BV56" s="582">
        <f t="shared" si="88"/>
        <v>0.1271347643053895</v>
      </c>
      <c r="BW56" s="581">
        <f t="shared" si="88"/>
        <v>-1.1619682732141201E-2</v>
      </c>
      <c r="BX56" s="581">
        <f t="shared" si="88"/>
        <v>-0.12442770839541606</v>
      </c>
      <c r="BY56" s="581">
        <f t="shared" si="88"/>
        <v>-0.11964843926969615</v>
      </c>
      <c r="BZ56" s="581">
        <f t="shared" si="88"/>
        <v>-0.13134512184393421</v>
      </c>
      <c r="CA56" s="582">
        <f t="shared" si="88"/>
        <v>-9.9284370504260644E-2</v>
      </c>
      <c r="CB56" s="581">
        <f t="shared" si="88"/>
        <v>0.15446738908198743</v>
      </c>
      <c r="CC56" s="581">
        <f t="shared" si="88"/>
        <v>0.21730610561056096</v>
      </c>
      <c r="CD56" s="468">
        <f t="shared" si="88"/>
        <v>0.2331206257719225</v>
      </c>
      <c r="CE56" s="468">
        <f t="shared" si="88"/>
        <v>0.29879481466477609</v>
      </c>
      <c r="CF56" s="580">
        <f t="shared" si="88"/>
        <v>0.22610064502918004</v>
      </c>
      <c r="CG56" s="468">
        <f t="shared" si="88"/>
        <v>0.30824404498361813</v>
      </c>
      <c r="CH56" s="468">
        <f t="shared" si="88"/>
        <v>0.25971363212742538</v>
      </c>
      <c r="CI56" s="468">
        <f t="shared" si="88"/>
        <v>0.2288957516067105</v>
      </c>
      <c r="CJ56" s="468">
        <f t="shared" si="88"/>
        <v>0.17854385814430418</v>
      </c>
      <c r="CK56" s="580">
        <f t="shared" si="88"/>
        <v>0.24171577806865363</v>
      </c>
      <c r="CL56" s="468">
        <f t="shared" si="88"/>
        <v>-4.1965615270068701E-3</v>
      </c>
      <c r="CM56" s="468">
        <f t="shared" si="88"/>
        <v>1.6168518468698601E-2</v>
      </c>
      <c r="CN56" s="468">
        <f t="shared" si="88"/>
        <v>6.5249874349674997E-2</v>
      </c>
      <c r="CO56" s="468">
        <f t="shared" si="88"/>
        <v>3.4663226147942261E-2</v>
      </c>
      <c r="CP56" s="580">
        <f t="shared" si="88"/>
        <v>2.795907181934032E-2</v>
      </c>
      <c r="CQ56" s="468">
        <f>CQ55/CL55-1</f>
        <v>0.10176046764545932</v>
      </c>
      <c r="CR56" s="468">
        <f>CR55/CM55-1</f>
        <v>0.17356772212220717</v>
      </c>
      <c r="CS56" s="468">
        <f>CS55/CN55-1</f>
        <v>0.16497599479727842</v>
      </c>
      <c r="CT56" s="468">
        <f>CT55/CO55-1</f>
        <v>0.23784523497400567</v>
      </c>
      <c r="CU56" s="580">
        <f t="shared" si="88"/>
        <v>0.17052539301438618</v>
      </c>
      <c r="CV56" s="468">
        <f t="shared" si="88"/>
        <v>0.19567403495567337</v>
      </c>
      <c r="CW56" s="468">
        <f t="shared" si="88"/>
        <v>0.12382692654755423</v>
      </c>
      <c r="CX56" s="468">
        <f t="shared" si="88"/>
        <v>0.13464970566288681</v>
      </c>
      <c r="CY56" s="468">
        <f t="shared" si="88"/>
        <v>9.7412148133262155E-2</v>
      </c>
      <c r="CZ56" s="580">
        <f t="shared" si="88"/>
        <v>0.13571762346162863</v>
      </c>
      <c r="DA56" s="468">
        <f t="shared" si="88"/>
        <v>0.19205605547758586</v>
      </c>
      <c r="DB56" s="468">
        <f t="shared" si="88"/>
        <v>0.19068791777907146</v>
      </c>
      <c r="DC56" s="468">
        <f t="shared" si="88"/>
        <v>0.18041957810433362</v>
      </c>
      <c r="DD56" s="468">
        <f t="shared" si="88"/>
        <v>0.18268961470101663</v>
      </c>
      <c r="DE56" s="580">
        <f>DE55/CZ55-1</f>
        <v>0.18630598923416586</v>
      </c>
      <c r="DF56" s="468">
        <f t="shared" si="88"/>
        <v>8.9603081850841759E-2</v>
      </c>
      <c r="DG56" s="468">
        <f t="shared" si="88"/>
        <v>0.10132588887405514</v>
      </c>
      <c r="DH56" s="468">
        <f t="shared" si="88"/>
        <v>8.6451512229658078E-2</v>
      </c>
      <c r="DI56" s="468">
        <f t="shared" si="88"/>
        <v>9.3612409243426731E-2</v>
      </c>
      <c r="DJ56" s="580">
        <f t="shared" ref="DJ56:DT56" si="89">DJ55/DE55-1</f>
        <v>9.273107481127485E-2</v>
      </c>
      <c r="DK56" s="468">
        <f t="shared" ca="1" si="89"/>
        <v>9.9752172443383635E-3</v>
      </c>
      <c r="DL56" s="468">
        <f t="shared" ca="1" si="89"/>
        <v>5.4250516763215018E-2</v>
      </c>
      <c r="DM56" s="468">
        <f t="shared" ca="1" si="89"/>
        <v>3.902162447122226E-2</v>
      </c>
      <c r="DN56" s="468">
        <f t="shared" ca="1" si="89"/>
        <v>2.3487127153883014E-2</v>
      </c>
      <c r="DO56" s="580">
        <f t="shared" ca="1" si="89"/>
        <v>3.1808305522140756E-2</v>
      </c>
      <c r="DP56" s="468">
        <f t="shared" ca="1" si="89"/>
        <v>8.3577066896351804E-2</v>
      </c>
      <c r="DQ56" s="468">
        <f t="shared" ca="1" si="89"/>
        <v>8.2310666380490893E-2</v>
      </c>
      <c r="DR56" s="468">
        <f t="shared" ca="1" si="89"/>
        <v>8.1159101954103363E-2</v>
      </c>
      <c r="DS56" s="468">
        <f t="shared" ca="1" si="89"/>
        <v>7.9823368638423098E-2</v>
      </c>
      <c r="DT56" s="580">
        <f t="shared" ca="1" si="89"/>
        <v>8.1670846056333568E-2</v>
      </c>
      <c r="DU56" s="468">
        <f t="shared" ref="DU56" ca="1" si="90">DU55/DP55-1</f>
        <v>4.5141588499927998E-2</v>
      </c>
      <c r="DV56" s="468">
        <f t="shared" ref="DV56" ca="1" si="91">DV55/DQ55-1</f>
        <v>4.3307115318115263E-2</v>
      </c>
      <c r="DW56" s="468">
        <f t="shared" ref="DW56" ca="1" si="92">DW55/DR55-1</f>
        <v>4.2010333271161437E-2</v>
      </c>
      <c r="DX56" s="468">
        <f t="shared" ref="DX56" ca="1" si="93">DX55/DS55-1</f>
        <v>4.056416500583504E-2</v>
      </c>
      <c r="DY56" s="580">
        <f t="shared" ref="DY56" ca="1" si="94">DY55/DT55-1</f>
        <v>4.2699237572605409E-2</v>
      </c>
    </row>
    <row r="57" spans="1:129" ht="6" customHeight="1" outlineLevel="1" x14ac:dyDescent="0.2">
      <c r="A57" s="473"/>
      <c r="B57" s="579"/>
      <c r="C57" s="469"/>
      <c r="D57" s="469"/>
      <c r="E57" s="469"/>
      <c r="F57" s="469"/>
      <c r="G57" s="469"/>
      <c r="H57" s="469"/>
      <c r="I57" s="580"/>
      <c r="J57" s="469"/>
      <c r="K57" s="469"/>
      <c r="L57" s="469"/>
      <c r="M57" s="469"/>
      <c r="N57" s="580"/>
      <c r="O57" s="469"/>
      <c r="P57" s="469"/>
      <c r="Q57" s="469"/>
      <c r="R57" s="469"/>
      <c r="S57" s="580"/>
      <c r="T57" s="469"/>
      <c r="U57" s="469"/>
      <c r="V57" s="469"/>
      <c r="W57" s="469"/>
      <c r="X57" s="580"/>
      <c r="Y57" s="469"/>
      <c r="Z57" s="469"/>
      <c r="AA57" s="469"/>
      <c r="AB57" s="469"/>
      <c r="AC57" s="580"/>
      <c r="AD57" s="469"/>
      <c r="AE57" s="469"/>
      <c r="AF57" s="469"/>
      <c r="AG57" s="469"/>
      <c r="AH57" s="580"/>
      <c r="AI57" s="469"/>
      <c r="AJ57" s="469"/>
      <c r="AK57" s="469"/>
      <c r="AL57" s="469"/>
      <c r="AM57" s="580"/>
      <c r="AN57" s="469"/>
      <c r="AO57" s="469"/>
      <c r="AP57" s="469"/>
      <c r="AQ57" s="469"/>
      <c r="AR57" s="580"/>
      <c r="AS57" s="469"/>
      <c r="AT57" s="469"/>
      <c r="AU57" s="469"/>
      <c r="AV57" s="469"/>
      <c r="AW57" s="580"/>
      <c r="AX57" s="469"/>
      <c r="AY57" s="469"/>
      <c r="AZ57" s="469"/>
      <c r="BA57" s="469"/>
      <c r="BB57" s="580"/>
      <c r="BC57" s="469"/>
      <c r="BD57" s="469"/>
      <c r="BE57" s="469"/>
      <c r="BF57" s="469"/>
      <c r="BG57" s="580"/>
      <c r="BH57" s="469"/>
      <c r="BI57" s="469"/>
      <c r="BJ57" s="469"/>
      <c r="BK57" s="469"/>
      <c r="BL57" s="580"/>
      <c r="BM57" s="469"/>
      <c r="BN57" s="469"/>
      <c r="BO57" s="469"/>
      <c r="BP57" s="469"/>
      <c r="BQ57" s="580"/>
      <c r="BR57" s="469"/>
      <c r="BS57" s="469"/>
      <c r="BT57" s="469"/>
      <c r="BU57" s="469"/>
      <c r="BV57" s="580"/>
      <c r="BW57" s="469"/>
      <c r="BX57" s="469"/>
      <c r="BY57" s="469"/>
      <c r="BZ57" s="469"/>
      <c r="CA57" s="580"/>
      <c r="CB57" s="469"/>
      <c r="CC57" s="469"/>
      <c r="CD57" s="469"/>
      <c r="CE57" s="469"/>
      <c r="CF57" s="580"/>
      <c r="CG57" s="469"/>
      <c r="CH57" s="469"/>
      <c r="CI57" s="469"/>
      <c r="CJ57" s="469"/>
      <c r="CK57" s="580"/>
      <c r="CL57" s="469"/>
      <c r="CM57" s="469"/>
      <c r="CN57" s="469"/>
      <c r="CO57" s="469"/>
      <c r="CP57" s="580"/>
      <c r="CQ57" s="469"/>
      <c r="CR57" s="469"/>
      <c r="CS57" s="469"/>
      <c r="CT57" s="469"/>
      <c r="CU57" s="580"/>
      <c r="CV57" s="469"/>
      <c r="CW57" s="469"/>
      <c r="CX57" s="469"/>
      <c r="CY57" s="469"/>
      <c r="CZ57" s="580"/>
      <c r="DA57" s="469"/>
      <c r="DB57" s="469"/>
      <c r="DC57" s="469"/>
      <c r="DD57" s="469"/>
      <c r="DE57" s="580"/>
      <c r="DF57" s="469"/>
      <c r="DG57" s="469"/>
      <c r="DH57" s="469"/>
      <c r="DI57" s="469"/>
      <c r="DJ57" s="580"/>
      <c r="DK57" s="469"/>
      <c r="DL57" s="469"/>
      <c r="DM57" s="469"/>
      <c r="DN57" s="469"/>
      <c r="DO57" s="580"/>
      <c r="DP57" s="469"/>
      <c r="DQ57" s="469"/>
      <c r="DR57" s="469"/>
      <c r="DS57" s="469"/>
      <c r="DT57" s="580"/>
      <c r="DU57" s="469"/>
      <c r="DV57" s="469"/>
      <c r="DW57" s="469"/>
      <c r="DX57" s="469"/>
      <c r="DY57" s="580"/>
    </row>
    <row r="58" spans="1:129" outlineLevel="1" x14ac:dyDescent="0.2">
      <c r="A58" s="641"/>
      <c r="B58" s="642" t="s">
        <v>172</v>
      </c>
      <c r="C58" s="641"/>
      <c r="D58" s="641"/>
      <c r="E58" s="641"/>
      <c r="F58" s="641"/>
      <c r="G58" s="641"/>
      <c r="H58" s="641"/>
      <c r="I58" s="643"/>
      <c r="J58" s="641"/>
      <c r="K58" s="641"/>
      <c r="L58" s="641"/>
      <c r="M58" s="641"/>
      <c r="N58" s="643"/>
      <c r="O58" s="641"/>
      <c r="P58" s="641"/>
      <c r="Q58" s="641"/>
      <c r="R58" s="641"/>
      <c r="S58" s="643"/>
      <c r="T58" s="641"/>
      <c r="U58" s="641"/>
      <c r="V58" s="641"/>
      <c r="W58" s="641"/>
      <c r="X58" s="643"/>
      <c r="Y58" s="641"/>
      <c r="Z58" s="641"/>
      <c r="AA58" s="641"/>
      <c r="AB58" s="641"/>
      <c r="AC58" s="643"/>
      <c r="AD58" s="641"/>
      <c r="AE58" s="641"/>
      <c r="AF58" s="641"/>
      <c r="AG58" s="641"/>
      <c r="AH58" s="643"/>
      <c r="AI58" s="641"/>
      <c r="AJ58" s="641"/>
      <c r="AK58" s="641"/>
      <c r="AL58" s="641"/>
      <c r="AM58" s="643"/>
      <c r="AN58" s="641"/>
      <c r="AO58" s="641"/>
      <c r="AP58" s="641"/>
      <c r="AQ58" s="641"/>
      <c r="AR58" s="643"/>
      <c r="AS58" s="641"/>
      <c r="AT58" s="641"/>
      <c r="AU58" s="641"/>
      <c r="AV58" s="641"/>
      <c r="AW58" s="643"/>
      <c r="AX58" s="641"/>
      <c r="AY58" s="641"/>
      <c r="AZ58" s="641"/>
      <c r="BA58" s="641"/>
      <c r="BB58" s="643"/>
      <c r="BC58" s="644">
        <f>BC55-BC60</f>
        <v>754</v>
      </c>
      <c r="BD58" s="644">
        <f>BD55-BD60</f>
        <v>716.3</v>
      </c>
      <c r="BE58" s="644">
        <f>BE55-BE60</f>
        <v>765.30000000000007</v>
      </c>
      <c r="BF58" s="644">
        <f>BF55-BF60</f>
        <v>841.4</v>
      </c>
      <c r="BG58" s="643"/>
      <c r="BH58" s="644">
        <f t="shared" ref="BH58:CZ58" si="95">BH55-BH60</f>
        <v>1701.9</v>
      </c>
      <c r="BI58" s="644">
        <f t="shared" si="95"/>
        <v>8590.8000000000011</v>
      </c>
      <c r="BJ58" s="644">
        <f t="shared" si="95"/>
        <v>8600.8000000000011</v>
      </c>
      <c r="BK58" s="644">
        <f t="shared" si="95"/>
        <v>9302.3999999999978</v>
      </c>
      <c r="BL58" s="645">
        <f t="shared" si="95"/>
        <v>28245.899999999994</v>
      </c>
      <c r="BM58" s="644">
        <f t="shared" si="95"/>
        <v>8692.4</v>
      </c>
      <c r="BN58" s="644">
        <f t="shared" si="95"/>
        <v>8519.6000000000022</v>
      </c>
      <c r="BO58" s="644">
        <f t="shared" si="95"/>
        <v>8428.8999999999978</v>
      </c>
      <c r="BP58" s="644">
        <f t="shared" si="95"/>
        <v>9291.1</v>
      </c>
      <c r="BQ58" s="645">
        <f t="shared" si="95"/>
        <v>34932</v>
      </c>
      <c r="BR58" s="644">
        <f t="shared" si="95"/>
        <v>9105.2000000000025</v>
      </c>
      <c r="BS58" s="644">
        <f t="shared" si="95"/>
        <v>10152.799999999997</v>
      </c>
      <c r="BT58" s="644">
        <f t="shared" si="95"/>
        <v>10019.100000000002</v>
      </c>
      <c r="BU58" s="644">
        <f t="shared" si="95"/>
        <v>10310</v>
      </c>
      <c r="BV58" s="645">
        <f t="shared" si="95"/>
        <v>39587.1</v>
      </c>
      <c r="BW58" s="644">
        <f t="shared" si="95"/>
        <v>9023</v>
      </c>
      <c r="BX58" s="644">
        <f t="shared" si="95"/>
        <v>8905</v>
      </c>
      <c r="BY58" s="644">
        <f t="shared" si="95"/>
        <v>8873</v>
      </c>
      <c r="BZ58" s="644">
        <f t="shared" si="95"/>
        <v>9049</v>
      </c>
      <c r="CA58" s="646">
        <f t="shared" si="95"/>
        <v>35850</v>
      </c>
      <c r="CB58" s="647">
        <f t="shared" si="95"/>
        <v>10689</v>
      </c>
      <c r="CC58" s="647">
        <f t="shared" si="95"/>
        <v>11116</v>
      </c>
      <c r="CD58" s="648">
        <f t="shared" si="95"/>
        <v>11109</v>
      </c>
      <c r="CE58" s="648">
        <f t="shared" si="95"/>
        <v>11876.699999999999</v>
      </c>
      <c r="CF58" s="649">
        <f t="shared" si="95"/>
        <v>44790.700000000004</v>
      </c>
      <c r="CG58" s="648">
        <f t="shared" si="95"/>
        <v>14233</v>
      </c>
      <c r="CH58" s="648">
        <f t="shared" si="95"/>
        <v>14188.400000000001</v>
      </c>
      <c r="CI58" s="648">
        <f t="shared" si="95"/>
        <v>13748.699999999997</v>
      </c>
      <c r="CJ58" s="648">
        <f t="shared" si="95"/>
        <v>13912</v>
      </c>
      <c r="CK58" s="649">
        <f t="shared" si="95"/>
        <v>56082.100000000006</v>
      </c>
      <c r="CL58" s="648">
        <f t="shared" si="95"/>
        <v>14082</v>
      </c>
      <c r="CM58" s="648">
        <f t="shared" si="95"/>
        <v>14272.8</v>
      </c>
      <c r="CN58" s="648">
        <f>CN55-CN60</f>
        <v>14533.300000000003</v>
      </c>
      <c r="CO58" s="648">
        <f>CO55-CO60</f>
        <v>14583.8</v>
      </c>
      <c r="CP58" s="643">
        <f t="shared" si="95"/>
        <v>57471.899999999994</v>
      </c>
      <c r="CQ58" s="648">
        <f>CQ55-CQ60</f>
        <v>15450.499999999998</v>
      </c>
      <c r="CR58" s="641">
        <f>CR55-CR60</f>
        <v>16706.300000000003</v>
      </c>
      <c r="CS58" s="641">
        <f>CS55-CS60</f>
        <v>17040.399999999998</v>
      </c>
      <c r="CT58" s="641">
        <f>CT55-CT60</f>
        <v>18281.700000000004</v>
      </c>
      <c r="CU58" s="643">
        <f t="shared" si="95"/>
        <v>67478.900000000009</v>
      </c>
      <c r="CV58" s="648">
        <f t="shared" si="95"/>
        <v>18511.500000000004</v>
      </c>
      <c r="CW58" s="648">
        <f>CW55-CW60</f>
        <v>18846.399999999998</v>
      </c>
      <c r="CX58" s="648">
        <f>CX55-CX60</f>
        <v>19444.40892238</v>
      </c>
      <c r="CY58" s="648">
        <f>CY55-CY60</f>
        <v>19944.485866219999</v>
      </c>
      <c r="CZ58" s="643">
        <f t="shared" si="95"/>
        <v>76746.794788600004</v>
      </c>
      <c r="DA58" s="648">
        <f t="shared" ref="DA58:DT58" si="96">DA55-DA60</f>
        <v>22188.7</v>
      </c>
      <c r="DB58" s="648">
        <f t="shared" si="96"/>
        <v>22548.1</v>
      </c>
      <c r="DC58" s="648">
        <f t="shared" si="96"/>
        <v>22873.7</v>
      </c>
      <c r="DD58" s="648">
        <f t="shared" si="96"/>
        <v>23696.7</v>
      </c>
      <c r="DE58" s="643">
        <f t="shared" si="96"/>
        <v>91307.299999999988</v>
      </c>
      <c r="DF58" s="648">
        <f t="shared" si="96"/>
        <v>24269</v>
      </c>
      <c r="DG58" s="648">
        <f>DG55-DG60</f>
        <v>24870.911638093461</v>
      </c>
      <c r="DH58" s="648">
        <f>DH55-DH60</f>
        <v>25146.177349580543</v>
      </c>
      <c r="DI58" s="659">
        <f>DI55-DI60</f>
        <v>25853.404033621031</v>
      </c>
      <c r="DJ58" s="643">
        <f t="shared" si="96"/>
        <v>100139.47546978504</v>
      </c>
      <c r="DK58" s="641">
        <f t="shared" ca="1" si="96"/>
        <v>24396.80096925408</v>
      </c>
      <c r="DL58" s="641">
        <f t="shared" ca="1" si="96"/>
        <v>26189.540777483395</v>
      </c>
      <c r="DM58" s="641">
        <f t="shared" ca="1" si="96"/>
        <v>26044.216621361498</v>
      </c>
      <c r="DN58" s="641">
        <f t="shared" ca="1" si="96"/>
        <v>26534.759175289153</v>
      </c>
      <c r="DO58" s="643">
        <f t="shared" ca="1" si="96"/>
        <v>103165.31754338813</v>
      </c>
      <c r="DP58" s="641">
        <f t="shared" ca="1" si="96"/>
        <v>26478.787666928965</v>
      </c>
      <c r="DQ58" s="641">
        <f t="shared" ca="1" si="96"/>
        <v>28427.001531226637</v>
      </c>
      <c r="DR58" s="641">
        <f t="shared" ca="1" si="96"/>
        <v>28244.037134346734</v>
      </c>
      <c r="DS58" s="641">
        <f t="shared" ca="1" si="96"/>
        <v>28738.159979528864</v>
      </c>
      <c r="DT58" s="643">
        <f t="shared" ca="1" si="96"/>
        <v>111887.98631203121</v>
      </c>
      <c r="DU58" s="641">
        <f t="shared" ref="DU58:DY58" ca="1" si="97">DU55-DU60</f>
        <v>27687.1598723149</v>
      </c>
      <c r="DV58" s="641">
        <f t="shared" ca="1" si="97"/>
        <v>29663.02011657914</v>
      </c>
      <c r="DW58" s="641">
        <f t="shared" ca="1" si="97"/>
        <v>29429.541179540047</v>
      </c>
      <c r="DX58" s="641">
        <f t="shared" ca="1" si="97"/>
        <v>29902.036400764431</v>
      </c>
      <c r="DY58" s="643">
        <f t="shared" ca="1" si="97"/>
        <v>116681.75756919855</v>
      </c>
    </row>
    <row r="59" spans="1:129" ht="6" customHeight="1" outlineLevel="1" x14ac:dyDescent="0.2">
      <c r="A59" s="473"/>
      <c r="B59" s="579"/>
      <c r="C59" s="469"/>
      <c r="D59" s="469"/>
      <c r="E59" s="469"/>
      <c r="F59" s="469"/>
      <c r="G59" s="469"/>
      <c r="H59" s="469"/>
      <c r="I59" s="580"/>
      <c r="J59" s="469"/>
      <c r="K59" s="469"/>
      <c r="L59" s="469"/>
      <c r="M59" s="469"/>
      <c r="N59" s="580"/>
      <c r="O59" s="469"/>
      <c r="P59" s="469"/>
      <c r="Q59" s="469"/>
      <c r="R59" s="469"/>
      <c r="S59" s="580"/>
      <c r="T59" s="469"/>
      <c r="U59" s="469"/>
      <c r="V59" s="469"/>
      <c r="W59" s="469"/>
      <c r="X59" s="580"/>
      <c r="Y59" s="469"/>
      <c r="Z59" s="469"/>
      <c r="AA59" s="469"/>
      <c r="AB59" s="469"/>
      <c r="AC59" s="580"/>
      <c r="AD59" s="469"/>
      <c r="AE59" s="469"/>
      <c r="AF59" s="469"/>
      <c r="AG59" s="469"/>
      <c r="AH59" s="580"/>
      <c r="AI59" s="469"/>
      <c r="AJ59" s="469"/>
      <c r="AK59" s="469"/>
      <c r="AL59" s="469"/>
      <c r="AM59" s="580"/>
      <c r="AN59" s="469"/>
      <c r="AO59" s="469"/>
      <c r="AP59" s="469"/>
      <c r="AQ59" s="469"/>
      <c r="AR59" s="580"/>
      <c r="AS59" s="469"/>
      <c r="AT59" s="469"/>
      <c r="AU59" s="469"/>
      <c r="AV59" s="469"/>
      <c r="AW59" s="580"/>
      <c r="AX59" s="469"/>
      <c r="AY59" s="469"/>
      <c r="AZ59" s="469"/>
      <c r="BA59" s="469"/>
      <c r="BB59" s="580"/>
      <c r="BC59" s="469"/>
      <c r="BD59" s="469"/>
      <c r="BE59" s="469"/>
      <c r="BF59" s="469"/>
      <c r="BG59" s="580"/>
      <c r="BH59" s="469"/>
      <c r="BI59" s="469"/>
      <c r="BJ59" s="469"/>
      <c r="BK59" s="469"/>
      <c r="BL59" s="580"/>
      <c r="BM59" s="469"/>
      <c r="BN59" s="469"/>
      <c r="BO59" s="469"/>
      <c r="BP59" s="469"/>
      <c r="BQ59" s="580"/>
      <c r="BR59" s="469"/>
      <c r="BS59" s="469"/>
      <c r="BT59" s="469"/>
      <c r="BU59" s="469"/>
      <c r="BV59" s="580"/>
      <c r="BW59" s="469"/>
      <c r="BX59" s="469"/>
      <c r="BY59" s="469"/>
      <c r="BZ59" s="469"/>
      <c r="CA59" s="583"/>
      <c r="CB59" s="650"/>
      <c r="CC59" s="650"/>
      <c r="CD59" s="650"/>
      <c r="CE59" s="650"/>
      <c r="CF59" s="583"/>
      <c r="CG59" s="650"/>
      <c r="CH59" s="650"/>
      <c r="CI59" s="650"/>
      <c r="CJ59" s="650"/>
      <c r="CK59" s="583"/>
      <c r="CL59" s="532"/>
      <c r="CM59" s="532"/>
      <c r="CN59" s="532"/>
      <c r="CO59" s="532"/>
      <c r="CP59" s="580"/>
      <c r="CQ59" s="532"/>
      <c r="CR59" s="469"/>
      <c r="CS59" s="469"/>
      <c r="CT59" s="469"/>
      <c r="CU59" s="580"/>
      <c r="CV59" s="532"/>
      <c r="CW59" s="532"/>
      <c r="CX59" s="532"/>
      <c r="CY59" s="532"/>
      <c r="CZ59" s="580"/>
      <c r="DA59" s="532"/>
      <c r="DB59" s="532"/>
      <c r="DC59" s="532"/>
      <c r="DD59" s="532"/>
      <c r="DE59" s="580"/>
      <c r="DF59" s="532"/>
      <c r="DG59" s="532"/>
      <c r="DH59" s="532"/>
      <c r="DI59" s="532"/>
      <c r="DJ59" s="580"/>
      <c r="DK59" s="469"/>
      <c r="DL59" s="469"/>
      <c r="DM59" s="469"/>
      <c r="DN59" s="469"/>
      <c r="DO59" s="580"/>
      <c r="DP59" s="469"/>
      <c r="DQ59" s="469"/>
      <c r="DR59" s="469"/>
      <c r="DS59" s="469"/>
      <c r="DT59" s="580"/>
      <c r="DU59" s="469"/>
      <c r="DV59" s="469"/>
      <c r="DW59" s="469"/>
      <c r="DX59" s="469"/>
      <c r="DY59" s="580"/>
    </row>
    <row r="60" spans="1:129" outlineLevel="1" x14ac:dyDescent="0.2">
      <c r="A60" s="559"/>
      <c r="B60" s="560" t="s">
        <v>173</v>
      </c>
      <c r="C60" s="561"/>
      <c r="D60" s="561"/>
      <c r="E60" s="561"/>
      <c r="F60" s="561"/>
      <c r="G60" s="561"/>
      <c r="H60" s="561"/>
      <c r="I60" s="577"/>
      <c r="J60" s="561"/>
      <c r="K60" s="561"/>
      <c r="L60" s="561"/>
      <c r="M60" s="561"/>
      <c r="N60" s="577"/>
      <c r="O60" s="561"/>
      <c r="P60" s="561"/>
      <c r="Q60" s="561"/>
      <c r="R60" s="561"/>
      <c r="S60" s="577"/>
      <c r="T60" s="561"/>
      <c r="U60" s="561"/>
      <c r="V60" s="561"/>
      <c r="W60" s="561"/>
      <c r="X60" s="577"/>
      <c r="Y60" s="561"/>
      <c r="Z60" s="561"/>
      <c r="AA60" s="561"/>
      <c r="AB60" s="561"/>
      <c r="AC60" s="577"/>
      <c r="AD60" s="561"/>
      <c r="AE60" s="561"/>
      <c r="AF60" s="561"/>
      <c r="AG60" s="561"/>
      <c r="AH60" s="577"/>
      <c r="AI60" s="561"/>
      <c r="AJ60" s="561"/>
      <c r="AK60" s="561"/>
      <c r="AL60" s="561"/>
      <c r="AM60" s="577"/>
      <c r="AN60" s="561"/>
      <c r="AO60" s="561"/>
      <c r="AP60" s="561"/>
      <c r="AQ60" s="561"/>
      <c r="AR60" s="577"/>
      <c r="AS60" s="561"/>
      <c r="AT60" s="561"/>
      <c r="AU60" s="561"/>
      <c r="AV60" s="561"/>
      <c r="AW60" s="577"/>
      <c r="AX60" s="561"/>
      <c r="AY60" s="561"/>
      <c r="AZ60" s="561"/>
      <c r="BA60" s="561"/>
      <c r="BB60" s="562">
        <v>345.5</v>
      </c>
      <c r="BC60" s="563">
        <v>94.4</v>
      </c>
      <c r="BD60" s="563">
        <v>107.6</v>
      </c>
      <c r="BE60" s="563">
        <v>126.9</v>
      </c>
      <c r="BF60" s="563">
        <v>129.9</v>
      </c>
      <c r="BG60" s="562">
        <v>458.79999999999927</v>
      </c>
      <c r="BH60" s="565">
        <f>BH19+PBM!BH46</f>
        <v>243.5</v>
      </c>
      <c r="BI60" s="565">
        <f>BI19+PBM!BI46</f>
        <v>862.8</v>
      </c>
      <c r="BJ60" s="565">
        <f>BJ19+PBM!BJ46</f>
        <v>935.3</v>
      </c>
      <c r="BK60" s="565">
        <f>BK19+PBM!BK46</f>
        <v>1001.5</v>
      </c>
      <c r="BL60" s="564">
        <f>PBM!BL46+PBM!BL19</f>
        <v>2997.1</v>
      </c>
      <c r="BM60" s="565">
        <f>BM19+PBM!BM46</f>
        <v>788</v>
      </c>
      <c r="BN60" s="565">
        <f>BN19+PBM!BN46</f>
        <v>849.9</v>
      </c>
      <c r="BO60" s="565">
        <f>BO19+PBM!BO46</f>
        <v>892.5</v>
      </c>
      <c r="BP60" s="565">
        <f>BP19+PBM!BP46</f>
        <v>1019.6</v>
      </c>
      <c r="BQ60" s="564">
        <f>PBM!BQ46+PBM!BQ19</f>
        <v>3550</v>
      </c>
      <c r="BR60" s="565">
        <f>BR19+PBM!BR46</f>
        <v>791.8</v>
      </c>
      <c r="BS60" s="565">
        <f>BS19+PBM!BS46</f>
        <v>921.1</v>
      </c>
      <c r="BT60" s="565">
        <f>BT19+PBM!BT46</f>
        <v>1017.3999999999999</v>
      </c>
      <c r="BU60" s="565">
        <f>BU19+PBM!BU46</f>
        <v>1057</v>
      </c>
      <c r="BV60" s="564">
        <f>PBM!BV46+PBM!BV19</f>
        <v>3787.2999999999997</v>
      </c>
      <c r="BW60" s="565">
        <f>BW19+BW46</f>
        <v>759</v>
      </c>
      <c r="BX60" s="565">
        <f>BX19+BX46</f>
        <v>791</v>
      </c>
      <c r="BY60" s="565">
        <f>BY19+BY46</f>
        <v>843</v>
      </c>
      <c r="BZ60" s="565">
        <f>BZ19+BZ46</f>
        <v>825</v>
      </c>
      <c r="CA60" s="651">
        <f>PBM!CA46+PBM!CA19</f>
        <v>3218</v>
      </c>
      <c r="CB60" s="652">
        <f t="shared" ref="CB60:CZ60" si="98">CB19+CB46</f>
        <v>604</v>
      </c>
      <c r="CC60" s="652">
        <f t="shared" si="98"/>
        <v>687</v>
      </c>
      <c r="CD60" s="653">
        <f t="shared" si="98"/>
        <v>872</v>
      </c>
      <c r="CE60" s="653">
        <f t="shared" si="98"/>
        <v>947.6</v>
      </c>
      <c r="CF60" s="654">
        <f t="shared" si="98"/>
        <v>3110.6</v>
      </c>
      <c r="CG60" s="653">
        <f t="shared" si="98"/>
        <v>541</v>
      </c>
      <c r="CH60" s="653">
        <f t="shared" si="98"/>
        <v>680</v>
      </c>
      <c r="CI60" s="653">
        <f t="shared" si="98"/>
        <v>974.7</v>
      </c>
      <c r="CJ60" s="653">
        <f t="shared" si="98"/>
        <v>1202</v>
      </c>
      <c r="CK60" s="654">
        <f t="shared" si="98"/>
        <v>3397.7</v>
      </c>
      <c r="CL60" s="653">
        <f t="shared" si="98"/>
        <v>630</v>
      </c>
      <c r="CM60" s="653">
        <f t="shared" si="98"/>
        <v>836</v>
      </c>
      <c r="CN60" s="653">
        <f>CN19+CN46</f>
        <v>1150.8</v>
      </c>
      <c r="CO60" s="653">
        <f>CO19+CO46</f>
        <v>1054.0999999999999</v>
      </c>
      <c r="CP60" s="577">
        <f t="shared" si="98"/>
        <v>3670.8999999999996</v>
      </c>
      <c r="CQ60" s="653">
        <f>CQ19+CQ46</f>
        <v>758.6</v>
      </c>
      <c r="CR60" s="653">
        <f>CR19+CR46</f>
        <v>1024.9000000000001</v>
      </c>
      <c r="CS60" s="561">
        <f>CS19+CS46</f>
        <v>1231.2</v>
      </c>
      <c r="CT60" s="561">
        <f>CT19+CT46</f>
        <v>1075.6000000000001</v>
      </c>
      <c r="CU60" s="577">
        <f t="shared" si="98"/>
        <v>4090.2999999999997</v>
      </c>
      <c r="CV60" s="653">
        <f t="shared" si="98"/>
        <v>869.30000000000007</v>
      </c>
      <c r="CW60" s="653">
        <f t="shared" si="98"/>
        <v>1080.4000000000001</v>
      </c>
      <c r="CX60" s="653">
        <f t="shared" si="98"/>
        <v>1287.4566396100008</v>
      </c>
      <c r="CY60" s="653">
        <f>CY19+CY46</f>
        <v>1298.450308840002</v>
      </c>
      <c r="CZ60" s="577">
        <f t="shared" si="98"/>
        <v>4535.6069484500031</v>
      </c>
      <c r="DA60" s="653">
        <f t="shared" ref="DA60:DT60" si="99">DA19+DA46</f>
        <v>914.3</v>
      </c>
      <c r="DB60" s="653">
        <f t="shared" si="99"/>
        <v>1178.5</v>
      </c>
      <c r="DC60" s="653">
        <f t="shared" si="99"/>
        <v>1598.6000000000001</v>
      </c>
      <c r="DD60" s="653">
        <f t="shared" si="99"/>
        <v>1427.1000000000001</v>
      </c>
      <c r="DE60" s="577">
        <f t="shared" si="99"/>
        <v>5118.4999999999991</v>
      </c>
      <c r="DF60" s="653">
        <f t="shared" si="99"/>
        <v>904.10000000000014</v>
      </c>
      <c r="DG60" s="653">
        <f>DG19+DG46</f>
        <v>1259.8071968656923</v>
      </c>
      <c r="DH60" s="653">
        <f>DH19+DH46</f>
        <v>1441.7899931573147</v>
      </c>
      <c r="DI60" s="653">
        <f>DI19+DI46</f>
        <v>1622.2954137289712</v>
      </c>
      <c r="DJ60" s="577">
        <f t="shared" si="99"/>
        <v>5227.992603751979</v>
      </c>
      <c r="DK60" s="561">
        <f t="shared" ca="1" si="99"/>
        <v>1027.4061719593753</v>
      </c>
      <c r="DL60" s="561">
        <f t="shared" ca="1" si="99"/>
        <v>1358.7830576665669</v>
      </c>
      <c r="DM60" s="561">
        <f t="shared" ca="1" si="99"/>
        <v>1581.2563984777958</v>
      </c>
      <c r="DN60" s="561">
        <f t="shared" ca="1" si="99"/>
        <v>1586.2655186226325</v>
      </c>
      <c r="DO60" s="577">
        <f t="shared" ca="1" si="99"/>
        <v>5553.7111467263703</v>
      </c>
      <c r="DP60" s="561">
        <f t="shared" ca="1" si="99"/>
        <v>1070.3001353123914</v>
      </c>
      <c r="DQ60" s="561">
        <f t="shared" ca="1" si="99"/>
        <v>1388.8431964600763</v>
      </c>
      <c r="DR60" s="561">
        <f t="shared" ca="1" si="99"/>
        <v>1623.4944668400324</v>
      </c>
      <c r="DS60" s="561">
        <f t="shared" ca="1" si="99"/>
        <v>1627.5796350152416</v>
      </c>
      <c r="DT60" s="577">
        <f t="shared" ca="1" si="99"/>
        <v>5710.2174336277421</v>
      </c>
      <c r="DU60" s="561">
        <f t="shared" ref="DU60:DY60" ca="1" si="100">DU19+DU46</f>
        <v>1105.5375150436232</v>
      </c>
      <c r="DV60" s="561">
        <f t="shared" ca="1" si="100"/>
        <v>1444.0628370365209</v>
      </c>
      <c r="DW60" s="561">
        <f t="shared" ca="1" si="100"/>
        <v>1692.7353781995234</v>
      </c>
      <c r="DX60" s="561">
        <f t="shared" ca="1" si="100"/>
        <v>1695.464086028265</v>
      </c>
      <c r="DY60" s="577">
        <f t="shared" ca="1" si="100"/>
        <v>5937.7998163079319</v>
      </c>
    </row>
    <row r="61" spans="1:129" outlineLevel="1" x14ac:dyDescent="0.2">
      <c r="A61" s="473"/>
      <c r="B61" s="579" t="s">
        <v>738</v>
      </c>
      <c r="C61" s="469"/>
      <c r="D61" s="469"/>
      <c r="E61" s="469"/>
      <c r="F61" s="469"/>
      <c r="G61" s="469"/>
      <c r="H61" s="469"/>
      <c r="I61" s="580"/>
      <c r="J61" s="469"/>
      <c r="K61" s="469"/>
      <c r="L61" s="469"/>
      <c r="M61" s="469"/>
      <c r="N61" s="580"/>
      <c r="O61" s="469"/>
      <c r="P61" s="469"/>
      <c r="Q61" s="469"/>
      <c r="R61" s="469"/>
      <c r="S61" s="580"/>
      <c r="T61" s="469"/>
      <c r="U61" s="469"/>
      <c r="V61" s="469"/>
      <c r="W61" s="469"/>
      <c r="X61" s="580"/>
      <c r="Y61" s="469"/>
      <c r="Z61" s="469"/>
      <c r="AA61" s="469"/>
      <c r="AB61" s="469"/>
      <c r="AC61" s="580"/>
      <c r="AD61" s="469"/>
      <c r="AE61" s="469"/>
      <c r="AF61" s="469"/>
      <c r="AG61" s="469"/>
      <c r="AH61" s="580"/>
      <c r="AI61" s="469"/>
      <c r="AJ61" s="469"/>
      <c r="AK61" s="469"/>
      <c r="AL61" s="469"/>
      <c r="AM61" s="580"/>
      <c r="AN61" s="469"/>
      <c r="AO61" s="469"/>
      <c r="AP61" s="469"/>
      <c r="AQ61" s="469"/>
      <c r="AR61" s="580"/>
      <c r="AS61" s="469"/>
      <c r="AT61" s="469"/>
      <c r="AU61" s="469"/>
      <c r="AV61" s="469"/>
      <c r="AW61" s="580"/>
      <c r="AX61" s="469"/>
      <c r="AY61" s="469"/>
      <c r="AZ61" s="469"/>
      <c r="BA61" s="469"/>
      <c r="BB61" s="582">
        <f>BB60/BB14</f>
        <v>0.11687301265137677</v>
      </c>
      <c r="BC61" s="581">
        <f>BC60/BC$55</f>
        <v>0.11126826968411128</v>
      </c>
      <c r="BD61" s="581">
        <f>BD60/BD$55</f>
        <v>0.13059837358902779</v>
      </c>
      <c r="BE61" s="581">
        <f>BE60/BE$55</f>
        <v>0.14223268325487559</v>
      </c>
      <c r="BF61" s="581">
        <f>BF60/BF$55</f>
        <v>0.13373828889117678</v>
      </c>
      <c r="BG61" s="582">
        <f>BG60/BG14</f>
        <v>0.12429225476119507</v>
      </c>
      <c r="BH61" s="581">
        <f>BH60/BH$55</f>
        <v>0.12516706075871287</v>
      </c>
      <c r="BI61" s="581">
        <f>BI60/BI$55</f>
        <v>9.1266818989591256E-2</v>
      </c>
      <c r="BJ61" s="581">
        <f>BJ60/BJ$55</f>
        <v>9.8079927853105556E-2</v>
      </c>
      <c r="BK61" s="581">
        <f>BK60/BK$55</f>
        <v>9.7196207261328257E-2</v>
      </c>
      <c r="BL61" s="582">
        <f>BL60/BL55</f>
        <v>9.592868802611787E-2</v>
      </c>
      <c r="BM61" s="581">
        <f>BM60/BM$55</f>
        <v>8.3118855744483355E-2</v>
      </c>
      <c r="BN61" s="581">
        <f>BN60/BN$55</f>
        <v>9.070921607342973E-2</v>
      </c>
      <c r="BO61" s="581">
        <f>BO60/BO$55</f>
        <v>9.5747419915463358E-2</v>
      </c>
      <c r="BP61" s="581">
        <f>BP60/BP$55</f>
        <v>9.8887563405006443E-2</v>
      </c>
      <c r="BQ61" s="582">
        <f>BQ60/BQ55</f>
        <v>9.2250922509225092E-2</v>
      </c>
      <c r="BR61" s="581">
        <f>BR60/BR$55</f>
        <v>8.0004041628776376E-2</v>
      </c>
      <c r="BS61" s="581">
        <f>BS60/BS$55</f>
        <v>8.3177561653979201E-2</v>
      </c>
      <c r="BT61" s="581">
        <f>BT60/BT$55</f>
        <v>9.2185022425587793E-2</v>
      </c>
      <c r="BU61" s="581">
        <f>BU60/BU$55</f>
        <v>9.2988475411278262E-2</v>
      </c>
      <c r="BV61" s="582">
        <f>BV60/BV55</f>
        <v>8.7316481611273006E-2</v>
      </c>
      <c r="BW61" s="581">
        <f>BW60/BW$55</f>
        <v>7.7591494581885093E-2</v>
      </c>
      <c r="BX61" s="581">
        <f>BX60/BX$55</f>
        <v>8.1580033003300328E-2</v>
      </c>
      <c r="BY61" s="581">
        <f>BY60/BY$55</f>
        <v>8.6764100452861259E-2</v>
      </c>
      <c r="BZ61" s="581">
        <f>BZ60/BZ$55</f>
        <v>8.3552764836945514E-2</v>
      </c>
      <c r="CA61" s="655">
        <f>CA60/CA55</f>
        <v>8.2369202416299789E-2</v>
      </c>
      <c r="CB61" s="656">
        <f>CB60/CB$55</f>
        <v>5.3484459399628086E-2</v>
      </c>
      <c r="CC61" s="656">
        <f>CC60/CC$55</f>
        <v>5.8205540964161653E-2</v>
      </c>
      <c r="CD61" s="532">
        <f>CD60/CD$55</f>
        <v>7.2781904682413828E-2</v>
      </c>
      <c r="CE61" s="532">
        <f>CE60/CE$55</f>
        <v>7.3890972606691988E-2</v>
      </c>
      <c r="CF61" s="583">
        <f>CF60/CF55</f>
        <v>6.4937694801602455E-2</v>
      </c>
      <c r="CG61" s="532">
        <f>CG60/CG$14</f>
        <v>2.9562841530054645E-2</v>
      </c>
      <c r="CH61" s="532">
        <f>CH60/CH$14</f>
        <v>3.6911185174731034E-2</v>
      </c>
      <c r="CI61" s="532">
        <f>CI60/CI$14</f>
        <v>5.3912187351350165E-2</v>
      </c>
      <c r="CJ61" s="532">
        <f>CJ60/CJ$14</f>
        <v>6.4478060293959874E-2</v>
      </c>
      <c r="CK61" s="583">
        <f>CK60/CK55</f>
        <v>5.712359490112609E-2</v>
      </c>
      <c r="CL61" s="532">
        <f>CL60/CL$14</f>
        <v>3.4405548577357871E-2</v>
      </c>
      <c r="CM61" s="532">
        <f>CM60/CM$14</f>
        <v>4.4468558176150814E-2</v>
      </c>
      <c r="CN61" s="532">
        <f>CN60/CN$14</f>
        <v>5.9068091527824822E-2</v>
      </c>
      <c r="CO61" s="532">
        <f>CO60/CO$14</f>
        <v>5.37394850879429E-2</v>
      </c>
      <c r="CP61" s="580">
        <f>CP60/CP55</f>
        <v>6.0038140222560953E-2</v>
      </c>
      <c r="CQ61" s="532">
        <f>CQ60/CQ$14</f>
        <v>3.7563567400012876E-2</v>
      </c>
      <c r="CR61" s="468">
        <f>CR60/CR$14</f>
        <v>4.6935607222835365E-2</v>
      </c>
      <c r="CS61" s="468">
        <f>CS60/CS$14</f>
        <v>5.4637436762225974E-2</v>
      </c>
      <c r="CT61" s="468">
        <f>CT60/CT$14</f>
        <v>4.505262981532443E-2</v>
      </c>
      <c r="CU61" s="580">
        <f>CU60/CU55</f>
        <v>5.7151679772863173E-2</v>
      </c>
      <c r="CV61" s="532">
        <f>CV60/CV$14</f>
        <v>3.6404524496522032E-2</v>
      </c>
      <c r="CW61" s="532">
        <f>CW60/CW$14</f>
        <v>4.4203506331444473E-2</v>
      </c>
      <c r="CX61" s="532">
        <f>CX60/CX$14</f>
        <v>5.0432593490681306E-2</v>
      </c>
      <c r="CY61" s="532">
        <f>CY60/CY$14</f>
        <v>4.8972370615471758E-2</v>
      </c>
      <c r="CZ61" s="580">
        <f>CZ60/CZ55</f>
        <v>5.5800601994054885E-2</v>
      </c>
      <c r="DA61" s="532">
        <f>DA60/DA$14</f>
        <v>3.1785155571006432E-2</v>
      </c>
      <c r="DB61" s="532">
        <f>DB60/DB$14</f>
        <v>3.9936021037150493E-2</v>
      </c>
      <c r="DC61" s="532">
        <f>DC60/DC$14</f>
        <v>5.2535237650801377E-2</v>
      </c>
      <c r="DD61" s="532">
        <f>DD60/DD$14</f>
        <v>4.565361348462698E-2</v>
      </c>
      <c r="DE61" s="580">
        <f>DE60/DE55</f>
        <v>5.3082266364396245E-2</v>
      </c>
      <c r="DF61" s="532">
        <f>DF60/DF$14</f>
        <v>2.8956496395250896E-2</v>
      </c>
      <c r="DG61" s="532">
        <f>DG60/DG$14</f>
        <v>3.8972430422503909E-2</v>
      </c>
      <c r="DH61" s="532">
        <f>DH60/DH$14</f>
        <v>4.3828999238726969E-2</v>
      </c>
      <c r="DI61" s="532">
        <f>DI60/DI$14</f>
        <v>4.7502322438185252E-2</v>
      </c>
      <c r="DJ61" s="580">
        <f>DJ60/DJ55</f>
        <v>4.9616762168977147E-2</v>
      </c>
      <c r="DK61" s="468">
        <f ca="1">DK60/DK$14</f>
        <v>3.1924333818543919E-2</v>
      </c>
      <c r="DL61" s="468">
        <f ca="1">DL60/DL$14</f>
        <v>3.8965659833973147E-2</v>
      </c>
      <c r="DM61" s="468">
        <f ca="1">DM60/DM$14</f>
        <v>4.521886571499964E-2</v>
      </c>
      <c r="DN61" s="468">
        <f ca="1">DN60/DN$14</f>
        <v>4.4562734585670595E-2</v>
      </c>
      <c r="DO61" s="580">
        <f ca="1">DO60/DO55</f>
        <v>5.1083156404536131E-2</v>
      </c>
      <c r="DP61" s="468">
        <f ca="1">DP60/DP$14</f>
        <v>3.1663284698981227E-2</v>
      </c>
      <c r="DQ61" s="468">
        <f ca="1">DQ60/DQ$14</f>
        <v>3.7963278097698297E-2</v>
      </c>
      <c r="DR61" s="468">
        <f ca="1">DR60/DR$14</f>
        <v>4.4300547100519415E-2</v>
      </c>
      <c r="DS61" s="468">
        <f ca="1">DS60/DS$14</f>
        <v>4.3683355629582178E-2</v>
      </c>
      <c r="DT61" s="580">
        <f ca="1">DT60/DT55</f>
        <v>4.8557012367108805E-2</v>
      </c>
      <c r="DU61" s="468">
        <f ca="1">DU60/DU$14</f>
        <v>3.1293110980152354E-2</v>
      </c>
      <c r="DV61" s="468">
        <f ca="1">DV60/DV$14</f>
        <v>3.7834187600929291E-2</v>
      </c>
      <c r="DW61" s="468">
        <f ca="1">DW60/DW$14</f>
        <v>4.4327712681080662E-2</v>
      </c>
      <c r="DX61" s="468">
        <f ca="1">DX60/DX$14</f>
        <v>4.3731409409760433E-2</v>
      </c>
      <c r="DY61" s="580">
        <f ca="1">DY60/DY55</f>
        <v>4.8424573884571651E-2</v>
      </c>
    </row>
    <row r="62" spans="1:129" ht="6" customHeight="1" outlineLevel="1" x14ac:dyDescent="0.2">
      <c r="A62" s="473"/>
      <c r="B62" s="579"/>
      <c r="C62" s="469"/>
      <c r="D62" s="469"/>
      <c r="E62" s="469"/>
      <c r="F62" s="469"/>
      <c r="G62" s="469"/>
      <c r="H62" s="469"/>
      <c r="I62" s="580"/>
      <c r="J62" s="469"/>
      <c r="K62" s="469"/>
      <c r="L62" s="469"/>
      <c r="M62" s="469"/>
      <c r="N62" s="580"/>
      <c r="O62" s="469"/>
      <c r="P62" s="469"/>
      <c r="Q62" s="469"/>
      <c r="R62" s="469"/>
      <c r="S62" s="580"/>
      <c r="T62" s="469"/>
      <c r="U62" s="469"/>
      <c r="V62" s="469"/>
      <c r="W62" s="469"/>
      <c r="X62" s="580"/>
      <c r="Y62" s="469"/>
      <c r="Z62" s="469"/>
      <c r="AA62" s="469"/>
      <c r="AB62" s="469"/>
      <c r="AC62" s="580"/>
      <c r="AD62" s="469"/>
      <c r="AE62" s="469"/>
      <c r="AF62" s="469"/>
      <c r="AG62" s="469"/>
      <c r="AH62" s="580"/>
      <c r="AI62" s="469"/>
      <c r="AJ62" s="469"/>
      <c r="AK62" s="469"/>
      <c r="AL62" s="469"/>
      <c r="AM62" s="580"/>
      <c r="AN62" s="469"/>
      <c r="AO62" s="469"/>
      <c r="AP62" s="469"/>
      <c r="AQ62" s="469"/>
      <c r="AR62" s="580"/>
      <c r="AS62" s="469"/>
      <c r="AT62" s="469"/>
      <c r="AU62" s="469"/>
      <c r="AV62" s="469"/>
      <c r="AW62" s="580"/>
      <c r="AX62" s="469"/>
      <c r="AY62" s="469"/>
      <c r="AZ62" s="469"/>
      <c r="BA62" s="469"/>
      <c r="BB62" s="580"/>
      <c r="BC62" s="469"/>
      <c r="BD62" s="469"/>
      <c r="BE62" s="469"/>
      <c r="BF62" s="469"/>
      <c r="BG62" s="580"/>
      <c r="BH62" s="469"/>
      <c r="BI62" s="469"/>
      <c r="BJ62" s="469"/>
      <c r="BK62" s="469"/>
      <c r="BL62" s="580"/>
      <c r="BM62" s="469"/>
      <c r="BN62" s="469"/>
      <c r="BO62" s="469"/>
      <c r="BP62" s="469"/>
      <c r="BQ62" s="580"/>
      <c r="BR62" s="469"/>
      <c r="BS62" s="469"/>
      <c r="BT62" s="469"/>
      <c r="BU62" s="469"/>
      <c r="BV62" s="580"/>
      <c r="BW62" s="469"/>
      <c r="BX62" s="469"/>
      <c r="BY62" s="469"/>
      <c r="BZ62" s="469"/>
      <c r="CA62" s="583"/>
      <c r="CB62" s="650"/>
      <c r="CC62" s="650"/>
      <c r="CD62" s="650"/>
      <c r="CE62" s="650"/>
      <c r="CF62" s="583"/>
      <c r="CG62" s="650"/>
      <c r="CH62" s="650"/>
      <c r="CI62" s="650"/>
      <c r="CJ62" s="650"/>
      <c r="CK62" s="583"/>
      <c r="CL62" s="532"/>
      <c r="CM62" s="532"/>
      <c r="CN62" s="532"/>
      <c r="CO62" s="532"/>
      <c r="CP62" s="580"/>
      <c r="CQ62" s="532"/>
      <c r="CR62" s="469"/>
      <c r="CS62" s="469"/>
      <c r="CT62" s="469"/>
      <c r="CU62" s="580"/>
      <c r="CV62" s="532"/>
      <c r="CW62" s="532"/>
      <c r="CX62" s="532"/>
      <c r="CY62" s="532"/>
      <c r="CZ62" s="580"/>
      <c r="DA62" s="532"/>
      <c r="DB62" s="532"/>
      <c r="DC62" s="532"/>
      <c r="DD62" s="532"/>
      <c r="DE62" s="580"/>
      <c r="DF62" s="532"/>
      <c r="DG62" s="532"/>
      <c r="DH62" s="532"/>
      <c r="DI62" s="532"/>
      <c r="DJ62" s="580"/>
      <c r="DK62" s="469"/>
      <c r="DL62" s="469"/>
      <c r="DM62" s="469"/>
      <c r="DN62" s="469"/>
      <c r="DO62" s="580"/>
      <c r="DP62" s="469"/>
      <c r="DQ62" s="469"/>
      <c r="DR62" s="469"/>
      <c r="DS62" s="469"/>
      <c r="DT62" s="580"/>
      <c r="DU62" s="469"/>
      <c r="DV62" s="469"/>
      <c r="DW62" s="469"/>
      <c r="DX62" s="469"/>
      <c r="DY62" s="580"/>
    </row>
    <row r="63" spans="1:129" ht="11.25" customHeight="1" outlineLevel="1" x14ac:dyDescent="0.2">
      <c r="A63" s="471"/>
      <c r="B63" s="549" t="s">
        <v>174</v>
      </c>
      <c r="C63" s="550"/>
      <c r="D63" s="550"/>
      <c r="E63" s="550"/>
      <c r="F63" s="550"/>
      <c r="G63" s="550"/>
      <c r="H63" s="550"/>
      <c r="I63" s="551"/>
      <c r="J63" s="550"/>
      <c r="K63" s="550"/>
      <c r="L63" s="550"/>
      <c r="M63" s="550"/>
      <c r="N63" s="551"/>
      <c r="O63" s="550"/>
      <c r="P63" s="550"/>
      <c r="Q63" s="550"/>
      <c r="R63" s="550"/>
      <c r="S63" s="551"/>
      <c r="T63" s="550"/>
      <c r="U63" s="550"/>
      <c r="V63" s="550"/>
      <c r="W63" s="550"/>
      <c r="X63" s="551"/>
      <c r="Y63" s="550"/>
      <c r="Z63" s="550"/>
      <c r="AA63" s="550"/>
      <c r="AB63" s="550"/>
      <c r="AC63" s="551"/>
      <c r="AD63" s="550"/>
      <c r="AE63" s="550"/>
      <c r="AF63" s="550"/>
      <c r="AG63" s="550"/>
      <c r="AH63" s="551"/>
      <c r="AI63" s="550"/>
      <c r="AJ63" s="550"/>
      <c r="AK63" s="550"/>
      <c r="AL63" s="550"/>
      <c r="AM63" s="551"/>
      <c r="AN63" s="550"/>
      <c r="AO63" s="550"/>
      <c r="AP63" s="550"/>
      <c r="AQ63" s="550"/>
      <c r="AR63" s="551"/>
      <c r="AS63" s="550"/>
      <c r="AT63" s="550"/>
      <c r="AU63" s="550"/>
      <c r="AV63" s="550"/>
      <c r="AW63" s="551"/>
      <c r="AX63" s="550"/>
      <c r="AY63" s="550"/>
      <c r="AZ63" s="550"/>
      <c r="BA63" s="550"/>
      <c r="BB63" s="551"/>
      <c r="BC63" s="550"/>
      <c r="BD63" s="550"/>
      <c r="BE63" s="550"/>
      <c r="BF63" s="550"/>
      <c r="BG63" s="551"/>
      <c r="BH63" s="574">
        <f t="shared" ref="BH63:CU63" si="101">BH24</f>
        <v>141.9</v>
      </c>
      <c r="BI63" s="574">
        <f t="shared" si="101"/>
        <v>280.79999999999995</v>
      </c>
      <c r="BJ63" s="574">
        <f t="shared" si="101"/>
        <v>280.59999999999991</v>
      </c>
      <c r="BK63" s="574">
        <f t="shared" si="101"/>
        <v>246.79999999999995</v>
      </c>
      <c r="BL63" s="553">
        <f t="shared" si="101"/>
        <v>895.1</v>
      </c>
      <c r="BM63" s="574">
        <f t="shared" si="101"/>
        <v>206.10000000000002</v>
      </c>
      <c r="BN63" s="574">
        <f t="shared" si="101"/>
        <v>191.5</v>
      </c>
      <c r="BO63" s="574">
        <f t="shared" si="101"/>
        <v>187</v>
      </c>
      <c r="BP63" s="574">
        <f t="shared" si="101"/>
        <v>210.90000000000009</v>
      </c>
      <c r="BQ63" s="553">
        <f t="shared" si="101"/>
        <v>795</v>
      </c>
      <c r="BR63" s="574">
        <f t="shared" si="101"/>
        <v>260.89999999999998</v>
      </c>
      <c r="BS63" s="574">
        <f t="shared" si="101"/>
        <v>234.30000000000007</v>
      </c>
      <c r="BT63" s="574">
        <f t="shared" si="101"/>
        <v>231.89999999999986</v>
      </c>
      <c r="BU63" s="574">
        <f t="shared" si="101"/>
        <v>242</v>
      </c>
      <c r="BV63" s="553">
        <f t="shared" si="101"/>
        <v>969</v>
      </c>
      <c r="BW63" s="574">
        <f t="shared" si="101"/>
        <v>244</v>
      </c>
      <c r="BX63" s="574">
        <f t="shared" si="101"/>
        <v>230</v>
      </c>
      <c r="BY63" s="574">
        <f t="shared" si="101"/>
        <v>230</v>
      </c>
      <c r="BZ63" s="574">
        <f t="shared" si="101"/>
        <v>260</v>
      </c>
      <c r="CA63" s="657">
        <f t="shared" si="101"/>
        <v>964</v>
      </c>
      <c r="CB63" s="658">
        <f t="shared" si="101"/>
        <v>242</v>
      </c>
      <c r="CC63" s="658">
        <f t="shared" si="101"/>
        <v>275</v>
      </c>
      <c r="CD63" s="659">
        <f t="shared" si="101"/>
        <v>257</v>
      </c>
      <c r="CE63" s="659">
        <f t="shared" si="101"/>
        <v>291.10000000000002</v>
      </c>
      <c r="CF63" s="660">
        <f t="shared" si="101"/>
        <v>1065.0999999999999</v>
      </c>
      <c r="CG63" s="659">
        <f t="shared" si="101"/>
        <v>267</v>
      </c>
      <c r="CH63" s="659">
        <f t="shared" si="101"/>
        <v>265.89999999999998</v>
      </c>
      <c r="CI63" s="659">
        <f t="shared" si="101"/>
        <v>296.7</v>
      </c>
      <c r="CJ63" s="659">
        <f t="shared" si="101"/>
        <v>299</v>
      </c>
      <c r="CK63" s="660">
        <f t="shared" si="101"/>
        <v>1128.5999999999999</v>
      </c>
      <c r="CL63" s="659">
        <f t="shared" si="101"/>
        <v>269</v>
      </c>
      <c r="CM63" s="659">
        <f t="shared" si="101"/>
        <v>288.10000000000002</v>
      </c>
      <c r="CN63" s="659">
        <f>CN24</f>
        <v>293.3</v>
      </c>
      <c r="CO63" s="659">
        <f>CO24</f>
        <v>311.2</v>
      </c>
      <c r="CP63" s="551">
        <f t="shared" ca="1" si="101"/>
        <v>1161.5999999999999</v>
      </c>
      <c r="CQ63" s="659">
        <f>CQ24</f>
        <v>294.10000000000002</v>
      </c>
      <c r="CR63" s="550">
        <f>CR24</f>
        <v>316.7</v>
      </c>
      <c r="CS63" s="550">
        <f>CS24</f>
        <v>316.39999999999998</v>
      </c>
      <c r="CT63" s="550">
        <f>CT24</f>
        <v>329.5</v>
      </c>
      <c r="CU63" s="551">
        <f t="shared" si="101"/>
        <v>1256.6999999999998</v>
      </c>
      <c r="CV63" s="659">
        <f>CV60-CV67</f>
        <v>275.29999999999995</v>
      </c>
      <c r="CW63" s="659">
        <f>CW60-CW67</f>
        <v>284.00000000000011</v>
      </c>
      <c r="CX63" s="659">
        <f>CX60-CX67</f>
        <v>290.79999999999995</v>
      </c>
      <c r="CY63" s="659">
        <f>CY60-CY67</f>
        <v>323.45660813999984</v>
      </c>
      <c r="CZ63" s="551">
        <f>SUM(CV63:CY63)</f>
        <v>1173.5566081399998</v>
      </c>
      <c r="DA63" s="659">
        <f>DA60-DA67</f>
        <v>304.029</v>
      </c>
      <c r="DB63" s="659">
        <f>DB60-DB67</f>
        <v>313</v>
      </c>
      <c r="DC63" s="659">
        <f>DC60-DC67</f>
        <v>325.80000000000018</v>
      </c>
      <c r="DD63" s="659">
        <f>DD60-DD67</f>
        <v>313.40000000000009</v>
      </c>
      <c r="DE63" s="551">
        <f>SUM(DA63:DD63)</f>
        <v>1256.2290000000003</v>
      </c>
      <c r="DF63" s="659">
        <f>DF60-DF67</f>
        <v>295.90000000000009</v>
      </c>
      <c r="DG63" s="659">
        <f>DG60-DG67</f>
        <v>314.67951700569211</v>
      </c>
      <c r="DH63" s="659">
        <f>DH60-DH67</f>
        <v>275.23862939731475</v>
      </c>
      <c r="DI63" s="659">
        <f>DI60-DI67</f>
        <v>157.08243506999975</v>
      </c>
      <c r="DJ63" s="551">
        <f>SUM(DF63:DI63)</f>
        <v>1042.9005814730067</v>
      </c>
      <c r="DK63" s="550">
        <f ca="1">DK60-DK67</f>
        <v>361.501265912809</v>
      </c>
      <c r="DL63" s="550">
        <f ca="1">DL60-DL67</f>
        <v>323.7338458495733</v>
      </c>
      <c r="DM63" s="550">
        <f ca="1">DM60-DM67</f>
        <v>313.64367443808851</v>
      </c>
      <c r="DN63" s="550">
        <f ca="1">DN60-DN67</f>
        <v>328.24488018083798</v>
      </c>
      <c r="DO63" s="551">
        <f ca="1">SUM(DK63:DN63)</f>
        <v>1327.1236663813088</v>
      </c>
      <c r="DP63" s="550">
        <f ca="1">DP60-DP67</f>
        <v>337.9708374691437</v>
      </c>
      <c r="DQ63" s="550">
        <f ca="1">DQ60-DQ67</f>
        <v>301.46959889863297</v>
      </c>
      <c r="DR63" s="550">
        <f ca="1">DR60-DR67</f>
        <v>293.51496916430301</v>
      </c>
      <c r="DS63" s="550">
        <f ca="1">DS60-DS67</f>
        <v>302.34035970393347</v>
      </c>
      <c r="DT63" s="551">
        <f ca="1">SUM(DP63:DS63)</f>
        <v>1235.2957652360133</v>
      </c>
      <c r="DU63" s="550">
        <f ca="1">DU60-DU67</f>
        <v>314.3166751027893</v>
      </c>
      <c r="DV63" s="550">
        <f ca="1">DV60-DV67</f>
        <v>276.91915783793229</v>
      </c>
      <c r="DW63" s="550">
        <f ca="1">DW60-DW67</f>
        <v>268.75271197377333</v>
      </c>
      <c r="DX63" s="550">
        <f ca="1">DX60-DX67</f>
        <v>277.00044613845716</v>
      </c>
      <c r="DY63" s="551">
        <f ca="1">SUM(DU63:DX63)</f>
        <v>1136.9889910529521</v>
      </c>
    </row>
    <row r="64" spans="1:129" ht="6.75" customHeight="1" outlineLevel="1" x14ac:dyDescent="0.2">
      <c r="A64" s="473"/>
      <c r="B64" s="579"/>
      <c r="C64" s="469"/>
      <c r="D64" s="469"/>
      <c r="E64" s="469"/>
      <c r="F64" s="469"/>
      <c r="G64" s="469"/>
      <c r="H64" s="469"/>
      <c r="I64" s="580"/>
      <c r="J64" s="469"/>
      <c r="K64" s="469"/>
      <c r="L64" s="469"/>
      <c r="M64" s="469"/>
      <c r="N64" s="580"/>
      <c r="O64" s="469"/>
      <c r="P64" s="469"/>
      <c r="Q64" s="469"/>
      <c r="R64" s="469"/>
      <c r="S64" s="580"/>
      <c r="T64" s="469"/>
      <c r="U64" s="469"/>
      <c r="V64" s="469"/>
      <c r="W64" s="469"/>
      <c r="X64" s="580"/>
      <c r="Y64" s="469"/>
      <c r="Z64" s="469"/>
      <c r="AA64" s="469"/>
      <c r="AB64" s="469"/>
      <c r="AC64" s="580"/>
      <c r="AD64" s="469"/>
      <c r="AE64" s="469"/>
      <c r="AF64" s="469"/>
      <c r="AG64" s="469"/>
      <c r="AH64" s="580"/>
      <c r="AI64" s="469"/>
      <c r="AJ64" s="469"/>
      <c r="AK64" s="469"/>
      <c r="AL64" s="469"/>
      <c r="AM64" s="580"/>
      <c r="AN64" s="469"/>
      <c r="AO64" s="469"/>
      <c r="AP64" s="469"/>
      <c r="AQ64" s="469"/>
      <c r="AR64" s="580"/>
      <c r="AS64" s="469"/>
      <c r="AT64" s="469"/>
      <c r="AU64" s="469"/>
      <c r="AV64" s="469"/>
      <c r="AW64" s="580"/>
      <c r="AX64" s="469"/>
      <c r="AY64" s="469"/>
      <c r="AZ64" s="469"/>
      <c r="BA64" s="469"/>
      <c r="BB64" s="580"/>
      <c r="BC64" s="469"/>
      <c r="BD64" s="469"/>
      <c r="BE64" s="469"/>
      <c r="BF64" s="469"/>
      <c r="BG64" s="580"/>
      <c r="BH64" s="469"/>
      <c r="BI64" s="469"/>
      <c r="BJ64" s="469"/>
      <c r="BK64" s="469"/>
      <c r="BL64" s="580"/>
      <c r="BM64" s="469"/>
      <c r="BN64" s="469"/>
      <c r="BO64" s="469"/>
      <c r="BP64" s="469"/>
      <c r="BQ64" s="580"/>
      <c r="BR64" s="469"/>
      <c r="BS64" s="469"/>
      <c r="BT64" s="469"/>
      <c r="BU64" s="469"/>
      <c r="BV64" s="580"/>
      <c r="BW64" s="469"/>
      <c r="BX64" s="469"/>
      <c r="BY64" s="469"/>
      <c r="BZ64" s="469"/>
      <c r="CA64" s="583"/>
      <c r="CB64" s="650"/>
      <c r="CC64" s="650"/>
      <c r="CD64" s="650"/>
      <c r="CE64" s="650"/>
      <c r="CF64" s="583"/>
      <c r="CG64" s="650"/>
      <c r="CH64" s="650"/>
      <c r="CI64" s="650"/>
      <c r="CJ64" s="650"/>
      <c r="CK64" s="583"/>
      <c r="CL64" s="532"/>
      <c r="CM64" s="532"/>
      <c r="CN64" s="532"/>
      <c r="CO64" s="532"/>
      <c r="CP64" s="580"/>
      <c r="CQ64" s="532"/>
      <c r="CR64" s="469"/>
      <c r="CS64" s="469"/>
      <c r="CT64" s="469"/>
      <c r="CU64" s="580"/>
      <c r="CV64" s="532"/>
      <c r="CW64" s="532"/>
      <c r="CX64" s="532"/>
      <c r="CY64" s="532"/>
      <c r="CZ64" s="580"/>
      <c r="DA64" s="532"/>
      <c r="DB64" s="532"/>
      <c r="DC64" s="532"/>
      <c r="DD64" s="532"/>
      <c r="DE64" s="580"/>
      <c r="DF64" s="532"/>
      <c r="DG64" s="532"/>
      <c r="DH64" s="532"/>
      <c r="DI64" s="532"/>
      <c r="DJ64" s="580"/>
      <c r="DK64" s="469"/>
      <c r="DL64" s="469"/>
      <c r="DM64" s="469"/>
      <c r="DN64" s="469"/>
      <c r="DO64" s="580"/>
      <c r="DP64" s="469"/>
      <c r="DQ64" s="469"/>
      <c r="DR64" s="469"/>
      <c r="DS64" s="469"/>
      <c r="DT64" s="580"/>
      <c r="DU64" s="469"/>
      <c r="DV64" s="469"/>
      <c r="DW64" s="469"/>
      <c r="DX64" s="469"/>
      <c r="DY64" s="580"/>
    </row>
    <row r="65" spans="1:129" ht="11.25" customHeight="1" outlineLevel="1" x14ac:dyDescent="0.2">
      <c r="A65" s="473"/>
      <c r="B65" s="661" t="s">
        <v>176</v>
      </c>
      <c r="C65" s="469"/>
      <c r="D65" s="469"/>
      <c r="E65" s="469"/>
      <c r="F65" s="469"/>
      <c r="G65" s="469"/>
      <c r="H65" s="469"/>
      <c r="I65" s="580"/>
      <c r="J65" s="469"/>
      <c r="K65" s="469"/>
      <c r="L65" s="469"/>
      <c r="M65" s="469"/>
      <c r="N65" s="580"/>
      <c r="O65" s="469"/>
      <c r="P65" s="469"/>
      <c r="Q65" s="469"/>
      <c r="R65" s="469"/>
      <c r="S65" s="580"/>
      <c r="T65" s="469"/>
      <c r="U65" s="469"/>
      <c r="V65" s="469"/>
      <c r="W65" s="469"/>
      <c r="X65" s="580"/>
      <c r="Y65" s="469"/>
      <c r="Z65" s="469"/>
      <c r="AA65" s="469"/>
      <c r="AB65" s="469"/>
      <c r="AC65" s="580"/>
      <c r="AD65" s="469"/>
      <c r="AE65" s="469"/>
      <c r="AF65" s="469"/>
      <c r="AG65" s="469"/>
      <c r="AH65" s="580"/>
      <c r="AI65" s="469"/>
      <c r="AJ65" s="469"/>
      <c r="AK65" s="469"/>
      <c r="AL65" s="469"/>
      <c r="AM65" s="580"/>
      <c r="AN65" s="469"/>
      <c r="AO65" s="469"/>
      <c r="AP65" s="469"/>
      <c r="AQ65" s="469"/>
      <c r="AR65" s="580"/>
      <c r="AS65" s="469"/>
      <c r="AT65" s="469"/>
      <c r="AU65" s="469"/>
      <c r="AV65" s="469"/>
      <c r="AW65" s="580"/>
      <c r="AX65" s="469"/>
      <c r="AY65" s="469"/>
      <c r="AZ65" s="469"/>
      <c r="BA65" s="469"/>
      <c r="BB65" s="580"/>
      <c r="BC65" s="469"/>
      <c r="BD65" s="469"/>
      <c r="BE65" s="469"/>
      <c r="BF65" s="469"/>
      <c r="BG65" s="580"/>
      <c r="BH65" s="469"/>
      <c r="BI65" s="469"/>
      <c r="BJ65" s="469"/>
      <c r="BK65" s="469"/>
      <c r="BL65" s="662">
        <f t="shared" ref="BL65:CZ65" si="102">BL67+BL32</f>
        <v>2391.3000000000002</v>
      </c>
      <c r="BM65" s="663">
        <f t="shared" si="102"/>
        <v>668.4</v>
      </c>
      <c r="BN65" s="663">
        <f t="shared" si="102"/>
        <v>746</v>
      </c>
      <c r="BO65" s="663">
        <f t="shared" si="102"/>
        <v>793.7</v>
      </c>
      <c r="BP65" s="663">
        <f t="shared" si="102"/>
        <v>901.4</v>
      </c>
      <c r="BQ65" s="662">
        <f t="shared" si="102"/>
        <v>3112</v>
      </c>
      <c r="BR65" s="663">
        <f t="shared" si="102"/>
        <v>625.29999999999995</v>
      </c>
      <c r="BS65" s="663">
        <f t="shared" si="102"/>
        <v>779.09999999999991</v>
      </c>
      <c r="BT65" s="663">
        <f t="shared" si="102"/>
        <v>876.7</v>
      </c>
      <c r="BU65" s="663">
        <f t="shared" si="102"/>
        <v>915</v>
      </c>
      <c r="BV65" s="662">
        <f t="shared" si="102"/>
        <v>3195.2999999999997</v>
      </c>
      <c r="BW65" s="663">
        <f t="shared" si="102"/>
        <v>613</v>
      </c>
      <c r="BX65" s="663">
        <f t="shared" si="102"/>
        <v>657</v>
      </c>
      <c r="BY65" s="663">
        <f t="shared" si="102"/>
        <v>711</v>
      </c>
      <c r="BZ65" s="663">
        <f t="shared" si="102"/>
        <v>663</v>
      </c>
      <c r="CA65" s="662">
        <f t="shared" si="102"/>
        <v>2644</v>
      </c>
      <c r="CB65" s="663">
        <f t="shared" si="102"/>
        <v>461</v>
      </c>
      <c r="CC65" s="663">
        <f t="shared" si="102"/>
        <v>519</v>
      </c>
      <c r="CD65" s="664">
        <f t="shared" si="102"/>
        <v>727</v>
      </c>
      <c r="CE65" s="664">
        <f t="shared" si="102"/>
        <v>772.4</v>
      </c>
      <c r="CF65" s="665">
        <f t="shared" si="102"/>
        <v>2479.4</v>
      </c>
      <c r="CG65" s="664">
        <f t="shared" si="102"/>
        <v>396</v>
      </c>
      <c r="CH65" s="664">
        <f t="shared" si="102"/>
        <v>543.1</v>
      </c>
      <c r="CI65" s="664">
        <f t="shared" si="102"/>
        <v>807.5</v>
      </c>
      <c r="CJ65" s="664">
        <f t="shared" si="102"/>
        <v>1040</v>
      </c>
      <c r="CK65" s="665">
        <f t="shared" si="102"/>
        <v>2786.6</v>
      </c>
      <c r="CL65" s="664">
        <f t="shared" ca="1" si="102"/>
        <v>505.78486997635935</v>
      </c>
      <c r="CM65" s="664">
        <f t="shared" si="102"/>
        <v>687.2</v>
      </c>
      <c r="CN65" s="664">
        <f>CN67+CN32</f>
        <v>999.3</v>
      </c>
      <c r="CO65" s="664">
        <f>CO67+CO32</f>
        <v>884.99999999999989</v>
      </c>
      <c r="CP65" s="665">
        <f t="shared" ca="1" si="102"/>
        <v>3077.284869976359</v>
      </c>
      <c r="CQ65" s="664">
        <f>CQ67+CQ32</f>
        <v>620</v>
      </c>
      <c r="CR65" s="664">
        <f>CR67+CR32</f>
        <v>864.90000000000009</v>
      </c>
      <c r="CS65" s="664">
        <f>CS67+CS32</f>
        <v>1071</v>
      </c>
      <c r="CT65" s="664">
        <f>CT67+CT32</f>
        <v>907.50000000000011</v>
      </c>
      <c r="CU65" s="665">
        <f t="shared" si="102"/>
        <v>3463.3999999999996</v>
      </c>
      <c r="CV65" s="664">
        <f t="shared" si="102"/>
        <v>754.10000000000014</v>
      </c>
      <c r="CW65" s="664">
        <f>CW67+CW32</f>
        <v>956.5</v>
      </c>
      <c r="CX65" s="664">
        <f>CX67+CX32</f>
        <v>1160.6210536400008</v>
      </c>
      <c r="CY65" s="664">
        <f>CY67+CY32</f>
        <v>1145.220692440002</v>
      </c>
      <c r="CZ65" s="665">
        <f t="shared" si="102"/>
        <v>4016.4417460800032</v>
      </c>
      <c r="DA65" s="664">
        <f t="shared" ref="DA65:DT65" si="103">DA67+DA32</f>
        <v>788.27099999999996</v>
      </c>
      <c r="DB65" s="664">
        <f t="shared" si="103"/>
        <v>1043.0999999999999</v>
      </c>
      <c r="DC65" s="664">
        <f t="shared" si="103"/>
        <v>1451.8</v>
      </c>
      <c r="DD65" s="664">
        <f t="shared" si="103"/>
        <v>1292.6000000000001</v>
      </c>
      <c r="DE65" s="665">
        <f t="shared" si="103"/>
        <v>4575.7709999999988</v>
      </c>
      <c r="DF65" s="664">
        <f t="shared" si="103"/>
        <v>788.5</v>
      </c>
      <c r="DG65" s="664">
        <f>DG67+DG32</f>
        <v>1123.9276798600001</v>
      </c>
      <c r="DH65" s="664">
        <f>DH67+DH32</f>
        <v>1342.9671060000001</v>
      </c>
      <c r="DI65" s="2795">
        <f>DI67+DI32</f>
        <v>1641.4122920589714</v>
      </c>
      <c r="DJ65" s="665">
        <f t="shared" si="103"/>
        <v>4896.807077918972</v>
      </c>
      <c r="DK65" s="664">
        <f t="shared" ca="1" si="103"/>
        <v>866.53098298736631</v>
      </c>
      <c r="DL65" s="664">
        <f t="shared" ca="1" si="103"/>
        <v>1232.1645348761936</v>
      </c>
      <c r="DM65" s="664">
        <f t="shared" ca="1" si="103"/>
        <v>1462.6445110989073</v>
      </c>
      <c r="DN65" s="664">
        <f t="shared" ca="1" si="103"/>
        <v>1457.3647596193946</v>
      </c>
      <c r="DO65" s="665">
        <f t="shared" ca="1" si="103"/>
        <v>5018.7047885818611</v>
      </c>
      <c r="DP65" s="664">
        <f t="shared" ca="1" si="103"/>
        <v>932.29460424004765</v>
      </c>
      <c r="DQ65" s="664">
        <f t="shared" ca="1" si="103"/>
        <v>1285.8212043006433</v>
      </c>
      <c r="DR65" s="664">
        <f t="shared" ca="1" si="103"/>
        <v>1528.8544520629293</v>
      </c>
      <c r="DS65" s="664">
        <f t="shared" ca="1" si="103"/>
        <v>1523.4602996049082</v>
      </c>
      <c r="DT65" s="665">
        <f t="shared" ca="1" si="103"/>
        <v>5270.4305602085296</v>
      </c>
      <c r="DU65" s="664">
        <f t="shared" ref="DU65:DY65" ca="1" si="104">DU67+DU32</f>
        <v>990.26381098848196</v>
      </c>
      <c r="DV65" s="664">
        <f t="shared" ca="1" si="104"/>
        <v>1364.7853761523806</v>
      </c>
      <c r="DW65" s="664">
        <f t="shared" ca="1" si="104"/>
        <v>1622.0962926797661</v>
      </c>
      <c r="DX65" s="664">
        <f t="shared" ca="1" si="104"/>
        <v>1616.1712276329838</v>
      </c>
      <c r="DY65" s="665">
        <f t="shared" ca="1" si="104"/>
        <v>5593.3167074536123</v>
      </c>
    </row>
    <row r="66" spans="1:129" ht="6.75" customHeight="1" outlineLevel="1" x14ac:dyDescent="0.2">
      <c r="A66" s="473"/>
      <c r="B66" s="579"/>
      <c r="C66" s="469"/>
      <c r="D66" s="469"/>
      <c r="E66" s="469"/>
      <c r="F66" s="469"/>
      <c r="G66" s="469"/>
      <c r="H66" s="469"/>
      <c r="I66" s="580"/>
      <c r="J66" s="469"/>
      <c r="K66" s="469"/>
      <c r="L66" s="469"/>
      <c r="M66" s="469"/>
      <c r="N66" s="580"/>
      <c r="O66" s="469"/>
      <c r="P66" s="469"/>
      <c r="Q66" s="469"/>
      <c r="R66" s="469"/>
      <c r="S66" s="580"/>
      <c r="T66" s="469"/>
      <c r="U66" s="469"/>
      <c r="V66" s="469"/>
      <c r="W66" s="469"/>
      <c r="X66" s="580"/>
      <c r="Y66" s="469"/>
      <c r="Z66" s="469"/>
      <c r="AA66" s="469"/>
      <c r="AB66" s="469"/>
      <c r="AC66" s="580"/>
      <c r="AD66" s="469"/>
      <c r="AE66" s="469"/>
      <c r="AF66" s="469"/>
      <c r="AG66" s="469"/>
      <c r="AH66" s="580"/>
      <c r="AI66" s="469"/>
      <c r="AJ66" s="469"/>
      <c r="AK66" s="469"/>
      <c r="AL66" s="469"/>
      <c r="AM66" s="580"/>
      <c r="AN66" s="469"/>
      <c r="AO66" s="469"/>
      <c r="AP66" s="469"/>
      <c r="AQ66" s="469"/>
      <c r="AR66" s="580"/>
      <c r="AS66" s="469"/>
      <c r="AT66" s="469"/>
      <c r="AU66" s="469"/>
      <c r="AV66" s="469"/>
      <c r="AW66" s="580"/>
      <c r="AX66" s="469"/>
      <c r="AY66" s="469"/>
      <c r="AZ66" s="469"/>
      <c r="BA66" s="469"/>
      <c r="BB66" s="580"/>
      <c r="BC66" s="469"/>
      <c r="BD66" s="469"/>
      <c r="BE66" s="469"/>
      <c r="BF66" s="469"/>
      <c r="BG66" s="580"/>
      <c r="BH66" s="469"/>
      <c r="BI66" s="469"/>
      <c r="BJ66" s="469"/>
      <c r="BK66" s="469"/>
      <c r="BL66" s="580"/>
      <c r="BM66" s="469"/>
      <c r="BN66" s="469"/>
      <c r="BO66" s="469"/>
      <c r="BP66" s="469"/>
      <c r="BQ66" s="580"/>
      <c r="BR66" s="469"/>
      <c r="BS66" s="469"/>
      <c r="BT66" s="469"/>
      <c r="BU66" s="469"/>
      <c r="BV66" s="580"/>
      <c r="BW66" s="469"/>
      <c r="BX66" s="469"/>
      <c r="BY66" s="469"/>
      <c r="BZ66" s="469"/>
      <c r="CA66" s="580"/>
      <c r="CB66" s="469"/>
      <c r="CC66" s="469"/>
      <c r="CD66" s="469"/>
      <c r="CE66" s="469"/>
      <c r="CF66" s="580"/>
      <c r="CG66" s="469"/>
      <c r="CH66" s="469"/>
      <c r="CI66" s="469"/>
      <c r="CJ66" s="469"/>
      <c r="CK66" s="580"/>
      <c r="CL66" s="469"/>
      <c r="CM66" s="469"/>
      <c r="CN66" s="469"/>
      <c r="CO66" s="469"/>
      <c r="CP66" s="580"/>
      <c r="CQ66" s="469"/>
      <c r="CR66" s="469"/>
      <c r="CS66" s="469"/>
      <c r="CT66" s="469"/>
      <c r="CU66" s="580"/>
      <c r="CV66" s="469"/>
      <c r="CW66" s="469"/>
      <c r="CX66" s="469"/>
      <c r="CY66" s="469"/>
      <c r="CZ66" s="580"/>
      <c r="DA66" s="469"/>
      <c r="DB66" s="469"/>
      <c r="DC66" s="469"/>
      <c r="DD66" s="469"/>
      <c r="DE66" s="580"/>
      <c r="DF66" s="469"/>
      <c r="DG66" s="469"/>
      <c r="DH66" s="469"/>
      <c r="DI66" s="469"/>
      <c r="DJ66" s="580"/>
      <c r="DK66" s="469"/>
      <c r="DL66" s="469"/>
      <c r="DM66" s="469"/>
      <c r="DN66" s="469"/>
      <c r="DO66" s="580"/>
      <c r="DP66" s="469"/>
      <c r="DQ66" s="469"/>
      <c r="DR66" s="469"/>
      <c r="DS66" s="469"/>
      <c r="DT66" s="580"/>
      <c r="DU66" s="469"/>
      <c r="DV66" s="469"/>
      <c r="DW66" s="469"/>
      <c r="DX66" s="469"/>
      <c r="DY66" s="580"/>
    </row>
    <row r="67" spans="1:129" outlineLevel="1" x14ac:dyDescent="0.2">
      <c r="A67" s="559"/>
      <c r="B67" s="560" t="s">
        <v>739</v>
      </c>
      <c r="C67" s="666"/>
      <c r="D67" s="666"/>
      <c r="E67" s="666"/>
      <c r="F67" s="666"/>
      <c r="G67" s="666"/>
      <c r="H67" s="666"/>
      <c r="I67" s="667"/>
      <c r="J67" s="666"/>
      <c r="K67" s="666"/>
      <c r="L67" s="666"/>
      <c r="M67" s="666"/>
      <c r="N67" s="667"/>
      <c r="O67" s="666"/>
      <c r="P67" s="666"/>
      <c r="Q67" s="666"/>
      <c r="R67" s="666"/>
      <c r="S67" s="667"/>
      <c r="T67" s="666"/>
      <c r="U67" s="666"/>
      <c r="V67" s="666"/>
      <c r="W67" s="666"/>
      <c r="X67" s="667"/>
      <c r="Y67" s="666"/>
      <c r="Z67" s="666"/>
      <c r="AA67" s="666"/>
      <c r="AB67" s="666"/>
      <c r="AC67" s="667"/>
      <c r="AD67" s="666"/>
      <c r="AE67" s="666"/>
      <c r="AF67" s="666"/>
      <c r="AG67" s="666"/>
      <c r="AH67" s="667"/>
      <c r="AI67" s="666"/>
      <c r="AJ67" s="666"/>
      <c r="AK67" s="666"/>
      <c r="AL67" s="666"/>
      <c r="AM67" s="667"/>
      <c r="AN67" s="666"/>
      <c r="AO67" s="666"/>
      <c r="AP67" s="666"/>
      <c r="AQ67" s="666"/>
      <c r="AR67" s="667"/>
      <c r="AS67" s="666"/>
      <c r="AT67" s="666"/>
      <c r="AU67" s="666"/>
      <c r="AV67" s="666"/>
      <c r="AW67" s="667"/>
      <c r="AX67" s="666"/>
      <c r="AY67" s="666"/>
      <c r="AZ67" s="666"/>
      <c r="BA67" s="666"/>
      <c r="BB67" s="667"/>
      <c r="BC67" s="666"/>
      <c r="BD67" s="666"/>
      <c r="BE67" s="666"/>
      <c r="BF67" s="666"/>
      <c r="BG67" s="667"/>
      <c r="BH67" s="565">
        <f t="shared" ref="BH67:CZ67" si="105">BH60-BH63</f>
        <v>101.6</v>
      </c>
      <c r="BI67" s="565">
        <f t="shared" si="105"/>
        <v>582</v>
      </c>
      <c r="BJ67" s="565">
        <f t="shared" si="105"/>
        <v>654.70000000000005</v>
      </c>
      <c r="BK67" s="565">
        <f t="shared" si="105"/>
        <v>754.7</v>
      </c>
      <c r="BL67" s="564">
        <f t="shared" si="105"/>
        <v>2102</v>
      </c>
      <c r="BM67" s="565">
        <f t="shared" si="105"/>
        <v>581.9</v>
      </c>
      <c r="BN67" s="565">
        <f t="shared" si="105"/>
        <v>658.4</v>
      </c>
      <c r="BO67" s="565">
        <f t="shared" si="105"/>
        <v>705.5</v>
      </c>
      <c r="BP67" s="565">
        <f t="shared" si="105"/>
        <v>808.69999999999993</v>
      </c>
      <c r="BQ67" s="564">
        <f t="shared" si="105"/>
        <v>2755</v>
      </c>
      <c r="BR67" s="565">
        <f t="shared" si="105"/>
        <v>530.9</v>
      </c>
      <c r="BS67" s="565">
        <f t="shared" si="105"/>
        <v>686.8</v>
      </c>
      <c r="BT67" s="565">
        <f t="shared" si="105"/>
        <v>785.5</v>
      </c>
      <c r="BU67" s="565">
        <f t="shared" si="105"/>
        <v>815</v>
      </c>
      <c r="BV67" s="564">
        <f t="shared" si="105"/>
        <v>2818.2999999999997</v>
      </c>
      <c r="BW67" s="565">
        <f t="shared" si="105"/>
        <v>515</v>
      </c>
      <c r="BX67" s="565">
        <f t="shared" si="105"/>
        <v>561</v>
      </c>
      <c r="BY67" s="565">
        <f t="shared" si="105"/>
        <v>613</v>
      </c>
      <c r="BZ67" s="565">
        <f t="shared" si="105"/>
        <v>565</v>
      </c>
      <c r="CA67" s="564">
        <f t="shared" si="105"/>
        <v>2254</v>
      </c>
      <c r="CB67" s="565">
        <f t="shared" si="105"/>
        <v>362</v>
      </c>
      <c r="CC67" s="565">
        <f t="shared" si="105"/>
        <v>412</v>
      </c>
      <c r="CD67" s="561">
        <f t="shared" si="105"/>
        <v>615</v>
      </c>
      <c r="CE67" s="561">
        <f t="shared" si="105"/>
        <v>656.5</v>
      </c>
      <c r="CF67" s="577">
        <f t="shared" si="105"/>
        <v>2045.5</v>
      </c>
      <c r="CG67" s="561">
        <f t="shared" si="105"/>
        <v>274</v>
      </c>
      <c r="CH67" s="561">
        <f t="shared" si="105"/>
        <v>414.1</v>
      </c>
      <c r="CI67" s="561">
        <f t="shared" si="105"/>
        <v>678</v>
      </c>
      <c r="CJ67" s="561">
        <f t="shared" si="105"/>
        <v>903</v>
      </c>
      <c r="CK67" s="577">
        <f t="shared" si="105"/>
        <v>2269.1</v>
      </c>
      <c r="CL67" s="561">
        <f t="shared" si="105"/>
        <v>361</v>
      </c>
      <c r="CM67" s="561">
        <f t="shared" si="105"/>
        <v>547.9</v>
      </c>
      <c r="CN67" s="561">
        <f>CN60-CN63</f>
        <v>857.5</v>
      </c>
      <c r="CO67" s="561">
        <f>CO60-CO63</f>
        <v>742.89999999999986</v>
      </c>
      <c r="CP67" s="577">
        <f t="shared" ca="1" si="105"/>
        <v>2509.2999999999997</v>
      </c>
      <c r="CQ67" s="561">
        <f>CQ60-CQ63</f>
        <v>464.5</v>
      </c>
      <c r="CR67" s="561">
        <f>CR60-CR63</f>
        <v>708.2</v>
      </c>
      <c r="CS67" s="561">
        <f>CS60-CS63</f>
        <v>914.80000000000007</v>
      </c>
      <c r="CT67" s="561">
        <f>CT60-CT63</f>
        <v>746.10000000000014</v>
      </c>
      <c r="CU67" s="577">
        <f t="shared" si="105"/>
        <v>2833.6</v>
      </c>
      <c r="CV67" s="561">
        <f>CV34+CV49</f>
        <v>594.00000000000011</v>
      </c>
      <c r="CW67" s="561">
        <f>CW34+CW49</f>
        <v>796.4</v>
      </c>
      <c r="CX67" s="561">
        <f>CX34+CX49</f>
        <v>996.65663961000087</v>
      </c>
      <c r="CY67" s="561">
        <f>CY34+CY49</f>
        <v>974.99370070000214</v>
      </c>
      <c r="CZ67" s="577">
        <f t="shared" si="105"/>
        <v>3362.0503403100033</v>
      </c>
      <c r="DA67" s="561">
        <f>DA34+DA49</f>
        <v>610.27099999999996</v>
      </c>
      <c r="DB67" s="561">
        <f>DB34+DB49</f>
        <v>865.5</v>
      </c>
      <c r="DC67" s="561">
        <f>DC34+DC49</f>
        <v>1272.8</v>
      </c>
      <c r="DD67" s="561">
        <f>DD34+DD49</f>
        <v>1113.7</v>
      </c>
      <c r="DE67" s="577">
        <f>DE60-DE63</f>
        <v>3862.2709999999988</v>
      </c>
      <c r="DF67" s="561">
        <f>DF34+DF49</f>
        <v>608.20000000000005</v>
      </c>
      <c r="DG67" s="561">
        <f>DG34+DG49</f>
        <v>945.12767986000017</v>
      </c>
      <c r="DH67" s="561">
        <f>DH34+DH49</f>
        <v>1166.55136376</v>
      </c>
      <c r="DI67" s="561">
        <f>DI34+DI49</f>
        <v>1465.2129786589715</v>
      </c>
      <c r="DJ67" s="577">
        <f>DJ60-DJ63</f>
        <v>4185.0920222789719</v>
      </c>
      <c r="DK67" s="561">
        <f ca="1">DK34+DK49</f>
        <v>665.90490604656634</v>
      </c>
      <c r="DL67" s="561">
        <f ca="1">DL34+DL49</f>
        <v>1035.0492118169936</v>
      </c>
      <c r="DM67" s="561">
        <f ca="1">DM34+DM49</f>
        <v>1267.6127240397072</v>
      </c>
      <c r="DN67" s="561">
        <f ca="1">DN34+DN49</f>
        <v>1258.0206384417945</v>
      </c>
      <c r="DO67" s="577">
        <f ca="1">DO60-DO63</f>
        <v>4226.5874803450615</v>
      </c>
      <c r="DP67" s="561">
        <f ca="1">DP34+DP49</f>
        <v>732.32929784324767</v>
      </c>
      <c r="DQ67" s="561">
        <f ca="1">DQ34+DQ49</f>
        <v>1087.3735975614434</v>
      </c>
      <c r="DR67" s="561">
        <f ca="1">DR34+DR49</f>
        <v>1329.9794976757294</v>
      </c>
      <c r="DS67" s="561">
        <f ca="1">DS34+DS49</f>
        <v>1325.2392753113081</v>
      </c>
      <c r="DT67" s="577">
        <f ca="1">DT60-DT63</f>
        <v>4474.9216683917293</v>
      </c>
      <c r="DU67" s="561">
        <f ca="1">DU34+DU49</f>
        <v>791.22083994083391</v>
      </c>
      <c r="DV67" s="561">
        <f ca="1">DV34+DV49</f>
        <v>1167.1436791985886</v>
      </c>
      <c r="DW67" s="561">
        <f ca="1">DW34+DW49</f>
        <v>1423.9826662257501</v>
      </c>
      <c r="DX67" s="561">
        <f ca="1">DX34+DX49</f>
        <v>1418.4636398898078</v>
      </c>
      <c r="DY67" s="577">
        <f ca="1">DY60-DY63</f>
        <v>4800.81082525498</v>
      </c>
    </row>
    <row r="68" spans="1:129" outlineLevel="1" x14ac:dyDescent="0.2">
      <c r="A68" s="473"/>
      <c r="B68" s="579" t="s">
        <v>729</v>
      </c>
      <c r="C68" s="469"/>
      <c r="D68" s="469"/>
      <c r="E68" s="469"/>
      <c r="F68" s="469"/>
      <c r="G68" s="469"/>
      <c r="H68" s="469"/>
      <c r="I68" s="580"/>
      <c r="J68" s="469"/>
      <c r="K68" s="469"/>
      <c r="L68" s="469"/>
      <c r="M68" s="469"/>
      <c r="N68" s="580"/>
      <c r="O68" s="469"/>
      <c r="P68" s="469"/>
      <c r="Q68" s="469"/>
      <c r="R68" s="469"/>
      <c r="S68" s="580"/>
      <c r="T68" s="469"/>
      <c r="U68" s="469"/>
      <c r="V68" s="469"/>
      <c r="W68" s="469"/>
      <c r="X68" s="580"/>
      <c r="Y68" s="469"/>
      <c r="Z68" s="469"/>
      <c r="AA68" s="469"/>
      <c r="AB68" s="469"/>
      <c r="AC68" s="580"/>
      <c r="AD68" s="469"/>
      <c r="AE68" s="469"/>
      <c r="AF68" s="469"/>
      <c r="AG68" s="469"/>
      <c r="AH68" s="580"/>
      <c r="AI68" s="469"/>
      <c r="AJ68" s="469"/>
      <c r="AK68" s="469"/>
      <c r="AL68" s="469"/>
      <c r="AM68" s="580"/>
      <c r="AN68" s="469"/>
      <c r="AO68" s="469"/>
      <c r="AP68" s="469"/>
      <c r="AQ68" s="469"/>
      <c r="AR68" s="580"/>
      <c r="AS68" s="469"/>
      <c r="AT68" s="469"/>
      <c r="AU68" s="469"/>
      <c r="AV68" s="469"/>
      <c r="AW68" s="580"/>
      <c r="AX68" s="469"/>
      <c r="AY68" s="469"/>
      <c r="AZ68" s="469"/>
      <c r="BA68" s="469"/>
      <c r="BB68" s="580"/>
      <c r="BC68" s="469"/>
      <c r="BD68" s="469"/>
      <c r="BE68" s="469"/>
      <c r="BF68" s="469"/>
      <c r="BG68" s="580"/>
      <c r="BH68" s="581">
        <f>BH67/BH55</f>
        <v>5.2225763339159036E-2</v>
      </c>
      <c r="BI68" s="581">
        <f>BI67/BI55</f>
        <v>6.1563848692561561E-2</v>
      </c>
      <c r="BJ68" s="581">
        <f>BJ67/BJ55</f>
        <v>6.8654900850452491E-2</v>
      </c>
      <c r="BK68" s="581">
        <f>BK67/BK55</f>
        <v>7.3244111452945015E-2</v>
      </c>
      <c r="BL68" s="582">
        <f t="shared" ref="BL68:CZ68" si="106">BL67/BL$55</f>
        <v>6.7279070511794659E-2</v>
      </c>
      <c r="BM68" s="581">
        <f t="shared" si="106"/>
        <v>6.1379266697607696E-2</v>
      </c>
      <c r="BN68" s="581">
        <f t="shared" si="106"/>
        <v>7.0270558727786953E-2</v>
      </c>
      <c r="BO68" s="581">
        <f t="shared" si="106"/>
        <v>7.5686055742699612E-2</v>
      </c>
      <c r="BP68" s="581">
        <f t="shared" si="106"/>
        <v>7.8433084077705675E-2</v>
      </c>
      <c r="BQ68" s="582">
        <f t="shared" si="106"/>
        <v>7.1591913102229621E-2</v>
      </c>
      <c r="BR68" s="581">
        <f t="shared" si="106"/>
        <v>5.3642517934727685E-2</v>
      </c>
      <c r="BS68" s="581">
        <f t="shared" si="106"/>
        <v>6.2019703988658026E-2</v>
      </c>
      <c r="BT68" s="581">
        <f t="shared" si="106"/>
        <v>7.1172926199429151E-2</v>
      </c>
      <c r="BU68" s="581">
        <f t="shared" si="106"/>
        <v>7.1698777161960062E-2</v>
      </c>
      <c r="BV68" s="582">
        <f t="shared" si="106"/>
        <v>6.4976114943376725E-2</v>
      </c>
      <c r="BW68" s="581">
        <f t="shared" si="106"/>
        <v>5.2647720302596603E-2</v>
      </c>
      <c r="BX68" s="581">
        <f t="shared" si="106"/>
        <v>5.7858910891089112E-2</v>
      </c>
      <c r="BY68" s="581">
        <f t="shared" si="106"/>
        <v>6.3091807328118574E-2</v>
      </c>
      <c r="BZ68" s="581">
        <f t="shared" si="106"/>
        <v>5.7220984403483895E-2</v>
      </c>
      <c r="CA68" s="582">
        <f t="shared" si="106"/>
        <v>5.7694276645848266E-2</v>
      </c>
      <c r="CB68" s="581">
        <f t="shared" si="106"/>
        <v>3.205525546798902E-2</v>
      </c>
      <c r="CC68" s="581">
        <f t="shared" si="106"/>
        <v>3.4906379733965938E-2</v>
      </c>
      <c r="CD68" s="468">
        <f t="shared" si="106"/>
        <v>5.1331274517986809E-2</v>
      </c>
      <c r="CE68" s="468">
        <f t="shared" si="106"/>
        <v>5.1191877919262656E-2</v>
      </c>
      <c r="CF68" s="580">
        <f t="shared" si="106"/>
        <v>4.2702390123023799E-2</v>
      </c>
      <c r="CG68" s="468">
        <f t="shared" si="106"/>
        <v>1.8546094490320835E-2</v>
      </c>
      <c r="CH68" s="468">
        <f t="shared" si="106"/>
        <v>2.7851012886389928E-2</v>
      </c>
      <c r="CI68" s="468">
        <f t="shared" si="106"/>
        <v>4.6049146256978694E-2</v>
      </c>
      <c r="CJ68" s="468">
        <f t="shared" si="106"/>
        <v>5.9745930924970228E-2</v>
      </c>
      <c r="CK68" s="580">
        <f t="shared" si="106"/>
        <v>3.8149085908157049E-2</v>
      </c>
      <c r="CL68" s="468">
        <f t="shared" si="106"/>
        <v>2.4537792278412181E-2</v>
      </c>
      <c r="CM68" s="468">
        <f t="shared" si="106"/>
        <v>3.6263634438208195E-2</v>
      </c>
      <c r="CN68" s="468">
        <f t="shared" si="106"/>
        <v>5.4673204072914601E-2</v>
      </c>
      <c r="CO68" s="468">
        <f>CO67/CO$55</f>
        <v>4.7506378733717436E-2</v>
      </c>
      <c r="CP68" s="583">
        <f t="shared" ca="1" si="106"/>
        <v>4.1039991626160399E-2</v>
      </c>
      <c r="CQ68" s="468">
        <f>CQ67/CQ$55</f>
        <v>2.8656742200368932E-2</v>
      </c>
      <c r="CR68" s="468">
        <f>CR67/CR$55</f>
        <v>3.9940895145280625E-2</v>
      </c>
      <c r="CS68" s="468">
        <f>CS67/CS$55</f>
        <v>5.0066770288316305E-2</v>
      </c>
      <c r="CT68" s="468">
        <f>CT67/CT$55</f>
        <v>3.8543598539052454E-2</v>
      </c>
      <c r="CU68" s="580">
        <f t="shared" si="106"/>
        <v>3.9592450383684592E-2</v>
      </c>
      <c r="CV68" s="468">
        <f t="shared" si="106"/>
        <v>3.0648889622719392E-2</v>
      </c>
      <c r="CW68" s="468">
        <f>CW67/CW$55</f>
        <v>3.9966276572254454E-2</v>
      </c>
      <c r="CX68" s="468">
        <f>CX67/CX$55</f>
        <v>4.8073659200129126E-2</v>
      </c>
      <c r="CY68" s="468">
        <f>CY67/CY$55</f>
        <v>4.5897313472357044E-2</v>
      </c>
      <c r="CZ68" s="580">
        <f t="shared" si="106"/>
        <v>4.136258610057187E-2</v>
      </c>
      <c r="DA68" s="468">
        <f t="shared" ref="DA68:DT68" si="107">DA67/DA$55</f>
        <v>2.6415227459637276E-2</v>
      </c>
      <c r="DB68" s="468">
        <f t="shared" si="107"/>
        <v>3.6478045737695246E-2</v>
      </c>
      <c r="DC68" s="468">
        <f t="shared" si="107"/>
        <v>5.2009823351299223E-2</v>
      </c>
      <c r="DD68" s="468">
        <f t="shared" si="107"/>
        <v>4.4328485340593388E-2</v>
      </c>
      <c r="DE68" s="580">
        <f t="shared" si="107"/>
        <v>4.0054331931910332E-2</v>
      </c>
      <c r="DF68" s="468">
        <f t="shared" si="107"/>
        <v>2.416071123540605E-2</v>
      </c>
      <c r="DG68" s="468">
        <f>DG67/DG$55</f>
        <v>3.6169218528942837E-2</v>
      </c>
      <c r="DH68" s="468">
        <f>DH67/DH$55</f>
        <v>4.3875161599317501E-2</v>
      </c>
      <c r="DI68" s="468">
        <f>DI67/DI$55</f>
        <v>5.3327595225252385E-2</v>
      </c>
      <c r="DJ68" s="580">
        <f t="shared" si="107"/>
        <v>3.971901478507725E-2</v>
      </c>
      <c r="DK68" s="468">
        <f t="shared" ca="1" si="107"/>
        <v>2.6191766860139885E-2</v>
      </c>
      <c r="DL68" s="468">
        <f t="shared" ca="1" si="107"/>
        <v>3.7572130268642145E-2</v>
      </c>
      <c r="DM68" s="468">
        <f t="shared" ca="1" si="107"/>
        <v>4.5885647754497036E-2</v>
      </c>
      <c r="DN68" s="468">
        <f t="shared" ca="1" si="107"/>
        <v>4.4735945867369356E-2</v>
      </c>
      <c r="DO68" s="580">
        <f t="shared" ca="1" si="107"/>
        <v>3.887624394062833E-2</v>
      </c>
      <c r="DP68" s="468">
        <f t="shared" ca="1" si="107"/>
        <v>2.6582705863083655E-2</v>
      </c>
      <c r="DQ68" s="468">
        <f t="shared" ca="1" si="107"/>
        <v>3.6469655899157488E-2</v>
      </c>
      <c r="DR68" s="468">
        <f t="shared" ca="1" si="107"/>
        <v>4.452927397665777E-2</v>
      </c>
      <c r="DS68" s="468">
        <f t="shared" ca="1" si="107"/>
        <v>4.3642581808762064E-2</v>
      </c>
      <c r="DT68" s="580">
        <f t="shared" ca="1" si="107"/>
        <v>3.8052636229632189E-2</v>
      </c>
      <c r="DU68" s="468">
        <f t="shared" ref="DU68:DY68" ca="1" si="108">DU67/DU$55</f>
        <v>2.7479913718963359E-2</v>
      </c>
      <c r="DV68" s="468">
        <f t="shared" ca="1" si="108"/>
        <v>3.7520190528277368E-2</v>
      </c>
      <c r="DW68" s="468">
        <f t="shared" ca="1" si="108"/>
        <v>4.5754450629082608E-2</v>
      </c>
      <c r="DX68" s="468">
        <f t="shared" ca="1" si="108"/>
        <v>4.4891640732237836E-2</v>
      </c>
      <c r="DY68" s="580">
        <f t="shared" ca="1" si="108"/>
        <v>3.9152080855761037E-2</v>
      </c>
    </row>
    <row r="69" spans="1:129" outlineLevel="1" x14ac:dyDescent="0.2">
      <c r="A69" s="473"/>
      <c r="B69" s="579"/>
      <c r="C69" s="469"/>
      <c r="D69" s="469"/>
      <c r="E69" s="469"/>
      <c r="F69" s="469"/>
      <c r="G69" s="469"/>
      <c r="H69" s="469"/>
      <c r="I69" s="580"/>
      <c r="J69" s="469"/>
      <c r="K69" s="469"/>
      <c r="L69" s="469"/>
      <c r="M69" s="469"/>
      <c r="N69" s="580"/>
      <c r="O69" s="469"/>
      <c r="P69" s="469"/>
      <c r="Q69" s="469"/>
      <c r="R69" s="469"/>
      <c r="S69" s="580"/>
      <c r="T69" s="469"/>
      <c r="U69" s="469"/>
      <c r="V69" s="469"/>
      <c r="W69" s="469"/>
      <c r="X69" s="580"/>
      <c r="Y69" s="469"/>
      <c r="Z69" s="469"/>
      <c r="AA69" s="469"/>
      <c r="AB69" s="469"/>
      <c r="AC69" s="580"/>
      <c r="AD69" s="469"/>
      <c r="AE69" s="469"/>
      <c r="AF69" s="469"/>
      <c r="AG69" s="469"/>
      <c r="AH69" s="580"/>
      <c r="AI69" s="469"/>
      <c r="AJ69" s="469"/>
      <c r="AK69" s="469"/>
      <c r="AL69" s="469"/>
      <c r="AM69" s="580"/>
      <c r="AN69" s="469"/>
      <c r="AO69" s="469"/>
      <c r="AP69" s="469"/>
      <c r="AQ69" s="469"/>
      <c r="AR69" s="580"/>
      <c r="AS69" s="469"/>
      <c r="AT69" s="469"/>
      <c r="AU69" s="469"/>
      <c r="AV69" s="469"/>
      <c r="AW69" s="580"/>
      <c r="AX69" s="469"/>
      <c r="AY69" s="469"/>
      <c r="AZ69" s="469"/>
      <c r="BA69" s="469"/>
      <c r="BB69" s="580"/>
      <c r="BC69" s="469"/>
      <c r="BD69" s="469"/>
      <c r="BE69" s="469"/>
      <c r="BF69" s="469"/>
      <c r="BG69" s="580"/>
      <c r="BH69" s="469"/>
      <c r="BI69" s="469"/>
      <c r="BJ69" s="469"/>
      <c r="BK69" s="469"/>
      <c r="BL69" s="580"/>
      <c r="BM69" s="469"/>
      <c r="BN69" s="469"/>
      <c r="BO69" s="469"/>
      <c r="BP69" s="469"/>
      <c r="BQ69" s="580"/>
      <c r="BR69" s="469"/>
      <c r="BS69" s="469"/>
      <c r="BT69" s="469"/>
      <c r="BU69" s="469"/>
      <c r="BV69" s="580"/>
      <c r="BW69" s="469"/>
      <c r="BX69" s="469"/>
      <c r="BY69" s="469"/>
      <c r="BZ69" s="469"/>
      <c r="CA69" s="580"/>
      <c r="CB69" s="469"/>
      <c r="CC69" s="469"/>
      <c r="CD69" s="469"/>
      <c r="CE69" s="469"/>
      <c r="CF69" s="580"/>
      <c r="CG69" s="469"/>
      <c r="CH69" s="469"/>
      <c r="CI69" s="469"/>
      <c r="CJ69" s="469"/>
      <c r="CK69" s="580"/>
      <c r="CL69" s="469"/>
      <c r="CM69" s="469"/>
      <c r="CN69" s="469"/>
      <c r="CO69" s="469"/>
      <c r="CP69" s="580"/>
      <c r="CQ69" s="469"/>
      <c r="CR69" s="469"/>
      <c r="CS69" s="469"/>
      <c r="CT69" s="469"/>
      <c r="CU69" s="580"/>
      <c r="CV69" s="2507">
        <f>CV34+CV49</f>
        <v>594.00000000000011</v>
      </c>
      <c r="CW69" s="469"/>
      <c r="CX69" s="469"/>
      <c r="CY69" s="469"/>
      <c r="CZ69" s="580"/>
      <c r="DA69" s="469"/>
      <c r="DB69" s="469"/>
      <c r="DC69" s="469"/>
      <c r="DD69" s="469"/>
      <c r="DE69" s="580"/>
      <c r="DF69" s="469"/>
      <c r="DG69" s="469"/>
      <c r="DH69" s="469"/>
      <c r="DI69" s="469"/>
      <c r="DJ69" s="580"/>
      <c r="DK69" s="469"/>
      <c r="DL69" s="469"/>
      <c r="DM69" s="469"/>
      <c r="DN69" s="469"/>
      <c r="DO69" s="580"/>
      <c r="DP69" s="469"/>
      <c r="DQ69" s="469"/>
      <c r="DR69" s="469"/>
      <c r="DS69" s="469"/>
      <c r="DT69" s="580"/>
      <c r="DU69" s="469"/>
      <c r="DV69" s="469"/>
      <c r="DW69" s="469"/>
      <c r="DX69" s="469"/>
      <c r="DY69" s="580"/>
    </row>
    <row r="70" spans="1:129" x14ac:dyDescent="0.2">
      <c r="A70" s="668"/>
      <c r="B70" s="669" t="s">
        <v>740</v>
      </c>
      <c r="C70" s="670"/>
      <c r="D70" s="670"/>
      <c r="E70" s="671" t="str">
        <f>IF(ISERROR(IS!E35*IS!E149),"NM",IS!E35*IS!E149)</f>
        <v>NM</v>
      </c>
      <c r="F70" s="671" t="str">
        <f>IF(ISERROR(IS!F35*IS!F149),"NM",IS!F35*IS!F149)</f>
        <v>NM</v>
      </c>
      <c r="G70" s="671" t="str">
        <f>IF(ISERROR(IS!G35*IS!G149),"NM",IS!G35*IS!G149)</f>
        <v>NM</v>
      </c>
      <c r="H70" s="671" t="str">
        <f>IF(ISERROR(IS!H35*IS!H149),"NM",IS!H35*IS!H149)</f>
        <v>NM</v>
      </c>
      <c r="I70" s="672">
        <f>IS!I35*IS!I149</f>
        <v>2.8983705671578874E-3</v>
      </c>
      <c r="J70" s="671" t="str">
        <f>IF(ISERROR(IS!J35*IS!J149),"NM",IS!J35*IS!J149)</f>
        <v>NM</v>
      </c>
      <c r="K70" s="671" t="str">
        <f>IF(ISERROR(IS!K35*IS!K149),"NM",IS!K35*IS!K149)</f>
        <v>NM</v>
      </c>
      <c r="L70" s="671" t="str">
        <f>IF(ISERROR(IS!L35*IS!L149),"NM",IS!L35*IS!L149)</f>
        <v>NM</v>
      </c>
      <c r="M70" s="671" t="str">
        <f>IF(ISERROR(IS!M35*IS!M149),"NM",IS!M35*IS!M149)</f>
        <v>NM</v>
      </c>
      <c r="N70" s="672">
        <f>IS!N35*IS!N149</f>
        <v>5.1436972730773446E-3</v>
      </c>
      <c r="O70" s="671">
        <f>IS!O35*IS!O149</f>
        <v>0</v>
      </c>
      <c r="P70" s="671">
        <f>IS!P35*IS!P149</f>
        <v>0</v>
      </c>
      <c r="Q70" s="671">
        <f>IS!Q35*IS!Q149</f>
        <v>0</v>
      </c>
      <c r="R70" s="671">
        <f>IS!R35*IS!R149</f>
        <v>0</v>
      </c>
      <c r="S70" s="672">
        <f>IS!S35*IS!S149</f>
        <v>9.1568892016754416E-3</v>
      </c>
      <c r="T70" s="671">
        <f>IS!T35*IS!T149</f>
        <v>0</v>
      </c>
      <c r="U70" s="671">
        <f>IS!U35*IS!U149</f>
        <v>0</v>
      </c>
      <c r="V70" s="671">
        <f>IS!V35*IS!V149</f>
        <v>0</v>
      </c>
      <c r="W70" s="671">
        <f>IS!W35*IS!W149</f>
        <v>0</v>
      </c>
      <c r="X70" s="672">
        <f>IS!X35*IS!X149</f>
        <v>1.8579111438683411E-2</v>
      </c>
      <c r="Y70" s="671">
        <f>IS!Y35*IS!Y149</f>
        <v>0</v>
      </c>
      <c r="Z70" s="671">
        <f>IS!Z35*IS!Z149</f>
        <v>0</v>
      </c>
      <c r="AA70" s="671">
        <f>IS!AA35*IS!AA149</f>
        <v>0</v>
      </c>
      <c r="AB70" s="671">
        <f>IS!AB35*IS!AB149</f>
        <v>0</v>
      </c>
      <c r="AC70" s="672">
        <f>IS!AC35*IS!AC149</f>
        <v>2.3434978038012321E-2</v>
      </c>
      <c r="AD70" s="671">
        <f>IS!AD35*IS!AD149</f>
        <v>0</v>
      </c>
      <c r="AE70" s="671">
        <f>IS!AE35*IS!AE149</f>
        <v>0</v>
      </c>
      <c r="AF70" s="671">
        <f>IS!AF35*IS!AF149</f>
        <v>0</v>
      </c>
      <c r="AG70" s="671">
        <f>IS!AG35*IS!AG149</f>
        <v>0</v>
      </c>
      <c r="AH70" s="672">
        <f>IS!AH35*IS!AH149</f>
        <v>1.7325713838704321E-2</v>
      </c>
      <c r="AI70" s="671">
        <f>IS!AI35*IS!AI149</f>
        <v>9.5321790212890486E-3</v>
      </c>
      <c r="AJ70" s="671">
        <f>IS!AJ35*IS!AJ149</f>
        <v>1.297321116136811E-2</v>
      </c>
      <c r="AK70" s="671">
        <f>IS!AK35*IS!AK149</f>
        <v>1.3117711973350665E-2</v>
      </c>
      <c r="AL70" s="671">
        <f>IS!AL35*IS!AL149</f>
        <v>0</v>
      </c>
      <c r="AM70" s="672">
        <f>IS!AM35*IS!AM149</f>
        <v>5.1392584975979233E-2</v>
      </c>
      <c r="AN70" s="671">
        <f>IS!AN35*IS!AN149</f>
        <v>1.7634387610120449E-2</v>
      </c>
      <c r="AO70" s="671">
        <f>IS!AO35*IS!AO149</f>
        <v>1.7030495343158373E-2</v>
      </c>
      <c r="AP70" s="671">
        <f>IS!AP35*IS!AP149</f>
        <v>1.758301322703883E-2</v>
      </c>
      <c r="AQ70" s="671">
        <f>IS!AQ35*IS!AQ149</f>
        <v>0</v>
      </c>
      <c r="AR70" s="672">
        <f>IS!AR35*IS!AR149</f>
        <v>7.2066957041398108E-2</v>
      </c>
      <c r="AS70" s="671">
        <f>IS!AS35*IS!AS149</f>
        <v>1.8090677626283923E-2</v>
      </c>
      <c r="AT70" s="671">
        <f>IS!AT35*IS!AT149</f>
        <v>1.7451334262670516E-2</v>
      </c>
      <c r="AU70" s="671">
        <f>IS!AU35*IS!AU149</f>
        <v>2.3062849926971777E-2</v>
      </c>
      <c r="AV70" s="671">
        <f>IS!AV35*IS!AV149</f>
        <v>0</v>
      </c>
      <c r="AW70" s="672">
        <f>IS!AW35*IS!AW149</f>
        <v>0.10027123894338635</v>
      </c>
      <c r="AX70" s="671">
        <f>IS!AX35*IS!AX149</f>
        <v>3.5430225601946606E-2</v>
      </c>
      <c r="AY70" s="671">
        <f>IS!AY35*IS!AY149</f>
        <v>3.7726502722206304E-2</v>
      </c>
      <c r="AZ70" s="671">
        <f>IS!AZ35*IS!AZ149</f>
        <v>3.7090682596755464E-2</v>
      </c>
      <c r="BA70" s="671">
        <f>IS!BA35*IS!BA149</f>
        <v>0</v>
      </c>
      <c r="BB70" s="672">
        <f>IS!BB35*IS!BB149</f>
        <v>0.15841119427784497</v>
      </c>
      <c r="BC70" s="671">
        <f>IS!BC35*IS!BC149</f>
        <v>3.9442685496838874E-2</v>
      </c>
      <c r="BD70" s="671">
        <f>IS!BD35*IS!BD149</f>
        <v>4.8532662065531515E-2</v>
      </c>
      <c r="BE70" s="671">
        <f>IS!BE35*IS!BE149</f>
        <v>5.7667350089742997E-2</v>
      </c>
      <c r="BF70" s="671">
        <f>IS!BF35*IS!BF149</f>
        <v>6.1138325595116755E-2</v>
      </c>
      <c r="BG70" s="672">
        <f>IS!BG35*IS!BG149</f>
        <v>0.1831633417005688</v>
      </c>
      <c r="BH70" s="671">
        <f>IS!BH35*IS!BH149</f>
        <v>5.9492486376396807E-2</v>
      </c>
      <c r="BI70" s="671">
        <f>IS!BI35*IS!BI149</f>
        <v>0.20743672002084879</v>
      </c>
      <c r="BJ70" s="671">
        <f>IS!BJ35*IS!BJ149</f>
        <v>0.23230776405916853</v>
      </c>
      <c r="BK70" s="671">
        <f>IS!BK35*IS!BK149</f>
        <v>0.27970756223261939</v>
      </c>
      <c r="BL70" s="672">
        <f>IS!BL35*IS!BL149</f>
        <v>0.83844094149410187</v>
      </c>
      <c r="BM70" s="671">
        <f>IS!BM35*IS!BM149</f>
        <v>0.19968269872402566</v>
      </c>
      <c r="BN70" s="671">
        <f>IS!BN35*IS!BN149</f>
        <v>0.23025795751246761</v>
      </c>
      <c r="BO70" s="671">
        <f>IS!BO35*IS!BO149</f>
        <v>0.24903134964308768</v>
      </c>
      <c r="BP70" s="671">
        <f>IS!BP35*IS!BP149</f>
        <v>0.28150258556479485</v>
      </c>
      <c r="BQ70" s="672">
        <f>IS!BQ35*IS!BQ149</f>
        <v>0.96106132044839221</v>
      </c>
      <c r="BR70" s="671">
        <f>IS!BR35*IS!BR149</f>
        <v>0.18004364651271568</v>
      </c>
      <c r="BS70" s="671">
        <f>IS!BS35*IS!BS149</f>
        <v>0.24019540197616174</v>
      </c>
      <c r="BT70" s="671">
        <f>IS!BT35*IS!BT149</f>
        <v>0.28073401651076724</v>
      </c>
      <c r="BU70" s="671">
        <f>IS!BU35*IS!BU149</f>
        <v>0.29990296078202278</v>
      </c>
      <c r="BV70" s="672">
        <f>IS!BV35*IS!BV149</f>
        <v>0.99639960260719962</v>
      </c>
      <c r="BW70" s="671">
        <f>IS!BW35*IS!BW149</f>
        <v>0.19111302529669877</v>
      </c>
      <c r="BX70" s="671">
        <f>IS!BX35*IS!BX149</f>
        <v>0.21034915304288412</v>
      </c>
      <c r="BY70" s="671">
        <f>IS!BY35*IS!BY149</f>
        <v>0.23083507111954935</v>
      </c>
      <c r="BZ70" s="671">
        <f>IS!BZ35*IS!BZ149</f>
        <v>0.22963159289689902</v>
      </c>
      <c r="CA70" s="672">
        <f>IS!CA35*IS!CA149</f>
        <v>0.86349163140723051</v>
      </c>
      <c r="CB70" s="671">
        <f>IS!CB35*IS!CB149</f>
        <v>0.13828745182355978</v>
      </c>
      <c r="CC70" s="671">
        <f>IS!CC35*IS!CC149</f>
        <v>0.16033127096843439</v>
      </c>
      <c r="CD70" s="673">
        <f>IS!CD35*IS!CD149</f>
        <v>0.23881393593828609</v>
      </c>
      <c r="CE70" s="673">
        <f>IS!CE35*IS!CE149</f>
        <v>0.27912181512047024</v>
      </c>
      <c r="CF70" s="674">
        <f>IS!CF35*IS!CF149</f>
        <v>0.81120599334753307</v>
      </c>
      <c r="CG70" s="673">
        <f>IS!CG35*IS!CG149</f>
        <v>0.12569490405241962</v>
      </c>
      <c r="CH70" s="673">
        <f>IS!CH35*IS!CH149</f>
        <v>0.19383348675315176</v>
      </c>
      <c r="CI70" s="673">
        <f>IS!CI35*IS!CI149</f>
        <v>0.29791108395789428</v>
      </c>
      <c r="CJ70" s="673">
        <f>IS!CJ35*IS!CJ149</f>
        <v>0.35763014080989558</v>
      </c>
      <c r="CK70" s="674">
        <f>IS!CK35*IS!CK149</f>
        <v>1.0630907607647353</v>
      </c>
      <c r="CL70" s="673">
        <f>IS!CL35*IS!CL149</f>
        <v>0.18880299650608151</v>
      </c>
      <c r="CM70" s="673">
        <f>IS!CM35*IS!CM149</f>
        <v>0.27016703690886812</v>
      </c>
      <c r="CN70" s="673">
        <f>IS!CN35*IS!CN149</f>
        <v>0.38617481535448284</v>
      </c>
      <c r="CO70" s="673">
        <f>IS!CO35*IS!CO149</f>
        <v>0.36887737831188272</v>
      </c>
      <c r="CP70" s="674">
        <f ca="1">IS!CP35*IS!CP149</f>
        <v>1.2109417558245028</v>
      </c>
      <c r="CQ70" s="673">
        <f>IS!CQ35*IS!CQ149</f>
        <v>0.24265374668565423</v>
      </c>
      <c r="CR70" s="673">
        <f>IS!CR35*IS!CR149</f>
        <v>0.34562532254484546</v>
      </c>
      <c r="CS70" s="673">
        <f>IS!CS35*IS!CS149</f>
        <v>0.43192678548587299</v>
      </c>
      <c r="CT70" s="673">
        <f>IS!CT35*IS!CT149</f>
        <v>0.37303912312763937</v>
      </c>
      <c r="CU70" s="674">
        <f>IS!CU35*IS!CU149</f>
        <v>1.3889010773178865</v>
      </c>
      <c r="CV70" s="673">
        <f>IS!CV35*IS!CV149</f>
        <v>0.30721284389100972</v>
      </c>
      <c r="CW70" s="673">
        <f>IS!CW35*IS!CW149</f>
        <v>0.38690273754377663</v>
      </c>
      <c r="CX70" s="673">
        <f>IS!CX35*IS!CX149</f>
        <v>0.47314990549990021</v>
      </c>
      <c r="CY70" s="673">
        <f>IS!CY35*IS!CY149</f>
        <v>0.47976261796706138</v>
      </c>
      <c r="CZ70" s="674">
        <f>IS!CZ35*IS!CZ149</f>
        <v>1.6474883013087418</v>
      </c>
      <c r="DA70" s="673">
        <f>IS!DA35*IS!DA149</f>
        <v>0.31055705876967926</v>
      </c>
      <c r="DB70" s="673">
        <f>IS!DB35*IS!DB149</f>
        <v>0.42014052018576281</v>
      </c>
      <c r="DC70" s="673">
        <f>IS!DC35*IS!DC149</f>
        <v>0.64856629681296962</v>
      </c>
      <c r="DD70" s="673">
        <f>IS!DD35*IS!DD149</f>
        <v>0.57807071492170914</v>
      </c>
      <c r="DE70" s="674">
        <f>IS!DE35*IS!DE149</f>
        <v>1.944171063423894</v>
      </c>
      <c r="DF70" s="673">
        <f>IS!DF35*IS!DF149</f>
        <v>0.32074061134033849</v>
      </c>
      <c r="DG70" s="673">
        <f>IS!DG35*IS!DG149</f>
        <v>0.48067370358344197</v>
      </c>
      <c r="DH70" s="673">
        <f>IS!DH35*IS!DH149</f>
        <v>0.6045032405189199</v>
      </c>
      <c r="DI70" s="673">
        <v>0.76171068487061189</v>
      </c>
      <c r="DJ70" s="674">
        <f>IS!DJ35*IS!DJ149</f>
        <v>2.0982870883949398</v>
      </c>
      <c r="DK70" s="673">
        <f ca="1">IS!DK35*IS!DK149</f>
        <v>0.40989582569999733</v>
      </c>
      <c r="DL70" s="673">
        <f ca="1">IS!DL35*IS!DL149</f>
        <v>0.55030397016248145</v>
      </c>
      <c r="DM70" s="673">
        <f ca="1">IS!DM35*IS!DM149</f>
        <v>0.70012675482575248</v>
      </c>
      <c r="DN70" s="673">
        <f ca="1">IS!DN35*IS!DN149</f>
        <v>0.74327709330962244</v>
      </c>
      <c r="DO70" s="674">
        <f ca="1">IS!DO35*IS!DO149</f>
        <v>2.4132588881229355</v>
      </c>
      <c r="DP70" s="673">
        <f ca="1">IS!DP35*IS!DP149</f>
        <v>0.3962784518169149</v>
      </c>
      <c r="DQ70" s="673">
        <f ca="1">IS!DQ35*IS!DQ149</f>
        <v>0.59814545307110434</v>
      </c>
      <c r="DR70" s="673">
        <f ca="1">IS!DR35*IS!DR149</f>
        <v>0.74380772849862986</v>
      </c>
      <c r="DS70" s="673">
        <f ca="1">IS!DS35*IS!DS149</f>
        <v>0.79140138049750886</v>
      </c>
      <c r="DT70" s="674">
        <f ca="1">IS!DT35*IS!DT149</f>
        <v>2.5232891800908339</v>
      </c>
      <c r="DU70" s="673">
        <f ca="1">IS!DU35*IS!DU149</f>
        <v>0.43671652145452328</v>
      </c>
      <c r="DV70" s="673">
        <f ca="1">IS!DV35*IS!DV149</f>
        <v>0.65474431057344229</v>
      </c>
      <c r="DW70" s="673">
        <f ca="1">IS!DW35*IS!DW149</f>
        <v>0.81176263325523457</v>
      </c>
      <c r="DX70" s="673">
        <f ca="1">IS!DX35*IS!DX149</f>
        <v>0.85815508366725191</v>
      </c>
      <c r="DY70" s="674">
        <f ca="1">IS!DY35*IS!DY149</f>
        <v>2.7550751523960049</v>
      </c>
    </row>
    <row r="71" spans="1:129" ht="12" thickBot="1" x14ac:dyDescent="0.25">
      <c r="A71" s="668"/>
      <c r="B71" s="675" t="s">
        <v>741</v>
      </c>
      <c r="C71" s="676"/>
      <c r="D71" s="676"/>
      <c r="E71" s="677" t="str">
        <f>IF(ISERROR(IS!E39*IS!E149),"NM",IS!E39*IS!E149)</f>
        <v>NM</v>
      </c>
      <c r="F71" s="678" t="str">
        <f>IF(ISERROR(IS!F39*IS!F149),"NM",IS!F39*IS!F149)</f>
        <v>NM</v>
      </c>
      <c r="G71" s="678" t="str">
        <f>IF(ISERROR(IS!G39*IS!G149),"NM",IS!G39*IS!G149)</f>
        <v>NM</v>
      </c>
      <c r="H71" s="678" t="str">
        <f>IF(ISERROR(IS!H39*IS!H149),"NM",IS!H39*IS!H149)</f>
        <v>NM</v>
      </c>
      <c r="I71" s="679">
        <f>IS!I39*IS!I149</f>
        <v>2.9669039344736637E-3</v>
      </c>
      <c r="J71" s="678" t="str">
        <f>IF(ISERROR(IS!J39*IS!J149),"NM",IS!J39*IS!J149)</f>
        <v>NM</v>
      </c>
      <c r="K71" s="678" t="str">
        <f>IF(ISERROR(IS!K39*IS!K149),"NM",IS!K39*IS!K149)</f>
        <v>NM</v>
      </c>
      <c r="L71" s="678" t="str">
        <f>IF(ISERROR(IS!L39*IS!L149),"NM",IS!L39*IS!L149)</f>
        <v>NM</v>
      </c>
      <c r="M71" s="678" t="str">
        <f>IF(ISERROR(IS!M39*IS!M149),"NM",IS!M39*IS!M149)</f>
        <v>NM</v>
      </c>
      <c r="N71" s="679">
        <f>IS!N39*IS!N149</f>
        <v>5.3162590052341519E-3</v>
      </c>
      <c r="O71" s="678">
        <f>IS!O39*IS!O149</f>
        <v>0</v>
      </c>
      <c r="P71" s="678">
        <f>IS!P39*IS!P149</f>
        <v>0</v>
      </c>
      <c r="Q71" s="678">
        <f>IS!Q39*IS!Q149</f>
        <v>0</v>
      </c>
      <c r="R71" s="678">
        <f>IS!R39*IS!R149</f>
        <v>0</v>
      </c>
      <c r="S71" s="679">
        <f>IS!S39*IS!S149</f>
        <v>9.3835019808938217E-3</v>
      </c>
      <c r="T71" s="678">
        <f>IS!T39*IS!T149</f>
        <v>0</v>
      </c>
      <c r="U71" s="678">
        <f>IS!U39*IS!U149</f>
        <v>0</v>
      </c>
      <c r="V71" s="678">
        <f>IS!V39*IS!V149</f>
        <v>0</v>
      </c>
      <c r="W71" s="678">
        <f>IS!W39*IS!W149</f>
        <v>0</v>
      </c>
      <c r="X71" s="679">
        <f>IS!X39*IS!X149</f>
        <v>1.90193321642615E-2</v>
      </c>
      <c r="Y71" s="678">
        <f>IS!Y39*IS!Y149</f>
        <v>0</v>
      </c>
      <c r="Z71" s="678">
        <f>IS!Z39*IS!Z149</f>
        <v>0</v>
      </c>
      <c r="AA71" s="678">
        <f>IS!AA39*IS!AA149</f>
        <v>0</v>
      </c>
      <c r="AB71" s="678">
        <f>IS!AB39*IS!AB149</f>
        <v>0</v>
      </c>
      <c r="AC71" s="679">
        <f>IS!AC39*IS!AC149</f>
        <v>2.4857014476657807E-2</v>
      </c>
      <c r="AD71" s="678">
        <f>IS!AD39*IS!AD149</f>
        <v>0</v>
      </c>
      <c r="AE71" s="678">
        <f>IS!AE39*IS!AE149</f>
        <v>0</v>
      </c>
      <c r="AF71" s="678">
        <f>IS!AF39*IS!AF149</f>
        <v>0</v>
      </c>
      <c r="AG71" s="678">
        <f>IS!AG39*IS!AG149</f>
        <v>0</v>
      </c>
      <c r="AH71" s="679">
        <f>IS!AH39*IS!AH149</f>
        <v>1.9297228260543288E-2</v>
      </c>
      <c r="AI71" s="678">
        <f>IS!AI39*IS!AI149</f>
        <v>9.5321790212890486E-3</v>
      </c>
      <c r="AJ71" s="678">
        <f>IS!AJ39*IS!AJ149</f>
        <v>1.297321116136811E-2</v>
      </c>
      <c r="AK71" s="678">
        <f>IS!AK39*IS!AK149</f>
        <v>1.3117711973350665E-2</v>
      </c>
      <c r="AL71" s="678">
        <f>IS!AL39*IS!AL149</f>
        <v>0</v>
      </c>
      <c r="AM71" s="679">
        <f>IS!AM39*IS!AM149</f>
        <v>5.4896345450027757E-2</v>
      </c>
      <c r="AN71" s="678">
        <f>IS!AN39*IS!AN149</f>
        <v>1.7634387610120449E-2</v>
      </c>
      <c r="AO71" s="678">
        <f>IS!AO39*IS!AO149</f>
        <v>1.7030495343158373E-2</v>
      </c>
      <c r="AP71" s="678">
        <f>IS!AP39*IS!AP149</f>
        <v>1.758301322703883E-2</v>
      </c>
      <c r="AQ71" s="678">
        <f>IS!AQ39*IS!AQ149</f>
        <v>0</v>
      </c>
      <c r="AR71" s="679">
        <f>IS!AR39*IS!AR149</f>
        <v>7.6699843075662508E-2</v>
      </c>
      <c r="AS71" s="678">
        <f>IS!AS39*IS!AS149</f>
        <v>1.8090677626283923E-2</v>
      </c>
      <c r="AT71" s="678">
        <f>IS!AT39*IS!AT149</f>
        <v>1.7451334262670516E-2</v>
      </c>
      <c r="AU71" s="678">
        <f>IS!AU39*IS!AU149</f>
        <v>2.3062849926971777E-2</v>
      </c>
      <c r="AV71" s="678">
        <f>IS!AV39*IS!AV149</f>
        <v>0</v>
      </c>
      <c r="AW71" s="679">
        <f>IS!AW39*IS!AW149</f>
        <v>0.10883963659414975</v>
      </c>
      <c r="AX71" s="678">
        <f>IS!AX39*IS!AX149</f>
        <v>3.5430225601946606E-2</v>
      </c>
      <c r="AY71" s="678">
        <f>IS!AY39*IS!AY149</f>
        <v>3.7726502722206304E-2</v>
      </c>
      <c r="AZ71" s="678">
        <f>IS!AZ39*IS!AZ149</f>
        <v>3.7090682596755464E-2</v>
      </c>
      <c r="BA71" s="678">
        <f>IS!BA39*IS!BA149</f>
        <v>0</v>
      </c>
      <c r="BB71" s="679">
        <f>IS!BB39*IS!BB149</f>
        <v>0.17105190686145241</v>
      </c>
      <c r="BC71" s="678">
        <f>IS!BC39*IS!BC149</f>
        <v>3.9442685496838874E-2</v>
      </c>
      <c r="BD71" s="678">
        <f>IS!BD39*IS!BD149</f>
        <v>4.8532662065531515E-2</v>
      </c>
      <c r="BE71" s="678">
        <f>IS!BE39*IS!BE149</f>
        <v>5.7667350089742997E-2</v>
      </c>
      <c r="BF71" s="678">
        <f>IS!BF39*IS!BF149</f>
        <v>6.1138325595116755E-2</v>
      </c>
      <c r="BG71" s="679">
        <f>IS!BG39*IS!BG149</f>
        <v>0.19971280236077363</v>
      </c>
      <c r="BH71" s="678">
        <f>IS!BH39*IS!BH149</f>
        <v>6.3721922363008415E-2</v>
      </c>
      <c r="BI71" s="678">
        <f>IS!BI39*IS!BI149</f>
        <v>0.22694975781099266</v>
      </c>
      <c r="BJ71" s="678">
        <f>IS!BJ39*IS!BJ149</f>
        <v>0.25449820711007054</v>
      </c>
      <c r="BK71" s="678">
        <f>IS!BK39*IS!BK149</f>
        <v>0.29564156286942217</v>
      </c>
      <c r="BL71" s="679">
        <f>IS!BL39*IS!BL149</f>
        <v>0.90964590363858278</v>
      </c>
      <c r="BM71" s="678">
        <f>IS!BM39*IS!BM149</f>
        <v>0.21647036705129652</v>
      </c>
      <c r="BN71" s="678">
        <f>IS!BN39*IS!BN149</f>
        <v>0.2478584553968714</v>
      </c>
      <c r="BO71" s="678">
        <f>IS!BO39*IS!BO149</f>
        <v>0.26831168079911466</v>
      </c>
      <c r="BP71" s="678">
        <f>IS!BP39*IS!BP149</f>
        <v>0.30246327266039669</v>
      </c>
      <c r="BQ71" s="679">
        <f>IS!BQ39*IS!BQ149</f>
        <v>1.0358527408342348</v>
      </c>
      <c r="BR71" s="678">
        <f>IS!BR39*IS!BR149</f>
        <v>0.19571419302726265</v>
      </c>
      <c r="BS71" s="678">
        <f>IS!BS39*IS!BS149</f>
        <v>0.25770540036738543</v>
      </c>
      <c r="BT71" s="678">
        <f>IS!BT39*IS!BT149</f>
        <v>0.30174383827167278</v>
      </c>
      <c r="BU71" s="678">
        <f>IS!BU39*IS!BU149</f>
        <v>0.31828103600016761</v>
      </c>
      <c r="BV71" s="679">
        <f>IS!BV39*IS!BV149</f>
        <v>1.0688552245308458</v>
      </c>
      <c r="BW71" s="678">
        <f>IS!BW39*IS!BW149</f>
        <v>0.20676580817981369</v>
      </c>
      <c r="BX71" s="678">
        <f>IS!BX39*IS!BX149</f>
        <v>0.22667200093640219</v>
      </c>
      <c r="BY71" s="678">
        <f>IS!BY39*IS!BY149</f>
        <v>0.24934300555229719</v>
      </c>
      <c r="BZ71" s="678">
        <f>IS!BZ39*IS!BZ149</f>
        <v>0.24480920124014569</v>
      </c>
      <c r="CA71" s="679">
        <f>IS!CA39*IS!CA149</f>
        <v>0.92899366136119876</v>
      </c>
      <c r="CB71" s="678">
        <f>IS!CB39*IS!CB149</f>
        <v>0.1507415468900826</v>
      </c>
      <c r="CC71" s="678">
        <f>IS!CC39*IS!CC149</f>
        <v>0.17395106596873358</v>
      </c>
      <c r="CD71" s="680">
        <f>IS!CD39*IS!CD149</f>
        <v>0.25853405101226634</v>
      </c>
      <c r="CE71" s="680">
        <f>IS!CE39*IS!CE149</f>
        <v>0.29684526671491218</v>
      </c>
      <c r="CF71" s="681">
        <f>IS!CF39*IS!CF149</f>
        <v>0.8750136718569782</v>
      </c>
      <c r="CG71" s="680">
        <f>IS!CG39*IS!CG149</f>
        <v>0.13735528037174782</v>
      </c>
      <c r="CH71" s="680">
        <f>IS!CH39*IS!CH149</f>
        <v>0.2091076284005049</v>
      </c>
      <c r="CI71" s="680">
        <f>IS!CI39*IS!CI149</f>
        <v>0.31942987216336499</v>
      </c>
      <c r="CJ71" s="680">
        <f>IS!CJ39*IS!CJ149</f>
        <v>0.44970548916197178</v>
      </c>
      <c r="CK71" s="681">
        <f>IS!CK39*IS!CK149</f>
        <v>1.1042609026619563</v>
      </c>
      <c r="CL71" s="680">
        <f>IS!CL39*IS!CL149</f>
        <v>0.2036149470687971</v>
      </c>
      <c r="CM71" s="680">
        <f>IS!CM39*IS!CM149</f>
        <v>0.28802892244628081</v>
      </c>
      <c r="CN71" s="680">
        <f>IS!CN39*IS!CN149</f>
        <v>0.42716377753844692</v>
      </c>
      <c r="CO71" s="680">
        <f>IS!CO39*IS!CO149</f>
        <v>0.39068581009952746</v>
      </c>
      <c r="CP71" s="681">
        <f ca="1">IS!CP39*IS!CP149</f>
        <v>1.3043512058660534</v>
      </c>
      <c r="CQ71" s="680">
        <f>IS!CQ39*IS!CQ149</f>
        <v>0.27204243711950893</v>
      </c>
      <c r="CR71" s="680">
        <f>IS!CR39*IS!CR149</f>
        <v>0.38428554923921937</v>
      </c>
      <c r="CS71" s="680">
        <f>IS!CS39*IS!CS149</f>
        <v>0.47699492622007694</v>
      </c>
      <c r="CT71" s="680">
        <f>IS!CT39*IS!CT149</f>
        <v>0.40884618294004749</v>
      </c>
      <c r="CU71" s="681">
        <f>IS!CU39*IS!CU149</f>
        <v>1.53861978645612</v>
      </c>
      <c r="CV71" s="680">
        <f>IS!CV39*IS!CV149</f>
        <v>0.339705752967221</v>
      </c>
      <c r="CW71" s="680">
        <f>IS!CW39*IS!CW149</f>
        <v>0.43696525157607458</v>
      </c>
      <c r="CX71" s="680">
        <f>IS!CX39*IS!CX149</f>
        <v>0.53213791172969405</v>
      </c>
      <c r="CY71" s="680">
        <f>IS!CY39*IS!CY149</f>
        <v>0.5369468148224199</v>
      </c>
      <c r="CZ71" s="681">
        <f>IS!CZ39*IS!CZ149</f>
        <v>1.8466164239238436</v>
      </c>
      <c r="DA71" s="680">
        <f>IS!DA39*IS!DA149</f>
        <v>0.36202906725596407</v>
      </c>
      <c r="DB71" s="680">
        <f>IS!DB39*IS!DB149</f>
        <v>0.48548810923745717</v>
      </c>
      <c r="DC71" s="680">
        <f>IS!DC39*IS!DC149</f>
        <v>0.72545732408954677</v>
      </c>
      <c r="DD71" s="680">
        <f>IS!DD39*IS!DD149</f>
        <v>0.64660560137068457</v>
      </c>
      <c r="DE71" s="681">
        <f>IS!DE39*IS!DE149</f>
        <v>2.2120836289732133</v>
      </c>
      <c r="DF71" s="680">
        <f>IS!DF39*IS!DF149</f>
        <v>0.37996926399836173</v>
      </c>
      <c r="DG71" s="680">
        <f>IS!DG39*IS!DG149</f>
        <v>0.55956471128587837</v>
      </c>
      <c r="DH71" s="680">
        <f>IS!DH39*IS!DH149</f>
        <v>0.69382279315815931</v>
      </c>
      <c r="DI71" s="680">
        <v>0.81252391318065831</v>
      </c>
      <c r="DJ71" s="681">
        <f>IS!DJ39*IS!DJ149</f>
        <v>2.4138318983017477</v>
      </c>
      <c r="DK71" s="680">
        <f ca="1">IS!DK39*IS!DK149</f>
        <v>0.45885885152945394</v>
      </c>
      <c r="DL71" s="680">
        <f ca="1">IS!DL39*IS!DL149</f>
        <v>0.61564174551102979</v>
      </c>
      <c r="DM71" s="680">
        <f ca="1">IS!DM39*IS!DM149</f>
        <v>0.77466510773727759</v>
      </c>
      <c r="DN71" s="680">
        <f ca="1">IS!DN39*IS!DN149</f>
        <v>0.8071590876129604</v>
      </c>
      <c r="DO71" s="681">
        <f ca="1">IS!DO39*IS!DO149</f>
        <v>2.6684817766373676</v>
      </c>
      <c r="DP71" s="680">
        <f ca="1">IS!DP39*IS!DP149</f>
        <v>0.44753122835380443</v>
      </c>
      <c r="DQ71" s="680">
        <f ca="1">IS!DQ39*IS!DQ149</f>
        <v>0.66458433459828203</v>
      </c>
      <c r="DR71" s="680">
        <f ca="1">IS!DR39*IS!DR149</f>
        <v>0.81954719303377721</v>
      </c>
      <c r="DS71" s="680">
        <f ca="1">IS!DS39*IS!DS149</f>
        <v>0.85645152343089559</v>
      </c>
      <c r="DT71" s="681">
        <f ca="1">IS!DT39*IS!DT149</f>
        <v>2.7839500116387934</v>
      </c>
      <c r="DU71" s="680">
        <f ca="1">IS!DU39*IS!DU149</f>
        <v>0.48957892035240202</v>
      </c>
      <c r="DV71" s="680">
        <f ca="1">IS!DV39*IS!DV149</f>
        <v>0.72281705172971356</v>
      </c>
      <c r="DW71" s="680">
        <f ca="1">IS!DW39*IS!DW149</f>
        <v>0.88906687777637761</v>
      </c>
      <c r="DX71" s="680">
        <f ca="1">IS!DX39*IS!DX149</f>
        <v>0.9248427566258085</v>
      </c>
      <c r="DY71" s="681">
        <f ca="1">IS!DY39*IS!DY149</f>
        <v>3.0222414754156692</v>
      </c>
    </row>
    <row r="72" spans="1:129" x14ac:dyDescent="0.2">
      <c r="A72" s="682"/>
      <c r="B72" s="682"/>
      <c r="C72" s="682"/>
      <c r="D72" s="682"/>
      <c r="E72" s="682"/>
      <c r="F72" s="682"/>
      <c r="G72" s="682"/>
      <c r="H72" s="682"/>
      <c r="I72" s="682"/>
      <c r="J72" s="682"/>
      <c r="K72" s="682"/>
      <c r="L72" s="682"/>
      <c r="M72" s="682"/>
      <c r="N72" s="682"/>
      <c r="O72" s="682"/>
      <c r="P72" s="682"/>
      <c r="Q72" s="682"/>
      <c r="R72" s="682"/>
      <c r="S72" s="682"/>
      <c r="T72" s="682"/>
      <c r="U72" s="682"/>
      <c r="V72" s="682"/>
      <c r="W72" s="682"/>
      <c r="X72" s="682"/>
      <c r="Y72" s="682"/>
      <c r="Z72" s="682"/>
      <c r="AA72" s="682"/>
      <c r="AB72" s="682"/>
      <c r="AC72" s="682"/>
      <c r="AD72" s="682"/>
      <c r="AE72" s="682"/>
      <c r="AF72" s="682"/>
      <c r="AG72" s="682"/>
      <c r="AH72" s="682"/>
      <c r="AI72" s="682"/>
      <c r="AJ72" s="682"/>
      <c r="AK72" s="682"/>
      <c r="AL72" s="682"/>
      <c r="AM72" s="682"/>
      <c r="AN72" s="682"/>
      <c r="AO72" s="682"/>
      <c r="AP72" s="682"/>
      <c r="AQ72" s="682"/>
      <c r="AR72" s="682"/>
      <c r="AS72" s="682"/>
      <c r="AT72" s="682"/>
      <c r="AU72" s="682"/>
      <c r="AV72" s="682"/>
      <c r="AW72" s="682"/>
      <c r="AX72" s="682"/>
      <c r="AY72" s="682"/>
      <c r="AZ72" s="682"/>
      <c r="BA72" s="682"/>
      <c r="BB72" s="682"/>
      <c r="BC72" s="682"/>
      <c r="BD72" s="682"/>
      <c r="BE72" s="682"/>
      <c r="BF72" s="682"/>
      <c r="BG72" s="682"/>
      <c r="BH72" s="682"/>
      <c r="BI72" s="682"/>
      <c r="BJ72" s="682"/>
      <c r="BK72" s="682"/>
      <c r="BL72" s="682"/>
      <c r="BM72" s="682"/>
      <c r="BN72" s="682"/>
      <c r="BO72" s="682"/>
      <c r="BP72" s="682"/>
      <c r="BQ72" s="682"/>
      <c r="BR72" s="682"/>
      <c r="BS72" s="682"/>
      <c r="BT72" s="682"/>
      <c r="BU72" s="682"/>
      <c r="BV72" s="682"/>
      <c r="BW72" s="682"/>
      <c r="BX72" s="682"/>
      <c r="BY72" s="682"/>
      <c r="BZ72" s="682"/>
      <c r="CA72" s="683"/>
      <c r="CB72" s="684"/>
      <c r="CC72" s="526"/>
      <c r="CD72" s="470"/>
      <c r="CE72" s="470"/>
      <c r="CF72" s="474"/>
      <c r="CG72" s="526"/>
      <c r="CH72" s="474"/>
      <c r="CI72" s="682"/>
      <c r="CJ72" s="682"/>
      <c r="CK72" s="682"/>
      <c r="CL72" s="682"/>
      <c r="CM72" s="682"/>
      <c r="CN72" s="682"/>
      <c r="CO72" s="682"/>
      <c r="CP72" s="1741"/>
      <c r="CQ72" s="1741"/>
      <c r="CR72" s="1741"/>
      <c r="CS72" s="682"/>
      <c r="CT72" s="682"/>
      <c r="CU72" s="682"/>
      <c r="CV72" s="682"/>
      <c r="CW72" s="682"/>
      <c r="CX72" s="682"/>
      <c r="CY72" s="682"/>
      <c r="CZ72" s="682"/>
      <c r="DA72" s="470"/>
      <c r="DB72" s="470"/>
      <c r="DC72" s="470"/>
      <c r="DD72" s="470"/>
      <c r="DE72" s="682"/>
      <c r="DF72" s="470"/>
      <c r="DG72" s="470"/>
      <c r="DH72" s="470"/>
      <c r="DI72" s="914"/>
      <c r="DJ72" s="682"/>
      <c r="DK72" s="470">
        <f ca="1">DK67-DK49-DK34</f>
        <v>0</v>
      </c>
      <c r="DL72" s="470">
        <f ca="1">DL67-DL49-DL34</f>
        <v>0</v>
      </c>
      <c r="DM72" s="470">
        <f ca="1">DM67-DM49-DM34</f>
        <v>0</v>
      </c>
      <c r="DN72" s="470">
        <f ca="1">DN67-DN49-DN34</f>
        <v>0</v>
      </c>
      <c r="DO72" s="682"/>
      <c r="DP72" s="470">
        <f ca="1">DP67-DP49-DP34</f>
        <v>0</v>
      </c>
      <c r="DQ72" s="470">
        <f ca="1">DQ67-DQ49-DQ34</f>
        <v>0</v>
      </c>
      <c r="DR72" s="470">
        <f ca="1">DR67-DR49-DR34</f>
        <v>0</v>
      </c>
      <c r="DS72" s="470">
        <f ca="1">DS67-DS49-DS34</f>
        <v>0</v>
      </c>
      <c r="DT72" s="682"/>
      <c r="DU72" s="470">
        <f ca="1">DU67-DU49-DU34</f>
        <v>0</v>
      </c>
      <c r="DV72" s="470">
        <f ca="1">DV67-DV49-DV34</f>
        <v>0</v>
      </c>
      <c r="DW72" s="470">
        <f ca="1">DW67-DW49-DW34</f>
        <v>0</v>
      </c>
      <c r="DX72" s="470">
        <f ca="1">DX67-DX49-DX34</f>
        <v>0</v>
      </c>
      <c r="DY72" s="682"/>
    </row>
    <row r="73" spans="1:129" ht="12" thickBot="1" x14ac:dyDescent="0.25">
      <c r="A73" s="682"/>
      <c r="B73" s="682"/>
      <c r="C73" s="682"/>
      <c r="D73" s="682"/>
      <c r="E73" s="682"/>
      <c r="F73" s="682"/>
      <c r="G73" s="682"/>
      <c r="H73" s="682"/>
      <c r="I73" s="682"/>
      <c r="J73" s="682"/>
      <c r="K73" s="682"/>
      <c r="L73" s="682"/>
      <c r="M73" s="682"/>
      <c r="N73" s="682"/>
      <c r="O73" s="682"/>
      <c r="P73" s="682"/>
      <c r="Q73" s="682"/>
      <c r="R73" s="682"/>
      <c r="S73" s="682"/>
      <c r="T73" s="682"/>
      <c r="U73" s="682"/>
      <c r="V73" s="682"/>
      <c r="W73" s="682"/>
      <c r="X73" s="682"/>
      <c r="Y73" s="682"/>
      <c r="Z73" s="682"/>
      <c r="AA73" s="682"/>
      <c r="AB73" s="682"/>
      <c r="AC73" s="682"/>
      <c r="AD73" s="682"/>
      <c r="AE73" s="682"/>
      <c r="AF73" s="682"/>
      <c r="AG73" s="682"/>
      <c r="AH73" s="682"/>
      <c r="AI73" s="682"/>
      <c r="AJ73" s="682"/>
      <c r="AK73" s="682"/>
      <c r="AL73" s="682"/>
      <c r="AM73" s="682"/>
      <c r="AN73" s="682"/>
      <c r="AO73" s="682"/>
      <c r="AP73" s="682"/>
      <c r="AQ73" s="682"/>
      <c r="AR73" s="682"/>
      <c r="AS73" s="682"/>
      <c r="AT73" s="682"/>
      <c r="AU73" s="682"/>
      <c r="AV73" s="682"/>
      <c r="AW73" s="682"/>
      <c r="AX73" s="682"/>
      <c r="AY73" s="682"/>
      <c r="AZ73" s="682"/>
      <c r="BA73" s="682"/>
      <c r="BB73" s="682"/>
      <c r="BC73" s="682"/>
      <c r="BD73" s="682"/>
      <c r="BE73" s="682"/>
      <c r="BF73" s="682"/>
      <c r="BG73" s="682"/>
      <c r="BH73" s="682"/>
      <c r="BI73" s="682"/>
      <c r="BJ73" s="682"/>
      <c r="BK73" s="682"/>
      <c r="BL73" s="682"/>
      <c r="BM73" s="682"/>
      <c r="BN73" s="682"/>
      <c r="BO73" s="682"/>
      <c r="BP73" s="682"/>
      <c r="BQ73" s="682"/>
      <c r="BR73" s="682"/>
      <c r="BS73" s="682"/>
      <c r="BT73" s="682"/>
      <c r="BU73" s="682"/>
      <c r="BV73" s="682"/>
      <c r="BW73" s="542"/>
      <c r="BX73" s="542"/>
      <c r="BY73" s="682"/>
      <c r="BZ73" s="682"/>
      <c r="CA73" s="683"/>
      <c r="CB73" s="542"/>
      <c r="CC73" s="542"/>
      <c r="CD73" s="526"/>
      <c r="CE73" s="466"/>
      <c r="CF73" s="682"/>
      <c r="CG73" s="682"/>
      <c r="CH73" s="682"/>
      <c r="CI73" s="682"/>
      <c r="CJ73" s="682"/>
      <c r="CK73" s="466"/>
      <c r="CL73" s="682"/>
      <c r="CM73" s="682"/>
      <c r="CN73" s="682"/>
      <c r="CO73" s="682"/>
      <c r="CP73" s="466"/>
      <c r="CQ73" s="682"/>
      <c r="CR73" s="682"/>
      <c r="CS73" s="682"/>
      <c r="CT73" s="682"/>
      <c r="CU73" s="682"/>
      <c r="CV73" s="682"/>
      <c r="CW73" s="682"/>
      <c r="CX73" s="682"/>
      <c r="CY73" s="682"/>
      <c r="CZ73" s="682"/>
      <c r="DA73" s="682"/>
      <c r="DB73" s="682"/>
      <c r="DC73" s="682"/>
      <c r="DD73" s="682"/>
      <c r="DE73" s="682"/>
      <c r="DF73" s="682"/>
      <c r="DG73" s="682"/>
      <c r="DH73" s="682"/>
      <c r="DI73" s="1610"/>
      <c r="DJ73" s="682"/>
      <c r="DK73" s="682"/>
      <c r="DL73" s="682"/>
      <c r="DM73" s="682"/>
      <c r="DN73" s="682"/>
      <c r="DO73" s="682"/>
      <c r="DP73" s="682"/>
      <c r="DQ73" s="682"/>
      <c r="DR73" s="682"/>
      <c r="DS73" s="682"/>
      <c r="DT73" s="682"/>
      <c r="DU73" s="682"/>
      <c r="DV73" s="682"/>
      <c r="DW73" s="682"/>
      <c r="DX73" s="682"/>
      <c r="DY73" s="682"/>
    </row>
    <row r="74" spans="1:129" ht="12" thickBot="1" x14ac:dyDescent="0.25">
      <c r="A74" s="526"/>
      <c r="B74" s="685" t="s">
        <v>742</v>
      </c>
      <c r="C74" s="686"/>
      <c r="D74" s="686"/>
      <c r="E74" s="686"/>
      <c r="F74" s="686"/>
      <c r="G74" s="686"/>
      <c r="H74" s="686"/>
      <c r="I74" s="687"/>
      <c r="J74" s="686"/>
      <c r="K74" s="686"/>
      <c r="L74" s="686"/>
      <c r="M74" s="686"/>
      <c r="N74" s="687"/>
      <c r="O74" s="686"/>
      <c r="P74" s="686"/>
      <c r="Q74" s="686"/>
      <c r="R74" s="686"/>
      <c r="S74" s="687"/>
      <c r="T74" s="686"/>
      <c r="U74" s="686"/>
      <c r="V74" s="686"/>
      <c r="W74" s="686"/>
      <c r="X74" s="687"/>
      <c r="Y74" s="686"/>
      <c r="Z74" s="686"/>
      <c r="AA74" s="686"/>
      <c r="AB74" s="686"/>
      <c r="AC74" s="687"/>
      <c r="AD74" s="686"/>
      <c r="AE74" s="686"/>
      <c r="AF74" s="686"/>
      <c r="AG74" s="686"/>
      <c r="AH74" s="687"/>
      <c r="AI74" s="686"/>
      <c r="AJ74" s="686"/>
      <c r="AK74" s="686"/>
      <c r="AL74" s="686"/>
      <c r="AM74" s="687"/>
      <c r="AN74" s="686"/>
      <c r="AO74" s="686"/>
      <c r="AP74" s="686"/>
      <c r="AQ74" s="686"/>
      <c r="AR74" s="687"/>
      <c r="AS74" s="686"/>
      <c r="AT74" s="686"/>
      <c r="AU74" s="686"/>
      <c r="AV74" s="686"/>
      <c r="AW74" s="687"/>
      <c r="AX74" s="686"/>
      <c r="AY74" s="686"/>
      <c r="AZ74" s="686"/>
      <c r="BA74" s="686"/>
      <c r="BB74" s="687"/>
      <c r="BC74" s="686"/>
      <c r="BD74" s="686"/>
      <c r="BE74" s="686"/>
      <c r="BF74" s="686"/>
      <c r="BG74" s="687"/>
      <c r="BH74" s="686"/>
      <c r="BI74" s="686"/>
      <c r="BJ74" s="686"/>
      <c r="BK74" s="686"/>
      <c r="BL74" s="687"/>
      <c r="BM74" s="686"/>
      <c r="BN74" s="686"/>
      <c r="BO74" s="686"/>
      <c r="BP74" s="686"/>
      <c r="BQ74" s="687"/>
      <c r="BR74" s="686"/>
      <c r="BS74" s="686"/>
      <c r="BT74" s="686"/>
      <c r="BU74" s="686"/>
      <c r="BV74" s="687"/>
      <c r="BW74" s="686"/>
      <c r="BX74" s="686"/>
      <c r="BY74" s="686"/>
      <c r="BZ74" s="686"/>
      <c r="CA74" s="687"/>
      <c r="CB74" s="686"/>
      <c r="CC74" s="686"/>
      <c r="CD74" s="686"/>
      <c r="CE74" s="686"/>
      <c r="CF74" s="688"/>
      <c r="CG74" s="686"/>
      <c r="CH74" s="686"/>
      <c r="CI74" s="686"/>
      <c r="CJ74" s="686"/>
      <c r="CK74" s="687"/>
      <c r="CL74" s="686"/>
      <c r="CM74" s="686"/>
      <c r="CN74" s="686"/>
      <c r="CO74" s="686"/>
      <c r="CP74" s="687"/>
      <c r="CQ74" s="686"/>
      <c r="CR74" s="686"/>
      <c r="CS74" s="686"/>
      <c r="CT74" s="686"/>
      <c r="CU74" s="687"/>
      <c r="CV74" s="686"/>
      <c r="CW74" s="686"/>
      <c r="CX74" s="686"/>
      <c r="CY74" s="686"/>
      <c r="CZ74" s="689"/>
      <c r="DA74" s="686"/>
      <c r="DB74" s="686"/>
      <c r="DC74" s="686"/>
      <c r="DD74" s="686"/>
      <c r="DE74" s="689"/>
      <c r="DF74" s="686"/>
      <c r="DG74" s="686"/>
      <c r="DH74" s="686"/>
      <c r="DI74" s="2803"/>
      <c r="DJ74" s="689"/>
      <c r="DK74" s="686"/>
      <c r="DL74" s="686"/>
      <c r="DM74" s="686"/>
      <c r="DN74" s="686"/>
      <c r="DO74" s="689"/>
      <c r="DP74" s="686"/>
      <c r="DQ74" s="686"/>
      <c r="DR74" s="686"/>
      <c r="DS74" s="686"/>
      <c r="DT74" s="689"/>
      <c r="DU74" s="686"/>
      <c r="DV74" s="686"/>
      <c r="DW74" s="686"/>
      <c r="DX74" s="686"/>
      <c r="DY74" s="689"/>
    </row>
    <row r="75" spans="1:129" x14ac:dyDescent="0.2">
      <c r="A75" s="526"/>
      <c r="B75" s="690"/>
      <c r="C75" s="691"/>
      <c r="D75" s="599"/>
      <c r="E75" s="599"/>
      <c r="F75" s="599"/>
      <c r="G75" s="599"/>
      <c r="H75" s="599"/>
      <c r="I75" s="598"/>
      <c r="J75" s="599"/>
      <c r="K75" s="599"/>
      <c r="L75" s="599"/>
      <c r="M75" s="599"/>
      <c r="N75" s="598"/>
      <c r="O75" s="599"/>
      <c r="P75" s="599"/>
      <c r="Q75" s="599"/>
      <c r="R75" s="599"/>
      <c r="S75" s="598"/>
      <c r="T75" s="599"/>
      <c r="U75" s="599"/>
      <c r="V75" s="599"/>
      <c r="W75" s="599"/>
      <c r="X75" s="598"/>
      <c r="Y75" s="599"/>
      <c r="Z75" s="599"/>
      <c r="AA75" s="599"/>
      <c r="AB75" s="599"/>
      <c r="AC75" s="598"/>
      <c r="AD75" s="599"/>
      <c r="AE75" s="599"/>
      <c r="AF75" s="599"/>
      <c r="AG75" s="599"/>
      <c r="AH75" s="598"/>
      <c r="AI75" s="599"/>
      <c r="AJ75" s="599"/>
      <c r="AK75" s="599"/>
      <c r="AL75" s="599"/>
      <c r="AM75" s="598"/>
      <c r="AN75" s="599"/>
      <c r="AO75" s="599"/>
      <c r="AP75" s="599"/>
      <c r="AQ75" s="599"/>
      <c r="AR75" s="598"/>
      <c r="AS75" s="599"/>
      <c r="AT75" s="599"/>
      <c r="AU75" s="599"/>
      <c r="AV75" s="599"/>
      <c r="AW75" s="598"/>
      <c r="AX75" s="599"/>
      <c r="AY75" s="599"/>
      <c r="AZ75" s="599"/>
      <c r="BA75" s="599"/>
      <c r="BB75" s="598"/>
      <c r="BC75" s="599"/>
      <c r="BD75" s="599"/>
      <c r="BE75" s="599"/>
      <c r="BF75" s="599"/>
      <c r="BG75" s="598"/>
      <c r="BH75" s="599"/>
      <c r="BI75" s="599"/>
      <c r="BJ75" s="599"/>
      <c r="BK75" s="599"/>
      <c r="BL75" s="598"/>
      <c r="BM75" s="599"/>
      <c r="BN75" s="599"/>
      <c r="BO75" s="599"/>
      <c r="BP75" s="599"/>
      <c r="BQ75" s="598"/>
      <c r="BR75" s="599"/>
      <c r="BS75" s="599"/>
      <c r="BT75" s="599"/>
      <c r="BU75" s="599"/>
      <c r="BV75" s="598"/>
      <c r="BW75" s="599"/>
      <c r="BX75" s="599"/>
      <c r="BY75" s="599"/>
      <c r="BZ75" s="599"/>
      <c r="CA75" s="598"/>
      <c r="CB75" s="599"/>
      <c r="CC75" s="599"/>
      <c r="CD75" s="599"/>
      <c r="CE75" s="599"/>
      <c r="CF75" s="598"/>
      <c r="CG75" s="599"/>
      <c r="CH75" s="599"/>
      <c r="CI75" s="599"/>
      <c r="CJ75" s="599"/>
      <c r="CK75" s="598"/>
      <c r="CL75" s="599"/>
      <c r="CM75" s="599"/>
      <c r="CN75" s="599"/>
      <c r="CO75" s="599"/>
      <c r="CP75" s="598"/>
      <c r="CQ75" s="599"/>
      <c r="CR75" s="599"/>
      <c r="CS75" s="599"/>
      <c r="CT75" s="599"/>
      <c r="CU75" s="598"/>
      <c r="CV75" s="599"/>
      <c r="CW75" s="599"/>
      <c r="CX75" s="599"/>
      <c r="CY75" s="599"/>
      <c r="CZ75" s="692"/>
      <c r="DA75" s="599"/>
      <c r="DB75" s="599"/>
      <c r="DC75" s="599"/>
      <c r="DD75" s="599"/>
      <c r="DE75" s="692"/>
      <c r="DF75" s="599"/>
      <c r="DG75" s="599"/>
      <c r="DH75" s="599"/>
      <c r="DI75" s="2804"/>
      <c r="DJ75" s="692"/>
      <c r="DK75" s="599"/>
      <c r="DL75" s="599"/>
      <c r="DM75" s="599"/>
      <c r="DN75" s="599"/>
      <c r="DO75" s="692"/>
      <c r="DP75" s="599"/>
      <c r="DQ75" s="599"/>
      <c r="DR75" s="599"/>
      <c r="DS75" s="599"/>
      <c r="DT75" s="692"/>
      <c r="DU75" s="599"/>
      <c r="DV75" s="599"/>
      <c r="DW75" s="599"/>
      <c r="DX75" s="599"/>
      <c r="DY75" s="692"/>
    </row>
    <row r="76" spans="1:129" ht="10.5" customHeight="1" x14ac:dyDescent="0.2">
      <c r="A76" s="526"/>
      <c r="B76" s="690" t="s">
        <v>743</v>
      </c>
      <c r="C76" s="691"/>
      <c r="D76" s="597"/>
      <c r="E76" s="597"/>
      <c r="F76" s="597"/>
      <c r="G76" s="597"/>
      <c r="H76" s="597"/>
      <c r="I76" s="598"/>
      <c r="J76" s="597"/>
      <c r="K76" s="597"/>
      <c r="L76" s="597"/>
      <c r="M76" s="597"/>
      <c r="N76" s="598"/>
      <c r="O76" s="597"/>
      <c r="P76" s="597"/>
      <c r="Q76" s="597"/>
      <c r="R76" s="597"/>
      <c r="S76" s="598"/>
      <c r="T76" s="597"/>
      <c r="U76" s="597"/>
      <c r="V76" s="597"/>
      <c r="W76" s="597"/>
      <c r="X76" s="598"/>
      <c r="Y76" s="597"/>
      <c r="Z76" s="597"/>
      <c r="AA76" s="597"/>
      <c r="AB76" s="597"/>
      <c r="AC76" s="598"/>
      <c r="AD76" s="597"/>
      <c r="AE76" s="597"/>
      <c r="AF76" s="597"/>
      <c r="AG76" s="597"/>
      <c r="AH76" s="598"/>
      <c r="AI76" s="597"/>
      <c r="AJ76" s="597"/>
      <c r="AK76" s="597"/>
      <c r="AL76" s="597"/>
      <c r="AM76" s="598"/>
      <c r="AN76" s="597"/>
      <c r="AO76" s="597"/>
      <c r="AP76" s="597"/>
      <c r="AQ76" s="597"/>
      <c r="AR76" s="598"/>
      <c r="AS76" s="597"/>
      <c r="AT76" s="597"/>
      <c r="AU76" s="597"/>
      <c r="AV76" s="597"/>
      <c r="AW76" s="598"/>
      <c r="AX76" s="597"/>
      <c r="AY76" s="597"/>
      <c r="AZ76" s="597"/>
      <c r="BA76" s="597"/>
      <c r="BB76" s="598"/>
      <c r="BC76" s="597"/>
      <c r="BD76" s="597"/>
      <c r="BE76" s="597"/>
      <c r="BF76" s="597"/>
      <c r="BG76" s="598"/>
      <c r="BH76" s="597"/>
      <c r="BI76" s="597"/>
      <c r="BJ76" s="597"/>
      <c r="BK76" s="597"/>
      <c r="BL76" s="598"/>
      <c r="BM76" s="597"/>
      <c r="BN76" s="597"/>
      <c r="BO76" s="597"/>
      <c r="BP76" s="597"/>
      <c r="BQ76" s="598"/>
      <c r="BR76" s="597"/>
      <c r="BS76" s="597"/>
      <c r="BT76" s="597"/>
      <c r="BU76" s="597"/>
      <c r="BV76" s="598"/>
      <c r="BW76" s="597"/>
      <c r="BX76" s="597"/>
      <c r="BY76" s="597"/>
      <c r="BZ76" s="597"/>
      <c r="CA76" s="598"/>
      <c r="CB76" s="597"/>
      <c r="CC76" s="597"/>
      <c r="CD76" s="597"/>
      <c r="CE76" s="597"/>
      <c r="CF76" s="598"/>
      <c r="CG76" s="597"/>
      <c r="CH76" s="597"/>
      <c r="CI76" s="597"/>
      <c r="CJ76" s="597"/>
      <c r="CK76" s="598"/>
      <c r="CL76" s="597"/>
      <c r="CM76" s="597"/>
      <c r="CN76" s="597"/>
      <c r="CO76" s="597"/>
      <c r="CP76" s="598"/>
      <c r="CQ76" s="597"/>
      <c r="CR76" s="597"/>
      <c r="CS76" s="597"/>
      <c r="CT76" s="597"/>
      <c r="CU76" s="598"/>
      <c r="CV76" s="597"/>
      <c r="CW76" s="597"/>
      <c r="CX76" s="597"/>
      <c r="CY76" s="597"/>
      <c r="CZ76" s="692"/>
      <c r="DA76" s="597"/>
      <c r="DB76" s="585"/>
      <c r="DC76" s="585"/>
      <c r="DD76" s="597"/>
      <c r="DE76" s="755"/>
      <c r="DF76" s="585"/>
      <c r="DG76" s="585"/>
      <c r="DH76" s="585"/>
      <c r="DI76" s="2798"/>
      <c r="DJ76" s="692"/>
      <c r="DK76" s="597"/>
      <c r="DL76" s="597"/>
      <c r="DM76" s="597"/>
      <c r="DN76" s="597"/>
      <c r="DO76" s="692"/>
      <c r="DP76" s="597"/>
      <c r="DQ76" s="597"/>
      <c r="DR76" s="597"/>
      <c r="DS76" s="597"/>
      <c r="DT76" s="692"/>
      <c r="DU76" s="597"/>
      <c r="DV76" s="597"/>
      <c r="DW76" s="597"/>
      <c r="DX76" s="597"/>
      <c r="DY76" s="692"/>
    </row>
    <row r="77" spans="1:129" x14ac:dyDescent="0.2">
      <c r="A77" s="471"/>
      <c r="B77" s="693" t="s">
        <v>744</v>
      </c>
      <c r="C77" s="550"/>
      <c r="D77" s="550"/>
      <c r="E77" s="550"/>
      <c r="F77" s="550"/>
      <c r="G77" s="550"/>
      <c r="H77" s="550"/>
      <c r="I77" s="551"/>
      <c r="J77" s="550"/>
      <c r="K77" s="550"/>
      <c r="L77" s="550"/>
      <c r="M77" s="550"/>
      <c r="N77" s="551"/>
      <c r="O77" s="550"/>
      <c r="P77" s="550"/>
      <c r="Q77" s="550"/>
      <c r="R77" s="550"/>
      <c r="S77" s="551"/>
      <c r="T77" s="550"/>
      <c r="U77" s="550"/>
      <c r="V77" s="550"/>
      <c r="W77" s="550"/>
      <c r="X77" s="551"/>
      <c r="Y77" s="550"/>
      <c r="Z77" s="550"/>
      <c r="AA77" s="550"/>
      <c r="AB77" s="550"/>
      <c r="AC77" s="551"/>
      <c r="AD77" s="550"/>
      <c r="AE77" s="550"/>
      <c r="AF77" s="550"/>
      <c r="AG77" s="550"/>
      <c r="AH77" s="551"/>
      <c r="AI77" s="550"/>
      <c r="AJ77" s="550"/>
      <c r="AK77" s="550"/>
      <c r="AL77" s="550"/>
      <c r="AM77" s="551"/>
      <c r="AN77" s="550"/>
      <c r="AO77" s="550"/>
      <c r="AP77" s="550"/>
      <c r="AQ77" s="550"/>
      <c r="AR77" s="551"/>
      <c r="AS77" s="550"/>
      <c r="AT77" s="550"/>
      <c r="AU77" s="550"/>
      <c r="AV77" s="550"/>
      <c r="AW77" s="551"/>
      <c r="AX77" s="550"/>
      <c r="AY77" s="550"/>
      <c r="AZ77" s="550"/>
      <c r="BA77" s="550"/>
      <c r="BB77" s="551"/>
      <c r="BC77" s="550"/>
      <c r="BD77" s="550"/>
      <c r="BE77" s="550"/>
      <c r="BF77" s="550"/>
      <c r="BG77" s="551"/>
      <c r="BH77" s="574">
        <f t="shared" ref="BH77:BU77" si="109">BH79*BH314</f>
        <v>8.8536000000000001</v>
      </c>
      <c r="BI77" s="574">
        <f t="shared" si="109"/>
        <v>8.8059999999999992</v>
      </c>
      <c r="BJ77" s="574">
        <f t="shared" si="109"/>
        <v>8.9670000000000005</v>
      </c>
      <c r="BK77" s="574">
        <f t="shared" si="109"/>
        <v>9.2442000000000011</v>
      </c>
      <c r="BL77" s="553">
        <f t="shared" si="109"/>
        <v>35.594000000000001</v>
      </c>
      <c r="BM77" s="574">
        <f t="shared" si="109"/>
        <v>8.0784000000000002</v>
      </c>
      <c r="BN77" s="574">
        <f t="shared" si="109"/>
        <v>8.1750000000000007</v>
      </c>
      <c r="BO77" s="574">
        <f t="shared" si="109"/>
        <v>8.1143999999999998</v>
      </c>
      <c r="BP77" s="574">
        <f t="shared" si="109"/>
        <v>8.7768000000000015</v>
      </c>
      <c r="BQ77" s="553">
        <f t="shared" si="109"/>
        <v>33.144599999999997</v>
      </c>
      <c r="BR77" s="574">
        <f t="shared" si="109"/>
        <v>8.7134999999999998</v>
      </c>
      <c r="BS77" s="574">
        <f t="shared" si="109"/>
        <v>8.8953999999999986</v>
      </c>
      <c r="BT77" s="574">
        <f t="shared" si="109"/>
        <v>9.315199999999999</v>
      </c>
      <c r="BU77" s="574">
        <f t="shared" si="109"/>
        <v>9.585799999999999</v>
      </c>
      <c r="BV77" s="553">
        <f>SUM(BR77:BU77)</f>
        <v>36.509899999999995</v>
      </c>
      <c r="BW77" s="574">
        <f>BW79*BW314</f>
        <v>9.113999999999999</v>
      </c>
      <c r="BX77" s="574">
        <f>BX79*BX314</f>
        <v>9.76</v>
      </c>
      <c r="BY77" s="574">
        <f>BY79*BY314</f>
        <v>10.108799999999999</v>
      </c>
      <c r="BZ77" s="574">
        <f>BZ79*BZ314</f>
        <v>10.378500000000001</v>
      </c>
      <c r="CA77" s="553">
        <f>SUM(BW77:BZ77)</f>
        <v>39.3613</v>
      </c>
      <c r="CB77" s="574">
        <f>CB79*CB314</f>
        <v>11.165000000000001</v>
      </c>
      <c r="CC77" s="574">
        <f>CC79*CC314</f>
        <v>11.498800000000001</v>
      </c>
      <c r="CD77" s="550">
        <f>CD79*CD314</f>
        <v>11.375</v>
      </c>
      <c r="CE77" s="550">
        <f>CE79*CE314</f>
        <v>11.771087999999999</v>
      </c>
      <c r="CF77" s="551">
        <f>SUM(CB77:CE77)</f>
        <v>45.809888000000001</v>
      </c>
      <c r="CG77" s="550">
        <f>CG79*CG314</f>
        <v>14.075999999999999</v>
      </c>
      <c r="CH77" s="550">
        <f>CH79*CH314</f>
        <v>14.623768</v>
      </c>
      <c r="CI77" s="550">
        <f>CI79*CI314</f>
        <v>14.912399999999998</v>
      </c>
      <c r="CJ77" s="550">
        <f>CJ79*CJ314</f>
        <v>15.197999999999999</v>
      </c>
      <c r="CK77" s="551">
        <f>SUM(CG77:CJ77)</f>
        <v>58.810167999999997</v>
      </c>
      <c r="CL77" s="550">
        <f>CL79*CL314</f>
        <v>15.457000000000001</v>
      </c>
      <c r="CM77" s="550">
        <f>CM79*CM314</f>
        <v>15.6906</v>
      </c>
      <c r="CN77" s="550">
        <f>CN79*CN314</f>
        <v>16.001999999999999</v>
      </c>
      <c r="CO77" s="550">
        <f>CO79*CO314</f>
        <v>16.085999999999999</v>
      </c>
      <c r="CP77" s="551">
        <f>SUM(CL77:CO77)</f>
        <v>63.235599999999998</v>
      </c>
      <c r="CQ77" s="550">
        <f>CQ79*CQ314</f>
        <v>15.444000000000001</v>
      </c>
      <c r="CR77" s="550">
        <f>CR79*CR314</f>
        <v>15.292999999999999</v>
      </c>
      <c r="CS77" s="550">
        <f>CS79*CS314</f>
        <v>15.524999999999999</v>
      </c>
      <c r="CT77" s="550">
        <f>CT79*CT314</f>
        <v>15.9963</v>
      </c>
      <c r="CU77" s="551">
        <f>SUM(CQ77:CT77)</f>
        <v>62.258299999999998</v>
      </c>
      <c r="CV77" s="550">
        <f>CV79*CV314</f>
        <v>43.6053</v>
      </c>
      <c r="CW77" s="550">
        <f>CW79*CW314</f>
        <v>45.78</v>
      </c>
      <c r="CX77" s="550">
        <f>CX79*CX314</f>
        <v>47.035200000000003</v>
      </c>
      <c r="CY77" s="550">
        <f>CY79*CY314</f>
        <v>47.659500000000001</v>
      </c>
      <c r="CZ77" s="694">
        <f>SUM(CV77:CY77)</f>
        <v>184.08</v>
      </c>
      <c r="DA77" s="550">
        <f>DA79*DA314</f>
        <v>47.152999999999999</v>
      </c>
      <c r="DB77" s="550">
        <f>DB79*DB314</f>
        <v>48.594000000000001</v>
      </c>
      <c r="DC77" s="550">
        <f>DC79*DC314</f>
        <v>49.455000000000005</v>
      </c>
      <c r="DD77" s="550">
        <f>DD79*DD314</f>
        <v>51.442800000000005</v>
      </c>
      <c r="DE77" s="694">
        <f>SUM(DA77:DD77)</f>
        <v>196.6448</v>
      </c>
      <c r="DF77" s="550">
        <f>DF79*DF314</f>
        <v>50.450400000000002</v>
      </c>
      <c r="DG77" s="550">
        <f>DG79*DG314</f>
        <v>54.51359999999999</v>
      </c>
      <c r="DH77" s="550">
        <f>DH79*DH314</f>
        <v>55.727700000000006</v>
      </c>
      <c r="DI77" s="550">
        <f>DI79*DI314</f>
        <v>57.457535260119812</v>
      </c>
      <c r="DJ77" s="694">
        <f>SUM(DF77:DI77)</f>
        <v>218.14923526011981</v>
      </c>
      <c r="DK77" s="550">
        <f>DK79*DK314</f>
        <v>56.454200068981898</v>
      </c>
      <c r="DL77" s="550">
        <f>DL79*DL314</f>
        <v>58.95813620413788</v>
      </c>
      <c r="DM77" s="550">
        <f>DM79*DM314</f>
        <v>60.400170402794629</v>
      </c>
      <c r="DN77" s="550">
        <f>DN79*DN314</f>
        <v>62.597937523268101</v>
      </c>
      <c r="DO77" s="694">
        <f>SUM(DK77:DN77)</f>
        <v>238.41044419918251</v>
      </c>
      <c r="DP77" s="550">
        <f>DP79*DP314</f>
        <v>58.051390591437922</v>
      </c>
      <c r="DQ77" s="550">
        <f>DQ79*DQ314</f>
        <v>60.621199765163496</v>
      </c>
      <c r="DR77" s="550">
        <f>DR79*DR314</f>
        <v>62.098927581091552</v>
      </c>
      <c r="DS77" s="550">
        <f>DS79*DS314</f>
        <v>64.353475441390088</v>
      </c>
      <c r="DT77" s="694">
        <f>SUM(DP77:DS77)</f>
        <v>245.12499337908307</v>
      </c>
      <c r="DU77" s="550">
        <f>DU79*DU314</f>
        <v>59.674879504336168</v>
      </c>
      <c r="DV77" s="550">
        <f>DV79*DV314</f>
        <v>62.31162878378921</v>
      </c>
      <c r="DW77" s="550">
        <f>DW79*DW314</f>
        <v>63.825619885914136</v>
      </c>
      <c r="DX77" s="550">
        <f>DX79*DX314</f>
        <v>66.137864324122177</v>
      </c>
      <c r="DY77" s="694">
        <f>SUM(DU77:DX77)</f>
        <v>251.94999249816169</v>
      </c>
    </row>
    <row r="78" spans="1:129" x14ac:dyDescent="0.2">
      <c r="A78" s="471"/>
      <c r="B78" s="693" t="s">
        <v>745</v>
      </c>
      <c r="C78" s="555"/>
      <c r="D78" s="555"/>
      <c r="E78" s="555"/>
      <c r="F78" s="555"/>
      <c r="G78" s="555"/>
      <c r="H78" s="555"/>
      <c r="I78" s="556"/>
      <c r="J78" s="555"/>
      <c r="K78" s="555"/>
      <c r="L78" s="555"/>
      <c r="M78" s="555"/>
      <c r="N78" s="556"/>
      <c r="O78" s="555"/>
      <c r="P78" s="555"/>
      <c r="Q78" s="555"/>
      <c r="R78" s="555"/>
      <c r="S78" s="556"/>
      <c r="T78" s="555"/>
      <c r="U78" s="555"/>
      <c r="V78" s="555"/>
      <c r="W78" s="555"/>
      <c r="X78" s="556"/>
      <c r="Y78" s="555"/>
      <c r="Z78" s="555"/>
      <c r="AA78" s="555"/>
      <c r="AB78" s="555"/>
      <c r="AC78" s="556"/>
      <c r="AD78" s="555"/>
      <c r="AE78" s="555"/>
      <c r="AF78" s="555"/>
      <c r="AG78" s="555"/>
      <c r="AH78" s="556"/>
      <c r="AI78" s="555"/>
      <c r="AJ78" s="555"/>
      <c r="AK78" s="555"/>
      <c r="AL78" s="555"/>
      <c r="AM78" s="556"/>
      <c r="AN78" s="555"/>
      <c r="AO78" s="555"/>
      <c r="AP78" s="555"/>
      <c r="AQ78" s="555"/>
      <c r="AR78" s="556"/>
      <c r="AS78" s="555"/>
      <c r="AT78" s="555"/>
      <c r="AU78" s="555"/>
      <c r="AV78" s="555"/>
      <c r="AW78" s="556"/>
      <c r="AX78" s="555"/>
      <c r="AY78" s="555"/>
      <c r="AZ78" s="555"/>
      <c r="BA78" s="555"/>
      <c r="BB78" s="556"/>
      <c r="BC78" s="555"/>
      <c r="BD78" s="555"/>
      <c r="BE78" s="555"/>
      <c r="BF78" s="555"/>
      <c r="BG78" s="556"/>
      <c r="BH78" s="695">
        <f t="shared" ref="BH78:BU78" si="110">BH79*(1-BH314)</f>
        <v>9.7464000000000013</v>
      </c>
      <c r="BI78" s="695">
        <f t="shared" si="110"/>
        <v>9.6940000000000008</v>
      </c>
      <c r="BJ78" s="574">
        <f t="shared" si="110"/>
        <v>9.3330000000000002</v>
      </c>
      <c r="BK78" s="574">
        <f t="shared" si="110"/>
        <v>9.3558000000000003</v>
      </c>
      <c r="BL78" s="553">
        <f t="shared" si="110"/>
        <v>38.405999999999999</v>
      </c>
      <c r="BM78" s="574">
        <f t="shared" si="110"/>
        <v>7.2215999999999996</v>
      </c>
      <c r="BN78" s="574">
        <f t="shared" si="110"/>
        <v>6.8249999999999993</v>
      </c>
      <c r="BO78" s="574">
        <f t="shared" si="110"/>
        <v>6.5855999999999986</v>
      </c>
      <c r="BP78" s="574">
        <f t="shared" si="110"/>
        <v>7.1231999999999998</v>
      </c>
      <c r="BQ78" s="553">
        <f t="shared" si="110"/>
        <v>27.755399999999998</v>
      </c>
      <c r="BR78" s="574">
        <f t="shared" si="110"/>
        <v>6.9864999999999986</v>
      </c>
      <c r="BS78" s="574">
        <f t="shared" si="110"/>
        <v>6.9046000000000012</v>
      </c>
      <c r="BT78" s="574">
        <f t="shared" si="110"/>
        <v>7.0848000000000004</v>
      </c>
      <c r="BU78" s="574">
        <f t="shared" si="110"/>
        <v>7.1142000000000003</v>
      </c>
      <c r="BV78" s="553">
        <f>SUM(BR78:BU78)</f>
        <v>28.0901</v>
      </c>
      <c r="BW78" s="574">
        <f>BW79*(1-BW314)</f>
        <v>6.3860000000000001</v>
      </c>
      <c r="BX78" s="574">
        <f>BX79*(1-BX314)</f>
        <v>6.24</v>
      </c>
      <c r="BY78" s="574">
        <f>BY79*(1-BY314)</f>
        <v>6.0911999999999997</v>
      </c>
      <c r="BZ78" s="574">
        <f>BZ79*(1-BZ314)</f>
        <v>6.1215000000000002</v>
      </c>
      <c r="CA78" s="553">
        <f>SUM(BW78:BZ78)</f>
        <v>24.838700000000003</v>
      </c>
      <c r="CB78" s="574">
        <f>CB79*(1-CB314)</f>
        <v>6.335</v>
      </c>
      <c r="CC78" s="574">
        <f>CC79*(1-CC314)</f>
        <v>6.3011999999999997</v>
      </c>
      <c r="CD78" s="550">
        <f>CD79*(1-CD314)</f>
        <v>6.125</v>
      </c>
      <c r="CE78" s="550">
        <f>CE79*(1-CE314)</f>
        <v>6.0369119999999983</v>
      </c>
      <c r="CF78" s="551">
        <f>SUM(CB78:CE78)</f>
        <v>24.798111999999996</v>
      </c>
      <c r="CG78" s="550">
        <f>CG79*(1-CG314)</f>
        <v>6.3240000000000007</v>
      </c>
      <c r="CH78" s="550">
        <f>CH79*(1-CH314)</f>
        <v>5.9152320000000014</v>
      </c>
      <c r="CI78" s="550">
        <f>CI79*(1-CI314)</f>
        <v>5.4875999999999996</v>
      </c>
      <c r="CJ78" s="550">
        <f>CJ79*(1-CJ314)</f>
        <v>5.202</v>
      </c>
      <c r="CK78" s="551">
        <f>SUM(CG78:CJ78)</f>
        <v>22.928832</v>
      </c>
      <c r="CL78" s="550">
        <f>CL79*(1-CL314)</f>
        <v>5.0430000000000001</v>
      </c>
      <c r="CM78" s="550">
        <f>CM79*(1-CM314)</f>
        <v>5.0093999999999994</v>
      </c>
      <c r="CN78" s="550">
        <f>CN79*(1-CN314)</f>
        <v>4.9979999999999993</v>
      </c>
      <c r="CO78" s="550">
        <f>CO79*(1-CO314)</f>
        <v>4.9139999999999997</v>
      </c>
      <c r="CP78" s="551">
        <f>SUM(CL78:CO78)</f>
        <v>19.964399999999998</v>
      </c>
      <c r="CQ78" s="550">
        <f>CQ79*(1-CQ314)</f>
        <v>4.3559999999999999</v>
      </c>
      <c r="CR78" s="550">
        <f>CR79*(1-CR314)</f>
        <v>5.2069999999999999</v>
      </c>
      <c r="CS78" s="550">
        <f>CS79*(1-CS314)</f>
        <v>5.1749999999999998</v>
      </c>
      <c r="CT78" s="550">
        <f>CT79*(1-CT314)</f>
        <v>5.3037000000000001</v>
      </c>
      <c r="CU78" s="551">
        <f>SUM(CQ78:CT78)</f>
        <v>20.041699999999999</v>
      </c>
      <c r="CV78" s="550">
        <f>CV79*(1-CV314)</f>
        <v>13.694699999999999</v>
      </c>
      <c r="CW78" s="550">
        <f>CW79*(1-CW314)</f>
        <v>14.219999999999999</v>
      </c>
      <c r="CX78" s="550">
        <f>CX79*(1-CX314)</f>
        <v>14.464799999999999</v>
      </c>
      <c r="CY78" s="550">
        <f>CY79*(1-CY314)</f>
        <v>14.640499999999998</v>
      </c>
      <c r="CZ78" s="694">
        <f>SUM(CV78:CY78)</f>
        <v>57.019999999999989</v>
      </c>
      <c r="DA78" s="550">
        <f>DA79*(1-DA314)</f>
        <v>13.847</v>
      </c>
      <c r="DB78" s="550">
        <f>DB79*(1-DB314)</f>
        <v>13.705999999999998</v>
      </c>
      <c r="DC78" s="550">
        <f>DC79*(1-DC314)</f>
        <v>13.544999999999998</v>
      </c>
      <c r="DD78" s="550">
        <f>DD79*(1-DD314)</f>
        <v>13.757199999999999</v>
      </c>
      <c r="DE78" s="694">
        <f>SUM(DA78:DD78)</f>
        <v>54.855199999999996</v>
      </c>
      <c r="DF78" s="550">
        <f>DF79*(1-DF314)</f>
        <v>13.249599999999997</v>
      </c>
      <c r="DG78" s="550">
        <f>DG79*(1-DG314)</f>
        <v>11.086400000000001</v>
      </c>
      <c r="DH78" s="550">
        <f>DH79*(1-DH314)</f>
        <v>11.172300000000003</v>
      </c>
      <c r="DI78" s="550">
        <f>DI79*(1-DI314)</f>
        <v>11.569264144335277</v>
      </c>
      <c r="DJ78" s="694">
        <f>SUM(DF78:DI78)</f>
        <v>47.077564144335284</v>
      </c>
      <c r="DK78" s="550">
        <f>DK79*(1-DK314)</f>
        <v>11.067799931018106</v>
      </c>
      <c r="DL78" s="550">
        <f>DL79*(1-DL314)</f>
        <v>11.233863795862112</v>
      </c>
      <c r="DM78" s="550">
        <f>DM79*(1-DM314)</f>
        <v>11.182829597205384</v>
      </c>
      <c r="DN78" s="550">
        <f>DN79*(1-DN314)</f>
        <v>11.260737839498846</v>
      </c>
      <c r="DO78" s="694">
        <f>SUM(DK78:DN78)</f>
        <v>44.74523116358445</v>
      </c>
      <c r="DP78" s="550">
        <f>DP79*(1-DP314)</f>
        <v>10.145829408562083</v>
      </c>
      <c r="DQ78" s="550">
        <f>DQ79*(1-DQ314)</f>
        <v>10.2727202348365</v>
      </c>
      <c r="DR78" s="550">
        <f>DR79*(1-DR314)</f>
        <v>10.199902418908456</v>
      </c>
      <c r="DS78" s="550">
        <f>DS79*(1-DS314)</f>
        <v>10.243786675004536</v>
      </c>
      <c r="DT78" s="694">
        <f>SUM(DP78:DS78)</f>
        <v>40.862238737311579</v>
      </c>
      <c r="DU78" s="550">
        <f>DU79*(1-DU314)</f>
        <v>9.2043126956638375</v>
      </c>
      <c r="DV78" s="550">
        <f>DV79*(1-DV314)</f>
        <v>9.2912304162107908</v>
      </c>
      <c r="DW78" s="550">
        <f>DW79*(1-DW314)</f>
        <v>9.1961984140858686</v>
      </c>
      <c r="DX78" s="550">
        <f>DX79*(1-DX314)</f>
        <v>9.2053704134363894</v>
      </c>
      <c r="DY78" s="694">
        <f>SUM(DU78:DX78)</f>
        <v>36.897111939396886</v>
      </c>
    </row>
    <row r="79" spans="1:129" x14ac:dyDescent="0.2">
      <c r="A79" s="471"/>
      <c r="B79" s="696" t="s">
        <v>746</v>
      </c>
      <c r="C79" s="555"/>
      <c r="D79" s="555"/>
      <c r="E79" s="555"/>
      <c r="F79" s="555"/>
      <c r="G79" s="555"/>
      <c r="H79" s="555"/>
      <c r="I79" s="697">
        <v>0</v>
      </c>
      <c r="J79" s="555"/>
      <c r="K79" s="555"/>
      <c r="L79" s="555"/>
      <c r="M79" s="555"/>
      <c r="N79" s="697">
        <v>0</v>
      </c>
      <c r="O79" s="555"/>
      <c r="P79" s="555"/>
      <c r="Q79" s="555"/>
      <c r="R79" s="555"/>
      <c r="S79" s="697">
        <v>0</v>
      </c>
      <c r="T79" s="555"/>
      <c r="U79" s="555"/>
      <c r="V79" s="555"/>
      <c r="W79" s="555"/>
      <c r="X79" s="697">
        <v>0</v>
      </c>
      <c r="Y79" s="555"/>
      <c r="Z79" s="555"/>
      <c r="AA79" s="555"/>
      <c r="AB79" s="555"/>
      <c r="AC79" s="697">
        <v>0</v>
      </c>
      <c r="AD79" s="555"/>
      <c r="AE79" s="555"/>
      <c r="AF79" s="555"/>
      <c r="AG79" s="555"/>
      <c r="AH79" s="697">
        <v>0</v>
      </c>
      <c r="AI79" s="555"/>
      <c r="AJ79" s="555"/>
      <c r="AK79" s="555"/>
      <c r="AL79" s="555"/>
      <c r="AM79" s="697">
        <v>0</v>
      </c>
      <c r="AN79" s="555"/>
      <c r="AO79" s="555"/>
      <c r="AP79" s="555"/>
      <c r="AQ79" s="555"/>
      <c r="AR79" s="697">
        <v>0</v>
      </c>
      <c r="AS79" s="555"/>
      <c r="AT79" s="555"/>
      <c r="AU79" s="555"/>
      <c r="AV79" s="555"/>
      <c r="AW79" s="697">
        <v>0</v>
      </c>
      <c r="AX79" s="555"/>
      <c r="AY79" s="555"/>
      <c r="AZ79" s="555"/>
      <c r="BA79" s="555"/>
      <c r="BB79" s="697">
        <v>0</v>
      </c>
      <c r="BC79" s="557">
        <v>3.1440000000000055</v>
      </c>
      <c r="BD79" s="557">
        <v>3.1010000000000009</v>
      </c>
      <c r="BE79" s="557">
        <v>3.5809999999999995</v>
      </c>
      <c r="BF79" s="557">
        <v>3.7820000000000018</v>
      </c>
      <c r="BG79" s="697">
        <v>13.608000000000008</v>
      </c>
      <c r="BH79" s="557">
        <v>18.600000000000001</v>
      </c>
      <c r="BI79" s="557">
        <v>18.5</v>
      </c>
      <c r="BJ79" s="698">
        <v>18.3</v>
      </c>
      <c r="BK79" s="698">
        <v>18.600000000000001</v>
      </c>
      <c r="BL79" s="699">
        <v>74</v>
      </c>
      <c r="BM79" s="698">
        <v>15.3</v>
      </c>
      <c r="BN79" s="698">
        <v>15</v>
      </c>
      <c r="BO79" s="698">
        <v>14.7</v>
      </c>
      <c r="BP79" s="698">
        <v>15.9</v>
      </c>
      <c r="BQ79" s="699">
        <v>60.9</v>
      </c>
      <c r="BR79" s="698">
        <v>15.7</v>
      </c>
      <c r="BS79" s="698">
        <v>15.8</v>
      </c>
      <c r="BT79" s="698">
        <v>16.399999999999999</v>
      </c>
      <c r="BU79" s="698">
        <v>16.7</v>
      </c>
      <c r="BV79" s="700">
        <f>SUM(BV77:BV78)</f>
        <v>64.599999999999994</v>
      </c>
      <c r="BW79" s="698">
        <v>15.5</v>
      </c>
      <c r="BX79" s="698">
        <v>16</v>
      </c>
      <c r="BY79" s="698">
        <v>16.2</v>
      </c>
      <c r="BZ79" s="698">
        <v>16.5</v>
      </c>
      <c r="CA79" s="700">
        <f>SUM(CA77:CA78)</f>
        <v>64.2</v>
      </c>
      <c r="CB79" s="698">
        <v>17.5</v>
      </c>
      <c r="CC79" s="698">
        <v>17.8</v>
      </c>
      <c r="CD79" s="698">
        <v>17.5</v>
      </c>
      <c r="CE79" s="698">
        <v>17.807999999999996</v>
      </c>
      <c r="CF79" s="700">
        <f>SUM(CF77:CF78)</f>
        <v>70.608000000000004</v>
      </c>
      <c r="CG79" s="698">
        <v>20.399999999999999</v>
      </c>
      <c r="CH79" s="698">
        <v>20.539000000000001</v>
      </c>
      <c r="CI79" s="698">
        <v>20.399999999999999</v>
      </c>
      <c r="CJ79" s="698">
        <v>20.399999999999999</v>
      </c>
      <c r="CK79" s="700">
        <f>SUM(CK77:CK78)</f>
        <v>81.739000000000004</v>
      </c>
      <c r="CL79" s="698">
        <v>20.5</v>
      </c>
      <c r="CM79" s="698">
        <v>20.7</v>
      </c>
      <c r="CN79" s="698">
        <v>21</v>
      </c>
      <c r="CO79" s="698">
        <v>21</v>
      </c>
      <c r="CP79" s="700">
        <f>SUM(CP77:CP78)</f>
        <v>83.199999999999989</v>
      </c>
      <c r="CQ79" s="698">
        <v>19.8</v>
      </c>
      <c r="CR79" s="698">
        <v>20.5</v>
      </c>
      <c r="CS79" s="698">
        <v>20.7</v>
      </c>
      <c r="CT79" s="698">
        <v>21.3</v>
      </c>
      <c r="CU79" s="700">
        <f>SUM(CU77:CU78)</f>
        <v>82.3</v>
      </c>
      <c r="CV79" s="698">
        <v>57.3</v>
      </c>
      <c r="CW79" s="698">
        <v>60</v>
      </c>
      <c r="CX79" s="698">
        <v>61.5</v>
      </c>
      <c r="CY79" s="698">
        <v>62.3</v>
      </c>
      <c r="CZ79" s="702">
        <f>SUM(CZ77:CZ78)</f>
        <v>241.1</v>
      </c>
      <c r="DA79" s="698">
        <v>61</v>
      </c>
      <c r="DB79" s="698">
        <v>62.3</v>
      </c>
      <c r="DC79" s="698">
        <v>63</v>
      </c>
      <c r="DD79" s="698">
        <v>65.2</v>
      </c>
      <c r="DE79" s="702">
        <f>SUM(DE77:DE78)</f>
        <v>251.5</v>
      </c>
      <c r="DF79" s="698">
        <v>63.7</v>
      </c>
      <c r="DG79" s="698">
        <v>65.599999999999994</v>
      </c>
      <c r="DH79" s="698">
        <v>66.900000000000006</v>
      </c>
      <c r="DI79" s="2805">
        <v>69.02679940445509</v>
      </c>
      <c r="DJ79" s="702">
        <f>SUM(DJ77:DJ78)</f>
        <v>265.22679940445511</v>
      </c>
      <c r="DK79" s="701">
        <f>DF79*(1+DK80)</f>
        <v>67.522000000000006</v>
      </c>
      <c r="DL79" s="701">
        <f>DG79*(1+DL80)</f>
        <v>70.191999999999993</v>
      </c>
      <c r="DM79" s="701">
        <f>DH79*(1+DM80)</f>
        <v>71.583000000000013</v>
      </c>
      <c r="DN79" s="701">
        <f>DI79*(1+DN80)</f>
        <v>73.858675362766945</v>
      </c>
      <c r="DO79" s="702">
        <f>SUM(DO77:DO78)</f>
        <v>283.15567536276694</v>
      </c>
      <c r="DP79" s="701">
        <f>DK79*(1+DP80)</f>
        <v>68.197220000000002</v>
      </c>
      <c r="DQ79" s="701">
        <f>DL79*(1+DQ80)</f>
        <v>70.893919999999994</v>
      </c>
      <c r="DR79" s="701">
        <f>DM79*(1+DR80)</f>
        <v>72.298830000000009</v>
      </c>
      <c r="DS79" s="701">
        <f>DN79*(1+DS80)</f>
        <v>74.597262116394617</v>
      </c>
      <c r="DT79" s="702">
        <f>SUM(DT77:DT78)</f>
        <v>285.98723211639464</v>
      </c>
      <c r="DU79" s="701">
        <f>DP79*(1+DU80)</f>
        <v>68.879192200000006</v>
      </c>
      <c r="DV79" s="701">
        <f>DQ79*(1+DV80)</f>
        <v>71.602859199999997</v>
      </c>
      <c r="DW79" s="701">
        <f>DR79*(1+DW80)</f>
        <v>73.021818300000007</v>
      </c>
      <c r="DX79" s="701">
        <f>DS79*(1+DX80)</f>
        <v>75.343234737558561</v>
      </c>
      <c r="DY79" s="702">
        <f>SUM(DY77:DY78)</f>
        <v>288.84710443755858</v>
      </c>
    </row>
    <row r="80" spans="1:129" x14ac:dyDescent="0.2">
      <c r="A80" s="473"/>
      <c r="B80" s="703" t="s">
        <v>194</v>
      </c>
      <c r="C80" s="469"/>
      <c r="D80" s="469"/>
      <c r="E80" s="469"/>
      <c r="F80" s="469"/>
      <c r="G80" s="469"/>
      <c r="H80" s="469"/>
      <c r="I80" s="580"/>
      <c r="J80" s="469"/>
      <c r="K80" s="469"/>
      <c r="L80" s="469"/>
      <c r="M80" s="469"/>
      <c r="N80" s="580"/>
      <c r="O80" s="469"/>
      <c r="P80" s="469"/>
      <c r="Q80" s="469"/>
      <c r="R80" s="469"/>
      <c r="S80" s="580"/>
      <c r="T80" s="469"/>
      <c r="U80" s="469"/>
      <c r="V80" s="469"/>
      <c r="W80" s="469"/>
      <c r="X80" s="580"/>
      <c r="Y80" s="469"/>
      <c r="Z80" s="469"/>
      <c r="AA80" s="469"/>
      <c r="AB80" s="469"/>
      <c r="AC80" s="580"/>
      <c r="AD80" s="469"/>
      <c r="AE80" s="469"/>
      <c r="AF80" s="469"/>
      <c r="AG80" s="469"/>
      <c r="AH80" s="580"/>
      <c r="AI80" s="469"/>
      <c r="AJ80" s="469"/>
      <c r="AK80" s="469"/>
      <c r="AL80" s="469"/>
      <c r="AM80" s="580"/>
      <c r="AN80" s="469"/>
      <c r="AO80" s="469"/>
      <c r="AP80" s="469"/>
      <c r="AQ80" s="469"/>
      <c r="AR80" s="580"/>
      <c r="AS80" s="469"/>
      <c r="AT80" s="469"/>
      <c r="AU80" s="469"/>
      <c r="AV80" s="469"/>
      <c r="AW80" s="580"/>
      <c r="AX80" s="469"/>
      <c r="AY80" s="469"/>
      <c r="AZ80" s="469"/>
      <c r="BA80" s="469"/>
      <c r="BB80" s="580"/>
      <c r="BC80" s="469"/>
      <c r="BD80" s="469"/>
      <c r="BE80" s="469"/>
      <c r="BF80" s="469"/>
      <c r="BG80" s="580"/>
      <c r="BH80" s="581">
        <f t="shared" ref="BH80:DI80" si="111">BH79/BC79-1</f>
        <v>4.916030534351135</v>
      </c>
      <c r="BI80" s="581">
        <f t="shared" si="111"/>
        <v>4.9658174782328262</v>
      </c>
      <c r="BJ80" s="581">
        <f t="shared" si="111"/>
        <v>4.1103043842502105</v>
      </c>
      <c r="BK80" s="581">
        <f t="shared" si="111"/>
        <v>3.9180327868852443</v>
      </c>
      <c r="BL80" s="582">
        <f t="shared" si="111"/>
        <v>4.4379776601998797</v>
      </c>
      <c r="BM80" s="581">
        <f t="shared" si="111"/>
        <v>-0.17741935483870974</v>
      </c>
      <c r="BN80" s="581">
        <f t="shared" si="111"/>
        <v>-0.18918918918918914</v>
      </c>
      <c r="BO80" s="581">
        <f t="shared" si="111"/>
        <v>-0.19672131147540994</v>
      </c>
      <c r="BP80" s="581">
        <f t="shared" si="111"/>
        <v>-0.14516129032258074</v>
      </c>
      <c r="BQ80" s="582">
        <f t="shared" si="111"/>
        <v>-0.177027027027027</v>
      </c>
      <c r="BR80" s="581">
        <f t="shared" si="111"/>
        <v>2.614379084967311E-2</v>
      </c>
      <c r="BS80" s="581">
        <f t="shared" si="111"/>
        <v>5.3333333333333455E-2</v>
      </c>
      <c r="BT80" s="581">
        <f t="shared" si="111"/>
        <v>0.11564625850340127</v>
      </c>
      <c r="BU80" s="581">
        <f t="shared" si="111"/>
        <v>5.031446540880502E-2</v>
      </c>
      <c r="BV80" s="582">
        <f t="shared" si="111"/>
        <v>6.075533661740562E-2</v>
      </c>
      <c r="BW80" s="704">
        <f t="shared" si="111"/>
        <v>-1.2738853503184711E-2</v>
      </c>
      <c r="BX80" s="704">
        <f t="shared" si="111"/>
        <v>1.2658227848101111E-2</v>
      </c>
      <c r="BY80" s="704">
        <f t="shared" si="111"/>
        <v>-1.2195121951219523E-2</v>
      </c>
      <c r="BZ80" s="704">
        <f t="shared" si="111"/>
        <v>-1.19760479041916E-2</v>
      </c>
      <c r="CA80" s="582">
        <f t="shared" si="111"/>
        <v>-6.1919504643961343E-3</v>
      </c>
      <c r="CB80" s="704">
        <f t="shared" si="111"/>
        <v>0.12903225806451624</v>
      </c>
      <c r="CC80" s="704">
        <f t="shared" si="111"/>
        <v>0.11250000000000004</v>
      </c>
      <c r="CD80" s="704">
        <f t="shared" si="111"/>
        <v>8.0246913580247048E-2</v>
      </c>
      <c r="CE80" s="704">
        <f t="shared" si="111"/>
        <v>7.9272727272726939E-2</v>
      </c>
      <c r="CF80" s="583">
        <f t="shared" si="111"/>
        <v>9.9813084112149619E-2</v>
      </c>
      <c r="CG80" s="704">
        <f t="shared" si="111"/>
        <v>0.1657142857142857</v>
      </c>
      <c r="CH80" s="704">
        <f t="shared" si="111"/>
        <v>0.15387640449438211</v>
      </c>
      <c r="CI80" s="704">
        <f t="shared" si="111"/>
        <v>0.1657142857142857</v>
      </c>
      <c r="CJ80" s="704">
        <f t="shared" si="111"/>
        <v>0.14555256064690036</v>
      </c>
      <c r="CK80" s="580">
        <f>CK79/CF79-1</f>
        <v>0.15764502605937003</v>
      </c>
      <c r="CL80" s="704">
        <f t="shared" si="111"/>
        <v>4.9019607843137081E-3</v>
      </c>
      <c r="CM80" s="704">
        <f t="shared" si="111"/>
        <v>7.8387458006716759E-3</v>
      </c>
      <c r="CN80" s="704">
        <f t="shared" si="111"/>
        <v>2.941176470588247E-2</v>
      </c>
      <c r="CO80" s="704">
        <f t="shared" si="111"/>
        <v>2.941176470588247E-2</v>
      </c>
      <c r="CP80" s="580">
        <f>CP79/CK79-1</f>
        <v>1.787396469249658E-2</v>
      </c>
      <c r="CQ80" s="704">
        <f t="shared" si="111"/>
        <v>-3.4146341463414553E-2</v>
      </c>
      <c r="CR80" s="704">
        <f t="shared" si="111"/>
        <v>-9.6618357487922024E-3</v>
      </c>
      <c r="CS80" s="704">
        <f t="shared" si="111"/>
        <v>-1.4285714285714346E-2</v>
      </c>
      <c r="CT80" s="704">
        <f t="shared" si="111"/>
        <v>1.4285714285714235E-2</v>
      </c>
      <c r="CU80" s="580">
        <f>CU79/CP79-1</f>
        <v>-1.0817307692307598E-2</v>
      </c>
      <c r="CV80" s="704">
        <f t="shared" si="111"/>
        <v>1.8939393939393936</v>
      </c>
      <c r="CW80" s="704">
        <f t="shared" si="111"/>
        <v>1.9268292682926829</v>
      </c>
      <c r="CX80" s="704">
        <f t="shared" si="111"/>
        <v>1.9710144927536235</v>
      </c>
      <c r="CY80" s="704">
        <f t="shared" si="111"/>
        <v>1.924882629107981</v>
      </c>
      <c r="CZ80" s="706">
        <f>CZ79/CU79-1</f>
        <v>1.9295261239368164</v>
      </c>
      <c r="DA80" s="704">
        <f t="shared" si="111"/>
        <v>6.4572425828970381E-2</v>
      </c>
      <c r="DB80" s="704">
        <f t="shared" si="111"/>
        <v>3.833333333333333E-2</v>
      </c>
      <c r="DC80" s="704">
        <f t="shared" si="111"/>
        <v>2.4390243902439046E-2</v>
      </c>
      <c r="DD80" s="704">
        <f t="shared" si="111"/>
        <v>4.6548956661316199E-2</v>
      </c>
      <c r="DE80" s="706">
        <f>DE79/CZ79-1</f>
        <v>4.3135628369971091E-2</v>
      </c>
      <c r="DF80" s="704">
        <f t="shared" si="111"/>
        <v>4.4262295081967329E-2</v>
      </c>
      <c r="DG80" s="704">
        <f t="shared" si="111"/>
        <v>5.2969502407704594E-2</v>
      </c>
      <c r="DH80" s="704">
        <f t="shared" si="111"/>
        <v>6.1904761904761907E-2</v>
      </c>
      <c r="DI80" s="2806">
        <f t="shared" si="111"/>
        <v>5.8693242399617818E-2</v>
      </c>
      <c r="DJ80" s="706">
        <f>DJ79/DE79-1</f>
        <v>5.4579719302008334E-2</v>
      </c>
      <c r="DK80" s="705">
        <f>'Key Inputs and Scenarios'!AX109</f>
        <v>0.06</v>
      </c>
      <c r="DL80" s="705">
        <f>'Key Inputs and Scenarios'!AY109</f>
        <v>7.0000000000000007E-2</v>
      </c>
      <c r="DM80" s="705">
        <f>'Key Inputs and Scenarios'!AZ109</f>
        <v>7.0000000000000007E-2</v>
      </c>
      <c r="DN80" s="705">
        <f>'Key Inputs and Scenarios'!BA109</f>
        <v>7.0000000000000007E-2</v>
      </c>
      <c r="DO80" s="706">
        <f>DO79/DJ79-1</f>
        <v>6.7598281917851555E-2</v>
      </c>
      <c r="DP80" s="705">
        <f>'Key Inputs and Scenarios'!BC109</f>
        <v>0.01</v>
      </c>
      <c r="DQ80" s="705">
        <f>'Key Inputs and Scenarios'!BD109</f>
        <v>0.01</v>
      </c>
      <c r="DR80" s="705">
        <f>'Key Inputs and Scenarios'!BE109</f>
        <v>0.01</v>
      </c>
      <c r="DS80" s="705">
        <f>'Key Inputs and Scenarios'!BF109</f>
        <v>0.01</v>
      </c>
      <c r="DT80" s="706">
        <f>DT79/DO79-1</f>
        <v>1.0000000000000009E-2</v>
      </c>
      <c r="DU80" s="705">
        <f>'Key Inputs and Scenarios'!BH109</f>
        <v>0.01</v>
      </c>
      <c r="DV80" s="705">
        <f>'Key Inputs and Scenarios'!BI109</f>
        <v>0.01</v>
      </c>
      <c r="DW80" s="705">
        <f>'Key Inputs and Scenarios'!BJ109</f>
        <v>0.01</v>
      </c>
      <c r="DX80" s="705">
        <f>'Key Inputs and Scenarios'!BK109</f>
        <v>0.01</v>
      </c>
      <c r="DY80" s="706">
        <f>DY79/DT79-1</f>
        <v>1.0000000000000009E-2</v>
      </c>
    </row>
    <row r="81" spans="1:129" ht="4.5" customHeight="1" x14ac:dyDescent="0.2">
      <c r="A81" s="473"/>
      <c r="B81" s="703"/>
      <c r="C81" s="469"/>
      <c r="D81" s="469"/>
      <c r="E81" s="469"/>
      <c r="F81" s="469"/>
      <c r="G81" s="469"/>
      <c r="H81" s="469"/>
      <c r="I81" s="580"/>
      <c r="J81" s="469"/>
      <c r="K81" s="469"/>
      <c r="L81" s="469"/>
      <c r="M81" s="469"/>
      <c r="N81" s="580"/>
      <c r="O81" s="469"/>
      <c r="P81" s="469"/>
      <c r="Q81" s="469"/>
      <c r="R81" s="469"/>
      <c r="S81" s="580"/>
      <c r="T81" s="469"/>
      <c r="U81" s="469"/>
      <c r="V81" s="469"/>
      <c r="W81" s="469"/>
      <c r="X81" s="580"/>
      <c r="Y81" s="469"/>
      <c r="Z81" s="469"/>
      <c r="AA81" s="469"/>
      <c r="AB81" s="469"/>
      <c r="AC81" s="580"/>
      <c r="AD81" s="469"/>
      <c r="AE81" s="469"/>
      <c r="AF81" s="469"/>
      <c r="AG81" s="469"/>
      <c r="AH81" s="580"/>
      <c r="AI81" s="469"/>
      <c r="AJ81" s="469"/>
      <c r="AK81" s="469"/>
      <c r="AL81" s="469"/>
      <c r="AM81" s="580"/>
      <c r="AN81" s="469"/>
      <c r="AO81" s="469"/>
      <c r="AP81" s="469"/>
      <c r="AQ81" s="469"/>
      <c r="AR81" s="580"/>
      <c r="AS81" s="469"/>
      <c r="AT81" s="469"/>
      <c r="AU81" s="469"/>
      <c r="AV81" s="469"/>
      <c r="AW81" s="580"/>
      <c r="AX81" s="469"/>
      <c r="AY81" s="469"/>
      <c r="AZ81" s="469"/>
      <c r="BA81" s="469"/>
      <c r="BB81" s="580"/>
      <c r="BC81" s="469"/>
      <c r="BD81" s="469"/>
      <c r="BE81" s="469"/>
      <c r="BF81" s="469"/>
      <c r="BG81" s="580"/>
      <c r="BH81" s="469"/>
      <c r="BI81" s="469"/>
      <c r="BJ81" s="469"/>
      <c r="BK81" s="469"/>
      <c r="BL81" s="580"/>
      <c r="BM81" s="469"/>
      <c r="BN81" s="469"/>
      <c r="BO81" s="469"/>
      <c r="BP81" s="469"/>
      <c r="BQ81" s="580"/>
      <c r="BR81" s="469"/>
      <c r="BS81" s="469"/>
      <c r="BT81" s="469"/>
      <c r="BU81" s="623"/>
      <c r="BV81" s="580"/>
      <c r="BW81" s="707"/>
      <c r="BX81" s="707"/>
      <c r="BY81" s="707"/>
      <c r="BZ81" s="707"/>
      <c r="CA81" s="580"/>
      <c r="CB81" s="707"/>
      <c r="CC81" s="707"/>
      <c r="CD81" s="708"/>
      <c r="CE81" s="708"/>
      <c r="CF81" s="583"/>
      <c r="CG81" s="709"/>
      <c r="CH81" s="709"/>
      <c r="CI81" s="709"/>
      <c r="CJ81" s="709"/>
      <c r="CK81" s="580"/>
      <c r="CL81" s="710"/>
      <c r="CM81" s="710"/>
      <c r="CN81" s="710"/>
      <c r="CO81" s="710"/>
      <c r="CP81" s="580"/>
      <c r="CQ81" s="710"/>
      <c r="CR81" s="710"/>
      <c r="CS81" s="710"/>
      <c r="CT81" s="710"/>
      <c r="CU81" s="580"/>
      <c r="CV81" s="710"/>
      <c r="CW81" s="710"/>
      <c r="CX81" s="710"/>
      <c r="CY81" s="710"/>
      <c r="CZ81" s="706"/>
      <c r="DA81" s="710"/>
      <c r="DB81" s="710"/>
      <c r="DC81" s="710"/>
      <c r="DD81" s="710"/>
      <c r="DE81" s="706"/>
      <c r="DF81" s="710"/>
      <c r="DG81" s="710"/>
      <c r="DH81" s="710"/>
      <c r="DI81" s="710"/>
      <c r="DJ81" s="706"/>
      <c r="DK81" s="710"/>
      <c r="DL81" s="710"/>
      <c r="DM81" s="710"/>
      <c r="DN81" s="710"/>
      <c r="DO81" s="706"/>
      <c r="DP81" s="710"/>
      <c r="DQ81" s="710"/>
      <c r="DR81" s="710"/>
      <c r="DS81" s="710"/>
      <c r="DT81" s="706"/>
      <c r="DU81" s="710"/>
      <c r="DV81" s="710"/>
      <c r="DW81" s="710"/>
      <c r="DX81" s="710"/>
      <c r="DY81" s="706"/>
    </row>
    <row r="82" spans="1:129" ht="11.25" customHeight="1" x14ac:dyDescent="0.2">
      <c r="A82" s="471"/>
      <c r="B82" s="711" t="s">
        <v>747</v>
      </c>
      <c r="C82" s="550"/>
      <c r="D82" s="550"/>
      <c r="E82" s="550"/>
      <c r="F82" s="550"/>
      <c r="G82" s="550"/>
      <c r="H82" s="550"/>
      <c r="I82" s="551"/>
      <c r="J82" s="550"/>
      <c r="K82" s="550"/>
      <c r="L82" s="550"/>
      <c r="M82" s="550"/>
      <c r="N82" s="551"/>
      <c r="O82" s="550"/>
      <c r="P82" s="550"/>
      <c r="Q82" s="550"/>
      <c r="R82" s="550"/>
      <c r="S82" s="551"/>
      <c r="T82" s="550"/>
      <c r="U82" s="550"/>
      <c r="V82" s="550"/>
      <c r="W82" s="550"/>
      <c r="X82" s="551"/>
      <c r="Y82" s="550"/>
      <c r="Z82" s="550"/>
      <c r="AA82" s="550"/>
      <c r="AB82" s="550"/>
      <c r="AC82" s="551"/>
      <c r="AD82" s="550"/>
      <c r="AE82" s="550"/>
      <c r="AF82" s="550"/>
      <c r="AG82" s="550"/>
      <c r="AH82" s="551"/>
      <c r="AI82" s="550"/>
      <c r="AJ82" s="550"/>
      <c r="AK82" s="550"/>
      <c r="AL82" s="550"/>
      <c r="AM82" s="551"/>
      <c r="AN82" s="550"/>
      <c r="AO82" s="550"/>
      <c r="AP82" s="550"/>
      <c r="AQ82" s="550"/>
      <c r="AR82" s="551"/>
      <c r="AS82" s="550"/>
      <c r="AT82" s="550"/>
      <c r="AU82" s="550"/>
      <c r="AV82" s="550"/>
      <c r="AW82" s="551"/>
      <c r="AX82" s="550"/>
      <c r="AY82" s="550"/>
      <c r="AZ82" s="550"/>
      <c r="BA82" s="550"/>
      <c r="BB82" s="551"/>
      <c r="BC82" s="550"/>
      <c r="BD82" s="550"/>
      <c r="BE82" s="550"/>
      <c r="BF82" s="550"/>
      <c r="BG82" s="551"/>
      <c r="BH82" s="550"/>
      <c r="BI82" s="550"/>
      <c r="BJ82" s="550"/>
      <c r="BK82" s="550"/>
      <c r="BL82" s="595">
        <f t="shared" ref="BL82:CZ82" si="112">BL79*3*BL96</f>
        <v>209.19999999999993</v>
      </c>
      <c r="BM82" s="552">
        <f t="shared" si="112"/>
        <v>42.599999999999994</v>
      </c>
      <c r="BN82" s="552">
        <f t="shared" si="112"/>
        <v>41.799999999999983</v>
      </c>
      <c r="BO82" s="552">
        <f t="shared" si="112"/>
        <v>40.900000000000006</v>
      </c>
      <c r="BP82" s="552">
        <f t="shared" si="112"/>
        <v>44.36099999999999</v>
      </c>
      <c r="BQ82" s="595">
        <f t="shared" si="112"/>
        <v>169.66100000000006</v>
      </c>
      <c r="BR82" s="552">
        <f t="shared" si="112"/>
        <v>44.274000000000001</v>
      </c>
      <c r="BS82" s="552">
        <f t="shared" si="112"/>
        <v>44.556000000000012</v>
      </c>
      <c r="BT82" s="552">
        <f t="shared" si="112"/>
        <v>45.900000000000006</v>
      </c>
      <c r="BU82" s="552">
        <f t="shared" si="112"/>
        <v>46.843499999999999</v>
      </c>
      <c r="BV82" s="595">
        <f t="shared" si="112"/>
        <v>181.52999999999997</v>
      </c>
      <c r="BW82" s="552">
        <f t="shared" si="112"/>
        <v>43.477499999999999</v>
      </c>
      <c r="BX82" s="552">
        <f t="shared" si="112"/>
        <v>44.736000000000004</v>
      </c>
      <c r="BY82" s="552">
        <f t="shared" si="112"/>
        <v>45.68399999999999</v>
      </c>
      <c r="BZ82" s="552">
        <f t="shared" si="112"/>
        <v>46.579499999999996</v>
      </c>
      <c r="CA82" s="595">
        <f t="shared" si="112"/>
        <v>180.47699999999998</v>
      </c>
      <c r="CB82" s="552">
        <f t="shared" si="112"/>
        <v>49.98</v>
      </c>
      <c r="CC82" s="552">
        <f t="shared" si="112"/>
        <v>50.999999999999979</v>
      </c>
      <c r="CD82" s="659">
        <f t="shared" si="112"/>
        <v>49.98</v>
      </c>
      <c r="CE82" s="659">
        <f t="shared" si="112"/>
        <v>50.816000000000003</v>
      </c>
      <c r="CF82" s="660">
        <f t="shared" si="112"/>
        <v>201.77599999999995</v>
      </c>
      <c r="CG82" s="659">
        <f t="shared" si="112"/>
        <v>58.5</v>
      </c>
      <c r="CH82" s="659">
        <f t="shared" si="112"/>
        <v>58.876999999999981</v>
      </c>
      <c r="CI82" s="659">
        <f t="shared" si="112"/>
        <v>58.400000000000006</v>
      </c>
      <c r="CJ82" s="659">
        <f t="shared" si="112"/>
        <v>58.5</v>
      </c>
      <c r="CK82" s="551">
        <f t="shared" si="112"/>
        <v>234.27699999999982</v>
      </c>
      <c r="CL82" s="550">
        <f t="shared" si="112"/>
        <v>58.900000000000006</v>
      </c>
      <c r="CM82" s="550">
        <f t="shared" si="112"/>
        <v>59.400000000000006</v>
      </c>
      <c r="CN82" s="550">
        <f>CN79*3*CN96</f>
        <v>60.099999999999994</v>
      </c>
      <c r="CO82" s="550">
        <f>CO79*3*CO96</f>
        <v>60.200000000000017</v>
      </c>
      <c r="CP82" s="551">
        <f t="shared" si="112"/>
        <v>238.60000000000014</v>
      </c>
      <c r="CQ82" s="550">
        <f t="shared" si="112"/>
        <v>55.899999999999977</v>
      </c>
      <c r="CR82" s="550">
        <f t="shared" si="112"/>
        <v>57.799999999999983</v>
      </c>
      <c r="CS82" s="550">
        <f t="shared" si="112"/>
        <v>58.200000000000017</v>
      </c>
      <c r="CT82" s="550">
        <f t="shared" si="112"/>
        <v>59.900000000000006</v>
      </c>
      <c r="CU82" s="551">
        <f t="shared" si="112"/>
        <v>231.79999999999984</v>
      </c>
      <c r="CV82" s="550">
        <f t="shared" si="112"/>
        <v>57.299999999999955</v>
      </c>
      <c r="CW82" s="550">
        <f>CW79*3*CW96</f>
        <v>60</v>
      </c>
      <c r="CX82" s="550">
        <f>CX79*3*CX96</f>
        <v>61.5</v>
      </c>
      <c r="CY82" s="550">
        <f>CY79*3*CY96</f>
        <v>62.300000000000011</v>
      </c>
      <c r="CZ82" s="694">
        <f t="shared" si="112"/>
        <v>241.09999999999988</v>
      </c>
      <c r="DA82" s="550">
        <f>DA79*3*DA96</f>
        <v>61</v>
      </c>
      <c r="DB82" s="550">
        <f>DB79*3*DB96</f>
        <v>62.300000000000011</v>
      </c>
      <c r="DC82" s="550">
        <f>DC79*3*DC96</f>
        <v>63</v>
      </c>
      <c r="DD82" s="550">
        <f>DD79*3*DD96</f>
        <v>65.199999999999989</v>
      </c>
      <c r="DE82" s="694">
        <f t="shared" ref="DE82:DJ82" si="113">DE79*3*DE96</f>
        <v>251.50000000000023</v>
      </c>
      <c r="DF82" s="550">
        <f>DF79*3*DF96</f>
        <v>63.699999999999996</v>
      </c>
      <c r="DG82" s="550">
        <f>DG79*3*DG96</f>
        <v>65.700000000000045</v>
      </c>
      <c r="DH82" s="550">
        <f>DH79*3*DH96</f>
        <v>66.900000000000034</v>
      </c>
      <c r="DI82" s="550">
        <f>DI79*3*DI96</f>
        <v>69.026799404455062</v>
      </c>
      <c r="DJ82" s="694">
        <f t="shared" si="113"/>
        <v>265.32679940445519</v>
      </c>
      <c r="DK82" s="550">
        <f t="shared" ref="DK82:DT82" si="114">DK79*3*DK96</f>
        <v>67.521999999999991</v>
      </c>
      <c r="DL82" s="550">
        <f t="shared" si="114"/>
        <v>70.191999999999979</v>
      </c>
      <c r="DM82" s="550">
        <f t="shared" si="114"/>
        <v>71.582999999999998</v>
      </c>
      <c r="DN82" s="550">
        <f t="shared" si="114"/>
        <v>73.858675362766931</v>
      </c>
      <c r="DO82" s="694">
        <f t="shared" si="114"/>
        <v>283.15567536276694</v>
      </c>
      <c r="DP82" s="550">
        <f t="shared" si="114"/>
        <v>68.197219999999987</v>
      </c>
      <c r="DQ82" s="550">
        <f t="shared" si="114"/>
        <v>70.89391999999998</v>
      </c>
      <c r="DR82" s="550">
        <f t="shared" si="114"/>
        <v>72.298829999999995</v>
      </c>
      <c r="DS82" s="550">
        <f t="shared" si="114"/>
        <v>74.597262116394603</v>
      </c>
      <c r="DT82" s="694">
        <f t="shared" si="114"/>
        <v>285.98723211639458</v>
      </c>
      <c r="DU82" s="550">
        <f t="shared" ref="DU82:DY82" si="115">DU79*3*DU96</f>
        <v>68.879192199999991</v>
      </c>
      <c r="DV82" s="550">
        <f t="shared" si="115"/>
        <v>71.602859199999983</v>
      </c>
      <c r="DW82" s="550">
        <f t="shared" si="115"/>
        <v>73.021818299999993</v>
      </c>
      <c r="DX82" s="550">
        <f t="shared" si="115"/>
        <v>75.343234737558546</v>
      </c>
      <c r="DY82" s="694">
        <f t="shared" si="115"/>
        <v>288.84710443755876</v>
      </c>
    </row>
    <row r="83" spans="1:129" outlineLevel="1" x14ac:dyDescent="0.2">
      <c r="A83" s="474"/>
      <c r="B83" s="712" t="s">
        <v>748</v>
      </c>
      <c r="C83" s="538"/>
      <c r="D83" s="538"/>
      <c r="E83" s="538"/>
      <c r="F83" s="538"/>
      <c r="G83" s="538"/>
      <c r="H83" s="538"/>
      <c r="I83" s="539"/>
      <c r="J83" s="538"/>
      <c r="K83" s="538"/>
      <c r="L83" s="538"/>
      <c r="M83" s="538"/>
      <c r="N83" s="539"/>
      <c r="O83" s="538"/>
      <c r="P83" s="538"/>
      <c r="Q83" s="538"/>
      <c r="R83" s="538"/>
      <c r="S83" s="539"/>
      <c r="T83" s="538"/>
      <c r="U83" s="538"/>
      <c r="V83" s="538"/>
      <c r="W83" s="538"/>
      <c r="X83" s="539"/>
      <c r="Y83" s="538"/>
      <c r="Z83" s="538"/>
      <c r="AA83" s="538"/>
      <c r="AB83" s="538"/>
      <c r="AC83" s="539"/>
      <c r="AD83" s="538"/>
      <c r="AE83" s="538"/>
      <c r="AF83" s="538"/>
      <c r="AG83" s="538"/>
      <c r="AH83" s="539"/>
      <c r="AI83" s="538"/>
      <c r="AJ83" s="538"/>
      <c r="AK83" s="538"/>
      <c r="AL83" s="538"/>
      <c r="AM83" s="539"/>
      <c r="AN83" s="538"/>
      <c r="AO83" s="538"/>
      <c r="AP83" s="538"/>
      <c r="AQ83" s="538"/>
      <c r="AR83" s="539"/>
      <c r="AS83" s="538"/>
      <c r="AT83" s="538"/>
      <c r="AU83" s="538"/>
      <c r="AV83" s="538"/>
      <c r="AW83" s="539"/>
      <c r="AX83" s="538"/>
      <c r="AY83" s="538"/>
      <c r="AZ83" s="538"/>
      <c r="BA83" s="538"/>
      <c r="BB83" s="539"/>
      <c r="BC83" s="538"/>
      <c r="BD83" s="538"/>
      <c r="BE83" s="538"/>
      <c r="BF83" s="538"/>
      <c r="BG83" s="539"/>
      <c r="BH83" s="538"/>
      <c r="BI83" s="538"/>
      <c r="BJ83" s="538"/>
      <c r="BK83" s="538"/>
      <c r="BL83" s="539"/>
      <c r="BM83" s="538"/>
      <c r="BN83" s="538"/>
      <c r="BO83" s="538"/>
      <c r="BP83" s="538"/>
      <c r="BQ83" s="539"/>
      <c r="BR83" s="713">
        <f>((BR101-BR102)*BR98)/(BR96*3)</f>
        <v>16.040379432624114</v>
      </c>
      <c r="BS83" s="713">
        <f>((BS101-BS102)*BS98)/(BS96*3)</f>
        <v>16.415497872340428</v>
      </c>
      <c r="BT83" s="714"/>
      <c r="BU83" s="623"/>
      <c r="BV83" s="539"/>
      <c r="BW83" s="707"/>
      <c r="BX83" s="707"/>
      <c r="BY83" s="707"/>
      <c r="BZ83" s="707"/>
      <c r="CA83" s="539"/>
      <c r="CB83" s="707"/>
      <c r="CC83" s="707"/>
      <c r="CD83" s="708"/>
      <c r="CE83" s="708"/>
      <c r="CF83" s="715"/>
      <c r="CG83" s="709"/>
      <c r="CH83" s="709"/>
      <c r="CI83" s="709"/>
      <c r="CJ83" s="709"/>
      <c r="CK83" s="539"/>
      <c r="CL83" s="710"/>
      <c r="CM83" s="710"/>
      <c r="CN83" s="710"/>
      <c r="CO83" s="710"/>
      <c r="CP83" s="539"/>
      <c r="CQ83" s="710"/>
      <c r="CR83" s="710"/>
      <c r="CS83" s="710"/>
      <c r="CT83" s="710"/>
      <c r="CU83" s="539"/>
      <c r="CV83" s="710"/>
      <c r="CW83" s="710"/>
      <c r="CX83" s="710"/>
      <c r="CY83" s="710"/>
      <c r="CZ83" s="716"/>
      <c r="DA83" s="710"/>
      <c r="DB83" s="710"/>
      <c r="DC83" s="710"/>
      <c r="DD83" s="710"/>
      <c r="DE83" s="716"/>
      <c r="DF83" s="710"/>
      <c r="DG83" s="710"/>
      <c r="DH83" s="710"/>
      <c r="DI83" s="710"/>
      <c r="DJ83" s="716"/>
      <c r="DK83" s="710"/>
      <c r="DL83" s="710"/>
      <c r="DM83" s="710"/>
      <c r="DN83" s="710"/>
      <c r="DO83" s="716"/>
      <c r="DP83" s="710"/>
      <c r="DQ83" s="710"/>
      <c r="DR83" s="710"/>
      <c r="DS83" s="710"/>
      <c r="DT83" s="716"/>
      <c r="DU83" s="710"/>
      <c r="DV83" s="710"/>
      <c r="DW83" s="710"/>
      <c r="DX83" s="710"/>
      <c r="DY83" s="716"/>
    </row>
    <row r="84" spans="1:129" outlineLevel="1" x14ac:dyDescent="0.2">
      <c r="A84" s="474"/>
      <c r="B84" s="712" t="s">
        <v>749</v>
      </c>
      <c r="C84" s="538"/>
      <c r="D84" s="538"/>
      <c r="E84" s="538"/>
      <c r="F84" s="538"/>
      <c r="G84" s="538"/>
      <c r="H84" s="538"/>
      <c r="I84" s="539"/>
      <c r="J84" s="538"/>
      <c r="K84" s="538"/>
      <c r="L84" s="538"/>
      <c r="M84" s="538"/>
      <c r="N84" s="539"/>
      <c r="O84" s="538"/>
      <c r="P84" s="538"/>
      <c r="Q84" s="538"/>
      <c r="R84" s="538"/>
      <c r="S84" s="539"/>
      <c r="T84" s="538"/>
      <c r="U84" s="538"/>
      <c r="V84" s="538"/>
      <c r="W84" s="538"/>
      <c r="X84" s="539"/>
      <c r="Y84" s="538"/>
      <c r="Z84" s="538"/>
      <c r="AA84" s="538"/>
      <c r="AB84" s="538"/>
      <c r="AC84" s="539"/>
      <c r="AD84" s="538"/>
      <c r="AE84" s="538"/>
      <c r="AF84" s="538"/>
      <c r="AG84" s="538"/>
      <c r="AH84" s="539"/>
      <c r="AI84" s="538"/>
      <c r="AJ84" s="538"/>
      <c r="AK84" s="538"/>
      <c r="AL84" s="538"/>
      <c r="AM84" s="539"/>
      <c r="AN84" s="538"/>
      <c r="AO84" s="538"/>
      <c r="AP84" s="538"/>
      <c r="AQ84" s="538"/>
      <c r="AR84" s="539"/>
      <c r="AS84" s="538"/>
      <c r="AT84" s="538"/>
      <c r="AU84" s="538"/>
      <c r="AV84" s="538"/>
      <c r="AW84" s="539"/>
      <c r="AX84" s="538"/>
      <c r="AY84" s="538"/>
      <c r="AZ84" s="538"/>
      <c r="BA84" s="538"/>
      <c r="BB84" s="539"/>
      <c r="BC84" s="538"/>
      <c r="BD84" s="538"/>
      <c r="BE84" s="538"/>
      <c r="BF84" s="538"/>
      <c r="BG84" s="539"/>
      <c r="BH84" s="538"/>
      <c r="BI84" s="538"/>
      <c r="BJ84" s="538"/>
      <c r="BK84" s="538"/>
      <c r="BL84" s="539"/>
      <c r="BM84" s="538"/>
      <c r="BN84" s="538"/>
      <c r="BO84" s="538"/>
      <c r="BP84" s="538"/>
      <c r="BQ84" s="539"/>
      <c r="BR84" s="718">
        <f>BR83-BR79</f>
        <v>0.34037943262411474</v>
      </c>
      <c r="BS84" s="718">
        <f>BS83-BS79</f>
        <v>0.61549787234042697</v>
      </c>
      <c r="BT84" s="719"/>
      <c r="BU84" s="717"/>
      <c r="BV84" s="539"/>
      <c r="BW84" s="538"/>
      <c r="BX84" s="538"/>
      <c r="BY84" s="538"/>
      <c r="BZ84" s="538"/>
      <c r="CA84" s="539"/>
      <c r="CB84" s="538"/>
      <c r="CC84" s="538"/>
      <c r="CD84" s="720"/>
      <c r="CE84" s="720"/>
      <c r="CF84" s="715"/>
      <c r="CG84" s="721"/>
      <c r="CH84" s="721"/>
      <c r="CI84" s="721"/>
      <c r="CJ84" s="721"/>
      <c r="CK84" s="539"/>
      <c r="CL84" s="542"/>
      <c r="CM84" s="542"/>
      <c r="CN84" s="542"/>
      <c r="CO84" s="542"/>
      <c r="CP84" s="539"/>
      <c r="CQ84" s="542"/>
      <c r="CR84" s="542"/>
      <c r="CS84" s="542"/>
      <c r="CT84" s="542"/>
      <c r="CU84" s="539"/>
      <c r="CV84" s="542"/>
      <c r="CW84" s="542"/>
      <c r="CX84" s="542"/>
      <c r="CY84" s="542"/>
      <c r="CZ84" s="716"/>
      <c r="DA84" s="542"/>
      <c r="DB84" s="542"/>
      <c r="DC84" s="542"/>
      <c r="DD84" s="542"/>
      <c r="DE84" s="716"/>
      <c r="DF84" s="542"/>
      <c r="DG84" s="542"/>
      <c r="DH84" s="542"/>
      <c r="DI84" s="899"/>
      <c r="DJ84" s="716"/>
      <c r="DK84" s="542"/>
      <c r="DL84" s="542"/>
      <c r="DM84" s="542"/>
      <c r="DN84" s="542"/>
      <c r="DO84" s="716"/>
      <c r="DP84" s="542"/>
      <c r="DQ84" s="542"/>
      <c r="DR84" s="542"/>
      <c r="DS84" s="542"/>
      <c r="DT84" s="716"/>
      <c r="DU84" s="542"/>
      <c r="DV84" s="542"/>
      <c r="DW84" s="542"/>
      <c r="DX84" s="542"/>
      <c r="DY84" s="716"/>
    </row>
    <row r="85" spans="1:129" outlineLevel="1" x14ac:dyDescent="0.2">
      <c r="A85" s="473"/>
      <c r="B85" s="722" t="s">
        <v>750</v>
      </c>
      <c r="C85" s="469"/>
      <c r="D85" s="469"/>
      <c r="E85" s="469"/>
      <c r="F85" s="469"/>
      <c r="G85" s="469"/>
      <c r="H85" s="469"/>
      <c r="I85" s="580"/>
      <c r="J85" s="469"/>
      <c r="K85" s="469"/>
      <c r="L85" s="469"/>
      <c r="M85" s="469"/>
      <c r="N85" s="580"/>
      <c r="O85" s="469"/>
      <c r="P85" s="469"/>
      <c r="Q85" s="469"/>
      <c r="R85" s="469"/>
      <c r="S85" s="580"/>
      <c r="T85" s="469"/>
      <c r="U85" s="469"/>
      <c r="V85" s="469"/>
      <c r="W85" s="469"/>
      <c r="X85" s="580"/>
      <c r="Y85" s="469"/>
      <c r="Z85" s="469"/>
      <c r="AA85" s="469"/>
      <c r="AB85" s="469"/>
      <c r="AC85" s="580"/>
      <c r="AD85" s="469"/>
      <c r="AE85" s="469"/>
      <c r="AF85" s="469"/>
      <c r="AG85" s="469"/>
      <c r="AH85" s="580"/>
      <c r="AI85" s="469"/>
      <c r="AJ85" s="469"/>
      <c r="AK85" s="469"/>
      <c r="AL85" s="469"/>
      <c r="AM85" s="580"/>
      <c r="AN85" s="469"/>
      <c r="AO85" s="469"/>
      <c r="AP85" s="469"/>
      <c r="AQ85" s="469"/>
      <c r="AR85" s="580"/>
      <c r="AS85" s="469"/>
      <c r="AT85" s="469"/>
      <c r="AU85" s="469"/>
      <c r="AV85" s="469"/>
      <c r="AW85" s="580"/>
      <c r="AX85" s="469"/>
      <c r="AY85" s="469"/>
      <c r="AZ85" s="469"/>
      <c r="BA85" s="469"/>
      <c r="BB85" s="580"/>
      <c r="BC85" s="469"/>
      <c r="BD85" s="469"/>
      <c r="BE85" s="469"/>
      <c r="BF85" s="469"/>
      <c r="BG85" s="580"/>
      <c r="BH85" s="469"/>
      <c r="BI85" s="469"/>
      <c r="BJ85" s="469"/>
      <c r="BK85" s="469"/>
      <c r="BL85" s="580"/>
      <c r="BM85" s="469"/>
      <c r="BN85" s="469"/>
      <c r="BO85" s="469"/>
      <c r="BP85" s="469"/>
      <c r="BQ85" s="580"/>
      <c r="BR85" s="581">
        <f>BR84/BR79</f>
        <v>2.1680218638478646E-2</v>
      </c>
      <c r="BS85" s="581">
        <f>BS84/BS79</f>
        <v>3.8955561540533354E-2</v>
      </c>
      <c r="BT85" s="469"/>
      <c r="BU85" s="469"/>
      <c r="BV85" s="580"/>
      <c r="BW85" s="469"/>
      <c r="BX85" s="469"/>
      <c r="BY85" s="469"/>
      <c r="BZ85" s="469"/>
      <c r="CA85" s="580"/>
      <c r="CB85" s="469"/>
      <c r="CC85" s="469"/>
      <c r="CD85" s="650"/>
      <c r="CE85" s="650"/>
      <c r="CF85" s="583"/>
      <c r="CG85" s="723"/>
      <c r="CH85" s="723"/>
      <c r="CI85" s="723"/>
      <c r="CJ85" s="723"/>
      <c r="CK85" s="580"/>
      <c r="CL85" s="724"/>
      <c r="CM85" s="724"/>
      <c r="CN85" s="724"/>
      <c r="CO85" s="724"/>
      <c r="CP85" s="580"/>
      <c r="CQ85" s="724"/>
      <c r="CR85" s="724"/>
      <c r="CS85" s="724"/>
      <c r="CT85" s="724"/>
      <c r="CU85" s="580"/>
      <c r="CV85" s="724"/>
      <c r="CW85" s="724"/>
      <c r="CX85" s="724"/>
      <c r="CY85" s="724"/>
      <c r="CZ85" s="706"/>
      <c r="DA85" s="724"/>
      <c r="DB85" s="724"/>
      <c r="DC85" s="724"/>
      <c r="DD85" s="724"/>
      <c r="DE85" s="706"/>
      <c r="DF85" s="724"/>
      <c r="DG85" s="724"/>
      <c r="DH85" s="724"/>
      <c r="DI85" s="724"/>
      <c r="DJ85" s="706"/>
      <c r="DK85" s="724"/>
      <c r="DL85" s="724"/>
      <c r="DM85" s="724"/>
      <c r="DN85" s="724"/>
      <c r="DO85" s="706"/>
      <c r="DP85" s="724"/>
      <c r="DQ85" s="724"/>
      <c r="DR85" s="724"/>
      <c r="DS85" s="724"/>
      <c r="DT85" s="706"/>
      <c r="DU85" s="724"/>
      <c r="DV85" s="724"/>
      <c r="DW85" s="724"/>
      <c r="DX85" s="724"/>
      <c r="DY85" s="706"/>
    </row>
    <row r="86" spans="1:129" outlineLevel="1" x14ac:dyDescent="0.2">
      <c r="A86" s="473"/>
      <c r="B86" s="725">
        <v>75</v>
      </c>
      <c r="C86" s="469"/>
      <c r="D86" s="469"/>
      <c r="E86" s="469"/>
      <c r="F86" s="469"/>
      <c r="G86" s="469"/>
      <c r="H86" s="469"/>
      <c r="I86" s="580"/>
      <c r="J86" s="469"/>
      <c r="K86" s="469"/>
      <c r="L86" s="469"/>
      <c r="M86" s="469"/>
      <c r="N86" s="580"/>
      <c r="O86" s="469"/>
      <c r="P86" s="469"/>
      <c r="Q86" s="469"/>
      <c r="R86" s="469"/>
      <c r="S86" s="580"/>
      <c r="T86" s="469"/>
      <c r="U86" s="469"/>
      <c r="V86" s="469"/>
      <c r="W86" s="469"/>
      <c r="X86" s="580"/>
      <c r="Y86" s="469"/>
      <c r="Z86" s="469"/>
      <c r="AA86" s="469"/>
      <c r="AB86" s="469"/>
      <c r="AC86" s="580"/>
      <c r="AD86" s="469"/>
      <c r="AE86" s="469"/>
      <c r="AF86" s="469"/>
      <c r="AG86" s="469"/>
      <c r="AH86" s="580"/>
      <c r="AI86" s="469"/>
      <c r="AJ86" s="469"/>
      <c r="AK86" s="469"/>
      <c r="AL86" s="469"/>
      <c r="AM86" s="580"/>
      <c r="AN86" s="469"/>
      <c r="AO86" s="469"/>
      <c r="AP86" s="469"/>
      <c r="AQ86" s="469"/>
      <c r="AR86" s="580"/>
      <c r="AS86" s="469"/>
      <c r="AT86" s="469"/>
      <c r="AU86" s="469"/>
      <c r="AV86" s="469"/>
      <c r="AW86" s="580"/>
      <c r="AX86" s="469"/>
      <c r="AY86" s="469"/>
      <c r="AZ86" s="469"/>
      <c r="BA86" s="469"/>
      <c r="BB86" s="580"/>
      <c r="BC86" s="469"/>
      <c r="BD86" s="469"/>
      <c r="BE86" s="469"/>
      <c r="BF86" s="469"/>
      <c r="BG86" s="580"/>
      <c r="BH86" s="469"/>
      <c r="BI86" s="469"/>
      <c r="BJ86" s="469"/>
      <c r="BK86" s="469"/>
      <c r="BL86" s="580"/>
      <c r="BM86" s="469"/>
      <c r="BN86" s="469"/>
      <c r="BO86" s="469"/>
      <c r="BP86" s="469"/>
      <c r="BQ86" s="580"/>
      <c r="BR86" s="726"/>
      <c r="BS86" s="726"/>
      <c r="BT86" s="726"/>
      <c r="BU86" s="468"/>
      <c r="BV86" s="580"/>
      <c r="BW86" s="469"/>
      <c r="BX86" s="469"/>
      <c r="BY86" s="469"/>
      <c r="BZ86" s="469"/>
      <c r="CA86" s="580"/>
      <c r="CB86" s="468"/>
      <c r="CC86" s="604"/>
      <c r="CD86" s="650"/>
      <c r="CE86" s="650"/>
      <c r="CF86" s="583"/>
      <c r="CG86" s="723"/>
      <c r="CH86" s="723"/>
      <c r="CI86" s="723"/>
      <c r="CJ86" s="723"/>
      <c r="CK86" s="580"/>
      <c r="CL86" s="724"/>
      <c r="CM86" s="724"/>
      <c r="CN86" s="724"/>
      <c r="CO86" s="724"/>
      <c r="CP86" s="580"/>
      <c r="CQ86" s="724"/>
      <c r="CR86" s="724"/>
      <c r="CS86" s="724"/>
      <c r="CT86" s="724"/>
      <c r="CU86" s="580"/>
      <c r="CV86" s="724"/>
      <c r="CW86" s="724"/>
      <c r="CX86" s="724"/>
      <c r="CY86" s="724"/>
      <c r="CZ86" s="706"/>
      <c r="DA86" s="724"/>
      <c r="DB86" s="724"/>
      <c r="DC86" s="724"/>
      <c r="DD86" s="724"/>
      <c r="DE86" s="706"/>
      <c r="DF86" s="724"/>
      <c r="DG86" s="724"/>
      <c r="DH86" s="724"/>
      <c r="DI86" s="724"/>
      <c r="DJ86" s="706"/>
      <c r="DK86" s="724"/>
      <c r="DL86" s="724"/>
      <c r="DM86" s="724"/>
      <c r="DN86" s="724"/>
      <c r="DO86" s="706"/>
      <c r="DP86" s="724"/>
      <c r="DQ86" s="724"/>
      <c r="DR86" s="724"/>
      <c r="DS86" s="724"/>
      <c r="DT86" s="706"/>
      <c r="DU86" s="724"/>
      <c r="DV86" s="724"/>
      <c r="DW86" s="724"/>
      <c r="DX86" s="724"/>
      <c r="DY86" s="706"/>
    </row>
    <row r="87" spans="1:129" x14ac:dyDescent="0.2">
      <c r="A87" s="526"/>
      <c r="B87" s="727" t="s">
        <v>751</v>
      </c>
      <c r="C87" s="597"/>
      <c r="D87" s="597"/>
      <c r="E87" s="597"/>
      <c r="F87" s="597"/>
      <c r="G87" s="597"/>
      <c r="H87" s="597"/>
      <c r="I87" s="665"/>
      <c r="J87" s="597"/>
      <c r="K87" s="597"/>
      <c r="L87" s="597"/>
      <c r="M87" s="597"/>
      <c r="N87" s="665"/>
      <c r="O87" s="726"/>
      <c r="P87" s="726"/>
      <c r="Q87" s="726"/>
      <c r="R87" s="726"/>
      <c r="S87" s="665"/>
      <c r="T87" s="726"/>
      <c r="U87" s="726"/>
      <c r="V87" s="726"/>
      <c r="W87" s="726"/>
      <c r="X87" s="665"/>
      <c r="Y87" s="726"/>
      <c r="Z87" s="726"/>
      <c r="AA87" s="726"/>
      <c r="AB87" s="726"/>
      <c r="AC87" s="665"/>
      <c r="AD87" s="726"/>
      <c r="AE87" s="726"/>
      <c r="AF87" s="726"/>
      <c r="AG87" s="726"/>
      <c r="AH87" s="665"/>
      <c r="AI87" s="726"/>
      <c r="AJ87" s="726"/>
      <c r="AK87" s="726"/>
      <c r="AL87" s="726"/>
      <c r="AM87" s="665"/>
      <c r="AN87" s="726"/>
      <c r="AO87" s="726"/>
      <c r="AP87" s="726"/>
      <c r="AQ87" s="726"/>
      <c r="AR87" s="665"/>
      <c r="AS87" s="726"/>
      <c r="AT87" s="726"/>
      <c r="AU87" s="726"/>
      <c r="AV87" s="726"/>
      <c r="AW87" s="665"/>
      <c r="AX87" s="726"/>
      <c r="AY87" s="726"/>
      <c r="AZ87" s="726"/>
      <c r="BA87" s="726"/>
      <c r="BB87" s="665"/>
      <c r="BC87" s="726"/>
      <c r="BD87" s="726"/>
      <c r="BE87" s="726"/>
      <c r="BF87" s="726"/>
      <c r="BG87" s="665"/>
      <c r="BH87" s="726"/>
      <c r="BI87" s="726"/>
      <c r="BJ87" s="726"/>
      <c r="BK87" s="726"/>
      <c r="BL87" s="665"/>
      <c r="BM87" s="726"/>
      <c r="BN87" s="726"/>
      <c r="BO87" s="726"/>
      <c r="BP87" s="726"/>
      <c r="BQ87" s="665"/>
      <c r="BR87" s="726"/>
      <c r="BS87" s="726"/>
      <c r="BT87" s="726"/>
      <c r="BU87" s="726"/>
      <c r="BV87" s="665"/>
      <c r="BW87" s="726"/>
      <c r="BX87" s="726"/>
      <c r="BY87" s="726"/>
      <c r="BZ87" s="726"/>
      <c r="CA87" s="665"/>
      <c r="CB87" s="726"/>
      <c r="CC87" s="726"/>
      <c r="CD87" s="728"/>
      <c r="CE87" s="728"/>
      <c r="CF87" s="729"/>
      <c r="CG87" s="730"/>
      <c r="CH87" s="730"/>
      <c r="CI87" s="730"/>
      <c r="CJ87" s="730"/>
      <c r="CK87" s="665"/>
      <c r="CL87" s="731"/>
      <c r="CM87" s="731"/>
      <c r="CN87" s="731"/>
      <c r="CO87" s="731"/>
      <c r="CP87" s="665"/>
      <c r="CQ87" s="731"/>
      <c r="CR87" s="731"/>
      <c r="CS87" s="731"/>
      <c r="CT87" s="731"/>
      <c r="CU87" s="665"/>
      <c r="CV87" s="731"/>
      <c r="CW87" s="731"/>
      <c r="CX87" s="731"/>
      <c r="CY87" s="731"/>
      <c r="CZ87" s="732"/>
      <c r="DA87" s="731"/>
      <c r="DB87" s="731"/>
      <c r="DC87" s="731"/>
      <c r="DD87" s="731"/>
      <c r="DE87" s="732"/>
      <c r="DF87" s="731"/>
      <c r="DG87" s="731"/>
      <c r="DH87" s="731"/>
      <c r="DI87" s="2807"/>
      <c r="DJ87" s="732"/>
      <c r="DK87" s="731"/>
      <c r="DL87" s="731"/>
      <c r="DM87" s="731"/>
      <c r="DN87" s="731"/>
      <c r="DO87" s="732"/>
      <c r="DP87" s="731"/>
      <c r="DQ87" s="731"/>
      <c r="DR87" s="731"/>
      <c r="DS87" s="731"/>
      <c r="DT87" s="732"/>
      <c r="DU87" s="731"/>
      <c r="DV87" s="731"/>
      <c r="DW87" s="731"/>
      <c r="DX87" s="731"/>
      <c r="DY87" s="732"/>
    </row>
    <row r="88" spans="1:129" x14ac:dyDescent="0.2">
      <c r="A88" s="471"/>
      <c r="B88" s="711" t="s">
        <v>744</v>
      </c>
      <c r="C88" s="550"/>
      <c r="D88" s="550"/>
      <c r="E88" s="550"/>
      <c r="F88" s="550"/>
      <c r="G88" s="550"/>
      <c r="H88" s="550"/>
      <c r="I88" s="551"/>
      <c r="J88" s="550"/>
      <c r="K88" s="550"/>
      <c r="L88" s="550"/>
      <c r="M88" s="550"/>
      <c r="N88" s="551"/>
      <c r="O88" s="550"/>
      <c r="P88" s="550"/>
      <c r="Q88" s="550"/>
      <c r="R88" s="550"/>
      <c r="S88" s="551"/>
      <c r="T88" s="550"/>
      <c r="U88" s="550"/>
      <c r="V88" s="550"/>
      <c r="W88" s="550"/>
      <c r="X88" s="551"/>
      <c r="Y88" s="550"/>
      <c r="Z88" s="550"/>
      <c r="AA88" s="550"/>
      <c r="AB88" s="550"/>
      <c r="AC88" s="551"/>
      <c r="AD88" s="550"/>
      <c r="AE88" s="550"/>
      <c r="AF88" s="550"/>
      <c r="AG88" s="550"/>
      <c r="AH88" s="551"/>
      <c r="AI88" s="550"/>
      <c r="AJ88" s="550"/>
      <c r="AK88" s="550"/>
      <c r="AL88" s="550"/>
      <c r="AM88" s="551"/>
      <c r="AN88" s="550"/>
      <c r="AO88" s="550"/>
      <c r="AP88" s="550"/>
      <c r="AQ88" s="550"/>
      <c r="AR88" s="551"/>
      <c r="AS88" s="550"/>
      <c r="AT88" s="550"/>
      <c r="AU88" s="550"/>
      <c r="AV88" s="550"/>
      <c r="AW88" s="551"/>
      <c r="AX88" s="550"/>
      <c r="AY88" s="550"/>
      <c r="AZ88" s="550"/>
      <c r="BA88" s="550"/>
      <c r="BB88" s="551"/>
      <c r="BC88" s="550"/>
      <c r="BD88" s="550"/>
      <c r="BE88" s="550"/>
      <c r="BF88" s="550"/>
      <c r="BG88" s="551"/>
      <c r="BH88" s="574">
        <f>BH90*BH308</f>
        <v>77.871600000000001</v>
      </c>
      <c r="BI88" s="574">
        <f t="shared" ref="BI88:BU88" si="116">BI90*BI311</f>
        <v>81.212399999999988</v>
      </c>
      <c r="BJ88" s="574">
        <f t="shared" si="116"/>
        <v>80.634399999999999</v>
      </c>
      <c r="BK88" s="574">
        <f t="shared" si="116"/>
        <v>86.233000000000004</v>
      </c>
      <c r="BL88" s="553">
        <f t="shared" si="116"/>
        <v>328.98440000000005</v>
      </c>
      <c r="BM88" s="574">
        <f t="shared" si="116"/>
        <v>92.25800000000001</v>
      </c>
      <c r="BN88" s="574">
        <f t="shared" si="116"/>
        <v>89.276500000000013</v>
      </c>
      <c r="BO88" s="574">
        <f t="shared" si="116"/>
        <v>88.838400000000007</v>
      </c>
      <c r="BP88" s="574">
        <f t="shared" si="116"/>
        <v>108.52310000000001</v>
      </c>
      <c r="BQ88" s="553">
        <f t="shared" si="116"/>
        <v>378.89600000000007</v>
      </c>
      <c r="BR88" s="574">
        <f t="shared" si="116"/>
        <v>101.61759999999998</v>
      </c>
      <c r="BS88" s="574">
        <f t="shared" si="116"/>
        <v>102.17870000000001</v>
      </c>
      <c r="BT88" s="574">
        <f t="shared" si="116"/>
        <v>101.67099999999999</v>
      </c>
      <c r="BU88" s="574">
        <f t="shared" si="116"/>
        <v>105.98</v>
      </c>
      <c r="BV88" s="553">
        <f>SUM(BR88:BU88)</f>
        <v>411.44729999999998</v>
      </c>
      <c r="BW88" s="574">
        <f>BW90*BW311</f>
        <v>94.512</v>
      </c>
      <c r="BX88" s="574">
        <f>BX90*BX311</f>
        <v>92.632600000000011</v>
      </c>
      <c r="BY88" s="574">
        <f>BY90*BY311</f>
        <v>93.714199999999991</v>
      </c>
      <c r="BZ88" s="574">
        <f>BZ90*BZ311</f>
        <v>97.695799999999991</v>
      </c>
      <c r="CA88" s="553">
        <f>SUM(BW88:BZ88)</f>
        <v>378.55460000000005</v>
      </c>
      <c r="CB88" s="574">
        <f>CB90*CB311</f>
        <v>117.95959999999999</v>
      </c>
      <c r="CC88" s="574">
        <f>CC90*CC311</f>
        <v>130.5</v>
      </c>
      <c r="CD88" s="659">
        <f>CD90*CD311</f>
        <v>134.9376</v>
      </c>
      <c r="CE88" s="659">
        <f>CE90*CE311</f>
        <v>146.32280400000002</v>
      </c>
      <c r="CF88" s="660">
        <f>SUM(CB88:CE88)</f>
        <v>529.72000400000002</v>
      </c>
      <c r="CG88" s="659">
        <f>CG90*CG311</f>
        <v>153.44050000000001</v>
      </c>
      <c r="CH88" s="659">
        <f>CH90*CH311</f>
        <v>155.48337600000002</v>
      </c>
      <c r="CI88" s="659">
        <f>CI90*CI311</f>
        <v>157.40300000000002</v>
      </c>
      <c r="CJ88" s="659">
        <f>CJ90*CJ311</f>
        <v>165.42750000000001</v>
      </c>
      <c r="CK88" s="551">
        <f>SUM(CG88:CJ88)</f>
        <v>631.75437600000009</v>
      </c>
      <c r="CL88" s="550">
        <f>CL90*CL311</f>
        <v>167.751</v>
      </c>
      <c r="CM88" s="550">
        <f>CM90*CM311</f>
        <v>166.98490000000001</v>
      </c>
      <c r="CN88" s="550">
        <f>CN90*CN311</f>
        <v>163.73349999999999</v>
      </c>
      <c r="CO88" s="550">
        <f>CO90*CO311</f>
        <v>167.19839999999999</v>
      </c>
      <c r="CP88" s="551">
        <f>SUM(CL88:CO88)</f>
        <v>665.66779999999994</v>
      </c>
      <c r="CQ88" s="550">
        <f>CQ90*CQ311</f>
        <v>172.22399999999999</v>
      </c>
      <c r="CR88" s="550">
        <f>CR90*CR311</f>
        <v>175.05279999999999</v>
      </c>
      <c r="CS88" s="550">
        <f>CS90*CS311</f>
        <v>174.38719999999998</v>
      </c>
      <c r="CT88" s="550">
        <f>CT90*CT311</f>
        <v>183.26319999999998</v>
      </c>
      <c r="CU88" s="551">
        <f>SUM(CQ88:CT88)</f>
        <v>704.92719999999997</v>
      </c>
      <c r="CV88" s="550">
        <f>CV90*CV311</f>
        <v>225.47210000000001</v>
      </c>
      <c r="CW88" s="550">
        <f>CW90*CW311</f>
        <v>226.64339999999999</v>
      </c>
      <c r="CX88" s="550">
        <f>CX90*CX311</f>
        <v>227.92346999999998</v>
      </c>
      <c r="CY88" s="550">
        <f>CY90*CY311</f>
        <v>235.476</v>
      </c>
      <c r="CZ88" s="694">
        <f>SUM(CV88:CY88)</f>
        <v>915.51496999999995</v>
      </c>
      <c r="DA88" s="550">
        <f>DA90*DA311</f>
        <v>292.49219999999997</v>
      </c>
      <c r="DB88" s="550">
        <f>DB90*DB311</f>
        <v>293.17399999999998</v>
      </c>
      <c r="DC88" s="550">
        <f>DC90*DC311</f>
        <v>297.30199999999996</v>
      </c>
      <c r="DD88" s="550">
        <f>DD90*DD311</f>
        <v>309.41179999999997</v>
      </c>
      <c r="DE88" s="694">
        <f>SUM(DA88:DD88)</f>
        <v>1192.3799999999997</v>
      </c>
      <c r="DF88" s="550">
        <f>DF90*DF311</f>
        <v>330.45359999999999</v>
      </c>
      <c r="DG88" s="550">
        <f>DG90*DG311</f>
        <v>330.41609999999997</v>
      </c>
      <c r="DH88" s="550">
        <f>DH90*DH311</f>
        <v>328.17340000000002</v>
      </c>
      <c r="DI88" s="550">
        <f>DI90*DI311</f>
        <v>341.04036953007767</v>
      </c>
      <c r="DJ88" s="694">
        <f>SUM(DF88:DI88)</f>
        <v>1330.0834695300778</v>
      </c>
      <c r="DK88" s="550">
        <f>DK90*DK311</f>
        <v>356.9719128348998</v>
      </c>
      <c r="DL88" s="550">
        <f>DL90*DL311</f>
        <v>360.53032406739891</v>
      </c>
      <c r="DM88" s="550">
        <f>DM90*DM311</f>
        <v>359.69137846023801</v>
      </c>
      <c r="DN88" s="550">
        <f>DN90*DN311</f>
        <v>375.59711053654252</v>
      </c>
      <c r="DO88" s="694">
        <f>SUM(DK88:DN88)</f>
        <v>1452.7907258990792</v>
      </c>
      <c r="DP88" s="550">
        <f>DP90*DP311</f>
        <v>366.08361727858244</v>
      </c>
      <c r="DQ88" s="550">
        <f>DQ90*DQ311</f>
        <v>369.7211357616552</v>
      </c>
      <c r="DR88" s="550">
        <f>DR90*DR311</f>
        <v>368.85249807835044</v>
      </c>
      <c r="DS88" s="550">
        <f>DS90*DS311</f>
        <v>385.15212155957977</v>
      </c>
      <c r="DT88" s="694">
        <f>SUM(DP88:DS88)</f>
        <v>1489.8093726781681</v>
      </c>
      <c r="DU88" s="550">
        <f>DU90*DU311</f>
        <v>375.38835417518771</v>
      </c>
      <c r="DV88" s="550">
        <f>DV90*DV311</f>
        <v>379.10655248382398</v>
      </c>
      <c r="DW88" s="550">
        <f>DW90*DW311</f>
        <v>378.2075207248526</v>
      </c>
      <c r="DX88" s="550">
        <f>DX90*DX311</f>
        <v>394.90927356343747</v>
      </c>
      <c r="DY88" s="694">
        <f>SUM(DU88:DX88)</f>
        <v>1527.6117009473016</v>
      </c>
    </row>
    <row r="89" spans="1:129" x14ac:dyDescent="0.2">
      <c r="A89" s="471"/>
      <c r="B89" s="711" t="s">
        <v>745</v>
      </c>
      <c r="C89" s="550"/>
      <c r="D89" s="550"/>
      <c r="E89" s="550"/>
      <c r="F89" s="550"/>
      <c r="G89" s="550"/>
      <c r="H89" s="550"/>
      <c r="I89" s="551"/>
      <c r="J89" s="550"/>
      <c r="K89" s="550"/>
      <c r="L89" s="550"/>
      <c r="M89" s="550"/>
      <c r="N89" s="551"/>
      <c r="O89" s="550"/>
      <c r="P89" s="550"/>
      <c r="Q89" s="550"/>
      <c r="R89" s="550"/>
      <c r="S89" s="551"/>
      <c r="T89" s="550"/>
      <c r="U89" s="550"/>
      <c r="V89" s="550"/>
      <c r="W89" s="550"/>
      <c r="X89" s="551"/>
      <c r="Y89" s="550"/>
      <c r="Z89" s="550"/>
      <c r="AA89" s="550"/>
      <c r="AB89" s="550"/>
      <c r="AC89" s="551"/>
      <c r="AD89" s="550"/>
      <c r="AE89" s="550"/>
      <c r="AF89" s="550"/>
      <c r="AG89" s="550"/>
      <c r="AH89" s="551"/>
      <c r="AI89" s="550"/>
      <c r="AJ89" s="550"/>
      <c r="AK89" s="550"/>
      <c r="AL89" s="550"/>
      <c r="AM89" s="551"/>
      <c r="AN89" s="550"/>
      <c r="AO89" s="550"/>
      <c r="AP89" s="550"/>
      <c r="AQ89" s="550"/>
      <c r="AR89" s="551"/>
      <c r="AS89" s="550"/>
      <c r="AT89" s="550"/>
      <c r="AU89" s="550"/>
      <c r="AV89" s="550"/>
      <c r="AW89" s="551"/>
      <c r="AX89" s="550"/>
      <c r="AY89" s="550"/>
      <c r="AZ89" s="550"/>
      <c r="BA89" s="550"/>
      <c r="BB89" s="551"/>
      <c r="BC89" s="550"/>
      <c r="BD89" s="550"/>
      <c r="BE89" s="550"/>
      <c r="BF89" s="550"/>
      <c r="BG89" s="551"/>
      <c r="BH89" s="574">
        <f>BH90*(1-BH308)</f>
        <v>55.928400000000011</v>
      </c>
      <c r="BI89" s="574">
        <f t="shared" ref="BI89:BU89" si="117">BI90*(1-BI311)</f>
        <v>51.4876</v>
      </c>
      <c r="BJ89" s="574">
        <f t="shared" si="117"/>
        <v>50.265600000000006</v>
      </c>
      <c r="BK89" s="574">
        <f t="shared" si="117"/>
        <v>49.567</v>
      </c>
      <c r="BL89" s="553">
        <f t="shared" si="117"/>
        <v>204.21560000000002</v>
      </c>
      <c r="BM89" s="574">
        <f t="shared" si="117"/>
        <v>49.241999999999997</v>
      </c>
      <c r="BN89" s="574">
        <f t="shared" si="117"/>
        <v>47.023499999999999</v>
      </c>
      <c r="BO89" s="574">
        <f t="shared" si="117"/>
        <v>45.561599999999999</v>
      </c>
      <c r="BP89" s="574">
        <f t="shared" si="117"/>
        <v>51.776899999999998</v>
      </c>
      <c r="BQ89" s="553">
        <f t="shared" si="117"/>
        <v>193.60399999999993</v>
      </c>
      <c r="BR89" s="574">
        <f t="shared" si="117"/>
        <v>46.082400000000007</v>
      </c>
      <c r="BS89" s="574">
        <f t="shared" si="117"/>
        <v>46.121300000000012</v>
      </c>
      <c r="BT89" s="574">
        <f t="shared" si="117"/>
        <v>44.829000000000008</v>
      </c>
      <c r="BU89" s="574">
        <f t="shared" si="117"/>
        <v>45.420000000000009</v>
      </c>
      <c r="BV89" s="553">
        <f>SUM(BR89:BU89)</f>
        <v>182.45270000000005</v>
      </c>
      <c r="BW89" s="574">
        <f>BW90*(1-BW311)</f>
        <v>37.488000000000007</v>
      </c>
      <c r="BX89" s="574">
        <f>BX90*(1-BX311)</f>
        <v>35.667400000000008</v>
      </c>
      <c r="BY89" s="574">
        <f>BY90*(1-BY311)</f>
        <v>34.485799999999998</v>
      </c>
      <c r="BZ89" s="574">
        <f>BZ90*(1-BZ311)</f>
        <v>34.504199999999997</v>
      </c>
      <c r="CA89" s="553">
        <f>SUM(BW89:BZ89)</f>
        <v>142.1454</v>
      </c>
      <c r="CB89" s="574">
        <f>CB90*(1-CB311)</f>
        <v>39.740399999999994</v>
      </c>
      <c r="CC89" s="574">
        <f>CC90*(1-CC311)</f>
        <v>43.5</v>
      </c>
      <c r="CD89" s="659">
        <f>CD90*(1-CD311)</f>
        <v>44.2624</v>
      </c>
      <c r="CE89" s="659">
        <f>CE90*(1-CE311)</f>
        <v>46.715195999999999</v>
      </c>
      <c r="CF89" s="660">
        <f>SUM(CB89:CE89)</f>
        <v>174.217996</v>
      </c>
      <c r="CG89" s="659">
        <f>CG90*(1-CG311)</f>
        <v>45.059499999999993</v>
      </c>
      <c r="CH89" s="659">
        <f>CH90*(1-CH311)</f>
        <v>42.332623999999996</v>
      </c>
      <c r="CI89" s="659">
        <f>CI90*(1-CI311)</f>
        <v>39.596999999999994</v>
      </c>
      <c r="CJ89" s="659">
        <f>CJ90*(1-CJ311)</f>
        <v>40.072499999999991</v>
      </c>
      <c r="CK89" s="551">
        <f>SUM(CG89:CJ89)</f>
        <v>167.06162399999999</v>
      </c>
      <c r="CL89" s="550">
        <f>CL90*(1-CL311)</f>
        <v>39.34899999999999</v>
      </c>
      <c r="CM89" s="550">
        <f>CM90*(1-CM311)</f>
        <v>38.915099999999988</v>
      </c>
      <c r="CN89" s="550">
        <f>CN90*(1-CN311)</f>
        <v>37.166500000000013</v>
      </c>
      <c r="CO89" s="550">
        <f>CO90*(1-CO311)</f>
        <v>37.701600000000013</v>
      </c>
      <c r="CP89" s="551">
        <f>SUM(CL89:CO89)</f>
        <v>153.13220000000001</v>
      </c>
      <c r="CQ89" s="550">
        <f>CQ90*(1-CQ311)</f>
        <v>35.77600000000001</v>
      </c>
      <c r="CR89" s="550">
        <f>CR90*(1-CR311)</f>
        <v>35.347200000000008</v>
      </c>
      <c r="CS89" s="550">
        <f>CS90*(1-CS311)</f>
        <v>35.212800000000009</v>
      </c>
      <c r="CT89" s="550">
        <f>CT90*(1-CT311)</f>
        <v>38.336800000000011</v>
      </c>
      <c r="CU89" s="551">
        <f>SUM(CQ89:CT89)</f>
        <v>144.67280000000005</v>
      </c>
      <c r="CV89" s="550">
        <f>CV90*(1-CV311)</f>
        <v>42.627900000000011</v>
      </c>
      <c r="CW89" s="550">
        <f>CW90*(1-CW311)</f>
        <v>41.256600000000006</v>
      </c>
      <c r="CX89" s="550">
        <f>CX90*(1-CX311)</f>
        <v>41.776530000000008</v>
      </c>
      <c r="CY89" s="550">
        <f>CY90*(1-CY311)</f>
        <v>43.524000000000008</v>
      </c>
      <c r="CZ89" s="694">
        <f>SUM(CV89:CY89)</f>
        <v>169.18503000000004</v>
      </c>
      <c r="DA89" s="550">
        <f>DA90*(1-DA311)</f>
        <v>48.407800000000002</v>
      </c>
      <c r="DB89" s="550">
        <f>DB90*(1-DB311)</f>
        <v>47.725999999999999</v>
      </c>
      <c r="DC89" s="550">
        <f>DC90*(1-DC311)</f>
        <v>48.398000000000003</v>
      </c>
      <c r="DD89" s="550">
        <f>DD90*(1-DD311)</f>
        <v>50.788200000000003</v>
      </c>
      <c r="DE89" s="694">
        <f>SUM(DA89:DD89)</f>
        <v>195.32</v>
      </c>
      <c r="DF89" s="550">
        <f>DF90*(1-DF311)</f>
        <v>46.346400000000003</v>
      </c>
      <c r="DG89" s="550">
        <f>DG90*(1-DG311)</f>
        <v>45.483899999999998</v>
      </c>
      <c r="DH89" s="550">
        <f>DH90*(1-DH311)</f>
        <v>46.026599999999995</v>
      </c>
      <c r="DI89" s="550">
        <f>DI90*(1-DI311)</f>
        <v>48.592228469922283</v>
      </c>
      <c r="DJ89" s="694">
        <f>SUM(DF89:DI89)</f>
        <v>186.44912846992227</v>
      </c>
      <c r="DK89" s="550">
        <f>DK90*(1-DK311)</f>
        <v>49.972087165100191</v>
      </c>
      <c r="DL89" s="550">
        <f>DL90*(1-DL311)</f>
        <v>49.200675932601079</v>
      </c>
      <c r="DM89" s="550">
        <f>DM90*(1-DM311)</f>
        <v>48.186621539762015</v>
      </c>
      <c r="DN89" s="550">
        <f>DN90*(1-DN311)</f>
        <v>49.102421283457474</v>
      </c>
      <c r="DO89" s="694">
        <f>SUM(DK89:DN89)</f>
        <v>196.46180592092077</v>
      </c>
      <c r="DP89" s="550">
        <f>DP90*(1-DP311)</f>
        <v>46.964542721417537</v>
      </c>
      <c r="DQ89" s="550">
        <f>DQ90*(1-DQ311)</f>
        <v>46.155829238344751</v>
      </c>
      <c r="DR89" s="550">
        <f>DR90*(1-DR311)</f>
        <v>45.143671921649592</v>
      </c>
      <c r="DS89" s="550">
        <f>DS90*(1-DS311)</f>
        <v>45.917903237720139</v>
      </c>
      <c r="DT89" s="694">
        <f>SUM(DP89:DS89)</f>
        <v>184.18194711913202</v>
      </c>
      <c r="DU89" s="550">
        <f>DU90*(1-DU311)</f>
        <v>43.855528224812254</v>
      </c>
      <c r="DV89" s="550">
        <f>DV90*(1-DV311)</f>
        <v>43.008566991175897</v>
      </c>
      <c r="DW89" s="550">
        <f>DW90*(1-DW311)</f>
        <v>41.998591825147344</v>
      </c>
      <c r="DX89" s="550">
        <f>DX90*(1-DX311)</f>
        <v>42.626801605821917</v>
      </c>
      <c r="DY89" s="694">
        <f>SUM(DU89:DX89)</f>
        <v>171.48948864695743</v>
      </c>
    </row>
    <row r="90" spans="1:129" x14ac:dyDescent="0.2">
      <c r="A90" s="471"/>
      <c r="B90" s="696" t="s">
        <v>752</v>
      </c>
      <c r="C90" s="701"/>
      <c r="D90" s="701"/>
      <c r="E90" s="701"/>
      <c r="F90" s="701"/>
      <c r="G90" s="701"/>
      <c r="H90" s="701"/>
      <c r="I90" s="699">
        <v>0</v>
      </c>
      <c r="J90" s="701"/>
      <c r="K90" s="701"/>
      <c r="L90" s="701"/>
      <c r="M90" s="701"/>
      <c r="N90" s="699">
        <v>0</v>
      </c>
      <c r="O90" s="701"/>
      <c r="P90" s="701"/>
      <c r="Q90" s="701"/>
      <c r="R90" s="701"/>
      <c r="S90" s="699">
        <v>0</v>
      </c>
      <c r="T90" s="701"/>
      <c r="U90" s="701"/>
      <c r="V90" s="701"/>
      <c r="W90" s="701"/>
      <c r="X90" s="699">
        <v>0</v>
      </c>
      <c r="Y90" s="701"/>
      <c r="Z90" s="701"/>
      <c r="AA90" s="701"/>
      <c r="AB90" s="701"/>
      <c r="AC90" s="699">
        <v>0</v>
      </c>
      <c r="AD90" s="701"/>
      <c r="AE90" s="701"/>
      <c r="AF90" s="701"/>
      <c r="AG90" s="701"/>
      <c r="AH90" s="699">
        <v>0</v>
      </c>
      <c r="AI90" s="701"/>
      <c r="AJ90" s="701"/>
      <c r="AK90" s="701"/>
      <c r="AL90" s="701"/>
      <c r="AM90" s="699">
        <v>0</v>
      </c>
      <c r="AN90" s="701"/>
      <c r="AO90" s="701"/>
      <c r="AP90" s="701"/>
      <c r="AQ90" s="701"/>
      <c r="AR90" s="699">
        <v>0</v>
      </c>
      <c r="AS90" s="701"/>
      <c r="AT90" s="701"/>
      <c r="AU90" s="701"/>
      <c r="AV90" s="701"/>
      <c r="AW90" s="699">
        <v>0</v>
      </c>
      <c r="AX90" s="701"/>
      <c r="AY90" s="701"/>
      <c r="AZ90" s="701"/>
      <c r="BA90" s="701"/>
      <c r="BB90" s="699">
        <v>0</v>
      </c>
      <c r="BC90" s="698">
        <v>15.57000000000005</v>
      </c>
      <c r="BD90" s="698">
        <v>18.210999999999999</v>
      </c>
      <c r="BE90" s="698">
        <v>19.028000000000006</v>
      </c>
      <c r="BF90" s="698">
        <v>22.976000000000013</v>
      </c>
      <c r="BG90" s="699">
        <v>75.785000000000068</v>
      </c>
      <c r="BH90" s="698">
        <v>133.80000000000001</v>
      </c>
      <c r="BI90" s="698">
        <v>132.69999999999999</v>
      </c>
      <c r="BJ90" s="698">
        <v>130.9</v>
      </c>
      <c r="BK90" s="698">
        <v>135.80000000000001</v>
      </c>
      <c r="BL90" s="699">
        <v>533.20000000000005</v>
      </c>
      <c r="BM90" s="698">
        <v>141.5</v>
      </c>
      <c r="BN90" s="698">
        <v>136.30000000000001</v>
      </c>
      <c r="BO90" s="698">
        <v>134.4</v>
      </c>
      <c r="BP90" s="698">
        <v>160.30000000000001</v>
      </c>
      <c r="BQ90" s="699">
        <v>572.5</v>
      </c>
      <c r="BR90" s="698">
        <v>147.69999999999999</v>
      </c>
      <c r="BS90" s="698">
        <v>148.30000000000001</v>
      </c>
      <c r="BT90" s="698">
        <v>146.5</v>
      </c>
      <c r="BU90" s="698">
        <v>151.4</v>
      </c>
      <c r="BV90" s="700">
        <f>SUM(BV88:BV89)</f>
        <v>593.90000000000009</v>
      </c>
      <c r="BW90" s="698">
        <v>132</v>
      </c>
      <c r="BX90" s="698">
        <v>128.30000000000001</v>
      </c>
      <c r="BY90" s="698">
        <v>128.19999999999999</v>
      </c>
      <c r="BZ90" s="698">
        <v>132.19999999999999</v>
      </c>
      <c r="CA90" s="700">
        <f>SUM(CA88:CA89)</f>
        <v>520.70000000000005</v>
      </c>
      <c r="CB90" s="698">
        <v>157.69999999999999</v>
      </c>
      <c r="CC90" s="698">
        <v>174</v>
      </c>
      <c r="CD90" s="734">
        <v>179.2</v>
      </c>
      <c r="CE90" s="734">
        <v>193.03800000000001</v>
      </c>
      <c r="CF90" s="735">
        <f>SUM(CF88:CF89)</f>
        <v>703.93799999999999</v>
      </c>
      <c r="CG90" s="734">
        <v>198.5</v>
      </c>
      <c r="CH90" s="734">
        <v>197.816</v>
      </c>
      <c r="CI90" s="734">
        <v>197</v>
      </c>
      <c r="CJ90" s="734">
        <v>205.5</v>
      </c>
      <c r="CK90" s="700">
        <f>SUM(CK88:CK89)</f>
        <v>798.81600000000003</v>
      </c>
      <c r="CL90" s="698">
        <v>207.1</v>
      </c>
      <c r="CM90" s="698">
        <v>205.9</v>
      </c>
      <c r="CN90" s="698">
        <v>200.9</v>
      </c>
      <c r="CO90" s="698">
        <v>204.9</v>
      </c>
      <c r="CP90" s="700">
        <f>SUM(CP88:CP89)</f>
        <v>818.8</v>
      </c>
      <c r="CQ90" s="698">
        <v>208</v>
      </c>
      <c r="CR90" s="698">
        <v>210.4</v>
      </c>
      <c r="CS90" s="698">
        <v>209.6</v>
      </c>
      <c r="CT90" s="698">
        <v>221.6</v>
      </c>
      <c r="CU90" s="700">
        <f>SUM(CU88:CU89)</f>
        <v>849.6</v>
      </c>
      <c r="CV90" s="698">
        <v>268.10000000000002</v>
      </c>
      <c r="CW90" s="698">
        <v>267.89999999999998</v>
      </c>
      <c r="CX90" s="698">
        <v>269.7</v>
      </c>
      <c r="CY90" s="698">
        <v>279</v>
      </c>
      <c r="CZ90" s="702">
        <f>SUM(CZ88:CZ89)</f>
        <v>1084.7</v>
      </c>
      <c r="DA90" s="698">
        <v>340.9</v>
      </c>
      <c r="DB90" s="698">
        <v>340.9</v>
      </c>
      <c r="DC90" s="698">
        <v>345.7</v>
      </c>
      <c r="DD90" s="698">
        <v>360.2</v>
      </c>
      <c r="DE90" s="702">
        <f>SUM(DE88:DE89)</f>
        <v>1387.6999999999996</v>
      </c>
      <c r="DF90" s="698">
        <v>376.8</v>
      </c>
      <c r="DG90" s="698">
        <v>375.9</v>
      </c>
      <c r="DH90" s="2743">
        <v>374.2</v>
      </c>
      <c r="DI90" s="2808">
        <v>389.63259799999997</v>
      </c>
      <c r="DJ90" s="702">
        <f>SUM(DJ88:DJ89)</f>
        <v>1516.532598</v>
      </c>
      <c r="DK90" s="701">
        <f>DF90*(1+DK91)</f>
        <v>406.94400000000002</v>
      </c>
      <c r="DL90" s="701">
        <f>DG90*(1+DL91)</f>
        <v>409.73099999999999</v>
      </c>
      <c r="DM90" s="701">
        <f>DH90*(1+DM91)</f>
        <v>407.87800000000004</v>
      </c>
      <c r="DN90" s="701">
        <f>DI90*(1+DN91)</f>
        <v>424.69953182</v>
      </c>
      <c r="DO90" s="702">
        <f>SUM(DO88:DO89)</f>
        <v>1649.2525318200001</v>
      </c>
      <c r="DP90" s="701">
        <f>DK90*(1+DP91)</f>
        <v>413.04816</v>
      </c>
      <c r="DQ90" s="701">
        <f>DL90*(1+DQ91)</f>
        <v>415.87696499999993</v>
      </c>
      <c r="DR90" s="701">
        <f>DM90*(1+DR91)</f>
        <v>413.99617000000001</v>
      </c>
      <c r="DS90" s="701">
        <f>DN90*(1+DS91)</f>
        <v>431.07002479729994</v>
      </c>
      <c r="DT90" s="702">
        <f>SUM(DT88:DT89)</f>
        <v>1673.9913197973001</v>
      </c>
      <c r="DU90" s="701">
        <f>DP90*(1+DU91)</f>
        <v>419.24388239999996</v>
      </c>
      <c r="DV90" s="701">
        <f>DQ90*(1+DV91)</f>
        <v>422.11511947499986</v>
      </c>
      <c r="DW90" s="701">
        <f>DR90*(1+DW91)</f>
        <v>420.20611254999994</v>
      </c>
      <c r="DX90" s="701">
        <f>DS90*(1+DX91)</f>
        <v>437.53607516925939</v>
      </c>
      <c r="DY90" s="702">
        <f>SUM(DY88:DY89)</f>
        <v>1699.101189594259</v>
      </c>
    </row>
    <row r="91" spans="1:129" x14ac:dyDescent="0.2">
      <c r="A91" s="473"/>
      <c r="B91" s="703" t="s">
        <v>194</v>
      </c>
      <c r="C91" s="469"/>
      <c r="D91" s="469"/>
      <c r="E91" s="469"/>
      <c r="F91" s="469"/>
      <c r="G91" s="469"/>
      <c r="H91" s="469"/>
      <c r="I91" s="580"/>
      <c r="J91" s="469"/>
      <c r="K91" s="469"/>
      <c r="L91" s="469"/>
      <c r="M91" s="469"/>
      <c r="N91" s="580"/>
      <c r="O91" s="469"/>
      <c r="P91" s="469"/>
      <c r="Q91" s="469"/>
      <c r="R91" s="469"/>
      <c r="S91" s="580"/>
      <c r="T91" s="469"/>
      <c r="U91" s="469"/>
      <c r="V91" s="469"/>
      <c r="W91" s="469"/>
      <c r="X91" s="580"/>
      <c r="Y91" s="469"/>
      <c r="Z91" s="469"/>
      <c r="AA91" s="469"/>
      <c r="AB91" s="469"/>
      <c r="AC91" s="580"/>
      <c r="AD91" s="469"/>
      <c r="AE91" s="469"/>
      <c r="AF91" s="469"/>
      <c r="AG91" s="469"/>
      <c r="AH91" s="580"/>
      <c r="AI91" s="469"/>
      <c r="AJ91" s="469"/>
      <c r="AK91" s="469"/>
      <c r="AL91" s="469"/>
      <c r="AM91" s="580"/>
      <c r="AN91" s="469"/>
      <c r="AO91" s="469"/>
      <c r="AP91" s="469"/>
      <c r="AQ91" s="469"/>
      <c r="AR91" s="580"/>
      <c r="AS91" s="469"/>
      <c r="AT91" s="469"/>
      <c r="AU91" s="469"/>
      <c r="AV91" s="469"/>
      <c r="AW91" s="580"/>
      <c r="AX91" s="469"/>
      <c r="AY91" s="469"/>
      <c r="AZ91" s="469"/>
      <c r="BA91" s="469"/>
      <c r="BB91" s="580"/>
      <c r="BC91" s="469"/>
      <c r="BD91" s="469"/>
      <c r="BE91" s="469"/>
      <c r="BF91" s="469"/>
      <c r="BG91" s="580"/>
      <c r="BH91" s="581">
        <f t="shared" ref="BH91:DI91" si="118">BH90/BC90-1</f>
        <v>7.5934489402697221</v>
      </c>
      <c r="BI91" s="581">
        <f t="shared" si="118"/>
        <v>6.2868046784910216</v>
      </c>
      <c r="BJ91" s="581">
        <f t="shared" si="118"/>
        <v>5.879335715787259</v>
      </c>
      <c r="BK91" s="581">
        <f t="shared" si="118"/>
        <v>4.9105153203342589</v>
      </c>
      <c r="BL91" s="582">
        <f t="shared" si="118"/>
        <v>6.035693079105358</v>
      </c>
      <c r="BM91" s="581">
        <f t="shared" si="118"/>
        <v>5.7548579970104541E-2</v>
      </c>
      <c r="BN91" s="581">
        <f t="shared" si="118"/>
        <v>2.7128862094951245E-2</v>
      </c>
      <c r="BO91" s="581">
        <f t="shared" si="118"/>
        <v>2.673796791443861E-2</v>
      </c>
      <c r="BP91" s="581">
        <f t="shared" si="118"/>
        <v>0.18041237113402064</v>
      </c>
      <c r="BQ91" s="582">
        <f t="shared" si="118"/>
        <v>7.3705926481620221E-2</v>
      </c>
      <c r="BR91" s="581">
        <f t="shared" si="118"/>
        <v>4.3816254416961131E-2</v>
      </c>
      <c r="BS91" s="581">
        <f t="shared" si="118"/>
        <v>8.8041085840058653E-2</v>
      </c>
      <c r="BT91" s="581">
        <f t="shared" si="118"/>
        <v>9.0029761904761862E-2</v>
      </c>
      <c r="BU91" s="581">
        <f t="shared" si="118"/>
        <v>-5.5520898315658207E-2</v>
      </c>
      <c r="BV91" s="582">
        <f t="shared" si="118"/>
        <v>3.737991266375551E-2</v>
      </c>
      <c r="BW91" s="704">
        <f t="shared" si="118"/>
        <v>-0.10629654705484082</v>
      </c>
      <c r="BX91" s="704">
        <f t="shared" si="118"/>
        <v>-0.13486176668914363</v>
      </c>
      <c r="BY91" s="704">
        <f t="shared" si="118"/>
        <v>-0.12491467576791815</v>
      </c>
      <c r="BZ91" s="704">
        <f t="shared" si="118"/>
        <v>-0.12681638044914145</v>
      </c>
      <c r="CA91" s="582">
        <f t="shared" si="118"/>
        <v>-0.123253072907897</v>
      </c>
      <c r="CB91" s="704">
        <f t="shared" si="118"/>
        <v>0.19469696969696959</v>
      </c>
      <c r="CC91" s="704">
        <f t="shared" si="118"/>
        <v>0.35619641465315643</v>
      </c>
      <c r="CD91" s="704">
        <f t="shared" si="118"/>
        <v>0.39781591263650551</v>
      </c>
      <c r="CE91" s="704">
        <f t="shared" si="118"/>
        <v>0.46019667170953116</v>
      </c>
      <c r="CF91" s="583">
        <f t="shared" si="118"/>
        <v>0.35190704820434027</v>
      </c>
      <c r="CG91" s="736">
        <f t="shared" si="118"/>
        <v>0.25871908687381118</v>
      </c>
      <c r="CH91" s="736">
        <f t="shared" si="118"/>
        <v>0.13687356321839084</v>
      </c>
      <c r="CI91" s="736">
        <f t="shared" si="118"/>
        <v>9.9330357142857206E-2</v>
      </c>
      <c r="CJ91" s="736">
        <f t="shared" si="118"/>
        <v>6.4557237435116432E-2</v>
      </c>
      <c r="CK91" s="580">
        <f>CK90/CF90-1</f>
        <v>0.13478175634786016</v>
      </c>
      <c r="CL91" s="736">
        <f t="shared" si="118"/>
        <v>4.3324937027707788E-2</v>
      </c>
      <c r="CM91" s="736">
        <f t="shared" si="118"/>
        <v>4.0866259554333428E-2</v>
      </c>
      <c r="CN91" s="736">
        <f t="shared" si="118"/>
        <v>1.9796954314720949E-2</v>
      </c>
      <c r="CO91" s="736">
        <f t="shared" si="118"/>
        <v>-2.9197080291970545E-3</v>
      </c>
      <c r="CP91" s="580">
        <f>CP90/CK90-1</f>
        <v>2.5017025197291876E-2</v>
      </c>
      <c r="CQ91" s="736">
        <f t="shared" si="118"/>
        <v>4.3457267020763357E-3</v>
      </c>
      <c r="CR91" s="736">
        <f t="shared" si="118"/>
        <v>2.1855269548324507E-2</v>
      </c>
      <c r="CS91" s="736">
        <f t="shared" si="118"/>
        <v>4.330512692882027E-2</v>
      </c>
      <c r="CT91" s="736">
        <f t="shared" si="118"/>
        <v>8.1503172279160596E-2</v>
      </c>
      <c r="CU91" s="580">
        <f>CU90/CP90-1</f>
        <v>3.7616023448949765E-2</v>
      </c>
      <c r="CV91" s="736">
        <f t="shared" si="118"/>
        <v>0.28894230769230789</v>
      </c>
      <c r="CW91" s="736">
        <f t="shared" si="118"/>
        <v>0.27328897338403024</v>
      </c>
      <c r="CX91" s="736">
        <f t="shared" si="118"/>
        <v>0.2867366412213741</v>
      </c>
      <c r="CY91" s="736">
        <f t="shared" si="118"/>
        <v>0.25902527075812287</v>
      </c>
      <c r="CZ91" s="706">
        <f>CZ90/CU90-1</f>
        <v>0.27671845574387954</v>
      </c>
      <c r="DA91" s="736">
        <f t="shared" si="118"/>
        <v>0.27154046997389014</v>
      </c>
      <c r="DB91" s="736">
        <f t="shared" si="118"/>
        <v>0.27248973497573714</v>
      </c>
      <c r="DC91" s="736">
        <f t="shared" si="118"/>
        <v>0.28179458657767897</v>
      </c>
      <c r="DD91" s="736">
        <f t="shared" si="118"/>
        <v>0.2910394265232974</v>
      </c>
      <c r="DE91" s="706">
        <f>DE90/CZ90-1</f>
        <v>0.27933990965243805</v>
      </c>
      <c r="DF91" s="736">
        <f t="shared" si="118"/>
        <v>0.10530947491933129</v>
      </c>
      <c r="DG91" s="736">
        <f t="shared" si="118"/>
        <v>0.10266940451745388</v>
      </c>
      <c r="DH91" s="736">
        <f t="shared" si="118"/>
        <v>8.2441423199305808E-2</v>
      </c>
      <c r="DI91" s="2809">
        <f t="shared" si="118"/>
        <v>8.1711821210438629E-2</v>
      </c>
      <c r="DJ91" s="706">
        <f>DJ90/DE90-1</f>
        <v>9.2838940693233729E-2</v>
      </c>
      <c r="DK91" s="705">
        <f>'Key Inputs and Scenarios'!AX108</f>
        <v>0.08</v>
      </c>
      <c r="DL91" s="705">
        <f>'Key Inputs and Scenarios'!AY108</f>
        <v>0.09</v>
      </c>
      <c r="DM91" s="705">
        <f>'Key Inputs and Scenarios'!AZ108</f>
        <v>0.09</v>
      </c>
      <c r="DN91" s="705">
        <f>'Key Inputs and Scenarios'!BA108</f>
        <v>0.09</v>
      </c>
      <c r="DO91" s="706">
        <f>DO90/DJ90-1</f>
        <v>8.7515384763262372E-2</v>
      </c>
      <c r="DP91" s="705">
        <f>'Key Inputs and Scenarios'!BC108</f>
        <v>1.4999999999999999E-2</v>
      </c>
      <c r="DQ91" s="705">
        <f>'Key Inputs and Scenarios'!BD108</f>
        <v>1.4999999999999999E-2</v>
      </c>
      <c r="DR91" s="705">
        <f>'Key Inputs and Scenarios'!BE108</f>
        <v>1.4999999999999999E-2</v>
      </c>
      <c r="DS91" s="705">
        <f>'Key Inputs and Scenarios'!BF108</f>
        <v>1.4999999999999999E-2</v>
      </c>
      <c r="DT91" s="706">
        <f>DT90/DO90-1</f>
        <v>1.5000000000000124E-2</v>
      </c>
      <c r="DU91" s="705">
        <f>'Key Inputs and Scenarios'!BH108</f>
        <v>1.4999999999999999E-2</v>
      </c>
      <c r="DV91" s="705">
        <f>'Key Inputs and Scenarios'!BI108</f>
        <v>1.4999999999999999E-2</v>
      </c>
      <c r="DW91" s="705">
        <f>'Key Inputs and Scenarios'!BJ108</f>
        <v>1.4999999999999999E-2</v>
      </c>
      <c r="DX91" s="705">
        <f>'Key Inputs and Scenarios'!BK108</f>
        <v>1.4999999999999999E-2</v>
      </c>
      <c r="DY91" s="706">
        <f>DY90/DT90-1</f>
        <v>1.499999999999968E-2</v>
      </c>
    </row>
    <row r="92" spans="1:129" x14ac:dyDescent="0.2">
      <c r="A92" s="526"/>
      <c r="B92" s="478"/>
      <c r="C92" s="597"/>
      <c r="D92" s="597"/>
      <c r="E92" s="597"/>
      <c r="F92" s="597"/>
      <c r="G92" s="597"/>
      <c r="H92" s="597"/>
      <c r="I92" s="576"/>
      <c r="J92" s="597"/>
      <c r="K92" s="597"/>
      <c r="L92" s="597"/>
      <c r="M92" s="597"/>
      <c r="N92" s="576"/>
      <c r="O92" s="726"/>
      <c r="P92" s="726"/>
      <c r="Q92" s="726"/>
      <c r="R92" s="726"/>
      <c r="S92" s="576"/>
      <c r="T92" s="726"/>
      <c r="U92" s="726"/>
      <c r="V92" s="726"/>
      <c r="W92" s="726"/>
      <c r="X92" s="576"/>
      <c r="Y92" s="726"/>
      <c r="Z92" s="726"/>
      <c r="AA92" s="726"/>
      <c r="AB92" s="726"/>
      <c r="AC92" s="576"/>
      <c r="AD92" s="726"/>
      <c r="AE92" s="726"/>
      <c r="AF92" s="726"/>
      <c r="AG92" s="726"/>
      <c r="AH92" s="576"/>
      <c r="AI92" s="726"/>
      <c r="AJ92" s="726"/>
      <c r="AK92" s="726"/>
      <c r="AL92" s="726"/>
      <c r="AM92" s="576"/>
      <c r="AN92" s="726"/>
      <c r="AO92" s="726"/>
      <c r="AP92" s="726"/>
      <c r="AQ92" s="726"/>
      <c r="AR92" s="576"/>
      <c r="AS92" s="726"/>
      <c r="AT92" s="726"/>
      <c r="AU92" s="726"/>
      <c r="AV92" s="726"/>
      <c r="AW92" s="576"/>
      <c r="AX92" s="726"/>
      <c r="AY92" s="726"/>
      <c r="AZ92" s="726"/>
      <c r="BA92" s="726"/>
      <c r="BB92" s="576"/>
      <c r="BC92" s="726"/>
      <c r="BD92" s="726"/>
      <c r="BE92" s="726"/>
      <c r="BF92" s="726"/>
      <c r="BG92" s="576"/>
      <c r="BH92" s="726"/>
      <c r="BI92" s="726"/>
      <c r="BJ92" s="726"/>
      <c r="BK92" s="726"/>
      <c r="BL92" s="576"/>
      <c r="BM92" s="726"/>
      <c r="BN92" s="726"/>
      <c r="BO92" s="726"/>
      <c r="BP92" s="726"/>
      <c r="BQ92" s="576"/>
      <c r="BR92" s="726"/>
      <c r="BS92" s="726"/>
      <c r="BT92" s="726"/>
      <c r="BU92" s="726"/>
      <c r="BV92" s="576"/>
      <c r="BW92" s="726"/>
      <c r="BX92" s="726"/>
      <c r="BY92" s="726"/>
      <c r="BZ92" s="726"/>
      <c r="CA92" s="576"/>
      <c r="CB92" s="726"/>
      <c r="CC92" s="726"/>
      <c r="CD92" s="726"/>
      <c r="CE92" s="726"/>
      <c r="CF92" s="576"/>
      <c r="CG92" s="731"/>
      <c r="CH92" s="731"/>
      <c r="CI92" s="731"/>
      <c r="CJ92" s="731"/>
      <c r="CK92" s="576"/>
      <c r="CL92" s="731"/>
      <c r="CM92" s="731"/>
      <c r="CN92" s="731"/>
      <c r="CO92" s="731"/>
      <c r="CP92" s="576"/>
      <c r="CQ92" s="731"/>
      <c r="CR92" s="731"/>
      <c r="CS92" s="731"/>
      <c r="CT92" s="731"/>
      <c r="CU92" s="576"/>
      <c r="CV92" s="731"/>
      <c r="CW92" s="731"/>
      <c r="CX92" s="731"/>
      <c r="CY92" s="731"/>
      <c r="CZ92" s="737"/>
      <c r="DA92" s="731"/>
      <c r="DB92" s="731"/>
      <c r="DC92" s="731"/>
      <c r="DD92" s="731"/>
      <c r="DE92" s="737"/>
      <c r="DF92" s="731"/>
      <c r="DG92" s="731"/>
      <c r="DH92" s="731"/>
      <c r="DI92" s="2807"/>
      <c r="DJ92" s="737"/>
      <c r="DK92" s="731"/>
      <c r="DL92" s="731"/>
      <c r="DM92" s="731"/>
      <c r="DN92" s="731"/>
      <c r="DO92" s="737"/>
      <c r="DP92" s="731"/>
      <c r="DQ92" s="731"/>
      <c r="DR92" s="731"/>
      <c r="DS92" s="731"/>
      <c r="DT92" s="737"/>
      <c r="DU92" s="731"/>
      <c r="DV92" s="731"/>
      <c r="DW92" s="731"/>
      <c r="DX92" s="731"/>
      <c r="DY92" s="737"/>
    </row>
    <row r="93" spans="1:129" x14ac:dyDescent="0.2">
      <c r="A93" s="559"/>
      <c r="B93" s="738" t="s">
        <v>753</v>
      </c>
      <c r="C93" s="561"/>
      <c r="D93" s="561"/>
      <c r="E93" s="561"/>
      <c r="F93" s="561"/>
      <c r="G93" s="561"/>
      <c r="H93" s="561"/>
      <c r="I93" s="564">
        <f>I90+I79</f>
        <v>0</v>
      </c>
      <c r="J93" s="561"/>
      <c r="K93" s="561"/>
      <c r="L93" s="561"/>
      <c r="M93" s="561"/>
      <c r="N93" s="564">
        <f>N90+N79</f>
        <v>0</v>
      </c>
      <c r="O93" s="563">
        <v>0</v>
      </c>
      <c r="P93" s="563">
        <v>0</v>
      </c>
      <c r="Q93" s="563">
        <v>0</v>
      </c>
      <c r="R93" s="563">
        <v>0</v>
      </c>
      <c r="S93" s="564">
        <f>S90+S79</f>
        <v>0</v>
      </c>
      <c r="T93" s="563">
        <v>0</v>
      </c>
      <c r="U93" s="563">
        <v>0</v>
      </c>
      <c r="V93" s="563">
        <v>0</v>
      </c>
      <c r="W93" s="563">
        <v>0</v>
      </c>
      <c r="X93" s="564">
        <f>X90+X79</f>
        <v>0</v>
      </c>
      <c r="Y93" s="563">
        <v>0</v>
      </c>
      <c r="Z93" s="563">
        <v>0</v>
      </c>
      <c r="AA93" s="563">
        <v>0</v>
      </c>
      <c r="AB93" s="563">
        <v>0</v>
      </c>
      <c r="AC93" s="564">
        <f>AC90+AC79</f>
        <v>0</v>
      </c>
      <c r="AD93" s="563">
        <v>0</v>
      </c>
      <c r="AE93" s="563">
        <v>0</v>
      </c>
      <c r="AF93" s="563">
        <v>0</v>
      </c>
      <c r="AG93" s="563">
        <v>0</v>
      </c>
      <c r="AH93" s="564">
        <f>AH90+AH79</f>
        <v>0</v>
      </c>
      <c r="AI93" s="563">
        <v>0</v>
      </c>
      <c r="AJ93" s="563">
        <v>0</v>
      </c>
      <c r="AK93" s="563">
        <v>0</v>
      </c>
      <c r="AL93" s="563">
        <v>0</v>
      </c>
      <c r="AM93" s="564">
        <f>AM90+AM79</f>
        <v>0</v>
      </c>
      <c r="AN93" s="563">
        <v>0</v>
      </c>
      <c r="AO93" s="563">
        <v>0</v>
      </c>
      <c r="AP93" s="563">
        <v>0</v>
      </c>
      <c r="AQ93" s="563">
        <v>0</v>
      </c>
      <c r="AR93" s="564">
        <f>AR90+AR79</f>
        <v>0</v>
      </c>
      <c r="AS93" s="563">
        <v>0</v>
      </c>
      <c r="AT93" s="563">
        <v>0</v>
      </c>
      <c r="AU93" s="563">
        <v>0</v>
      </c>
      <c r="AV93" s="563">
        <v>0</v>
      </c>
      <c r="AW93" s="564">
        <f>AW90+AW79</f>
        <v>0</v>
      </c>
      <c r="AX93" s="563">
        <v>0</v>
      </c>
      <c r="AY93" s="563">
        <v>0</v>
      </c>
      <c r="AZ93" s="563">
        <v>0</v>
      </c>
      <c r="BA93" s="563">
        <v>0</v>
      </c>
      <c r="BB93" s="564">
        <f>BB90+BB79</f>
        <v>0</v>
      </c>
      <c r="BC93" s="563">
        <v>18.714000000000055</v>
      </c>
      <c r="BD93" s="563">
        <v>21.311999999999998</v>
      </c>
      <c r="BE93" s="563">
        <v>22.609000000000005</v>
      </c>
      <c r="BF93" s="563">
        <v>26.758000000000017</v>
      </c>
      <c r="BG93" s="564">
        <f>BG90+BG79</f>
        <v>89.393000000000072</v>
      </c>
      <c r="BH93" s="565">
        <f>BH79+BH90</f>
        <v>152.4</v>
      </c>
      <c r="BI93" s="565">
        <f>BI79+BI90</f>
        <v>151.19999999999999</v>
      </c>
      <c r="BJ93" s="565">
        <f>BJ79+BJ90</f>
        <v>149.20000000000002</v>
      </c>
      <c r="BK93" s="565">
        <f>BK79+BK90</f>
        <v>154.4</v>
      </c>
      <c r="BL93" s="564">
        <f>BL90+BL79</f>
        <v>607.20000000000005</v>
      </c>
      <c r="BM93" s="565">
        <f>BM79+BM90</f>
        <v>156.80000000000001</v>
      </c>
      <c r="BN93" s="565">
        <f>BN79+BN90</f>
        <v>151.30000000000001</v>
      </c>
      <c r="BO93" s="565">
        <f>BO79+BO90</f>
        <v>149.1</v>
      </c>
      <c r="BP93" s="565">
        <f>BP79+BP90</f>
        <v>176.20000000000002</v>
      </c>
      <c r="BQ93" s="564">
        <f>BQ90+BQ79</f>
        <v>633.4</v>
      </c>
      <c r="BR93" s="565">
        <f>BR79+BR90</f>
        <v>163.39999999999998</v>
      </c>
      <c r="BS93" s="565">
        <f>BS79+BS90</f>
        <v>164.10000000000002</v>
      </c>
      <c r="BT93" s="565">
        <f>BT79+BT90</f>
        <v>162.9</v>
      </c>
      <c r="BU93" s="565">
        <f>BU79+BU90</f>
        <v>168.1</v>
      </c>
      <c r="BV93" s="564">
        <f>BV90+BV79</f>
        <v>658.50000000000011</v>
      </c>
      <c r="BW93" s="565">
        <f>BW79+BW90</f>
        <v>147.5</v>
      </c>
      <c r="BX93" s="565">
        <f>BX79+BX90</f>
        <v>144.30000000000001</v>
      </c>
      <c r="BY93" s="565">
        <f>BY79+BY90</f>
        <v>144.39999999999998</v>
      </c>
      <c r="BZ93" s="565">
        <f>BZ79+BZ90</f>
        <v>148.69999999999999</v>
      </c>
      <c r="CA93" s="564">
        <f>CA90+CA79</f>
        <v>584.90000000000009</v>
      </c>
      <c r="CB93" s="565">
        <f>CB79+CB90</f>
        <v>175.2</v>
      </c>
      <c r="CC93" s="565">
        <f>CC79+CC90</f>
        <v>191.8</v>
      </c>
      <c r="CD93" s="561">
        <f>CD79+CD90</f>
        <v>196.7</v>
      </c>
      <c r="CE93" s="561">
        <f>CE79+CE90</f>
        <v>210.846</v>
      </c>
      <c r="CF93" s="577">
        <f>CF90+CF79</f>
        <v>774.54600000000005</v>
      </c>
      <c r="CG93" s="561">
        <f>CG79+CG90</f>
        <v>218.9</v>
      </c>
      <c r="CH93" s="561">
        <f>CH79+CH90</f>
        <v>218.35500000000002</v>
      </c>
      <c r="CI93" s="561">
        <f>CI79+CI90</f>
        <v>217.4</v>
      </c>
      <c r="CJ93" s="561">
        <f>CJ79+CJ90</f>
        <v>225.9</v>
      </c>
      <c r="CK93" s="577">
        <f>CK90+CK79</f>
        <v>880.55500000000006</v>
      </c>
      <c r="CL93" s="561">
        <f>CL79+CL90</f>
        <v>227.6</v>
      </c>
      <c r="CM93" s="561">
        <f>CM79+CM90</f>
        <v>226.6</v>
      </c>
      <c r="CN93" s="561">
        <f>CN79+CN90</f>
        <v>221.9</v>
      </c>
      <c r="CO93" s="561">
        <f>CO79+CO90</f>
        <v>225.9</v>
      </c>
      <c r="CP93" s="577">
        <f>CP90+CP79</f>
        <v>902</v>
      </c>
      <c r="CQ93" s="561">
        <f>CQ79+CQ90</f>
        <v>227.8</v>
      </c>
      <c r="CR93" s="561">
        <f>CR79+CR90</f>
        <v>230.9</v>
      </c>
      <c r="CS93" s="561">
        <f>CS79+CS90</f>
        <v>230.29999999999998</v>
      </c>
      <c r="CT93" s="561">
        <f>CT79+CT90</f>
        <v>242.9</v>
      </c>
      <c r="CU93" s="577">
        <f>CU90+CU79</f>
        <v>931.9</v>
      </c>
      <c r="CV93" s="561">
        <f>CV79+CV90</f>
        <v>325.40000000000003</v>
      </c>
      <c r="CW93" s="561">
        <f>CW79+CW90</f>
        <v>327.9</v>
      </c>
      <c r="CX93" s="561">
        <f>CX79+CX90</f>
        <v>331.2</v>
      </c>
      <c r="CY93" s="561">
        <f>CY79+CY90</f>
        <v>341.3</v>
      </c>
      <c r="CZ93" s="739">
        <f>CZ90+CZ79</f>
        <v>1325.8</v>
      </c>
      <c r="DA93" s="561">
        <f>DA79+DA90</f>
        <v>401.9</v>
      </c>
      <c r="DB93" s="561">
        <f>DB79+DB90</f>
        <v>403.2</v>
      </c>
      <c r="DC93" s="561">
        <f>DC79+DC90</f>
        <v>408.7</v>
      </c>
      <c r="DD93" s="561">
        <f>DD79+DD90</f>
        <v>425.4</v>
      </c>
      <c r="DE93" s="739">
        <f>DE90+DE79</f>
        <v>1639.1999999999996</v>
      </c>
      <c r="DF93" s="561">
        <f>DF79+DF90</f>
        <v>440.5</v>
      </c>
      <c r="DG93" s="561">
        <f>DG79+DG90</f>
        <v>441.5</v>
      </c>
      <c r="DH93" s="561">
        <f>DH79+DH90</f>
        <v>441.1</v>
      </c>
      <c r="DI93" s="561">
        <f>DI79+DI90</f>
        <v>458.65939740445504</v>
      </c>
      <c r="DJ93" s="739">
        <f>DJ90+DJ79</f>
        <v>1781.7593974044551</v>
      </c>
      <c r="DK93" s="561">
        <f>DK79+DK90</f>
        <v>474.46600000000001</v>
      </c>
      <c r="DL93" s="561">
        <f>DL79+DL90</f>
        <v>479.923</v>
      </c>
      <c r="DM93" s="561">
        <f>DM79+DM90</f>
        <v>479.46100000000007</v>
      </c>
      <c r="DN93" s="561">
        <f>DN79+DN90</f>
        <v>498.55820718276698</v>
      </c>
      <c r="DO93" s="739">
        <f>DO90+DO79</f>
        <v>1932.408207182767</v>
      </c>
      <c r="DP93" s="561">
        <f>DP79+DP90</f>
        <v>481.24538000000001</v>
      </c>
      <c r="DQ93" s="561">
        <f>DQ79+DQ90</f>
        <v>486.77088499999991</v>
      </c>
      <c r="DR93" s="561">
        <f>DR79+DR90</f>
        <v>486.29500000000002</v>
      </c>
      <c r="DS93" s="561">
        <f>DS79+DS90</f>
        <v>505.66728691369457</v>
      </c>
      <c r="DT93" s="739">
        <f>DT90+DT79</f>
        <v>1959.9785519136947</v>
      </c>
      <c r="DU93" s="561">
        <f>DU79+DU90</f>
        <v>488.1230746</v>
      </c>
      <c r="DV93" s="561">
        <f>DV79+DV90</f>
        <v>493.71797867499987</v>
      </c>
      <c r="DW93" s="561">
        <f>DW79+DW90</f>
        <v>493.22793084999995</v>
      </c>
      <c r="DX93" s="561">
        <f>DX79+DX90</f>
        <v>512.87930990681798</v>
      </c>
      <c r="DY93" s="739">
        <f>DY90+DY79</f>
        <v>1987.9482940318176</v>
      </c>
    </row>
    <row r="94" spans="1:129" x14ac:dyDescent="0.2">
      <c r="A94" s="473"/>
      <c r="B94" s="740" t="s">
        <v>194</v>
      </c>
      <c r="C94" s="469"/>
      <c r="D94" s="469"/>
      <c r="E94" s="469"/>
      <c r="F94" s="469"/>
      <c r="G94" s="469"/>
      <c r="H94" s="469"/>
      <c r="I94" s="580"/>
      <c r="J94" s="469"/>
      <c r="K94" s="469"/>
      <c r="L94" s="469"/>
      <c r="M94" s="469"/>
      <c r="N94" s="580"/>
      <c r="O94" s="469"/>
      <c r="P94" s="469"/>
      <c r="Q94" s="469"/>
      <c r="R94" s="469"/>
      <c r="S94" s="580"/>
      <c r="T94" s="469"/>
      <c r="U94" s="469"/>
      <c r="V94" s="469"/>
      <c r="W94" s="469"/>
      <c r="X94" s="580"/>
      <c r="Y94" s="469"/>
      <c r="Z94" s="469"/>
      <c r="AA94" s="469"/>
      <c r="AB94" s="469"/>
      <c r="AC94" s="580"/>
      <c r="AD94" s="469"/>
      <c r="AE94" s="469"/>
      <c r="AF94" s="469"/>
      <c r="AG94" s="469"/>
      <c r="AH94" s="580"/>
      <c r="AI94" s="469"/>
      <c r="AJ94" s="469"/>
      <c r="AK94" s="469"/>
      <c r="AL94" s="469"/>
      <c r="AM94" s="580"/>
      <c r="AN94" s="469"/>
      <c r="AO94" s="469"/>
      <c r="AP94" s="469"/>
      <c r="AQ94" s="469"/>
      <c r="AR94" s="580"/>
      <c r="AS94" s="469"/>
      <c r="AT94" s="469"/>
      <c r="AU94" s="469"/>
      <c r="AV94" s="469"/>
      <c r="AW94" s="580"/>
      <c r="AX94" s="469"/>
      <c r="AY94" s="469"/>
      <c r="AZ94" s="469"/>
      <c r="BA94" s="469"/>
      <c r="BB94" s="580"/>
      <c r="BC94" s="469"/>
      <c r="BD94" s="469"/>
      <c r="BE94" s="469"/>
      <c r="BF94" s="469"/>
      <c r="BG94" s="580"/>
      <c r="BH94" s="581">
        <f>BH93/BC93-1</f>
        <v>7.1436357806989186</v>
      </c>
      <c r="BI94" s="581">
        <f>BI93/BD93-1</f>
        <v>6.0945945945945947</v>
      </c>
      <c r="BJ94" s="581">
        <f>BJ93/BE93-1</f>
        <v>5.5991419346278022</v>
      </c>
      <c r="BK94" s="581">
        <f>BK93/BF93-1</f>
        <v>4.7702369384856835</v>
      </c>
      <c r="BL94" s="741"/>
      <c r="BM94" s="581">
        <f t="shared" ref="BM94:DD94" si="119">BM93/BH93-1</f>
        <v>2.8871391076115582E-2</v>
      </c>
      <c r="BN94" s="581">
        <f t="shared" si="119"/>
        <v>6.6137566137580706E-4</v>
      </c>
      <c r="BO94" s="581">
        <f t="shared" si="119"/>
        <v>-6.7024128686343776E-4</v>
      </c>
      <c r="BP94" s="581">
        <f t="shared" si="119"/>
        <v>0.14119170984455964</v>
      </c>
      <c r="BQ94" s="582">
        <f t="shared" si="119"/>
        <v>4.3148880105401632E-2</v>
      </c>
      <c r="BR94" s="581">
        <f t="shared" si="119"/>
        <v>4.2091836734693633E-2</v>
      </c>
      <c r="BS94" s="581">
        <f t="shared" si="119"/>
        <v>8.4600132187706567E-2</v>
      </c>
      <c r="BT94" s="581">
        <f t="shared" si="119"/>
        <v>9.2555331991951872E-2</v>
      </c>
      <c r="BU94" s="581">
        <f t="shared" si="119"/>
        <v>-4.5970488081725436E-2</v>
      </c>
      <c r="BV94" s="582">
        <f t="shared" si="119"/>
        <v>3.9627407641301238E-2</v>
      </c>
      <c r="BW94" s="581">
        <f t="shared" si="119"/>
        <v>-9.7307221542227484E-2</v>
      </c>
      <c r="BX94" s="581">
        <f t="shared" si="119"/>
        <v>-0.12065813528336389</v>
      </c>
      <c r="BY94" s="581">
        <f t="shared" si="119"/>
        <v>-0.11356660527931262</v>
      </c>
      <c r="BZ94" s="581">
        <f t="shared" si="119"/>
        <v>-0.11540749553837004</v>
      </c>
      <c r="CA94" s="582">
        <f t="shared" si="119"/>
        <v>-0.11176917236142747</v>
      </c>
      <c r="CB94" s="581">
        <f t="shared" si="119"/>
        <v>0.18779661016949145</v>
      </c>
      <c r="CC94" s="581">
        <f t="shared" si="119"/>
        <v>0.32917532917532921</v>
      </c>
      <c r="CD94" s="468">
        <f t="shared" si="119"/>
        <v>0.36218836565096968</v>
      </c>
      <c r="CE94" s="468">
        <f t="shared" si="119"/>
        <v>0.41792871553463362</v>
      </c>
      <c r="CF94" s="580">
        <f t="shared" si="119"/>
        <v>0.32423662164472544</v>
      </c>
      <c r="CG94" s="473">
        <f t="shared" si="119"/>
        <v>0.24942922374429233</v>
      </c>
      <c r="CH94" s="473">
        <f t="shared" si="119"/>
        <v>0.13845151199165806</v>
      </c>
      <c r="CI94" s="473">
        <f t="shared" si="119"/>
        <v>0.10523640061006612</v>
      </c>
      <c r="CJ94" s="473">
        <f t="shared" si="119"/>
        <v>7.1398082012464004E-2</v>
      </c>
      <c r="CK94" s="580">
        <f t="shared" si="119"/>
        <v>0.13686598342771128</v>
      </c>
      <c r="CL94" s="473">
        <f t="shared" si="119"/>
        <v>3.9744175422567363E-2</v>
      </c>
      <c r="CM94" s="473">
        <f t="shared" si="119"/>
        <v>3.7759611641592805E-2</v>
      </c>
      <c r="CN94" s="473">
        <f t="shared" si="119"/>
        <v>2.0699172033118662E-2</v>
      </c>
      <c r="CO94" s="473">
        <f t="shared" si="119"/>
        <v>0</v>
      </c>
      <c r="CP94" s="580">
        <f t="shared" si="119"/>
        <v>2.4353958582939095E-2</v>
      </c>
      <c r="CQ94" s="473">
        <f t="shared" si="119"/>
        <v>8.7873462214416165E-4</v>
      </c>
      <c r="CR94" s="473">
        <f t="shared" si="119"/>
        <v>1.8976169461606407E-2</v>
      </c>
      <c r="CS94" s="473">
        <f t="shared" si="119"/>
        <v>3.7854889589905349E-2</v>
      </c>
      <c r="CT94" s="473">
        <f t="shared" si="119"/>
        <v>7.5254537405931909E-2</v>
      </c>
      <c r="CU94" s="580">
        <f t="shared" si="119"/>
        <v>3.3148558758314906E-2</v>
      </c>
      <c r="CV94" s="473">
        <f t="shared" si="119"/>
        <v>0.42844600526777876</v>
      </c>
      <c r="CW94" s="473">
        <f t="shared" si="119"/>
        <v>0.42009527934170632</v>
      </c>
      <c r="CX94" s="473">
        <f t="shared" si="119"/>
        <v>0.4381241858445506</v>
      </c>
      <c r="CY94" s="473">
        <f t="shared" si="119"/>
        <v>0.40510498147385765</v>
      </c>
      <c r="CZ94" s="706">
        <f t="shared" si="119"/>
        <v>0.42268483742890872</v>
      </c>
      <c r="DA94" s="473">
        <f t="shared" si="119"/>
        <v>0.23509526736324493</v>
      </c>
      <c r="DB94" s="473">
        <f t="shared" si="119"/>
        <v>0.22964318389752969</v>
      </c>
      <c r="DC94" s="473">
        <f t="shared" si="119"/>
        <v>0.2339975845410629</v>
      </c>
      <c r="DD94" s="473">
        <f t="shared" si="119"/>
        <v>0.2464107823029591</v>
      </c>
      <c r="DE94" s="706">
        <f t="shared" ref="DE94:DJ94" si="120">DE93/CZ93-1</f>
        <v>0.23638557851862996</v>
      </c>
      <c r="DF94" s="473">
        <f t="shared" si="120"/>
        <v>9.6043791988056793E-2</v>
      </c>
      <c r="DG94" s="473">
        <f t="shared" si="120"/>
        <v>9.4990079365079305E-2</v>
      </c>
      <c r="DH94" s="473">
        <f t="shared" si="120"/>
        <v>7.9275752385612908E-2</v>
      </c>
      <c r="DI94" s="473">
        <f t="shared" si="120"/>
        <v>7.8183820884943689E-2</v>
      </c>
      <c r="DJ94" s="706">
        <f t="shared" si="120"/>
        <v>8.6968885678657681E-2</v>
      </c>
      <c r="DK94" s="473">
        <f t="shared" ref="DK94:DT94" si="121">DK93/DF93-1</f>
        <v>7.7107832009080557E-2</v>
      </c>
      <c r="DL94" s="473">
        <f t="shared" si="121"/>
        <v>8.7028312570781363E-2</v>
      </c>
      <c r="DM94" s="473">
        <f t="shared" si="121"/>
        <v>8.6966674223532214E-2</v>
      </c>
      <c r="DN94" s="473">
        <f t="shared" si="121"/>
        <v>8.699006278754684E-2</v>
      </c>
      <c r="DO94" s="706">
        <f t="shared" si="121"/>
        <v>8.4550590836095285E-2</v>
      </c>
      <c r="DP94" s="473">
        <f t="shared" si="121"/>
        <v>1.4288442164454462E-2</v>
      </c>
      <c r="DQ94" s="473">
        <f t="shared" si="121"/>
        <v>1.4268716023195127E-2</v>
      </c>
      <c r="DR94" s="473">
        <f t="shared" si="121"/>
        <v>1.4253505498883046E-2</v>
      </c>
      <c r="DS94" s="473">
        <f t="shared" si="121"/>
        <v>1.4259277309061513E-2</v>
      </c>
      <c r="DT94" s="706">
        <f t="shared" si="121"/>
        <v>1.4267350256766953E-2</v>
      </c>
      <c r="DU94" s="473">
        <f t="shared" ref="DU94" si="122">DU93/DP93-1</f>
        <v>1.4291450652471616E-2</v>
      </c>
      <c r="DV94" s="473">
        <f t="shared" ref="DV94" si="123">DV93/DQ93-1</f>
        <v>1.4271793751592154E-2</v>
      </c>
      <c r="DW94" s="473">
        <f t="shared" ref="DW94" si="124">DW93/DR93-1</f>
        <v>1.4256636095373976E-2</v>
      </c>
      <c r="DX94" s="473">
        <f t="shared" ref="DX94" si="125">DX93/DS93-1</f>
        <v>1.4262387897665763E-2</v>
      </c>
      <c r="DY94" s="706">
        <f t="shared" ref="DY94" si="126">DY93/DT93-1</f>
        <v>1.4270432750814299E-2</v>
      </c>
    </row>
    <row r="95" spans="1:129" outlineLevel="1" x14ac:dyDescent="0.2">
      <c r="A95" s="473"/>
      <c r="B95" s="478"/>
      <c r="C95" s="469"/>
      <c r="D95" s="469"/>
      <c r="E95" s="469"/>
      <c r="F95" s="469"/>
      <c r="G95" s="469"/>
      <c r="H95" s="469"/>
      <c r="I95" s="580"/>
      <c r="J95" s="469"/>
      <c r="K95" s="469"/>
      <c r="L95" s="469"/>
      <c r="M95" s="469"/>
      <c r="N95" s="580"/>
      <c r="O95" s="469"/>
      <c r="P95" s="469"/>
      <c r="Q95" s="469"/>
      <c r="R95" s="469"/>
      <c r="S95" s="580"/>
      <c r="T95" s="469"/>
      <c r="U95" s="469"/>
      <c r="V95" s="469"/>
      <c r="W95" s="469"/>
      <c r="X95" s="580"/>
      <c r="Y95" s="469"/>
      <c r="Z95" s="469"/>
      <c r="AA95" s="469"/>
      <c r="AB95" s="469"/>
      <c r="AC95" s="580"/>
      <c r="AD95" s="469"/>
      <c r="AE95" s="469"/>
      <c r="AF95" s="469"/>
      <c r="AG95" s="469"/>
      <c r="AH95" s="580"/>
      <c r="AI95" s="469"/>
      <c r="AJ95" s="469"/>
      <c r="AK95" s="469"/>
      <c r="AL95" s="469"/>
      <c r="AM95" s="580"/>
      <c r="AN95" s="469"/>
      <c r="AO95" s="469"/>
      <c r="AP95" s="469"/>
      <c r="AQ95" s="469"/>
      <c r="AR95" s="580"/>
      <c r="AS95" s="469"/>
      <c r="AT95" s="469"/>
      <c r="AU95" s="469"/>
      <c r="AV95" s="469"/>
      <c r="AW95" s="580"/>
      <c r="AX95" s="469"/>
      <c r="AY95" s="469"/>
      <c r="AZ95" s="469"/>
      <c r="BA95" s="469"/>
      <c r="BB95" s="580"/>
      <c r="BC95" s="469"/>
      <c r="BD95" s="469"/>
      <c r="BE95" s="469"/>
      <c r="BF95" s="469"/>
      <c r="BG95" s="580"/>
      <c r="BH95" s="469"/>
      <c r="BI95" s="469"/>
      <c r="BJ95" s="469"/>
      <c r="BK95" s="469"/>
      <c r="BL95" s="580"/>
      <c r="BM95" s="469"/>
      <c r="BN95" s="469"/>
      <c r="BO95" s="469"/>
      <c r="BP95" s="469"/>
      <c r="BQ95" s="580"/>
      <c r="BR95" s="469"/>
      <c r="BS95" s="469"/>
      <c r="BT95" s="469"/>
      <c r="BU95" s="469"/>
      <c r="BV95" s="580"/>
      <c r="BW95" s="469"/>
      <c r="BX95" s="469"/>
      <c r="BY95" s="469"/>
      <c r="BZ95" s="469"/>
      <c r="CA95" s="580"/>
      <c r="CB95" s="469"/>
      <c r="CC95" s="469"/>
      <c r="CD95" s="469"/>
      <c r="CE95" s="469"/>
      <c r="CF95" s="580"/>
      <c r="CG95" s="724"/>
      <c r="CH95" s="724"/>
      <c r="CI95" s="724"/>
      <c r="CJ95" s="724"/>
      <c r="CK95" s="580"/>
      <c r="CL95" s="724"/>
      <c r="CM95" s="724"/>
      <c r="CN95" s="724"/>
      <c r="CO95" s="724"/>
      <c r="CP95" s="580"/>
      <c r="CQ95" s="724"/>
      <c r="CR95" s="724"/>
      <c r="CS95" s="724"/>
      <c r="CT95" s="724"/>
      <c r="CU95" s="580"/>
      <c r="CV95" s="724"/>
      <c r="CW95" s="724"/>
      <c r="CX95" s="724"/>
      <c r="CY95" s="724"/>
      <c r="CZ95" s="706"/>
      <c r="DA95" s="724"/>
      <c r="DB95" s="724"/>
      <c r="DC95" s="724"/>
      <c r="DD95" s="724"/>
      <c r="DE95" s="706"/>
      <c r="DF95" s="724"/>
      <c r="DG95" s="724"/>
      <c r="DH95" s="724"/>
      <c r="DI95" s="724"/>
      <c r="DJ95" s="706"/>
      <c r="DK95" s="724"/>
      <c r="DL95" s="724"/>
      <c r="DM95" s="724"/>
      <c r="DN95" s="724"/>
      <c r="DO95" s="706"/>
      <c r="DP95" s="724"/>
      <c r="DQ95" s="724"/>
      <c r="DR95" s="724"/>
      <c r="DS95" s="724"/>
      <c r="DT95" s="706"/>
      <c r="DU95" s="724"/>
      <c r="DV95" s="724"/>
      <c r="DW95" s="724"/>
      <c r="DX95" s="724"/>
      <c r="DY95" s="706"/>
    </row>
    <row r="96" spans="1:129" outlineLevel="1" x14ac:dyDescent="0.2">
      <c r="A96" s="526"/>
      <c r="B96" s="742" t="s">
        <v>754</v>
      </c>
      <c r="C96" s="597"/>
      <c r="D96" s="597"/>
      <c r="E96" s="597"/>
      <c r="F96" s="597"/>
      <c r="G96" s="597"/>
      <c r="H96" s="597"/>
      <c r="I96" s="598"/>
      <c r="J96" s="597"/>
      <c r="K96" s="597"/>
      <c r="L96" s="597"/>
      <c r="M96" s="597"/>
      <c r="N96" s="598"/>
      <c r="O96" s="743"/>
      <c r="P96" s="743"/>
      <c r="Q96" s="743"/>
      <c r="R96" s="743"/>
      <c r="S96" s="598"/>
      <c r="T96" s="743"/>
      <c r="U96" s="743"/>
      <c r="V96" s="743"/>
      <c r="W96" s="743"/>
      <c r="X96" s="598"/>
      <c r="Y96" s="743"/>
      <c r="Z96" s="743"/>
      <c r="AA96" s="743"/>
      <c r="AB96" s="743"/>
      <c r="AC96" s="598"/>
      <c r="AD96" s="743"/>
      <c r="AE96" s="743"/>
      <c r="AF96" s="743"/>
      <c r="AG96" s="743"/>
      <c r="AH96" s="598"/>
      <c r="AI96" s="743"/>
      <c r="AJ96" s="743"/>
      <c r="AK96" s="743"/>
      <c r="AL96" s="743"/>
      <c r="AM96" s="598"/>
      <c r="AN96" s="743"/>
      <c r="AO96" s="743"/>
      <c r="AP96" s="743"/>
      <c r="AQ96" s="743"/>
      <c r="AR96" s="598"/>
      <c r="AS96" s="743"/>
      <c r="AT96" s="743"/>
      <c r="AU96" s="743"/>
      <c r="AV96" s="743"/>
      <c r="AW96" s="598"/>
      <c r="AX96" s="743"/>
      <c r="AY96" s="743"/>
      <c r="AZ96" s="743"/>
      <c r="BA96" s="743"/>
      <c r="BB96" s="598"/>
      <c r="BC96" s="743"/>
      <c r="BD96" s="743"/>
      <c r="BE96" s="744">
        <f>(BE98-BE90)/(BE79*3)</f>
        <v>0.78758261193335188</v>
      </c>
      <c r="BF96" s="744">
        <f>(BF98-BF90)/(BF79*3)</f>
        <v>0.49762030671602059</v>
      </c>
      <c r="BG96" s="598"/>
      <c r="BH96" s="744">
        <f>(BH98-BH90)/(BH79*3)</f>
        <v>0.94086021505376338</v>
      </c>
      <c r="BI96" s="744">
        <f>(BI98-BI90)/(BI79*3)</f>
        <v>0.94054054054054081</v>
      </c>
      <c r="BJ96" s="744">
        <f>(BJ98-BJ90)/(BJ79*3)</f>
        <v>0.94535519125683065</v>
      </c>
      <c r="BK96" s="744">
        <f>(BK98-BK90)/(BK79*3)</f>
        <v>0.94265232974910373</v>
      </c>
      <c r="BL96" s="745">
        <v>0.94234234234234204</v>
      </c>
      <c r="BM96" s="744">
        <f>(BM98-BM90)/(BM79*3)</f>
        <v>0.9281045751633985</v>
      </c>
      <c r="BN96" s="744">
        <f>(BN98-BN90)/(BN79*3)</f>
        <v>0.92888888888888854</v>
      </c>
      <c r="BO96" s="744">
        <f>(BO98-BO90)/(BO79*3)</f>
        <v>0.9274376417233563</v>
      </c>
      <c r="BP96" s="744">
        <f>(BP98-BP90)/(BP79*3)</f>
        <v>0.92999999999999972</v>
      </c>
      <c r="BQ96" s="745">
        <v>0.92863163656267145</v>
      </c>
      <c r="BR96" s="744">
        <f>(BR98-BR90)/(BR79*3)</f>
        <v>0.94000000000000017</v>
      </c>
      <c r="BS96" s="744">
        <f>(BS98-BS90)/(BS79*3)</f>
        <v>0.94000000000000017</v>
      </c>
      <c r="BT96" s="744">
        <f>(BT98-BT90)/(BT79*3)</f>
        <v>0.93292682926829285</v>
      </c>
      <c r="BU96" s="744">
        <v>0.93500000000000005</v>
      </c>
      <c r="BV96" s="746">
        <f>(BV98-BV90)/(BV79*3)</f>
        <v>0.93668730650154797</v>
      </c>
      <c r="BW96" s="747">
        <v>0.93500000000000005</v>
      </c>
      <c r="BX96" s="747">
        <v>0.93200000000000005</v>
      </c>
      <c r="BY96" s="747">
        <v>0.94</v>
      </c>
      <c r="BZ96" s="747">
        <v>0.94099999999999995</v>
      </c>
      <c r="CA96" s="746">
        <f>(CA98-CA90)/(CA79*3)</f>
        <v>0.93705607476635489</v>
      </c>
      <c r="CB96" s="747">
        <v>0.95199999999999996</v>
      </c>
      <c r="CC96" s="747">
        <v>0.95505617977528046</v>
      </c>
      <c r="CD96" s="747">
        <v>0.95199999999999996</v>
      </c>
      <c r="CE96" s="748">
        <f>(CE98-CE90)/(3*CE79)</f>
        <v>0.95118298891883812</v>
      </c>
      <c r="CF96" s="749">
        <f>(CF98-CF90)/(CF79*3)</f>
        <v>0.95256439308104812</v>
      </c>
      <c r="CG96" s="748">
        <f>(CG98-CG90)/(3*CG79)</f>
        <v>0.95588235294117652</v>
      </c>
      <c r="CH96" s="748">
        <f>(CH98-CH90)/(3*CH79)</f>
        <v>0.95553175260074297</v>
      </c>
      <c r="CI96" s="748">
        <f>(CI98-CI90)/(3*CI79)</f>
        <v>0.95424836601307206</v>
      </c>
      <c r="CJ96" s="748">
        <f>(CJ98-CJ90)/(3*CJ79)</f>
        <v>0.95588235294117652</v>
      </c>
      <c r="CK96" s="749">
        <f>(CK98-CK90)/(CK79*3)</f>
        <v>0.95538645363086494</v>
      </c>
      <c r="CL96" s="748">
        <f>(CL98-CL90)/(3*CL79)</f>
        <v>0.95772357723577251</v>
      </c>
      <c r="CM96" s="748">
        <f>(CM98-CM90)/(3*CM79)</f>
        <v>0.95652173913043492</v>
      </c>
      <c r="CN96" s="748">
        <f>(CN98-CN90)/(3*CN79)</f>
        <v>0.95396825396825391</v>
      </c>
      <c r="CO96" s="748">
        <f>(CO98-CO90)/(3*CO79)</f>
        <v>0.95555555555555582</v>
      </c>
      <c r="CP96" s="749">
        <f>(CP98-CP90)/(CP79*3)</f>
        <v>0.95592948717948789</v>
      </c>
      <c r="CQ96" s="748">
        <f>(CQ98-CQ90)/(3*CQ79)</f>
        <v>0.94107744107744062</v>
      </c>
      <c r="CR96" s="748">
        <f>(CR98-CR90)/(3*CR79)</f>
        <v>0.9398373983739835</v>
      </c>
      <c r="CS96" s="748">
        <f>(CS98-CS90)/(3*CS79)</f>
        <v>0.93719806763285063</v>
      </c>
      <c r="CT96" s="748">
        <f>(CT98-CT90)/(3*CT79)</f>
        <v>0.93740219092331767</v>
      </c>
      <c r="CU96" s="749">
        <f>(CU98-CU90)/(CU79*3)</f>
        <v>0.9388416362899954</v>
      </c>
      <c r="CV96" s="748">
        <f>(CV98-CV90)/(3*CV79)</f>
        <v>0.33333333333333309</v>
      </c>
      <c r="CW96" s="748">
        <f>(CW98-CW90)/(3*CW79)</f>
        <v>0.33333333333333331</v>
      </c>
      <c r="CX96" s="748">
        <f>(CX98-CX90)/(3*CX79)</f>
        <v>0.33333333333333331</v>
      </c>
      <c r="CY96" s="748">
        <f>(CY98-CY90)/(3*CY79)</f>
        <v>0.33333333333333343</v>
      </c>
      <c r="CZ96" s="750">
        <f>(CZ98-CZ90)/(CZ79*3)</f>
        <v>0.3333333333333332</v>
      </c>
      <c r="DA96" s="748">
        <f>(DA98-DA90)/(3*DA79)</f>
        <v>0.33333333333333331</v>
      </c>
      <c r="DB96" s="748">
        <f>(DB98-DB90)/(3*DB79)</f>
        <v>0.33333333333333343</v>
      </c>
      <c r="DC96" s="748">
        <f>(DC98-DC90)/(3*DC79)</f>
        <v>0.33333333333333331</v>
      </c>
      <c r="DD96" s="748">
        <f>(DD98-DD90)/(3*DD79)</f>
        <v>0.33333333333333326</v>
      </c>
      <c r="DE96" s="750">
        <f>(DE98-DE90)/(DE79*3)</f>
        <v>0.33333333333333365</v>
      </c>
      <c r="DF96" s="748">
        <f>(DF98-DF90)/(3*DF79)</f>
        <v>0.33333333333333326</v>
      </c>
      <c r="DG96" s="748">
        <f>(DG98-DG90)/(3*DG79)</f>
        <v>0.33384146341463439</v>
      </c>
      <c r="DH96" s="748">
        <f>(DH98-DH90)/(3*DH79)</f>
        <v>0.33333333333333348</v>
      </c>
      <c r="DI96" s="2617">
        <f>(DI98-DI90)/(3*DI79)</f>
        <v>0.3333333333333332</v>
      </c>
      <c r="DJ96" s="750">
        <f>(DJ98-DJ90)/(DJ79*3)</f>
        <v>0.33345901193522498</v>
      </c>
      <c r="DK96" s="747">
        <f>DF96</f>
        <v>0.33333333333333326</v>
      </c>
      <c r="DL96" s="747">
        <f>DK96</f>
        <v>0.33333333333333326</v>
      </c>
      <c r="DM96" s="747">
        <f>DL96</f>
        <v>0.33333333333333326</v>
      </c>
      <c r="DN96" s="747">
        <f>DM96</f>
        <v>0.33333333333333326</v>
      </c>
      <c r="DO96" s="750">
        <f>(DO98-DO90)/(DO79*3)</f>
        <v>0.33333333333333331</v>
      </c>
      <c r="DP96" s="747">
        <f>DK96</f>
        <v>0.33333333333333326</v>
      </c>
      <c r="DQ96" s="747">
        <f>DP96</f>
        <v>0.33333333333333326</v>
      </c>
      <c r="DR96" s="747">
        <f>DQ96</f>
        <v>0.33333333333333326</v>
      </c>
      <c r="DS96" s="747">
        <f>DR96</f>
        <v>0.33333333333333326</v>
      </c>
      <c r="DT96" s="750">
        <f>(DT98-DT90)/(DT79*3)</f>
        <v>0.33333333333333326</v>
      </c>
      <c r="DU96" s="747">
        <f>DP96</f>
        <v>0.33333333333333326</v>
      </c>
      <c r="DV96" s="747">
        <f>DU96</f>
        <v>0.33333333333333326</v>
      </c>
      <c r="DW96" s="747">
        <f>DV96</f>
        <v>0.33333333333333326</v>
      </c>
      <c r="DX96" s="747">
        <f>DW96</f>
        <v>0.33333333333333326</v>
      </c>
      <c r="DY96" s="750">
        <f>(DY98-DY90)/(DY79*3)</f>
        <v>0.33333333333333348</v>
      </c>
    </row>
    <row r="97" spans="1:129" x14ac:dyDescent="0.2">
      <c r="A97" s="526"/>
      <c r="B97" s="742"/>
      <c r="C97" s="597"/>
      <c r="D97" s="597"/>
      <c r="E97" s="597"/>
      <c r="F97" s="597"/>
      <c r="G97" s="597"/>
      <c r="H97" s="597"/>
      <c r="I97" s="598"/>
      <c r="J97" s="597"/>
      <c r="K97" s="597"/>
      <c r="L97" s="597"/>
      <c r="M97" s="597"/>
      <c r="N97" s="598"/>
      <c r="O97" s="597"/>
      <c r="P97" s="597"/>
      <c r="Q97" s="597"/>
      <c r="R97" s="597"/>
      <c r="S97" s="598"/>
      <c r="T97" s="597"/>
      <c r="U97" s="597"/>
      <c r="V97" s="597"/>
      <c r="W97" s="597"/>
      <c r="X97" s="598"/>
      <c r="Y97" s="597"/>
      <c r="Z97" s="597"/>
      <c r="AA97" s="597"/>
      <c r="AB97" s="597"/>
      <c r="AC97" s="598"/>
      <c r="AD97" s="597"/>
      <c r="AE97" s="597"/>
      <c r="AF97" s="597"/>
      <c r="AG97" s="597"/>
      <c r="AH97" s="598"/>
      <c r="AI97" s="597"/>
      <c r="AJ97" s="597"/>
      <c r="AK97" s="597"/>
      <c r="AL97" s="597"/>
      <c r="AM97" s="598"/>
      <c r="AN97" s="597"/>
      <c r="AO97" s="597"/>
      <c r="AP97" s="597"/>
      <c r="AQ97" s="597"/>
      <c r="AR97" s="598"/>
      <c r="AS97" s="597"/>
      <c r="AT97" s="597"/>
      <c r="AU97" s="597"/>
      <c r="AV97" s="597"/>
      <c r="AW97" s="598"/>
      <c r="AX97" s="597"/>
      <c r="AY97" s="597"/>
      <c r="AZ97" s="597"/>
      <c r="BA97" s="597"/>
      <c r="BB97" s="598"/>
      <c r="BC97" s="597"/>
      <c r="BD97" s="597"/>
      <c r="BE97" s="597"/>
      <c r="BF97" s="597"/>
      <c r="BG97" s="598"/>
      <c r="BH97" s="597"/>
      <c r="BI97" s="597"/>
      <c r="BJ97" s="597"/>
      <c r="BK97" s="597"/>
      <c r="BL97" s="598"/>
      <c r="BM97" s="597"/>
      <c r="BN97" s="597"/>
      <c r="BO97" s="597"/>
      <c r="BP97" s="597"/>
      <c r="BQ97" s="598"/>
      <c r="BR97" s="597"/>
      <c r="BS97" s="597"/>
      <c r="BT97" s="597"/>
      <c r="BU97" s="597"/>
      <c r="BV97" s="752"/>
      <c r="BW97" s="597"/>
      <c r="BX97" s="597"/>
      <c r="BY97" s="597"/>
      <c r="BZ97" s="597"/>
      <c r="CA97" s="752"/>
      <c r="CB97" s="597"/>
      <c r="CC97" s="597"/>
      <c r="CD97" s="597"/>
      <c r="CE97" s="597"/>
      <c r="CF97" s="598"/>
      <c r="CG97" s="682"/>
      <c r="CH97" s="682"/>
      <c r="CI97" s="682"/>
      <c r="CJ97" s="682"/>
      <c r="CK97" s="598"/>
      <c r="CL97" s="682"/>
      <c r="CM97" s="682"/>
      <c r="CN97" s="682"/>
      <c r="CO97" s="682"/>
      <c r="CP97" s="598"/>
      <c r="CQ97" s="682"/>
      <c r="CR97" s="682"/>
      <c r="CS97" s="682"/>
      <c r="CT97" s="682"/>
      <c r="CU97" s="598"/>
      <c r="CV97" s="682"/>
      <c r="CW97" s="682"/>
      <c r="CX97" s="682"/>
      <c r="CY97" s="682"/>
      <c r="CZ97" s="692"/>
      <c r="DA97" s="682"/>
      <c r="DB97" s="682"/>
      <c r="DC97" s="682"/>
      <c r="DD97" s="682"/>
      <c r="DE97" s="692"/>
      <c r="DF97" s="682"/>
      <c r="DG97" s="682"/>
      <c r="DH97" s="682"/>
      <c r="DI97" s="1610"/>
      <c r="DJ97" s="692"/>
      <c r="DK97" s="682"/>
      <c r="DL97" s="682"/>
      <c r="DM97" s="682"/>
      <c r="DN97" s="682"/>
      <c r="DO97" s="692"/>
      <c r="DP97" s="682"/>
      <c r="DQ97" s="682"/>
      <c r="DR97" s="682"/>
      <c r="DS97" s="682"/>
      <c r="DT97" s="692"/>
      <c r="DU97" s="682"/>
      <c r="DV97" s="682"/>
      <c r="DW97" s="682"/>
      <c r="DX97" s="682"/>
      <c r="DY97" s="692"/>
    </row>
    <row r="98" spans="1:129" x14ac:dyDescent="0.2">
      <c r="A98" s="466"/>
      <c r="B98" s="753" t="s">
        <v>521</v>
      </c>
      <c r="C98" s="585"/>
      <c r="D98" s="585"/>
      <c r="E98" s="585"/>
      <c r="F98" s="585"/>
      <c r="G98" s="585"/>
      <c r="H98" s="585"/>
      <c r="I98" s="586"/>
      <c r="J98" s="585"/>
      <c r="K98" s="585"/>
      <c r="L98" s="585"/>
      <c r="M98" s="585"/>
      <c r="N98" s="586"/>
      <c r="O98" s="585"/>
      <c r="P98" s="585"/>
      <c r="Q98" s="585"/>
      <c r="R98" s="585"/>
      <c r="S98" s="586"/>
      <c r="T98" s="585"/>
      <c r="U98" s="585"/>
      <c r="V98" s="585"/>
      <c r="W98" s="585"/>
      <c r="X98" s="586"/>
      <c r="Y98" s="585"/>
      <c r="Z98" s="585"/>
      <c r="AA98" s="585"/>
      <c r="AB98" s="585"/>
      <c r="AC98" s="586"/>
      <c r="AD98" s="585"/>
      <c r="AE98" s="585"/>
      <c r="AF98" s="585"/>
      <c r="AG98" s="585"/>
      <c r="AH98" s="586"/>
      <c r="AI98" s="585"/>
      <c r="AJ98" s="585"/>
      <c r="AK98" s="585"/>
      <c r="AL98" s="585"/>
      <c r="AM98" s="586"/>
      <c r="AN98" s="585"/>
      <c r="AO98" s="585"/>
      <c r="AP98" s="585"/>
      <c r="AQ98" s="585"/>
      <c r="AR98" s="586"/>
      <c r="AS98" s="585"/>
      <c r="AT98" s="585"/>
      <c r="AU98" s="585"/>
      <c r="AV98" s="585"/>
      <c r="AW98" s="586"/>
      <c r="AX98" s="585"/>
      <c r="AY98" s="585"/>
      <c r="AZ98" s="585"/>
      <c r="BA98" s="585"/>
      <c r="BB98" s="586"/>
      <c r="BC98" s="585"/>
      <c r="BD98" s="585"/>
      <c r="BE98" s="592">
        <v>27.489000000000004</v>
      </c>
      <c r="BF98" s="592">
        <v>28.621999999999986</v>
      </c>
      <c r="BG98" s="586"/>
      <c r="BH98" s="592">
        <v>186.3</v>
      </c>
      <c r="BI98" s="592">
        <v>184.9</v>
      </c>
      <c r="BJ98" s="592">
        <v>182.8</v>
      </c>
      <c r="BK98" s="592">
        <v>188.4</v>
      </c>
      <c r="BL98" s="754">
        <v>742.4</v>
      </c>
      <c r="BM98" s="592">
        <v>184.1</v>
      </c>
      <c r="BN98" s="592">
        <v>178.1</v>
      </c>
      <c r="BO98" s="592">
        <v>175.3</v>
      </c>
      <c r="BP98" s="592">
        <v>204.661</v>
      </c>
      <c r="BQ98" s="754">
        <v>742.16100000000006</v>
      </c>
      <c r="BR98" s="592">
        <v>191.97399999999999</v>
      </c>
      <c r="BS98" s="592">
        <v>192.85600000000002</v>
      </c>
      <c r="BT98" s="592">
        <v>192.4</v>
      </c>
      <c r="BU98" s="592">
        <v>198.2</v>
      </c>
      <c r="BV98" s="589">
        <f>SUM(BR98:BU98)</f>
        <v>775.43000000000006</v>
      </c>
      <c r="BW98" s="592">
        <f>BW90+(BW79*3)*BW96</f>
        <v>175.47749999999999</v>
      </c>
      <c r="BX98" s="592">
        <f>BX90+(BX79*3)*BX96</f>
        <v>173.036</v>
      </c>
      <c r="BY98" s="592">
        <f>BY90+(BY79*3)*BY96</f>
        <v>173.88399999999999</v>
      </c>
      <c r="BZ98" s="592">
        <f>BZ90+(BZ79*3)*BZ96</f>
        <v>178.77949999999998</v>
      </c>
      <c r="CA98" s="589">
        <f>SUM(BW98:BZ98)</f>
        <v>701.17700000000002</v>
      </c>
      <c r="CB98" s="592">
        <f>CB90+(CB79*3)*CB96</f>
        <v>207.67999999999998</v>
      </c>
      <c r="CC98" s="592">
        <f>CC90+(CC79*3)*CC96</f>
        <v>224.99999999999997</v>
      </c>
      <c r="CD98" s="587">
        <f>CD90+(CD79*3)*CD96</f>
        <v>229.17999999999998</v>
      </c>
      <c r="CE98" s="592">
        <v>243.85400000000001</v>
      </c>
      <c r="CF98" s="586">
        <f>SUM(CB98:CE98)</f>
        <v>905.71399999999994</v>
      </c>
      <c r="CG98" s="592">
        <v>257</v>
      </c>
      <c r="CH98" s="592">
        <v>256.69299999999998</v>
      </c>
      <c r="CI98" s="592">
        <v>255.4</v>
      </c>
      <c r="CJ98" s="592">
        <v>264</v>
      </c>
      <c r="CK98" s="586">
        <f>SUM(CG98:CJ98)</f>
        <v>1033.0929999999998</v>
      </c>
      <c r="CL98" s="592">
        <v>266</v>
      </c>
      <c r="CM98" s="592">
        <v>265.3</v>
      </c>
      <c r="CN98" s="592">
        <v>261</v>
      </c>
      <c r="CO98" s="592">
        <v>265.10000000000002</v>
      </c>
      <c r="CP98" s="586">
        <f>SUM(CL98:CO98)</f>
        <v>1057.4000000000001</v>
      </c>
      <c r="CQ98" s="592">
        <v>263.89999999999998</v>
      </c>
      <c r="CR98" s="592">
        <v>268.2</v>
      </c>
      <c r="CS98" s="592">
        <v>267.8</v>
      </c>
      <c r="CT98" s="592">
        <v>281.5</v>
      </c>
      <c r="CU98" s="586">
        <f>SUM(CQ98:CT98)</f>
        <v>1081.3999999999999</v>
      </c>
      <c r="CV98" s="592">
        <v>325.39999999999998</v>
      </c>
      <c r="CW98" s="592">
        <v>327.9</v>
      </c>
      <c r="CX98" s="592">
        <v>331.2</v>
      </c>
      <c r="CY98" s="592">
        <v>341.3</v>
      </c>
      <c r="CZ98" s="755">
        <f>SUM(CV98:CY98)</f>
        <v>1325.8</v>
      </c>
      <c r="DA98" s="592">
        <v>401.9</v>
      </c>
      <c r="DB98" s="592">
        <v>403.2</v>
      </c>
      <c r="DC98" s="592">
        <v>408.7</v>
      </c>
      <c r="DD98" s="592">
        <v>425.4</v>
      </c>
      <c r="DE98" s="755">
        <f>SUM(DA98:DD98)</f>
        <v>1639.1999999999998</v>
      </c>
      <c r="DF98" s="592">
        <v>440.5</v>
      </c>
      <c r="DG98" s="592">
        <v>441.6</v>
      </c>
      <c r="DH98" s="2744">
        <v>441.1</v>
      </c>
      <c r="DI98" s="2744">
        <v>458.65939740445504</v>
      </c>
      <c r="DJ98" s="755">
        <f>SUM(DF98:DI98)</f>
        <v>1781.8593974044552</v>
      </c>
      <c r="DK98" s="587">
        <f t="shared" ref="DK98:DS98" si="127">DK79+DK90</f>
        <v>474.46600000000001</v>
      </c>
      <c r="DL98" s="587">
        <f t="shared" si="127"/>
        <v>479.923</v>
      </c>
      <c r="DM98" s="587">
        <f t="shared" si="127"/>
        <v>479.46100000000007</v>
      </c>
      <c r="DN98" s="587">
        <f t="shared" si="127"/>
        <v>498.55820718276698</v>
      </c>
      <c r="DO98" s="755">
        <f>SUM(DK98:DN98)</f>
        <v>1932.408207182767</v>
      </c>
      <c r="DP98" s="587">
        <f t="shared" si="127"/>
        <v>481.24538000000001</v>
      </c>
      <c r="DQ98" s="587">
        <f t="shared" si="127"/>
        <v>486.77088499999991</v>
      </c>
      <c r="DR98" s="587">
        <f t="shared" si="127"/>
        <v>486.29500000000002</v>
      </c>
      <c r="DS98" s="587">
        <f t="shared" si="127"/>
        <v>505.66728691369457</v>
      </c>
      <c r="DT98" s="755">
        <f>SUM(DP98:DS98)</f>
        <v>1959.9785519136947</v>
      </c>
      <c r="DU98" s="587">
        <f t="shared" ref="DU98:DX98" si="128">DU79+DU90</f>
        <v>488.1230746</v>
      </c>
      <c r="DV98" s="587">
        <f t="shared" si="128"/>
        <v>493.71797867499987</v>
      </c>
      <c r="DW98" s="587">
        <f t="shared" si="128"/>
        <v>493.22793084999995</v>
      </c>
      <c r="DX98" s="587">
        <f t="shared" si="128"/>
        <v>512.87930990681798</v>
      </c>
      <c r="DY98" s="755">
        <f>SUM(DU98:DX98)</f>
        <v>1987.9482940318178</v>
      </c>
    </row>
    <row r="99" spans="1:129" x14ac:dyDescent="0.2">
      <c r="A99" s="473"/>
      <c r="B99" s="740" t="s">
        <v>219</v>
      </c>
      <c r="C99" s="469"/>
      <c r="D99" s="469"/>
      <c r="E99" s="469"/>
      <c r="F99" s="469"/>
      <c r="G99" s="469"/>
      <c r="H99" s="469"/>
      <c r="I99" s="580"/>
      <c r="J99" s="469"/>
      <c r="K99" s="469"/>
      <c r="L99" s="469"/>
      <c r="M99" s="469"/>
      <c r="N99" s="580"/>
      <c r="O99" s="469"/>
      <c r="P99" s="469"/>
      <c r="Q99" s="469"/>
      <c r="R99" s="469"/>
      <c r="S99" s="580"/>
      <c r="T99" s="469"/>
      <c r="U99" s="469"/>
      <c r="V99" s="469"/>
      <c r="W99" s="469"/>
      <c r="X99" s="580"/>
      <c r="Y99" s="469"/>
      <c r="Z99" s="469"/>
      <c r="AA99" s="469"/>
      <c r="AB99" s="469"/>
      <c r="AC99" s="580"/>
      <c r="AD99" s="469"/>
      <c r="AE99" s="469"/>
      <c r="AF99" s="469"/>
      <c r="AG99" s="469"/>
      <c r="AH99" s="580"/>
      <c r="AI99" s="469"/>
      <c r="AJ99" s="469"/>
      <c r="AK99" s="469"/>
      <c r="AL99" s="469"/>
      <c r="AM99" s="580"/>
      <c r="AN99" s="469"/>
      <c r="AO99" s="469"/>
      <c r="AP99" s="469"/>
      <c r="AQ99" s="469"/>
      <c r="AR99" s="580"/>
      <c r="AS99" s="469"/>
      <c r="AT99" s="469"/>
      <c r="AU99" s="469"/>
      <c r="AV99" s="469"/>
      <c r="AW99" s="580"/>
      <c r="AX99" s="469"/>
      <c r="AY99" s="469"/>
      <c r="AZ99" s="469"/>
      <c r="BA99" s="469"/>
      <c r="BB99" s="580"/>
      <c r="BC99" s="469"/>
      <c r="BD99" s="469"/>
      <c r="BE99" s="469"/>
      <c r="BF99" s="469"/>
      <c r="BG99" s="580"/>
      <c r="BH99" s="469"/>
      <c r="BI99" s="469"/>
      <c r="BJ99" s="469"/>
      <c r="BK99" s="469"/>
      <c r="BL99" s="580"/>
      <c r="BM99" s="581">
        <f t="shared" ref="BM99:DD99" si="129">BM98/BH98-1</f>
        <v>-1.180891035963505E-2</v>
      </c>
      <c r="BN99" s="581">
        <f t="shared" si="129"/>
        <v>-3.677663601947001E-2</v>
      </c>
      <c r="BO99" s="581">
        <f t="shared" si="129"/>
        <v>-4.1028446389496764E-2</v>
      </c>
      <c r="BP99" s="581">
        <f t="shared" si="129"/>
        <v>8.6311040339702716E-2</v>
      </c>
      <c r="BQ99" s="582">
        <f t="shared" si="129"/>
        <v>-3.2192887931026259E-4</v>
      </c>
      <c r="BR99" s="581">
        <f t="shared" si="129"/>
        <v>4.2770233568712568E-2</v>
      </c>
      <c r="BS99" s="581">
        <f t="shared" si="129"/>
        <v>8.2852330151600428E-2</v>
      </c>
      <c r="BT99" s="581">
        <f t="shared" si="129"/>
        <v>9.7547062179121458E-2</v>
      </c>
      <c r="BU99" s="581">
        <f t="shared" si="129"/>
        <v>-3.1569277976751908E-2</v>
      </c>
      <c r="BV99" s="582">
        <f t="shared" si="129"/>
        <v>4.4827200566992964E-2</v>
      </c>
      <c r="BW99" s="581">
        <f t="shared" si="129"/>
        <v>-8.5930907310364901E-2</v>
      </c>
      <c r="BX99" s="581">
        <f t="shared" si="129"/>
        <v>-0.1027709793835816</v>
      </c>
      <c r="BY99" s="581">
        <f t="shared" si="129"/>
        <v>-9.6237006237006373E-2</v>
      </c>
      <c r="BZ99" s="581">
        <f t="shared" si="129"/>
        <v>-9.7984359233097895E-2</v>
      </c>
      <c r="CA99" s="582">
        <f t="shared" si="129"/>
        <v>-9.5757192783358924E-2</v>
      </c>
      <c r="CB99" s="581">
        <f t="shared" si="129"/>
        <v>0.18351355586898599</v>
      </c>
      <c r="CC99" s="581">
        <f t="shared" si="129"/>
        <v>0.30030745047273388</v>
      </c>
      <c r="CD99" s="468">
        <f t="shared" si="129"/>
        <v>0.31800510685284444</v>
      </c>
      <c r="CE99" s="468">
        <f t="shared" si="129"/>
        <v>0.36399307526869706</v>
      </c>
      <c r="CF99" s="580">
        <f t="shared" si="129"/>
        <v>0.29170523277289462</v>
      </c>
      <c r="CG99" s="468">
        <f t="shared" si="129"/>
        <v>0.23748073959938387</v>
      </c>
      <c r="CH99" s="468">
        <f t="shared" si="129"/>
        <v>0.14085777777777775</v>
      </c>
      <c r="CI99" s="468">
        <f t="shared" si="129"/>
        <v>0.11440788899554954</v>
      </c>
      <c r="CJ99" s="468">
        <f t="shared" si="129"/>
        <v>8.261500734045768E-2</v>
      </c>
      <c r="CK99" s="580">
        <f t="shared" si="129"/>
        <v>0.1406393188136652</v>
      </c>
      <c r="CL99" s="468">
        <f t="shared" si="129"/>
        <v>3.5019455252918386E-2</v>
      </c>
      <c r="CM99" s="468">
        <f t="shared" si="129"/>
        <v>3.3530326109399322E-2</v>
      </c>
      <c r="CN99" s="468">
        <f t="shared" si="129"/>
        <v>2.1926389976507421E-2</v>
      </c>
      <c r="CO99" s="468">
        <f t="shared" si="129"/>
        <v>4.1666666666666519E-3</v>
      </c>
      <c r="CP99" s="580">
        <f t="shared" si="129"/>
        <v>2.3528375470553309E-2</v>
      </c>
      <c r="CQ99" s="468">
        <f t="shared" si="129"/>
        <v>-7.8947368421053987E-3</v>
      </c>
      <c r="CR99" s="468">
        <f t="shared" si="129"/>
        <v>1.0931021485111048E-2</v>
      </c>
      <c r="CS99" s="468">
        <f t="shared" si="129"/>
        <v>2.6053639846743248E-2</v>
      </c>
      <c r="CT99" s="468">
        <f t="shared" si="129"/>
        <v>6.1863447755563739E-2</v>
      </c>
      <c r="CU99" s="580">
        <f t="shared" si="129"/>
        <v>2.2697181766597074E-2</v>
      </c>
      <c r="CV99" s="468">
        <f t="shared" si="129"/>
        <v>0.23304281924971582</v>
      </c>
      <c r="CW99" s="468">
        <f t="shared" si="129"/>
        <v>0.22259507829977632</v>
      </c>
      <c r="CX99" s="468">
        <f t="shared" si="129"/>
        <v>0.23674383868558624</v>
      </c>
      <c r="CY99" s="468">
        <f t="shared" si="129"/>
        <v>0.21243339253996463</v>
      </c>
      <c r="CZ99" s="706">
        <f t="shared" si="129"/>
        <v>0.22600332901793974</v>
      </c>
      <c r="DA99" s="468">
        <f t="shared" si="129"/>
        <v>0.23509526736324515</v>
      </c>
      <c r="DB99" s="468">
        <f t="shared" si="129"/>
        <v>0.22964318389752969</v>
      </c>
      <c r="DC99" s="468">
        <f t="shared" si="129"/>
        <v>0.2339975845410629</v>
      </c>
      <c r="DD99" s="468">
        <f t="shared" si="129"/>
        <v>0.2464107823029591</v>
      </c>
      <c r="DE99" s="706">
        <f t="shared" ref="DE99:DJ99" si="130">DE98/CZ98-1</f>
        <v>0.23638557851863018</v>
      </c>
      <c r="DF99" s="468">
        <f t="shared" si="130"/>
        <v>9.6043791988056793E-2</v>
      </c>
      <c r="DG99" s="468">
        <f t="shared" si="130"/>
        <v>9.5238095238095344E-2</v>
      </c>
      <c r="DH99" s="468">
        <f t="shared" si="130"/>
        <v>7.9275752385612908E-2</v>
      </c>
      <c r="DI99" s="468">
        <f t="shared" si="130"/>
        <v>7.8183820884943689E-2</v>
      </c>
      <c r="DJ99" s="706">
        <f t="shared" si="130"/>
        <v>8.7029891047129881E-2</v>
      </c>
      <c r="DK99" s="468">
        <f t="shared" ref="DK99:DT99" si="131">DK98/DF98-1</f>
        <v>7.7107832009080557E-2</v>
      </c>
      <c r="DL99" s="468">
        <f t="shared" si="131"/>
        <v>8.6782155797101357E-2</v>
      </c>
      <c r="DM99" s="468">
        <f t="shared" si="131"/>
        <v>8.6966674223532214E-2</v>
      </c>
      <c r="DN99" s="468">
        <f t="shared" si="131"/>
        <v>8.699006278754684E-2</v>
      </c>
      <c r="DO99" s="706">
        <f t="shared" si="131"/>
        <v>8.4489724608803884E-2</v>
      </c>
      <c r="DP99" s="468">
        <f t="shared" si="131"/>
        <v>1.4288442164454462E-2</v>
      </c>
      <c r="DQ99" s="468">
        <f t="shared" si="131"/>
        <v>1.4268716023195127E-2</v>
      </c>
      <c r="DR99" s="468">
        <f t="shared" si="131"/>
        <v>1.4253505498883046E-2</v>
      </c>
      <c r="DS99" s="468">
        <f t="shared" si="131"/>
        <v>1.4259277309061513E-2</v>
      </c>
      <c r="DT99" s="706">
        <f t="shared" si="131"/>
        <v>1.4267350256766953E-2</v>
      </c>
      <c r="DU99" s="468">
        <f t="shared" ref="DU99" si="132">DU98/DP98-1</f>
        <v>1.4291450652471616E-2</v>
      </c>
      <c r="DV99" s="468">
        <f t="shared" ref="DV99" si="133">DV98/DQ98-1</f>
        <v>1.4271793751592154E-2</v>
      </c>
      <c r="DW99" s="468">
        <f t="shared" ref="DW99" si="134">DW98/DR98-1</f>
        <v>1.4256636095373976E-2</v>
      </c>
      <c r="DX99" s="468">
        <f t="shared" ref="DX99" si="135">DX98/DS98-1</f>
        <v>1.4262387897665763E-2</v>
      </c>
      <c r="DY99" s="706">
        <f t="shared" ref="DY99" si="136">DY98/DT98-1</f>
        <v>1.4270432750814521E-2</v>
      </c>
    </row>
    <row r="100" spans="1:129" ht="5.25" customHeight="1" x14ac:dyDescent="0.2">
      <c r="A100" s="526"/>
      <c r="B100" s="756"/>
      <c r="C100" s="597"/>
      <c r="D100" s="597"/>
      <c r="E100" s="597"/>
      <c r="F100" s="597"/>
      <c r="G100" s="597"/>
      <c r="H100" s="597"/>
      <c r="I100" s="598"/>
      <c r="J100" s="597"/>
      <c r="K100" s="597"/>
      <c r="L100" s="597"/>
      <c r="M100" s="597"/>
      <c r="N100" s="598"/>
      <c r="O100" s="597"/>
      <c r="P100" s="597"/>
      <c r="Q100" s="597"/>
      <c r="R100" s="597"/>
      <c r="S100" s="598"/>
      <c r="T100" s="597"/>
      <c r="U100" s="597"/>
      <c r="V100" s="597"/>
      <c r="W100" s="597"/>
      <c r="X100" s="598"/>
      <c r="Y100" s="597"/>
      <c r="Z100" s="597"/>
      <c r="AA100" s="597"/>
      <c r="AB100" s="597"/>
      <c r="AC100" s="598"/>
      <c r="AD100" s="597"/>
      <c r="AE100" s="597"/>
      <c r="AF100" s="597"/>
      <c r="AG100" s="597"/>
      <c r="AH100" s="598"/>
      <c r="AI100" s="597"/>
      <c r="AJ100" s="597"/>
      <c r="AK100" s="597"/>
      <c r="AL100" s="597"/>
      <c r="AM100" s="598"/>
      <c r="AN100" s="597"/>
      <c r="AO100" s="597"/>
      <c r="AP100" s="597"/>
      <c r="AQ100" s="597"/>
      <c r="AR100" s="598"/>
      <c r="AS100" s="597"/>
      <c r="AT100" s="597"/>
      <c r="AU100" s="597"/>
      <c r="AV100" s="597"/>
      <c r="AW100" s="598"/>
      <c r="AX100" s="597"/>
      <c r="AY100" s="597"/>
      <c r="AZ100" s="597"/>
      <c r="BA100" s="597"/>
      <c r="BB100" s="598"/>
      <c r="BC100" s="597"/>
      <c r="BD100" s="597"/>
      <c r="BE100" s="597"/>
      <c r="BF100" s="597"/>
      <c r="BG100" s="598"/>
      <c r="BH100" s="597"/>
      <c r="BI100" s="597"/>
      <c r="BJ100" s="597"/>
      <c r="BK100" s="597"/>
      <c r="BL100" s="598"/>
      <c r="BM100" s="597"/>
      <c r="BN100" s="597"/>
      <c r="BO100" s="597"/>
      <c r="BP100" s="597"/>
      <c r="BQ100" s="598"/>
      <c r="BR100" s="751"/>
      <c r="BS100" s="597"/>
      <c r="BT100" s="597"/>
      <c r="BU100" s="597"/>
      <c r="BV100" s="598"/>
      <c r="BW100" s="597"/>
      <c r="BX100" s="597"/>
      <c r="BY100" s="597"/>
      <c r="BZ100" s="597"/>
      <c r="CA100" s="598"/>
      <c r="CB100" s="597"/>
      <c r="CC100" s="597"/>
      <c r="CD100" s="597"/>
      <c r="CE100" s="597"/>
      <c r="CF100" s="598"/>
      <c r="CG100" s="597"/>
      <c r="CH100" s="597"/>
      <c r="CI100" s="597"/>
      <c r="CJ100" s="597"/>
      <c r="CK100" s="598"/>
      <c r="CL100" s="597"/>
      <c r="CM100" s="597"/>
      <c r="CN100" s="597"/>
      <c r="CO100" s="597"/>
      <c r="CP100" s="598"/>
      <c r="CQ100" s="597"/>
      <c r="CR100" s="597"/>
      <c r="CS100" s="597"/>
      <c r="CT100" s="597"/>
      <c r="CU100" s="598"/>
      <c r="CV100" s="597"/>
      <c r="CW100" s="597"/>
      <c r="CX100" s="597"/>
      <c r="CY100" s="597"/>
      <c r="CZ100" s="692"/>
      <c r="DA100" s="597"/>
      <c r="DB100" s="597"/>
      <c r="DC100" s="597"/>
      <c r="DD100" s="597"/>
      <c r="DE100" s="692"/>
      <c r="DF100" s="597"/>
      <c r="DG100" s="597"/>
      <c r="DH100" s="597"/>
      <c r="DI100" s="2800"/>
      <c r="DJ100" s="692"/>
      <c r="DK100" s="597"/>
      <c r="DL100" s="597"/>
      <c r="DM100" s="597"/>
      <c r="DN100" s="597"/>
      <c r="DO100" s="692"/>
      <c r="DP100" s="597"/>
      <c r="DQ100" s="597"/>
      <c r="DR100" s="597"/>
      <c r="DS100" s="597"/>
      <c r="DT100" s="692"/>
      <c r="DU100" s="597"/>
      <c r="DV100" s="597"/>
      <c r="DW100" s="597"/>
      <c r="DX100" s="597"/>
      <c r="DY100" s="692"/>
    </row>
    <row r="101" spans="1:129" ht="12" thickBot="1" x14ac:dyDescent="0.25">
      <c r="A101" s="526"/>
      <c r="B101" s="757" t="s">
        <v>755</v>
      </c>
      <c r="C101" s="758"/>
      <c r="D101" s="758"/>
      <c r="E101" s="758"/>
      <c r="F101" s="758"/>
      <c r="G101" s="758"/>
      <c r="H101" s="758"/>
      <c r="I101" s="759"/>
      <c r="J101" s="758"/>
      <c r="K101" s="758"/>
      <c r="L101" s="758"/>
      <c r="M101" s="758"/>
      <c r="N101" s="759"/>
      <c r="O101" s="760"/>
      <c r="P101" s="760"/>
      <c r="Q101" s="760"/>
      <c r="R101" s="760"/>
      <c r="S101" s="759"/>
      <c r="T101" s="760"/>
      <c r="U101" s="760"/>
      <c r="V101" s="760"/>
      <c r="W101" s="760"/>
      <c r="X101" s="759"/>
      <c r="Y101" s="760"/>
      <c r="Z101" s="760"/>
      <c r="AA101" s="760"/>
      <c r="AB101" s="760"/>
      <c r="AC101" s="759"/>
      <c r="AD101" s="760"/>
      <c r="AE101" s="760"/>
      <c r="AF101" s="760"/>
      <c r="AG101" s="760"/>
      <c r="AH101" s="759"/>
      <c r="AI101" s="760"/>
      <c r="AJ101" s="760"/>
      <c r="AK101" s="760"/>
      <c r="AL101" s="760"/>
      <c r="AM101" s="759"/>
      <c r="AN101" s="760"/>
      <c r="AO101" s="760"/>
      <c r="AP101" s="760"/>
      <c r="AQ101" s="760"/>
      <c r="AR101" s="759"/>
      <c r="AS101" s="760"/>
      <c r="AT101" s="760"/>
      <c r="AU101" s="760"/>
      <c r="AV101" s="760"/>
      <c r="AW101" s="759"/>
      <c r="AX101" s="760"/>
      <c r="AY101" s="760"/>
      <c r="AZ101" s="760"/>
      <c r="BA101" s="760"/>
      <c r="BB101" s="759"/>
      <c r="BC101" s="760"/>
      <c r="BD101" s="760"/>
      <c r="BE101" s="760"/>
      <c r="BF101" s="760"/>
      <c r="BG101" s="759"/>
      <c r="BH101" s="761">
        <f>(BH79*3)*BH96/BH98</f>
        <v>0.28180354267310787</v>
      </c>
      <c r="BI101" s="761">
        <f>(BI79*3)*BI96/BI98</f>
        <v>0.28231476473769612</v>
      </c>
      <c r="BJ101" s="761">
        <f>(BJ79*3)*BJ96/BJ98</f>
        <v>0.28391684901531727</v>
      </c>
      <c r="BK101" s="761">
        <f>(BK79*3)*BK96/BK98</f>
        <v>0.27919320594479824</v>
      </c>
      <c r="BL101" s="762">
        <f>(BL79*3)*(BL96/BL98)</f>
        <v>0.28178879310344818</v>
      </c>
      <c r="BM101" s="761">
        <f>(BM79*3)*BM96/BM98</f>
        <v>0.23139598044541007</v>
      </c>
      <c r="BN101" s="761">
        <f>(BN79*3)*BN96/BN98</f>
        <v>0.2346996069623806</v>
      </c>
      <c r="BO101" s="761">
        <f>(BO79*3)*BO96/BO98</f>
        <v>0.23331431831146607</v>
      </c>
      <c r="BP101" s="761">
        <f>(BP79*3)*BP96/BP98</f>
        <v>0.216753558323276</v>
      </c>
      <c r="BQ101" s="762">
        <f>(BQ79*3)*(BQ96/BQ98)</f>
        <v>0.22860403605147678</v>
      </c>
      <c r="BR101" s="761">
        <f>(BR79*3)*BR96/BR98</f>
        <v>0.2306249804661048</v>
      </c>
      <c r="BS101" s="761">
        <f>(BS79*3)*BS96/BS98</f>
        <v>0.23103248019247524</v>
      </c>
      <c r="BT101" s="761">
        <f>(BT79*3)*BT96/BT98</f>
        <v>0.23856548856548859</v>
      </c>
      <c r="BU101" s="761">
        <f>(BU79*3)*BU96/BU98</f>
        <v>0.23634460141271443</v>
      </c>
      <c r="BV101" s="762">
        <f>(BV79*3)*(BV96/BV98)</f>
        <v>0.23410236900816317</v>
      </c>
      <c r="BW101" s="761">
        <f>(BW79*3)*BW96/BW98</f>
        <v>0.24776680771039022</v>
      </c>
      <c r="BX101" s="761">
        <f>(BX79*3)*BX96/BX98</f>
        <v>0.25853579601932547</v>
      </c>
      <c r="BY101" s="761">
        <f>(BY79*3)*BY96/BY98</f>
        <v>0.26272687538818978</v>
      </c>
      <c r="BZ101" s="761">
        <f>(BZ79*3)*BZ96/BZ98</f>
        <v>0.26054161690797883</v>
      </c>
      <c r="CA101" s="762">
        <f>(CA79*3)*(CA96/CA98)</f>
        <v>0.25739150029165242</v>
      </c>
      <c r="CB101" s="761">
        <f>(CB79*3)*CB96/CB98</f>
        <v>0.24065870570107858</v>
      </c>
      <c r="CC101" s="761">
        <f>(CC79*3)*CC96/CC98</f>
        <v>0.2266666666666666</v>
      </c>
      <c r="CD101" s="761">
        <f>(CD79*3)*CD96/CD98</f>
        <v>0.2180818570555895</v>
      </c>
      <c r="CE101" s="760">
        <f>(CE79*3)*CE96/CE98</f>
        <v>0.20838698565535116</v>
      </c>
      <c r="CF101" s="763">
        <f>(CF79*3)*(CF96/CF98)</f>
        <v>0.22278114283316802</v>
      </c>
      <c r="CG101" s="760">
        <f>(CG79*3)*CG96/CG98</f>
        <v>0.22762645914396887</v>
      </c>
      <c r="CH101" s="760">
        <f>(CH79*3)*CH96/CH98</f>
        <v>0.22936737659382991</v>
      </c>
      <c r="CI101" s="760">
        <f>(CI79*3)*CI96/CI98</f>
        <v>0.22866092404072044</v>
      </c>
      <c r="CJ101" s="760">
        <f>(CJ79*3)*CJ96/CJ98</f>
        <v>0.22159090909090909</v>
      </c>
      <c r="CK101" s="763">
        <f>(CK79*3)*(CK96/CK98)</f>
        <v>0.22677242029517175</v>
      </c>
      <c r="CL101" s="760">
        <f>(CL79*3)*CL96/CL98</f>
        <v>0.22142857142857145</v>
      </c>
      <c r="CM101" s="760">
        <f>(CM79*3)*CM96/CM98</f>
        <v>0.22389747455710518</v>
      </c>
      <c r="CN101" s="760">
        <f>(CN79*3)*CN96/CN98</f>
        <v>0.23026819923371644</v>
      </c>
      <c r="CO101" s="760">
        <f>(CO79*3)*CO96/CO98</f>
        <v>0.22708411920030183</v>
      </c>
      <c r="CP101" s="763">
        <f>(CP79*3)*(CP96/CP98)</f>
        <v>0.22564781539625509</v>
      </c>
      <c r="CQ101" s="760">
        <f>(CQ79*3)*CQ96/CQ98</f>
        <v>0.2118226600985221</v>
      </c>
      <c r="CR101" s="760">
        <f>(CR79*3)*CR96/CR98</f>
        <v>0.21551081282624901</v>
      </c>
      <c r="CS101" s="760">
        <f>(CS79*3)*CS96/CS98</f>
        <v>0.21732636295743096</v>
      </c>
      <c r="CT101" s="760">
        <f>(CT79*3)*CT96/CT98</f>
        <v>0.21278863232682063</v>
      </c>
      <c r="CU101" s="763">
        <f>(CU79*3)*(CU96/CU98)</f>
        <v>0.21435176622896235</v>
      </c>
      <c r="CV101" s="760">
        <f>(CV79*3)*CV96/CV98</f>
        <v>0.17609096496619533</v>
      </c>
      <c r="CW101" s="760">
        <f>(CW79*3)*CW96/CW98</f>
        <v>0.18298261665141813</v>
      </c>
      <c r="CX101" s="760">
        <f>(CX79*3)*CX96/CX98</f>
        <v>0.18568840579710147</v>
      </c>
      <c r="CY101" s="760">
        <f>(CY79*3)*CY96/CY98</f>
        <v>0.18253735716378555</v>
      </c>
      <c r="CZ101" s="764">
        <f>(CZ79*3)*(CZ96/CZ98)</f>
        <v>0.18185246643535971</v>
      </c>
      <c r="DA101" s="760">
        <f>(DA79*3)*DA96/DA98</f>
        <v>0.1517790495148047</v>
      </c>
      <c r="DB101" s="760">
        <f>(DB79*3)*DB96/DB98</f>
        <v>0.15451388888888892</v>
      </c>
      <c r="DC101" s="760">
        <f>(DC79*3)*DC96/DC98</f>
        <v>0.15414729630535845</v>
      </c>
      <c r="DD101" s="760">
        <f>(DD79*3)*DD96/DD98</f>
        <v>0.15326751292900798</v>
      </c>
      <c r="DE101" s="764">
        <f>(DE79*3)*(DE96/DE98)</f>
        <v>0.15342850170815048</v>
      </c>
      <c r="DF101" s="760">
        <f>(DF79*3)*DF96/DF98</f>
        <v>0.14460839954597049</v>
      </c>
      <c r="DG101" s="760">
        <f>(DG79*3)*DG96/DG98</f>
        <v>0.14877717391304357</v>
      </c>
      <c r="DH101" s="760">
        <f>(DH79*3)*DH96/DH98</f>
        <v>0.15166628882339611</v>
      </c>
      <c r="DI101" s="2810">
        <f>(DI79*3)*DI96/DI98</f>
        <v>0.15049686062266779</v>
      </c>
      <c r="DJ101" s="764">
        <f>(DJ79*3)*(DJ96/DJ98)</f>
        <v>0.14890445328679883</v>
      </c>
      <c r="DK101" s="760">
        <f>(DK79*3)*DK96/DK98</f>
        <v>0.14231156710912898</v>
      </c>
      <c r="DL101" s="760">
        <f>(DL79*3)*DL96/DL98</f>
        <v>0.14625679536092243</v>
      </c>
      <c r="DM101" s="760">
        <f>(DM79*3)*DM96/DM98</f>
        <v>0.1492989002233758</v>
      </c>
      <c r="DN101" s="760">
        <f>(DN79*3)*DN96/DN98</f>
        <v>0.14814453818767645</v>
      </c>
      <c r="DO101" s="764">
        <f>(DO79*3)*(DO96/DO98)</f>
        <v>0.14652994864660399</v>
      </c>
      <c r="DP101" s="760">
        <f>(DP79*3)*DP96/DP98</f>
        <v>0.14170986950565631</v>
      </c>
      <c r="DQ101" s="760">
        <f>(DQ79*3)*DQ96/DQ98</f>
        <v>0.1456412496815622</v>
      </c>
      <c r="DR101" s="760">
        <f>(DR79*3)*DR96/DR98</f>
        <v>0.14867278092515859</v>
      </c>
      <c r="DS101" s="760">
        <f>(DS79*3)*DS96/DS98</f>
        <v>0.14752242046681296</v>
      </c>
      <c r="DT101" s="764">
        <f>(DT79*3)*(DT96/DT98)</f>
        <v>0.14591344983707133</v>
      </c>
      <c r="DU101" s="760">
        <f>(DU79*3)*DU96/DU98</f>
        <v>0.14111029734958569</v>
      </c>
      <c r="DV101" s="760">
        <f>(DV79*3)*DV96/DV98</f>
        <v>0.14502785455000425</v>
      </c>
      <c r="DW101" s="760">
        <f>(DW79*3)*DW96/DW98</f>
        <v>0.14804883043455891</v>
      </c>
      <c r="DX101" s="760">
        <f>(DX79*3)*DX96/DX98</f>
        <v>0.14690246473628896</v>
      </c>
      <c r="DY101" s="764">
        <f>(DY79*3)*(DY96/DY98)</f>
        <v>0.14529910325370646</v>
      </c>
    </row>
    <row r="102" spans="1:129" outlineLevel="1" x14ac:dyDescent="0.2">
      <c r="A102" s="473"/>
      <c r="B102" s="765" t="s">
        <v>756</v>
      </c>
      <c r="C102" s="469"/>
      <c r="D102" s="469"/>
      <c r="E102" s="469"/>
      <c r="F102" s="469"/>
      <c r="G102" s="469"/>
      <c r="H102" s="469"/>
      <c r="I102" s="580"/>
      <c r="J102" s="469"/>
      <c r="K102" s="469"/>
      <c r="L102" s="469"/>
      <c r="M102" s="469"/>
      <c r="N102" s="580"/>
      <c r="O102" s="469"/>
      <c r="P102" s="469"/>
      <c r="Q102" s="469"/>
      <c r="R102" s="469"/>
      <c r="S102" s="580"/>
      <c r="T102" s="469"/>
      <c r="U102" s="469"/>
      <c r="V102" s="469"/>
      <c r="W102" s="469"/>
      <c r="X102" s="580"/>
      <c r="Y102" s="469"/>
      <c r="Z102" s="469"/>
      <c r="AA102" s="469"/>
      <c r="AB102" s="469"/>
      <c r="AC102" s="580"/>
      <c r="AD102" s="469"/>
      <c r="AE102" s="469"/>
      <c r="AF102" s="469"/>
      <c r="AG102" s="469"/>
      <c r="AH102" s="580"/>
      <c r="AI102" s="469"/>
      <c r="AJ102" s="469"/>
      <c r="AK102" s="469"/>
      <c r="AL102" s="469"/>
      <c r="AM102" s="580"/>
      <c r="AN102" s="469"/>
      <c r="AO102" s="469"/>
      <c r="AP102" s="469"/>
      <c r="AQ102" s="469"/>
      <c r="AR102" s="580"/>
      <c r="AS102" s="469"/>
      <c r="AT102" s="469"/>
      <c r="AU102" s="469"/>
      <c r="AV102" s="469"/>
      <c r="AW102" s="580"/>
      <c r="AX102" s="469"/>
      <c r="AY102" s="469"/>
      <c r="AZ102" s="469"/>
      <c r="BA102" s="469"/>
      <c r="BB102" s="580"/>
      <c r="BC102" s="469"/>
      <c r="BD102" s="469"/>
      <c r="BE102" s="469"/>
      <c r="BF102" s="469"/>
      <c r="BG102" s="580"/>
      <c r="BH102" s="469"/>
      <c r="BI102" s="469"/>
      <c r="BJ102" s="469"/>
      <c r="BK102" s="469"/>
      <c r="BL102" s="580"/>
      <c r="BM102" s="469"/>
      <c r="BN102" s="469"/>
      <c r="BO102" s="469"/>
      <c r="BP102" s="469"/>
      <c r="BQ102" s="580"/>
      <c r="BR102" s="601">
        <v>-5.0000000000000001E-3</v>
      </c>
      <c r="BS102" s="601">
        <v>-8.9999999999999993E-3</v>
      </c>
      <c r="BT102" s="469"/>
      <c r="BU102" s="469"/>
      <c r="BV102" s="582">
        <f>BV101-BQ101</f>
        <v>5.4983329566863914E-3</v>
      </c>
      <c r="BW102" s="469"/>
      <c r="BX102" s="469"/>
      <c r="BY102" s="469"/>
      <c r="BZ102" s="469"/>
      <c r="CA102" s="580"/>
      <c r="CB102" s="469"/>
      <c r="CC102" s="469"/>
      <c r="CD102" s="469"/>
      <c r="CE102" s="469"/>
      <c r="CF102" s="580"/>
      <c r="CG102" s="724"/>
      <c r="CH102" s="724"/>
      <c r="CI102" s="724"/>
      <c r="CJ102" s="724"/>
      <c r="CK102" s="580"/>
      <c r="CL102" s="724"/>
      <c r="CM102" s="724"/>
      <c r="CN102" s="724"/>
      <c r="CO102" s="724"/>
      <c r="CP102" s="580"/>
      <c r="CQ102" s="724"/>
      <c r="CR102" s="724"/>
      <c r="CS102" s="724"/>
      <c r="CT102" s="724"/>
      <c r="CU102" s="580"/>
      <c r="CV102" s="724"/>
      <c r="CW102" s="724"/>
      <c r="CX102" s="724"/>
      <c r="CY102" s="724"/>
      <c r="CZ102" s="766"/>
      <c r="DA102" s="724"/>
      <c r="DB102" s="724"/>
      <c r="DC102" s="724"/>
      <c r="DD102" s="724"/>
      <c r="DE102" s="766"/>
      <c r="DF102" s="724"/>
      <c r="DG102" s="724"/>
      <c r="DH102" s="724"/>
      <c r="DI102" s="724"/>
      <c r="DJ102" s="766"/>
      <c r="DK102" s="724">
        <f>DK98/DF98-1</f>
        <v>7.7107832009080557E-2</v>
      </c>
      <c r="DL102" s="724"/>
      <c r="DM102" s="724"/>
      <c r="DN102" s="724"/>
      <c r="DO102" s="766"/>
      <c r="DP102" s="724"/>
      <c r="DQ102" s="724"/>
      <c r="DR102" s="724"/>
      <c r="DS102" s="724"/>
      <c r="DT102" s="766"/>
      <c r="DU102" s="724"/>
      <c r="DV102" s="724"/>
      <c r="DW102" s="724"/>
      <c r="DX102" s="724"/>
      <c r="DY102" s="766"/>
    </row>
    <row r="103" spans="1:129" outlineLevel="1" x14ac:dyDescent="0.2">
      <c r="A103" s="473"/>
      <c r="B103" s="765" t="s">
        <v>757</v>
      </c>
      <c r="C103" s="469"/>
      <c r="D103" s="469"/>
      <c r="E103" s="469"/>
      <c r="F103" s="469"/>
      <c r="G103" s="469"/>
      <c r="H103" s="469"/>
      <c r="I103" s="580"/>
      <c r="J103" s="469"/>
      <c r="K103" s="469"/>
      <c r="L103" s="469"/>
      <c r="M103" s="469"/>
      <c r="N103" s="580"/>
      <c r="O103" s="469"/>
      <c r="P103" s="469"/>
      <c r="Q103" s="469"/>
      <c r="R103" s="469"/>
      <c r="S103" s="580"/>
      <c r="T103" s="469"/>
      <c r="U103" s="469"/>
      <c r="V103" s="469"/>
      <c r="W103" s="469"/>
      <c r="X103" s="580"/>
      <c r="Y103" s="469"/>
      <c r="Z103" s="469"/>
      <c r="AA103" s="469"/>
      <c r="AB103" s="469"/>
      <c r="AC103" s="580"/>
      <c r="AD103" s="469"/>
      <c r="AE103" s="469"/>
      <c r="AF103" s="469"/>
      <c r="AG103" s="469"/>
      <c r="AH103" s="580"/>
      <c r="AI103" s="469"/>
      <c r="AJ103" s="469"/>
      <c r="AK103" s="469"/>
      <c r="AL103" s="469"/>
      <c r="AM103" s="580"/>
      <c r="AN103" s="469"/>
      <c r="AO103" s="469"/>
      <c r="AP103" s="469"/>
      <c r="AQ103" s="469"/>
      <c r="AR103" s="580"/>
      <c r="AS103" s="469"/>
      <c r="AT103" s="469"/>
      <c r="AU103" s="469"/>
      <c r="AV103" s="469"/>
      <c r="AW103" s="580"/>
      <c r="AX103" s="469"/>
      <c r="AY103" s="469"/>
      <c r="AZ103" s="469"/>
      <c r="BA103" s="469"/>
      <c r="BB103" s="580"/>
      <c r="BC103" s="469"/>
      <c r="BD103" s="469"/>
      <c r="BE103" s="469"/>
      <c r="BF103" s="469"/>
      <c r="BG103" s="580"/>
      <c r="BH103" s="469"/>
      <c r="BI103" s="469"/>
      <c r="BJ103" s="469"/>
      <c r="BK103" s="469"/>
      <c r="BL103" s="580"/>
      <c r="BM103" s="469"/>
      <c r="BN103" s="469"/>
      <c r="BO103" s="469"/>
      <c r="BP103" s="469"/>
      <c r="BQ103" s="580"/>
      <c r="BR103" s="601">
        <v>-2.1999999999999999E-2</v>
      </c>
      <c r="BS103" s="601">
        <v>-2.2499999999999999E-2</v>
      </c>
      <c r="BT103" s="601">
        <v>-2.4E-2</v>
      </c>
      <c r="BU103" s="468"/>
      <c r="BV103" s="580"/>
      <c r="BW103" s="469"/>
      <c r="BX103" s="469"/>
      <c r="BY103" s="469"/>
      <c r="BZ103" s="469"/>
      <c r="CA103" s="580"/>
      <c r="CB103" s="469"/>
      <c r="CC103" s="469"/>
      <c r="CD103" s="469"/>
      <c r="CE103" s="469"/>
      <c r="CF103" s="580"/>
      <c r="CG103" s="724"/>
      <c r="CH103" s="724"/>
      <c r="CI103" s="724"/>
      <c r="CJ103" s="724"/>
      <c r="CK103" s="580"/>
      <c r="CL103" s="724"/>
      <c r="CM103" s="724"/>
      <c r="CN103" s="724"/>
      <c r="CO103" s="724"/>
      <c r="CP103" s="580"/>
      <c r="CQ103" s="724"/>
      <c r="CR103" s="724"/>
      <c r="CS103" s="724"/>
      <c r="CT103" s="724"/>
      <c r="CU103" s="580"/>
      <c r="CV103" s="724"/>
      <c r="CW103" s="724"/>
      <c r="CX103" s="724"/>
      <c r="CY103" s="724"/>
      <c r="CZ103" s="766"/>
      <c r="DA103" s="724"/>
      <c r="DB103" s="724"/>
      <c r="DC103" s="724"/>
      <c r="DD103" s="724"/>
      <c r="DE103" s="766"/>
      <c r="DF103" s="2703"/>
      <c r="DG103" s="724"/>
      <c r="DH103" s="724"/>
      <c r="DI103" s="724"/>
      <c r="DJ103" s="766"/>
      <c r="DK103" s="724"/>
      <c r="DL103" s="724"/>
      <c r="DM103" s="724"/>
      <c r="DN103" s="724"/>
      <c r="DO103" s="766"/>
      <c r="DP103" s="724"/>
      <c r="DQ103" s="724"/>
      <c r="DR103" s="724"/>
      <c r="DS103" s="724"/>
      <c r="DT103" s="766"/>
      <c r="DU103" s="724"/>
      <c r="DV103" s="724"/>
      <c r="DW103" s="724"/>
      <c r="DX103" s="724"/>
      <c r="DY103" s="766"/>
    </row>
    <row r="104" spans="1:129" ht="12" outlineLevel="1" thickBot="1" x14ac:dyDescent="0.25">
      <c r="A104" s="526"/>
      <c r="B104" s="757"/>
      <c r="C104" s="758"/>
      <c r="D104" s="758"/>
      <c r="E104" s="758"/>
      <c r="F104" s="758"/>
      <c r="G104" s="758"/>
      <c r="H104" s="758"/>
      <c r="I104" s="759"/>
      <c r="J104" s="758"/>
      <c r="K104" s="758"/>
      <c r="L104" s="758"/>
      <c r="M104" s="758"/>
      <c r="N104" s="759"/>
      <c r="O104" s="758"/>
      <c r="P104" s="758"/>
      <c r="Q104" s="758"/>
      <c r="R104" s="758"/>
      <c r="S104" s="759"/>
      <c r="T104" s="758"/>
      <c r="U104" s="758"/>
      <c r="V104" s="758"/>
      <c r="W104" s="758"/>
      <c r="X104" s="759"/>
      <c r="Y104" s="758"/>
      <c r="Z104" s="758"/>
      <c r="AA104" s="758"/>
      <c r="AB104" s="758"/>
      <c r="AC104" s="759"/>
      <c r="AD104" s="758"/>
      <c r="AE104" s="758"/>
      <c r="AF104" s="758"/>
      <c r="AG104" s="758"/>
      <c r="AH104" s="759"/>
      <c r="AI104" s="758"/>
      <c r="AJ104" s="758"/>
      <c r="AK104" s="758"/>
      <c r="AL104" s="758"/>
      <c r="AM104" s="759"/>
      <c r="AN104" s="758"/>
      <c r="AO104" s="758"/>
      <c r="AP104" s="758"/>
      <c r="AQ104" s="758"/>
      <c r="AR104" s="759"/>
      <c r="AS104" s="758"/>
      <c r="AT104" s="758"/>
      <c r="AU104" s="758"/>
      <c r="AV104" s="758"/>
      <c r="AW104" s="759"/>
      <c r="AX104" s="758"/>
      <c r="AY104" s="758"/>
      <c r="AZ104" s="758"/>
      <c r="BA104" s="758"/>
      <c r="BB104" s="759"/>
      <c r="BC104" s="758"/>
      <c r="BD104" s="758"/>
      <c r="BE104" s="758"/>
      <c r="BF104" s="758"/>
      <c r="BG104" s="759"/>
      <c r="BH104" s="758"/>
      <c r="BI104" s="758"/>
      <c r="BJ104" s="758"/>
      <c r="BK104" s="758"/>
      <c r="BL104" s="759"/>
      <c r="BM104" s="758"/>
      <c r="BN104" s="758"/>
      <c r="BO104" s="758"/>
      <c r="BP104" s="758"/>
      <c r="BQ104" s="759"/>
      <c r="BR104" s="758"/>
      <c r="BS104" s="758"/>
      <c r="BT104" s="758"/>
      <c r="BU104" s="758"/>
      <c r="BV104" s="759"/>
      <c r="BW104" s="758"/>
      <c r="BX104" s="758"/>
      <c r="BY104" s="758"/>
      <c r="BZ104" s="758"/>
      <c r="CA104" s="759"/>
      <c r="CB104" s="758"/>
      <c r="CC104" s="758"/>
      <c r="CD104" s="758"/>
      <c r="CE104" s="758"/>
      <c r="CF104" s="759"/>
      <c r="CG104" s="767"/>
      <c r="CH104" s="767"/>
      <c r="CI104" s="767"/>
      <c r="CJ104" s="767"/>
      <c r="CK104" s="759"/>
      <c r="CL104" s="767"/>
      <c r="CM104" s="767"/>
      <c r="CN104" s="767"/>
      <c r="CO104" s="767"/>
      <c r="CP104" s="759"/>
      <c r="CQ104" s="767"/>
      <c r="CR104" s="767"/>
      <c r="CS104" s="767"/>
      <c r="CT104" s="767"/>
      <c r="CU104" s="759"/>
      <c r="CV104" s="767"/>
      <c r="CW104" s="767"/>
      <c r="CX104" s="767"/>
      <c r="CY104" s="767"/>
      <c r="CZ104" s="768"/>
      <c r="DA104" s="767"/>
      <c r="DB104" s="767"/>
      <c r="DC104" s="767"/>
      <c r="DD104" s="767"/>
      <c r="DE104" s="768"/>
      <c r="DF104" s="996"/>
      <c r="DG104" s="767"/>
      <c r="DH104" s="767"/>
      <c r="DI104" s="2811"/>
      <c r="DJ104" s="768"/>
      <c r="DK104" s="767"/>
      <c r="DL104" s="767"/>
      <c r="DM104" s="767"/>
      <c r="DN104" s="767"/>
      <c r="DO104" s="768"/>
      <c r="DP104" s="767"/>
      <c r="DQ104" s="767"/>
      <c r="DR104" s="767"/>
      <c r="DS104" s="767"/>
      <c r="DT104" s="768"/>
      <c r="DU104" s="767"/>
      <c r="DV104" s="767"/>
      <c r="DW104" s="767"/>
      <c r="DX104" s="767"/>
      <c r="DY104" s="768"/>
    </row>
    <row r="105" spans="1:129" x14ac:dyDescent="0.2">
      <c r="A105" s="526"/>
      <c r="B105" s="526"/>
      <c r="C105" s="526"/>
      <c r="D105" s="526"/>
      <c r="E105" s="526"/>
      <c r="F105" s="526"/>
      <c r="G105" s="526"/>
      <c r="H105" s="526"/>
      <c r="I105" s="526"/>
      <c r="J105" s="526"/>
      <c r="K105" s="526"/>
      <c r="L105" s="526"/>
      <c r="M105" s="526"/>
      <c r="N105" s="526"/>
      <c r="O105" s="526"/>
      <c r="P105" s="526"/>
      <c r="Q105" s="526"/>
      <c r="R105" s="526"/>
      <c r="S105" s="526"/>
      <c r="T105" s="526"/>
      <c r="U105" s="526"/>
      <c r="V105" s="526"/>
      <c r="W105" s="526"/>
      <c r="X105" s="526"/>
      <c r="Y105" s="526"/>
      <c r="Z105" s="526"/>
      <c r="AA105" s="526"/>
      <c r="AB105" s="526"/>
      <c r="AC105" s="526"/>
      <c r="AD105" s="526"/>
      <c r="AE105" s="526"/>
      <c r="AF105" s="526"/>
      <c r="AG105" s="526"/>
      <c r="AH105" s="526"/>
      <c r="AI105" s="526"/>
      <c r="AJ105" s="526"/>
      <c r="AK105" s="526"/>
      <c r="AL105" s="526"/>
      <c r="AM105" s="526"/>
      <c r="AN105" s="526"/>
      <c r="AO105" s="526"/>
      <c r="AP105" s="526"/>
      <c r="AQ105" s="526"/>
      <c r="AR105" s="526"/>
      <c r="AS105" s="526"/>
      <c r="AT105" s="526"/>
      <c r="AU105" s="526"/>
      <c r="AV105" s="526"/>
      <c r="AW105" s="526"/>
      <c r="AX105" s="526"/>
      <c r="AY105" s="526"/>
      <c r="AZ105" s="526"/>
      <c r="BA105" s="526"/>
      <c r="BB105" s="526"/>
      <c r="BC105" s="526"/>
      <c r="BD105" s="526"/>
      <c r="BE105" s="526"/>
      <c r="BF105" s="526"/>
      <c r="BG105" s="526"/>
      <c r="BH105" s="526"/>
      <c r="BI105" s="526"/>
      <c r="BJ105" s="526"/>
      <c r="BK105" s="526"/>
      <c r="BL105" s="526"/>
      <c r="BM105" s="526"/>
      <c r="BN105" s="526"/>
      <c r="BO105" s="526"/>
      <c r="BP105" s="526"/>
      <c r="BQ105" s="526"/>
      <c r="BR105" s="542"/>
      <c r="BS105" s="542"/>
      <c r="BT105" s="542"/>
      <c r="BU105" s="542"/>
      <c r="BV105" s="682"/>
      <c r="BW105" s="682"/>
      <c r="BX105" s="682"/>
      <c r="BY105" s="682"/>
      <c r="BZ105" s="682"/>
      <c r="CA105" s="682"/>
      <c r="CB105" s="682"/>
      <c r="CC105" s="682"/>
      <c r="CD105" s="682"/>
      <c r="CE105" s="682"/>
      <c r="CF105" s="682"/>
      <c r="CL105" s="682"/>
      <c r="CM105" s="682"/>
      <c r="CN105" s="682"/>
      <c r="CO105" s="682"/>
      <c r="CP105" s="682"/>
      <c r="CQ105" s="682"/>
      <c r="CR105" s="682"/>
      <c r="CS105" s="682"/>
      <c r="CT105" s="682"/>
      <c r="CU105" s="682"/>
      <c r="CV105" s="682"/>
      <c r="CW105" s="682"/>
      <c r="CX105" s="682"/>
      <c r="CY105" s="682"/>
      <c r="CZ105" s="682"/>
      <c r="DA105" s="682"/>
      <c r="DB105" s="682"/>
      <c r="DC105" s="682"/>
      <c r="DD105" s="820"/>
      <c r="DE105" s="682"/>
      <c r="DF105" s="682"/>
      <c r="DG105" s="682"/>
      <c r="DH105" s="682"/>
      <c r="DI105" s="1610"/>
      <c r="DJ105" s="542"/>
      <c r="DK105" s="682"/>
      <c r="DL105" s="682"/>
      <c r="DM105" s="682"/>
      <c r="DN105" s="682"/>
      <c r="DO105" s="682"/>
      <c r="DP105" s="682"/>
      <c r="DQ105" s="682"/>
      <c r="DR105" s="682"/>
      <c r="DS105" s="682"/>
      <c r="DT105" s="682"/>
      <c r="DU105" s="682"/>
      <c r="DV105" s="682"/>
      <c r="DW105" s="682"/>
      <c r="DX105" s="682"/>
      <c r="DY105" s="682"/>
    </row>
    <row r="106" spans="1:129" ht="12" thickBot="1" x14ac:dyDescent="0.25">
      <c r="A106" s="682"/>
      <c r="B106" s="682"/>
      <c r="C106" s="682"/>
      <c r="D106" s="682"/>
      <c r="E106" s="682"/>
      <c r="F106" s="682"/>
      <c r="G106" s="682"/>
      <c r="H106" s="682"/>
      <c r="I106" s="682"/>
      <c r="J106" s="682"/>
      <c r="K106" s="682"/>
      <c r="L106" s="682"/>
      <c r="M106" s="682"/>
      <c r="N106" s="682"/>
      <c r="O106" s="682"/>
      <c r="P106" s="682"/>
      <c r="Q106" s="682"/>
      <c r="R106" s="682"/>
      <c r="S106" s="682"/>
      <c r="T106" s="682"/>
      <c r="U106" s="682"/>
      <c r="V106" s="682"/>
      <c r="W106" s="682"/>
      <c r="X106" s="682"/>
      <c r="Y106" s="682"/>
      <c r="Z106" s="682"/>
      <c r="AA106" s="682"/>
      <c r="AB106" s="682"/>
      <c r="AC106" s="682"/>
      <c r="AD106" s="682"/>
      <c r="AE106" s="682"/>
      <c r="AF106" s="682"/>
      <c r="AG106" s="682"/>
      <c r="AH106" s="682"/>
      <c r="AI106" s="682"/>
      <c r="AJ106" s="682"/>
      <c r="AK106" s="682"/>
      <c r="AL106" s="682"/>
      <c r="AM106" s="682"/>
      <c r="AN106" s="682"/>
      <c r="AO106" s="682"/>
      <c r="AP106" s="682"/>
      <c r="AQ106" s="682"/>
      <c r="AR106" s="682"/>
      <c r="AS106" s="682"/>
      <c r="AT106" s="682"/>
      <c r="AU106" s="682"/>
      <c r="AV106" s="682"/>
      <c r="AW106" s="682"/>
      <c r="AX106" s="682"/>
      <c r="AY106" s="682"/>
      <c r="AZ106" s="682"/>
      <c r="BA106" s="682"/>
      <c r="BB106" s="682"/>
      <c r="BC106" s="682"/>
      <c r="BD106" s="682"/>
      <c r="BE106" s="682"/>
      <c r="BF106" s="682"/>
      <c r="BG106" s="682"/>
      <c r="BH106" s="682"/>
      <c r="BI106" s="682"/>
      <c r="BJ106" s="682"/>
      <c r="BK106" s="682"/>
      <c r="BL106" s="682"/>
      <c r="BM106" s="682"/>
      <c r="BN106" s="682"/>
      <c r="BO106" s="682"/>
      <c r="BP106" s="682"/>
      <c r="BQ106" s="682"/>
      <c r="BR106" s="682"/>
      <c r="BS106" s="682"/>
      <c r="BT106" s="682"/>
      <c r="BU106" s="682"/>
      <c r="BV106" s="682"/>
      <c r="BW106" s="682"/>
      <c r="BX106" s="682"/>
      <c r="BY106" s="682"/>
      <c r="BZ106" s="682"/>
      <c r="CA106" s="682"/>
      <c r="CB106" s="682"/>
      <c r="CC106" s="682"/>
      <c r="CD106" s="682"/>
      <c r="CE106" s="682"/>
      <c r="CF106" s="682"/>
      <c r="CL106" s="682"/>
      <c r="CM106" s="682"/>
      <c r="CN106" s="682"/>
      <c r="CO106" s="682"/>
      <c r="CP106" s="682"/>
      <c r="CQ106" s="682"/>
      <c r="CR106" s="682"/>
      <c r="CS106" s="682"/>
      <c r="CT106" s="682"/>
      <c r="CU106" s="682"/>
      <c r="CV106" s="682"/>
      <c r="CW106" s="682"/>
      <c r="CX106" s="682"/>
      <c r="CY106" s="682"/>
      <c r="CZ106" s="682"/>
      <c r="DA106" s="682"/>
      <c r="DB106" s="682"/>
      <c r="DC106" s="682"/>
      <c r="DD106" s="682"/>
      <c r="DE106" s="682"/>
      <c r="DF106" s="682"/>
      <c r="DG106" s="682"/>
      <c r="DH106" s="682"/>
      <c r="DI106" s="1610"/>
      <c r="DJ106" s="682"/>
      <c r="DK106" s="682"/>
      <c r="DL106" s="682"/>
      <c r="DM106" s="682"/>
      <c r="DN106" s="682"/>
      <c r="DO106" s="682"/>
      <c r="DP106" s="682"/>
      <c r="DQ106" s="682"/>
      <c r="DR106" s="682"/>
      <c r="DS106" s="682"/>
      <c r="DT106" s="682"/>
      <c r="DU106" s="682"/>
      <c r="DV106" s="682"/>
      <c r="DW106" s="682"/>
      <c r="DX106" s="682"/>
      <c r="DY106" s="682"/>
    </row>
    <row r="107" spans="1:129" ht="12" thickBot="1" x14ac:dyDescent="0.25">
      <c r="A107" s="526"/>
      <c r="B107" s="685" t="s">
        <v>758</v>
      </c>
      <c r="C107" s="686"/>
      <c r="D107" s="686"/>
      <c r="E107" s="686"/>
      <c r="F107" s="686"/>
      <c r="G107" s="686"/>
      <c r="H107" s="686"/>
      <c r="I107" s="687"/>
      <c r="J107" s="686"/>
      <c r="K107" s="686"/>
      <c r="L107" s="686"/>
      <c r="M107" s="686"/>
      <c r="N107" s="687"/>
      <c r="O107" s="686"/>
      <c r="P107" s="686"/>
      <c r="Q107" s="686"/>
      <c r="R107" s="686"/>
      <c r="S107" s="687"/>
      <c r="T107" s="686"/>
      <c r="U107" s="686"/>
      <c r="V107" s="686"/>
      <c r="W107" s="686"/>
      <c r="X107" s="687"/>
      <c r="Y107" s="686"/>
      <c r="Z107" s="686"/>
      <c r="AA107" s="686"/>
      <c r="AB107" s="686"/>
      <c r="AC107" s="687"/>
      <c r="AD107" s="686"/>
      <c r="AE107" s="686"/>
      <c r="AF107" s="686"/>
      <c r="AG107" s="686"/>
      <c r="AH107" s="687"/>
      <c r="AI107" s="686"/>
      <c r="AJ107" s="686"/>
      <c r="AK107" s="686"/>
      <c r="AL107" s="686"/>
      <c r="AM107" s="687"/>
      <c r="AN107" s="686"/>
      <c r="AO107" s="686"/>
      <c r="AP107" s="686"/>
      <c r="AQ107" s="686"/>
      <c r="AR107" s="687"/>
      <c r="AS107" s="686"/>
      <c r="AT107" s="686"/>
      <c r="AU107" s="686"/>
      <c r="AV107" s="686"/>
      <c r="AW107" s="687"/>
      <c r="AX107" s="686"/>
      <c r="AY107" s="686"/>
      <c r="AZ107" s="686"/>
      <c r="BA107" s="686"/>
      <c r="BB107" s="687"/>
      <c r="BC107" s="686"/>
      <c r="BD107" s="686"/>
      <c r="BE107" s="686"/>
      <c r="BF107" s="686"/>
      <c r="BG107" s="687"/>
      <c r="BH107" s="686"/>
      <c r="BI107" s="686"/>
      <c r="BJ107" s="686"/>
      <c r="BK107" s="686"/>
      <c r="BL107" s="687"/>
      <c r="BM107" s="686"/>
      <c r="BN107" s="686"/>
      <c r="BO107" s="686"/>
      <c r="BP107" s="686"/>
      <c r="BQ107" s="687"/>
      <c r="BR107" s="686"/>
      <c r="BS107" s="686"/>
      <c r="BT107" s="686"/>
      <c r="BU107" s="686"/>
      <c r="BV107" s="687"/>
      <c r="BW107" s="686"/>
      <c r="BX107" s="686"/>
      <c r="BY107" s="686"/>
      <c r="BZ107" s="686"/>
      <c r="CA107" s="687"/>
      <c r="CB107" s="686"/>
      <c r="CC107" s="686"/>
      <c r="CD107" s="686"/>
      <c r="CE107" s="686"/>
      <c r="CF107" s="687"/>
      <c r="CG107" s="686"/>
      <c r="CH107" s="686"/>
      <c r="CI107" s="686"/>
      <c r="CJ107" s="686"/>
      <c r="CK107" s="687"/>
      <c r="CL107" s="686"/>
      <c r="CM107" s="686"/>
      <c r="CN107" s="686"/>
      <c r="CO107" s="686"/>
      <c r="CP107" s="687"/>
      <c r="CQ107" s="686"/>
      <c r="CR107" s="686"/>
      <c r="CS107" s="686"/>
      <c r="CT107" s="686"/>
      <c r="CU107" s="687"/>
      <c r="CV107" s="686"/>
      <c r="CW107" s="686"/>
      <c r="CX107" s="686"/>
      <c r="CY107" s="686"/>
      <c r="CZ107" s="687"/>
      <c r="DA107" s="686"/>
      <c r="DB107" s="686"/>
      <c r="DC107" s="686"/>
      <c r="DD107" s="686"/>
      <c r="DE107" s="687"/>
      <c r="DF107" s="686"/>
      <c r="DG107" s="686"/>
      <c r="DH107" s="686"/>
      <c r="DI107" s="2803"/>
      <c r="DJ107" s="687"/>
      <c r="DK107" s="686"/>
      <c r="DL107" s="686"/>
      <c r="DM107" s="686"/>
      <c r="DN107" s="686"/>
      <c r="DO107" s="687"/>
      <c r="DP107" s="686"/>
      <c r="DQ107" s="686"/>
      <c r="DR107" s="686"/>
      <c r="DS107" s="686"/>
      <c r="DT107" s="687"/>
      <c r="DU107" s="686"/>
      <c r="DV107" s="686"/>
      <c r="DW107" s="686"/>
      <c r="DX107" s="686"/>
      <c r="DY107" s="687"/>
    </row>
    <row r="108" spans="1:129" x14ac:dyDescent="0.2">
      <c r="A108" s="526"/>
      <c r="B108" s="756"/>
      <c r="C108" s="599"/>
      <c r="D108" s="599"/>
      <c r="E108" s="599"/>
      <c r="F108" s="599"/>
      <c r="G108" s="599"/>
      <c r="H108" s="599"/>
      <c r="I108" s="598"/>
      <c r="J108" s="599"/>
      <c r="K108" s="599"/>
      <c r="L108" s="599"/>
      <c r="M108" s="599"/>
      <c r="N108" s="598"/>
      <c r="O108" s="599"/>
      <c r="P108" s="599"/>
      <c r="Q108" s="599"/>
      <c r="R108" s="599"/>
      <c r="S108" s="598"/>
      <c r="T108" s="599"/>
      <c r="U108" s="599"/>
      <c r="V108" s="599"/>
      <c r="W108" s="599"/>
      <c r="X108" s="598"/>
      <c r="Y108" s="599"/>
      <c r="Z108" s="599"/>
      <c r="AA108" s="599"/>
      <c r="AB108" s="599"/>
      <c r="AC108" s="598"/>
      <c r="AD108" s="599"/>
      <c r="AE108" s="599"/>
      <c r="AF108" s="599"/>
      <c r="AG108" s="599"/>
      <c r="AH108" s="598"/>
      <c r="AI108" s="599"/>
      <c r="AJ108" s="599"/>
      <c r="AK108" s="599"/>
      <c r="AL108" s="599"/>
      <c r="AM108" s="598"/>
      <c r="AN108" s="599"/>
      <c r="AO108" s="599"/>
      <c r="AP108" s="599"/>
      <c r="AQ108" s="599"/>
      <c r="AR108" s="598"/>
      <c r="AS108" s="599"/>
      <c r="AT108" s="599"/>
      <c r="AU108" s="599"/>
      <c r="AV108" s="599"/>
      <c r="AW108" s="598"/>
      <c r="AX108" s="599"/>
      <c r="AY108" s="599"/>
      <c r="AZ108" s="599"/>
      <c r="BA108" s="599"/>
      <c r="BB108" s="598"/>
      <c r="BC108" s="599"/>
      <c r="BD108" s="599"/>
      <c r="BE108" s="599"/>
      <c r="BF108" s="599"/>
      <c r="BG108" s="598"/>
      <c r="BH108" s="599"/>
      <c r="BI108" s="599"/>
      <c r="BJ108" s="599"/>
      <c r="BK108" s="599"/>
      <c r="BL108" s="598"/>
      <c r="BM108" s="599"/>
      <c r="BN108" s="599"/>
      <c r="BO108" s="599"/>
      <c r="BP108" s="599"/>
      <c r="BQ108" s="598"/>
      <c r="BR108" s="599"/>
      <c r="BS108" s="599"/>
      <c r="BT108" s="599"/>
      <c r="BU108" s="599"/>
      <c r="BV108" s="598"/>
      <c r="BW108" s="599"/>
      <c r="BX108" s="599"/>
      <c r="BY108" s="599"/>
      <c r="BZ108" s="599"/>
      <c r="CA108" s="598"/>
      <c r="CB108" s="599"/>
      <c r="CC108" s="599"/>
      <c r="CD108" s="599"/>
      <c r="CE108" s="599"/>
      <c r="CF108" s="598"/>
      <c r="CG108" s="526"/>
      <c r="CH108" s="526"/>
      <c r="CI108" s="526"/>
      <c r="CJ108" s="526"/>
      <c r="CK108" s="598"/>
      <c r="CL108" s="526"/>
      <c r="CM108" s="526"/>
      <c r="CN108" s="526"/>
      <c r="CO108" s="526"/>
      <c r="CP108" s="598"/>
      <c r="CQ108" s="526"/>
      <c r="CR108" s="526"/>
      <c r="CS108" s="526"/>
      <c r="CT108" s="526"/>
      <c r="CU108" s="598"/>
      <c r="CV108" s="526"/>
      <c r="CW108" s="526"/>
      <c r="CX108" s="526"/>
      <c r="CY108" s="526"/>
      <c r="CZ108" s="598"/>
      <c r="DA108" s="526"/>
      <c r="DB108" s="526"/>
      <c r="DC108" s="526"/>
      <c r="DD108" s="526"/>
      <c r="DE108" s="598"/>
      <c r="DF108" s="526"/>
      <c r="DG108" s="526"/>
      <c r="DH108" s="526"/>
      <c r="DI108" s="1609"/>
      <c r="DJ108" s="598"/>
      <c r="DK108" s="526"/>
      <c r="DL108" s="526"/>
      <c r="DM108" s="526"/>
      <c r="DN108" s="526"/>
      <c r="DO108" s="598"/>
      <c r="DP108" s="526"/>
      <c r="DQ108" s="526"/>
      <c r="DR108" s="526"/>
      <c r="DS108" s="526"/>
      <c r="DT108" s="598"/>
      <c r="DU108" s="526"/>
      <c r="DV108" s="526"/>
      <c r="DW108" s="526"/>
      <c r="DX108" s="526"/>
      <c r="DY108" s="598"/>
    </row>
    <row r="109" spans="1:129" ht="11.25" customHeight="1" x14ac:dyDescent="0.2">
      <c r="A109" s="526"/>
      <c r="B109" s="690" t="s">
        <v>759</v>
      </c>
      <c r="C109" s="691"/>
      <c r="D109" s="597"/>
      <c r="E109" s="597"/>
      <c r="F109" s="597"/>
      <c r="G109" s="597"/>
      <c r="H109" s="597"/>
      <c r="I109" s="598"/>
      <c r="J109" s="597"/>
      <c r="K109" s="597"/>
      <c r="L109" s="597"/>
      <c r="M109" s="597"/>
      <c r="N109" s="598"/>
      <c r="O109" s="597"/>
      <c r="P109" s="597"/>
      <c r="Q109" s="597"/>
      <c r="R109" s="597"/>
      <c r="S109" s="598"/>
      <c r="T109" s="597"/>
      <c r="U109" s="597"/>
      <c r="V109" s="597"/>
      <c r="W109" s="597"/>
      <c r="X109" s="598"/>
      <c r="Y109" s="597"/>
      <c r="Z109" s="597"/>
      <c r="AA109" s="597"/>
      <c r="AB109" s="597"/>
      <c r="AC109" s="598"/>
      <c r="AD109" s="597"/>
      <c r="AE109" s="597"/>
      <c r="AF109" s="597"/>
      <c r="AG109" s="597"/>
      <c r="AH109" s="598"/>
      <c r="AI109" s="597"/>
      <c r="AJ109" s="597"/>
      <c r="AK109" s="597"/>
      <c r="AL109" s="597"/>
      <c r="AM109" s="598"/>
      <c r="AN109" s="597"/>
      <c r="AO109" s="597"/>
      <c r="AP109" s="597"/>
      <c r="AQ109" s="597"/>
      <c r="AR109" s="598"/>
      <c r="AS109" s="597"/>
      <c r="AT109" s="597"/>
      <c r="AU109" s="597"/>
      <c r="AV109" s="597"/>
      <c r="AW109" s="598"/>
      <c r="AX109" s="597"/>
      <c r="AY109" s="597"/>
      <c r="AZ109" s="597"/>
      <c r="BA109" s="597"/>
      <c r="BB109" s="598"/>
      <c r="BC109" s="597"/>
      <c r="BD109" s="597"/>
      <c r="BE109" s="597"/>
      <c r="BF109" s="597"/>
      <c r="BG109" s="598"/>
      <c r="BH109" s="597"/>
      <c r="BI109" s="597"/>
      <c r="BJ109" s="597"/>
      <c r="BK109" s="597"/>
      <c r="BL109" s="598"/>
      <c r="BM109" s="597"/>
      <c r="BN109" s="597"/>
      <c r="BO109" s="597"/>
      <c r="BP109" s="597"/>
      <c r="BQ109" s="598"/>
      <c r="BR109" s="597"/>
      <c r="BS109" s="597"/>
      <c r="BT109" s="597"/>
      <c r="BU109" s="597"/>
      <c r="BV109" s="598"/>
      <c r="BW109" s="597"/>
      <c r="BX109" s="597"/>
      <c r="BY109" s="597"/>
      <c r="BZ109" s="597"/>
      <c r="CA109" s="598"/>
      <c r="CB109" s="597"/>
      <c r="CC109" s="597"/>
      <c r="CD109" s="597"/>
      <c r="CE109" s="597"/>
      <c r="CF109" s="598"/>
      <c r="CG109" s="682"/>
      <c r="CH109" s="682"/>
      <c r="CI109" s="682"/>
      <c r="CJ109" s="682"/>
      <c r="CK109" s="598"/>
      <c r="CL109" s="682"/>
      <c r="CM109" s="682"/>
      <c r="CN109" s="682"/>
      <c r="CO109" s="682"/>
      <c r="CP109" s="598"/>
      <c r="CQ109" s="682"/>
      <c r="CR109" s="682"/>
      <c r="CS109" s="682"/>
      <c r="CT109" s="682"/>
      <c r="CU109" s="598"/>
      <c r="CV109" s="682"/>
      <c r="CW109" s="682"/>
      <c r="CX109" s="682"/>
      <c r="CY109" s="682"/>
      <c r="CZ109" s="598"/>
      <c r="DA109" s="682"/>
      <c r="DB109" s="682"/>
      <c r="DC109" s="682"/>
      <c r="DD109" s="682"/>
      <c r="DE109" s="598"/>
      <c r="DF109" s="682"/>
      <c r="DG109" s="682"/>
      <c r="DH109" s="682"/>
      <c r="DI109" s="1610"/>
      <c r="DJ109" s="598"/>
      <c r="DK109" s="682"/>
      <c r="DL109" s="682"/>
      <c r="DM109" s="682"/>
      <c r="DN109" s="682"/>
      <c r="DO109" s="598"/>
      <c r="DP109" s="682"/>
      <c r="DQ109" s="682"/>
      <c r="DR109" s="682"/>
      <c r="DS109" s="682"/>
      <c r="DT109" s="598"/>
      <c r="DU109" s="682"/>
      <c r="DV109" s="682"/>
      <c r="DW109" s="682"/>
      <c r="DX109" s="682"/>
      <c r="DY109" s="598"/>
    </row>
    <row r="110" spans="1:129" ht="11.25" customHeight="1" x14ac:dyDescent="0.2">
      <c r="A110" s="526"/>
      <c r="B110" s="690"/>
      <c r="C110" s="691"/>
      <c r="D110" s="597"/>
      <c r="E110" s="597"/>
      <c r="F110" s="597"/>
      <c r="G110" s="597"/>
      <c r="H110" s="597"/>
      <c r="I110" s="598"/>
      <c r="J110" s="597"/>
      <c r="K110" s="597"/>
      <c r="L110" s="597"/>
      <c r="M110" s="597"/>
      <c r="N110" s="598"/>
      <c r="O110" s="597"/>
      <c r="P110" s="597"/>
      <c r="Q110" s="597"/>
      <c r="R110" s="597"/>
      <c r="S110" s="598"/>
      <c r="T110" s="597"/>
      <c r="U110" s="597"/>
      <c r="V110" s="597"/>
      <c r="W110" s="597"/>
      <c r="X110" s="598"/>
      <c r="Y110" s="597"/>
      <c r="Z110" s="597"/>
      <c r="AA110" s="597"/>
      <c r="AB110" s="597"/>
      <c r="AC110" s="598"/>
      <c r="AD110" s="597"/>
      <c r="AE110" s="597"/>
      <c r="AF110" s="597"/>
      <c r="AG110" s="597"/>
      <c r="AH110" s="598"/>
      <c r="AI110" s="597"/>
      <c r="AJ110" s="597"/>
      <c r="AK110" s="597"/>
      <c r="AL110" s="597"/>
      <c r="AM110" s="598"/>
      <c r="AN110" s="597"/>
      <c r="AO110" s="597"/>
      <c r="AP110" s="597"/>
      <c r="AQ110" s="597"/>
      <c r="AR110" s="598"/>
      <c r="AS110" s="597"/>
      <c r="AT110" s="597"/>
      <c r="AU110" s="597"/>
      <c r="AV110" s="597"/>
      <c r="AW110" s="598"/>
      <c r="AX110" s="597"/>
      <c r="AY110" s="597"/>
      <c r="AZ110" s="597"/>
      <c r="BA110" s="597"/>
      <c r="BB110" s="598"/>
      <c r="BC110" s="597"/>
      <c r="BD110" s="597"/>
      <c r="BE110" s="597"/>
      <c r="BF110" s="597"/>
      <c r="BG110" s="598"/>
      <c r="BH110" s="597"/>
      <c r="BI110" s="597"/>
      <c r="BJ110" s="597"/>
      <c r="BK110" s="597"/>
      <c r="BL110" s="598"/>
      <c r="BM110" s="597"/>
      <c r="BN110" s="597"/>
      <c r="BO110" s="597"/>
      <c r="BP110" s="597"/>
      <c r="BQ110" s="598"/>
      <c r="BR110" s="597"/>
      <c r="BS110" s="597"/>
      <c r="BT110" s="597"/>
      <c r="BU110" s="597"/>
      <c r="BV110" s="598"/>
      <c r="BW110" s="597"/>
      <c r="BX110" s="597"/>
      <c r="BY110" s="597"/>
      <c r="BZ110" s="597"/>
      <c r="CA110" s="598"/>
      <c r="CB110" s="597"/>
      <c r="CC110" s="597"/>
      <c r="CD110" s="597"/>
      <c r="CE110" s="597"/>
      <c r="CF110" s="598"/>
      <c r="CG110" s="682"/>
      <c r="CH110" s="682"/>
      <c r="CI110" s="682"/>
      <c r="CJ110" s="682"/>
      <c r="CK110" s="598"/>
      <c r="CL110" s="1117"/>
      <c r="CM110" s="1117"/>
      <c r="CN110" s="682"/>
      <c r="CO110" s="682"/>
      <c r="CP110" s="598"/>
      <c r="CQ110" s="682"/>
      <c r="CR110" s="682"/>
      <c r="CS110" s="682"/>
      <c r="CT110" s="682"/>
      <c r="CU110" s="598"/>
      <c r="CV110" s="682"/>
      <c r="CW110" s="682"/>
      <c r="CX110" s="682"/>
      <c r="CY110" s="682"/>
      <c r="CZ110" s="598"/>
      <c r="DA110" s="682"/>
      <c r="DB110" s="682"/>
      <c r="DC110" s="682"/>
      <c r="DD110" s="682"/>
      <c r="DE110" s="598"/>
      <c r="DF110" s="682"/>
      <c r="DG110" s="682"/>
      <c r="DH110" s="682"/>
      <c r="DI110" s="1610"/>
      <c r="DJ110" s="598"/>
      <c r="DK110" s="682"/>
      <c r="DL110" s="682"/>
      <c r="DM110" s="682"/>
      <c r="DN110" s="682"/>
      <c r="DO110" s="598"/>
      <c r="DP110" s="682"/>
      <c r="DQ110" s="682"/>
      <c r="DR110" s="682"/>
      <c r="DS110" s="682"/>
      <c r="DT110" s="598"/>
      <c r="DU110" s="682"/>
      <c r="DV110" s="682"/>
      <c r="DW110" s="682"/>
      <c r="DX110" s="682"/>
      <c r="DY110" s="598"/>
    </row>
    <row r="111" spans="1:129" ht="11.25" customHeight="1" x14ac:dyDescent="0.2">
      <c r="A111" s="526"/>
      <c r="B111" s="756" t="s">
        <v>760</v>
      </c>
      <c r="C111" s="691"/>
      <c r="D111" s="597"/>
      <c r="E111" s="597"/>
      <c r="F111" s="597"/>
      <c r="G111" s="597"/>
      <c r="H111" s="597"/>
      <c r="I111" s="598"/>
      <c r="J111" s="597"/>
      <c r="K111" s="597"/>
      <c r="L111" s="597"/>
      <c r="M111" s="597"/>
      <c r="N111" s="598"/>
      <c r="O111" s="597"/>
      <c r="P111" s="597"/>
      <c r="Q111" s="597"/>
      <c r="R111" s="597"/>
      <c r="S111" s="598"/>
      <c r="T111" s="597"/>
      <c r="U111" s="597"/>
      <c r="V111" s="597"/>
      <c r="W111" s="597"/>
      <c r="X111" s="598"/>
      <c r="Y111" s="597"/>
      <c r="Z111" s="597"/>
      <c r="AA111" s="597"/>
      <c r="AB111" s="597"/>
      <c r="AC111" s="598"/>
      <c r="AD111" s="597"/>
      <c r="AE111" s="597"/>
      <c r="AF111" s="597"/>
      <c r="AG111" s="597"/>
      <c r="AH111" s="598"/>
      <c r="AI111" s="597"/>
      <c r="AJ111" s="597"/>
      <c r="AK111" s="597"/>
      <c r="AL111" s="597"/>
      <c r="AM111" s="598"/>
      <c r="AN111" s="597"/>
      <c r="AO111" s="597"/>
      <c r="AP111" s="597"/>
      <c r="AQ111" s="597"/>
      <c r="AR111" s="598"/>
      <c r="AS111" s="597"/>
      <c r="AT111" s="597"/>
      <c r="AU111" s="597"/>
      <c r="AV111" s="597"/>
      <c r="AW111" s="598"/>
      <c r="AX111" s="597"/>
      <c r="AY111" s="597"/>
      <c r="AZ111" s="597"/>
      <c r="BA111" s="597"/>
      <c r="BB111" s="598"/>
      <c r="BC111" s="597"/>
      <c r="BD111" s="597"/>
      <c r="BE111" s="597"/>
      <c r="BF111" s="597"/>
      <c r="BG111" s="598"/>
      <c r="BH111" s="597"/>
      <c r="BI111" s="597"/>
      <c r="BJ111" s="597"/>
      <c r="BK111" s="597"/>
      <c r="BL111" s="598"/>
      <c r="BM111" s="597"/>
      <c r="BN111" s="597"/>
      <c r="BO111" s="597"/>
      <c r="BP111" s="597"/>
      <c r="BQ111" s="598"/>
      <c r="BR111" s="597"/>
      <c r="BS111" s="597"/>
      <c r="BT111" s="597"/>
      <c r="BU111" s="597"/>
      <c r="BV111" s="598"/>
      <c r="BW111" s="597"/>
      <c r="BX111" s="597"/>
      <c r="BY111" s="597"/>
      <c r="BZ111" s="597"/>
      <c r="CA111" s="598"/>
      <c r="CB111" s="597"/>
      <c r="CC111" s="597"/>
      <c r="CD111" s="597"/>
      <c r="CE111" s="597"/>
      <c r="CF111" s="598"/>
      <c r="CG111" s="682"/>
      <c r="CH111" s="682"/>
      <c r="CI111" s="682"/>
      <c r="CJ111" s="682"/>
      <c r="CK111" s="598"/>
      <c r="CL111" s="682"/>
      <c r="CM111" s="682"/>
      <c r="CN111" s="682"/>
      <c r="CO111" s="682"/>
      <c r="CP111" s="598"/>
      <c r="CQ111" s="682"/>
      <c r="CR111" s="682"/>
      <c r="CS111" s="682"/>
      <c r="CT111" s="682"/>
      <c r="CU111" s="598"/>
      <c r="CV111" s="682"/>
      <c r="CW111" s="682"/>
      <c r="CX111" s="682"/>
      <c r="CY111" s="682"/>
      <c r="CZ111" s="598"/>
      <c r="DA111" s="682"/>
      <c r="DB111" s="682"/>
      <c r="DC111" s="682"/>
      <c r="DD111" s="682"/>
      <c r="DE111" s="598"/>
      <c r="DF111" s="682"/>
      <c r="DG111" s="682"/>
      <c r="DH111" s="682"/>
      <c r="DI111" s="1610"/>
      <c r="DJ111" s="598"/>
      <c r="DK111" s="682"/>
      <c r="DL111" s="682"/>
      <c r="DM111" s="682"/>
      <c r="DN111" s="682"/>
      <c r="DO111" s="598"/>
      <c r="DP111" s="682"/>
      <c r="DQ111" s="682"/>
      <c r="DR111" s="682"/>
      <c r="DS111" s="682"/>
      <c r="DT111" s="598"/>
      <c r="DU111" s="682"/>
      <c r="DV111" s="682"/>
      <c r="DW111" s="682"/>
      <c r="DX111" s="682"/>
      <c r="DY111" s="598"/>
    </row>
    <row r="112" spans="1:129" ht="11.25" customHeight="1" x14ac:dyDescent="0.2">
      <c r="A112" s="769"/>
      <c r="B112" s="770" t="s">
        <v>744</v>
      </c>
      <c r="C112" s="771"/>
      <c r="D112" s="771"/>
      <c r="E112" s="771"/>
      <c r="F112" s="771"/>
      <c r="G112" s="771"/>
      <c r="H112" s="771"/>
      <c r="I112" s="772"/>
      <c r="J112" s="771"/>
      <c r="K112" s="771"/>
      <c r="L112" s="771"/>
      <c r="M112" s="771"/>
      <c r="N112" s="772"/>
      <c r="O112" s="771"/>
      <c r="P112" s="771"/>
      <c r="Q112" s="771"/>
      <c r="R112" s="771"/>
      <c r="S112" s="772"/>
      <c r="T112" s="771"/>
      <c r="U112" s="771"/>
      <c r="V112" s="771"/>
      <c r="W112" s="771"/>
      <c r="X112" s="772"/>
      <c r="Y112" s="771"/>
      <c r="Z112" s="771"/>
      <c r="AA112" s="771"/>
      <c r="AB112" s="771"/>
      <c r="AC112" s="772"/>
      <c r="AD112" s="771"/>
      <c r="AE112" s="771"/>
      <c r="AF112" s="771"/>
      <c r="AG112" s="771"/>
      <c r="AH112" s="772"/>
      <c r="AI112" s="771"/>
      <c r="AJ112" s="771"/>
      <c r="AK112" s="771"/>
      <c r="AL112" s="771"/>
      <c r="AM112" s="772"/>
      <c r="AN112" s="771"/>
      <c r="AO112" s="771"/>
      <c r="AP112" s="771"/>
      <c r="AQ112" s="771"/>
      <c r="AR112" s="772"/>
      <c r="AS112" s="771"/>
      <c r="AT112" s="771"/>
      <c r="AU112" s="771"/>
      <c r="AV112" s="771"/>
      <c r="AW112" s="772"/>
      <c r="AX112" s="771"/>
      <c r="AY112" s="771"/>
      <c r="AZ112" s="771"/>
      <c r="BA112" s="771"/>
      <c r="BB112" s="772"/>
      <c r="BC112" s="771"/>
      <c r="BD112" s="771"/>
      <c r="BE112" s="771"/>
      <c r="BF112" s="771"/>
      <c r="BG112" s="772"/>
      <c r="BH112" s="773">
        <f t="shared" ref="BH112:CE112" si="137">BH$12*BH148/BH88</f>
        <v>2.6511531647745428</v>
      </c>
      <c r="BI112" s="773">
        <f t="shared" si="137"/>
        <v>18.260701942535206</v>
      </c>
      <c r="BJ112" s="773">
        <f t="shared" si="137"/>
        <v>18.417470298229041</v>
      </c>
      <c r="BK112" s="773">
        <f t="shared" si="137"/>
        <v>19.628152013699165</v>
      </c>
      <c r="BL112" s="774">
        <f t="shared" si="137"/>
        <v>14.794382556853279</v>
      </c>
      <c r="BM112" s="773">
        <f t="shared" si="137"/>
        <v>18.377868247381311</v>
      </c>
      <c r="BN112" s="773">
        <f t="shared" si="137"/>
        <v>18.970653826979369</v>
      </c>
      <c r="BO112" s="773">
        <f t="shared" si="137"/>
        <v>20.099789772327355</v>
      </c>
      <c r="BP112" s="773">
        <f t="shared" si="137"/>
        <v>18.712834354190687</v>
      </c>
      <c r="BQ112" s="774">
        <f t="shared" si="137"/>
        <v>19.017215549291691</v>
      </c>
      <c r="BR112" s="773">
        <f t="shared" si="137"/>
        <v>19.627714096770642</v>
      </c>
      <c r="BS112" s="773">
        <f t="shared" si="137"/>
        <v>22.813653787574729</v>
      </c>
      <c r="BT112" s="773">
        <f t="shared" si="137"/>
        <v>22.820372011981281</v>
      </c>
      <c r="BU112" s="773">
        <f t="shared" si="137"/>
        <v>22.764519057534319</v>
      </c>
      <c r="BV112" s="774">
        <f t="shared" si="137"/>
        <v>22.015807270608164</v>
      </c>
      <c r="BW112" s="773">
        <f t="shared" si="137"/>
        <v>23.065616484919524</v>
      </c>
      <c r="BX112" s="773">
        <f t="shared" si="137"/>
        <v>24.104628135019418</v>
      </c>
      <c r="BY112" s="773">
        <f t="shared" si="137"/>
        <v>24.406742975549591</v>
      </c>
      <c r="BZ112" s="773">
        <f t="shared" si="137"/>
        <v>24.403935481361533</v>
      </c>
      <c r="CA112" s="774">
        <f t="shared" si="137"/>
        <v>23.997257764037112</v>
      </c>
      <c r="CB112" s="773">
        <f t="shared" si="137"/>
        <v>24.429124947715668</v>
      </c>
      <c r="CC112" s="773">
        <f t="shared" si="137"/>
        <v>23.426335528599985</v>
      </c>
      <c r="CD112" s="773">
        <f t="shared" si="137"/>
        <v>22.285942638647995</v>
      </c>
      <c r="CE112" s="773">
        <f t="shared" si="137"/>
        <v>24.617653117969223</v>
      </c>
      <c r="CF112" s="772">
        <f>(CF$12*CF148/CF88)</f>
        <v>23.68821668887227</v>
      </c>
      <c r="CG112" s="769">
        <f t="shared" ref="CG112:CI113" si="138">CG$12*CG148/CG88</f>
        <v>28.091000836699376</v>
      </c>
      <c r="CH112" s="769">
        <f t="shared" si="138"/>
        <v>28.823676489676664</v>
      </c>
      <c r="CI112" s="769">
        <f t="shared" si="138"/>
        <v>28.787362694621166</v>
      </c>
      <c r="CJ112" s="769">
        <f>CJ$12*CJ148/CJ88</f>
        <v>29.539807357821619</v>
      </c>
      <c r="CK112" s="772">
        <f>(CK$12*CK148/CK88)</f>
        <v>28.824198401971689</v>
      </c>
      <c r="CL112" s="769">
        <f t="shared" ref="CL112:CO113" si="139">CG112*(1+CL118)</f>
        <v>28.216286700431052</v>
      </c>
      <c r="CM112" s="769">
        <f t="shared" si="139"/>
        <v>28.895735680900856</v>
      </c>
      <c r="CN112" s="769">
        <f t="shared" si="139"/>
        <v>30.134611268729437</v>
      </c>
      <c r="CO112" s="769">
        <f t="shared" si="139"/>
        <v>30.922270342167671</v>
      </c>
      <c r="CP112" s="772">
        <f>(CP$12*CP148/CP88)</f>
        <v>29.424554898855238</v>
      </c>
      <c r="CQ112" s="769">
        <f t="shared" ref="CQ112:CT113" si="140">CL112*(1+CQ118)</f>
        <v>29.627101035452608</v>
      </c>
      <c r="CR112" s="769">
        <f t="shared" si="140"/>
        <v>32.363223962608963</v>
      </c>
      <c r="CS112" s="769">
        <f t="shared" si="140"/>
        <v>32.545380170227794</v>
      </c>
      <c r="CT112" s="769">
        <f t="shared" si="140"/>
        <v>34.01449737638444</v>
      </c>
      <c r="CU112" s="772">
        <f>(CU$12*CU148/CU88)</f>
        <v>32.343550323531218</v>
      </c>
      <c r="CV112" s="769">
        <f t="shared" ref="CV112:CY113" ca="1" si="141">CV$12*CV148/CV88</f>
        <v>27.567096060119106</v>
      </c>
      <c r="CW112" s="769">
        <f t="shared" ca="1" si="141"/>
        <v>27.566618902743691</v>
      </c>
      <c r="CX112" s="769">
        <f t="shared" ca="1" si="141"/>
        <v>28.391903720154914</v>
      </c>
      <c r="CY112" s="769">
        <f t="shared" ca="1" si="141"/>
        <v>29.474564054190672</v>
      </c>
      <c r="CZ112" s="772">
        <f ca="1">(CZ$12*CZ148/CZ88)</f>
        <v>28.262931555588981</v>
      </c>
      <c r="DA112" s="769">
        <f t="shared" ref="DA112:DD113" ca="1" si="142">DA$12*DA148/DA88</f>
        <v>27.339664509935702</v>
      </c>
      <c r="DB112" s="769">
        <f t="shared" ca="1" si="142"/>
        <v>26.599404661714665</v>
      </c>
      <c r="DC112" s="769">
        <f t="shared" ca="1" si="142"/>
        <v>27.471291772041269</v>
      </c>
      <c r="DD112" s="769">
        <f t="shared" ca="1" si="142"/>
        <v>28.498209308119552</v>
      </c>
      <c r="DE112" s="772">
        <f ca="1">(DE$12*DE148/DE88)</f>
        <v>27.491105777755408</v>
      </c>
      <c r="DF112" s="769">
        <f t="shared" ref="DF112:DF113" ca="1" si="143">DF$12*DF148/DF88</f>
        <v>27.381945860333936</v>
      </c>
      <c r="DG112" s="769">
        <f t="shared" ref="DG112:DI113" ca="1" si="144">DG$12*DG148/DG88</f>
        <v>27.978726846002193</v>
      </c>
      <c r="DH112" s="769">
        <f t="shared" ca="1" si="144"/>
        <v>28.814410395373031</v>
      </c>
      <c r="DI112" s="792">
        <f t="shared" ca="1" si="144"/>
        <v>29.14072267265507</v>
      </c>
      <c r="DJ112" s="772">
        <f ca="1">(DJ$12*DJ148/DJ88)</f>
        <v>28.334590356490597</v>
      </c>
      <c r="DK112" s="769">
        <f t="shared" ref="DK112:DN113" ca="1" si="145">DF112*(1+DK118)</f>
        <v>24.917570732903883</v>
      </c>
      <c r="DL112" s="769">
        <f t="shared" ca="1" si="145"/>
        <v>25.180854161401975</v>
      </c>
      <c r="DM112" s="769">
        <f t="shared" ca="1" si="145"/>
        <v>25.932969355835727</v>
      </c>
      <c r="DN112" s="769">
        <f t="shared" ca="1" si="145"/>
        <v>26.226650405389563</v>
      </c>
      <c r="DO112" s="772">
        <f ca="1">(DO$12*DO148/DO88)</f>
        <v>25.572749979058322</v>
      </c>
      <c r="DP112" s="769">
        <f t="shared" ref="DP112:DS113" ca="1" si="146">DK112*(1+DP118)</f>
        <v>25.914273562220039</v>
      </c>
      <c r="DQ112" s="769">
        <f t="shared" ca="1" si="146"/>
        <v>26.188088327858054</v>
      </c>
      <c r="DR112" s="769">
        <f t="shared" ca="1" si="146"/>
        <v>26.970288130069157</v>
      </c>
      <c r="DS112" s="769">
        <f t="shared" ca="1" si="146"/>
        <v>27.275716421605146</v>
      </c>
      <c r="DT112" s="772">
        <f ca="1">(DT$12*DT148/DT88)</f>
        <v>26.595643502421016</v>
      </c>
      <c r="DU112" s="769">
        <f t="shared" ref="DU112:DU113" ca="1" si="147">DP112*(1+DU118)</f>
        <v>26.95084450470884</v>
      </c>
      <c r="DV112" s="769">
        <f t="shared" ref="DV112:DV113" ca="1" si="148">DQ112*(1+DV118)</f>
        <v>27.235611860972377</v>
      </c>
      <c r="DW112" s="769">
        <f t="shared" ref="DW112:DW113" ca="1" si="149">DR112*(1+DW118)</f>
        <v>28.049099655271924</v>
      </c>
      <c r="DX112" s="769">
        <f t="shared" ref="DX112:DX113" ca="1" si="150">DS112*(1+DX118)</f>
        <v>28.366745078469354</v>
      </c>
      <c r="DY112" s="772">
        <f ca="1">(DY$12*DY148/DY88)</f>
        <v>27.659452454400064</v>
      </c>
    </row>
    <row r="113" spans="1:129" ht="11.25" customHeight="1" x14ac:dyDescent="0.2">
      <c r="A113" s="769"/>
      <c r="B113" s="770" t="s">
        <v>745</v>
      </c>
      <c r="C113" s="771"/>
      <c r="D113" s="771"/>
      <c r="E113" s="771"/>
      <c r="F113" s="771"/>
      <c r="G113" s="771"/>
      <c r="H113" s="771"/>
      <c r="I113" s="772"/>
      <c r="J113" s="771"/>
      <c r="K113" s="771"/>
      <c r="L113" s="771"/>
      <c r="M113" s="771"/>
      <c r="N113" s="772"/>
      <c r="O113" s="771"/>
      <c r="P113" s="771"/>
      <c r="Q113" s="771"/>
      <c r="R113" s="771"/>
      <c r="S113" s="772"/>
      <c r="T113" s="771"/>
      <c r="U113" s="771"/>
      <c r="V113" s="771"/>
      <c r="W113" s="771"/>
      <c r="X113" s="772"/>
      <c r="Y113" s="771"/>
      <c r="Z113" s="771"/>
      <c r="AA113" s="771"/>
      <c r="AB113" s="771"/>
      <c r="AC113" s="772"/>
      <c r="AD113" s="771"/>
      <c r="AE113" s="771"/>
      <c r="AF113" s="771"/>
      <c r="AG113" s="771"/>
      <c r="AH113" s="772"/>
      <c r="AI113" s="771"/>
      <c r="AJ113" s="771"/>
      <c r="AK113" s="771"/>
      <c r="AL113" s="771"/>
      <c r="AM113" s="772"/>
      <c r="AN113" s="771"/>
      <c r="AO113" s="771"/>
      <c r="AP113" s="771"/>
      <c r="AQ113" s="771"/>
      <c r="AR113" s="772"/>
      <c r="AS113" s="771"/>
      <c r="AT113" s="771"/>
      <c r="AU113" s="771"/>
      <c r="AV113" s="771"/>
      <c r="AW113" s="772"/>
      <c r="AX113" s="771"/>
      <c r="AY113" s="771"/>
      <c r="AZ113" s="771"/>
      <c r="BA113" s="771"/>
      <c r="BB113" s="772"/>
      <c r="BC113" s="771"/>
      <c r="BD113" s="771"/>
      <c r="BE113" s="771"/>
      <c r="BF113" s="771"/>
      <c r="BG113" s="772"/>
      <c r="BH113" s="773">
        <f t="shared" ref="BH113:CE113" si="151">BH$12*BH149/BH89</f>
        <v>12.148576773409262</v>
      </c>
      <c r="BI113" s="773">
        <f t="shared" si="151"/>
        <v>93.488618027681497</v>
      </c>
      <c r="BJ113" s="773">
        <f t="shared" si="151"/>
        <v>98.296217154166655</v>
      </c>
      <c r="BK113" s="773">
        <f t="shared" si="151"/>
        <v>111.57232770598745</v>
      </c>
      <c r="BL113" s="774">
        <f t="shared" si="151"/>
        <v>78.173160773041602</v>
      </c>
      <c r="BM113" s="773">
        <f t="shared" si="151"/>
        <v>108.20630013470402</v>
      </c>
      <c r="BN113" s="773">
        <f t="shared" si="151"/>
        <v>111.63070429924774</v>
      </c>
      <c r="BO113" s="773">
        <f t="shared" si="151"/>
        <v>111.13013670042477</v>
      </c>
      <c r="BP113" s="773">
        <f t="shared" si="151"/>
        <v>108.98538162958246</v>
      </c>
      <c r="BQ113" s="774">
        <f t="shared" si="151"/>
        <v>109.9344698313856</v>
      </c>
      <c r="BR113" s="773">
        <f t="shared" si="151"/>
        <v>119.43125358054266</v>
      </c>
      <c r="BS113" s="773">
        <f t="shared" si="151"/>
        <v>141.23258697685313</v>
      </c>
      <c r="BT113" s="773">
        <f t="shared" si="151"/>
        <v>144.14842974792771</v>
      </c>
      <c r="BU113" s="773">
        <f t="shared" si="151"/>
        <v>147.93959203616274</v>
      </c>
      <c r="BV113" s="774">
        <f t="shared" si="151"/>
        <v>138.11226439064973</v>
      </c>
      <c r="BW113" s="773">
        <f t="shared" si="151"/>
        <v>146.44746198189515</v>
      </c>
      <c r="BX113" s="773">
        <f t="shared" si="151"/>
        <v>151.31816795785502</v>
      </c>
      <c r="BY113" s="773">
        <f t="shared" si="151"/>
        <v>154.49088052011993</v>
      </c>
      <c r="BZ113" s="773">
        <f t="shared" si="151"/>
        <v>155.97631592675677</v>
      </c>
      <c r="CA113" s="774">
        <f t="shared" si="151"/>
        <v>151.9340596743759</v>
      </c>
      <c r="CB113" s="773">
        <f t="shared" si="151"/>
        <v>163.44450968831316</v>
      </c>
      <c r="CC113" s="773">
        <f t="shared" si="151"/>
        <v>153.56007387397017</v>
      </c>
      <c r="CD113" s="773">
        <f t="shared" si="151"/>
        <v>158.0526222392634</v>
      </c>
      <c r="CE113" s="773">
        <f t="shared" si="151"/>
        <v>156.71722682870475</v>
      </c>
      <c r="CF113" s="772">
        <f>(CF$12*CF149/CF89)</f>
        <v>157.80274364318663</v>
      </c>
      <c r="CG113" s="769">
        <f t="shared" si="138"/>
        <v>183.61727906693216</v>
      </c>
      <c r="CH113" s="769">
        <f t="shared" si="138"/>
        <v>192.36458081722606</v>
      </c>
      <c r="CI113" s="769">
        <f t="shared" si="138"/>
        <v>197.79990276481917</v>
      </c>
      <c r="CJ113" s="769">
        <f>CJ$12*CJ149/CJ89</f>
        <v>198.42294636755793</v>
      </c>
      <c r="CK113" s="772">
        <f>(CK$12*CK149/CK89)</f>
        <v>192.74675867428525</v>
      </c>
      <c r="CL113" s="769">
        <f t="shared" si="139"/>
        <v>194.6343158109481</v>
      </c>
      <c r="CM113" s="769">
        <f t="shared" si="139"/>
        <v>202.58875828766162</v>
      </c>
      <c r="CN113" s="769">
        <f t="shared" si="139"/>
        <v>216.09639377056493</v>
      </c>
      <c r="CO113" s="769">
        <f t="shared" si="139"/>
        <v>216.77706890655705</v>
      </c>
      <c r="CP113" s="772">
        <f>(CP$12*CP149/CP89)</f>
        <v>206.51842835471447</v>
      </c>
      <c r="CQ113" s="769">
        <f t="shared" si="140"/>
        <v>212.15140423393345</v>
      </c>
      <c r="CR113" s="769">
        <f t="shared" si="140"/>
        <v>249.1841726938238</v>
      </c>
      <c r="CS113" s="769">
        <f t="shared" si="140"/>
        <v>244.18892496073835</v>
      </c>
      <c r="CT113" s="769">
        <f t="shared" si="140"/>
        <v>238.43309809032212</v>
      </c>
      <c r="CU113" s="772">
        <f>(CU$12*CU149/CU89)</f>
        <v>237.24122041167399</v>
      </c>
      <c r="CV113" s="769">
        <f t="shared" ca="1" si="141"/>
        <v>207.4530755778074</v>
      </c>
      <c r="CW113" s="769">
        <f t="shared" ca="1" si="141"/>
        <v>218.61975454540362</v>
      </c>
      <c r="CX113" s="769">
        <f t="shared" ca="1" si="141"/>
        <v>221.29809758341301</v>
      </c>
      <c r="CY113" s="769">
        <f t="shared" ca="1" si="141"/>
        <v>212.68604803729886</v>
      </c>
      <c r="CZ113" s="772">
        <f ca="1">(CZ$12*CZ149/CZ89)</f>
        <v>214.94106714531947</v>
      </c>
      <c r="DA113" s="769">
        <f t="shared" ca="1" si="142"/>
        <v>217.72651060835207</v>
      </c>
      <c r="DB113" s="769">
        <f t="shared" ca="1" si="142"/>
        <v>230.0516728346492</v>
      </c>
      <c r="DC113" s="769">
        <f t="shared" ca="1" si="142"/>
        <v>233.51233550123109</v>
      </c>
      <c r="DD113" s="769">
        <f t="shared" ca="1" si="142"/>
        <v>221.45927127163347</v>
      </c>
      <c r="DE113" s="772">
        <f ca="1">(DE$12*DE149/DE89)</f>
        <v>225.62029127954139</v>
      </c>
      <c r="DF113" s="769">
        <f t="shared" ca="1" si="143"/>
        <v>242.79204890665841</v>
      </c>
      <c r="DG113" s="769">
        <f t="shared" ref="DG113:DH113" ca="1" si="152">DG$12*DG149/DG89</f>
        <v>252.75928828835376</v>
      </c>
      <c r="DH113" s="769">
        <f t="shared" ca="1" si="152"/>
        <v>255.49352020538322</v>
      </c>
      <c r="DI113" s="792">
        <f t="shared" ca="1" si="144"/>
        <v>254.34017293308915</v>
      </c>
      <c r="DJ113" s="772">
        <f ca="1">(DJ$12*DJ149/DJ89)</f>
        <v>251.36867006013443</v>
      </c>
      <c r="DK113" s="769">
        <f t="shared" ca="1" si="145"/>
        <v>262.2154128191911</v>
      </c>
      <c r="DL113" s="769">
        <f t="shared" ca="1" si="145"/>
        <v>270.45243846853856</v>
      </c>
      <c r="DM113" s="769">
        <f t="shared" ca="1" si="145"/>
        <v>273.37806661976003</v>
      </c>
      <c r="DN113" s="769">
        <f t="shared" ca="1" si="145"/>
        <v>272.14398503840539</v>
      </c>
      <c r="DO113" s="772">
        <f ca="1">(DO$12*DO149/DO89)</f>
        <v>269.49761575341648</v>
      </c>
      <c r="DP113" s="769">
        <f t="shared" ca="1" si="146"/>
        <v>288.43695410111025</v>
      </c>
      <c r="DQ113" s="769">
        <f t="shared" ca="1" si="146"/>
        <v>297.49768231539247</v>
      </c>
      <c r="DR113" s="769">
        <f t="shared" ca="1" si="146"/>
        <v>300.71587328173604</v>
      </c>
      <c r="DS113" s="769">
        <f t="shared" ca="1" si="146"/>
        <v>299.35838354224597</v>
      </c>
      <c r="DT113" s="772">
        <f ca="1">(DT$12*DT149/DT89)</f>
        <v>296.43996463839341</v>
      </c>
      <c r="DU113" s="769">
        <f t="shared" ca="1" si="147"/>
        <v>317.28064951122127</v>
      </c>
      <c r="DV113" s="769">
        <f t="shared" ca="1" si="148"/>
        <v>327.24745054693176</v>
      </c>
      <c r="DW113" s="769">
        <f t="shared" ca="1" si="149"/>
        <v>330.78746060990966</v>
      </c>
      <c r="DX113" s="769">
        <f t="shared" ca="1" si="150"/>
        <v>329.29422189647062</v>
      </c>
      <c r="DY113" s="772">
        <f ca="1">(DY$12*DY149/DY89)</f>
        <v>326.07433742041445</v>
      </c>
    </row>
    <row r="114" spans="1:129" ht="11.25" customHeight="1" x14ac:dyDescent="0.2">
      <c r="A114" s="769"/>
      <c r="B114" s="770" t="s">
        <v>251</v>
      </c>
      <c r="C114" s="771"/>
      <c r="D114" s="771"/>
      <c r="E114" s="771"/>
      <c r="F114" s="771"/>
      <c r="G114" s="771"/>
      <c r="H114" s="771"/>
      <c r="I114" s="772"/>
      <c r="J114" s="771"/>
      <c r="K114" s="771"/>
      <c r="L114" s="771"/>
      <c r="M114" s="771"/>
      <c r="N114" s="772"/>
      <c r="O114" s="771"/>
      <c r="P114" s="771"/>
      <c r="Q114" s="771"/>
      <c r="R114" s="771"/>
      <c r="S114" s="772"/>
      <c r="T114" s="771"/>
      <c r="U114" s="771"/>
      <c r="V114" s="771"/>
      <c r="W114" s="771"/>
      <c r="X114" s="772"/>
      <c r="Y114" s="771"/>
      <c r="Z114" s="771"/>
      <c r="AA114" s="771"/>
      <c r="AB114" s="771"/>
      <c r="AC114" s="772"/>
      <c r="AD114" s="771"/>
      <c r="AE114" s="771"/>
      <c r="AF114" s="771"/>
      <c r="AG114" s="771"/>
      <c r="AH114" s="772"/>
      <c r="AI114" s="771"/>
      <c r="AJ114" s="771"/>
      <c r="AK114" s="771"/>
      <c r="AL114" s="771"/>
      <c r="AM114" s="772"/>
      <c r="AN114" s="771"/>
      <c r="AO114" s="771"/>
      <c r="AP114" s="771"/>
      <c r="AQ114" s="771"/>
      <c r="AR114" s="772"/>
      <c r="AS114" s="771"/>
      <c r="AT114" s="771"/>
      <c r="AU114" s="771"/>
      <c r="AV114" s="771"/>
      <c r="AW114" s="772"/>
      <c r="AX114" s="771"/>
      <c r="AY114" s="771"/>
      <c r="AZ114" s="771"/>
      <c r="BA114" s="771"/>
      <c r="BB114" s="772"/>
      <c r="BC114" s="773">
        <f>BC12/BC90</f>
        <v>12.14515093127806</v>
      </c>
      <c r="BD114" s="773">
        <f>BD12/BD90</f>
        <v>10.147712920762178</v>
      </c>
      <c r="BE114" s="773">
        <f>BE12/BE90</f>
        <v>9.3125919697288175</v>
      </c>
      <c r="BF114" s="773">
        <f>BF12/BF90</f>
        <v>7.9082520891364849</v>
      </c>
      <c r="BG114" s="776">
        <v>9.6694596556046619</v>
      </c>
      <c r="BH114" s="773">
        <f>BH160/BH90</f>
        <v>6.6210762331838557</v>
      </c>
      <c r="BI114" s="773">
        <f>BI160/BI90</f>
        <v>47.449133383571969</v>
      </c>
      <c r="BJ114" s="773">
        <f>BJ160/BJ90</f>
        <v>49.090909090909086</v>
      </c>
      <c r="BK114" s="773">
        <f>BK160/BK90</f>
        <v>53.187776141384383</v>
      </c>
      <c r="BL114" s="774">
        <f>BL12/BL90</f>
        <v>39.068454613653408</v>
      </c>
      <c r="BM114" s="773">
        <f>BM160/BM90</f>
        <v>49.63816254416961</v>
      </c>
      <c r="BN114" s="773">
        <f>BN160/BN90</f>
        <v>50.938371239911952</v>
      </c>
      <c r="BO114" s="773">
        <f>BO160/BO90</f>
        <v>50.95907738095238</v>
      </c>
      <c r="BP114" s="773">
        <f>BP160/BP90</f>
        <v>47.870867124142229</v>
      </c>
      <c r="BQ114" s="774">
        <f>BQ12/BQ90</f>
        <v>49.762969432314407</v>
      </c>
      <c r="BR114" s="773">
        <f>BR160/BR90</f>
        <v>50.76641841570752</v>
      </c>
      <c r="BS114" s="773">
        <f>BS160/BS90</f>
        <v>59.641942009440328</v>
      </c>
      <c r="BT114" s="773">
        <f>BT160/BT90</f>
        <v>59.946757679180891</v>
      </c>
      <c r="BU114" s="773">
        <f>BU160/BU90</f>
        <v>60.317040951122848</v>
      </c>
      <c r="BV114" s="774">
        <f>BV12/BV90</f>
        <v>57.681932985351068</v>
      </c>
      <c r="BW114" s="773">
        <f>BW160/BW90</f>
        <v>58.106060606060609</v>
      </c>
      <c r="BX114" s="773">
        <f>BX160/BX90</f>
        <v>59.469992205767724</v>
      </c>
      <c r="BY114" s="773">
        <f>BY160/BY90</f>
        <v>59.399375975039007</v>
      </c>
      <c r="BZ114" s="773">
        <f>BZ160/BZ90</f>
        <v>58.744326777609686</v>
      </c>
      <c r="CA114" s="774">
        <f>CA12/CA90</f>
        <v>58.922604186671784</v>
      </c>
      <c r="CB114" s="773">
        <f>CB160/CB90</f>
        <v>59.461001902346233</v>
      </c>
      <c r="CC114" s="773">
        <f>CC160/CC90</f>
        <v>55.959770114942529</v>
      </c>
      <c r="CD114" s="773">
        <f>CD160/CD90</f>
        <v>55.8203125</v>
      </c>
      <c r="CE114" s="773">
        <f>CE160/CE90</f>
        <v>56.585749955967216</v>
      </c>
      <c r="CF114" s="772">
        <f>CF12/CF90</f>
        <v>56.880293434933186</v>
      </c>
      <c r="CG114" s="769">
        <f>CG160/CG90</f>
        <v>63.395465994962215</v>
      </c>
      <c r="CH114" s="769">
        <f>CH160/CH90</f>
        <v>63.821430015772229</v>
      </c>
      <c r="CI114" s="769">
        <f>CI160/CI90</f>
        <v>62.758883248730967</v>
      </c>
      <c r="CJ114" s="769">
        <f>CJ160/CJ90</f>
        <v>62.472019464720198</v>
      </c>
      <c r="CK114" s="772">
        <f>CK12/CK90</f>
        <v>63.106397468253014</v>
      </c>
      <c r="CL114" s="769">
        <f>CL160/CL90</f>
        <v>59.835712231429284</v>
      </c>
      <c r="CM114" s="769">
        <f>CM160/CM90</f>
        <v>61.723716953578631</v>
      </c>
      <c r="CN114" s="769">
        <f>CN160/CN90</f>
        <v>64.537541031569006</v>
      </c>
      <c r="CO114" s="769">
        <f>CO160/CO90</f>
        <v>65.119553278015317</v>
      </c>
      <c r="CP114" s="772">
        <f>CP12/CP90</f>
        <v>62.544699560332198</v>
      </c>
      <c r="CQ114" s="769">
        <f>CQ160/CQ90</f>
        <v>61.02128118559132</v>
      </c>
      <c r="CR114" s="769">
        <f>CR160/CR90</f>
        <v>68.78914334945307</v>
      </c>
      <c r="CS114" s="769">
        <f>CS160/CS90</f>
        <v>68.101495695033577</v>
      </c>
      <c r="CT114" s="769">
        <f>CT160/CT90</f>
        <v>69.378915299895667</v>
      </c>
      <c r="CU114" s="772">
        <f>CU12/CU90</f>
        <v>67.234227871939737</v>
      </c>
      <c r="CV114" s="769">
        <f ca="1">CV160/CV90</f>
        <v>56.168966803431552</v>
      </c>
      <c r="CW114" s="769">
        <f ca="1">CW160/CW90</f>
        <v>56.988801791713328</v>
      </c>
      <c r="CX114" s="769">
        <f ca="1">CX160/CX90</f>
        <v>58.273073149573598</v>
      </c>
      <c r="CY114" s="769">
        <f ca="1">CY160/CY90</f>
        <v>58.055555555555557</v>
      </c>
      <c r="CZ114" s="772">
        <f>CZ12/CZ90</f>
        <v>57.37987261771918</v>
      </c>
      <c r="DA114" s="769">
        <f ca="1">DA160/DA90</f>
        <v>54.374596655910828</v>
      </c>
      <c r="DB114" s="769">
        <f ca="1">DB160/DB90</f>
        <v>55.082722205925499</v>
      </c>
      <c r="DC114" s="769">
        <f ca="1">DC160/DC90</f>
        <v>56.317037894127843</v>
      </c>
      <c r="DD114" s="769">
        <f ca="1">DD160/DD90</f>
        <v>55.705719044975019</v>
      </c>
      <c r="DE114" s="772">
        <f>DE12/DE90</f>
        <v>55.377963536787504</v>
      </c>
      <c r="DF114" s="769">
        <f ca="1">DF160/DF90</f>
        <v>53.877388535031848</v>
      </c>
      <c r="DG114" s="769">
        <f ca="1">DG160/DG90</f>
        <v>55.177174780526734</v>
      </c>
      <c r="DH114" s="769">
        <f ca="1">DH160/DH90</f>
        <v>56.695940902004281</v>
      </c>
      <c r="DI114" s="792">
        <f ca="1">DI160/DI90</f>
        <v>57.226009156708209</v>
      </c>
      <c r="DJ114" s="772">
        <f>DJ12/DJ90</f>
        <v>55.755372365843471</v>
      </c>
      <c r="DK114" s="769">
        <f ca="1">DK160/DK90</f>
        <v>54.057374855402607</v>
      </c>
      <c r="DL114" s="769">
        <f ca="1">DL160/DL90</f>
        <v>54.633172230991711</v>
      </c>
      <c r="DM114" s="769">
        <f ca="1">DM160/DM90</f>
        <v>55.16608134943754</v>
      </c>
      <c r="DN114" s="769">
        <f ca="1">DN160/DN90</f>
        <v>54.658837543220272</v>
      </c>
      <c r="DO114" s="772">
        <f ca="1">DO12/DO90</f>
        <v>54.629500667302118</v>
      </c>
      <c r="DP114" s="769">
        <f ca="1">DP160/DP90</f>
        <v>55.76371689471123</v>
      </c>
      <c r="DQ114" s="769">
        <f ca="1">DQ160/DQ90</f>
        <v>56.29920374107477</v>
      </c>
      <c r="DR114" s="769">
        <f ca="1">DR160/DR90</f>
        <v>56.820518111875131</v>
      </c>
      <c r="DS114" s="769">
        <f ca="1">DS160/DS90</f>
        <v>56.258166749440278</v>
      </c>
      <c r="DT114" s="772">
        <f ca="1">DT12/DT90</f>
        <v>56.285434541410311</v>
      </c>
      <c r="DU114" s="769">
        <f ca="1">DU160/DU90</f>
        <v>57.321155181822604</v>
      </c>
      <c r="DV114" s="769">
        <f ca="1">DV160/DV90</f>
        <v>57.80329036137524</v>
      </c>
      <c r="DW114" s="769">
        <f ca="1">DW160/DW90</f>
        <v>58.307071807057454</v>
      </c>
      <c r="DX114" s="769">
        <f ca="1">DX160/DX90</f>
        <v>57.684500984880515</v>
      </c>
      <c r="DY114" s="772">
        <f ca="1">DY12/DY90</f>
        <v>57.778327269432644</v>
      </c>
    </row>
    <row r="115" spans="1:129" ht="11.25" customHeight="1" x14ac:dyDescent="0.2">
      <c r="A115" s="473"/>
      <c r="B115" s="765" t="s">
        <v>761</v>
      </c>
      <c r="C115" s="469"/>
      <c r="D115" s="469"/>
      <c r="E115" s="469"/>
      <c r="F115" s="469"/>
      <c r="G115" s="469"/>
      <c r="H115" s="469"/>
      <c r="I115" s="580"/>
      <c r="J115" s="469"/>
      <c r="K115" s="469"/>
      <c r="L115" s="469"/>
      <c r="M115" s="469"/>
      <c r="N115" s="580"/>
      <c r="O115" s="469"/>
      <c r="P115" s="469"/>
      <c r="Q115" s="469"/>
      <c r="R115" s="469"/>
      <c r="S115" s="580"/>
      <c r="T115" s="469"/>
      <c r="U115" s="469"/>
      <c r="V115" s="469"/>
      <c r="W115" s="469"/>
      <c r="X115" s="580"/>
      <c r="Y115" s="469"/>
      <c r="Z115" s="469"/>
      <c r="AA115" s="469"/>
      <c r="AB115" s="469"/>
      <c r="AC115" s="580"/>
      <c r="AD115" s="469"/>
      <c r="AE115" s="469"/>
      <c r="AF115" s="469"/>
      <c r="AG115" s="469"/>
      <c r="AH115" s="580"/>
      <c r="AI115" s="469"/>
      <c r="AJ115" s="469"/>
      <c r="AK115" s="469"/>
      <c r="AL115" s="469"/>
      <c r="AM115" s="580"/>
      <c r="AN115" s="469"/>
      <c r="AO115" s="469"/>
      <c r="AP115" s="469"/>
      <c r="AQ115" s="469"/>
      <c r="AR115" s="580"/>
      <c r="AS115" s="469"/>
      <c r="AT115" s="469"/>
      <c r="AU115" s="469"/>
      <c r="AV115" s="469"/>
      <c r="AW115" s="580"/>
      <c r="AX115" s="469"/>
      <c r="AY115" s="469"/>
      <c r="AZ115" s="469"/>
      <c r="BA115" s="469"/>
      <c r="BB115" s="580"/>
      <c r="BC115" s="469"/>
      <c r="BD115" s="469"/>
      <c r="BE115" s="469"/>
      <c r="BF115" s="469"/>
      <c r="BG115" s="580"/>
      <c r="BH115" s="469"/>
      <c r="BI115" s="469"/>
      <c r="BJ115" s="469"/>
      <c r="BK115" s="469"/>
      <c r="BL115" s="580"/>
      <c r="BM115" s="601">
        <v>5.8999999999999997E-2</v>
      </c>
      <c r="BN115" s="601">
        <v>-2.9000000000000001E-2</v>
      </c>
      <c r="BO115" s="469"/>
      <c r="BP115" s="469"/>
      <c r="BQ115" s="580"/>
      <c r="BR115" s="469"/>
      <c r="BS115" s="469"/>
      <c r="BT115" s="469"/>
      <c r="BU115" s="469"/>
      <c r="BV115" s="580"/>
      <c r="BW115" s="469"/>
      <c r="BX115" s="469"/>
      <c r="BY115" s="469"/>
      <c r="BZ115" s="469"/>
      <c r="CA115" s="580"/>
      <c r="CB115" s="469"/>
      <c r="CC115" s="469"/>
      <c r="CD115" s="469"/>
      <c r="CE115" s="469"/>
      <c r="CF115" s="580"/>
      <c r="CG115" s="724"/>
      <c r="CH115" s="724"/>
      <c r="CI115" s="724"/>
      <c r="CJ115" s="724"/>
      <c r="CK115" s="580"/>
      <c r="CL115" s="724"/>
      <c r="CM115" s="724"/>
      <c r="CN115" s="724"/>
      <c r="CO115" s="724"/>
      <c r="CP115" s="580"/>
      <c r="CQ115" s="724"/>
      <c r="CR115" s="724"/>
      <c r="CS115" s="724"/>
      <c r="CT115" s="724"/>
      <c r="CU115" s="580"/>
      <c r="CV115" s="724"/>
      <c r="CW115" s="724"/>
      <c r="CX115" s="724"/>
      <c r="CY115" s="724"/>
      <c r="CZ115" s="580"/>
      <c r="DA115" s="724"/>
      <c r="DB115" s="724"/>
      <c r="DC115" s="724"/>
      <c r="DD115" s="724"/>
      <c r="DE115" s="580"/>
      <c r="DF115" s="724"/>
      <c r="DG115" s="724"/>
      <c r="DH115" s="724"/>
      <c r="DI115" s="724"/>
      <c r="DJ115" s="580"/>
      <c r="DK115" s="724"/>
      <c r="DL115" s="724"/>
      <c r="DM115" s="724"/>
      <c r="DN115" s="724"/>
      <c r="DO115" s="580"/>
      <c r="DP115" s="724"/>
      <c r="DQ115" s="724"/>
      <c r="DR115" s="724"/>
      <c r="DS115" s="724"/>
      <c r="DT115" s="580"/>
      <c r="DU115" s="724"/>
      <c r="DV115" s="724"/>
      <c r="DW115" s="724"/>
      <c r="DX115" s="724"/>
      <c r="DY115" s="580"/>
    </row>
    <row r="116" spans="1:129" ht="5.25" customHeight="1" x14ac:dyDescent="0.2">
      <c r="A116" s="526"/>
      <c r="B116" s="756"/>
      <c r="C116" s="597"/>
      <c r="D116" s="597"/>
      <c r="E116" s="597"/>
      <c r="F116" s="597"/>
      <c r="G116" s="597"/>
      <c r="H116" s="597"/>
      <c r="I116" s="598"/>
      <c r="J116" s="597"/>
      <c r="K116" s="597"/>
      <c r="L116" s="597"/>
      <c r="M116" s="597"/>
      <c r="N116" s="598"/>
      <c r="O116" s="597"/>
      <c r="P116" s="597"/>
      <c r="Q116" s="597"/>
      <c r="R116" s="597"/>
      <c r="S116" s="598"/>
      <c r="T116" s="597"/>
      <c r="U116" s="597"/>
      <c r="V116" s="597"/>
      <c r="W116" s="597"/>
      <c r="X116" s="598"/>
      <c r="Y116" s="597"/>
      <c r="Z116" s="597"/>
      <c r="AA116" s="597"/>
      <c r="AB116" s="597"/>
      <c r="AC116" s="598"/>
      <c r="AD116" s="597"/>
      <c r="AE116" s="597"/>
      <c r="AF116" s="597"/>
      <c r="AG116" s="597"/>
      <c r="AH116" s="598"/>
      <c r="AI116" s="597"/>
      <c r="AJ116" s="597"/>
      <c r="AK116" s="597"/>
      <c r="AL116" s="597"/>
      <c r="AM116" s="598"/>
      <c r="AN116" s="597"/>
      <c r="AO116" s="597"/>
      <c r="AP116" s="597"/>
      <c r="AQ116" s="597"/>
      <c r="AR116" s="598"/>
      <c r="AS116" s="597"/>
      <c r="AT116" s="597"/>
      <c r="AU116" s="597"/>
      <c r="AV116" s="597"/>
      <c r="AW116" s="598"/>
      <c r="AX116" s="597"/>
      <c r="AY116" s="597"/>
      <c r="AZ116" s="597"/>
      <c r="BA116" s="597"/>
      <c r="BB116" s="598"/>
      <c r="BC116" s="597"/>
      <c r="BD116" s="597"/>
      <c r="BE116" s="597"/>
      <c r="BF116" s="597"/>
      <c r="BG116" s="598"/>
      <c r="BH116" s="597"/>
      <c r="BI116" s="597"/>
      <c r="BJ116" s="597"/>
      <c r="BK116" s="597"/>
      <c r="BL116" s="598"/>
      <c r="BM116" s="597"/>
      <c r="BN116" s="597"/>
      <c r="BO116" s="597"/>
      <c r="BP116" s="597"/>
      <c r="BQ116" s="598"/>
      <c r="BR116" s="597"/>
      <c r="BS116" s="597"/>
      <c r="BT116" s="597"/>
      <c r="BU116" s="597"/>
      <c r="BV116" s="598"/>
      <c r="BW116" s="597"/>
      <c r="BX116" s="597"/>
      <c r="BY116" s="597"/>
      <c r="BZ116" s="597"/>
      <c r="CA116" s="598"/>
      <c r="CB116" s="597"/>
      <c r="CC116" s="597"/>
      <c r="CD116" s="597"/>
      <c r="CE116" s="597"/>
      <c r="CF116" s="598"/>
      <c r="CG116" s="682"/>
      <c r="CH116" s="682"/>
      <c r="CI116" s="682"/>
      <c r="CJ116" s="682"/>
      <c r="CK116" s="598"/>
      <c r="CL116" s="682"/>
      <c r="CM116" s="682"/>
      <c r="CN116" s="682"/>
      <c r="CO116" s="682"/>
      <c r="CP116" s="598"/>
      <c r="CQ116" s="682"/>
      <c r="CR116" s="682"/>
      <c r="CS116" s="682"/>
      <c r="CT116" s="682"/>
      <c r="CU116" s="598"/>
      <c r="CV116" s="682"/>
      <c r="CW116" s="682"/>
      <c r="CX116" s="682"/>
      <c r="CY116" s="682"/>
      <c r="CZ116" s="598"/>
      <c r="DA116" s="682"/>
      <c r="DB116" s="682"/>
      <c r="DC116" s="682"/>
      <c r="DD116" s="682"/>
      <c r="DE116" s="598"/>
      <c r="DF116" s="682"/>
      <c r="DG116" s="682"/>
      <c r="DH116" s="682"/>
      <c r="DI116" s="1610"/>
      <c r="DJ116" s="598"/>
      <c r="DK116" s="682"/>
      <c r="DL116" s="682"/>
      <c r="DM116" s="682"/>
      <c r="DN116" s="682"/>
      <c r="DO116" s="598"/>
      <c r="DP116" s="682"/>
      <c r="DQ116" s="682"/>
      <c r="DR116" s="682"/>
      <c r="DS116" s="682"/>
      <c r="DT116" s="598"/>
      <c r="DU116" s="682"/>
      <c r="DV116" s="682"/>
      <c r="DW116" s="682"/>
      <c r="DX116" s="682"/>
      <c r="DY116" s="598"/>
    </row>
    <row r="117" spans="1:129" ht="11.25" customHeight="1" x14ac:dyDescent="0.2">
      <c r="A117" s="473"/>
      <c r="B117" s="639" t="s">
        <v>762</v>
      </c>
      <c r="C117" s="469"/>
      <c r="D117" s="469"/>
      <c r="E117" s="469"/>
      <c r="F117" s="469"/>
      <c r="G117" s="469"/>
      <c r="H117" s="469"/>
      <c r="I117" s="580"/>
      <c r="J117" s="469"/>
      <c r="K117" s="469"/>
      <c r="L117" s="469"/>
      <c r="M117" s="469"/>
      <c r="N117" s="580"/>
      <c r="O117" s="469"/>
      <c r="P117" s="469"/>
      <c r="Q117" s="469"/>
      <c r="R117" s="469"/>
      <c r="S117" s="580"/>
      <c r="T117" s="469"/>
      <c r="U117" s="469"/>
      <c r="V117" s="469"/>
      <c r="W117" s="469"/>
      <c r="X117" s="580"/>
      <c r="Y117" s="469"/>
      <c r="Z117" s="469"/>
      <c r="AA117" s="469"/>
      <c r="AB117" s="469"/>
      <c r="AC117" s="580"/>
      <c r="AD117" s="469"/>
      <c r="AE117" s="469"/>
      <c r="AF117" s="469"/>
      <c r="AG117" s="469"/>
      <c r="AH117" s="580"/>
      <c r="AI117" s="469"/>
      <c r="AJ117" s="469"/>
      <c r="AK117" s="469"/>
      <c r="AL117" s="469"/>
      <c r="AM117" s="580"/>
      <c r="AN117" s="469"/>
      <c r="AO117" s="469"/>
      <c r="AP117" s="469"/>
      <c r="AQ117" s="469"/>
      <c r="AR117" s="580"/>
      <c r="AS117" s="469"/>
      <c r="AT117" s="469"/>
      <c r="AU117" s="469"/>
      <c r="AV117" s="469"/>
      <c r="AW117" s="580"/>
      <c r="AX117" s="469"/>
      <c r="AY117" s="469"/>
      <c r="AZ117" s="469"/>
      <c r="BA117" s="469"/>
      <c r="BB117" s="580"/>
      <c r="BC117" s="469"/>
      <c r="BD117" s="469"/>
      <c r="BE117" s="469"/>
      <c r="BF117" s="469"/>
      <c r="BG117" s="580"/>
      <c r="BH117" s="469"/>
      <c r="BI117" s="469"/>
      <c r="BJ117" s="469"/>
      <c r="BK117" s="469"/>
      <c r="BL117" s="580"/>
      <c r="BM117" s="469"/>
      <c r="BN117" s="469"/>
      <c r="BO117" s="469"/>
      <c r="BP117" s="469"/>
      <c r="BQ117" s="580"/>
      <c r="BR117" s="469"/>
      <c r="BS117" s="469"/>
      <c r="BT117" s="469"/>
      <c r="BU117" s="469"/>
      <c r="BV117" s="580"/>
      <c r="BW117" s="469"/>
      <c r="BX117" s="469"/>
      <c r="BY117" s="469"/>
      <c r="BZ117" s="469"/>
      <c r="CA117" s="580"/>
      <c r="CB117" s="469"/>
      <c r="CC117" s="469"/>
      <c r="CD117" s="469"/>
      <c r="CE117" s="469"/>
      <c r="CF117" s="580"/>
      <c r="CG117" s="777"/>
      <c r="CH117" s="777"/>
      <c r="CI117" s="777"/>
      <c r="CJ117" s="777"/>
      <c r="CK117" s="580"/>
      <c r="CL117" s="724"/>
      <c r="CM117" s="724"/>
      <c r="CN117" s="724"/>
      <c r="CO117" s="724"/>
      <c r="CP117" s="580"/>
      <c r="CQ117" s="724"/>
      <c r="CR117" s="724"/>
      <c r="CS117" s="724"/>
      <c r="CT117" s="724"/>
      <c r="CU117" s="580"/>
      <c r="CV117" s="724"/>
      <c r="CW117" s="724"/>
      <c r="CX117" s="724"/>
      <c r="CY117" s="724"/>
      <c r="CZ117" s="580"/>
      <c r="DA117" s="724"/>
      <c r="DB117" s="724"/>
      <c r="DC117" s="724"/>
      <c r="DD117" s="724"/>
      <c r="DE117" s="580"/>
      <c r="DF117" s="2692"/>
      <c r="DG117" s="724"/>
      <c r="DH117" s="724"/>
      <c r="DI117" s="724"/>
      <c r="DJ117" s="580"/>
      <c r="DK117" s="724"/>
      <c r="DL117" s="724"/>
      <c r="DM117" s="724"/>
      <c r="DN117" s="724"/>
      <c r="DO117" s="580"/>
      <c r="DP117" s="724"/>
      <c r="DQ117" s="724"/>
      <c r="DR117" s="724"/>
      <c r="DS117" s="724"/>
      <c r="DT117" s="580"/>
      <c r="DU117" s="724"/>
      <c r="DV117" s="724"/>
      <c r="DW117" s="724"/>
      <c r="DX117" s="724"/>
      <c r="DY117" s="580"/>
    </row>
    <row r="118" spans="1:129" ht="11.25" customHeight="1" x14ac:dyDescent="0.2">
      <c r="A118" s="473"/>
      <c r="B118" s="778" t="s">
        <v>744</v>
      </c>
      <c r="C118" s="469"/>
      <c r="D118" s="469"/>
      <c r="E118" s="538"/>
      <c r="F118" s="538"/>
      <c r="G118" s="538"/>
      <c r="H118" s="623"/>
      <c r="I118" s="580"/>
      <c r="J118" s="538"/>
      <c r="K118" s="538"/>
      <c r="L118" s="538"/>
      <c r="M118" s="623"/>
      <c r="N118" s="580"/>
      <c r="O118" s="538"/>
      <c r="P118" s="538"/>
      <c r="Q118" s="538"/>
      <c r="R118" s="623"/>
      <c r="S118" s="580"/>
      <c r="T118" s="538"/>
      <c r="U118" s="538"/>
      <c r="V118" s="538"/>
      <c r="W118" s="623"/>
      <c r="X118" s="580"/>
      <c r="Y118" s="538"/>
      <c r="Z118" s="538"/>
      <c r="AA118" s="538"/>
      <c r="AB118" s="623"/>
      <c r="AC118" s="580"/>
      <c r="AD118" s="538"/>
      <c r="AE118" s="538"/>
      <c r="AF118" s="538"/>
      <c r="AG118" s="623"/>
      <c r="AH118" s="580"/>
      <c r="AI118" s="538"/>
      <c r="AJ118" s="538"/>
      <c r="AK118" s="538"/>
      <c r="AL118" s="623"/>
      <c r="AM118" s="580"/>
      <c r="AN118" s="538"/>
      <c r="AO118" s="538"/>
      <c r="AP118" s="538"/>
      <c r="AQ118" s="623"/>
      <c r="AR118" s="580"/>
      <c r="AS118" s="538"/>
      <c r="AT118" s="538"/>
      <c r="AU118" s="538"/>
      <c r="AV118" s="623"/>
      <c r="AW118" s="580"/>
      <c r="AX118" s="538"/>
      <c r="AY118" s="538"/>
      <c r="AZ118" s="538"/>
      <c r="BA118" s="623"/>
      <c r="BB118" s="580"/>
      <c r="BC118" s="538"/>
      <c r="BD118" s="538"/>
      <c r="BE118" s="538"/>
      <c r="BF118" s="623"/>
      <c r="BG118" s="580"/>
      <c r="BH118" s="538"/>
      <c r="BI118" s="538"/>
      <c r="BJ118" s="538"/>
      <c r="BK118" s="623"/>
      <c r="BL118" s="580"/>
      <c r="BM118" s="779">
        <f t="shared" ref="BM118:BV120" si="153">BM112/BH112-1</f>
        <v>5.9320281044358998</v>
      </c>
      <c r="BN118" s="779">
        <f t="shared" si="153"/>
        <v>3.887867436193404E-2</v>
      </c>
      <c r="BO118" s="779">
        <f t="shared" si="153"/>
        <v>9.1343677869814677E-2</v>
      </c>
      <c r="BP118" s="779">
        <f t="shared" si="153"/>
        <v>-4.6632900482411532E-2</v>
      </c>
      <c r="BQ118" s="780">
        <f t="shared" si="153"/>
        <v>0.28543489234582808</v>
      </c>
      <c r="BR118" s="779">
        <f t="shared" si="153"/>
        <v>6.8008205988059789E-2</v>
      </c>
      <c r="BS118" s="779">
        <f t="shared" si="153"/>
        <v>0.20257604169287968</v>
      </c>
      <c r="BT118" s="779">
        <f t="shared" si="153"/>
        <v>0.13535376590851333</v>
      </c>
      <c r="BU118" s="779">
        <f t="shared" si="153"/>
        <v>0.21651902788506594</v>
      </c>
      <c r="BV118" s="780">
        <f t="shared" si="153"/>
        <v>0.15767774801438561</v>
      </c>
      <c r="BW118" s="704">
        <f t="shared" ref="BW118:CF120" si="154">BW112/BR112-1</f>
        <v>0.17515551587917821</v>
      </c>
      <c r="BX118" s="779">
        <f t="shared" si="154"/>
        <v>5.6587794286060644E-2</v>
      </c>
      <c r="BY118" s="779">
        <f t="shared" si="154"/>
        <v>6.9515561040609963E-2</v>
      </c>
      <c r="BZ118" s="779">
        <f t="shared" si="154"/>
        <v>7.2016299561778796E-2</v>
      </c>
      <c r="CA118" s="780">
        <f t="shared" si="154"/>
        <v>9.0001264503902556E-2</v>
      </c>
      <c r="CB118" s="704">
        <f t="shared" si="154"/>
        <v>5.9114329924266906E-2</v>
      </c>
      <c r="CC118" s="779">
        <f t="shared" si="154"/>
        <v>-2.8139517549080284E-2</v>
      </c>
      <c r="CD118" s="779">
        <f t="shared" si="154"/>
        <v>-8.6894033301624485E-2</v>
      </c>
      <c r="CE118" s="779">
        <f t="shared" si="154"/>
        <v>8.7575070328684834E-3</v>
      </c>
      <c r="CF118" s="781">
        <f t="shared" si="154"/>
        <v>-1.2878182924216386E-2</v>
      </c>
      <c r="CG118" s="736">
        <f t="shared" ref="CG118:CJ120" si="155">CG112/CB112-1</f>
        <v>0.14989795569104603</v>
      </c>
      <c r="CH118" s="736">
        <f t="shared" si="155"/>
        <v>0.23039629712838994</v>
      </c>
      <c r="CI118" s="736">
        <f t="shared" si="155"/>
        <v>0.29172739791129554</v>
      </c>
      <c r="CJ118" s="736">
        <f t="shared" si="155"/>
        <v>0.19994408956309306</v>
      </c>
      <c r="CK118" s="781">
        <f>CK112/CF112-1</f>
        <v>0.21681588701069621</v>
      </c>
      <c r="CL118" s="1701">
        <v>4.4600000000000004E-3</v>
      </c>
      <c r="CM118" s="623">
        <v>2.5000000000000001E-3</v>
      </c>
      <c r="CN118" s="623">
        <v>4.6800000000000001E-2</v>
      </c>
      <c r="CO118" s="623">
        <v>4.6800000000000001E-2</v>
      </c>
      <c r="CP118" s="781">
        <f>AVERAGE(CL118:CO118)</f>
        <v>2.5140000000000003E-2</v>
      </c>
      <c r="CQ118" s="623">
        <v>0.05</v>
      </c>
      <c r="CR118" s="623">
        <v>0.12</v>
      </c>
      <c r="CS118" s="623">
        <v>0.08</v>
      </c>
      <c r="CT118" s="623">
        <v>0.1</v>
      </c>
      <c r="CU118" s="781">
        <f t="shared" ref="CU118:DC120" si="156">CU112/CP112-1</f>
        <v>9.9202704500027661E-2</v>
      </c>
      <c r="CV118" s="623">
        <f t="shared" ca="1" si="156"/>
        <v>-6.953110170544341E-2</v>
      </c>
      <c r="CW118" s="623">
        <f t="shared" ca="1" si="156"/>
        <v>-0.14821159552605312</v>
      </c>
      <c r="CX118" s="623">
        <f t="shared" ca="1" si="156"/>
        <v>-0.12762107642769038</v>
      </c>
      <c r="CY118" s="623">
        <f t="shared" ca="1" si="156"/>
        <v>-0.13347053969245914</v>
      </c>
      <c r="CZ118" s="593">
        <f t="shared" ca="1" si="156"/>
        <v>-0.12616483741345563</v>
      </c>
      <c r="DA118" s="747">
        <f t="shared" ca="1" si="156"/>
        <v>-8.2501091042529451E-3</v>
      </c>
      <c r="DB118" s="747">
        <f t="shared" ca="1" si="156"/>
        <v>-3.508642987525612E-2</v>
      </c>
      <c r="DC118" s="747">
        <f t="shared" ca="1" si="156"/>
        <v>-3.2425157438813024E-2</v>
      </c>
      <c r="DD118" s="747">
        <f t="shared" ref="DD118:DI119" ca="1" si="157">DD112/CY112-1</f>
        <v>-3.3125332889607284E-2</v>
      </c>
      <c r="DE118" s="593">
        <f ca="1">DE112/CZ112-1</f>
        <v>-2.7308765770299059E-2</v>
      </c>
      <c r="DF118" s="683">
        <f t="shared" ca="1" si="157"/>
        <v>1.546520455028455E-3</v>
      </c>
      <c r="DG118" s="683">
        <f t="shared" ca="1" si="157"/>
        <v>5.18553780368185E-2</v>
      </c>
      <c r="DH118" s="683">
        <f t="shared" ca="1" si="157"/>
        <v>4.8891717014148961E-2</v>
      </c>
      <c r="DI118" s="2814">
        <f t="shared" ca="1" si="157"/>
        <v>2.2545745158537134E-2</v>
      </c>
      <c r="DJ118" s="593">
        <f ca="1">DJ112/DE112-1</f>
        <v>3.0682089893150133E-2</v>
      </c>
      <c r="DK118" s="747">
        <v>-0.09</v>
      </c>
      <c r="DL118" s="747">
        <v>-0.1</v>
      </c>
      <c r="DM118" s="747">
        <v>-0.1</v>
      </c>
      <c r="DN118" s="747">
        <v>-0.1</v>
      </c>
      <c r="DO118" s="593">
        <f ca="1">DO112/DJ112-1</f>
        <v>-9.7472394789699934E-2</v>
      </c>
      <c r="DP118" s="747">
        <v>0.04</v>
      </c>
      <c r="DQ118" s="747">
        <v>0.04</v>
      </c>
      <c r="DR118" s="747">
        <v>0.04</v>
      </c>
      <c r="DS118" s="747">
        <v>0.04</v>
      </c>
      <c r="DT118" s="593">
        <f ca="1">DT112/DO112-1</f>
        <v>3.9999355728278951E-2</v>
      </c>
      <c r="DU118" s="747">
        <v>0.04</v>
      </c>
      <c r="DV118" s="747">
        <v>0.04</v>
      </c>
      <c r="DW118" s="747">
        <v>0.04</v>
      </c>
      <c r="DX118" s="747">
        <v>0.04</v>
      </c>
      <c r="DY118" s="593">
        <f ca="1">DY112/DT112-1</f>
        <v>3.9999368764369603E-2</v>
      </c>
    </row>
    <row r="119" spans="1:129" ht="11.25" customHeight="1" x14ac:dyDescent="0.2">
      <c r="A119" s="473"/>
      <c r="B119" s="778" t="s">
        <v>745</v>
      </c>
      <c r="C119" s="469"/>
      <c r="D119" s="469"/>
      <c r="E119" s="538"/>
      <c r="F119" s="538"/>
      <c r="G119" s="538"/>
      <c r="H119" s="623"/>
      <c r="I119" s="580"/>
      <c r="J119" s="538"/>
      <c r="K119" s="538"/>
      <c r="L119" s="538"/>
      <c r="M119" s="623"/>
      <c r="N119" s="580"/>
      <c r="O119" s="538"/>
      <c r="P119" s="538"/>
      <c r="Q119" s="538"/>
      <c r="R119" s="623"/>
      <c r="S119" s="580"/>
      <c r="T119" s="538"/>
      <c r="U119" s="538"/>
      <c r="V119" s="538"/>
      <c r="W119" s="623"/>
      <c r="X119" s="580"/>
      <c r="Y119" s="538"/>
      <c r="Z119" s="538"/>
      <c r="AA119" s="538"/>
      <c r="AB119" s="623"/>
      <c r="AC119" s="580"/>
      <c r="AD119" s="538"/>
      <c r="AE119" s="538"/>
      <c r="AF119" s="538"/>
      <c r="AG119" s="623"/>
      <c r="AH119" s="580"/>
      <c r="AI119" s="538"/>
      <c r="AJ119" s="538"/>
      <c r="AK119" s="538"/>
      <c r="AL119" s="623"/>
      <c r="AM119" s="580"/>
      <c r="AN119" s="538"/>
      <c r="AO119" s="538"/>
      <c r="AP119" s="538"/>
      <c r="AQ119" s="623"/>
      <c r="AR119" s="580"/>
      <c r="AS119" s="538"/>
      <c r="AT119" s="538"/>
      <c r="AU119" s="538"/>
      <c r="AV119" s="623"/>
      <c r="AW119" s="580"/>
      <c r="AX119" s="538"/>
      <c r="AY119" s="538"/>
      <c r="AZ119" s="538"/>
      <c r="BA119" s="623"/>
      <c r="BB119" s="580"/>
      <c r="BC119" s="538"/>
      <c r="BD119" s="538"/>
      <c r="BE119" s="538"/>
      <c r="BF119" s="623"/>
      <c r="BG119" s="580"/>
      <c r="BH119" s="538"/>
      <c r="BI119" s="538"/>
      <c r="BJ119" s="538"/>
      <c r="BK119" s="623"/>
      <c r="BL119" s="580"/>
      <c r="BM119" s="779">
        <f t="shared" si="153"/>
        <v>7.9069116615820683</v>
      </c>
      <c r="BN119" s="779">
        <f t="shared" si="153"/>
        <v>0.19405663121680194</v>
      </c>
      <c r="BO119" s="779">
        <f t="shared" si="153"/>
        <v>0.1305637176874217</v>
      </c>
      <c r="BP119" s="779">
        <f t="shared" si="153"/>
        <v>-2.318626965659476E-2</v>
      </c>
      <c r="BQ119" s="780">
        <f t="shared" si="153"/>
        <v>0.40629429262244998</v>
      </c>
      <c r="BR119" s="779">
        <f t="shared" si="153"/>
        <v>0.10373659788630518</v>
      </c>
      <c r="BS119" s="779">
        <f t="shared" si="153"/>
        <v>0.26517688716046983</v>
      </c>
      <c r="BT119" s="779">
        <f t="shared" si="153"/>
        <v>0.29711376254769539</v>
      </c>
      <c r="BU119" s="779">
        <f t="shared" si="153"/>
        <v>0.35742601277460428</v>
      </c>
      <c r="BV119" s="780">
        <f t="shared" si="153"/>
        <v>0.2563144626292595</v>
      </c>
      <c r="BW119" s="704">
        <f t="shared" si="154"/>
        <v>0.22620719109452492</v>
      </c>
      <c r="BX119" s="779">
        <f t="shared" si="154"/>
        <v>7.1411146654524194E-2</v>
      </c>
      <c r="BY119" s="779">
        <f t="shared" si="154"/>
        <v>7.1748619046895445E-2</v>
      </c>
      <c r="BZ119" s="779">
        <f t="shared" si="154"/>
        <v>5.4324361585568859E-2</v>
      </c>
      <c r="CA119" s="780">
        <f t="shared" si="154"/>
        <v>0.1000765235781762</v>
      </c>
      <c r="CB119" s="704">
        <f t="shared" si="154"/>
        <v>0.11606242591298233</v>
      </c>
      <c r="CC119" s="779">
        <f t="shared" si="154"/>
        <v>1.4815840994979235E-2</v>
      </c>
      <c r="CD119" s="779">
        <f t="shared" si="154"/>
        <v>2.3054705281970511E-2</v>
      </c>
      <c r="CE119" s="779">
        <f t="shared" si="154"/>
        <v>4.750150031084921E-3</v>
      </c>
      <c r="CF119" s="781">
        <f t="shared" si="154"/>
        <v>3.8626519829644934E-2</v>
      </c>
      <c r="CG119" s="736">
        <f t="shared" si="155"/>
        <v>0.12342274094791095</v>
      </c>
      <c r="CH119" s="736">
        <f t="shared" si="155"/>
        <v>0.25269919429124221</v>
      </c>
      <c r="CI119" s="736">
        <f t="shared" si="155"/>
        <v>0.25148131022708053</v>
      </c>
      <c r="CJ119" s="736">
        <f t="shared" si="155"/>
        <v>0.26612083676313647</v>
      </c>
      <c r="CK119" s="781">
        <f>CK113/CF113-1</f>
        <v>0.22144111201331063</v>
      </c>
      <c r="CL119" s="623">
        <v>0.06</v>
      </c>
      <c r="CM119" s="623">
        <v>5.3150000000000003E-2</v>
      </c>
      <c r="CN119" s="623">
        <v>9.2499999999999999E-2</v>
      </c>
      <c r="CO119" s="623">
        <v>9.2499999999999999E-2</v>
      </c>
      <c r="CP119" s="781">
        <f>AVERAGE(CL119:CO119)</f>
        <v>7.4537500000000007E-2</v>
      </c>
      <c r="CQ119" s="623">
        <v>0.09</v>
      </c>
      <c r="CR119" s="623">
        <v>0.23</v>
      </c>
      <c r="CS119" s="623">
        <v>0.13</v>
      </c>
      <c r="CT119" s="623">
        <v>9.9900000000000003E-2</v>
      </c>
      <c r="CU119" s="781">
        <f t="shared" si="156"/>
        <v>0.14876537799421108</v>
      </c>
      <c r="CV119" s="623">
        <f t="shared" ca="1" si="156"/>
        <v>-2.2146111514516953E-2</v>
      </c>
      <c r="CW119" s="623">
        <f t="shared" ca="1" si="156"/>
        <v>-0.12265794339183456</v>
      </c>
      <c r="CX119" s="623">
        <f t="shared" ca="1" si="156"/>
        <v>-9.374228327925116E-2</v>
      </c>
      <c r="CY119" s="623">
        <f t="shared" ca="1" si="156"/>
        <v>-0.10798437909517866</v>
      </c>
      <c r="CZ119" s="593">
        <f t="shared" ca="1" si="156"/>
        <v>-9.3997802016268839E-2</v>
      </c>
      <c r="DA119" s="747">
        <f t="shared" ca="1" si="156"/>
        <v>4.9521729200353581E-2</v>
      </c>
      <c r="DB119" s="747">
        <f t="shared" ca="1" si="156"/>
        <v>5.2291332560577608E-2</v>
      </c>
      <c r="DC119" s="747">
        <f t="shared" ca="1" si="156"/>
        <v>5.5193596561372127E-2</v>
      </c>
      <c r="DD119" s="747">
        <f t="shared" ca="1" si="157"/>
        <v>4.1249641503499301E-2</v>
      </c>
      <c r="DE119" s="593">
        <f ca="1">DE113/CZ113-1</f>
        <v>4.9684428741585407E-2</v>
      </c>
      <c r="DF119" s="683">
        <f t="shared" ca="1" si="157"/>
        <v>0.1151239609190009</v>
      </c>
      <c r="DG119" s="683">
        <f t="shared" ca="1" si="157"/>
        <v>9.8706586976334609E-2</v>
      </c>
      <c r="DH119" s="683">
        <f t="shared" ca="1" si="157"/>
        <v>9.4132863075390816E-2</v>
      </c>
      <c r="DI119" s="2814">
        <f t="shared" ca="1" si="157"/>
        <v>0.14847380953008393</v>
      </c>
      <c r="DJ119" s="593">
        <f ca="1">DJ113/DE113-1</f>
        <v>0.11412262006474871</v>
      </c>
      <c r="DK119" s="747">
        <v>0.08</v>
      </c>
      <c r="DL119" s="747">
        <v>7.0000000000000007E-2</v>
      </c>
      <c r="DM119" s="747">
        <v>7.0000000000000007E-2</v>
      </c>
      <c r="DN119" s="747">
        <v>7.0000000000000007E-2</v>
      </c>
      <c r="DO119" s="593">
        <f ca="1">DO113/DJ113-1</f>
        <v>7.2120943667900672E-2</v>
      </c>
      <c r="DP119" s="747">
        <v>0.1</v>
      </c>
      <c r="DQ119" s="747">
        <v>0.1</v>
      </c>
      <c r="DR119" s="747">
        <v>0.1</v>
      </c>
      <c r="DS119" s="747">
        <v>0.1</v>
      </c>
      <c r="DT119" s="593">
        <f ca="1">DT113/DO113-1</f>
        <v>9.9972494412078561E-2</v>
      </c>
      <c r="DU119" s="747">
        <v>0.1</v>
      </c>
      <c r="DV119" s="747">
        <v>0.1</v>
      </c>
      <c r="DW119" s="747">
        <v>0.1</v>
      </c>
      <c r="DX119" s="747">
        <v>0.1</v>
      </c>
      <c r="DY119" s="593">
        <f ca="1">DY113/DT113-1</f>
        <v>9.9967535815118413E-2</v>
      </c>
    </row>
    <row r="120" spans="1:129" ht="11.25" customHeight="1" x14ac:dyDescent="0.2">
      <c r="A120" s="473"/>
      <c r="B120" s="778" t="s">
        <v>251</v>
      </c>
      <c r="C120" s="469"/>
      <c r="D120" s="469"/>
      <c r="E120" s="538"/>
      <c r="F120" s="538"/>
      <c r="G120" s="538"/>
      <c r="H120" s="538"/>
      <c r="I120" s="580"/>
      <c r="J120" s="538"/>
      <c r="K120" s="538"/>
      <c r="L120" s="538"/>
      <c r="M120" s="538"/>
      <c r="N120" s="580"/>
      <c r="O120" s="538"/>
      <c r="P120" s="538"/>
      <c r="Q120" s="538"/>
      <c r="R120" s="538"/>
      <c r="S120" s="580"/>
      <c r="T120" s="538"/>
      <c r="U120" s="538"/>
      <c r="V120" s="538"/>
      <c r="W120" s="538"/>
      <c r="X120" s="580"/>
      <c r="Y120" s="538"/>
      <c r="Z120" s="538"/>
      <c r="AA120" s="538"/>
      <c r="AB120" s="538"/>
      <c r="AC120" s="580"/>
      <c r="AD120" s="538"/>
      <c r="AE120" s="538"/>
      <c r="AF120" s="538"/>
      <c r="AG120" s="538"/>
      <c r="AH120" s="580"/>
      <c r="AI120" s="538"/>
      <c r="AJ120" s="538"/>
      <c r="AK120" s="538"/>
      <c r="AL120" s="538"/>
      <c r="AM120" s="580"/>
      <c r="AN120" s="538"/>
      <c r="AO120" s="538"/>
      <c r="AP120" s="538"/>
      <c r="AQ120" s="538"/>
      <c r="AR120" s="580"/>
      <c r="AS120" s="538"/>
      <c r="AT120" s="538"/>
      <c r="AU120" s="538"/>
      <c r="AV120" s="538"/>
      <c r="AW120" s="580"/>
      <c r="AX120" s="538"/>
      <c r="AY120" s="538"/>
      <c r="AZ120" s="538"/>
      <c r="BA120" s="538"/>
      <c r="BB120" s="580"/>
      <c r="BC120" s="538"/>
      <c r="BD120" s="538"/>
      <c r="BE120" s="538"/>
      <c r="BF120" s="538"/>
      <c r="BG120" s="580"/>
      <c r="BH120" s="538"/>
      <c r="BI120" s="538"/>
      <c r="BJ120" s="538"/>
      <c r="BK120" s="538"/>
      <c r="BL120" s="780">
        <f>BL114/BG114-1</f>
        <v>3.0403968789515918</v>
      </c>
      <c r="BM120" s="779">
        <f t="shared" si="153"/>
        <v>6.4969930561123093</v>
      </c>
      <c r="BN120" s="779">
        <f t="shared" si="153"/>
        <v>7.3536387443232876E-2</v>
      </c>
      <c r="BO120" s="779">
        <f t="shared" si="153"/>
        <v>3.8055279982363466E-2</v>
      </c>
      <c r="BP120" s="779">
        <f t="shared" si="153"/>
        <v>-9.9964867925830925E-2</v>
      </c>
      <c r="BQ120" s="780">
        <f t="shared" si="153"/>
        <v>0.27373785127716688</v>
      </c>
      <c r="BR120" s="779">
        <f t="shared" si="153"/>
        <v>2.2729605886075088E-2</v>
      </c>
      <c r="BS120" s="779">
        <f t="shared" si="153"/>
        <v>0.17086472452242107</v>
      </c>
      <c r="BT120" s="779">
        <f t="shared" si="153"/>
        <v>0.176370545939043</v>
      </c>
      <c r="BU120" s="779">
        <f t="shared" si="153"/>
        <v>0.25999474366537578</v>
      </c>
      <c r="BV120" s="780">
        <f t="shared" si="153"/>
        <v>0.15913366190511846</v>
      </c>
      <c r="BW120" s="779">
        <f t="shared" si="154"/>
        <v>0.14457671861448773</v>
      </c>
      <c r="BX120" s="779">
        <f t="shared" si="154"/>
        <v>-2.8830349562626312E-3</v>
      </c>
      <c r="BY120" s="779">
        <f t="shared" si="154"/>
        <v>-9.1311311125670258E-3</v>
      </c>
      <c r="BZ120" s="779">
        <f t="shared" si="154"/>
        <v>-2.6074126792585695E-2</v>
      </c>
      <c r="CA120" s="780">
        <f t="shared" si="154"/>
        <v>2.150883538587034E-2</v>
      </c>
      <c r="CB120" s="779">
        <f t="shared" si="154"/>
        <v>2.3318416050808644E-2</v>
      </c>
      <c r="CC120" s="779">
        <f t="shared" si="154"/>
        <v>-5.9025097542971472E-2</v>
      </c>
      <c r="CD120" s="779">
        <f t="shared" si="154"/>
        <v>-6.025422685489179E-2</v>
      </c>
      <c r="CE120" s="779">
        <f t="shared" si="154"/>
        <v>-3.6745281460357271E-2</v>
      </c>
      <c r="CF120" s="593">
        <f t="shared" si="154"/>
        <v>-3.4660904417401217E-2</v>
      </c>
      <c r="CG120" s="474">
        <f t="shared" si="155"/>
        <v>6.616881597584956E-2</v>
      </c>
      <c r="CH120" s="474">
        <f t="shared" si="155"/>
        <v>0.1404877090217076</v>
      </c>
      <c r="CI120" s="474">
        <f t="shared" si="155"/>
        <v>0.12430189724808449</v>
      </c>
      <c r="CJ120" s="474">
        <f>CJ114/CE114-1</f>
        <v>0.10402388434072973</v>
      </c>
      <c r="CK120" s="593">
        <f>CK114/CF114-1</f>
        <v>0.10945977345285729</v>
      </c>
      <c r="CL120" s="474">
        <f t="shared" ref="CL120:CT120" si="158">CL114/CG114-1</f>
        <v>-5.6151551339898798E-2</v>
      </c>
      <c r="CM120" s="474">
        <f t="shared" si="158"/>
        <v>-3.2868474768979472E-2</v>
      </c>
      <c r="CN120" s="474">
        <f t="shared" si="158"/>
        <v>2.8341131816968845E-2</v>
      </c>
      <c r="CO120" s="474">
        <f t="shared" si="158"/>
        <v>4.2379513836434679E-2</v>
      </c>
      <c r="CP120" s="593">
        <f t="shared" si="158"/>
        <v>-8.9008076907478584E-3</v>
      </c>
      <c r="CQ120" s="474">
        <f t="shared" si="158"/>
        <v>1.9813735141591682E-2</v>
      </c>
      <c r="CR120" s="474">
        <f t="shared" si="158"/>
        <v>0.11446858265499826</v>
      </c>
      <c r="CS120" s="474">
        <f t="shared" si="158"/>
        <v>5.5222969553817336E-2</v>
      </c>
      <c r="CT120" s="474">
        <f t="shared" si="158"/>
        <v>6.5408342156400012E-2</v>
      </c>
      <c r="CU120" s="593">
        <f t="shared" si="156"/>
        <v>7.4978828654919116E-2</v>
      </c>
      <c r="CV120" s="474">
        <f t="shared" ca="1" si="156"/>
        <v>-7.9518395679072151E-2</v>
      </c>
      <c r="CW120" s="474">
        <f t="shared" ca="1" si="156"/>
        <v>-0.17154366202517279</v>
      </c>
      <c r="CX120" s="474">
        <f t="shared" ca="1" si="156"/>
        <v>-0.1443202156597676</v>
      </c>
      <c r="CY120" s="474">
        <f t="shared" ca="1" si="156"/>
        <v>-0.16321038885364558</v>
      </c>
      <c r="CZ120" s="593">
        <f t="shared" si="156"/>
        <v>-0.14656753808476886</v>
      </c>
      <c r="DA120" s="474">
        <f t="shared" ca="1" si="156"/>
        <v>-3.1945934732968917E-2</v>
      </c>
      <c r="DB120" s="474">
        <f t="shared" ca="1" si="156"/>
        <v>-3.3446563638139026E-2</v>
      </c>
      <c r="DC120" s="474">
        <f t="shared" ca="1" si="156"/>
        <v>-3.3566708425091352E-2</v>
      </c>
      <c r="DD120" s="474">
        <f ca="1">DD114/CY114-1</f>
        <v>-4.0475652813827478E-2</v>
      </c>
      <c r="DE120" s="593">
        <f>DE114/CZ114-1</f>
        <v>-3.4888698590687994E-2</v>
      </c>
      <c r="DF120" s="1715">
        <f ca="1">DF114/DA114-1</f>
        <v>-9.1441252249717664E-3</v>
      </c>
      <c r="DG120" s="683">
        <f ca="1">DG114/DB114-1</f>
        <v>1.7147404997184257E-3</v>
      </c>
      <c r="DH120" s="683">
        <f ca="1">DH114/DC114-1</f>
        <v>6.7280351034930685E-3</v>
      </c>
      <c r="DI120" s="2814">
        <f ca="1">DI114/DD114-1</f>
        <v>2.7291454769765355E-2</v>
      </c>
      <c r="DJ120" s="593">
        <f>DJ114/DE114-1</f>
        <v>6.8151445981803338E-3</v>
      </c>
      <c r="DK120" s="474">
        <f ca="1">DK114/DF114-1</f>
        <v>3.3406652635683542E-3</v>
      </c>
      <c r="DL120" s="474">
        <f ca="1">DL114/DG114-1</f>
        <v>-9.8591954317859276E-3</v>
      </c>
      <c r="DM120" s="474">
        <f ca="1">DM114/DH114-1</f>
        <v>-2.6983581685521618E-2</v>
      </c>
      <c r="DN120" s="474">
        <f ca="1">DN114/DI114-1</f>
        <v>-4.4860224420996575E-2</v>
      </c>
      <c r="DO120" s="593">
        <f ca="1">DO114/DJ114-1</f>
        <v>-2.0193062134960749E-2</v>
      </c>
      <c r="DP120" s="474">
        <f ca="1">DP114/DK114-1</f>
        <v>3.1565388513091763E-2</v>
      </c>
      <c r="DQ120" s="474">
        <f ca="1">DQ114/DL114-1</f>
        <v>3.0494870461466039E-2</v>
      </c>
      <c r="DR120" s="474">
        <f ca="1">DR114/DM114-1</f>
        <v>2.9990108450116626E-2</v>
      </c>
      <c r="DS120" s="474">
        <f ca="1">DS114/DN114-1</f>
        <v>2.9260212586031953E-2</v>
      </c>
      <c r="DT120" s="593">
        <f ca="1">DT114/DO114-1</f>
        <v>3.0312081455639905E-2</v>
      </c>
      <c r="DU120" s="474">
        <f ca="1">DU114/DP114-1</f>
        <v>2.792924098033156E-2</v>
      </c>
      <c r="DV120" s="474">
        <f ca="1">DV114/DQ114-1</f>
        <v>2.6715948367900699E-2</v>
      </c>
      <c r="DW120" s="474">
        <f ca="1">DW114/DR114-1</f>
        <v>2.616226927490195E-2</v>
      </c>
      <c r="DX120" s="474">
        <f ca="1">DX114/DS114-1</f>
        <v>2.5353372103160909E-2</v>
      </c>
      <c r="DY120" s="593">
        <f ca="1">DY114/DT114-1</f>
        <v>2.6523606687694379E-2</v>
      </c>
    </row>
    <row r="121" spans="1:129" ht="12" customHeight="1" x14ac:dyDescent="0.2">
      <c r="A121" s="526"/>
      <c r="B121" s="742"/>
      <c r="C121" s="597"/>
      <c r="D121" s="597"/>
      <c r="E121" s="597"/>
      <c r="F121" s="597"/>
      <c r="G121" s="597"/>
      <c r="H121" s="597"/>
      <c r="I121" s="598"/>
      <c r="J121" s="597"/>
      <c r="K121" s="597"/>
      <c r="L121" s="597"/>
      <c r="M121" s="597"/>
      <c r="N121" s="598"/>
      <c r="O121" s="597"/>
      <c r="P121" s="597"/>
      <c r="Q121" s="597"/>
      <c r="R121" s="597"/>
      <c r="S121" s="598"/>
      <c r="T121" s="597"/>
      <c r="U121" s="597"/>
      <c r="V121" s="597"/>
      <c r="W121" s="597"/>
      <c r="X121" s="598"/>
      <c r="Y121" s="597"/>
      <c r="Z121" s="597"/>
      <c r="AA121" s="597"/>
      <c r="AB121" s="597"/>
      <c r="AC121" s="598"/>
      <c r="AD121" s="597"/>
      <c r="AE121" s="597"/>
      <c r="AF121" s="597"/>
      <c r="AG121" s="597"/>
      <c r="AH121" s="598"/>
      <c r="AI121" s="597"/>
      <c r="AJ121" s="597"/>
      <c r="AK121" s="597"/>
      <c r="AL121" s="597"/>
      <c r="AM121" s="598"/>
      <c r="AN121" s="597"/>
      <c r="AO121" s="597"/>
      <c r="AP121" s="597"/>
      <c r="AQ121" s="597"/>
      <c r="AR121" s="598"/>
      <c r="AS121" s="597"/>
      <c r="AT121" s="597"/>
      <c r="AU121" s="597"/>
      <c r="AV121" s="597"/>
      <c r="AW121" s="598"/>
      <c r="AX121" s="597"/>
      <c r="AY121" s="597"/>
      <c r="AZ121" s="597"/>
      <c r="BA121" s="597"/>
      <c r="BB121" s="598"/>
      <c r="BC121" s="597"/>
      <c r="BD121" s="597"/>
      <c r="BE121" s="597"/>
      <c r="BF121" s="597"/>
      <c r="BG121" s="598"/>
      <c r="BH121" s="597"/>
      <c r="BI121" s="597"/>
      <c r="BJ121" s="597"/>
      <c r="BK121" s="597"/>
      <c r="BL121" s="598"/>
      <c r="BM121" s="597"/>
      <c r="BN121" s="597"/>
      <c r="BO121" s="597"/>
      <c r="BP121" s="597"/>
      <c r="BQ121" s="598"/>
      <c r="BR121" s="597"/>
      <c r="BS121" s="597"/>
      <c r="BT121" s="597"/>
      <c r="BU121" s="597"/>
      <c r="BV121" s="598"/>
      <c r="BW121" s="597"/>
      <c r="BX121" s="597"/>
      <c r="BY121" s="597"/>
      <c r="BZ121" s="597"/>
      <c r="CA121" s="598"/>
      <c r="CB121" s="597"/>
      <c r="CC121" s="597"/>
      <c r="CD121" s="597"/>
      <c r="CE121" s="597"/>
      <c r="CF121" s="598"/>
      <c r="CG121" s="682"/>
      <c r="CH121" s="682"/>
      <c r="CI121" s="682"/>
      <c r="CJ121" s="682"/>
      <c r="CK121" s="598"/>
      <c r="CL121" s="682"/>
      <c r="CM121" s="682"/>
      <c r="CN121" s="682"/>
      <c r="CO121" s="682"/>
      <c r="CP121" s="598"/>
      <c r="CQ121" s="682"/>
      <c r="CR121" s="682"/>
      <c r="CS121" s="682"/>
      <c r="CT121" s="682"/>
      <c r="CU121" s="598"/>
      <c r="CV121" s="682"/>
      <c r="CW121" s="682"/>
      <c r="CX121" s="682"/>
      <c r="CY121" s="682"/>
      <c r="CZ121" s="598"/>
      <c r="DA121" s="682"/>
      <c r="DB121" s="682"/>
      <c r="DC121" s="682"/>
      <c r="DD121" s="682"/>
      <c r="DE121" s="598"/>
      <c r="DF121" s="1741"/>
      <c r="DG121" s="682"/>
      <c r="DH121" s="682"/>
      <c r="DI121" s="1610"/>
      <c r="DJ121" s="598"/>
      <c r="DK121" s="682"/>
      <c r="DL121" s="682"/>
      <c r="DM121" s="682"/>
      <c r="DN121" s="682"/>
      <c r="DO121" s="598"/>
      <c r="DP121" s="682"/>
      <c r="DQ121" s="682"/>
      <c r="DR121" s="682"/>
      <c r="DS121" s="682"/>
      <c r="DT121" s="598"/>
      <c r="DU121" s="682"/>
      <c r="DV121" s="682"/>
      <c r="DW121" s="682"/>
      <c r="DX121" s="682"/>
      <c r="DY121" s="598"/>
    </row>
    <row r="122" spans="1:129" ht="11.25" customHeight="1" x14ac:dyDescent="0.2">
      <c r="A122" s="526"/>
      <c r="B122" s="742" t="s">
        <v>763</v>
      </c>
      <c r="C122" s="597"/>
      <c r="D122" s="597"/>
      <c r="E122" s="726"/>
      <c r="F122" s="726"/>
      <c r="G122" s="726"/>
      <c r="H122" s="726"/>
      <c r="I122" s="598"/>
      <c r="J122" s="726"/>
      <c r="K122" s="726"/>
      <c r="L122" s="726"/>
      <c r="M122" s="726"/>
      <c r="N122" s="598"/>
      <c r="O122" s="726"/>
      <c r="P122" s="726"/>
      <c r="Q122" s="726"/>
      <c r="R122" s="726"/>
      <c r="S122" s="598"/>
      <c r="T122" s="726"/>
      <c r="U122" s="726"/>
      <c r="V122" s="726"/>
      <c r="W122" s="726"/>
      <c r="X122" s="598"/>
      <c r="Y122" s="726"/>
      <c r="Z122" s="726"/>
      <c r="AA122" s="726"/>
      <c r="AB122" s="726"/>
      <c r="AC122" s="598"/>
      <c r="AD122" s="726"/>
      <c r="AE122" s="726"/>
      <c r="AF122" s="726"/>
      <c r="AG122" s="726"/>
      <c r="AH122" s="598"/>
      <c r="AI122" s="726"/>
      <c r="AJ122" s="726"/>
      <c r="AK122" s="726"/>
      <c r="AL122" s="726"/>
      <c r="AM122" s="598"/>
      <c r="AN122" s="726"/>
      <c r="AO122" s="726"/>
      <c r="AP122" s="726"/>
      <c r="AQ122" s="726"/>
      <c r="AR122" s="598"/>
      <c r="AS122" s="726"/>
      <c r="AT122" s="726"/>
      <c r="AU122" s="726"/>
      <c r="AV122" s="726"/>
      <c r="AW122" s="598"/>
      <c r="AX122" s="726"/>
      <c r="AY122" s="726"/>
      <c r="AZ122" s="726"/>
      <c r="BA122" s="726"/>
      <c r="BB122" s="598"/>
      <c r="BC122" s="783">
        <v>0</v>
      </c>
      <c r="BD122" s="783">
        <v>0</v>
      </c>
      <c r="BE122" s="783">
        <v>0</v>
      </c>
      <c r="BF122" s="783">
        <v>0</v>
      </c>
      <c r="BG122" s="784">
        <v>0</v>
      </c>
      <c r="BH122" s="783">
        <v>156</v>
      </c>
      <c r="BI122" s="783">
        <v>1412.1</v>
      </c>
      <c r="BJ122" s="783">
        <v>1454.6</v>
      </c>
      <c r="BK122" s="783">
        <v>1595.5</v>
      </c>
      <c r="BL122" s="785">
        <f>BL10</f>
        <v>4618.2</v>
      </c>
      <c r="BM122" s="783">
        <v>1664.9</v>
      </c>
      <c r="BN122" s="783">
        <v>1540.2</v>
      </c>
      <c r="BO122" s="783">
        <v>1499.5</v>
      </c>
      <c r="BP122" s="783">
        <v>1643.7</v>
      </c>
      <c r="BQ122" s="785">
        <f>BQ10</f>
        <v>6348.3</v>
      </c>
      <c r="BR122" s="783">
        <v>1667.9</v>
      </c>
      <c r="BS122" s="783">
        <v>1770</v>
      </c>
      <c r="BT122" s="783">
        <v>1765.0614000000003</v>
      </c>
      <c r="BU122" s="786">
        <f>BU123*BU12</f>
        <v>1826.4</v>
      </c>
      <c r="BV122" s="785">
        <f>BV10</f>
        <v>7029.3613999999998</v>
      </c>
      <c r="BW122" s="786">
        <f>BW123*BW12</f>
        <v>1534</v>
      </c>
      <c r="BX122" s="786">
        <f>BX123*BX12</f>
        <v>1526</v>
      </c>
      <c r="BY122" s="786">
        <f>BY123*BY12</f>
        <v>1523</v>
      </c>
      <c r="BZ122" s="786">
        <f>BZ123*BZ12</f>
        <v>1553.2</v>
      </c>
      <c r="CA122" s="785">
        <f>CA10</f>
        <v>6136.2</v>
      </c>
      <c r="CB122" s="786">
        <f>CB123*CB12</f>
        <v>1875.4</v>
      </c>
      <c r="CC122" s="786">
        <f>CC123*CC12</f>
        <v>1947.4</v>
      </c>
      <c r="CD122" s="786">
        <f>CD123*CD12</f>
        <v>2000.6000000000001</v>
      </c>
      <c r="CE122" s="733">
        <f>CE123*CE12</f>
        <v>2184.6400000000003</v>
      </c>
      <c r="CF122" s="787">
        <f>CF10</f>
        <v>8008.0400000000009</v>
      </c>
      <c r="CG122" s="788">
        <f>CG123*CG12</f>
        <v>2516.8000000000002</v>
      </c>
      <c r="CH122" s="788">
        <f>CH123*CH12</f>
        <v>2524.98</v>
      </c>
      <c r="CI122" s="788">
        <f>CI123*CI12</f>
        <v>2472.7000000000003</v>
      </c>
      <c r="CJ122" s="788">
        <f>CJ123*CJ12</f>
        <v>2567.6000000000004</v>
      </c>
      <c r="CK122" s="787">
        <f>CK10</f>
        <v>10082.080000000002</v>
      </c>
      <c r="CL122" s="788">
        <f>CL123*CL12</f>
        <v>2478.4</v>
      </c>
      <c r="CM122" s="788">
        <f>CM123*CM12</f>
        <v>2541.7800000000002</v>
      </c>
      <c r="CN122" s="788">
        <f>CN123*CN12</f>
        <v>2612.56</v>
      </c>
      <c r="CO122" s="788">
        <f>CO123*CO12</f>
        <v>2609.58</v>
      </c>
      <c r="CP122" s="787">
        <f>CP10</f>
        <v>10242.32</v>
      </c>
      <c r="CQ122" s="788">
        <f>CQ123*CQ12</f>
        <v>2660.46</v>
      </c>
      <c r="CR122" s="788">
        <f>CR123*CR12</f>
        <v>2805.08</v>
      </c>
      <c r="CS122" s="788">
        <f>CS123*CS12</f>
        <v>2884.06</v>
      </c>
      <c r="CT122" s="788">
        <f>CT123*CT12</f>
        <v>3074.84</v>
      </c>
      <c r="CU122" s="787">
        <f>CU10</f>
        <v>11424.44</v>
      </c>
      <c r="CV122" s="788">
        <f>CV123*CV12</f>
        <v>3011.78</v>
      </c>
      <c r="CW122" s="788">
        <f>CW123*CW12</f>
        <v>3053.46</v>
      </c>
      <c r="CX122" s="788">
        <f>CX123*CX12</f>
        <v>3143.2495656880001</v>
      </c>
      <c r="CY122" s="788">
        <f>CY123*CY12</f>
        <v>3239.5</v>
      </c>
      <c r="CZ122" s="787">
        <f>CZ10</f>
        <v>12447.989565688</v>
      </c>
      <c r="DA122" s="788">
        <f>DA123*DA12</f>
        <v>3707.26</v>
      </c>
      <c r="DB122" s="788">
        <f>DB123*DB12</f>
        <v>3755.5400000000004</v>
      </c>
      <c r="DC122" s="788">
        <f>DC123*DC12</f>
        <v>3893.7599999999993</v>
      </c>
      <c r="DD122" s="788">
        <f>DD123*DD12</f>
        <v>4013.0400000000004</v>
      </c>
      <c r="DE122" s="787">
        <f>DE10</f>
        <v>10800</v>
      </c>
      <c r="DF122" s="2694">
        <f>DF123*DF12</f>
        <v>4060.2000000000003</v>
      </c>
      <c r="DG122" s="788">
        <f>DG123*DG12</f>
        <v>4148.22</v>
      </c>
      <c r="DH122" s="788">
        <f>DH123*DH12</f>
        <v>4243.1242171060003</v>
      </c>
      <c r="DI122" s="2812">
        <f>DI123*DI12</f>
        <v>4459.423724180002</v>
      </c>
      <c r="DJ122" s="787">
        <f>DJ10</f>
        <v>16910.967941286002</v>
      </c>
      <c r="DK122" s="788">
        <f ca="1">DK123*DK12</f>
        <v>4399.6648706313927</v>
      </c>
      <c r="DL122" s="788">
        <f ca="1">DL123*DL12</f>
        <v>4476.980858275293</v>
      </c>
      <c r="DM122" s="788">
        <f ca="1">DM123*DM12</f>
        <v>4500.2061857291774</v>
      </c>
      <c r="DN122" s="788">
        <f ca="1">DN123*DN12</f>
        <v>4642.7165428862181</v>
      </c>
      <c r="DO122" s="787">
        <f ca="1">DO10</f>
        <v>18019.56845752208</v>
      </c>
      <c r="DP122" s="788">
        <f ca="1">DP123*DP12</f>
        <v>4606.6201316242777</v>
      </c>
      <c r="DQ122" s="788">
        <f ca="1">DQ123*DQ12</f>
        <v>4682.7083967509634</v>
      </c>
      <c r="DR122" s="788">
        <f ca="1">DR123*DR12</f>
        <v>4704.6953751463871</v>
      </c>
      <c r="DS122" s="788">
        <f ca="1">DS123*DS12</f>
        <v>4850.2418671463711</v>
      </c>
      <c r="DT122" s="787">
        <f ca="1">DT10</f>
        <v>18844.265770668</v>
      </c>
      <c r="DU122" s="788">
        <f ca="1">DU123*DU12</f>
        <v>4806.3087284160374</v>
      </c>
      <c r="DV122" s="788">
        <f ca="1">DV123*DV12</f>
        <v>4879.9285633880036</v>
      </c>
      <c r="DW122" s="788">
        <f ca="1">DW123*DW12</f>
        <v>4900.1975956434626</v>
      </c>
      <c r="DX122" s="788">
        <f ca="1">DX123*DX12</f>
        <v>5047.8100318043798</v>
      </c>
      <c r="DY122" s="787">
        <f ca="1">DY10</f>
        <v>19634.244919251883</v>
      </c>
    </row>
    <row r="123" spans="1:129" ht="11.25" customHeight="1" x14ac:dyDescent="0.2">
      <c r="A123" s="473"/>
      <c r="B123" s="703" t="s">
        <v>764</v>
      </c>
      <c r="C123" s="469"/>
      <c r="D123" s="469"/>
      <c r="E123" s="469"/>
      <c r="F123" s="469"/>
      <c r="G123" s="469"/>
      <c r="H123" s="789"/>
      <c r="I123" s="580"/>
      <c r="J123" s="469"/>
      <c r="K123" s="469"/>
      <c r="L123" s="469"/>
      <c r="M123" s="789"/>
      <c r="N123" s="580"/>
      <c r="O123" s="469"/>
      <c r="P123" s="469"/>
      <c r="Q123" s="469"/>
      <c r="R123" s="789"/>
      <c r="S123" s="580"/>
      <c r="T123" s="469"/>
      <c r="U123" s="469"/>
      <c r="V123" s="469"/>
      <c r="W123" s="789"/>
      <c r="X123" s="580"/>
      <c r="Y123" s="469"/>
      <c r="Z123" s="469"/>
      <c r="AA123" s="469"/>
      <c r="AB123" s="789"/>
      <c r="AC123" s="580"/>
      <c r="AD123" s="469"/>
      <c r="AE123" s="469"/>
      <c r="AF123" s="469"/>
      <c r="AG123" s="789"/>
      <c r="AH123" s="580"/>
      <c r="AI123" s="469"/>
      <c r="AJ123" s="469"/>
      <c r="AK123" s="469"/>
      <c r="AL123" s="789"/>
      <c r="AM123" s="580"/>
      <c r="AN123" s="469"/>
      <c r="AO123" s="469"/>
      <c r="AP123" s="469"/>
      <c r="AQ123" s="789"/>
      <c r="AR123" s="580"/>
      <c r="AS123" s="469"/>
      <c r="AT123" s="469"/>
      <c r="AU123" s="469"/>
      <c r="AV123" s="789"/>
      <c r="AW123" s="580"/>
      <c r="AX123" s="469"/>
      <c r="AY123" s="469"/>
      <c r="AZ123" s="469"/>
      <c r="BA123" s="789"/>
      <c r="BB123" s="580"/>
      <c r="BC123" s="469"/>
      <c r="BD123" s="469"/>
      <c r="BE123" s="469"/>
      <c r="BF123" s="789"/>
      <c r="BG123" s="580"/>
      <c r="BH123" s="601">
        <v>0.17609210971892991</v>
      </c>
      <c r="BI123" s="601">
        <v>0.22426745017072974</v>
      </c>
      <c r="BJ123" s="601">
        <v>0.22636165577342046</v>
      </c>
      <c r="BK123" s="789">
        <v>0.22089465450165446</v>
      </c>
      <c r="BL123" s="582">
        <f t="shared" ref="BL123:BT123" si="159">BL122/BL12</f>
        <v>0.22169523745517564</v>
      </c>
      <c r="BM123" s="581">
        <f t="shared" si="159"/>
        <v>0.23703693157550046</v>
      </c>
      <c r="BN123" s="581">
        <f t="shared" si="159"/>
        <v>0.2218381368016247</v>
      </c>
      <c r="BO123" s="581">
        <f t="shared" si="159"/>
        <v>0.21894026778022749</v>
      </c>
      <c r="BP123" s="790">
        <f t="shared" si="159"/>
        <v>0.21419914773837914</v>
      </c>
      <c r="BQ123" s="582">
        <f t="shared" si="159"/>
        <v>0.22283102778938058</v>
      </c>
      <c r="BR123" s="581">
        <f t="shared" si="159"/>
        <v>0.22244005227921371</v>
      </c>
      <c r="BS123" s="581">
        <f t="shared" si="159"/>
        <v>0.20011532069328089</v>
      </c>
      <c r="BT123" s="581">
        <f t="shared" si="159"/>
        <v>0.20098169023707046</v>
      </c>
      <c r="BU123" s="623">
        <v>0.2</v>
      </c>
      <c r="BV123" s="582">
        <f>BV122/BV12</f>
        <v>0.20519309461049176</v>
      </c>
      <c r="BW123" s="623">
        <v>0.2</v>
      </c>
      <c r="BX123" s="623">
        <v>0.2</v>
      </c>
      <c r="BY123" s="623">
        <v>0.2</v>
      </c>
      <c r="BZ123" s="623">
        <v>0.2</v>
      </c>
      <c r="CA123" s="582">
        <f>CA122/CA12</f>
        <v>0.19999999999999998</v>
      </c>
      <c r="CB123" s="623">
        <v>0.2</v>
      </c>
      <c r="CC123" s="623">
        <v>0.2</v>
      </c>
      <c r="CD123" s="623">
        <v>0.2</v>
      </c>
      <c r="CE123" s="623">
        <v>0.2</v>
      </c>
      <c r="CF123" s="580">
        <f>CF122/CF12</f>
        <v>0.20000000000000004</v>
      </c>
      <c r="CG123" s="791">
        <v>0.2</v>
      </c>
      <c r="CH123" s="791">
        <v>0.2</v>
      </c>
      <c r="CI123" s="791">
        <v>0.2</v>
      </c>
      <c r="CJ123" s="791">
        <v>0.2</v>
      </c>
      <c r="CK123" s="580">
        <f>CK122/CK12</f>
        <v>0.20000000000000004</v>
      </c>
      <c r="CL123" s="791">
        <v>0.2</v>
      </c>
      <c r="CM123" s="791">
        <v>0.2</v>
      </c>
      <c r="CN123" s="791">
        <v>0.2</v>
      </c>
      <c r="CO123" s="791">
        <v>0.2</v>
      </c>
      <c r="CP123" s="580">
        <f>CP122/CP12</f>
        <v>0.2</v>
      </c>
      <c r="CQ123" s="791">
        <v>0.2</v>
      </c>
      <c r="CR123" s="791">
        <v>0.2</v>
      </c>
      <c r="CS123" s="791">
        <v>0.2</v>
      </c>
      <c r="CT123" s="791">
        <v>0.2</v>
      </c>
      <c r="CU123" s="580">
        <f>CU122/CU12</f>
        <v>0.2</v>
      </c>
      <c r="CV123" s="791">
        <v>0.2</v>
      </c>
      <c r="CW123" s="791">
        <v>0.2</v>
      </c>
      <c r="CX123" s="791">
        <v>0.2</v>
      </c>
      <c r="CY123" s="791">
        <v>0.2</v>
      </c>
      <c r="CZ123" s="580">
        <f>CZ122/CZ12</f>
        <v>0.2</v>
      </c>
      <c r="DA123" s="791">
        <v>0.2</v>
      </c>
      <c r="DB123" s="791">
        <v>0.2</v>
      </c>
      <c r="DC123" s="791">
        <v>0.2</v>
      </c>
      <c r="DD123" s="791">
        <v>0.2</v>
      </c>
      <c r="DE123" s="580">
        <f>DE122/DE12</f>
        <v>0.14053716427232979</v>
      </c>
      <c r="DF123" s="1714">
        <v>0.2</v>
      </c>
      <c r="DG123" s="791">
        <v>0.2</v>
      </c>
      <c r="DH123" s="1714">
        <v>0.2</v>
      </c>
      <c r="DI123" s="1714">
        <v>0.2</v>
      </c>
      <c r="DJ123" s="580">
        <f>DJ122/DJ12</f>
        <v>0.2</v>
      </c>
      <c r="DK123" s="791">
        <v>0.2</v>
      </c>
      <c r="DL123" s="791">
        <v>0.2</v>
      </c>
      <c r="DM123" s="791">
        <v>0.2</v>
      </c>
      <c r="DN123" s="791">
        <v>0.2</v>
      </c>
      <c r="DO123" s="580">
        <f ca="1">DO122/DO12</f>
        <v>0.2</v>
      </c>
      <c r="DP123" s="791">
        <v>0.2</v>
      </c>
      <c r="DQ123" s="791">
        <v>0.2</v>
      </c>
      <c r="DR123" s="791">
        <v>0.2</v>
      </c>
      <c r="DS123" s="791">
        <v>0.2</v>
      </c>
      <c r="DT123" s="580">
        <f ca="1">DT122/DT12</f>
        <v>0.2</v>
      </c>
      <c r="DU123" s="791">
        <v>0.2</v>
      </c>
      <c r="DV123" s="791">
        <v>0.2</v>
      </c>
      <c r="DW123" s="791">
        <v>0.2</v>
      </c>
      <c r="DX123" s="791">
        <v>0.2</v>
      </c>
      <c r="DY123" s="580">
        <f ca="1">DY122/DY12</f>
        <v>0.2</v>
      </c>
    </row>
    <row r="124" spans="1:129" ht="11.25" customHeight="1" x14ac:dyDescent="0.2">
      <c r="A124" s="473"/>
      <c r="B124" s="703" t="s">
        <v>765</v>
      </c>
      <c r="C124" s="469"/>
      <c r="D124" s="469"/>
      <c r="E124" s="469"/>
      <c r="F124" s="469"/>
      <c r="G124" s="469"/>
      <c r="H124" s="469"/>
      <c r="I124" s="580"/>
      <c r="J124" s="469"/>
      <c r="K124" s="469"/>
      <c r="L124" s="469"/>
      <c r="M124" s="469"/>
      <c r="N124" s="580"/>
      <c r="O124" s="469"/>
      <c r="P124" s="469"/>
      <c r="Q124" s="469"/>
      <c r="R124" s="469"/>
      <c r="S124" s="580"/>
      <c r="T124" s="469"/>
      <c r="U124" s="469"/>
      <c r="V124" s="469"/>
      <c r="W124" s="469"/>
      <c r="X124" s="580"/>
      <c r="Y124" s="469"/>
      <c r="Z124" s="469"/>
      <c r="AA124" s="469"/>
      <c r="AB124" s="469"/>
      <c r="AC124" s="580"/>
      <c r="AD124" s="469"/>
      <c r="AE124" s="469"/>
      <c r="AF124" s="469"/>
      <c r="AG124" s="469"/>
      <c r="AH124" s="580"/>
      <c r="AI124" s="469"/>
      <c r="AJ124" s="469"/>
      <c r="AK124" s="469"/>
      <c r="AL124" s="469"/>
      <c r="AM124" s="580"/>
      <c r="AN124" s="469"/>
      <c r="AO124" s="469"/>
      <c r="AP124" s="469"/>
      <c r="AQ124" s="469"/>
      <c r="AR124" s="580"/>
      <c r="AS124" s="469"/>
      <c r="AT124" s="469"/>
      <c r="AU124" s="469"/>
      <c r="AV124" s="469"/>
      <c r="AW124" s="580"/>
      <c r="AX124" s="469"/>
      <c r="AY124" s="469"/>
      <c r="AZ124" s="469"/>
      <c r="BA124" s="469"/>
      <c r="BB124" s="580"/>
      <c r="BC124" s="469"/>
      <c r="BD124" s="469"/>
      <c r="BE124" s="469"/>
      <c r="BF124" s="469"/>
      <c r="BG124" s="580"/>
      <c r="BH124" s="581">
        <f t="shared" ref="BH124:CZ124" si="160">BH122/BH14</f>
        <v>7.4063523714570562E-2</v>
      </c>
      <c r="BI124" s="581">
        <f t="shared" si="160"/>
        <v>0.13379634454856404</v>
      </c>
      <c r="BJ124" s="581">
        <f t="shared" si="160"/>
        <v>0.13642076041490817</v>
      </c>
      <c r="BK124" s="581">
        <f t="shared" si="160"/>
        <v>0.13740806448834769</v>
      </c>
      <c r="BL124" s="582">
        <f t="shared" si="160"/>
        <v>0.13218121035880293</v>
      </c>
      <c r="BM124" s="581">
        <f t="shared" si="160"/>
        <v>0.15466292604531481</v>
      </c>
      <c r="BN124" s="581">
        <f t="shared" si="160"/>
        <v>0.14452743788003902</v>
      </c>
      <c r="BO124" s="581">
        <f t="shared" si="160"/>
        <v>0.1419524016888502</v>
      </c>
      <c r="BP124" s="581">
        <f t="shared" si="160"/>
        <v>0.13948219240854356</v>
      </c>
      <c r="BQ124" s="582">
        <f t="shared" si="160"/>
        <v>0.14504034800727453</v>
      </c>
      <c r="BR124" s="581">
        <f t="shared" si="160"/>
        <v>0.14459721885078197</v>
      </c>
      <c r="BS124" s="581">
        <f t="shared" si="160"/>
        <v>0.13607115675858519</v>
      </c>
      <c r="BT124" s="581">
        <f t="shared" si="160"/>
        <v>0.13545823196703069</v>
      </c>
      <c r="BU124" s="581">
        <f t="shared" si="160"/>
        <v>0.13536910761932999</v>
      </c>
      <c r="BV124" s="582">
        <f t="shared" si="160"/>
        <v>0.13765517281895623</v>
      </c>
      <c r="BW124" s="581">
        <f t="shared" si="160"/>
        <v>0.12960459614734707</v>
      </c>
      <c r="BX124" s="581">
        <f t="shared" si="160"/>
        <v>0.12888513513513514</v>
      </c>
      <c r="BY124" s="581">
        <f t="shared" si="160"/>
        <v>0.12770417575046117</v>
      </c>
      <c r="BZ124" s="581">
        <f t="shared" si="160"/>
        <v>0.12755194218608853</v>
      </c>
      <c r="CA124" s="582">
        <f t="shared" si="160"/>
        <v>0.12842880763515352</v>
      </c>
      <c r="CB124" s="581">
        <f t="shared" si="160"/>
        <v>0.13382331953760526</v>
      </c>
      <c r="CC124" s="581">
        <f t="shared" si="160"/>
        <v>0.13348413188018371</v>
      </c>
      <c r="CD124" s="581">
        <f t="shared" si="160"/>
        <v>0.13519394512771998</v>
      </c>
      <c r="CE124" s="468">
        <f t="shared" si="160"/>
        <v>0.13762985642557002</v>
      </c>
      <c r="CF124" s="580">
        <f t="shared" si="160"/>
        <v>0.13510138457982634</v>
      </c>
      <c r="CG124" s="473">
        <f t="shared" si="160"/>
        <v>0.13753005464480875</v>
      </c>
      <c r="CH124" s="473">
        <f t="shared" si="160"/>
        <v>0.13705882991542995</v>
      </c>
      <c r="CI124" s="473">
        <f t="shared" si="160"/>
        <v>0.13676891932254392</v>
      </c>
      <c r="CJ124" s="473">
        <f t="shared" si="160"/>
        <v>0.13773200300396954</v>
      </c>
      <c r="CK124" s="580">
        <f t="shared" si="160"/>
        <v>0.13727574750830568</v>
      </c>
      <c r="CL124" s="473">
        <f t="shared" si="160"/>
        <v>0.1353503358636885</v>
      </c>
      <c r="CM124" s="473">
        <f t="shared" si="160"/>
        <v>0.13520250215427826</v>
      </c>
      <c r="CN124" s="473">
        <f t="shared" si="160"/>
        <v>0.13409709176393292</v>
      </c>
      <c r="CO124" s="473">
        <f>CO122/CO14</f>
        <v>0.13304002039255672</v>
      </c>
      <c r="CP124" s="580">
        <f t="shared" si="160"/>
        <v>0.13439883267461331</v>
      </c>
      <c r="CQ124" s="473">
        <f t="shared" si="160"/>
        <v>0.13173789681655451</v>
      </c>
      <c r="CR124" s="473">
        <f t="shared" si="160"/>
        <v>0.12845949176371452</v>
      </c>
      <c r="CS124" s="473">
        <f t="shared" si="160"/>
        <v>0.12798704180349693</v>
      </c>
      <c r="CT124" s="473">
        <f t="shared" si="160"/>
        <v>0.12879288607414666</v>
      </c>
      <c r="CU124" s="580">
        <f t="shared" si="160"/>
        <v>0.12917773352917297</v>
      </c>
      <c r="CV124" s="473">
        <f>CV122/CV14</f>
        <v>0.12612725041773282</v>
      </c>
      <c r="CW124" s="473">
        <f>CW122/CW14</f>
        <v>0.12492932103185156</v>
      </c>
      <c r="CX124" s="473">
        <f>CX122/CX14</f>
        <v>0.12312820696945831</v>
      </c>
      <c r="CY124" s="473">
        <f>CY122/CY14</f>
        <v>0.12218102882238945</v>
      </c>
      <c r="CZ124" s="580">
        <f t="shared" si="160"/>
        <v>0.12403016014174015</v>
      </c>
      <c r="DA124" s="473">
        <f>DA122/DA14</f>
        <v>0.12888093168781506</v>
      </c>
      <c r="DB124" s="473">
        <f>DB122/DB14</f>
        <v>0.12726459435372098</v>
      </c>
      <c r="DC124" s="473">
        <f>DC122/DC14</f>
        <v>0.12796172085273635</v>
      </c>
      <c r="DD124" s="473">
        <f>DD122/DD14</f>
        <v>0.12837907438746229</v>
      </c>
      <c r="DE124" s="580">
        <f t="shared" ref="DE124:DJ124" si="161">DE122/DE14</f>
        <v>9.0027608466596423E-2</v>
      </c>
      <c r="DF124" s="2695">
        <f t="shared" si="161"/>
        <v>0.13004000294657414</v>
      </c>
      <c r="DG124" s="473">
        <f t="shared" ref="DG124:DI124" si="162">DG122/DG14</f>
        <v>0.12832615635904671</v>
      </c>
      <c r="DH124" s="473">
        <f t="shared" si="162"/>
        <v>0.12898680734640897</v>
      </c>
      <c r="DI124" s="473">
        <f t="shared" si="162"/>
        <v>0.1305760848744415</v>
      </c>
      <c r="DJ124" s="580">
        <f t="shared" si="161"/>
        <v>0.12949070340794494</v>
      </c>
      <c r="DK124" s="473">
        <f t="shared" ref="DK124:DT124" ca="1" si="163">DK122/DK14</f>
        <v>0.13670968099392652</v>
      </c>
      <c r="DL124" s="473">
        <f t="shared" ca="1" si="163"/>
        <v>0.12838584660184385</v>
      </c>
      <c r="DM124" s="473">
        <f t="shared" ca="1" si="163"/>
        <v>0.12869147558750949</v>
      </c>
      <c r="DN124" s="473">
        <f t="shared" ca="1" si="163"/>
        <v>0.13042718424390065</v>
      </c>
      <c r="DO124" s="580">
        <f t="shared" ca="1" si="163"/>
        <v>0.13093806349225443</v>
      </c>
      <c r="DP124" s="473">
        <f t="shared" ca="1" si="163"/>
        <v>0.13628020768688878</v>
      </c>
      <c r="DQ124" s="473">
        <f t="shared" ca="1" si="163"/>
        <v>0.1279993029950332</v>
      </c>
      <c r="DR124" s="473">
        <f t="shared" ca="1" si="163"/>
        <v>0.12837775755770695</v>
      </c>
      <c r="DS124" s="473">
        <f t="shared" ca="1" si="163"/>
        <v>0.13017786399745626</v>
      </c>
      <c r="DT124" s="580">
        <f t="shared" ca="1" si="163"/>
        <v>0.13059788426965113</v>
      </c>
      <c r="DU124" s="473">
        <f t="shared" ref="DU124:DY124" ca="1" si="164">DU122/DU14</f>
        <v>0.13604635789972555</v>
      </c>
      <c r="DV124" s="473">
        <f t="shared" ca="1" si="164"/>
        <v>0.12785325403515371</v>
      </c>
      <c r="DW124" s="473">
        <f t="shared" ca="1" si="164"/>
        <v>0.12832162303551883</v>
      </c>
      <c r="DX124" s="473">
        <f t="shared" ca="1" si="164"/>
        <v>0.13019906994352759</v>
      </c>
      <c r="DY124" s="580">
        <f t="shared" ca="1" si="164"/>
        <v>0.13050046787301237</v>
      </c>
    </row>
    <row r="125" spans="1:129" ht="11.25" customHeight="1" x14ac:dyDescent="0.2">
      <c r="A125" s="473"/>
      <c r="B125" s="703" t="s">
        <v>219</v>
      </c>
      <c r="C125" s="469"/>
      <c r="D125" s="469"/>
      <c r="E125" s="469"/>
      <c r="F125" s="469"/>
      <c r="G125" s="469"/>
      <c r="H125" s="469"/>
      <c r="I125" s="580"/>
      <c r="J125" s="469"/>
      <c r="K125" s="469"/>
      <c r="L125" s="469"/>
      <c r="M125" s="469"/>
      <c r="N125" s="580"/>
      <c r="O125" s="469"/>
      <c r="P125" s="469"/>
      <c r="Q125" s="469"/>
      <c r="R125" s="469"/>
      <c r="S125" s="580"/>
      <c r="T125" s="469"/>
      <c r="U125" s="469"/>
      <c r="V125" s="469"/>
      <c r="W125" s="469"/>
      <c r="X125" s="580"/>
      <c r="Y125" s="469"/>
      <c r="Z125" s="469"/>
      <c r="AA125" s="469"/>
      <c r="AB125" s="469"/>
      <c r="AC125" s="580"/>
      <c r="AD125" s="469"/>
      <c r="AE125" s="469"/>
      <c r="AF125" s="469"/>
      <c r="AG125" s="469"/>
      <c r="AH125" s="580"/>
      <c r="AI125" s="469"/>
      <c r="AJ125" s="469"/>
      <c r="AK125" s="469"/>
      <c r="AL125" s="469"/>
      <c r="AM125" s="580"/>
      <c r="AN125" s="469"/>
      <c r="AO125" s="469"/>
      <c r="AP125" s="469"/>
      <c r="AQ125" s="469"/>
      <c r="AR125" s="580"/>
      <c r="AS125" s="469"/>
      <c r="AT125" s="469"/>
      <c r="AU125" s="469"/>
      <c r="AV125" s="469"/>
      <c r="AW125" s="580"/>
      <c r="AX125" s="469"/>
      <c r="AY125" s="469"/>
      <c r="AZ125" s="469"/>
      <c r="BA125" s="469"/>
      <c r="BB125" s="580"/>
      <c r="BC125" s="469"/>
      <c r="BD125" s="469"/>
      <c r="BE125" s="469"/>
      <c r="BF125" s="469"/>
      <c r="BG125" s="580"/>
      <c r="BH125" s="469"/>
      <c r="BI125" s="469"/>
      <c r="BJ125" s="469"/>
      <c r="BK125" s="469"/>
      <c r="BL125" s="580"/>
      <c r="BM125" s="581">
        <f t="shared" ref="BM125:CZ125" si="165">BM122/BH122-1</f>
        <v>9.6724358974358982</v>
      </c>
      <c r="BN125" s="581">
        <f t="shared" si="165"/>
        <v>9.0715954960696843E-2</v>
      </c>
      <c r="BO125" s="581">
        <f t="shared" si="165"/>
        <v>3.0867592465282589E-2</v>
      </c>
      <c r="BP125" s="581">
        <f t="shared" si="165"/>
        <v>3.0209965528047666E-2</v>
      </c>
      <c r="BQ125" s="582">
        <f t="shared" si="165"/>
        <v>0.37462647784851244</v>
      </c>
      <c r="BR125" s="581">
        <f t="shared" si="165"/>
        <v>1.8019100246260411E-3</v>
      </c>
      <c r="BS125" s="581">
        <f t="shared" si="165"/>
        <v>0.1492014024152708</v>
      </c>
      <c r="BT125" s="581">
        <f t="shared" si="165"/>
        <v>0.17709996665555194</v>
      </c>
      <c r="BU125" s="581">
        <f t="shared" si="165"/>
        <v>0.11115167001277615</v>
      </c>
      <c r="BV125" s="582">
        <f t="shared" si="165"/>
        <v>0.10728248507474425</v>
      </c>
      <c r="BW125" s="581">
        <f t="shared" si="165"/>
        <v>-8.0280592361652414E-2</v>
      </c>
      <c r="BX125" s="581">
        <f t="shared" si="165"/>
        <v>-0.13785310734463274</v>
      </c>
      <c r="BY125" s="581">
        <f t="shared" si="165"/>
        <v>-0.13714049834187081</v>
      </c>
      <c r="BZ125" s="581">
        <f t="shared" si="165"/>
        <v>-0.14958388085851948</v>
      </c>
      <c r="CA125" s="582">
        <f t="shared" si="165"/>
        <v>-0.12706152795046222</v>
      </c>
      <c r="CB125" s="581">
        <f t="shared" si="165"/>
        <v>0.22255541069100393</v>
      </c>
      <c r="CC125" s="581">
        <f t="shared" si="165"/>
        <v>0.27614678899082579</v>
      </c>
      <c r="CD125" s="581">
        <f t="shared" si="165"/>
        <v>0.31359159553512805</v>
      </c>
      <c r="CE125" s="468">
        <f t="shared" si="165"/>
        <v>0.40654133402008763</v>
      </c>
      <c r="CF125" s="580">
        <f t="shared" si="165"/>
        <v>0.30504872722531884</v>
      </c>
      <c r="CG125" s="473">
        <f t="shared" si="165"/>
        <v>0.34200703849845371</v>
      </c>
      <c r="CH125" s="473">
        <f t="shared" si="165"/>
        <v>0.29659032556228815</v>
      </c>
      <c r="CI125" s="473">
        <f t="shared" si="165"/>
        <v>0.23597920623812851</v>
      </c>
      <c r="CJ125" s="473">
        <f t="shared" si="165"/>
        <v>0.17529661637615357</v>
      </c>
      <c r="CK125" s="580">
        <f t="shared" si="165"/>
        <v>0.2589947103161323</v>
      </c>
      <c r="CL125" s="473">
        <f t="shared" si="165"/>
        <v>-1.5257469802924417E-2</v>
      </c>
      <c r="CM125" s="473">
        <f t="shared" si="165"/>
        <v>6.6535180476676725E-3</v>
      </c>
      <c r="CN125" s="473">
        <f t="shared" si="165"/>
        <v>5.6561653253528466E-2</v>
      </c>
      <c r="CO125" s="473">
        <f t="shared" si="165"/>
        <v>1.6349898738120983E-2</v>
      </c>
      <c r="CP125" s="580">
        <f t="shared" si="165"/>
        <v>1.5893545776268114E-2</v>
      </c>
      <c r="CQ125" s="473">
        <f t="shared" si="165"/>
        <v>7.3458683021303983E-2</v>
      </c>
      <c r="CR125" s="473">
        <f t="shared" si="165"/>
        <v>0.10358882358032551</v>
      </c>
      <c r="CS125" s="473">
        <f t="shared" si="165"/>
        <v>0.10392105827234599</v>
      </c>
      <c r="CT125" s="473">
        <f t="shared" si="165"/>
        <v>0.17828922661884294</v>
      </c>
      <c r="CU125" s="580">
        <f t="shared" si="165"/>
        <v>0.11541525748072701</v>
      </c>
      <c r="CV125" s="473">
        <f>CV122/CQ122-1</f>
        <v>0.1320523518489285</v>
      </c>
      <c r="CW125" s="473">
        <f>CW122/CR122-1</f>
        <v>8.854649421763372E-2</v>
      </c>
      <c r="CX125" s="473">
        <f>CX122/CS122-1</f>
        <v>8.9869685681990052E-2</v>
      </c>
      <c r="CY125" s="473">
        <f>CY122/CT122-1</f>
        <v>5.3550753860363454E-2</v>
      </c>
      <c r="CZ125" s="580">
        <f t="shared" si="165"/>
        <v>8.9592974858111241E-2</v>
      </c>
      <c r="DA125" s="473">
        <f>DA122/CV122-1</f>
        <v>0.23091992110977566</v>
      </c>
      <c r="DB125" s="473">
        <f>DB122/CW122-1</f>
        <v>0.2299293260759927</v>
      </c>
      <c r="DC125" s="473">
        <f>DC122/CX122-1</f>
        <v>0.23876896142916548</v>
      </c>
      <c r="DD125" s="473">
        <f>DD122/CY122-1</f>
        <v>0.2387837629263776</v>
      </c>
      <c r="DE125" s="580">
        <f t="shared" ref="DE125:DJ125" si="166">DE122/CZ122-1</f>
        <v>-0.1323900182428307</v>
      </c>
      <c r="DF125" s="2695">
        <f>DF122/DA122-1</f>
        <v>9.5202386668321148E-2</v>
      </c>
      <c r="DG125" s="473">
        <f>DG122/DB122-1</f>
        <v>0.10456019640318037</v>
      </c>
      <c r="DH125" s="473">
        <f>DH122/DC122-1</f>
        <v>8.9724127092065453E-2</v>
      </c>
      <c r="DI125" s="473">
        <f>DI122/DD122-1</f>
        <v>0.11123331045292395</v>
      </c>
      <c r="DJ125" s="580">
        <f t="shared" si="166"/>
        <v>0.56583036493388916</v>
      </c>
      <c r="DK125" s="473">
        <f t="shared" ref="DK125:DT125" ca="1" si="167">DK122/DF122-1</f>
        <v>8.3607918484654098E-2</v>
      </c>
      <c r="DL125" s="473">
        <f t="shared" ca="1" si="167"/>
        <v>7.9253476979353144E-2</v>
      </c>
      <c r="DM125" s="473">
        <f t="shared" ca="1" si="167"/>
        <v>6.0587895962781468E-2</v>
      </c>
      <c r="DN125" s="473">
        <f t="shared" ca="1" si="167"/>
        <v>4.1102355381113842E-2</v>
      </c>
      <c r="DO125" s="580">
        <f t="shared" ca="1" si="167"/>
        <v>6.5555119026011965E-2</v>
      </c>
      <c r="DP125" s="473">
        <f t="shared" ca="1" si="167"/>
        <v>4.7038869340787937E-2</v>
      </c>
      <c r="DQ125" s="473">
        <f t="shared" ca="1" si="167"/>
        <v>4.595229351838781E-2</v>
      </c>
      <c r="DR125" s="473">
        <f t="shared" ca="1" si="167"/>
        <v>4.5439960076868235E-2</v>
      </c>
      <c r="DS125" s="473">
        <f t="shared" ca="1" si="167"/>
        <v>4.4699115774822218E-2</v>
      </c>
      <c r="DT125" s="580">
        <f t="shared" ca="1" si="167"/>
        <v>4.5766762677474482E-2</v>
      </c>
      <c r="DU125" s="473">
        <f t="shared" ref="DU125" ca="1" si="168">DU122/DP122-1</f>
        <v>4.3348179595036562E-2</v>
      </c>
      <c r="DV125" s="473">
        <f t="shared" ref="DV125" ca="1" si="169">DV122/DQ122-1</f>
        <v>4.2116687593418911E-2</v>
      </c>
      <c r="DW125" s="473">
        <f t="shared" ref="DW125" ca="1" si="170">DW122/DR122-1</f>
        <v>4.1554703314025332E-2</v>
      </c>
      <c r="DX125" s="473">
        <f t="shared" ref="DX125" ca="1" si="171">DX122/DS122-1</f>
        <v>4.0733672684708289E-2</v>
      </c>
      <c r="DY125" s="580">
        <f t="shared" ref="DY125" ca="1" si="172">DY122/DT122-1</f>
        <v>4.1921460788009179E-2</v>
      </c>
    </row>
    <row r="126" spans="1:129" ht="6.75" customHeight="1" x14ac:dyDescent="0.2">
      <c r="A126" s="526"/>
      <c r="B126" s="742"/>
      <c r="C126" s="597"/>
      <c r="D126" s="597"/>
      <c r="E126" s="597"/>
      <c r="F126" s="597"/>
      <c r="G126" s="597"/>
      <c r="H126" s="597"/>
      <c r="I126" s="598"/>
      <c r="J126" s="597"/>
      <c r="K126" s="597"/>
      <c r="L126" s="597"/>
      <c r="M126" s="597"/>
      <c r="N126" s="598"/>
      <c r="O126" s="597"/>
      <c r="P126" s="597"/>
      <c r="Q126" s="597"/>
      <c r="R126" s="597"/>
      <c r="S126" s="598"/>
      <c r="T126" s="597"/>
      <c r="U126" s="597"/>
      <c r="V126" s="597"/>
      <c r="W126" s="597"/>
      <c r="X126" s="598"/>
      <c r="Y126" s="597"/>
      <c r="Z126" s="597"/>
      <c r="AA126" s="597"/>
      <c r="AB126" s="597"/>
      <c r="AC126" s="598"/>
      <c r="AD126" s="597"/>
      <c r="AE126" s="597"/>
      <c r="AF126" s="597"/>
      <c r="AG126" s="597"/>
      <c r="AH126" s="598"/>
      <c r="AI126" s="597"/>
      <c r="AJ126" s="597"/>
      <c r="AK126" s="597"/>
      <c r="AL126" s="597"/>
      <c r="AM126" s="598"/>
      <c r="AN126" s="597"/>
      <c r="AO126" s="597"/>
      <c r="AP126" s="597"/>
      <c r="AQ126" s="597"/>
      <c r="AR126" s="598"/>
      <c r="AS126" s="597"/>
      <c r="AT126" s="597"/>
      <c r="AU126" s="597"/>
      <c r="AV126" s="597"/>
      <c r="AW126" s="598"/>
      <c r="AX126" s="597"/>
      <c r="AY126" s="597"/>
      <c r="AZ126" s="597"/>
      <c r="BA126" s="597"/>
      <c r="BB126" s="598"/>
      <c r="BC126" s="597"/>
      <c r="BD126" s="597"/>
      <c r="BE126" s="597"/>
      <c r="BF126" s="597"/>
      <c r="BG126" s="598"/>
      <c r="BH126" s="597"/>
      <c r="BI126" s="597"/>
      <c r="BJ126" s="597"/>
      <c r="BK126" s="597"/>
      <c r="BL126" s="598"/>
      <c r="BM126" s="597"/>
      <c r="BN126" s="597"/>
      <c r="BO126" s="597"/>
      <c r="BP126" s="597"/>
      <c r="BQ126" s="598"/>
      <c r="BR126" s="597"/>
      <c r="BS126" s="597"/>
      <c r="BT126" s="597"/>
      <c r="BU126" s="597"/>
      <c r="BV126" s="598"/>
      <c r="BW126" s="597"/>
      <c r="BX126" s="597"/>
      <c r="BY126" s="597"/>
      <c r="BZ126" s="597"/>
      <c r="CA126" s="598"/>
      <c r="CB126" s="597"/>
      <c r="CC126" s="597"/>
      <c r="CD126" s="597"/>
      <c r="CE126" s="597"/>
      <c r="CF126" s="598"/>
      <c r="CG126" s="682"/>
      <c r="CH126" s="682"/>
      <c r="CI126" s="682"/>
      <c r="CJ126" s="682"/>
      <c r="CK126" s="598"/>
      <c r="CL126" s="682"/>
      <c r="CM126" s="682"/>
      <c r="CN126" s="682"/>
      <c r="CO126" s="682"/>
      <c r="CP126" s="598"/>
      <c r="CQ126" s="682"/>
      <c r="CR126" s="682"/>
      <c r="CS126" s="682"/>
      <c r="CT126" s="682"/>
      <c r="CU126" s="598"/>
      <c r="CV126" s="682"/>
      <c r="CW126" s="682"/>
      <c r="CX126" s="682"/>
      <c r="CY126" s="682"/>
      <c r="CZ126" s="598"/>
      <c r="DA126" s="682"/>
      <c r="DB126" s="682"/>
      <c r="DC126" s="682"/>
      <c r="DD126" s="682"/>
      <c r="DE126" s="598"/>
      <c r="DF126" s="1741"/>
      <c r="DG126" s="682"/>
      <c r="DH126" s="682"/>
      <c r="DI126" s="1610"/>
      <c r="DJ126" s="598"/>
      <c r="DK126" s="682"/>
      <c r="DL126" s="682"/>
      <c r="DM126" s="682"/>
      <c r="DN126" s="682"/>
      <c r="DO126" s="598"/>
      <c r="DP126" s="682"/>
      <c r="DQ126" s="682"/>
      <c r="DR126" s="682"/>
      <c r="DS126" s="682"/>
      <c r="DT126" s="598"/>
      <c r="DU126" s="682"/>
      <c r="DV126" s="682"/>
      <c r="DW126" s="682"/>
      <c r="DX126" s="682"/>
      <c r="DY126" s="598"/>
    </row>
    <row r="127" spans="1:129" ht="11.25" customHeight="1" x14ac:dyDescent="0.2">
      <c r="A127" s="526"/>
      <c r="B127" s="727" t="s">
        <v>766</v>
      </c>
      <c r="C127" s="691"/>
      <c r="D127" s="597"/>
      <c r="E127" s="597"/>
      <c r="F127" s="597"/>
      <c r="G127" s="597"/>
      <c r="H127" s="597"/>
      <c r="I127" s="598"/>
      <c r="J127" s="597"/>
      <c r="K127" s="597"/>
      <c r="L127" s="597"/>
      <c r="M127" s="597"/>
      <c r="N127" s="598"/>
      <c r="O127" s="597"/>
      <c r="P127" s="597"/>
      <c r="Q127" s="597"/>
      <c r="R127" s="597"/>
      <c r="S127" s="598"/>
      <c r="T127" s="597"/>
      <c r="U127" s="597"/>
      <c r="V127" s="597"/>
      <c r="W127" s="597"/>
      <c r="X127" s="598"/>
      <c r="Y127" s="597"/>
      <c r="Z127" s="597"/>
      <c r="AA127" s="597"/>
      <c r="AB127" s="597"/>
      <c r="AC127" s="598"/>
      <c r="AD127" s="597"/>
      <c r="AE127" s="597"/>
      <c r="AF127" s="597"/>
      <c r="AG127" s="597"/>
      <c r="AH127" s="598"/>
      <c r="AI127" s="597"/>
      <c r="AJ127" s="597"/>
      <c r="AK127" s="597"/>
      <c r="AL127" s="597"/>
      <c r="AM127" s="598"/>
      <c r="AN127" s="597"/>
      <c r="AO127" s="597"/>
      <c r="AP127" s="597"/>
      <c r="AQ127" s="597"/>
      <c r="AR127" s="598"/>
      <c r="AS127" s="597"/>
      <c r="AT127" s="597"/>
      <c r="AU127" s="597"/>
      <c r="AV127" s="597"/>
      <c r="AW127" s="598"/>
      <c r="AX127" s="597"/>
      <c r="AY127" s="597"/>
      <c r="AZ127" s="597"/>
      <c r="BA127" s="597"/>
      <c r="BB127" s="598"/>
      <c r="BC127" s="597"/>
      <c r="BD127" s="597"/>
      <c r="BE127" s="597"/>
      <c r="BF127" s="597"/>
      <c r="BG127" s="598"/>
      <c r="BH127" s="597"/>
      <c r="BI127" s="597"/>
      <c r="BJ127" s="597"/>
      <c r="BK127" s="597"/>
      <c r="BL127" s="598"/>
      <c r="BM127" s="597"/>
      <c r="BN127" s="597"/>
      <c r="BO127" s="597"/>
      <c r="BP127" s="597"/>
      <c r="BQ127" s="598"/>
      <c r="BR127" s="597"/>
      <c r="BS127" s="597"/>
      <c r="BT127" s="597"/>
      <c r="BU127" s="597"/>
      <c r="BV127" s="598"/>
      <c r="BW127" s="597"/>
      <c r="BX127" s="597"/>
      <c r="BY127" s="597"/>
      <c r="BZ127" s="597"/>
      <c r="CA127" s="598"/>
      <c r="CB127" s="597"/>
      <c r="CC127" s="597"/>
      <c r="CD127" s="597"/>
      <c r="CE127" s="597"/>
      <c r="CF127" s="598"/>
      <c r="CG127" s="682"/>
      <c r="CH127" s="682"/>
      <c r="CI127" s="682"/>
      <c r="CJ127" s="682"/>
      <c r="CK127" s="598"/>
      <c r="CL127" s="682"/>
      <c r="CM127" s="682"/>
      <c r="CN127" s="682"/>
      <c r="CO127" s="682"/>
      <c r="CP127" s="598"/>
      <c r="CQ127" s="682"/>
      <c r="CR127" s="682"/>
      <c r="CS127" s="682"/>
      <c r="CT127" s="682"/>
      <c r="CU127" s="598"/>
      <c r="CV127" s="682"/>
      <c r="CW127" s="682"/>
      <c r="CX127" s="682"/>
      <c r="CY127" s="682"/>
      <c r="CZ127" s="598"/>
      <c r="DA127" s="682"/>
      <c r="DB127" s="682"/>
      <c r="DC127" s="682"/>
      <c r="DD127" s="682"/>
      <c r="DE127" s="598"/>
      <c r="DF127" s="1741"/>
      <c r="DG127" s="682"/>
      <c r="DH127" s="682"/>
      <c r="DI127" s="1610"/>
      <c r="DJ127" s="598"/>
      <c r="DK127" s="682"/>
      <c r="DL127" s="682"/>
      <c r="DM127" s="682"/>
      <c r="DN127" s="682"/>
      <c r="DO127" s="598"/>
      <c r="DP127" s="682"/>
      <c r="DQ127" s="682"/>
      <c r="DR127" s="682"/>
      <c r="DS127" s="682"/>
      <c r="DT127" s="598"/>
      <c r="DU127" s="682"/>
      <c r="DV127" s="682"/>
      <c r="DW127" s="682"/>
      <c r="DX127" s="682"/>
      <c r="DY127" s="598"/>
    </row>
    <row r="128" spans="1:129" ht="5.25" customHeight="1" x14ac:dyDescent="0.2">
      <c r="A128" s="526"/>
      <c r="B128" s="742"/>
      <c r="C128" s="597"/>
      <c r="D128" s="597"/>
      <c r="E128" s="597"/>
      <c r="F128" s="597"/>
      <c r="G128" s="597"/>
      <c r="H128" s="597"/>
      <c r="I128" s="598"/>
      <c r="J128" s="597"/>
      <c r="K128" s="597"/>
      <c r="L128" s="597"/>
      <c r="M128" s="597"/>
      <c r="N128" s="598"/>
      <c r="O128" s="597"/>
      <c r="P128" s="597"/>
      <c r="Q128" s="597"/>
      <c r="R128" s="597"/>
      <c r="S128" s="598"/>
      <c r="T128" s="597"/>
      <c r="U128" s="597"/>
      <c r="V128" s="597"/>
      <c r="W128" s="597"/>
      <c r="X128" s="598"/>
      <c r="Y128" s="597"/>
      <c r="Z128" s="597"/>
      <c r="AA128" s="597"/>
      <c r="AB128" s="597"/>
      <c r="AC128" s="598"/>
      <c r="AD128" s="597"/>
      <c r="AE128" s="597"/>
      <c r="AF128" s="597"/>
      <c r="AG128" s="597"/>
      <c r="AH128" s="598"/>
      <c r="AI128" s="597"/>
      <c r="AJ128" s="597"/>
      <c r="AK128" s="597"/>
      <c r="AL128" s="597"/>
      <c r="AM128" s="598"/>
      <c r="AN128" s="597"/>
      <c r="AO128" s="597"/>
      <c r="AP128" s="597"/>
      <c r="AQ128" s="597"/>
      <c r="AR128" s="598"/>
      <c r="AS128" s="597"/>
      <c r="AT128" s="597"/>
      <c r="AU128" s="597"/>
      <c r="AV128" s="597"/>
      <c r="AW128" s="598"/>
      <c r="AX128" s="597"/>
      <c r="AY128" s="597"/>
      <c r="AZ128" s="597"/>
      <c r="BA128" s="597"/>
      <c r="BB128" s="598"/>
      <c r="BC128" s="597"/>
      <c r="BD128" s="597"/>
      <c r="BE128" s="597"/>
      <c r="BF128" s="597"/>
      <c r="BG128" s="598"/>
      <c r="BH128" s="597"/>
      <c r="BI128" s="597"/>
      <c r="BJ128" s="597"/>
      <c r="BK128" s="597"/>
      <c r="BL128" s="598"/>
      <c r="BM128" s="597"/>
      <c r="BN128" s="597"/>
      <c r="BO128" s="597"/>
      <c r="BP128" s="597"/>
      <c r="BQ128" s="598"/>
      <c r="BR128" s="597"/>
      <c r="BS128" s="597"/>
      <c r="BT128" s="597"/>
      <c r="BU128" s="597"/>
      <c r="BV128" s="598"/>
      <c r="BW128" s="597"/>
      <c r="BX128" s="597"/>
      <c r="BY128" s="597"/>
      <c r="BZ128" s="597"/>
      <c r="CA128" s="598"/>
      <c r="CB128" s="597"/>
      <c r="CC128" s="597"/>
      <c r="CD128" s="597"/>
      <c r="CE128" s="597"/>
      <c r="CF128" s="598"/>
      <c r="CG128" s="682"/>
      <c r="CH128" s="682"/>
      <c r="CI128" s="682"/>
      <c r="CJ128" s="682"/>
      <c r="CK128" s="598"/>
      <c r="CL128" s="682"/>
      <c r="CM128" s="682"/>
      <c r="CN128" s="682"/>
      <c r="CO128" s="682"/>
      <c r="CP128" s="598"/>
      <c r="CQ128" s="682"/>
      <c r="CR128" s="682"/>
      <c r="CS128" s="682"/>
      <c r="CT128" s="682"/>
      <c r="CU128" s="598"/>
      <c r="CV128" s="682"/>
      <c r="CW128" s="682"/>
      <c r="CX128" s="682"/>
      <c r="CY128" s="682"/>
      <c r="CZ128" s="598"/>
      <c r="DA128" s="682"/>
      <c r="DB128" s="682"/>
      <c r="DC128" s="682"/>
      <c r="DD128" s="682"/>
      <c r="DE128" s="598"/>
      <c r="DF128" s="1741"/>
      <c r="DG128" s="682"/>
      <c r="DH128" s="682"/>
      <c r="DI128" s="1610"/>
      <c r="DJ128" s="598"/>
      <c r="DK128" s="682"/>
      <c r="DL128" s="682"/>
      <c r="DM128" s="682"/>
      <c r="DN128" s="682"/>
      <c r="DO128" s="598"/>
      <c r="DP128" s="682"/>
      <c r="DQ128" s="682"/>
      <c r="DR128" s="682"/>
      <c r="DS128" s="682"/>
      <c r="DT128" s="598"/>
      <c r="DU128" s="682"/>
      <c r="DV128" s="682"/>
      <c r="DW128" s="682"/>
      <c r="DX128" s="682"/>
      <c r="DY128" s="598"/>
    </row>
    <row r="129" spans="1:129" ht="11.25" customHeight="1" x14ac:dyDescent="0.2">
      <c r="A129" s="526"/>
      <c r="B129" s="742" t="s">
        <v>760</v>
      </c>
      <c r="C129" s="597"/>
      <c r="D129" s="597"/>
      <c r="E129" s="597"/>
      <c r="F129" s="597"/>
      <c r="G129" s="597"/>
      <c r="H129" s="597"/>
      <c r="I129" s="598"/>
      <c r="J129" s="597"/>
      <c r="K129" s="597"/>
      <c r="L129" s="597"/>
      <c r="M129" s="597"/>
      <c r="N129" s="598"/>
      <c r="O129" s="597"/>
      <c r="P129" s="597"/>
      <c r="Q129" s="597"/>
      <c r="R129" s="597"/>
      <c r="S129" s="598"/>
      <c r="T129" s="597"/>
      <c r="U129" s="597"/>
      <c r="V129" s="597"/>
      <c r="W129" s="597"/>
      <c r="X129" s="598"/>
      <c r="Y129" s="597"/>
      <c r="Z129" s="597"/>
      <c r="AA129" s="597"/>
      <c r="AB129" s="597"/>
      <c r="AC129" s="598"/>
      <c r="AD129" s="597"/>
      <c r="AE129" s="597"/>
      <c r="AF129" s="597"/>
      <c r="AG129" s="597"/>
      <c r="AH129" s="598"/>
      <c r="AI129" s="597"/>
      <c r="AJ129" s="597"/>
      <c r="AK129" s="597"/>
      <c r="AL129" s="597"/>
      <c r="AM129" s="598"/>
      <c r="AN129" s="597"/>
      <c r="AO129" s="597"/>
      <c r="AP129" s="597"/>
      <c r="AQ129" s="597"/>
      <c r="AR129" s="598"/>
      <c r="AS129" s="597"/>
      <c r="AT129" s="597"/>
      <c r="AU129" s="597"/>
      <c r="AV129" s="597"/>
      <c r="AW129" s="598"/>
      <c r="AX129" s="597"/>
      <c r="AY129" s="597"/>
      <c r="AZ129" s="597"/>
      <c r="BA129" s="597"/>
      <c r="BB129" s="598"/>
      <c r="BC129" s="597"/>
      <c r="BD129" s="597"/>
      <c r="BE129" s="597"/>
      <c r="BF129" s="597"/>
      <c r="BG129" s="598"/>
      <c r="BH129" s="597"/>
      <c r="BI129" s="597"/>
      <c r="BJ129" s="597"/>
      <c r="BK129" s="597"/>
      <c r="BL129" s="598"/>
      <c r="BM129" s="597"/>
      <c r="BN129" s="597"/>
      <c r="BO129" s="597"/>
      <c r="BP129" s="597"/>
      <c r="BQ129" s="598"/>
      <c r="BR129" s="597"/>
      <c r="BS129" s="597"/>
      <c r="BT129" s="597"/>
      <c r="BU129" s="597"/>
      <c r="BV129" s="598"/>
      <c r="BW129" s="597"/>
      <c r="BX129" s="597"/>
      <c r="BY129" s="597"/>
      <c r="BZ129" s="597"/>
      <c r="CA129" s="598"/>
      <c r="CB129" s="597"/>
      <c r="CC129" s="597"/>
      <c r="CD129" s="597"/>
      <c r="CE129" s="597"/>
      <c r="CF129" s="598"/>
      <c r="CG129" s="682"/>
      <c r="CH129" s="682"/>
      <c r="CI129" s="682"/>
      <c r="CJ129" s="682"/>
      <c r="CK129" s="598"/>
      <c r="CL129" s="682"/>
      <c r="CM129" s="682"/>
      <c r="CN129" s="682"/>
      <c r="CO129" s="682"/>
      <c r="CP129" s="598"/>
      <c r="CQ129" s="682"/>
      <c r="CR129" s="682"/>
      <c r="CS129" s="682"/>
      <c r="CT129" s="682"/>
      <c r="CU129" s="598"/>
      <c r="CV129" s="682"/>
      <c r="CW129" s="682"/>
      <c r="CX129" s="682"/>
      <c r="CY129" s="682"/>
      <c r="CZ129" s="598"/>
      <c r="DA129" s="682"/>
      <c r="DB129" s="682"/>
      <c r="DC129" s="682"/>
      <c r="DD129" s="682"/>
      <c r="DE129" s="598"/>
      <c r="DF129" s="1741"/>
      <c r="DG129" s="682"/>
      <c r="DH129" s="682"/>
      <c r="DI129" s="1610"/>
      <c r="DJ129" s="598"/>
      <c r="DK129" s="682"/>
      <c r="DL129" s="682"/>
      <c r="DM129" s="682"/>
      <c r="DN129" s="682"/>
      <c r="DO129" s="598"/>
      <c r="DP129" s="682"/>
      <c r="DQ129" s="682"/>
      <c r="DR129" s="682"/>
      <c r="DS129" s="682"/>
      <c r="DT129" s="598"/>
      <c r="DU129" s="682"/>
      <c r="DV129" s="682"/>
      <c r="DW129" s="682"/>
      <c r="DX129" s="682"/>
      <c r="DY129" s="598"/>
    </row>
    <row r="130" spans="1:129" ht="11.25" customHeight="1" x14ac:dyDescent="0.2">
      <c r="A130" s="792"/>
      <c r="B130" s="793" t="s">
        <v>744</v>
      </c>
      <c r="C130" s="794"/>
      <c r="D130" s="794"/>
      <c r="E130" s="794"/>
      <c r="F130" s="794"/>
      <c r="G130" s="794"/>
      <c r="H130" s="794"/>
      <c r="I130" s="795"/>
      <c r="J130" s="794"/>
      <c r="K130" s="794"/>
      <c r="L130" s="794"/>
      <c r="M130" s="794"/>
      <c r="N130" s="795"/>
      <c r="O130" s="794"/>
      <c r="P130" s="794"/>
      <c r="Q130" s="794"/>
      <c r="R130" s="794"/>
      <c r="S130" s="795"/>
      <c r="T130" s="794"/>
      <c r="U130" s="794"/>
      <c r="V130" s="794"/>
      <c r="W130" s="794"/>
      <c r="X130" s="795"/>
      <c r="Y130" s="794"/>
      <c r="Z130" s="794"/>
      <c r="AA130" s="794"/>
      <c r="AB130" s="794"/>
      <c r="AC130" s="795"/>
      <c r="AD130" s="794"/>
      <c r="AE130" s="794"/>
      <c r="AF130" s="794"/>
      <c r="AG130" s="794"/>
      <c r="AH130" s="795"/>
      <c r="AI130" s="794"/>
      <c r="AJ130" s="794"/>
      <c r="AK130" s="794"/>
      <c r="AL130" s="794"/>
      <c r="AM130" s="795"/>
      <c r="AN130" s="794"/>
      <c r="AO130" s="794"/>
      <c r="AP130" s="794"/>
      <c r="AQ130" s="794"/>
      <c r="AR130" s="795"/>
      <c r="AS130" s="794"/>
      <c r="AT130" s="794"/>
      <c r="AU130" s="794"/>
      <c r="AV130" s="794"/>
      <c r="AW130" s="795"/>
      <c r="AX130" s="794"/>
      <c r="AY130" s="794"/>
      <c r="AZ130" s="794"/>
      <c r="BA130" s="794"/>
      <c r="BB130" s="795"/>
      <c r="BC130" s="794"/>
      <c r="BD130" s="794"/>
      <c r="BE130" s="794"/>
      <c r="BF130" s="794"/>
      <c r="BG130" s="795"/>
      <c r="BH130" s="796">
        <f t="shared" ref="BH130:CE130" si="173">BH$11*BH151/BH77</f>
        <v>24.99030112044818</v>
      </c>
      <c r="BI130" s="796">
        <f t="shared" si="173"/>
        <v>81.994054830680597</v>
      </c>
      <c r="BJ130" s="796">
        <f t="shared" si="173"/>
        <v>79.528342157178685</v>
      </c>
      <c r="BK130" s="796">
        <f t="shared" si="173"/>
        <v>76.051982298902729</v>
      </c>
      <c r="BL130" s="797">
        <f t="shared" si="173"/>
        <v>66.288255203964454</v>
      </c>
      <c r="BM130" s="796">
        <f t="shared" si="173"/>
        <v>71.443554238521799</v>
      </c>
      <c r="BN130" s="796">
        <f t="shared" si="173"/>
        <v>72.949535452232482</v>
      </c>
      <c r="BO130" s="796">
        <f t="shared" si="173"/>
        <v>78.143595377658926</v>
      </c>
      <c r="BP130" s="796">
        <f t="shared" si="173"/>
        <v>78.894750900745478</v>
      </c>
      <c r="BQ130" s="797">
        <f t="shared" si="173"/>
        <v>75.428392586442854</v>
      </c>
      <c r="BR130" s="796">
        <f t="shared" si="173"/>
        <v>78.332666605582588</v>
      </c>
      <c r="BS130" s="796">
        <f t="shared" si="173"/>
        <v>80.553514642977007</v>
      </c>
      <c r="BT130" s="796">
        <f t="shared" si="173"/>
        <v>77.334333657918336</v>
      </c>
      <c r="BU130" s="796">
        <f t="shared" si="173"/>
        <v>77.257611265121213</v>
      </c>
      <c r="BV130" s="797">
        <f t="shared" si="173"/>
        <v>78.336785901312282</v>
      </c>
      <c r="BW130" s="796">
        <f t="shared" si="173"/>
        <v>77.363580718677468</v>
      </c>
      <c r="BX130" s="796">
        <f t="shared" si="173"/>
        <v>77.366913954918047</v>
      </c>
      <c r="BY130" s="796">
        <f t="shared" si="173"/>
        <v>77.063233034926341</v>
      </c>
      <c r="BZ130" s="796">
        <f t="shared" si="173"/>
        <v>76.520730020393074</v>
      </c>
      <c r="CA130" s="797">
        <f t="shared" si="173"/>
        <v>77.065034983350117</v>
      </c>
      <c r="CB130" s="796">
        <f t="shared" si="173"/>
        <v>76.352449721439129</v>
      </c>
      <c r="CC130" s="796">
        <f t="shared" si="173"/>
        <v>77.395333414679868</v>
      </c>
      <c r="CD130" s="796">
        <f t="shared" si="173"/>
        <v>75.780149667458403</v>
      </c>
      <c r="CE130" s="796">
        <f t="shared" si="173"/>
        <v>81.625994504210823</v>
      </c>
      <c r="CF130" s="795">
        <f>(CF$11*CF151/CF77)</f>
        <v>77.827182809801016</v>
      </c>
      <c r="CG130" s="792">
        <f t="shared" ref="CG130:CI131" si="174">CG$11*CG151/CG77</f>
        <v>78.208017738351913</v>
      </c>
      <c r="CH130" s="792">
        <f t="shared" si="174"/>
        <v>80.463443295472374</v>
      </c>
      <c r="CI130" s="792">
        <f t="shared" si="174"/>
        <v>79.669757499486849</v>
      </c>
      <c r="CJ130" s="792">
        <f>CJ$11*CJ151/CJ77</f>
        <v>93.187439274257159</v>
      </c>
      <c r="CK130" s="795">
        <f>(CK$11*CK151/CK77)</f>
        <v>83.010556588525503</v>
      </c>
      <c r="CL130" s="792">
        <f t="shared" ref="CL130:CO131" si="175">CG130*(1+CL137)</f>
        <v>80.569899874050137</v>
      </c>
      <c r="CM130" s="792">
        <f t="shared" si="175"/>
        <v>82.877346594336544</v>
      </c>
      <c r="CN130" s="792">
        <f t="shared" si="175"/>
        <v>85.246640524450939</v>
      </c>
      <c r="CO130" s="792">
        <f t="shared" si="175"/>
        <v>99.710560023455159</v>
      </c>
      <c r="CP130" s="795">
        <f>(CP$11*CP151/CP77)</f>
        <v>86.788245298236703</v>
      </c>
      <c r="CQ130" s="792">
        <f t="shared" ref="CQ130:CT131" si="176">CL130*(1+CQ137)</f>
        <v>104.74086983626518</v>
      </c>
      <c r="CR130" s="792">
        <f t="shared" si="176"/>
        <v>91.165081253770211</v>
      </c>
      <c r="CS130" s="792">
        <f>CN130*(1+CS137)</f>
        <v>93.771304576896043</v>
      </c>
      <c r="CT130" s="792">
        <f t="shared" si="176"/>
        <v>112.67293282650432</v>
      </c>
      <c r="CU130" s="795">
        <f>(CU$11*CU151/CU77)</f>
        <v>100.76448456080989</v>
      </c>
      <c r="CV130" s="792">
        <f t="shared" ref="CV130:CY131" ca="1" si="177">CV$11*CV151/CV77</f>
        <v>40.964478488907311</v>
      </c>
      <c r="CW130" s="792">
        <f t="shared" ca="1" si="177"/>
        <v>35.697531775605007</v>
      </c>
      <c r="CX130" s="792">
        <f t="shared" ca="1" si="177"/>
        <v>37.042439003119746</v>
      </c>
      <c r="CY130" s="792">
        <f t="shared" ca="1" si="177"/>
        <v>44.449194515580814</v>
      </c>
      <c r="CZ130" s="795">
        <f ca="1">(CZ$11*CZ151/CZ77)</f>
        <v>39.554684330478096</v>
      </c>
      <c r="DA130" s="792">
        <f t="shared" ref="DA130:DD131" ca="1" si="178">DA$11*DA151/DA77</f>
        <v>43.114524561580382</v>
      </c>
      <c r="DB130" s="792">
        <f t="shared" ca="1" si="178"/>
        <v>39.492867684886413</v>
      </c>
      <c r="DC130" s="792">
        <f t="shared" ca="1" si="178"/>
        <v>40.154703612869667</v>
      </c>
      <c r="DD130" s="792">
        <f t="shared" ca="1" si="178"/>
        <v>46.118423280105681</v>
      </c>
      <c r="DE130" s="795">
        <f ca="1">(DE$11*DE151/DE77)</f>
        <v>42.261007060547044</v>
      </c>
      <c r="DF130" s="2696">
        <f t="shared" ref="DF130:DI131" ca="1" si="179">DF$11*DF151/DF77</f>
        <v>42.898676512337389</v>
      </c>
      <c r="DG130" s="792">
        <f t="shared" ca="1" si="179"/>
        <v>42.135382301774776</v>
      </c>
      <c r="DH130" s="792">
        <f t="shared" ca="1" si="179"/>
        <v>41.493086531541522</v>
      </c>
      <c r="DI130" s="792">
        <f t="shared" ca="1" si="179"/>
        <v>40.832032704991924</v>
      </c>
      <c r="DJ130" s="795">
        <f ca="1">(DJ$11*DJ151/DJ77)</f>
        <v>41.804542621857415</v>
      </c>
      <c r="DK130" s="792">
        <f t="shared" ref="DK130:DN131" ca="1" si="180">DF130*(1+DK137)</f>
        <v>39.037795626227023</v>
      </c>
      <c r="DL130" s="792">
        <f t="shared" ca="1" si="180"/>
        <v>37.921844071597299</v>
      </c>
      <c r="DM130" s="792">
        <f t="shared" ca="1" si="180"/>
        <v>37.343777878387371</v>
      </c>
      <c r="DN130" s="792">
        <f t="shared" ca="1" si="180"/>
        <v>36.748829434492734</v>
      </c>
      <c r="DO130" s="795">
        <f ca="1">(DO$11*DO151/DO77)</f>
        <v>37.731653405406995</v>
      </c>
      <c r="DP130" s="792">
        <f t="shared" ref="DP130:DS131" ca="1" si="181">DK130*(1+DP137)</f>
        <v>40.599307451276104</v>
      </c>
      <c r="DQ130" s="792">
        <f t="shared" ca="1" si="181"/>
        <v>39.438717834461194</v>
      </c>
      <c r="DR130" s="792">
        <f t="shared" ca="1" si="181"/>
        <v>38.837528993522866</v>
      </c>
      <c r="DS130" s="792">
        <f t="shared" ca="1" si="181"/>
        <v>38.218782611872442</v>
      </c>
      <c r="DT130" s="795">
        <f ca="1">(DT$11*DT151/DT77)</f>
        <v>39.240996615369106</v>
      </c>
      <c r="DU130" s="792">
        <f t="shared" ref="DU130:DU131" ca="1" si="182">DP130*(1+DU137)</f>
        <v>42.223279749327148</v>
      </c>
      <c r="DV130" s="792">
        <f t="shared" ref="DV130:DV131" ca="1" si="183">DQ130*(1+DV137)</f>
        <v>41.016266547839642</v>
      </c>
      <c r="DW130" s="792">
        <f t="shared" ref="DW130:DW131" ca="1" si="184">DR130*(1+DW137)</f>
        <v>40.391030153263785</v>
      </c>
      <c r="DX130" s="792">
        <f t="shared" ref="DX130:DX131" ca="1" si="185">DS130*(1+DX137)</f>
        <v>39.747533916347344</v>
      </c>
      <c r="DY130" s="795">
        <f ca="1">(DY$11*DY151/DY77)</f>
        <v>40.810713853704399</v>
      </c>
    </row>
    <row r="131" spans="1:129" ht="11.25" customHeight="1" x14ac:dyDescent="0.2">
      <c r="A131" s="792"/>
      <c r="B131" s="793" t="s">
        <v>745</v>
      </c>
      <c r="C131" s="794"/>
      <c r="D131" s="794"/>
      <c r="E131" s="794"/>
      <c r="F131" s="794"/>
      <c r="G131" s="794"/>
      <c r="H131" s="794"/>
      <c r="I131" s="795"/>
      <c r="J131" s="794"/>
      <c r="K131" s="794"/>
      <c r="L131" s="794"/>
      <c r="M131" s="794"/>
      <c r="N131" s="795"/>
      <c r="O131" s="794"/>
      <c r="P131" s="794"/>
      <c r="Q131" s="794"/>
      <c r="R131" s="794"/>
      <c r="S131" s="795"/>
      <c r="T131" s="794"/>
      <c r="U131" s="794"/>
      <c r="V131" s="794"/>
      <c r="W131" s="794"/>
      <c r="X131" s="795"/>
      <c r="Y131" s="794"/>
      <c r="Z131" s="794"/>
      <c r="AA131" s="794"/>
      <c r="AB131" s="794"/>
      <c r="AC131" s="795"/>
      <c r="AD131" s="794"/>
      <c r="AE131" s="794"/>
      <c r="AF131" s="794"/>
      <c r="AG131" s="794"/>
      <c r="AH131" s="795"/>
      <c r="AI131" s="794"/>
      <c r="AJ131" s="794"/>
      <c r="AK131" s="794"/>
      <c r="AL131" s="794"/>
      <c r="AM131" s="795"/>
      <c r="AN131" s="794"/>
      <c r="AO131" s="794"/>
      <c r="AP131" s="794"/>
      <c r="AQ131" s="794"/>
      <c r="AR131" s="795"/>
      <c r="AS131" s="794"/>
      <c r="AT131" s="794"/>
      <c r="AU131" s="794"/>
      <c r="AV131" s="794"/>
      <c r="AW131" s="795"/>
      <c r="AX131" s="794"/>
      <c r="AY131" s="794"/>
      <c r="AZ131" s="794"/>
      <c r="BA131" s="794"/>
      <c r="BB131" s="795"/>
      <c r="BC131" s="794"/>
      <c r="BD131" s="794"/>
      <c r="BE131" s="794"/>
      <c r="BF131" s="794"/>
      <c r="BG131" s="795"/>
      <c r="BH131" s="796">
        <f t="shared" ref="BH131:CE131" si="186">BH$11*BH152/BH78</f>
        <v>101.4165096856275</v>
      </c>
      <c r="BI131" s="796">
        <f t="shared" si="186"/>
        <v>355.85520457613228</v>
      </c>
      <c r="BJ131" s="796">
        <f t="shared" si="186"/>
        <v>368.40987419656898</v>
      </c>
      <c r="BK131" s="796">
        <f t="shared" si="186"/>
        <v>384.75173317433922</v>
      </c>
      <c r="BL131" s="797">
        <f t="shared" si="186"/>
        <v>298.81101505676423</v>
      </c>
      <c r="BM131" s="796">
        <f t="shared" si="186"/>
        <v>425.10667877472105</v>
      </c>
      <c r="BN131" s="796">
        <f t="shared" si="186"/>
        <v>443.14103262681317</v>
      </c>
      <c r="BO131" s="796">
        <f t="shared" si="186"/>
        <v>452.97491643396575</v>
      </c>
      <c r="BP131" s="796">
        <f t="shared" si="186"/>
        <v>466.58195056917356</v>
      </c>
      <c r="BQ131" s="797">
        <f t="shared" si="186"/>
        <v>446.79796000343669</v>
      </c>
      <c r="BR131" s="796">
        <f t="shared" si="186"/>
        <v>468.39595069523466</v>
      </c>
      <c r="BS131" s="796">
        <f t="shared" si="186"/>
        <v>486.07367057394515</v>
      </c>
      <c r="BT131" s="796">
        <f t="shared" si="186"/>
        <v>484.9981954479673</v>
      </c>
      <c r="BU131" s="796">
        <f t="shared" si="186"/>
        <v>496.5314427391416</v>
      </c>
      <c r="BV131" s="797">
        <f t="shared" si="186"/>
        <v>484.05423193301834</v>
      </c>
      <c r="BW131" s="796">
        <f t="shared" si="186"/>
        <v>528.17230274506323</v>
      </c>
      <c r="BX131" s="796">
        <f t="shared" si="186"/>
        <v>537.80431407051276</v>
      </c>
      <c r="BY131" s="796">
        <f t="shared" si="186"/>
        <v>561.13461877734062</v>
      </c>
      <c r="BZ131" s="796">
        <f t="shared" si="186"/>
        <v>570.91065972120407</v>
      </c>
      <c r="CA131" s="797">
        <f t="shared" si="186"/>
        <v>549.20829344973208</v>
      </c>
      <c r="CB131" s="796">
        <f t="shared" si="186"/>
        <v>581.29832657618499</v>
      </c>
      <c r="CC131" s="796">
        <f t="shared" si="186"/>
        <v>613.06521617013891</v>
      </c>
      <c r="CD131" s="796">
        <f t="shared" si="186"/>
        <v>633.30625265839353</v>
      </c>
      <c r="CE131" s="796">
        <f t="shared" si="186"/>
        <v>652.64712084645589</v>
      </c>
      <c r="CF131" s="795">
        <f>(CF$11*CF152/CF78)</f>
        <v>619.58529230481304</v>
      </c>
      <c r="CG131" s="792">
        <f t="shared" si="174"/>
        <v>721.87601870888011</v>
      </c>
      <c r="CH131" s="792">
        <f t="shared" si="174"/>
        <v>772.12884849923978</v>
      </c>
      <c r="CI131" s="792">
        <f t="shared" si="174"/>
        <v>817.57648302803648</v>
      </c>
      <c r="CJ131" s="792">
        <f>CJ$11*CJ152/CJ78</f>
        <v>834.8207031737486</v>
      </c>
      <c r="CK131" s="795">
        <f>(CK$11*CK152/CK78)</f>
        <v>783.36895753151771</v>
      </c>
      <c r="CL131" s="792">
        <f t="shared" si="175"/>
        <v>916.7825437602778</v>
      </c>
      <c r="CM131" s="792">
        <f t="shared" si="175"/>
        <v>945.31734921761927</v>
      </c>
      <c r="CN131" s="792">
        <f t="shared" si="175"/>
        <v>1001.7764646542531</v>
      </c>
      <c r="CO131" s="792">
        <f t="shared" si="175"/>
        <v>1022.9058075987942</v>
      </c>
      <c r="CP131" s="795">
        <f>(CP$11*CP152/CP78)</f>
        <v>966.81058462156773</v>
      </c>
      <c r="CQ131" s="792">
        <f t="shared" si="176"/>
        <v>1191.8173068883611</v>
      </c>
      <c r="CR131" s="792">
        <f t="shared" si="176"/>
        <v>1210.0062069985527</v>
      </c>
      <c r="CS131" s="792">
        <f t="shared" si="176"/>
        <v>1282.273874757444</v>
      </c>
      <c r="CT131" s="792">
        <f t="shared" si="176"/>
        <v>1256.8443657966384</v>
      </c>
      <c r="CU131" s="795">
        <f>(CU$11*CU152/CU78)</f>
        <v>1237.7929262920677</v>
      </c>
      <c r="CV131" s="792">
        <f t="shared" ca="1" si="177"/>
        <v>508.49829687015057</v>
      </c>
      <c r="CW131" s="792">
        <f t="shared" ca="1" si="177"/>
        <v>525.48994341158959</v>
      </c>
      <c r="CX131" s="792">
        <f t="shared" ca="1" si="177"/>
        <v>552.58484658622751</v>
      </c>
      <c r="CY131" s="792">
        <f t="shared" ca="1" si="177"/>
        <v>554.419153306559</v>
      </c>
      <c r="CZ131" s="795">
        <f ca="1">(CZ$11*CZ152/CZ78)</f>
        <v>535.71030382928097</v>
      </c>
      <c r="DA131" s="792">
        <f t="shared" ca="1" si="178"/>
        <v>586.1573498481838</v>
      </c>
      <c r="DB131" s="792">
        <f t="shared" ca="1" si="178"/>
        <v>636.72724264706198</v>
      </c>
      <c r="DC131" s="792">
        <f t="shared" ca="1" si="178"/>
        <v>656.06121320232796</v>
      </c>
      <c r="DD131" s="792">
        <f t="shared" ca="1" si="178"/>
        <v>635.50280397800282</v>
      </c>
      <c r="DE131" s="795">
        <f ca="1">(DE$11*DE152/DE78)</f>
        <v>628.4288949594594</v>
      </c>
      <c r="DF131" s="2696">
        <f t="shared" ca="1" si="179"/>
        <v>655.37409510339751</v>
      </c>
      <c r="DG131" s="792">
        <f t="shared" ca="1" si="179"/>
        <v>831.27513199541499</v>
      </c>
      <c r="DH131" s="792">
        <f t="shared" ca="1" si="179"/>
        <v>830.40088372369269</v>
      </c>
      <c r="DI131" s="792">
        <f t="shared" ca="1" si="179"/>
        <v>813.62781416738039</v>
      </c>
      <c r="DJ131" s="795">
        <f ca="1">(DJ$11*DJ152/DJ78)</f>
        <v>777.22492209158781</v>
      </c>
      <c r="DK131" s="792">
        <f t="shared" ca="1" si="180"/>
        <v>714.35776366270329</v>
      </c>
      <c r="DL131" s="792">
        <f t="shared" ca="1" si="180"/>
        <v>906.08989387500242</v>
      </c>
      <c r="DM131" s="792">
        <f t="shared" ca="1" si="180"/>
        <v>905.13696325882506</v>
      </c>
      <c r="DN131" s="792">
        <f t="shared" ca="1" si="180"/>
        <v>886.85431744244465</v>
      </c>
      <c r="DO131" s="795">
        <f ca="1">(DO$11*DO152/DO78)</f>
        <v>853.58561485929908</v>
      </c>
      <c r="DP131" s="792">
        <f t="shared" ca="1" si="181"/>
        <v>821.51142821210874</v>
      </c>
      <c r="DQ131" s="792">
        <f t="shared" ca="1" si="181"/>
        <v>1042.0033779562527</v>
      </c>
      <c r="DR131" s="792">
        <f t="shared" ca="1" si="181"/>
        <v>1040.9075077476487</v>
      </c>
      <c r="DS131" s="792">
        <f t="shared" ca="1" si="181"/>
        <v>1019.8824650588112</v>
      </c>
      <c r="DT131" s="795">
        <f ca="1">(DT$11*DT152/DT78)</f>
        <v>981.43759726213659</v>
      </c>
      <c r="DU131" s="792">
        <f t="shared" ca="1" si="182"/>
        <v>944.73814244392497</v>
      </c>
      <c r="DV131" s="792">
        <f t="shared" ca="1" si="183"/>
        <v>1198.3038846496906</v>
      </c>
      <c r="DW131" s="792">
        <f t="shared" ca="1" si="184"/>
        <v>1197.0436339097957</v>
      </c>
      <c r="DX131" s="792">
        <f t="shared" ca="1" si="185"/>
        <v>1172.8648348176328</v>
      </c>
      <c r="DY131" s="795">
        <f ca="1">(DY$11*DY152/DY78)</f>
        <v>1128.3888252560841</v>
      </c>
    </row>
    <row r="132" spans="1:129" ht="11.25" customHeight="1" x14ac:dyDescent="0.2">
      <c r="A132" s="792"/>
      <c r="B132" s="793" t="s">
        <v>251</v>
      </c>
      <c r="C132" s="794"/>
      <c r="D132" s="794"/>
      <c r="E132" s="794"/>
      <c r="F132" s="794"/>
      <c r="G132" s="794"/>
      <c r="H132" s="794"/>
      <c r="I132" s="795"/>
      <c r="J132" s="794"/>
      <c r="K132" s="794"/>
      <c r="L132" s="794"/>
      <c r="M132" s="794"/>
      <c r="N132" s="795"/>
      <c r="O132" s="794"/>
      <c r="P132" s="794"/>
      <c r="Q132" s="794"/>
      <c r="R132" s="794"/>
      <c r="S132" s="795"/>
      <c r="T132" s="794"/>
      <c r="U132" s="794"/>
      <c r="V132" s="794"/>
      <c r="W132" s="794"/>
      <c r="X132" s="795"/>
      <c r="Y132" s="794"/>
      <c r="Z132" s="794"/>
      <c r="AA132" s="794"/>
      <c r="AB132" s="794"/>
      <c r="AC132" s="795"/>
      <c r="AD132" s="794"/>
      <c r="AE132" s="794"/>
      <c r="AF132" s="794"/>
      <c r="AG132" s="794"/>
      <c r="AH132" s="795"/>
      <c r="AI132" s="794"/>
      <c r="AJ132" s="794"/>
      <c r="AK132" s="794"/>
      <c r="AL132" s="794"/>
      <c r="AM132" s="795"/>
      <c r="AN132" s="794"/>
      <c r="AO132" s="794"/>
      <c r="AP132" s="794"/>
      <c r="AQ132" s="794"/>
      <c r="AR132" s="795"/>
      <c r="AS132" s="794"/>
      <c r="AT132" s="794"/>
      <c r="AU132" s="794"/>
      <c r="AV132" s="794"/>
      <c r="AW132" s="795"/>
      <c r="AX132" s="794"/>
      <c r="AY132" s="794"/>
      <c r="AZ132" s="794"/>
      <c r="BA132" s="794"/>
      <c r="BB132" s="795"/>
      <c r="BC132" s="796">
        <f>BC11/BC79</f>
        <v>218.893129770992</v>
      </c>
      <c r="BD132" s="796">
        <f>BD11/BD79</f>
        <v>214.73718155433724</v>
      </c>
      <c r="BE132" s="796">
        <f>BE11/BE79</f>
        <v>210.3602345713488</v>
      </c>
      <c r="BF132" s="796">
        <f>BF11/BF79</f>
        <v>218.90534108937058</v>
      </c>
      <c r="BG132" s="797">
        <f>BG11/BG79</f>
        <v>215.70399764844194</v>
      </c>
      <c r="BH132" s="796">
        <f>BH171/BH79</f>
        <v>65.037634408602145</v>
      </c>
      <c r="BI132" s="796">
        <f>BI171/BI79</f>
        <v>225.49729729729728</v>
      </c>
      <c r="BJ132" s="796">
        <f>BJ171/BJ79</f>
        <v>226.85792349726776</v>
      </c>
      <c r="BK132" s="796">
        <f>BK171/BK79</f>
        <v>231.3279569892473</v>
      </c>
      <c r="BL132" s="797">
        <f>BL11/BL79</f>
        <v>186.96756756756756</v>
      </c>
      <c r="BM132" s="796">
        <f>BM171/BM79</f>
        <v>238.37254901960782</v>
      </c>
      <c r="BN132" s="796">
        <f>BN171/BN79</f>
        <v>241.38666666666668</v>
      </c>
      <c r="BO132" s="796">
        <f>BO171/BO79</f>
        <v>246.06802721088437</v>
      </c>
      <c r="BP132" s="796">
        <f>BP171/BP79</f>
        <v>252.57861635220127</v>
      </c>
      <c r="BQ132" s="797">
        <f>BQ11/BQ79</f>
        <v>244.68144499178979</v>
      </c>
      <c r="BR132" s="796">
        <f>BR171/BR79</f>
        <v>251.91082802547771</v>
      </c>
      <c r="BS132" s="796">
        <f>BS171/BS79</f>
        <v>257.7658227848101</v>
      </c>
      <c r="BT132" s="796">
        <f>BT171/BT79</f>
        <v>253.44512195121953</v>
      </c>
      <c r="BU132" s="796">
        <f>BU171/BU79</f>
        <v>255.8682634730539</v>
      </c>
      <c r="BV132" s="797">
        <f>BV11/BV79</f>
        <v>254.75541795665637</v>
      </c>
      <c r="BW132" s="796">
        <f>BW171/BW79</f>
        <v>263.09677419354841</v>
      </c>
      <c r="BX132" s="796">
        <f>BX171/BX79</f>
        <v>256.9375</v>
      </c>
      <c r="BY132" s="796">
        <f>BY171/BY79</f>
        <v>259.07407407407408</v>
      </c>
      <c r="BZ132" s="796">
        <f>BZ171/BZ79</f>
        <v>259.93939393939394</v>
      </c>
      <c r="CA132" s="797">
        <f>CA11/CA79</f>
        <v>259.73520249221184</v>
      </c>
      <c r="CB132" s="796">
        <f>CB171/CB79</f>
        <v>259.14285714285717</v>
      </c>
      <c r="CC132" s="796">
        <f>CC171/CC79</f>
        <v>267.02247191011236</v>
      </c>
      <c r="CD132" s="796">
        <f>CD171/CD79</f>
        <v>270.91428571428571</v>
      </c>
      <c r="CE132" s="796">
        <f>CE171/CE79</f>
        <v>275.20215633423192</v>
      </c>
      <c r="CF132" s="795">
        <f>CF11/CF79</f>
        <v>268.09709947881259</v>
      </c>
      <c r="CG132" s="792">
        <f>CG171/CG79</f>
        <v>277.74509803921569</v>
      </c>
      <c r="CH132" s="792">
        <f>CH171/CH79</f>
        <v>279.66307999415744</v>
      </c>
      <c r="CI132" s="792">
        <f>CI171/CI79</f>
        <v>278.16666666666669</v>
      </c>
      <c r="CJ132" s="792">
        <f>CJ171/CJ79</f>
        <v>282.30392156862746</v>
      </c>
      <c r="CK132" s="795">
        <f>CK11/CK79</f>
        <v>279.47002043088361</v>
      </c>
      <c r="CL132" s="792">
        <f>CL171/CL79</f>
        <v>286.27821027006217</v>
      </c>
      <c r="CM132" s="792">
        <f>CM171/CM79</f>
        <v>291.58782722917095</v>
      </c>
      <c r="CN132" s="792">
        <f>CN171/CN79</f>
        <v>303.38073866734385</v>
      </c>
      <c r="CO132" s="792">
        <f>CO171/CO79</f>
        <v>315.73824795608448</v>
      </c>
      <c r="CP132" s="795">
        <f>CP11/CP79</f>
        <v>297.95552884615392</v>
      </c>
      <c r="CQ132" s="792">
        <f>CQ171/CQ79</f>
        <v>343.89768598772628</v>
      </c>
      <c r="CR132" s="792">
        <f>CR171/CR79</f>
        <v>375.35072719294493</v>
      </c>
      <c r="CS132" s="792">
        <f>CS171/CS79</f>
        <v>390.896947122033</v>
      </c>
      <c r="CT132" s="792">
        <f>CT171/CT79</f>
        <v>397.57161963606768</v>
      </c>
      <c r="CU132" s="795">
        <f>CU11/CU79</f>
        <v>377.65370595382751</v>
      </c>
      <c r="CV132" s="792">
        <f ca="1">CV171/CV79</f>
        <v>152.70506108202443</v>
      </c>
      <c r="CW132" s="792">
        <f ca="1">CW171/CW79</f>
        <v>151.77833333333334</v>
      </c>
      <c r="CX132" s="792">
        <f ca="1">CX171/CX79</f>
        <v>158.29801326666666</v>
      </c>
      <c r="CY132" s="792">
        <f ca="1">CY171/CY79</f>
        <v>164.29213483146069</v>
      </c>
      <c r="CZ132" s="795">
        <f>CZ11/CZ79</f>
        <v>156.89517965947741</v>
      </c>
      <c r="DA132" s="792">
        <f ca="1">DA171/DA79</f>
        <v>166.38524590163934</v>
      </c>
      <c r="DB132" s="792">
        <f ca="1">DB171/DB79</f>
        <v>170.88443017656502</v>
      </c>
      <c r="DC132" s="792">
        <f ca="1">DC171/DC79</f>
        <v>172.5746031746032</v>
      </c>
      <c r="DD132" s="792">
        <f ca="1">DD171/DD79</f>
        <v>170.47852760736197</v>
      </c>
      <c r="DE132" s="795">
        <f>DE11/DE79</f>
        <v>170.11133200795229</v>
      </c>
      <c r="DF132" s="2696">
        <f ca="1">DF171/DF79</f>
        <v>170.29356357927787</v>
      </c>
      <c r="DG132" s="792">
        <f ca="1">DG171/DG79</f>
        <v>175.5</v>
      </c>
      <c r="DH132" s="792">
        <f ca="1">DH171/DH79</f>
        <v>173.24068866263079</v>
      </c>
      <c r="DI132" s="792">
        <f ca="1">DI171/DI79</f>
        <v>170.35677675374072</v>
      </c>
      <c r="DJ132" s="795">
        <f>DJ11/DJ79</f>
        <v>172.34112552101399</v>
      </c>
      <c r="DK132" s="792">
        <f ca="1">DK171/DK79</f>
        <v>149.7321810953965</v>
      </c>
      <c r="DL132" s="792">
        <f ca="1">DL171/DL79</f>
        <v>176.86761600302381</v>
      </c>
      <c r="DM132" s="792">
        <f ca="1">DM171/DM79</f>
        <v>172.912045731446</v>
      </c>
      <c r="DN132" s="792">
        <f ca="1">DN171/DN79</f>
        <v>166.35872277956821</v>
      </c>
      <c r="DO132" s="795">
        <f ca="1">DO11/DO79</f>
        <v>166.65569511571752</v>
      </c>
      <c r="DP132" s="792">
        <f ca="1">DP171/DP79</f>
        <v>156.7770806848161</v>
      </c>
      <c r="DQ132" s="792">
        <f ca="1">DQ171/DQ79</f>
        <v>184.71304136975317</v>
      </c>
      <c r="DR132" s="792">
        <f ca="1">DR171/DR79</f>
        <v>180.20933266184988</v>
      </c>
      <c r="DS132" s="792">
        <f ca="1">DS171/DS79</f>
        <v>173.02203227933964</v>
      </c>
      <c r="DT132" s="795">
        <f ca="1">DT11/DT79</f>
        <v>173.86330876615182</v>
      </c>
      <c r="DU132" s="792">
        <f ca="1">DU171/DU79</f>
        <v>162.82616058167801</v>
      </c>
      <c r="DV132" s="792">
        <f ca="1">DV171/DV79</f>
        <v>191.18660943286309</v>
      </c>
      <c r="DW132" s="792">
        <f ca="1">DW171/DW79</f>
        <v>186.05717607987251</v>
      </c>
      <c r="DX132" s="792">
        <f ca="1">DX171/DX79</f>
        <v>178.19081303759617</v>
      </c>
      <c r="DY132" s="795">
        <f ca="1">DY11/DY79</f>
        <v>179.73712406435695</v>
      </c>
    </row>
    <row r="133" spans="1:129" ht="11.25" customHeight="1" x14ac:dyDescent="0.2">
      <c r="A133" s="526"/>
      <c r="B133" s="742" t="s">
        <v>767</v>
      </c>
      <c r="C133" s="597"/>
      <c r="D133" s="597"/>
      <c r="E133" s="798"/>
      <c r="F133" s="597"/>
      <c r="G133" s="597"/>
      <c r="H133" s="597"/>
      <c r="I133" s="598"/>
      <c r="J133" s="798"/>
      <c r="K133" s="597"/>
      <c r="L133" s="597"/>
      <c r="M133" s="597"/>
      <c r="N133" s="598"/>
      <c r="O133" s="798"/>
      <c r="P133" s="597"/>
      <c r="Q133" s="597"/>
      <c r="R133" s="597"/>
      <c r="S133" s="598"/>
      <c r="T133" s="798"/>
      <c r="U133" s="597"/>
      <c r="V133" s="597"/>
      <c r="W133" s="597"/>
      <c r="X133" s="598"/>
      <c r="Y133" s="798"/>
      <c r="Z133" s="597"/>
      <c r="AA133" s="597"/>
      <c r="AB133" s="597"/>
      <c r="AC133" s="598"/>
      <c r="AD133" s="798"/>
      <c r="AE133" s="597"/>
      <c r="AF133" s="597"/>
      <c r="AG133" s="597"/>
      <c r="AH133" s="598"/>
      <c r="AI133" s="798"/>
      <c r="AJ133" s="597"/>
      <c r="AK133" s="597"/>
      <c r="AL133" s="597"/>
      <c r="AM133" s="598"/>
      <c r="AN133" s="798"/>
      <c r="AO133" s="597"/>
      <c r="AP133" s="597"/>
      <c r="AQ133" s="597"/>
      <c r="AR133" s="598"/>
      <c r="AS133" s="798"/>
      <c r="AT133" s="597"/>
      <c r="AU133" s="597"/>
      <c r="AV133" s="597"/>
      <c r="AW133" s="598"/>
      <c r="AX133" s="798"/>
      <c r="AY133" s="597"/>
      <c r="AZ133" s="597"/>
      <c r="BA133" s="597"/>
      <c r="BB133" s="598"/>
      <c r="BC133" s="798"/>
      <c r="BD133" s="597"/>
      <c r="BE133" s="597"/>
      <c r="BF133" s="597"/>
      <c r="BG133" s="598"/>
      <c r="BH133" s="798"/>
      <c r="BI133" s="597"/>
      <c r="BJ133" s="597"/>
      <c r="BK133" s="597"/>
      <c r="BL133" s="799">
        <v>8.4000000000000005E-2</v>
      </c>
      <c r="BM133" s="800">
        <v>8.4000000000000005E-2</v>
      </c>
      <c r="BN133" s="800">
        <v>9.1999999999999998E-2</v>
      </c>
      <c r="BO133" s="597"/>
      <c r="BP133" s="597"/>
      <c r="BQ133" s="598"/>
      <c r="BR133" s="800">
        <v>6.2E-2</v>
      </c>
      <c r="BS133" s="597"/>
      <c r="BT133" s="597"/>
      <c r="BU133" s="597"/>
      <c r="BV133" s="598"/>
      <c r="BW133" s="798"/>
      <c r="BX133" s="597"/>
      <c r="BY133" s="597"/>
      <c r="BZ133" s="597"/>
      <c r="CA133" s="598"/>
      <c r="CB133" s="798"/>
      <c r="CC133" s="597"/>
      <c r="CD133" s="597"/>
      <c r="CE133" s="597"/>
      <c r="CF133" s="598"/>
      <c r="CG133" s="542"/>
      <c r="CH133" s="542"/>
      <c r="CI133" s="542"/>
      <c r="CJ133" s="526"/>
      <c r="CK133" s="598"/>
      <c r="CL133" s="474"/>
      <c r="CM133" s="474"/>
      <c r="CN133" s="682"/>
      <c r="CO133" s="682"/>
      <c r="CP133" s="598"/>
      <c r="CQ133" s="474"/>
      <c r="CR133" s="682"/>
      <c r="CS133" s="682"/>
      <c r="CT133" s="682"/>
      <c r="CU133" s="598"/>
      <c r="CV133" s="474"/>
      <c r="CW133" s="682"/>
      <c r="CX133" s="682"/>
      <c r="CY133" s="682"/>
      <c r="CZ133" s="598"/>
      <c r="DA133" s="474"/>
      <c r="DB133" s="2711">
        <f>DB11/DB79</f>
        <v>170.88443017656502</v>
      </c>
      <c r="DC133" s="2711">
        <f>DC11/DC79</f>
        <v>172.5746031746032</v>
      </c>
      <c r="DD133" s="2711">
        <f>DD11/DD79</f>
        <v>170.47852760736197</v>
      </c>
      <c r="DE133" s="598"/>
      <c r="DF133" s="2711">
        <f>DF11/DF79</f>
        <v>170.29356357927787</v>
      </c>
      <c r="DG133" s="2711">
        <f>DG11/DG79</f>
        <v>175.5</v>
      </c>
      <c r="DH133" s="2711">
        <f>DH11/DH79</f>
        <v>173.24068866263079</v>
      </c>
      <c r="DI133" s="2813">
        <f>DI11/DI79</f>
        <v>170.35677675374072</v>
      </c>
      <c r="DJ133" s="598"/>
      <c r="DK133" s="474"/>
      <c r="DL133" s="682"/>
      <c r="DM133" s="682"/>
      <c r="DN133" s="682"/>
      <c r="DO133" s="598"/>
      <c r="DP133" s="474"/>
      <c r="DQ133" s="682"/>
      <c r="DR133" s="682"/>
      <c r="DS133" s="682"/>
      <c r="DT133" s="598"/>
      <c r="DU133" s="474"/>
      <c r="DV133" s="682"/>
      <c r="DW133" s="682"/>
      <c r="DX133" s="682"/>
      <c r="DY133" s="598"/>
    </row>
    <row r="134" spans="1:129" ht="11.25" customHeight="1" x14ac:dyDescent="0.2">
      <c r="A134" s="526"/>
      <c r="B134" s="742" t="s">
        <v>768</v>
      </c>
      <c r="C134" s="597"/>
      <c r="D134" s="597"/>
      <c r="E134" s="597"/>
      <c r="F134" s="597"/>
      <c r="G134" s="597"/>
      <c r="H134" s="597"/>
      <c r="I134" s="598"/>
      <c r="J134" s="597"/>
      <c r="K134" s="597"/>
      <c r="L134" s="597"/>
      <c r="M134" s="597"/>
      <c r="N134" s="598"/>
      <c r="O134" s="597"/>
      <c r="P134" s="597"/>
      <c r="Q134" s="597"/>
      <c r="R134" s="597"/>
      <c r="S134" s="598"/>
      <c r="T134" s="597"/>
      <c r="U134" s="597"/>
      <c r="V134" s="597"/>
      <c r="W134" s="597"/>
      <c r="X134" s="598"/>
      <c r="Y134" s="597"/>
      <c r="Z134" s="597"/>
      <c r="AA134" s="597"/>
      <c r="AB134" s="597"/>
      <c r="AC134" s="598"/>
      <c r="AD134" s="597"/>
      <c r="AE134" s="597"/>
      <c r="AF134" s="597"/>
      <c r="AG134" s="597"/>
      <c r="AH134" s="598"/>
      <c r="AI134" s="597"/>
      <c r="AJ134" s="597"/>
      <c r="AK134" s="597"/>
      <c r="AL134" s="597"/>
      <c r="AM134" s="598"/>
      <c r="AN134" s="597"/>
      <c r="AO134" s="597"/>
      <c r="AP134" s="597"/>
      <c r="AQ134" s="597"/>
      <c r="AR134" s="598"/>
      <c r="AS134" s="597"/>
      <c r="AT134" s="597"/>
      <c r="AU134" s="597"/>
      <c r="AV134" s="597"/>
      <c r="AW134" s="598"/>
      <c r="AX134" s="597"/>
      <c r="AY134" s="597"/>
      <c r="AZ134" s="597"/>
      <c r="BA134" s="597"/>
      <c r="BB134" s="598"/>
      <c r="BC134" s="597"/>
      <c r="BD134" s="597"/>
      <c r="BE134" s="597"/>
      <c r="BF134" s="597"/>
      <c r="BG134" s="598"/>
      <c r="BH134" s="597"/>
      <c r="BI134" s="597"/>
      <c r="BJ134" s="597"/>
      <c r="BK134" s="597"/>
      <c r="BL134" s="580"/>
      <c r="BM134" s="800">
        <v>-0.02</v>
      </c>
      <c r="BN134" s="800">
        <v>-2.1536320125288416E-2</v>
      </c>
      <c r="BO134" s="597"/>
      <c r="BP134" s="597"/>
      <c r="BQ134" s="598"/>
      <c r="BR134" s="801">
        <f>BR139-BR133</f>
        <v>-5.2053772066000259E-3</v>
      </c>
      <c r="BS134" s="597"/>
      <c r="BT134" s="597"/>
      <c r="BU134" s="597"/>
      <c r="BV134" s="598"/>
      <c r="BW134" s="597"/>
      <c r="BX134" s="597"/>
      <c r="BY134" s="597"/>
      <c r="BZ134" s="597"/>
      <c r="CA134" s="598"/>
      <c r="CB134" s="597"/>
      <c r="CC134" s="597"/>
      <c r="CD134" s="597"/>
      <c r="CE134" s="597"/>
      <c r="CF134" s="598"/>
      <c r="CG134" s="682"/>
      <c r="CH134" s="682"/>
      <c r="CI134" s="682"/>
      <c r="CJ134" s="682"/>
      <c r="CK134" s="598"/>
      <c r="CL134" s="682"/>
      <c r="CM134" s="682"/>
      <c r="CN134" s="682"/>
      <c r="CO134" s="682"/>
      <c r="CP134" s="598"/>
      <c r="CQ134" s="682"/>
      <c r="CR134" s="682"/>
      <c r="CS134" s="682"/>
      <c r="CT134" s="682"/>
      <c r="CU134" s="598"/>
      <c r="CV134" s="682"/>
      <c r="CW134" s="682"/>
      <c r="CX134" s="682"/>
      <c r="CY134" s="682"/>
      <c r="CZ134" s="598"/>
      <c r="DA134" s="682"/>
      <c r="DB134" s="682"/>
      <c r="DC134" s="682"/>
      <c r="DD134" s="682"/>
      <c r="DE134" s="598"/>
      <c r="DF134" s="1741"/>
      <c r="DG134" s="682"/>
      <c r="DH134" s="682"/>
      <c r="DI134" s="1610"/>
      <c r="DJ134" s="598"/>
      <c r="DK134" s="682"/>
      <c r="DL134" s="682"/>
      <c r="DM134" s="682"/>
      <c r="DN134" s="682"/>
      <c r="DO134" s="598"/>
      <c r="DP134" s="682"/>
      <c r="DQ134" s="682"/>
      <c r="DR134" s="682"/>
      <c r="DS134" s="682"/>
      <c r="DT134" s="598"/>
      <c r="DU134" s="682"/>
      <c r="DV134" s="682"/>
      <c r="DW134" s="682"/>
      <c r="DX134" s="682"/>
      <c r="DY134" s="598"/>
    </row>
    <row r="135" spans="1:129" ht="11.25" customHeight="1" x14ac:dyDescent="0.2">
      <c r="A135" s="526"/>
      <c r="B135" s="742"/>
      <c r="C135" s="597"/>
      <c r="D135" s="597"/>
      <c r="E135" s="597"/>
      <c r="F135" s="597"/>
      <c r="G135" s="597"/>
      <c r="H135" s="597"/>
      <c r="I135" s="598"/>
      <c r="J135" s="597"/>
      <c r="K135" s="597"/>
      <c r="L135" s="597"/>
      <c r="M135" s="597"/>
      <c r="N135" s="598"/>
      <c r="O135" s="597"/>
      <c r="P135" s="597"/>
      <c r="Q135" s="597"/>
      <c r="R135" s="597"/>
      <c r="S135" s="598"/>
      <c r="T135" s="597"/>
      <c r="U135" s="597"/>
      <c r="V135" s="597"/>
      <c r="W135" s="597"/>
      <c r="X135" s="598"/>
      <c r="Y135" s="597"/>
      <c r="Z135" s="597"/>
      <c r="AA135" s="597"/>
      <c r="AB135" s="597"/>
      <c r="AC135" s="598"/>
      <c r="AD135" s="597"/>
      <c r="AE135" s="597"/>
      <c r="AF135" s="597"/>
      <c r="AG135" s="597"/>
      <c r="AH135" s="598"/>
      <c r="AI135" s="597"/>
      <c r="AJ135" s="597"/>
      <c r="AK135" s="597"/>
      <c r="AL135" s="597"/>
      <c r="AM135" s="598"/>
      <c r="AN135" s="597"/>
      <c r="AO135" s="597"/>
      <c r="AP135" s="597"/>
      <c r="AQ135" s="597"/>
      <c r="AR135" s="598"/>
      <c r="AS135" s="597"/>
      <c r="AT135" s="597"/>
      <c r="AU135" s="597"/>
      <c r="AV135" s="597"/>
      <c r="AW135" s="598"/>
      <c r="AX135" s="597"/>
      <c r="AY135" s="597"/>
      <c r="AZ135" s="597"/>
      <c r="BA135" s="597"/>
      <c r="BB135" s="598"/>
      <c r="BC135" s="597"/>
      <c r="BD135" s="597"/>
      <c r="BE135" s="597"/>
      <c r="BF135" s="597"/>
      <c r="BG135" s="598"/>
      <c r="BH135" s="597"/>
      <c r="BI135" s="597"/>
      <c r="BJ135" s="597"/>
      <c r="BK135" s="597"/>
      <c r="BL135" s="580"/>
      <c r="BM135" s="597"/>
      <c r="BN135" s="597"/>
      <c r="BO135" s="597"/>
      <c r="BP135" s="597"/>
      <c r="BQ135" s="598"/>
      <c r="BR135" s="597"/>
      <c r="BS135" s="597"/>
      <c r="BT135" s="597"/>
      <c r="BU135" s="597"/>
      <c r="BV135" s="598"/>
      <c r="BW135" s="597"/>
      <c r="BX135" s="597"/>
      <c r="BY135" s="597"/>
      <c r="BZ135" s="597"/>
      <c r="CA135" s="598"/>
      <c r="CB135" s="597"/>
      <c r="CC135" s="597"/>
      <c r="CD135" s="597"/>
      <c r="CE135" s="597"/>
      <c r="CF135" s="598"/>
      <c r="CG135" s="682"/>
      <c r="CH135" s="682"/>
      <c r="CI135" s="682"/>
      <c r="CJ135" s="682"/>
      <c r="CK135" s="598"/>
      <c r="CL135" s="682"/>
      <c r="CM135" s="682"/>
      <c r="CN135" s="682"/>
      <c r="CO135" s="682"/>
      <c r="CP135" s="598"/>
      <c r="CQ135" s="682"/>
      <c r="CR135" s="682"/>
      <c r="CS135" s="682"/>
      <c r="CT135" s="682"/>
      <c r="CU135" s="598"/>
      <c r="CV135" s="682"/>
      <c r="CW135" s="682"/>
      <c r="CX135" s="682"/>
      <c r="CY135" s="682"/>
      <c r="CZ135" s="598"/>
      <c r="DA135" s="682"/>
      <c r="DB135" s="682"/>
      <c r="DC135" s="682"/>
      <c r="DD135" s="682"/>
      <c r="DE135" s="598"/>
      <c r="DF135" s="1741"/>
      <c r="DG135" s="682"/>
      <c r="DH135" s="682"/>
      <c r="DI135" s="1610"/>
      <c r="DJ135" s="598"/>
      <c r="DK135" s="682"/>
      <c r="DL135" s="682"/>
      <c r="DM135" s="682"/>
      <c r="DN135" s="682"/>
      <c r="DO135" s="598"/>
      <c r="DP135" s="682"/>
      <c r="DQ135" s="682"/>
      <c r="DR135" s="682"/>
      <c r="DS135" s="682"/>
      <c r="DT135" s="598"/>
      <c r="DU135" s="682"/>
      <c r="DV135" s="682"/>
      <c r="DW135" s="682"/>
      <c r="DX135" s="682"/>
      <c r="DY135" s="598"/>
    </row>
    <row r="136" spans="1:129" ht="11.25" customHeight="1" x14ac:dyDescent="0.2">
      <c r="A136" s="526"/>
      <c r="B136" s="802" t="s">
        <v>762</v>
      </c>
      <c r="C136" s="597"/>
      <c r="D136" s="597"/>
      <c r="E136" s="597"/>
      <c r="F136" s="597"/>
      <c r="G136" s="597"/>
      <c r="H136" s="597"/>
      <c r="I136" s="598"/>
      <c r="J136" s="597"/>
      <c r="K136" s="597"/>
      <c r="L136" s="597"/>
      <c r="M136" s="597"/>
      <c r="N136" s="598"/>
      <c r="O136" s="597"/>
      <c r="P136" s="597"/>
      <c r="Q136" s="597"/>
      <c r="R136" s="597"/>
      <c r="S136" s="598"/>
      <c r="T136" s="597"/>
      <c r="U136" s="597"/>
      <c r="V136" s="597"/>
      <c r="W136" s="597"/>
      <c r="X136" s="598"/>
      <c r="Y136" s="597"/>
      <c r="Z136" s="597"/>
      <c r="AA136" s="597"/>
      <c r="AB136" s="597"/>
      <c r="AC136" s="598"/>
      <c r="AD136" s="597"/>
      <c r="AE136" s="597"/>
      <c r="AF136" s="597"/>
      <c r="AG136" s="597"/>
      <c r="AH136" s="598"/>
      <c r="AI136" s="597"/>
      <c r="AJ136" s="597"/>
      <c r="AK136" s="597"/>
      <c r="AL136" s="597"/>
      <c r="AM136" s="598"/>
      <c r="AN136" s="597"/>
      <c r="AO136" s="597"/>
      <c r="AP136" s="597"/>
      <c r="AQ136" s="597"/>
      <c r="AR136" s="598"/>
      <c r="AS136" s="597"/>
      <c r="AT136" s="597"/>
      <c r="AU136" s="597"/>
      <c r="AV136" s="597"/>
      <c r="AW136" s="598"/>
      <c r="AX136" s="597"/>
      <c r="AY136" s="597"/>
      <c r="AZ136" s="597"/>
      <c r="BA136" s="597"/>
      <c r="BB136" s="598"/>
      <c r="BC136" s="597"/>
      <c r="BD136" s="597"/>
      <c r="BE136" s="597"/>
      <c r="BF136" s="597"/>
      <c r="BG136" s="598"/>
      <c r="BH136" s="597"/>
      <c r="BI136" s="597"/>
      <c r="BJ136" s="597"/>
      <c r="BK136" s="597"/>
      <c r="BL136" s="580"/>
      <c r="BM136" s="597"/>
      <c r="BN136" s="597"/>
      <c r="BO136" s="597"/>
      <c r="BP136" s="597"/>
      <c r="BQ136" s="598"/>
      <c r="BR136" s="597"/>
      <c r="BS136" s="597"/>
      <c r="BT136" s="597"/>
      <c r="BU136" s="597"/>
      <c r="BV136" s="598"/>
      <c r="BW136" s="597"/>
      <c r="BX136" s="597"/>
      <c r="BY136" s="597"/>
      <c r="BZ136" s="597"/>
      <c r="CA136" s="598"/>
      <c r="CB136" s="597"/>
      <c r="CC136" s="597"/>
      <c r="CD136" s="597"/>
      <c r="CE136" s="597"/>
      <c r="CF136" s="598"/>
      <c r="CG136" s="682"/>
      <c r="CH136" s="682"/>
      <c r="CI136" s="682"/>
      <c r="CJ136" s="682"/>
      <c r="CK136" s="598"/>
      <c r="CL136" s="923"/>
      <c r="CM136" s="923"/>
      <c r="CN136" s="682"/>
      <c r="CO136" s="682"/>
      <c r="CP136" s="598"/>
      <c r="CQ136" s="682"/>
      <c r="CR136" s="682"/>
      <c r="CS136" s="682"/>
      <c r="CT136" s="682"/>
      <c r="CU136" s="598"/>
      <c r="CV136" s="682"/>
      <c r="CW136" s="682"/>
      <c r="CX136" s="682"/>
      <c r="CY136" s="682"/>
      <c r="CZ136" s="598"/>
      <c r="DA136" s="682"/>
      <c r="DB136" s="682"/>
      <c r="DC136" s="682"/>
      <c r="DD136" s="682"/>
      <c r="DE136" s="598"/>
      <c r="DF136" s="1741"/>
      <c r="DG136" s="682"/>
      <c r="DH136" s="682"/>
      <c r="DI136" s="1610"/>
      <c r="DJ136" s="598"/>
      <c r="DK136" s="682"/>
      <c r="DL136" s="682"/>
      <c r="DM136" s="682"/>
      <c r="DN136" s="682"/>
      <c r="DO136" s="598"/>
      <c r="DP136" s="682"/>
      <c r="DQ136" s="682"/>
      <c r="DR136" s="682"/>
      <c r="DS136" s="682"/>
      <c r="DT136" s="598"/>
      <c r="DU136" s="682"/>
      <c r="DV136" s="682"/>
      <c r="DW136" s="682"/>
      <c r="DX136" s="682"/>
      <c r="DY136" s="598"/>
    </row>
    <row r="137" spans="1:129" ht="11.25" customHeight="1" x14ac:dyDescent="0.2">
      <c r="A137" s="526"/>
      <c r="B137" s="778" t="s">
        <v>744</v>
      </c>
      <c r="C137" s="597"/>
      <c r="D137" s="597"/>
      <c r="E137" s="743"/>
      <c r="F137" s="743"/>
      <c r="G137" s="743"/>
      <c r="H137" s="747"/>
      <c r="I137" s="598"/>
      <c r="J137" s="743"/>
      <c r="K137" s="743"/>
      <c r="L137" s="743"/>
      <c r="M137" s="747"/>
      <c r="N137" s="598"/>
      <c r="O137" s="743"/>
      <c r="P137" s="743"/>
      <c r="Q137" s="743"/>
      <c r="R137" s="747"/>
      <c r="S137" s="598"/>
      <c r="T137" s="743"/>
      <c r="U137" s="743"/>
      <c r="V137" s="743"/>
      <c r="W137" s="747"/>
      <c r="X137" s="598"/>
      <c r="Y137" s="743"/>
      <c r="Z137" s="743"/>
      <c r="AA137" s="743"/>
      <c r="AB137" s="747"/>
      <c r="AC137" s="598"/>
      <c r="AD137" s="743"/>
      <c r="AE137" s="743"/>
      <c r="AF137" s="743"/>
      <c r="AG137" s="747"/>
      <c r="AH137" s="598"/>
      <c r="AI137" s="743"/>
      <c r="AJ137" s="743"/>
      <c r="AK137" s="743"/>
      <c r="AL137" s="747"/>
      <c r="AM137" s="598"/>
      <c r="AN137" s="743"/>
      <c r="AO137" s="743"/>
      <c r="AP137" s="743"/>
      <c r="AQ137" s="747"/>
      <c r="AR137" s="598"/>
      <c r="AS137" s="743"/>
      <c r="AT137" s="743"/>
      <c r="AU137" s="743"/>
      <c r="AV137" s="747"/>
      <c r="AW137" s="598"/>
      <c r="AX137" s="743"/>
      <c r="AY137" s="743"/>
      <c r="AZ137" s="743"/>
      <c r="BA137" s="747"/>
      <c r="BB137" s="598"/>
      <c r="BC137" s="743"/>
      <c r="BD137" s="743"/>
      <c r="BE137" s="743"/>
      <c r="BF137" s="747"/>
      <c r="BG137" s="598"/>
      <c r="BH137" s="743"/>
      <c r="BI137" s="743"/>
      <c r="BJ137" s="743"/>
      <c r="BK137" s="747"/>
      <c r="BL137" s="580"/>
      <c r="BM137" s="803">
        <f t="shared" ref="BM137:BV139" si="187">BM130/BH130-1</f>
        <v>1.8588512757080582</v>
      </c>
      <c r="BN137" s="803">
        <f t="shared" si="187"/>
        <v>-0.11030701429664913</v>
      </c>
      <c r="BO137" s="803">
        <f t="shared" si="187"/>
        <v>-1.7411991020546691E-2</v>
      </c>
      <c r="BP137" s="804">
        <f t="shared" si="187"/>
        <v>3.7379283431035137E-2</v>
      </c>
      <c r="BQ137" s="780">
        <f t="shared" si="187"/>
        <v>0.1378847181051126</v>
      </c>
      <c r="BR137" s="803">
        <f t="shared" si="187"/>
        <v>9.6427346602336872E-2</v>
      </c>
      <c r="BS137" s="803">
        <f t="shared" si="187"/>
        <v>0.10423615645535711</v>
      </c>
      <c r="BT137" s="803">
        <f t="shared" si="187"/>
        <v>-1.0356085048678909E-2</v>
      </c>
      <c r="BU137" s="803">
        <f t="shared" si="187"/>
        <v>-2.075093231086933E-2</v>
      </c>
      <c r="BV137" s="780">
        <f t="shared" si="187"/>
        <v>3.8558336127027193E-2</v>
      </c>
      <c r="BW137" s="803">
        <f t="shared" ref="BW137:CF139" si="188">BW130/BR130-1</f>
        <v>-1.2371414492814647E-2</v>
      </c>
      <c r="BX137" s="803">
        <f t="shared" si="188"/>
        <v>-3.9558803885620164E-2</v>
      </c>
      <c r="BY137" s="803">
        <f t="shared" si="188"/>
        <v>-3.5055661588963005E-3</v>
      </c>
      <c r="BZ137" s="803">
        <f t="shared" si="188"/>
        <v>-9.5379760344831421E-3</v>
      </c>
      <c r="CA137" s="780">
        <f t="shared" si="188"/>
        <v>-1.6234402564898498E-2</v>
      </c>
      <c r="CB137" s="803">
        <f t="shared" si="188"/>
        <v>-1.3069857778625682E-2</v>
      </c>
      <c r="CC137" s="803">
        <f t="shared" si="188"/>
        <v>3.6733350613382676E-4</v>
      </c>
      <c r="CD137" s="803">
        <f t="shared" si="188"/>
        <v>-1.6649747446832674E-2</v>
      </c>
      <c r="CE137" s="803">
        <f t="shared" si="188"/>
        <v>6.6717404322425677E-2</v>
      </c>
      <c r="CF137" s="780">
        <f t="shared" si="188"/>
        <v>9.8896708035693948E-3</v>
      </c>
      <c r="CG137" s="805">
        <f t="shared" ref="CG137:CJ139" si="189">CG130/CB130-1</f>
        <v>2.4302665123156597E-2</v>
      </c>
      <c r="CH137" s="805">
        <f t="shared" si="189"/>
        <v>3.9642052633247937E-2</v>
      </c>
      <c r="CI137" s="805">
        <f t="shared" si="189"/>
        <v>5.1327529030979591E-2</v>
      </c>
      <c r="CJ137" s="805">
        <f>CJ130/CE130-1</f>
        <v>0.14163925156770873</v>
      </c>
      <c r="CK137" s="780">
        <f>CK130/CF130-1</f>
        <v>6.6601071651172905E-2</v>
      </c>
      <c r="CL137" s="747">
        <v>3.0200000000000001E-2</v>
      </c>
      <c r="CM137" s="747">
        <v>0.03</v>
      </c>
      <c r="CN137" s="747">
        <v>7.0000000000000007E-2</v>
      </c>
      <c r="CO137" s="747">
        <v>7.0000000000000007E-2</v>
      </c>
      <c r="CP137" s="780">
        <f>CP130/CK130-1</f>
        <v>4.5508533672853124E-2</v>
      </c>
      <c r="CQ137" s="747">
        <v>0.3</v>
      </c>
      <c r="CR137" s="747">
        <v>0.1</v>
      </c>
      <c r="CS137" s="747">
        <v>0.1</v>
      </c>
      <c r="CT137" s="747">
        <v>0.13</v>
      </c>
      <c r="CU137" s="780">
        <f t="shared" ref="CU137:DI139" si="190">CU130/CP130-1</f>
        <v>0.16103838964073569</v>
      </c>
      <c r="CV137" s="747">
        <f t="shared" ca="1" si="190"/>
        <v>-0.60889690382613293</v>
      </c>
      <c r="CW137" s="747">
        <f t="shared" ca="1" si="190"/>
        <v>-0.60842977064610793</v>
      </c>
      <c r="CX137" s="747">
        <f t="shared" ca="1" si="190"/>
        <v>-0.60497042063925288</v>
      </c>
      <c r="CY137" s="747">
        <f t="shared" ca="1" si="190"/>
        <v>-0.60550246274298702</v>
      </c>
      <c r="CZ137" s="593">
        <f t="shared" ca="1" si="190"/>
        <v>-0.60745410942277567</v>
      </c>
      <c r="DA137" s="747">
        <f t="shared" ca="1" si="190"/>
        <v>5.2485620517670695E-2</v>
      </c>
      <c r="DB137" s="747">
        <f t="shared" ca="1" si="190"/>
        <v>0.10631928092785015</v>
      </c>
      <c r="DC137" s="747">
        <f t="shared" ca="1" si="190"/>
        <v>8.4018890049000428E-2</v>
      </c>
      <c r="DD137" s="747">
        <f t="shared" ca="1" si="190"/>
        <v>3.7553633597111613E-2</v>
      </c>
      <c r="DE137" s="593">
        <f t="shared" ca="1" si="190"/>
        <v>6.8419778235561335E-2</v>
      </c>
      <c r="DF137" s="2693">
        <f t="shared" ca="1" si="190"/>
        <v>-5.0063882517061842E-3</v>
      </c>
      <c r="DG137" s="747">
        <f t="shared" ca="1" si="190"/>
        <v>6.6911186039286585E-2</v>
      </c>
      <c r="DH137" s="683">
        <f t="shared" ca="1" si="190"/>
        <v>3.3330663614782541E-2</v>
      </c>
      <c r="DI137" s="2814">
        <f t="shared" ca="1" si="190"/>
        <v>-0.1146264377471502</v>
      </c>
      <c r="DJ137" s="593">
        <f ca="1">DJ130/DE130-1</f>
        <v>-1.080107811997133E-2</v>
      </c>
      <c r="DK137" s="747">
        <v>-0.09</v>
      </c>
      <c r="DL137" s="747">
        <v>-0.1</v>
      </c>
      <c r="DM137" s="747">
        <v>-0.1</v>
      </c>
      <c r="DN137" s="747">
        <v>-0.1</v>
      </c>
      <c r="DO137" s="593">
        <f ca="1">DO130/DJ130-1</f>
        <v>-9.7426953173287867E-2</v>
      </c>
      <c r="DP137" s="747">
        <v>0.04</v>
      </c>
      <c r="DQ137" s="747">
        <v>0.04</v>
      </c>
      <c r="DR137" s="747">
        <v>0.04</v>
      </c>
      <c r="DS137" s="747">
        <v>0.04</v>
      </c>
      <c r="DT137" s="593">
        <f ca="1">DT130/DO130-1</f>
        <v>4.0002042681379635E-2</v>
      </c>
      <c r="DU137" s="747">
        <v>0.04</v>
      </c>
      <c r="DV137" s="747">
        <v>0.04</v>
      </c>
      <c r="DW137" s="747">
        <v>0.04</v>
      </c>
      <c r="DX137" s="747">
        <v>0.04</v>
      </c>
      <c r="DY137" s="593">
        <f ca="1">DY130/DT130-1</f>
        <v>4.0001971757274379E-2</v>
      </c>
    </row>
    <row r="138" spans="1:129" ht="11.25" customHeight="1" x14ac:dyDescent="0.2">
      <c r="A138" s="526"/>
      <c r="B138" s="778" t="s">
        <v>745</v>
      </c>
      <c r="C138" s="597"/>
      <c r="D138" s="597"/>
      <c r="E138" s="743"/>
      <c r="F138" s="743"/>
      <c r="G138" s="743"/>
      <c r="H138" s="747"/>
      <c r="I138" s="598"/>
      <c r="J138" s="743"/>
      <c r="K138" s="743"/>
      <c r="L138" s="743"/>
      <c r="M138" s="747"/>
      <c r="N138" s="598"/>
      <c r="O138" s="743"/>
      <c r="P138" s="743"/>
      <c r="Q138" s="743"/>
      <c r="R138" s="747"/>
      <c r="S138" s="598"/>
      <c r="T138" s="743"/>
      <c r="U138" s="743"/>
      <c r="V138" s="743"/>
      <c r="W138" s="747"/>
      <c r="X138" s="598"/>
      <c r="Y138" s="743"/>
      <c r="Z138" s="743"/>
      <c r="AA138" s="743"/>
      <c r="AB138" s="747"/>
      <c r="AC138" s="598"/>
      <c r="AD138" s="743"/>
      <c r="AE138" s="743"/>
      <c r="AF138" s="743"/>
      <c r="AG138" s="747"/>
      <c r="AH138" s="598"/>
      <c r="AI138" s="743"/>
      <c r="AJ138" s="743"/>
      <c r="AK138" s="743"/>
      <c r="AL138" s="747"/>
      <c r="AM138" s="598"/>
      <c r="AN138" s="743"/>
      <c r="AO138" s="743"/>
      <c r="AP138" s="743"/>
      <c r="AQ138" s="747"/>
      <c r="AR138" s="598"/>
      <c r="AS138" s="743"/>
      <c r="AT138" s="743"/>
      <c r="AU138" s="743"/>
      <c r="AV138" s="747"/>
      <c r="AW138" s="598"/>
      <c r="AX138" s="743"/>
      <c r="AY138" s="743"/>
      <c r="AZ138" s="743"/>
      <c r="BA138" s="747"/>
      <c r="BB138" s="598"/>
      <c r="BC138" s="743"/>
      <c r="BD138" s="743"/>
      <c r="BE138" s="743"/>
      <c r="BF138" s="747"/>
      <c r="BG138" s="598"/>
      <c r="BH138" s="743"/>
      <c r="BI138" s="743"/>
      <c r="BJ138" s="743"/>
      <c r="BK138" s="747"/>
      <c r="BL138" s="580"/>
      <c r="BM138" s="803">
        <f t="shared" si="187"/>
        <v>3.1916910776408445</v>
      </c>
      <c r="BN138" s="803">
        <f t="shared" si="187"/>
        <v>0.2452846745761359</v>
      </c>
      <c r="BO138" s="803">
        <f t="shared" si="187"/>
        <v>0.22954065067288676</v>
      </c>
      <c r="BP138" s="804">
        <f t="shared" si="187"/>
        <v>0.21268316771364693</v>
      </c>
      <c r="BQ138" s="780">
        <f t="shared" si="187"/>
        <v>0.49525264294075577</v>
      </c>
      <c r="BR138" s="803">
        <f t="shared" si="187"/>
        <v>0.10183154977777731</v>
      </c>
      <c r="BS138" s="803">
        <f t="shared" si="187"/>
        <v>9.6882560598461342E-2</v>
      </c>
      <c r="BT138" s="803">
        <f t="shared" si="187"/>
        <v>7.0695479710232156E-2</v>
      </c>
      <c r="BU138" s="803">
        <f t="shared" si="187"/>
        <v>6.418913576368146E-2</v>
      </c>
      <c r="BV138" s="780">
        <f t="shared" si="187"/>
        <v>8.338505379320682E-2</v>
      </c>
      <c r="BW138" s="803">
        <f t="shared" si="188"/>
        <v>0.12761927587354926</v>
      </c>
      <c r="BX138" s="803">
        <f t="shared" si="188"/>
        <v>0.10642552071476152</v>
      </c>
      <c r="BY138" s="803">
        <f t="shared" si="188"/>
        <v>0.15698290023337114</v>
      </c>
      <c r="BZ138" s="803">
        <f t="shared" si="188"/>
        <v>0.14979759704993834</v>
      </c>
      <c r="CA138" s="780">
        <f t="shared" si="188"/>
        <v>0.13460074764046182</v>
      </c>
      <c r="CB138" s="803">
        <f t="shared" si="188"/>
        <v>0.10058464549354551</v>
      </c>
      <c r="CC138" s="803">
        <f t="shared" si="188"/>
        <v>0.13994105314997252</v>
      </c>
      <c r="CD138" s="803">
        <f t="shared" si="188"/>
        <v>0.12861732544377324</v>
      </c>
      <c r="CE138" s="803">
        <f t="shared" si="188"/>
        <v>0.14316856715403881</v>
      </c>
      <c r="CF138" s="780">
        <f t="shared" si="188"/>
        <v>0.12814263676359139</v>
      </c>
      <c r="CG138" s="805">
        <f t="shared" si="189"/>
        <v>0.24183398731025085</v>
      </c>
      <c r="CH138" s="805">
        <f t="shared" si="189"/>
        <v>0.25945629948275717</v>
      </c>
      <c r="CI138" s="805">
        <f t="shared" si="189"/>
        <v>0.29096543670008357</v>
      </c>
      <c r="CJ138" s="805">
        <f t="shared" si="189"/>
        <v>0.27913029339809414</v>
      </c>
      <c r="CK138" s="780">
        <f>CK131/CF131-1</f>
        <v>0.26434401729815304</v>
      </c>
      <c r="CL138" s="747">
        <v>0.27</v>
      </c>
      <c r="CM138" s="747">
        <v>0.2243</v>
      </c>
      <c r="CN138" s="747">
        <v>0.2253</v>
      </c>
      <c r="CO138" s="747">
        <v>0.2253</v>
      </c>
      <c r="CP138" s="780">
        <f>CP131/CK131-1</f>
        <v>0.23417015102065686</v>
      </c>
      <c r="CQ138" s="747">
        <v>0.3</v>
      </c>
      <c r="CR138" s="747">
        <v>0.28000000000000003</v>
      </c>
      <c r="CS138" s="747">
        <v>0.28000000000000003</v>
      </c>
      <c r="CT138" s="747">
        <v>0.22869999999999999</v>
      </c>
      <c r="CU138" s="780">
        <f t="shared" si="190"/>
        <v>0.2802848313628763</v>
      </c>
      <c r="CV138" s="747">
        <f t="shared" ca="1" si="190"/>
        <v>-0.57334207690123584</v>
      </c>
      <c r="CW138" s="747">
        <f t="shared" ca="1" si="190"/>
        <v>-0.56571301835295618</v>
      </c>
      <c r="CX138" s="747">
        <f t="shared" ca="1" si="190"/>
        <v>-0.56905864069736667</v>
      </c>
      <c r="CY138" s="747">
        <f t="shared" ca="1" si="190"/>
        <v>-0.55888002652170399</v>
      </c>
      <c r="CZ138" s="593">
        <f t="shared" ca="1" si="190"/>
        <v>-0.56720523081832863</v>
      </c>
      <c r="DA138" s="747">
        <f t="shared" ca="1" si="190"/>
        <v>0.15272234628125836</v>
      </c>
      <c r="DB138" s="747">
        <f t="shared" ca="1" si="190"/>
        <v>0.21168302196859723</v>
      </c>
      <c r="DC138" s="747">
        <f t="shared" ca="1" si="190"/>
        <v>0.18725878433938115</v>
      </c>
      <c r="DD138" s="747">
        <f t="shared" ca="1" si="190"/>
        <v>0.14624972854538032</v>
      </c>
      <c r="DE138" s="593">
        <f t="shared" ca="1" si="190"/>
        <v>0.17307598989121886</v>
      </c>
      <c r="DF138" s="2693">
        <f t="shared" ca="1" si="190"/>
        <v>0.11808560495426867</v>
      </c>
      <c r="DG138" s="747">
        <f t="shared" ca="1" si="190"/>
        <v>0.30554352997299183</v>
      </c>
      <c r="DH138" s="683">
        <f t="shared" ca="1" si="190"/>
        <v>0.26573689621184582</v>
      </c>
      <c r="DI138" s="2814">
        <f t="shared" ca="1" si="190"/>
        <v>0.28028988869031513</v>
      </c>
      <c r="DJ138" s="593">
        <f ca="1">DJ131/DE131-1</f>
        <v>0.23677464280462046</v>
      </c>
      <c r="DK138" s="747">
        <v>0.09</v>
      </c>
      <c r="DL138" s="747">
        <v>0.09</v>
      </c>
      <c r="DM138" s="747">
        <v>0.09</v>
      </c>
      <c r="DN138" s="747">
        <v>0.09</v>
      </c>
      <c r="DO138" s="593">
        <f ca="1">DO131/DJ131-1</f>
        <v>9.8247869564214829E-2</v>
      </c>
      <c r="DP138" s="747">
        <v>0.15</v>
      </c>
      <c r="DQ138" s="747">
        <v>0.15</v>
      </c>
      <c r="DR138" s="747">
        <v>0.15</v>
      </c>
      <c r="DS138" s="747">
        <v>0.15</v>
      </c>
      <c r="DT138" s="593">
        <f ca="1">DT131/DO131-1</f>
        <v>0.14978225988955085</v>
      </c>
      <c r="DU138" s="747">
        <v>0.15</v>
      </c>
      <c r="DV138" s="747">
        <v>0.15</v>
      </c>
      <c r="DW138" s="747">
        <v>0.15</v>
      </c>
      <c r="DX138" s="747">
        <v>0.15</v>
      </c>
      <c r="DY138" s="593">
        <f ca="1">DY131/DT131-1</f>
        <v>0.14973058746056744</v>
      </c>
    </row>
    <row r="139" spans="1:129" ht="11.25" customHeight="1" x14ac:dyDescent="0.2">
      <c r="A139" s="526"/>
      <c r="B139" s="778" t="s">
        <v>251</v>
      </c>
      <c r="C139" s="597"/>
      <c r="D139" s="597"/>
      <c r="E139" s="743"/>
      <c r="F139" s="743"/>
      <c r="G139" s="743"/>
      <c r="H139" s="743"/>
      <c r="I139" s="598"/>
      <c r="J139" s="743"/>
      <c r="K139" s="743"/>
      <c r="L139" s="743"/>
      <c r="M139" s="743"/>
      <c r="N139" s="598"/>
      <c r="O139" s="743"/>
      <c r="P139" s="743"/>
      <c r="Q139" s="743"/>
      <c r="R139" s="743"/>
      <c r="S139" s="598"/>
      <c r="T139" s="743"/>
      <c r="U139" s="743"/>
      <c r="V139" s="743"/>
      <c r="W139" s="743"/>
      <c r="X139" s="598"/>
      <c r="Y139" s="743"/>
      <c r="Z139" s="743"/>
      <c r="AA139" s="743"/>
      <c r="AB139" s="743"/>
      <c r="AC139" s="598"/>
      <c r="AD139" s="743"/>
      <c r="AE139" s="743"/>
      <c r="AF139" s="743"/>
      <c r="AG139" s="743"/>
      <c r="AH139" s="598"/>
      <c r="AI139" s="743"/>
      <c r="AJ139" s="743"/>
      <c r="AK139" s="743"/>
      <c r="AL139" s="743"/>
      <c r="AM139" s="598"/>
      <c r="AN139" s="743"/>
      <c r="AO139" s="743"/>
      <c r="AP139" s="743"/>
      <c r="AQ139" s="743"/>
      <c r="AR139" s="598"/>
      <c r="AS139" s="743"/>
      <c r="AT139" s="743"/>
      <c r="AU139" s="743"/>
      <c r="AV139" s="743"/>
      <c r="AW139" s="598"/>
      <c r="AX139" s="743"/>
      <c r="AY139" s="743"/>
      <c r="AZ139" s="743"/>
      <c r="BA139" s="743"/>
      <c r="BB139" s="598"/>
      <c r="BC139" s="743"/>
      <c r="BD139" s="743"/>
      <c r="BE139" s="743"/>
      <c r="BF139" s="743"/>
      <c r="BG139" s="598"/>
      <c r="BH139" s="803">
        <f>BH132/BC132-1</f>
        <v>-0.70287950801998622</v>
      </c>
      <c r="BI139" s="803">
        <f>BI132/BD132-1</f>
        <v>5.0108302926744397E-2</v>
      </c>
      <c r="BJ139" s="803">
        <f>BJ132/BE132-1</f>
        <v>7.8425891469156683E-2</v>
      </c>
      <c r="BK139" s="803">
        <f>BK132/BF132-1</f>
        <v>5.6748802190281111E-2</v>
      </c>
      <c r="BL139" s="806">
        <f>BL132/BG132-1</f>
        <v>-0.13322159252564947</v>
      </c>
      <c r="BM139" s="803">
        <f t="shared" si="187"/>
        <v>2.6651478976314009</v>
      </c>
      <c r="BN139" s="803">
        <f t="shared" si="187"/>
        <v>7.0463679874711582E-2</v>
      </c>
      <c r="BO139" s="803">
        <f t="shared" si="187"/>
        <v>8.4679007096033709E-2</v>
      </c>
      <c r="BP139" s="803">
        <f t="shared" si="187"/>
        <v>9.1863774874135773E-2</v>
      </c>
      <c r="BQ139" s="806">
        <f t="shared" si="187"/>
        <v>0.30868389729339141</v>
      </c>
      <c r="BR139" s="803">
        <f t="shared" si="187"/>
        <v>5.6794622793399974E-2</v>
      </c>
      <c r="BS139" s="803">
        <f t="shared" si="187"/>
        <v>6.7854435973307314E-2</v>
      </c>
      <c r="BT139" s="803">
        <f t="shared" si="187"/>
        <v>2.9979899558478129E-2</v>
      </c>
      <c r="BU139" s="803">
        <f t="shared" si="187"/>
        <v>1.3024250304172424E-2</v>
      </c>
      <c r="BV139" s="806">
        <f t="shared" si="187"/>
        <v>4.1171789569922623E-2</v>
      </c>
      <c r="BW139" s="803">
        <f t="shared" si="188"/>
        <v>4.4404388075527157E-2</v>
      </c>
      <c r="BX139" s="803">
        <f t="shared" si="188"/>
        <v>-3.2134701794876985E-3</v>
      </c>
      <c r="BY139" s="803">
        <f t="shared" si="188"/>
        <v>2.220974733906278E-2</v>
      </c>
      <c r="BZ139" s="803">
        <f t="shared" si="188"/>
        <v>1.5911041139218041E-2</v>
      </c>
      <c r="CA139" s="806">
        <f t="shared" si="188"/>
        <v>1.9547315521284414E-2</v>
      </c>
      <c r="CB139" s="803">
        <f t="shared" si="188"/>
        <v>-1.5028375253976045E-2</v>
      </c>
      <c r="CC139" s="803">
        <f t="shared" si="188"/>
        <v>3.925068123614639E-2</v>
      </c>
      <c r="CD139" s="751">
        <f t="shared" si="188"/>
        <v>4.5702032063718923E-2</v>
      </c>
      <c r="CE139" s="751">
        <f t="shared" si="188"/>
        <v>5.8716619145448012E-2</v>
      </c>
      <c r="CF139" s="539">
        <f t="shared" si="188"/>
        <v>3.219393022727246E-2</v>
      </c>
      <c r="CG139" s="683">
        <f t="shared" si="189"/>
        <v>7.1783730030049453E-2</v>
      </c>
      <c r="CH139" s="683">
        <f t="shared" si="189"/>
        <v>4.7339117167263245E-2</v>
      </c>
      <c r="CI139" s="683">
        <f t="shared" si="189"/>
        <v>2.6770020389510041E-2</v>
      </c>
      <c r="CJ139" s="683">
        <f>CJ132/CE132-1</f>
        <v>2.5805630773366728E-2</v>
      </c>
      <c r="CK139" s="539">
        <f>CK132/CF132-1</f>
        <v>4.2420902628862001E-2</v>
      </c>
      <c r="CL139" s="683">
        <f>CL132/CG132-1</f>
        <v>3.0722818480280356E-2</v>
      </c>
      <c r="CM139" s="683">
        <f>CM132/CH132-1</f>
        <v>4.2639690713778267E-2</v>
      </c>
      <c r="CN139" s="683">
        <f>CN132/CI132-1</f>
        <v>9.0643757941319958E-2</v>
      </c>
      <c r="CO139" s="683">
        <f>CO132/CJ132-1</f>
        <v>0.11843380071264509</v>
      </c>
      <c r="CP139" s="539">
        <f>CP132/CK132-1</f>
        <v>6.6144870876559736E-2</v>
      </c>
      <c r="CQ139" s="683">
        <f>CQ132/CL132-1</f>
        <v>0.2012709093832481</v>
      </c>
      <c r="CR139" s="683">
        <f>CR132/CM132-1</f>
        <v>0.2872647351562494</v>
      </c>
      <c r="CS139" s="683">
        <f>CS132/CN132-1</f>
        <v>0.28846989047201976</v>
      </c>
      <c r="CT139" s="683">
        <f>CT132/CO132-1</f>
        <v>0.25918105332416141</v>
      </c>
      <c r="CU139" s="539">
        <f t="shared" si="190"/>
        <v>0.26748346444957183</v>
      </c>
      <c r="CV139" s="683">
        <f t="shared" ca="1" si="190"/>
        <v>-0.55595786972676953</v>
      </c>
      <c r="CW139" s="683">
        <f t="shared" ca="1" si="190"/>
        <v>-0.59563596834244747</v>
      </c>
      <c r="CX139" s="683">
        <f t="shared" ca="1" si="190"/>
        <v>-0.59503901365275169</v>
      </c>
      <c r="CY139" s="683">
        <f t="shared" ca="1" si="190"/>
        <v>-0.58676090868394537</v>
      </c>
      <c r="CZ139" s="539">
        <f t="shared" si="190"/>
        <v>-0.5845527868892153</v>
      </c>
      <c r="DA139" s="683">
        <f t="shared" ca="1" si="190"/>
        <v>8.9585667447306783E-2</v>
      </c>
      <c r="DB139" s="683">
        <f t="shared" ca="1" si="190"/>
        <v>0.12588158285590834</v>
      </c>
      <c r="DC139" s="683">
        <f t="shared" ca="1" si="190"/>
        <v>9.0188054880299573E-2</v>
      </c>
      <c r="DD139" s="683">
        <f t="shared" ca="1" si="190"/>
        <v>3.7654832242867808E-2</v>
      </c>
      <c r="DE139" s="539">
        <f t="shared" si="190"/>
        <v>8.4235553808338803E-2</v>
      </c>
      <c r="DF139" s="1715">
        <f t="shared" ca="1" si="190"/>
        <v>2.3489568780329151E-2</v>
      </c>
      <c r="DG139" s="683">
        <f t="shared" ca="1" si="190"/>
        <v>2.7009890945980164E-2</v>
      </c>
      <c r="DH139" s="683">
        <f t="shared" ca="1" si="190"/>
        <v>3.8596958983221352E-3</v>
      </c>
      <c r="DI139" s="2814">
        <f t="shared" ca="1" si="190"/>
        <v>-7.1417119405003948E-4</v>
      </c>
      <c r="DJ139" s="539">
        <f>DJ132/DE132-1</f>
        <v>1.3107848176495684E-2</v>
      </c>
      <c r="DK139" s="683">
        <f ca="1">DK132/DF132-1</f>
        <v>-0.12074080811814891</v>
      </c>
      <c r="DL139" s="683">
        <f ca="1">DL132/DG132-1</f>
        <v>7.7926837779134228E-3</v>
      </c>
      <c r="DM139" s="683">
        <f ca="1">DM132/DH132-1</f>
        <v>-1.8970308518271306E-3</v>
      </c>
      <c r="DN139" s="683">
        <f ca="1">DN132/DI132-1</f>
        <v>-2.3468711080110949E-2</v>
      </c>
      <c r="DO139" s="539">
        <f ca="1">DO132/DJ132-1</f>
        <v>-3.2989400458587781E-2</v>
      </c>
      <c r="DP139" s="683">
        <f ca="1">DP132/DK132-1</f>
        <v>4.705000313146579E-2</v>
      </c>
      <c r="DQ139" s="683">
        <f ca="1">DQ132/DL132-1</f>
        <v>4.4357613587075351E-2</v>
      </c>
      <c r="DR139" s="683">
        <f ca="1">DR132/DM132-1</f>
        <v>4.2202305221334724E-2</v>
      </c>
      <c r="DS139" s="683">
        <f ca="1">DS132/DN132-1</f>
        <v>4.0053863052318395E-2</v>
      </c>
      <c r="DT139" s="539">
        <f ca="1">DT132/DO132-1</f>
        <v>4.3248528923237162E-2</v>
      </c>
      <c r="DU139" s="683">
        <f ca="1">DU132/DP132-1</f>
        <v>3.8583955450879559E-2</v>
      </c>
      <c r="DV139" s="683">
        <f ca="1">DV132/DQ132-1</f>
        <v>3.5046621587218274E-2</v>
      </c>
      <c r="DW139" s="683">
        <f ca="1">DW132/DR132-1</f>
        <v>3.245028063555222E-2</v>
      </c>
      <c r="DX139" s="683">
        <f ca="1">DX132/DS132-1</f>
        <v>2.9873540902072282E-2</v>
      </c>
      <c r="DY139" s="539">
        <f ca="1">DY132/DT132-1</f>
        <v>3.3784099358798558E-2</v>
      </c>
    </row>
    <row r="140" spans="1:129" ht="11.25" customHeight="1" x14ac:dyDescent="0.2">
      <c r="A140" s="526"/>
      <c r="B140" s="742"/>
      <c r="C140" s="597"/>
      <c r="D140" s="597"/>
      <c r="E140" s="597"/>
      <c r="F140" s="597"/>
      <c r="G140" s="597"/>
      <c r="H140" s="597"/>
      <c r="I140" s="598"/>
      <c r="J140" s="597"/>
      <c r="K140" s="597"/>
      <c r="L140" s="597"/>
      <c r="M140" s="597"/>
      <c r="N140" s="598"/>
      <c r="O140" s="597"/>
      <c r="P140" s="597"/>
      <c r="Q140" s="597"/>
      <c r="R140" s="597"/>
      <c r="S140" s="598"/>
      <c r="T140" s="597"/>
      <c r="U140" s="597"/>
      <c r="V140" s="597"/>
      <c r="W140" s="597"/>
      <c r="X140" s="598"/>
      <c r="Y140" s="597"/>
      <c r="Z140" s="597"/>
      <c r="AA140" s="597"/>
      <c r="AB140" s="597"/>
      <c r="AC140" s="598"/>
      <c r="AD140" s="597"/>
      <c r="AE140" s="597"/>
      <c r="AF140" s="597"/>
      <c r="AG140" s="597"/>
      <c r="AH140" s="598"/>
      <c r="AI140" s="597"/>
      <c r="AJ140" s="597"/>
      <c r="AK140" s="597"/>
      <c r="AL140" s="597"/>
      <c r="AM140" s="598"/>
      <c r="AN140" s="597"/>
      <c r="AO140" s="597"/>
      <c r="AP140" s="597"/>
      <c r="AQ140" s="597"/>
      <c r="AR140" s="598"/>
      <c r="AS140" s="597"/>
      <c r="AT140" s="597"/>
      <c r="AU140" s="597"/>
      <c r="AV140" s="597"/>
      <c r="AW140" s="598"/>
      <c r="AX140" s="597"/>
      <c r="AY140" s="597"/>
      <c r="AZ140" s="597"/>
      <c r="BA140" s="597"/>
      <c r="BB140" s="598"/>
      <c r="BC140" s="597"/>
      <c r="BD140" s="597"/>
      <c r="BE140" s="597"/>
      <c r="BF140" s="597"/>
      <c r="BG140" s="598"/>
      <c r="BH140" s="597"/>
      <c r="BI140" s="597"/>
      <c r="BJ140" s="597"/>
      <c r="BK140" s="597"/>
      <c r="BL140" s="598"/>
      <c r="BM140" s="597"/>
      <c r="BN140" s="597"/>
      <c r="BO140" s="597"/>
      <c r="BP140" s="597"/>
      <c r="BQ140" s="598"/>
      <c r="BR140" s="597"/>
      <c r="BS140" s="597"/>
      <c r="BT140" s="597"/>
      <c r="BU140" s="597"/>
      <c r="BV140" s="598"/>
      <c r="BW140" s="597"/>
      <c r="BX140" s="597"/>
      <c r="BY140" s="597"/>
      <c r="BZ140" s="597"/>
      <c r="CA140" s="598"/>
      <c r="CB140" s="597"/>
      <c r="CC140" s="597"/>
      <c r="CD140" s="597"/>
      <c r="CE140" s="597"/>
      <c r="CF140" s="598"/>
      <c r="CG140" s="682"/>
      <c r="CH140" s="682"/>
      <c r="CI140" s="682"/>
      <c r="CJ140" s="682"/>
      <c r="CK140" s="598"/>
      <c r="CL140" s="682"/>
      <c r="CM140" s="682"/>
      <c r="CN140" s="682"/>
      <c r="CO140" s="682"/>
      <c r="CP140" s="598"/>
      <c r="CQ140" s="682"/>
      <c r="CR140" s="682"/>
      <c r="CS140" s="682"/>
      <c r="CT140" s="682"/>
      <c r="CU140" s="598"/>
      <c r="CV140" s="682"/>
      <c r="CW140" s="682"/>
      <c r="CX140" s="682"/>
      <c r="CY140" s="682"/>
      <c r="CZ140" s="598"/>
      <c r="DA140" s="682"/>
      <c r="DB140" s="682"/>
      <c r="DC140" s="682"/>
      <c r="DD140" s="682"/>
      <c r="DE140" s="598"/>
      <c r="DF140" s="1741"/>
      <c r="DG140" s="682"/>
      <c r="DH140" s="682"/>
      <c r="DI140" s="1610"/>
      <c r="DJ140" s="598"/>
      <c r="DK140" s="682"/>
      <c r="DL140" s="682"/>
      <c r="DM140" s="682"/>
      <c r="DN140" s="682"/>
      <c r="DO140" s="598"/>
      <c r="DP140" s="682"/>
      <c r="DQ140" s="682"/>
      <c r="DR140" s="682"/>
      <c r="DS140" s="682"/>
      <c r="DT140" s="598"/>
      <c r="DU140" s="682"/>
      <c r="DV140" s="682"/>
      <c r="DW140" s="682"/>
      <c r="DX140" s="682"/>
      <c r="DY140" s="598"/>
    </row>
    <row r="141" spans="1:129" ht="11.25" customHeight="1" x14ac:dyDescent="0.2">
      <c r="A141" s="471"/>
      <c r="B141" s="807" t="s">
        <v>769</v>
      </c>
      <c r="I141" s="576"/>
      <c r="N141" s="576"/>
      <c r="S141" s="576"/>
      <c r="X141" s="576"/>
      <c r="AC141" s="576"/>
      <c r="AH141" s="576"/>
      <c r="AM141" s="576"/>
      <c r="AR141" s="576"/>
      <c r="AW141" s="576"/>
      <c r="BB141" s="576"/>
      <c r="BC141" s="808">
        <v>12.8</v>
      </c>
      <c r="BD141" s="808">
        <v>4.0999999999999996</v>
      </c>
      <c r="BE141" s="808">
        <v>3</v>
      </c>
      <c r="BF141" s="808">
        <v>3.3</v>
      </c>
      <c r="BG141" s="809">
        <v>23.2</v>
      </c>
      <c r="BH141" s="808">
        <v>14.7</v>
      </c>
      <c r="BI141" s="808">
        <v>85.9</v>
      </c>
      <c r="BJ141" s="808">
        <v>85.1</v>
      </c>
      <c r="BK141" s="808">
        <v>85.8</v>
      </c>
      <c r="BL141" s="810">
        <f t="shared" ref="BL141:CJ141" si="191">BL13</f>
        <v>271.5</v>
      </c>
      <c r="BM141" s="811">
        <f t="shared" si="191"/>
        <v>93.8</v>
      </c>
      <c r="BN141" s="811">
        <f t="shared" si="191"/>
        <v>93.1</v>
      </c>
      <c r="BO141" s="811">
        <f t="shared" si="191"/>
        <v>97.3</v>
      </c>
      <c r="BP141" s="811">
        <f t="shared" si="191"/>
        <v>94.6</v>
      </c>
      <c r="BQ141" s="810">
        <f t="shared" si="191"/>
        <v>378.79999999999995</v>
      </c>
      <c r="BR141" s="811">
        <f t="shared" si="191"/>
        <v>81.599999999999994</v>
      </c>
      <c r="BS141" s="811">
        <f t="shared" si="191"/>
        <v>90.3</v>
      </c>
      <c r="BT141" s="811">
        <f t="shared" si="191"/>
        <v>91.6</v>
      </c>
      <c r="BU141" s="811">
        <f t="shared" si="191"/>
        <v>87</v>
      </c>
      <c r="BV141" s="810">
        <f t="shared" si="191"/>
        <v>350.5</v>
      </c>
      <c r="BW141" s="811">
        <f t="shared" si="191"/>
        <v>88</v>
      </c>
      <c r="BX141" s="811">
        <f t="shared" si="191"/>
        <v>99</v>
      </c>
      <c r="BY141" s="811">
        <f t="shared" si="191"/>
        <v>114</v>
      </c>
      <c r="BZ141" s="811">
        <f t="shared" si="191"/>
        <v>122</v>
      </c>
      <c r="CA141" s="810">
        <f t="shared" si="191"/>
        <v>423</v>
      </c>
      <c r="CB141" s="811">
        <f t="shared" si="191"/>
        <v>102</v>
      </c>
      <c r="CC141" s="811">
        <f t="shared" si="191"/>
        <v>99</v>
      </c>
      <c r="CD141" s="811">
        <f t="shared" si="191"/>
        <v>54</v>
      </c>
      <c r="CE141" s="811">
        <f t="shared" si="191"/>
        <v>49.3</v>
      </c>
      <c r="CF141" s="576">
        <f t="shared" si="191"/>
        <v>304.3</v>
      </c>
      <c r="CG141" s="466">
        <f t="shared" si="191"/>
        <v>50</v>
      </c>
      <c r="CH141" s="466">
        <f t="shared" si="191"/>
        <v>53.7</v>
      </c>
      <c r="CI141" s="466">
        <f t="shared" si="191"/>
        <v>41.3</v>
      </c>
      <c r="CJ141" s="466">
        <f t="shared" si="191"/>
        <v>45</v>
      </c>
      <c r="CK141" s="576">
        <f t="shared" ref="CK141:CP141" si="192">CK13</f>
        <v>190</v>
      </c>
      <c r="CL141" s="466">
        <f t="shared" si="192"/>
        <v>50</v>
      </c>
      <c r="CM141" s="466">
        <f t="shared" si="192"/>
        <v>55.1</v>
      </c>
      <c r="CN141" s="466">
        <f t="shared" si="192"/>
        <v>50.7</v>
      </c>
      <c r="CO141" s="466">
        <f t="shared" si="192"/>
        <v>51.1</v>
      </c>
      <c r="CP141" s="576">
        <f t="shared" si="192"/>
        <v>206.9</v>
      </c>
      <c r="CQ141" s="466">
        <f>CQ13</f>
        <v>58.6</v>
      </c>
      <c r="CR141" s="466">
        <f>CR13</f>
        <v>58.4</v>
      </c>
      <c r="CS141" s="471">
        <f ca="1">CN141*(1+CS142)</f>
        <v>64.595555555555563</v>
      </c>
      <c r="CT141" s="471">
        <f ca="1">CO141*(1+CT142)</f>
        <v>65.105185185185192</v>
      </c>
      <c r="CU141" s="576">
        <f t="shared" ref="CU141:DF141" si="193">CU13</f>
        <v>236.6</v>
      </c>
      <c r="CV141" s="471">
        <f t="shared" si="193"/>
        <v>70.000000000001819</v>
      </c>
      <c r="CW141" s="471">
        <f t="shared" si="193"/>
        <v>67.5</v>
      </c>
      <c r="CX141" s="471">
        <f t="shared" si="193"/>
        <v>76.689917650002826</v>
      </c>
      <c r="CY141" s="471">
        <f t="shared" si="193"/>
        <v>81.03617506000046</v>
      </c>
      <c r="CZ141" s="576">
        <f t="shared" si="193"/>
        <v>295.2260927100051</v>
      </c>
      <c r="DA141" s="471">
        <f t="shared" si="193"/>
        <v>79.2</v>
      </c>
      <c r="DB141" s="471">
        <f t="shared" si="193"/>
        <v>86</v>
      </c>
      <c r="DC141" s="471">
        <f t="shared" si="193"/>
        <v>88.1</v>
      </c>
      <c r="DD141" s="471">
        <f t="shared" si="193"/>
        <v>78.900000000000006</v>
      </c>
      <c r="DE141" s="576">
        <f t="shared" si="193"/>
        <v>332.2</v>
      </c>
      <c r="DF141" s="2697">
        <f t="shared" si="193"/>
        <v>74</v>
      </c>
      <c r="DG141" s="471">
        <f t="shared" ref="DG141:DI141" si="194">DG13</f>
        <v>71.7</v>
      </c>
      <c r="DH141" s="471">
        <f t="shared" si="194"/>
        <v>90.359291429999999</v>
      </c>
      <c r="DI141" s="471">
        <f t="shared" si="194"/>
        <v>95.61617579</v>
      </c>
      <c r="DJ141" s="576">
        <f>DJ13</f>
        <v>331.67546721999997</v>
      </c>
      <c r="DK141" s="471">
        <f>DF141*(1+DK142)</f>
        <v>74</v>
      </c>
      <c r="DL141" s="471">
        <f>DG141*(1+DL142)</f>
        <v>71.7</v>
      </c>
      <c r="DM141" s="471">
        <f>DH141*(1+DM142)</f>
        <v>90.359291429999999</v>
      </c>
      <c r="DN141" s="471">
        <f>DI141*(1+DN142)</f>
        <v>95.61617579</v>
      </c>
      <c r="DO141" s="576">
        <f>DO13</f>
        <v>331.67546721999997</v>
      </c>
      <c r="DP141" s="471">
        <f>DK141*(1+DP142)</f>
        <v>77.7</v>
      </c>
      <c r="DQ141" s="471">
        <f>DL141*(1+DQ142)</f>
        <v>75.285000000000011</v>
      </c>
      <c r="DR141" s="471">
        <f>DM141*(1+DR142)</f>
        <v>94.877256001500001</v>
      </c>
      <c r="DS141" s="471">
        <f>DN141*(1+DS142)</f>
        <v>100.3969845795</v>
      </c>
      <c r="DT141" s="576">
        <f>DT13</f>
        <v>348.25924058100003</v>
      </c>
      <c r="DU141" s="471">
        <f>DP141*(1+DU142)</f>
        <v>81.585000000000008</v>
      </c>
      <c r="DV141" s="471">
        <f>DQ141*(1+DV142)</f>
        <v>79.049250000000015</v>
      </c>
      <c r="DW141" s="471">
        <f>DR141*(1+DW142)</f>
        <v>99.621118801575008</v>
      </c>
      <c r="DX141" s="471">
        <f>DS141*(1+DX142)</f>
        <v>105.416833808475</v>
      </c>
      <c r="DY141" s="576">
        <f>DY13</f>
        <v>365.67220261005002</v>
      </c>
    </row>
    <row r="142" spans="1:129" ht="11.25" customHeight="1" x14ac:dyDescent="0.2">
      <c r="A142" s="473"/>
      <c r="B142" s="703" t="s">
        <v>194</v>
      </c>
      <c r="C142" s="469"/>
      <c r="D142" s="469"/>
      <c r="E142" s="469"/>
      <c r="F142" s="469"/>
      <c r="G142" s="469"/>
      <c r="H142" s="623"/>
      <c r="I142" s="580"/>
      <c r="J142" s="469"/>
      <c r="K142" s="469"/>
      <c r="L142" s="469"/>
      <c r="M142" s="623"/>
      <c r="N142" s="580"/>
      <c r="O142" s="469"/>
      <c r="P142" s="469"/>
      <c r="Q142" s="469"/>
      <c r="R142" s="623"/>
      <c r="S142" s="580"/>
      <c r="T142" s="469"/>
      <c r="U142" s="469"/>
      <c r="V142" s="469"/>
      <c r="W142" s="623"/>
      <c r="X142" s="580"/>
      <c r="Y142" s="469"/>
      <c r="Z142" s="469"/>
      <c r="AA142" s="469"/>
      <c r="AB142" s="623"/>
      <c r="AC142" s="580"/>
      <c r="AD142" s="469"/>
      <c r="AE142" s="469"/>
      <c r="AF142" s="469"/>
      <c r="AG142" s="623"/>
      <c r="AH142" s="580"/>
      <c r="AI142" s="469"/>
      <c r="AJ142" s="469"/>
      <c r="AK142" s="469"/>
      <c r="AL142" s="623"/>
      <c r="AM142" s="580"/>
      <c r="AN142" s="469"/>
      <c r="AO142" s="469"/>
      <c r="AP142" s="469"/>
      <c r="AQ142" s="623"/>
      <c r="AR142" s="580"/>
      <c r="AS142" s="469"/>
      <c r="AT142" s="469"/>
      <c r="AU142" s="469"/>
      <c r="AV142" s="623"/>
      <c r="AW142" s="580"/>
      <c r="AX142" s="469"/>
      <c r="AY142" s="469"/>
      <c r="AZ142" s="469"/>
      <c r="BA142" s="623"/>
      <c r="BB142" s="580"/>
      <c r="BC142" s="469"/>
      <c r="BD142" s="469"/>
      <c r="BE142" s="469"/>
      <c r="BF142" s="623"/>
      <c r="BG142" s="580"/>
      <c r="BH142" s="581">
        <f>BH141/BC141-1</f>
        <v>0.14843749999999978</v>
      </c>
      <c r="BI142" s="581">
        <f>BI141/BD141-1</f>
        <v>19.951219512195124</v>
      </c>
      <c r="BJ142" s="581">
        <f>BJ141/BE141-1</f>
        <v>27.366666666666664</v>
      </c>
      <c r="BK142" s="581">
        <f>BK141/BF141-1</f>
        <v>25</v>
      </c>
      <c r="BL142" s="799">
        <v>10.702586206896552</v>
      </c>
      <c r="BM142" s="581">
        <f>BM141/BH141-1</f>
        <v>5.3809523809523814</v>
      </c>
      <c r="BN142" s="581">
        <f>BN141/BI141-1</f>
        <v>8.3818393480791453E-2</v>
      </c>
      <c r="BO142" s="581">
        <f>BO141/BJ141-1</f>
        <v>0.14336075205640419</v>
      </c>
      <c r="BP142" s="581">
        <f>BP141/BK141-1</f>
        <v>0.10256410256410264</v>
      </c>
      <c r="BQ142" s="799">
        <v>0.39521178637200727</v>
      </c>
      <c r="BR142" s="581">
        <f>BR141/BM141-1</f>
        <v>-0.13006396588486147</v>
      </c>
      <c r="BS142" s="581">
        <f>BS141/BN141-1</f>
        <v>-3.007518796992481E-2</v>
      </c>
      <c r="BT142" s="581">
        <f>BT141/BO141-1</f>
        <v>-5.8581706063720485E-2</v>
      </c>
      <c r="BU142" s="581">
        <f>BU141/BP141-1</f>
        <v>-8.0338266384777923E-2</v>
      </c>
      <c r="BV142" s="799">
        <v>-3.9598732840549156E-2</v>
      </c>
      <c r="BW142" s="704">
        <f t="shared" ref="BW142:CL142" si="195">BW141/BR141-1</f>
        <v>7.8431372549019773E-2</v>
      </c>
      <c r="BX142" s="704">
        <f t="shared" si="195"/>
        <v>9.6345514950166189E-2</v>
      </c>
      <c r="BY142" s="704">
        <f t="shared" si="195"/>
        <v>0.24454148471615733</v>
      </c>
      <c r="BZ142" s="704">
        <f t="shared" si="195"/>
        <v>0.40229885057471271</v>
      </c>
      <c r="CA142" s="812">
        <f t="shared" si="195"/>
        <v>0.2068473609129815</v>
      </c>
      <c r="CB142" s="704">
        <f t="shared" si="195"/>
        <v>0.15909090909090917</v>
      </c>
      <c r="CC142" s="704">
        <f t="shared" si="195"/>
        <v>0</v>
      </c>
      <c r="CD142" s="704">
        <f t="shared" si="195"/>
        <v>-0.52631578947368429</v>
      </c>
      <c r="CE142" s="704">
        <f t="shared" si="195"/>
        <v>-0.59590163934426232</v>
      </c>
      <c r="CF142" s="813">
        <f t="shared" si="195"/>
        <v>-0.28061465721040191</v>
      </c>
      <c r="CG142" s="814">
        <f t="shared" si="195"/>
        <v>-0.50980392156862742</v>
      </c>
      <c r="CH142" s="814">
        <f t="shared" si="195"/>
        <v>-0.45757575757575752</v>
      </c>
      <c r="CI142" s="736">
        <f t="shared" si="195"/>
        <v>-0.23518518518518527</v>
      </c>
      <c r="CJ142" s="736">
        <f t="shared" si="195"/>
        <v>-8.7221095334685583E-2</v>
      </c>
      <c r="CK142" s="813">
        <f>CK141/CF141-1</f>
        <v>-0.37561616825501154</v>
      </c>
      <c r="CL142" s="814">
        <f t="shared" si="195"/>
        <v>0</v>
      </c>
      <c r="CM142" s="814">
        <f t="shared" ref="CM142:CT142" si="196">CM141/CH141-1</f>
        <v>2.607076350093096E-2</v>
      </c>
      <c r="CN142" s="814">
        <f t="shared" si="196"/>
        <v>0.22760290556900742</v>
      </c>
      <c r="CO142" s="814">
        <f t="shared" si="196"/>
        <v>0.13555555555555565</v>
      </c>
      <c r="CP142" s="813">
        <f t="shared" si="196"/>
        <v>8.8947368421052664E-2</v>
      </c>
      <c r="CQ142" s="2615">
        <f t="shared" si="196"/>
        <v>0.17199999999999993</v>
      </c>
      <c r="CR142" s="2615">
        <f t="shared" si="196"/>
        <v>5.9891107078039907E-2</v>
      </c>
      <c r="CS142" s="2615">
        <f t="shared" ca="1" si="196"/>
        <v>0.27407407407407414</v>
      </c>
      <c r="CT142" s="2615">
        <f t="shared" ca="1" si="196"/>
        <v>0.27407407407407414</v>
      </c>
      <c r="CU142" s="2616">
        <f t="shared" ref="CU142:DI142" si="197">CU141/CP141-1</f>
        <v>0.14354760753987428</v>
      </c>
      <c r="CV142" s="2615">
        <f t="shared" si="197"/>
        <v>0.19453924914678877</v>
      </c>
      <c r="CW142" s="2615">
        <f t="shared" si="197"/>
        <v>0.15582191780821919</v>
      </c>
      <c r="CX142" s="2615">
        <f t="shared" ca="1" si="197"/>
        <v>0.18723210893426678</v>
      </c>
      <c r="CY142" s="2615">
        <f t="shared" ca="1" si="197"/>
        <v>0.24469617634142593</v>
      </c>
      <c r="CZ142" s="2616">
        <f t="shared" si="197"/>
        <v>0.24778568347423979</v>
      </c>
      <c r="DA142" s="2615">
        <f t="shared" si="197"/>
        <v>0.13142857142854214</v>
      </c>
      <c r="DB142" s="2617">
        <f t="shared" si="197"/>
        <v>0.27407407407407414</v>
      </c>
      <c r="DC142" s="2617">
        <f t="shared" si="197"/>
        <v>0.14878203940797619</v>
      </c>
      <c r="DD142" s="2617">
        <f t="shared" si="197"/>
        <v>-2.6360758740387236E-2</v>
      </c>
      <c r="DE142" s="813">
        <f t="shared" si="197"/>
        <v>0.1252392935549691</v>
      </c>
      <c r="DF142" s="2615">
        <f t="shared" si="197"/>
        <v>-6.5656565656565635E-2</v>
      </c>
      <c r="DG142" s="623">
        <f t="shared" si="197"/>
        <v>-0.16627906976744178</v>
      </c>
      <c r="DH142" s="683">
        <f t="shared" si="197"/>
        <v>2.5644624631101065E-2</v>
      </c>
      <c r="DI142" s="2814">
        <f t="shared" si="197"/>
        <v>0.2118653458808617</v>
      </c>
      <c r="DJ142" s="813">
        <f>DJ141/DE141-1</f>
        <v>-1.5789668272125912E-3</v>
      </c>
      <c r="DK142" s="623">
        <v>0</v>
      </c>
      <c r="DL142" s="623">
        <v>0</v>
      </c>
      <c r="DM142" s="623">
        <v>0</v>
      </c>
      <c r="DN142" s="623">
        <v>0</v>
      </c>
      <c r="DO142" s="813">
        <f>DO141/DJ141-1</f>
        <v>0</v>
      </c>
      <c r="DP142" s="623">
        <v>0.05</v>
      </c>
      <c r="DQ142" s="623">
        <v>0.05</v>
      </c>
      <c r="DR142" s="623">
        <v>0.05</v>
      </c>
      <c r="DS142" s="623">
        <v>0.05</v>
      </c>
      <c r="DT142" s="813">
        <f>DT141/DO141-1</f>
        <v>5.0000000000000266E-2</v>
      </c>
      <c r="DU142" s="623">
        <v>0.05</v>
      </c>
      <c r="DV142" s="623">
        <v>0.05</v>
      </c>
      <c r="DW142" s="623">
        <v>0.05</v>
      </c>
      <c r="DX142" s="623">
        <v>0.05</v>
      </c>
      <c r="DY142" s="813">
        <f>DY141/DT141-1</f>
        <v>5.0000000000000044E-2</v>
      </c>
    </row>
    <row r="143" spans="1:129" ht="11.25" customHeight="1" x14ac:dyDescent="0.2">
      <c r="A143" s="611"/>
      <c r="B143" s="740" t="s">
        <v>770</v>
      </c>
      <c r="C143" s="815"/>
      <c r="D143" s="815"/>
      <c r="E143" s="816"/>
      <c r="F143" s="816"/>
      <c r="G143" s="816"/>
      <c r="H143" s="816"/>
      <c r="I143" s="817"/>
      <c r="J143" s="816"/>
      <c r="K143" s="816"/>
      <c r="L143" s="816"/>
      <c r="M143" s="816"/>
      <c r="N143" s="817"/>
      <c r="O143" s="816"/>
      <c r="P143" s="816"/>
      <c r="Q143" s="816"/>
      <c r="R143" s="816"/>
      <c r="S143" s="817"/>
      <c r="T143" s="816"/>
      <c r="U143" s="816"/>
      <c r="V143" s="816"/>
      <c r="W143" s="816"/>
      <c r="X143" s="817"/>
      <c r="Y143" s="816"/>
      <c r="Z143" s="816"/>
      <c r="AA143" s="816"/>
      <c r="AB143" s="816"/>
      <c r="AC143" s="817"/>
      <c r="AD143" s="816"/>
      <c r="AE143" s="816"/>
      <c r="AF143" s="816"/>
      <c r="AG143" s="816"/>
      <c r="AH143" s="817"/>
      <c r="AI143" s="816"/>
      <c r="AJ143" s="816"/>
      <c r="AK143" s="816"/>
      <c r="AL143" s="816"/>
      <c r="AM143" s="817"/>
      <c r="AN143" s="816"/>
      <c r="AO143" s="816"/>
      <c r="AP143" s="816"/>
      <c r="AQ143" s="816"/>
      <c r="AR143" s="817"/>
      <c r="AS143" s="816"/>
      <c r="AT143" s="816"/>
      <c r="AU143" s="816"/>
      <c r="AV143" s="816"/>
      <c r="AW143" s="817"/>
      <c r="AX143" s="816"/>
      <c r="AY143" s="816"/>
      <c r="AZ143" s="816"/>
      <c r="BA143" s="816"/>
      <c r="BB143" s="817"/>
      <c r="BC143" s="816"/>
      <c r="BD143" s="816"/>
      <c r="BE143" s="816"/>
      <c r="BF143" s="816"/>
      <c r="BG143" s="817"/>
      <c r="BH143" s="818">
        <f t="shared" ref="BH143:CZ143" si="198">BH141/BH14</f>
        <v>6.9790628115653031E-3</v>
      </c>
      <c r="BI143" s="818">
        <f t="shared" si="198"/>
        <v>8.1390170644583624E-3</v>
      </c>
      <c r="BJ143" s="818">
        <f t="shared" si="198"/>
        <v>7.9811678202314617E-3</v>
      </c>
      <c r="BK143" s="818">
        <f t="shared" si="198"/>
        <v>7.3892898358509755E-3</v>
      </c>
      <c r="BL143" s="582">
        <f t="shared" si="198"/>
        <v>7.7708194994619111E-3</v>
      </c>
      <c r="BM143" s="818">
        <f t="shared" si="198"/>
        <v>8.7136659637518932E-3</v>
      </c>
      <c r="BN143" s="818">
        <f t="shared" si="198"/>
        <v>8.7362059905412501E-3</v>
      </c>
      <c r="BO143" s="818">
        <f t="shared" si="198"/>
        <v>9.2110494727076532E-3</v>
      </c>
      <c r="BP143" s="818">
        <f t="shared" si="198"/>
        <v>8.0276299822645367E-3</v>
      </c>
      <c r="BQ143" s="582">
        <f t="shared" si="198"/>
        <v>8.6544876305712694E-3</v>
      </c>
      <c r="BR143" s="818">
        <f t="shared" si="198"/>
        <v>7.0742448937129374E-3</v>
      </c>
      <c r="BS143" s="818">
        <f t="shared" si="198"/>
        <v>6.9419352854803631E-3</v>
      </c>
      <c r="BT143" s="818">
        <f t="shared" si="198"/>
        <v>7.029769076690482E-3</v>
      </c>
      <c r="BU143" s="818">
        <f t="shared" si="198"/>
        <v>6.4482656388971243E-3</v>
      </c>
      <c r="BV143" s="582">
        <f t="shared" si="198"/>
        <v>6.8638010378928816E-3</v>
      </c>
      <c r="BW143" s="818">
        <f t="shared" si="198"/>
        <v>7.4349442379182153E-3</v>
      </c>
      <c r="BX143" s="818">
        <f t="shared" si="198"/>
        <v>8.3614864864864861E-3</v>
      </c>
      <c r="BY143" s="818">
        <f t="shared" si="198"/>
        <v>9.5589468388395105E-3</v>
      </c>
      <c r="BZ143" s="818">
        <f t="shared" si="198"/>
        <v>1.0018888067668555E-2</v>
      </c>
      <c r="CA143" s="582">
        <f t="shared" si="198"/>
        <v>8.8532618933004036E-3</v>
      </c>
      <c r="CB143" s="818">
        <f t="shared" si="198"/>
        <v>7.2784358498644217E-3</v>
      </c>
      <c r="CC143" s="818">
        <f t="shared" si="198"/>
        <v>6.7859346082665018E-3</v>
      </c>
      <c r="CD143" s="818">
        <f t="shared" si="198"/>
        <v>3.6491417759156645E-3</v>
      </c>
      <c r="CE143" s="818">
        <f t="shared" si="198"/>
        <v>3.1058444053851434E-3</v>
      </c>
      <c r="CF143" s="580">
        <f t="shared" si="198"/>
        <v>5.1337594876700353E-3</v>
      </c>
      <c r="CG143" s="472">
        <f t="shared" si="198"/>
        <v>2.7322404371584699E-3</v>
      </c>
      <c r="CH143" s="472">
        <f t="shared" si="198"/>
        <v>2.9148980057103775E-3</v>
      </c>
      <c r="CI143" s="472">
        <f t="shared" si="198"/>
        <v>2.2843678440656219E-3</v>
      </c>
      <c r="CJ143" s="472">
        <f t="shared" si="198"/>
        <v>2.413904087544255E-3</v>
      </c>
      <c r="CK143" s="580">
        <f t="shared" si="198"/>
        <v>2.5870050650836011E-3</v>
      </c>
      <c r="CL143" s="472">
        <f>CL141/CL14</f>
        <v>2.730599093441101E-3</v>
      </c>
      <c r="CM143" s="472">
        <f>CM141/CM14</f>
        <v>2.9308822434281219E-3</v>
      </c>
      <c r="CN143" s="472">
        <f t="shared" si="198"/>
        <v>2.60232207200271E-3</v>
      </c>
      <c r="CO143" s="472">
        <f>CO141/CO14</f>
        <v>2.6051491205709917E-3</v>
      </c>
      <c r="CP143" s="580">
        <f t="shared" si="198"/>
        <v>2.714923814172716E-3</v>
      </c>
      <c r="CQ143" s="472">
        <f>CQ141/CQ14</f>
        <v>2.9016939752712296E-3</v>
      </c>
      <c r="CR143" s="472">
        <f t="shared" si="198"/>
        <v>2.6744457623315301E-3</v>
      </c>
      <c r="CS143" s="472">
        <f t="shared" ca="1" si="198"/>
        <v>2.866581856552568E-3</v>
      </c>
      <c r="CT143" s="472">
        <f t="shared" ca="1" si="198"/>
        <v>2.726998705100681E-3</v>
      </c>
      <c r="CU143" s="580">
        <f t="shared" si="198"/>
        <v>2.6752691381811558E-3</v>
      </c>
      <c r="CV143" s="472">
        <f>CV141/CV14</f>
        <v>2.9314583167567103E-3</v>
      </c>
      <c r="CW143" s="472">
        <f>CW141/CW14</f>
        <v>2.7616962952355627E-3</v>
      </c>
      <c r="CX143" s="472">
        <f>CX141/CX14</f>
        <v>3.0041178263277447E-3</v>
      </c>
      <c r="CY143" s="472">
        <f>CY141/CY14</f>
        <v>3.0563615498262428E-3</v>
      </c>
      <c r="CZ143" s="580">
        <f t="shared" si="198"/>
        <v>2.941594653788444E-3</v>
      </c>
      <c r="DA143" s="472">
        <f>DA141/DA14</f>
        <v>2.7533460803059275E-3</v>
      </c>
      <c r="DB143" s="472">
        <f>DB141/DB14</f>
        <v>2.9142959772549366E-3</v>
      </c>
      <c r="DC143" s="472">
        <f>DC141/DC14</f>
        <v>2.8952548711595151E-3</v>
      </c>
      <c r="DD143" s="472">
        <f>DD141/DD14</f>
        <v>2.5240488430643042E-3</v>
      </c>
      <c r="DE143" s="580">
        <f t="shared" ref="DE143:DJ143" si="199">DE141/DE14</f>
        <v>2.7691825493151231E-3</v>
      </c>
      <c r="DF143" s="472">
        <f t="shared" si="199"/>
        <v>2.370070493583194E-3</v>
      </c>
      <c r="DG143" s="472">
        <f t="shared" ref="DG143:DI143" si="200">DG141/DG14</f>
        <v>2.2180562773776824E-3</v>
      </c>
      <c r="DH143" s="472">
        <f t="shared" si="200"/>
        <v>2.7468336818074037E-3</v>
      </c>
      <c r="DI143" s="472">
        <f t="shared" si="200"/>
        <v>2.7997307853091114E-3</v>
      </c>
      <c r="DJ143" s="580">
        <f t="shared" si="199"/>
        <v>2.5397061659978826E-3</v>
      </c>
      <c r="DK143" s="472">
        <f t="shared" ref="DK143:DT143" ca="1" si="201">DK141/DK14</f>
        <v>2.2993834055589669E-3</v>
      </c>
      <c r="DL143" s="472">
        <f t="shared" ca="1" si="201"/>
        <v>2.0561323563260511E-3</v>
      </c>
      <c r="DM143" s="472">
        <f t="shared" ca="1" si="201"/>
        <v>2.5839861702435119E-3</v>
      </c>
      <c r="DN143" s="472">
        <f t="shared" ca="1" si="201"/>
        <v>2.6861318069413644E-3</v>
      </c>
      <c r="DO143" s="580">
        <f t="shared" ca="1" si="201"/>
        <v>2.4100989703527862E-3</v>
      </c>
      <c r="DP143" s="472">
        <f t="shared" ca="1" si="201"/>
        <v>2.2986423526824701E-3</v>
      </c>
      <c r="DQ143" s="472">
        <f t="shared" ca="1" si="201"/>
        <v>2.0578747830352169E-3</v>
      </c>
      <c r="DR143" s="472">
        <f t="shared" ca="1" si="201"/>
        <v>2.5889305039908301E-3</v>
      </c>
      <c r="DS143" s="472">
        <f t="shared" ca="1" si="201"/>
        <v>2.6946006740142746E-3</v>
      </c>
      <c r="DT143" s="580">
        <f t="shared" ca="1" si="201"/>
        <v>2.4135681671412644E-3</v>
      </c>
      <c r="DU143" s="472">
        <f t="shared" ref="DU143:DY143" ca="1" si="202">DU141/DU14</f>
        <v>2.3093277474306151E-3</v>
      </c>
      <c r="DV143" s="472">
        <f t="shared" ca="1" si="202"/>
        <v>2.0710761869271225E-3</v>
      </c>
      <c r="DW143" s="472">
        <f t="shared" ca="1" si="202"/>
        <v>2.6087812590654715E-3</v>
      </c>
      <c r="DX143" s="472">
        <f t="shared" ca="1" si="202"/>
        <v>2.7190353107144744E-3</v>
      </c>
      <c r="DY143" s="580">
        <f t="shared" ca="1" si="202"/>
        <v>2.4304674676832328E-3</v>
      </c>
    </row>
    <row r="144" spans="1:129" ht="11.25" customHeight="1" x14ac:dyDescent="0.2">
      <c r="A144" s="526"/>
      <c r="B144" s="756"/>
      <c r="C144" s="597"/>
      <c r="D144" s="597"/>
      <c r="E144" s="743"/>
      <c r="F144" s="743"/>
      <c r="G144" s="743"/>
      <c r="H144" s="743"/>
      <c r="I144" s="598"/>
      <c r="J144" s="743"/>
      <c r="K144" s="743"/>
      <c r="L144" s="743"/>
      <c r="M144" s="743"/>
      <c r="N144" s="598"/>
      <c r="O144" s="743"/>
      <c r="P144" s="743"/>
      <c r="Q144" s="743"/>
      <c r="R144" s="743"/>
      <c r="S144" s="598"/>
      <c r="T144" s="743"/>
      <c r="U144" s="743"/>
      <c r="V144" s="743"/>
      <c r="W144" s="743"/>
      <c r="X144" s="598"/>
      <c r="Y144" s="743"/>
      <c r="Z144" s="743"/>
      <c r="AA144" s="743"/>
      <c r="AB144" s="743"/>
      <c r="AC144" s="598"/>
      <c r="AD144" s="743"/>
      <c r="AE144" s="743"/>
      <c r="AF144" s="743"/>
      <c r="AG144" s="743"/>
      <c r="AH144" s="598"/>
      <c r="AI144" s="743"/>
      <c r="AJ144" s="743"/>
      <c r="AK144" s="743"/>
      <c r="AL144" s="743"/>
      <c r="AM144" s="598"/>
      <c r="AN144" s="743"/>
      <c r="AO144" s="743"/>
      <c r="AP144" s="743"/>
      <c r="AQ144" s="743"/>
      <c r="AR144" s="598"/>
      <c r="AS144" s="743"/>
      <c r="AT144" s="743"/>
      <c r="AU144" s="743"/>
      <c r="AV144" s="743"/>
      <c r="AW144" s="598"/>
      <c r="AX144" s="743"/>
      <c r="AY144" s="743"/>
      <c r="AZ144" s="743"/>
      <c r="BA144" s="743"/>
      <c r="BB144" s="598"/>
      <c r="BC144" s="743"/>
      <c r="BD144" s="743"/>
      <c r="BE144" s="743"/>
      <c r="BF144" s="743"/>
      <c r="BG144" s="598"/>
      <c r="BH144" s="743"/>
      <c r="BI144" s="743"/>
      <c r="BJ144" s="743"/>
      <c r="BK144" s="743"/>
      <c r="BL144" s="580"/>
      <c r="BM144" s="743"/>
      <c r="BN144" s="743"/>
      <c r="BO144" s="743"/>
      <c r="BP144" s="743"/>
      <c r="BQ144" s="580"/>
      <c r="BR144" s="743"/>
      <c r="BS144" s="743"/>
      <c r="BT144" s="743"/>
      <c r="BU144" s="743"/>
      <c r="BV144" s="580"/>
      <c r="BW144" s="743"/>
      <c r="BX144" s="743"/>
      <c r="BY144" s="743"/>
      <c r="BZ144" s="743"/>
      <c r="CA144" s="580"/>
      <c r="CB144" s="743"/>
      <c r="CC144" s="743"/>
      <c r="CD144" s="743"/>
      <c r="CE144" s="743"/>
      <c r="CF144" s="580"/>
      <c r="CG144" s="820"/>
      <c r="CH144" s="820"/>
      <c r="CI144" s="820"/>
      <c r="CJ144" s="820"/>
      <c r="CK144" s="580"/>
      <c r="CL144" s="820"/>
      <c r="CM144" s="820"/>
      <c r="CN144" s="820"/>
      <c r="CO144" s="820"/>
      <c r="CP144" s="580"/>
      <c r="CQ144" s="820"/>
      <c r="CR144" s="820"/>
      <c r="CS144" s="820"/>
      <c r="CT144" s="820"/>
      <c r="CU144" s="580"/>
      <c r="CV144" s="820"/>
      <c r="CW144" s="820"/>
      <c r="CX144" s="820"/>
      <c r="CY144" s="820"/>
      <c r="CZ144" s="580"/>
      <c r="DA144" s="820"/>
      <c r="DB144" s="820"/>
      <c r="DC144" s="820"/>
      <c r="DD144" s="820"/>
      <c r="DE144" s="580"/>
      <c r="DF144" s="820"/>
      <c r="DG144" s="820"/>
      <c r="DH144" s="820"/>
      <c r="DI144" s="2815"/>
      <c r="DJ144" s="580"/>
      <c r="DK144" s="820"/>
      <c r="DL144" s="820"/>
      <c r="DM144" s="820"/>
      <c r="DN144" s="820"/>
      <c r="DO144" s="580"/>
      <c r="DP144" s="820"/>
      <c r="DQ144" s="820"/>
      <c r="DR144" s="820"/>
      <c r="DS144" s="820"/>
      <c r="DT144" s="580"/>
      <c r="DU144" s="820"/>
      <c r="DV144" s="820"/>
      <c r="DW144" s="820"/>
      <c r="DX144" s="820"/>
      <c r="DY144" s="580"/>
    </row>
    <row r="145" spans="1:129" ht="11.25" customHeight="1" x14ac:dyDescent="0.2">
      <c r="A145" s="526"/>
      <c r="B145" s="756"/>
      <c r="C145" s="597"/>
      <c r="D145" s="597"/>
      <c r="E145" s="743"/>
      <c r="F145" s="743"/>
      <c r="G145" s="743"/>
      <c r="H145" s="743"/>
      <c r="I145" s="598"/>
      <c r="J145" s="743"/>
      <c r="K145" s="743"/>
      <c r="L145" s="743"/>
      <c r="M145" s="743"/>
      <c r="N145" s="598"/>
      <c r="O145" s="743"/>
      <c r="P145" s="743"/>
      <c r="Q145" s="743"/>
      <c r="R145" s="743"/>
      <c r="S145" s="598"/>
      <c r="T145" s="743"/>
      <c r="U145" s="743"/>
      <c r="V145" s="743"/>
      <c r="W145" s="743"/>
      <c r="X145" s="598"/>
      <c r="Y145" s="743"/>
      <c r="Z145" s="743"/>
      <c r="AA145" s="743"/>
      <c r="AB145" s="743"/>
      <c r="AC145" s="598"/>
      <c r="AD145" s="743"/>
      <c r="AE145" s="743"/>
      <c r="AF145" s="743"/>
      <c r="AG145" s="743"/>
      <c r="AH145" s="598"/>
      <c r="AI145" s="743"/>
      <c r="AJ145" s="743"/>
      <c r="AK145" s="743"/>
      <c r="AL145" s="743"/>
      <c r="AM145" s="598"/>
      <c r="AN145" s="743"/>
      <c r="AO145" s="743"/>
      <c r="AP145" s="743"/>
      <c r="AQ145" s="743"/>
      <c r="AR145" s="598"/>
      <c r="AS145" s="743"/>
      <c r="AT145" s="743"/>
      <c r="AU145" s="743"/>
      <c r="AV145" s="743"/>
      <c r="AW145" s="598"/>
      <c r="AX145" s="743"/>
      <c r="AY145" s="743"/>
      <c r="AZ145" s="743"/>
      <c r="BA145" s="743"/>
      <c r="BB145" s="598"/>
      <c r="BC145" s="743"/>
      <c r="BD145" s="743"/>
      <c r="BE145" s="743"/>
      <c r="BF145" s="743"/>
      <c r="BG145" s="598"/>
      <c r="BH145" s="743"/>
      <c r="BI145" s="743"/>
      <c r="BJ145" s="743"/>
      <c r="BK145" s="743"/>
      <c r="BL145" s="580"/>
      <c r="BM145" s="743"/>
      <c r="BN145" s="743"/>
      <c r="BO145" s="743"/>
      <c r="BP145" s="743"/>
      <c r="BQ145" s="580"/>
      <c r="BR145" s="743"/>
      <c r="BS145" s="743"/>
      <c r="BT145" s="743"/>
      <c r="BU145" s="743"/>
      <c r="BV145" s="580"/>
      <c r="BW145" s="743"/>
      <c r="BX145" s="743"/>
      <c r="BY145" s="743"/>
      <c r="BZ145" s="743"/>
      <c r="CA145" s="580"/>
      <c r="CB145" s="743"/>
      <c r="CC145" s="743"/>
      <c r="CD145" s="743"/>
      <c r="CE145" s="743"/>
      <c r="CF145" s="580"/>
      <c r="CG145" s="820"/>
      <c r="CH145" s="820"/>
      <c r="CI145" s="820"/>
      <c r="CJ145" s="820"/>
      <c r="CK145" s="580"/>
      <c r="CL145" s="820"/>
      <c r="CM145" s="820"/>
      <c r="CN145" s="820"/>
      <c r="CO145" s="820"/>
      <c r="CP145" s="580"/>
      <c r="CQ145" s="820"/>
      <c r="CR145" s="820"/>
      <c r="CS145" s="820"/>
      <c r="CT145" s="820"/>
      <c r="CU145" s="580"/>
      <c r="CV145" s="820"/>
      <c r="CW145" s="820"/>
      <c r="CX145" s="820"/>
      <c r="CY145" s="820"/>
      <c r="CZ145" s="580"/>
      <c r="DA145" s="820"/>
      <c r="DB145" s="820"/>
      <c r="DC145" s="820"/>
      <c r="DD145" s="820"/>
      <c r="DE145" s="580"/>
      <c r="DF145" s="820"/>
      <c r="DG145" s="820"/>
      <c r="DH145" s="820"/>
      <c r="DI145" s="2815"/>
      <c r="DJ145" s="580"/>
      <c r="DK145" s="820"/>
      <c r="DL145" s="820"/>
      <c r="DM145" s="820"/>
      <c r="DN145" s="820"/>
      <c r="DO145" s="580"/>
      <c r="DP145" s="820"/>
      <c r="DQ145" s="820"/>
      <c r="DR145" s="820"/>
      <c r="DS145" s="820"/>
      <c r="DT145" s="580"/>
      <c r="DU145" s="820"/>
      <c r="DV145" s="820"/>
      <c r="DW145" s="820"/>
      <c r="DX145" s="820"/>
      <c r="DY145" s="580"/>
    </row>
    <row r="146" spans="1:129" ht="11.25" customHeight="1" x14ac:dyDescent="0.2">
      <c r="A146" s="473"/>
      <c r="B146" s="606" t="s">
        <v>771</v>
      </c>
      <c r="C146" s="469"/>
      <c r="D146" s="469"/>
      <c r="E146" s="469"/>
      <c r="F146" s="469"/>
      <c r="G146" s="469"/>
      <c r="H146" s="469"/>
      <c r="I146" s="580"/>
      <c r="J146" s="469"/>
      <c r="K146" s="469"/>
      <c r="L146" s="469"/>
      <c r="M146" s="469"/>
      <c r="N146" s="580"/>
      <c r="O146" s="469"/>
      <c r="P146" s="469"/>
      <c r="Q146" s="469"/>
      <c r="R146" s="469"/>
      <c r="S146" s="580"/>
      <c r="T146" s="469"/>
      <c r="U146" s="469"/>
      <c r="V146" s="469"/>
      <c r="W146" s="469"/>
      <c r="X146" s="580"/>
      <c r="Y146" s="469"/>
      <c r="Z146" s="469"/>
      <c r="AA146" s="469"/>
      <c r="AB146" s="469"/>
      <c r="AC146" s="580"/>
      <c r="AD146" s="469"/>
      <c r="AE146" s="469"/>
      <c r="AF146" s="469"/>
      <c r="AG146" s="469"/>
      <c r="AH146" s="580"/>
      <c r="AI146" s="469"/>
      <c r="AJ146" s="469"/>
      <c r="AK146" s="469"/>
      <c r="AL146" s="469"/>
      <c r="AM146" s="580"/>
      <c r="AN146" s="469"/>
      <c r="AO146" s="469"/>
      <c r="AP146" s="469"/>
      <c r="AQ146" s="469"/>
      <c r="AR146" s="580"/>
      <c r="AS146" s="469"/>
      <c r="AT146" s="469"/>
      <c r="AU146" s="469"/>
      <c r="AV146" s="469"/>
      <c r="AW146" s="580"/>
      <c r="AX146" s="469"/>
      <c r="AY146" s="469"/>
      <c r="AZ146" s="469"/>
      <c r="BA146" s="469"/>
      <c r="BB146" s="580"/>
      <c r="BC146" s="469"/>
      <c r="BD146" s="469"/>
      <c r="BE146" s="469"/>
      <c r="BF146" s="469"/>
      <c r="BG146" s="580"/>
      <c r="BH146" s="469"/>
      <c r="BI146" s="469"/>
      <c r="BJ146" s="469"/>
      <c r="BK146" s="469"/>
      <c r="BL146" s="580"/>
      <c r="BM146" s="469"/>
      <c r="BN146" s="469"/>
      <c r="BO146" s="469"/>
      <c r="BP146" s="469"/>
      <c r="BQ146" s="580"/>
      <c r="BR146" s="469"/>
      <c r="BS146" s="469"/>
      <c r="BT146" s="469"/>
      <c r="BU146" s="469"/>
      <c r="BV146" s="580"/>
      <c r="BW146" s="469"/>
      <c r="BX146" s="469"/>
      <c r="BY146" s="469"/>
      <c r="BZ146" s="469"/>
      <c r="CA146" s="580"/>
      <c r="CB146" s="469"/>
      <c r="CC146" s="469"/>
      <c r="CD146" s="469"/>
      <c r="CE146" s="469"/>
      <c r="CF146" s="580"/>
      <c r="CG146" s="724"/>
      <c r="CH146" s="724"/>
      <c r="CI146" s="724"/>
      <c r="CJ146" s="724"/>
      <c r="CK146" s="580"/>
      <c r="CL146" s="724"/>
      <c r="CM146" s="724"/>
      <c r="CN146" s="724"/>
      <c r="CO146" s="724"/>
      <c r="CP146" s="580"/>
      <c r="CQ146" s="724"/>
      <c r="CR146" s="724"/>
      <c r="CS146" s="724"/>
      <c r="CT146" s="724"/>
      <c r="CU146" s="580"/>
      <c r="CV146" s="724"/>
      <c r="CW146" s="724"/>
      <c r="CX146" s="724"/>
      <c r="CY146" s="724"/>
      <c r="CZ146" s="580"/>
      <c r="DA146" s="724"/>
      <c r="DB146" s="724"/>
      <c r="DC146" s="724"/>
      <c r="DD146" s="724"/>
      <c r="DE146" s="580"/>
      <c r="DF146" s="724"/>
      <c r="DG146" s="724"/>
      <c r="DH146" s="724"/>
      <c r="DI146" s="724"/>
      <c r="DJ146" s="580"/>
      <c r="DK146" s="724"/>
      <c r="DL146" s="724"/>
      <c r="DM146" s="724"/>
      <c r="DN146" s="724"/>
      <c r="DO146" s="580"/>
      <c r="DP146" s="724"/>
      <c r="DQ146" s="724"/>
      <c r="DR146" s="724"/>
      <c r="DS146" s="724"/>
      <c r="DT146" s="580"/>
      <c r="DU146" s="724"/>
      <c r="DV146" s="724"/>
      <c r="DW146" s="724"/>
      <c r="DX146" s="724"/>
      <c r="DY146" s="580"/>
    </row>
    <row r="147" spans="1:129" ht="11.25" customHeight="1" x14ac:dyDescent="0.2">
      <c r="A147" s="473"/>
      <c r="B147" s="821" t="s">
        <v>240</v>
      </c>
      <c r="C147" s="469"/>
      <c r="D147" s="469"/>
      <c r="E147" s="469"/>
      <c r="F147" s="469"/>
      <c r="G147" s="469"/>
      <c r="H147" s="469"/>
      <c r="I147" s="580"/>
      <c r="J147" s="469"/>
      <c r="K147" s="469"/>
      <c r="L147" s="469"/>
      <c r="M147" s="469"/>
      <c r="N147" s="580"/>
      <c r="O147" s="469"/>
      <c r="P147" s="469"/>
      <c r="Q147" s="469"/>
      <c r="R147" s="469"/>
      <c r="S147" s="580"/>
      <c r="T147" s="469"/>
      <c r="U147" s="469"/>
      <c r="V147" s="469"/>
      <c r="W147" s="469"/>
      <c r="X147" s="580"/>
      <c r="Y147" s="469"/>
      <c r="Z147" s="469"/>
      <c r="AA147" s="469"/>
      <c r="AB147" s="469"/>
      <c r="AC147" s="580"/>
      <c r="AD147" s="469"/>
      <c r="AE147" s="469"/>
      <c r="AF147" s="469"/>
      <c r="AG147" s="469"/>
      <c r="AH147" s="580"/>
      <c r="AI147" s="469"/>
      <c r="AJ147" s="469"/>
      <c r="AK147" s="469"/>
      <c r="AL147" s="469"/>
      <c r="AM147" s="580"/>
      <c r="AN147" s="469"/>
      <c r="AO147" s="469"/>
      <c r="AP147" s="469"/>
      <c r="AQ147" s="469"/>
      <c r="AR147" s="580"/>
      <c r="AS147" s="469"/>
      <c r="AT147" s="469"/>
      <c r="AU147" s="469"/>
      <c r="AV147" s="469"/>
      <c r="AW147" s="580"/>
      <c r="AX147" s="469"/>
      <c r="AY147" s="469"/>
      <c r="AZ147" s="469"/>
      <c r="BA147" s="469"/>
      <c r="BB147" s="580"/>
      <c r="BC147" s="469"/>
      <c r="BD147" s="469"/>
      <c r="BE147" s="469"/>
      <c r="BF147" s="469"/>
      <c r="BG147" s="580"/>
      <c r="BH147" s="469"/>
      <c r="BI147" s="469"/>
      <c r="BJ147" s="469"/>
      <c r="BK147" s="469"/>
      <c r="BL147" s="580"/>
      <c r="BM147" s="469"/>
      <c r="BN147" s="469"/>
      <c r="BO147" s="469"/>
      <c r="BP147" s="469"/>
      <c r="BQ147" s="580"/>
      <c r="BR147" s="469"/>
      <c r="BS147" s="469"/>
      <c r="BT147" s="469"/>
      <c r="BU147" s="469"/>
      <c r="BV147" s="580"/>
      <c r="BW147" s="469"/>
      <c r="BX147" s="469"/>
      <c r="BY147" s="469"/>
      <c r="BZ147" s="469"/>
      <c r="CA147" s="580"/>
      <c r="CB147" s="469"/>
      <c r="CC147" s="469"/>
      <c r="CD147" s="469"/>
      <c r="CE147" s="469"/>
      <c r="CF147" s="580"/>
      <c r="CG147" s="724"/>
      <c r="CH147" s="724"/>
      <c r="CI147" s="724"/>
      <c r="CJ147" s="724"/>
      <c r="CK147" s="580"/>
      <c r="CL147" s="724"/>
      <c r="CM147" s="724"/>
      <c r="CN147" s="724"/>
      <c r="CO147" s="724"/>
      <c r="CP147" s="580"/>
      <c r="CQ147" s="724"/>
      <c r="CR147" s="724"/>
      <c r="CS147" s="724"/>
      <c r="CT147" s="724"/>
      <c r="CU147" s="580"/>
      <c r="CV147" s="724"/>
      <c r="CW147" s="724"/>
      <c r="CX147" s="724"/>
      <c r="CY147" s="724"/>
      <c r="CZ147" s="580"/>
      <c r="DA147" s="724"/>
      <c r="DB147" s="724"/>
      <c r="DC147" s="724"/>
      <c r="DD147" s="724"/>
      <c r="DE147" s="580"/>
      <c r="DF147" s="724"/>
      <c r="DG147" s="724"/>
      <c r="DH147" s="724"/>
      <c r="DI147" s="724"/>
      <c r="DJ147" s="580"/>
      <c r="DK147" s="724"/>
      <c r="DL147" s="724"/>
      <c r="DM147" s="724"/>
      <c r="DN147" s="724"/>
      <c r="DO147" s="580"/>
      <c r="DP147" s="724"/>
      <c r="DQ147" s="724"/>
      <c r="DR147" s="724"/>
      <c r="DS147" s="724"/>
      <c r="DT147" s="580"/>
      <c r="DU147" s="724"/>
      <c r="DV147" s="724"/>
      <c r="DW147" s="724"/>
      <c r="DX147" s="724"/>
      <c r="DY147" s="580"/>
    </row>
    <row r="148" spans="1:129" ht="11.25" customHeight="1" x14ac:dyDescent="0.2">
      <c r="A148" s="474"/>
      <c r="B148" s="822" t="s">
        <v>772</v>
      </c>
      <c r="C148" s="538"/>
      <c r="D148" s="538"/>
      <c r="E148" s="707"/>
      <c r="F148" s="707"/>
      <c r="G148" s="707"/>
      <c r="H148" s="717"/>
      <c r="I148" s="539"/>
      <c r="J148" s="707"/>
      <c r="K148" s="707"/>
      <c r="L148" s="707"/>
      <c r="M148" s="717"/>
      <c r="N148" s="539"/>
      <c r="O148" s="707"/>
      <c r="P148" s="707"/>
      <c r="Q148" s="707"/>
      <c r="R148" s="717"/>
      <c r="S148" s="539"/>
      <c r="T148" s="707"/>
      <c r="U148" s="707"/>
      <c r="V148" s="707"/>
      <c r="W148" s="717"/>
      <c r="X148" s="539"/>
      <c r="Y148" s="707"/>
      <c r="Z148" s="707"/>
      <c r="AA148" s="707"/>
      <c r="AB148" s="717"/>
      <c r="AC148" s="539"/>
      <c r="AD148" s="707"/>
      <c r="AE148" s="707"/>
      <c r="AF148" s="707"/>
      <c r="AG148" s="717"/>
      <c r="AH148" s="539"/>
      <c r="AI148" s="707"/>
      <c r="AJ148" s="707"/>
      <c r="AK148" s="707"/>
      <c r="AL148" s="717"/>
      <c r="AM148" s="539"/>
      <c r="AN148" s="707"/>
      <c r="AO148" s="707"/>
      <c r="AP148" s="707"/>
      <c r="AQ148" s="717"/>
      <c r="AR148" s="539"/>
      <c r="AS148" s="707"/>
      <c r="AT148" s="707"/>
      <c r="AU148" s="707"/>
      <c r="AV148" s="717"/>
      <c r="AW148" s="539"/>
      <c r="AX148" s="707"/>
      <c r="AY148" s="707"/>
      <c r="AZ148" s="707"/>
      <c r="BA148" s="717"/>
      <c r="BB148" s="539"/>
      <c r="BC148" s="623">
        <v>0.16141952090870432</v>
      </c>
      <c r="BD148" s="623">
        <v>0.16350000000000001</v>
      </c>
      <c r="BE148" s="623">
        <v>0.16700000000000001</v>
      </c>
      <c r="BF148" s="823">
        <v>0.17399999999999999</v>
      </c>
      <c r="BG148" s="539"/>
      <c r="BH148" s="623">
        <v>0.23303932586754406</v>
      </c>
      <c r="BI148" s="623">
        <v>0.23552694837416754</v>
      </c>
      <c r="BJ148" s="623">
        <v>0.23110514581629626</v>
      </c>
      <c r="BK148" s="800">
        <v>0.23433723748041924</v>
      </c>
      <c r="BL148" s="806">
        <f>BL158/BL160</f>
        <v>0.23364461501859426</v>
      </c>
      <c r="BM148" s="623">
        <v>0.24139431202011807</v>
      </c>
      <c r="BN148" s="623">
        <v>0.24393748669638393</v>
      </c>
      <c r="BO148" s="623">
        <v>0.26071824142707978</v>
      </c>
      <c r="BP148" s="623">
        <v>0.2646408895191722</v>
      </c>
      <c r="BQ148" s="806">
        <f>BQ158/BQ160</f>
        <v>0.2529211634811816</v>
      </c>
      <c r="BR148" s="623">
        <v>0.26600000000000001</v>
      </c>
      <c r="BS148" s="623">
        <v>0.26354955808030189</v>
      </c>
      <c r="BT148" s="623">
        <v>0.26419007114733761</v>
      </c>
      <c r="BU148" s="623">
        <v>0.26419007114733761</v>
      </c>
      <c r="BV148" s="806">
        <f>BV158/BV160</f>
        <v>0.26442085216324979</v>
      </c>
      <c r="BW148" s="623">
        <v>0.28422132271482581</v>
      </c>
      <c r="BX148" s="623">
        <v>0.29264408600000003</v>
      </c>
      <c r="BY148" s="623">
        <v>0.30036223145886398</v>
      </c>
      <c r="BZ148" s="623">
        <v>0.307</v>
      </c>
      <c r="CA148" s="806">
        <f>CA158/CA160</f>
        <v>0.29608788220598953</v>
      </c>
      <c r="CB148" s="623">
        <v>0.30731041987656615</v>
      </c>
      <c r="CC148" s="623">
        <v>0.31397111908003472</v>
      </c>
      <c r="CD148" s="623">
        <v>0.30063097204806838</v>
      </c>
      <c r="CE148" s="823">
        <v>0.32976820273551705</v>
      </c>
      <c r="CF148" s="539">
        <f>CF158/CF160</f>
        <v>0.31338810093811437</v>
      </c>
      <c r="CG148" s="623">
        <v>0.34252202907529966</v>
      </c>
      <c r="CH148" s="824">
        <v>0.35498122989859382</v>
      </c>
      <c r="CI148" s="791">
        <v>0.36649955516006438</v>
      </c>
      <c r="CJ148" s="791">
        <v>0.38064312834444902</v>
      </c>
      <c r="CK148" s="539">
        <f>CK158/CK160</f>
        <v>0.3612312831308187</v>
      </c>
      <c r="CL148" s="791">
        <v>0.38196574211318979</v>
      </c>
      <c r="CM148" s="791">
        <v>0.379666727699423</v>
      </c>
      <c r="CN148" s="791">
        <v>0.37651369802825618</v>
      </c>
      <c r="CO148" s="791">
        <v>0.37651369802825618</v>
      </c>
      <c r="CP148" s="539">
        <f>CP158/CP160</f>
        <v>0.38247152452764976</v>
      </c>
      <c r="CQ148" s="791">
        <v>0.39103352402637043</v>
      </c>
      <c r="CR148" s="791">
        <v>0.3968527043622973</v>
      </c>
      <c r="CS148" s="791">
        <v>0.40613248771549898</v>
      </c>
      <c r="CT148" s="791">
        <v>0.40545444114650536</v>
      </c>
      <c r="CU148" s="539">
        <f t="shared" ref="CU148:CZ148" si="203">CU158/CU160</f>
        <v>0.39914163613491704</v>
      </c>
      <c r="CV148" s="474">
        <f t="shared" ca="1" si="203"/>
        <v>0.41275332458391922</v>
      </c>
      <c r="CW148" s="474">
        <f t="shared" ca="1" si="203"/>
        <v>0.40922705616723976</v>
      </c>
      <c r="CX148" s="474">
        <f t="shared" ca="1" si="203"/>
        <v>0.41175102902700589</v>
      </c>
      <c r="CY148" s="474">
        <f t="shared" ca="1" si="203"/>
        <v>0.42849528910168871</v>
      </c>
      <c r="CZ148" s="539">
        <f t="shared" ca="1" si="203"/>
        <v>0.41573198304327119</v>
      </c>
      <c r="DA148" s="474">
        <f t="shared" ref="DA148:DJ148" ca="1" si="204">DA158/DA160</f>
        <v>0.43140425110583097</v>
      </c>
      <c r="DB148" s="474">
        <f ca="1">DB158/DB160</f>
        <v>0.41529334595256789</v>
      </c>
      <c r="DC148" s="474">
        <f ca="1">DC158/DC160</f>
        <v>0.41950556718500442</v>
      </c>
      <c r="DD148" s="474">
        <f t="shared" ca="1" si="204"/>
        <v>0.43945150004993844</v>
      </c>
      <c r="DE148" s="539">
        <f t="shared" ca="1" si="204"/>
        <v>0.42655429818967289</v>
      </c>
      <c r="DF148" s="474">
        <f ca="1">DF158/DF160</f>
        <v>0.44571511672097169</v>
      </c>
      <c r="DG148" s="474">
        <f ca="1">DG158/DG160</f>
        <v>0.44571511672097169</v>
      </c>
      <c r="DH148" s="474">
        <f ca="1">DH158/DH160</f>
        <v>0.44571511672097164</v>
      </c>
      <c r="DI148" s="896">
        <f ca="1">DI158/DI160</f>
        <v>0.44571511672097164</v>
      </c>
      <c r="DJ148" s="539">
        <f t="shared" ca="1" si="204"/>
        <v>0.44571511672097164</v>
      </c>
      <c r="DK148" s="474">
        <f t="shared" ref="DK148:DT148" ca="1" si="205">DK158/DK160</f>
        <v>0.4043432010969108</v>
      </c>
      <c r="DL148" s="474">
        <f t="shared" ca="1" si="205"/>
        <v>0.40556177470910787</v>
      </c>
      <c r="DM148" s="474">
        <f t="shared" ca="1" si="205"/>
        <v>0.41455280536912781</v>
      </c>
      <c r="DN148" s="474">
        <f t="shared" ca="1" si="205"/>
        <v>0.42434871999282331</v>
      </c>
      <c r="DO148" s="539">
        <f t="shared" ca="1" si="205"/>
        <v>0.4123500969836284</v>
      </c>
      <c r="DP148" s="474">
        <f t="shared" ca="1" si="205"/>
        <v>0.41187641844734613</v>
      </c>
      <c r="DQ148" s="474">
        <f t="shared" ca="1" si="205"/>
        <v>0.4135337475517441</v>
      </c>
      <c r="DR148" s="474">
        <f t="shared" ca="1" si="205"/>
        <v>0.42289914042986715</v>
      </c>
      <c r="DS148" s="474">
        <f t="shared" ca="1" si="205"/>
        <v>0.43318664654632821</v>
      </c>
      <c r="DT148" s="539">
        <f t="shared" ca="1" si="205"/>
        <v>0.42052515544530555</v>
      </c>
      <c r="DU148" s="474">
        <f t="shared" ref="DU148:DY148" ca="1" si="206">DU158/DU160</f>
        <v>0.42098973386539884</v>
      </c>
      <c r="DV148" s="474">
        <f t="shared" ca="1" si="206"/>
        <v>0.42317008469616918</v>
      </c>
      <c r="DW148" s="474">
        <f t="shared" ca="1" si="206"/>
        <v>0.43297765986482378</v>
      </c>
      <c r="DX148" s="474">
        <f t="shared" ca="1" si="206"/>
        <v>0.44384755455201624</v>
      </c>
      <c r="DY148" s="539">
        <f t="shared" ca="1" si="206"/>
        <v>0.43040008296633842</v>
      </c>
    </row>
    <row r="149" spans="1:129" ht="11.25" customHeight="1" x14ac:dyDescent="0.2">
      <c r="A149" s="474"/>
      <c r="B149" s="822" t="s">
        <v>773</v>
      </c>
      <c r="C149" s="538"/>
      <c r="D149" s="538"/>
      <c r="E149" s="538"/>
      <c r="F149" s="538"/>
      <c r="G149" s="538"/>
      <c r="H149" s="538"/>
      <c r="I149" s="539"/>
      <c r="J149" s="538"/>
      <c r="K149" s="538"/>
      <c r="L149" s="538"/>
      <c r="M149" s="538"/>
      <c r="N149" s="539"/>
      <c r="O149" s="538"/>
      <c r="P149" s="538"/>
      <c r="Q149" s="538"/>
      <c r="R149" s="538"/>
      <c r="S149" s="539"/>
      <c r="T149" s="538"/>
      <c r="U149" s="538"/>
      <c r="V149" s="538"/>
      <c r="W149" s="538"/>
      <c r="X149" s="539"/>
      <c r="Y149" s="538"/>
      <c r="Z149" s="538"/>
      <c r="AA149" s="538"/>
      <c r="AB149" s="538"/>
      <c r="AC149" s="539"/>
      <c r="AD149" s="538"/>
      <c r="AE149" s="538"/>
      <c r="AF149" s="538"/>
      <c r="AG149" s="538"/>
      <c r="AH149" s="539"/>
      <c r="AI149" s="538"/>
      <c r="AJ149" s="538"/>
      <c r="AK149" s="538"/>
      <c r="AL149" s="538"/>
      <c r="AM149" s="539"/>
      <c r="AN149" s="538"/>
      <c r="AO149" s="538"/>
      <c r="AP149" s="538"/>
      <c r="AQ149" s="538"/>
      <c r="AR149" s="539"/>
      <c r="AS149" s="538"/>
      <c r="AT149" s="538"/>
      <c r="AU149" s="538"/>
      <c r="AV149" s="538"/>
      <c r="AW149" s="539"/>
      <c r="AX149" s="538"/>
      <c r="AY149" s="538"/>
      <c r="AZ149" s="538"/>
      <c r="BA149" s="538"/>
      <c r="BB149" s="539"/>
      <c r="BC149" s="823">
        <v>0.83858047909129563</v>
      </c>
      <c r="BD149" s="823">
        <v>0.83650000000000002</v>
      </c>
      <c r="BE149" s="823">
        <v>0.83299999999999996</v>
      </c>
      <c r="BF149" s="823">
        <v>0.82600000000000007</v>
      </c>
      <c r="BG149" s="539"/>
      <c r="BH149" s="779">
        <f t="shared" ref="BH149:CZ149" si="207">1-BH148</f>
        <v>0.76696067413245594</v>
      </c>
      <c r="BI149" s="779">
        <f t="shared" si="207"/>
        <v>0.76447305162583246</v>
      </c>
      <c r="BJ149" s="779">
        <f t="shared" si="207"/>
        <v>0.76889485418370374</v>
      </c>
      <c r="BK149" s="779">
        <f t="shared" si="207"/>
        <v>0.76566276251958076</v>
      </c>
      <c r="BL149" s="806">
        <f t="shared" si="207"/>
        <v>0.76635538498140576</v>
      </c>
      <c r="BM149" s="779">
        <f t="shared" si="207"/>
        <v>0.75860568797988193</v>
      </c>
      <c r="BN149" s="779">
        <f t="shared" si="207"/>
        <v>0.75606251330361607</v>
      </c>
      <c r="BO149" s="779">
        <f t="shared" si="207"/>
        <v>0.73928175857292022</v>
      </c>
      <c r="BP149" s="779">
        <f t="shared" si="207"/>
        <v>0.7353591104808278</v>
      </c>
      <c r="BQ149" s="806">
        <f t="shared" si="207"/>
        <v>0.74707883651881835</v>
      </c>
      <c r="BR149" s="779">
        <f t="shared" si="207"/>
        <v>0.73399999999999999</v>
      </c>
      <c r="BS149" s="779">
        <f t="shared" si="207"/>
        <v>0.73645044191969811</v>
      </c>
      <c r="BT149" s="779">
        <f t="shared" si="207"/>
        <v>0.73580992885266239</v>
      </c>
      <c r="BU149" s="779">
        <f t="shared" si="207"/>
        <v>0.73580992885266239</v>
      </c>
      <c r="BV149" s="806">
        <f t="shared" si="207"/>
        <v>0.73557914783675016</v>
      </c>
      <c r="BW149" s="779">
        <f t="shared" si="207"/>
        <v>0.71577867728517419</v>
      </c>
      <c r="BX149" s="779">
        <f t="shared" si="207"/>
        <v>0.70735591399999997</v>
      </c>
      <c r="BY149" s="779">
        <f t="shared" si="207"/>
        <v>0.69963776854113602</v>
      </c>
      <c r="BZ149" s="779">
        <f t="shared" si="207"/>
        <v>0.69300000000000006</v>
      </c>
      <c r="CA149" s="806">
        <f t="shared" si="207"/>
        <v>0.70391211779401042</v>
      </c>
      <c r="CB149" s="779">
        <f t="shared" si="207"/>
        <v>0.69268958012343385</v>
      </c>
      <c r="CC149" s="779">
        <f t="shared" si="207"/>
        <v>0.68602888091996528</v>
      </c>
      <c r="CD149" s="717">
        <f t="shared" si="207"/>
        <v>0.69936902795193157</v>
      </c>
      <c r="CE149" s="717">
        <f t="shared" si="207"/>
        <v>0.6702317972644829</v>
      </c>
      <c r="CF149" s="539">
        <f t="shared" si="207"/>
        <v>0.68661189906188569</v>
      </c>
      <c r="CG149" s="779">
        <f t="shared" si="207"/>
        <v>0.65747797092470028</v>
      </c>
      <c r="CH149" s="474">
        <f t="shared" si="207"/>
        <v>0.64501877010140618</v>
      </c>
      <c r="CI149" s="474">
        <f t="shared" si="207"/>
        <v>0.63350044483993562</v>
      </c>
      <c r="CJ149" s="474">
        <f t="shared" si="207"/>
        <v>0.61935687165555098</v>
      </c>
      <c r="CK149" s="539">
        <f t="shared" si="207"/>
        <v>0.63876871686918135</v>
      </c>
      <c r="CL149" s="474">
        <f t="shared" si="207"/>
        <v>0.61803425788681021</v>
      </c>
      <c r="CM149" s="474">
        <f t="shared" si="207"/>
        <v>0.620333272300577</v>
      </c>
      <c r="CN149" s="474">
        <f t="shared" si="207"/>
        <v>0.62348630197174382</v>
      </c>
      <c r="CO149" s="474">
        <f>1-CO148</f>
        <v>0.62348630197174382</v>
      </c>
      <c r="CP149" s="539">
        <f t="shared" si="207"/>
        <v>0.61752847547235024</v>
      </c>
      <c r="CQ149" s="474">
        <f t="shared" si="207"/>
        <v>0.60896647597362952</v>
      </c>
      <c r="CR149" s="474">
        <f t="shared" si="207"/>
        <v>0.60314729563770264</v>
      </c>
      <c r="CS149" s="474">
        <f t="shared" si="207"/>
        <v>0.59386751228450096</v>
      </c>
      <c r="CT149" s="474">
        <f t="shared" si="207"/>
        <v>0.59454555885349469</v>
      </c>
      <c r="CU149" s="539">
        <f t="shared" si="207"/>
        <v>0.60085836386508296</v>
      </c>
      <c r="CV149" s="474">
        <f t="shared" ca="1" si="207"/>
        <v>0.58724667541608078</v>
      </c>
      <c r="CW149" s="474">
        <f t="shared" ca="1" si="207"/>
        <v>0.59077294383276024</v>
      </c>
      <c r="CX149" s="474">
        <f t="shared" ca="1" si="207"/>
        <v>0.58824897097299411</v>
      </c>
      <c r="CY149" s="474">
        <f ca="1">1-CY148</f>
        <v>0.57150471089831134</v>
      </c>
      <c r="CZ149" s="539">
        <f t="shared" ca="1" si="207"/>
        <v>0.58426801695672881</v>
      </c>
      <c r="DA149" s="474">
        <f t="shared" ref="DA149:DJ149" ca="1" si="208">1-DA148</f>
        <v>0.56859574889416908</v>
      </c>
      <c r="DB149" s="474">
        <f ca="1">1-DB148</f>
        <v>0.58470665404743216</v>
      </c>
      <c r="DC149" s="474">
        <f ca="1">1-DC148</f>
        <v>0.58049443281499558</v>
      </c>
      <c r="DD149" s="474">
        <f t="shared" ca="1" si="208"/>
        <v>0.56054849995006162</v>
      </c>
      <c r="DE149" s="539">
        <f t="shared" ca="1" si="208"/>
        <v>0.57344570181032717</v>
      </c>
      <c r="DF149" s="474">
        <f ca="1">1-DF148</f>
        <v>0.55428488327902836</v>
      </c>
      <c r="DG149" s="474">
        <f ca="1">1-DG148</f>
        <v>0.55428488327902836</v>
      </c>
      <c r="DH149" s="474">
        <f ca="1">1-DH148</f>
        <v>0.55428488327902836</v>
      </c>
      <c r="DI149" s="896">
        <f ca="1">1-DI148</f>
        <v>0.55428488327902836</v>
      </c>
      <c r="DJ149" s="539">
        <f t="shared" ca="1" si="208"/>
        <v>0.55428488327902836</v>
      </c>
      <c r="DK149" s="474">
        <f t="shared" ref="DK149:DT149" ca="1" si="209">1-DK148</f>
        <v>0.5956567989030892</v>
      </c>
      <c r="DL149" s="474">
        <f t="shared" ca="1" si="209"/>
        <v>0.59443822529089219</v>
      </c>
      <c r="DM149" s="474">
        <f t="shared" ca="1" si="209"/>
        <v>0.58544719463087214</v>
      </c>
      <c r="DN149" s="474">
        <f t="shared" ca="1" si="209"/>
        <v>0.57565128000717669</v>
      </c>
      <c r="DO149" s="539">
        <f t="shared" ca="1" si="209"/>
        <v>0.58764990301637154</v>
      </c>
      <c r="DP149" s="474">
        <f t="shared" ca="1" si="209"/>
        <v>0.58812358155265387</v>
      </c>
      <c r="DQ149" s="474">
        <f t="shared" ca="1" si="209"/>
        <v>0.5864662524482559</v>
      </c>
      <c r="DR149" s="474">
        <f t="shared" ca="1" si="209"/>
        <v>0.5771008595701328</v>
      </c>
      <c r="DS149" s="474">
        <f t="shared" ca="1" si="209"/>
        <v>0.56681335345367179</v>
      </c>
      <c r="DT149" s="539">
        <f t="shared" ca="1" si="209"/>
        <v>0.57947484455469445</v>
      </c>
      <c r="DU149" s="474">
        <f t="shared" ref="DU149:DY149" ca="1" si="210">1-DU148</f>
        <v>0.57901026613460116</v>
      </c>
      <c r="DV149" s="474">
        <f t="shared" ca="1" si="210"/>
        <v>0.57682991530383076</v>
      </c>
      <c r="DW149" s="474">
        <f t="shared" ca="1" si="210"/>
        <v>0.56702234013517616</v>
      </c>
      <c r="DX149" s="474">
        <f t="shared" ca="1" si="210"/>
        <v>0.55615244544798381</v>
      </c>
      <c r="DY149" s="539">
        <f t="shared" ca="1" si="210"/>
        <v>0.56959991703366164</v>
      </c>
    </row>
    <row r="150" spans="1:129" ht="11.25" customHeight="1" x14ac:dyDescent="0.2">
      <c r="A150" s="473"/>
      <c r="B150" s="821" t="s">
        <v>774</v>
      </c>
      <c r="C150" s="469"/>
      <c r="D150" s="469"/>
      <c r="E150" s="538"/>
      <c r="F150" s="538"/>
      <c r="G150" s="538"/>
      <c r="H150" s="538"/>
      <c r="I150" s="580"/>
      <c r="J150" s="538"/>
      <c r="K150" s="538"/>
      <c r="L150" s="538"/>
      <c r="M150" s="538"/>
      <c r="N150" s="580"/>
      <c r="O150" s="538"/>
      <c r="P150" s="538"/>
      <c r="Q150" s="538"/>
      <c r="R150" s="538"/>
      <c r="S150" s="580"/>
      <c r="T150" s="538"/>
      <c r="U150" s="538"/>
      <c r="V150" s="538"/>
      <c r="W150" s="538"/>
      <c r="X150" s="580"/>
      <c r="Y150" s="538"/>
      <c r="Z150" s="538"/>
      <c r="AA150" s="538"/>
      <c r="AB150" s="538"/>
      <c r="AC150" s="580"/>
      <c r="AD150" s="538"/>
      <c r="AE150" s="538"/>
      <c r="AF150" s="538"/>
      <c r="AG150" s="538"/>
      <c r="AH150" s="580"/>
      <c r="AI150" s="538"/>
      <c r="AJ150" s="538"/>
      <c r="AK150" s="538"/>
      <c r="AL150" s="538"/>
      <c r="AM150" s="580"/>
      <c r="AN150" s="538"/>
      <c r="AO150" s="538"/>
      <c r="AP150" s="538"/>
      <c r="AQ150" s="538"/>
      <c r="AR150" s="580"/>
      <c r="AS150" s="538"/>
      <c r="AT150" s="538"/>
      <c r="AU150" s="538"/>
      <c r="AV150" s="538"/>
      <c r="AW150" s="580"/>
      <c r="AX150" s="538"/>
      <c r="AY150" s="538"/>
      <c r="AZ150" s="538"/>
      <c r="BA150" s="538"/>
      <c r="BB150" s="580"/>
      <c r="BC150" s="538"/>
      <c r="BD150" s="538"/>
      <c r="BE150" s="538"/>
      <c r="BF150" s="538"/>
      <c r="BG150" s="580"/>
      <c r="BH150" s="538"/>
      <c r="BI150" s="538"/>
      <c r="BJ150" s="538"/>
      <c r="BK150" s="538"/>
      <c r="BL150" s="580"/>
      <c r="BM150" s="538"/>
      <c r="BN150" s="538"/>
      <c r="BO150" s="538"/>
      <c r="BP150" s="538"/>
      <c r="BQ150" s="580"/>
      <c r="BR150" s="538"/>
      <c r="BS150" s="538"/>
      <c r="BT150" s="538"/>
      <c r="BU150" s="538"/>
      <c r="BV150" s="580"/>
      <c r="BW150" s="538"/>
      <c r="BX150" s="538"/>
      <c r="BY150" s="538"/>
      <c r="BZ150" s="538"/>
      <c r="CA150" s="580"/>
      <c r="CB150" s="538"/>
      <c r="CC150" s="538"/>
      <c r="CD150" s="538"/>
      <c r="CE150" s="538"/>
      <c r="CF150" s="580"/>
      <c r="CG150" s="717"/>
      <c r="CH150" s="542"/>
      <c r="CI150" s="542"/>
      <c r="CJ150" s="542"/>
      <c r="CK150" s="580"/>
      <c r="CL150" s="542"/>
      <c r="CM150" s="542"/>
      <c r="CN150" s="542"/>
      <c r="CO150" s="542"/>
      <c r="CP150" s="580"/>
      <c r="CQ150" s="542"/>
      <c r="CR150" s="542"/>
      <c r="CS150" s="542"/>
      <c r="CT150" s="542"/>
      <c r="CU150" s="580"/>
      <c r="CV150" s="542"/>
      <c r="CW150" s="542"/>
      <c r="CX150" s="542"/>
      <c r="CY150" s="542"/>
      <c r="CZ150" s="580"/>
      <c r="DA150" s="542"/>
      <c r="DB150" s="542"/>
      <c r="DC150" s="542"/>
      <c r="DD150" s="542"/>
      <c r="DE150" s="580"/>
      <c r="DF150" s="542"/>
      <c r="DG150" s="542"/>
      <c r="DH150" s="542"/>
      <c r="DI150" s="899"/>
      <c r="DJ150" s="580"/>
      <c r="DK150" s="542"/>
      <c r="DL150" s="542"/>
      <c r="DM150" s="542"/>
      <c r="DN150" s="542"/>
      <c r="DO150" s="580"/>
      <c r="DP150" s="542"/>
      <c r="DQ150" s="542"/>
      <c r="DR150" s="542"/>
      <c r="DS150" s="542"/>
      <c r="DT150" s="580"/>
      <c r="DU150" s="542"/>
      <c r="DV150" s="542"/>
      <c r="DW150" s="542"/>
      <c r="DX150" s="542"/>
      <c r="DY150" s="580"/>
    </row>
    <row r="151" spans="1:129" ht="11.25" customHeight="1" x14ac:dyDescent="0.2">
      <c r="A151" s="474"/>
      <c r="B151" s="822" t="s">
        <v>772</v>
      </c>
      <c r="C151" s="538"/>
      <c r="D151" s="538"/>
      <c r="E151" s="707"/>
      <c r="F151" s="707"/>
      <c r="G151" s="707"/>
      <c r="H151" s="717"/>
      <c r="I151" s="539"/>
      <c r="J151" s="707"/>
      <c r="K151" s="707"/>
      <c r="L151" s="707"/>
      <c r="M151" s="717"/>
      <c r="N151" s="539"/>
      <c r="O151" s="707"/>
      <c r="P151" s="707"/>
      <c r="Q151" s="707"/>
      <c r="R151" s="717"/>
      <c r="S151" s="539"/>
      <c r="T151" s="707"/>
      <c r="U151" s="707"/>
      <c r="V151" s="707"/>
      <c r="W151" s="717"/>
      <c r="X151" s="539"/>
      <c r="Y151" s="707"/>
      <c r="Z151" s="707"/>
      <c r="AA151" s="707"/>
      <c r="AB151" s="717"/>
      <c r="AC151" s="539"/>
      <c r="AD151" s="707"/>
      <c r="AE151" s="707"/>
      <c r="AF151" s="707"/>
      <c r="AG151" s="717"/>
      <c r="AH151" s="539"/>
      <c r="AI151" s="707"/>
      <c r="AJ151" s="707"/>
      <c r="AK151" s="707"/>
      <c r="AL151" s="717"/>
      <c r="AM151" s="539"/>
      <c r="AN151" s="707"/>
      <c r="AO151" s="707"/>
      <c r="AP151" s="707"/>
      <c r="AQ151" s="717"/>
      <c r="AR151" s="539"/>
      <c r="AS151" s="707"/>
      <c r="AT151" s="707"/>
      <c r="AU151" s="707"/>
      <c r="AV151" s="717"/>
      <c r="AW151" s="539"/>
      <c r="AX151" s="707"/>
      <c r="AY151" s="707"/>
      <c r="AZ151" s="707"/>
      <c r="BA151" s="717"/>
      <c r="BB151" s="539"/>
      <c r="BC151" s="623">
        <v>0.13200000000000001</v>
      </c>
      <c r="BD151" s="623">
        <v>0.14000000000000001</v>
      </c>
      <c r="BE151" s="623">
        <v>0.14299999999999999</v>
      </c>
      <c r="BF151" s="823">
        <v>0.155</v>
      </c>
      <c r="BG151" s="539"/>
      <c r="BH151" s="623">
        <v>0.18290000000000001</v>
      </c>
      <c r="BI151" s="623">
        <v>0.17308043407698859</v>
      </c>
      <c r="BJ151" s="623">
        <v>0.17177662149185147</v>
      </c>
      <c r="BK151" s="623">
        <v>0.1633950158662042</v>
      </c>
      <c r="BL151" s="806">
        <f>BL169/BL171</f>
        <v>0.17053573070411918</v>
      </c>
      <c r="BM151" s="623">
        <v>0.15824891244015094</v>
      </c>
      <c r="BN151" s="623">
        <v>0.16470461011986315</v>
      </c>
      <c r="BO151" s="623">
        <v>0.17529812847851256</v>
      </c>
      <c r="BP151" s="623">
        <v>0.17242117771555354</v>
      </c>
      <c r="BQ151" s="806">
        <f>BQ169/BQ171</f>
        <v>0.16777579513731292</v>
      </c>
      <c r="BR151" s="623">
        <v>0.17257944133192005</v>
      </c>
      <c r="BS151" s="623">
        <v>0.17594120218899933</v>
      </c>
      <c r="BT151" s="623">
        <v>0.17331523755328782</v>
      </c>
      <c r="BU151" s="623">
        <v>0.17331523755328782</v>
      </c>
      <c r="BV151" s="806">
        <f>BV169/BV171</f>
        <v>0.17378826407762688</v>
      </c>
      <c r="BW151" s="623">
        <v>0.17290134248897165</v>
      </c>
      <c r="BX151" s="623">
        <v>0.18367820000000001</v>
      </c>
      <c r="BY151" s="623">
        <v>0.18561277343422999</v>
      </c>
      <c r="BZ151" s="623">
        <v>0.1851644664296222</v>
      </c>
      <c r="CA151" s="806">
        <f>CA169/CA171</f>
        <v>0.18191184176852407</v>
      </c>
      <c r="CB151" s="623">
        <v>0.18797686904958499</v>
      </c>
      <c r="CC151" s="623">
        <v>0.18724036605695793</v>
      </c>
      <c r="CD151" s="623">
        <v>0.18181801359783578</v>
      </c>
      <c r="CE151" s="823">
        <v>0.19605508578121569</v>
      </c>
      <c r="CF151" s="539">
        <f>CF169/CF171</f>
        <v>0.18834084501011686</v>
      </c>
      <c r="CG151" s="623">
        <v>0.194291573894289</v>
      </c>
      <c r="CH151" s="824">
        <v>0.20485353886388291</v>
      </c>
      <c r="CI151" s="791">
        <v>0.20936582168529014</v>
      </c>
      <c r="CJ151" s="791">
        <v>0.24592163606358053</v>
      </c>
      <c r="CK151" s="539">
        <f>CK169/CK171</f>
        <v>0.21370820618224326</v>
      </c>
      <c r="CL151" s="791">
        <v>0.21220512887699428</v>
      </c>
      <c r="CM151" s="791">
        <v>0.21544462028976763</v>
      </c>
      <c r="CN151" s="791">
        <v>0.23616733955280203</v>
      </c>
      <c r="CO151" s="791">
        <v>0.23616733955280203</v>
      </c>
      <c r="CP151" s="539">
        <f>CP169/CP171</f>
        <v>0.22138478833642639</v>
      </c>
      <c r="CQ151" s="791">
        <v>0.22317713360312039</v>
      </c>
      <c r="CR151" s="791">
        <v>0.24239550725726888</v>
      </c>
      <c r="CS151" s="791">
        <v>0.20335359174766843</v>
      </c>
      <c r="CT151" s="791">
        <v>0.21802734258024123</v>
      </c>
      <c r="CU151" s="539">
        <f t="shared" ref="CU151:CZ151" si="211">CU169/CU171</f>
        <v>0.20184182276357088</v>
      </c>
      <c r="CV151" s="474">
        <f t="shared" ca="1" si="211"/>
        <v>0.20414495701169713</v>
      </c>
      <c r="CW151" s="474">
        <f t="shared" ca="1" si="211"/>
        <v>0.17945391905818761</v>
      </c>
      <c r="CX151" s="474">
        <f t="shared" ca="1" si="211"/>
        <v>0.17896660081173321</v>
      </c>
      <c r="CY151" s="474">
        <f t="shared" ca="1" si="211"/>
        <v>0.2069705518118807</v>
      </c>
      <c r="CZ151" s="539">
        <f t="shared" ca="1" si="211"/>
        <v>0.1924853660944372</v>
      </c>
      <c r="DA151" s="474">
        <f t="shared" ref="DA151:DJ151" ca="1" si="212">DA169/DA171</f>
        <v>0.20030338210278334</v>
      </c>
      <c r="DB151" s="474">
        <f ca="1">DB169/DB171</f>
        <v>0.18026473659644099</v>
      </c>
      <c r="DC151" s="474">
        <f ca="1">DC169/DC171</f>
        <v>0.18265400444937266</v>
      </c>
      <c r="DD151" s="474">
        <f t="shared" ca="1" si="212"/>
        <v>0.21344292726301106</v>
      </c>
      <c r="DE151" s="539">
        <f t="shared" ca="1" si="212"/>
        <v>0.19424554802654936</v>
      </c>
      <c r="DF151" s="474">
        <f ca="1">DF169/DF171</f>
        <v>0.19951283585626686</v>
      </c>
      <c r="DG151" s="474">
        <f ca="1">DG169/DG171</f>
        <v>0.19951283585626686</v>
      </c>
      <c r="DH151" s="474">
        <f ca="1">DH169/DH171</f>
        <v>0.19951283585626683</v>
      </c>
      <c r="DI151" s="896">
        <f ca="1">DI169/DI171</f>
        <v>0.19951283585626683</v>
      </c>
      <c r="DJ151" s="539">
        <f t="shared" ca="1" si="212"/>
        <v>0.19951283585626681</v>
      </c>
      <c r="DK151" s="474">
        <f t="shared" ref="DK151:DT151" ca="1" si="213">DK169/DK171</f>
        <v>0.2179822322472291</v>
      </c>
      <c r="DL151" s="474">
        <f t="shared" ca="1" si="213"/>
        <v>0.18009317520449714</v>
      </c>
      <c r="DM151" s="474">
        <f t="shared" ca="1" si="213"/>
        <v>0.182230585526375</v>
      </c>
      <c r="DN151" s="474">
        <f t="shared" ca="1" si="213"/>
        <v>0.18722181126706236</v>
      </c>
      <c r="DO151" s="539">
        <f t="shared" ca="1" si="213"/>
        <v>0.19062755747305685</v>
      </c>
      <c r="DP151" s="474">
        <f t="shared" ca="1" si="213"/>
        <v>0.22043573933576255</v>
      </c>
      <c r="DQ151" s="474">
        <f t="shared" ca="1" si="213"/>
        <v>0.18257477105848083</v>
      </c>
      <c r="DR151" s="474">
        <f t="shared" ca="1" si="213"/>
        <v>0.18510883306242124</v>
      </c>
      <c r="DS151" s="474">
        <f t="shared" ca="1" si="213"/>
        <v>0.19055684707099818</v>
      </c>
      <c r="DT151" s="539">
        <f t="shared" ca="1" si="213"/>
        <v>0.19345191750683549</v>
      </c>
      <c r="DU151" s="474">
        <f t="shared" ref="DU151:DY151" ca="1" si="214">DU169/DU171</f>
        <v>0.2246628624017025</v>
      </c>
      <c r="DV151" s="474">
        <f t="shared" ca="1" si="214"/>
        <v>0.1866970236146529</v>
      </c>
      <c r="DW151" s="474">
        <f t="shared" ca="1" si="214"/>
        <v>0.18974961488347439</v>
      </c>
      <c r="DX151" s="474">
        <f t="shared" ca="1" si="214"/>
        <v>0.19580815896023385</v>
      </c>
      <c r="DY151" s="539">
        <f t="shared" ca="1" si="214"/>
        <v>0.19805359708817322</v>
      </c>
    </row>
    <row r="152" spans="1:129" ht="11.25" customHeight="1" x14ac:dyDescent="0.2">
      <c r="A152" s="474"/>
      <c r="B152" s="822" t="s">
        <v>773</v>
      </c>
      <c r="C152" s="538"/>
      <c r="D152" s="538"/>
      <c r="E152" s="538"/>
      <c r="F152" s="538"/>
      <c r="G152" s="538"/>
      <c r="H152" s="538"/>
      <c r="I152" s="539"/>
      <c r="J152" s="538"/>
      <c r="K152" s="538"/>
      <c r="L152" s="538"/>
      <c r="M152" s="538"/>
      <c r="N152" s="539"/>
      <c r="O152" s="538"/>
      <c r="P152" s="538"/>
      <c r="Q152" s="538"/>
      <c r="R152" s="538"/>
      <c r="S152" s="539"/>
      <c r="T152" s="538"/>
      <c r="U152" s="538"/>
      <c r="V152" s="538"/>
      <c r="W152" s="538"/>
      <c r="X152" s="539"/>
      <c r="Y152" s="538"/>
      <c r="Z152" s="538"/>
      <c r="AA152" s="538"/>
      <c r="AB152" s="538"/>
      <c r="AC152" s="539"/>
      <c r="AD152" s="538"/>
      <c r="AE152" s="538"/>
      <c r="AF152" s="538"/>
      <c r="AG152" s="538"/>
      <c r="AH152" s="539"/>
      <c r="AI152" s="538"/>
      <c r="AJ152" s="538"/>
      <c r="AK152" s="538"/>
      <c r="AL152" s="538"/>
      <c r="AM152" s="539"/>
      <c r="AN152" s="538"/>
      <c r="AO152" s="538"/>
      <c r="AP152" s="538"/>
      <c r="AQ152" s="538"/>
      <c r="AR152" s="539"/>
      <c r="AS152" s="538"/>
      <c r="AT152" s="538"/>
      <c r="AU152" s="538"/>
      <c r="AV152" s="538"/>
      <c r="AW152" s="539"/>
      <c r="AX152" s="538"/>
      <c r="AY152" s="538"/>
      <c r="AZ152" s="538"/>
      <c r="BA152" s="538"/>
      <c r="BB152" s="539"/>
      <c r="BC152" s="823">
        <v>0.86799999999999999</v>
      </c>
      <c r="BD152" s="823">
        <v>0.86</v>
      </c>
      <c r="BE152" s="823">
        <v>0.85699999999999998</v>
      </c>
      <c r="BF152" s="823">
        <v>0.84499999999999997</v>
      </c>
      <c r="BG152" s="539"/>
      <c r="BH152" s="779">
        <f t="shared" ref="BH152:CZ152" si="215">1-BH151</f>
        <v>0.81709999999999994</v>
      </c>
      <c r="BI152" s="779">
        <f t="shared" si="215"/>
        <v>0.82691956592301141</v>
      </c>
      <c r="BJ152" s="779">
        <f t="shared" si="215"/>
        <v>0.82822337850814853</v>
      </c>
      <c r="BK152" s="779">
        <f t="shared" si="215"/>
        <v>0.8366049841337958</v>
      </c>
      <c r="BL152" s="806">
        <f t="shared" si="215"/>
        <v>0.8294642692958808</v>
      </c>
      <c r="BM152" s="779">
        <f t="shared" si="215"/>
        <v>0.84175108755984906</v>
      </c>
      <c r="BN152" s="779">
        <f t="shared" si="215"/>
        <v>0.83529538988013685</v>
      </c>
      <c r="BO152" s="779">
        <f t="shared" si="215"/>
        <v>0.82470187152148744</v>
      </c>
      <c r="BP152" s="779">
        <f t="shared" si="215"/>
        <v>0.82757882228444646</v>
      </c>
      <c r="BQ152" s="806">
        <f t="shared" si="215"/>
        <v>0.83222420486268711</v>
      </c>
      <c r="BR152" s="779">
        <f t="shared" si="215"/>
        <v>0.82742055866807995</v>
      </c>
      <c r="BS152" s="779">
        <f t="shared" si="215"/>
        <v>0.82405879781100067</v>
      </c>
      <c r="BT152" s="779">
        <f t="shared" si="215"/>
        <v>0.82668476244671218</v>
      </c>
      <c r="BU152" s="779">
        <f t="shared" si="215"/>
        <v>0.82668476244671218</v>
      </c>
      <c r="BV152" s="806">
        <f t="shared" si="215"/>
        <v>0.82621173592237307</v>
      </c>
      <c r="BW152" s="779">
        <f t="shared" si="215"/>
        <v>0.8270986575110284</v>
      </c>
      <c r="BX152" s="779">
        <f t="shared" si="215"/>
        <v>0.81632179999999999</v>
      </c>
      <c r="BY152" s="779">
        <f t="shared" si="215"/>
        <v>0.81438722656577001</v>
      </c>
      <c r="BZ152" s="779">
        <f t="shared" si="215"/>
        <v>0.81483553357037786</v>
      </c>
      <c r="CA152" s="806">
        <f t="shared" si="215"/>
        <v>0.81808815823147596</v>
      </c>
      <c r="CB152" s="779">
        <f t="shared" si="215"/>
        <v>0.81202313095041501</v>
      </c>
      <c r="CC152" s="779">
        <f t="shared" si="215"/>
        <v>0.81275963394304207</v>
      </c>
      <c r="CD152" s="717">
        <f t="shared" si="215"/>
        <v>0.81818198640216422</v>
      </c>
      <c r="CE152" s="717">
        <f t="shared" si="215"/>
        <v>0.80394491421878433</v>
      </c>
      <c r="CF152" s="539">
        <f t="shared" si="215"/>
        <v>0.81165915498988317</v>
      </c>
      <c r="CG152" s="779">
        <f t="shared" si="215"/>
        <v>0.80570842610571103</v>
      </c>
      <c r="CH152" s="474">
        <f t="shared" si="215"/>
        <v>0.79514646113611709</v>
      </c>
      <c r="CI152" s="474">
        <f t="shared" si="215"/>
        <v>0.79063417831470983</v>
      </c>
      <c r="CJ152" s="474">
        <f t="shared" si="215"/>
        <v>0.75407836393641947</v>
      </c>
      <c r="CK152" s="539">
        <f t="shared" si="215"/>
        <v>0.78629179381775671</v>
      </c>
      <c r="CL152" s="474">
        <f t="shared" si="215"/>
        <v>0.78779487112300572</v>
      </c>
      <c r="CM152" s="474">
        <f t="shared" si="215"/>
        <v>0.78455537971023237</v>
      </c>
      <c r="CN152" s="474">
        <f t="shared" si="215"/>
        <v>0.763832660447198</v>
      </c>
      <c r="CO152" s="474">
        <f>1-CO151</f>
        <v>0.763832660447198</v>
      </c>
      <c r="CP152" s="539">
        <f t="shared" si="215"/>
        <v>0.77861521166357361</v>
      </c>
      <c r="CQ152" s="474">
        <f t="shared" si="215"/>
        <v>0.77682286639687959</v>
      </c>
      <c r="CR152" s="474">
        <f t="shared" si="215"/>
        <v>0.75760449274273112</v>
      </c>
      <c r="CS152" s="474">
        <f t="shared" si="215"/>
        <v>0.79664640825233157</v>
      </c>
      <c r="CT152" s="474">
        <f t="shared" si="215"/>
        <v>0.78197265741975874</v>
      </c>
      <c r="CU152" s="539">
        <f t="shared" si="215"/>
        <v>0.79815817723642912</v>
      </c>
      <c r="CV152" s="474">
        <f t="shared" ca="1" si="215"/>
        <v>0.7958550429883029</v>
      </c>
      <c r="CW152" s="474">
        <f t="shared" ca="1" si="215"/>
        <v>0.82054608094181236</v>
      </c>
      <c r="CX152" s="474">
        <f t="shared" ca="1" si="215"/>
        <v>0.82103339918826679</v>
      </c>
      <c r="CY152" s="474">
        <f ca="1">1-CY151</f>
        <v>0.79302944818811927</v>
      </c>
      <c r="CZ152" s="539">
        <f t="shared" ca="1" si="215"/>
        <v>0.80751463390556277</v>
      </c>
      <c r="DA152" s="474">
        <f t="shared" ref="DA152:DJ152" ca="1" si="216">1-DA151</f>
        <v>0.79969661789721669</v>
      </c>
      <c r="DB152" s="474">
        <f ca="1">1-DB151</f>
        <v>0.81973526340355907</v>
      </c>
      <c r="DC152" s="474">
        <f ca="1">1-DC151</f>
        <v>0.81734599555062737</v>
      </c>
      <c r="DD152" s="474">
        <f t="shared" ca="1" si="216"/>
        <v>0.78655707273698894</v>
      </c>
      <c r="DE152" s="539">
        <f t="shared" ca="1" si="216"/>
        <v>0.80575445197345064</v>
      </c>
      <c r="DF152" s="474">
        <f ca="1">1-DF151</f>
        <v>0.80048716414373311</v>
      </c>
      <c r="DG152" s="474">
        <f ca="1">1-DG151</f>
        <v>0.80048716414373311</v>
      </c>
      <c r="DH152" s="474">
        <f ca="1">1-DH151</f>
        <v>0.80048716414373322</v>
      </c>
      <c r="DI152" s="896">
        <f ca="1">1-DI151</f>
        <v>0.80048716414373322</v>
      </c>
      <c r="DJ152" s="539">
        <f t="shared" ca="1" si="216"/>
        <v>0.80048716414373322</v>
      </c>
      <c r="DK152" s="474">
        <f t="shared" ref="DK152:DT152" ca="1" si="217">1-DK151</f>
        <v>0.78201776775277088</v>
      </c>
      <c r="DL152" s="474">
        <f t="shared" ca="1" si="217"/>
        <v>0.81990682479550281</v>
      </c>
      <c r="DM152" s="474">
        <f t="shared" ca="1" si="217"/>
        <v>0.81776941447362494</v>
      </c>
      <c r="DN152" s="474">
        <f t="shared" ca="1" si="217"/>
        <v>0.81277818873293761</v>
      </c>
      <c r="DO152" s="539">
        <f t="shared" ca="1" si="217"/>
        <v>0.80937244252694318</v>
      </c>
      <c r="DP152" s="474">
        <f t="shared" ca="1" si="217"/>
        <v>0.77956426066423745</v>
      </c>
      <c r="DQ152" s="474">
        <f t="shared" ca="1" si="217"/>
        <v>0.81742522894151914</v>
      </c>
      <c r="DR152" s="474">
        <f t="shared" ca="1" si="217"/>
        <v>0.81489116693757879</v>
      </c>
      <c r="DS152" s="474">
        <f t="shared" ca="1" si="217"/>
        <v>0.80944315292900182</v>
      </c>
      <c r="DT152" s="539">
        <f t="shared" ca="1" si="217"/>
        <v>0.80654808249316456</v>
      </c>
      <c r="DU152" s="474">
        <f t="shared" ref="DU152:DY152" ca="1" si="218">1-DU151</f>
        <v>0.77533713759829748</v>
      </c>
      <c r="DV152" s="474">
        <f t="shared" ca="1" si="218"/>
        <v>0.8133029763853471</v>
      </c>
      <c r="DW152" s="474">
        <f t="shared" ca="1" si="218"/>
        <v>0.81025038511652558</v>
      </c>
      <c r="DX152" s="474">
        <f t="shared" ca="1" si="218"/>
        <v>0.80419184103976615</v>
      </c>
      <c r="DY152" s="539">
        <f t="shared" ca="1" si="218"/>
        <v>0.80194640291182684</v>
      </c>
    </row>
    <row r="153" spans="1:129" ht="11.25" customHeight="1" x14ac:dyDescent="0.2">
      <c r="A153" s="825"/>
      <c r="B153" s="826"/>
      <c r="C153" s="827"/>
      <c r="D153" s="828"/>
      <c r="E153" s="829"/>
      <c r="F153" s="829"/>
      <c r="G153" s="829"/>
      <c r="H153" s="829"/>
      <c r="I153" s="830"/>
      <c r="J153" s="829"/>
      <c r="K153" s="829"/>
      <c r="L153" s="829"/>
      <c r="M153" s="829"/>
      <c r="N153" s="830"/>
      <c r="O153" s="829"/>
      <c r="P153" s="829"/>
      <c r="Q153" s="829"/>
      <c r="R153" s="829"/>
      <c r="S153" s="830"/>
      <c r="T153" s="829"/>
      <c r="U153" s="829"/>
      <c r="V153" s="829"/>
      <c r="W153" s="829"/>
      <c r="X153" s="830"/>
      <c r="Y153" s="829"/>
      <c r="Z153" s="829"/>
      <c r="AA153" s="829"/>
      <c r="AB153" s="829"/>
      <c r="AC153" s="830"/>
      <c r="AD153" s="829"/>
      <c r="AE153" s="829"/>
      <c r="AF153" s="829"/>
      <c r="AG153" s="829"/>
      <c r="AH153" s="830"/>
      <c r="AI153" s="829"/>
      <c r="AJ153" s="829"/>
      <c r="AK153" s="829"/>
      <c r="AL153" s="829"/>
      <c r="AM153" s="830"/>
      <c r="AN153" s="829"/>
      <c r="AO153" s="829"/>
      <c r="AP153" s="829"/>
      <c r="AQ153" s="829"/>
      <c r="AR153" s="830"/>
      <c r="AS153" s="829"/>
      <c r="AT153" s="829"/>
      <c r="AU153" s="829"/>
      <c r="AV153" s="829"/>
      <c r="AW153" s="830"/>
      <c r="AX153" s="829"/>
      <c r="AY153" s="829"/>
      <c r="AZ153" s="829"/>
      <c r="BA153" s="829"/>
      <c r="BB153" s="830"/>
      <c r="BC153" s="829"/>
      <c r="BD153" s="829"/>
      <c r="BE153" s="829"/>
      <c r="BF153" s="829"/>
      <c r="BG153" s="830"/>
      <c r="BH153" s="829"/>
      <c r="BI153" s="829"/>
      <c r="BJ153" s="829"/>
      <c r="BK153" s="829"/>
      <c r="BL153" s="830"/>
      <c r="BM153" s="829"/>
      <c r="BN153" s="829"/>
      <c r="BO153" s="829"/>
      <c r="BP153" s="829"/>
      <c r="BQ153" s="830"/>
      <c r="BR153" s="829"/>
      <c r="BS153" s="829"/>
      <c r="BT153" s="829"/>
      <c r="BU153" s="829"/>
      <c r="BV153" s="830"/>
      <c r="BW153" s="829"/>
      <c r="BX153" s="829"/>
      <c r="BY153" s="829"/>
      <c r="BZ153" s="829"/>
      <c r="CA153" s="830"/>
      <c r="CB153" s="829"/>
      <c r="CC153" s="829"/>
      <c r="CD153" s="829"/>
      <c r="CE153" s="829"/>
      <c r="CF153" s="830"/>
      <c r="CG153" s="831"/>
      <c r="CH153" s="831"/>
      <c r="CI153" s="831"/>
      <c r="CJ153" s="831"/>
      <c r="CK153" s="830"/>
      <c r="CL153" s="831"/>
      <c r="CM153" s="831"/>
      <c r="CN153" s="831"/>
      <c r="CO153" s="831"/>
      <c r="CP153" s="830"/>
      <c r="CQ153" s="831"/>
      <c r="CR153" s="831"/>
      <c r="CS153" s="831"/>
      <c r="CT153" s="831"/>
      <c r="CU153" s="830"/>
      <c r="CV153" s="831"/>
      <c r="CW153" s="831"/>
      <c r="CX153" s="831"/>
      <c r="CY153" s="831"/>
      <c r="CZ153" s="830"/>
      <c r="DA153" s="831"/>
      <c r="DB153" s="831"/>
      <c r="DC153" s="831"/>
      <c r="DD153" s="831"/>
      <c r="DE153" s="830"/>
      <c r="DF153" s="831"/>
      <c r="DG153" s="831"/>
      <c r="DH153" s="831"/>
      <c r="DI153" s="2816"/>
      <c r="DJ153" s="830"/>
      <c r="DK153" s="831"/>
      <c r="DL153" s="831"/>
      <c r="DM153" s="831"/>
      <c r="DN153" s="831"/>
      <c r="DO153" s="830"/>
      <c r="DP153" s="831"/>
      <c r="DQ153" s="831"/>
      <c r="DR153" s="831"/>
      <c r="DS153" s="831"/>
      <c r="DT153" s="830"/>
      <c r="DU153" s="831"/>
      <c r="DV153" s="831"/>
      <c r="DW153" s="831"/>
      <c r="DX153" s="831"/>
      <c r="DY153" s="830"/>
    </row>
    <row r="154" spans="1:129" ht="11.25" customHeight="1" x14ac:dyDescent="0.2">
      <c r="A154" s="526"/>
      <c r="B154" s="756"/>
      <c r="C154" s="597"/>
      <c r="D154" s="597"/>
      <c r="E154" s="743"/>
      <c r="F154" s="743"/>
      <c r="G154" s="743"/>
      <c r="H154" s="743"/>
      <c r="I154" s="598"/>
      <c r="J154" s="743"/>
      <c r="K154" s="743"/>
      <c r="L154" s="743"/>
      <c r="M154" s="743"/>
      <c r="N154" s="598"/>
      <c r="O154" s="743"/>
      <c r="P154" s="743"/>
      <c r="Q154" s="743"/>
      <c r="R154" s="743"/>
      <c r="S154" s="598"/>
      <c r="T154" s="743"/>
      <c r="U154" s="743"/>
      <c r="V154" s="743"/>
      <c r="W154" s="743"/>
      <c r="X154" s="598"/>
      <c r="Y154" s="743"/>
      <c r="Z154" s="743"/>
      <c r="AA154" s="743"/>
      <c r="AB154" s="743"/>
      <c r="AC154" s="598"/>
      <c r="AD154" s="743"/>
      <c r="AE154" s="743"/>
      <c r="AF154" s="743"/>
      <c r="AG154" s="743"/>
      <c r="AH154" s="598"/>
      <c r="AI154" s="743"/>
      <c r="AJ154" s="743"/>
      <c r="AK154" s="743"/>
      <c r="AL154" s="743"/>
      <c r="AM154" s="598"/>
      <c r="AN154" s="743"/>
      <c r="AO154" s="743"/>
      <c r="AP154" s="743"/>
      <c r="AQ154" s="743"/>
      <c r="AR154" s="598"/>
      <c r="AS154" s="743"/>
      <c r="AT154" s="743"/>
      <c r="AU154" s="743"/>
      <c r="AV154" s="743"/>
      <c r="AW154" s="598"/>
      <c r="AX154" s="743"/>
      <c r="AY154" s="743"/>
      <c r="AZ154" s="743"/>
      <c r="BA154" s="743"/>
      <c r="BB154" s="598"/>
      <c r="BC154" s="743"/>
      <c r="BD154" s="743"/>
      <c r="BE154" s="743"/>
      <c r="BF154" s="743"/>
      <c r="BG154" s="598"/>
      <c r="BH154" s="743"/>
      <c r="BI154" s="743"/>
      <c r="BJ154" s="743"/>
      <c r="BK154" s="743"/>
      <c r="BL154" s="580"/>
      <c r="BM154" s="743"/>
      <c r="BN154" s="743"/>
      <c r="BO154" s="743"/>
      <c r="BP154" s="743"/>
      <c r="BQ154" s="580"/>
      <c r="BR154" s="743"/>
      <c r="BS154" s="743"/>
      <c r="BT154" s="743"/>
      <c r="BU154" s="743"/>
      <c r="BV154" s="580"/>
      <c r="BW154" s="743"/>
      <c r="BX154" s="743"/>
      <c r="BY154" s="743"/>
      <c r="BZ154" s="743"/>
      <c r="CA154" s="580"/>
      <c r="CB154" s="743"/>
      <c r="CC154" s="743"/>
      <c r="CD154" s="743"/>
      <c r="CE154" s="743"/>
      <c r="CF154" s="580"/>
      <c r="CG154" s="820"/>
      <c r="CH154" s="820"/>
      <c r="CI154" s="820"/>
      <c r="CJ154" s="820"/>
      <c r="CK154" s="580"/>
      <c r="CL154" s="820"/>
      <c r="CM154" s="820"/>
      <c r="CN154" s="820"/>
      <c r="CO154" s="820"/>
      <c r="CP154" s="580"/>
      <c r="CQ154" s="820"/>
      <c r="CR154" s="820"/>
      <c r="CS154" s="820"/>
      <c r="CT154" s="820"/>
      <c r="CU154" s="580"/>
      <c r="CV154" s="820"/>
      <c r="CW154" s="820"/>
      <c r="CX154" s="820"/>
      <c r="CY154" s="820"/>
      <c r="CZ154" s="580"/>
      <c r="DA154" s="820"/>
      <c r="DB154" s="820"/>
      <c r="DC154" s="820"/>
      <c r="DD154" s="820"/>
      <c r="DE154" s="580"/>
      <c r="DF154" s="820"/>
      <c r="DG154" s="820"/>
      <c r="DH154" s="820"/>
      <c r="DI154" s="2815"/>
      <c r="DJ154" s="580"/>
      <c r="DK154" s="820"/>
      <c r="DL154" s="820"/>
      <c r="DM154" s="820"/>
      <c r="DN154" s="820"/>
      <c r="DO154" s="580"/>
      <c r="DP154" s="820"/>
      <c r="DQ154" s="820"/>
      <c r="DR154" s="820"/>
      <c r="DS154" s="820"/>
      <c r="DT154" s="580"/>
      <c r="DU154" s="820"/>
      <c r="DV154" s="820"/>
      <c r="DW154" s="820"/>
      <c r="DX154" s="820"/>
      <c r="DY154" s="580"/>
    </row>
    <row r="155" spans="1:129" ht="11.25" customHeight="1" x14ac:dyDescent="0.2">
      <c r="A155" s="526"/>
      <c r="B155" s="832" t="s">
        <v>775</v>
      </c>
      <c r="C155" s="597"/>
      <c r="D155" s="597"/>
      <c r="E155" s="743"/>
      <c r="F155" s="743"/>
      <c r="G155" s="743"/>
      <c r="H155" s="743"/>
      <c r="I155" s="598"/>
      <c r="J155" s="743"/>
      <c r="K155" s="743"/>
      <c r="L155" s="743"/>
      <c r="M155" s="743"/>
      <c r="N155" s="598"/>
      <c r="O155" s="743"/>
      <c r="P155" s="743"/>
      <c r="Q155" s="743"/>
      <c r="R155" s="743"/>
      <c r="S155" s="598"/>
      <c r="T155" s="743"/>
      <c r="U155" s="743"/>
      <c r="V155" s="743"/>
      <c r="W155" s="743"/>
      <c r="X155" s="598"/>
      <c r="Y155" s="743"/>
      <c r="Z155" s="743"/>
      <c r="AA155" s="743"/>
      <c r="AB155" s="743"/>
      <c r="AC155" s="598"/>
      <c r="AD155" s="743"/>
      <c r="AE155" s="743"/>
      <c r="AF155" s="743"/>
      <c r="AG155" s="743"/>
      <c r="AH155" s="598"/>
      <c r="AI155" s="743"/>
      <c r="AJ155" s="743"/>
      <c r="AK155" s="743"/>
      <c r="AL155" s="743"/>
      <c r="AM155" s="598"/>
      <c r="AN155" s="743"/>
      <c r="AO155" s="743"/>
      <c r="AP155" s="743"/>
      <c r="AQ155" s="743"/>
      <c r="AR155" s="598"/>
      <c r="AS155" s="743"/>
      <c r="AT155" s="743"/>
      <c r="AU155" s="743"/>
      <c r="AV155" s="743"/>
      <c r="AW155" s="598"/>
      <c r="AX155" s="743"/>
      <c r="AY155" s="743"/>
      <c r="AZ155" s="743"/>
      <c r="BA155" s="743"/>
      <c r="BB155" s="598"/>
      <c r="BC155" s="743"/>
      <c r="BD155" s="743"/>
      <c r="BE155" s="743"/>
      <c r="BF155" s="743"/>
      <c r="BG155" s="598"/>
      <c r="BH155" s="743"/>
      <c r="BI155" s="743"/>
      <c r="BJ155" s="743"/>
      <c r="BK155" s="743"/>
      <c r="BL155" s="580"/>
      <c r="BM155" s="743"/>
      <c r="BN155" s="743"/>
      <c r="BO155" s="743"/>
      <c r="BP155" s="743"/>
      <c r="BQ155" s="580"/>
      <c r="BR155" s="743"/>
      <c r="BS155" s="743"/>
      <c r="BT155" s="743"/>
      <c r="BU155" s="743"/>
      <c r="BV155" s="580"/>
      <c r="BW155" s="743"/>
      <c r="BX155" s="743"/>
      <c r="BY155" s="743"/>
      <c r="BZ155" s="743"/>
      <c r="CA155" s="580"/>
      <c r="CB155" s="743"/>
      <c r="CC155" s="743"/>
      <c r="CD155" s="743"/>
      <c r="CE155" s="743"/>
      <c r="CF155" s="580"/>
      <c r="CG155" s="820"/>
      <c r="CH155" s="820"/>
      <c r="CI155" s="820"/>
      <c r="CJ155" s="820"/>
      <c r="CK155" s="580"/>
      <c r="CL155" s="820"/>
      <c r="CM155" s="820"/>
      <c r="CN155" s="820"/>
      <c r="CO155" s="820"/>
      <c r="CP155" s="580"/>
      <c r="CQ155" s="820"/>
      <c r="CR155" s="820"/>
      <c r="CS155" s="820"/>
      <c r="CT155" s="820"/>
      <c r="CU155" s="580"/>
      <c r="CV155" s="820"/>
      <c r="CW155" s="820"/>
      <c r="CX155" s="820"/>
      <c r="CY155" s="820"/>
      <c r="CZ155" s="580"/>
      <c r="DA155" s="820"/>
      <c r="DB155" s="820"/>
      <c r="DC155" s="820"/>
      <c r="DD155" s="820"/>
      <c r="DE155" s="580"/>
      <c r="DF155" s="820"/>
      <c r="DG155" s="820"/>
      <c r="DH155" s="820"/>
      <c r="DI155" s="2815"/>
      <c r="DJ155" s="580"/>
      <c r="DK155" s="820"/>
      <c r="DL155" s="820"/>
      <c r="DM155" s="820"/>
      <c r="DN155" s="820"/>
      <c r="DO155" s="580"/>
      <c r="DP155" s="820"/>
      <c r="DQ155" s="820"/>
      <c r="DR155" s="820"/>
      <c r="DS155" s="820"/>
      <c r="DT155" s="580"/>
      <c r="DU155" s="820"/>
      <c r="DV155" s="820"/>
      <c r="DW155" s="820"/>
      <c r="DX155" s="820"/>
      <c r="DY155" s="580"/>
    </row>
    <row r="156" spans="1:129" ht="6" customHeight="1" x14ac:dyDescent="0.2">
      <c r="A156" s="526"/>
      <c r="B156" s="832"/>
      <c r="C156" s="597"/>
      <c r="D156" s="597"/>
      <c r="E156" s="743"/>
      <c r="F156" s="743"/>
      <c r="G156" s="743"/>
      <c r="H156" s="743"/>
      <c r="I156" s="598"/>
      <c r="J156" s="743"/>
      <c r="K156" s="743"/>
      <c r="L156" s="743"/>
      <c r="M156" s="743"/>
      <c r="N156" s="598"/>
      <c r="O156" s="743"/>
      <c r="P156" s="743"/>
      <c r="Q156" s="743"/>
      <c r="R156" s="743"/>
      <c r="S156" s="598"/>
      <c r="T156" s="743"/>
      <c r="U156" s="743"/>
      <c r="V156" s="743"/>
      <c r="W156" s="743"/>
      <c r="X156" s="598"/>
      <c r="Y156" s="743"/>
      <c r="Z156" s="743"/>
      <c r="AA156" s="743"/>
      <c r="AB156" s="743"/>
      <c r="AC156" s="598"/>
      <c r="AD156" s="743"/>
      <c r="AE156" s="743"/>
      <c r="AF156" s="743"/>
      <c r="AG156" s="743"/>
      <c r="AH156" s="598"/>
      <c r="AI156" s="743"/>
      <c r="AJ156" s="743"/>
      <c r="AK156" s="743"/>
      <c r="AL156" s="743"/>
      <c r="AM156" s="598"/>
      <c r="AN156" s="743"/>
      <c r="AO156" s="743"/>
      <c r="AP156" s="743"/>
      <c r="AQ156" s="743"/>
      <c r="AR156" s="598"/>
      <c r="AS156" s="743"/>
      <c r="AT156" s="743"/>
      <c r="AU156" s="743"/>
      <c r="AV156" s="743"/>
      <c r="AW156" s="598"/>
      <c r="AX156" s="743"/>
      <c r="AY156" s="743"/>
      <c r="AZ156" s="743"/>
      <c r="BA156" s="743"/>
      <c r="BB156" s="598"/>
      <c r="BC156" s="743"/>
      <c r="BD156" s="743"/>
      <c r="BE156" s="743"/>
      <c r="BF156" s="743"/>
      <c r="BG156" s="598"/>
      <c r="BH156" s="743"/>
      <c r="BI156" s="743"/>
      <c r="BJ156" s="743"/>
      <c r="BK156" s="743"/>
      <c r="BL156" s="580"/>
      <c r="BM156" s="743"/>
      <c r="BN156" s="743"/>
      <c r="BO156" s="743"/>
      <c r="BP156" s="743"/>
      <c r="BQ156" s="580"/>
      <c r="BR156" s="743"/>
      <c r="BS156" s="743"/>
      <c r="BT156" s="743"/>
      <c r="BU156" s="743"/>
      <c r="BV156" s="580"/>
      <c r="BW156" s="743"/>
      <c r="BX156" s="743"/>
      <c r="BY156" s="743"/>
      <c r="BZ156" s="743"/>
      <c r="CA156" s="580"/>
      <c r="CB156" s="743"/>
      <c r="CC156" s="743"/>
      <c r="CD156" s="743"/>
      <c r="CE156" s="743"/>
      <c r="CF156" s="580"/>
      <c r="CG156" s="820"/>
      <c r="CH156" s="820"/>
      <c r="CI156" s="820"/>
      <c r="CJ156" s="820"/>
      <c r="CK156" s="580"/>
      <c r="CL156" s="820"/>
      <c r="CM156" s="820"/>
      <c r="CN156" s="820"/>
      <c r="CO156" s="820"/>
      <c r="CP156" s="580"/>
      <c r="CQ156" s="820"/>
      <c r="CR156" s="820"/>
      <c r="CS156" s="820"/>
      <c r="CT156" s="820"/>
      <c r="CU156" s="580"/>
      <c r="CV156" s="820"/>
      <c r="CW156" s="820"/>
      <c r="CX156" s="820"/>
      <c r="CY156" s="820"/>
      <c r="CZ156" s="580"/>
      <c r="DA156" s="820"/>
      <c r="DB156" s="820"/>
      <c r="DC156" s="820"/>
      <c r="DD156" s="820"/>
      <c r="DF156" s="820"/>
      <c r="DG156" s="820"/>
      <c r="DH156" s="820"/>
      <c r="DI156" s="2815"/>
      <c r="DJ156" s="580"/>
      <c r="DK156" s="820"/>
      <c r="DL156" s="820"/>
      <c r="DM156" s="820"/>
      <c r="DN156" s="820"/>
      <c r="DO156" s="580"/>
      <c r="DP156" s="820"/>
      <c r="DQ156" s="820"/>
      <c r="DR156" s="820"/>
      <c r="DS156" s="820"/>
      <c r="DT156" s="580"/>
      <c r="DU156" s="820"/>
      <c r="DV156" s="820"/>
      <c r="DW156" s="820"/>
      <c r="DX156" s="820"/>
      <c r="DY156" s="580"/>
    </row>
    <row r="157" spans="1:129" ht="11.25" customHeight="1" x14ac:dyDescent="0.2">
      <c r="A157" s="526"/>
      <c r="B157" s="756" t="s">
        <v>776</v>
      </c>
      <c r="C157" s="597"/>
      <c r="D157" s="597"/>
      <c r="E157" s="743"/>
      <c r="F157" s="743"/>
      <c r="G157" s="743"/>
      <c r="H157" s="743"/>
      <c r="I157" s="598"/>
      <c r="J157" s="743"/>
      <c r="K157" s="743"/>
      <c r="L157" s="743"/>
      <c r="M157" s="743"/>
      <c r="N157" s="598"/>
      <c r="O157" s="743"/>
      <c r="P157" s="743"/>
      <c r="Q157" s="743"/>
      <c r="R157" s="743"/>
      <c r="S157" s="598"/>
      <c r="T157" s="743"/>
      <c r="U157" s="743"/>
      <c r="V157" s="743"/>
      <c r="W157" s="743"/>
      <c r="X157" s="598"/>
      <c r="Y157" s="743"/>
      <c r="Z157" s="743"/>
      <c r="AA157" s="743"/>
      <c r="AB157" s="743"/>
      <c r="AC157" s="598"/>
      <c r="AD157" s="743"/>
      <c r="AE157" s="743"/>
      <c r="AF157" s="743"/>
      <c r="AG157" s="743"/>
      <c r="AH157" s="598"/>
      <c r="AI157" s="743"/>
      <c r="AJ157" s="743"/>
      <c r="AK157" s="743"/>
      <c r="AL157" s="743"/>
      <c r="AM157" s="598"/>
      <c r="AN157" s="743"/>
      <c r="AO157" s="743"/>
      <c r="AP157" s="743"/>
      <c r="AQ157" s="743"/>
      <c r="AR157" s="598"/>
      <c r="AS157" s="743"/>
      <c r="AT157" s="743"/>
      <c r="AU157" s="743"/>
      <c r="AV157" s="743"/>
      <c r="AW157" s="598"/>
      <c r="AX157" s="743"/>
      <c r="AY157" s="743"/>
      <c r="AZ157" s="743"/>
      <c r="BA157" s="743"/>
      <c r="BB157" s="598"/>
      <c r="BC157" s="743"/>
      <c r="BD157" s="743"/>
      <c r="BE157" s="743"/>
      <c r="BF157" s="743"/>
      <c r="BG157" s="598"/>
      <c r="BH157" s="743"/>
      <c r="BI157" s="743"/>
      <c r="BJ157" s="743"/>
      <c r="BK157" s="743"/>
      <c r="BL157" s="580"/>
      <c r="BM157" s="743"/>
      <c r="BN157" s="743"/>
      <c r="BO157" s="743"/>
      <c r="BP157" s="743"/>
      <c r="BQ157" s="580"/>
      <c r="BR157" s="743"/>
      <c r="BS157" s="743"/>
      <c r="BT157" s="743"/>
      <c r="BU157" s="743"/>
      <c r="BV157" s="580"/>
      <c r="BW157" s="743"/>
      <c r="BX157" s="743"/>
      <c r="BY157" s="743"/>
      <c r="BZ157" s="743"/>
      <c r="CA157" s="580"/>
      <c r="CB157" s="743"/>
      <c r="CC157" s="743"/>
      <c r="CD157" s="743"/>
      <c r="CE157" s="743"/>
      <c r="CF157" s="580"/>
      <c r="CG157" s="820"/>
      <c r="CH157" s="820"/>
      <c r="CI157" s="820"/>
      <c r="CJ157" s="820"/>
      <c r="CK157" s="580"/>
      <c r="CL157" s="820"/>
      <c r="CM157" s="820"/>
      <c r="CN157" s="820"/>
      <c r="CO157" s="820"/>
      <c r="CP157" s="580"/>
      <c r="CQ157" s="820"/>
      <c r="CR157" s="820"/>
      <c r="CS157" s="820"/>
      <c r="CT157" s="820"/>
      <c r="CU157" s="580"/>
      <c r="CV157" s="820"/>
      <c r="CW157" s="820"/>
      <c r="CX157" s="820"/>
      <c r="CY157" s="820"/>
      <c r="CZ157" s="580"/>
      <c r="DA157" s="820"/>
      <c r="DB157" s="820"/>
      <c r="DC157" s="820"/>
      <c r="DD157" s="820"/>
      <c r="DE157" s="580"/>
      <c r="DF157" s="820"/>
      <c r="DG157" s="820"/>
      <c r="DH157" s="820"/>
      <c r="DI157" s="2815"/>
      <c r="DJ157" s="580"/>
      <c r="DK157" s="820"/>
      <c r="DL157" s="820"/>
      <c r="DM157" s="820"/>
      <c r="DN157" s="820"/>
      <c r="DO157" s="580"/>
      <c r="DP157" s="820"/>
      <c r="DQ157" s="820"/>
      <c r="DR157" s="820"/>
      <c r="DS157" s="820"/>
      <c r="DT157" s="580"/>
      <c r="DU157" s="820"/>
      <c r="DV157" s="820"/>
      <c r="DW157" s="820"/>
      <c r="DX157" s="820"/>
      <c r="DY157" s="580"/>
    </row>
    <row r="158" spans="1:129" ht="11.25" customHeight="1" x14ac:dyDescent="0.2">
      <c r="A158" s="471"/>
      <c r="B158" s="833" t="s">
        <v>744</v>
      </c>
      <c r="C158" s="550"/>
      <c r="D158" s="550"/>
      <c r="E158" s="550"/>
      <c r="F158" s="550"/>
      <c r="G158" s="550"/>
      <c r="H158" s="550"/>
      <c r="I158" s="551"/>
      <c r="J158" s="550"/>
      <c r="K158" s="550"/>
      <c r="L158" s="550"/>
      <c r="M158" s="550"/>
      <c r="N158" s="551"/>
      <c r="O158" s="550"/>
      <c r="P158" s="550"/>
      <c r="Q158" s="550"/>
      <c r="R158" s="550"/>
      <c r="S158" s="551"/>
      <c r="T158" s="550"/>
      <c r="U158" s="550"/>
      <c r="V158" s="550"/>
      <c r="W158" s="550"/>
      <c r="X158" s="551"/>
      <c r="Y158" s="550"/>
      <c r="Z158" s="550"/>
      <c r="AA158" s="550"/>
      <c r="AB158" s="550"/>
      <c r="AC158" s="551"/>
      <c r="AD158" s="550"/>
      <c r="AE158" s="550"/>
      <c r="AF158" s="550"/>
      <c r="AG158" s="550"/>
      <c r="AH158" s="551"/>
      <c r="AI158" s="550"/>
      <c r="AJ158" s="550"/>
      <c r="AK158" s="550"/>
      <c r="AL158" s="550"/>
      <c r="AM158" s="551"/>
      <c r="AN158" s="550"/>
      <c r="AO158" s="550"/>
      <c r="AP158" s="550"/>
      <c r="AQ158" s="550"/>
      <c r="AR158" s="551"/>
      <c r="AS158" s="550"/>
      <c r="AT158" s="550"/>
      <c r="AU158" s="550"/>
      <c r="AV158" s="550"/>
      <c r="AW158" s="551"/>
      <c r="AX158" s="550"/>
      <c r="AY158" s="550"/>
      <c r="AZ158" s="550"/>
      <c r="BA158" s="550"/>
      <c r="BB158" s="551"/>
      <c r="BC158" s="550"/>
      <c r="BD158" s="550"/>
      <c r="BE158" s="550"/>
      <c r="BF158" s="550"/>
      <c r="BG158" s="551"/>
      <c r="BH158" s="574">
        <f t="shared" ref="BH158:BK159" si="219">BH112*BH88</f>
        <v>206.44953878605727</v>
      </c>
      <c r="BI158" s="574">
        <f t="shared" si="219"/>
        <v>1482.995430437946</v>
      </c>
      <c r="BJ158" s="574">
        <f t="shared" si="219"/>
        <v>1485.0816670155198</v>
      </c>
      <c r="BK158" s="574">
        <f t="shared" si="219"/>
        <v>1692.5944325973201</v>
      </c>
      <c r="BL158" s="553">
        <f>SUM(BH158:BK158)</f>
        <v>4867.1210688368428</v>
      </c>
      <c r="BM158" s="574">
        <f t="shared" ref="BM158:BP159" si="220">BM112*BM88</f>
        <v>1695.5053687669051</v>
      </c>
      <c r="BN158" s="574">
        <f t="shared" si="220"/>
        <v>1693.633576384324</v>
      </c>
      <c r="BO158" s="574">
        <f t="shared" si="220"/>
        <v>1785.6331637099267</v>
      </c>
      <c r="BP158" s="574">
        <f t="shared" si="220"/>
        <v>2030.7747939032715</v>
      </c>
      <c r="BQ158" s="553">
        <f>SUM(BM158:BP158)</f>
        <v>7205.5469027644276</v>
      </c>
      <c r="BR158" s="574">
        <f t="shared" ref="BR158:BU159" si="221">BR112*BR88</f>
        <v>1994.5212000000001</v>
      </c>
      <c r="BS158" s="574">
        <f t="shared" si="221"/>
        <v>2331.0694862644623</v>
      </c>
      <c r="BT158" s="574">
        <f t="shared" si="221"/>
        <v>2320.1700428301488</v>
      </c>
      <c r="BU158" s="574">
        <f t="shared" si="221"/>
        <v>2412.5837297174871</v>
      </c>
      <c r="BV158" s="553">
        <f>SUM(BR158:BU158)</f>
        <v>9058.3444588120983</v>
      </c>
      <c r="BW158" s="574">
        <f t="shared" ref="BW158:BZ159" si="222">BW112*BW88</f>
        <v>2179.9775452227141</v>
      </c>
      <c r="BX158" s="574">
        <f t="shared" si="222"/>
        <v>2232.8743761800001</v>
      </c>
      <c r="BY158" s="574">
        <f t="shared" si="222"/>
        <v>2287.2583925592494</v>
      </c>
      <c r="BZ158" s="574">
        <f t="shared" si="222"/>
        <v>2384.1619999999998</v>
      </c>
      <c r="CA158" s="553">
        <f>SUM(BW158:BZ158)</f>
        <v>9084.2723139619648</v>
      </c>
      <c r="CB158" s="574">
        <f t="shared" ref="CB158:CE159" si="223">CB112*CB88</f>
        <v>2881.6498071825608</v>
      </c>
      <c r="CC158" s="574">
        <f t="shared" si="223"/>
        <v>3057.1367864822982</v>
      </c>
      <c r="CD158" s="574">
        <f t="shared" si="223"/>
        <v>3007.2116133968279</v>
      </c>
      <c r="CE158" s="550">
        <f t="shared" si="223"/>
        <v>3602.1240321206001</v>
      </c>
      <c r="CF158" s="551">
        <f>SUM(CB158:CE158)</f>
        <v>12548.122239182288</v>
      </c>
      <c r="CG158" s="550">
        <f t="shared" ref="CG158:CJ159" si="224">CG112*CG88</f>
        <v>4310.2972138835712</v>
      </c>
      <c r="CH158" s="550">
        <f t="shared" si="224"/>
        <v>4481.6025293467574</v>
      </c>
      <c r="CI158" s="550">
        <f t="shared" si="224"/>
        <v>4531.2172502214562</v>
      </c>
      <c r="CJ158" s="550">
        <f>CJ112*CJ88</f>
        <v>4886.6964816860363</v>
      </c>
      <c r="CK158" s="551">
        <f>SUM(CG158:CJ158)</f>
        <v>18209.813475137824</v>
      </c>
      <c r="CL158" s="550">
        <f>CL112*CL88</f>
        <v>4733.3103102840096</v>
      </c>
      <c r="CM158" s="550">
        <f t="shared" ref="CL158:CN159" si="225">CM112*CM88</f>
        <v>4825.1515331016617</v>
      </c>
      <c r="CN158" s="550">
        <f t="shared" si="225"/>
        <v>4934.0453741685105</v>
      </c>
      <c r="CO158" s="550">
        <f>CO112*CO88</f>
        <v>5170.1541255778866</v>
      </c>
      <c r="CP158" s="551">
        <f>SUM(CL158:CO158)</f>
        <v>19662.661343132066</v>
      </c>
      <c r="CQ158" s="550">
        <f t="shared" ref="CQ158:CT159" si="226">CQ112*CQ88</f>
        <v>5102.4978487297894</v>
      </c>
      <c r="CR158" s="550">
        <f>CR112*CR88</f>
        <v>5665.2729716817939</v>
      </c>
      <c r="CS158" s="550">
        <f t="shared" si="226"/>
        <v>5675.4977208215478</v>
      </c>
      <c r="CT158" s="550">
        <f>CT112*CT88</f>
        <v>6233.6056355878163</v>
      </c>
      <c r="CU158" s="551">
        <f>SUM(CQ158:CT158)</f>
        <v>22676.874176820951</v>
      </c>
      <c r="CV158" s="550">
        <f t="shared" ref="CV158:CX159" ca="1" si="227">CV112*CV88</f>
        <v>6215.611039576781</v>
      </c>
      <c r="CW158" s="550">
        <f t="shared" ca="1" si="227"/>
        <v>6247.7922346220994</v>
      </c>
      <c r="CX158" s="550">
        <f t="shared" ca="1" si="227"/>
        <v>6471.1812158036164</v>
      </c>
      <c r="CY158" s="550">
        <f ca="1">CY112*CY88</f>
        <v>6940.5524452246027</v>
      </c>
      <c r="CZ158" s="551">
        <f ca="1">SUM(CV158:CY158)</f>
        <v>25875.136935227099</v>
      </c>
      <c r="DA158" s="550">
        <f t="shared" ref="DA158:DD159" ca="1" si="228">DA112*DA88</f>
        <v>7996.6386197730144</v>
      </c>
      <c r="DB158" s="550">
        <f ca="1">DB112*DB88</f>
        <v>7798.2538622935344</v>
      </c>
      <c r="DC158" s="550">
        <f ca="1">DC112*DC88</f>
        <v>8167.269986411412</v>
      </c>
      <c r="DD158" s="550">
        <f t="shared" ca="1" si="228"/>
        <v>8817.6822388020246</v>
      </c>
      <c r="DE158" s="551">
        <f ca="1">SUM(DA158:DD158)</f>
        <v>32779.844707279983</v>
      </c>
      <c r="DF158" s="550">
        <f t="shared" ref="DF158:DI159" ca="1" si="229">DF112*DF88</f>
        <v>9048.4625845524461</v>
      </c>
      <c r="DG158" s="550">
        <f t="shared" ca="1" si="229"/>
        <v>9244.6218074213448</v>
      </c>
      <c r="DH158" s="550">
        <f t="shared" ca="1" si="229"/>
        <v>9456.1230284449121</v>
      </c>
      <c r="DI158" s="550">
        <f t="shared" ca="1" si="229"/>
        <v>9938.1628286557971</v>
      </c>
      <c r="DJ158" s="551">
        <f ca="1">SUM(DF158:DI158)</f>
        <v>37687.370249074498</v>
      </c>
      <c r="DK158" s="550">
        <f t="shared" ref="DK158:DN159" ca="1" si="230">DK112*DK88</f>
        <v>8894.8728877236153</v>
      </c>
      <c r="DL158" s="550">
        <f t="shared" ca="1" si="230"/>
        <v>9078.4615111041639</v>
      </c>
      <c r="DM158" s="550">
        <f t="shared" ca="1" si="230"/>
        <v>9327.8654951676635</v>
      </c>
      <c r="DN158" s="550">
        <f t="shared" ca="1" si="230"/>
        <v>9850.6541113163621</v>
      </c>
      <c r="DO158" s="551">
        <f ca="1">SUM(DK158:DN158)</f>
        <v>37151.854005311805</v>
      </c>
      <c r="DP158" s="550">
        <f t="shared" ref="DP158:DS159" ca="1" si="231">DP112*DP88</f>
        <v>9486.7910048042486</v>
      </c>
      <c r="DQ158" s="550">
        <f t="shared" ca="1" si="231"/>
        <v>9682.2897600022261</v>
      </c>
      <c r="DR158" s="550">
        <f t="shared" ca="1" si="231"/>
        <v>9948.0581506688923</v>
      </c>
      <c r="DS158" s="550">
        <f t="shared" ca="1" si="231"/>
        <v>10505.300046838691</v>
      </c>
      <c r="DT158" s="551">
        <f ca="1">SUM(DP158:DS158)</f>
        <v>39622.438962314052</v>
      </c>
      <c r="DU158" s="550">
        <f t="shared" ref="DU158:DX158" ca="1" si="232">DU112*DU88</f>
        <v>10117.033162254054</v>
      </c>
      <c r="DV158" s="550">
        <f t="shared" ca="1" si="232"/>
        <v>10325.198917400783</v>
      </c>
      <c r="DW158" s="550">
        <f t="shared" ca="1" si="232"/>
        <v>10608.380439184712</v>
      </c>
      <c r="DX158" s="550">
        <f t="shared" ca="1" si="232"/>
        <v>11202.290692297547</v>
      </c>
      <c r="DY158" s="551">
        <f ca="1">SUM(DU158:DX158)</f>
        <v>42252.903211137098</v>
      </c>
    </row>
    <row r="159" spans="1:129" ht="11.25" customHeight="1" x14ac:dyDescent="0.2">
      <c r="A159" s="471"/>
      <c r="B159" s="833" t="s">
        <v>745</v>
      </c>
      <c r="C159" s="555"/>
      <c r="D159" s="555"/>
      <c r="E159" s="555"/>
      <c r="F159" s="555"/>
      <c r="G159" s="555"/>
      <c r="H159" s="555"/>
      <c r="I159" s="556"/>
      <c r="J159" s="555"/>
      <c r="K159" s="555"/>
      <c r="L159" s="555"/>
      <c r="M159" s="555"/>
      <c r="N159" s="556"/>
      <c r="O159" s="555"/>
      <c r="P159" s="555"/>
      <c r="Q159" s="555"/>
      <c r="R159" s="555"/>
      <c r="S159" s="556"/>
      <c r="T159" s="555"/>
      <c r="U159" s="555"/>
      <c r="V159" s="555"/>
      <c r="W159" s="555"/>
      <c r="X159" s="556"/>
      <c r="Y159" s="555"/>
      <c r="Z159" s="555"/>
      <c r="AA159" s="555"/>
      <c r="AB159" s="555"/>
      <c r="AC159" s="556"/>
      <c r="AD159" s="555"/>
      <c r="AE159" s="555"/>
      <c r="AF159" s="555"/>
      <c r="AG159" s="555"/>
      <c r="AH159" s="556"/>
      <c r="AI159" s="555"/>
      <c r="AJ159" s="555"/>
      <c r="AK159" s="555"/>
      <c r="AL159" s="555"/>
      <c r="AM159" s="556"/>
      <c r="AN159" s="555"/>
      <c r="AO159" s="555"/>
      <c r="AP159" s="555"/>
      <c r="AQ159" s="555"/>
      <c r="AR159" s="556"/>
      <c r="AS159" s="555"/>
      <c r="AT159" s="555"/>
      <c r="AU159" s="555"/>
      <c r="AV159" s="555"/>
      <c r="AW159" s="556"/>
      <c r="AX159" s="555"/>
      <c r="AY159" s="555"/>
      <c r="AZ159" s="555"/>
      <c r="BA159" s="555"/>
      <c r="BB159" s="556"/>
      <c r="BC159" s="555"/>
      <c r="BD159" s="555"/>
      <c r="BE159" s="555"/>
      <c r="BF159" s="555"/>
      <c r="BG159" s="556"/>
      <c r="BH159" s="695">
        <f t="shared" si="219"/>
        <v>679.45046121394273</v>
      </c>
      <c r="BI159" s="695">
        <f t="shared" si="219"/>
        <v>4813.5045695620538</v>
      </c>
      <c r="BJ159" s="695">
        <f t="shared" si="219"/>
        <v>4940.91833298448</v>
      </c>
      <c r="BK159" s="695">
        <f t="shared" si="219"/>
        <v>5530.30556740268</v>
      </c>
      <c r="BL159" s="558">
        <f>SUM(BH159:BK159)</f>
        <v>15964.178931163156</v>
      </c>
      <c r="BM159" s="695">
        <f t="shared" si="220"/>
        <v>5328.2946312330951</v>
      </c>
      <c r="BN159" s="695">
        <f t="shared" si="220"/>
        <v>5249.2664236156761</v>
      </c>
      <c r="BO159" s="695">
        <f t="shared" si="220"/>
        <v>5063.2668362900731</v>
      </c>
      <c r="BP159" s="695">
        <f t="shared" si="220"/>
        <v>5642.9252060967283</v>
      </c>
      <c r="BQ159" s="558">
        <f>SUM(BM159:BP159)</f>
        <v>21283.753097235574</v>
      </c>
      <c r="BR159" s="695">
        <f t="shared" si="221"/>
        <v>5503.6787999999997</v>
      </c>
      <c r="BS159" s="695">
        <f t="shared" si="221"/>
        <v>6513.8305137355383</v>
      </c>
      <c r="BT159" s="695">
        <f t="shared" si="221"/>
        <v>6462.0299571698524</v>
      </c>
      <c r="BU159" s="695">
        <f t="shared" si="221"/>
        <v>6719.4162702825124</v>
      </c>
      <c r="BV159" s="558">
        <f>SUM(BR159:BU159)</f>
        <v>25198.955541187905</v>
      </c>
      <c r="BW159" s="574">
        <f t="shared" si="222"/>
        <v>5490.0224547772859</v>
      </c>
      <c r="BX159" s="574">
        <f t="shared" si="222"/>
        <v>5397.1256238199994</v>
      </c>
      <c r="BY159" s="574">
        <f t="shared" si="222"/>
        <v>5327.7416074407511</v>
      </c>
      <c r="BZ159" s="574">
        <f t="shared" si="222"/>
        <v>5381.8380000000006</v>
      </c>
      <c r="CA159" s="553">
        <f>SUM(BW159:BZ159)</f>
        <v>21596.727686038037</v>
      </c>
      <c r="CB159" s="574">
        <f t="shared" si="223"/>
        <v>6495.3501928174392</v>
      </c>
      <c r="CC159" s="574">
        <f t="shared" si="223"/>
        <v>6679.8632135177022</v>
      </c>
      <c r="CD159" s="574">
        <f t="shared" si="223"/>
        <v>6995.7883866031725</v>
      </c>
      <c r="CE159" s="550">
        <f t="shared" si="223"/>
        <v>7321.0759678794011</v>
      </c>
      <c r="CF159" s="551">
        <f>SUM(CB159:CE159)</f>
        <v>27492.077760817716</v>
      </c>
      <c r="CG159" s="550">
        <f t="shared" si="224"/>
        <v>8273.7027861164279</v>
      </c>
      <c r="CH159" s="550">
        <f t="shared" si="224"/>
        <v>8143.2974706532423</v>
      </c>
      <c r="CI159" s="550">
        <f t="shared" si="224"/>
        <v>7832.2827497785438</v>
      </c>
      <c r="CJ159" s="550">
        <f t="shared" si="224"/>
        <v>7951.3035183139637</v>
      </c>
      <c r="CK159" s="551">
        <f>SUM(CG159:CJ159)</f>
        <v>32200.586524862178</v>
      </c>
      <c r="CL159" s="550">
        <f t="shared" si="225"/>
        <v>7658.6656928449947</v>
      </c>
      <c r="CM159" s="550">
        <f t="shared" si="225"/>
        <v>7883.7617876401782</v>
      </c>
      <c r="CN159" s="550">
        <f t="shared" si="225"/>
        <v>8031.5466190737043</v>
      </c>
      <c r="CO159" s="550">
        <f>CO113*CO89</f>
        <v>8172.8423410874539</v>
      </c>
      <c r="CP159" s="551">
        <f>SUM(CL159:CO159)</f>
        <v>31746.816440646333</v>
      </c>
      <c r="CQ159" s="550">
        <f t="shared" si="226"/>
        <v>7589.9286378732049</v>
      </c>
      <c r="CR159" s="550">
        <f>CR113*CR89</f>
        <v>8807.9627890431311</v>
      </c>
      <c r="CS159" s="550">
        <f t="shared" si="226"/>
        <v>8598.5757768574895</v>
      </c>
      <c r="CT159" s="550">
        <f t="shared" si="226"/>
        <v>9140.7619948690644</v>
      </c>
      <c r="CU159" s="551">
        <f>SUM(CQ159:CT159)</f>
        <v>34137.22919864289</v>
      </c>
      <c r="CV159" s="550">
        <f t="shared" ca="1" si="227"/>
        <v>8843.2889604232187</v>
      </c>
      <c r="CW159" s="550">
        <f t="shared" ca="1" si="227"/>
        <v>9019.5077653779008</v>
      </c>
      <c r="CX159" s="550">
        <f t="shared" ca="1" si="227"/>
        <v>9245.0666126363831</v>
      </c>
      <c r="CY159" s="550">
        <f ca="1">CY113*CY89</f>
        <v>9256.9475547753973</v>
      </c>
      <c r="CZ159" s="551">
        <f ca="1">SUM(CV159:CY159)</f>
        <v>36364.810893212896</v>
      </c>
      <c r="DA159" s="550">
        <f t="shared" ca="1" si="228"/>
        <v>10539.661380226986</v>
      </c>
      <c r="DB159" s="550">
        <f ca="1">DB113*DB89</f>
        <v>10979.446137706467</v>
      </c>
      <c r="DC159" s="550">
        <f ca="1">DC113*DC89</f>
        <v>11301.530013588583</v>
      </c>
      <c r="DD159" s="550">
        <f t="shared" ca="1" si="228"/>
        <v>11247.517761197976</v>
      </c>
      <c r="DE159" s="551">
        <f ca="1">SUM(DA159:DD159)</f>
        <v>44068.15529272001</v>
      </c>
      <c r="DF159" s="550">
        <f t="shared" ca="1" si="229"/>
        <v>11252.537415447554</v>
      </c>
      <c r="DG159" s="550">
        <f t="shared" ca="1" si="229"/>
        <v>11496.478192578654</v>
      </c>
      <c r="DH159" s="550">
        <f t="shared" ca="1" si="229"/>
        <v>11759.498057085089</v>
      </c>
      <c r="DI159" s="550">
        <f t="shared" ca="1" si="229"/>
        <v>12358.955792244211</v>
      </c>
      <c r="DJ159" s="551">
        <f ca="1">SUM(DF159:DI159)</f>
        <v>46867.46945735551</v>
      </c>
      <c r="DK159" s="550">
        <f t="shared" ca="1" si="230"/>
        <v>13103.451465433347</v>
      </c>
      <c r="DL159" s="550">
        <f t="shared" ca="1" si="230"/>
        <v>13306.4427802723</v>
      </c>
      <c r="DM159" s="550">
        <f t="shared" ca="1" si="230"/>
        <v>13173.165433478223</v>
      </c>
      <c r="DN159" s="550">
        <f t="shared" ca="1" si="230"/>
        <v>13362.928603114729</v>
      </c>
      <c r="DO159" s="551">
        <f ca="1">SUM(DK159:DN159)</f>
        <v>52945.988282298596</v>
      </c>
      <c r="DP159" s="550">
        <f t="shared" ca="1" si="231"/>
        <v>13546.309653317141</v>
      </c>
      <c r="DQ159" s="550">
        <f t="shared" ca="1" si="231"/>
        <v>13731.25222375259</v>
      </c>
      <c r="DR159" s="550">
        <f t="shared" ca="1" si="231"/>
        <v>13575.418725063044</v>
      </c>
      <c r="DS159" s="550">
        <f t="shared" ca="1" si="231"/>
        <v>13745.909288893165</v>
      </c>
      <c r="DT159" s="551">
        <f ca="1">SUM(DP159:DS159)</f>
        <v>54598.889891025938</v>
      </c>
      <c r="DU159" s="550">
        <f t="shared" ref="DU159:DX159" ca="1" si="233">DU113*DU89</f>
        <v>13914.510479826129</v>
      </c>
      <c r="DV159" s="550">
        <f t="shared" ca="1" si="233"/>
        <v>14074.443899539236</v>
      </c>
      <c r="DW159" s="550">
        <f t="shared" ca="1" si="233"/>
        <v>13892.6075390326</v>
      </c>
      <c r="DX159" s="550">
        <f t="shared" ca="1" si="233"/>
        <v>14036.759466724352</v>
      </c>
      <c r="DY159" s="551">
        <f ca="1">SUM(DU159:DX159)</f>
        <v>55918.321385122319</v>
      </c>
    </row>
    <row r="160" spans="1:129" ht="11.25" customHeight="1" x14ac:dyDescent="0.2">
      <c r="A160" s="559"/>
      <c r="B160" s="834" t="s">
        <v>752</v>
      </c>
      <c r="C160" s="835"/>
      <c r="D160" s="835"/>
      <c r="E160" s="835"/>
      <c r="F160" s="835"/>
      <c r="G160" s="835"/>
      <c r="H160" s="835"/>
      <c r="I160" s="836"/>
      <c r="J160" s="835"/>
      <c r="K160" s="835"/>
      <c r="L160" s="835"/>
      <c r="M160" s="835"/>
      <c r="N160" s="836"/>
      <c r="O160" s="835"/>
      <c r="P160" s="835"/>
      <c r="Q160" s="835"/>
      <c r="R160" s="835"/>
      <c r="S160" s="836"/>
      <c r="T160" s="835"/>
      <c r="U160" s="835"/>
      <c r="V160" s="835"/>
      <c r="W160" s="835"/>
      <c r="X160" s="836"/>
      <c r="Y160" s="835"/>
      <c r="Z160" s="835"/>
      <c r="AA160" s="835"/>
      <c r="AB160" s="835"/>
      <c r="AC160" s="836"/>
      <c r="AD160" s="835"/>
      <c r="AE160" s="835"/>
      <c r="AF160" s="835"/>
      <c r="AG160" s="835"/>
      <c r="AH160" s="836"/>
      <c r="AI160" s="835"/>
      <c r="AJ160" s="835"/>
      <c r="AK160" s="835"/>
      <c r="AL160" s="835"/>
      <c r="AM160" s="836"/>
      <c r="AN160" s="835"/>
      <c r="AO160" s="835"/>
      <c r="AP160" s="835"/>
      <c r="AQ160" s="835"/>
      <c r="AR160" s="836"/>
      <c r="AS160" s="835"/>
      <c r="AT160" s="835"/>
      <c r="AU160" s="835"/>
      <c r="AV160" s="835"/>
      <c r="AW160" s="836"/>
      <c r="AX160" s="835"/>
      <c r="AY160" s="835"/>
      <c r="AZ160" s="835"/>
      <c r="BA160" s="835"/>
      <c r="BB160" s="836"/>
      <c r="BC160" s="835"/>
      <c r="BD160" s="835"/>
      <c r="BE160" s="835"/>
      <c r="BF160" s="835"/>
      <c r="BG160" s="836"/>
      <c r="BH160" s="837">
        <f t="shared" ref="BH160:CZ160" si="234">SUM(BH158:BH159)</f>
        <v>885.9</v>
      </c>
      <c r="BI160" s="837">
        <f t="shared" si="234"/>
        <v>6296.5</v>
      </c>
      <c r="BJ160" s="837">
        <f t="shared" si="234"/>
        <v>6426</v>
      </c>
      <c r="BK160" s="837">
        <f t="shared" si="234"/>
        <v>7222.9</v>
      </c>
      <c r="BL160" s="838">
        <f t="shared" si="234"/>
        <v>20831.3</v>
      </c>
      <c r="BM160" s="837">
        <f t="shared" si="234"/>
        <v>7023.8</v>
      </c>
      <c r="BN160" s="837">
        <f t="shared" si="234"/>
        <v>6942.9</v>
      </c>
      <c r="BO160" s="837">
        <f t="shared" si="234"/>
        <v>6848.9</v>
      </c>
      <c r="BP160" s="837">
        <f t="shared" si="234"/>
        <v>7673.7</v>
      </c>
      <c r="BQ160" s="838">
        <f t="shared" si="234"/>
        <v>28489.300000000003</v>
      </c>
      <c r="BR160" s="837">
        <f t="shared" si="234"/>
        <v>7498.2</v>
      </c>
      <c r="BS160" s="837">
        <f t="shared" si="234"/>
        <v>8844.9000000000015</v>
      </c>
      <c r="BT160" s="837">
        <f t="shared" si="234"/>
        <v>8782.2000000000007</v>
      </c>
      <c r="BU160" s="837">
        <f t="shared" si="234"/>
        <v>9132</v>
      </c>
      <c r="BV160" s="838">
        <f t="shared" si="234"/>
        <v>34257.300000000003</v>
      </c>
      <c r="BW160" s="839">
        <f t="shared" si="234"/>
        <v>7670</v>
      </c>
      <c r="BX160" s="839">
        <f t="shared" si="234"/>
        <v>7630</v>
      </c>
      <c r="BY160" s="839">
        <f t="shared" si="234"/>
        <v>7615</v>
      </c>
      <c r="BZ160" s="839">
        <f t="shared" si="234"/>
        <v>7766</v>
      </c>
      <c r="CA160" s="840">
        <f t="shared" si="234"/>
        <v>30681</v>
      </c>
      <c r="CB160" s="839">
        <f t="shared" si="234"/>
        <v>9377</v>
      </c>
      <c r="CC160" s="839">
        <f t="shared" si="234"/>
        <v>9737</v>
      </c>
      <c r="CD160" s="841">
        <f t="shared" si="234"/>
        <v>10003</v>
      </c>
      <c r="CE160" s="841">
        <f t="shared" si="234"/>
        <v>10923.2</v>
      </c>
      <c r="CF160" s="842">
        <f t="shared" si="234"/>
        <v>40040.200000000004</v>
      </c>
      <c r="CG160" s="841">
        <f t="shared" si="234"/>
        <v>12584</v>
      </c>
      <c r="CH160" s="841">
        <f t="shared" si="234"/>
        <v>12624.9</v>
      </c>
      <c r="CI160" s="841">
        <f t="shared" si="234"/>
        <v>12363.5</v>
      </c>
      <c r="CJ160" s="841">
        <f t="shared" si="234"/>
        <v>12838</v>
      </c>
      <c r="CK160" s="842">
        <f t="shared" si="234"/>
        <v>50410.400000000001</v>
      </c>
      <c r="CL160" s="841">
        <f t="shared" si="234"/>
        <v>12391.976003129004</v>
      </c>
      <c r="CM160" s="841">
        <f t="shared" si="234"/>
        <v>12708.91332074184</v>
      </c>
      <c r="CN160" s="841">
        <f>SUM(CN158:CN159)</f>
        <v>12965.591993242215</v>
      </c>
      <c r="CO160" s="841">
        <f>SUM(CO158:CO159)</f>
        <v>13342.99646666534</v>
      </c>
      <c r="CP160" s="842">
        <f t="shared" si="234"/>
        <v>51409.477783778399</v>
      </c>
      <c r="CQ160" s="841">
        <f t="shared" si="234"/>
        <v>12692.426486602995</v>
      </c>
      <c r="CR160" s="841">
        <f>SUM(CR158:CR159)</f>
        <v>14473.235760724925</v>
      </c>
      <c r="CS160" s="841">
        <f t="shared" si="234"/>
        <v>14274.073497679037</v>
      </c>
      <c r="CT160" s="841">
        <f t="shared" si="234"/>
        <v>15374.36763045688</v>
      </c>
      <c r="CU160" s="842">
        <f t="shared" si="234"/>
        <v>56814.103375463841</v>
      </c>
      <c r="CV160" s="841">
        <f t="shared" ca="1" si="234"/>
        <v>15058.9</v>
      </c>
      <c r="CW160" s="841">
        <f t="shared" ca="1" si="234"/>
        <v>15267.3</v>
      </c>
      <c r="CX160" s="841">
        <f t="shared" ca="1" si="234"/>
        <v>15716.247828439999</v>
      </c>
      <c r="CY160" s="841">
        <f ca="1">SUM(CY158:CY159)</f>
        <v>16197.5</v>
      </c>
      <c r="CZ160" s="842">
        <f t="shared" ca="1" si="234"/>
        <v>62239.947828439996</v>
      </c>
      <c r="DA160" s="841">
        <f t="shared" ref="DA160:DJ160" ca="1" si="235">SUM(DA158:DA159)</f>
        <v>18536.3</v>
      </c>
      <c r="DB160" s="841">
        <f ca="1">SUM(DB158:DB159)</f>
        <v>18777.7</v>
      </c>
      <c r="DC160" s="841">
        <f ca="1">SUM(DC158:DC159)</f>
        <v>19468.799999999996</v>
      </c>
      <c r="DD160" s="841">
        <f t="shared" ca="1" si="235"/>
        <v>20065.2</v>
      </c>
      <c r="DE160" s="842">
        <f t="shared" ca="1" si="235"/>
        <v>76848</v>
      </c>
      <c r="DF160" s="841">
        <f ca="1">SUM(DF158:DF159)</f>
        <v>20301</v>
      </c>
      <c r="DG160" s="841">
        <f ca="1">SUM(DG158:DG159)</f>
        <v>20741.099999999999</v>
      </c>
      <c r="DH160" s="841">
        <f ca="1">SUM(DH158:DH159)</f>
        <v>21215.621085530001</v>
      </c>
      <c r="DI160" s="841">
        <f ca="1">SUM(DI158:DI159)</f>
        <v>22297.118620900008</v>
      </c>
      <c r="DJ160" s="842">
        <f t="shared" ca="1" si="235"/>
        <v>84554.839706430008</v>
      </c>
      <c r="DK160" s="841">
        <f t="shared" ref="DK160:DT160" ca="1" si="236">SUM(DK158:DK159)</f>
        <v>21998.324353156961</v>
      </c>
      <c r="DL160" s="841">
        <f t="shared" ca="1" si="236"/>
        <v>22384.904291376464</v>
      </c>
      <c r="DM160" s="841">
        <f t="shared" ca="1" si="236"/>
        <v>22501.030928645887</v>
      </c>
      <c r="DN160" s="841">
        <f t="shared" ca="1" si="236"/>
        <v>23213.58271443109</v>
      </c>
      <c r="DO160" s="842">
        <f t="shared" ca="1" si="236"/>
        <v>90097.842287610401</v>
      </c>
      <c r="DP160" s="841">
        <f t="shared" ca="1" si="236"/>
        <v>23033.100658121388</v>
      </c>
      <c r="DQ160" s="841">
        <f t="shared" ca="1" si="236"/>
        <v>23413.541983754818</v>
      </c>
      <c r="DR160" s="841">
        <f t="shared" ca="1" si="236"/>
        <v>23523.476875731936</v>
      </c>
      <c r="DS160" s="841">
        <f t="shared" ca="1" si="236"/>
        <v>24251.209335731855</v>
      </c>
      <c r="DT160" s="842">
        <f t="shared" ca="1" si="236"/>
        <v>94221.32885333999</v>
      </c>
      <c r="DU160" s="841">
        <f t="shared" ref="DU160:DY160" ca="1" si="237">SUM(DU158:DU159)</f>
        <v>24031.543642080185</v>
      </c>
      <c r="DV160" s="841">
        <f t="shared" ca="1" si="237"/>
        <v>24399.642816940017</v>
      </c>
      <c r="DW160" s="841">
        <f t="shared" ca="1" si="237"/>
        <v>24500.987978217312</v>
      </c>
      <c r="DX160" s="841">
        <f t="shared" ca="1" si="237"/>
        <v>25239.050159021899</v>
      </c>
      <c r="DY160" s="842">
        <f t="shared" ca="1" si="237"/>
        <v>98171.224596259417</v>
      </c>
    </row>
    <row r="161" spans="1:129" ht="11.25" customHeight="1" x14ac:dyDescent="0.2">
      <c r="A161" s="473"/>
      <c r="B161" s="627" t="s">
        <v>194</v>
      </c>
      <c r="C161" s="469"/>
      <c r="D161" s="469"/>
      <c r="E161" s="469"/>
      <c r="F161" s="469"/>
      <c r="G161" s="469"/>
      <c r="H161" s="469"/>
      <c r="I161" s="580"/>
      <c r="J161" s="469"/>
      <c r="K161" s="469"/>
      <c r="L161" s="469"/>
      <c r="M161" s="469"/>
      <c r="N161" s="580"/>
      <c r="O161" s="469"/>
      <c r="P161" s="469"/>
      <c r="Q161" s="469"/>
      <c r="R161" s="469"/>
      <c r="S161" s="580"/>
      <c r="T161" s="469"/>
      <c r="U161" s="469"/>
      <c r="V161" s="469"/>
      <c r="W161" s="469"/>
      <c r="X161" s="580"/>
      <c r="Y161" s="469"/>
      <c r="Z161" s="469"/>
      <c r="AA161" s="469"/>
      <c r="AB161" s="469"/>
      <c r="AC161" s="580"/>
      <c r="AD161" s="469"/>
      <c r="AE161" s="469"/>
      <c r="AF161" s="469"/>
      <c r="AG161" s="469"/>
      <c r="AH161" s="580"/>
      <c r="AI161" s="469"/>
      <c r="AJ161" s="469"/>
      <c r="AK161" s="469"/>
      <c r="AL161" s="469"/>
      <c r="AM161" s="580"/>
      <c r="AN161" s="469"/>
      <c r="AO161" s="469"/>
      <c r="AP161" s="469"/>
      <c r="AQ161" s="469"/>
      <c r="AR161" s="580"/>
      <c r="AS161" s="469"/>
      <c r="AT161" s="469"/>
      <c r="AU161" s="469"/>
      <c r="AV161" s="469"/>
      <c r="AW161" s="580"/>
      <c r="AX161" s="469"/>
      <c r="AY161" s="469"/>
      <c r="AZ161" s="469"/>
      <c r="BA161" s="469"/>
      <c r="BB161" s="580"/>
      <c r="BC161" s="469"/>
      <c r="BD161" s="469"/>
      <c r="BE161" s="469"/>
      <c r="BF161" s="469"/>
      <c r="BG161" s="580"/>
      <c r="BH161" s="469"/>
      <c r="BI161" s="469"/>
      <c r="BJ161" s="469"/>
      <c r="BK161" s="469"/>
      <c r="BL161" s="580"/>
      <c r="BM161" s="581">
        <f>BM160/BH160-1</f>
        <v>6.9284343605373069</v>
      </c>
      <c r="BN161" s="581">
        <f>BN160/BI160-1</f>
        <v>0.10266020805209242</v>
      </c>
      <c r="BO161" s="581">
        <f>BO160/BJ160-1</f>
        <v>6.5810768751945137E-2</v>
      </c>
      <c r="BP161" s="581">
        <f>BP160/BK160-1</f>
        <v>6.2412604355591261E-2</v>
      </c>
      <c r="BQ161" s="580"/>
      <c r="BR161" s="581">
        <f>BR160/BM160-1</f>
        <v>6.7541786497337553E-2</v>
      </c>
      <c r="BS161" s="581">
        <f>BS160/BN160-1</f>
        <v>0.27394892624119627</v>
      </c>
      <c r="BT161" s="581">
        <f>BT160/BO160-1</f>
        <v>0.28227890610170991</v>
      </c>
      <c r="BU161" s="581">
        <f>BU160/BP160-1</f>
        <v>0.19003870362406672</v>
      </c>
      <c r="BV161" s="580"/>
      <c r="BW161" s="581">
        <f>BW160/BR160-1</f>
        <v>2.2912165586407518E-2</v>
      </c>
      <c r="BX161" s="581">
        <f>BX160/BS160-1</f>
        <v>-0.13735599045777802</v>
      </c>
      <c r="BY161" s="581">
        <f>BY160/BT160-1</f>
        <v>-0.13290519459816452</v>
      </c>
      <c r="BZ161" s="581">
        <f>BZ160/BU160-1</f>
        <v>-0.14958388085851948</v>
      </c>
      <c r="CA161" s="580"/>
      <c r="CB161" s="581">
        <f t="shared" ref="CB161:CZ161" si="238">CB160/BW160-1</f>
        <v>0.22255541069100393</v>
      </c>
      <c r="CC161" s="581">
        <f t="shared" si="238"/>
        <v>0.27614678899082579</v>
      </c>
      <c r="CD161" s="468">
        <f t="shared" si="238"/>
        <v>0.31359159553512805</v>
      </c>
      <c r="CE161" s="468">
        <f t="shared" si="238"/>
        <v>0.40654133402008763</v>
      </c>
      <c r="CF161" s="580">
        <f t="shared" si="238"/>
        <v>0.30504872722531884</v>
      </c>
      <c r="CG161" s="468">
        <f t="shared" si="238"/>
        <v>0.34200703849845371</v>
      </c>
      <c r="CH161" s="468">
        <f t="shared" si="238"/>
        <v>0.29659032556228815</v>
      </c>
      <c r="CI161" s="468">
        <f t="shared" si="238"/>
        <v>0.23597920623812851</v>
      </c>
      <c r="CJ161" s="468">
        <f t="shared" si="238"/>
        <v>0.17529661637615335</v>
      </c>
      <c r="CK161" s="580">
        <f t="shared" si="238"/>
        <v>0.25899471031613208</v>
      </c>
      <c r="CL161" s="468">
        <f t="shared" si="238"/>
        <v>-1.5259376738000263E-2</v>
      </c>
      <c r="CM161" s="468">
        <f t="shared" si="238"/>
        <v>6.6545731642897454E-3</v>
      </c>
      <c r="CN161" s="468">
        <f t="shared" si="238"/>
        <v>4.8699154223497798E-2</v>
      </c>
      <c r="CO161" s="468">
        <f t="shared" si="238"/>
        <v>3.9336070000415946E-2</v>
      </c>
      <c r="CP161" s="580">
        <f t="shared" si="238"/>
        <v>1.981888228973383E-2</v>
      </c>
      <c r="CQ161" s="468">
        <f t="shared" si="238"/>
        <v>2.4245566921540673E-2</v>
      </c>
      <c r="CR161" s="468">
        <f t="shared" si="238"/>
        <v>0.1388255939320624</v>
      </c>
      <c r="CS161" s="468">
        <f t="shared" si="238"/>
        <v>0.10091953418855182</v>
      </c>
      <c r="CT161" s="468">
        <f t="shared" si="238"/>
        <v>0.1522425018148279</v>
      </c>
      <c r="CU161" s="580">
        <f t="shared" si="238"/>
        <v>0.10512897280179723</v>
      </c>
      <c r="CV161" s="468">
        <f t="shared" ca="1" si="238"/>
        <v>0.18644768326173455</v>
      </c>
      <c r="CW161" s="468">
        <f t="shared" ca="1" si="238"/>
        <v>5.4864320073461093E-2</v>
      </c>
      <c r="CX161" s="468">
        <f t="shared" ca="1" si="238"/>
        <v>0.10103453166298038</v>
      </c>
      <c r="CY161" s="468">
        <f t="shared" ca="1" si="238"/>
        <v>5.3539266741123193E-2</v>
      </c>
      <c r="CZ161" s="580">
        <f t="shared" ca="1" si="238"/>
        <v>9.5501717542186837E-2</v>
      </c>
      <c r="DA161" s="468">
        <f t="shared" ref="DA161:DJ161" ca="1" si="239">DA160/CV160-1</f>
        <v>0.23091992110977566</v>
      </c>
      <c r="DB161" s="468">
        <f t="shared" ca="1" si="239"/>
        <v>0.22992932607599248</v>
      </c>
      <c r="DC161" s="468">
        <f t="shared" ca="1" si="239"/>
        <v>0.23876896142916548</v>
      </c>
      <c r="DD161" s="468">
        <f t="shared" ca="1" si="239"/>
        <v>0.2387837629263776</v>
      </c>
      <c r="DE161" s="580">
        <f t="shared" ca="1" si="239"/>
        <v>0.23470540514953608</v>
      </c>
      <c r="DF161" s="468">
        <f t="shared" ca="1" si="239"/>
        <v>9.5202386668321148E-2</v>
      </c>
      <c r="DG161" s="468">
        <f t="shared" ca="1" si="239"/>
        <v>0.10456019640318015</v>
      </c>
      <c r="DH161" s="468">
        <f t="shared" ca="1" si="239"/>
        <v>8.9724127092065675E-2</v>
      </c>
      <c r="DI161" s="468">
        <f t="shared" ca="1" si="239"/>
        <v>0.11123331045292373</v>
      </c>
      <c r="DJ161" s="580">
        <f t="shared" ca="1" si="239"/>
        <v>0.10028679609658031</v>
      </c>
      <c r="DK161" s="468">
        <f t="shared" ref="DK161:DT161" ca="1" si="240">DK160/DF160-1</f>
        <v>8.3607918484653876E-2</v>
      </c>
      <c r="DL161" s="468">
        <f t="shared" ca="1" si="240"/>
        <v>7.9253476979353366E-2</v>
      </c>
      <c r="DM161" s="468">
        <f t="shared" ca="1" si="240"/>
        <v>6.0587895962781468E-2</v>
      </c>
      <c r="DN161" s="468">
        <f t="shared" ca="1" si="240"/>
        <v>4.1102355381113842E-2</v>
      </c>
      <c r="DO161" s="580">
        <f t="shared" ca="1" si="240"/>
        <v>6.5555119026012187E-2</v>
      </c>
      <c r="DP161" s="468">
        <f t="shared" ca="1" si="240"/>
        <v>4.7038869340788159E-2</v>
      </c>
      <c r="DQ161" s="468">
        <f t="shared" ca="1" si="240"/>
        <v>4.5952293518388032E-2</v>
      </c>
      <c r="DR161" s="468">
        <f t="shared" ca="1" si="240"/>
        <v>4.5439960076868458E-2</v>
      </c>
      <c r="DS161" s="468">
        <f t="shared" ca="1" si="240"/>
        <v>4.4699115774822218E-2</v>
      </c>
      <c r="DT161" s="580">
        <f t="shared" ca="1" si="240"/>
        <v>4.5766762677474482E-2</v>
      </c>
      <c r="DU161" s="468">
        <f t="shared" ref="DU161" ca="1" si="241">DU160/DP160-1</f>
        <v>4.334817959503634E-2</v>
      </c>
      <c r="DV161" s="468">
        <f t="shared" ref="DV161" ca="1" si="242">DV160/DQ160-1</f>
        <v>4.2116687593418911E-2</v>
      </c>
      <c r="DW161" s="468">
        <f t="shared" ref="DW161" ca="1" si="243">DW160/DR160-1</f>
        <v>4.1554703314025332E-2</v>
      </c>
      <c r="DX161" s="468">
        <f t="shared" ref="DX161" ca="1" si="244">DX160/DS160-1</f>
        <v>4.0733672684708289E-2</v>
      </c>
      <c r="DY161" s="580">
        <f t="shared" ref="DY161" ca="1" si="245">DY160/DT160-1</f>
        <v>4.1921460788009401E-2</v>
      </c>
    </row>
    <row r="162" spans="1:129" ht="6" customHeight="1" x14ac:dyDescent="0.2">
      <c r="A162" s="471"/>
      <c r="B162" s="843"/>
      <c r="I162" s="576"/>
      <c r="N162" s="576"/>
      <c r="S162" s="576"/>
      <c r="X162" s="576"/>
      <c r="AC162" s="576"/>
      <c r="AH162" s="576"/>
      <c r="AM162" s="576"/>
      <c r="AR162" s="576"/>
      <c r="AW162" s="576"/>
      <c r="BB162" s="576"/>
      <c r="BG162" s="576"/>
      <c r="BL162" s="576"/>
      <c r="BQ162" s="576"/>
      <c r="BV162" s="576"/>
      <c r="CA162" s="576"/>
      <c r="CF162" s="576"/>
      <c r="CK162" s="576"/>
      <c r="CP162" s="576"/>
      <c r="CU162" s="576"/>
      <c r="CY162" s="2575"/>
      <c r="CZ162" s="576"/>
      <c r="DB162" s="2614"/>
      <c r="DC162" s="2631"/>
      <c r="DE162" s="576"/>
      <c r="DF162" s="2683"/>
      <c r="DH162" s="2734"/>
      <c r="DI162" s="2795"/>
      <c r="DJ162" s="576"/>
      <c r="DO162" s="576"/>
      <c r="DT162" s="576"/>
      <c r="DY162" s="576"/>
    </row>
    <row r="163" spans="1:129" ht="9.75" customHeight="1" outlineLevel="1" x14ac:dyDescent="0.2">
      <c r="A163" s="471"/>
      <c r="B163" s="833" t="s">
        <v>777</v>
      </c>
      <c r="C163" s="550"/>
      <c r="D163" s="550"/>
      <c r="E163" s="550"/>
      <c r="F163" s="550"/>
      <c r="G163" s="550"/>
      <c r="H163" s="550"/>
      <c r="I163" s="551"/>
      <c r="J163" s="550"/>
      <c r="K163" s="550"/>
      <c r="L163" s="550"/>
      <c r="M163" s="550"/>
      <c r="N163" s="551"/>
      <c r="O163" s="550"/>
      <c r="P163" s="550"/>
      <c r="Q163" s="550"/>
      <c r="R163" s="550"/>
      <c r="S163" s="551"/>
      <c r="T163" s="550"/>
      <c r="U163" s="550"/>
      <c r="V163" s="550"/>
      <c r="W163" s="550"/>
      <c r="X163" s="551"/>
      <c r="Y163" s="550"/>
      <c r="Z163" s="550"/>
      <c r="AA163" s="550"/>
      <c r="AB163" s="550"/>
      <c r="AC163" s="551"/>
      <c r="AD163" s="550"/>
      <c r="AE163" s="550"/>
      <c r="AF163" s="550"/>
      <c r="AG163" s="550"/>
      <c r="AH163" s="551"/>
      <c r="AI163" s="550"/>
      <c r="AJ163" s="550"/>
      <c r="AK163" s="550"/>
      <c r="AL163" s="550"/>
      <c r="AM163" s="551"/>
      <c r="AN163" s="550"/>
      <c r="AO163" s="550"/>
      <c r="AP163" s="550"/>
      <c r="AQ163" s="550"/>
      <c r="AR163" s="551"/>
      <c r="AS163" s="550"/>
      <c r="AT163" s="550"/>
      <c r="AU163" s="550"/>
      <c r="AV163" s="550"/>
      <c r="AW163" s="551"/>
      <c r="AX163" s="550"/>
      <c r="AY163" s="550"/>
      <c r="AZ163" s="550"/>
      <c r="BA163" s="550"/>
      <c r="BB163" s="551"/>
      <c r="BC163" s="550"/>
      <c r="BD163" s="550"/>
      <c r="BE163" s="550"/>
      <c r="BF163" s="550"/>
      <c r="BG163" s="551"/>
      <c r="BH163" s="552">
        <v>0</v>
      </c>
      <c r="BI163" s="552">
        <v>0</v>
      </c>
      <c r="BJ163" s="552">
        <v>0</v>
      </c>
      <c r="BK163" s="552">
        <v>0</v>
      </c>
      <c r="BL163" s="553">
        <f>SUM(BH163:BK163)</f>
        <v>0</v>
      </c>
      <c r="BM163" s="552">
        <v>0</v>
      </c>
      <c r="BN163" s="552">
        <v>0</v>
      </c>
      <c r="BO163" s="552">
        <v>0</v>
      </c>
      <c r="BP163" s="552">
        <v>0</v>
      </c>
      <c r="BQ163" s="553">
        <f>SUM(BM163:BP163)</f>
        <v>0</v>
      </c>
      <c r="BR163" s="552">
        <v>0</v>
      </c>
      <c r="BS163" s="552">
        <v>0</v>
      </c>
      <c r="BT163" s="552">
        <v>0</v>
      </c>
      <c r="BU163" s="552">
        <f>0.65*BU361</f>
        <v>355.05651999999998</v>
      </c>
      <c r="BV163" s="553">
        <f>SUM(BR163:BU163)</f>
        <v>355.05651999999998</v>
      </c>
      <c r="BW163" s="552">
        <v>0</v>
      </c>
      <c r="BX163" s="552">
        <v>0</v>
      </c>
      <c r="BY163" s="552">
        <v>0</v>
      </c>
      <c r="BZ163" s="552">
        <v>0</v>
      </c>
      <c r="CA163" s="553">
        <f>SUM(BW163:BZ163)</f>
        <v>0</v>
      </c>
      <c r="CB163" s="552">
        <v>0</v>
      </c>
      <c r="CC163" s="552">
        <v>0</v>
      </c>
      <c r="CD163" s="550">
        <v>0</v>
      </c>
      <c r="CE163" s="550">
        <v>0</v>
      </c>
      <c r="CF163" s="551">
        <f>SUM(CB163:CE163)</f>
        <v>0</v>
      </c>
      <c r="CG163" s="550">
        <v>0</v>
      </c>
      <c r="CH163" s="550">
        <v>0</v>
      </c>
      <c r="CI163" s="550">
        <v>0</v>
      </c>
      <c r="CJ163" s="550">
        <v>0</v>
      </c>
      <c r="CK163" s="551">
        <f>SUM(CG163:CJ163)</f>
        <v>0</v>
      </c>
      <c r="CL163" s="550">
        <v>0</v>
      </c>
      <c r="CM163" s="550">
        <v>0</v>
      </c>
      <c r="CN163" s="550">
        <v>0</v>
      </c>
      <c r="CO163" s="550">
        <v>0</v>
      </c>
      <c r="CP163" s="551">
        <f>SUM(CL163:CO163)</f>
        <v>0</v>
      </c>
      <c r="CQ163" s="550">
        <v>0</v>
      </c>
      <c r="CR163" s="550">
        <v>0</v>
      </c>
      <c r="CS163" s="550">
        <v>0</v>
      </c>
      <c r="CT163" s="550">
        <v>0</v>
      </c>
      <c r="CU163" s="551">
        <f>SUM(CQ163:CT163)</f>
        <v>0</v>
      </c>
      <c r="CV163" s="550">
        <v>0</v>
      </c>
      <c r="CW163" s="550">
        <v>0</v>
      </c>
      <c r="CX163" s="550">
        <v>0</v>
      </c>
      <c r="CY163" s="550">
        <v>0</v>
      </c>
      <c r="CZ163" s="551">
        <f>SUM(CV163:CY163)</f>
        <v>0</v>
      </c>
      <c r="DA163" s="550">
        <v>0</v>
      </c>
      <c r="DB163" s="550">
        <v>0</v>
      </c>
      <c r="DC163" s="550">
        <v>0</v>
      </c>
      <c r="DD163" s="550">
        <v>0</v>
      </c>
      <c r="DE163" s="551">
        <f>SUM(DA163:DD163)</f>
        <v>0</v>
      </c>
      <c r="DF163" s="550">
        <v>0</v>
      </c>
      <c r="DG163" s="550">
        <v>0</v>
      </c>
      <c r="DH163" s="550">
        <v>0</v>
      </c>
      <c r="DI163" s="2817">
        <v>0</v>
      </c>
      <c r="DJ163" s="551">
        <f>SUM(DF163:DI163)</f>
        <v>0</v>
      </c>
      <c r="DK163" s="550">
        <v>0</v>
      </c>
      <c r="DL163" s="550">
        <v>0</v>
      </c>
      <c r="DM163" s="550">
        <v>0</v>
      </c>
      <c r="DN163" s="550">
        <v>0</v>
      </c>
      <c r="DO163" s="551">
        <f>SUM(DK163:DN163)</f>
        <v>0</v>
      </c>
      <c r="DP163" s="550">
        <v>0</v>
      </c>
      <c r="DQ163" s="550">
        <v>0</v>
      </c>
      <c r="DR163" s="550">
        <v>0</v>
      </c>
      <c r="DS163" s="550">
        <v>0</v>
      </c>
      <c r="DT163" s="551">
        <f>SUM(DP163:DS163)</f>
        <v>0</v>
      </c>
      <c r="DU163" s="550">
        <v>0</v>
      </c>
      <c r="DV163" s="550">
        <v>0</v>
      </c>
      <c r="DW163" s="550">
        <v>0</v>
      </c>
      <c r="DX163" s="550">
        <v>0</v>
      </c>
      <c r="DY163" s="551">
        <f>SUM(DU163:DX163)</f>
        <v>0</v>
      </c>
    </row>
    <row r="164" spans="1:129" ht="9.75" customHeight="1" outlineLevel="1" x14ac:dyDescent="0.2">
      <c r="A164" s="471"/>
      <c r="B164" s="844"/>
      <c r="I164" s="576"/>
      <c r="N164" s="576"/>
      <c r="S164" s="576"/>
      <c r="X164" s="576"/>
      <c r="AC164" s="576"/>
      <c r="AH164" s="576"/>
      <c r="AM164" s="576"/>
      <c r="AR164" s="576"/>
      <c r="AW164" s="576"/>
      <c r="BB164" s="576"/>
      <c r="BG164" s="576"/>
      <c r="BL164" s="576"/>
      <c r="BQ164" s="576"/>
      <c r="BV164" s="576"/>
      <c r="CA164" s="576"/>
      <c r="CF164" s="576"/>
      <c r="CK164" s="576"/>
      <c r="CP164" s="576"/>
      <c r="CU164" s="576"/>
      <c r="CY164" s="2575"/>
      <c r="CZ164" s="576"/>
      <c r="DB164" s="2614"/>
      <c r="DC164" s="2631"/>
      <c r="DE164" s="576"/>
      <c r="DF164" s="2683"/>
      <c r="DH164" s="2734"/>
      <c r="DI164" s="2795"/>
      <c r="DJ164" s="576"/>
      <c r="DO164" s="576"/>
      <c r="DT164" s="576"/>
      <c r="DY164" s="576"/>
    </row>
    <row r="165" spans="1:129" ht="9.75" customHeight="1" outlineLevel="1" x14ac:dyDescent="0.2">
      <c r="A165" s="559"/>
      <c r="B165" s="845" t="s">
        <v>778</v>
      </c>
      <c r="C165" s="561"/>
      <c r="D165" s="561"/>
      <c r="E165" s="561"/>
      <c r="F165" s="561"/>
      <c r="G165" s="561"/>
      <c r="H165" s="561"/>
      <c r="I165" s="577"/>
      <c r="J165" s="561"/>
      <c r="K165" s="561"/>
      <c r="L165" s="561"/>
      <c r="M165" s="561"/>
      <c r="N165" s="577"/>
      <c r="O165" s="561"/>
      <c r="P165" s="561"/>
      <c r="Q165" s="561"/>
      <c r="R165" s="561"/>
      <c r="S165" s="577"/>
      <c r="T165" s="561"/>
      <c r="U165" s="561"/>
      <c r="V165" s="561"/>
      <c r="W165" s="561"/>
      <c r="X165" s="577"/>
      <c r="Y165" s="561"/>
      <c r="Z165" s="561"/>
      <c r="AA165" s="561"/>
      <c r="AB165" s="561"/>
      <c r="AC165" s="577"/>
      <c r="AD165" s="561"/>
      <c r="AE165" s="561"/>
      <c r="AF165" s="561"/>
      <c r="AG165" s="561"/>
      <c r="AH165" s="577"/>
      <c r="AI165" s="561"/>
      <c r="AJ165" s="561"/>
      <c r="AK165" s="561"/>
      <c r="AL165" s="561"/>
      <c r="AM165" s="577"/>
      <c r="AN165" s="561"/>
      <c r="AO165" s="561"/>
      <c r="AP165" s="561"/>
      <c r="AQ165" s="561"/>
      <c r="AR165" s="577"/>
      <c r="AS165" s="561"/>
      <c r="AT165" s="561"/>
      <c r="AU165" s="561"/>
      <c r="AV165" s="561"/>
      <c r="AW165" s="577"/>
      <c r="AX165" s="561"/>
      <c r="AY165" s="561"/>
      <c r="AZ165" s="561"/>
      <c r="BA165" s="561"/>
      <c r="BB165" s="577"/>
      <c r="BC165" s="561"/>
      <c r="BD165" s="561"/>
      <c r="BE165" s="561"/>
      <c r="BF165" s="561"/>
      <c r="BG165" s="577"/>
      <c r="BH165" s="565">
        <f t="shared" ref="BH165:BU165" si="246">BH160+BH163</f>
        <v>885.9</v>
      </c>
      <c r="BI165" s="565">
        <f t="shared" si="246"/>
        <v>6296.5</v>
      </c>
      <c r="BJ165" s="565">
        <f t="shared" si="246"/>
        <v>6426</v>
      </c>
      <c r="BK165" s="565">
        <f t="shared" si="246"/>
        <v>7222.9</v>
      </c>
      <c r="BL165" s="564">
        <f t="shared" si="246"/>
        <v>20831.3</v>
      </c>
      <c r="BM165" s="565">
        <f t="shared" si="246"/>
        <v>7023.8</v>
      </c>
      <c r="BN165" s="565">
        <f t="shared" si="246"/>
        <v>6942.9</v>
      </c>
      <c r="BO165" s="565">
        <f t="shared" si="246"/>
        <v>6848.9</v>
      </c>
      <c r="BP165" s="565">
        <f t="shared" si="246"/>
        <v>7673.7</v>
      </c>
      <c r="BQ165" s="564">
        <f t="shared" si="246"/>
        <v>28489.300000000003</v>
      </c>
      <c r="BR165" s="565">
        <f t="shared" si="246"/>
        <v>7498.2</v>
      </c>
      <c r="BS165" s="565">
        <f t="shared" si="246"/>
        <v>8844.9000000000015</v>
      </c>
      <c r="BT165" s="565">
        <f t="shared" si="246"/>
        <v>8782.2000000000007</v>
      </c>
      <c r="BU165" s="565">
        <f t="shared" si="246"/>
        <v>9487.0565200000001</v>
      </c>
      <c r="BV165" s="564">
        <f>BV160</f>
        <v>34257.300000000003</v>
      </c>
      <c r="BW165" s="565">
        <f t="shared" ref="BW165:CZ165" si="247">BW160+BW163</f>
        <v>7670</v>
      </c>
      <c r="BX165" s="565">
        <f t="shared" si="247"/>
        <v>7630</v>
      </c>
      <c r="BY165" s="565">
        <f t="shared" si="247"/>
        <v>7615</v>
      </c>
      <c r="BZ165" s="565">
        <f t="shared" si="247"/>
        <v>7766</v>
      </c>
      <c r="CA165" s="564">
        <f t="shared" si="247"/>
        <v>30681</v>
      </c>
      <c r="CB165" s="565">
        <f t="shared" si="247"/>
        <v>9377</v>
      </c>
      <c r="CC165" s="565">
        <f t="shared" si="247"/>
        <v>9737</v>
      </c>
      <c r="CD165" s="561">
        <f t="shared" si="247"/>
        <v>10003</v>
      </c>
      <c r="CE165" s="561">
        <f t="shared" si="247"/>
        <v>10923.2</v>
      </c>
      <c r="CF165" s="577">
        <f t="shared" si="247"/>
        <v>40040.200000000004</v>
      </c>
      <c r="CG165" s="561">
        <f t="shared" si="247"/>
        <v>12584</v>
      </c>
      <c r="CH165" s="561">
        <f t="shared" si="247"/>
        <v>12624.9</v>
      </c>
      <c r="CI165" s="561">
        <f t="shared" si="247"/>
        <v>12363.5</v>
      </c>
      <c r="CJ165" s="561">
        <f t="shared" si="247"/>
        <v>12838</v>
      </c>
      <c r="CK165" s="577">
        <f t="shared" si="247"/>
        <v>50410.400000000001</v>
      </c>
      <c r="CL165" s="561">
        <f t="shared" si="247"/>
        <v>12391.976003129004</v>
      </c>
      <c r="CM165" s="561">
        <f t="shared" si="247"/>
        <v>12708.91332074184</v>
      </c>
      <c r="CN165" s="561">
        <f>CN160+CN163</f>
        <v>12965.591993242215</v>
      </c>
      <c r="CO165" s="561">
        <f>CO160+CO163</f>
        <v>13342.99646666534</v>
      </c>
      <c r="CP165" s="577">
        <f t="shared" si="247"/>
        <v>51409.477783778399</v>
      </c>
      <c r="CQ165" s="561">
        <f t="shared" si="247"/>
        <v>12692.426486602995</v>
      </c>
      <c r="CR165" s="561">
        <f t="shared" si="247"/>
        <v>14473.235760724925</v>
      </c>
      <c r="CS165" s="561">
        <f t="shared" si="247"/>
        <v>14274.073497679037</v>
      </c>
      <c r="CT165" s="561">
        <f t="shared" si="247"/>
        <v>15374.36763045688</v>
      </c>
      <c r="CU165" s="577">
        <f t="shared" si="247"/>
        <v>56814.103375463841</v>
      </c>
      <c r="CV165" s="561">
        <f t="shared" ca="1" si="247"/>
        <v>15058.9</v>
      </c>
      <c r="CW165" s="561">
        <f t="shared" ca="1" si="247"/>
        <v>15267.3</v>
      </c>
      <c r="CX165" s="561">
        <f t="shared" ca="1" si="247"/>
        <v>15716.247828439999</v>
      </c>
      <c r="CY165" s="561">
        <f ca="1">CY160+CY163</f>
        <v>16197.5</v>
      </c>
      <c r="CZ165" s="577">
        <f t="shared" ca="1" si="247"/>
        <v>62239.947828439996</v>
      </c>
      <c r="DA165" s="561">
        <f t="shared" ref="DA165:DJ165" ca="1" si="248">DA160+DA163</f>
        <v>18536.3</v>
      </c>
      <c r="DB165" s="561">
        <f ca="1">DB160+DB163</f>
        <v>18777.7</v>
      </c>
      <c r="DC165" s="561">
        <f ca="1">DC160+DC163</f>
        <v>19468.799999999996</v>
      </c>
      <c r="DD165" s="561">
        <f t="shared" ca="1" si="248"/>
        <v>20065.2</v>
      </c>
      <c r="DE165" s="577">
        <f t="shared" ca="1" si="248"/>
        <v>76848</v>
      </c>
      <c r="DF165" s="561">
        <f ca="1">DF160+DF163</f>
        <v>20301</v>
      </c>
      <c r="DG165" s="561">
        <f ca="1">DG160+DG163</f>
        <v>20741.099999999999</v>
      </c>
      <c r="DH165" s="561">
        <f ca="1">DH160+DH163</f>
        <v>21215.621085530001</v>
      </c>
      <c r="DI165" s="561">
        <f ca="1">DI160+DI163</f>
        <v>22297.118620900008</v>
      </c>
      <c r="DJ165" s="577">
        <f t="shared" ca="1" si="248"/>
        <v>84554.839706430008</v>
      </c>
      <c r="DK165" s="561">
        <f t="shared" ref="DK165:DT165" ca="1" si="249">DK160+DK163</f>
        <v>21998.324353156961</v>
      </c>
      <c r="DL165" s="561">
        <f t="shared" ca="1" si="249"/>
        <v>22384.904291376464</v>
      </c>
      <c r="DM165" s="561">
        <f t="shared" ca="1" si="249"/>
        <v>22501.030928645887</v>
      </c>
      <c r="DN165" s="561">
        <f t="shared" ca="1" si="249"/>
        <v>23213.58271443109</v>
      </c>
      <c r="DO165" s="577">
        <f t="shared" ca="1" si="249"/>
        <v>90097.842287610401</v>
      </c>
      <c r="DP165" s="561">
        <f t="shared" ca="1" si="249"/>
        <v>23033.100658121388</v>
      </c>
      <c r="DQ165" s="561">
        <f t="shared" ca="1" si="249"/>
        <v>23413.541983754818</v>
      </c>
      <c r="DR165" s="561">
        <f t="shared" ca="1" si="249"/>
        <v>23523.476875731936</v>
      </c>
      <c r="DS165" s="561">
        <f t="shared" ca="1" si="249"/>
        <v>24251.209335731855</v>
      </c>
      <c r="DT165" s="577">
        <f t="shared" ca="1" si="249"/>
        <v>94221.32885333999</v>
      </c>
      <c r="DU165" s="561">
        <f t="shared" ref="DU165:DY165" ca="1" si="250">DU160+DU163</f>
        <v>24031.543642080185</v>
      </c>
      <c r="DV165" s="561">
        <f t="shared" ca="1" si="250"/>
        <v>24399.642816940017</v>
      </c>
      <c r="DW165" s="561">
        <f t="shared" ca="1" si="250"/>
        <v>24500.987978217312</v>
      </c>
      <c r="DX165" s="561">
        <f t="shared" ca="1" si="250"/>
        <v>25239.050159021899</v>
      </c>
      <c r="DY165" s="577">
        <f t="shared" ca="1" si="250"/>
        <v>98171.224596259417</v>
      </c>
    </row>
    <row r="166" spans="1:129" ht="11.25" customHeight="1" outlineLevel="1" x14ac:dyDescent="0.2">
      <c r="A166" s="471"/>
      <c r="B166" s="844" t="s">
        <v>779</v>
      </c>
      <c r="I166" s="576"/>
      <c r="N166" s="576"/>
      <c r="S166" s="576"/>
      <c r="X166" s="576"/>
      <c r="AC166" s="576"/>
      <c r="AH166" s="576"/>
      <c r="AM166" s="576"/>
      <c r="AR166" s="576"/>
      <c r="AW166" s="576"/>
      <c r="BB166" s="576"/>
      <c r="BG166" s="576"/>
      <c r="BH166" s="846" t="str">
        <f t="shared" ref="BH166:CZ166" si="251">IF(BH12=BH165,"-",BH12-BH165)</f>
        <v>-</v>
      </c>
      <c r="BI166" s="846" t="str">
        <f t="shared" si="251"/>
        <v>-</v>
      </c>
      <c r="BJ166" s="846" t="str">
        <f t="shared" si="251"/>
        <v>-</v>
      </c>
      <c r="BK166" s="846" t="str">
        <f t="shared" si="251"/>
        <v>-</v>
      </c>
      <c r="BL166" s="847" t="str">
        <f t="shared" si="251"/>
        <v>-</v>
      </c>
      <c r="BM166" s="846" t="str">
        <f t="shared" si="251"/>
        <v>-</v>
      </c>
      <c r="BN166" s="846" t="str">
        <f t="shared" si="251"/>
        <v>-</v>
      </c>
      <c r="BO166" s="846" t="str">
        <f t="shared" si="251"/>
        <v>-</v>
      </c>
      <c r="BP166" s="846" t="str">
        <f t="shared" si="251"/>
        <v>-</v>
      </c>
      <c r="BQ166" s="847" t="str">
        <f t="shared" si="251"/>
        <v>-</v>
      </c>
      <c r="BR166" s="846" t="str">
        <f t="shared" si="251"/>
        <v>-</v>
      </c>
      <c r="BS166" s="846" t="str">
        <f t="shared" si="251"/>
        <v>-</v>
      </c>
      <c r="BT166" s="846" t="str">
        <f t="shared" si="251"/>
        <v>-</v>
      </c>
      <c r="BU166" s="848">
        <f t="shared" si="251"/>
        <v>-355.05652000000009</v>
      </c>
      <c r="BV166" s="847" t="str">
        <f t="shared" si="251"/>
        <v>-</v>
      </c>
      <c r="BW166" s="846" t="str">
        <f t="shared" si="251"/>
        <v>-</v>
      </c>
      <c r="BX166" s="846" t="str">
        <f t="shared" si="251"/>
        <v>-</v>
      </c>
      <c r="BY166" s="846" t="str">
        <f t="shared" si="251"/>
        <v>-</v>
      </c>
      <c r="BZ166" s="846" t="str">
        <f t="shared" si="251"/>
        <v>-</v>
      </c>
      <c r="CA166" s="847" t="str">
        <f t="shared" si="251"/>
        <v>-</v>
      </c>
      <c r="CB166" s="846" t="str">
        <f t="shared" si="251"/>
        <v>-</v>
      </c>
      <c r="CC166" s="846" t="str">
        <f t="shared" si="251"/>
        <v>-</v>
      </c>
      <c r="CD166" s="846" t="str">
        <f t="shared" si="251"/>
        <v>-</v>
      </c>
      <c r="CE166" s="846" t="str">
        <f t="shared" si="251"/>
        <v>-</v>
      </c>
      <c r="CF166" s="847" t="str">
        <f t="shared" si="251"/>
        <v>-</v>
      </c>
      <c r="CG166" s="846" t="str">
        <f t="shared" si="251"/>
        <v>-</v>
      </c>
      <c r="CH166" s="846" t="str">
        <f t="shared" si="251"/>
        <v>-</v>
      </c>
      <c r="CI166" s="846" t="str">
        <f t="shared" si="251"/>
        <v>-</v>
      </c>
      <c r="CJ166" s="846" t="str">
        <f t="shared" si="251"/>
        <v>-</v>
      </c>
      <c r="CK166" s="847" t="str">
        <f t="shared" si="251"/>
        <v>-</v>
      </c>
      <c r="CL166" s="1618">
        <f t="shared" si="251"/>
        <v>2.3996870995688369E-2</v>
      </c>
      <c r="CM166" s="1618">
        <f t="shared" si="251"/>
        <v>-1.3320741840288974E-2</v>
      </c>
      <c r="CN166" s="1618">
        <f>IF(CN12=CN165,"-",CN12-CN165)</f>
        <v>97.20800675778446</v>
      </c>
      <c r="CO166" s="1618">
        <f>IF(CO12=CO165,"-",CO12-CO165)</f>
        <v>-295.0964666653399</v>
      </c>
      <c r="CP166" s="847">
        <f t="shared" si="251"/>
        <v>-197.87778377840004</v>
      </c>
      <c r="CQ166" s="846">
        <f t="shared" si="251"/>
        <v>609.87351339700399</v>
      </c>
      <c r="CR166" s="846">
        <f t="shared" si="251"/>
        <v>-447.83576072492542</v>
      </c>
      <c r="CS166" s="846">
        <f t="shared" si="251"/>
        <v>146.22650232096203</v>
      </c>
      <c r="CT166" s="846">
        <f t="shared" si="251"/>
        <v>-0.16763045687912381</v>
      </c>
      <c r="CU166" s="847">
        <f t="shared" si="251"/>
        <v>308.09662453615601</v>
      </c>
      <c r="CV166" s="846" t="str">
        <f t="shared" ca="1" si="251"/>
        <v>-</v>
      </c>
      <c r="CW166" s="846" t="str">
        <f t="shared" ca="1" si="251"/>
        <v>-</v>
      </c>
      <c r="CX166" s="846" t="str">
        <f t="shared" ca="1" si="251"/>
        <v>-</v>
      </c>
      <c r="CY166" s="846" t="str">
        <f ca="1">IF(CY12=CY165,"-",CY12-CY165)</f>
        <v>-</v>
      </c>
      <c r="CZ166" s="847" t="str">
        <f t="shared" ca="1" si="251"/>
        <v>-</v>
      </c>
      <c r="DA166" s="846" t="str">
        <f t="shared" ref="DA166:DJ166" ca="1" si="252">IF(DA12=DA165,"-",DA12-DA165)</f>
        <v>-</v>
      </c>
      <c r="DB166" s="846" t="str">
        <f ca="1">IF(DB12=DB165,"-",DB12-DB165)</f>
        <v>-</v>
      </c>
      <c r="DC166" s="846" t="str">
        <f ca="1">IF(DC12=DC165,"-",DC12-DC165)</f>
        <v>-</v>
      </c>
      <c r="DD166" s="846" t="str">
        <f t="shared" ca="1" si="252"/>
        <v>-</v>
      </c>
      <c r="DE166" s="847" t="str">
        <f t="shared" ca="1" si="252"/>
        <v>-</v>
      </c>
      <c r="DF166" s="846" t="str">
        <f ca="1">IF(DF12=DF165,"-",DF12-DF165)</f>
        <v>-</v>
      </c>
      <c r="DG166" s="846" t="str">
        <f ca="1">IF(DG12=DG165,"-",DG12-DG165)</f>
        <v>-</v>
      </c>
      <c r="DH166" s="846" t="str">
        <f ca="1">IF(DH12=DH165,"-",DH12-DH165)</f>
        <v>-</v>
      </c>
      <c r="DI166" s="846" t="str">
        <f ca="1">IF(DI12=DI165,"-",DI12-DI165)</f>
        <v>-</v>
      </c>
      <c r="DJ166" s="847" t="str">
        <f t="shared" ca="1" si="252"/>
        <v>-</v>
      </c>
      <c r="DK166" s="846" t="str">
        <f t="shared" ref="DK166:DT166" ca="1" si="253">IF(DK12=DK165,"-",DK12-DK165)</f>
        <v>-</v>
      </c>
      <c r="DL166" s="846" t="str">
        <f t="shared" ca="1" si="253"/>
        <v>-</v>
      </c>
      <c r="DM166" s="846" t="str">
        <f t="shared" ca="1" si="253"/>
        <v>-</v>
      </c>
      <c r="DN166" s="846" t="str">
        <f t="shared" ca="1" si="253"/>
        <v>-</v>
      </c>
      <c r="DO166" s="847" t="str">
        <f t="shared" ca="1" si="253"/>
        <v>-</v>
      </c>
      <c r="DP166" s="846" t="str">
        <f t="shared" ca="1" si="253"/>
        <v>-</v>
      </c>
      <c r="DQ166" s="846" t="str">
        <f t="shared" ca="1" si="253"/>
        <v>-</v>
      </c>
      <c r="DR166" s="846" t="str">
        <f t="shared" ca="1" si="253"/>
        <v>-</v>
      </c>
      <c r="DS166" s="846" t="str">
        <f t="shared" ca="1" si="253"/>
        <v>-</v>
      </c>
      <c r="DT166" s="847" t="str">
        <f t="shared" ca="1" si="253"/>
        <v>-</v>
      </c>
      <c r="DU166" s="846" t="str">
        <f t="shared" ref="DU166:DY166" ca="1" si="254">IF(DU12=DU165,"-",DU12-DU165)</f>
        <v>-</v>
      </c>
      <c r="DV166" s="846" t="str">
        <f t="shared" ca="1" si="254"/>
        <v>-</v>
      </c>
      <c r="DW166" s="846" t="str">
        <f t="shared" ca="1" si="254"/>
        <v>-</v>
      </c>
      <c r="DX166" s="846" t="str">
        <f t="shared" ca="1" si="254"/>
        <v>-</v>
      </c>
      <c r="DY166" s="847" t="str">
        <f t="shared" ca="1" si="254"/>
        <v>-</v>
      </c>
    </row>
    <row r="167" spans="1:129" ht="6" customHeight="1" outlineLevel="1" x14ac:dyDescent="0.2">
      <c r="A167" s="471"/>
      <c r="B167" s="844"/>
      <c r="I167" s="576"/>
      <c r="N167" s="576"/>
      <c r="S167" s="576"/>
      <c r="X167" s="576"/>
      <c r="AC167" s="576"/>
      <c r="AH167" s="576"/>
      <c r="AM167" s="576"/>
      <c r="AR167" s="576"/>
      <c r="AW167" s="576"/>
      <c r="BB167" s="576"/>
      <c r="BG167" s="576"/>
      <c r="BL167" s="576"/>
      <c r="BQ167" s="576"/>
      <c r="BV167" s="576"/>
      <c r="CA167" s="576"/>
      <c r="CF167" s="576"/>
      <c r="CK167" s="576"/>
      <c r="CP167" s="576"/>
      <c r="CU167" s="576"/>
      <c r="CY167" s="2575"/>
      <c r="CZ167" s="576"/>
      <c r="DB167" s="2614"/>
      <c r="DC167" s="2631"/>
      <c r="DE167" s="576"/>
      <c r="DF167" s="2683"/>
      <c r="DH167" s="2734"/>
      <c r="DI167" s="2795"/>
      <c r="DJ167" s="576"/>
      <c r="DO167" s="576"/>
      <c r="DT167" s="576"/>
      <c r="DY167" s="576"/>
    </row>
    <row r="168" spans="1:129" ht="11.25" customHeight="1" x14ac:dyDescent="0.2">
      <c r="A168" s="526"/>
      <c r="B168" s="756" t="s">
        <v>780</v>
      </c>
      <c r="C168" s="597"/>
      <c r="D168" s="597"/>
      <c r="E168" s="743"/>
      <c r="F168" s="743"/>
      <c r="G168" s="743"/>
      <c r="H168" s="743"/>
      <c r="I168" s="598"/>
      <c r="J168" s="743"/>
      <c r="K168" s="743"/>
      <c r="L168" s="743"/>
      <c r="M168" s="743"/>
      <c r="N168" s="598"/>
      <c r="O168" s="743"/>
      <c r="P168" s="743"/>
      <c r="Q168" s="743"/>
      <c r="R168" s="743"/>
      <c r="S168" s="598"/>
      <c r="T168" s="743"/>
      <c r="U168" s="743"/>
      <c r="V168" s="743"/>
      <c r="W168" s="743"/>
      <c r="X168" s="598"/>
      <c r="Y168" s="743"/>
      <c r="Z168" s="743"/>
      <c r="AA168" s="743"/>
      <c r="AB168" s="743"/>
      <c r="AC168" s="598"/>
      <c r="AD168" s="743"/>
      <c r="AE168" s="743"/>
      <c r="AF168" s="743"/>
      <c r="AG168" s="743"/>
      <c r="AH168" s="598"/>
      <c r="AI168" s="743"/>
      <c r="AJ168" s="743"/>
      <c r="AK168" s="743"/>
      <c r="AL168" s="743"/>
      <c r="AM168" s="598"/>
      <c r="AN168" s="743"/>
      <c r="AO168" s="743"/>
      <c r="AP168" s="743"/>
      <c r="AQ168" s="743"/>
      <c r="AR168" s="598"/>
      <c r="AS168" s="743"/>
      <c r="AT168" s="743"/>
      <c r="AU168" s="743"/>
      <c r="AV168" s="743"/>
      <c r="AW168" s="598"/>
      <c r="AX168" s="743"/>
      <c r="AY168" s="743"/>
      <c r="AZ168" s="743"/>
      <c r="BA168" s="743"/>
      <c r="BB168" s="598"/>
      <c r="BC168" s="743"/>
      <c r="BD168" s="743"/>
      <c r="BE168" s="743"/>
      <c r="BF168" s="743"/>
      <c r="BG168" s="598"/>
      <c r="BH168" s="743"/>
      <c r="BI168" s="743"/>
      <c r="BJ168" s="743"/>
      <c r="BK168" s="743"/>
      <c r="BL168" s="580"/>
      <c r="BM168" s="743"/>
      <c r="BN168" s="743"/>
      <c r="BO168" s="743"/>
      <c r="BP168" s="743"/>
      <c r="BQ168" s="580"/>
      <c r="BR168" s="743"/>
      <c r="BS168" s="743"/>
      <c r="BT168" s="743"/>
      <c r="BU168" s="743"/>
      <c r="BV168" s="580"/>
      <c r="BW168" s="743"/>
      <c r="BX168" s="743"/>
      <c r="BY168" s="743"/>
      <c r="BZ168" s="743"/>
      <c r="CA168" s="580"/>
      <c r="CB168" s="743"/>
      <c r="CC168" s="743"/>
      <c r="CD168" s="743"/>
      <c r="CE168" s="743"/>
      <c r="CF168" s="849"/>
      <c r="CG168" s="743"/>
      <c r="CH168" s="743"/>
      <c r="CI168" s="743"/>
      <c r="CJ168" s="743"/>
      <c r="CK168" s="580"/>
      <c r="CL168" s="743"/>
      <c r="CM168" s="743"/>
      <c r="CN168" s="743"/>
      <c r="CO168" s="743"/>
      <c r="CP168" s="580"/>
      <c r="CQ168" s="743"/>
      <c r="CR168" s="743"/>
      <c r="CS168" s="743"/>
      <c r="CT168" s="743"/>
      <c r="CU168" s="580"/>
      <c r="CV168" s="743"/>
      <c r="CW168" s="743"/>
      <c r="CX168" s="743"/>
      <c r="CY168" s="743"/>
      <c r="CZ168" s="580"/>
      <c r="DA168" s="743"/>
      <c r="DB168" s="743"/>
      <c r="DC168" s="743"/>
      <c r="DD168" s="743"/>
      <c r="DE168" s="580"/>
      <c r="DF168" s="743"/>
      <c r="DG168" s="743"/>
      <c r="DH168" s="743"/>
      <c r="DI168" s="2818"/>
      <c r="DJ168" s="580"/>
      <c r="DK168" s="743"/>
      <c r="DL168" s="743"/>
      <c r="DM168" s="743"/>
      <c r="DN168" s="743"/>
      <c r="DO168" s="580"/>
      <c r="DP168" s="743"/>
      <c r="DQ168" s="743"/>
      <c r="DR168" s="743"/>
      <c r="DS168" s="743"/>
      <c r="DT168" s="580"/>
      <c r="DU168" s="743"/>
      <c r="DV168" s="743"/>
      <c r="DW168" s="743"/>
      <c r="DX168" s="743"/>
      <c r="DY168" s="580"/>
    </row>
    <row r="169" spans="1:129" ht="11.25" customHeight="1" x14ac:dyDescent="0.2">
      <c r="A169" s="471"/>
      <c r="B169" s="833" t="s">
        <v>744</v>
      </c>
      <c r="C169" s="550"/>
      <c r="D169" s="550"/>
      <c r="E169" s="550"/>
      <c r="F169" s="550"/>
      <c r="G169" s="550"/>
      <c r="H169" s="550"/>
      <c r="I169" s="551"/>
      <c r="J169" s="550"/>
      <c r="K169" s="550"/>
      <c r="L169" s="550"/>
      <c r="M169" s="550"/>
      <c r="N169" s="551"/>
      <c r="O169" s="550"/>
      <c r="P169" s="550"/>
      <c r="Q169" s="550"/>
      <c r="R169" s="550"/>
      <c r="S169" s="551"/>
      <c r="T169" s="550"/>
      <c r="U169" s="550"/>
      <c r="V169" s="550"/>
      <c r="W169" s="550"/>
      <c r="X169" s="551"/>
      <c r="Y169" s="550"/>
      <c r="Z169" s="550"/>
      <c r="AA169" s="550"/>
      <c r="AB169" s="550"/>
      <c r="AC169" s="551"/>
      <c r="AD169" s="550"/>
      <c r="AE169" s="550"/>
      <c r="AF169" s="550"/>
      <c r="AG169" s="550"/>
      <c r="AH169" s="551"/>
      <c r="AI169" s="550"/>
      <c r="AJ169" s="550"/>
      <c r="AK169" s="550"/>
      <c r="AL169" s="550"/>
      <c r="AM169" s="551"/>
      <c r="AN169" s="550"/>
      <c r="AO169" s="550"/>
      <c r="AP169" s="550"/>
      <c r="AQ169" s="550"/>
      <c r="AR169" s="551"/>
      <c r="AS169" s="550"/>
      <c r="AT169" s="550"/>
      <c r="AU169" s="550"/>
      <c r="AV169" s="550"/>
      <c r="AW169" s="551"/>
      <c r="AX169" s="550"/>
      <c r="AY169" s="550"/>
      <c r="AZ169" s="550"/>
      <c r="BA169" s="550"/>
      <c r="BB169" s="551"/>
      <c r="BC169" s="550"/>
      <c r="BD169" s="550"/>
      <c r="BE169" s="550"/>
      <c r="BF169" s="550"/>
      <c r="BG169" s="551"/>
      <c r="BH169" s="574">
        <f t="shared" ref="BH169:BK170" si="255">BH130*BH77</f>
        <v>221.25413</v>
      </c>
      <c r="BI169" s="574">
        <f t="shared" si="255"/>
        <v>722.03964683897323</v>
      </c>
      <c r="BJ169" s="574">
        <f t="shared" si="255"/>
        <v>713.13064412342135</v>
      </c>
      <c r="BK169" s="574">
        <f t="shared" si="255"/>
        <v>703.03973476751673</v>
      </c>
      <c r="BL169" s="553">
        <f>SUM(BH169:BK169)</f>
        <v>2359.4641557299115</v>
      </c>
      <c r="BM169" s="574">
        <f t="shared" ref="BM169:BP170" si="256">BM130*BM77</f>
        <v>577.14960856047446</v>
      </c>
      <c r="BN169" s="574">
        <f t="shared" si="256"/>
        <v>596.36245232200054</v>
      </c>
      <c r="BO169" s="574">
        <f t="shared" si="256"/>
        <v>634.08839033247557</v>
      </c>
      <c r="BP169" s="574">
        <f t="shared" si="256"/>
        <v>692.44344970566306</v>
      </c>
      <c r="BQ169" s="553">
        <f>SUM(BM169:BP169)</f>
        <v>2500.0439009206139</v>
      </c>
      <c r="BR169" s="574">
        <f t="shared" ref="BR169:BU170" si="257">BR130*BR77</f>
        <v>682.55169046774381</v>
      </c>
      <c r="BS169" s="574">
        <f t="shared" si="257"/>
        <v>716.55573415513754</v>
      </c>
      <c r="BT169" s="574">
        <f t="shared" si="257"/>
        <v>720.38478489024078</v>
      </c>
      <c r="BU169" s="574">
        <f t="shared" si="257"/>
        <v>740.57601006519883</v>
      </c>
      <c r="BV169" s="553">
        <f>SUM(BR169:BU169)</f>
        <v>2860.0682195783211</v>
      </c>
      <c r="BW169" s="574">
        <f t="shared" ref="BW169:BZ170" si="258">BW130*BW77</f>
        <v>705.09167467002635</v>
      </c>
      <c r="BX169" s="574">
        <f t="shared" si="258"/>
        <v>755.10108020000007</v>
      </c>
      <c r="BY169" s="574">
        <f t="shared" si="258"/>
        <v>779.01681010346329</v>
      </c>
      <c r="BZ169" s="574">
        <f t="shared" si="258"/>
        <v>794.17039651664959</v>
      </c>
      <c r="CA169" s="553">
        <f>SUM(BW169:BZ169)</f>
        <v>3033.3799614901391</v>
      </c>
      <c r="CB169" s="574">
        <f t="shared" ref="CB169:CE170" si="259">CB130*CB77</f>
        <v>852.47510113986789</v>
      </c>
      <c r="CC169" s="574">
        <f t="shared" si="259"/>
        <v>889.95345986872098</v>
      </c>
      <c r="CD169" s="574">
        <f t="shared" si="259"/>
        <v>861.99920246733939</v>
      </c>
      <c r="CE169" s="550">
        <f t="shared" si="259"/>
        <v>960.82676439658189</v>
      </c>
      <c r="CF169" s="551">
        <f>SUM(CB169:CE169)</f>
        <v>3565.2545278725102</v>
      </c>
      <c r="CG169" s="550">
        <f t="shared" ref="CG169:CJ170" si="260">CG130*CG77</f>
        <v>1100.8560576850414</v>
      </c>
      <c r="CH169" s="550">
        <f t="shared" si="260"/>
        <v>1176.6787272341435</v>
      </c>
      <c r="CI169" s="550">
        <f t="shared" si="260"/>
        <v>1188.0672917353475</v>
      </c>
      <c r="CJ169" s="550">
        <f t="shared" si="260"/>
        <v>1416.2627020901602</v>
      </c>
      <c r="CK169" s="551">
        <f>SUM(CG169:CJ169)</f>
        <v>4881.8647787446926</v>
      </c>
      <c r="CL169" s="550">
        <f t="shared" ref="CL169:CN170" si="261">CL130*CL77</f>
        <v>1245.368942353193</v>
      </c>
      <c r="CM169" s="550">
        <f t="shared" si="261"/>
        <v>1300.395294473097</v>
      </c>
      <c r="CN169" s="550">
        <f t="shared" si="261"/>
        <v>1364.1167416722637</v>
      </c>
      <c r="CO169" s="550">
        <f>CO130*CO77</f>
        <v>1603.9440685372995</v>
      </c>
      <c r="CP169" s="551">
        <f>SUM(CL169:CO169)</f>
        <v>5513.8250470358535</v>
      </c>
      <c r="CQ169" s="550">
        <f t="shared" ref="CQ169:CT170" si="262">CQ130*CQ77</f>
        <v>1617.6179937512795</v>
      </c>
      <c r="CR169" s="550">
        <f t="shared" si="262"/>
        <v>1394.1875876139077</v>
      </c>
      <c r="CS169" s="550">
        <f t="shared" si="262"/>
        <v>1455.799503556311</v>
      </c>
      <c r="CT169" s="550">
        <f t="shared" si="262"/>
        <v>1802.350035372611</v>
      </c>
      <c r="CU169" s="551">
        <f>SUM(CQ169:CT169)</f>
        <v>6269.9551202941093</v>
      </c>
      <c r="CV169" s="550">
        <f t="shared" ref="CV169:CX170" ca="1" si="263">CV130*CV77</f>
        <v>1786.2683738523499</v>
      </c>
      <c r="CW169" s="550">
        <f t="shared" ca="1" si="263"/>
        <v>1634.2330046871973</v>
      </c>
      <c r="CX169" s="550">
        <f t="shared" ca="1" si="263"/>
        <v>1742.2985269995379</v>
      </c>
      <c r="CY169" s="550">
        <f ca="1">CY130*CY77</f>
        <v>2118.4263860153237</v>
      </c>
      <c r="CZ169" s="551">
        <f ca="1">SUM(CV169:CY169)</f>
        <v>7281.2262915544088</v>
      </c>
      <c r="DA169" s="550">
        <f t="shared" ref="DA169:DD170" ca="1" si="264">DA130*DA77</f>
        <v>2032.9791766521996</v>
      </c>
      <c r="DB169" s="550">
        <f ca="1">DB130*DB77</f>
        <v>1919.1164122793705</v>
      </c>
      <c r="DC169" s="550">
        <f ca="1">DC130*DC77</f>
        <v>1985.8508671744696</v>
      </c>
      <c r="DD169" s="550">
        <f t="shared" ca="1" si="264"/>
        <v>2372.4608251138206</v>
      </c>
      <c r="DE169" s="551">
        <f ca="1">SUM(DA169:DD169)</f>
        <v>8310.407281219861</v>
      </c>
      <c r="DF169" s="550">
        <f t="shared" ref="DF169:DI170" ca="1" si="265">DF130*DF77</f>
        <v>2164.2553895180263</v>
      </c>
      <c r="DG169" s="550">
        <f t="shared" ca="1" si="265"/>
        <v>2296.9513766460291</v>
      </c>
      <c r="DH169" s="550">
        <f t="shared" ca="1" si="265"/>
        <v>2312.3142783037865</v>
      </c>
      <c r="DI169" s="550">
        <f t="shared" ca="1" si="265"/>
        <v>2346.107958889439</v>
      </c>
      <c r="DJ169" s="551">
        <f ca="1">SUM(DF169:DI169)</f>
        <v>9119.6290033572805</v>
      </c>
      <c r="DK169" s="550">
        <f t="shared" ref="DK169:DN170" ca="1" si="266">DK130*DK77</f>
        <v>2203.8475245350469</v>
      </c>
      <c r="DL169" s="550">
        <f t="shared" ca="1" si="266"/>
        <v>2235.801247885312</v>
      </c>
      <c r="DM169" s="550">
        <f t="shared" ca="1" si="266"/>
        <v>2255.5705473387097</v>
      </c>
      <c r="DN169" s="550">
        <f t="shared" ca="1" si="266"/>
        <v>2300.4009289936121</v>
      </c>
      <c r="DO169" s="551">
        <f ca="1">SUM(DK169:DN169)</f>
        <v>8995.6202487526807</v>
      </c>
      <c r="DP169" s="550">
        <f t="shared" ref="DP169:DS170" ca="1" si="267">DP130*DP77</f>
        <v>2356.8462545959051</v>
      </c>
      <c r="DQ169" s="550">
        <f t="shared" ca="1" si="267"/>
        <v>2390.8223923247883</v>
      </c>
      <c r="DR169" s="550">
        <f t="shared" ca="1" si="267"/>
        <v>2411.7689003973201</v>
      </c>
      <c r="DS169" s="550">
        <f t="shared" ca="1" si="267"/>
        <v>2459.5114882129596</v>
      </c>
      <c r="DT169" s="551">
        <f ca="1">SUM(DP169:DS169)</f>
        <v>9618.9490355309736</v>
      </c>
      <c r="DU169" s="550">
        <f t="shared" ref="DU169:DX169" ca="1" si="268">DU130*DU77</f>
        <v>2519.6691313189749</v>
      </c>
      <c r="DV169" s="550">
        <f t="shared" ca="1" si="268"/>
        <v>2555.7903752259353</v>
      </c>
      <c r="DW169" s="550">
        <f t="shared" ca="1" si="268"/>
        <v>2577.9825373627104</v>
      </c>
      <c r="DX169" s="550">
        <f t="shared" ca="1" si="268"/>
        <v>2628.8170053778254</v>
      </c>
      <c r="DY169" s="551">
        <f ca="1">SUM(DU169:DX169)</f>
        <v>10282.259049285445</v>
      </c>
    </row>
    <row r="170" spans="1:129" ht="11.25" customHeight="1" x14ac:dyDescent="0.2">
      <c r="A170" s="471"/>
      <c r="B170" s="833" t="s">
        <v>745</v>
      </c>
      <c r="C170" s="555"/>
      <c r="D170" s="555"/>
      <c r="E170" s="555"/>
      <c r="F170" s="555"/>
      <c r="G170" s="555"/>
      <c r="H170" s="555"/>
      <c r="I170" s="556"/>
      <c r="J170" s="555"/>
      <c r="K170" s="555"/>
      <c r="L170" s="555"/>
      <c r="M170" s="555"/>
      <c r="N170" s="556"/>
      <c r="O170" s="555"/>
      <c r="P170" s="555"/>
      <c r="Q170" s="555"/>
      <c r="R170" s="555"/>
      <c r="S170" s="556"/>
      <c r="T170" s="555"/>
      <c r="U170" s="555"/>
      <c r="V170" s="555"/>
      <c r="W170" s="555"/>
      <c r="X170" s="556"/>
      <c r="Y170" s="555"/>
      <c r="Z170" s="555"/>
      <c r="AA170" s="555"/>
      <c r="AB170" s="555"/>
      <c r="AC170" s="556"/>
      <c r="AD170" s="555"/>
      <c r="AE170" s="555"/>
      <c r="AF170" s="555"/>
      <c r="AG170" s="555"/>
      <c r="AH170" s="556"/>
      <c r="AI170" s="555"/>
      <c r="AJ170" s="555"/>
      <c r="AK170" s="555"/>
      <c r="AL170" s="555"/>
      <c r="AM170" s="556"/>
      <c r="AN170" s="555"/>
      <c r="AO170" s="555"/>
      <c r="AP170" s="555"/>
      <c r="AQ170" s="555"/>
      <c r="AR170" s="556"/>
      <c r="AS170" s="555"/>
      <c r="AT170" s="555"/>
      <c r="AU170" s="555"/>
      <c r="AV170" s="555"/>
      <c r="AW170" s="556"/>
      <c r="AX170" s="555"/>
      <c r="AY170" s="555"/>
      <c r="AZ170" s="555"/>
      <c r="BA170" s="555"/>
      <c r="BB170" s="556"/>
      <c r="BC170" s="555"/>
      <c r="BD170" s="555"/>
      <c r="BE170" s="555"/>
      <c r="BF170" s="555"/>
      <c r="BG170" s="556"/>
      <c r="BH170" s="695">
        <f t="shared" si="255"/>
        <v>988.44587000000001</v>
      </c>
      <c r="BI170" s="695">
        <f t="shared" si="255"/>
        <v>3449.6603531610267</v>
      </c>
      <c r="BJ170" s="695">
        <f t="shared" si="255"/>
        <v>3438.3693558765785</v>
      </c>
      <c r="BK170" s="695">
        <f t="shared" si="255"/>
        <v>3599.6602652324832</v>
      </c>
      <c r="BL170" s="558">
        <f>SUM(BH170:BK170)</f>
        <v>11476.135844270089</v>
      </c>
      <c r="BM170" s="695">
        <f t="shared" si="256"/>
        <v>3069.9503914395254</v>
      </c>
      <c r="BN170" s="695">
        <f t="shared" si="256"/>
        <v>3024.4375476779996</v>
      </c>
      <c r="BO170" s="695">
        <f t="shared" si="256"/>
        <v>2983.1116096675241</v>
      </c>
      <c r="BP170" s="695">
        <f t="shared" si="256"/>
        <v>3323.5565502943368</v>
      </c>
      <c r="BQ170" s="558">
        <f>SUM(BM170:BP170)</f>
        <v>12401.056099079387</v>
      </c>
      <c r="BR170" s="695">
        <f t="shared" si="257"/>
        <v>3272.4483095322562</v>
      </c>
      <c r="BS170" s="695">
        <f t="shared" si="257"/>
        <v>3356.1442658448623</v>
      </c>
      <c r="BT170" s="695">
        <f t="shared" si="257"/>
        <v>3436.115215109759</v>
      </c>
      <c r="BU170" s="695">
        <f t="shared" si="257"/>
        <v>3532.4239899348013</v>
      </c>
      <c r="BV170" s="558">
        <f>SUM(BR170:BU170)</f>
        <v>13597.13178042168</v>
      </c>
      <c r="BW170" s="695">
        <f t="shared" si="258"/>
        <v>3372.9083253299741</v>
      </c>
      <c r="BX170" s="695">
        <f t="shared" si="258"/>
        <v>3355.8989197999999</v>
      </c>
      <c r="BY170" s="574">
        <f t="shared" si="258"/>
        <v>3417.9831898965372</v>
      </c>
      <c r="BZ170" s="574">
        <f t="shared" si="258"/>
        <v>3494.8296034833506</v>
      </c>
      <c r="CA170" s="553">
        <f>SUM(BW170:BZ170)</f>
        <v>13641.620038509862</v>
      </c>
      <c r="CB170" s="574">
        <f t="shared" si="259"/>
        <v>3682.524898860132</v>
      </c>
      <c r="CC170" s="574">
        <f t="shared" si="259"/>
        <v>3863.046540131279</v>
      </c>
      <c r="CD170" s="574">
        <f t="shared" si="259"/>
        <v>3879.0007975326603</v>
      </c>
      <c r="CE170" s="550">
        <f t="shared" si="259"/>
        <v>3939.9732356034187</v>
      </c>
      <c r="CF170" s="551">
        <f>SUM(CB170:CE170)</f>
        <v>15364.545472127489</v>
      </c>
      <c r="CG170" s="550">
        <f t="shared" si="260"/>
        <v>4565.1439423149586</v>
      </c>
      <c r="CH170" s="550">
        <f t="shared" si="260"/>
        <v>4567.3212727658565</v>
      </c>
      <c r="CI170" s="550">
        <f t="shared" si="260"/>
        <v>4486.5327082646527</v>
      </c>
      <c r="CJ170" s="550">
        <f t="shared" si="260"/>
        <v>4342.73729790984</v>
      </c>
      <c r="CK170" s="551">
        <f>SUM(CG170:CJ170)</f>
        <v>17961.735221255309</v>
      </c>
      <c r="CL170" s="550">
        <f t="shared" si="261"/>
        <v>4623.3343681830811</v>
      </c>
      <c r="CM170" s="550">
        <f t="shared" si="261"/>
        <v>4735.4727291707413</v>
      </c>
      <c r="CN170" s="550">
        <f>CN131*CN78</f>
        <v>5006.8787703419566</v>
      </c>
      <c r="CO170" s="550">
        <f>CO131*CO78</f>
        <v>5026.559138540475</v>
      </c>
      <c r="CP170" s="551">
        <f>SUM(CL170:CO170)</f>
        <v>19392.245006236255</v>
      </c>
      <c r="CQ170" s="550">
        <f t="shared" si="262"/>
        <v>5191.5561888057009</v>
      </c>
      <c r="CR170" s="550">
        <f t="shared" si="262"/>
        <v>6300.5023198414638</v>
      </c>
      <c r="CS170" s="550">
        <f>CS131*CS78</f>
        <v>6635.7673018697724</v>
      </c>
      <c r="CT170" s="550">
        <f>CT131*CT78</f>
        <v>6665.9254628756307</v>
      </c>
      <c r="CU170" s="551">
        <f>SUM(CQ170:CT170)</f>
        <v>24793.751273392569</v>
      </c>
      <c r="CV170" s="550">
        <f t="shared" ca="1" si="263"/>
        <v>6963.7316261476508</v>
      </c>
      <c r="CW170" s="550">
        <f t="shared" ca="1" si="263"/>
        <v>7472.4669953128032</v>
      </c>
      <c r="CX170" s="550">
        <f t="shared" ca="1" si="263"/>
        <v>7993.0292889004631</v>
      </c>
      <c r="CY170" s="550">
        <f ca="1">CY131*CY78</f>
        <v>8116.9736139846755</v>
      </c>
      <c r="CZ170" s="551">
        <f ca="1">SUM(CV170:CY170)</f>
        <v>30546.201524345593</v>
      </c>
      <c r="DA170" s="550">
        <f t="shared" ca="1" si="264"/>
        <v>8116.5208233478006</v>
      </c>
      <c r="DB170" s="550">
        <f ca="1">DB131*DB78</f>
        <v>8726.9835877206297</v>
      </c>
      <c r="DC170" s="550">
        <f ca="1">DC131*DC78</f>
        <v>8886.3491328255313</v>
      </c>
      <c r="DD170" s="550">
        <f t="shared" ca="1" si="264"/>
        <v>8742.7391748861792</v>
      </c>
      <c r="DE170" s="551">
        <f ca="1">SUM(DA170:DD170)</f>
        <v>34472.592718780143</v>
      </c>
      <c r="DF170" s="550">
        <f t="shared" ca="1" si="265"/>
        <v>8683.4446104819745</v>
      </c>
      <c r="DG170" s="550">
        <f t="shared" ca="1" si="265"/>
        <v>9215.8486233539697</v>
      </c>
      <c r="DH170" s="550">
        <f t="shared" ca="1" si="265"/>
        <v>9277.4877932262152</v>
      </c>
      <c r="DI170" s="550">
        <f t="shared" ca="1" si="265"/>
        <v>9413.0750972805599</v>
      </c>
      <c r="DJ170" s="551">
        <f ca="1">SUM(DF170:DI170)</f>
        <v>36589.856124342725</v>
      </c>
      <c r="DK170" s="550">
        <f t="shared" ca="1" si="266"/>
        <v>7906.3688073883159</v>
      </c>
      <c r="DL170" s="550">
        <f t="shared" ca="1" si="266"/>
        <v>10178.890454598934</v>
      </c>
      <c r="DM170" s="550">
        <f t="shared" ca="1" si="266"/>
        <v>10121.992422255391</v>
      </c>
      <c r="DN170" s="550">
        <f t="shared" ca="1" si="266"/>
        <v>9986.6339705470582</v>
      </c>
      <c r="DO170" s="551">
        <f ca="1">SUM(DK170:DN170)</f>
        <v>38193.885654789701</v>
      </c>
      <c r="DP170" s="550">
        <f t="shared" ca="1" si="267"/>
        <v>8334.9148078242506</v>
      </c>
      <c r="DQ170" s="550">
        <f t="shared" ca="1" si="267"/>
        <v>10704.209185499183</v>
      </c>
      <c r="DR170" s="550">
        <f t="shared" ca="1" si="267"/>
        <v>10617.155006135214</v>
      </c>
      <c r="DS170" s="550">
        <f t="shared" ca="1" si="267"/>
        <v>10447.458405640229</v>
      </c>
      <c r="DT170" s="551">
        <f ca="1">SUM(DP170:DS170)</f>
        <v>40103.737405098873</v>
      </c>
      <c r="DU170" s="550">
        <f t="shared" ref="DU170:DX170" ca="1" si="269">DU131*DU78</f>
        <v>8695.66527857449</v>
      </c>
      <c r="DV170" s="550">
        <f t="shared" ca="1" si="269"/>
        <v>11133.717500920753</v>
      </c>
      <c r="DW170" s="550">
        <f t="shared" ca="1" si="269"/>
        <v>11008.250767752848</v>
      </c>
      <c r="DX170" s="550">
        <f t="shared" ca="1" si="269"/>
        <v>10796.655249390195</v>
      </c>
      <c r="DY170" s="551">
        <f ca="1">SUM(DU170:DX170)</f>
        <v>41634.288796638284</v>
      </c>
    </row>
    <row r="171" spans="1:129" ht="11.25" customHeight="1" x14ac:dyDescent="0.2">
      <c r="A171" s="559"/>
      <c r="B171" s="834" t="s">
        <v>781</v>
      </c>
      <c r="C171" s="835"/>
      <c r="D171" s="835"/>
      <c r="E171" s="835"/>
      <c r="F171" s="835"/>
      <c r="G171" s="835"/>
      <c r="H171" s="835"/>
      <c r="I171" s="836"/>
      <c r="J171" s="835"/>
      <c r="K171" s="835"/>
      <c r="L171" s="835"/>
      <c r="M171" s="835"/>
      <c r="N171" s="836"/>
      <c r="O171" s="835"/>
      <c r="P171" s="835"/>
      <c r="Q171" s="835"/>
      <c r="R171" s="835"/>
      <c r="S171" s="836"/>
      <c r="T171" s="835"/>
      <c r="U171" s="835"/>
      <c r="V171" s="835"/>
      <c r="W171" s="835"/>
      <c r="X171" s="836"/>
      <c r="Y171" s="835"/>
      <c r="Z171" s="835"/>
      <c r="AA171" s="835"/>
      <c r="AB171" s="835"/>
      <c r="AC171" s="836"/>
      <c r="AD171" s="835"/>
      <c r="AE171" s="835"/>
      <c r="AF171" s="835"/>
      <c r="AG171" s="835"/>
      <c r="AH171" s="836"/>
      <c r="AI171" s="835"/>
      <c r="AJ171" s="835"/>
      <c r="AK171" s="835"/>
      <c r="AL171" s="835"/>
      <c r="AM171" s="836"/>
      <c r="AN171" s="835"/>
      <c r="AO171" s="835"/>
      <c r="AP171" s="835"/>
      <c r="AQ171" s="835"/>
      <c r="AR171" s="836"/>
      <c r="AS171" s="835"/>
      <c r="AT171" s="835"/>
      <c r="AU171" s="835"/>
      <c r="AV171" s="835"/>
      <c r="AW171" s="836"/>
      <c r="AX171" s="835"/>
      <c r="AY171" s="835"/>
      <c r="AZ171" s="835"/>
      <c r="BA171" s="835"/>
      <c r="BB171" s="836"/>
      <c r="BC171" s="835"/>
      <c r="BD171" s="835"/>
      <c r="BE171" s="835"/>
      <c r="BF171" s="835"/>
      <c r="BG171" s="836"/>
      <c r="BH171" s="837">
        <f t="shared" ref="BH171:CZ171" si="270">SUM(BH169:BH170)</f>
        <v>1209.7</v>
      </c>
      <c r="BI171" s="837">
        <f t="shared" si="270"/>
        <v>4171.7</v>
      </c>
      <c r="BJ171" s="837">
        <f t="shared" si="270"/>
        <v>4151.5</v>
      </c>
      <c r="BK171" s="837">
        <f t="shared" si="270"/>
        <v>4302.7</v>
      </c>
      <c r="BL171" s="838">
        <f t="shared" si="270"/>
        <v>13835.6</v>
      </c>
      <c r="BM171" s="837">
        <f t="shared" si="270"/>
        <v>3647.1</v>
      </c>
      <c r="BN171" s="837">
        <f t="shared" si="270"/>
        <v>3620.8</v>
      </c>
      <c r="BO171" s="837">
        <f t="shared" si="270"/>
        <v>3617.2</v>
      </c>
      <c r="BP171" s="837">
        <f t="shared" si="270"/>
        <v>4016</v>
      </c>
      <c r="BQ171" s="838">
        <f t="shared" si="270"/>
        <v>14901.100000000002</v>
      </c>
      <c r="BR171" s="837">
        <f t="shared" si="270"/>
        <v>3955</v>
      </c>
      <c r="BS171" s="837">
        <f t="shared" si="270"/>
        <v>4072.7</v>
      </c>
      <c r="BT171" s="837">
        <f t="shared" si="270"/>
        <v>4156.5</v>
      </c>
      <c r="BU171" s="837">
        <f t="shared" si="270"/>
        <v>4273</v>
      </c>
      <c r="BV171" s="838">
        <f t="shared" si="270"/>
        <v>16457.2</v>
      </c>
      <c r="BW171" s="837">
        <f t="shared" si="270"/>
        <v>4078.0000000000005</v>
      </c>
      <c r="BX171" s="837">
        <f t="shared" si="270"/>
        <v>4111</v>
      </c>
      <c r="BY171" s="839">
        <f t="shared" si="270"/>
        <v>4197</v>
      </c>
      <c r="BZ171" s="839">
        <f t="shared" si="270"/>
        <v>4289</v>
      </c>
      <c r="CA171" s="840">
        <f t="shared" si="270"/>
        <v>16675</v>
      </c>
      <c r="CB171" s="839">
        <f t="shared" si="270"/>
        <v>4535</v>
      </c>
      <c r="CC171" s="839">
        <f t="shared" si="270"/>
        <v>4753</v>
      </c>
      <c r="CD171" s="839">
        <f t="shared" si="270"/>
        <v>4741</v>
      </c>
      <c r="CE171" s="841">
        <f t="shared" si="270"/>
        <v>4900.8000000000011</v>
      </c>
      <c r="CF171" s="842">
        <f t="shared" si="270"/>
        <v>18929.8</v>
      </c>
      <c r="CG171" s="841">
        <f t="shared" si="270"/>
        <v>5666</v>
      </c>
      <c r="CH171" s="841">
        <f t="shared" si="270"/>
        <v>5744</v>
      </c>
      <c r="CI171" s="841">
        <f t="shared" si="270"/>
        <v>5674.6</v>
      </c>
      <c r="CJ171" s="841">
        <f t="shared" si="270"/>
        <v>5759</v>
      </c>
      <c r="CK171" s="842">
        <f t="shared" si="270"/>
        <v>22843.600000000002</v>
      </c>
      <c r="CL171" s="841">
        <f t="shared" si="270"/>
        <v>5868.7033105362743</v>
      </c>
      <c r="CM171" s="841">
        <f t="shared" si="270"/>
        <v>6035.8680236438386</v>
      </c>
      <c r="CN171" s="841">
        <f t="shared" si="270"/>
        <v>6370.9955120142204</v>
      </c>
      <c r="CO171" s="841">
        <f>SUM(CO169:CO170)</f>
        <v>6630.5032070777743</v>
      </c>
      <c r="CP171" s="842">
        <f t="shared" si="270"/>
        <v>24906.070053272109</v>
      </c>
      <c r="CQ171" s="841">
        <f t="shared" si="270"/>
        <v>6809.1741825569807</v>
      </c>
      <c r="CR171" s="841">
        <f t="shared" si="270"/>
        <v>7694.6899074553712</v>
      </c>
      <c r="CS171" s="841">
        <f t="shared" si="270"/>
        <v>8091.5668054260832</v>
      </c>
      <c r="CT171" s="841">
        <f t="shared" si="270"/>
        <v>8468.275498248242</v>
      </c>
      <c r="CU171" s="842">
        <f t="shared" si="270"/>
        <v>31063.706393686676</v>
      </c>
      <c r="CV171" s="841">
        <f t="shared" ca="1" si="270"/>
        <v>8750</v>
      </c>
      <c r="CW171" s="841">
        <f t="shared" ca="1" si="270"/>
        <v>9106.7000000000007</v>
      </c>
      <c r="CX171" s="841">
        <f t="shared" ca="1" si="270"/>
        <v>9735.3278159000001</v>
      </c>
      <c r="CY171" s="841">
        <f ca="1">SUM(CY169:CY170)</f>
        <v>10235.4</v>
      </c>
      <c r="CZ171" s="842">
        <f t="shared" ca="1" si="270"/>
        <v>37827.427815900002</v>
      </c>
      <c r="DA171" s="841">
        <f t="shared" ref="DA171:DJ171" ca="1" si="271">SUM(DA169:DA170)</f>
        <v>10149.5</v>
      </c>
      <c r="DB171" s="841">
        <f ca="1">SUM(DB169:DB170)</f>
        <v>10646.1</v>
      </c>
      <c r="DC171" s="841">
        <f ca="1">SUM(DC169:DC170)</f>
        <v>10872.2</v>
      </c>
      <c r="DD171" s="841">
        <f t="shared" ca="1" si="271"/>
        <v>11115.2</v>
      </c>
      <c r="DE171" s="842">
        <f t="shared" ca="1" si="271"/>
        <v>42783</v>
      </c>
      <c r="DF171" s="841">
        <f ca="1">SUM(DF169:DF170)</f>
        <v>10847.7</v>
      </c>
      <c r="DG171" s="841">
        <f ca="1">SUM(DG169:DG170)</f>
        <v>11512.8</v>
      </c>
      <c r="DH171" s="841">
        <f ca="1">SUM(DH169:DH170)</f>
        <v>11589.802071530001</v>
      </c>
      <c r="DI171" s="841">
        <f ca="1">SUM(DI169:DI170)</f>
        <v>11759.183056169999</v>
      </c>
      <c r="DJ171" s="842">
        <f t="shared" ca="1" si="271"/>
        <v>45709.485127700005</v>
      </c>
      <c r="DK171" s="841">
        <f t="shared" ref="DK171:DT171" ca="1" si="272">SUM(DK169:DK170)</f>
        <v>10110.216331923362</v>
      </c>
      <c r="DL171" s="841">
        <f t="shared" ca="1" si="272"/>
        <v>12414.691702484246</v>
      </c>
      <c r="DM171" s="841">
        <f t="shared" ca="1" si="272"/>
        <v>12377.562969594101</v>
      </c>
      <c r="DN171" s="841">
        <f t="shared" ca="1" si="272"/>
        <v>12287.034899540671</v>
      </c>
      <c r="DO171" s="842">
        <f t="shared" ca="1" si="272"/>
        <v>47189.505903542384</v>
      </c>
      <c r="DP171" s="841">
        <f t="shared" ca="1" si="272"/>
        <v>10691.761062420155</v>
      </c>
      <c r="DQ171" s="841">
        <f t="shared" ca="1" si="272"/>
        <v>13095.031577823971</v>
      </c>
      <c r="DR171" s="841">
        <f t="shared" ca="1" si="272"/>
        <v>13028.923906532535</v>
      </c>
      <c r="DS171" s="841">
        <f t="shared" ca="1" si="272"/>
        <v>12906.969893853189</v>
      </c>
      <c r="DT171" s="842">
        <f t="shared" ca="1" si="272"/>
        <v>49722.686440629848</v>
      </c>
      <c r="DU171" s="841">
        <f t="shared" ref="DU171:DY171" ca="1" si="273">SUM(DU169:DU170)</f>
        <v>11215.334409893465</v>
      </c>
      <c r="DV171" s="841">
        <f t="shared" ca="1" si="273"/>
        <v>13689.507876146688</v>
      </c>
      <c r="DW171" s="841">
        <f t="shared" ca="1" si="273"/>
        <v>13586.233305115558</v>
      </c>
      <c r="DX171" s="841">
        <f t="shared" ca="1" si="273"/>
        <v>13425.472254768019</v>
      </c>
      <c r="DY171" s="842">
        <f t="shared" ca="1" si="273"/>
        <v>51916.547845923727</v>
      </c>
    </row>
    <row r="172" spans="1:129" ht="11.25" customHeight="1" x14ac:dyDescent="0.2">
      <c r="A172" s="471"/>
      <c r="B172" s="850" t="s">
        <v>194</v>
      </c>
      <c r="I172" s="576"/>
      <c r="N172" s="576"/>
      <c r="S172" s="576"/>
      <c r="X172" s="576"/>
      <c r="AC172" s="576"/>
      <c r="AH172" s="576"/>
      <c r="AM172" s="576"/>
      <c r="AR172" s="576"/>
      <c r="AW172" s="576"/>
      <c r="BB172" s="576"/>
      <c r="BG172" s="576"/>
      <c r="BL172" s="576"/>
      <c r="BM172" s="581">
        <f>BM171/BH171-1</f>
        <v>2.0148797222451846</v>
      </c>
      <c r="BN172" s="581">
        <f>BN171/BI171-1</f>
        <v>-0.13205647577726098</v>
      </c>
      <c r="BO172" s="581">
        <f>BO171/BJ171-1</f>
        <v>-0.12870046970974347</v>
      </c>
      <c r="BP172" s="581">
        <f>BP171/BK171-1</f>
        <v>-6.6632579543077552E-2</v>
      </c>
      <c r="BQ172" s="576"/>
      <c r="BR172" s="581">
        <f>BR171/BM171-1</f>
        <v>8.4423240382769826E-2</v>
      </c>
      <c r="BS172" s="581">
        <f>BS171/BN171-1</f>
        <v>0.12480667255855038</v>
      </c>
      <c r="BT172" s="581">
        <f>BT171/BO171-1</f>
        <v>0.14909322127612534</v>
      </c>
      <c r="BU172" s="581">
        <f>BU171/BP171-1</f>
        <v>6.399402390438258E-2</v>
      </c>
      <c r="BV172" s="576"/>
      <c r="BW172" s="581">
        <f>BW171/BR171-1</f>
        <v>3.1099873577749904E-2</v>
      </c>
      <c r="BX172" s="581">
        <f>BX171/BS171-1</f>
        <v>9.404080830898387E-3</v>
      </c>
      <c r="BY172" s="581">
        <f>BY171/BT171-1</f>
        <v>9.7437748105377864E-3</v>
      </c>
      <c r="BZ172" s="581">
        <f>BZ171/BU171-1</f>
        <v>3.7444418441376914E-3</v>
      </c>
      <c r="CA172" s="576"/>
      <c r="CB172" s="581">
        <f>CB171/BW171-1</f>
        <v>0.1120647376164785</v>
      </c>
      <c r="CC172" s="581">
        <f>CC171/BX171-1</f>
        <v>0.15616638287521289</v>
      </c>
      <c r="CD172" s="581">
        <f>CD171/BY171-1</f>
        <v>0.12961639266142488</v>
      </c>
      <c r="CE172" s="468">
        <f>CE171/BZ171-1</f>
        <v>0.14264397295406872</v>
      </c>
      <c r="CF172" s="580"/>
      <c r="CG172" s="469"/>
      <c r="CH172" s="469"/>
      <c r="CI172" s="469"/>
      <c r="CJ172" s="469"/>
      <c r="CK172" s="576"/>
      <c r="CL172" s="469"/>
      <c r="CM172" s="469"/>
      <c r="CN172" s="469"/>
      <c r="CO172" s="469"/>
      <c r="CP172" s="576"/>
      <c r="CQ172" s="469"/>
      <c r="CR172" s="469"/>
      <c r="CS172" s="469"/>
      <c r="CT172" s="469"/>
      <c r="CU172" s="576"/>
      <c r="CV172" s="469"/>
      <c r="CW172" s="469"/>
      <c r="CX172" s="469"/>
      <c r="CY172" s="469"/>
      <c r="CZ172" s="576"/>
      <c r="DA172" s="469"/>
      <c r="DB172" s="469"/>
      <c r="DC172" s="469"/>
      <c r="DD172" s="469"/>
      <c r="DE172" s="576"/>
      <c r="DF172" s="469"/>
      <c r="DG172" s="469"/>
      <c r="DH172" s="469"/>
      <c r="DI172" s="469"/>
      <c r="DJ172" s="576"/>
      <c r="DK172" s="469"/>
      <c r="DL172" s="469"/>
      <c r="DM172" s="469"/>
      <c r="DN172" s="469"/>
      <c r="DO172" s="576"/>
      <c r="DP172" s="469"/>
      <c r="DQ172" s="469"/>
      <c r="DR172" s="469"/>
      <c r="DS172" s="469"/>
      <c r="DT172" s="576"/>
      <c r="DU172" s="469"/>
      <c r="DV172" s="469"/>
      <c r="DW172" s="469"/>
      <c r="DX172" s="469"/>
      <c r="DY172" s="576"/>
    </row>
    <row r="173" spans="1:129" ht="6.75" customHeight="1" x14ac:dyDescent="0.2">
      <c r="A173" s="471"/>
      <c r="B173" s="844"/>
      <c r="I173" s="576"/>
      <c r="N173" s="576"/>
      <c r="S173" s="576"/>
      <c r="X173" s="576"/>
      <c r="AC173" s="576"/>
      <c r="AH173" s="576"/>
      <c r="AM173" s="576"/>
      <c r="AR173" s="576"/>
      <c r="AW173" s="576"/>
      <c r="BB173" s="576"/>
      <c r="BG173" s="576"/>
      <c r="BL173" s="576"/>
      <c r="BQ173" s="576"/>
      <c r="BV173" s="576"/>
      <c r="CA173" s="576"/>
      <c r="CF173" s="576"/>
      <c r="CK173" s="576"/>
      <c r="CP173" s="576"/>
      <c r="CU173" s="576"/>
      <c r="CY173" s="2575"/>
      <c r="CZ173" s="576"/>
      <c r="DB173" s="2614"/>
      <c r="DC173" s="2631"/>
      <c r="DE173" s="576"/>
      <c r="DF173" s="2683"/>
      <c r="DH173" s="2734"/>
      <c r="DI173" s="2795"/>
      <c r="DJ173" s="576"/>
      <c r="DO173" s="576"/>
      <c r="DT173" s="576"/>
      <c r="DY173" s="576"/>
    </row>
    <row r="174" spans="1:129" ht="11.25" customHeight="1" outlineLevel="1" x14ac:dyDescent="0.2">
      <c r="A174" s="471"/>
      <c r="B174" s="693" t="s">
        <v>782</v>
      </c>
      <c r="C174" s="550"/>
      <c r="D174" s="550"/>
      <c r="E174" s="550"/>
      <c r="F174" s="550"/>
      <c r="G174" s="550"/>
      <c r="H174" s="550"/>
      <c r="I174" s="551"/>
      <c r="J174" s="550"/>
      <c r="K174" s="550"/>
      <c r="L174" s="550"/>
      <c r="M174" s="550"/>
      <c r="N174" s="551"/>
      <c r="O174" s="550"/>
      <c r="P174" s="550"/>
      <c r="Q174" s="550"/>
      <c r="R174" s="550"/>
      <c r="S174" s="551"/>
      <c r="T174" s="550"/>
      <c r="U174" s="550"/>
      <c r="V174" s="550"/>
      <c r="W174" s="550"/>
      <c r="X174" s="551"/>
      <c r="Y174" s="550"/>
      <c r="Z174" s="550"/>
      <c r="AA174" s="550"/>
      <c r="AB174" s="550"/>
      <c r="AC174" s="551"/>
      <c r="AD174" s="550"/>
      <c r="AE174" s="550"/>
      <c r="AF174" s="550"/>
      <c r="AG174" s="550"/>
      <c r="AH174" s="551"/>
      <c r="AI174" s="550"/>
      <c r="AJ174" s="550"/>
      <c r="AK174" s="550"/>
      <c r="AL174" s="550"/>
      <c r="AM174" s="551"/>
      <c r="AN174" s="550"/>
      <c r="AO174" s="550"/>
      <c r="AP174" s="550"/>
      <c r="AQ174" s="550"/>
      <c r="AR174" s="551"/>
      <c r="AS174" s="550"/>
      <c r="AT174" s="550"/>
      <c r="AU174" s="550"/>
      <c r="AV174" s="550"/>
      <c r="AW174" s="551"/>
      <c r="AX174" s="550"/>
      <c r="AY174" s="550"/>
      <c r="AZ174" s="550"/>
      <c r="BA174" s="550"/>
      <c r="BB174" s="551"/>
      <c r="BC174" s="550"/>
      <c r="BD174" s="550"/>
      <c r="BE174" s="550"/>
      <c r="BF174" s="550"/>
      <c r="BG174" s="551"/>
      <c r="BH174" s="552">
        <v>0</v>
      </c>
      <c r="BI174" s="552">
        <v>0</v>
      </c>
      <c r="BJ174" s="552">
        <v>0</v>
      </c>
      <c r="BK174" s="552">
        <v>0</v>
      </c>
      <c r="BL174" s="553">
        <f>SUM(BH174:BK174)</f>
        <v>0</v>
      </c>
      <c r="BM174" s="552">
        <v>0</v>
      </c>
      <c r="BN174" s="552">
        <v>0</v>
      </c>
      <c r="BO174" s="552">
        <v>0</v>
      </c>
      <c r="BP174" s="552">
        <v>0</v>
      </c>
      <c r="BQ174" s="553">
        <f>SUM(BM174:BP174)</f>
        <v>0</v>
      </c>
      <c r="BR174" s="552">
        <v>0</v>
      </c>
      <c r="BS174" s="552">
        <v>0</v>
      </c>
      <c r="BT174" s="552">
        <v>0</v>
      </c>
      <c r="BU174" s="552">
        <f>0.35*BU361</f>
        <v>191.18427999999997</v>
      </c>
      <c r="BV174" s="553">
        <f>SUM(BR174:BU174)</f>
        <v>191.18427999999997</v>
      </c>
      <c r="BW174" s="552">
        <v>0</v>
      </c>
      <c r="BX174" s="552">
        <v>0</v>
      </c>
      <c r="BY174" s="552">
        <v>0</v>
      </c>
      <c r="BZ174" s="552">
        <v>0</v>
      </c>
      <c r="CA174" s="553">
        <f>SUM(BW174:BZ174)</f>
        <v>0</v>
      </c>
      <c r="CB174" s="552">
        <v>0</v>
      </c>
      <c r="CC174" s="552">
        <v>0</v>
      </c>
      <c r="CD174" s="550">
        <v>0</v>
      </c>
      <c r="CE174" s="550">
        <v>0</v>
      </c>
      <c r="CF174" s="551">
        <f>SUM(CB174:CE174)</f>
        <v>0</v>
      </c>
      <c r="CG174" s="550">
        <v>0</v>
      </c>
      <c r="CH174" s="550">
        <v>0</v>
      </c>
      <c r="CI174" s="550">
        <v>0</v>
      </c>
      <c r="CJ174" s="550">
        <v>0</v>
      </c>
      <c r="CK174" s="551">
        <f>SUM(CG174:CJ174)</f>
        <v>0</v>
      </c>
      <c r="CL174" s="550">
        <v>0</v>
      </c>
      <c r="CM174" s="550">
        <v>0</v>
      </c>
      <c r="CN174" s="550">
        <v>0</v>
      </c>
      <c r="CO174" s="550">
        <v>0</v>
      </c>
      <c r="CP174" s="551">
        <f>SUM(CL174:CO174)</f>
        <v>0</v>
      </c>
      <c r="CQ174" s="550">
        <v>0</v>
      </c>
      <c r="CR174" s="550">
        <v>0</v>
      </c>
      <c r="CS174" s="550">
        <v>0</v>
      </c>
      <c r="CT174" s="550">
        <v>0</v>
      </c>
      <c r="CU174" s="551">
        <f>SUM(CQ174:CT174)</f>
        <v>0</v>
      </c>
      <c r="CV174" s="550">
        <v>0</v>
      </c>
      <c r="CW174" s="550">
        <v>0</v>
      </c>
      <c r="CX174" s="550">
        <v>0</v>
      </c>
      <c r="CY174" s="550">
        <v>0</v>
      </c>
      <c r="CZ174" s="551">
        <f>SUM(CV174:CY174)</f>
        <v>0</v>
      </c>
      <c r="DA174" s="550">
        <v>0</v>
      </c>
      <c r="DB174" s="550">
        <v>0</v>
      </c>
      <c r="DC174" s="550">
        <v>0</v>
      </c>
      <c r="DD174" s="550">
        <v>0</v>
      </c>
      <c r="DE174" s="551">
        <f>SUM(DA174:DD174)</f>
        <v>0</v>
      </c>
      <c r="DF174" s="550">
        <v>0</v>
      </c>
      <c r="DG174" s="550">
        <v>0</v>
      </c>
      <c r="DH174" s="550">
        <v>0</v>
      </c>
      <c r="DI174" s="2817">
        <v>0</v>
      </c>
      <c r="DJ174" s="551">
        <f>SUM(DF174:DI174)</f>
        <v>0</v>
      </c>
      <c r="DK174" s="550">
        <v>0</v>
      </c>
      <c r="DL174" s="550">
        <v>0</v>
      </c>
      <c r="DM174" s="550">
        <v>0</v>
      </c>
      <c r="DN174" s="550">
        <v>0</v>
      </c>
      <c r="DO174" s="551">
        <f>SUM(DK174:DN174)</f>
        <v>0</v>
      </c>
      <c r="DP174" s="550">
        <v>0</v>
      </c>
      <c r="DQ174" s="550">
        <v>0</v>
      </c>
      <c r="DR174" s="550">
        <v>0</v>
      </c>
      <c r="DS174" s="550">
        <v>0</v>
      </c>
      <c r="DT174" s="551">
        <f>SUM(DP174:DS174)</f>
        <v>0</v>
      </c>
      <c r="DU174" s="550">
        <v>0</v>
      </c>
      <c r="DV174" s="550">
        <v>0</v>
      </c>
      <c r="DW174" s="550">
        <v>0</v>
      </c>
      <c r="DX174" s="550">
        <v>0</v>
      </c>
      <c r="DY174" s="551">
        <f>SUM(DU174:DX174)</f>
        <v>0</v>
      </c>
    </row>
    <row r="175" spans="1:129" ht="6.75" customHeight="1" outlineLevel="1" x14ac:dyDescent="0.2">
      <c r="A175" s="471"/>
      <c r="B175" s="844"/>
      <c r="I175" s="576"/>
      <c r="N175" s="576"/>
      <c r="S175" s="576"/>
      <c r="X175" s="576"/>
      <c r="AC175" s="576"/>
      <c r="AH175" s="576"/>
      <c r="AM175" s="576"/>
      <c r="AR175" s="576"/>
      <c r="AW175" s="576"/>
      <c r="BB175" s="576"/>
      <c r="BG175" s="576"/>
      <c r="BL175" s="576"/>
      <c r="BQ175" s="576"/>
      <c r="BV175" s="576"/>
      <c r="CA175" s="576"/>
      <c r="CF175" s="576"/>
      <c r="CK175" s="576"/>
      <c r="CP175" s="576"/>
      <c r="CU175" s="576"/>
      <c r="CY175" s="2575"/>
      <c r="CZ175" s="576"/>
      <c r="DB175" s="2614"/>
      <c r="DC175" s="2631"/>
      <c r="DE175" s="576"/>
      <c r="DF175" s="2683"/>
      <c r="DH175" s="2734"/>
      <c r="DI175" s="2795"/>
      <c r="DJ175" s="576"/>
      <c r="DO175" s="576"/>
      <c r="DT175" s="576"/>
      <c r="DY175" s="576"/>
    </row>
    <row r="176" spans="1:129" ht="11.25" customHeight="1" outlineLevel="1" x14ac:dyDescent="0.2">
      <c r="A176" s="559"/>
      <c r="B176" s="845" t="s">
        <v>783</v>
      </c>
      <c r="C176" s="561"/>
      <c r="D176" s="561"/>
      <c r="E176" s="561"/>
      <c r="F176" s="561"/>
      <c r="G176" s="561"/>
      <c r="H176" s="561"/>
      <c r="I176" s="577"/>
      <c r="J176" s="561"/>
      <c r="K176" s="561"/>
      <c r="L176" s="561"/>
      <c r="M176" s="561"/>
      <c r="N176" s="577"/>
      <c r="O176" s="561"/>
      <c r="P176" s="561"/>
      <c r="Q176" s="561"/>
      <c r="R176" s="561"/>
      <c r="S176" s="577"/>
      <c r="T176" s="561"/>
      <c r="U176" s="561"/>
      <c r="V176" s="561"/>
      <c r="W176" s="561"/>
      <c r="X176" s="577"/>
      <c r="Y176" s="561"/>
      <c r="Z176" s="561"/>
      <c r="AA176" s="561"/>
      <c r="AB176" s="561"/>
      <c r="AC176" s="577"/>
      <c r="AD176" s="561"/>
      <c r="AE176" s="561"/>
      <c r="AF176" s="561"/>
      <c r="AG176" s="561"/>
      <c r="AH176" s="577"/>
      <c r="AI176" s="561"/>
      <c r="AJ176" s="561"/>
      <c r="AK176" s="561"/>
      <c r="AL176" s="561"/>
      <c r="AM176" s="577"/>
      <c r="AN176" s="561"/>
      <c r="AO176" s="561"/>
      <c r="AP176" s="561"/>
      <c r="AQ176" s="561"/>
      <c r="AR176" s="577"/>
      <c r="AS176" s="561"/>
      <c r="AT176" s="561"/>
      <c r="AU176" s="561"/>
      <c r="AV176" s="561"/>
      <c r="AW176" s="577"/>
      <c r="AX176" s="561"/>
      <c r="AY176" s="561"/>
      <c r="AZ176" s="561"/>
      <c r="BA176" s="561"/>
      <c r="BB176" s="577"/>
      <c r="BC176" s="561"/>
      <c r="BD176" s="561"/>
      <c r="BE176" s="561"/>
      <c r="BF176" s="561"/>
      <c r="BG176" s="577"/>
      <c r="BH176" s="565">
        <f t="shared" ref="BH176:BU176" si="274">BH171+BH174</f>
        <v>1209.7</v>
      </c>
      <c r="BI176" s="565">
        <f t="shared" si="274"/>
        <v>4171.7</v>
      </c>
      <c r="BJ176" s="565">
        <f t="shared" si="274"/>
        <v>4151.5</v>
      </c>
      <c r="BK176" s="565">
        <f t="shared" si="274"/>
        <v>4302.7</v>
      </c>
      <c r="BL176" s="564">
        <f t="shared" si="274"/>
        <v>13835.6</v>
      </c>
      <c r="BM176" s="565">
        <f t="shared" si="274"/>
        <v>3647.1</v>
      </c>
      <c r="BN176" s="565">
        <f t="shared" si="274"/>
        <v>3620.8</v>
      </c>
      <c r="BO176" s="565">
        <f t="shared" si="274"/>
        <v>3617.2</v>
      </c>
      <c r="BP176" s="565">
        <f t="shared" si="274"/>
        <v>4016</v>
      </c>
      <c r="BQ176" s="564">
        <f t="shared" si="274"/>
        <v>14901.100000000002</v>
      </c>
      <c r="BR176" s="565">
        <f t="shared" si="274"/>
        <v>3955</v>
      </c>
      <c r="BS176" s="565">
        <f t="shared" si="274"/>
        <v>4072.7</v>
      </c>
      <c r="BT176" s="565">
        <f t="shared" si="274"/>
        <v>4156.5</v>
      </c>
      <c r="BU176" s="565">
        <f t="shared" si="274"/>
        <v>4464.1842800000004</v>
      </c>
      <c r="BV176" s="564">
        <f>BV171</f>
        <v>16457.2</v>
      </c>
      <c r="BW176" s="565">
        <f t="shared" ref="BW176:CZ176" si="275">BW171+BW174</f>
        <v>4078.0000000000005</v>
      </c>
      <c r="BX176" s="565">
        <f t="shared" si="275"/>
        <v>4111</v>
      </c>
      <c r="BY176" s="565">
        <f t="shared" si="275"/>
        <v>4197</v>
      </c>
      <c r="BZ176" s="565">
        <f t="shared" si="275"/>
        <v>4289</v>
      </c>
      <c r="CA176" s="564">
        <f t="shared" si="275"/>
        <v>16675</v>
      </c>
      <c r="CB176" s="565">
        <f t="shared" si="275"/>
        <v>4535</v>
      </c>
      <c r="CC176" s="565">
        <f t="shared" si="275"/>
        <v>4753</v>
      </c>
      <c r="CD176" s="561">
        <f t="shared" si="275"/>
        <v>4741</v>
      </c>
      <c r="CE176" s="561">
        <f t="shared" si="275"/>
        <v>4900.8000000000011</v>
      </c>
      <c r="CF176" s="577">
        <f t="shared" si="275"/>
        <v>18929.8</v>
      </c>
      <c r="CG176" s="561">
        <f t="shared" si="275"/>
        <v>5666</v>
      </c>
      <c r="CH176" s="561">
        <f t="shared" si="275"/>
        <v>5744</v>
      </c>
      <c r="CI176" s="561">
        <f t="shared" si="275"/>
        <v>5674.6</v>
      </c>
      <c r="CJ176" s="561">
        <f t="shared" si="275"/>
        <v>5759</v>
      </c>
      <c r="CK176" s="577">
        <f t="shared" si="275"/>
        <v>22843.600000000002</v>
      </c>
      <c r="CL176" s="561">
        <f t="shared" si="275"/>
        <v>5868.7033105362743</v>
      </c>
      <c r="CM176" s="561">
        <f t="shared" si="275"/>
        <v>6035.8680236438386</v>
      </c>
      <c r="CN176" s="561">
        <f t="shared" si="275"/>
        <v>6370.9955120142204</v>
      </c>
      <c r="CO176" s="561">
        <f>CO171+CO174</f>
        <v>6630.5032070777743</v>
      </c>
      <c r="CP176" s="577">
        <f t="shared" si="275"/>
        <v>24906.070053272109</v>
      </c>
      <c r="CQ176" s="561">
        <f t="shared" si="275"/>
        <v>6809.1741825569807</v>
      </c>
      <c r="CR176" s="561">
        <f t="shared" si="275"/>
        <v>7694.6899074553712</v>
      </c>
      <c r="CS176" s="561">
        <f t="shared" si="275"/>
        <v>8091.5668054260832</v>
      </c>
      <c r="CT176" s="561">
        <f>CT171+CT174</f>
        <v>8468.275498248242</v>
      </c>
      <c r="CU176" s="577">
        <f t="shared" si="275"/>
        <v>31063.706393686676</v>
      </c>
      <c r="CV176" s="561">
        <f t="shared" ca="1" si="275"/>
        <v>8750</v>
      </c>
      <c r="CW176" s="561">
        <f t="shared" ca="1" si="275"/>
        <v>9106.7000000000007</v>
      </c>
      <c r="CX176" s="561">
        <f t="shared" ca="1" si="275"/>
        <v>9735.3278159000001</v>
      </c>
      <c r="CY176" s="561">
        <f ca="1">CY171+CY174</f>
        <v>10235.4</v>
      </c>
      <c r="CZ176" s="577">
        <f t="shared" ca="1" si="275"/>
        <v>37827.427815900002</v>
      </c>
      <c r="DA176" s="561">
        <f t="shared" ref="DA176:DJ176" ca="1" si="276">DA171+DA174</f>
        <v>10149.5</v>
      </c>
      <c r="DB176" s="561">
        <f ca="1">DB171+DB174</f>
        <v>10646.1</v>
      </c>
      <c r="DC176" s="561">
        <f ca="1">DC171+DC174</f>
        <v>10872.2</v>
      </c>
      <c r="DD176" s="561">
        <f t="shared" ca="1" si="276"/>
        <v>11115.2</v>
      </c>
      <c r="DE176" s="577">
        <f t="shared" ca="1" si="276"/>
        <v>42783</v>
      </c>
      <c r="DF176" s="561">
        <f ca="1">DF171+DF174</f>
        <v>10847.7</v>
      </c>
      <c r="DG176" s="561">
        <f ca="1">DG171+DG174</f>
        <v>11512.8</v>
      </c>
      <c r="DH176" s="561">
        <f ca="1">DH171+DH174</f>
        <v>11589.802071530001</v>
      </c>
      <c r="DI176" s="561">
        <f ca="1">DI171+DI174</f>
        <v>11759.183056169999</v>
      </c>
      <c r="DJ176" s="577">
        <f t="shared" ca="1" si="276"/>
        <v>45709.485127700005</v>
      </c>
      <c r="DK176" s="561">
        <f t="shared" ref="DK176:DT176" ca="1" si="277">DK171+DK174</f>
        <v>10110.216331923362</v>
      </c>
      <c r="DL176" s="561">
        <f t="shared" ca="1" si="277"/>
        <v>12414.691702484246</v>
      </c>
      <c r="DM176" s="561">
        <f t="shared" ca="1" si="277"/>
        <v>12377.562969594101</v>
      </c>
      <c r="DN176" s="561">
        <f t="shared" ca="1" si="277"/>
        <v>12287.034899540671</v>
      </c>
      <c r="DO176" s="577">
        <f t="shared" ca="1" si="277"/>
        <v>47189.505903542384</v>
      </c>
      <c r="DP176" s="561">
        <f t="shared" ca="1" si="277"/>
        <v>10691.761062420155</v>
      </c>
      <c r="DQ176" s="561">
        <f t="shared" ca="1" si="277"/>
        <v>13095.031577823971</v>
      </c>
      <c r="DR176" s="561">
        <f t="shared" ca="1" si="277"/>
        <v>13028.923906532535</v>
      </c>
      <c r="DS176" s="561">
        <f t="shared" ca="1" si="277"/>
        <v>12906.969893853189</v>
      </c>
      <c r="DT176" s="577">
        <f t="shared" ca="1" si="277"/>
        <v>49722.686440629848</v>
      </c>
      <c r="DU176" s="561">
        <f t="shared" ref="DU176:DY176" ca="1" si="278">DU171+DU174</f>
        <v>11215.334409893465</v>
      </c>
      <c r="DV176" s="561">
        <f t="shared" ca="1" si="278"/>
        <v>13689.507876146688</v>
      </c>
      <c r="DW176" s="561">
        <f t="shared" ca="1" si="278"/>
        <v>13586.233305115558</v>
      </c>
      <c r="DX176" s="561">
        <f t="shared" ca="1" si="278"/>
        <v>13425.472254768019</v>
      </c>
      <c r="DY176" s="577">
        <f t="shared" ca="1" si="278"/>
        <v>51916.547845923727</v>
      </c>
    </row>
    <row r="177" spans="1:129" ht="11.25" customHeight="1" outlineLevel="1" x14ac:dyDescent="0.2">
      <c r="A177" s="471"/>
      <c r="B177" s="844" t="s">
        <v>779</v>
      </c>
      <c r="I177" s="576"/>
      <c r="N177" s="576"/>
      <c r="S177" s="576"/>
      <c r="X177" s="576"/>
      <c r="AC177" s="576"/>
      <c r="AH177" s="576"/>
      <c r="AM177" s="576"/>
      <c r="AR177" s="576"/>
      <c r="AW177" s="576"/>
      <c r="BB177" s="576"/>
      <c r="BG177" s="576"/>
      <c r="BH177" s="846" t="str">
        <f t="shared" ref="BH177:CZ177" si="279">IF(BH11=BH176,"-",BH11-BH176)</f>
        <v>-</v>
      </c>
      <c r="BI177" s="846" t="str">
        <f t="shared" si="279"/>
        <v>-</v>
      </c>
      <c r="BJ177" s="846" t="str">
        <f t="shared" si="279"/>
        <v>-</v>
      </c>
      <c r="BK177" s="846" t="str">
        <f t="shared" si="279"/>
        <v>-</v>
      </c>
      <c r="BL177" s="847" t="str">
        <f t="shared" si="279"/>
        <v>-</v>
      </c>
      <c r="BM177" s="846" t="str">
        <f t="shared" si="279"/>
        <v>-</v>
      </c>
      <c r="BN177" s="846" t="str">
        <f t="shared" si="279"/>
        <v>-</v>
      </c>
      <c r="BO177" s="846" t="str">
        <f t="shared" si="279"/>
        <v>-</v>
      </c>
      <c r="BP177" s="846" t="str">
        <f t="shared" si="279"/>
        <v>-</v>
      </c>
      <c r="BQ177" s="847" t="str">
        <f t="shared" si="279"/>
        <v>-</v>
      </c>
      <c r="BR177" s="846" t="str">
        <f t="shared" si="279"/>
        <v>-</v>
      </c>
      <c r="BS177" s="846" t="str">
        <f t="shared" si="279"/>
        <v>-</v>
      </c>
      <c r="BT177" s="846" t="str">
        <f t="shared" si="279"/>
        <v>-</v>
      </c>
      <c r="BU177" s="848">
        <f t="shared" si="279"/>
        <v>-191.1842800000004</v>
      </c>
      <c r="BV177" s="847" t="str">
        <f t="shared" si="279"/>
        <v>-</v>
      </c>
      <c r="BW177" s="846" t="str">
        <f t="shared" si="279"/>
        <v>-</v>
      </c>
      <c r="BX177" s="846" t="str">
        <f t="shared" si="279"/>
        <v>-</v>
      </c>
      <c r="BY177" s="846" t="str">
        <f t="shared" si="279"/>
        <v>-</v>
      </c>
      <c r="BZ177" s="846" t="str">
        <f t="shared" si="279"/>
        <v>-</v>
      </c>
      <c r="CA177" s="847" t="str">
        <f t="shared" si="279"/>
        <v>-</v>
      </c>
      <c r="CB177" s="846" t="str">
        <f t="shared" si="279"/>
        <v>-</v>
      </c>
      <c r="CC177" s="846" t="str">
        <f t="shared" si="279"/>
        <v>-</v>
      </c>
      <c r="CD177" s="846" t="str">
        <f t="shared" si="279"/>
        <v>-</v>
      </c>
      <c r="CE177" s="846" t="str">
        <f t="shared" si="279"/>
        <v>-</v>
      </c>
      <c r="CF177" s="847" t="str">
        <f t="shared" si="279"/>
        <v>-</v>
      </c>
      <c r="CG177" s="846" t="str">
        <f t="shared" si="279"/>
        <v>-</v>
      </c>
      <c r="CH177" s="846" t="str">
        <f t="shared" si="279"/>
        <v>-</v>
      </c>
      <c r="CI177" s="846" t="str">
        <f t="shared" si="279"/>
        <v>-</v>
      </c>
      <c r="CJ177" s="846" t="str">
        <f t="shared" si="279"/>
        <v>-</v>
      </c>
      <c r="CK177" s="847" t="str">
        <f t="shared" si="279"/>
        <v>-</v>
      </c>
      <c r="CL177" s="1702">
        <f t="shared" si="279"/>
        <v>0.29668946372567007</v>
      </c>
      <c r="CM177" s="1702">
        <f t="shared" si="279"/>
        <v>-6.8023643838387216E-2</v>
      </c>
      <c r="CN177" s="846">
        <f t="shared" si="279"/>
        <v>-1.895512014220003</v>
      </c>
      <c r="CO177" s="846">
        <f>IF(CO11=CO176,"-",CO11-CO176)</f>
        <v>-114.50320707777428</v>
      </c>
      <c r="CP177" s="847">
        <f t="shared" si="279"/>
        <v>-116.17005327210791</v>
      </c>
      <c r="CQ177" s="846">
        <f t="shared" si="279"/>
        <v>25.02581744301915</v>
      </c>
      <c r="CR177" s="846">
        <f t="shared" si="279"/>
        <v>57.810092544628787</v>
      </c>
      <c r="CS177" s="846">
        <f t="shared" si="279"/>
        <v>-37.966805426082828</v>
      </c>
      <c r="CT177" s="846">
        <f t="shared" si="279"/>
        <v>-27.675498248241638</v>
      </c>
      <c r="CU177" s="847">
        <f t="shared" si="279"/>
        <v>17.19360631332529</v>
      </c>
      <c r="CV177" s="846" t="str">
        <f t="shared" ca="1" si="279"/>
        <v>-</v>
      </c>
      <c r="CW177" s="846" t="str">
        <f t="shared" ca="1" si="279"/>
        <v>-</v>
      </c>
      <c r="CX177" s="846" t="str">
        <f t="shared" ca="1" si="279"/>
        <v>-</v>
      </c>
      <c r="CY177" s="846" t="str">
        <f ca="1">IF(CY11=CY176,"-",CY11-CY176)</f>
        <v>-</v>
      </c>
      <c r="CZ177" s="847" t="str">
        <f t="shared" ca="1" si="279"/>
        <v>-</v>
      </c>
      <c r="DA177" s="846" t="str">
        <f t="shared" ref="DA177:DJ177" ca="1" si="280">IF(DA11=DA176,"-",DA11-DA176)</f>
        <v>-</v>
      </c>
      <c r="DB177" s="846" t="str">
        <f ca="1">IF(DB11=DB176,"-",DB11-DB176)</f>
        <v>-</v>
      </c>
      <c r="DC177" s="846" t="str">
        <f ca="1">IF(DC11=DC176,"-",DC11-DC176)</f>
        <v>-</v>
      </c>
      <c r="DD177" s="846" t="str">
        <f t="shared" ca="1" si="280"/>
        <v>-</v>
      </c>
      <c r="DE177" s="847" t="str">
        <f t="shared" ca="1" si="280"/>
        <v>-</v>
      </c>
      <c r="DF177" s="846" t="str">
        <f ca="1">IF(DF11=DF176,"-",DF11-DF176)</f>
        <v>-</v>
      </c>
      <c r="DG177" s="846" t="str">
        <f ca="1">IF(DG11=DG176,"-",DG11-DG176)</f>
        <v>-</v>
      </c>
      <c r="DH177" s="846" t="str">
        <f ca="1">IF(DH11=DH176,"-",DH11-DH176)</f>
        <v>-</v>
      </c>
      <c r="DI177" s="846" t="str">
        <f ca="1">IF(DI11=DI176,"-",DI11-DI176)</f>
        <v>-</v>
      </c>
      <c r="DJ177" s="847" t="str">
        <f t="shared" ca="1" si="280"/>
        <v>-</v>
      </c>
      <c r="DK177" s="846" t="str">
        <f t="shared" ref="DK177:DT177" ca="1" si="281">IF(DK11=DK176,"-",DK11-DK176)</f>
        <v>-</v>
      </c>
      <c r="DL177" s="846" t="str">
        <f t="shared" ca="1" si="281"/>
        <v>-</v>
      </c>
      <c r="DM177" s="846" t="str">
        <f t="shared" ca="1" si="281"/>
        <v>-</v>
      </c>
      <c r="DN177" s="846" t="str">
        <f t="shared" ca="1" si="281"/>
        <v>-</v>
      </c>
      <c r="DO177" s="847" t="str">
        <f t="shared" ca="1" si="281"/>
        <v>-</v>
      </c>
      <c r="DP177" s="846" t="str">
        <f t="shared" ca="1" si="281"/>
        <v>-</v>
      </c>
      <c r="DQ177" s="846" t="str">
        <f t="shared" ca="1" si="281"/>
        <v>-</v>
      </c>
      <c r="DR177" s="846" t="str">
        <f t="shared" ca="1" si="281"/>
        <v>-</v>
      </c>
      <c r="DS177" s="846" t="str">
        <f t="shared" ca="1" si="281"/>
        <v>-</v>
      </c>
      <c r="DT177" s="847" t="str">
        <f t="shared" ca="1" si="281"/>
        <v>-</v>
      </c>
      <c r="DU177" s="846" t="str">
        <f t="shared" ref="DU177:DY177" ca="1" si="282">IF(DU11=DU176,"-",DU11-DU176)</f>
        <v>-</v>
      </c>
      <c r="DV177" s="846" t="str">
        <f t="shared" ca="1" si="282"/>
        <v>-</v>
      </c>
      <c r="DW177" s="846" t="str">
        <f t="shared" ca="1" si="282"/>
        <v>-</v>
      </c>
      <c r="DX177" s="846" t="str">
        <f t="shared" ca="1" si="282"/>
        <v>-</v>
      </c>
      <c r="DY177" s="847" t="str">
        <f t="shared" ca="1" si="282"/>
        <v>-</v>
      </c>
    </row>
    <row r="178" spans="1:129" ht="6.75" customHeight="1" x14ac:dyDescent="0.2">
      <c r="A178" s="471"/>
      <c r="B178" s="844"/>
      <c r="I178" s="576"/>
      <c r="N178" s="576"/>
      <c r="S178" s="576"/>
      <c r="X178" s="576"/>
      <c r="AC178" s="576"/>
      <c r="AH178" s="576"/>
      <c r="AM178" s="576"/>
      <c r="AR178" s="576"/>
      <c r="AW178" s="576"/>
      <c r="BB178" s="576"/>
      <c r="BG178" s="576"/>
      <c r="BL178" s="576"/>
      <c r="BQ178" s="576"/>
      <c r="BV178" s="576"/>
      <c r="CA178" s="576"/>
      <c r="CF178" s="576"/>
      <c r="CK178" s="576"/>
      <c r="CP178" s="576"/>
      <c r="CU178" s="576"/>
      <c r="CY178" s="2575"/>
      <c r="CZ178" s="576"/>
      <c r="DB178" s="2614"/>
      <c r="DC178" s="2631"/>
      <c r="DE178" s="576"/>
      <c r="DF178" s="2683"/>
      <c r="DH178" s="2734"/>
      <c r="DI178" s="2795"/>
      <c r="DJ178" s="576"/>
      <c r="DO178" s="576"/>
      <c r="DT178" s="576"/>
      <c r="DY178" s="576"/>
    </row>
    <row r="179" spans="1:129" ht="11.25" customHeight="1" x14ac:dyDescent="0.2">
      <c r="A179" s="471"/>
      <c r="B179" s="693" t="s">
        <v>341</v>
      </c>
      <c r="C179" s="550"/>
      <c r="D179" s="550"/>
      <c r="E179" s="550"/>
      <c r="F179" s="550"/>
      <c r="G179" s="550"/>
      <c r="H179" s="550"/>
      <c r="I179" s="551"/>
      <c r="J179" s="550"/>
      <c r="K179" s="550"/>
      <c r="L179" s="550"/>
      <c r="M179" s="550"/>
      <c r="N179" s="551"/>
      <c r="O179" s="550"/>
      <c r="P179" s="550"/>
      <c r="Q179" s="550"/>
      <c r="R179" s="550"/>
      <c r="S179" s="551"/>
      <c r="T179" s="550"/>
      <c r="U179" s="550"/>
      <c r="V179" s="550"/>
      <c r="W179" s="550"/>
      <c r="X179" s="551"/>
      <c r="Y179" s="550"/>
      <c r="Z179" s="550"/>
      <c r="AA179" s="550"/>
      <c r="AB179" s="550"/>
      <c r="AC179" s="551"/>
      <c r="AD179" s="550"/>
      <c r="AE179" s="550"/>
      <c r="AF179" s="550"/>
      <c r="AG179" s="550"/>
      <c r="AH179" s="551"/>
      <c r="AI179" s="550"/>
      <c r="AJ179" s="550"/>
      <c r="AK179" s="550"/>
      <c r="AL179" s="550"/>
      <c r="AM179" s="551"/>
      <c r="AN179" s="550"/>
      <c r="AO179" s="550"/>
      <c r="AP179" s="550"/>
      <c r="AQ179" s="550"/>
      <c r="AR179" s="551"/>
      <c r="AS179" s="550"/>
      <c r="AT179" s="550"/>
      <c r="AU179" s="550"/>
      <c r="AV179" s="550"/>
      <c r="AW179" s="551"/>
      <c r="AX179" s="550"/>
      <c r="AY179" s="550"/>
      <c r="AZ179" s="550"/>
      <c r="BA179" s="550"/>
      <c r="BB179" s="551"/>
      <c r="BC179" s="550"/>
      <c r="BD179" s="550"/>
      <c r="BE179" s="550"/>
      <c r="BF179" s="550"/>
      <c r="BG179" s="551"/>
      <c r="BH179" s="574">
        <f>BH141</f>
        <v>14.7</v>
      </c>
      <c r="BI179" s="574">
        <f>BI141</f>
        <v>85.9</v>
      </c>
      <c r="BJ179" s="574">
        <f>BJ141</f>
        <v>85.1</v>
      </c>
      <c r="BK179" s="574">
        <f>BK141</f>
        <v>85.8</v>
      </c>
      <c r="BL179" s="553">
        <f>SUM(BH179:BK179)</f>
        <v>271.5</v>
      </c>
      <c r="BM179" s="574">
        <f>BM141</f>
        <v>93.8</v>
      </c>
      <c r="BN179" s="574">
        <f>BN141</f>
        <v>93.1</v>
      </c>
      <c r="BO179" s="574">
        <f>BO141</f>
        <v>97.3</v>
      </c>
      <c r="BP179" s="574">
        <f>BP141</f>
        <v>94.6</v>
      </c>
      <c r="BQ179" s="553">
        <f>SUM(BM179:BP179)</f>
        <v>378.79999999999995</v>
      </c>
      <c r="BR179" s="574">
        <f>BR141</f>
        <v>81.599999999999994</v>
      </c>
      <c r="BS179" s="574">
        <f>BS141</f>
        <v>90.3</v>
      </c>
      <c r="BT179" s="574">
        <f>BT141</f>
        <v>91.6</v>
      </c>
      <c r="BU179" s="574">
        <f>BU141</f>
        <v>87</v>
      </c>
      <c r="BV179" s="553">
        <f>SUM(BR179:BU179)</f>
        <v>350.5</v>
      </c>
      <c r="BW179" s="574">
        <f>BW141</f>
        <v>88</v>
      </c>
      <c r="BX179" s="574">
        <f>BX141</f>
        <v>99</v>
      </c>
      <c r="BY179" s="574">
        <f>BY141</f>
        <v>114</v>
      </c>
      <c r="BZ179" s="574">
        <f>BZ141</f>
        <v>122</v>
      </c>
      <c r="CA179" s="553">
        <f>SUM(BW179:BZ179)</f>
        <v>423</v>
      </c>
      <c r="CB179" s="574">
        <f>CB141</f>
        <v>102</v>
      </c>
      <c r="CC179" s="574">
        <f>CC141</f>
        <v>99</v>
      </c>
      <c r="CD179" s="574">
        <f>CD141</f>
        <v>54</v>
      </c>
      <c r="CE179" s="550">
        <f>CE141</f>
        <v>49.3</v>
      </c>
      <c r="CF179" s="551">
        <f>SUM(CB179:CE179)</f>
        <v>304.3</v>
      </c>
      <c r="CG179" s="550">
        <f>CG141</f>
        <v>50</v>
      </c>
      <c r="CH179" s="550">
        <f>CH141</f>
        <v>53.7</v>
      </c>
      <c r="CI179" s="550">
        <f>CI141</f>
        <v>41.3</v>
      </c>
      <c r="CJ179" s="550">
        <f>CJ141</f>
        <v>45</v>
      </c>
      <c r="CK179" s="551">
        <f>SUM(CG179:CJ179)</f>
        <v>190</v>
      </c>
      <c r="CL179" s="550">
        <f>CL141</f>
        <v>50</v>
      </c>
      <c r="CM179" s="550">
        <f>CM141</f>
        <v>55.1</v>
      </c>
      <c r="CN179" s="550">
        <f>CN141</f>
        <v>50.7</v>
      </c>
      <c r="CO179" s="550">
        <f>CO141</f>
        <v>51.1</v>
      </c>
      <c r="CP179" s="551">
        <f>SUM(CL179:CO179)</f>
        <v>206.9</v>
      </c>
      <c r="CQ179" s="550">
        <f>CQ141</f>
        <v>58.6</v>
      </c>
      <c r="CR179" s="550">
        <f>CR141</f>
        <v>58.4</v>
      </c>
      <c r="CS179" s="550">
        <f ca="1">CS141</f>
        <v>64.595555555555563</v>
      </c>
      <c r="CT179" s="550">
        <f ca="1">CT141</f>
        <v>65.105185185185192</v>
      </c>
      <c r="CU179" s="551">
        <f ca="1">SUM(CQ179:CT179)</f>
        <v>246.70074074074074</v>
      </c>
      <c r="CV179" s="550">
        <f>CV141</f>
        <v>70.000000000001819</v>
      </c>
      <c r="CW179" s="550">
        <f>CW141</f>
        <v>67.5</v>
      </c>
      <c r="CX179" s="550">
        <f>CX141</f>
        <v>76.689917650002826</v>
      </c>
      <c r="CY179" s="550">
        <f>CY141</f>
        <v>81.03617506000046</v>
      </c>
      <c r="CZ179" s="551">
        <f>SUM(CV179:CY179)</f>
        <v>295.2260927100051</v>
      </c>
      <c r="DA179" s="550">
        <f>DA141</f>
        <v>79.2</v>
      </c>
      <c r="DB179" s="550">
        <f>DB141</f>
        <v>86</v>
      </c>
      <c r="DC179" s="550">
        <f>DC141</f>
        <v>88.1</v>
      </c>
      <c r="DD179" s="550">
        <f>DD141</f>
        <v>78.900000000000006</v>
      </c>
      <c r="DE179" s="551">
        <f>SUM(DA179:DD179)</f>
        <v>332.2</v>
      </c>
      <c r="DF179" s="550">
        <f>DF141</f>
        <v>74</v>
      </c>
      <c r="DG179" s="550">
        <f>DG141</f>
        <v>71.7</v>
      </c>
      <c r="DH179" s="550">
        <f>DH141</f>
        <v>90.359291429999999</v>
      </c>
      <c r="DI179" s="550">
        <f>DI141</f>
        <v>95.61617579</v>
      </c>
      <c r="DJ179" s="551">
        <f>SUM(DF179:DI179)</f>
        <v>331.67546721999997</v>
      </c>
      <c r="DK179" s="550">
        <f>DK141</f>
        <v>74</v>
      </c>
      <c r="DL179" s="550">
        <f>DL141</f>
        <v>71.7</v>
      </c>
      <c r="DM179" s="550">
        <f>DM141</f>
        <v>90.359291429999999</v>
      </c>
      <c r="DN179" s="550">
        <f>DN141</f>
        <v>95.61617579</v>
      </c>
      <c r="DO179" s="551">
        <f>SUM(DK179:DN179)</f>
        <v>331.67546721999997</v>
      </c>
      <c r="DP179" s="550">
        <f>DP141</f>
        <v>77.7</v>
      </c>
      <c r="DQ179" s="550">
        <f>DQ141</f>
        <v>75.285000000000011</v>
      </c>
      <c r="DR179" s="550">
        <f>DR141</f>
        <v>94.877256001500001</v>
      </c>
      <c r="DS179" s="550">
        <f>DS141</f>
        <v>100.3969845795</v>
      </c>
      <c r="DT179" s="551">
        <f>SUM(DP179:DS179)</f>
        <v>348.25924058100003</v>
      </c>
      <c r="DU179" s="550">
        <f>DU141</f>
        <v>81.585000000000008</v>
      </c>
      <c r="DV179" s="550">
        <f>DV141</f>
        <v>79.049250000000015</v>
      </c>
      <c r="DW179" s="550">
        <f>DW141</f>
        <v>99.621118801575008</v>
      </c>
      <c r="DX179" s="550">
        <f>DX141</f>
        <v>105.416833808475</v>
      </c>
      <c r="DY179" s="551">
        <f>SUM(DU179:DX179)</f>
        <v>365.67220261005002</v>
      </c>
    </row>
    <row r="180" spans="1:129" ht="11.25" customHeight="1" outlineLevel="1" x14ac:dyDescent="0.2">
      <c r="A180" s="825"/>
      <c r="B180" s="826" t="s">
        <v>779</v>
      </c>
      <c r="C180" s="827"/>
      <c r="D180" s="828"/>
      <c r="I180" s="830"/>
      <c r="N180" s="830"/>
      <c r="S180" s="830"/>
      <c r="X180" s="830"/>
      <c r="AC180" s="830"/>
      <c r="AH180" s="830"/>
      <c r="AM180" s="830"/>
      <c r="AR180" s="830"/>
      <c r="AW180" s="830"/>
      <c r="BB180" s="830"/>
      <c r="BG180" s="830"/>
      <c r="BH180" s="811">
        <f>BH13-BH179</f>
        <v>0</v>
      </c>
      <c r="BI180" s="811">
        <f>BI13-BI179</f>
        <v>0</v>
      </c>
      <c r="BJ180" s="811">
        <f>BJ13-BJ179</f>
        <v>0</v>
      </c>
      <c r="BK180" s="811">
        <f>BK13-BK179</f>
        <v>0</v>
      </c>
      <c r="BL180" s="851" t="str">
        <f>IF(BL13=BL179,"-",BL13-BL179)</f>
        <v>-</v>
      </c>
      <c r="BM180" s="811">
        <f>BM13-BM179</f>
        <v>0</v>
      </c>
      <c r="BN180" s="811">
        <f>BN13-BN179</f>
        <v>0</v>
      </c>
      <c r="BO180" s="811">
        <f>BO13-BO179</f>
        <v>0</v>
      </c>
      <c r="BP180" s="811">
        <f>BP13-BP179</f>
        <v>0</v>
      </c>
      <c r="BQ180" s="851" t="str">
        <f>IF(BQ13=BQ179,"-",BQ13-BQ179)</f>
        <v>-</v>
      </c>
      <c r="BR180" s="811">
        <f>BR13-BR179</f>
        <v>0</v>
      </c>
      <c r="BS180" s="811">
        <f>BS13-BS179</f>
        <v>0</v>
      </c>
      <c r="BT180" s="811">
        <f>BT13-BT179</f>
        <v>0</v>
      </c>
      <c r="BU180" s="811">
        <f>BU13-BU179</f>
        <v>0</v>
      </c>
      <c r="BV180" s="851" t="str">
        <f>IF(BV13=BV179,"-",BV13-BV179)</f>
        <v>-</v>
      </c>
      <c r="BW180" s="811">
        <f>BW13-BW179</f>
        <v>0</v>
      </c>
      <c r="BX180" s="811">
        <f>BX13-BX179</f>
        <v>0</v>
      </c>
      <c r="BY180" s="811">
        <f>BY13-BY179</f>
        <v>0</v>
      </c>
      <c r="BZ180" s="811">
        <f>BZ13-BZ179</f>
        <v>0</v>
      </c>
      <c r="CA180" s="851" t="str">
        <f>IF(CA13=CA179,"-",CA13-CA179)</f>
        <v>-</v>
      </c>
      <c r="CB180" s="811">
        <f>CB13-CB179</f>
        <v>0</v>
      </c>
      <c r="CC180" s="811">
        <f>CC13-CC179</f>
        <v>0</v>
      </c>
      <c r="CD180">
        <f>CD13-CD179</f>
        <v>0</v>
      </c>
      <c r="CE180">
        <f>CE13-CE179</f>
        <v>0</v>
      </c>
      <c r="CF180" s="576" t="str">
        <f>IF(CF13=CF179,"-",CF13-CF179)</f>
        <v>-</v>
      </c>
      <c r="CG180">
        <f>CG13-CG179</f>
        <v>0</v>
      </c>
      <c r="CH180">
        <f>CH13-CH179</f>
        <v>0</v>
      </c>
      <c r="CI180">
        <f>CI13-CI179</f>
        <v>0</v>
      </c>
      <c r="CJ180">
        <f>CJ13-CJ179</f>
        <v>0</v>
      </c>
      <c r="CK180" s="851" t="str">
        <f>IF(CK13=CK179,"-",CK13-CK179)</f>
        <v>-</v>
      </c>
      <c r="CL180">
        <f>CL13-CL179</f>
        <v>0</v>
      </c>
      <c r="CM180">
        <f>CM13-CM179</f>
        <v>0</v>
      </c>
      <c r="CN180">
        <f>CN13-CN179</f>
        <v>0</v>
      </c>
      <c r="CO180">
        <f>CO13-CO179</f>
        <v>0</v>
      </c>
      <c r="CP180" s="851" t="str">
        <f>IF(CP13=CP179,"-",CP13-CP179)</f>
        <v>-</v>
      </c>
      <c r="CQ180">
        <f>CQ13-CQ179</f>
        <v>0</v>
      </c>
      <c r="CR180">
        <f>CR13-CR179</f>
        <v>0</v>
      </c>
      <c r="CS180">
        <f ca="1">CS13-CS179</f>
        <v>-4.495555555555562</v>
      </c>
      <c r="CT180">
        <f ca="1">CT13-CT179</f>
        <v>-5.6051851851851922</v>
      </c>
      <c r="CU180" s="851">
        <f ca="1">IF(CU13=CU179,"-",CU13-CU179)</f>
        <v>-10.100740740740747</v>
      </c>
      <c r="CV180">
        <f>CV13-CV179</f>
        <v>0</v>
      </c>
      <c r="CW180">
        <f>CW13-CW179</f>
        <v>0</v>
      </c>
      <c r="CX180">
        <f>CX13-CX179</f>
        <v>0</v>
      </c>
      <c r="CY180" s="2575">
        <f>CY13-CY179</f>
        <v>0</v>
      </c>
      <c r="CZ180" s="851" t="str">
        <f>IF(CZ13=CZ179,"-",CZ13-CZ179)</f>
        <v>-</v>
      </c>
      <c r="DA180">
        <f>DA13-DA179</f>
        <v>0</v>
      </c>
      <c r="DB180" s="2614">
        <f>DB13-DB179</f>
        <v>0</v>
      </c>
      <c r="DC180" s="2631">
        <f>DC13-DC179</f>
        <v>0</v>
      </c>
      <c r="DD180">
        <f>DD13-DD179</f>
        <v>0</v>
      </c>
      <c r="DE180" s="851" t="str">
        <f>IF(DE13=DE179,"-",DE13-DE179)</f>
        <v>-</v>
      </c>
      <c r="DF180" s="2683">
        <f>DF13-DF179</f>
        <v>0</v>
      </c>
      <c r="DG180">
        <f>DG13-DG179</f>
        <v>0</v>
      </c>
      <c r="DH180" s="2734">
        <f>DH13-DH179</f>
        <v>0</v>
      </c>
      <c r="DI180" s="2795">
        <f>DI13-DI179</f>
        <v>0</v>
      </c>
      <c r="DJ180" s="851" t="str">
        <f>IF(DJ13=DJ179,"-",DJ13-DJ179)</f>
        <v>-</v>
      </c>
      <c r="DK180" s="2559">
        <f>DK13-DK179</f>
        <v>0</v>
      </c>
      <c r="DL180" s="2559">
        <f>DL13-DL179</f>
        <v>0</v>
      </c>
      <c r="DM180" s="2559">
        <f>DM13-DM179</f>
        <v>0</v>
      </c>
      <c r="DN180" s="2559">
        <f>DN13-DN179</f>
        <v>0</v>
      </c>
      <c r="DO180" s="851" t="str">
        <f>IF(DO13=DO179,"-",DO13-DO179)</f>
        <v>-</v>
      </c>
      <c r="DP180" s="2649">
        <f>DP13-DP179</f>
        <v>0</v>
      </c>
      <c r="DQ180" s="2649">
        <f>DQ13-DQ179</f>
        <v>0</v>
      </c>
      <c r="DR180" s="2649">
        <f>DR13-DR179</f>
        <v>0</v>
      </c>
      <c r="DS180" s="2649">
        <f>DS13-DS179</f>
        <v>0</v>
      </c>
      <c r="DT180" s="851" t="str">
        <f>IF(DT13=DT179,"-",DT13-DT179)</f>
        <v>-</v>
      </c>
      <c r="DU180" s="2771">
        <f>DU13-DU179</f>
        <v>0</v>
      </c>
      <c r="DV180" s="2771">
        <f>DV13-DV179</f>
        <v>0</v>
      </c>
      <c r="DW180" s="2771">
        <f>DW13-DW179</f>
        <v>0</v>
      </c>
      <c r="DX180" s="2771">
        <f>DX13-DX179</f>
        <v>0</v>
      </c>
      <c r="DY180" s="851" t="str">
        <f>IF(DY13=DY179,"-",DY13-DY179)</f>
        <v>-</v>
      </c>
    </row>
    <row r="181" spans="1:129" ht="6.75" customHeight="1" thickBot="1" x14ac:dyDescent="0.25">
      <c r="A181" s="825"/>
      <c r="B181" s="826"/>
      <c r="C181" s="827"/>
      <c r="D181" s="828"/>
      <c r="E181" s="829"/>
      <c r="F181" s="829"/>
      <c r="G181" s="829"/>
      <c r="H181" s="829"/>
      <c r="I181" s="830"/>
      <c r="J181" s="829"/>
      <c r="K181" s="829"/>
      <c r="L181" s="829"/>
      <c r="M181" s="829"/>
      <c r="N181" s="830"/>
      <c r="O181" s="829"/>
      <c r="P181" s="829"/>
      <c r="Q181" s="829"/>
      <c r="R181" s="829"/>
      <c r="S181" s="830"/>
      <c r="T181" s="829"/>
      <c r="U181" s="829"/>
      <c r="V181" s="829"/>
      <c r="W181" s="829"/>
      <c r="X181" s="830"/>
      <c r="Y181" s="829"/>
      <c r="Z181" s="829"/>
      <c r="AA181" s="829"/>
      <c r="AB181" s="829"/>
      <c r="AC181" s="830"/>
      <c r="AD181" s="829"/>
      <c r="AE181" s="829"/>
      <c r="AF181" s="829"/>
      <c r="AG181" s="829"/>
      <c r="AH181" s="830"/>
      <c r="AI181" s="829"/>
      <c r="AJ181" s="829"/>
      <c r="AK181" s="829"/>
      <c r="AL181" s="829"/>
      <c r="AM181" s="830"/>
      <c r="AN181" s="829"/>
      <c r="AO181" s="829"/>
      <c r="AP181" s="829"/>
      <c r="AQ181" s="829"/>
      <c r="AR181" s="830"/>
      <c r="AS181" s="829"/>
      <c r="AT181" s="829"/>
      <c r="AU181" s="829"/>
      <c r="AV181" s="829"/>
      <c r="AW181" s="830"/>
      <c r="AX181" s="829"/>
      <c r="AY181" s="829"/>
      <c r="AZ181" s="829"/>
      <c r="BA181" s="829"/>
      <c r="BB181" s="830"/>
      <c r="BC181" s="829"/>
      <c r="BD181" s="829"/>
      <c r="BE181" s="829"/>
      <c r="BF181" s="829"/>
      <c r="BG181" s="830"/>
      <c r="BH181" s="829"/>
      <c r="BI181" s="829"/>
      <c r="BJ181" s="829"/>
      <c r="BK181" s="829"/>
      <c r="BL181" s="830"/>
      <c r="BM181" s="829"/>
      <c r="BN181" s="829"/>
      <c r="BO181" s="829"/>
      <c r="BP181" s="829"/>
      <c r="BQ181" s="830"/>
      <c r="BR181" s="829"/>
      <c r="BS181" s="829"/>
      <c r="BT181" s="829"/>
      <c r="BU181" s="829"/>
      <c r="BV181" s="830"/>
      <c r="BW181" s="829"/>
      <c r="BX181" s="829"/>
      <c r="BY181" s="829"/>
      <c r="BZ181" s="829"/>
      <c r="CA181" s="830"/>
      <c r="CB181" s="829"/>
      <c r="CC181" s="829"/>
      <c r="CD181" s="829"/>
      <c r="CE181" s="829"/>
      <c r="CF181" s="830"/>
      <c r="CG181" s="829"/>
      <c r="CH181" s="829"/>
      <c r="CI181" s="829"/>
      <c r="CJ181" s="829"/>
      <c r="CK181" s="830"/>
      <c r="CL181" s="829"/>
      <c r="CM181" s="829"/>
      <c r="CN181" s="829"/>
      <c r="CO181" s="829"/>
      <c r="CP181" s="830"/>
      <c r="CQ181" s="829"/>
      <c r="CR181" s="829"/>
      <c r="CS181" s="829"/>
      <c r="CT181" s="829"/>
      <c r="CU181" s="830"/>
      <c r="CV181" s="829"/>
      <c r="CW181" s="829"/>
      <c r="CX181" s="829"/>
      <c r="CY181" s="829"/>
      <c r="CZ181" s="830"/>
      <c r="DA181" s="829"/>
      <c r="DB181" s="829"/>
      <c r="DC181" s="829"/>
      <c r="DD181" s="829"/>
      <c r="DE181" s="830"/>
      <c r="DF181" s="829"/>
      <c r="DG181" s="829"/>
      <c r="DH181" s="829"/>
      <c r="DI181" s="2819"/>
      <c r="DJ181" s="830"/>
      <c r="DK181" s="829"/>
      <c r="DL181" s="829"/>
      <c r="DM181" s="829"/>
      <c r="DN181" s="829"/>
      <c r="DO181" s="830"/>
      <c r="DP181" s="829"/>
      <c r="DQ181" s="829"/>
      <c r="DR181" s="829"/>
      <c r="DS181" s="829"/>
      <c r="DT181" s="830"/>
      <c r="DU181" s="829"/>
      <c r="DV181" s="829"/>
      <c r="DW181" s="829"/>
      <c r="DX181" s="829"/>
      <c r="DY181" s="830"/>
    </row>
    <row r="182" spans="1:129" ht="11.25" customHeight="1" thickBot="1" x14ac:dyDescent="0.25">
      <c r="A182" s="559"/>
      <c r="B182" s="852" t="s">
        <v>784</v>
      </c>
      <c r="C182" s="853"/>
      <c r="D182" s="853"/>
      <c r="E182" s="853"/>
      <c r="F182" s="853"/>
      <c r="G182" s="853"/>
      <c r="H182" s="853"/>
      <c r="I182" s="854"/>
      <c r="J182" s="853"/>
      <c r="K182" s="853"/>
      <c r="L182" s="853"/>
      <c r="M182" s="853"/>
      <c r="N182" s="854"/>
      <c r="O182" s="853"/>
      <c r="P182" s="853"/>
      <c r="Q182" s="853"/>
      <c r="R182" s="853"/>
      <c r="S182" s="854"/>
      <c r="T182" s="853"/>
      <c r="U182" s="853"/>
      <c r="V182" s="853"/>
      <c r="W182" s="853"/>
      <c r="X182" s="854"/>
      <c r="Y182" s="853"/>
      <c r="Z182" s="853"/>
      <c r="AA182" s="853"/>
      <c r="AB182" s="853"/>
      <c r="AC182" s="854"/>
      <c r="AD182" s="853"/>
      <c r="AE182" s="853"/>
      <c r="AF182" s="853"/>
      <c r="AG182" s="853"/>
      <c r="AH182" s="854"/>
      <c r="AI182" s="853"/>
      <c r="AJ182" s="853"/>
      <c r="AK182" s="853"/>
      <c r="AL182" s="853"/>
      <c r="AM182" s="854"/>
      <c r="AN182" s="853"/>
      <c r="AO182" s="853"/>
      <c r="AP182" s="853"/>
      <c r="AQ182" s="853"/>
      <c r="AR182" s="854"/>
      <c r="AS182" s="853"/>
      <c r="AT182" s="853"/>
      <c r="AU182" s="853"/>
      <c r="AV182" s="853"/>
      <c r="AW182" s="854"/>
      <c r="AX182" s="853"/>
      <c r="AY182" s="853"/>
      <c r="AZ182" s="853"/>
      <c r="BA182" s="853"/>
      <c r="BB182" s="854"/>
      <c r="BC182" s="853"/>
      <c r="BD182" s="853"/>
      <c r="BE182" s="853"/>
      <c r="BF182" s="853"/>
      <c r="BG182" s="854"/>
      <c r="BH182" s="855">
        <f>BH160+BH171+BH179</f>
        <v>2110.2999999999997</v>
      </c>
      <c r="BI182" s="855">
        <f>BI160+BI171+BI179</f>
        <v>10554.1</v>
      </c>
      <c r="BJ182" s="855">
        <f>BJ160+BJ171+BJ179</f>
        <v>10662.6</v>
      </c>
      <c r="BK182" s="855">
        <f>BK160+BK171+BK179</f>
        <v>11611.399999999998</v>
      </c>
      <c r="BL182" s="856">
        <f>BL165+BL176+BL179</f>
        <v>34938.400000000001</v>
      </c>
      <c r="BM182" s="855">
        <f>BM160+BM171+BM179</f>
        <v>10764.699999999999</v>
      </c>
      <c r="BN182" s="855">
        <f>BN160+BN171+BN179</f>
        <v>10656.800000000001</v>
      </c>
      <c r="BO182" s="855">
        <f>BO160+BO171+BO179</f>
        <v>10563.399999999998</v>
      </c>
      <c r="BP182" s="855">
        <f>BP160+BP171+BP179</f>
        <v>11784.300000000001</v>
      </c>
      <c r="BQ182" s="856">
        <f>BQ165+BQ176+BQ179</f>
        <v>43769.200000000012</v>
      </c>
      <c r="BR182" s="855">
        <f t="shared" ref="BR182:BZ182" si="283">BR160+BR171+BR179</f>
        <v>11534.800000000001</v>
      </c>
      <c r="BS182" s="855">
        <f t="shared" si="283"/>
        <v>13007.900000000001</v>
      </c>
      <c r="BT182" s="855">
        <f t="shared" si="283"/>
        <v>13030.300000000001</v>
      </c>
      <c r="BU182" s="855">
        <f t="shared" si="283"/>
        <v>13492</v>
      </c>
      <c r="BV182" s="856">
        <f t="shared" si="283"/>
        <v>51065</v>
      </c>
      <c r="BW182" s="855">
        <f t="shared" si="283"/>
        <v>11836</v>
      </c>
      <c r="BX182" s="855">
        <f t="shared" si="283"/>
        <v>11840</v>
      </c>
      <c r="BY182" s="855">
        <f t="shared" si="283"/>
        <v>11926</v>
      </c>
      <c r="BZ182" s="855">
        <f t="shared" si="283"/>
        <v>12177</v>
      </c>
      <c r="CA182" s="856">
        <f>CA165+CA176+CA179</f>
        <v>47779</v>
      </c>
      <c r="CB182" s="855">
        <f>CB160+CB171+CB179</f>
        <v>14014</v>
      </c>
      <c r="CC182" s="855">
        <f>CC160+CC171+CC179</f>
        <v>14589</v>
      </c>
      <c r="CD182" s="853">
        <f>CD160+CD171+CD179</f>
        <v>14798</v>
      </c>
      <c r="CE182" s="853">
        <f>CE160+CE171+CE179</f>
        <v>15873.300000000001</v>
      </c>
      <c r="CF182" s="854">
        <f>CF165+CF176+CF179</f>
        <v>59274.3</v>
      </c>
      <c r="CG182" s="853">
        <f>CG160+CG171+CG179</f>
        <v>18300</v>
      </c>
      <c r="CH182" s="853">
        <f>CH160+CH171+CH179</f>
        <v>18422.600000000002</v>
      </c>
      <c r="CI182" s="853">
        <f>CI160+CI171+CI179</f>
        <v>18079.399999999998</v>
      </c>
      <c r="CJ182" s="853">
        <f>CJ160+CJ171+CJ179</f>
        <v>18642</v>
      </c>
      <c r="CK182" s="854">
        <f>CK165+CK176+CK179</f>
        <v>73444</v>
      </c>
      <c r="CL182" s="1705">
        <f>CL160+CL171+CL179</f>
        <v>18310.679313665278</v>
      </c>
      <c r="CM182" s="1705">
        <f>CM160+CM171+CM179</f>
        <v>18799.881344385678</v>
      </c>
      <c r="CN182" s="1705">
        <f>CN160+CN171+CN179</f>
        <v>19387.287505256438</v>
      </c>
      <c r="CO182" s="1705">
        <f>CO160+CO171+CO179</f>
        <v>20024.599673743112</v>
      </c>
      <c r="CP182" s="854">
        <f>CP165+CP176+CP179</f>
        <v>76522.447837050509</v>
      </c>
      <c r="CQ182" s="853">
        <f>CQ160+CQ171+CQ179</f>
        <v>19560.200669159974</v>
      </c>
      <c r="CR182" s="853">
        <f>CR160+CR171+CR179</f>
        <v>22226.325668180296</v>
      </c>
      <c r="CS182" s="853">
        <f ca="1">CS160+CS171+CS179</f>
        <v>22430.235858660675</v>
      </c>
      <c r="CT182" s="853">
        <f ca="1">CT160+CT171+CT179</f>
        <v>23907.748313890308</v>
      </c>
      <c r="CU182" s="854">
        <f ca="1">CU165+CU176+CU179</f>
        <v>88124.510509891246</v>
      </c>
      <c r="CV182" s="853">
        <f ca="1">CV160+CV171+CV179</f>
        <v>23878.9</v>
      </c>
      <c r="CW182" s="853">
        <f ca="1">CW160+CW171+CW179</f>
        <v>24441.5</v>
      </c>
      <c r="CX182" s="853">
        <f ca="1">CX160+CX171+CX179</f>
        <v>25528.265561990003</v>
      </c>
      <c r="CY182" s="853">
        <f ca="1">CY160+CY171+CY179</f>
        <v>26513.93617506</v>
      </c>
      <c r="CZ182" s="854">
        <f ca="1">CZ165+CZ176+CZ179</f>
        <v>100362.60173705</v>
      </c>
      <c r="DA182" s="853">
        <f ca="1">DA160+DA171+DA179</f>
        <v>28765</v>
      </c>
      <c r="DB182" s="853">
        <f ca="1">DB160+DB171+DB179</f>
        <v>29509.800000000003</v>
      </c>
      <c r="DC182" s="853">
        <f ca="1">DC160+DC171+DC179</f>
        <v>30429.099999999995</v>
      </c>
      <c r="DD182" s="853">
        <f ca="1">DD160+DD171+DD179</f>
        <v>31259.300000000003</v>
      </c>
      <c r="DE182" s="854">
        <f ca="1">DE165+DE176+DE179</f>
        <v>119963.2</v>
      </c>
      <c r="DF182" s="853">
        <f ca="1">DF160+DF171+DF179</f>
        <v>31222.7</v>
      </c>
      <c r="DG182" s="853">
        <f ca="1">DG160+DG171+DG179</f>
        <v>32325.599999999999</v>
      </c>
      <c r="DH182" s="853">
        <f ca="1">DH160+DH171+DH179</f>
        <v>32895.782448490005</v>
      </c>
      <c r="DI182" s="853">
        <f ca="1">DI160+DI171+DI179</f>
        <v>34151.917852860002</v>
      </c>
      <c r="DJ182" s="854">
        <f ca="1">DJ165+DJ176+DJ179</f>
        <v>130596.00030135001</v>
      </c>
      <c r="DK182" s="853">
        <f ca="1">DK160+DK171+DK179</f>
        <v>32182.540685080323</v>
      </c>
      <c r="DL182" s="853">
        <f ca="1">DL160+DL171+DL179</f>
        <v>34871.295993860709</v>
      </c>
      <c r="DM182" s="853">
        <f ca="1">DM160+DM171+DM179</f>
        <v>34968.953189669992</v>
      </c>
      <c r="DN182" s="853">
        <f ca="1">DN160+DN171+DN179</f>
        <v>35596.233789761754</v>
      </c>
      <c r="DO182" s="854">
        <f ca="1">DO165+DO176+DO179</f>
        <v>137619.02365837278</v>
      </c>
      <c r="DP182" s="853">
        <f ca="1">DP160+DP171+DP179</f>
        <v>33802.56172054154</v>
      </c>
      <c r="DQ182" s="853">
        <f ca="1">DQ160+DQ171+DQ179</f>
        <v>36583.858561578789</v>
      </c>
      <c r="DR182" s="853">
        <f ca="1">DR160+DR171+DR179</f>
        <v>36647.278038265969</v>
      </c>
      <c r="DS182" s="853">
        <f ca="1">DS160+DS171+DS179</f>
        <v>37258.576214164546</v>
      </c>
      <c r="DT182" s="854">
        <f ca="1">DT165+DT176+DT179</f>
        <v>144292.27453455084</v>
      </c>
      <c r="DU182" s="853">
        <f ca="1">DU160+DU171+DU179</f>
        <v>35328.463051973646</v>
      </c>
      <c r="DV182" s="853">
        <f ca="1">DV160+DV171+DV179</f>
        <v>38168.1999430867</v>
      </c>
      <c r="DW182" s="853">
        <f ca="1">DW160+DW171+DW179</f>
        <v>38186.84240213444</v>
      </c>
      <c r="DX182" s="853">
        <f ca="1">DX160+DX171+DX179</f>
        <v>38769.939247598399</v>
      </c>
      <c r="DY182" s="854">
        <f ca="1">DY165+DY176+DY179</f>
        <v>150453.4446447932</v>
      </c>
    </row>
    <row r="183" spans="1:129" ht="11.25" customHeight="1" outlineLevel="1" thickBot="1" x14ac:dyDescent="0.25">
      <c r="A183" s="825"/>
      <c r="B183" s="857" t="s">
        <v>779</v>
      </c>
      <c r="C183" s="858"/>
      <c r="D183" s="859"/>
      <c r="E183" s="858"/>
      <c r="F183" s="858"/>
      <c r="G183" s="858"/>
      <c r="H183" s="858"/>
      <c r="I183" s="860"/>
      <c r="J183" s="858"/>
      <c r="K183" s="858"/>
      <c r="L183" s="858"/>
      <c r="M183" s="858"/>
      <c r="N183" s="860"/>
      <c r="O183" s="858"/>
      <c r="P183" s="858"/>
      <c r="Q183" s="858"/>
      <c r="R183" s="858"/>
      <c r="S183" s="860"/>
      <c r="T183" s="858"/>
      <c r="U183" s="858"/>
      <c r="V183" s="858"/>
      <c r="W183" s="858"/>
      <c r="X183" s="860"/>
      <c r="Y183" s="858"/>
      <c r="Z183" s="858"/>
      <c r="AA183" s="858"/>
      <c r="AB183" s="858"/>
      <c r="AC183" s="860"/>
      <c r="AD183" s="858"/>
      <c r="AE183" s="858"/>
      <c r="AF183" s="858"/>
      <c r="AG183" s="858"/>
      <c r="AH183" s="860"/>
      <c r="AI183" s="858"/>
      <c r="AJ183" s="858"/>
      <c r="AK183" s="858"/>
      <c r="AL183" s="858"/>
      <c r="AM183" s="860"/>
      <c r="AN183" s="858"/>
      <c r="AO183" s="858"/>
      <c r="AP183" s="858"/>
      <c r="AQ183" s="858"/>
      <c r="AR183" s="860"/>
      <c r="AS183" s="858"/>
      <c r="AT183" s="858"/>
      <c r="AU183" s="858"/>
      <c r="AV183" s="858"/>
      <c r="AW183" s="860"/>
      <c r="AX183" s="858"/>
      <c r="AY183" s="858"/>
      <c r="AZ183" s="858"/>
      <c r="BA183" s="858"/>
      <c r="BB183" s="860"/>
      <c r="BC183" s="858"/>
      <c r="BD183" s="858"/>
      <c r="BE183" s="858"/>
      <c r="BF183" s="858"/>
      <c r="BG183" s="860"/>
      <c r="BH183" s="861">
        <f t="shared" ref="BH183:CZ183" si="284">IF(BH14=BH182,"-",BH14-BH182)</f>
        <v>-3.9999999999995453</v>
      </c>
      <c r="BI183" s="862" t="str">
        <f t="shared" si="284"/>
        <v>-</v>
      </c>
      <c r="BJ183" s="862" t="str">
        <f t="shared" si="284"/>
        <v>-</v>
      </c>
      <c r="BK183" s="862" t="str">
        <f t="shared" si="284"/>
        <v>-</v>
      </c>
      <c r="BL183" s="863" t="str">
        <f t="shared" si="284"/>
        <v>-</v>
      </c>
      <c r="BM183" s="862" t="str">
        <f t="shared" si="284"/>
        <v>-</v>
      </c>
      <c r="BN183" s="862" t="str">
        <f t="shared" si="284"/>
        <v>-</v>
      </c>
      <c r="BO183" s="862" t="str">
        <f t="shared" si="284"/>
        <v>-</v>
      </c>
      <c r="BP183" s="862" t="str">
        <f t="shared" si="284"/>
        <v>-</v>
      </c>
      <c r="BQ183" s="863" t="str">
        <f t="shared" si="284"/>
        <v>-</v>
      </c>
      <c r="BR183" s="862" t="str">
        <f t="shared" si="284"/>
        <v>-</v>
      </c>
      <c r="BS183" s="862" t="str">
        <f t="shared" si="284"/>
        <v>-</v>
      </c>
      <c r="BT183" s="862" t="str">
        <f t="shared" si="284"/>
        <v>-</v>
      </c>
      <c r="BU183" s="862" t="str">
        <f t="shared" si="284"/>
        <v>-</v>
      </c>
      <c r="BV183" s="863" t="str">
        <f t="shared" si="284"/>
        <v>-</v>
      </c>
      <c r="BW183" s="862" t="str">
        <f t="shared" si="284"/>
        <v>-</v>
      </c>
      <c r="BX183" s="862" t="str">
        <f t="shared" si="284"/>
        <v>-</v>
      </c>
      <c r="BY183" s="862" t="str">
        <f t="shared" si="284"/>
        <v>-</v>
      </c>
      <c r="BZ183" s="862" t="str">
        <f t="shared" si="284"/>
        <v>-</v>
      </c>
      <c r="CA183" s="863" t="str">
        <f t="shared" si="284"/>
        <v>-</v>
      </c>
      <c r="CB183" s="862" t="str">
        <f t="shared" si="284"/>
        <v>-</v>
      </c>
      <c r="CC183" s="862" t="str">
        <f t="shared" si="284"/>
        <v>-</v>
      </c>
      <c r="CD183" s="862" t="str">
        <f t="shared" si="284"/>
        <v>-</v>
      </c>
      <c r="CE183" s="862" t="str">
        <f t="shared" si="284"/>
        <v>-</v>
      </c>
      <c r="CF183" s="863" t="str">
        <f t="shared" si="284"/>
        <v>-</v>
      </c>
      <c r="CG183" s="862" t="str">
        <f t="shared" si="284"/>
        <v>-</v>
      </c>
      <c r="CH183" s="862" t="str">
        <f t="shared" si="284"/>
        <v>-</v>
      </c>
      <c r="CI183" s="862" t="str">
        <f t="shared" si="284"/>
        <v>-</v>
      </c>
      <c r="CJ183" s="862" t="str">
        <f t="shared" si="284"/>
        <v>-</v>
      </c>
      <c r="CK183" s="863" t="str">
        <f t="shared" si="284"/>
        <v>-</v>
      </c>
      <c r="CL183" s="1706">
        <f t="shared" si="284"/>
        <v>0.32068633472226793</v>
      </c>
      <c r="CM183" s="1706">
        <f t="shared" si="284"/>
        <v>-8.134438567867619E-2</v>
      </c>
      <c r="CN183" s="1707">
        <f>IF(CN14=CN182,"-",CN14-CN182)</f>
        <v>95.312494743564457</v>
      </c>
      <c r="CO183" s="1707">
        <f>IF(CO14=CO182,"-",CO14-CO182)</f>
        <v>-409.59967374311236</v>
      </c>
      <c r="CP183" s="863">
        <f t="shared" si="284"/>
        <v>-314.04783705051523</v>
      </c>
      <c r="CQ183" s="862">
        <f t="shared" si="284"/>
        <v>634.89933084002405</v>
      </c>
      <c r="CR183" s="862">
        <f t="shared" si="284"/>
        <v>-390.025668180293</v>
      </c>
      <c r="CS183" s="862">
        <f ca="1">IF(CS14=CS182,"-",CS14-CS182)</f>
        <v>103.76414133932485</v>
      </c>
      <c r="CT183" s="862">
        <f t="shared" ca="1" si="284"/>
        <v>-33.448313890305144</v>
      </c>
      <c r="CU183" s="863">
        <f t="shared" ca="1" si="284"/>
        <v>315.18949010876531</v>
      </c>
      <c r="CV183" s="2632" t="str">
        <f t="shared" ca="1" si="284"/>
        <v>-</v>
      </c>
      <c r="CW183" s="2632" t="str">
        <f t="shared" ca="1" si="284"/>
        <v>-</v>
      </c>
      <c r="CX183" s="2632" t="str">
        <f t="shared" ca="1" si="284"/>
        <v>-</v>
      </c>
      <c r="CY183" s="2632" t="str">
        <f ca="1">IF(CY14=CY182,"-",CY14-CY182)</f>
        <v>-</v>
      </c>
      <c r="CZ183" s="2704" t="str">
        <f t="shared" ca="1" si="284"/>
        <v>-</v>
      </c>
      <c r="DA183" s="2632" t="str">
        <f t="shared" ref="DA183:DJ183" ca="1" si="285">IF(DA14=DA182,"-",DA14-DA182)</f>
        <v>-</v>
      </c>
      <c r="DB183" s="2632">
        <f t="shared" ca="1" si="285"/>
        <v>-0.10000000000218279</v>
      </c>
      <c r="DC183" s="2632" t="str">
        <f ca="1">IF(DC14=DC182,"-",DC14-DC182)</f>
        <v>-</v>
      </c>
      <c r="DD183" s="2632" t="str">
        <f t="shared" ca="1" si="285"/>
        <v>-</v>
      </c>
      <c r="DE183" s="2704" t="str">
        <f t="shared" ca="1" si="285"/>
        <v>-</v>
      </c>
      <c r="DF183" s="2632" t="str">
        <f t="shared" ca="1" si="285"/>
        <v>-</v>
      </c>
      <c r="DG183" s="862" t="str">
        <f t="shared" ref="DG183:DI183" ca="1" si="286">IF(DG14=DG182,"-",DG14-DG182)</f>
        <v>-</v>
      </c>
      <c r="DH183" s="862">
        <f t="shared" ca="1" si="286"/>
        <v>1.7551509998156689E-2</v>
      </c>
      <c r="DI183" s="2820" t="str">
        <f t="shared" ca="1" si="286"/>
        <v>-</v>
      </c>
      <c r="DJ183" s="863" t="str">
        <f t="shared" ca="1" si="285"/>
        <v>-</v>
      </c>
      <c r="DK183" s="862" t="str">
        <f t="shared" ref="DK183:DT183" ca="1" si="287">IF(DK14=DK182,"-",DK14-DK182)</f>
        <v>-</v>
      </c>
      <c r="DL183" s="862" t="str">
        <f t="shared" ca="1" si="287"/>
        <v>-</v>
      </c>
      <c r="DM183" s="862" t="str">
        <f t="shared" ca="1" si="287"/>
        <v>-</v>
      </c>
      <c r="DN183" s="862" t="str">
        <f t="shared" ca="1" si="287"/>
        <v>-</v>
      </c>
      <c r="DO183" s="863" t="str">
        <f t="shared" ca="1" si="287"/>
        <v>-</v>
      </c>
      <c r="DP183" s="862" t="str">
        <f t="shared" ca="1" si="287"/>
        <v>-</v>
      </c>
      <c r="DQ183" s="862" t="str">
        <f t="shared" ca="1" si="287"/>
        <v>-</v>
      </c>
      <c r="DR183" s="862" t="str">
        <f t="shared" ca="1" si="287"/>
        <v>-</v>
      </c>
      <c r="DS183" s="862" t="str">
        <f t="shared" ca="1" si="287"/>
        <v>-</v>
      </c>
      <c r="DT183" s="863" t="str">
        <f t="shared" ca="1" si="287"/>
        <v>-</v>
      </c>
      <c r="DU183" s="862" t="str">
        <f t="shared" ref="DU183:DY183" ca="1" si="288">IF(DU14=DU182,"-",DU14-DU182)</f>
        <v>-</v>
      </c>
      <c r="DV183" s="862" t="str">
        <f t="shared" ca="1" si="288"/>
        <v>-</v>
      </c>
      <c r="DW183" s="862" t="str">
        <f t="shared" ca="1" si="288"/>
        <v>-</v>
      </c>
      <c r="DX183" s="862" t="str">
        <f t="shared" ca="1" si="288"/>
        <v>-</v>
      </c>
      <c r="DY183" s="863" t="str">
        <f t="shared" ca="1" si="288"/>
        <v>-</v>
      </c>
    </row>
    <row r="184" spans="1:129" ht="12" thickBot="1" x14ac:dyDescent="0.25">
      <c r="A184" s="682"/>
      <c r="B184" s="682"/>
      <c r="C184" s="682"/>
      <c r="D184" s="682"/>
      <c r="E184" s="682"/>
      <c r="F184" s="682"/>
      <c r="G184" s="682"/>
      <c r="H184" s="682"/>
      <c r="I184" s="682"/>
      <c r="J184" s="682"/>
      <c r="K184" s="682"/>
      <c r="L184" s="682"/>
      <c r="M184" s="682"/>
      <c r="N184" s="682"/>
      <c r="O184" s="682"/>
      <c r="P184" s="682"/>
      <c r="Q184" s="682"/>
      <c r="R184" s="682"/>
      <c r="S184" s="682"/>
      <c r="T184" s="682"/>
      <c r="U184" s="682"/>
      <c r="V184" s="682"/>
      <c r="W184" s="682"/>
      <c r="X184" s="682"/>
      <c r="Y184" s="682"/>
      <c r="Z184" s="682"/>
      <c r="AA184" s="682"/>
      <c r="AB184" s="682"/>
      <c r="AC184" s="682"/>
      <c r="AD184" s="682"/>
      <c r="AE184" s="682"/>
      <c r="AF184" s="682"/>
      <c r="AG184" s="682"/>
      <c r="AH184" s="682"/>
      <c r="AI184" s="682"/>
      <c r="AJ184" s="682"/>
      <c r="AK184" s="682"/>
      <c r="AL184" s="682"/>
      <c r="AM184" s="682"/>
      <c r="AN184" s="682"/>
      <c r="AO184" s="682"/>
      <c r="AP184" s="682"/>
      <c r="AQ184" s="682"/>
      <c r="AR184" s="682"/>
      <c r="AS184" s="682"/>
      <c r="AT184" s="682"/>
      <c r="AU184" s="682"/>
      <c r="AV184" s="682"/>
      <c r="AW184" s="682"/>
      <c r="AX184" s="682"/>
      <c r="AY184" s="682"/>
      <c r="AZ184" s="682"/>
      <c r="BA184" s="682"/>
      <c r="BB184" s="682"/>
      <c r="BC184" s="682"/>
      <c r="BD184" s="682"/>
      <c r="BE184" s="682"/>
      <c r="BF184" s="682"/>
      <c r="BG184" s="682"/>
      <c r="BH184" s="682"/>
      <c r="BI184" s="682"/>
      <c r="BJ184" s="682"/>
      <c r="BK184" s="682"/>
      <c r="BL184" s="682"/>
      <c r="BM184" s="682"/>
      <c r="BN184" s="682"/>
      <c r="BO184" s="682"/>
      <c r="BP184" s="682"/>
      <c r="BQ184" s="682"/>
      <c r="BR184" s="682"/>
      <c r="BS184" s="682"/>
      <c r="BT184" s="682"/>
      <c r="BU184" s="682"/>
      <c r="BV184" s="682"/>
      <c r="BW184" s="682"/>
      <c r="BX184" s="682"/>
      <c r="BY184" s="682"/>
      <c r="BZ184" s="682"/>
      <c r="CA184" s="531"/>
      <c r="CB184" s="864"/>
      <c r="CC184" s="864"/>
      <c r="CD184" s="864"/>
      <c r="CE184" s="864"/>
      <c r="CF184" s="864"/>
      <c r="CG184" s="864"/>
      <c r="CH184" s="864"/>
      <c r="CI184" s="864"/>
      <c r="CJ184" s="864"/>
      <c r="CK184" s="864"/>
      <c r="CL184" s="531"/>
      <c r="CM184" s="531"/>
      <c r="CN184" s="682"/>
      <c r="CO184" s="682"/>
      <c r="CP184" s="682"/>
      <c r="CQ184" s="682"/>
      <c r="CR184" s="682"/>
      <c r="CS184" s="682"/>
      <c r="CT184" s="682"/>
      <c r="CU184" s="682"/>
      <c r="CV184" s="682"/>
      <c r="CW184" s="682"/>
      <c r="CX184" s="682"/>
      <c r="CY184" s="682"/>
      <c r="CZ184" s="682"/>
      <c r="DA184" s="682"/>
      <c r="DB184" s="682"/>
      <c r="DC184" s="682"/>
      <c r="DD184" s="682"/>
      <c r="DE184" s="682"/>
      <c r="DF184" s="682"/>
      <c r="DG184" s="682"/>
      <c r="DH184" s="682"/>
      <c r="DI184" s="1610"/>
      <c r="DJ184" s="682"/>
      <c r="DK184" s="682"/>
      <c r="DL184" s="682"/>
      <c r="DM184" s="682"/>
      <c r="DN184" s="682"/>
      <c r="DO184" s="682"/>
      <c r="DP184" s="682"/>
      <c r="DQ184" s="682"/>
      <c r="DR184" s="682"/>
      <c r="DS184" s="682"/>
      <c r="DT184" s="682"/>
      <c r="DU184" s="682"/>
      <c r="DV184" s="682"/>
      <c r="DW184" s="682"/>
      <c r="DX184" s="682"/>
      <c r="DY184" s="682"/>
    </row>
    <row r="185" spans="1:129" ht="12" thickBot="1" x14ac:dyDescent="0.25">
      <c r="A185" s="526"/>
      <c r="B185" s="685" t="s">
        <v>785</v>
      </c>
      <c r="C185" s="686"/>
      <c r="D185" s="686"/>
      <c r="E185" s="686"/>
      <c r="F185" s="686"/>
      <c r="G185" s="686"/>
      <c r="H185" s="686"/>
      <c r="I185" s="687"/>
      <c r="J185" s="686"/>
      <c r="K185" s="686"/>
      <c r="L185" s="686"/>
      <c r="M185" s="686"/>
      <c r="N185" s="687"/>
      <c r="O185" s="686"/>
      <c r="P185" s="686"/>
      <c r="Q185" s="686"/>
      <c r="R185" s="686"/>
      <c r="S185" s="687"/>
      <c r="T185" s="686"/>
      <c r="U185" s="686"/>
      <c r="V185" s="686"/>
      <c r="W185" s="686"/>
      <c r="X185" s="687"/>
      <c r="Y185" s="686"/>
      <c r="Z185" s="686"/>
      <c r="AA185" s="686"/>
      <c r="AB185" s="686"/>
      <c r="AC185" s="687"/>
      <c r="AD185" s="686"/>
      <c r="AE185" s="686"/>
      <c r="AF185" s="686"/>
      <c r="AG185" s="686"/>
      <c r="AH185" s="687"/>
      <c r="AI185" s="686"/>
      <c r="AJ185" s="686"/>
      <c r="AK185" s="686"/>
      <c r="AL185" s="686"/>
      <c r="AM185" s="687"/>
      <c r="AN185" s="686"/>
      <c r="AO185" s="686"/>
      <c r="AP185" s="686"/>
      <c r="AQ185" s="686"/>
      <c r="AR185" s="687"/>
      <c r="AS185" s="686"/>
      <c r="AT185" s="686"/>
      <c r="AU185" s="686"/>
      <c r="AV185" s="686"/>
      <c r="AW185" s="687"/>
      <c r="AX185" s="686"/>
      <c r="AY185" s="686"/>
      <c r="AZ185" s="686"/>
      <c r="BA185" s="686"/>
      <c r="BB185" s="687"/>
      <c r="BC185" s="686"/>
      <c r="BD185" s="686"/>
      <c r="BE185" s="686"/>
      <c r="BF185" s="686"/>
      <c r="BG185" s="687"/>
      <c r="BH185" s="686"/>
      <c r="BI185" s="686"/>
      <c r="BJ185" s="686"/>
      <c r="BK185" s="686"/>
      <c r="BL185" s="687"/>
      <c r="BM185" s="686"/>
      <c r="BN185" s="686"/>
      <c r="BO185" s="686"/>
      <c r="BP185" s="686"/>
      <c r="BQ185" s="687"/>
      <c r="BR185" s="686"/>
      <c r="BS185" s="686"/>
      <c r="BT185" s="686"/>
      <c r="BU185" s="686"/>
      <c r="BV185" s="686"/>
      <c r="BW185" s="686"/>
      <c r="BX185" s="686"/>
      <c r="BY185" s="686"/>
      <c r="BZ185" s="686"/>
      <c r="CA185" s="687"/>
      <c r="CB185" s="686"/>
      <c r="CC185" s="686"/>
      <c r="CD185" s="686"/>
      <c r="CE185" s="686"/>
      <c r="CF185" s="687"/>
      <c r="CG185" s="686"/>
      <c r="CH185" s="686"/>
      <c r="CI185" s="686"/>
      <c r="CJ185" s="686"/>
      <c r="CK185" s="687"/>
      <c r="CL185" s="686"/>
      <c r="CM185" s="686"/>
      <c r="CN185" s="686"/>
      <c r="CO185" s="686"/>
      <c r="CP185" s="687"/>
      <c r="CQ185" s="686"/>
      <c r="CR185" s="686"/>
      <c r="CS185" s="686"/>
      <c r="CT185" s="686"/>
      <c r="CU185" s="687"/>
      <c r="CV185" s="686"/>
      <c r="CW185" s="686"/>
      <c r="CX185" s="686"/>
      <c r="CY185" s="686"/>
      <c r="CZ185" s="687"/>
      <c r="DA185" s="686"/>
      <c r="DB185" s="686"/>
      <c r="DC185" s="686"/>
      <c r="DD185" s="686"/>
      <c r="DE185" s="687"/>
      <c r="DF185" s="686"/>
      <c r="DG185" s="686"/>
      <c r="DH185" s="686"/>
      <c r="DI185" s="2803"/>
      <c r="DJ185" s="687"/>
      <c r="DK185" s="686"/>
      <c r="DL185" s="686"/>
      <c r="DM185" s="686"/>
      <c r="DN185" s="686"/>
      <c r="DO185" s="687"/>
      <c r="DP185" s="686"/>
      <c r="DQ185" s="686"/>
      <c r="DR185" s="686"/>
      <c r="DS185" s="686"/>
      <c r="DT185" s="687"/>
      <c r="DU185" s="686"/>
      <c r="DV185" s="686"/>
      <c r="DW185" s="686"/>
      <c r="DX185" s="686"/>
      <c r="DY185" s="687"/>
    </row>
    <row r="186" spans="1:129" x14ac:dyDescent="0.2">
      <c r="A186" s="526"/>
      <c r="B186" s="756"/>
      <c r="C186" s="599"/>
      <c r="D186" s="599"/>
      <c r="E186" s="599"/>
      <c r="F186" s="599"/>
      <c r="G186" s="599"/>
      <c r="H186" s="599"/>
      <c r="I186" s="598"/>
      <c r="J186" s="599"/>
      <c r="K186" s="599"/>
      <c r="L186" s="599"/>
      <c r="M186" s="599"/>
      <c r="N186" s="598"/>
      <c r="O186" s="751"/>
      <c r="P186" s="751"/>
      <c r="Q186" s="751"/>
      <c r="R186" s="751"/>
      <c r="S186" s="598"/>
      <c r="T186" s="751"/>
      <c r="U186" s="751"/>
      <c r="V186" s="751"/>
      <c r="W186" s="751"/>
      <c r="X186" s="598"/>
      <c r="Y186" s="751"/>
      <c r="Z186" s="751"/>
      <c r="AA186" s="751"/>
      <c r="AB186" s="751"/>
      <c r="AC186" s="598"/>
      <c r="AD186" s="751"/>
      <c r="AE186" s="751"/>
      <c r="AF186" s="751"/>
      <c r="AG186" s="751"/>
      <c r="AH186" s="598"/>
      <c r="AI186" s="751"/>
      <c r="AJ186" s="751"/>
      <c r="AK186" s="751"/>
      <c r="AL186" s="751"/>
      <c r="AM186" s="598"/>
      <c r="AN186" s="751"/>
      <c r="AO186" s="751"/>
      <c r="AP186" s="751"/>
      <c r="AQ186" s="751"/>
      <c r="AR186" s="598"/>
      <c r="AS186" s="751"/>
      <c r="AT186" s="751"/>
      <c r="AU186" s="751"/>
      <c r="AV186" s="751"/>
      <c r="AW186" s="598"/>
      <c r="AX186" s="751"/>
      <c r="AY186" s="751"/>
      <c r="AZ186" s="751"/>
      <c r="BA186" s="751"/>
      <c r="BB186" s="598"/>
      <c r="BC186" s="751"/>
      <c r="BD186" s="751"/>
      <c r="BE186" s="751"/>
      <c r="BF186" s="751"/>
      <c r="BG186" s="598"/>
      <c r="BH186" s="751"/>
      <c r="BI186" s="751"/>
      <c r="BJ186" s="751"/>
      <c r="BK186" s="751"/>
      <c r="BL186" s="849"/>
      <c r="BM186" s="751"/>
      <c r="BN186" s="751"/>
      <c r="BO186" s="751"/>
      <c r="BP186" s="751"/>
      <c r="BQ186" s="849"/>
      <c r="BR186" s="751"/>
      <c r="BS186" s="751"/>
      <c r="BT186" s="751"/>
      <c r="BU186" s="751"/>
      <c r="BV186" s="865"/>
      <c r="BW186" s="751"/>
      <c r="BX186" s="751"/>
      <c r="BY186" s="751"/>
      <c r="BZ186" s="751"/>
      <c r="CA186" s="849"/>
      <c r="CB186" s="866"/>
      <c r="CC186" s="866"/>
      <c r="CD186" s="866"/>
      <c r="CE186" s="866"/>
      <c r="CF186" s="849"/>
      <c r="CG186" s="867"/>
      <c r="CH186" s="743"/>
      <c r="CI186" s="743"/>
      <c r="CJ186" s="743"/>
      <c r="CK186" s="849"/>
      <c r="CL186" s="751"/>
      <c r="CM186" s="751"/>
      <c r="CN186" s="751"/>
      <c r="CO186" s="1710"/>
      <c r="CP186" s="849"/>
      <c r="CQ186" s="751"/>
      <c r="CR186" s="751"/>
      <c r="CS186" s="751"/>
      <c r="CT186" s="751"/>
      <c r="CU186" s="849"/>
      <c r="CV186" s="751"/>
      <c r="CW186" s="751"/>
      <c r="CX186" s="751"/>
      <c r="CY186" s="751"/>
      <c r="CZ186" s="849"/>
      <c r="DA186" s="751"/>
      <c r="DB186" s="751"/>
      <c r="DC186" s="751"/>
      <c r="DD186" s="751"/>
      <c r="DE186" s="849"/>
      <c r="DF186" s="751"/>
      <c r="DG186" s="751"/>
      <c r="DH186" s="751"/>
      <c r="DI186" s="2821"/>
      <c r="DJ186" s="849"/>
      <c r="DK186" s="751"/>
      <c r="DL186" s="751"/>
      <c r="DM186" s="751"/>
      <c r="DN186" s="751"/>
      <c r="DO186" s="849"/>
      <c r="DP186" s="751"/>
      <c r="DQ186" s="751"/>
      <c r="DR186" s="751"/>
      <c r="DS186" s="751"/>
      <c r="DT186" s="849"/>
      <c r="DU186" s="751"/>
      <c r="DV186" s="751"/>
      <c r="DW186" s="751"/>
      <c r="DX186" s="751"/>
      <c r="DY186" s="849"/>
    </row>
    <row r="187" spans="1:129" x14ac:dyDescent="0.2">
      <c r="A187" s="526"/>
      <c r="B187" s="690" t="s">
        <v>759</v>
      </c>
      <c r="C187" s="597"/>
      <c r="D187" s="597"/>
      <c r="E187" s="597"/>
      <c r="F187" s="597"/>
      <c r="G187" s="597"/>
      <c r="H187" s="597"/>
      <c r="I187" s="598"/>
      <c r="J187" s="597"/>
      <c r="K187" s="597"/>
      <c r="L187" s="597"/>
      <c r="M187" s="597"/>
      <c r="N187" s="598"/>
      <c r="O187" s="743"/>
      <c r="P187" s="743"/>
      <c r="Q187" s="743"/>
      <c r="R187" s="743"/>
      <c r="S187" s="598"/>
      <c r="T187" s="743"/>
      <c r="U187" s="743"/>
      <c r="V187" s="743"/>
      <c r="W187" s="743"/>
      <c r="X187" s="598"/>
      <c r="Y187" s="743"/>
      <c r="Z187" s="743"/>
      <c r="AA187" s="743"/>
      <c r="AB187" s="743"/>
      <c r="AC187" s="598"/>
      <c r="AD187" s="743"/>
      <c r="AE187" s="743"/>
      <c r="AF187" s="743"/>
      <c r="AG187" s="743"/>
      <c r="AH187" s="598"/>
      <c r="AI187" s="743"/>
      <c r="AJ187" s="743"/>
      <c r="AK187" s="743"/>
      <c r="AL187" s="743"/>
      <c r="AM187" s="598"/>
      <c r="AN187" s="743"/>
      <c r="AO187" s="743"/>
      <c r="AP187" s="743"/>
      <c r="AQ187" s="743"/>
      <c r="AR187" s="598"/>
      <c r="AS187" s="743"/>
      <c r="AT187" s="743"/>
      <c r="AU187" s="743"/>
      <c r="AV187" s="743"/>
      <c r="AW187" s="598"/>
      <c r="AX187" s="743"/>
      <c r="AY187" s="743"/>
      <c r="AZ187" s="743"/>
      <c r="BA187" s="743"/>
      <c r="BB187" s="598"/>
      <c r="BC187" s="743"/>
      <c r="BD187" s="743"/>
      <c r="BE187" s="743"/>
      <c r="BF187" s="743"/>
      <c r="BG187" s="598"/>
      <c r="BH187" s="743"/>
      <c r="BI187" s="743"/>
      <c r="BJ187" s="743"/>
      <c r="BK187" s="743"/>
      <c r="BL187" s="849"/>
      <c r="BM187" s="743"/>
      <c r="BN187" s="743"/>
      <c r="BO187" s="743"/>
      <c r="BP187" s="743"/>
      <c r="BQ187" s="849"/>
      <c r="BR187" s="743"/>
      <c r="BS187" s="743"/>
      <c r="BT187" s="743"/>
      <c r="BU187" s="743"/>
      <c r="BV187" s="865"/>
      <c r="BW187" s="743"/>
      <c r="BX187" s="743"/>
      <c r="BY187" s="743"/>
      <c r="BZ187" s="743"/>
      <c r="CA187" s="849"/>
      <c r="CB187" s="868"/>
      <c r="CC187" s="868"/>
      <c r="CD187" s="868"/>
      <c r="CE187" s="868"/>
      <c r="CF187" s="849"/>
      <c r="CG187" s="820"/>
      <c r="CH187" s="820"/>
      <c r="CI187" s="820"/>
      <c r="CJ187" s="820"/>
      <c r="CK187" s="849"/>
      <c r="CL187" s="869"/>
      <c r="CM187" s="869"/>
      <c r="CN187" s="869"/>
      <c r="CO187" s="1711"/>
      <c r="CP187" s="849"/>
      <c r="CQ187" s="820"/>
      <c r="CR187" s="820"/>
      <c r="CS187" s="820"/>
      <c r="CT187" s="820"/>
      <c r="CU187" s="849"/>
      <c r="CV187" s="820"/>
      <c r="CW187" s="820"/>
      <c r="CX187" s="820"/>
      <c r="CY187" s="820"/>
      <c r="CZ187" s="849"/>
      <c r="DA187" s="820"/>
      <c r="DB187" s="820"/>
      <c r="DC187" s="820"/>
      <c r="DD187" s="820"/>
      <c r="DE187" s="849"/>
      <c r="DF187" s="820"/>
      <c r="DG187" s="820"/>
      <c r="DH187" s="820"/>
      <c r="DI187" s="2815"/>
      <c r="DJ187" s="849"/>
      <c r="DK187" s="820"/>
      <c r="DL187" s="820"/>
      <c r="DM187" s="820"/>
      <c r="DN187" s="820"/>
      <c r="DO187" s="849"/>
      <c r="DP187" s="820"/>
      <c r="DQ187" s="820"/>
      <c r="DR187" s="820"/>
      <c r="DS187" s="820"/>
      <c r="DT187" s="849"/>
      <c r="DU187" s="820"/>
      <c r="DV187" s="820"/>
      <c r="DW187" s="820"/>
      <c r="DX187" s="820"/>
      <c r="DY187" s="849"/>
    </row>
    <row r="188" spans="1:129" ht="5.25" customHeight="1" x14ac:dyDescent="0.2">
      <c r="A188" s="526"/>
      <c r="B188" s="832"/>
      <c r="C188" s="597"/>
      <c r="D188" s="597"/>
      <c r="E188" s="597"/>
      <c r="F188" s="597"/>
      <c r="G188" s="597"/>
      <c r="H188" s="597"/>
      <c r="I188" s="598"/>
      <c r="J188" s="597"/>
      <c r="K188" s="597"/>
      <c r="L188" s="597"/>
      <c r="M188" s="597"/>
      <c r="N188" s="598"/>
      <c r="O188" s="743"/>
      <c r="P188" s="743"/>
      <c r="Q188" s="743"/>
      <c r="R188" s="743"/>
      <c r="S188" s="598"/>
      <c r="T188" s="743"/>
      <c r="U188" s="743"/>
      <c r="V188" s="743"/>
      <c r="W188" s="743"/>
      <c r="X188" s="598"/>
      <c r="Y188" s="743"/>
      <c r="Z188" s="743"/>
      <c r="AA188" s="743"/>
      <c r="AB188" s="743"/>
      <c r="AC188" s="598"/>
      <c r="AD188" s="743"/>
      <c r="AE188" s="743"/>
      <c r="AF188" s="743"/>
      <c r="AG188" s="743"/>
      <c r="AH188" s="598"/>
      <c r="AI188" s="743"/>
      <c r="AJ188" s="743"/>
      <c r="AK188" s="743"/>
      <c r="AL188" s="743"/>
      <c r="AM188" s="598"/>
      <c r="AN188" s="743"/>
      <c r="AO188" s="743"/>
      <c r="AP188" s="743"/>
      <c r="AQ188" s="743"/>
      <c r="AR188" s="598"/>
      <c r="AS188" s="743"/>
      <c r="AT188" s="743"/>
      <c r="AU188" s="743"/>
      <c r="AV188" s="743"/>
      <c r="AW188" s="598"/>
      <c r="AX188" s="743"/>
      <c r="AY188" s="743"/>
      <c r="AZ188" s="743"/>
      <c r="BA188" s="743"/>
      <c r="BB188" s="598"/>
      <c r="BC188" s="743"/>
      <c r="BD188" s="743"/>
      <c r="BE188" s="743"/>
      <c r="BF188" s="743"/>
      <c r="BG188" s="598"/>
      <c r="BH188" s="743"/>
      <c r="BI188" s="743"/>
      <c r="BJ188" s="743"/>
      <c r="BK188" s="743"/>
      <c r="BL188" s="849"/>
      <c r="BM188" s="743"/>
      <c r="BN188" s="743"/>
      <c r="BO188" s="743"/>
      <c r="BP188" s="743"/>
      <c r="BQ188" s="849"/>
      <c r="BR188" s="743"/>
      <c r="BS188" s="743"/>
      <c r="BT188" s="743"/>
      <c r="BU188" s="743"/>
      <c r="BV188" s="865"/>
      <c r="BW188" s="743"/>
      <c r="BX188" s="743"/>
      <c r="BY188" s="743"/>
      <c r="BZ188" s="743"/>
      <c r="CA188" s="849"/>
      <c r="CB188" s="743"/>
      <c r="CC188" s="743"/>
      <c r="CD188" s="743"/>
      <c r="CE188" s="743"/>
      <c r="CF188" s="849"/>
      <c r="CG188" s="820"/>
      <c r="CH188" s="820"/>
      <c r="CI188" s="820"/>
      <c r="CJ188" s="820"/>
      <c r="CK188" s="849"/>
      <c r="CL188" s="869"/>
      <c r="CM188" s="869"/>
      <c r="CN188" s="869"/>
      <c r="CO188" s="1711"/>
      <c r="CP188" s="849"/>
      <c r="CQ188" s="820"/>
      <c r="CR188" s="820"/>
      <c r="CS188" s="820"/>
      <c r="CT188" s="820"/>
      <c r="CU188" s="849"/>
      <c r="CV188" s="820"/>
      <c r="CW188" s="820"/>
      <c r="CX188" s="820"/>
      <c r="CY188" s="820"/>
      <c r="CZ188" s="849"/>
      <c r="DA188" s="820"/>
      <c r="DB188" s="820"/>
      <c r="DC188" s="820"/>
      <c r="DD188" s="820"/>
      <c r="DE188" s="849"/>
      <c r="DF188" s="820"/>
      <c r="DG188" s="820"/>
      <c r="DH188" s="820"/>
      <c r="DI188" s="2815"/>
      <c r="DJ188" s="849"/>
      <c r="DK188" s="820"/>
      <c r="DL188" s="820"/>
      <c r="DM188" s="820"/>
      <c r="DN188" s="820"/>
      <c r="DO188" s="849"/>
      <c r="DP188" s="820"/>
      <c r="DQ188" s="820"/>
      <c r="DR188" s="820"/>
      <c r="DS188" s="820"/>
      <c r="DT188" s="849"/>
      <c r="DU188" s="820"/>
      <c r="DV188" s="820"/>
      <c r="DW188" s="820"/>
      <c r="DX188" s="820"/>
      <c r="DY188" s="849"/>
    </row>
    <row r="189" spans="1:129" x14ac:dyDescent="0.2">
      <c r="A189" s="526"/>
      <c r="B189" s="742" t="s">
        <v>786</v>
      </c>
      <c r="C189" s="597"/>
      <c r="D189" s="597"/>
      <c r="E189" s="597"/>
      <c r="F189" s="597"/>
      <c r="G189" s="597"/>
      <c r="H189" s="597"/>
      <c r="I189" s="598"/>
      <c r="J189" s="597"/>
      <c r="K189" s="597"/>
      <c r="L189" s="597"/>
      <c r="M189" s="597"/>
      <c r="N189" s="598"/>
      <c r="O189" s="743"/>
      <c r="P189" s="743"/>
      <c r="Q189" s="743"/>
      <c r="R189" s="743"/>
      <c r="S189" s="598"/>
      <c r="T189" s="743"/>
      <c r="U189" s="743"/>
      <c r="V189" s="743"/>
      <c r="W189" s="743"/>
      <c r="X189" s="598"/>
      <c r="Y189" s="743"/>
      <c r="Z189" s="743"/>
      <c r="AA189" s="743"/>
      <c r="AB189" s="743"/>
      <c r="AC189" s="598"/>
      <c r="AD189" s="743"/>
      <c r="AE189" s="743"/>
      <c r="AF189" s="743"/>
      <c r="AG189" s="743"/>
      <c r="AH189" s="598"/>
      <c r="AI189" s="743"/>
      <c r="AJ189" s="743"/>
      <c r="AK189" s="743"/>
      <c r="AL189" s="743"/>
      <c r="AM189" s="598"/>
      <c r="AN189" s="743"/>
      <c r="AO189" s="743"/>
      <c r="AP189" s="743"/>
      <c r="AQ189" s="743"/>
      <c r="AR189" s="598"/>
      <c r="AS189" s="743"/>
      <c r="AT189" s="743"/>
      <c r="AU189" s="743"/>
      <c r="AV189" s="743"/>
      <c r="AW189" s="598"/>
      <c r="AX189" s="743"/>
      <c r="AY189" s="743"/>
      <c r="AZ189" s="743"/>
      <c r="BA189" s="743"/>
      <c r="BB189" s="598"/>
      <c r="BC189" s="743"/>
      <c r="BD189" s="743"/>
      <c r="BE189" s="743"/>
      <c r="BF189" s="743"/>
      <c r="BG189" s="598"/>
      <c r="BH189" s="623">
        <v>2.2499999999999999E-2</v>
      </c>
      <c r="BI189" s="623">
        <v>1.4999999999999999E-2</v>
      </c>
      <c r="BJ189" s="623">
        <v>2.2499999999999999E-2</v>
      </c>
      <c r="BK189" s="623">
        <v>2.2499999999999999E-2</v>
      </c>
      <c r="BL189" s="870">
        <f>BL206/BL158</f>
        <v>2.0214775208798604E-2</v>
      </c>
      <c r="BM189" s="623">
        <v>0.104</v>
      </c>
      <c r="BN189" s="623">
        <v>0.104</v>
      </c>
      <c r="BO189" s="623">
        <v>0.104</v>
      </c>
      <c r="BP189" s="623">
        <v>0.104</v>
      </c>
      <c r="BQ189" s="870">
        <f>BQ206/BQ158</f>
        <v>0.104</v>
      </c>
      <c r="BR189" s="623">
        <v>0.104</v>
      </c>
      <c r="BS189" s="623">
        <v>0.104</v>
      </c>
      <c r="BT189" s="623">
        <v>0.104</v>
      </c>
      <c r="BU189" s="623">
        <v>0.104</v>
      </c>
      <c r="BV189" s="871">
        <f>BV206/BV158</f>
        <v>0.104</v>
      </c>
      <c r="BW189" s="623">
        <v>0.104</v>
      </c>
      <c r="BX189" s="623">
        <v>0.104</v>
      </c>
      <c r="BY189" s="623">
        <v>0.104</v>
      </c>
      <c r="BZ189" s="623">
        <v>0.104</v>
      </c>
      <c r="CA189" s="870">
        <f>CA206/CA158</f>
        <v>0.10399999999999997</v>
      </c>
      <c r="CB189" s="623">
        <v>8.0243412470649603E-2</v>
      </c>
      <c r="CC189" s="623">
        <v>8.0243412470649603E-2</v>
      </c>
      <c r="CD189" s="782">
        <v>0.10586486859226003</v>
      </c>
      <c r="CE189" s="782">
        <v>0.10249999999999999</v>
      </c>
      <c r="CF189" s="849">
        <f>CF206/CF158</f>
        <v>9.2772787481245483E-2</v>
      </c>
      <c r="CG189" s="782">
        <v>5.2491253614573338E-2</v>
      </c>
      <c r="CH189" s="782">
        <v>6.8460742533293359E-2</v>
      </c>
      <c r="CI189" s="782">
        <v>0.11018468909455437</v>
      </c>
      <c r="CJ189" s="782">
        <v>0.1195</v>
      </c>
      <c r="CK189" s="849">
        <f>CK206/CK158</f>
        <v>8.8759708429198877E-2</v>
      </c>
      <c r="CL189" s="782">
        <v>5.3650000000000003E-2</v>
      </c>
      <c r="CM189" s="782">
        <v>8.1260159360425688E-2</v>
      </c>
      <c r="CN189" s="782">
        <v>0.115</v>
      </c>
      <c r="CO189" s="1712">
        <v>9.2499999999999999E-2</v>
      </c>
      <c r="CP189" s="849">
        <f>CP206/CP158</f>
        <v>8.6035614700804508E-2</v>
      </c>
      <c r="CQ189" s="1712">
        <v>8.2500000000000004E-2</v>
      </c>
      <c r="CR189" s="1712">
        <v>0.1041</v>
      </c>
      <c r="CS189" s="1712">
        <v>0.112955</v>
      </c>
      <c r="CT189" s="1712">
        <v>7.0000000000000007E-2</v>
      </c>
      <c r="CU189" s="849">
        <f>CU206/CU158</f>
        <v>9.2082321934528699E-2</v>
      </c>
      <c r="CV189" s="1712">
        <v>7.4999999999999997E-2</v>
      </c>
      <c r="CW189" s="1712">
        <v>0.1</v>
      </c>
      <c r="CX189" s="1712">
        <v>0.10149999999999999</v>
      </c>
      <c r="CY189" s="1712">
        <v>0.10149999999999999</v>
      </c>
      <c r="CZ189" s="849">
        <f ca="1">CZ206/CZ158</f>
        <v>9.4772098179170872E-2</v>
      </c>
      <c r="DA189" s="1712">
        <v>0.05</v>
      </c>
      <c r="DB189" s="1712">
        <v>7.4999999999999997E-2</v>
      </c>
      <c r="DC189" s="1712">
        <v>7.4999999999999997E-2</v>
      </c>
      <c r="DD189" s="1712">
        <f>'Key Inputs and Scenarios'!AQ113</f>
        <v>7.4999999999999997E-2</v>
      </c>
      <c r="DE189" s="849">
        <f ca="1">DE206/DE158</f>
        <v>6.890125342936948E-2</v>
      </c>
      <c r="DF189" s="1712">
        <f>'Key Inputs and Scenarios'!AS113</f>
        <v>0.05</v>
      </c>
      <c r="DG189" s="1712">
        <f>'Key Inputs and Scenarios'!AT113</f>
        <v>6.8000000000000005E-2</v>
      </c>
      <c r="DH189" s="1712">
        <f>'Key Inputs and Scenarios'!AU113</f>
        <v>0.09</v>
      </c>
      <c r="DI189" s="1712">
        <v>8.5000000000000006E-2</v>
      </c>
      <c r="DJ189" s="849">
        <f ca="1">DJ206/DJ158</f>
        <v>7.3681244055394141E-2</v>
      </c>
      <c r="DK189" s="705">
        <f>'Key Inputs and Scenarios'!AX113</f>
        <v>0.05</v>
      </c>
      <c r="DL189" s="705">
        <f>'Key Inputs and Scenarios'!AY113</f>
        <v>7.3000000000000009E-2</v>
      </c>
      <c r="DM189" s="705">
        <f>'Key Inputs and Scenarios'!AZ113</f>
        <v>9.5000000000000001E-2</v>
      </c>
      <c r="DN189" s="705">
        <f>'Key Inputs and Scenarios'!BA113</f>
        <v>9.0000000000000011E-2</v>
      </c>
      <c r="DO189" s="849">
        <f ca="1">DO206/DO158</f>
        <v>7.7524460188296132E-2</v>
      </c>
      <c r="DP189" s="705">
        <f>'Key Inputs and Scenarios'!BC113</f>
        <v>4.9000000000000002E-2</v>
      </c>
      <c r="DQ189" s="705">
        <f>'Key Inputs and Scenarios'!BD113</f>
        <v>7.2000000000000008E-2</v>
      </c>
      <c r="DR189" s="705">
        <f>'Key Inputs and Scenarios'!BE113</f>
        <v>9.4E-2</v>
      </c>
      <c r="DS189" s="705">
        <f>'Key Inputs and Scenarios'!BF113</f>
        <v>8.900000000000001E-2</v>
      </c>
      <c r="DT189" s="849">
        <f ca="1">DT206/DT158</f>
        <v>7.6523981655217302E-2</v>
      </c>
      <c r="DU189" s="705">
        <f>'Key Inputs and Scenarios'!BH113</f>
        <v>4.8000000000000001E-2</v>
      </c>
      <c r="DV189" s="705">
        <f>'Key Inputs and Scenarios'!BI113</f>
        <v>7.1000000000000008E-2</v>
      </c>
      <c r="DW189" s="705">
        <f>'Key Inputs and Scenarios'!BJ113</f>
        <v>9.2999999999999999E-2</v>
      </c>
      <c r="DX189" s="705">
        <f>'Key Inputs and Scenarios'!BK113</f>
        <v>8.8000000000000009E-2</v>
      </c>
      <c r="DY189" s="849">
        <f ca="1">DY206/DY158</f>
        <v>7.5523512804414827E-2</v>
      </c>
    </row>
    <row r="190" spans="1:129" x14ac:dyDescent="0.2">
      <c r="A190" s="526"/>
      <c r="B190" s="742" t="s">
        <v>745</v>
      </c>
      <c r="C190" s="597"/>
      <c r="D190" s="597"/>
      <c r="E190" s="597"/>
      <c r="F190" s="597"/>
      <c r="G190" s="597"/>
      <c r="H190" s="597"/>
      <c r="I190" s="598"/>
      <c r="J190" s="597"/>
      <c r="K190" s="597"/>
      <c r="L190" s="597"/>
      <c r="M190" s="597"/>
      <c r="N190" s="598"/>
      <c r="O190" s="743"/>
      <c r="P190" s="743"/>
      <c r="Q190" s="743"/>
      <c r="R190" s="743"/>
      <c r="S190" s="598"/>
      <c r="T190" s="743"/>
      <c r="U190" s="743"/>
      <c r="V190" s="743"/>
      <c r="W190" s="743"/>
      <c r="X190" s="598"/>
      <c r="Y190" s="743"/>
      <c r="Z190" s="743"/>
      <c r="AA190" s="743"/>
      <c r="AB190" s="743"/>
      <c r="AC190" s="598"/>
      <c r="AD190" s="743"/>
      <c r="AE190" s="743"/>
      <c r="AF190" s="743"/>
      <c r="AG190" s="743"/>
      <c r="AH190" s="598"/>
      <c r="AI190" s="743"/>
      <c r="AJ190" s="743"/>
      <c r="AK190" s="743"/>
      <c r="AL190" s="743"/>
      <c r="AM190" s="598"/>
      <c r="AN190" s="743"/>
      <c r="AO190" s="743"/>
      <c r="AP190" s="743"/>
      <c r="AQ190" s="743"/>
      <c r="AR190" s="598"/>
      <c r="AS190" s="743"/>
      <c r="AT190" s="743"/>
      <c r="AU190" s="743"/>
      <c r="AV190" s="743"/>
      <c r="AW190" s="598"/>
      <c r="AX190" s="743"/>
      <c r="AY190" s="743"/>
      <c r="AZ190" s="743"/>
      <c r="BA190" s="743"/>
      <c r="BB190" s="598"/>
      <c r="BC190" s="743"/>
      <c r="BD190" s="743"/>
      <c r="BE190" s="743"/>
      <c r="BF190" s="743"/>
      <c r="BG190" s="598"/>
      <c r="BH190" s="623">
        <v>0.04</v>
      </c>
      <c r="BI190" s="623">
        <v>3.2000000000000001E-2</v>
      </c>
      <c r="BJ190" s="623">
        <v>0.04</v>
      </c>
      <c r="BK190" s="623">
        <v>0.04</v>
      </c>
      <c r="BL190" s="870">
        <f>BL207/BL159</f>
        <v>3.7587847347330464E-2</v>
      </c>
      <c r="BM190" s="623">
        <v>7.4999999999999997E-3</v>
      </c>
      <c r="BN190" s="623">
        <v>7.4999999999999997E-3</v>
      </c>
      <c r="BO190" s="623">
        <v>7.4999999999999997E-3</v>
      </c>
      <c r="BP190" s="623">
        <v>7.4999999999999997E-3</v>
      </c>
      <c r="BQ190" s="870">
        <f>BQ207/BQ159</f>
        <v>7.4999999999999997E-3</v>
      </c>
      <c r="BR190" s="623">
        <v>8.9999999999999993E-3</v>
      </c>
      <c r="BS190" s="623">
        <v>7.4999999999999997E-3</v>
      </c>
      <c r="BT190" s="623">
        <v>7.4999999999999997E-3</v>
      </c>
      <c r="BU190" s="623">
        <v>7.4999999999999997E-3</v>
      </c>
      <c r="BV190" s="871">
        <f>BV207/BV159</f>
        <v>7.8276135070958104E-3</v>
      </c>
      <c r="BW190" s="623">
        <v>7.4999999999999997E-3</v>
      </c>
      <c r="BX190" s="623">
        <v>7.4999999999999997E-3</v>
      </c>
      <c r="BY190" s="623">
        <v>7.4999999999999997E-3</v>
      </c>
      <c r="BZ190" s="623">
        <v>7.4999999999999997E-3</v>
      </c>
      <c r="CA190" s="870">
        <f>CA207/CA159</f>
        <v>7.4999999999999997E-3</v>
      </c>
      <c r="CB190" s="623">
        <v>6.0031307070180012E-3</v>
      </c>
      <c r="CC190" s="623">
        <v>6.0031307070180012E-3</v>
      </c>
      <c r="CD190" s="782">
        <v>7.5429695131731004E-3</v>
      </c>
      <c r="CE190" s="782">
        <v>7.5429695131731004E-3</v>
      </c>
      <c r="CF190" s="849">
        <f>CF207/CF159</f>
        <v>6.8050222012618752E-3</v>
      </c>
      <c r="CG190" s="782">
        <v>6.0000000000000001E-3</v>
      </c>
      <c r="CH190" s="782">
        <v>7.0000000000000001E-3</v>
      </c>
      <c r="CI190" s="782">
        <v>8.9999999999999993E-3</v>
      </c>
      <c r="CJ190" s="782">
        <v>1.15E-2</v>
      </c>
      <c r="CK190" s="849">
        <f>CK207/CK159</f>
        <v>8.3407124902063652E-3</v>
      </c>
      <c r="CL190" s="782">
        <v>6.0000000000000001E-3</v>
      </c>
      <c r="CM190" s="782">
        <v>7.8729078758293467E-3</v>
      </c>
      <c r="CN190" s="782">
        <v>1.15E-2</v>
      </c>
      <c r="CO190" s="1712">
        <v>0.01</v>
      </c>
      <c r="CP190" s="849">
        <f>CP207/CP159</f>
        <v>8.8862873694375202E-3</v>
      </c>
      <c r="CQ190" s="1712">
        <v>0.01</v>
      </c>
      <c r="CR190" s="1712">
        <v>1.1339999999999999E-2</v>
      </c>
      <c r="CS190" s="1712">
        <v>1.2E-2</v>
      </c>
      <c r="CT190" s="1712">
        <f>'Key Inputs and Scenarios'!AG114</f>
        <v>0.01</v>
      </c>
      <c r="CU190" s="849">
        <f>CU207/CU159</f>
        <v>1.0849507191174895E-2</v>
      </c>
      <c r="CV190" s="1712">
        <v>8.0000000000000002E-3</v>
      </c>
      <c r="CW190" s="1712">
        <v>8.9999999999999993E-3</v>
      </c>
      <c r="CX190" s="1712">
        <v>0.01</v>
      </c>
      <c r="CY190" s="1712">
        <v>0.01</v>
      </c>
      <c r="CZ190" s="849">
        <f ca="1">CZ207/CZ159</f>
        <v>9.2656063642225991E-3</v>
      </c>
      <c r="DA190" s="1712">
        <v>0.01</v>
      </c>
      <c r="DB190" s="1712">
        <v>0.01</v>
      </c>
      <c r="DC190" s="1712">
        <v>0.01</v>
      </c>
      <c r="DD190" s="1712">
        <f>'Key Inputs and Scenarios'!AQ114</f>
        <v>0.01</v>
      </c>
      <c r="DE190" s="849">
        <f ca="1">DE207/DE159</f>
        <v>0.01</v>
      </c>
      <c r="DF190" s="1712">
        <f>'Key Inputs and Scenarios'!AS114</f>
        <v>8.9999999999999993E-3</v>
      </c>
      <c r="DG190" s="1712">
        <f>'Key Inputs and Scenarios'!AT114</f>
        <v>8.9999999999999993E-3</v>
      </c>
      <c r="DH190" s="1712">
        <f>'Key Inputs and Scenarios'!AU114</f>
        <v>0.01</v>
      </c>
      <c r="DI190" s="1712">
        <v>0.01</v>
      </c>
      <c r="DJ190" s="849">
        <f ca="1">DJ207/DJ159</f>
        <v>9.5146096883100238E-3</v>
      </c>
      <c r="DK190" s="705">
        <f>'Key Inputs and Scenarios'!AX114</f>
        <v>8.9999999999999993E-3</v>
      </c>
      <c r="DL190" s="705">
        <f>'Key Inputs and Scenarios'!AY114</f>
        <v>8.9999999999999993E-3</v>
      </c>
      <c r="DM190" s="705">
        <f>'Key Inputs and Scenarios'!AZ114</f>
        <v>0.01</v>
      </c>
      <c r="DN190" s="705">
        <f>'Key Inputs and Scenarios'!BA114</f>
        <v>0.01</v>
      </c>
      <c r="DO190" s="849">
        <f ca="1">DO207/DO159</f>
        <v>9.5011917785934458E-3</v>
      </c>
      <c r="DP190" s="705">
        <f>'Key Inputs and Scenarios'!BC114</f>
        <v>8.9999999999999993E-3</v>
      </c>
      <c r="DQ190" s="705">
        <f>'Key Inputs and Scenarios'!BD114</f>
        <v>8.9999999999999993E-3</v>
      </c>
      <c r="DR190" s="705">
        <f>'Key Inputs and Scenarios'!BE114</f>
        <v>0.01</v>
      </c>
      <c r="DS190" s="705">
        <f>'Key Inputs and Scenarios'!BF114</f>
        <v>0.01</v>
      </c>
      <c r="DT190" s="849">
        <f ca="1">DT207/DT159</f>
        <v>9.5004007969481975E-3</v>
      </c>
      <c r="DU190" s="705">
        <f>'Key Inputs and Scenarios'!BH114</f>
        <v>8.9999999999999993E-3</v>
      </c>
      <c r="DV190" s="705">
        <f>'Key Inputs and Scenarios'!BI114</f>
        <v>8.9999999999999993E-3</v>
      </c>
      <c r="DW190" s="705">
        <f>'Key Inputs and Scenarios'!BJ114</f>
        <v>0.01</v>
      </c>
      <c r="DX190" s="705">
        <f>'Key Inputs and Scenarios'!BK114</f>
        <v>0.01</v>
      </c>
      <c r="DY190" s="849">
        <f ca="1">DY207/DY159</f>
        <v>9.4994671927542511E-3</v>
      </c>
    </row>
    <row r="191" spans="1:129" x14ac:dyDescent="0.2">
      <c r="A191" s="526"/>
      <c r="B191" s="742" t="s">
        <v>752</v>
      </c>
      <c r="C191" s="597"/>
      <c r="D191" s="597"/>
      <c r="E191" s="597"/>
      <c r="F191" s="597"/>
      <c r="G191" s="597"/>
      <c r="H191" s="597"/>
      <c r="I191" s="598"/>
      <c r="J191" s="597"/>
      <c r="K191" s="597"/>
      <c r="L191" s="597"/>
      <c r="M191" s="597"/>
      <c r="N191" s="598"/>
      <c r="O191" s="743"/>
      <c r="P191" s="743"/>
      <c r="Q191" s="743"/>
      <c r="R191" s="743"/>
      <c r="S191" s="598"/>
      <c r="T191" s="743"/>
      <c r="U191" s="743"/>
      <c r="V191" s="743"/>
      <c r="W191" s="743"/>
      <c r="X191" s="598"/>
      <c r="Y191" s="743"/>
      <c r="Z191" s="743"/>
      <c r="AA191" s="743"/>
      <c r="AB191" s="743"/>
      <c r="AC191" s="598"/>
      <c r="AD191" s="743"/>
      <c r="AE191" s="743"/>
      <c r="AF191" s="743"/>
      <c r="AG191" s="743"/>
      <c r="AH191" s="598"/>
      <c r="AI191" s="743"/>
      <c r="AJ191" s="743"/>
      <c r="AK191" s="743"/>
      <c r="AL191" s="743"/>
      <c r="AM191" s="598"/>
      <c r="AN191" s="743"/>
      <c r="AO191" s="743"/>
      <c r="AP191" s="743"/>
      <c r="AQ191" s="743"/>
      <c r="AR191" s="598"/>
      <c r="AS191" s="743"/>
      <c r="AT191" s="743"/>
      <c r="AU191" s="743"/>
      <c r="AV191" s="743"/>
      <c r="AW191" s="598"/>
      <c r="AX191" s="743"/>
      <c r="AY191" s="743"/>
      <c r="AZ191" s="743"/>
      <c r="BA191" s="743"/>
      <c r="BB191" s="598"/>
      <c r="BC191" s="743"/>
      <c r="BD191" s="743"/>
      <c r="BE191" s="743"/>
      <c r="BF191" s="743"/>
      <c r="BG191" s="598"/>
      <c r="BH191" s="801">
        <f>BH208/BH160</f>
        <v>3.592181179731798E-2</v>
      </c>
      <c r="BI191" s="801">
        <f>BI208/BI160</f>
        <v>2.7996041877639148E-2</v>
      </c>
      <c r="BJ191" s="801">
        <f>BJ208/BJ160</f>
        <v>3.5955659948214813E-2</v>
      </c>
      <c r="BK191" s="801">
        <f>BK208/BK160</f>
        <v>3.5899098344092661E-2</v>
      </c>
      <c r="BL191" s="870">
        <f>BL208/BL160</f>
        <v>3.3528722595832922E-2</v>
      </c>
      <c r="BM191" s="801">
        <f>BM208/BM160</f>
        <v>3.0794551109941389E-2</v>
      </c>
      <c r="BN191" s="801">
        <f>BN208/BN160</f>
        <v>3.1039967466201052E-2</v>
      </c>
      <c r="BO191" s="801">
        <f>BO208/BO160</f>
        <v>3.2659310297713198E-2</v>
      </c>
      <c r="BP191" s="801">
        <f>BP208/BP160</f>
        <v>3.3037845838600109E-2</v>
      </c>
      <c r="BQ191" s="870">
        <f>BQ208/BQ160</f>
        <v>3.1906892275934025E-2</v>
      </c>
      <c r="BR191" s="801">
        <f>BR208/BR160</f>
        <v>3.4270000000000002E-2</v>
      </c>
      <c r="BS191" s="801">
        <f>BS208/BS160</f>
        <v>3.2932532354749126E-2</v>
      </c>
      <c r="BT191" s="801">
        <f>BT208/BT160</f>
        <v>3.2994341865718084E-2</v>
      </c>
      <c r="BU191" s="801">
        <f>BU208/BU160</f>
        <v>3.2994341865718077E-2</v>
      </c>
      <c r="BV191" s="871">
        <f>BV208/BV160</f>
        <v>3.3257597898122951E-2</v>
      </c>
      <c r="BW191" s="801">
        <f>BW208/BW160</f>
        <v>3.492735764198069E-2</v>
      </c>
      <c r="BX191" s="801">
        <f>BX208/BX160</f>
        <v>3.5740154299000002E-2</v>
      </c>
      <c r="BY191" s="801">
        <f>BY208/BY160</f>
        <v>3.6484955335780375E-2</v>
      </c>
      <c r="BZ191" s="801">
        <f>BZ208/BZ160</f>
        <v>3.7125499999999999E-2</v>
      </c>
      <c r="CA191" s="870">
        <f>CA208/CA160</f>
        <v>3.6072480632877983E-2</v>
      </c>
      <c r="CB191" s="801">
        <f>CB208/CB160</f>
        <v>2.8817942867554208E-2</v>
      </c>
      <c r="CC191" s="801">
        <f>CC208/CC160</f>
        <v>2.9312435053162514E-2</v>
      </c>
      <c r="CD191" s="798">
        <f>CD208/CD160</f>
        <v>3.7101577606931085E-2</v>
      </c>
      <c r="CE191" s="798">
        <f>CE208/CE160</f>
        <v>3.8856778793915706E-2</v>
      </c>
      <c r="CF191" s="849">
        <f>CF208/CF160</f>
        <v>3.3746296904249504E-2</v>
      </c>
      <c r="CG191" s="872">
        <f>CG208/CG160</f>
        <v>2.1924278522318017E-2</v>
      </c>
      <c r="CH191" s="872">
        <f>CH208/CH160</f>
        <v>2.8817409974949297E-2</v>
      </c>
      <c r="CI191" s="872">
        <f>CI208/CI160</f>
        <v>4.6084143542163593E-2</v>
      </c>
      <c r="CJ191" s="872">
        <f>CJ208/CJ160</f>
        <v>5.2609457861200498E-2</v>
      </c>
      <c r="CK191" s="849">
        <f>CK208/CK160</f>
        <v>3.7390569581340731E-2</v>
      </c>
      <c r="CL191" s="872">
        <f>CL208/CL160</f>
        <v>2.4200667611693493E-2</v>
      </c>
      <c r="CM191" s="872">
        <v>3.5735605501840663E-2</v>
      </c>
      <c r="CN191" s="872">
        <v>3.5556816864926392E-2</v>
      </c>
      <c r="CO191" s="1713">
        <v>3.5556816864926392E-2</v>
      </c>
      <c r="CP191" s="849">
        <f>CP208/CP160</f>
        <v>3.8393708210148127E-2</v>
      </c>
      <c r="CQ191" s="1713">
        <f>CQ208/CQ160</f>
        <v>3.9145813404818722E-2</v>
      </c>
      <c r="CR191" s="1713">
        <f>CR208/CR160</f>
        <v>4.7649138436012164E-2</v>
      </c>
      <c r="CS191" s="1713">
        <f>CS208/CS160</f>
        <v>5.214059984339469E-2</v>
      </c>
      <c r="CT191" s="1713">
        <f>CT208/CT160</f>
        <v>3.4327266468790328E-2</v>
      </c>
      <c r="CU191" s="849">
        <f>CU208/CU160</f>
        <v>4.3272905775681741E-2</v>
      </c>
      <c r="CV191" s="1713">
        <f ca="1">CV208/CV160</f>
        <v>3.5654472747122586E-2</v>
      </c>
      <c r="CW191" s="474">
        <f ca="1">CW208/CW160</f>
        <v>4.6239662111218827E-2</v>
      </c>
      <c r="CX191" s="474">
        <f ca="1">CX208/CX160</f>
        <v>4.7675219155971033E-2</v>
      </c>
      <c r="CY191" s="474">
        <f ca="1">CY208/CY160</f>
        <v>4.9207318952804516E-2</v>
      </c>
      <c r="CZ191" s="849">
        <f ca="1">CZ208/CZ160</f>
        <v>4.481338976952428E-2</v>
      </c>
      <c r="DA191" s="474">
        <f ca="1">DA208/DA160</f>
        <v>2.7256170044233242E-2</v>
      </c>
      <c r="DB191" s="474">
        <f ca="1">DB208/DB160</f>
        <v>3.6994067486916915E-2</v>
      </c>
      <c r="DC191" s="474">
        <f ca="1">DC208/DC160</f>
        <v>3.7267861867025284E-2</v>
      </c>
      <c r="DD191" s="474">
        <f ca="1">DD208/DD160</f>
        <v>3.8564347503245999E-2</v>
      </c>
      <c r="DE191" s="849">
        <f ca="1">DE208/DE160</f>
        <v>3.5124582819056761E-2</v>
      </c>
      <c r="DF191" s="474">
        <f ca="1">DF208/DF160</f>
        <v>2.7274319785559841E-2</v>
      </c>
      <c r="DG191" s="474">
        <f ca="1">DG208/DG160</f>
        <v>3.5297191886537335E-2</v>
      </c>
      <c r="DH191" s="474">
        <f ca="1">DH208/DH160</f>
        <v>4.565720933767773E-2</v>
      </c>
      <c r="DI191" s="896">
        <f ca="1">DI208/DI160</f>
        <v>4.3428633754072875E-2</v>
      </c>
      <c r="DJ191" s="849">
        <f ca="1">DJ208/DJ160</f>
        <v>3.8114648614826829E-2</v>
      </c>
      <c r="DK191" s="474">
        <f ca="1">DK208/DK160</f>
        <v>2.5578071244973345E-2</v>
      </c>
      <c r="DL191" s="474">
        <f ca="1">DL208/DL160</f>
        <v>3.4955953581382912E-2</v>
      </c>
      <c r="DM191" s="474">
        <f ca="1">DM208/DM160</f>
        <v>4.523698845637586E-2</v>
      </c>
      <c r="DN191" s="474">
        <f ca="1">DN208/DN160</f>
        <v>4.3947897599425877E-2</v>
      </c>
      <c r="DO191" s="849">
        <f ca="1">DO208/DO160</f>
        <v>3.7550593104477732E-2</v>
      </c>
      <c r="DP191" s="474">
        <f ca="1">DP208/DP160</f>
        <v>2.5475056737893846E-2</v>
      </c>
      <c r="DQ191" s="474">
        <f ca="1">DQ208/DQ160</f>
        <v>3.5052626095759876E-2</v>
      </c>
      <c r="DR191" s="474">
        <f ca="1">DR208/DR160</f>
        <v>4.5523527796108833E-2</v>
      </c>
      <c r="DS191" s="474">
        <f ca="1">DS208/DS160</f>
        <v>4.4221745077159931E-2</v>
      </c>
      <c r="DT191" s="849">
        <f ca="1">DT208/DT160</f>
        <v>3.7685502555872823E-2</v>
      </c>
      <c r="DU191" s="474">
        <f ca="1">DU208/DU160</f>
        <v>2.5418599620750555E-2</v>
      </c>
      <c r="DV191" s="474">
        <f ca="1">DV208/DV160</f>
        <v>3.5236545251162495E-2</v>
      </c>
      <c r="DW191" s="474">
        <f ca="1">DW208/DW160</f>
        <v>4.5937145768780371E-2</v>
      </c>
      <c r="DX191" s="474">
        <f ca="1">DX208/DX160</f>
        <v>4.4620109255057272E-2</v>
      </c>
      <c r="DY191" s="849">
        <f ca="1">DY208/DY160</f>
        <v>3.7916221901786278E-2</v>
      </c>
    </row>
    <row r="192" spans="1:129" x14ac:dyDescent="0.2">
      <c r="A192" s="526"/>
      <c r="B192" s="742"/>
      <c r="C192" s="597"/>
      <c r="D192" s="597"/>
      <c r="E192" s="597"/>
      <c r="F192" s="597"/>
      <c r="G192" s="597"/>
      <c r="H192" s="597"/>
      <c r="I192" s="598"/>
      <c r="J192" s="597"/>
      <c r="K192" s="597"/>
      <c r="L192" s="597"/>
      <c r="M192" s="597"/>
      <c r="N192" s="598"/>
      <c r="O192" s="743"/>
      <c r="P192" s="743"/>
      <c r="Q192" s="743"/>
      <c r="R192" s="743"/>
      <c r="S192" s="598"/>
      <c r="T192" s="743"/>
      <c r="U192" s="743"/>
      <c r="V192" s="743"/>
      <c r="W192" s="743"/>
      <c r="X192" s="598"/>
      <c r="Y192" s="743"/>
      <c r="Z192" s="743"/>
      <c r="AA192" s="743"/>
      <c r="AB192" s="743"/>
      <c r="AC192" s="598"/>
      <c r="AD192" s="743"/>
      <c r="AE192" s="743"/>
      <c r="AF192" s="743"/>
      <c r="AG192" s="743"/>
      <c r="AH192" s="598"/>
      <c r="AI192" s="743"/>
      <c r="AJ192" s="743"/>
      <c r="AK192" s="743"/>
      <c r="AL192" s="743"/>
      <c r="AM192" s="598"/>
      <c r="AN192" s="743"/>
      <c r="AO192" s="743"/>
      <c r="AP192" s="743"/>
      <c r="AQ192" s="743"/>
      <c r="AR192" s="598"/>
      <c r="AS192" s="743"/>
      <c r="AT192" s="743"/>
      <c r="AU192" s="743"/>
      <c r="AV192" s="743"/>
      <c r="AW192" s="598"/>
      <c r="AX192" s="743"/>
      <c r="AY192" s="743"/>
      <c r="AZ192" s="743"/>
      <c r="BA192" s="743"/>
      <c r="BB192" s="598"/>
      <c r="BC192" s="743"/>
      <c r="BD192" s="743"/>
      <c r="BE192" s="743"/>
      <c r="BF192" s="743"/>
      <c r="BG192" s="598"/>
      <c r="BH192" s="743"/>
      <c r="BI192" s="743"/>
      <c r="BJ192" s="743"/>
      <c r="BK192" s="743"/>
      <c r="BL192" s="849"/>
      <c r="BM192" s="743"/>
      <c r="BN192" s="743"/>
      <c r="BO192" s="743"/>
      <c r="BP192" s="743"/>
      <c r="BQ192" s="849"/>
      <c r="BR192" s="743"/>
      <c r="BS192" s="743"/>
      <c r="BT192" s="743"/>
      <c r="BU192" s="743"/>
      <c r="BV192" s="865"/>
      <c r="BW192" s="743"/>
      <c r="BX192" s="743"/>
      <c r="BY192" s="743"/>
      <c r="BZ192" s="743"/>
      <c r="CA192" s="849"/>
      <c r="CB192" s="743"/>
      <c r="CC192" s="743"/>
      <c r="CD192" s="743"/>
      <c r="CE192" s="743"/>
      <c r="CF192" s="849"/>
      <c r="CG192" s="869"/>
      <c r="CH192" s="869"/>
      <c r="CI192" s="869"/>
      <c r="CJ192" s="869"/>
      <c r="CK192" s="849">
        <f>CK195/CF195-1</f>
        <v>-0.26792664597642446</v>
      </c>
      <c r="CL192" s="869"/>
      <c r="CM192" s="869"/>
      <c r="CN192" s="869"/>
      <c r="CO192" s="1711"/>
      <c r="CP192" s="849"/>
      <c r="CQ192" s="1711"/>
      <c r="CR192" s="659"/>
      <c r="CS192" s="659"/>
      <c r="CT192" s="1711"/>
      <c r="CU192" s="849"/>
      <c r="CV192" s="1711"/>
      <c r="CW192" s="820"/>
      <c r="CX192" s="820"/>
      <c r="CY192" s="820"/>
      <c r="CZ192" s="849"/>
      <c r="DA192" s="820"/>
      <c r="DB192" s="820"/>
      <c r="DC192" s="820"/>
      <c r="DD192" s="820"/>
      <c r="DE192" s="849"/>
      <c r="DF192" s="820"/>
      <c r="DG192" s="820"/>
      <c r="DH192" s="820"/>
      <c r="DI192" s="2815"/>
      <c r="DJ192" s="849"/>
      <c r="DK192" s="820"/>
      <c r="DL192" s="820"/>
      <c r="DM192" s="820"/>
      <c r="DN192" s="820"/>
      <c r="DO192" s="849"/>
      <c r="DP192" s="820"/>
      <c r="DQ192" s="820"/>
      <c r="DR192" s="820"/>
      <c r="DS192" s="820"/>
      <c r="DT192" s="849"/>
      <c r="DU192" s="820"/>
      <c r="DV192" s="820"/>
      <c r="DW192" s="820"/>
      <c r="DX192" s="820"/>
      <c r="DY192" s="849"/>
    </row>
    <row r="193" spans="1:129" x14ac:dyDescent="0.2">
      <c r="A193" s="526"/>
      <c r="B193" s="727" t="s">
        <v>787</v>
      </c>
      <c r="C193" s="597"/>
      <c r="D193" s="597"/>
      <c r="E193" s="597"/>
      <c r="F193" s="597"/>
      <c r="G193" s="597"/>
      <c r="H193" s="597"/>
      <c r="I193" s="598"/>
      <c r="J193" s="597"/>
      <c r="K193" s="597"/>
      <c r="L193" s="597"/>
      <c r="M193" s="597"/>
      <c r="N193" s="598"/>
      <c r="O193" s="743"/>
      <c r="P193" s="743"/>
      <c r="Q193" s="743"/>
      <c r="R193" s="743"/>
      <c r="S193" s="598"/>
      <c r="T193" s="743"/>
      <c r="U193" s="743"/>
      <c r="V193" s="743"/>
      <c r="W193" s="743"/>
      <c r="X193" s="598"/>
      <c r="Y193" s="743"/>
      <c r="Z193" s="743"/>
      <c r="AA193" s="743"/>
      <c r="AB193" s="743"/>
      <c r="AC193" s="598"/>
      <c r="AD193" s="743"/>
      <c r="AE193" s="743"/>
      <c r="AF193" s="743"/>
      <c r="AG193" s="743"/>
      <c r="AH193" s="598"/>
      <c r="AI193" s="743"/>
      <c r="AJ193" s="743"/>
      <c r="AK193" s="743"/>
      <c r="AL193" s="743"/>
      <c r="AM193" s="598"/>
      <c r="AN193" s="743"/>
      <c r="AO193" s="743"/>
      <c r="AP193" s="743"/>
      <c r="AQ193" s="743"/>
      <c r="AR193" s="598"/>
      <c r="AS193" s="743"/>
      <c r="AT193" s="743"/>
      <c r="AU193" s="743"/>
      <c r="AV193" s="743"/>
      <c r="AW193" s="598"/>
      <c r="AX193" s="743"/>
      <c r="AY193" s="743"/>
      <c r="AZ193" s="743"/>
      <c r="BA193" s="743"/>
      <c r="BB193" s="598"/>
      <c r="BC193" s="743"/>
      <c r="BD193" s="743"/>
      <c r="BE193" s="743"/>
      <c r="BF193" s="743"/>
      <c r="BG193" s="598"/>
      <c r="BH193" s="743"/>
      <c r="BI193" s="743"/>
      <c r="BJ193" s="743"/>
      <c r="BK193" s="743"/>
      <c r="BL193" s="849"/>
      <c r="BM193" s="743"/>
      <c r="BN193" s="743"/>
      <c r="BO193" s="743"/>
      <c r="BP193" s="743"/>
      <c r="BQ193" s="849"/>
      <c r="BR193" s="743"/>
      <c r="BS193" s="743"/>
      <c r="BT193" s="743"/>
      <c r="BU193" s="743"/>
      <c r="BV193" s="865"/>
      <c r="BW193" s="743"/>
      <c r="BX193" s="743"/>
      <c r="BY193" s="743"/>
      <c r="BZ193" s="743"/>
      <c r="CA193" s="849"/>
      <c r="CB193" s="744"/>
      <c r="CC193" s="743"/>
      <c r="CD193" s="743"/>
      <c r="CE193" s="743"/>
      <c r="CF193" s="593"/>
      <c r="CG193" s="869"/>
      <c r="CH193" s="869"/>
      <c r="CI193" s="869"/>
      <c r="CJ193" s="869"/>
      <c r="CK193" s="593"/>
      <c r="CL193" s="869"/>
      <c r="CM193" s="869"/>
      <c r="CN193" s="869"/>
      <c r="CO193" s="1711"/>
      <c r="CP193" s="593"/>
      <c r="CQ193" s="1711"/>
      <c r="CR193" s="1711"/>
      <c r="CS193" s="1711"/>
      <c r="CT193" s="1711"/>
      <c r="CU193" s="593"/>
      <c r="CV193" s="1711"/>
      <c r="CW193" s="820"/>
      <c r="CX193" s="820"/>
      <c r="CY193" s="820"/>
      <c r="CZ193" s="593"/>
      <c r="DA193" s="820"/>
      <c r="DB193" s="820"/>
      <c r="DC193" s="820"/>
      <c r="DD193" s="820"/>
      <c r="DE193" s="593"/>
      <c r="DF193" s="820"/>
      <c r="DG193" s="820"/>
      <c r="DH193" s="820"/>
      <c r="DI193" s="2815"/>
      <c r="DJ193" s="593"/>
      <c r="DK193" s="820"/>
      <c r="DL193" s="820"/>
      <c r="DM193" s="820"/>
      <c r="DN193" s="820"/>
      <c r="DO193" s="593"/>
      <c r="DP193" s="820"/>
      <c r="DQ193" s="820"/>
      <c r="DR193" s="820"/>
      <c r="DS193" s="820"/>
      <c r="DT193" s="593"/>
      <c r="DU193" s="820"/>
      <c r="DV193" s="820"/>
      <c r="DW193" s="820"/>
      <c r="DX193" s="820"/>
      <c r="DY193" s="593"/>
    </row>
    <row r="194" spans="1:129" ht="5.25" customHeight="1" x14ac:dyDescent="0.2">
      <c r="A194" s="526"/>
      <c r="B194" s="742"/>
      <c r="C194" s="597"/>
      <c r="D194" s="597"/>
      <c r="E194" s="597"/>
      <c r="F194" s="597"/>
      <c r="G194" s="597"/>
      <c r="H194" s="597"/>
      <c r="I194" s="598"/>
      <c r="J194" s="597"/>
      <c r="K194" s="597"/>
      <c r="L194" s="597"/>
      <c r="M194" s="597"/>
      <c r="N194" s="598"/>
      <c r="O194" s="743"/>
      <c r="P194" s="743"/>
      <c r="Q194" s="743"/>
      <c r="R194" s="743"/>
      <c r="S194" s="598"/>
      <c r="T194" s="743"/>
      <c r="U194" s="743"/>
      <c r="V194" s="743"/>
      <c r="W194" s="743"/>
      <c r="X194" s="598"/>
      <c r="Y194" s="743"/>
      <c r="Z194" s="743"/>
      <c r="AA194" s="743"/>
      <c r="AB194" s="743"/>
      <c r="AC194" s="598"/>
      <c r="AD194" s="743"/>
      <c r="AE194" s="743"/>
      <c r="AF194" s="743"/>
      <c r="AG194" s="743"/>
      <c r="AH194" s="598"/>
      <c r="AI194" s="743"/>
      <c r="AJ194" s="743"/>
      <c r="AK194" s="743"/>
      <c r="AL194" s="743"/>
      <c r="AM194" s="598"/>
      <c r="AN194" s="743"/>
      <c r="AO194" s="743"/>
      <c r="AP194" s="743"/>
      <c r="AQ194" s="743"/>
      <c r="AR194" s="598"/>
      <c r="AS194" s="743"/>
      <c r="AT194" s="743"/>
      <c r="AU194" s="743"/>
      <c r="AV194" s="743"/>
      <c r="AW194" s="598"/>
      <c r="AX194" s="743"/>
      <c r="AY194" s="743"/>
      <c r="AZ194" s="743"/>
      <c r="BA194" s="743"/>
      <c r="BB194" s="598"/>
      <c r="BC194" s="743"/>
      <c r="BD194" s="743"/>
      <c r="BE194" s="743"/>
      <c r="BF194" s="743"/>
      <c r="BG194" s="598"/>
      <c r="BH194" s="743"/>
      <c r="BI194" s="743"/>
      <c r="BJ194" s="743"/>
      <c r="BK194" s="743"/>
      <c r="BL194" s="849"/>
      <c r="BM194" s="743"/>
      <c r="BN194" s="743"/>
      <c r="BO194" s="743"/>
      <c r="BP194" s="743"/>
      <c r="BQ194" s="849"/>
      <c r="BR194" s="743"/>
      <c r="BS194" s="743"/>
      <c r="BT194" s="743"/>
      <c r="BU194" s="743"/>
      <c r="BV194" s="865"/>
      <c r="BW194" s="743"/>
      <c r="BX194" s="743"/>
      <c r="BY194" s="743"/>
      <c r="BZ194" s="743"/>
      <c r="CA194" s="849"/>
      <c r="CB194" s="743"/>
      <c r="CC194" s="743"/>
      <c r="CD194" s="743"/>
      <c r="CE194" s="743"/>
      <c r="CF194" s="849"/>
      <c r="CG194" s="869"/>
      <c r="CH194" s="869"/>
      <c r="CI194" s="869"/>
      <c r="CJ194" s="869"/>
      <c r="CK194" s="849"/>
      <c r="CL194" s="869"/>
      <c r="CM194" s="869"/>
      <c r="CN194" s="869"/>
      <c r="CO194" s="1711"/>
      <c r="CP194" s="849"/>
      <c r="CQ194" s="1711"/>
      <c r="CR194" s="1711"/>
      <c r="CS194" s="1711"/>
      <c r="CT194" s="1711"/>
      <c r="CU194" s="849"/>
      <c r="CV194" s="1711"/>
      <c r="CW194" s="1712"/>
      <c r="CX194" s="1712"/>
      <c r="CY194" s="1712"/>
      <c r="CZ194" s="849"/>
      <c r="DA194" s="1712"/>
      <c r="DB194" s="1712"/>
      <c r="DC194" s="1712"/>
      <c r="DD194" s="1712"/>
      <c r="DE194" s="849"/>
      <c r="DF194" s="1712"/>
      <c r="DG194" s="820"/>
      <c r="DH194" s="820"/>
      <c r="DI194" s="2815"/>
      <c r="DJ194" s="849"/>
      <c r="DK194" s="820"/>
      <c r="DL194" s="820"/>
      <c r="DM194" s="820"/>
      <c r="DN194" s="820"/>
      <c r="DO194" s="849"/>
      <c r="DP194" s="820"/>
      <c r="DQ194" s="820"/>
      <c r="DR194" s="820"/>
      <c r="DS194" s="820"/>
      <c r="DT194" s="849"/>
      <c r="DU194" s="820"/>
      <c r="DV194" s="820"/>
      <c r="DW194" s="820"/>
      <c r="DX194" s="820"/>
      <c r="DY194" s="849"/>
    </row>
    <row r="195" spans="1:129" x14ac:dyDescent="0.2">
      <c r="A195" s="526"/>
      <c r="B195" s="742" t="s">
        <v>786</v>
      </c>
      <c r="C195" s="597"/>
      <c r="D195" s="597"/>
      <c r="E195" s="597"/>
      <c r="F195" s="597"/>
      <c r="G195" s="597"/>
      <c r="H195" s="597"/>
      <c r="I195" s="598"/>
      <c r="J195" s="597"/>
      <c r="K195" s="597"/>
      <c r="L195" s="597"/>
      <c r="M195" s="597"/>
      <c r="N195" s="598"/>
      <c r="O195" s="743"/>
      <c r="P195" s="743"/>
      <c r="Q195" s="743"/>
      <c r="R195" s="743"/>
      <c r="S195" s="598"/>
      <c r="T195" s="743"/>
      <c r="U195" s="743"/>
      <c r="V195" s="743"/>
      <c r="W195" s="743"/>
      <c r="X195" s="598"/>
      <c r="Y195" s="743"/>
      <c r="Z195" s="743"/>
      <c r="AA195" s="743"/>
      <c r="AB195" s="743"/>
      <c r="AC195" s="598"/>
      <c r="AD195" s="743"/>
      <c r="AE195" s="743"/>
      <c r="AF195" s="743"/>
      <c r="AG195" s="743"/>
      <c r="AH195" s="598"/>
      <c r="AI195" s="743"/>
      <c r="AJ195" s="743"/>
      <c r="AK195" s="743"/>
      <c r="AL195" s="743"/>
      <c r="AM195" s="598"/>
      <c r="AN195" s="743"/>
      <c r="AO195" s="743"/>
      <c r="AP195" s="743"/>
      <c r="AQ195" s="743"/>
      <c r="AR195" s="598"/>
      <c r="AS195" s="743"/>
      <c r="AT195" s="743"/>
      <c r="AU195" s="743"/>
      <c r="AV195" s="743"/>
      <c r="AW195" s="598"/>
      <c r="AX195" s="743"/>
      <c r="AY195" s="743"/>
      <c r="AZ195" s="743"/>
      <c r="BA195" s="743"/>
      <c r="BB195" s="598"/>
      <c r="BC195" s="743"/>
      <c r="BD195" s="743"/>
      <c r="BE195" s="743"/>
      <c r="BF195" s="743"/>
      <c r="BG195" s="598"/>
      <c r="BH195" s="623">
        <v>0.72750000000000004</v>
      </c>
      <c r="BI195" s="623">
        <v>0.67049999999999998</v>
      </c>
      <c r="BJ195" s="623">
        <v>0.70520000000000005</v>
      </c>
      <c r="BK195" s="623">
        <v>0.75939999999999996</v>
      </c>
      <c r="BL195" s="849"/>
      <c r="BM195" s="623">
        <v>0.82878095537697483</v>
      </c>
      <c r="BN195" s="623">
        <v>0.90881698899897911</v>
      </c>
      <c r="BO195" s="623">
        <v>0.90519132881226805</v>
      </c>
      <c r="BP195" s="623">
        <v>0.96845570356132205</v>
      </c>
      <c r="BQ195" s="870">
        <f>BQ212/BQ169</f>
        <v>0.90593891263514115</v>
      </c>
      <c r="BR195" s="623">
        <v>0.66704592492694781</v>
      </c>
      <c r="BS195" s="623">
        <v>0.7631213268098056</v>
      </c>
      <c r="BT195" s="623">
        <v>0.89780661712908061</v>
      </c>
      <c r="BU195" s="623">
        <v>0.92084064415982603</v>
      </c>
      <c r="BV195" s="871">
        <f>BV212/BV169</f>
        <v>0.81495643607938828</v>
      </c>
      <c r="BW195" s="623">
        <v>0.6</v>
      </c>
      <c r="BX195" s="623">
        <v>0.59450000000000003</v>
      </c>
      <c r="BY195" s="623">
        <v>0.63300000000000001</v>
      </c>
      <c r="BZ195" s="623">
        <v>0.58199999999999996</v>
      </c>
      <c r="CA195" s="870">
        <f>CA212/CA169</f>
        <v>0.60239318243911932</v>
      </c>
      <c r="CB195" s="623">
        <v>0.32550663447735645</v>
      </c>
      <c r="CC195" s="623">
        <v>0.39406131296508312</v>
      </c>
      <c r="CD195" s="782">
        <v>0.54887123396072002</v>
      </c>
      <c r="CE195" s="782">
        <v>0.54575766152042926</v>
      </c>
      <c r="CF195" s="849">
        <f>CF212/CF169</f>
        <v>0.45598081463942147</v>
      </c>
      <c r="CG195" s="782">
        <v>0.25</v>
      </c>
      <c r="CH195" s="782">
        <v>0.28999999999999998</v>
      </c>
      <c r="CI195" s="782">
        <v>0.37</v>
      </c>
      <c r="CJ195" s="782">
        <v>0.40500000000000003</v>
      </c>
      <c r="CK195" s="849">
        <f>CK212/CK169</f>
        <v>0.33381140434348355</v>
      </c>
      <c r="CL195" s="782">
        <v>0.3</v>
      </c>
      <c r="CM195" s="782">
        <v>0.30838051131950339</v>
      </c>
      <c r="CN195" s="782">
        <v>0.39250000000000002</v>
      </c>
      <c r="CO195" s="1712">
        <v>0.34634999999999999</v>
      </c>
      <c r="CP195" s="849">
        <f>CP212/CP169</f>
        <v>0.33834390497758104</v>
      </c>
      <c r="CQ195" s="1712">
        <v>0.3</v>
      </c>
      <c r="CR195" s="1712">
        <v>0.3</v>
      </c>
      <c r="CS195" s="1712">
        <v>0.35</v>
      </c>
      <c r="CT195" s="1712">
        <v>0.32729999999999998</v>
      </c>
      <c r="CU195" s="849">
        <f>CU212/CU169</f>
        <v>0.31945693849524165</v>
      </c>
      <c r="CV195" s="1712">
        <v>0.28000000000000003</v>
      </c>
      <c r="CW195" s="1712">
        <v>0.29799999999999999</v>
      </c>
      <c r="CX195" s="1712">
        <v>0.33800000000000002</v>
      </c>
      <c r="CY195" s="1712">
        <v>0.33800000000000002</v>
      </c>
      <c r="CZ195" s="849">
        <f ca="1">CZ212/CZ169</f>
        <v>0.31479334783662499</v>
      </c>
      <c r="DA195" s="1712">
        <v>0.23</v>
      </c>
      <c r="DB195" s="1712">
        <v>0.28000000000000003</v>
      </c>
      <c r="DC195" s="1712">
        <v>0.28000000000000003</v>
      </c>
      <c r="DD195" s="1712">
        <f>'Key Inputs and Scenarios'!AQ117</f>
        <v>0.27</v>
      </c>
      <c r="DE195" s="849">
        <f ca="1">DE212/DE169</f>
        <v>0.2649136675446615</v>
      </c>
      <c r="DF195" s="1712">
        <f>'Key Inputs and Scenarios'!AS117</f>
        <v>0.23</v>
      </c>
      <c r="DG195" s="1712">
        <f>'Key Inputs and Scenarios'!AT117</f>
        <v>0.27</v>
      </c>
      <c r="DH195" s="1712">
        <f>'Key Inputs and Scenarios'!AU117</f>
        <v>0.27</v>
      </c>
      <c r="DI195" s="1712">
        <v>0.26500000000000001</v>
      </c>
      <c r="DJ195" s="849">
        <f ca="1">DJ212/DJ169</f>
        <v>0.25922096991676091</v>
      </c>
      <c r="DK195" s="705">
        <v>0.22</v>
      </c>
      <c r="DL195" s="705">
        <f>'Key Inputs and Scenarios'!AY117</f>
        <v>0.27500000000000002</v>
      </c>
      <c r="DM195" s="705">
        <f>'Key Inputs and Scenarios'!AZ117</f>
        <v>0.27500000000000002</v>
      </c>
      <c r="DN195" s="705">
        <f>'Key Inputs and Scenarios'!BA117</f>
        <v>0.27</v>
      </c>
      <c r="DO195" s="849">
        <f ca="1">DO212/DO169</f>
        <v>0.26024686293723914</v>
      </c>
      <c r="DP195" s="705">
        <f>'Key Inputs and Scenarios'!BC117</f>
        <v>0.22</v>
      </c>
      <c r="DQ195" s="705">
        <f>'Key Inputs and Scenarios'!BD117</f>
        <v>0.26500000000000001</v>
      </c>
      <c r="DR195" s="705">
        <f>'Key Inputs and Scenarios'!BE117</f>
        <v>0.26500000000000001</v>
      </c>
      <c r="DS195" s="705">
        <f>'Key Inputs and Scenarios'!BF117</f>
        <v>0.26</v>
      </c>
      <c r="DT195" s="849">
        <f ca="1">DT212/DT169</f>
        <v>0.25269557480129146</v>
      </c>
      <c r="DU195" s="705">
        <f>'Key Inputs and Scenarios'!BH117</f>
        <v>0.21</v>
      </c>
      <c r="DV195" s="705">
        <f>'Key Inputs and Scenarios'!BI117</f>
        <v>0.255</v>
      </c>
      <c r="DW195" s="705">
        <f>'Key Inputs and Scenarios'!BJ117</f>
        <v>0.255</v>
      </c>
      <c r="DX195" s="705">
        <f>'Key Inputs and Scenarios'!BK117</f>
        <v>0.25</v>
      </c>
      <c r="DY195" s="849">
        <f ca="1">DY212/DY169</f>
        <v>0.24269441663259439</v>
      </c>
    </row>
    <row r="196" spans="1:129" x14ac:dyDescent="0.2">
      <c r="A196" s="526"/>
      <c r="B196" s="742" t="s">
        <v>745</v>
      </c>
      <c r="C196" s="597"/>
      <c r="D196" s="597"/>
      <c r="E196" s="597"/>
      <c r="F196" s="597"/>
      <c r="G196" s="597"/>
      <c r="H196" s="597"/>
      <c r="I196" s="598"/>
      <c r="J196" s="597"/>
      <c r="K196" s="597"/>
      <c r="L196" s="597"/>
      <c r="M196" s="597"/>
      <c r="N196" s="598"/>
      <c r="O196" s="743"/>
      <c r="P196" s="743"/>
      <c r="Q196" s="743"/>
      <c r="R196" s="743"/>
      <c r="S196" s="598"/>
      <c r="T196" s="743"/>
      <c r="U196" s="743"/>
      <c r="V196" s="743"/>
      <c r="W196" s="743"/>
      <c r="X196" s="598"/>
      <c r="Y196" s="743"/>
      <c r="Z196" s="743"/>
      <c r="AA196" s="743"/>
      <c r="AB196" s="743"/>
      <c r="AC196" s="598"/>
      <c r="AD196" s="743"/>
      <c r="AE196" s="743"/>
      <c r="AF196" s="743"/>
      <c r="AG196" s="743"/>
      <c r="AH196" s="598"/>
      <c r="AI196" s="743"/>
      <c r="AJ196" s="743"/>
      <c r="AK196" s="743"/>
      <c r="AL196" s="743"/>
      <c r="AM196" s="598"/>
      <c r="AN196" s="743"/>
      <c r="AO196" s="743"/>
      <c r="AP196" s="743"/>
      <c r="AQ196" s="743"/>
      <c r="AR196" s="598"/>
      <c r="AS196" s="743"/>
      <c r="AT196" s="743"/>
      <c r="AU196" s="743"/>
      <c r="AV196" s="743"/>
      <c r="AW196" s="598"/>
      <c r="AX196" s="743"/>
      <c r="AY196" s="743"/>
      <c r="AZ196" s="743"/>
      <c r="BA196" s="743"/>
      <c r="BB196" s="598"/>
      <c r="BC196" s="743"/>
      <c r="BD196" s="743"/>
      <c r="BE196" s="743"/>
      <c r="BF196" s="743"/>
      <c r="BG196" s="598"/>
      <c r="BH196" s="623">
        <v>0.04</v>
      </c>
      <c r="BI196" s="623">
        <v>0.04</v>
      </c>
      <c r="BJ196" s="623">
        <v>0.04</v>
      </c>
      <c r="BK196" s="623">
        <v>0.04</v>
      </c>
      <c r="BL196" s="849"/>
      <c r="BM196" s="623">
        <v>7.4999999999999997E-3</v>
      </c>
      <c r="BN196" s="623">
        <v>7.4999999999999997E-3</v>
      </c>
      <c r="BO196" s="623">
        <v>7.4999999999999997E-3</v>
      </c>
      <c r="BP196" s="623">
        <v>7.4999999999999997E-3</v>
      </c>
      <c r="BQ196" s="870">
        <f>BQ213/BQ170</f>
        <v>7.499999999999998E-3</v>
      </c>
      <c r="BR196" s="623">
        <v>7.4999999999999997E-3</v>
      </c>
      <c r="BS196" s="623">
        <v>7.4999999999999997E-3</v>
      </c>
      <c r="BT196" s="623">
        <v>7.4999999999999997E-3</v>
      </c>
      <c r="BU196" s="623">
        <v>7.4999999999999997E-3</v>
      </c>
      <c r="BV196" s="871">
        <f>BV213/BV170</f>
        <v>7.4999999999999997E-3</v>
      </c>
      <c r="BW196" s="623">
        <v>7.4999999999999997E-3</v>
      </c>
      <c r="BX196" s="623">
        <v>7.4999999999999997E-3</v>
      </c>
      <c r="BY196" s="623">
        <v>7.4999999999999997E-3</v>
      </c>
      <c r="BZ196" s="623">
        <v>7.4999999999999997E-3</v>
      </c>
      <c r="CA196" s="870">
        <f>CA213/CA170</f>
        <v>7.4999999999999997E-3</v>
      </c>
      <c r="CB196" s="623">
        <v>4.0156821716912277E-3</v>
      </c>
      <c r="CC196" s="623">
        <v>4.8248424708433576E-3</v>
      </c>
      <c r="CD196" s="782">
        <v>7.5396615760084801E-3</v>
      </c>
      <c r="CE196" s="782">
        <v>7.5396615760084801E-3</v>
      </c>
      <c r="CF196" s="849">
        <f>CF213/CF170</f>
        <v>6.0124693467736041E-3</v>
      </c>
      <c r="CG196" s="782">
        <v>6.0000000000000001E-3</v>
      </c>
      <c r="CH196" s="782">
        <v>7.0000000000000001E-3</v>
      </c>
      <c r="CI196" s="782">
        <v>8.9999999999999993E-3</v>
      </c>
      <c r="CJ196" s="782">
        <v>1.15E-2</v>
      </c>
      <c r="CK196" s="849">
        <f>CK213/CK170</f>
        <v>8.3334034278863389E-3</v>
      </c>
      <c r="CL196" s="782">
        <f ca="1">'Key Inputs and Scenarios'!Y118</f>
        <v>1.15E-2</v>
      </c>
      <c r="CM196" s="782">
        <v>8.5086265296741397E-3</v>
      </c>
      <c r="CN196" s="782">
        <v>1.15E-2</v>
      </c>
      <c r="CO196" s="1712">
        <v>1.15E-2</v>
      </c>
      <c r="CP196" s="849">
        <f ca="1">CP213/CP170</f>
        <v>1.0769524106830462E-2</v>
      </c>
      <c r="CQ196" s="1712">
        <v>8.9999999999999993E-3</v>
      </c>
      <c r="CR196" s="1712">
        <v>8.9999999999999993E-3</v>
      </c>
      <c r="CS196" s="1712">
        <v>0.01</v>
      </c>
      <c r="CT196" s="1712">
        <f>'Key Inputs and Scenarios'!AG118</f>
        <v>8.9999999999999993E-3</v>
      </c>
      <c r="CU196" s="849">
        <f>CU213/CU170</f>
        <v>9.2676386976984371E-3</v>
      </c>
      <c r="CV196" s="1712">
        <v>8.9999999999999993E-3</v>
      </c>
      <c r="CW196" s="1712">
        <v>8.9999999999999993E-3</v>
      </c>
      <c r="CX196" s="1712">
        <v>0.01</v>
      </c>
      <c r="CY196" s="1712">
        <v>0.01</v>
      </c>
      <c r="CZ196" s="849">
        <f ca="1">CZ213/CZ170</f>
        <v>9.5273979119808172E-3</v>
      </c>
      <c r="DA196" s="1712">
        <v>0.01</v>
      </c>
      <c r="DB196" s="1712">
        <v>0.01</v>
      </c>
      <c r="DC196" s="1712">
        <v>0.01</v>
      </c>
      <c r="DD196" s="1712">
        <f>'Key Inputs and Scenarios'!AQ118</f>
        <v>0.01</v>
      </c>
      <c r="DE196" s="849">
        <f ca="1">DE213/DE170</f>
        <v>0.01</v>
      </c>
      <c r="DF196" s="1712">
        <f>'Key Inputs and Scenarios'!AS118</f>
        <v>0.01</v>
      </c>
      <c r="DG196" s="1712">
        <f>'Key Inputs and Scenarios'!AT118</f>
        <v>0.01</v>
      </c>
      <c r="DH196" s="1712">
        <f>'Key Inputs and Scenarios'!AU118</f>
        <v>0.01</v>
      </c>
      <c r="DI196" s="1712">
        <v>0.01</v>
      </c>
      <c r="DJ196" s="849">
        <f ca="1">DJ213/DJ170</f>
        <v>0.01</v>
      </c>
      <c r="DK196" s="705">
        <f>'Key Inputs and Scenarios'!AX118</f>
        <v>8.9999999999999993E-3</v>
      </c>
      <c r="DL196" s="705">
        <f>'Key Inputs and Scenarios'!AY118</f>
        <v>0.01</v>
      </c>
      <c r="DM196" s="705">
        <f>'Key Inputs and Scenarios'!AZ118</f>
        <v>0.01</v>
      </c>
      <c r="DN196" s="705">
        <f>'Key Inputs and Scenarios'!BA118</f>
        <v>0.01</v>
      </c>
      <c r="DO196" s="849">
        <f ca="1">DO213/DO170</f>
        <v>9.7929938608800112E-3</v>
      </c>
      <c r="DP196" s="705">
        <f>'Key Inputs and Scenarios'!BC118</f>
        <v>8.0000000000000002E-3</v>
      </c>
      <c r="DQ196" s="705">
        <f>'Key Inputs and Scenarios'!BD118</f>
        <v>8.0000000000000002E-3</v>
      </c>
      <c r="DR196" s="705">
        <f>'Key Inputs and Scenarios'!BE118</f>
        <v>8.0000000000000002E-3</v>
      </c>
      <c r="DS196" s="705">
        <f>'Key Inputs and Scenarios'!BF118</f>
        <v>8.0000000000000002E-3</v>
      </c>
      <c r="DT196" s="849">
        <f ca="1">DT213/DT170</f>
        <v>8.0000000000000019E-3</v>
      </c>
      <c r="DU196" s="705">
        <f>'Key Inputs and Scenarios'!BH118</f>
        <v>8.0000000000000002E-3</v>
      </c>
      <c r="DV196" s="705">
        <f>'Key Inputs and Scenarios'!BI118</f>
        <v>8.0000000000000002E-3</v>
      </c>
      <c r="DW196" s="705">
        <f>'Key Inputs and Scenarios'!BJ118</f>
        <v>8.0000000000000002E-3</v>
      </c>
      <c r="DX196" s="705">
        <f>'Key Inputs and Scenarios'!BK118</f>
        <v>8.0000000000000002E-3</v>
      </c>
      <c r="DY196" s="849">
        <f ca="1">DY213/DY170</f>
        <v>8.0000000000000002E-3</v>
      </c>
    </row>
    <row r="197" spans="1:129" outlineLevel="1" x14ac:dyDescent="0.2">
      <c r="A197" s="526"/>
      <c r="B197" s="742" t="s">
        <v>788</v>
      </c>
      <c r="C197" s="597"/>
      <c r="D197" s="597"/>
      <c r="E197" s="597"/>
      <c r="F197" s="597"/>
      <c r="G197" s="597"/>
      <c r="H197" s="597"/>
      <c r="I197" s="598"/>
      <c r="J197" s="597"/>
      <c r="K197" s="597"/>
      <c r="L197" s="597"/>
      <c r="M197" s="597"/>
      <c r="N197" s="598"/>
      <c r="O197" s="743"/>
      <c r="P197" s="743"/>
      <c r="Q197" s="743"/>
      <c r="R197" s="743"/>
      <c r="S197" s="598"/>
      <c r="T197" s="743"/>
      <c r="U197" s="743"/>
      <c r="V197" s="743"/>
      <c r="W197" s="743"/>
      <c r="X197" s="598"/>
      <c r="Y197" s="743"/>
      <c r="Z197" s="743"/>
      <c r="AA197" s="743"/>
      <c r="AB197" s="743"/>
      <c r="AC197" s="598"/>
      <c r="AD197" s="743"/>
      <c r="AE197" s="743"/>
      <c r="AF197" s="743"/>
      <c r="AG197" s="743"/>
      <c r="AH197" s="598"/>
      <c r="AI197" s="743"/>
      <c r="AJ197" s="743"/>
      <c r="AK197" s="743"/>
      <c r="AL197" s="743"/>
      <c r="AM197" s="598"/>
      <c r="AN197" s="743"/>
      <c r="AO197" s="743"/>
      <c r="AP197" s="743"/>
      <c r="AQ197" s="743"/>
      <c r="AR197" s="598"/>
      <c r="AS197" s="743"/>
      <c r="AT197" s="743"/>
      <c r="AU197" s="743"/>
      <c r="AV197" s="743"/>
      <c r="AW197" s="598"/>
      <c r="AX197" s="743"/>
      <c r="AY197" s="743"/>
      <c r="AZ197" s="743"/>
      <c r="BA197" s="743"/>
      <c r="BB197" s="598"/>
      <c r="BC197" s="743"/>
      <c r="BD197" s="743"/>
      <c r="BE197" s="743"/>
      <c r="BF197" s="743"/>
      <c r="BG197" s="598"/>
      <c r="BH197" s="623">
        <v>0.1</v>
      </c>
      <c r="BI197" s="623">
        <v>0.1</v>
      </c>
      <c r="BJ197" s="623">
        <v>0.1</v>
      </c>
      <c r="BK197" s="623">
        <v>0.1</v>
      </c>
      <c r="BL197" s="849"/>
      <c r="BM197" s="623">
        <v>0.1</v>
      </c>
      <c r="BN197" s="623">
        <v>0.1</v>
      </c>
      <c r="BO197" s="623">
        <v>0.1</v>
      </c>
      <c r="BP197" s="623">
        <v>0.1</v>
      </c>
      <c r="BQ197" s="849"/>
      <c r="BR197" s="623">
        <v>0.1</v>
      </c>
      <c r="BS197" s="623">
        <v>0.1</v>
      </c>
      <c r="BT197" s="623">
        <v>0.1</v>
      </c>
      <c r="BU197" s="623">
        <v>0.1</v>
      </c>
      <c r="BV197" s="865"/>
      <c r="BW197" s="623">
        <v>0.1</v>
      </c>
      <c r="BX197" s="623">
        <v>0.1</v>
      </c>
      <c r="BY197" s="623">
        <v>0.1</v>
      </c>
      <c r="BZ197" s="623">
        <v>0.1</v>
      </c>
      <c r="CA197" s="849"/>
      <c r="CB197" s="623">
        <v>0.1</v>
      </c>
      <c r="CC197" s="623">
        <v>0.1</v>
      </c>
      <c r="CD197" s="623">
        <v>0.1</v>
      </c>
      <c r="CE197" s="623">
        <v>0.1</v>
      </c>
      <c r="CF197" s="849"/>
      <c r="CG197" s="791">
        <v>0.1</v>
      </c>
      <c r="CH197" s="791">
        <v>0.1</v>
      </c>
      <c r="CI197" s="791">
        <v>0.1</v>
      </c>
      <c r="CJ197" s="791">
        <v>0.1</v>
      </c>
      <c r="CK197" s="849"/>
      <c r="CL197" s="791">
        <v>0.1</v>
      </c>
      <c r="CM197" s="791">
        <v>0.1</v>
      </c>
      <c r="CN197" s="791">
        <v>0.1</v>
      </c>
      <c r="CO197" s="1714">
        <v>0.1</v>
      </c>
      <c r="CP197" s="849"/>
      <c r="CQ197" s="1714">
        <v>0.1</v>
      </c>
      <c r="CR197" s="1714">
        <v>0.1</v>
      </c>
      <c r="CS197" s="1714">
        <v>0.1</v>
      </c>
      <c r="CT197" s="1714">
        <v>0.1</v>
      </c>
      <c r="CU197" s="849"/>
      <c r="CV197" s="1714">
        <v>0.06</v>
      </c>
      <c r="CW197" s="791">
        <v>0.06</v>
      </c>
      <c r="CX197" s="791">
        <v>0.06</v>
      </c>
      <c r="CY197" s="791">
        <v>0.06</v>
      </c>
      <c r="CZ197" s="849"/>
      <c r="DA197" s="791">
        <v>0.06</v>
      </c>
      <c r="DB197" s="791">
        <v>0.06</v>
      </c>
      <c r="DC197" s="791">
        <v>0.06</v>
      </c>
      <c r="DD197" s="791">
        <v>0.1</v>
      </c>
      <c r="DE197" s="849"/>
      <c r="DF197" s="791">
        <v>0.1</v>
      </c>
      <c r="DG197" s="791">
        <v>0.1</v>
      </c>
      <c r="DH197" s="791">
        <v>0.1</v>
      </c>
      <c r="DI197" s="2822">
        <v>0.1</v>
      </c>
      <c r="DJ197" s="849"/>
      <c r="DK197" s="791">
        <v>0.1</v>
      </c>
      <c r="DL197" s="791">
        <v>0.1</v>
      </c>
      <c r="DM197" s="791">
        <v>0.1</v>
      </c>
      <c r="DN197" s="791">
        <v>0.1</v>
      </c>
      <c r="DO197" s="849"/>
      <c r="DP197" s="791">
        <v>0.1</v>
      </c>
      <c r="DQ197" s="791">
        <v>0.1</v>
      </c>
      <c r="DR197" s="791">
        <v>0.1</v>
      </c>
      <c r="DS197" s="791">
        <v>0.1</v>
      </c>
      <c r="DT197" s="849"/>
      <c r="DU197" s="791">
        <v>0.1</v>
      </c>
      <c r="DV197" s="791">
        <v>0.1</v>
      </c>
      <c r="DW197" s="791">
        <v>0.1</v>
      </c>
      <c r="DX197" s="791">
        <v>0.1</v>
      </c>
      <c r="DY197" s="849"/>
    </row>
    <row r="198" spans="1:129" x14ac:dyDescent="0.2">
      <c r="A198" s="526"/>
      <c r="B198" s="742" t="s">
        <v>781</v>
      </c>
      <c r="C198" s="597"/>
      <c r="D198" s="597"/>
      <c r="E198" s="597"/>
      <c r="F198" s="597"/>
      <c r="G198" s="597"/>
      <c r="H198" s="597"/>
      <c r="I198" s="598"/>
      <c r="J198" s="597"/>
      <c r="K198" s="597"/>
      <c r="L198" s="597"/>
      <c r="M198" s="597"/>
      <c r="N198" s="598"/>
      <c r="O198" s="743"/>
      <c r="P198" s="743"/>
      <c r="Q198" s="743"/>
      <c r="R198" s="743"/>
      <c r="S198" s="598"/>
      <c r="T198" s="743"/>
      <c r="U198" s="743"/>
      <c r="V198" s="743"/>
      <c r="W198" s="743"/>
      <c r="X198" s="598"/>
      <c r="Y198" s="743"/>
      <c r="Z198" s="743"/>
      <c r="AA198" s="743"/>
      <c r="AB198" s="743"/>
      <c r="AC198" s="598"/>
      <c r="AD198" s="743"/>
      <c r="AE198" s="743"/>
      <c r="AF198" s="743"/>
      <c r="AG198" s="743"/>
      <c r="AH198" s="598"/>
      <c r="AI198" s="743"/>
      <c r="AJ198" s="743"/>
      <c r="AK198" s="743"/>
      <c r="AL198" s="743"/>
      <c r="AM198" s="598"/>
      <c r="AN198" s="743"/>
      <c r="AO198" s="743"/>
      <c r="AP198" s="743"/>
      <c r="AQ198" s="743"/>
      <c r="AR198" s="598"/>
      <c r="AS198" s="743"/>
      <c r="AT198" s="743"/>
      <c r="AU198" s="743"/>
      <c r="AV198" s="743"/>
      <c r="AW198" s="598"/>
      <c r="AX198" s="743"/>
      <c r="AY198" s="743"/>
      <c r="AZ198" s="743"/>
      <c r="BA198" s="743"/>
      <c r="BB198" s="598"/>
      <c r="BC198" s="743"/>
      <c r="BD198" s="743"/>
      <c r="BE198" s="743"/>
      <c r="BF198" s="743"/>
      <c r="BG198" s="598"/>
      <c r="BH198" s="803">
        <f>BH214/BH171</f>
        <v>0.16574374999999997</v>
      </c>
      <c r="BI198" s="803">
        <f>BI214/BI171</f>
        <v>0.1491272136855413</v>
      </c>
      <c r="BJ198" s="803">
        <f>BJ214/BJ171</f>
        <v>0.15426580861637959</v>
      </c>
      <c r="BK198" s="803">
        <f>BK214/BK171</f>
        <v>0.15754637441414732</v>
      </c>
      <c r="BL198" s="849"/>
      <c r="BM198" s="803">
        <f>BM214/BM171</f>
        <v>0.13746681799621441</v>
      </c>
      <c r="BN198" s="803">
        <f t="shared" ref="BN198:CZ198" si="289">BN214/BN171</f>
        <v>0.15595106326748581</v>
      </c>
      <c r="BO198" s="803">
        <f t="shared" si="289"/>
        <v>0.1648636098921796</v>
      </c>
      <c r="BP198" s="803">
        <f t="shared" si="289"/>
        <v>0.17318911414052152</v>
      </c>
      <c r="BQ198" s="870">
        <f t="shared" si="289"/>
        <v>0.15823630294966362</v>
      </c>
      <c r="BR198" s="803">
        <f t="shared" si="289"/>
        <v>0.12132406725663714</v>
      </c>
      <c r="BS198" s="803">
        <f t="shared" si="289"/>
        <v>0.14044492463856395</v>
      </c>
      <c r="BT198" s="803">
        <f t="shared" si="289"/>
        <v>0.16180370284299067</v>
      </c>
      <c r="BU198" s="803">
        <f t="shared" si="289"/>
        <v>0.16579585070963315</v>
      </c>
      <c r="BV198" s="871">
        <f t="shared" si="289"/>
        <v>0.14782645234454417</v>
      </c>
      <c r="BW198" s="803">
        <f t="shared" si="289"/>
        <v>0.10994404542471568</v>
      </c>
      <c r="BX198" s="803">
        <f t="shared" si="289"/>
        <v>0.11531910340000001</v>
      </c>
      <c r="BY198" s="803">
        <f t="shared" si="289"/>
        <v>0.12360078978311086</v>
      </c>
      <c r="BZ198" s="803">
        <f t="shared" si="289"/>
        <v>0.11387698596381794</v>
      </c>
      <c r="CA198" s="870">
        <f t="shared" si="289"/>
        <v>0.1157181144730388</v>
      </c>
      <c r="CB198" s="803">
        <f t="shared" si="289"/>
        <v>6.4448544813879641E-2</v>
      </c>
      <c r="CC198" s="803">
        <f t="shared" si="289"/>
        <v>7.7705621688903118E-2</v>
      </c>
      <c r="CD198" s="751">
        <f t="shared" si="289"/>
        <v>0.10596349276478978</v>
      </c>
      <c r="CE198" s="751">
        <f t="shared" si="289"/>
        <v>0.11306003772410622</v>
      </c>
      <c r="CF198" s="849">
        <f t="shared" si="289"/>
        <v>9.0759887726994948E-2</v>
      </c>
      <c r="CG198" s="683">
        <f t="shared" si="289"/>
        <v>5.3407144030206515E-2</v>
      </c>
      <c r="CH198" s="683">
        <f t="shared" si="289"/>
        <v>6.497355149847886E-2</v>
      </c>
      <c r="CI198" s="683">
        <f t="shared" si="289"/>
        <v>8.4581061628389742E-2</v>
      </c>
      <c r="CJ198" s="683">
        <f t="shared" si="289"/>
        <v>0.10827016379101893</v>
      </c>
      <c r="CK198" s="849">
        <f t="shared" si="289"/>
        <v>7.7890723155341138E-2</v>
      </c>
      <c r="CL198" s="683">
        <f t="shared" ca="1" si="289"/>
        <v>7.272117968101284E-2</v>
      </c>
      <c r="CM198" s="683">
        <v>7.3114410883795847E-2</v>
      </c>
      <c r="CN198" s="683">
        <v>7.9328571767172479E-2</v>
      </c>
      <c r="CO198" s="1715">
        <v>7.9328571767172479E-2</v>
      </c>
      <c r="CP198" s="849">
        <f t="shared" ca="1" si="289"/>
        <v>8.3289509080337498E-2</v>
      </c>
      <c r="CQ198" s="1715">
        <f t="shared" si="289"/>
        <v>7.8131266664829974E-2</v>
      </c>
      <c r="CR198" s="1715">
        <f t="shared" si="289"/>
        <v>6.172578789725585E-2</v>
      </c>
      <c r="CS198" s="1715">
        <f t="shared" si="289"/>
        <v>7.1171321094108134E-2</v>
      </c>
      <c r="CT198" s="1715">
        <f t="shared" si="289"/>
        <v>7.6745554142372427E-2</v>
      </c>
      <c r="CU198" s="849">
        <f t="shared" si="289"/>
        <v>7.1876812370590307E-2</v>
      </c>
      <c r="CV198" s="1715">
        <f t="shared" ca="1" si="289"/>
        <v>6.432328335016993E-2</v>
      </c>
      <c r="CW198" s="683">
        <f t="shared" ca="1" si="289"/>
        <v>6.0862182607816215E-2</v>
      </c>
      <c r="CX198" s="683">
        <f t="shared" ca="1" si="289"/>
        <v>6.8701045066248495E-2</v>
      </c>
      <c r="CY198" s="683">
        <f ca="1">CY214/CY171</f>
        <v>7.7886340994296879E-2</v>
      </c>
      <c r="CZ198" s="849">
        <f t="shared" ca="1" si="289"/>
        <v>6.828662603939209E-2</v>
      </c>
      <c r="DA198" s="683">
        <f ca="1">DA214/DA171</f>
        <v>5.4066744062612339E-2</v>
      </c>
      <c r="DB198" s="683">
        <f ca="1">DB214/DB171</f>
        <v>5.8671478881039081E-2</v>
      </c>
      <c r="DC198" s="683">
        <f ca="1">DC214/DC171</f>
        <v>5.9316581201330633E-2</v>
      </c>
      <c r="DD198" s="683">
        <f t="shared" ref="DD198:DJ198" ca="1" si="290">DD214/DD171</f>
        <v>6.5495161088382881E-2</v>
      </c>
      <c r="DE198" s="849">
        <f t="shared" ca="1" si="290"/>
        <v>5.9515845051670388E-2</v>
      </c>
      <c r="DF198" s="683">
        <f t="shared" ca="1" si="290"/>
        <v>5.3892823888378717E-2</v>
      </c>
      <c r="DG198" s="683">
        <f t="shared" ref="DG198" ca="1" si="291">DG214/DG171</f>
        <v>6.1873337322629389E-2</v>
      </c>
      <c r="DH198" s="683">
        <f t="shared" ref="DH198:DI198" ca="1" si="292">DH214/DH171</f>
        <v>6.1873337322629389E-2</v>
      </c>
      <c r="DI198" s="2814">
        <f t="shared" ca="1" si="292"/>
        <v>6.0875773143348043E-2</v>
      </c>
      <c r="DJ198" s="849">
        <f t="shared" ca="1" si="290"/>
        <v>5.9722782462942325E-2</v>
      </c>
      <c r="DK198" s="683">
        <f t="shared" ref="DK198:DT198" ca="1" si="293">DK214/DK171</f>
        <v>5.4994251004165336E-2</v>
      </c>
      <c r="DL198" s="683">
        <f t="shared" ca="1" si="293"/>
        <v>5.7724691429191746E-2</v>
      </c>
      <c r="DM198" s="683">
        <f t="shared" ca="1" si="293"/>
        <v>5.8291105164489376E-2</v>
      </c>
      <c r="DN198" s="683">
        <f t="shared" ca="1" si="293"/>
        <v>5.8677670929436217E-2</v>
      </c>
      <c r="DO198" s="849">
        <f t="shared" ca="1" si="293"/>
        <v>5.7536403182583115E-2</v>
      </c>
      <c r="DP198" s="683">
        <f t="shared" ca="1" si="293"/>
        <v>5.473237673918166E-2</v>
      </c>
      <c r="DQ198" s="683">
        <f t="shared" ca="1" si="293"/>
        <v>5.4921716162029573E-2</v>
      </c>
      <c r="DR198" s="683">
        <f t="shared" ca="1" si="293"/>
        <v>5.5572970097042255E-2</v>
      </c>
      <c r="DS198" s="683">
        <f t="shared" ca="1" si="293"/>
        <v>5.6020325461891542E-2</v>
      </c>
      <c r="DT198" s="849">
        <f t="shared" ca="1" si="293"/>
        <v>5.5336828150747128E-2</v>
      </c>
      <c r="DU198" s="683">
        <f t="shared" ref="DU198:DY198" ca="1" si="294">DU214/DU171</f>
        <v>5.3381898205143913E-2</v>
      </c>
      <c r="DV198" s="683">
        <f t="shared" ca="1" si="294"/>
        <v>5.4114164832819271E-2</v>
      </c>
      <c r="DW198" s="683">
        <f t="shared" ca="1" si="294"/>
        <v>5.4868154876218177E-2</v>
      </c>
      <c r="DX198" s="683">
        <f t="shared" ca="1" si="294"/>
        <v>5.5385574468376594E-2</v>
      </c>
      <c r="DY198" s="849">
        <f t="shared" ca="1" si="294"/>
        <v>5.4482073430595704E-2</v>
      </c>
    </row>
    <row r="199" spans="1:129" x14ac:dyDescent="0.2">
      <c r="A199" s="526"/>
      <c r="B199" s="742"/>
      <c r="C199" s="597"/>
      <c r="D199" s="597"/>
      <c r="E199" s="597"/>
      <c r="F199" s="597"/>
      <c r="G199" s="597"/>
      <c r="H199" s="597"/>
      <c r="I199" s="598"/>
      <c r="J199" s="597"/>
      <c r="K199" s="597"/>
      <c r="L199" s="597"/>
      <c r="M199" s="597"/>
      <c r="N199" s="598"/>
      <c r="O199" s="743"/>
      <c r="P199" s="743"/>
      <c r="Q199" s="743"/>
      <c r="R199" s="743"/>
      <c r="S199" s="598"/>
      <c r="T199" s="743"/>
      <c r="U199" s="743"/>
      <c r="V199" s="743"/>
      <c r="W199" s="743"/>
      <c r="X199" s="598"/>
      <c r="Y199" s="743"/>
      <c r="Z199" s="743"/>
      <c r="AA199" s="743"/>
      <c r="AB199" s="743"/>
      <c r="AC199" s="598"/>
      <c r="AD199" s="743"/>
      <c r="AE199" s="743"/>
      <c r="AF199" s="743"/>
      <c r="AG199" s="743"/>
      <c r="AH199" s="598"/>
      <c r="AI199" s="743"/>
      <c r="AJ199" s="743"/>
      <c r="AK199" s="743"/>
      <c r="AL199" s="743"/>
      <c r="AM199" s="598"/>
      <c r="AN199" s="743"/>
      <c r="AO199" s="743"/>
      <c r="AP199" s="743"/>
      <c r="AQ199" s="743"/>
      <c r="AR199" s="598"/>
      <c r="AS199" s="743"/>
      <c r="AT199" s="743"/>
      <c r="AU199" s="743"/>
      <c r="AV199" s="743"/>
      <c r="AW199" s="598"/>
      <c r="AX199" s="743"/>
      <c r="AY199" s="743"/>
      <c r="AZ199" s="743"/>
      <c r="BA199" s="743"/>
      <c r="BB199" s="598"/>
      <c r="BC199" s="743"/>
      <c r="BD199" s="743"/>
      <c r="BE199" s="743"/>
      <c r="BF199" s="743"/>
      <c r="BG199" s="598"/>
      <c r="BH199" s="743"/>
      <c r="BI199" s="743"/>
      <c r="BJ199" s="743"/>
      <c r="BK199" s="743"/>
      <c r="BL199" s="849"/>
      <c r="BM199" s="743"/>
      <c r="BN199" s="743"/>
      <c r="BO199" s="743"/>
      <c r="BP199" s="743"/>
      <c r="BQ199" s="849"/>
      <c r="BR199" s="743"/>
      <c r="BS199" s="743"/>
      <c r="BT199" s="743"/>
      <c r="BU199" s="743"/>
      <c r="BV199" s="865"/>
      <c r="BW199" s="743"/>
      <c r="BX199" s="743"/>
      <c r="BY199" s="743"/>
      <c r="BZ199" s="743"/>
      <c r="CA199" s="849"/>
      <c r="CB199" s="743"/>
      <c r="CC199" s="743"/>
      <c r="CD199" s="743"/>
      <c r="CE199" s="743"/>
      <c r="CF199" s="849"/>
      <c r="CG199" s="820"/>
      <c r="CH199" s="820"/>
      <c r="CI199" s="820"/>
      <c r="CJ199" s="820"/>
      <c r="CK199" s="849"/>
      <c r="CL199" s="820"/>
      <c r="CM199" s="820"/>
      <c r="CN199" s="820"/>
      <c r="CO199" s="1711"/>
      <c r="CP199" s="849"/>
      <c r="CQ199" s="1711"/>
      <c r="CR199" s="1711"/>
      <c r="CS199" s="1711"/>
      <c r="CT199" s="1711"/>
      <c r="CU199" s="849"/>
      <c r="CV199" s="820"/>
      <c r="CW199" s="820"/>
      <c r="CX199" s="820"/>
      <c r="CY199" s="820"/>
      <c r="CZ199" s="849"/>
      <c r="DA199" s="820"/>
      <c r="DB199" s="820"/>
      <c r="DC199" s="820"/>
      <c r="DD199" s="820"/>
      <c r="DE199" s="849"/>
      <c r="DF199" s="820"/>
      <c r="DG199" s="820"/>
      <c r="DH199" s="820"/>
      <c r="DI199" s="2815"/>
      <c r="DJ199" s="849"/>
      <c r="DK199" s="820"/>
      <c r="DL199" s="820"/>
      <c r="DM199" s="820"/>
      <c r="DN199" s="820"/>
      <c r="DO199" s="849"/>
      <c r="DP199" s="820"/>
      <c r="DQ199" s="820"/>
      <c r="DR199" s="820"/>
      <c r="DS199" s="820"/>
      <c r="DT199" s="849"/>
      <c r="DU199" s="820"/>
      <c r="DV199" s="820"/>
      <c r="DW199" s="820"/>
      <c r="DX199" s="820"/>
      <c r="DY199" s="849"/>
    </row>
    <row r="200" spans="1:129" x14ac:dyDescent="0.2">
      <c r="A200" s="526"/>
      <c r="B200" s="742" t="s">
        <v>789</v>
      </c>
      <c r="C200" s="597"/>
      <c r="D200" s="597"/>
      <c r="E200" s="597"/>
      <c r="F200" s="597"/>
      <c r="G200" s="597"/>
      <c r="H200" s="597"/>
      <c r="I200" s="598"/>
      <c r="J200" s="597"/>
      <c r="K200" s="597"/>
      <c r="L200" s="597"/>
      <c r="M200" s="597"/>
      <c r="N200" s="598"/>
      <c r="O200" s="743"/>
      <c r="P200" s="743"/>
      <c r="Q200" s="743"/>
      <c r="R200" s="743"/>
      <c r="S200" s="598"/>
      <c r="T200" s="743"/>
      <c r="U200" s="743"/>
      <c r="V200" s="743"/>
      <c r="W200" s="743"/>
      <c r="X200" s="598"/>
      <c r="Y200" s="743"/>
      <c r="Z200" s="743"/>
      <c r="AA200" s="743"/>
      <c r="AB200" s="743"/>
      <c r="AC200" s="598"/>
      <c r="AD200" s="743"/>
      <c r="AE200" s="743"/>
      <c r="AF200" s="743"/>
      <c r="AG200" s="743"/>
      <c r="AH200" s="598"/>
      <c r="AI200" s="743"/>
      <c r="AJ200" s="743"/>
      <c r="AK200" s="743"/>
      <c r="AL200" s="743"/>
      <c r="AM200" s="598"/>
      <c r="AN200" s="743"/>
      <c r="AO200" s="743"/>
      <c r="AP200" s="743"/>
      <c r="AQ200" s="743"/>
      <c r="AR200" s="598"/>
      <c r="AS200" s="743"/>
      <c r="AT200" s="743"/>
      <c r="AU200" s="743"/>
      <c r="AV200" s="743"/>
      <c r="AW200" s="598"/>
      <c r="AX200" s="743"/>
      <c r="AY200" s="743"/>
      <c r="AZ200" s="743"/>
      <c r="BA200" s="743"/>
      <c r="BB200" s="598"/>
      <c r="BC200" s="743"/>
      <c r="BD200" s="743"/>
      <c r="BE200" s="743"/>
      <c r="BF200" s="743"/>
      <c r="BG200" s="598"/>
      <c r="BH200" s="623">
        <v>0.75</v>
      </c>
      <c r="BI200" s="623">
        <v>0.75</v>
      </c>
      <c r="BJ200" s="623">
        <v>0.75</v>
      </c>
      <c r="BK200" s="623">
        <v>0.75</v>
      </c>
      <c r="BL200" s="849"/>
      <c r="BM200" s="623">
        <v>0.75</v>
      </c>
      <c r="BN200" s="623">
        <v>0.75</v>
      </c>
      <c r="BO200" s="623">
        <v>0.75</v>
      </c>
      <c r="BP200" s="623">
        <v>0.75</v>
      </c>
      <c r="BQ200" s="870">
        <f>BQ216/BQ179</f>
        <v>0.75</v>
      </c>
      <c r="BR200" s="623">
        <v>0.75</v>
      </c>
      <c r="BS200" s="623">
        <v>0.75</v>
      </c>
      <c r="BT200" s="623">
        <v>0.75</v>
      </c>
      <c r="BU200" s="623">
        <v>0.75</v>
      </c>
      <c r="BV200" s="871">
        <f>BV216/BV179</f>
        <v>0.75</v>
      </c>
      <c r="BW200" s="623">
        <v>0.75</v>
      </c>
      <c r="BX200" s="623">
        <v>0.75</v>
      </c>
      <c r="BY200" s="623">
        <v>0.75</v>
      </c>
      <c r="BZ200" s="623">
        <v>0.75</v>
      </c>
      <c r="CA200" s="870">
        <f>CA216/CA179</f>
        <v>0.75</v>
      </c>
      <c r="CB200" s="623">
        <v>0.75</v>
      </c>
      <c r="CC200" s="623">
        <v>0.75</v>
      </c>
      <c r="CD200" s="623">
        <v>0.75</v>
      </c>
      <c r="CE200" s="623">
        <v>0.75</v>
      </c>
      <c r="CF200" s="849">
        <f>CF216/CF179</f>
        <v>0.75</v>
      </c>
      <c r="CG200" s="623">
        <v>0.75</v>
      </c>
      <c r="CH200" s="623">
        <v>0.75</v>
      </c>
      <c r="CI200" s="623">
        <v>0.75</v>
      </c>
      <c r="CJ200" s="623">
        <v>0.75</v>
      </c>
      <c r="CK200" s="849">
        <f>CK216/CK179</f>
        <v>0.75</v>
      </c>
      <c r="CL200" s="623">
        <v>0.75</v>
      </c>
      <c r="CM200" s="623">
        <v>0.75</v>
      </c>
      <c r="CN200" s="623">
        <v>0.75</v>
      </c>
      <c r="CO200" s="1712">
        <v>0.75</v>
      </c>
      <c r="CP200" s="849">
        <f>CP216/CP179</f>
        <v>0.75</v>
      </c>
      <c r="CQ200" s="1712">
        <v>0.75</v>
      </c>
      <c r="CR200" s="1712">
        <v>0.75</v>
      </c>
      <c r="CS200" s="1712">
        <v>0.75</v>
      </c>
      <c r="CT200" s="1712">
        <v>0.75</v>
      </c>
      <c r="CU200" s="849">
        <f ca="1">CU216/CU179</f>
        <v>0.75000000000000011</v>
      </c>
      <c r="CV200" s="623">
        <v>0.75</v>
      </c>
      <c r="CW200" s="623">
        <v>0.75</v>
      </c>
      <c r="CX200" s="623">
        <v>0.75</v>
      </c>
      <c r="CY200" s="623">
        <v>0.75</v>
      </c>
      <c r="CZ200" s="849">
        <f>CZ216/CZ179</f>
        <v>0.75</v>
      </c>
      <c r="DA200" s="623">
        <v>0.75</v>
      </c>
      <c r="DB200" s="623">
        <v>0.75</v>
      </c>
      <c r="DC200" s="623">
        <v>0.75</v>
      </c>
      <c r="DD200" s="623">
        <v>0.75</v>
      </c>
      <c r="DE200" s="849">
        <f>DE216/DE179</f>
        <v>0.75</v>
      </c>
      <c r="DF200" s="623">
        <v>0.75</v>
      </c>
      <c r="DG200" s="623">
        <v>0.75</v>
      </c>
      <c r="DH200" s="623">
        <v>0.75</v>
      </c>
      <c r="DI200" s="2823">
        <v>0.75</v>
      </c>
      <c r="DJ200" s="849">
        <f>DJ216/DJ179</f>
        <v>0.75000000000000022</v>
      </c>
      <c r="DK200" s="623">
        <v>0.75</v>
      </c>
      <c r="DL200" s="623">
        <v>0.75</v>
      </c>
      <c r="DM200" s="623">
        <v>0.75</v>
      </c>
      <c r="DN200" s="623">
        <v>0.75</v>
      </c>
      <c r="DO200" s="849">
        <f>DO216/DO179</f>
        <v>0.75000000000000022</v>
      </c>
      <c r="DP200" s="623">
        <v>0.75</v>
      </c>
      <c r="DQ200" s="623">
        <v>0.75</v>
      </c>
      <c r="DR200" s="623">
        <v>0.75</v>
      </c>
      <c r="DS200" s="623">
        <v>0.75</v>
      </c>
      <c r="DT200" s="849">
        <f>DT216/DT179</f>
        <v>0.75</v>
      </c>
      <c r="DU200" s="623">
        <v>0.75</v>
      </c>
      <c r="DV200" s="623">
        <v>0.75</v>
      </c>
      <c r="DW200" s="623">
        <v>0.75</v>
      </c>
      <c r="DX200" s="623">
        <v>0.75</v>
      </c>
      <c r="DY200" s="849">
        <f>DY216/DY179</f>
        <v>0.75000000000000011</v>
      </c>
    </row>
    <row r="201" spans="1:129" x14ac:dyDescent="0.2">
      <c r="A201" s="526"/>
      <c r="B201" s="756"/>
      <c r="C201" s="597"/>
      <c r="D201" s="597"/>
      <c r="E201" s="597"/>
      <c r="F201" s="597"/>
      <c r="G201" s="597"/>
      <c r="H201" s="597"/>
      <c r="I201" s="598"/>
      <c r="J201" s="597"/>
      <c r="K201" s="597"/>
      <c r="L201" s="597"/>
      <c r="M201" s="597"/>
      <c r="N201" s="598"/>
      <c r="O201" s="743"/>
      <c r="P201" s="743"/>
      <c r="Q201" s="743"/>
      <c r="R201" s="743"/>
      <c r="S201" s="598"/>
      <c r="T201" s="743"/>
      <c r="U201" s="743"/>
      <c r="V201" s="743"/>
      <c r="W201" s="743"/>
      <c r="X201" s="598"/>
      <c r="Y201" s="743"/>
      <c r="Z201" s="743"/>
      <c r="AA201" s="743"/>
      <c r="AB201" s="743"/>
      <c r="AC201" s="598"/>
      <c r="AD201" s="743"/>
      <c r="AE201" s="743"/>
      <c r="AF201" s="743"/>
      <c r="AG201" s="743"/>
      <c r="AH201" s="598"/>
      <c r="AI201" s="743"/>
      <c r="AJ201" s="743"/>
      <c r="AK201" s="743"/>
      <c r="AL201" s="743"/>
      <c r="AM201" s="598"/>
      <c r="AN201" s="743"/>
      <c r="AO201" s="743"/>
      <c r="AP201" s="743"/>
      <c r="AQ201" s="743"/>
      <c r="AR201" s="598"/>
      <c r="AS201" s="743"/>
      <c r="AT201" s="743"/>
      <c r="AU201" s="743"/>
      <c r="AV201" s="743"/>
      <c r="AW201" s="598"/>
      <c r="AX201" s="743"/>
      <c r="AY201" s="743"/>
      <c r="AZ201" s="743"/>
      <c r="BA201" s="743"/>
      <c r="BB201" s="598"/>
      <c r="BC201" s="743"/>
      <c r="BD201" s="743"/>
      <c r="BE201" s="743"/>
      <c r="BF201" s="743"/>
      <c r="BG201" s="598"/>
      <c r="BH201" s="743"/>
      <c r="BI201" s="743"/>
      <c r="BJ201" s="743"/>
      <c r="BK201" s="743"/>
      <c r="BL201" s="849"/>
      <c r="BM201" s="743"/>
      <c r="BN201" s="743"/>
      <c r="BO201" s="743"/>
      <c r="BP201" s="743"/>
      <c r="BQ201" s="849"/>
      <c r="BR201" s="743"/>
      <c r="BS201" s="743"/>
      <c r="BT201" s="743"/>
      <c r="BU201" s="743"/>
      <c r="BV201" s="865"/>
      <c r="BW201" s="743"/>
      <c r="BX201" s="743"/>
      <c r="BY201" s="743"/>
      <c r="BZ201" s="743"/>
      <c r="CA201" s="849"/>
      <c r="CB201" s="743"/>
      <c r="CC201" s="743"/>
      <c r="CD201" s="743"/>
      <c r="CE201" s="743"/>
      <c r="CF201" s="849"/>
      <c r="CG201" s="820"/>
      <c r="CH201" s="820"/>
      <c r="CI201" s="820"/>
      <c r="CJ201" s="820"/>
      <c r="CK201" s="849"/>
      <c r="CL201" s="820"/>
      <c r="CM201" s="820"/>
      <c r="CN201" s="820"/>
      <c r="CO201" s="1711"/>
      <c r="CP201" s="849"/>
      <c r="CQ201" s="820"/>
      <c r="CR201" s="820"/>
      <c r="CS201" s="820"/>
      <c r="CT201" s="820"/>
      <c r="CU201" s="849"/>
      <c r="CV201" s="820"/>
      <c r="CW201" s="820"/>
      <c r="CX201" s="820"/>
      <c r="CY201" s="820"/>
      <c r="CZ201" s="849"/>
      <c r="DA201" s="820"/>
      <c r="DB201" s="820"/>
      <c r="DC201" s="820"/>
      <c r="DD201" s="820"/>
      <c r="DE201" s="849"/>
      <c r="DF201" s="820"/>
      <c r="DG201" s="820"/>
      <c r="DH201" s="820"/>
      <c r="DI201" s="2815"/>
      <c r="DJ201" s="849"/>
      <c r="DK201" s="820"/>
      <c r="DL201" s="820"/>
      <c r="DM201" s="820"/>
      <c r="DN201" s="820"/>
      <c r="DO201" s="849"/>
      <c r="DP201" s="820"/>
      <c r="DQ201" s="820"/>
      <c r="DR201" s="820"/>
      <c r="DS201" s="820"/>
      <c r="DT201" s="849"/>
      <c r="DU201" s="820"/>
      <c r="DV201" s="820"/>
      <c r="DW201" s="820"/>
      <c r="DX201" s="820"/>
      <c r="DY201" s="849"/>
    </row>
    <row r="202" spans="1:129" x14ac:dyDescent="0.2">
      <c r="A202" s="526"/>
      <c r="B202" s="832" t="s">
        <v>790</v>
      </c>
      <c r="C202" s="597"/>
      <c r="D202" s="597"/>
      <c r="E202" s="597"/>
      <c r="F202" s="597"/>
      <c r="G202" s="597"/>
      <c r="H202" s="597"/>
      <c r="I202" s="598"/>
      <c r="J202" s="597"/>
      <c r="K202" s="597"/>
      <c r="L202" s="597"/>
      <c r="M202" s="597"/>
      <c r="N202" s="598"/>
      <c r="O202" s="743"/>
      <c r="P202" s="743"/>
      <c r="Q202" s="743"/>
      <c r="R202" s="743"/>
      <c r="S202" s="598"/>
      <c r="T202" s="743"/>
      <c r="U202" s="743"/>
      <c r="V202" s="743"/>
      <c r="W202" s="743"/>
      <c r="X202" s="598"/>
      <c r="Y202" s="743"/>
      <c r="Z202" s="743"/>
      <c r="AA202" s="743"/>
      <c r="AB202" s="743"/>
      <c r="AC202" s="598"/>
      <c r="AD202" s="743"/>
      <c r="AE202" s="743"/>
      <c r="AF202" s="743"/>
      <c r="AG202" s="743"/>
      <c r="AH202" s="598"/>
      <c r="AI202" s="743"/>
      <c r="AJ202" s="743"/>
      <c r="AK202" s="743"/>
      <c r="AL202" s="743"/>
      <c r="AM202" s="598"/>
      <c r="AN202" s="743"/>
      <c r="AO202" s="743"/>
      <c r="AP202" s="743"/>
      <c r="AQ202" s="743"/>
      <c r="AR202" s="598"/>
      <c r="AS202" s="743"/>
      <c r="AT202" s="743"/>
      <c r="AU202" s="743"/>
      <c r="AV202" s="743"/>
      <c r="AW202" s="598"/>
      <c r="AX202" s="743"/>
      <c r="AY202" s="743"/>
      <c r="AZ202" s="743"/>
      <c r="BA202" s="743"/>
      <c r="BB202" s="598"/>
      <c r="BC202" s="743"/>
      <c r="BD202" s="743"/>
      <c r="BE202" s="743"/>
      <c r="BF202" s="743"/>
      <c r="BG202" s="598"/>
      <c r="BH202" s="743"/>
      <c r="BI202" s="743"/>
      <c r="BJ202" s="743"/>
      <c r="BK202" s="743"/>
      <c r="BL202" s="849"/>
      <c r="BM202" s="743"/>
      <c r="BN202" s="743"/>
      <c r="BO202" s="743"/>
      <c r="BP202" s="743"/>
      <c r="BQ202" s="849"/>
      <c r="BR202" s="743"/>
      <c r="BS202" s="743"/>
      <c r="BT202" s="743"/>
      <c r="BU202" s="743"/>
      <c r="BV202" s="865"/>
      <c r="BW202" s="743"/>
      <c r="BX202" s="743"/>
      <c r="BY202" s="743"/>
      <c r="BZ202" s="743"/>
      <c r="CA202" s="849"/>
      <c r="CB202" s="743"/>
      <c r="CC202" s="743"/>
      <c r="CD202" s="743"/>
      <c r="CE202" s="743"/>
      <c r="CF202" s="849"/>
      <c r="CG202" s="820"/>
      <c r="CH202" s="820"/>
      <c r="CI202" s="820"/>
      <c r="CJ202" s="820"/>
      <c r="CK202" s="849"/>
      <c r="CL202" s="820"/>
      <c r="CM202" s="820"/>
      <c r="CN202" s="820"/>
      <c r="CO202" s="1711"/>
      <c r="CP202" s="849"/>
      <c r="CQ202" s="820"/>
      <c r="CR202" s="820"/>
      <c r="CS202" s="1753"/>
      <c r="CT202" s="820"/>
      <c r="CU202" s="849"/>
      <c r="CV202" s="820"/>
      <c r="CW202" s="820"/>
      <c r="CX202" s="820"/>
      <c r="CY202" s="820"/>
      <c r="CZ202" s="849"/>
      <c r="DA202" s="820"/>
      <c r="DB202" s="820"/>
      <c r="DC202" s="820"/>
      <c r="DD202" s="820"/>
      <c r="DE202" s="849"/>
      <c r="DF202" s="820"/>
      <c r="DG202" s="820"/>
      <c r="DH202" s="820"/>
      <c r="DI202" s="2815"/>
      <c r="DJ202" s="849"/>
      <c r="DK202" s="820"/>
      <c r="DL202" s="820"/>
      <c r="DM202" s="820"/>
      <c r="DN202" s="820"/>
      <c r="DO202" s="849"/>
      <c r="DP202" s="820"/>
      <c r="DQ202" s="820"/>
      <c r="DR202" s="820"/>
      <c r="DS202" s="820"/>
      <c r="DT202" s="849"/>
      <c r="DU202" s="820"/>
      <c r="DV202" s="820"/>
      <c r="DW202" s="820"/>
      <c r="DX202" s="820"/>
      <c r="DY202" s="849"/>
    </row>
    <row r="203" spans="1:129" x14ac:dyDescent="0.2">
      <c r="A203" s="526"/>
      <c r="B203" s="690"/>
      <c r="C203" s="597"/>
      <c r="D203" s="597"/>
      <c r="E203" s="597"/>
      <c r="F203" s="597"/>
      <c r="G203" s="597"/>
      <c r="H203" s="597"/>
      <c r="I203" s="598"/>
      <c r="J203" s="597"/>
      <c r="K203" s="597"/>
      <c r="L203" s="597"/>
      <c r="M203" s="597"/>
      <c r="N203" s="598"/>
      <c r="O203" s="743"/>
      <c r="P203" s="743"/>
      <c r="Q203" s="743"/>
      <c r="R203" s="743"/>
      <c r="S203" s="598"/>
      <c r="T203" s="743"/>
      <c r="U203" s="743"/>
      <c r="V203" s="743"/>
      <c r="W203" s="743"/>
      <c r="X203" s="598"/>
      <c r="Y203" s="743"/>
      <c r="Z203" s="743"/>
      <c r="AA203" s="743"/>
      <c r="AB203" s="743"/>
      <c r="AC203" s="598"/>
      <c r="AD203" s="743"/>
      <c r="AE203" s="743"/>
      <c r="AF203" s="743"/>
      <c r="AG203" s="743"/>
      <c r="AH203" s="598"/>
      <c r="AI203" s="743"/>
      <c r="AJ203" s="743"/>
      <c r="AK203" s="743"/>
      <c r="AL203" s="743"/>
      <c r="AM203" s="598"/>
      <c r="AN203" s="743"/>
      <c r="AO203" s="743"/>
      <c r="AP203" s="743"/>
      <c r="AQ203" s="743"/>
      <c r="AR203" s="598"/>
      <c r="AS203" s="743"/>
      <c r="AT203" s="743"/>
      <c r="AU203" s="743"/>
      <c r="AV203" s="743"/>
      <c r="AW203" s="598"/>
      <c r="AX203" s="743"/>
      <c r="AY203" s="743"/>
      <c r="AZ203" s="743"/>
      <c r="BA203" s="743"/>
      <c r="BB203" s="598"/>
      <c r="BC203" s="743"/>
      <c r="BD203" s="743"/>
      <c r="BE203" s="743"/>
      <c r="BF203" s="743"/>
      <c r="BG203" s="598"/>
      <c r="BH203" s="743"/>
      <c r="BI203" s="743"/>
      <c r="BJ203" s="743"/>
      <c r="BK203" s="743"/>
      <c r="BL203" s="849"/>
      <c r="BM203" s="743"/>
      <c r="BN203" s="743"/>
      <c r="BO203" s="743"/>
      <c r="BP203" s="743"/>
      <c r="BQ203" s="849"/>
      <c r="BR203" s="743"/>
      <c r="BS203" s="743"/>
      <c r="BT203" s="743"/>
      <c r="BU203" s="743"/>
      <c r="BV203" s="865"/>
      <c r="BW203" s="803"/>
      <c r="BX203" s="743"/>
      <c r="BY203" s="743"/>
      <c r="BZ203" s="743"/>
      <c r="CA203" s="849"/>
      <c r="CB203" s="743"/>
      <c r="CC203" s="743"/>
      <c r="CD203" s="743"/>
      <c r="CE203" s="743"/>
      <c r="CF203" s="849"/>
      <c r="CG203" s="820"/>
      <c r="CH203" s="820"/>
      <c r="CI203" s="820"/>
      <c r="CJ203" s="820"/>
      <c r="CK203" s="849"/>
      <c r="CL203" s="820"/>
      <c r="CM203" s="820"/>
      <c r="CN203" s="820"/>
      <c r="CO203" s="1711"/>
      <c r="CP203" s="849"/>
      <c r="CQ203" s="820"/>
      <c r="CR203" s="820"/>
      <c r="CS203" s="820"/>
      <c r="CT203" s="820"/>
      <c r="CU203" s="849"/>
      <c r="CV203" s="820"/>
      <c r="CW203" s="820"/>
      <c r="CX203" s="820"/>
      <c r="CY203" s="820"/>
      <c r="CZ203" s="849"/>
      <c r="DA203" s="820"/>
      <c r="DB203" s="820"/>
      <c r="DC203" s="820"/>
      <c r="DD203" s="820"/>
      <c r="DE203" s="849"/>
      <c r="DF203" s="820"/>
      <c r="DG203" s="820"/>
      <c r="DH203" s="820"/>
      <c r="DI203" s="2815"/>
      <c r="DJ203" s="2641"/>
      <c r="DK203" s="820"/>
      <c r="DL203" s="820"/>
      <c r="DM203" s="820"/>
      <c r="DN203" s="820"/>
      <c r="DO203" s="849"/>
      <c r="DP203" s="820"/>
      <c r="DQ203" s="820"/>
      <c r="DR203" s="820"/>
      <c r="DS203" s="820"/>
      <c r="DT203" s="849"/>
      <c r="DU203" s="820"/>
      <c r="DV203" s="820"/>
      <c r="DW203" s="820"/>
      <c r="DX203" s="820"/>
      <c r="DY203" s="849"/>
    </row>
    <row r="204" spans="1:129" x14ac:dyDescent="0.2">
      <c r="A204" s="526"/>
      <c r="B204" s="690" t="s">
        <v>759</v>
      </c>
      <c r="C204" s="597"/>
      <c r="D204" s="597"/>
      <c r="E204" s="597"/>
      <c r="F204" s="597"/>
      <c r="G204" s="597"/>
      <c r="H204" s="597"/>
      <c r="I204" s="598"/>
      <c r="J204" s="597"/>
      <c r="K204" s="597"/>
      <c r="L204" s="597"/>
      <c r="M204" s="597"/>
      <c r="N204" s="598"/>
      <c r="O204" s="743"/>
      <c r="P204" s="743"/>
      <c r="Q204" s="743"/>
      <c r="R204" s="743"/>
      <c r="S204" s="598"/>
      <c r="T204" s="743"/>
      <c r="U204" s="743"/>
      <c r="V204" s="743"/>
      <c r="W204" s="743"/>
      <c r="X204" s="598"/>
      <c r="Y204" s="743"/>
      <c r="Z204" s="743"/>
      <c r="AA204" s="743"/>
      <c r="AB204" s="743"/>
      <c r="AC204" s="598"/>
      <c r="AD204" s="743"/>
      <c r="AE204" s="743"/>
      <c r="AF204" s="743"/>
      <c r="AG204" s="743"/>
      <c r="AH204" s="598"/>
      <c r="AI204" s="743"/>
      <c r="AJ204" s="743"/>
      <c r="AK204" s="743"/>
      <c r="AL204" s="743"/>
      <c r="AM204" s="598"/>
      <c r="AN204" s="743"/>
      <c r="AO204" s="743"/>
      <c r="AP204" s="743"/>
      <c r="AQ204" s="743"/>
      <c r="AR204" s="598"/>
      <c r="AS204" s="743"/>
      <c r="AT204" s="743"/>
      <c r="AU204" s="743"/>
      <c r="AV204" s="743"/>
      <c r="AW204" s="598"/>
      <c r="AX204" s="743"/>
      <c r="AY204" s="743"/>
      <c r="AZ204" s="743"/>
      <c r="BA204" s="743"/>
      <c r="BB204" s="598"/>
      <c r="BC204" s="743"/>
      <c r="BD204" s="743"/>
      <c r="BE204" s="743"/>
      <c r="BF204" s="743"/>
      <c r="BG204" s="598"/>
      <c r="BH204" s="743"/>
      <c r="BI204" s="743"/>
      <c r="BJ204" s="743"/>
      <c r="BK204" s="743"/>
      <c r="BL204" s="849"/>
      <c r="BM204" s="743"/>
      <c r="BN204" s="743"/>
      <c r="BO204" s="743"/>
      <c r="BP204" s="743"/>
      <c r="BQ204" s="849"/>
      <c r="BR204" s="743"/>
      <c r="BS204" s="743"/>
      <c r="BT204" s="743"/>
      <c r="BU204" s="743"/>
      <c r="BV204" s="865"/>
      <c r="BW204" s="801"/>
      <c r="BX204" s="743"/>
      <c r="BY204" s="743"/>
      <c r="BZ204" s="743"/>
      <c r="CA204" s="849"/>
      <c r="CB204" s="743"/>
      <c r="CC204" s="743"/>
      <c r="CD204" s="743"/>
      <c r="CE204" s="743"/>
      <c r="CF204" s="849"/>
      <c r="CG204" s="820"/>
      <c r="CH204" s="820"/>
      <c r="CI204" s="820"/>
      <c r="CJ204" s="820"/>
      <c r="CK204" s="849"/>
      <c r="CL204" s="820"/>
      <c r="CM204" s="820"/>
      <c r="CN204" s="820"/>
      <c r="CO204" s="1711"/>
      <c r="CP204" s="849"/>
      <c r="CQ204" s="820"/>
      <c r="CR204" s="820"/>
      <c r="CS204" s="820"/>
      <c r="CT204" s="820"/>
      <c r="CU204" s="849"/>
      <c r="CV204" s="820"/>
      <c r="CW204" s="820"/>
      <c r="CX204" s="820"/>
      <c r="CY204" s="820"/>
      <c r="CZ204" s="849"/>
      <c r="DA204" s="820"/>
      <c r="DB204" s="820"/>
      <c r="DC204" s="820"/>
      <c r="DD204" s="820"/>
      <c r="DE204" s="849"/>
      <c r="DF204" s="820"/>
      <c r="DG204" s="820"/>
      <c r="DH204" s="820"/>
      <c r="DI204" s="2815"/>
      <c r="DJ204" s="849"/>
      <c r="DK204" s="820"/>
      <c r="DL204" s="820"/>
      <c r="DM204" s="820"/>
      <c r="DN204" s="820"/>
      <c r="DO204" s="849"/>
      <c r="DP204" s="820"/>
      <c r="DQ204" s="820"/>
      <c r="DR204" s="820"/>
      <c r="DS204" s="820"/>
      <c r="DT204" s="849"/>
      <c r="DU204" s="820"/>
      <c r="DV204" s="820"/>
      <c r="DW204" s="820"/>
      <c r="DX204" s="820"/>
      <c r="DY204" s="849"/>
    </row>
    <row r="205" spans="1:129" ht="4.5" customHeight="1" x14ac:dyDescent="0.2">
      <c r="A205" s="526"/>
      <c r="B205" s="690"/>
      <c r="C205" s="597"/>
      <c r="D205" s="597"/>
      <c r="E205" s="597"/>
      <c r="F205" s="597"/>
      <c r="G205" s="597"/>
      <c r="H205" s="597"/>
      <c r="I205" s="598"/>
      <c r="J205" s="597"/>
      <c r="K205" s="597"/>
      <c r="L205" s="597"/>
      <c r="M205" s="597"/>
      <c r="N205" s="598"/>
      <c r="O205" s="743"/>
      <c r="P205" s="743"/>
      <c r="Q205" s="743"/>
      <c r="R205" s="743"/>
      <c r="S205" s="598"/>
      <c r="T205" s="743"/>
      <c r="U205" s="743"/>
      <c r="V205" s="743"/>
      <c r="W205" s="743"/>
      <c r="X205" s="598"/>
      <c r="Y205" s="743"/>
      <c r="Z205" s="743"/>
      <c r="AA205" s="743"/>
      <c r="AB205" s="743"/>
      <c r="AC205" s="598"/>
      <c r="AD205" s="743"/>
      <c r="AE205" s="743"/>
      <c r="AF205" s="743"/>
      <c r="AG205" s="743"/>
      <c r="AH205" s="598"/>
      <c r="AI205" s="743"/>
      <c r="AJ205" s="743"/>
      <c r="AK205" s="743"/>
      <c r="AL205" s="743"/>
      <c r="AM205" s="598"/>
      <c r="AN205" s="743"/>
      <c r="AO205" s="743"/>
      <c r="AP205" s="743"/>
      <c r="AQ205" s="743"/>
      <c r="AR205" s="598"/>
      <c r="AS205" s="743"/>
      <c r="AT205" s="743"/>
      <c r="AU205" s="743"/>
      <c r="AV205" s="743"/>
      <c r="AW205" s="598"/>
      <c r="AX205" s="743"/>
      <c r="AY205" s="743"/>
      <c r="AZ205" s="743"/>
      <c r="BA205" s="743"/>
      <c r="BB205" s="598"/>
      <c r="BC205" s="743"/>
      <c r="BD205" s="743"/>
      <c r="BE205" s="743"/>
      <c r="BF205" s="743"/>
      <c r="BG205" s="598"/>
      <c r="BH205" s="743"/>
      <c r="BI205" s="743"/>
      <c r="BJ205" s="743"/>
      <c r="BK205" s="743"/>
      <c r="BL205" s="849"/>
      <c r="BM205" s="743"/>
      <c r="BN205" s="743"/>
      <c r="BO205" s="743"/>
      <c r="BP205" s="743"/>
      <c r="BQ205" s="849"/>
      <c r="BR205" s="743"/>
      <c r="BS205" s="743"/>
      <c r="BT205" s="743"/>
      <c r="BU205" s="743"/>
      <c r="BV205" s="865"/>
      <c r="BW205" s="743"/>
      <c r="BX205" s="743"/>
      <c r="BY205" s="743"/>
      <c r="BZ205" s="743"/>
      <c r="CA205" s="849"/>
      <c r="CB205" s="743"/>
      <c r="CC205" s="743"/>
      <c r="CD205" s="743"/>
      <c r="CE205" s="743"/>
      <c r="CF205" s="849"/>
      <c r="CG205" s="820"/>
      <c r="CH205" s="820"/>
      <c r="CI205" s="820"/>
      <c r="CJ205" s="820"/>
      <c r="CK205" s="849"/>
      <c r="CL205" s="820"/>
      <c r="CM205" s="820"/>
      <c r="CN205" s="820"/>
      <c r="CO205" s="820"/>
      <c r="CP205" s="849"/>
      <c r="CQ205" s="820"/>
      <c r="CR205" s="820"/>
      <c r="CS205" s="820"/>
      <c r="CT205" s="820"/>
      <c r="CU205" s="849"/>
      <c r="CV205" s="820"/>
      <c r="CW205" s="820"/>
      <c r="CX205" s="820"/>
      <c r="CY205" s="820"/>
      <c r="CZ205" s="849"/>
      <c r="DA205" s="820"/>
      <c r="DB205" s="820"/>
      <c r="DC205" s="820"/>
      <c r="DD205" s="820"/>
      <c r="DE205" s="849"/>
      <c r="DF205" s="820"/>
      <c r="DG205" s="820"/>
      <c r="DH205" s="820"/>
      <c r="DI205" s="2815"/>
      <c r="DJ205" s="849"/>
      <c r="DK205" s="820"/>
      <c r="DL205" s="820"/>
      <c r="DM205" s="820"/>
      <c r="DN205" s="820"/>
      <c r="DO205" s="849"/>
      <c r="DP205" s="820"/>
      <c r="DQ205" s="820"/>
      <c r="DR205" s="820"/>
      <c r="DS205" s="820"/>
      <c r="DT205" s="849"/>
      <c r="DU205" s="820"/>
      <c r="DV205" s="820"/>
      <c r="DW205" s="820"/>
      <c r="DX205" s="820"/>
      <c r="DY205" s="849"/>
    </row>
    <row r="206" spans="1:129" x14ac:dyDescent="0.2">
      <c r="A206" s="471"/>
      <c r="B206" s="693" t="s">
        <v>786</v>
      </c>
      <c r="C206" s="550"/>
      <c r="D206" s="550"/>
      <c r="E206" s="550"/>
      <c r="F206" s="550"/>
      <c r="G206" s="550"/>
      <c r="H206" s="550"/>
      <c r="I206" s="551"/>
      <c r="J206" s="550"/>
      <c r="K206" s="550"/>
      <c r="L206" s="550"/>
      <c r="M206" s="550"/>
      <c r="N206" s="551"/>
      <c r="O206" s="550"/>
      <c r="P206" s="550"/>
      <c r="Q206" s="550"/>
      <c r="R206" s="550"/>
      <c r="S206" s="551"/>
      <c r="T206" s="550"/>
      <c r="U206" s="550"/>
      <c r="V206" s="550"/>
      <c r="W206" s="550"/>
      <c r="X206" s="551"/>
      <c r="Y206" s="550"/>
      <c r="Z206" s="550"/>
      <c r="AA206" s="550"/>
      <c r="AB206" s="550"/>
      <c r="AC206" s="551"/>
      <c r="AD206" s="550"/>
      <c r="AE206" s="550"/>
      <c r="AF206" s="550"/>
      <c r="AG206" s="550"/>
      <c r="AH206" s="551"/>
      <c r="AI206" s="550"/>
      <c r="AJ206" s="550"/>
      <c r="AK206" s="550"/>
      <c r="AL206" s="550"/>
      <c r="AM206" s="551"/>
      <c r="AN206" s="550"/>
      <c r="AO206" s="550"/>
      <c r="AP206" s="550"/>
      <c r="AQ206" s="550"/>
      <c r="AR206" s="551"/>
      <c r="AS206" s="550"/>
      <c r="AT206" s="550"/>
      <c r="AU206" s="550"/>
      <c r="AV206" s="550"/>
      <c r="AW206" s="551"/>
      <c r="AX206" s="550"/>
      <c r="AY206" s="550"/>
      <c r="AZ206" s="550"/>
      <c r="BA206" s="550"/>
      <c r="BB206" s="551"/>
      <c r="BC206" s="550"/>
      <c r="BD206" s="550"/>
      <c r="BE206" s="550"/>
      <c r="BF206" s="550"/>
      <c r="BG206" s="551"/>
      <c r="BH206" s="658">
        <f t="shared" ref="BH206:BK207" si="295">BH189*BH158</f>
        <v>4.6451146226862887</v>
      </c>
      <c r="BI206" s="658">
        <f t="shared" si="295"/>
        <v>22.244931456569187</v>
      </c>
      <c r="BJ206" s="658">
        <f t="shared" si="295"/>
        <v>33.414337507849197</v>
      </c>
      <c r="BK206" s="658">
        <f t="shared" si="295"/>
        <v>38.083374733439697</v>
      </c>
      <c r="BL206" s="553">
        <f>SUM(BH206:BK206)</f>
        <v>98.387758320544378</v>
      </c>
      <c r="BM206" s="658">
        <f t="shared" ref="BM206:BP207" si="296">BM189*BM158</f>
        <v>176.33255835175814</v>
      </c>
      <c r="BN206" s="658">
        <f t="shared" si="296"/>
        <v>176.13789194396969</v>
      </c>
      <c r="BO206" s="658">
        <f t="shared" si="296"/>
        <v>185.70584902583238</v>
      </c>
      <c r="BP206" s="658">
        <f t="shared" si="296"/>
        <v>211.20057856594022</v>
      </c>
      <c r="BQ206" s="553">
        <f>SUM(BM206:BP206)</f>
        <v>749.37687788750043</v>
      </c>
      <c r="BR206" s="658">
        <f t="shared" ref="BR206:BU207" si="297">BR189*BR158</f>
        <v>207.43020480000001</v>
      </c>
      <c r="BS206" s="658">
        <f t="shared" si="297"/>
        <v>242.43122657150406</v>
      </c>
      <c r="BT206" s="658">
        <f t="shared" si="297"/>
        <v>241.29768445433547</v>
      </c>
      <c r="BU206" s="658">
        <f t="shared" si="297"/>
        <v>250.90870789061864</v>
      </c>
      <c r="BV206" s="873">
        <f>SUM(BR206:BU206)</f>
        <v>942.06782371645818</v>
      </c>
      <c r="BW206" s="658">
        <f t="shared" ref="BW206:BZ207" si="298">BW189*BW158</f>
        <v>226.71766470316226</v>
      </c>
      <c r="BX206" s="658">
        <f t="shared" si="298"/>
        <v>232.21893512272001</v>
      </c>
      <c r="BY206" s="658">
        <f t="shared" si="298"/>
        <v>237.87487282616192</v>
      </c>
      <c r="BZ206" s="658">
        <f t="shared" si="298"/>
        <v>247.95284799999996</v>
      </c>
      <c r="CA206" s="553">
        <f>SUM(BW206:BZ206)</f>
        <v>944.76432065204403</v>
      </c>
      <c r="CB206" s="658">
        <f t="shared" ref="CB206:CE207" si="299">CB189*CB158</f>
        <v>231.23341407371814</v>
      </c>
      <c r="CC206" s="658">
        <f t="shared" si="299"/>
        <v>245.3150881368953</v>
      </c>
      <c r="CD206" s="659">
        <f t="shared" si="299"/>
        <v>318.35806228137346</v>
      </c>
      <c r="CE206" s="659">
        <f t="shared" si="299"/>
        <v>369.21771329236151</v>
      </c>
      <c r="CF206" s="551">
        <f>SUM(CB206:CE206)</f>
        <v>1164.1242777843486</v>
      </c>
      <c r="CG206" s="659">
        <f t="shared" ref="CG206:CJ207" si="300">CG189*CG158</f>
        <v>226.25290420815139</v>
      </c>
      <c r="CH206" s="659">
        <f t="shared" si="300"/>
        <v>306.81383689816465</v>
      </c>
      <c r="CI206" s="659">
        <f t="shared" si="300"/>
        <v>499.27076393553273</v>
      </c>
      <c r="CJ206" s="659">
        <f t="shared" si="300"/>
        <v>583.96022956148136</v>
      </c>
      <c r="CK206" s="551">
        <f>SUM(CG206:CJ206)</f>
        <v>1616.2977346033301</v>
      </c>
      <c r="CL206" s="659">
        <f t="shared" ref="CL206:CN207" si="301">CL189*CL158</f>
        <v>253.94209814673712</v>
      </c>
      <c r="CM206" s="659">
        <f>CM189*CM158</f>
        <v>392.09258251804334</v>
      </c>
      <c r="CN206" s="659">
        <f t="shared" si="301"/>
        <v>567.41521802937871</v>
      </c>
      <c r="CO206" s="659">
        <f>CO189*CO158</f>
        <v>478.2392566159545</v>
      </c>
      <c r="CP206" s="551">
        <f>SUM(CL206:CO206)</f>
        <v>1691.6891553101136</v>
      </c>
      <c r="CQ206" s="659">
        <f t="shared" ref="CQ206:CT207" si="302">CQ189*CQ158</f>
        <v>420.95607252020767</v>
      </c>
      <c r="CR206" s="659">
        <f t="shared" si="302"/>
        <v>589.7549163520747</v>
      </c>
      <c r="CS206" s="659">
        <f t="shared" si="302"/>
        <v>641.07584505539796</v>
      </c>
      <c r="CT206" s="659">
        <f t="shared" si="302"/>
        <v>436.35239449114721</v>
      </c>
      <c r="CU206" s="551">
        <f>SUM(CQ206:CT206)</f>
        <v>2088.1392284188273</v>
      </c>
      <c r="CV206" s="659">
        <f t="shared" ref="CV206:CX207" ca="1" si="303">CV189*CV158</f>
        <v>466.17082796825855</v>
      </c>
      <c r="CW206" s="659">
        <f t="shared" ca="1" si="303"/>
        <v>624.77922346220998</v>
      </c>
      <c r="CX206" s="659">
        <f t="shared" ca="1" si="303"/>
        <v>656.82489340406698</v>
      </c>
      <c r="CY206" s="659">
        <f ca="1">CY189*CY158</f>
        <v>704.46607319029715</v>
      </c>
      <c r="CZ206" s="551">
        <f ca="1">SUM(CV206:CY206)</f>
        <v>2452.241018024833</v>
      </c>
      <c r="DA206" s="659">
        <f t="shared" ref="DA206:DD207" ca="1" si="304">DA189*DA158</f>
        <v>399.83193098865075</v>
      </c>
      <c r="DB206" s="659">
        <f t="shared" ca="1" si="304"/>
        <v>584.86903967201511</v>
      </c>
      <c r="DC206" s="659">
        <f t="shared" ca="1" si="304"/>
        <v>612.54524898085583</v>
      </c>
      <c r="DD206" s="659">
        <f t="shared" ca="1" si="304"/>
        <v>661.32616791015187</v>
      </c>
      <c r="DE206" s="551">
        <f ca="1">SUM(DA206:DD206)</f>
        <v>2258.5723875516737</v>
      </c>
      <c r="DF206" s="659">
        <f t="shared" ref="DF206:DG207" ca="1" si="305">DF189*DF158</f>
        <v>452.42312922762233</v>
      </c>
      <c r="DG206" s="659">
        <f t="shared" ca="1" si="305"/>
        <v>628.63428290465151</v>
      </c>
      <c r="DH206" s="659">
        <f t="shared" ref="DH206:DI207" ca="1" si="306">DH189*DH158</f>
        <v>851.05107256004203</v>
      </c>
      <c r="DI206" s="659">
        <f t="shared" ca="1" si="306"/>
        <v>844.74384043574275</v>
      </c>
      <c r="DJ206" s="551">
        <f ca="1">SUM(DF206:DI206)</f>
        <v>2776.8523251280585</v>
      </c>
      <c r="DK206" s="659">
        <f t="shared" ref="DK206:DN207" ca="1" si="307">DK189*DK158</f>
        <v>444.74364438618079</v>
      </c>
      <c r="DL206" s="659">
        <f t="shared" ca="1" si="307"/>
        <v>662.72769031060409</v>
      </c>
      <c r="DM206" s="659">
        <f t="shared" ca="1" si="307"/>
        <v>886.147222040928</v>
      </c>
      <c r="DN206" s="659">
        <f t="shared" ca="1" si="307"/>
        <v>886.5588700184727</v>
      </c>
      <c r="DO206" s="551">
        <f ca="1">SUM(DK206:DN206)</f>
        <v>2880.1774267561855</v>
      </c>
      <c r="DP206" s="659">
        <f t="shared" ref="DP206:DS207" ca="1" si="308">DP189*DP158</f>
        <v>464.8527592354082</v>
      </c>
      <c r="DQ206" s="659">
        <f t="shared" ca="1" si="308"/>
        <v>697.12486272016031</v>
      </c>
      <c r="DR206" s="659">
        <f t="shared" ca="1" si="308"/>
        <v>935.11746616287587</v>
      </c>
      <c r="DS206" s="659">
        <f t="shared" ca="1" si="308"/>
        <v>934.97170416864356</v>
      </c>
      <c r="DT206" s="551">
        <f ca="1">SUM(DP206:DS206)</f>
        <v>3032.066792287088</v>
      </c>
      <c r="DU206" s="659">
        <f t="shared" ref="DU206:DX206" ca="1" si="309">DU189*DU158</f>
        <v>485.6175917881946</v>
      </c>
      <c r="DV206" s="659">
        <f t="shared" ca="1" si="309"/>
        <v>733.08912313545568</v>
      </c>
      <c r="DW206" s="659">
        <f t="shared" ca="1" si="309"/>
        <v>986.57938084417822</v>
      </c>
      <c r="DX206" s="659">
        <f t="shared" ca="1" si="309"/>
        <v>985.80158092218426</v>
      </c>
      <c r="DY206" s="551">
        <f ca="1">SUM(DU206:DX206)</f>
        <v>3191.0876766900128</v>
      </c>
    </row>
    <row r="207" spans="1:129" x14ac:dyDescent="0.2">
      <c r="A207" s="471"/>
      <c r="B207" s="693" t="s">
        <v>745</v>
      </c>
      <c r="C207" s="550"/>
      <c r="D207" s="550"/>
      <c r="E207" s="550"/>
      <c r="F207" s="550"/>
      <c r="G207" s="550"/>
      <c r="H207" s="550"/>
      <c r="I207" s="551"/>
      <c r="J207" s="550"/>
      <c r="K207" s="550"/>
      <c r="L207" s="550"/>
      <c r="M207" s="550"/>
      <c r="N207" s="551"/>
      <c r="O207" s="550"/>
      <c r="P207" s="550"/>
      <c r="Q207" s="550"/>
      <c r="R207" s="550"/>
      <c r="S207" s="551"/>
      <c r="T207" s="550"/>
      <c r="U207" s="550"/>
      <c r="V207" s="550"/>
      <c r="W207" s="550"/>
      <c r="X207" s="551"/>
      <c r="Y207" s="550"/>
      <c r="Z207" s="550"/>
      <c r="AA207" s="550"/>
      <c r="AB207" s="550"/>
      <c r="AC207" s="551"/>
      <c r="AD207" s="550"/>
      <c r="AE207" s="550"/>
      <c r="AF207" s="550"/>
      <c r="AG207" s="550"/>
      <c r="AH207" s="551"/>
      <c r="AI207" s="550"/>
      <c r="AJ207" s="550"/>
      <c r="AK207" s="550"/>
      <c r="AL207" s="550"/>
      <c r="AM207" s="551"/>
      <c r="AN207" s="550"/>
      <c r="AO207" s="550"/>
      <c r="AP207" s="550"/>
      <c r="AQ207" s="550"/>
      <c r="AR207" s="551"/>
      <c r="AS207" s="550"/>
      <c r="AT207" s="550"/>
      <c r="AU207" s="550"/>
      <c r="AV207" s="550"/>
      <c r="AW207" s="551"/>
      <c r="AX207" s="550"/>
      <c r="AY207" s="550"/>
      <c r="AZ207" s="550"/>
      <c r="BA207" s="550"/>
      <c r="BB207" s="551"/>
      <c r="BC207" s="550"/>
      <c r="BD207" s="550"/>
      <c r="BE207" s="550"/>
      <c r="BF207" s="550"/>
      <c r="BG207" s="551"/>
      <c r="BH207" s="658">
        <f t="shared" si="295"/>
        <v>27.178018448557708</v>
      </c>
      <c r="BI207" s="658">
        <f t="shared" si="295"/>
        <v>154.03214622598571</v>
      </c>
      <c r="BJ207" s="658">
        <f t="shared" si="295"/>
        <v>197.6367333193792</v>
      </c>
      <c r="BK207" s="658">
        <f t="shared" si="295"/>
        <v>221.2122226961072</v>
      </c>
      <c r="BL207" s="553">
        <f>SUM(BH207:BK207)</f>
        <v>600.05912069002989</v>
      </c>
      <c r="BM207" s="658">
        <f t="shared" si="296"/>
        <v>39.962209734248212</v>
      </c>
      <c r="BN207" s="658">
        <f t="shared" si="296"/>
        <v>39.36949817711757</v>
      </c>
      <c r="BO207" s="658">
        <f t="shared" si="296"/>
        <v>37.974501272175544</v>
      </c>
      <c r="BP207" s="658">
        <f t="shared" si="296"/>
        <v>42.321939045725458</v>
      </c>
      <c r="BQ207" s="553">
        <f>SUM(BM207:BP207)</f>
        <v>159.6281482292668</v>
      </c>
      <c r="BR207" s="658">
        <f t="shared" si="297"/>
        <v>49.533109199999991</v>
      </c>
      <c r="BS207" s="658">
        <f t="shared" si="297"/>
        <v>48.853728853016534</v>
      </c>
      <c r="BT207" s="658">
        <f t="shared" si="297"/>
        <v>48.465224678773893</v>
      </c>
      <c r="BU207" s="658">
        <f t="shared" si="297"/>
        <v>50.39562202711884</v>
      </c>
      <c r="BV207" s="873">
        <f>SUM(BR207:BU207)</f>
        <v>197.24768475890926</v>
      </c>
      <c r="BW207" s="658">
        <f t="shared" si="298"/>
        <v>41.175168410829642</v>
      </c>
      <c r="BX207" s="658">
        <f t="shared" si="298"/>
        <v>40.478442178649992</v>
      </c>
      <c r="BY207" s="658">
        <f t="shared" si="298"/>
        <v>39.958062055805634</v>
      </c>
      <c r="BZ207" s="658">
        <f t="shared" si="298"/>
        <v>40.363785</v>
      </c>
      <c r="CA207" s="553">
        <f>SUM(BW207:BZ207)</f>
        <v>161.97545764528527</v>
      </c>
      <c r="CB207" s="658">
        <f t="shared" si="299"/>
        <v>38.99243619533766</v>
      </c>
      <c r="CC207" s="658">
        <f t="shared" si="299"/>
        <v>40.100091975748064</v>
      </c>
      <c r="CD207" s="659">
        <f t="shared" si="299"/>
        <v>52.769018520758159</v>
      </c>
      <c r="CE207" s="659">
        <f t="shared" si="299"/>
        <v>55.222652829338571</v>
      </c>
      <c r="CF207" s="551">
        <f>SUM(CB207:CE207)</f>
        <v>187.08419952118243</v>
      </c>
      <c r="CG207" s="659">
        <f t="shared" si="300"/>
        <v>49.64221671669857</v>
      </c>
      <c r="CH207" s="659">
        <f t="shared" si="300"/>
        <v>57.0030822945727</v>
      </c>
      <c r="CI207" s="659">
        <f t="shared" si="300"/>
        <v>70.490544748006883</v>
      </c>
      <c r="CJ207" s="659">
        <f t="shared" si="300"/>
        <v>91.439990460610574</v>
      </c>
      <c r="CK207" s="551">
        <f>SUM(CG207:CJ207)</f>
        <v>268.57583421988875</v>
      </c>
      <c r="CL207" s="659">
        <f t="shared" si="301"/>
        <v>45.951994157069969</v>
      </c>
      <c r="CM207" s="659">
        <f t="shared" si="301"/>
        <v>62.068130269074807</v>
      </c>
      <c r="CN207" s="659">
        <f t="shared" si="301"/>
        <v>92.362786119347604</v>
      </c>
      <c r="CO207" s="659">
        <f>CO190*CO159</f>
        <v>81.728423410874541</v>
      </c>
      <c r="CP207" s="551">
        <f>SUM(CL207:CO207)</f>
        <v>282.11133395636693</v>
      </c>
      <c r="CQ207" s="659">
        <f t="shared" si="302"/>
        <v>75.899286378732057</v>
      </c>
      <c r="CR207" s="659">
        <f t="shared" si="302"/>
        <v>99.882298027749101</v>
      </c>
      <c r="CS207" s="659">
        <f t="shared" si="302"/>
        <v>103.18290932228987</v>
      </c>
      <c r="CT207" s="659">
        <f t="shared" si="302"/>
        <v>91.407619948690652</v>
      </c>
      <c r="CU207" s="551">
        <f>SUM(CQ207:CT207)</f>
        <v>370.37211367746164</v>
      </c>
      <c r="CV207" s="659">
        <f t="shared" ca="1" si="303"/>
        <v>70.746311683385755</v>
      </c>
      <c r="CW207" s="659">
        <f t="shared" ca="1" si="303"/>
        <v>81.1755698884011</v>
      </c>
      <c r="CX207" s="659">
        <f t="shared" ca="1" si="303"/>
        <v>92.450666126363828</v>
      </c>
      <c r="CY207" s="659">
        <f ca="1">CY190*CY159</f>
        <v>92.569475547753981</v>
      </c>
      <c r="CZ207" s="551">
        <f ca="1">SUM(CV207:CY207)</f>
        <v>336.94202324590469</v>
      </c>
      <c r="DA207" s="659">
        <f t="shared" ca="1" si="304"/>
        <v>105.39661380226985</v>
      </c>
      <c r="DB207" s="659">
        <f t="shared" ca="1" si="304"/>
        <v>109.79446137706468</v>
      </c>
      <c r="DC207" s="659">
        <f t="shared" ca="1" si="304"/>
        <v>113.01530013588582</v>
      </c>
      <c r="DD207" s="659">
        <f t="shared" ca="1" si="304"/>
        <v>112.47517761197976</v>
      </c>
      <c r="DE207" s="551">
        <f ca="1">SUM(DA207:DD207)</f>
        <v>440.68155292720007</v>
      </c>
      <c r="DF207" s="659">
        <f t="shared" ca="1" si="305"/>
        <v>101.27283673902798</v>
      </c>
      <c r="DG207" s="659">
        <f t="shared" ca="1" si="305"/>
        <v>103.46830373320788</v>
      </c>
      <c r="DH207" s="659">
        <f t="shared" ref="DH207" ca="1" si="310">DH190*DH159</f>
        <v>117.59498057085089</v>
      </c>
      <c r="DI207" s="659">
        <f t="shared" ca="1" si="306"/>
        <v>123.58955792244211</v>
      </c>
      <c r="DJ207" s="551">
        <f ca="1">SUM(DF207:DI207)</f>
        <v>445.92567896552885</v>
      </c>
      <c r="DK207" s="659">
        <f t="shared" ca="1" si="307"/>
        <v>117.93106318890011</v>
      </c>
      <c r="DL207" s="659">
        <f t="shared" ca="1" si="307"/>
        <v>119.7579850224507</v>
      </c>
      <c r="DM207" s="659">
        <f t="shared" ca="1" si="307"/>
        <v>131.73165433478223</v>
      </c>
      <c r="DN207" s="659">
        <f t="shared" ca="1" si="307"/>
        <v>133.6292860311473</v>
      </c>
      <c r="DO207" s="551">
        <f ca="1">SUM(DK207:DN207)</f>
        <v>503.04998857728037</v>
      </c>
      <c r="DP207" s="659">
        <f t="shared" ca="1" si="308"/>
        <v>121.91678687985426</v>
      </c>
      <c r="DQ207" s="659">
        <f t="shared" ca="1" si="308"/>
        <v>123.58127001377331</v>
      </c>
      <c r="DR207" s="659">
        <f t="shared" ca="1" si="308"/>
        <v>135.75418725063045</v>
      </c>
      <c r="DS207" s="659">
        <f t="shared" ca="1" si="308"/>
        <v>137.45909288893165</v>
      </c>
      <c r="DT207" s="551">
        <f ca="1">SUM(DP207:DS207)</f>
        <v>518.71133703318969</v>
      </c>
      <c r="DU207" s="659">
        <f t="shared" ref="DU207:DX207" ca="1" si="311">DU190*DU159</f>
        <v>125.23059431843515</v>
      </c>
      <c r="DV207" s="659">
        <f t="shared" ca="1" si="311"/>
        <v>126.66999509585311</v>
      </c>
      <c r="DW207" s="659">
        <f t="shared" ca="1" si="311"/>
        <v>138.92607539032602</v>
      </c>
      <c r="DX207" s="659">
        <f t="shared" ca="1" si="311"/>
        <v>140.36759466724354</v>
      </c>
      <c r="DY207" s="551">
        <f ca="1">SUM(DU207:DX207)</f>
        <v>531.19425947185789</v>
      </c>
    </row>
    <row r="208" spans="1:129" x14ac:dyDescent="0.2">
      <c r="A208" s="471"/>
      <c r="B208" s="874" t="s">
        <v>752</v>
      </c>
      <c r="C208" s="701"/>
      <c r="D208" s="701"/>
      <c r="E208" s="701"/>
      <c r="F208" s="701"/>
      <c r="G208" s="701"/>
      <c r="H208" s="701"/>
      <c r="I208" s="875"/>
      <c r="J208" s="701"/>
      <c r="K208" s="701"/>
      <c r="L208" s="701"/>
      <c r="M208" s="701"/>
      <c r="N208" s="875"/>
      <c r="O208" s="701"/>
      <c r="P208" s="701"/>
      <c r="Q208" s="701"/>
      <c r="R208" s="701"/>
      <c r="S208" s="875"/>
      <c r="T208" s="701"/>
      <c r="U208" s="701"/>
      <c r="V208" s="701"/>
      <c r="W208" s="701"/>
      <c r="X208" s="875"/>
      <c r="Y208" s="701"/>
      <c r="Z208" s="701"/>
      <c r="AA208" s="701"/>
      <c r="AB208" s="701"/>
      <c r="AC208" s="875"/>
      <c r="AD208" s="701"/>
      <c r="AE208" s="701"/>
      <c r="AF208" s="701"/>
      <c r="AG208" s="701"/>
      <c r="AH208" s="875"/>
      <c r="AI208" s="701"/>
      <c r="AJ208" s="701"/>
      <c r="AK208" s="701"/>
      <c r="AL208" s="701"/>
      <c r="AM208" s="875"/>
      <c r="AN208" s="701"/>
      <c r="AO208" s="701"/>
      <c r="AP208" s="701"/>
      <c r="AQ208" s="701"/>
      <c r="AR208" s="875"/>
      <c r="AS208" s="701"/>
      <c r="AT208" s="701"/>
      <c r="AU208" s="701"/>
      <c r="AV208" s="701"/>
      <c r="AW208" s="875"/>
      <c r="AX208" s="701"/>
      <c r="AY208" s="701"/>
      <c r="AZ208" s="701"/>
      <c r="BA208" s="701"/>
      <c r="BB208" s="875"/>
      <c r="BC208" s="701"/>
      <c r="BD208" s="701"/>
      <c r="BE208" s="701"/>
      <c r="BF208" s="701"/>
      <c r="BG208" s="875"/>
      <c r="BH208" s="876">
        <f t="shared" ref="BH208:CZ208" si="312">SUM(BH206:BH207)</f>
        <v>31.823133071243998</v>
      </c>
      <c r="BI208" s="876">
        <f t="shared" si="312"/>
        <v>176.2770776825549</v>
      </c>
      <c r="BJ208" s="876">
        <f t="shared" si="312"/>
        <v>231.05107082722839</v>
      </c>
      <c r="BK208" s="876">
        <f t="shared" si="312"/>
        <v>259.29559742954689</v>
      </c>
      <c r="BL208" s="700">
        <f t="shared" si="312"/>
        <v>698.44687901057432</v>
      </c>
      <c r="BM208" s="876">
        <f t="shared" si="312"/>
        <v>216.29476808600634</v>
      </c>
      <c r="BN208" s="876">
        <f t="shared" si="312"/>
        <v>215.50739012108727</v>
      </c>
      <c r="BO208" s="876">
        <f t="shared" si="312"/>
        <v>223.68035029800791</v>
      </c>
      <c r="BP208" s="876">
        <f t="shared" si="312"/>
        <v>253.52251761166568</v>
      </c>
      <c r="BQ208" s="700">
        <f t="shared" si="312"/>
        <v>909.00502611676723</v>
      </c>
      <c r="BR208" s="876">
        <f t="shared" si="312"/>
        <v>256.96331400000003</v>
      </c>
      <c r="BS208" s="876">
        <f t="shared" si="312"/>
        <v>291.2849554245206</v>
      </c>
      <c r="BT208" s="876">
        <f t="shared" si="312"/>
        <v>289.76290913310936</v>
      </c>
      <c r="BU208" s="876">
        <f t="shared" si="312"/>
        <v>301.3043299177375</v>
      </c>
      <c r="BV208" s="877">
        <f t="shared" si="312"/>
        <v>1139.3155084753676</v>
      </c>
      <c r="BW208" s="876">
        <f t="shared" si="312"/>
        <v>267.89283311399191</v>
      </c>
      <c r="BX208" s="876">
        <f t="shared" si="312"/>
        <v>272.69737730137001</v>
      </c>
      <c r="BY208" s="876">
        <f t="shared" si="312"/>
        <v>277.83293488196756</v>
      </c>
      <c r="BZ208" s="876">
        <f t="shared" si="312"/>
        <v>288.31663299999997</v>
      </c>
      <c r="CA208" s="700">
        <f t="shared" si="312"/>
        <v>1106.7397782973294</v>
      </c>
      <c r="CB208" s="876">
        <f t="shared" si="312"/>
        <v>270.2258502690558</v>
      </c>
      <c r="CC208" s="876">
        <f t="shared" si="312"/>
        <v>285.41518011264338</v>
      </c>
      <c r="CD208" s="701">
        <f t="shared" si="312"/>
        <v>371.12708080213162</v>
      </c>
      <c r="CE208" s="701">
        <f t="shared" si="312"/>
        <v>424.44036612170009</v>
      </c>
      <c r="CF208" s="875">
        <f t="shared" si="312"/>
        <v>1351.208477305531</v>
      </c>
      <c r="CG208" s="701">
        <f t="shared" si="312"/>
        <v>275.89512092484995</v>
      </c>
      <c r="CH208" s="701">
        <f t="shared" si="312"/>
        <v>363.81691919273737</v>
      </c>
      <c r="CI208" s="701">
        <f t="shared" si="312"/>
        <v>569.7613086835396</v>
      </c>
      <c r="CJ208" s="701">
        <f t="shared" si="312"/>
        <v>675.40022002209196</v>
      </c>
      <c r="CK208" s="875">
        <f t="shared" si="312"/>
        <v>1884.8735688232189</v>
      </c>
      <c r="CL208" s="701">
        <f t="shared" si="312"/>
        <v>299.8940923038071</v>
      </c>
      <c r="CM208" s="701">
        <f t="shared" si="312"/>
        <v>454.16071278711814</v>
      </c>
      <c r="CN208" s="701">
        <f t="shared" si="312"/>
        <v>659.77800414872627</v>
      </c>
      <c r="CO208" s="701">
        <f>SUM(CO206:CO207)</f>
        <v>559.96768002682904</v>
      </c>
      <c r="CP208" s="875">
        <f t="shared" si="312"/>
        <v>1973.8004892664806</v>
      </c>
      <c r="CQ208" s="701">
        <f t="shared" si="312"/>
        <v>496.8553588989397</v>
      </c>
      <c r="CR208" s="701">
        <f t="shared" si="312"/>
        <v>689.63721437982383</v>
      </c>
      <c r="CS208" s="701">
        <f t="shared" si="312"/>
        <v>744.25875437768786</v>
      </c>
      <c r="CT208" s="701">
        <f t="shared" si="312"/>
        <v>527.76001443983785</v>
      </c>
      <c r="CU208" s="875">
        <f t="shared" si="312"/>
        <v>2458.5113420962889</v>
      </c>
      <c r="CV208" s="701">
        <f t="shared" ca="1" si="312"/>
        <v>536.91713965164433</v>
      </c>
      <c r="CW208" s="701">
        <f t="shared" ca="1" si="312"/>
        <v>705.95479335061111</v>
      </c>
      <c r="CX208" s="701">
        <f t="shared" ca="1" si="312"/>
        <v>749.27555953043077</v>
      </c>
      <c r="CY208" s="701">
        <f ca="1">SUM(CY206:CY207)</f>
        <v>797.03554873805115</v>
      </c>
      <c r="CZ208" s="875">
        <f t="shared" ca="1" si="312"/>
        <v>2789.1830412707377</v>
      </c>
      <c r="DA208" s="701">
        <f ca="1">SUM(DA206:DA207)</f>
        <v>505.22854479092064</v>
      </c>
      <c r="DB208" s="701">
        <f ca="1">SUM(DB206:DB207)</f>
        <v>694.66350104907974</v>
      </c>
      <c r="DC208" s="701">
        <f ca="1">SUM(DC206:DC207)</f>
        <v>725.56054911674164</v>
      </c>
      <c r="DD208" s="701">
        <f t="shared" ref="DD208:DJ208" ca="1" si="313">SUM(DD206:DD207)</f>
        <v>773.80134552213167</v>
      </c>
      <c r="DE208" s="875">
        <f t="shared" ca="1" si="313"/>
        <v>2699.253940478874</v>
      </c>
      <c r="DF208" s="701">
        <f t="shared" ca="1" si="313"/>
        <v>553.69596596665031</v>
      </c>
      <c r="DG208" s="701">
        <f t="shared" ca="1" si="313"/>
        <v>732.10258663785942</v>
      </c>
      <c r="DH208" s="701">
        <f t="shared" ref="DH208:DI208" ca="1" si="314">SUM(DH206:DH207)</f>
        <v>968.64605313089294</v>
      </c>
      <c r="DI208" s="701">
        <f t="shared" ca="1" si="314"/>
        <v>968.33339835818492</v>
      </c>
      <c r="DJ208" s="875">
        <f t="shared" ca="1" si="313"/>
        <v>3222.7780040935872</v>
      </c>
      <c r="DK208" s="701">
        <f t="shared" ref="DK208:DT208" ca="1" si="315">SUM(DK206:DK207)</f>
        <v>562.6747075750809</v>
      </c>
      <c r="DL208" s="701">
        <f t="shared" ca="1" si="315"/>
        <v>782.48567533305481</v>
      </c>
      <c r="DM208" s="701">
        <f t="shared" ca="1" si="315"/>
        <v>1017.8788763757102</v>
      </c>
      <c r="DN208" s="701">
        <f t="shared" ca="1" si="315"/>
        <v>1020.18815604962</v>
      </c>
      <c r="DO208" s="875">
        <f t="shared" ca="1" si="315"/>
        <v>3383.2274153334656</v>
      </c>
      <c r="DP208" s="701">
        <f t="shared" ca="1" si="315"/>
        <v>586.76954611526241</v>
      </c>
      <c r="DQ208" s="701">
        <f t="shared" ca="1" si="315"/>
        <v>820.7061327339336</v>
      </c>
      <c r="DR208" s="701">
        <f t="shared" ca="1" si="315"/>
        <v>1070.8716534135062</v>
      </c>
      <c r="DS208" s="701">
        <f t="shared" ca="1" si="315"/>
        <v>1072.4307970575751</v>
      </c>
      <c r="DT208" s="875">
        <f t="shared" ca="1" si="315"/>
        <v>3550.7781293202779</v>
      </c>
      <c r="DU208" s="701">
        <f t="shared" ref="DU208:DY208" ca="1" si="316">SUM(DU206:DU207)</f>
        <v>610.84818610662978</v>
      </c>
      <c r="DV208" s="701">
        <f t="shared" ca="1" si="316"/>
        <v>859.75911823130878</v>
      </c>
      <c r="DW208" s="701">
        <f t="shared" ca="1" si="316"/>
        <v>1125.5054562345042</v>
      </c>
      <c r="DX208" s="701">
        <f t="shared" ca="1" si="316"/>
        <v>1126.1691755894278</v>
      </c>
      <c r="DY208" s="875">
        <f t="shared" ca="1" si="316"/>
        <v>3722.2819361618708</v>
      </c>
    </row>
    <row r="209" spans="1:129" x14ac:dyDescent="0.2">
      <c r="A209" s="526"/>
      <c r="B209" s="756"/>
      <c r="C209" s="597"/>
      <c r="D209" s="597"/>
      <c r="E209" s="597"/>
      <c r="F209" s="597"/>
      <c r="G209" s="597"/>
      <c r="H209" s="597"/>
      <c r="I209" s="598"/>
      <c r="J209" s="597"/>
      <c r="K209" s="597"/>
      <c r="L209" s="597"/>
      <c r="M209" s="597"/>
      <c r="N209" s="598"/>
      <c r="O209" s="743"/>
      <c r="P209" s="743"/>
      <c r="Q209" s="743"/>
      <c r="R209" s="743"/>
      <c r="S209" s="598"/>
      <c r="T209" s="743"/>
      <c r="U209" s="743"/>
      <c r="V209" s="743"/>
      <c r="W209" s="743"/>
      <c r="X209" s="598"/>
      <c r="Y209" s="743"/>
      <c r="Z209" s="743"/>
      <c r="AA209" s="743"/>
      <c r="AB209" s="743"/>
      <c r="AC209" s="598"/>
      <c r="AD209" s="743"/>
      <c r="AE209" s="743"/>
      <c r="AF209" s="743"/>
      <c r="AG209" s="743"/>
      <c r="AH209" s="598"/>
      <c r="AI209" s="743"/>
      <c r="AJ209" s="743"/>
      <c r="AK209" s="743"/>
      <c r="AL209" s="743"/>
      <c r="AM209" s="598"/>
      <c r="AN209" s="743"/>
      <c r="AO209" s="743"/>
      <c r="AP209" s="743"/>
      <c r="AQ209" s="743"/>
      <c r="AR209" s="598"/>
      <c r="AS209" s="743"/>
      <c r="AT209" s="743"/>
      <c r="AU209" s="743"/>
      <c r="AV209" s="743"/>
      <c r="AW209" s="598"/>
      <c r="AX209" s="743"/>
      <c r="AY209" s="743"/>
      <c r="AZ209" s="743"/>
      <c r="BA209" s="743"/>
      <c r="BB209" s="598"/>
      <c r="BC209" s="743"/>
      <c r="BD209" s="743"/>
      <c r="BE209" s="743"/>
      <c r="BF209" s="743"/>
      <c r="BG209" s="598"/>
      <c r="BH209" s="743"/>
      <c r="BI209" s="743"/>
      <c r="BJ209" s="743"/>
      <c r="BK209" s="743"/>
      <c r="BL209" s="849"/>
      <c r="BM209" s="743"/>
      <c r="BN209" s="743"/>
      <c r="BO209" s="743"/>
      <c r="BP209" s="743"/>
      <c r="BQ209" s="849"/>
      <c r="BR209" s="743"/>
      <c r="BS209" s="743"/>
      <c r="BT209" s="743"/>
      <c r="BU209" s="743"/>
      <c r="BV209" s="865"/>
      <c r="BW209" s="743"/>
      <c r="BX209" s="743"/>
      <c r="BY209" s="743"/>
      <c r="BZ209" s="743"/>
      <c r="CA209" s="849"/>
      <c r="CB209" s="743"/>
      <c r="CC209" s="743"/>
      <c r="CD209" s="743"/>
      <c r="CE209" s="743"/>
      <c r="CF209" s="849"/>
      <c r="CG209" s="743"/>
      <c r="CH209" s="743"/>
      <c r="CI209" s="743"/>
      <c r="CJ209" s="743"/>
      <c r="CK209" s="849"/>
      <c r="CL209" s="743"/>
      <c r="CM209" s="743"/>
      <c r="CN209" s="743"/>
      <c r="CO209" s="743"/>
      <c r="CP209" s="849"/>
      <c r="CQ209" s="743"/>
      <c r="CR209" s="743"/>
      <c r="CS209" s="743"/>
      <c r="CT209" s="743"/>
      <c r="CU209" s="849"/>
      <c r="CV209" s="743"/>
      <c r="CW209" s="743"/>
      <c r="CX209" s="743"/>
      <c r="CY209" s="743"/>
      <c r="CZ209" s="849"/>
      <c r="DA209" s="743"/>
      <c r="DB209" s="743"/>
      <c r="DC209" s="743"/>
      <c r="DD209" s="743"/>
      <c r="DE209" s="849"/>
      <c r="DF209" s="743"/>
      <c r="DG209" s="743"/>
      <c r="DH209" s="743"/>
      <c r="DI209" s="2818"/>
      <c r="DJ209" s="849"/>
      <c r="DK209" s="743"/>
      <c r="DL209" s="743"/>
      <c r="DM209" s="743"/>
      <c r="DN209" s="743"/>
      <c r="DO209" s="849"/>
      <c r="DP209" s="743"/>
      <c r="DQ209" s="743"/>
      <c r="DR209" s="743"/>
      <c r="DS209" s="743"/>
      <c r="DT209" s="849"/>
      <c r="DU209" s="743"/>
      <c r="DV209" s="743"/>
      <c r="DW209" s="743"/>
      <c r="DX209" s="743"/>
      <c r="DY209" s="849"/>
    </row>
    <row r="210" spans="1:129" x14ac:dyDescent="0.2">
      <c r="A210" s="526"/>
      <c r="B210" s="690" t="s">
        <v>787</v>
      </c>
      <c r="C210" s="597"/>
      <c r="D210" s="597"/>
      <c r="E210" s="597"/>
      <c r="F210" s="597"/>
      <c r="G210" s="597"/>
      <c r="H210" s="597"/>
      <c r="I210" s="598"/>
      <c r="J210" s="597"/>
      <c r="K210" s="597"/>
      <c r="L210" s="597"/>
      <c r="M210" s="597"/>
      <c r="N210" s="598"/>
      <c r="O210" s="743"/>
      <c r="P210" s="743"/>
      <c r="Q210" s="743"/>
      <c r="R210" s="743"/>
      <c r="S210" s="598"/>
      <c r="T210" s="743"/>
      <c r="U210" s="743"/>
      <c r="V210" s="743"/>
      <c r="W210" s="743"/>
      <c r="X210" s="598"/>
      <c r="Y210" s="743"/>
      <c r="Z210" s="743"/>
      <c r="AA210" s="743"/>
      <c r="AB210" s="743"/>
      <c r="AC210" s="598"/>
      <c r="AD210" s="743"/>
      <c r="AE210" s="743"/>
      <c r="AF210" s="743"/>
      <c r="AG210" s="743"/>
      <c r="AH210" s="598"/>
      <c r="AI210" s="743"/>
      <c r="AJ210" s="743"/>
      <c r="AK210" s="743"/>
      <c r="AL210" s="743"/>
      <c r="AM210" s="598"/>
      <c r="AN210" s="743"/>
      <c r="AO210" s="743"/>
      <c r="AP210" s="743"/>
      <c r="AQ210" s="743"/>
      <c r="AR210" s="598"/>
      <c r="AS210" s="743"/>
      <c r="AT210" s="743"/>
      <c r="AU210" s="743"/>
      <c r="AV210" s="743"/>
      <c r="AW210" s="598"/>
      <c r="AX210" s="743"/>
      <c r="AY210" s="743"/>
      <c r="AZ210" s="743"/>
      <c r="BA210" s="743"/>
      <c r="BB210" s="598"/>
      <c r="BC210" s="743"/>
      <c r="BD210" s="743"/>
      <c r="BE210" s="743"/>
      <c r="BF210" s="743"/>
      <c r="BG210" s="598"/>
      <c r="BH210" s="743"/>
      <c r="BI210" s="743"/>
      <c r="BJ210" s="743"/>
      <c r="BK210" s="743"/>
      <c r="BL210" s="849"/>
      <c r="BM210" s="803">
        <f>BM212/BM218</f>
        <v>0.60701853296725528</v>
      </c>
      <c r="BN210" s="803">
        <f>BN212/BN218</f>
        <v>0.63762862149567967</v>
      </c>
      <c r="BO210" s="803">
        <f>BO212/BO218</f>
        <v>0.64274503094007351</v>
      </c>
      <c r="BP210" s="803">
        <f>BP212/BP218</f>
        <v>0.65745177280502631</v>
      </c>
      <c r="BQ210" s="849"/>
      <c r="BR210" s="743"/>
      <c r="BS210" s="743"/>
      <c r="BT210" s="743"/>
      <c r="BU210" s="743"/>
      <c r="BV210" s="865"/>
      <c r="BW210" s="743"/>
      <c r="BX210" s="743"/>
      <c r="BY210" s="743"/>
      <c r="BZ210" s="743"/>
      <c r="CA210" s="849"/>
      <c r="CB210" s="743"/>
      <c r="CC210" s="743"/>
      <c r="CD210" s="743"/>
      <c r="CE210" s="743"/>
      <c r="CF210" s="849"/>
      <c r="CG210" s="743"/>
      <c r="CH210" s="743"/>
      <c r="CI210" s="743"/>
      <c r="CJ210" s="743"/>
      <c r="CK210" s="849"/>
      <c r="CL210" s="743"/>
      <c r="CM210" s="743"/>
      <c r="CN210" s="743"/>
      <c r="CO210" s="743"/>
      <c r="CP210" s="849"/>
      <c r="CQ210" s="743"/>
      <c r="CR210" s="743"/>
      <c r="CS210" s="743"/>
      <c r="CT210" s="743"/>
      <c r="CU210" s="849"/>
      <c r="CV210" s="743"/>
      <c r="CW210" s="743"/>
      <c r="CX210" s="743"/>
      <c r="CY210" s="743"/>
      <c r="CZ210" s="849"/>
      <c r="DA210" s="743"/>
      <c r="DB210" s="743"/>
      <c r="DC210" s="743"/>
      <c r="DD210" s="743"/>
      <c r="DE210" s="849"/>
      <c r="DF210" s="743"/>
      <c r="DG210" s="743"/>
      <c r="DH210" s="743"/>
      <c r="DI210" s="2818"/>
      <c r="DJ210" s="849"/>
      <c r="DK210" s="743"/>
      <c r="DL210" s="743"/>
      <c r="DM210" s="743"/>
      <c r="DN210" s="743"/>
      <c r="DO210" s="849"/>
      <c r="DP210" s="743"/>
      <c r="DQ210" s="743"/>
      <c r="DR210" s="743"/>
      <c r="DS210" s="743"/>
      <c r="DT210" s="849"/>
      <c r="DU210" s="743"/>
      <c r="DV210" s="743"/>
      <c r="DW210" s="743"/>
      <c r="DX210" s="743"/>
      <c r="DY210" s="849"/>
    </row>
    <row r="211" spans="1:129" ht="7.5" customHeight="1" x14ac:dyDescent="0.2">
      <c r="A211" s="526"/>
      <c r="B211" s="756"/>
      <c r="C211" s="597"/>
      <c r="D211" s="597"/>
      <c r="E211" s="597"/>
      <c r="F211" s="597"/>
      <c r="G211" s="597"/>
      <c r="H211" s="597"/>
      <c r="I211" s="598"/>
      <c r="J211" s="597"/>
      <c r="K211" s="597"/>
      <c r="L211" s="597"/>
      <c r="M211" s="597"/>
      <c r="N211" s="598"/>
      <c r="O211" s="743"/>
      <c r="P211" s="743"/>
      <c r="Q211" s="743"/>
      <c r="R211" s="743"/>
      <c r="S211" s="598"/>
      <c r="T211" s="743"/>
      <c r="U211" s="743"/>
      <c r="V211" s="743"/>
      <c r="W211" s="743"/>
      <c r="X211" s="598"/>
      <c r="Y211" s="743"/>
      <c r="Z211" s="743"/>
      <c r="AA211" s="743"/>
      <c r="AB211" s="743"/>
      <c r="AC211" s="598"/>
      <c r="AD211" s="743"/>
      <c r="AE211" s="743"/>
      <c r="AF211" s="743"/>
      <c r="AG211" s="743"/>
      <c r="AH211" s="598"/>
      <c r="AI211" s="743"/>
      <c r="AJ211" s="743"/>
      <c r="AK211" s="743"/>
      <c r="AL211" s="743"/>
      <c r="AM211" s="598"/>
      <c r="AN211" s="743"/>
      <c r="AO211" s="743"/>
      <c r="AP211" s="743"/>
      <c r="AQ211" s="743"/>
      <c r="AR211" s="598"/>
      <c r="AS211" s="743"/>
      <c r="AT211" s="743"/>
      <c r="AU211" s="743"/>
      <c r="AV211" s="743"/>
      <c r="AW211" s="598"/>
      <c r="AX211" s="743"/>
      <c r="AY211" s="743"/>
      <c r="AZ211" s="743"/>
      <c r="BA211" s="743"/>
      <c r="BB211" s="598"/>
      <c r="BC211" s="743"/>
      <c r="BD211" s="743"/>
      <c r="BE211" s="743"/>
      <c r="BF211" s="743"/>
      <c r="BG211" s="598"/>
      <c r="BH211" s="743"/>
      <c r="BI211" s="743"/>
      <c r="BJ211" s="743"/>
      <c r="BK211" s="743"/>
      <c r="BL211" s="849"/>
      <c r="BM211" s="743"/>
      <c r="BN211" s="743"/>
      <c r="BO211" s="743"/>
      <c r="BP211" s="743"/>
      <c r="BQ211" s="849"/>
      <c r="BR211" s="743"/>
      <c r="BS211" s="743"/>
      <c r="BT211" s="743"/>
      <c r="BU211" s="743"/>
      <c r="BV211" s="865"/>
      <c r="BW211" s="743"/>
      <c r="BX211" s="743"/>
      <c r="BY211" s="743"/>
      <c r="BZ211" s="743"/>
      <c r="CA211" s="849"/>
      <c r="CB211" s="743"/>
      <c r="CC211" s="743"/>
      <c r="CD211" s="743"/>
      <c r="CE211" s="743"/>
      <c r="CF211" s="849"/>
      <c r="CG211" s="743"/>
      <c r="CH211" s="743"/>
      <c r="CI211" s="743"/>
      <c r="CJ211" s="743"/>
      <c r="CK211" s="849"/>
      <c r="CL211" s="743"/>
      <c r="CM211" s="743"/>
      <c r="CN211" s="743"/>
      <c r="CO211" s="743"/>
      <c r="CP211" s="849"/>
      <c r="CQ211" s="743"/>
      <c r="CR211" s="743"/>
      <c r="CS211" s="743"/>
      <c r="CT211" s="743"/>
      <c r="CU211" s="849"/>
      <c r="CV211" s="743"/>
      <c r="CW211" s="743"/>
      <c r="CX211" s="743"/>
      <c r="CY211" s="743"/>
      <c r="CZ211" s="849"/>
      <c r="DA211" s="743"/>
      <c r="DB211" s="743"/>
      <c r="DC211" s="743"/>
      <c r="DD211" s="743"/>
      <c r="DE211" s="849"/>
      <c r="DF211" s="743"/>
      <c r="DG211" s="743"/>
      <c r="DH211" s="743"/>
      <c r="DI211" s="2818"/>
      <c r="DJ211" s="849"/>
      <c r="DK211" s="743"/>
      <c r="DL211" s="743"/>
      <c r="DM211" s="743"/>
      <c r="DN211" s="743"/>
      <c r="DO211" s="849"/>
      <c r="DP211" s="743"/>
      <c r="DQ211" s="743"/>
      <c r="DR211" s="743"/>
      <c r="DS211" s="743"/>
      <c r="DT211" s="849"/>
      <c r="DU211" s="743"/>
      <c r="DV211" s="743"/>
      <c r="DW211" s="743"/>
      <c r="DX211" s="743"/>
      <c r="DY211" s="849"/>
    </row>
    <row r="212" spans="1:129" x14ac:dyDescent="0.2">
      <c r="A212" s="471"/>
      <c r="B212" s="693" t="s">
        <v>786</v>
      </c>
      <c r="C212" s="550"/>
      <c r="D212" s="550"/>
      <c r="E212" s="550"/>
      <c r="F212" s="550"/>
      <c r="G212" s="550"/>
      <c r="H212" s="550"/>
      <c r="I212" s="551"/>
      <c r="J212" s="550"/>
      <c r="K212" s="550"/>
      <c r="L212" s="550"/>
      <c r="M212" s="550"/>
      <c r="N212" s="551"/>
      <c r="O212" s="550"/>
      <c r="P212" s="550"/>
      <c r="Q212" s="550"/>
      <c r="R212" s="550"/>
      <c r="S212" s="551"/>
      <c r="T212" s="550"/>
      <c r="U212" s="550"/>
      <c r="V212" s="550"/>
      <c r="W212" s="550"/>
      <c r="X212" s="551"/>
      <c r="Y212" s="550"/>
      <c r="Z212" s="550"/>
      <c r="AA212" s="550"/>
      <c r="AB212" s="550"/>
      <c r="AC212" s="551"/>
      <c r="AD212" s="550"/>
      <c r="AE212" s="550"/>
      <c r="AF212" s="550"/>
      <c r="AG212" s="550"/>
      <c r="AH212" s="551"/>
      <c r="AI212" s="550"/>
      <c r="AJ212" s="550"/>
      <c r="AK212" s="550"/>
      <c r="AL212" s="550"/>
      <c r="AM212" s="551"/>
      <c r="AN212" s="550"/>
      <c r="AO212" s="550"/>
      <c r="AP212" s="550"/>
      <c r="AQ212" s="550"/>
      <c r="AR212" s="551"/>
      <c r="AS212" s="550"/>
      <c r="AT212" s="550"/>
      <c r="AU212" s="550"/>
      <c r="AV212" s="550"/>
      <c r="AW212" s="551"/>
      <c r="AX212" s="550"/>
      <c r="AY212" s="550"/>
      <c r="AZ212" s="550"/>
      <c r="BA212" s="550"/>
      <c r="BB212" s="551"/>
      <c r="BC212" s="550"/>
      <c r="BD212" s="550"/>
      <c r="BE212" s="550"/>
      <c r="BF212" s="550"/>
      <c r="BG212" s="551"/>
      <c r="BH212" s="658">
        <f t="shared" ref="BH212:BK213" si="317">BH195*BH169</f>
        <v>160.962379575</v>
      </c>
      <c r="BI212" s="658">
        <f t="shared" si="317"/>
        <v>484.12758320553155</v>
      </c>
      <c r="BJ212" s="658">
        <f t="shared" si="317"/>
        <v>502.89973023583678</v>
      </c>
      <c r="BK212" s="658">
        <f t="shared" si="317"/>
        <v>533.88837458245223</v>
      </c>
      <c r="BL212" s="553">
        <f>SUM(BH212:BK212)</f>
        <v>1681.8780675988205</v>
      </c>
      <c r="BM212" s="658">
        <f t="shared" ref="BM212:BP213" si="318">BM195*BM169</f>
        <v>478.33060397819708</v>
      </c>
      <c r="BN212" s="658">
        <f t="shared" si="318"/>
        <v>541.98432827132774</v>
      </c>
      <c r="BO212" s="658">
        <f t="shared" si="318"/>
        <v>573.97131262948562</v>
      </c>
      <c r="BP212" s="658">
        <f t="shared" si="318"/>
        <v>670.60080826112687</v>
      </c>
      <c r="BQ212" s="553">
        <f>SUM(BM212:BP212)</f>
        <v>2264.8870531401376</v>
      </c>
      <c r="BR212" s="658">
        <f t="shared" ref="BR212:BU213" si="319">BR195*BR169</f>
        <v>455.29332367850793</v>
      </c>
      <c r="BS212" s="658">
        <f t="shared" si="319"/>
        <v>546.81896258164295</v>
      </c>
      <c r="BT212" s="658">
        <f t="shared" si="319"/>
        <v>646.76622675356748</v>
      </c>
      <c r="BU212" s="658">
        <f t="shared" si="319"/>
        <v>681.95249015775153</v>
      </c>
      <c r="BV212" s="873">
        <f>SUM(BR212:BU212)</f>
        <v>2330.83100317147</v>
      </c>
      <c r="BW212" s="658">
        <f t="shared" ref="BW212:BZ213" si="320">BW195*BW169</f>
        <v>423.05500480201579</v>
      </c>
      <c r="BX212" s="658">
        <f t="shared" si="320"/>
        <v>448.90759217890007</v>
      </c>
      <c r="BY212" s="658">
        <f t="shared" si="320"/>
        <v>493.11764079549226</v>
      </c>
      <c r="BZ212" s="658">
        <f t="shared" si="320"/>
        <v>462.20717077269001</v>
      </c>
      <c r="CA212" s="553">
        <f>SUM(BW212:BZ212)</f>
        <v>1827.287408549098</v>
      </c>
      <c r="CB212" s="658">
        <f t="shared" ref="CB212:CE213" si="321">CB195*CB169</f>
        <v>277.48630114778246</v>
      </c>
      <c r="CC212" s="658">
        <f t="shared" si="321"/>
        <v>350.69622887368661</v>
      </c>
      <c r="CD212" s="659">
        <f t="shared" si="321"/>
        <v>473.12656593140508</v>
      </c>
      <c r="CE212" s="659">
        <f t="shared" si="321"/>
        <v>524.37856806331899</v>
      </c>
      <c r="CF212" s="551">
        <f>SUM(CB212:CE212)</f>
        <v>1625.6876640161931</v>
      </c>
      <c r="CG212" s="659">
        <f t="shared" ref="CG212:CJ213" si="322">CG195*CG169</f>
        <v>275.21401442126034</v>
      </c>
      <c r="CH212" s="659">
        <f t="shared" si="322"/>
        <v>341.2368308979016</v>
      </c>
      <c r="CI212" s="659">
        <f t="shared" si="322"/>
        <v>439.58489794207856</v>
      </c>
      <c r="CJ212" s="659">
        <f t="shared" si="322"/>
        <v>573.58639434651491</v>
      </c>
      <c r="CK212" s="551">
        <f>SUM(CG212:CJ212)</f>
        <v>1629.6221376077553</v>
      </c>
      <c r="CL212" s="659">
        <f t="shared" ref="CL212:CN213" si="323">CL195*CL169</f>
        <v>373.61068270595791</v>
      </c>
      <c r="CM212" s="659">
        <f t="shared" si="323"/>
        <v>401.01656582708983</v>
      </c>
      <c r="CN212" s="659">
        <f t="shared" si="323"/>
        <v>535.41582110636352</v>
      </c>
      <c r="CO212" s="659">
        <f>CO195*CO169</f>
        <v>555.5260281378936</v>
      </c>
      <c r="CP212" s="551">
        <f>SUM(CL212:CO212)</f>
        <v>1865.5690977773052</v>
      </c>
      <c r="CQ212" s="659">
        <f t="shared" ref="CQ212:CT213" si="324">CQ195*CQ169</f>
        <v>485.28539812538384</v>
      </c>
      <c r="CR212" s="659">
        <f t="shared" si="324"/>
        <v>418.25627628417232</v>
      </c>
      <c r="CS212" s="659">
        <f t="shared" si="324"/>
        <v>509.52982624470883</v>
      </c>
      <c r="CT212" s="659">
        <f t="shared" si="324"/>
        <v>589.90916657745561</v>
      </c>
      <c r="CU212" s="551">
        <f>SUM(CQ212:CT212)</f>
        <v>2002.9806672317206</v>
      </c>
      <c r="CV212" s="659">
        <f t="shared" ref="CV212:CX213" ca="1" si="325">CV195*CV169</f>
        <v>500.15514467865802</v>
      </c>
      <c r="CW212" s="659">
        <f t="shared" ca="1" si="325"/>
        <v>487.00143539678476</v>
      </c>
      <c r="CX212" s="659">
        <f t="shared" ca="1" si="325"/>
        <v>588.89690212584389</v>
      </c>
      <c r="CY212" s="659">
        <f ca="1">CY195*CY169</f>
        <v>716.02811847317946</v>
      </c>
      <c r="CZ212" s="551">
        <f ca="1">SUM(CV212:CY212)</f>
        <v>2292.0816006744662</v>
      </c>
      <c r="DA212" s="659">
        <f t="shared" ref="DA212:DD213" ca="1" si="326">DA195*DA169</f>
        <v>467.58521063000592</v>
      </c>
      <c r="DB212" s="659">
        <f t="shared" ca="1" si="326"/>
        <v>537.35259543822383</v>
      </c>
      <c r="DC212" s="659">
        <f t="shared" ca="1" si="326"/>
        <v>556.03824280885158</v>
      </c>
      <c r="DD212" s="659">
        <f t="shared" ca="1" si="326"/>
        <v>640.56442278073166</v>
      </c>
      <c r="DE212" s="551">
        <f ca="1">SUM(DA212:DD212)</f>
        <v>2201.5404716578128</v>
      </c>
      <c r="DF212" s="659">
        <f t="shared" ref="DF212:DG213" ca="1" si="327">DF195*DF169</f>
        <v>497.77873958914608</v>
      </c>
      <c r="DG212" s="659">
        <f t="shared" ca="1" si="327"/>
        <v>620.17687169442786</v>
      </c>
      <c r="DH212" s="659">
        <f t="shared" ref="DH212:DI213" ca="1" si="328">DH195*DH169</f>
        <v>624.32485514202244</v>
      </c>
      <c r="DI212" s="659">
        <f t="shared" ca="1" si="328"/>
        <v>621.71860910570138</v>
      </c>
      <c r="DJ212" s="551">
        <f ca="1">SUM(DF212:DI212)</f>
        <v>2363.9990755312979</v>
      </c>
      <c r="DK212" s="659">
        <f t="shared" ref="DK212:DN213" ca="1" si="329">DK195*DK169</f>
        <v>484.84645539771032</v>
      </c>
      <c r="DL212" s="659">
        <f t="shared" ca="1" si="329"/>
        <v>614.84534316846089</v>
      </c>
      <c r="DM212" s="659">
        <f t="shared" ca="1" si="329"/>
        <v>620.28190051814522</v>
      </c>
      <c r="DN212" s="659">
        <f t="shared" ca="1" si="329"/>
        <v>621.10825082827535</v>
      </c>
      <c r="DO212" s="551">
        <f ca="1">SUM(DK212:DN212)</f>
        <v>2341.0819499125919</v>
      </c>
      <c r="DP212" s="659">
        <f t="shared" ref="DP212:DS213" ca="1" si="330">DP195*DP169</f>
        <v>518.50617601109911</v>
      </c>
      <c r="DQ212" s="659">
        <f t="shared" ca="1" si="330"/>
        <v>633.56793396606895</v>
      </c>
      <c r="DR212" s="659">
        <f t="shared" ca="1" si="330"/>
        <v>639.11875860528983</v>
      </c>
      <c r="DS212" s="659">
        <f t="shared" ca="1" si="330"/>
        <v>639.47298693536948</v>
      </c>
      <c r="DT212" s="551">
        <f ca="1">SUM(DP212:DS212)</f>
        <v>2430.6658555178274</v>
      </c>
      <c r="DU212" s="659">
        <f t="shared" ref="DU212:DX212" ca="1" si="331">DU195*DU169</f>
        <v>529.13051757698474</v>
      </c>
      <c r="DV212" s="659">
        <f t="shared" ca="1" si="331"/>
        <v>651.72654568261351</v>
      </c>
      <c r="DW212" s="659">
        <f t="shared" ca="1" si="331"/>
        <v>657.38554702749116</v>
      </c>
      <c r="DX212" s="659">
        <f t="shared" ca="1" si="331"/>
        <v>657.20425134445634</v>
      </c>
      <c r="DY212" s="551">
        <f ca="1">SUM(DU212:DX212)</f>
        <v>2495.4468616315457</v>
      </c>
    </row>
    <row r="213" spans="1:129" x14ac:dyDescent="0.2">
      <c r="A213" s="471"/>
      <c r="B213" s="693" t="s">
        <v>745</v>
      </c>
      <c r="C213" s="550"/>
      <c r="D213" s="550"/>
      <c r="E213" s="550"/>
      <c r="F213" s="550"/>
      <c r="G213" s="550"/>
      <c r="H213" s="550"/>
      <c r="I213" s="551"/>
      <c r="J213" s="550"/>
      <c r="K213" s="550"/>
      <c r="L213" s="550"/>
      <c r="M213" s="550"/>
      <c r="N213" s="551"/>
      <c r="O213" s="550"/>
      <c r="P213" s="550"/>
      <c r="Q213" s="550"/>
      <c r="R213" s="550"/>
      <c r="S213" s="551"/>
      <c r="T213" s="550"/>
      <c r="U213" s="550"/>
      <c r="V213" s="550"/>
      <c r="W213" s="550"/>
      <c r="X213" s="551"/>
      <c r="Y213" s="550"/>
      <c r="Z213" s="550"/>
      <c r="AA213" s="550"/>
      <c r="AB213" s="550"/>
      <c r="AC213" s="551"/>
      <c r="AD213" s="550"/>
      <c r="AE213" s="550"/>
      <c r="AF213" s="550"/>
      <c r="AG213" s="550"/>
      <c r="AH213" s="551"/>
      <c r="AI213" s="550"/>
      <c r="AJ213" s="550"/>
      <c r="AK213" s="550"/>
      <c r="AL213" s="550"/>
      <c r="AM213" s="551"/>
      <c r="AN213" s="550"/>
      <c r="AO213" s="550"/>
      <c r="AP213" s="550"/>
      <c r="AQ213" s="550"/>
      <c r="AR213" s="551"/>
      <c r="AS213" s="550"/>
      <c r="AT213" s="550"/>
      <c r="AU213" s="550"/>
      <c r="AV213" s="550"/>
      <c r="AW213" s="551"/>
      <c r="AX213" s="550"/>
      <c r="AY213" s="550"/>
      <c r="AZ213" s="550"/>
      <c r="BA213" s="550"/>
      <c r="BB213" s="551"/>
      <c r="BC213" s="550"/>
      <c r="BD213" s="550"/>
      <c r="BE213" s="550"/>
      <c r="BF213" s="550"/>
      <c r="BG213" s="551"/>
      <c r="BH213" s="658">
        <f t="shared" si="317"/>
        <v>39.537834799999999</v>
      </c>
      <c r="BI213" s="658">
        <f t="shared" si="317"/>
        <v>137.98641412644108</v>
      </c>
      <c r="BJ213" s="658">
        <f t="shared" si="317"/>
        <v>137.53477423506314</v>
      </c>
      <c r="BK213" s="658">
        <f t="shared" si="317"/>
        <v>143.98641060929933</v>
      </c>
      <c r="BL213" s="553">
        <f>SUM(BH213:BK213)</f>
        <v>459.04543377080358</v>
      </c>
      <c r="BM213" s="658">
        <f t="shared" si="318"/>
        <v>23.024627935796438</v>
      </c>
      <c r="BN213" s="658">
        <f t="shared" si="318"/>
        <v>22.683281607584995</v>
      </c>
      <c r="BO213" s="658">
        <f t="shared" si="318"/>
        <v>22.37333707250643</v>
      </c>
      <c r="BP213" s="658">
        <f t="shared" si="318"/>
        <v>24.926674127207527</v>
      </c>
      <c r="BQ213" s="553">
        <f>SUM(BM213:BP213)</f>
        <v>93.007920743095383</v>
      </c>
      <c r="BR213" s="658">
        <f t="shared" si="319"/>
        <v>24.543362321491919</v>
      </c>
      <c r="BS213" s="658">
        <f t="shared" si="319"/>
        <v>25.171081993836466</v>
      </c>
      <c r="BT213" s="658">
        <f t="shared" si="319"/>
        <v>25.770864113323192</v>
      </c>
      <c r="BU213" s="658">
        <f t="shared" si="319"/>
        <v>26.493179924511008</v>
      </c>
      <c r="BV213" s="873">
        <f>SUM(BR213:BU213)</f>
        <v>101.97848835316259</v>
      </c>
      <c r="BW213" s="658">
        <f t="shared" si="320"/>
        <v>25.296812439974804</v>
      </c>
      <c r="BX213" s="658">
        <f t="shared" si="320"/>
        <v>25.169241898499997</v>
      </c>
      <c r="BY213" s="658">
        <f t="shared" si="320"/>
        <v>25.634873924224028</v>
      </c>
      <c r="BZ213" s="658">
        <f t="shared" si="320"/>
        <v>26.211222026125128</v>
      </c>
      <c r="CA213" s="553">
        <f>SUM(BW213:BZ213)</f>
        <v>102.31215028882396</v>
      </c>
      <c r="CB213" s="658">
        <f t="shared" si="321"/>
        <v>14.787849583161673</v>
      </c>
      <c r="CC213" s="658">
        <f t="shared" si="321"/>
        <v>18.638591013669885</v>
      </c>
      <c r="CD213" s="659">
        <f t="shared" si="321"/>
        <v>29.246353266463249</v>
      </c>
      <c r="CE213" s="659">
        <f t="shared" si="321"/>
        <v>29.706064814980902</v>
      </c>
      <c r="CF213" s="551">
        <f>SUM(CB213:CE213)</f>
        <v>92.378858678275705</v>
      </c>
      <c r="CG213" s="659">
        <f t="shared" si="322"/>
        <v>27.390863653889753</v>
      </c>
      <c r="CH213" s="659">
        <f t="shared" si="322"/>
        <v>31.971248909360995</v>
      </c>
      <c r="CI213" s="659">
        <f t="shared" si="322"/>
        <v>40.378794374381869</v>
      </c>
      <c r="CJ213" s="659">
        <f t="shared" si="322"/>
        <v>49.94147892596316</v>
      </c>
      <c r="CK213" s="551">
        <f>SUM(CG213:CJ213)</f>
        <v>149.68238586359578</v>
      </c>
      <c r="CL213" s="659">
        <f t="shared" ca="1" si="323"/>
        <v>53.168345234105431</v>
      </c>
      <c r="CM213" s="659">
        <f t="shared" si="323"/>
        <v>40.292368893970568</v>
      </c>
      <c r="CN213" s="659">
        <f t="shared" si="323"/>
        <v>57.5791058589325</v>
      </c>
      <c r="CO213" s="659">
        <f>CO196*CO170</f>
        <v>57.805430093215463</v>
      </c>
      <c r="CP213" s="551">
        <f ca="1">SUM(CL213:CO213)</f>
        <v>208.84525008022399</v>
      </c>
      <c r="CQ213" s="659">
        <f t="shared" si="324"/>
        <v>46.724005699251308</v>
      </c>
      <c r="CR213" s="659">
        <f t="shared" si="324"/>
        <v>56.70452087857317</v>
      </c>
      <c r="CS213" s="659">
        <f t="shared" si="324"/>
        <v>66.357673018697724</v>
      </c>
      <c r="CT213" s="659">
        <f t="shared" si="324"/>
        <v>59.993329165880674</v>
      </c>
      <c r="CU213" s="551">
        <f>SUM(CQ213:CT213)</f>
        <v>229.77952876240286</v>
      </c>
      <c r="CV213" s="659">
        <f t="shared" ca="1" si="325"/>
        <v>62.673584635328851</v>
      </c>
      <c r="CW213" s="659">
        <f t="shared" ca="1" si="325"/>
        <v>67.252202957815229</v>
      </c>
      <c r="CX213" s="659">
        <f t="shared" ca="1" si="325"/>
        <v>79.930292889004633</v>
      </c>
      <c r="CY213" s="659">
        <f ca="1">CY196*CY170</f>
        <v>81.169736139846762</v>
      </c>
      <c r="CZ213" s="551">
        <f ca="1">SUM(CV213:CY213)</f>
        <v>291.02581662199549</v>
      </c>
      <c r="DA213" s="659">
        <f t="shared" ca="1" si="326"/>
        <v>81.165208233478012</v>
      </c>
      <c r="DB213" s="659">
        <f t="shared" ca="1" si="326"/>
        <v>87.269835877206305</v>
      </c>
      <c r="DC213" s="659">
        <f t="shared" ca="1" si="326"/>
        <v>88.863491328255321</v>
      </c>
      <c r="DD213" s="659">
        <f t="shared" ca="1" si="326"/>
        <v>87.427391748861794</v>
      </c>
      <c r="DE213" s="551">
        <f ca="1">SUM(DA213:DD213)</f>
        <v>344.72592718780146</v>
      </c>
      <c r="DF213" s="659">
        <f t="shared" ca="1" si="327"/>
        <v>86.834446104819747</v>
      </c>
      <c r="DG213" s="659">
        <f t="shared" ca="1" si="327"/>
        <v>92.158486233539705</v>
      </c>
      <c r="DH213" s="659">
        <f t="shared" ref="DH213" ca="1" si="332">DH196*DH170</f>
        <v>92.774877932262157</v>
      </c>
      <c r="DI213" s="659">
        <f t="shared" ca="1" si="328"/>
        <v>94.1307509728056</v>
      </c>
      <c r="DJ213" s="551">
        <f ca="1">SUM(DF213:DI213)</f>
        <v>365.89856124342725</v>
      </c>
      <c r="DK213" s="659">
        <f t="shared" ca="1" si="329"/>
        <v>71.157319266494838</v>
      </c>
      <c r="DL213" s="659">
        <f t="shared" ca="1" si="329"/>
        <v>101.78890454598934</v>
      </c>
      <c r="DM213" s="659">
        <f t="shared" ca="1" si="329"/>
        <v>101.21992422255391</v>
      </c>
      <c r="DN213" s="659">
        <f t="shared" ca="1" si="329"/>
        <v>99.86633970547058</v>
      </c>
      <c r="DO213" s="551">
        <f ca="1">SUM(DK213:DN213)</f>
        <v>374.03248774050866</v>
      </c>
      <c r="DP213" s="659">
        <f t="shared" ca="1" si="330"/>
        <v>66.679318462594011</v>
      </c>
      <c r="DQ213" s="659">
        <f t="shared" ca="1" si="330"/>
        <v>85.633673483993462</v>
      </c>
      <c r="DR213" s="659">
        <f t="shared" ca="1" si="330"/>
        <v>84.937240049081709</v>
      </c>
      <c r="DS213" s="659">
        <f t="shared" ca="1" si="330"/>
        <v>83.57966724512184</v>
      </c>
      <c r="DT213" s="551">
        <f ca="1">SUM(DP213:DS213)</f>
        <v>320.82989924079106</v>
      </c>
      <c r="DU213" s="659">
        <f t="shared" ref="DU213:DX213" ca="1" si="333">DU196*DU170</f>
        <v>69.565322228595917</v>
      </c>
      <c r="DV213" s="659">
        <f t="shared" ca="1" si="333"/>
        <v>89.069740007366022</v>
      </c>
      <c r="DW213" s="659">
        <f t="shared" ca="1" si="333"/>
        <v>88.066006142022786</v>
      </c>
      <c r="DX213" s="659">
        <f t="shared" ca="1" si="333"/>
        <v>86.37324199512156</v>
      </c>
      <c r="DY213" s="551">
        <f ca="1">SUM(DU213:DX213)</f>
        <v>333.0743103731063</v>
      </c>
    </row>
    <row r="214" spans="1:129" x14ac:dyDescent="0.2">
      <c r="A214" s="471"/>
      <c r="B214" s="874" t="s">
        <v>781</v>
      </c>
      <c r="C214" s="701"/>
      <c r="D214" s="701"/>
      <c r="E214" s="701"/>
      <c r="F214" s="701"/>
      <c r="G214" s="701"/>
      <c r="H214" s="701"/>
      <c r="I214" s="875"/>
      <c r="J214" s="701"/>
      <c r="K214" s="701"/>
      <c r="L214" s="701"/>
      <c r="M214" s="701"/>
      <c r="N214" s="875"/>
      <c r="O214" s="701"/>
      <c r="P214" s="701"/>
      <c r="Q214" s="701"/>
      <c r="R214" s="701"/>
      <c r="S214" s="875"/>
      <c r="T214" s="701"/>
      <c r="U214" s="701"/>
      <c r="V214" s="701"/>
      <c r="W214" s="701"/>
      <c r="X214" s="875"/>
      <c r="Y214" s="701"/>
      <c r="Z214" s="701"/>
      <c r="AA214" s="701"/>
      <c r="AB214" s="701"/>
      <c r="AC214" s="875"/>
      <c r="AD214" s="701"/>
      <c r="AE214" s="701"/>
      <c r="AF214" s="701"/>
      <c r="AG214" s="701"/>
      <c r="AH214" s="875"/>
      <c r="AI214" s="701"/>
      <c r="AJ214" s="701"/>
      <c r="AK214" s="701"/>
      <c r="AL214" s="701"/>
      <c r="AM214" s="875"/>
      <c r="AN214" s="701"/>
      <c r="AO214" s="701"/>
      <c r="AP214" s="701"/>
      <c r="AQ214" s="701"/>
      <c r="AR214" s="875"/>
      <c r="AS214" s="701"/>
      <c r="AT214" s="701"/>
      <c r="AU214" s="701"/>
      <c r="AV214" s="701"/>
      <c r="AW214" s="875"/>
      <c r="AX214" s="701"/>
      <c r="AY214" s="701"/>
      <c r="AZ214" s="701"/>
      <c r="BA214" s="701"/>
      <c r="BB214" s="875"/>
      <c r="BC214" s="701"/>
      <c r="BD214" s="701"/>
      <c r="BE214" s="701"/>
      <c r="BF214" s="701"/>
      <c r="BG214" s="875"/>
      <c r="BH214" s="876">
        <f t="shared" ref="BH214:CZ214" si="334">SUM(BH212:BH213)</f>
        <v>200.50021437499998</v>
      </c>
      <c r="BI214" s="876">
        <f t="shared" si="334"/>
        <v>622.11399733197266</v>
      </c>
      <c r="BJ214" s="876">
        <f t="shared" si="334"/>
        <v>640.43450447089992</v>
      </c>
      <c r="BK214" s="876">
        <f t="shared" si="334"/>
        <v>677.87478519175158</v>
      </c>
      <c r="BL214" s="700">
        <f t="shared" si="334"/>
        <v>2140.9235013696243</v>
      </c>
      <c r="BM214" s="876">
        <f t="shared" si="334"/>
        <v>501.35523191399352</v>
      </c>
      <c r="BN214" s="876">
        <f t="shared" si="334"/>
        <v>564.66760987891269</v>
      </c>
      <c r="BO214" s="876">
        <f t="shared" si="334"/>
        <v>596.34464970199201</v>
      </c>
      <c r="BP214" s="876">
        <f t="shared" si="334"/>
        <v>695.52748238833442</v>
      </c>
      <c r="BQ214" s="700">
        <f t="shared" si="334"/>
        <v>2357.894973883233</v>
      </c>
      <c r="BR214" s="876">
        <f t="shared" si="334"/>
        <v>479.83668599999987</v>
      </c>
      <c r="BS214" s="876">
        <f t="shared" si="334"/>
        <v>571.99004457547937</v>
      </c>
      <c r="BT214" s="876">
        <f t="shared" si="334"/>
        <v>672.53709086689071</v>
      </c>
      <c r="BU214" s="876">
        <f t="shared" si="334"/>
        <v>708.4456700822625</v>
      </c>
      <c r="BV214" s="877">
        <f t="shared" si="334"/>
        <v>2432.8094915246324</v>
      </c>
      <c r="BW214" s="876">
        <f t="shared" si="334"/>
        <v>448.3518172419906</v>
      </c>
      <c r="BX214" s="876">
        <f t="shared" si="334"/>
        <v>474.07683407740006</v>
      </c>
      <c r="BY214" s="876">
        <f t="shared" si="334"/>
        <v>518.75251471971626</v>
      </c>
      <c r="BZ214" s="876">
        <f t="shared" si="334"/>
        <v>488.41839279881515</v>
      </c>
      <c r="CA214" s="700">
        <f t="shared" si="334"/>
        <v>1929.5995588379219</v>
      </c>
      <c r="CB214" s="876">
        <f t="shared" si="334"/>
        <v>292.27415073094414</v>
      </c>
      <c r="CC214" s="876">
        <f t="shared" si="334"/>
        <v>369.3348198873565</v>
      </c>
      <c r="CD214" s="701">
        <f t="shared" si="334"/>
        <v>502.37291919786833</v>
      </c>
      <c r="CE214" s="701">
        <f t="shared" si="334"/>
        <v>554.08463287829989</v>
      </c>
      <c r="CF214" s="875">
        <f t="shared" si="334"/>
        <v>1718.0665226944689</v>
      </c>
      <c r="CG214" s="701">
        <f t="shared" si="334"/>
        <v>302.60487807515011</v>
      </c>
      <c r="CH214" s="701">
        <f t="shared" si="334"/>
        <v>373.20807980726261</v>
      </c>
      <c r="CI214" s="701">
        <f t="shared" si="334"/>
        <v>479.96369231646042</v>
      </c>
      <c r="CJ214" s="701">
        <f t="shared" si="334"/>
        <v>623.52787327247802</v>
      </c>
      <c r="CK214" s="875">
        <f t="shared" si="334"/>
        <v>1779.3045234713511</v>
      </c>
      <c r="CL214" s="701">
        <f t="shared" ca="1" si="334"/>
        <v>426.77902794006332</v>
      </c>
      <c r="CM214" s="701">
        <f t="shared" si="334"/>
        <v>441.30893472106038</v>
      </c>
      <c r="CN214" s="701">
        <f t="shared" si="334"/>
        <v>592.99492696529603</v>
      </c>
      <c r="CO214" s="701">
        <f>SUM(CO212:CO213)</f>
        <v>613.33145823110908</v>
      </c>
      <c r="CP214" s="875">
        <f t="shared" ca="1" si="334"/>
        <v>2074.4143478575293</v>
      </c>
      <c r="CQ214" s="701">
        <f t="shared" si="334"/>
        <v>532.00940382463511</v>
      </c>
      <c r="CR214" s="701">
        <f t="shared" si="334"/>
        <v>474.96079716274551</v>
      </c>
      <c r="CS214" s="701">
        <f t="shared" si="334"/>
        <v>575.88749926340654</v>
      </c>
      <c r="CT214" s="701">
        <f t="shared" si="334"/>
        <v>649.90249574333632</v>
      </c>
      <c r="CU214" s="875">
        <f t="shared" si="334"/>
        <v>2232.7601959941235</v>
      </c>
      <c r="CV214" s="701">
        <f t="shared" ca="1" si="334"/>
        <v>562.82872931398686</v>
      </c>
      <c r="CW214" s="701">
        <f t="shared" ca="1" si="334"/>
        <v>554.25363835459996</v>
      </c>
      <c r="CX214" s="701">
        <f t="shared" ca="1" si="334"/>
        <v>668.82719501484848</v>
      </c>
      <c r="CY214" s="701">
        <f ca="1">SUM(CY212:CY213)</f>
        <v>797.19785461302627</v>
      </c>
      <c r="CZ214" s="875">
        <f t="shared" ca="1" si="334"/>
        <v>2583.1074172964618</v>
      </c>
      <c r="DA214" s="701">
        <f ca="1">SUM(DA212:DA213)</f>
        <v>548.7504188634839</v>
      </c>
      <c r="DB214" s="701">
        <f ca="1">SUM(DB212:DB213)</f>
        <v>624.62243131543016</v>
      </c>
      <c r="DC214" s="701">
        <f ca="1">SUM(DC212:DC213)</f>
        <v>644.90173413710693</v>
      </c>
      <c r="DD214" s="701">
        <f t="shared" ref="DD214:DJ214" ca="1" si="335">SUM(DD212:DD213)</f>
        <v>727.99181452959351</v>
      </c>
      <c r="DE214" s="875">
        <f t="shared" ca="1" si="335"/>
        <v>2546.2663988456143</v>
      </c>
      <c r="DF214" s="701">
        <f t="shared" ca="1" si="335"/>
        <v>584.61318569396587</v>
      </c>
      <c r="DG214" s="701">
        <f t="shared" ca="1" si="335"/>
        <v>712.33535792796761</v>
      </c>
      <c r="DH214" s="701">
        <f t="shared" ref="DH214:DI214" ca="1" si="336">SUM(DH212:DH213)</f>
        <v>717.09973307428459</v>
      </c>
      <c r="DI214" s="701">
        <f t="shared" ca="1" si="336"/>
        <v>715.84936007850695</v>
      </c>
      <c r="DJ214" s="875">
        <f t="shared" ca="1" si="335"/>
        <v>2729.897636774725</v>
      </c>
      <c r="DK214" s="701">
        <f t="shared" ref="DK214:DT214" ca="1" si="337">SUM(DK212:DK213)</f>
        <v>556.00377466420514</v>
      </c>
      <c r="DL214" s="701">
        <f t="shared" ca="1" si="337"/>
        <v>716.63424771445023</v>
      </c>
      <c r="DM214" s="701">
        <f t="shared" ca="1" si="337"/>
        <v>721.50182474069913</v>
      </c>
      <c r="DN214" s="701">
        <f t="shared" ca="1" si="337"/>
        <v>720.97459053374587</v>
      </c>
      <c r="DO214" s="875">
        <f t="shared" ca="1" si="337"/>
        <v>2715.1144376531006</v>
      </c>
      <c r="DP214" s="701">
        <f t="shared" ca="1" si="337"/>
        <v>585.1854944736931</v>
      </c>
      <c r="DQ214" s="701">
        <f t="shared" ca="1" si="337"/>
        <v>719.2016074500624</v>
      </c>
      <c r="DR214" s="701">
        <f t="shared" ca="1" si="337"/>
        <v>724.05599865437148</v>
      </c>
      <c r="DS214" s="701">
        <f t="shared" ca="1" si="337"/>
        <v>723.05265418049134</v>
      </c>
      <c r="DT214" s="875">
        <f t="shared" ca="1" si="337"/>
        <v>2751.4957547586182</v>
      </c>
      <c r="DU214" s="701">
        <f t="shared" ref="DU214:DY214" ca="1" si="338">SUM(DU212:DU213)</f>
        <v>598.6958398055807</v>
      </c>
      <c r="DV214" s="701">
        <f t="shared" ca="1" si="338"/>
        <v>740.79628568997953</v>
      </c>
      <c r="DW214" s="701">
        <f t="shared" ca="1" si="338"/>
        <v>745.451553169514</v>
      </c>
      <c r="DX214" s="701">
        <f t="shared" ca="1" si="338"/>
        <v>743.57749333957793</v>
      </c>
      <c r="DY214" s="875">
        <f t="shared" ca="1" si="338"/>
        <v>2828.5211720046518</v>
      </c>
    </row>
    <row r="215" spans="1:129" x14ac:dyDescent="0.2">
      <c r="A215" s="526"/>
      <c r="B215" s="756"/>
      <c r="C215" s="597"/>
      <c r="D215" s="597"/>
      <c r="E215" s="597"/>
      <c r="F215" s="597"/>
      <c r="G215" s="597"/>
      <c r="H215" s="597"/>
      <c r="I215" s="598"/>
      <c r="J215" s="597"/>
      <c r="K215" s="597"/>
      <c r="L215" s="597"/>
      <c r="M215" s="597"/>
      <c r="N215" s="598"/>
      <c r="O215" s="743"/>
      <c r="P215" s="743"/>
      <c r="Q215" s="743"/>
      <c r="R215" s="743"/>
      <c r="S215" s="598"/>
      <c r="T215" s="743"/>
      <c r="U215" s="743"/>
      <c r="V215" s="743"/>
      <c r="W215" s="743"/>
      <c r="X215" s="598"/>
      <c r="Y215" s="743"/>
      <c r="Z215" s="743"/>
      <c r="AA215" s="743"/>
      <c r="AB215" s="743"/>
      <c r="AC215" s="598"/>
      <c r="AD215" s="743"/>
      <c r="AE215" s="743"/>
      <c r="AF215" s="743"/>
      <c r="AG215" s="743"/>
      <c r="AH215" s="598"/>
      <c r="AI215" s="743"/>
      <c r="AJ215" s="743"/>
      <c r="AK215" s="743"/>
      <c r="AL215" s="743"/>
      <c r="AM215" s="598"/>
      <c r="AN215" s="743"/>
      <c r="AO215" s="743"/>
      <c r="AP215" s="743"/>
      <c r="AQ215" s="743"/>
      <c r="AR215" s="598"/>
      <c r="AS215" s="743"/>
      <c r="AT215" s="743"/>
      <c r="AU215" s="743"/>
      <c r="AV215" s="743"/>
      <c r="AW215" s="598"/>
      <c r="AX215" s="743"/>
      <c r="AY215" s="743"/>
      <c r="AZ215" s="743"/>
      <c r="BA215" s="743"/>
      <c r="BB215" s="598"/>
      <c r="BC215" s="743"/>
      <c r="BD215" s="743"/>
      <c r="BE215" s="743"/>
      <c r="BF215" s="743"/>
      <c r="BG215" s="598"/>
      <c r="BH215" s="743"/>
      <c r="BI215" s="743"/>
      <c r="BJ215" s="743"/>
      <c r="BK215" s="743"/>
      <c r="BL215" s="849"/>
      <c r="BM215" s="743"/>
      <c r="BN215" s="743"/>
      <c r="BO215" s="743"/>
      <c r="BP215" s="743"/>
      <c r="BQ215" s="849"/>
      <c r="BR215" s="743"/>
      <c r="BS215" s="743"/>
      <c r="BT215" s="743"/>
      <c r="BU215" s="743"/>
      <c r="BV215" s="865"/>
      <c r="BW215" s="743"/>
      <c r="BX215" s="743"/>
      <c r="BY215" s="743"/>
      <c r="BZ215" s="743"/>
      <c r="CA215" s="849"/>
      <c r="CB215" s="743"/>
      <c r="CC215" s="743"/>
      <c r="CD215" s="743"/>
      <c r="CE215" s="743"/>
      <c r="CF215" s="849"/>
      <c r="CG215" s="743"/>
      <c r="CH215" s="743"/>
      <c r="CI215" s="743"/>
      <c r="CJ215" s="743"/>
      <c r="CK215" s="849"/>
      <c r="CL215" s="743"/>
      <c r="CM215" s="743"/>
      <c r="CN215" s="743"/>
      <c r="CO215" s="743"/>
      <c r="CP215" s="849"/>
      <c r="CQ215" s="743"/>
      <c r="CR215" s="743"/>
      <c r="CS215" s="743"/>
      <c r="CT215" s="743"/>
      <c r="CU215" s="849"/>
      <c r="CV215" s="743"/>
      <c r="CW215" s="743"/>
      <c r="CX215" s="743"/>
      <c r="CY215" s="743"/>
      <c r="CZ215" s="849"/>
      <c r="DA215" s="743"/>
      <c r="DB215" s="743"/>
      <c r="DC215" s="743"/>
      <c r="DD215" s="743"/>
      <c r="DE215" s="849"/>
      <c r="DF215" s="743"/>
      <c r="DG215" s="743"/>
      <c r="DH215" s="743"/>
      <c r="DI215" s="2818"/>
      <c r="DJ215" s="849"/>
      <c r="DK215" s="743"/>
      <c r="DL215" s="743"/>
      <c r="DM215" s="743"/>
      <c r="DN215" s="743"/>
      <c r="DO215" s="849"/>
      <c r="DP215" s="743"/>
      <c r="DQ215" s="743"/>
      <c r="DR215" s="743"/>
      <c r="DS215" s="743"/>
      <c r="DT215" s="849"/>
      <c r="DU215" s="743"/>
      <c r="DV215" s="743"/>
      <c r="DW215" s="743"/>
      <c r="DX215" s="743"/>
      <c r="DY215" s="849"/>
    </row>
    <row r="216" spans="1:129" x14ac:dyDescent="0.2">
      <c r="A216" s="471"/>
      <c r="B216" s="693" t="s">
        <v>789</v>
      </c>
      <c r="C216" s="550"/>
      <c r="D216" s="550"/>
      <c r="E216" s="550"/>
      <c r="F216" s="550"/>
      <c r="G216" s="550"/>
      <c r="H216" s="550"/>
      <c r="I216" s="551"/>
      <c r="J216" s="550"/>
      <c r="K216" s="550"/>
      <c r="L216" s="550"/>
      <c r="M216" s="550"/>
      <c r="N216" s="551"/>
      <c r="O216" s="550"/>
      <c r="P216" s="550"/>
      <c r="Q216" s="550"/>
      <c r="R216" s="550"/>
      <c r="S216" s="551"/>
      <c r="T216" s="550"/>
      <c r="U216" s="550"/>
      <c r="V216" s="550"/>
      <c r="W216" s="550"/>
      <c r="X216" s="551"/>
      <c r="Y216" s="550"/>
      <c r="Z216" s="550"/>
      <c r="AA216" s="550"/>
      <c r="AB216" s="550"/>
      <c r="AC216" s="551"/>
      <c r="AD216" s="550"/>
      <c r="AE216" s="550"/>
      <c r="AF216" s="550"/>
      <c r="AG216" s="550"/>
      <c r="AH216" s="551"/>
      <c r="AI216" s="550"/>
      <c r="AJ216" s="550"/>
      <c r="AK216" s="550"/>
      <c r="AL216" s="550"/>
      <c r="AM216" s="551"/>
      <c r="AN216" s="550"/>
      <c r="AO216" s="550"/>
      <c r="AP216" s="550"/>
      <c r="AQ216" s="550"/>
      <c r="AR216" s="551"/>
      <c r="AS216" s="550"/>
      <c r="AT216" s="550"/>
      <c r="AU216" s="550"/>
      <c r="AV216" s="550"/>
      <c r="AW216" s="551"/>
      <c r="AX216" s="550"/>
      <c r="AY216" s="550"/>
      <c r="AZ216" s="550"/>
      <c r="BA216" s="550"/>
      <c r="BB216" s="551"/>
      <c r="BC216" s="550"/>
      <c r="BD216" s="550"/>
      <c r="BE216" s="550"/>
      <c r="BF216" s="550"/>
      <c r="BG216" s="551"/>
      <c r="BH216" s="574">
        <f>BH200*BH179</f>
        <v>11.024999999999999</v>
      </c>
      <c r="BI216" s="574">
        <f>BI200*BI179</f>
        <v>64.425000000000011</v>
      </c>
      <c r="BJ216" s="574">
        <f>BJ200*BJ179</f>
        <v>63.824999999999996</v>
      </c>
      <c r="BK216" s="574">
        <f>BK200*BK179</f>
        <v>64.349999999999994</v>
      </c>
      <c r="BL216" s="553">
        <f>SUM(BH216:BK216)</f>
        <v>203.625</v>
      </c>
      <c r="BM216" s="574">
        <f>BM200*BM179</f>
        <v>70.349999999999994</v>
      </c>
      <c r="BN216" s="574">
        <f>BN200*BN179</f>
        <v>69.824999999999989</v>
      </c>
      <c r="BO216" s="574">
        <f>BO200*BO179</f>
        <v>72.974999999999994</v>
      </c>
      <c r="BP216" s="574">
        <f>BP200*BP179</f>
        <v>70.949999999999989</v>
      </c>
      <c r="BQ216" s="553">
        <f>SUM(BM216:BP216)</f>
        <v>284.09999999999997</v>
      </c>
      <c r="BR216" s="574">
        <f>BR200*BR179</f>
        <v>61.199999999999996</v>
      </c>
      <c r="BS216" s="574">
        <f>BS200*BS179</f>
        <v>67.724999999999994</v>
      </c>
      <c r="BT216" s="574">
        <f>BT200*BT179</f>
        <v>68.699999999999989</v>
      </c>
      <c r="BU216" s="574">
        <f>BU200*BU179</f>
        <v>65.25</v>
      </c>
      <c r="BV216" s="873">
        <f>SUM(BR216:BU216)</f>
        <v>262.875</v>
      </c>
      <c r="BW216" s="574">
        <f>BW200*BW179</f>
        <v>66</v>
      </c>
      <c r="BX216" s="574">
        <f>BX200*BX179</f>
        <v>74.25</v>
      </c>
      <c r="BY216" s="574">
        <f>BY200*BY179</f>
        <v>85.5</v>
      </c>
      <c r="BZ216" s="574">
        <f>BZ200*BZ179</f>
        <v>91.5</v>
      </c>
      <c r="CA216" s="553">
        <f>SUM(BW216:BZ216)</f>
        <v>317.25</v>
      </c>
      <c r="CB216" s="574">
        <f>CB200*CB179</f>
        <v>76.5</v>
      </c>
      <c r="CC216" s="574">
        <f>CC200*CC179</f>
        <v>74.25</v>
      </c>
      <c r="CD216" s="550">
        <f>CD200*CD179</f>
        <v>40.5</v>
      </c>
      <c r="CE216" s="550">
        <f>CE200*CE179</f>
        <v>36.974999999999994</v>
      </c>
      <c r="CF216" s="551">
        <f>SUM(CB216:CE216)</f>
        <v>228.22499999999999</v>
      </c>
      <c r="CG216" s="550">
        <f>CG200*CG179</f>
        <v>37.5</v>
      </c>
      <c r="CH216" s="550">
        <f>CH200*CH179</f>
        <v>40.275000000000006</v>
      </c>
      <c r="CI216" s="550">
        <f>CI200*CI179</f>
        <v>30.974999999999998</v>
      </c>
      <c r="CJ216" s="550">
        <f>CJ200*CJ179</f>
        <v>33.75</v>
      </c>
      <c r="CK216" s="551">
        <f>SUM(CG216:CJ216)</f>
        <v>142.5</v>
      </c>
      <c r="CL216" s="550">
        <f>CL200*CL179</f>
        <v>37.5</v>
      </c>
      <c r="CM216" s="550">
        <f>CM200*CM179</f>
        <v>41.325000000000003</v>
      </c>
      <c r="CN216" s="550">
        <f>CN200*CN179</f>
        <v>38.025000000000006</v>
      </c>
      <c r="CO216" s="550">
        <f>CO200*CO179</f>
        <v>38.325000000000003</v>
      </c>
      <c r="CP216" s="551">
        <f>SUM(CL216:CO216)</f>
        <v>155.17500000000001</v>
      </c>
      <c r="CQ216" s="550">
        <f>CQ200*CQ179</f>
        <v>43.95</v>
      </c>
      <c r="CR216" s="550">
        <f>CR200*CR179</f>
        <v>43.8</v>
      </c>
      <c r="CS216" s="550">
        <f ca="1">CS200*CS179</f>
        <v>48.446666666666673</v>
      </c>
      <c r="CT216" s="550">
        <f ca="1">CT200*CT179</f>
        <v>48.828888888888898</v>
      </c>
      <c r="CU216" s="551">
        <f ca="1">SUM(CQ216:CT216)</f>
        <v>185.02555555555557</v>
      </c>
      <c r="CV216" s="550">
        <f>CV200*CV179</f>
        <v>52.500000000001364</v>
      </c>
      <c r="CW216" s="550">
        <f>CW200*CW179</f>
        <v>50.625</v>
      </c>
      <c r="CX216" s="550">
        <f>CX200*CX179</f>
        <v>57.51743823750212</v>
      </c>
      <c r="CY216" s="550">
        <f>CY200*CY179</f>
        <v>60.777131295000345</v>
      </c>
      <c r="CZ216" s="551">
        <f>SUM(CV216:CY216)</f>
        <v>221.41956953250383</v>
      </c>
      <c r="DA216" s="550">
        <f>DA200*DA179</f>
        <v>59.400000000000006</v>
      </c>
      <c r="DB216" s="550">
        <f>DB200*DB179</f>
        <v>64.5</v>
      </c>
      <c r="DC216" s="550">
        <f>DC200*DC179</f>
        <v>66.074999999999989</v>
      </c>
      <c r="DD216" s="550">
        <f>DD200*DD179</f>
        <v>59.175000000000004</v>
      </c>
      <c r="DE216" s="551">
        <f>SUM(DA216:DD216)</f>
        <v>249.15</v>
      </c>
      <c r="DF216" s="550">
        <f>DF200*DF179</f>
        <v>55.5</v>
      </c>
      <c r="DG216" s="550">
        <f>DG200*DG179</f>
        <v>53.775000000000006</v>
      </c>
      <c r="DH216" s="550">
        <f>DH200*DH179</f>
        <v>67.769468572500003</v>
      </c>
      <c r="DI216" s="550">
        <f>DI200*DI179</f>
        <v>71.7121318425</v>
      </c>
      <c r="DJ216" s="551">
        <f>SUM(DF216:DI216)</f>
        <v>248.75660041500004</v>
      </c>
      <c r="DK216" s="550">
        <f>DK200*DK179</f>
        <v>55.5</v>
      </c>
      <c r="DL216" s="550">
        <f>DL200*DL179</f>
        <v>53.775000000000006</v>
      </c>
      <c r="DM216" s="550">
        <f>DM200*DM179</f>
        <v>67.769468572500003</v>
      </c>
      <c r="DN216" s="550">
        <f>DN200*DN179</f>
        <v>71.7121318425</v>
      </c>
      <c r="DO216" s="551">
        <f>SUM(DK216:DN216)</f>
        <v>248.75660041500004</v>
      </c>
      <c r="DP216" s="550">
        <f>DP200*DP179</f>
        <v>58.275000000000006</v>
      </c>
      <c r="DQ216" s="550">
        <f>DQ200*DQ179</f>
        <v>56.463750000000005</v>
      </c>
      <c r="DR216" s="550">
        <f>DR200*DR179</f>
        <v>71.157942001125008</v>
      </c>
      <c r="DS216" s="550">
        <f>DS200*DS179</f>
        <v>75.297738434625003</v>
      </c>
      <c r="DT216" s="551">
        <f>SUM(DP216:DS216)</f>
        <v>261.19443043575001</v>
      </c>
      <c r="DU216" s="550">
        <f>DU200*DU179</f>
        <v>61.188750000000006</v>
      </c>
      <c r="DV216" s="550">
        <f>DV200*DV179</f>
        <v>59.286937500000008</v>
      </c>
      <c r="DW216" s="550">
        <f>DW200*DW179</f>
        <v>74.71583910118126</v>
      </c>
      <c r="DX216" s="550">
        <f>DX200*DX179</f>
        <v>79.06262535635625</v>
      </c>
      <c r="DY216" s="551">
        <f>SUM(DU216:DX216)</f>
        <v>274.25415195753754</v>
      </c>
    </row>
    <row r="217" spans="1:129" ht="12" thickBot="1" x14ac:dyDescent="0.25">
      <c r="A217" s="526"/>
      <c r="B217" s="756"/>
      <c r="C217" s="597"/>
      <c r="D217" s="597"/>
      <c r="E217" s="597"/>
      <c r="F217" s="597"/>
      <c r="G217" s="597"/>
      <c r="H217" s="597"/>
      <c r="I217" s="598"/>
      <c r="J217" s="597"/>
      <c r="K217" s="597"/>
      <c r="L217" s="597"/>
      <c r="M217" s="597"/>
      <c r="N217" s="598"/>
      <c r="O217" s="743"/>
      <c r="P217" s="743"/>
      <c r="Q217" s="743"/>
      <c r="R217" s="743"/>
      <c r="S217" s="598"/>
      <c r="T217" s="743"/>
      <c r="U217" s="743"/>
      <c r="V217" s="743"/>
      <c r="W217" s="743"/>
      <c r="X217" s="598"/>
      <c r="Y217" s="743"/>
      <c r="Z217" s="743"/>
      <c r="AA217" s="743"/>
      <c r="AB217" s="743"/>
      <c r="AC217" s="598"/>
      <c r="AD217" s="743"/>
      <c r="AE217" s="743"/>
      <c r="AF217" s="743"/>
      <c r="AG217" s="743"/>
      <c r="AH217" s="598"/>
      <c r="AI217" s="743"/>
      <c r="AJ217" s="743"/>
      <c r="AK217" s="743"/>
      <c r="AL217" s="743"/>
      <c r="AM217" s="598"/>
      <c r="AN217" s="743"/>
      <c r="AO217" s="743"/>
      <c r="AP217" s="743"/>
      <c r="AQ217" s="743"/>
      <c r="AR217" s="598"/>
      <c r="AS217" s="743"/>
      <c r="AT217" s="743"/>
      <c r="AU217" s="743"/>
      <c r="AV217" s="743"/>
      <c r="AW217" s="598"/>
      <c r="AX217" s="743"/>
      <c r="AY217" s="743"/>
      <c r="AZ217" s="743"/>
      <c r="BA217" s="743"/>
      <c r="BB217" s="598"/>
      <c r="BC217" s="743"/>
      <c r="BD217" s="743"/>
      <c r="BE217" s="743"/>
      <c r="BF217" s="743"/>
      <c r="BG217" s="598"/>
      <c r="BL217" s="849"/>
      <c r="BQ217" s="849"/>
      <c r="BV217" s="865"/>
      <c r="CA217" s="849"/>
      <c r="CF217" s="849"/>
      <c r="CK217" s="849"/>
      <c r="CP217" s="849"/>
      <c r="CU217" s="849"/>
      <c r="CY217" s="2575"/>
      <c r="CZ217" s="849"/>
      <c r="DA217" s="2614"/>
      <c r="DB217" s="2614"/>
      <c r="DC217" s="2631"/>
      <c r="DE217" s="849"/>
      <c r="DH217" s="2735"/>
      <c r="DI217" s="2795"/>
      <c r="DJ217" s="849"/>
      <c r="DO217" s="849"/>
      <c r="DT217" s="849"/>
      <c r="DY217" s="849"/>
    </row>
    <row r="218" spans="1:129" ht="11.25" customHeight="1" thickBot="1" x14ac:dyDescent="0.25">
      <c r="A218" s="559"/>
      <c r="B218" s="852" t="s">
        <v>791</v>
      </c>
      <c r="C218" s="853"/>
      <c r="D218" s="853"/>
      <c r="E218" s="853"/>
      <c r="F218" s="853"/>
      <c r="G218" s="853"/>
      <c r="H218" s="853"/>
      <c r="I218" s="854"/>
      <c r="J218" s="853"/>
      <c r="K218" s="853"/>
      <c r="L218" s="853"/>
      <c r="M218" s="853"/>
      <c r="N218" s="854"/>
      <c r="O218" s="853"/>
      <c r="P218" s="853"/>
      <c r="Q218" s="853"/>
      <c r="R218" s="853"/>
      <c r="S218" s="854"/>
      <c r="T218" s="853"/>
      <c r="U218" s="853"/>
      <c r="V218" s="853"/>
      <c r="W218" s="853"/>
      <c r="X218" s="854"/>
      <c r="Y218" s="853"/>
      <c r="Z218" s="853"/>
      <c r="AA218" s="853"/>
      <c r="AB218" s="853"/>
      <c r="AC218" s="854"/>
      <c r="AD218" s="853"/>
      <c r="AE218" s="853"/>
      <c r="AF218" s="853"/>
      <c r="AG218" s="853"/>
      <c r="AH218" s="854"/>
      <c r="AI218" s="853"/>
      <c r="AJ218" s="853"/>
      <c r="AK218" s="853"/>
      <c r="AL218" s="853"/>
      <c r="AM218" s="854"/>
      <c r="AN218" s="853"/>
      <c r="AO218" s="853"/>
      <c r="AP218" s="853"/>
      <c r="AQ218" s="853"/>
      <c r="AR218" s="854"/>
      <c r="AS218" s="853"/>
      <c r="AT218" s="853"/>
      <c r="AU218" s="853"/>
      <c r="AV218" s="853"/>
      <c r="AW218" s="854"/>
      <c r="AX218" s="853"/>
      <c r="AY218" s="853"/>
      <c r="AZ218" s="853"/>
      <c r="BA218" s="853"/>
      <c r="BB218" s="854"/>
      <c r="BC218" s="853"/>
      <c r="BD218" s="853"/>
      <c r="BE218" s="853"/>
      <c r="BF218" s="853"/>
      <c r="BG218" s="854"/>
      <c r="BH218" s="855">
        <f t="shared" ref="BH218:CZ218" si="339">BH208+BH214+BH216</f>
        <v>243.34834744624399</v>
      </c>
      <c r="BI218" s="855">
        <f t="shared" si="339"/>
        <v>862.81607501452754</v>
      </c>
      <c r="BJ218" s="855">
        <f t="shared" si="339"/>
        <v>935.31057529812836</v>
      </c>
      <c r="BK218" s="855">
        <f t="shared" si="339"/>
        <v>1001.5203826212985</v>
      </c>
      <c r="BL218" s="856">
        <f t="shared" si="339"/>
        <v>3042.9953803801986</v>
      </c>
      <c r="BM218" s="855">
        <f t="shared" si="339"/>
        <v>787.99999999999989</v>
      </c>
      <c r="BN218" s="855">
        <f t="shared" si="339"/>
        <v>850</v>
      </c>
      <c r="BO218" s="855">
        <f t="shared" si="339"/>
        <v>892.99999999999989</v>
      </c>
      <c r="BP218" s="855">
        <f t="shared" si="339"/>
        <v>1020</v>
      </c>
      <c r="BQ218" s="856">
        <f t="shared" si="339"/>
        <v>3551</v>
      </c>
      <c r="BR218" s="855">
        <f t="shared" si="339"/>
        <v>798</v>
      </c>
      <c r="BS218" s="855">
        <f t="shared" si="339"/>
        <v>931</v>
      </c>
      <c r="BT218" s="855">
        <f t="shared" si="339"/>
        <v>1031</v>
      </c>
      <c r="BU218" s="855">
        <f t="shared" si="339"/>
        <v>1075</v>
      </c>
      <c r="BV218" s="878">
        <f t="shared" si="339"/>
        <v>3835</v>
      </c>
      <c r="BW218" s="855">
        <f t="shared" si="339"/>
        <v>782.24465035598246</v>
      </c>
      <c r="BX218" s="855">
        <f t="shared" si="339"/>
        <v>821.02421137877013</v>
      </c>
      <c r="BY218" s="855">
        <f t="shared" si="339"/>
        <v>882.08544960168388</v>
      </c>
      <c r="BZ218" s="855">
        <f t="shared" si="339"/>
        <v>868.23502579881506</v>
      </c>
      <c r="CA218" s="856">
        <f t="shared" si="339"/>
        <v>3353.5893371352513</v>
      </c>
      <c r="CB218" s="855">
        <f t="shared" si="339"/>
        <v>639.00000099999988</v>
      </c>
      <c r="CC218" s="855">
        <f t="shared" si="339"/>
        <v>728.99999999999989</v>
      </c>
      <c r="CD218" s="853">
        <f t="shared" si="339"/>
        <v>914</v>
      </c>
      <c r="CE218" s="853">
        <f t="shared" si="339"/>
        <v>1015.499999</v>
      </c>
      <c r="CF218" s="854">
        <f t="shared" si="339"/>
        <v>3297.4999999999995</v>
      </c>
      <c r="CG218" s="853">
        <f t="shared" si="339"/>
        <v>615.99999900000012</v>
      </c>
      <c r="CH218" s="853">
        <f t="shared" si="339"/>
        <v>777.29999899999996</v>
      </c>
      <c r="CI218" s="853">
        <f t="shared" si="339"/>
        <v>1080.7000009999999</v>
      </c>
      <c r="CJ218" s="853">
        <f t="shared" si="339"/>
        <v>1332.6780932945699</v>
      </c>
      <c r="CK218" s="854">
        <f t="shared" si="339"/>
        <v>3806.67809229457</v>
      </c>
      <c r="CL218" s="853">
        <f ca="1">CL208+CL214+CL216</f>
        <v>764.17312024387047</v>
      </c>
      <c r="CM218" s="853">
        <f>CM208+CM214+CM216</f>
        <v>936.79464750817851</v>
      </c>
      <c r="CN218" s="853">
        <f t="shared" si="339"/>
        <v>1290.7979311140225</v>
      </c>
      <c r="CO218" s="853">
        <f>CO208+CO214+CO216</f>
        <v>1211.6241382579381</v>
      </c>
      <c r="CP218" s="854">
        <f t="shared" ca="1" si="339"/>
        <v>4203.3898371240102</v>
      </c>
      <c r="CQ218" s="853">
        <f>CQ208+CQ214+CQ216</f>
        <v>1072.8147627235749</v>
      </c>
      <c r="CR218" s="853">
        <f t="shared" si="339"/>
        <v>1208.3980115425693</v>
      </c>
      <c r="CS218" s="853">
        <f t="shared" ca="1" si="339"/>
        <v>1368.5929203077612</v>
      </c>
      <c r="CT218" s="853">
        <f t="shared" ca="1" si="339"/>
        <v>1226.4913990720631</v>
      </c>
      <c r="CU218" s="854">
        <f t="shared" ca="1" si="339"/>
        <v>4876.2970936459678</v>
      </c>
      <c r="CV218" s="853">
        <f t="shared" ca="1" si="339"/>
        <v>1152.2458689656326</v>
      </c>
      <c r="CW218" s="853">
        <f t="shared" ca="1" si="339"/>
        <v>1310.8334317052111</v>
      </c>
      <c r="CX218" s="853">
        <f ca="1">CX208+CX214+CX216</f>
        <v>1475.6201927827815</v>
      </c>
      <c r="CY218" s="853">
        <f ca="1">CY208+CY214+CY216</f>
        <v>1655.0105346460778</v>
      </c>
      <c r="CZ218" s="854">
        <f t="shared" ca="1" si="339"/>
        <v>5593.7100280997038</v>
      </c>
      <c r="DA218" s="853">
        <f ca="1">DA208+DA214+DA216</f>
        <v>1113.3789636544047</v>
      </c>
      <c r="DB218" s="853">
        <f ca="1">DB208+DB214+DB216</f>
        <v>1383.7859323645098</v>
      </c>
      <c r="DC218" s="853">
        <f ca="1">DC208+DC214+DC216</f>
        <v>1436.5372832538485</v>
      </c>
      <c r="DD218" s="853">
        <f t="shared" ref="DD218:DJ218" ca="1" si="340">DD208+DD214+DD216</f>
        <v>1560.9681600517251</v>
      </c>
      <c r="DE218" s="854">
        <f t="shared" ca="1" si="340"/>
        <v>5494.6703393244879</v>
      </c>
      <c r="DF218" s="853">
        <f t="shared" ca="1" si="340"/>
        <v>1193.8091516606162</v>
      </c>
      <c r="DG218" s="853">
        <f t="shared" ca="1" si="340"/>
        <v>1498.212944565827</v>
      </c>
      <c r="DH218" s="853">
        <f t="shared" ref="DH218:DI218" ca="1" si="341">DH208+DH214+DH216</f>
        <v>1753.5152547776775</v>
      </c>
      <c r="DI218" s="853">
        <f t="shared" ca="1" si="341"/>
        <v>1755.8948902791919</v>
      </c>
      <c r="DJ218" s="854">
        <f t="shared" ca="1" si="340"/>
        <v>6201.4322412833126</v>
      </c>
      <c r="DK218" s="853">
        <f t="shared" ref="DK218:DT218" ca="1" si="342">DK208+DK214+DK216</f>
        <v>1174.178482239286</v>
      </c>
      <c r="DL218" s="853">
        <f t="shared" ca="1" si="342"/>
        <v>1552.894923047505</v>
      </c>
      <c r="DM218" s="853">
        <f t="shared" ca="1" si="342"/>
        <v>1807.1501696889095</v>
      </c>
      <c r="DN218" s="853">
        <f t="shared" ca="1" si="342"/>
        <v>1812.8748784258657</v>
      </c>
      <c r="DO218" s="854">
        <f t="shared" ca="1" si="342"/>
        <v>6347.098453401567</v>
      </c>
      <c r="DP218" s="853">
        <f t="shared" ca="1" si="342"/>
        <v>1230.2300405889555</v>
      </c>
      <c r="DQ218" s="853">
        <f t="shared" ca="1" si="342"/>
        <v>1596.3714901839958</v>
      </c>
      <c r="DR218" s="853">
        <f t="shared" ca="1" si="342"/>
        <v>1866.0855940690028</v>
      </c>
      <c r="DS218" s="853">
        <f t="shared" ca="1" si="342"/>
        <v>1870.7811896726914</v>
      </c>
      <c r="DT218" s="854">
        <f t="shared" ca="1" si="342"/>
        <v>6563.4683145146464</v>
      </c>
      <c r="DU218" s="853">
        <f t="shared" ref="DU218:DY218" ca="1" si="343">DU208+DU214+DU216</f>
        <v>1270.7327759122106</v>
      </c>
      <c r="DV218" s="853">
        <f t="shared" ca="1" si="343"/>
        <v>1659.8423414212884</v>
      </c>
      <c r="DW218" s="853">
        <f t="shared" ca="1" si="343"/>
        <v>1945.6728485051995</v>
      </c>
      <c r="DX218" s="853">
        <f t="shared" ca="1" si="343"/>
        <v>1948.8092942853621</v>
      </c>
      <c r="DY218" s="854">
        <f t="shared" ca="1" si="343"/>
        <v>6825.057260124061</v>
      </c>
    </row>
    <row r="219" spans="1:129" x14ac:dyDescent="0.2">
      <c r="A219" s="474"/>
      <c r="B219" s="879" t="s">
        <v>792</v>
      </c>
      <c r="C219" s="600"/>
      <c r="D219" s="600"/>
      <c r="E219" s="600"/>
      <c r="F219" s="600"/>
      <c r="G219" s="600"/>
      <c r="H219" s="600"/>
      <c r="I219" s="593"/>
      <c r="J219" s="600"/>
      <c r="K219" s="600"/>
      <c r="L219" s="600"/>
      <c r="M219" s="600"/>
      <c r="N219" s="593"/>
      <c r="O219" s="600"/>
      <c r="P219" s="600"/>
      <c r="Q219" s="600"/>
      <c r="R219" s="600"/>
      <c r="S219" s="593"/>
      <c r="T219" s="600"/>
      <c r="U219" s="600"/>
      <c r="V219" s="600"/>
      <c r="W219" s="600"/>
      <c r="X219" s="593"/>
      <c r="Y219" s="600"/>
      <c r="Z219" s="600"/>
      <c r="AA219" s="600"/>
      <c r="AB219" s="600"/>
      <c r="AC219" s="593"/>
      <c r="AD219" s="600"/>
      <c r="AE219" s="600"/>
      <c r="AF219" s="600"/>
      <c r="AG219" s="600"/>
      <c r="AH219" s="593"/>
      <c r="AI219" s="600"/>
      <c r="AJ219" s="600"/>
      <c r="AK219" s="600"/>
      <c r="AL219" s="600"/>
      <c r="AM219" s="593"/>
      <c r="AN219" s="600"/>
      <c r="AO219" s="600"/>
      <c r="AP219" s="600"/>
      <c r="AQ219" s="600"/>
      <c r="AR219" s="593"/>
      <c r="AS219" s="600"/>
      <c r="AT219" s="600"/>
      <c r="AU219" s="600"/>
      <c r="AV219" s="600"/>
      <c r="AW219" s="593"/>
      <c r="AX219" s="600"/>
      <c r="AY219" s="600"/>
      <c r="AZ219" s="600"/>
      <c r="BA219" s="600"/>
      <c r="BB219" s="593"/>
      <c r="BC219" s="600"/>
      <c r="BD219" s="600"/>
      <c r="BE219" s="600"/>
      <c r="BF219" s="600"/>
      <c r="BG219" s="593"/>
      <c r="BH219" s="801">
        <f t="shared" ref="BH219:CZ219" si="344">BH218/BH182</f>
        <v>0.11531457491647824</v>
      </c>
      <c r="BI219" s="801">
        <f t="shared" si="344"/>
        <v>8.1751743399676668E-2</v>
      </c>
      <c r="BJ219" s="801">
        <f t="shared" si="344"/>
        <v>8.7718809230218547E-2</v>
      </c>
      <c r="BK219" s="801">
        <f t="shared" si="344"/>
        <v>8.6253197945234741E-2</v>
      </c>
      <c r="BL219" s="780">
        <f t="shared" si="344"/>
        <v>8.7096014138603906E-2</v>
      </c>
      <c r="BM219" s="801">
        <f t="shared" si="344"/>
        <v>7.3202225793566E-2</v>
      </c>
      <c r="BN219" s="801">
        <f t="shared" si="344"/>
        <v>7.9761279183244493E-2</v>
      </c>
      <c r="BO219" s="801">
        <f t="shared" si="344"/>
        <v>8.4537175530605677E-2</v>
      </c>
      <c r="BP219" s="801">
        <f t="shared" si="344"/>
        <v>8.65558412464041E-2</v>
      </c>
      <c r="BQ219" s="780">
        <f t="shared" si="344"/>
        <v>8.1130109757546379E-2</v>
      </c>
      <c r="BR219" s="801">
        <f t="shared" si="344"/>
        <v>6.9181953739986812E-2</v>
      </c>
      <c r="BS219" s="801">
        <f t="shared" si="344"/>
        <v>7.1571890927820778E-2</v>
      </c>
      <c r="BT219" s="801">
        <f t="shared" si="344"/>
        <v>7.9123274214714934E-2</v>
      </c>
      <c r="BU219" s="801">
        <f t="shared" si="344"/>
        <v>7.9676845538096647E-2</v>
      </c>
      <c r="BV219" s="880">
        <f t="shared" si="344"/>
        <v>7.5100362283364336E-2</v>
      </c>
      <c r="BW219" s="801">
        <f t="shared" si="344"/>
        <v>6.6090288134165467E-2</v>
      </c>
      <c r="BX219" s="801">
        <f t="shared" si="344"/>
        <v>6.9343261096179915E-2</v>
      </c>
      <c r="BY219" s="801">
        <f t="shared" si="344"/>
        <v>7.3963227368915307E-2</v>
      </c>
      <c r="BZ219" s="801">
        <f t="shared" si="344"/>
        <v>7.1301225736947943E-2</v>
      </c>
      <c r="CA219" s="780">
        <f t="shared" si="344"/>
        <v>7.0189609182595938E-2</v>
      </c>
      <c r="CB219" s="801">
        <f t="shared" si="344"/>
        <v>4.5597259954331372E-2</v>
      </c>
      <c r="CC219" s="801">
        <f t="shared" si="344"/>
        <v>4.9969154842689691E-2</v>
      </c>
      <c r="CD219" s="798">
        <f t="shared" si="344"/>
        <v>6.1765103392350321E-2</v>
      </c>
      <c r="CE219" s="798">
        <f t="shared" si="344"/>
        <v>6.3975354778149474E-2</v>
      </c>
      <c r="CF219" s="593">
        <f t="shared" si="344"/>
        <v>5.5631192607926191E-2</v>
      </c>
      <c r="CG219" s="798">
        <f t="shared" si="344"/>
        <v>3.3661202131147545E-2</v>
      </c>
      <c r="CH219" s="798">
        <f t="shared" si="344"/>
        <v>4.2192741469716535E-2</v>
      </c>
      <c r="CI219" s="798">
        <f t="shared" si="344"/>
        <v>5.9775213834529911E-2</v>
      </c>
      <c r="CJ219" s="798">
        <f t="shared" si="344"/>
        <v>7.1487935484098805E-2</v>
      </c>
      <c r="CK219" s="593">
        <f t="shared" si="344"/>
        <v>5.1831028978467537E-2</v>
      </c>
      <c r="CL219" s="798">
        <f t="shared" ca="1" si="344"/>
        <v>4.1733739483579252E-2</v>
      </c>
      <c r="CM219" s="798">
        <f t="shared" si="344"/>
        <v>4.9829817026368579E-2</v>
      </c>
      <c r="CN219" s="798">
        <f t="shared" si="344"/>
        <v>6.6579604329076517E-2</v>
      </c>
      <c r="CO219" s="798">
        <f>CO218/CO182</f>
        <v>6.0506784554932094E-2</v>
      </c>
      <c r="CP219" s="593">
        <f t="shared" ca="1" si="344"/>
        <v>5.4930153908234233E-2</v>
      </c>
      <c r="CQ219" s="798">
        <f t="shared" si="344"/>
        <v>5.4846817825087657E-2</v>
      </c>
      <c r="CR219" s="798">
        <f t="shared" si="344"/>
        <v>5.4367871216452965E-2</v>
      </c>
      <c r="CS219" s="798">
        <f t="shared" ca="1" si="344"/>
        <v>6.1015538531634543E-2</v>
      </c>
      <c r="CT219" s="798">
        <f t="shared" ca="1" si="344"/>
        <v>5.13010001180026E-2</v>
      </c>
      <c r="CU219" s="593">
        <f t="shared" ca="1" si="344"/>
        <v>5.5334175082863514E-2</v>
      </c>
      <c r="CV219" s="798">
        <f t="shared" ca="1" si="344"/>
        <v>4.8253724793253981E-2</v>
      </c>
      <c r="CW219" s="798">
        <f t="shared" ca="1" si="344"/>
        <v>5.3631464177943705E-2</v>
      </c>
      <c r="CX219" s="798">
        <f t="shared" ca="1" si="344"/>
        <v>5.7803386179901231E-2</v>
      </c>
      <c r="CY219" s="798">
        <f ca="1">CY218/CY182</f>
        <v>6.2420401245547333E-2</v>
      </c>
      <c r="CZ219" s="593">
        <f t="shared" ca="1" si="344"/>
        <v>5.5735004187667664E-2</v>
      </c>
      <c r="DA219" s="798">
        <f ca="1">DA218/DA182</f>
        <v>3.8706030372132966E-2</v>
      </c>
      <c r="DB219" s="798">
        <f ca="1">DB218/DB182</f>
        <v>4.6892419886427887E-2</v>
      </c>
      <c r="DC219" s="798">
        <f ca="1">DC218/DC182</f>
        <v>4.7209325390953023E-2</v>
      </c>
      <c r="DD219" s="798">
        <f t="shared" ref="DD219:DJ219" ca="1" si="345">DD218/DD182</f>
        <v>4.9936120132303828E-2</v>
      </c>
      <c r="DE219" s="593">
        <f t="shared" ca="1" si="345"/>
        <v>4.5802965737196805E-2</v>
      </c>
      <c r="DF219" s="798">
        <f t="shared" ca="1" si="345"/>
        <v>3.8235295207032581E-2</v>
      </c>
      <c r="DG219" s="798">
        <f t="shared" ca="1" si="345"/>
        <v>4.6347568013148314E-2</v>
      </c>
      <c r="DH219" s="798">
        <f t="shared" ref="DH219:DI219" ca="1" si="346">DH218/DH182</f>
        <v>5.3305169363988422E-2</v>
      </c>
      <c r="DI219" s="2824">
        <f t="shared" ca="1" si="346"/>
        <v>5.1414239687629933E-2</v>
      </c>
      <c r="DJ219" s="593">
        <f t="shared" ca="1" si="345"/>
        <v>4.7485621511941557E-2</v>
      </c>
      <c r="DK219" s="798">
        <f t="shared" ref="DK219:DT219" ca="1" si="347">DK218/DK182</f>
        <v>3.6484952935478765E-2</v>
      </c>
      <c r="DL219" s="798">
        <f t="shared" ca="1" si="347"/>
        <v>4.4532182667397884E-2</v>
      </c>
      <c r="DM219" s="798">
        <f t="shared" ca="1" si="347"/>
        <v>5.1678703674285308E-2</v>
      </c>
      <c r="DN219" s="798">
        <f t="shared" ca="1" si="347"/>
        <v>5.0928839526480682E-2</v>
      </c>
      <c r="DO219" s="593">
        <f t="shared" ca="1" si="347"/>
        <v>4.6120792639524059E-2</v>
      </c>
      <c r="DP219" s="798">
        <f t="shared" ca="1" si="347"/>
        <v>3.6394580113771516E-2</v>
      </c>
      <c r="DQ219" s="798">
        <f t="shared" ca="1" si="347"/>
        <v>4.3635951836434823E-2</v>
      </c>
      <c r="DR219" s="798">
        <f t="shared" ca="1" si="347"/>
        <v>5.0920169081056801E-2</v>
      </c>
      <c r="DS219" s="798">
        <f t="shared" ca="1" si="347"/>
        <v>5.0210753597220895E-2</v>
      </c>
      <c r="DT219" s="593">
        <f t="shared" ca="1" si="347"/>
        <v>4.5487316182981241E-2</v>
      </c>
      <c r="DU219" s="798">
        <f t="shared" ref="DU219:DY219" ca="1" si="348">DU218/DU182</f>
        <v>3.5969093080634888E-2</v>
      </c>
      <c r="DV219" s="798">
        <f t="shared" ca="1" si="348"/>
        <v>4.3487571955091141E-2</v>
      </c>
      <c r="DW219" s="798">
        <f t="shared" ca="1" si="348"/>
        <v>5.0951393886299608E-2</v>
      </c>
      <c r="DX219" s="798">
        <f t="shared" ca="1" si="348"/>
        <v>5.0265987827310843E-2</v>
      </c>
      <c r="DY219" s="593">
        <f t="shared" ca="1" si="348"/>
        <v>4.5363250248190705E-2</v>
      </c>
    </row>
    <row r="220" spans="1:129" ht="12" thickBot="1" x14ac:dyDescent="0.25">
      <c r="A220" s="526"/>
      <c r="B220" s="756"/>
      <c r="C220" s="758"/>
      <c r="D220" s="758"/>
      <c r="E220" s="758"/>
      <c r="F220" s="758"/>
      <c r="G220" s="758"/>
      <c r="H220" s="758"/>
      <c r="I220" s="759"/>
      <c r="J220" s="758"/>
      <c r="K220" s="758"/>
      <c r="L220" s="758"/>
      <c r="M220" s="758"/>
      <c r="N220" s="759"/>
      <c r="O220" s="760"/>
      <c r="P220" s="760"/>
      <c r="Q220" s="760"/>
      <c r="R220" s="760"/>
      <c r="S220" s="759"/>
      <c r="T220" s="760"/>
      <c r="U220" s="760"/>
      <c r="V220" s="760"/>
      <c r="W220" s="760"/>
      <c r="X220" s="759"/>
      <c r="Y220" s="760"/>
      <c r="Z220" s="760"/>
      <c r="AA220" s="760"/>
      <c r="AB220" s="760"/>
      <c r="AC220" s="759"/>
      <c r="AD220" s="760"/>
      <c r="AE220" s="760"/>
      <c r="AF220" s="760"/>
      <c r="AG220" s="760"/>
      <c r="AH220" s="759"/>
      <c r="AI220" s="760"/>
      <c r="AJ220" s="760"/>
      <c r="AK220" s="760"/>
      <c r="AL220" s="760"/>
      <c r="AM220" s="759"/>
      <c r="AN220" s="760"/>
      <c r="AO220" s="760"/>
      <c r="AP220" s="760"/>
      <c r="AQ220" s="760"/>
      <c r="AR220" s="759"/>
      <c r="AS220" s="760"/>
      <c r="AT220" s="760"/>
      <c r="AU220" s="760"/>
      <c r="AV220" s="760"/>
      <c r="AW220" s="759"/>
      <c r="AX220" s="760"/>
      <c r="AY220" s="760"/>
      <c r="AZ220" s="760"/>
      <c r="BA220" s="760"/>
      <c r="BB220" s="759"/>
      <c r="BC220" s="760"/>
      <c r="BD220" s="760"/>
      <c r="BE220" s="760"/>
      <c r="BF220" s="760"/>
      <c r="BG220" s="759"/>
      <c r="BH220" s="760"/>
      <c r="BI220" s="760"/>
      <c r="BJ220" s="760"/>
      <c r="BK220" s="760"/>
      <c r="BL220" s="763"/>
      <c r="BM220" s="760"/>
      <c r="BN220" s="743"/>
      <c r="BO220" s="743"/>
      <c r="BP220" s="743"/>
      <c r="BQ220" s="849"/>
      <c r="BR220" s="743"/>
      <c r="BS220" s="743"/>
      <c r="BT220" s="743"/>
      <c r="BU220" s="743"/>
      <c r="BV220" s="865"/>
      <c r="BW220" s="743"/>
      <c r="BX220" s="743"/>
      <c r="BY220" s="743"/>
      <c r="BZ220" s="743"/>
      <c r="CA220" s="849"/>
      <c r="CB220" s="743"/>
      <c r="CC220" s="743"/>
      <c r="CD220" s="743"/>
      <c r="CE220" s="743"/>
      <c r="CF220" s="849"/>
      <c r="CG220" s="760"/>
      <c r="CH220" s="760"/>
      <c r="CI220" s="760"/>
      <c r="CJ220" s="760"/>
      <c r="CK220" s="849"/>
      <c r="CL220" s="760"/>
      <c r="CM220" s="760"/>
      <c r="CN220" s="760"/>
      <c r="CO220" s="760"/>
      <c r="CP220" s="849"/>
      <c r="CQ220" s="760"/>
      <c r="CR220" s="760"/>
      <c r="CS220" s="760"/>
      <c r="CT220" s="760"/>
      <c r="CU220" s="849"/>
      <c r="CV220" s="760"/>
      <c r="CW220" s="760"/>
      <c r="CX220" s="760"/>
      <c r="CY220" s="760"/>
      <c r="CZ220" s="849"/>
      <c r="DA220" s="760"/>
      <c r="DB220" s="760"/>
      <c r="DC220" s="760"/>
      <c r="DD220" s="760"/>
      <c r="DE220" s="849"/>
      <c r="DF220" s="760"/>
      <c r="DG220" s="760"/>
      <c r="DH220" s="760"/>
      <c r="DI220" s="2810"/>
      <c r="DJ220" s="849"/>
      <c r="DK220" s="760"/>
      <c r="DL220" s="760"/>
      <c r="DM220" s="760"/>
      <c r="DN220" s="760"/>
      <c r="DO220" s="849"/>
      <c r="DP220" s="760"/>
      <c r="DQ220" s="760"/>
      <c r="DR220" s="760"/>
      <c r="DS220" s="760"/>
      <c r="DT220" s="849"/>
      <c r="DU220" s="760"/>
      <c r="DV220" s="760"/>
      <c r="DW220" s="760"/>
      <c r="DX220" s="760"/>
      <c r="DY220" s="849"/>
    </row>
    <row r="221" spans="1:129" ht="11.25" customHeight="1" x14ac:dyDescent="0.2">
      <c r="A221" s="559"/>
      <c r="B221" s="881" t="s">
        <v>793</v>
      </c>
      <c r="C221" s="561"/>
      <c r="D221" s="561"/>
      <c r="E221" s="561"/>
      <c r="F221" s="561"/>
      <c r="G221" s="561"/>
      <c r="H221" s="561"/>
      <c r="I221" s="577"/>
      <c r="J221" s="561"/>
      <c r="K221" s="561"/>
      <c r="L221" s="561"/>
      <c r="M221" s="561"/>
      <c r="N221" s="577"/>
      <c r="O221" s="561"/>
      <c r="P221" s="561"/>
      <c r="Q221" s="561"/>
      <c r="R221" s="561"/>
      <c r="S221" s="577"/>
      <c r="T221" s="561"/>
      <c r="U221" s="561"/>
      <c r="V221" s="561"/>
      <c r="W221" s="561"/>
      <c r="X221" s="577"/>
      <c r="Y221" s="561"/>
      <c r="Z221" s="561"/>
      <c r="AA221" s="561"/>
      <c r="AB221" s="561"/>
      <c r="AC221" s="577"/>
      <c r="AD221" s="561"/>
      <c r="AE221" s="561"/>
      <c r="AF221" s="561"/>
      <c r="AG221" s="561"/>
      <c r="AH221" s="577"/>
      <c r="AI221" s="561"/>
      <c r="AJ221" s="561"/>
      <c r="AK221" s="561"/>
      <c r="AL221" s="561"/>
      <c r="AM221" s="577"/>
      <c r="AN221" s="561"/>
      <c r="AO221" s="561"/>
      <c r="AP221" s="561"/>
      <c r="AQ221" s="561"/>
      <c r="AR221" s="577"/>
      <c r="AS221" s="561"/>
      <c r="AT221" s="561"/>
      <c r="AU221" s="561"/>
      <c r="AV221" s="561"/>
      <c r="AW221" s="577"/>
      <c r="AX221" s="561"/>
      <c r="AY221" s="561"/>
      <c r="AZ221" s="561"/>
      <c r="BA221" s="561"/>
      <c r="BB221" s="577"/>
      <c r="BC221" s="561"/>
      <c r="BD221" s="561"/>
      <c r="BE221" s="561"/>
      <c r="BF221" s="561"/>
      <c r="BG221" s="577"/>
      <c r="BH221" s="565">
        <f>BH60</f>
        <v>243.5</v>
      </c>
      <c r="BI221" s="565">
        <f>BI60</f>
        <v>862.8</v>
      </c>
      <c r="BJ221" s="565">
        <f>BJ60</f>
        <v>935.3</v>
      </c>
      <c r="BK221" s="565">
        <f>BK60</f>
        <v>1001.5</v>
      </c>
      <c r="BL221" s="564">
        <f t="shared" ref="BL221:CZ221" si="349">BL19</f>
        <v>2997.1</v>
      </c>
      <c r="BM221" s="565">
        <f t="shared" si="349"/>
        <v>788</v>
      </c>
      <c r="BN221" s="882">
        <f t="shared" si="349"/>
        <v>850</v>
      </c>
      <c r="BO221" s="882">
        <f t="shared" si="349"/>
        <v>892.6</v>
      </c>
      <c r="BP221" s="882">
        <f t="shared" si="349"/>
        <v>1019.9</v>
      </c>
      <c r="BQ221" s="883">
        <f t="shared" si="349"/>
        <v>3550.5</v>
      </c>
      <c r="BR221" s="882">
        <f t="shared" si="349"/>
        <v>797.8</v>
      </c>
      <c r="BS221" s="882">
        <f t="shared" si="349"/>
        <v>931.2</v>
      </c>
      <c r="BT221" s="882">
        <f t="shared" si="349"/>
        <v>1031.0999999999999</v>
      </c>
      <c r="BU221" s="882">
        <f t="shared" si="349"/>
        <v>1075</v>
      </c>
      <c r="BV221" s="884">
        <f t="shared" si="349"/>
        <v>3835.1</v>
      </c>
      <c r="BW221" s="882">
        <f t="shared" si="349"/>
        <v>782</v>
      </c>
      <c r="BX221" s="882">
        <f t="shared" si="349"/>
        <v>821</v>
      </c>
      <c r="BY221" s="882">
        <f t="shared" si="349"/>
        <v>882</v>
      </c>
      <c r="BZ221" s="882">
        <f t="shared" si="349"/>
        <v>868</v>
      </c>
      <c r="CA221" s="883">
        <f t="shared" si="349"/>
        <v>3353</v>
      </c>
      <c r="CB221" s="882">
        <f t="shared" si="349"/>
        <v>639</v>
      </c>
      <c r="CC221" s="882">
        <f t="shared" si="349"/>
        <v>729</v>
      </c>
      <c r="CD221" s="885">
        <f t="shared" si="349"/>
        <v>914</v>
      </c>
      <c r="CE221" s="885">
        <f t="shared" si="349"/>
        <v>1015.5</v>
      </c>
      <c r="CF221" s="886">
        <f t="shared" si="349"/>
        <v>3297.5</v>
      </c>
      <c r="CG221" s="561">
        <f t="shared" si="349"/>
        <v>616</v>
      </c>
      <c r="CH221" s="561">
        <f t="shared" si="349"/>
        <v>777.3</v>
      </c>
      <c r="CI221" s="561">
        <f t="shared" si="349"/>
        <v>1080.7</v>
      </c>
      <c r="CJ221" s="561">
        <f t="shared" si="349"/>
        <v>1334</v>
      </c>
      <c r="CK221" s="886">
        <f t="shared" si="349"/>
        <v>3808</v>
      </c>
      <c r="CL221" s="561">
        <f t="shared" si="349"/>
        <v>768</v>
      </c>
      <c r="CM221" s="561">
        <f t="shared" si="349"/>
        <v>963.5</v>
      </c>
      <c r="CN221" s="561">
        <f t="shared" si="349"/>
        <v>1294.3</v>
      </c>
      <c r="CO221" s="561">
        <f>CO19</f>
        <v>1211.5999999999999</v>
      </c>
      <c r="CP221" s="886">
        <f t="shared" si="349"/>
        <v>4237.3999999999996</v>
      </c>
      <c r="CQ221" s="561">
        <f t="shared" si="349"/>
        <v>934.7</v>
      </c>
      <c r="CR221" s="561">
        <f t="shared" si="349"/>
        <v>1195</v>
      </c>
      <c r="CS221" s="561">
        <f t="shared" si="349"/>
        <v>1402.8</v>
      </c>
      <c r="CT221" s="561">
        <f t="shared" si="349"/>
        <v>1238.2</v>
      </c>
      <c r="CU221" s="886">
        <f t="shared" si="349"/>
        <v>4770.7</v>
      </c>
      <c r="CV221" s="561">
        <f t="shared" si="349"/>
        <v>1025.9000000000001</v>
      </c>
      <c r="CW221" s="561">
        <f t="shared" si="349"/>
        <v>1240.7</v>
      </c>
      <c r="CX221" s="561">
        <f t="shared" si="349"/>
        <v>1468.1566396100009</v>
      </c>
      <c r="CY221" s="561">
        <f>CY19</f>
        <v>1492.150308840002</v>
      </c>
      <c r="CZ221" s="886">
        <f t="shared" si="349"/>
        <v>5226.9069484500033</v>
      </c>
      <c r="DA221" s="561">
        <f t="shared" ref="DA221:DE222" si="350">DA19</f>
        <v>1101.8</v>
      </c>
      <c r="DB221" s="561">
        <f t="shared" si="350"/>
        <v>1367.4</v>
      </c>
      <c r="DC221" s="561">
        <f t="shared" si="350"/>
        <v>1796.7</v>
      </c>
      <c r="DD221" s="561">
        <f t="shared" si="350"/>
        <v>1634.9</v>
      </c>
      <c r="DE221" s="886">
        <f t="shared" si="350"/>
        <v>5900.7999999999993</v>
      </c>
      <c r="DF221" s="561">
        <f t="shared" ref="DF221:DJ222" si="351">DF19</f>
        <v>1096.4000000000001</v>
      </c>
      <c r="DG221" s="561">
        <f t="shared" si="351"/>
        <v>1469</v>
      </c>
      <c r="DH221" s="561">
        <f t="shared" ref="DH221:DI222" si="352">DH19</f>
        <v>1645.06691886</v>
      </c>
      <c r="DI221" s="561">
        <f t="shared" si="352"/>
        <v>1829.2448242600017</v>
      </c>
      <c r="DJ221" s="886">
        <f t="shared" si="351"/>
        <v>6039.7117431200022</v>
      </c>
      <c r="DK221" s="561">
        <f t="shared" ref="DK221:DT221" ca="1" si="353">DK19</f>
        <v>1174.178482239286</v>
      </c>
      <c r="DL221" s="561">
        <f t="shared" ca="1" si="353"/>
        <v>1552.894923047505</v>
      </c>
      <c r="DM221" s="561">
        <f t="shared" ca="1" si="353"/>
        <v>1807.1501696889095</v>
      </c>
      <c r="DN221" s="561">
        <f t="shared" ca="1" si="353"/>
        <v>1812.8748784258657</v>
      </c>
      <c r="DO221" s="886">
        <f t="shared" ca="1" si="353"/>
        <v>6347.0984534015661</v>
      </c>
      <c r="DP221" s="561">
        <f t="shared" ca="1" si="353"/>
        <v>1230.2300405889555</v>
      </c>
      <c r="DQ221" s="561">
        <f t="shared" ca="1" si="353"/>
        <v>1596.3714901839958</v>
      </c>
      <c r="DR221" s="561">
        <f t="shared" ca="1" si="353"/>
        <v>1866.0855940690028</v>
      </c>
      <c r="DS221" s="561">
        <f t="shared" ca="1" si="353"/>
        <v>1870.7811896726914</v>
      </c>
      <c r="DT221" s="886">
        <f t="shared" ca="1" si="353"/>
        <v>6563.4683145146455</v>
      </c>
      <c r="DU221" s="561">
        <f t="shared" ref="DU221:DY221" ca="1" si="354">DU19</f>
        <v>1270.7327759122106</v>
      </c>
      <c r="DV221" s="561">
        <f t="shared" ca="1" si="354"/>
        <v>1659.8423414212884</v>
      </c>
      <c r="DW221" s="561">
        <f t="shared" ca="1" si="354"/>
        <v>1945.6728485051995</v>
      </c>
      <c r="DX221" s="561">
        <f t="shared" ca="1" si="354"/>
        <v>1948.8092942853621</v>
      </c>
      <c r="DY221" s="886">
        <f t="shared" ca="1" si="354"/>
        <v>6825.0572601240601</v>
      </c>
    </row>
    <row r="222" spans="1:129" x14ac:dyDescent="0.2">
      <c r="A222" s="526"/>
      <c r="B222" s="770" t="s">
        <v>794</v>
      </c>
      <c r="C222" s="597"/>
      <c r="D222" s="597"/>
      <c r="E222" s="597"/>
      <c r="F222" s="597"/>
      <c r="G222" s="597"/>
      <c r="H222" s="597"/>
      <c r="I222" s="598"/>
      <c r="J222" s="597"/>
      <c r="K222" s="597"/>
      <c r="L222" s="597"/>
      <c r="M222" s="597"/>
      <c r="N222" s="598"/>
      <c r="O222" s="743"/>
      <c r="P222" s="743"/>
      <c r="Q222" s="743"/>
      <c r="R222" s="743"/>
      <c r="S222" s="598"/>
      <c r="T222" s="743"/>
      <c r="U222" s="743"/>
      <c r="V222" s="743"/>
      <c r="W222" s="743"/>
      <c r="X222" s="598"/>
      <c r="Y222" s="743"/>
      <c r="Z222" s="743"/>
      <c r="AA222" s="743"/>
      <c r="AB222" s="743"/>
      <c r="AC222" s="598"/>
      <c r="AD222" s="743"/>
      <c r="AE222" s="743"/>
      <c r="AF222" s="743"/>
      <c r="AG222" s="743"/>
      <c r="AH222" s="598"/>
      <c r="AI222" s="743"/>
      <c r="AJ222" s="743"/>
      <c r="AK222" s="743"/>
      <c r="AL222" s="743"/>
      <c r="AM222" s="598"/>
      <c r="AN222" s="743"/>
      <c r="AO222" s="743"/>
      <c r="AP222" s="743"/>
      <c r="AQ222" s="743"/>
      <c r="AR222" s="598"/>
      <c r="AS222" s="743"/>
      <c r="AT222" s="743"/>
      <c r="AU222" s="743"/>
      <c r="AV222" s="743"/>
      <c r="AW222" s="598"/>
      <c r="AX222" s="743"/>
      <c r="AY222" s="743"/>
      <c r="AZ222" s="743"/>
      <c r="BA222" s="743"/>
      <c r="BB222" s="598"/>
      <c r="BC222" s="743"/>
      <c r="BD222" s="743"/>
      <c r="BE222" s="743"/>
      <c r="BF222" s="743"/>
      <c r="BG222" s="598"/>
      <c r="BH222" s="887">
        <f>BH20</f>
        <v>0.11560556425960214</v>
      </c>
      <c r="BI222" s="887">
        <f>BI20</f>
        <v>8.1750220293535208E-2</v>
      </c>
      <c r="BJ222" s="887">
        <f>BJ20</f>
        <v>8.7717817417890559E-2</v>
      </c>
      <c r="BK222" s="887">
        <f>BK20</f>
        <v>8.6251442547840937E-2</v>
      </c>
      <c r="BL222" s="780">
        <f t="shared" ref="BL222:CZ222" si="355">BL20</f>
        <v>8.5782405605293904E-2</v>
      </c>
      <c r="BM222" s="887">
        <f t="shared" si="355"/>
        <v>7.3202225793566014E-2</v>
      </c>
      <c r="BN222" s="887">
        <f t="shared" si="355"/>
        <v>7.9761279183244493E-2</v>
      </c>
      <c r="BO222" s="887">
        <f t="shared" si="355"/>
        <v>8.4499308934623346E-2</v>
      </c>
      <c r="BP222" s="887">
        <f t="shared" si="355"/>
        <v>8.6547355379615235E-2</v>
      </c>
      <c r="BQ222" s="780">
        <f t="shared" si="355"/>
        <v>8.1118686199427914E-2</v>
      </c>
      <c r="BR222" s="887">
        <f t="shared" si="355"/>
        <v>6.9164614904463004E-2</v>
      </c>
      <c r="BS222" s="887">
        <f t="shared" si="355"/>
        <v>7.1587266199770919E-2</v>
      </c>
      <c r="BT222" s="887">
        <f t="shared" si="355"/>
        <v>7.9130948635104323E-2</v>
      </c>
      <c r="BU222" s="887">
        <f t="shared" si="355"/>
        <v>7.9676845538096647E-2</v>
      </c>
      <c r="BV222" s="880">
        <f t="shared" si="355"/>
        <v>7.510232057182023E-2</v>
      </c>
      <c r="BW222" s="887">
        <f t="shared" si="355"/>
        <v>6.6069618114227777E-2</v>
      </c>
      <c r="BX222" s="887">
        <f t="shared" si="355"/>
        <v>6.9341216216216223E-2</v>
      </c>
      <c r="BY222" s="887">
        <f t="shared" si="355"/>
        <v>7.3956062384705687E-2</v>
      </c>
      <c r="BZ222" s="887">
        <f t="shared" si="355"/>
        <v>7.1281924940461525E-2</v>
      </c>
      <c r="CA222" s="780">
        <f t="shared" si="355"/>
        <v>7.0177274534837478E-2</v>
      </c>
      <c r="CB222" s="887">
        <f t="shared" si="355"/>
        <v>4.5597259882974167E-2</v>
      </c>
      <c r="CC222" s="887">
        <f t="shared" si="355"/>
        <v>4.9969154842689698E-2</v>
      </c>
      <c r="CD222" s="888">
        <f t="shared" si="355"/>
        <v>6.1765103392350321E-2</v>
      </c>
      <c r="CE222" s="888">
        <f t="shared" si="355"/>
        <v>6.3975354841148344E-2</v>
      </c>
      <c r="CF222" s="593">
        <f t="shared" si="355"/>
        <v>5.5631192607926198E-2</v>
      </c>
      <c r="CG222" s="888">
        <f t="shared" si="355"/>
        <v>3.3661202185792348E-2</v>
      </c>
      <c r="CH222" s="888">
        <f t="shared" si="355"/>
        <v>4.2192741523997691E-2</v>
      </c>
      <c r="CI222" s="888">
        <f t="shared" si="355"/>
        <v>5.9775213779218343E-2</v>
      </c>
      <c r="CJ222" s="888">
        <f t="shared" si="355"/>
        <v>7.1558845617423025E-2</v>
      </c>
      <c r="CK222" s="593">
        <f t="shared" si="355"/>
        <v>5.1849027830728173E-2</v>
      </c>
      <c r="CL222" s="888">
        <f t="shared" si="355"/>
        <v>4.1942002075255308E-2</v>
      </c>
      <c r="CM222" s="888">
        <f t="shared" si="355"/>
        <v>5.125054521856616E-2</v>
      </c>
      <c r="CN222" s="888">
        <f t="shared" si="355"/>
        <v>6.6433638220771349E-2</v>
      </c>
      <c r="CO222" s="888">
        <f>CO20</f>
        <v>6.176905429518225E-2</v>
      </c>
      <c r="CP222" s="593">
        <f t="shared" si="355"/>
        <v>5.5602794442607378E-2</v>
      </c>
      <c r="CQ222" s="888">
        <f t="shared" si="355"/>
        <v>4.6283504414437168E-2</v>
      </c>
      <c r="CR222" s="888">
        <f t="shared" si="355"/>
        <v>5.4725388458667444E-2</v>
      </c>
      <c r="CS222" s="888">
        <f t="shared" si="355"/>
        <v>6.2252596077039139E-2</v>
      </c>
      <c r="CT222" s="888">
        <f t="shared" si="355"/>
        <v>5.1863300704104408E-2</v>
      </c>
      <c r="CU222" s="593">
        <f t="shared" si="355"/>
        <v>5.3942969051229243E-2</v>
      </c>
      <c r="CV222" s="888">
        <f t="shared" si="355"/>
        <v>4.2962615530866166E-2</v>
      </c>
      <c r="CW222" s="888">
        <f t="shared" si="355"/>
        <v>5.0762023607389073E-2</v>
      </c>
      <c r="CX222" s="888">
        <f t="shared" si="355"/>
        <v>5.7511021892376217E-2</v>
      </c>
      <c r="CY222" s="888">
        <f>CY20</f>
        <v>5.6277962615131225E-2</v>
      </c>
      <c r="CZ222" s="593">
        <f t="shared" si="355"/>
        <v>5.2080225681519279E-2</v>
      </c>
      <c r="DA222" s="888">
        <f t="shared" si="350"/>
        <v>3.8303493829306444E-2</v>
      </c>
      <c r="DB222" s="888">
        <f t="shared" si="350"/>
        <v>4.6337306038353496E-2</v>
      </c>
      <c r="DC222" s="888">
        <f t="shared" si="350"/>
        <v>5.9045453201047683E-2</v>
      </c>
      <c r="DD222" s="888">
        <f t="shared" si="350"/>
        <v>5.2301235152418642E-2</v>
      </c>
      <c r="DE222" s="593">
        <f t="shared" si="350"/>
        <v>4.9188417781452977E-2</v>
      </c>
      <c r="DF222" s="888">
        <f t="shared" si="351"/>
        <v>3.5115476880602896E-2</v>
      </c>
      <c r="DG222" s="888">
        <f t="shared" si="351"/>
        <v>4.5443858737347492E-2</v>
      </c>
      <c r="DH222" s="888">
        <f t="shared" ref="DH222" si="356">DH20</f>
        <v>5.0008418061272257E-2</v>
      </c>
      <c r="DI222" s="888">
        <f t="shared" si="352"/>
        <v>5.3561994150405065E-2</v>
      </c>
      <c r="DJ222" s="593">
        <f t="shared" si="351"/>
        <v>4.6247294933867651E-2</v>
      </c>
      <c r="DK222" s="888">
        <f t="shared" ref="DK222:DT222" ca="1" si="357">DK20</f>
        <v>3.6484952935478765E-2</v>
      </c>
      <c r="DL222" s="888">
        <f t="shared" ca="1" si="357"/>
        <v>4.4532182667397884E-2</v>
      </c>
      <c r="DM222" s="888">
        <f t="shared" ca="1" si="357"/>
        <v>5.1678703674285308E-2</v>
      </c>
      <c r="DN222" s="888">
        <f t="shared" ca="1" si="357"/>
        <v>5.0928839526480682E-2</v>
      </c>
      <c r="DO222" s="593">
        <f t="shared" ca="1" si="357"/>
        <v>4.6120792639524053E-2</v>
      </c>
      <c r="DP222" s="888">
        <f t="shared" ca="1" si="357"/>
        <v>3.6394580113771516E-2</v>
      </c>
      <c r="DQ222" s="888">
        <f t="shared" ca="1" si="357"/>
        <v>4.3635951836434823E-2</v>
      </c>
      <c r="DR222" s="888">
        <f t="shared" ca="1" si="357"/>
        <v>5.0920169081056801E-2</v>
      </c>
      <c r="DS222" s="888">
        <f t="shared" ca="1" si="357"/>
        <v>5.0210753597220895E-2</v>
      </c>
      <c r="DT222" s="593">
        <f t="shared" ca="1" si="357"/>
        <v>4.5487316182981234E-2</v>
      </c>
      <c r="DU222" s="888">
        <f t="shared" ref="DU222:DY222" ca="1" si="358">DU20</f>
        <v>3.5969093080634888E-2</v>
      </c>
      <c r="DV222" s="888">
        <f t="shared" ca="1" si="358"/>
        <v>4.3487571955091141E-2</v>
      </c>
      <c r="DW222" s="888">
        <f t="shared" ca="1" si="358"/>
        <v>5.0951393886299608E-2</v>
      </c>
      <c r="DX222" s="888">
        <f t="shared" ca="1" si="358"/>
        <v>5.0265987827310843E-2</v>
      </c>
      <c r="DY222" s="593">
        <f t="shared" ca="1" si="358"/>
        <v>4.5363250248190684E-2</v>
      </c>
    </row>
    <row r="223" spans="1:129" x14ac:dyDescent="0.2">
      <c r="A223" s="471"/>
      <c r="B223" s="693" t="s">
        <v>795</v>
      </c>
      <c r="C223" s="550"/>
      <c r="D223" s="550"/>
      <c r="E223" s="550"/>
      <c r="F223" s="550"/>
      <c r="G223" s="550"/>
      <c r="H223" s="550"/>
      <c r="I223" s="551"/>
      <c r="J223" s="550"/>
      <c r="K223" s="550"/>
      <c r="L223" s="550"/>
      <c r="M223" s="550"/>
      <c r="N223" s="551"/>
      <c r="O223" s="550"/>
      <c r="P223" s="550"/>
      <c r="Q223" s="550"/>
      <c r="R223" s="550"/>
      <c r="S223" s="551"/>
      <c r="T223" s="550"/>
      <c r="U223" s="550"/>
      <c r="V223" s="550"/>
      <c r="W223" s="550"/>
      <c r="X223" s="551"/>
      <c r="Y223" s="550"/>
      <c r="Z223" s="550"/>
      <c r="AA223" s="550"/>
      <c r="AB223" s="550"/>
      <c r="AC223" s="551"/>
      <c r="AD223" s="550"/>
      <c r="AE223" s="550"/>
      <c r="AF223" s="550"/>
      <c r="AG223" s="550"/>
      <c r="AH223" s="551"/>
      <c r="AI223" s="550"/>
      <c r="AJ223" s="550"/>
      <c r="AK223" s="550"/>
      <c r="AL223" s="550"/>
      <c r="AM223" s="551"/>
      <c r="AN223" s="550"/>
      <c r="AO223" s="550"/>
      <c r="AP223" s="550"/>
      <c r="AQ223" s="550"/>
      <c r="AR223" s="551"/>
      <c r="AS223" s="550"/>
      <c r="AT223" s="550"/>
      <c r="AU223" s="550"/>
      <c r="AV223" s="550"/>
      <c r="AW223" s="551"/>
      <c r="AX223" s="550"/>
      <c r="AY223" s="550"/>
      <c r="AZ223" s="550"/>
      <c r="BA223" s="550"/>
      <c r="BB223" s="551"/>
      <c r="BC223" s="550"/>
      <c r="BD223" s="550"/>
      <c r="BE223" s="550"/>
      <c r="BF223" s="550"/>
      <c r="BG223" s="551"/>
      <c r="BH223" s="574">
        <f t="shared" ref="BH223:CZ223" si="359">BH60</f>
        <v>243.5</v>
      </c>
      <c r="BI223" s="574">
        <f t="shared" si="359"/>
        <v>862.8</v>
      </c>
      <c r="BJ223" s="574">
        <f t="shared" si="359"/>
        <v>935.3</v>
      </c>
      <c r="BK223" s="574">
        <f t="shared" si="359"/>
        <v>1001.5</v>
      </c>
      <c r="BL223" s="553">
        <f t="shared" si="359"/>
        <v>2997.1</v>
      </c>
      <c r="BM223" s="574">
        <f t="shared" si="359"/>
        <v>788</v>
      </c>
      <c r="BN223" s="574">
        <f t="shared" si="359"/>
        <v>849.9</v>
      </c>
      <c r="BO223" s="574">
        <f t="shared" si="359"/>
        <v>892.5</v>
      </c>
      <c r="BP223" s="574">
        <f t="shared" si="359"/>
        <v>1019.6</v>
      </c>
      <c r="BQ223" s="553">
        <f t="shared" si="359"/>
        <v>3550</v>
      </c>
      <c r="BR223" s="574">
        <f t="shared" si="359"/>
        <v>791.8</v>
      </c>
      <c r="BS223" s="574">
        <f t="shared" si="359"/>
        <v>921.1</v>
      </c>
      <c r="BT223" s="574">
        <f t="shared" si="359"/>
        <v>1017.3999999999999</v>
      </c>
      <c r="BU223" s="574">
        <f t="shared" si="359"/>
        <v>1057</v>
      </c>
      <c r="BV223" s="873">
        <f t="shared" si="359"/>
        <v>3787.2999999999997</v>
      </c>
      <c r="BW223" s="574">
        <f t="shared" si="359"/>
        <v>759</v>
      </c>
      <c r="BX223" s="574">
        <f t="shared" si="359"/>
        <v>791</v>
      </c>
      <c r="BY223" s="574">
        <f t="shared" si="359"/>
        <v>843</v>
      </c>
      <c r="BZ223" s="574">
        <f t="shared" si="359"/>
        <v>825</v>
      </c>
      <c r="CA223" s="553">
        <f t="shared" si="359"/>
        <v>3218</v>
      </c>
      <c r="CB223" s="574">
        <f t="shared" si="359"/>
        <v>604</v>
      </c>
      <c r="CC223" s="574">
        <f t="shared" si="359"/>
        <v>687</v>
      </c>
      <c r="CD223" s="550">
        <f t="shared" si="359"/>
        <v>872</v>
      </c>
      <c r="CE223" s="550">
        <f t="shared" si="359"/>
        <v>947.6</v>
      </c>
      <c r="CF223" s="551">
        <f t="shared" si="359"/>
        <v>3110.6</v>
      </c>
      <c r="CG223" s="550">
        <f t="shared" si="359"/>
        <v>541</v>
      </c>
      <c r="CH223" s="550">
        <f t="shared" si="359"/>
        <v>680</v>
      </c>
      <c r="CI223" s="550">
        <f t="shared" si="359"/>
        <v>974.7</v>
      </c>
      <c r="CJ223" s="550">
        <f t="shared" si="359"/>
        <v>1202</v>
      </c>
      <c r="CK223" s="551">
        <f t="shared" si="359"/>
        <v>3397.7</v>
      </c>
      <c r="CL223" s="550">
        <f t="shared" si="359"/>
        <v>630</v>
      </c>
      <c r="CM223" s="550">
        <f t="shared" si="359"/>
        <v>836</v>
      </c>
      <c r="CN223" s="550">
        <f t="shared" si="359"/>
        <v>1150.8</v>
      </c>
      <c r="CO223" s="550">
        <f>CO60</f>
        <v>1054.0999999999999</v>
      </c>
      <c r="CP223" s="551">
        <f t="shared" si="359"/>
        <v>3670.8999999999996</v>
      </c>
      <c r="CQ223" s="550">
        <f t="shared" si="359"/>
        <v>758.6</v>
      </c>
      <c r="CR223" s="550">
        <f t="shared" si="359"/>
        <v>1024.9000000000001</v>
      </c>
      <c r="CS223" s="550">
        <f t="shared" si="359"/>
        <v>1231.2</v>
      </c>
      <c r="CT223" s="550">
        <f t="shared" si="359"/>
        <v>1075.6000000000001</v>
      </c>
      <c r="CU223" s="551">
        <f t="shared" si="359"/>
        <v>4090.2999999999997</v>
      </c>
      <c r="CV223" s="550">
        <f t="shared" si="359"/>
        <v>869.30000000000007</v>
      </c>
      <c r="CW223" s="550">
        <f t="shared" si="359"/>
        <v>1080.4000000000001</v>
      </c>
      <c r="CX223" s="550">
        <f t="shared" si="359"/>
        <v>1287.4566396100008</v>
      </c>
      <c r="CY223" s="550">
        <f>CY60</f>
        <v>1298.450308840002</v>
      </c>
      <c r="CZ223" s="551">
        <f t="shared" si="359"/>
        <v>4535.6069484500031</v>
      </c>
      <c r="DA223" s="550">
        <f t="shared" ref="DA223:DE224" si="360">DA60</f>
        <v>914.3</v>
      </c>
      <c r="DB223" s="550">
        <f t="shared" si="360"/>
        <v>1178.5</v>
      </c>
      <c r="DC223" s="550">
        <f t="shared" si="360"/>
        <v>1598.6000000000001</v>
      </c>
      <c r="DD223" s="550">
        <f t="shared" si="360"/>
        <v>1427.1000000000001</v>
      </c>
      <c r="DE223" s="551">
        <f t="shared" si="360"/>
        <v>5118.4999999999991</v>
      </c>
      <c r="DF223" s="550">
        <f t="shared" ref="DF223:DJ224" si="361">DF60</f>
        <v>904.10000000000014</v>
      </c>
      <c r="DG223" s="550">
        <f t="shared" si="361"/>
        <v>1259.8071968656923</v>
      </c>
      <c r="DH223" s="550">
        <f t="shared" ref="DH223:DI224" si="362">DH60</f>
        <v>1441.7899931573147</v>
      </c>
      <c r="DI223" s="550">
        <f t="shared" si="362"/>
        <v>1622.2954137289712</v>
      </c>
      <c r="DJ223" s="551">
        <f t="shared" si="361"/>
        <v>5227.992603751979</v>
      </c>
      <c r="DK223" s="550">
        <f t="shared" ref="DK223:DT223" ca="1" si="363">DK60</f>
        <v>1027.4061719593753</v>
      </c>
      <c r="DL223" s="550">
        <f t="shared" ca="1" si="363"/>
        <v>1358.7830576665669</v>
      </c>
      <c r="DM223" s="550">
        <f t="shared" ca="1" si="363"/>
        <v>1581.2563984777958</v>
      </c>
      <c r="DN223" s="550">
        <f t="shared" ca="1" si="363"/>
        <v>1586.2655186226325</v>
      </c>
      <c r="DO223" s="551">
        <f t="shared" ca="1" si="363"/>
        <v>5553.7111467263703</v>
      </c>
      <c r="DP223" s="550">
        <f t="shared" ca="1" si="363"/>
        <v>1070.3001353123914</v>
      </c>
      <c r="DQ223" s="550">
        <f t="shared" ca="1" si="363"/>
        <v>1388.8431964600763</v>
      </c>
      <c r="DR223" s="550">
        <f t="shared" ca="1" si="363"/>
        <v>1623.4944668400324</v>
      </c>
      <c r="DS223" s="550">
        <f t="shared" ca="1" si="363"/>
        <v>1627.5796350152416</v>
      </c>
      <c r="DT223" s="551">
        <f t="shared" ca="1" si="363"/>
        <v>5710.2174336277421</v>
      </c>
      <c r="DU223" s="550">
        <f t="shared" ref="DU223:DY223" ca="1" si="364">DU60</f>
        <v>1105.5375150436232</v>
      </c>
      <c r="DV223" s="550">
        <f t="shared" ca="1" si="364"/>
        <v>1444.0628370365209</v>
      </c>
      <c r="DW223" s="550">
        <f t="shared" ca="1" si="364"/>
        <v>1692.7353781995234</v>
      </c>
      <c r="DX223" s="550">
        <f t="shared" ca="1" si="364"/>
        <v>1695.464086028265</v>
      </c>
      <c r="DY223" s="551">
        <f t="shared" ca="1" si="364"/>
        <v>5937.7998163079319</v>
      </c>
    </row>
    <row r="224" spans="1:129" ht="12" thickBot="1" x14ac:dyDescent="0.25">
      <c r="A224" s="526"/>
      <c r="B224" s="889" t="s">
        <v>516</v>
      </c>
      <c r="C224" s="599"/>
      <c r="D224" s="758"/>
      <c r="E224" s="758"/>
      <c r="F224" s="758"/>
      <c r="G224" s="758"/>
      <c r="H224" s="758"/>
      <c r="I224" s="759"/>
      <c r="J224" s="758"/>
      <c r="K224" s="758"/>
      <c r="L224" s="758"/>
      <c r="M224" s="758"/>
      <c r="N224" s="759"/>
      <c r="O224" s="760"/>
      <c r="P224" s="760"/>
      <c r="Q224" s="760"/>
      <c r="R224" s="760"/>
      <c r="S224" s="759"/>
      <c r="T224" s="760"/>
      <c r="U224" s="760"/>
      <c r="V224" s="760"/>
      <c r="W224" s="760"/>
      <c r="X224" s="759"/>
      <c r="Y224" s="760"/>
      <c r="Z224" s="760"/>
      <c r="AA224" s="760"/>
      <c r="AB224" s="760"/>
      <c r="AC224" s="759"/>
      <c r="AD224" s="760"/>
      <c r="AE224" s="760"/>
      <c r="AF224" s="760"/>
      <c r="AG224" s="760"/>
      <c r="AH224" s="759"/>
      <c r="AI224" s="760"/>
      <c r="AJ224" s="760"/>
      <c r="AK224" s="760"/>
      <c r="AL224" s="760"/>
      <c r="AM224" s="759"/>
      <c r="AN224" s="760"/>
      <c r="AO224" s="760"/>
      <c r="AP224" s="760"/>
      <c r="AQ224" s="760"/>
      <c r="AR224" s="759"/>
      <c r="AS224" s="760"/>
      <c r="AT224" s="760"/>
      <c r="AU224" s="760"/>
      <c r="AV224" s="760"/>
      <c r="AW224" s="759"/>
      <c r="AX224" s="760"/>
      <c r="AY224" s="760"/>
      <c r="AZ224" s="760"/>
      <c r="BA224" s="760"/>
      <c r="BB224" s="759"/>
      <c r="BC224" s="760"/>
      <c r="BD224" s="760"/>
      <c r="BE224" s="760"/>
      <c r="BF224" s="760"/>
      <c r="BG224" s="759"/>
      <c r="BH224" s="890">
        <f t="shared" ref="BH224:CZ224" si="365">BH61</f>
        <v>0.12516706075871287</v>
      </c>
      <c r="BI224" s="890">
        <f t="shared" si="365"/>
        <v>9.1266818989591256E-2</v>
      </c>
      <c r="BJ224" s="890">
        <f t="shared" si="365"/>
        <v>9.8079927853105556E-2</v>
      </c>
      <c r="BK224" s="890">
        <f t="shared" si="365"/>
        <v>9.7196207261328257E-2</v>
      </c>
      <c r="BL224" s="891">
        <f t="shared" si="365"/>
        <v>9.592868802611787E-2</v>
      </c>
      <c r="BM224" s="890">
        <f t="shared" si="365"/>
        <v>8.3118855744483355E-2</v>
      </c>
      <c r="BN224" s="890">
        <f t="shared" si="365"/>
        <v>9.070921607342973E-2</v>
      </c>
      <c r="BO224" s="890">
        <f t="shared" si="365"/>
        <v>9.5747419915463358E-2</v>
      </c>
      <c r="BP224" s="890">
        <f t="shared" si="365"/>
        <v>9.8887563405006443E-2</v>
      </c>
      <c r="BQ224" s="891">
        <f t="shared" si="365"/>
        <v>9.2250922509225092E-2</v>
      </c>
      <c r="BR224" s="890">
        <f t="shared" si="365"/>
        <v>8.0004041628776376E-2</v>
      </c>
      <c r="BS224" s="890">
        <f t="shared" si="365"/>
        <v>8.3177561653979201E-2</v>
      </c>
      <c r="BT224" s="890">
        <f t="shared" si="365"/>
        <v>9.2185022425587793E-2</v>
      </c>
      <c r="BU224" s="890">
        <f t="shared" si="365"/>
        <v>9.2988475411278262E-2</v>
      </c>
      <c r="BV224" s="892">
        <f t="shared" si="365"/>
        <v>8.7316481611273006E-2</v>
      </c>
      <c r="BW224" s="890">
        <f t="shared" si="365"/>
        <v>7.7591494581885093E-2</v>
      </c>
      <c r="BX224" s="890">
        <f t="shared" si="365"/>
        <v>8.1580033003300328E-2</v>
      </c>
      <c r="BY224" s="890">
        <f t="shared" si="365"/>
        <v>8.6764100452861259E-2</v>
      </c>
      <c r="BZ224" s="890">
        <f t="shared" si="365"/>
        <v>8.3552764836945514E-2</v>
      </c>
      <c r="CA224" s="891">
        <f t="shared" si="365"/>
        <v>8.2369202416299789E-2</v>
      </c>
      <c r="CB224" s="890">
        <f t="shared" si="365"/>
        <v>5.3484459399628086E-2</v>
      </c>
      <c r="CC224" s="890">
        <f t="shared" si="365"/>
        <v>5.8205540964161653E-2</v>
      </c>
      <c r="CD224" s="893">
        <f t="shared" si="365"/>
        <v>7.2781904682413828E-2</v>
      </c>
      <c r="CE224" s="893">
        <f t="shared" si="365"/>
        <v>7.3890972606691988E-2</v>
      </c>
      <c r="CF224" s="894">
        <f t="shared" si="365"/>
        <v>6.4937694801602455E-2</v>
      </c>
      <c r="CG224" s="893">
        <f t="shared" si="365"/>
        <v>2.9562841530054645E-2</v>
      </c>
      <c r="CH224" s="893">
        <f t="shared" si="365"/>
        <v>3.6911185174731034E-2</v>
      </c>
      <c r="CI224" s="893">
        <f t="shared" si="365"/>
        <v>5.3912187351350165E-2</v>
      </c>
      <c r="CJ224" s="893">
        <f t="shared" si="365"/>
        <v>6.4478060293959874E-2</v>
      </c>
      <c r="CK224" s="894">
        <f t="shared" si="365"/>
        <v>5.712359490112609E-2</v>
      </c>
      <c r="CL224" s="893">
        <f t="shared" si="365"/>
        <v>3.4405548577357871E-2</v>
      </c>
      <c r="CM224" s="893">
        <f t="shared" si="365"/>
        <v>4.4468558176150814E-2</v>
      </c>
      <c r="CN224" s="893">
        <f t="shared" si="365"/>
        <v>5.9068091527824822E-2</v>
      </c>
      <c r="CO224" s="893">
        <f>CO61</f>
        <v>5.37394850879429E-2</v>
      </c>
      <c r="CP224" s="894">
        <f t="shared" si="365"/>
        <v>6.0038140222560953E-2</v>
      </c>
      <c r="CQ224" s="893">
        <f t="shared" si="365"/>
        <v>3.7563567400012876E-2</v>
      </c>
      <c r="CR224" s="893">
        <f t="shared" si="365"/>
        <v>4.6935607222835365E-2</v>
      </c>
      <c r="CS224" s="893">
        <f t="shared" si="365"/>
        <v>5.4637436762225974E-2</v>
      </c>
      <c r="CT224" s="893">
        <f t="shared" si="365"/>
        <v>4.505262981532443E-2</v>
      </c>
      <c r="CU224" s="894">
        <f t="shared" si="365"/>
        <v>5.7151679772863173E-2</v>
      </c>
      <c r="CV224" s="893">
        <f t="shared" si="365"/>
        <v>3.6404524496522032E-2</v>
      </c>
      <c r="CW224" s="893">
        <f t="shared" si="365"/>
        <v>4.4203506331444473E-2</v>
      </c>
      <c r="CX224" s="893">
        <f t="shared" si="365"/>
        <v>5.0432593490681306E-2</v>
      </c>
      <c r="CY224" s="893">
        <f>CY61</f>
        <v>4.8972370615471758E-2</v>
      </c>
      <c r="CZ224" s="894">
        <f t="shared" si="365"/>
        <v>5.5800601994054885E-2</v>
      </c>
      <c r="DA224" s="893">
        <f t="shared" si="360"/>
        <v>3.1785155571006432E-2</v>
      </c>
      <c r="DB224" s="893">
        <f t="shared" si="360"/>
        <v>3.9936021037150493E-2</v>
      </c>
      <c r="DC224" s="893">
        <f t="shared" si="360"/>
        <v>5.2535237650801377E-2</v>
      </c>
      <c r="DD224" s="893">
        <f t="shared" si="360"/>
        <v>4.565361348462698E-2</v>
      </c>
      <c r="DE224" s="894">
        <f t="shared" si="360"/>
        <v>5.3082266364396245E-2</v>
      </c>
      <c r="DF224" s="893">
        <f t="shared" si="361"/>
        <v>2.8956496395250896E-2</v>
      </c>
      <c r="DG224" s="893">
        <f t="shared" si="361"/>
        <v>3.8972430422503909E-2</v>
      </c>
      <c r="DH224" s="893">
        <f t="shared" ref="DH224" si="366">DH61</f>
        <v>4.3828999238726969E-2</v>
      </c>
      <c r="DI224" s="2825">
        <f t="shared" si="362"/>
        <v>4.7502322438185252E-2</v>
      </c>
      <c r="DJ224" s="894">
        <f t="shared" si="361"/>
        <v>4.9616762168977147E-2</v>
      </c>
      <c r="DK224" s="893">
        <f t="shared" ref="DK224:DT224" ca="1" si="367">DK61</f>
        <v>3.1924333818543919E-2</v>
      </c>
      <c r="DL224" s="893">
        <f t="shared" ca="1" si="367"/>
        <v>3.8965659833973147E-2</v>
      </c>
      <c r="DM224" s="893">
        <f t="shared" ca="1" si="367"/>
        <v>4.521886571499964E-2</v>
      </c>
      <c r="DN224" s="893">
        <f t="shared" ca="1" si="367"/>
        <v>4.4562734585670595E-2</v>
      </c>
      <c r="DO224" s="894">
        <f t="shared" ca="1" si="367"/>
        <v>5.1083156404536131E-2</v>
      </c>
      <c r="DP224" s="893">
        <f t="shared" ca="1" si="367"/>
        <v>3.1663284698981227E-2</v>
      </c>
      <c r="DQ224" s="893">
        <f t="shared" ca="1" si="367"/>
        <v>3.7963278097698297E-2</v>
      </c>
      <c r="DR224" s="893">
        <f t="shared" ca="1" si="367"/>
        <v>4.4300547100519415E-2</v>
      </c>
      <c r="DS224" s="893">
        <f t="shared" ca="1" si="367"/>
        <v>4.3683355629582178E-2</v>
      </c>
      <c r="DT224" s="894">
        <f t="shared" ca="1" si="367"/>
        <v>4.8557012367108805E-2</v>
      </c>
      <c r="DU224" s="893">
        <f t="shared" ref="DU224:DY224" ca="1" si="368">DU61</f>
        <v>3.1293110980152354E-2</v>
      </c>
      <c r="DV224" s="893">
        <f t="shared" ca="1" si="368"/>
        <v>3.7834187600929291E-2</v>
      </c>
      <c r="DW224" s="893">
        <f t="shared" ca="1" si="368"/>
        <v>4.4327712681080662E-2</v>
      </c>
      <c r="DX224" s="893">
        <f t="shared" ca="1" si="368"/>
        <v>4.3731409409760433E-2</v>
      </c>
      <c r="DY224" s="894">
        <f t="shared" ca="1" si="368"/>
        <v>4.8424573884571651E-2</v>
      </c>
    </row>
    <row r="225" spans="1:129" outlineLevel="1" x14ac:dyDescent="0.2">
      <c r="A225" s="471"/>
      <c r="B225" s="693" t="s">
        <v>796</v>
      </c>
      <c r="C225" s="550"/>
      <c r="D225" s="550"/>
      <c r="E225" s="550"/>
      <c r="F225" s="550"/>
      <c r="G225" s="550"/>
      <c r="H225" s="550"/>
      <c r="I225" s="551"/>
      <c r="J225" s="550"/>
      <c r="K225" s="550"/>
      <c r="L225" s="550"/>
      <c r="M225" s="550"/>
      <c r="N225" s="551"/>
      <c r="O225" s="550"/>
      <c r="P225" s="550"/>
      <c r="Q225" s="550"/>
      <c r="R225" s="550"/>
      <c r="S225" s="551"/>
      <c r="T225" s="550"/>
      <c r="U225" s="550"/>
      <c r="V225" s="550"/>
      <c r="W225" s="550"/>
      <c r="X225" s="551"/>
      <c r="Y225" s="550"/>
      <c r="Z225" s="550"/>
      <c r="AA225" s="550"/>
      <c r="AB225" s="550"/>
      <c r="AC225" s="551"/>
      <c r="AD225" s="550"/>
      <c r="AE225" s="550"/>
      <c r="AF225" s="550"/>
      <c r="AG225" s="550"/>
      <c r="AH225" s="551"/>
      <c r="AI225" s="550"/>
      <c r="AJ225" s="550"/>
      <c r="AK225" s="550"/>
      <c r="AL225" s="550"/>
      <c r="AM225" s="551"/>
      <c r="AN225" s="550"/>
      <c r="AO225" s="550"/>
      <c r="AP225" s="550"/>
      <c r="AQ225" s="550"/>
      <c r="AR225" s="551"/>
      <c r="AS225" s="550"/>
      <c r="AT225" s="550"/>
      <c r="AU225" s="550"/>
      <c r="AV225" s="550"/>
      <c r="AW225" s="551"/>
      <c r="AX225" s="550"/>
      <c r="AY225" s="550"/>
      <c r="AZ225" s="550"/>
      <c r="BA225" s="550"/>
      <c r="BB225" s="551"/>
      <c r="BC225" s="550"/>
      <c r="BD225" s="550"/>
      <c r="BE225" s="550"/>
      <c r="BF225" s="550"/>
      <c r="BG225" s="551"/>
      <c r="BH225" s="574">
        <f t="shared" ref="BH225:CZ225" si="369">BH218-BH221</f>
        <v>-0.1516525537560085</v>
      </c>
      <c r="BI225" s="574">
        <f t="shared" si="369"/>
        <v>1.6075014527586973E-2</v>
      </c>
      <c r="BJ225" s="574">
        <f t="shared" si="369"/>
        <v>1.05752981284013E-2</v>
      </c>
      <c r="BK225" s="574">
        <f t="shared" si="369"/>
        <v>2.0382621298494996E-2</v>
      </c>
      <c r="BL225" s="553">
        <f t="shared" si="369"/>
        <v>45.895380380198731</v>
      </c>
      <c r="BM225" s="574">
        <f t="shared" si="369"/>
        <v>0</v>
      </c>
      <c r="BN225" s="574">
        <f t="shared" si="369"/>
        <v>0</v>
      </c>
      <c r="BO225" s="574">
        <f t="shared" si="369"/>
        <v>0.39999999999986358</v>
      </c>
      <c r="BP225" s="574">
        <f t="shared" si="369"/>
        <v>0.10000000000002274</v>
      </c>
      <c r="BQ225" s="553">
        <f t="shared" si="369"/>
        <v>0.5</v>
      </c>
      <c r="BR225" s="574">
        <f t="shared" si="369"/>
        <v>0.20000000000004547</v>
      </c>
      <c r="BS225" s="574">
        <f t="shared" si="369"/>
        <v>-0.20000000000004547</v>
      </c>
      <c r="BT225" s="574">
        <f t="shared" si="369"/>
        <v>-9.9999999999909051E-2</v>
      </c>
      <c r="BU225" s="574">
        <f t="shared" si="369"/>
        <v>0</v>
      </c>
      <c r="BV225" s="873">
        <f t="shared" si="369"/>
        <v>-9.9999999999909051E-2</v>
      </c>
      <c r="BW225" s="574">
        <f t="shared" si="369"/>
        <v>0.24465035598245777</v>
      </c>
      <c r="BX225" s="574">
        <f t="shared" si="369"/>
        <v>2.4211378770132796E-2</v>
      </c>
      <c r="BY225" s="574">
        <f t="shared" si="369"/>
        <v>8.5449601683876608E-2</v>
      </c>
      <c r="BZ225" s="574">
        <f t="shared" si="369"/>
        <v>0.23502579881505881</v>
      </c>
      <c r="CA225" s="553">
        <f t="shared" si="369"/>
        <v>0.5893371352512986</v>
      </c>
      <c r="CB225" s="574">
        <f t="shared" si="369"/>
        <v>9.9999988378840499E-7</v>
      </c>
      <c r="CC225" s="574">
        <f t="shared" si="369"/>
        <v>0</v>
      </c>
      <c r="CD225" s="550">
        <f t="shared" si="369"/>
        <v>0</v>
      </c>
      <c r="CE225" s="550">
        <f t="shared" si="369"/>
        <v>-9.9999999747524271E-7</v>
      </c>
      <c r="CF225" s="551">
        <f t="shared" si="369"/>
        <v>0</v>
      </c>
      <c r="CG225" s="659">
        <f t="shared" si="369"/>
        <v>-9.9999988378840499E-7</v>
      </c>
      <c r="CH225" s="659">
        <f t="shared" si="369"/>
        <v>-9.9999999747524271E-7</v>
      </c>
      <c r="CI225" s="659">
        <f t="shared" si="369"/>
        <v>9.9999988378840499E-7</v>
      </c>
      <c r="CJ225" s="659">
        <f t="shared" si="369"/>
        <v>-1.3219067054301377</v>
      </c>
      <c r="CK225" s="551">
        <f t="shared" si="369"/>
        <v>-1.3219077054300215</v>
      </c>
      <c r="CL225" s="659">
        <f t="shared" ca="1" si="369"/>
        <v>-3.8268797561295287</v>
      </c>
      <c r="CM225" s="659">
        <f t="shared" si="369"/>
        <v>-26.705352491821486</v>
      </c>
      <c r="CN225" s="659">
        <f t="shared" si="369"/>
        <v>-3.5020688859774509</v>
      </c>
      <c r="CO225" s="659">
        <f>CO218-CO221</f>
        <v>2.4138257938147945E-2</v>
      </c>
      <c r="CP225" s="551">
        <f t="shared" ca="1" si="369"/>
        <v>-34.010162875989408</v>
      </c>
      <c r="CQ225" s="659">
        <f t="shared" si="369"/>
        <v>138.11476272357481</v>
      </c>
      <c r="CR225" s="659">
        <f t="shared" si="369"/>
        <v>13.398011542569293</v>
      </c>
      <c r="CS225" s="659">
        <f t="shared" ca="1" si="369"/>
        <v>-34.207079692238722</v>
      </c>
      <c r="CT225" s="659">
        <f ca="1">CT218-CT221</f>
        <v>-11.708600927936914</v>
      </c>
      <c r="CU225" s="551">
        <f t="shared" ca="1" si="369"/>
        <v>105.59709364596802</v>
      </c>
      <c r="CV225" s="659">
        <f t="shared" ca="1" si="369"/>
        <v>126.34586896563246</v>
      </c>
      <c r="CW225" s="659">
        <f t="shared" ca="1" si="369"/>
        <v>70.133431705211024</v>
      </c>
      <c r="CX225" s="659">
        <f t="shared" ca="1" si="369"/>
        <v>7.463553172780621</v>
      </c>
      <c r="CY225" s="659">
        <f ca="1">CY218-CY221</f>
        <v>162.86022580607573</v>
      </c>
      <c r="CZ225" s="551">
        <f t="shared" ca="1" si="369"/>
        <v>366.80307964970052</v>
      </c>
      <c r="DA225" s="659">
        <f t="shared" ref="DA225:DE226" ca="1" si="370">DA218-DA221</f>
        <v>11.578963654404788</v>
      </c>
      <c r="DB225" s="659">
        <f t="shared" ca="1" si="370"/>
        <v>16.385932364509699</v>
      </c>
      <c r="DC225" s="659">
        <f t="shared" ca="1" si="370"/>
        <v>-360.16271674615155</v>
      </c>
      <c r="DD225" s="659">
        <f t="shared" ca="1" si="370"/>
        <v>-73.931839948274956</v>
      </c>
      <c r="DE225" s="551">
        <f t="shared" ca="1" si="370"/>
        <v>-406.12966067551133</v>
      </c>
      <c r="DF225" s="659">
        <f t="shared" ref="DF225:DJ226" ca="1" si="371">DF218-DF221</f>
        <v>97.409151660616089</v>
      </c>
      <c r="DG225" s="659">
        <f t="shared" ca="1" si="371"/>
        <v>29.212944565827001</v>
      </c>
      <c r="DH225" s="659">
        <f t="shared" ref="DH225:DI226" ca="1" si="372">DH218-DH221</f>
        <v>108.44833591767747</v>
      </c>
      <c r="DI225" s="659">
        <f t="shared" ca="1" si="372"/>
        <v>-73.349933980809737</v>
      </c>
      <c r="DJ225" s="551">
        <f t="shared" ca="1" si="371"/>
        <v>161.72049816331037</v>
      </c>
      <c r="DK225" s="659">
        <f t="shared" ref="DK225:DT225" ca="1" si="373">DK218-DK221</f>
        <v>0</v>
      </c>
      <c r="DL225" s="659">
        <f t="shared" ca="1" si="373"/>
        <v>0</v>
      </c>
      <c r="DM225" s="659">
        <f t="shared" ca="1" si="373"/>
        <v>0</v>
      </c>
      <c r="DN225" s="659">
        <f t="shared" ca="1" si="373"/>
        <v>0</v>
      </c>
      <c r="DO225" s="551">
        <f t="shared" ca="1" si="373"/>
        <v>0</v>
      </c>
      <c r="DP225" s="659">
        <f t="shared" ca="1" si="373"/>
        <v>0</v>
      </c>
      <c r="DQ225" s="659">
        <f t="shared" ca="1" si="373"/>
        <v>0</v>
      </c>
      <c r="DR225" s="659">
        <f t="shared" ca="1" si="373"/>
        <v>0</v>
      </c>
      <c r="DS225" s="659">
        <f t="shared" ca="1" si="373"/>
        <v>0</v>
      </c>
      <c r="DT225" s="551">
        <f t="shared" ca="1" si="373"/>
        <v>0</v>
      </c>
      <c r="DU225" s="659">
        <f t="shared" ref="DU225:DY225" ca="1" si="374">DU218-DU221</f>
        <v>0</v>
      </c>
      <c r="DV225" s="659">
        <f t="shared" ca="1" si="374"/>
        <v>0</v>
      </c>
      <c r="DW225" s="659">
        <f t="shared" ca="1" si="374"/>
        <v>0</v>
      </c>
      <c r="DX225" s="659">
        <f t="shared" ca="1" si="374"/>
        <v>0</v>
      </c>
      <c r="DY225" s="551">
        <f t="shared" ca="1" si="374"/>
        <v>0</v>
      </c>
    </row>
    <row r="226" spans="1:129" outlineLevel="1" x14ac:dyDescent="0.2">
      <c r="A226" s="474"/>
      <c r="B226" s="895" t="s">
        <v>797</v>
      </c>
      <c r="C226" s="600"/>
      <c r="D226" s="600"/>
      <c r="E226" s="600"/>
      <c r="F226" s="600"/>
      <c r="G226" s="600"/>
      <c r="H226" s="600"/>
      <c r="I226" s="593"/>
      <c r="J226" s="600"/>
      <c r="K226" s="600"/>
      <c r="L226" s="600"/>
      <c r="M226" s="600"/>
      <c r="N226" s="593"/>
      <c r="O226" s="600"/>
      <c r="P226" s="600"/>
      <c r="Q226" s="600"/>
      <c r="R226" s="600"/>
      <c r="S226" s="593"/>
      <c r="T226" s="600"/>
      <c r="U226" s="600"/>
      <c r="V226" s="600"/>
      <c r="W226" s="600"/>
      <c r="X226" s="593"/>
      <c r="Y226" s="600"/>
      <c r="Z226" s="600"/>
      <c r="AA226" s="600"/>
      <c r="AB226" s="600"/>
      <c r="AC226" s="593"/>
      <c r="AD226" s="600"/>
      <c r="AE226" s="600"/>
      <c r="AF226" s="600"/>
      <c r="AG226" s="600"/>
      <c r="AH226" s="593"/>
      <c r="AI226" s="600"/>
      <c r="AJ226" s="600"/>
      <c r="AK226" s="600"/>
      <c r="AL226" s="600"/>
      <c r="AM226" s="593"/>
      <c r="AN226" s="600"/>
      <c r="AO226" s="600"/>
      <c r="AP226" s="600"/>
      <c r="AQ226" s="600"/>
      <c r="AR226" s="593"/>
      <c r="AS226" s="600"/>
      <c r="AT226" s="600"/>
      <c r="AU226" s="600"/>
      <c r="AV226" s="600"/>
      <c r="AW226" s="593"/>
      <c r="AX226" s="600"/>
      <c r="AY226" s="600"/>
      <c r="AZ226" s="600"/>
      <c r="BA226" s="600"/>
      <c r="BB226" s="593"/>
      <c r="BC226" s="600"/>
      <c r="BD226" s="600"/>
      <c r="BE226" s="600"/>
      <c r="BF226" s="600"/>
      <c r="BG226" s="593"/>
      <c r="BH226" s="887">
        <f t="shared" ref="BH226:CZ226" si="375">BH219-BH222</f>
        <v>-2.9098934312389579E-4</v>
      </c>
      <c r="BI226" s="887">
        <f t="shared" si="375"/>
        <v>1.5231061414600067E-6</v>
      </c>
      <c r="BJ226" s="887">
        <f t="shared" si="375"/>
        <v>9.9181232798839503E-7</v>
      </c>
      <c r="BK226" s="887">
        <f t="shared" si="375"/>
        <v>1.7553973938044809E-6</v>
      </c>
      <c r="BL226" s="780">
        <f t="shared" si="375"/>
        <v>1.3136085333100012E-3</v>
      </c>
      <c r="BM226" s="801">
        <f t="shared" si="375"/>
        <v>0</v>
      </c>
      <c r="BN226" s="801">
        <f t="shared" si="375"/>
        <v>0</v>
      </c>
      <c r="BO226" s="801">
        <f t="shared" si="375"/>
        <v>3.7866595982330442E-5</v>
      </c>
      <c r="BP226" s="801">
        <f t="shared" si="375"/>
        <v>8.485866788865426E-6</v>
      </c>
      <c r="BQ226" s="780">
        <f t="shared" si="375"/>
        <v>1.1423558118464627E-5</v>
      </c>
      <c r="BR226" s="801">
        <f t="shared" si="375"/>
        <v>1.7338835523808549E-5</v>
      </c>
      <c r="BS226" s="801">
        <f t="shared" si="375"/>
        <v>-1.537527195014099E-5</v>
      </c>
      <c r="BT226" s="801">
        <f t="shared" si="375"/>
        <v>-7.6744203893891472E-6</v>
      </c>
      <c r="BU226" s="801">
        <f t="shared" si="375"/>
        <v>0</v>
      </c>
      <c r="BV226" s="880">
        <f t="shared" si="375"/>
        <v>-1.958288455894408E-6</v>
      </c>
      <c r="BW226" s="801">
        <f t="shared" si="375"/>
        <v>2.0670019937690798E-5</v>
      </c>
      <c r="BX226" s="801">
        <f t="shared" si="375"/>
        <v>2.044879963691848E-6</v>
      </c>
      <c r="BY226" s="801">
        <f t="shared" si="375"/>
        <v>7.1649842096205285E-6</v>
      </c>
      <c r="BZ226" s="801">
        <f t="shared" si="375"/>
        <v>1.9300796486418359E-5</v>
      </c>
      <c r="CA226" s="780">
        <f t="shared" si="375"/>
        <v>1.2334647758460715E-5</v>
      </c>
      <c r="CB226" s="801">
        <f t="shared" si="375"/>
        <v>7.1357204867172896E-11</v>
      </c>
      <c r="CC226" s="801">
        <f t="shared" si="375"/>
        <v>0</v>
      </c>
      <c r="CD226" s="798">
        <f t="shared" si="375"/>
        <v>0</v>
      </c>
      <c r="CE226" s="798">
        <f t="shared" si="375"/>
        <v>-6.2998870009600694E-11</v>
      </c>
      <c r="CF226" s="593">
        <f t="shared" si="375"/>
        <v>0</v>
      </c>
      <c r="CG226" s="896">
        <f t="shared" si="375"/>
        <v>-5.4644802571779394E-11</v>
      </c>
      <c r="CH226" s="896">
        <f t="shared" si="375"/>
        <v>-5.4281155958957328E-11</v>
      </c>
      <c r="CI226" s="896">
        <f t="shared" si="375"/>
        <v>5.5311567825899743E-11</v>
      </c>
      <c r="CJ226" s="896">
        <f t="shared" si="375"/>
        <v>-7.0910133324220137E-5</v>
      </c>
      <c r="CK226" s="593">
        <f t="shared" si="375"/>
        <v>-1.7998852260635301E-5</v>
      </c>
      <c r="CL226" s="896">
        <f t="shared" ca="1" si="375"/>
        <v>-2.082625916760561E-4</v>
      </c>
      <c r="CM226" s="896">
        <f t="shared" si="375"/>
        <v>-1.4207281921975803E-3</v>
      </c>
      <c r="CN226" s="896">
        <f t="shared" si="375"/>
        <v>1.4596610830516776E-4</v>
      </c>
      <c r="CO226" s="896">
        <f>CO219-CO222</f>
        <v>-1.2622697402501562E-3</v>
      </c>
      <c r="CP226" s="593">
        <f t="shared" ca="1" si="375"/>
        <v>-6.7264053437314508E-4</v>
      </c>
      <c r="CQ226" s="896">
        <f t="shared" si="375"/>
        <v>8.5633134106504888E-3</v>
      </c>
      <c r="CR226" s="896">
        <f t="shared" si="375"/>
        <v>-3.5751724221447928E-4</v>
      </c>
      <c r="CS226" s="896">
        <f t="shared" ca="1" si="375"/>
        <v>-1.2370575454045962E-3</v>
      </c>
      <c r="CT226" s="896">
        <f t="shared" ca="1" si="375"/>
        <v>-5.6230058610180766E-4</v>
      </c>
      <c r="CU226" s="593">
        <f t="shared" ca="1" si="375"/>
        <v>1.3912060316342706E-3</v>
      </c>
      <c r="CV226" s="896">
        <f t="shared" ca="1" si="375"/>
        <v>5.291109262387815E-3</v>
      </c>
      <c r="CW226" s="896">
        <f t="shared" ca="1" si="375"/>
        <v>2.8694405705546322E-3</v>
      </c>
      <c r="CX226" s="896">
        <f t="shared" ca="1" si="375"/>
        <v>2.9236428752501403E-4</v>
      </c>
      <c r="CY226" s="896">
        <f ca="1">CY219-CY222</f>
        <v>6.1424386304161083E-3</v>
      </c>
      <c r="CZ226" s="593">
        <f t="shared" ca="1" si="375"/>
        <v>3.6547785061483845E-3</v>
      </c>
      <c r="DA226" s="896">
        <f t="shared" ca="1" si="370"/>
        <v>4.0253654282652179E-4</v>
      </c>
      <c r="DB226" s="896">
        <f t="shared" ca="1" si="370"/>
        <v>5.551138480743914E-4</v>
      </c>
      <c r="DC226" s="896">
        <f t="shared" ca="1" si="370"/>
        <v>-1.183612781009466E-2</v>
      </c>
      <c r="DD226" s="896">
        <f t="shared" ca="1" si="370"/>
        <v>-2.3651150201148136E-3</v>
      </c>
      <c r="DE226" s="593">
        <f t="shared" ca="1" si="370"/>
        <v>-3.3854520442561722E-3</v>
      </c>
      <c r="DF226" s="896">
        <f t="shared" ca="1" si="371"/>
        <v>3.1198183264296853E-3</v>
      </c>
      <c r="DG226" s="896">
        <f t="shared" ca="1" si="371"/>
        <v>9.0370927580082222E-4</v>
      </c>
      <c r="DH226" s="896">
        <f t="shared" ref="DH226" ca="1" si="376">DH219-DH222</f>
        <v>3.2967513027161652E-3</v>
      </c>
      <c r="DI226" s="896">
        <f t="shared" ca="1" si="372"/>
        <v>-2.1477544627751324E-3</v>
      </c>
      <c r="DJ226" s="593">
        <f t="shared" ca="1" si="371"/>
        <v>1.2383265780739061E-3</v>
      </c>
      <c r="DK226" s="896">
        <f t="shared" ref="DK226:DT226" ca="1" si="377">DK219-DK222</f>
        <v>0</v>
      </c>
      <c r="DL226" s="896">
        <f t="shared" ca="1" si="377"/>
        <v>0</v>
      </c>
      <c r="DM226" s="896">
        <f t="shared" ca="1" si="377"/>
        <v>0</v>
      </c>
      <c r="DN226" s="896">
        <f t="shared" ca="1" si="377"/>
        <v>0</v>
      </c>
      <c r="DO226" s="593">
        <f t="shared" ca="1" si="377"/>
        <v>0</v>
      </c>
      <c r="DP226" s="896">
        <f t="shared" ca="1" si="377"/>
        <v>0</v>
      </c>
      <c r="DQ226" s="896">
        <f t="shared" ca="1" si="377"/>
        <v>0</v>
      </c>
      <c r="DR226" s="896">
        <f t="shared" ca="1" si="377"/>
        <v>0</v>
      </c>
      <c r="DS226" s="896">
        <f t="shared" ca="1" si="377"/>
        <v>0</v>
      </c>
      <c r="DT226" s="593">
        <f t="shared" ca="1" si="377"/>
        <v>0</v>
      </c>
      <c r="DU226" s="896">
        <f t="shared" ref="DU226:DY226" ca="1" si="378">DU219-DU222</f>
        <v>0</v>
      </c>
      <c r="DV226" s="896">
        <f t="shared" ca="1" si="378"/>
        <v>0</v>
      </c>
      <c r="DW226" s="896">
        <f t="shared" ca="1" si="378"/>
        <v>0</v>
      </c>
      <c r="DX226" s="896">
        <f t="shared" ca="1" si="378"/>
        <v>0</v>
      </c>
      <c r="DY226" s="593">
        <f t="shared" ca="1" si="378"/>
        <v>0</v>
      </c>
    </row>
    <row r="227" spans="1:129" x14ac:dyDescent="0.2">
      <c r="A227" s="474"/>
      <c r="B227" s="895"/>
      <c r="C227" s="600"/>
      <c r="D227" s="600"/>
      <c r="E227" s="600"/>
      <c r="F227" s="600"/>
      <c r="G227" s="600"/>
      <c r="H227" s="600"/>
      <c r="I227" s="593"/>
      <c r="J227" s="600"/>
      <c r="K227" s="600"/>
      <c r="L227" s="600"/>
      <c r="M227" s="600"/>
      <c r="N227" s="593"/>
      <c r="O227" s="600"/>
      <c r="P227" s="600"/>
      <c r="Q227" s="600"/>
      <c r="R227" s="600"/>
      <c r="S227" s="593"/>
      <c r="T227" s="600"/>
      <c r="U227" s="600"/>
      <c r="V227" s="600"/>
      <c r="W227" s="600"/>
      <c r="X227" s="593"/>
      <c r="Y227" s="600"/>
      <c r="Z227" s="600"/>
      <c r="AA227" s="600"/>
      <c r="AB227" s="600"/>
      <c r="AC227" s="593"/>
      <c r="AD227" s="600"/>
      <c r="AE227" s="600"/>
      <c r="AF227" s="600"/>
      <c r="AG227" s="600"/>
      <c r="AH227" s="593"/>
      <c r="AI227" s="600"/>
      <c r="AJ227" s="600"/>
      <c r="AK227" s="600"/>
      <c r="AL227" s="600"/>
      <c r="AM227" s="593"/>
      <c r="AN227" s="600"/>
      <c r="AO227" s="600"/>
      <c r="AP227" s="600"/>
      <c r="AQ227" s="600"/>
      <c r="AR227" s="593"/>
      <c r="AS227" s="600"/>
      <c r="AT227" s="600"/>
      <c r="AU227" s="600"/>
      <c r="AV227" s="600"/>
      <c r="AW227" s="593"/>
      <c r="AX227" s="600"/>
      <c r="AY227" s="600"/>
      <c r="AZ227" s="600"/>
      <c r="BA227" s="600"/>
      <c r="BB227" s="593"/>
      <c r="BC227" s="600"/>
      <c r="BD227" s="600"/>
      <c r="BE227" s="600"/>
      <c r="BF227" s="600"/>
      <c r="BG227" s="593"/>
      <c r="BH227" s="888"/>
      <c r="BI227" s="888"/>
      <c r="BJ227" s="888"/>
      <c r="BK227" s="888"/>
      <c r="BL227" s="593"/>
      <c r="BM227" s="600"/>
      <c r="BN227" s="600"/>
      <c r="BO227" s="600"/>
      <c r="BP227" s="600"/>
      <c r="BQ227" s="593"/>
      <c r="BR227" s="897"/>
      <c r="BS227" s="897"/>
      <c r="BT227" s="897"/>
      <c r="BU227" s="897"/>
      <c r="BV227" s="898"/>
      <c r="BW227" s="897"/>
      <c r="BX227" s="897"/>
      <c r="BY227" s="897"/>
      <c r="BZ227" s="897"/>
      <c r="CA227" s="593"/>
      <c r="CB227" s="719"/>
      <c r="CC227" s="600"/>
      <c r="CD227" s="600"/>
      <c r="CE227" s="600"/>
      <c r="CF227" s="593"/>
      <c r="CG227" s="899"/>
      <c r="CH227" s="899"/>
      <c r="CI227" s="899"/>
      <c r="CJ227" s="899"/>
      <c r="CK227" s="593"/>
      <c r="CL227" s="899"/>
      <c r="CM227" s="899"/>
      <c r="CN227" s="899"/>
      <c r="CO227" s="899"/>
      <c r="CP227" s="593"/>
      <c r="CQ227" s="899"/>
      <c r="CR227" s="899"/>
      <c r="CS227" s="899"/>
      <c r="CT227" s="899"/>
      <c r="CU227" s="593"/>
      <c r="CV227" s="899"/>
      <c r="CW227" s="899"/>
      <c r="CX227" s="899"/>
      <c r="CY227" s="899"/>
      <c r="CZ227" s="593"/>
      <c r="DA227" s="899"/>
      <c r="DB227" s="899"/>
      <c r="DC227" s="899"/>
      <c r="DD227" s="899"/>
      <c r="DE227" s="593"/>
      <c r="DF227" s="899"/>
      <c r="DG227" s="899"/>
      <c r="DH227" s="899"/>
      <c r="DI227" s="899"/>
      <c r="DJ227" s="593"/>
      <c r="DK227" s="899"/>
      <c r="DL227" s="899"/>
      <c r="DM227" s="899"/>
      <c r="DN227" s="899"/>
      <c r="DO227" s="593"/>
      <c r="DP227" s="899"/>
      <c r="DQ227" s="899"/>
      <c r="DR227" s="899"/>
      <c r="DS227" s="899"/>
      <c r="DT227" s="593"/>
      <c r="DU227" s="899"/>
      <c r="DV227" s="899"/>
      <c r="DW227" s="899"/>
      <c r="DX227" s="899"/>
      <c r="DY227" s="593"/>
    </row>
    <row r="228" spans="1:129" x14ac:dyDescent="0.2">
      <c r="A228" s="474"/>
      <c r="B228" s="900" t="s">
        <v>798</v>
      </c>
      <c r="C228" s="600"/>
      <c r="D228" s="600"/>
      <c r="E228" s="600"/>
      <c r="F228" s="600"/>
      <c r="G228" s="600"/>
      <c r="H228" s="600"/>
      <c r="I228" s="593"/>
      <c r="J228" s="600"/>
      <c r="K228" s="600"/>
      <c r="L228" s="600"/>
      <c r="M228" s="600"/>
      <c r="N228" s="593"/>
      <c r="O228" s="600"/>
      <c r="P228" s="600"/>
      <c r="Q228" s="600"/>
      <c r="R228" s="600"/>
      <c r="S228" s="593"/>
      <c r="T228" s="600"/>
      <c r="U228" s="600"/>
      <c r="V228" s="600"/>
      <c r="W228" s="600"/>
      <c r="X228" s="593"/>
      <c r="Y228" s="600"/>
      <c r="Z228" s="600"/>
      <c r="AA228" s="600"/>
      <c r="AB228" s="600"/>
      <c r="AC228" s="593"/>
      <c r="AD228" s="600"/>
      <c r="AE228" s="600"/>
      <c r="AF228" s="600"/>
      <c r="AG228" s="600"/>
      <c r="AH228" s="593"/>
      <c r="AI228" s="600"/>
      <c r="AJ228" s="600"/>
      <c r="AK228" s="600"/>
      <c r="AL228" s="600"/>
      <c r="AM228" s="593"/>
      <c r="AN228" s="600"/>
      <c r="AO228" s="600"/>
      <c r="AP228" s="600"/>
      <c r="AQ228" s="600"/>
      <c r="AR228" s="593"/>
      <c r="AS228" s="600"/>
      <c r="AT228" s="600"/>
      <c r="AU228" s="600"/>
      <c r="AV228" s="600"/>
      <c r="AW228" s="593"/>
      <c r="AX228" s="600"/>
      <c r="AY228" s="600"/>
      <c r="AZ228" s="600"/>
      <c r="BA228" s="600"/>
      <c r="BB228" s="593"/>
      <c r="BC228" s="600"/>
      <c r="BD228" s="600"/>
      <c r="BE228" s="600"/>
      <c r="BF228" s="600"/>
      <c r="BG228" s="593"/>
      <c r="BH228" s="888"/>
      <c r="BI228" s="888"/>
      <c r="BJ228" s="888"/>
      <c r="BK228" s="888"/>
      <c r="BL228" s="593"/>
      <c r="BM228" s="600"/>
      <c r="BN228" s="600"/>
      <c r="BO228" s="600"/>
      <c r="BP228" s="600"/>
      <c r="BQ228" s="593"/>
      <c r="BR228" s="771"/>
      <c r="BS228" s="771"/>
      <c r="BT228" s="771"/>
      <c r="BU228" s="771"/>
      <c r="BV228" s="898"/>
      <c r="BW228" s="771"/>
      <c r="BX228" s="771"/>
      <c r="BY228" s="771"/>
      <c r="BZ228" s="771"/>
      <c r="CA228" s="593"/>
      <c r="CB228" s="775"/>
      <c r="CC228" s="600"/>
      <c r="CD228" s="600"/>
      <c r="CE228" s="600"/>
      <c r="CF228" s="593"/>
      <c r="CG228" s="899"/>
      <c r="CH228" s="899"/>
      <c r="CI228" s="899"/>
      <c r="CJ228" s="899"/>
      <c r="CK228" s="593"/>
      <c r="CL228" s="899"/>
      <c r="CM228" s="899"/>
      <c r="CN228" s="899"/>
      <c r="CO228" s="899"/>
      <c r="CP228" s="593"/>
      <c r="CQ228" s="899"/>
      <c r="CR228" s="899"/>
      <c r="CS228" s="899"/>
      <c r="CT228" s="899"/>
      <c r="CU228" s="593"/>
      <c r="CV228" s="899"/>
      <c r="CW228" s="899"/>
      <c r="CX228" s="899"/>
      <c r="CY228" s="899"/>
      <c r="CZ228" s="593"/>
      <c r="DA228" s="899"/>
      <c r="DB228" s="899"/>
      <c r="DC228" s="899"/>
      <c r="DD228" s="899"/>
      <c r="DE228" s="593"/>
      <c r="DF228" s="899"/>
      <c r="DG228" s="899"/>
      <c r="DH228" s="899"/>
      <c r="DI228" s="899"/>
      <c r="DJ228" s="593"/>
      <c r="DK228" s="899"/>
      <c r="DL228" s="899"/>
      <c r="DM228" s="899"/>
      <c r="DN228" s="899"/>
      <c r="DO228" s="593"/>
      <c r="DP228" s="899"/>
      <c r="DQ228" s="899"/>
      <c r="DR228" s="899"/>
      <c r="DS228" s="899"/>
      <c r="DT228" s="593"/>
      <c r="DU228" s="899"/>
      <c r="DV228" s="899"/>
      <c r="DW228" s="899"/>
      <c r="DX228" s="899"/>
      <c r="DY228" s="593"/>
    </row>
    <row r="229" spans="1:129" x14ac:dyDescent="0.2">
      <c r="A229" s="474"/>
      <c r="B229" s="895"/>
      <c r="C229" s="600"/>
      <c r="D229" s="600"/>
      <c r="E229" s="600"/>
      <c r="F229" s="600"/>
      <c r="G229" s="600"/>
      <c r="H229" s="600"/>
      <c r="I229" s="593"/>
      <c r="J229" s="600"/>
      <c r="K229" s="600"/>
      <c r="L229" s="600"/>
      <c r="M229" s="600"/>
      <c r="N229" s="593"/>
      <c r="O229" s="600"/>
      <c r="P229" s="600"/>
      <c r="Q229" s="600"/>
      <c r="R229" s="600"/>
      <c r="S229" s="593"/>
      <c r="T229" s="600"/>
      <c r="U229" s="600"/>
      <c r="V229" s="600"/>
      <c r="W229" s="600"/>
      <c r="X229" s="593"/>
      <c r="Y229" s="600"/>
      <c r="Z229" s="600"/>
      <c r="AA229" s="600"/>
      <c r="AB229" s="600"/>
      <c r="AC229" s="593"/>
      <c r="AD229" s="600"/>
      <c r="AE229" s="600"/>
      <c r="AF229" s="600"/>
      <c r="AG229" s="600"/>
      <c r="AH229" s="593"/>
      <c r="AI229" s="600"/>
      <c r="AJ229" s="600"/>
      <c r="AK229" s="600"/>
      <c r="AL229" s="600"/>
      <c r="AM229" s="593"/>
      <c r="AN229" s="600"/>
      <c r="AO229" s="600"/>
      <c r="AP229" s="600"/>
      <c r="AQ229" s="600"/>
      <c r="AR229" s="593"/>
      <c r="AS229" s="600"/>
      <c r="AT229" s="600"/>
      <c r="AU229" s="600"/>
      <c r="AV229" s="600"/>
      <c r="AW229" s="593"/>
      <c r="AX229" s="600"/>
      <c r="AY229" s="600"/>
      <c r="AZ229" s="600"/>
      <c r="BA229" s="600"/>
      <c r="BB229" s="593"/>
      <c r="BC229" s="600"/>
      <c r="BD229" s="600"/>
      <c r="BE229" s="600"/>
      <c r="BF229" s="600"/>
      <c r="BG229" s="593"/>
      <c r="BH229" s="888"/>
      <c r="BI229" s="888"/>
      <c r="BJ229" s="888"/>
      <c r="BK229" s="888"/>
      <c r="BL229" s="593"/>
      <c r="BM229" s="600"/>
      <c r="BN229" s="600"/>
      <c r="BO229" s="600"/>
      <c r="BP229" s="600"/>
      <c r="BQ229" s="593"/>
      <c r="BR229" s="897"/>
      <c r="BS229" s="897"/>
      <c r="BT229" s="897"/>
      <c r="BU229" s="897"/>
      <c r="BV229" s="898"/>
      <c r="BW229" s="897"/>
      <c r="BX229" s="897"/>
      <c r="BY229" s="897"/>
      <c r="BZ229" s="897"/>
      <c r="CA229" s="593"/>
      <c r="CB229" s="600"/>
      <c r="CC229" s="600"/>
      <c r="CD229" s="600"/>
      <c r="CE229" s="600"/>
      <c r="CF229" s="593"/>
      <c r="CG229" s="899"/>
      <c r="CH229" s="899"/>
      <c r="CI229" s="899"/>
      <c r="CJ229" s="899"/>
      <c r="CK229" s="593"/>
      <c r="CL229" s="899"/>
      <c r="CM229" s="899"/>
      <c r="CN229" s="899"/>
      <c r="CO229" s="899"/>
      <c r="CP229" s="593"/>
      <c r="CQ229" s="899"/>
      <c r="CR229" s="899"/>
      <c r="CS229" s="899"/>
      <c r="CT229" s="899"/>
      <c r="CU229" s="593"/>
      <c r="CV229" s="899"/>
      <c r="CW229" s="899"/>
      <c r="CX229" s="899"/>
      <c r="CY229" s="899"/>
      <c r="CZ229" s="593"/>
      <c r="DA229" s="899"/>
      <c r="DB229" s="899"/>
      <c r="DC229" s="899"/>
      <c r="DD229" s="899"/>
      <c r="DE229" s="593"/>
      <c r="DF229" s="899"/>
      <c r="DG229" s="899"/>
      <c r="DH229" s="899"/>
      <c r="DI229" s="899"/>
      <c r="DJ229" s="593"/>
      <c r="DK229" s="899"/>
      <c r="DL229" s="899"/>
      <c r="DM229" s="899"/>
      <c r="DN229" s="899"/>
      <c r="DO229" s="593"/>
      <c r="DP229" s="899"/>
      <c r="DQ229" s="899"/>
      <c r="DR229" s="899"/>
      <c r="DS229" s="899"/>
      <c r="DT229" s="593"/>
      <c r="DU229" s="899"/>
      <c r="DV229" s="899"/>
      <c r="DW229" s="899"/>
      <c r="DX229" s="899"/>
      <c r="DY229" s="593"/>
    </row>
    <row r="230" spans="1:129" x14ac:dyDescent="0.2">
      <c r="A230" s="474"/>
      <c r="B230" s="900" t="s">
        <v>776</v>
      </c>
      <c r="C230" s="600"/>
      <c r="D230" s="600"/>
      <c r="E230" s="600"/>
      <c r="F230" s="600"/>
      <c r="G230" s="600"/>
      <c r="H230" s="600"/>
      <c r="I230" s="593"/>
      <c r="J230" s="600"/>
      <c r="K230" s="600"/>
      <c r="L230" s="600"/>
      <c r="M230" s="600"/>
      <c r="N230" s="593"/>
      <c r="O230" s="600"/>
      <c r="P230" s="600"/>
      <c r="Q230" s="600"/>
      <c r="R230" s="600"/>
      <c r="S230" s="593"/>
      <c r="T230" s="600"/>
      <c r="U230" s="600"/>
      <c r="V230" s="600"/>
      <c r="W230" s="600"/>
      <c r="X230" s="593"/>
      <c r="Y230" s="600"/>
      <c r="Z230" s="600"/>
      <c r="AA230" s="600"/>
      <c r="AB230" s="600"/>
      <c r="AC230" s="593"/>
      <c r="AD230" s="600"/>
      <c r="AE230" s="600"/>
      <c r="AF230" s="600"/>
      <c r="AG230" s="600"/>
      <c r="AH230" s="593"/>
      <c r="AI230" s="600"/>
      <c r="AJ230" s="600"/>
      <c r="AK230" s="600"/>
      <c r="AL230" s="600"/>
      <c r="AM230" s="593"/>
      <c r="AN230" s="600"/>
      <c r="AO230" s="600"/>
      <c r="AP230" s="600"/>
      <c r="AQ230" s="600"/>
      <c r="AR230" s="593"/>
      <c r="AS230" s="600"/>
      <c r="AT230" s="600"/>
      <c r="AU230" s="600"/>
      <c r="AV230" s="600"/>
      <c r="AW230" s="593"/>
      <c r="AX230" s="600"/>
      <c r="AY230" s="600"/>
      <c r="AZ230" s="600"/>
      <c r="BA230" s="600"/>
      <c r="BB230" s="593"/>
      <c r="BC230" s="600"/>
      <c r="BD230" s="600"/>
      <c r="BE230" s="600"/>
      <c r="BF230" s="600"/>
      <c r="BG230" s="593"/>
      <c r="BH230" s="888"/>
      <c r="BI230" s="888"/>
      <c r="BJ230" s="888"/>
      <c r="BK230" s="888"/>
      <c r="BL230" s="593"/>
      <c r="BM230" s="600"/>
      <c r="BN230" s="600"/>
      <c r="BO230" s="600"/>
      <c r="BP230" s="600"/>
      <c r="BQ230" s="593"/>
      <c r="BR230" s="600"/>
      <c r="BS230" s="600"/>
      <c r="BT230" s="600"/>
      <c r="BU230" s="600"/>
      <c r="BV230" s="898"/>
      <c r="BW230" s="600"/>
      <c r="BX230" s="600"/>
      <c r="BY230" s="600"/>
      <c r="BZ230" s="600"/>
      <c r="CA230" s="593"/>
      <c r="CB230" s="600"/>
      <c r="CC230" s="600"/>
      <c r="CD230" s="600"/>
      <c r="CE230" s="600"/>
      <c r="CF230" s="593"/>
      <c r="CG230" s="899"/>
      <c r="CH230" s="899"/>
      <c r="CI230" s="899"/>
      <c r="CJ230" s="899"/>
      <c r="CK230" s="593"/>
      <c r="CL230" s="899"/>
      <c r="CM230" s="899"/>
      <c r="CN230" s="899"/>
      <c r="CO230" s="899"/>
      <c r="CP230" s="593"/>
      <c r="CQ230" s="899"/>
      <c r="CR230" s="899"/>
      <c r="CS230" s="899"/>
      <c r="CT230" s="899"/>
      <c r="CU230" s="593"/>
      <c r="CV230" s="899"/>
      <c r="CW230" s="899"/>
      <c r="CX230" s="899"/>
      <c r="CY230" s="899"/>
      <c r="CZ230" s="593"/>
      <c r="DA230" s="899"/>
      <c r="DB230" s="899"/>
      <c r="DC230" s="899"/>
      <c r="DD230" s="899"/>
      <c r="DE230" s="593"/>
      <c r="DF230" s="899"/>
      <c r="DG230" s="899"/>
      <c r="DH230" s="899"/>
      <c r="DI230" s="899"/>
      <c r="DJ230" s="593"/>
      <c r="DK230" s="899"/>
      <c r="DL230" s="899"/>
      <c r="DM230" s="899"/>
      <c r="DN230" s="899"/>
      <c r="DO230" s="593"/>
      <c r="DP230" s="899"/>
      <c r="DQ230" s="899"/>
      <c r="DR230" s="899"/>
      <c r="DS230" s="899"/>
      <c r="DT230" s="593"/>
      <c r="DU230" s="899"/>
      <c r="DV230" s="899"/>
      <c r="DW230" s="899"/>
      <c r="DX230" s="899"/>
      <c r="DY230" s="593"/>
    </row>
    <row r="231" spans="1:129" x14ac:dyDescent="0.2">
      <c r="A231" s="476"/>
      <c r="B231" s="901" t="s">
        <v>786</v>
      </c>
      <c r="C231" s="868"/>
      <c r="D231" s="868"/>
      <c r="E231" s="868"/>
      <c r="F231" s="868"/>
      <c r="G231" s="868"/>
      <c r="H231" s="868"/>
      <c r="I231" s="752"/>
      <c r="J231" s="868"/>
      <c r="K231" s="868"/>
      <c r="L231" s="868"/>
      <c r="M231" s="868"/>
      <c r="N231" s="752"/>
      <c r="O231" s="868"/>
      <c r="P231" s="868"/>
      <c r="Q231" s="868"/>
      <c r="R231" s="868"/>
      <c r="S231" s="752"/>
      <c r="T231" s="868"/>
      <c r="U231" s="868"/>
      <c r="V231" s="868"/>
      <c r="W231" s="868"/>
      <c r="X231" s="752"/>
      <c r="Y231" s="868"/>
      <c r="Z231" s="868"/>
      <c r="AA231" s="868"/>
      <c r="AB231" s="868"/>
      <c r="AC231" s="752"/>
      <c r="AD231" s="868"/>
      <c r="AE231" s="868"/>
      <c r="AF231" s="868"/>
      <c r="AG231" s="868"/>
      <c r="AH231" s="752"/>
      <c r="AI231" s="868"/>
      <c r="AJ231" s="868"/>
      <c r="AK231" s="868"/>
      <c r="AL231" s="868"/>
      <c r="AM231" s="752"/>
      <c r="AN231" s="868"/>
      <c r="AO231" s="868"/>
      <c r="AP231" s="868"/>
      <c r="AQ231" s="868"/>
      <c r="AR231" s="752"/>
      <c r="AS231" s="868"/>
      <c r="AT231" s="868"/>
      <c r="AU231" s="868"/>
      <c r="AV231" s="868"/>
      <c r="AW231" s="752"/>
      <c r="AX231" s="868"/>
      <c r="AY231" s="868"/>
      <c r="AZ231" s="868"/>
      <c r="BA231" s="868"/>
      <c r="BB231" s="752"/>
      <c r="BC231" s="868"/>
      <c r="BD231" s="868"/>
      <c r="BE231" s="868"/>
      <c r="BF231" s="868"/>
      <c r="BG231" s="752"/>
      <c r="BH231" s="902"/>
      <c r="BI231" s="902"/>
      <c r="BJ231" s="902"/>
      <c r="BK231" s="902"/>
      <c r="BL231" s="752"/>
      <c r="BM231" s="903">
        <f t="shared" ref="BM231:BP232" si="379">BM206/BM88</f>
        <v>1.9112982977276562</v>
      </c>
      <c r="BN231" s="903">
        <f t="shared" si="379"/>
        <v>1.9729479980058544</v>
      </c>
      <c r="BO231" s="903">
        <f t="shared" si="379"/>
        <v>2.0903781363220451</v>
      </c>
      <c r="BP231" s="903">
        <f t="shared" si="379"/>
        <v>1.9461347728358311</v>
      </c>
      <c r="BQ231" s="752"/>
      <c r="BR231" s="903">
        <f t="shared" ref="BR231:CZ231" si="380">BR206/BR88</f>
        <v>2.041282266064147</v>
      </c>
      <c r="BS231" s="903">
        <f t="shared" si="380"/>
        <v>2.3726199939077719</v>
      </c>
      <c r="BT231" s="903">
        <f t="shared" si="380"/>
        <v>2.3733186892460534</v>
      </c>
      <c r="BU231" s="903">
        <f t="shared" si="380"/>
        <v>2.3675099819835688</v>
      </c>
      <c r="BV231" s="904">
        <f t="shared" si="380"/>
        <v>2.2896439561432489</v>
      </c>
      <c r="BW231" s="903">
        <f t="shared" si="380"/>
        <v>2.3988241144316302</v>
      </c>
      <c r="BX231" s="903">
        <f t="shared" si="380"/>
        <v>2.5068813260420195</v>
      </c>
      <c r="BY231" s="903">
        <f t="shared" si="380"/>
        <v>2.5383012694571576</v>
      </c>
      <c r="BZ231" s="903">
        <f t="shared" si="380"/>
        <v>2.5380092900615994</v>
      </c>
      <c r="CA231" s="905">
        <f t="shared" si="380"/>
        <v>2.495714807459859</v>
      </c>
      <c r="CB231" s="903">
        <f t="shared" si="380"/>
        <v>1.9602763494765847</v>
      </c>
      <c r="CC231" s="903">
        <f t="shared" si="380"/>
        <v>1.879809104497282</v>
      </c>
      <c r="CD231" s="866">
        <f t="shared" si="380"/>
        <v>2.3592983888951151</v>
      </c>
      <c r="CE231" s="866">
        <f t="shared" si="380"/>
        <v>2.5233094445918454</v>
      </c>
      <c r="CF231" s="752">
        <f t="shared" si="380"/>
        <v>2.1976218926864401</v>
      </c>
      <c r="CG231" s="866">
        <f t="shared" si="380"/>
        <v>1.4745318492063788</v>
      </c>
      <c r="CH231" s="866">
        <f t="shared" si="380"/>
        <v>1.9732902950226949</v>
      </c>
      <c r="CI231" s="866">
        <f t="shared" si="380"/>
        <v>3.1719266083590063</v>
      </c>
      <c r="CJ231" s="866">
        <f t="shared" si="380"/>
        <v>3.5300069792596838</v>
      </c>
      <c r="CK231" s="752">
        <f t="shared" si="380"/>
        <v>2.5584274458643876</v>
      </c>
      <c r="CL231" s="866">
        <f t="shared" si="380"/>
        <v>1.513803781478126</v>
      </c>
      <c r="CM231" s="866">
        <f t="shared" si="380"/>
        <v>2.3480720862667424</v>
      </c>
      <c r="CN231" s="866">
        <f t="shared" si="380"/>
        <v>3.4654802959038848</v>
      </c>
      <c r="CO231" s="866">
        <f>CO206/CO88</f>
        <v>2.8603100066505092</v>
      </c>
      <c r="CP231" s="752">
        <f t="shared" si="380"/>
        <v>2.5413414248219812</v>
      </c>
      <c r="CQ231" s="866">
        <f t="shared" si="380"/>
        <v>2.4442358354248404</v>
      </c>
      <c r="CR231" s="866">
        <f t="shared" si="380"/>
        <v>3.3690116145075928</v>
      </c>
      <c r="CS231" s="866">
        <f t="shared" si="380"/>
        <v>3.6761634171280808</v>
      </c>
      <c r="CT231" s="866">
        <f t="shared" si="380"/>
        <v>2.3810148163469114</v>
      </c>
      <c r="CU231" s="752">
        <f t="shared" si="380"/>
        <v>2.962205499261239</v>
      </c>
      <c r="CV231" s="866">
        <f t="shared" ca="1" si="380"/>
        <v>2.0675322045089328</v>
      </c>
      <c r="CW231" s="866">
        <f t="shared" ca="1" si="380"/>
        <v>2.7566618902743696</v>
      </c>
      <c r="CX231" s="866">
        <f t="shared" ca="1" si="380"/>
        <v>2.8817782275957233</v>
      </c>
      <c r="CY231" s="866">
        <f ca="1">CY206/CY88</f>
        <v>2.9916682515003532</v>
      </c>
      <c r="CZ231" s="752">
        <f t="shared" ca="1" si="380"/>
        <v>2.6785373242174653</v>
      </c>
      <c r="DA231" s="866">
        <f t="shared" ref="DA231:DE232" ca="1" si="381">DA206/DA88</f>
        <v>1.3669832254967853</v>
      </c>
      <c r="DB231" s="866">
        <f t="shared" ca="1" si="381"/>
        <v>1.9949553496285999</v>
      </c>
      <c r="DC231" s="866">
        <f t="shared" ca="1" si="381"/>
        <v>2.0603468829030946</v>
      </c>
      <c r="DD231" s="866">
        <f t="shared" ca="1" si="381"/>
        <v>2.1373656981089666</v>
      </c>
      <c r="DE231" s="752">
        <f t="shared" ca="1" si="381"/>
        <v>1.8941716462467286</v>
      </c>
      <c r="DF231" s="866">
        <f t="shared" ref="DF231:DJ232" ca="1" si="382">DF206/DF88</f>
        <v>1.3690972930166969</v>
      </c>
      <c r="DG231" s="866">
        <f t="shared" ca="1" si="382"/>
        <v>1.9025534255281493</v>
      </c>
      <c r="DH231" s="866">
        <f t="shared" ref="DH231:DI232" ca="1" si="383">DH206/DH88</f>
        <v>2.5932969355835724</v>
      </c>
      <c r="DI231" s="2826">
        <f t="shared" ca="1" si="383"/>
        <v>2.4769614271756808</v>
      </c>
      <c r="DJ231" s="752">
        <f t="shared" ca="1" si="382"/>
        <v>2.0877278672662012</v>
      </c>
      <c r="DK231" s="866">
        <f t="shared" ref="DK231:DT231" ca="1" si="384">DK206/DK88</f>
        <v>1.2458785366451943</v>
      </c>
      <c r="DL231" s="866">
        <f t="shared" ca="1" si="384"/>
        <v>1.8382023537823444</v>
      </c>
      <c r="DM231" s="866">
        <f t="shared" ca="1" si="384"/>
        <v>2.4636320888043941</v>
      </c>
      <c r="DN231" s="866">
        <f t="shared" ca="1" si="384"/>
        <v>2.3603985364850613</v>
      </c>
      <c r="DO231" s="752">
        <f t="shared" ca="1" si="384"/>
        <v>1.9825136376567578</v>
      </c>
      <c r="DP231" s="866">
        <f t="shared" ca="1" si="384"/>
        <v>1.2697994045487822</v>
      </c>
      <c r="DQ231" s="866">
        <f t="shared" ca="1" si="384"/>
        <v>1.8855423596057801</v>
      </c>
      <c r="DR231" s="866">
        <f t="shared" ca="1" si="384"/>
        <v>2.5352070842265011</v>
      </c>
      <c r="DS231" s="866">
        <f t="shared" ca="1" si="384"/>
        <v>2.4275387615228579</v>
      </c>
      <c r="DT231" s="752">
        <f t="shared" ca="1" si="384"/>
        <v>2.0352045354879653</v>
      </c>
      <c r="DU231" s="866">
        <f t="shared" ref="DU231:DY231" ca="1" si="385">DU206/DU88</f>
        <v>1.2936405362260244</v>
      </c>
      <c r="DV231" s="866">
        <f t="shared" ca="1" si="385"/>
        <v>1.933728442129039</v>
      </c>
      <c r="DW231" s="866">
        <f t="shared" ca="1" si="385"/>
        <v>2.6085662679402888</v>
      </c>
      <c r="DX231" s="866">
        <f t="shared" ca="1" si="385"/>
        <v>2.4962735669053036</v>
      </c>
      <c r="DY231" s="752">
        <f t="shared" ca="1" si="385"/>
        <v>2.088939011602986</v>
      </c>
    </row>
    <row r="232" spans="1:129" x14ac:dyDescent="0.2">
      <c r="A232" s="476"/>
      <c r="B232" s="901" t="s">
        <v>745</v>
      </c>
      <c r="C232" s="868"/>
      <c r="D232" s="868"/>
      <c r="E232" s="868"/>
      <c r="F232" s="868"/>
      <c r="G232" s="868"/>
      <c r="H232" s="868"/>
      <c r="I232" s="752"/>
      <c r="J232" s="868"/>
      <c r="K232" s="868"/>
      <c r="L232" s="868"/>
      <c r="M232" s="868"/>
      <c r="N232" s="752"/>
      <c r="O232" s="868"/>
      <c r="P232" s="868"/>
      <c r="Q232" s="868"/>
      <c r="R232" s="868"/>
      <c r="S232" s="752"/>
      <c r="T232" s="868"/>
      <c r="U232" s="868"/>
      <c r="V232" s="868"/>
      <c r="W232" s="868"/>
      <c r="X232" s="752"/>
      <c r="Y232" s="868"/>
      <c r="Z232" s="868"/>
      <c r="AA232" s="868"/>
      <c r="AB232" s="868"/>
      <c r="AC232" s="752"/>
      <c r="AD232" s="868"/>
      <c r="AE232" s="868"/>
      <c r="AF232" s="868"/>
      <c r="AG232" s="868"/>
      <c r="AH232" s="752"/>
      <c r="AI232" s="868"/>
      <c r="AJ232" s="868"/>
      <c r="AK232" s="868"/>
      <c r="AL232" s="868"/>
      <c r="AM232" s="752"/>
      <c r="AN232" s="868"/>
      <c r="AO232" s="868"/>
      <c r="AP232" s="868"/>
      <c r="AQ232" s="868"/>
      <c r="AR232" s="752"/>
      <c r="AS232" s="868"/>
      <c r="AT232" s="868"/>
      <c r="AU232" s="868"/>
      <c r="AV232" s="868"/>
      <c r="AW232" s="752"/>
      <c r="AX232" s="868"/>
      <c r="AY232" s="868"/>
      <c r="AZ232" s="868"/>
      <c r="BA232" s="868"/>
      <c r="BB232" s="752"/>
      <c r="BC232" s="868"/>
      <c r="BD232" s="868"/>
      <c r="BE232" s="868"/>
      <c r="BF232" s="868"/>
      <c r="BG232" s="752"/>
      <c r="BH232" s="902"/>
      <c r="BI232" s="902"/>
      <c r="BJ232" s="902"/>
      <c r="BK232" s="902"/>
      <c r="BL232" s="752"/>
      <c r="BM232" s="903">
        <f t="shared" si="379"/>
        <v>0.81154725101028014</v>
      </c>
      <c r="BN232" s="903">
        <f t="shared" si="379"/>
        <v>0.83723028224435803</v>
      </c>
      <c r="BO232" s="903">
        <f t="shared" si="379"/>
        <v>0.83347602525318565</v>
      </c>
      <c r="BP232" s="903">
        <f t="shared" si="379"/>
        <v>0.81739036222186845</v>
      </c>
      <c r="BQ232" s="752"/>
      <c r="BR232" s="903">
        <f t="shared" ref="BR232:CZ232" si="386">BR207/BR89</f>
        <v>1.0748812822248837</v>
      </c>
      <c r="BS232" s="903">
        <f t="shared" si="386"/>
        <v>1.0592444023263985</v>
      </c>
      <c r="BT232" s="903">
        <f t="shared" si="386"/>
        <v>1.0811132231094578</v>
      </c>
      <c r="BU232" s="903">
        <f t="shared" si="386"/>
        <v>1.1095469402712204</v>
      </c>
      <c r="BV232" s="904">
        <f t="shared" si="386"/>
        <v>1.0810894262398376</v>
      </c>
      <c r="BW232" s="903">
        <f t="shared" si="386"/>
        <v>1.0983559648642134</v>
      </c>
      <c r="BX232" s="903">
        <f t="shared" si="386"/>
        <v>1.1348862596839127</v>
      </c>
      <c r="BY232" s="903">
        <f t="shared" si="386"/>
        <v>1.1586816039008994</v>
      </c>
      <c r="BZ232" s="903">
        <f t="shared" si="386"/>
        <v>1.1698223694506757</v>
      </c>
      <c r="CA232" s="905">
        <f t="shared" si="386"/>
        <v>1.1395054475578195</v>
      </c>
      <c r="CB232" s="903">
        <f t="shared" si="386"/>
        <v>0.98117875500341378</v>
      </c>
      <c r="CC232" s="903">
        <f t="shared" si="386"/>
        <v>0.92184119484478311</v>
      </c>
      <c r="CD232" s="866">
        <f t="shared" si="386"/>
        <v>1.1921861110278287</v>
      </c>
      <c r="CE232" s="866">
        <f t="shared" si="386"/>
        <v>1.1821132641579535</v>
      </c>
      <c r="CF232" s="752">
        <f t="shared" si="386"/>
        <v>1.0738511739119214</v>
      </c>
      <c r="CG232" s="866">
        <f t="shared" si="386"/>
        <v>1.1017036744015929</v>
      </c>
      <c r="CH232" s="866">
        <f t="shared" si="386"/>
        <v>1.3465520657205825</v>
      </c>
      <c r="CI232" s="866">
        <f t="shared" si="386"/>
        <v>1.7801991248833724</v>
      </c>
      <c r="CJ232" s="866">
        <f t="shared" si="386"/>
        <v>2.281863883226916</v>
      </c>
      <c r="CK232" s="752">
        <f t="shared" si="386"/>
        <v>1.6076452975214031</v>
      </c>
      <c r="CL232" s="866">
        <f t="shared" si="386"/>
        <v>1.1678058948656886</v>
      </c>
      <c r="CM232" s="866">
        <f t="shared" si="386"/>
        <v>1.5949626306774189</v>
      </c>
      <c r="CN232" s="866">
        <f t="shared" si="386"/>
        <v>2.4851085283614966</v>
      </c>
      <c r="CO232" s="866">
        <f>CO207/CO89</f>
        <v>2.1677706890655704</v>
      </c>
      <c r="CP232" s="752">
        <f t="shared" si="386"/>
        <v>1.8422731075264831</v>
      </c>
      <c r="CQ232" s="866">
        <f t="shared" si="386"/>
        <v>2.1215140423393346</v>
      </c>
      <c r="CR232" s="866">
        <f t="shared" si="386"/>
        <v>2.8257485183479618</v>
      </c>
      <c r="CS232" s="866">
        <f t="shared" si="386"/>
        <v>2.93026709952886</v>
      </c>
      <c r="CT232" s="866">
        <f t="shared" si="386"/>
        <v>2.3843309809032216</v>
      </c>
      <c r="CU232" s="752">
        <f t="shared" si="386"/>
        <v>2.5600673635780984</v>
      </c>
      <c r="CV232" s="866">
        <f t="shared" ca="1" si="386"/>
        <v>1.6596246046224594</v>
      </c>
      <c r="CW232" s="866">
        <f t="shared" ca="1" si="386"/>
        <v>1.9675777909086325</v>
      </c>
      <c r="CX232" s="866">
        <f t="shared" ca="1" si="386"/>
        <v>2.2129809758341299</v>
      </c>
      <c r="CY232" s="866">
        <f ca="1">CY207/CY89</f>
        <v>2.1268604803729887</v>
      </c>
      <c r="CZ232" s="752">
        <f t="shared" ca="1" si="386"/>
        <v>1.991559319674469</v>
      </c>
      <c r="DA232" s="866">
        <f t="shared" ca="1" si="381"/>
        <v>2.1772651060835209</v>
      </c>
      <c r="DB232" s="866">
        <f t="shared" ca="1" si="381"/>
        <v>2.300516728346492</v>
      </c>
      <c r="DC232" s="866">
        <f t="shared" ca="1" si="381"/>
        <v>2.3351233550123109</v>
      </c>
      <c r="DD232" s="866">
        <f t="shared" ca="1" si="381"/>
        <v>2.214592712716335</v>
      </c>
      <c r="DE232" s="752">
        <f t="shared" ca="1" si="381"/>
        <v>2.2562029127954131</v>
      </c>
      <c r="DF232" s="866">
        <f t="shared" ca="1" si="382"/>
        <v>2.1851284401599256</v>
      </c>
      <c r="DG232" s="866">
        <f t="shared" ca="1" si="382"/>
        <v>2.2748335945951839</v>
      </c>
      <c r="DH232" s="866">
        <f t="shared" ref="DH232" ca="1" si="387">DH207/DH89</f>
        <v>2.5549352020538318</v>
      </c>
      <c r="DI232" s="2826">
        <f t="shared" ca="1" si="383"/>
        <v>2.5434017293308915</v>
      </c>
      <c r="DJ232" s="752">
        <f t="shared" ca="1" si="382"/>
        <v>2.3916747834917609</v>
      </c>
      <c r="DK232" s="866">
        <f t="shared" ref="DK232:DT232" ca="1" si="388">DK207/DK89</f>
        <v>2.3599387153727194</v>
      </c>
      <c r="DL232" s="866">
        <f t="shared" ca="1" si="388"/>
        <v>2.434071946216847</v>
      </c>
      <c r="DM232" s="866">
        <f t="shared" ca="1" si="388"/>
        <v>2.7337806661976001</v>
      </c>
      <c r="DN232" s="866">
        <f t="shared" ca="1" si="388"/>
        <v>2.721439850384054</v>
      </c>
      <c r="DO232" s="752">
        <f t="shared" ca="1" si="388"/>
        <v>2.560548531146897</v>
      </c>
      <c r="DP232" s="866">
        <f t="shared" ca="1" si="388"/>
        <v>2.5959325869099921</v>
      </c>
      <c r="DQ232" s="866">
        <f t="shared" ca="1" si="388"/>
        <v>2.6774791408385323</v>
      </c>
      <c r="DR232" s="866">
        <f t="shared" ca="1" si="388"/>
        <v>3.0071587328173606</v>
      </c>
      <c r="DS232" s="866">
        <f t="shared" ca="1" si="388"/>
        <v>2.9935838354224602</v>
      </c>
      <c r="DT232" s="752">
        <f t="shared" ca="1" si="388"/>
        <v>2.816298476297888</v>
      </c>
      <c r="DU232" s="866">
        <f t="shared" ref="DU232:DY232" ca="1" si="389">DU207/DU89</f>
        <v>2.8555258456009911</v>
      </c>
      <c r="DV232" s="866">
        <f t="shared" ca="1" si="389"/>
        <v>2.9452270549223853</v>
      </c>
      <c r="DW232" s="866">
        <f t="shared" ca="1" si="389"/>
        <v>3.3078746060990967</v>
      </c>
      <c r="DX232" s="866">
        <f t="shared" ca="1" si="389"/>
        <v>3.2929422189647064</v>
      </c>
      <c r="DY232" s="752">
        <f t="shared" ca="1" si="389"/>
        <v>3.0975324707243064</v>
      </c>
    </row>
    <row r="233" spans="1:129" x14ac:dyDescent="0.2">
      <c r="A233" s="474"/>
      <c r="B233" s="895"/>
      <c r="C233" s="600"/>
      <c r="D233" s="600"/>
      <c r="E233" s="600"/>
      <c r="F233" s="600"/>
      <c r="G233" s="600"/>
      <c r="H233" s="600"/>
      <c r="I233" s="593"/>
      <c r="J233" s="600"/>
      <c r="K233" s="600"/>
      <c r="L233" s="600"/>
      <c r="M233" s="600"/>
      <c r="N233" s="593"/>
      <c r="O233" s="600"/>
      <c r="P233" s="600"/>
      <c r="Q233" s="600"/>
      <c r="R233" s="600"/>
      <c r="S233" s="593"/>
      <c r="T233" s="600"/>
      <c r="U233" s="600"/>
      <c r="V233" s="600"/>
      <c r="W233" s="600"/>
      <c r="X233" s="593"/>
      <c r="Y233" s="600"/>
      <c r="Z233" s="600"/>
      <c r="AA233" s="600"/>
      <c r="AB233" s="600"/>
      <c r="AC233" s="593"/>
      <c r="AD233" s="600"/>
      <c r="AE233" s="600"/>
      <c r="AF233" s="600"/>
      <c r="AG233" s="600"/>
      <c r="AH233" s="593"/>
      <c r="AI233" s="600"/>
      <c r="AJ233" s="600"/>
      <c r="AK233" s="600"/>
      <c r="AL233" s="600"/>
      <c r="AM233" s="593"/>
      <c r="AN233" s="600"/>
      <c r="AO233" s="600"/>
      <c r="AP233" s="600"/>
      <c r="AQ233" s="600"/>
      <c r="AR233" s="593"/>
      <c r="AS233" s="600"/>
      <c r="AT233" s="600"/>
      <c r="AU233" s="600"/>
      <c r="AV233" s="600"/>
      <c r="AW233" s="593"/>
      <c r="AX233" s="600"/>
      <c r="AY233" s="600"/>
      <c r="AZ233" s="600"/>
      <c r="BA233" s="600"/>
      <c r="BB233" s="593"/>
      <c r="BC233" s="600"/>
      <c r="BD233" s="600"/>
      <c r="BE233" s="600"/>
      <c r="BF233" s="600"/>
      <c r="BG233" s="593"/>
      <c r="BH233" s="888"/>
      <c r="BI233" s="888"/>
      <c r="BJ233" s="888"/>
      <c r="BK233" s="888"/>
      <c r="BL233" s="593"/>
      <c r="BM233" s="600"/>
      <c r="BN233" s="600"/>
      <c r="BO233" s="600"/>
      <c r="BP233" s="600"/>
      <c r="BQ233" s="593"/>
      <c r="BR233" s="600"/>
      <c r="BS233" s="600"/>
      <c r="BT233" s="600"/>
      <c r="BU233" s="600"/>
      <c r="BV233" s="898"/>
      <c r="BW233" s="600"/>
      <c r="BX233" s="600"/>
      <c r="BY233" s="600"/>
      <c r="BZ233" s="600"/>
      <c r="CA233" s="593"/>
      <c r="CB233" s="600"/>
      <c r="CC233" s="600"/>
      <c r="CD233" s="600"/>
      <c r="CE233" s="600"/>
      <c r="CF233" s="593"/>
      <c r="CG233" s="600"/>
      <c r="CH233" s="600"/>
      <c r="CI233" s="600"/>
      <c r="CJ233" s="600"/>
      <c r="CK233" s="593"/>
      <c r="CL233" s="600"/>
      <c r="CM233" s="600"/>
      <c r="CN233" s="600"/>
      <c r="CO233" s="600"/>
      <c r="CP233" s="593"/>
      <c r="CQ233" s="600"/>
      <c r="CR233" s="600"/>
      <c r="CS233" s="600"/>
      <c r="CT233" s="600"/>
      <c r="CU233" s="593"/>
      <c r="CV233" s="600"/>
      <c r="CW233" s="600"/>
      <c r="CX233" s="600"/>
      <c r="CY233" s="600"/>
      <c r="CZ233" s="593"/>
      <c r="DA233" s="600"/>
      <c r="DB233" s="600"/>
      <c r="DC233" s="600"/>
      <c r="DD233" s="600"/>
      <c r="DE233" s="593"/>
      <c r="DF233" s="600"/>
      <c r="DG233" s="600"/>
      <c r="DH233" s="600"/>
      <c r="DI233" s="2827"/>
      <c r="DJ233" s="593"/>
      <c r="DK233" s="600"/>
      <c r="DL233" s="600"/>
      <c r="DM233" s="600"/>
      <c r="DN233" s="600"/>
      <c r="DO233" s="593"/>
      <c r="DP233" s="600"/>
      <c r="DQ233" s="600"/>
      <c r="DR233" s="600"/>
      <c r="DS233" s="600"/>
      <c r="DT233" s="593"/>
      <c r="DU233" s="600"/>
      <c r="DV233" s="600"/>
      <c r="DW233" s="600"/>
      <c r="DX233" s="600"/>
      <c r="DY233" s="593"/>
    </row>
    <row r="234" spans="1:129" x14ac:dyDescent="0.2">
      <c r="A234" s="474"/>
      <c r="B234" s="900" t="s">
        <v>780</v>
      </c>
      <c r="C234" s="600"/>
      <c r="D234" s="600"/>
      <c r="E234" s="600"/>
      <c r="F234" s="600"/>
      <c r="G234" s="600"/>
      <c r="H234" s="600"/>
      <c r="I234" s="593"/>
      <c r="J234" s="600"/>
      <c r="K234" s="600"/>
      <c r="L234" s="600"/>
      <c r="M234" s="600"/>
      <c r="N234" s="593"/>
      <c r="O234" s="600"/>
      <c r="P234" s="600"/>
      <c r="Q234" s="600"/>
      <c r="R234" s="600"/>
      <c r="S234" s="593"/>
      <c r="T234" s="600"/>
      <c r="U234" s="600"/>
      <c r="V234" s="600"/>
      <c r="W234" s="600"/>
      <c r="X234" s="593"/>
      <c r="Y234" s="600"/>
      <c r="Z234" s="600"/>
      <c r="AA234" s="600"/>
      <c r="AB234" s="600"/>
      <c r="AC234" s="593"/>
      <c r="AD234" s="600"/>
      <c r="AE234" s="600"/>
      <c r="AF234" s="600"/>
      <c r="AG234" s="600"/>
      <c r="AH234" s="593"/>
      <c r="AI234" s="600"/>
      <c r="AJ234" s="600"/>
      <c r="AK234" s="600"/>
      <c r="AL234" s="600"/>
      <c r="AM234" s="593"/>
      <c r="AN234" s="600"/>
      <c r="AO234" s="600"/>
      <c r="AP234" s="600"/>
      <c r="AQ234" s="600"/>
      <c r="AR234" s="593"/>
      <c r="AS234" s="600"/>
      <c r="AT234" s="600"/>
      <c r="AU234" s="600"/>
      <c r="AV234" s="600"/>
      <c r="AW234" s="593"/>
      <c r="AX234" s="600"/>
      <c r="AY234" s="600"/>
      <c r="AZ234" s="600"/>
      <c r="BA234" s="600"/>
      <c r="BB234" s="593"/>
      <c r="BC234" s="600"/>
      <c r="BD234" s="600"/>
      <c r="BE234" s="600"/>
      <c r="BF234" s="600"/>
      <c r="BG234" s="593"/>
      <c r="BH234" s="888"/>
      <c r="BI234" s="888"/>
      <c r="BJ234" s="888"/>
      <c r="BK234" s="888"/>
      <c r="BL234" s="593"/>
      <c r="BM234" s="600"/>
      <c r="BN234" s="600"/>
      <c r="BO234" s="600"/>
      <c r="BP234" s="600"/>
      <c r="BQ234" s="593"/>
      <c r="BR234" s="600"/>
      <c r="BS234" s="600"/>
      <c r="BT234" s="600"/>
      <c r="BU234" s="600"/>
      <c r="BV234" s="898"/>
      <c r="BW234" s="600"/>
      <c r="BX234" s="600"/>
      <c r="BY234" s="600"/>
      <c r="BZ234" s="600"/>
      <c r="CA234" s="593"/>
      <c r="CB234" s="600"/>
      <c r="CC234" s="600"/>
      <c r="CD234" s="600"/>
      <c r="CE234" s="600"/>
      <c r="CF234" s="593"/>
      <c r="CG234" s="600"/>
      <c r="CH234" s="600"/>
      <c r="CI234" s="600"/>
      <c r="CJ234" s="600"/>
      <c r="CK234" s="593"/>
      <c r="CL234" s="600"/>
      <c r="CM234" s="600"/>
      <c r="CN234" s="600"/>
      <c r="CO234" s="600"/>
      <c r="CP234" s="593"/>
      <c r="CQ234" s="600"/>
      <c r="CR234" s="600"/>
      <c r="CS234" s="600"/>
      <c r="CT234" s="600"/>
      <c r="CU234" s="593"/>
      <c r="CV234" s="600"/>
      <c r="CW234" s="600"/>
      <c r="CX234" s="600"/>
      <c r="CY234" s="600"/>
      <c r="CZ234" s="593"/>
      <c r="DA234" s="600"/>
      <c r="DB234" s="600"/>
      <c r="DC234" s="600"/>
      <c r="DD234" s="600"/>
      <c r="DE234" s="593"/>
      <c r="DF234" s="600"/>
      <c r="DG234" s="600"/>
      <c r="DH234" s="600"/>
      <c r="DI234" s="2827"/>
      <c r="DJ234" s="593"/>
      <c r="DK234" s="600"/>
      <c r="DL234" s="600"/>
      <c r="DM234" s="600"/>
      <c r="DN234" s="600"/>
      <c r="DO234" s="593"/>
      <c r="DP234" s="600"/>
      <c r="DQ234" s="600"/>
      <c r="DR234" s="600"/>
      <c r="DS234" s="600"/>
      <c r="DT234" s="593"/>
      <c r="DU234" s="600"/>
      <c r="DV234" s="600"/>
      <c r="DW234" s="600"/>
      <c r="DX234" s="600"/>
      <c r="DY234" s="593"/>
    </row>
    <row r="235" spans="1:129" x14ac:dyDescent="0.2">
      <c r="A235" s="476"/>
      <c r="B235" s="901" t="s">
        <v>786</v>
      </c>
      <c r="C235" s="868"/>
      <c r="D235" s="868"/>
      <c r="E235" s="868"/>
      <c r="F235" s="868"/>
      <c r="G235" s="868"/>
      <c r="H235" s="868"/>
      <c r="I235" s="752"/>
      <c r="J235" s="868"/>
      <c r="K235" s="868"/>
      <c r="L235" s="868"/>
      <c r="M235" s="868"/>
      <c r="N235" s="752"/>
      <c r="O235" s="868"/>
      <c r="P235" s="868"/>
      <c r="Q235" s="868"/>
      <c r="R235" s="868"/>
      <c r="S235" s="752"/>
      <c r="T235" s="868"/>
      <c r="U235" s="868"/>
      <c r="V235" s="868"/>
      <c r="W235" s="868"/>
      <c r="X235" s="752"/>
      <c r="Y235" s="868"/>
      <c r="Z235" s="868"/>
      <c r="AA235" s="868"/>
      <c r="AB235" s="868"/>
      <c r="AC235" s="752"/>
      <c r="AD235" s="868"/>
      <c r="AE235" s="868"/>
      <c r="AF235" s="868"/>
      <c r="AG235" s="868"/>
      <c r="AH235" s="752"/>
      <c r="AI235" s="868"/>
      <c r="AJ235" s="868"/>
      <c r="AK235" s="868"/>
      <c r="AL235" s="868"/>
      <c r="AM235" s="752"/>
      <c r="AN235" s="868"/>
      <c r="AO235" s="868"/>
      <c r="AP235" s="868"/>
      <c r="AQ235" s="868"/>
      <c r="AR235" s="752"/>
      <c r="AS235" s="868"/>
      <c r="AT235" s="868"/>
      <c r="AU235" s="868"/>
      <c r="AV235" s="868"/>
      <c r="AW235" s="752"/>
      <c r="AX235" s="868"/>
      <c r="AY235" s="868"/>
      <c r="AZ235" s="868"/>
      <c r="BA235" s="868"/>
      <c r="BB235" s="752"/>
      <c r="BC235" s="868"/>
      <c r="BD235" s="868"/>
      <c r="BE235" s="868"/>
      <c r="BF235" s="868"/>
      <c r="BG235" s="752"/>
      <c r="BH235" s="902"/>
      <c r="BI235" s="902"/>
      <c r="BJ235" s="902"/>
      <c r="BK235" s="902"/>
      <c r="BL235" s="752"/>
      <c r="BM235" s="903">
        <f t="shared" ref="BM235:BP236" si="390">BM212/BM77</f>
        <v>59.211057137328808</v>
      </c>
      <c r="BN235" s="903">
        <f t="shared" si="390"/>
        <v>66.297777158572188</v>
      </c>
      <c r="BO235" s="903">
        <f t="shared" si="390"/>
        <v>70.734904938071281</v>
      </c>
      <c r="BP235" s="903">
        <f t="shared" si="390"/>
        <v>76.406071490876712</v>
      </c>
      <c r="BQ235" s="752"/>
      <c r="BR235" s="903">
        <f t="shared" ref="BR235:CZ235" si="391">BR212/BR77</f>
        <v>52.251486047915066</v>
      </c>
      <c r="BS235" s="903">
        <f t="shared" si="391"/>
        <v>61.472104973541725</v>
      </c>
      <c r="BT235" s="903">
        <f t="shared" si="391"/>
        <v>69.431276489347255</v>
      </c>
      <c r="BU235" s="903">
        <f t="shared" si="391"/>
        <v>71.141948523623654</v>
      </c>
      <c r="BV235" s="904">
        <f t="shared" si="391"/>
        <v>63.841067852047537</v>
      </c>
      <c r="BW235" s="903">
        <f t="shared" si="391"/>
        <v>46.418148431206475</v>
      </c>
      <c r="BX235" s="903">
        <f t="shared" si="391"/>
        <v>45.994630346198782</v>
      </c>
      <c r="BY235" s="903">
        <f t="shared" si="391"/>
        <v>48.781026511108372</v>
      </c>
      <c r="BZ235" s="903">
        <f t="shared" si="391"/>
        <v>44.535064871868762</v>
      </c>
      <c r="CA235" s="905">
        <f t="shared" si="391"/>
        <v>46.423451678402337</v>
      </c>
      <c r="CB235" s="903">
        <f t="shared" si="391"/>
        <v>24.85322894292722</v>
      </c>
      <c r="CC235" s="903">
        <f t="shared" si="391"/>
        <v>30.498506702759119</v>
      </c>
      <c r="CD235" s="866">
        <f t="shared" si="391"/>
        <v>41.593544257705943</v>
      </c>
      <c r="CE235" s="866">
        <f t="shared" si="391"/>
        <v>44.548011879897508</v>
      </c>
      <c r="CF235" s="752">
        <f t="shared" si="391"/>
        <v>35.48770221870425</v>
      </c>
      <c r="CG235" s="866">
        <f t="shared" si="391"/>
        <v>19.552004434587978</v>
      </c>
      <c r="CH235" s="866">
        <f t="shared" si="391"/>
        <v>23.334398555686988</v>
      </c>
      <c r="CI235" s="866">
        <f t="shared" si="391"/>
        <v>29.477810274810132</v>
      </c>
      <c r="CJ235" s="866">
        <f t="shared" si="391"/>
        <v>37.740912906074151</v>
      </c>
      <c r="CK235" s="752">
        <f t="shared" si="391"/>
        <v>27.709870470149912</v>
      </c>
      <c r="CL235" s="866">
        <f t="shared" si="391"/>
        <v>24.170969962215043</v>
      </c>
      <c r="CM235" s="866">
        <f t="shared" si="391"/>
        <v>25.557758519565208</v>
      </c>
      <c r="CN235" s="866">
        <f t="shared" si="391"/>
        <v>33.459306405846995</v>
      </c>
      <c r="CO235" s="866">
        <f>CO212/CO77</f>
        <v>34.534752464123692</v>
      </c>
      <c r="CP235" s="752">
        <f t="shared" si="391"/>
        <v>29.501880234825087</v>
      </c>
      <c r="CQ235" s="866">
        <f t="shared" si="391"/>
        <v>31.422260950879554</v>
      </c>
      <c r="CR235" s="866">
        <f t="shared" si="391"/>
        <v>27.349524376131061</v>
      </c>
      <c r="CS235" s="866">
        <f t="shared" si="391"/>
        <v>32.819956601913617</v>
      </c>
      <c r="CT235" s="866">
        <f t="shared" si="391"/>
        <v>36.877850914114866</v>
      </c>
      <c r="CU235" s="752">
        <f t="shared" si="391"/>
        <v>32.172106646530999</v>
      </c>
      <c r="CV235" s="866">
        <f t="shared" ca="1" si="391"/>
        <v>11.470053976894048</v>
      </c>
      <c r="CW235" s="866">
        <f t="shared" ca="1" si="391"/>
        <v>10.637864469130292</v>
      </c>
      <c r="CX235" s="866">
        <f t="shared" ca="1" si="391"/>
        <v>12.520344383054475</v>
      </c>
      <c r="CY235" s="866">
        <f ca="1">CY212/CY77</f>
        <v>15.023827746266315</v>
      </c>
      <c r="CZ235" s="752">
        <f t="shared" ca="1" si="391"/>
        <v>12.451551503012093</v>
      </c>
      <c r="DA235" s="866">
        <f t="shared" ref="DA235:DE236" ca="1" si="392">DA212/DA77</f>
        <v>9.9163406491634873</v>
      </c>
      <c r="DB235" s="866">
        <f t="shared" ca="1" si="392"/>
        <v>11.058002951768199</v>
      </c>
      <c r="DC235" s="866">
        <f t="shared" ca="1" si="392"/>
        <v>11.243317011603509</v>
      </c>
      <c r="DD235" s="866">
        <f t="shared" ca="1" si="392"/>
        <v>12.451974285628534</v>
      </c>
      <c r="DE235" s="752">
        <f t="shared" ca="1" si="392"/>
        <v>11.195518374540352</v>
      </c>
      <c r="DF235" s="866">
        <f t="shared" ref="DF235:DJ236" ca="1" si="393">DF212/DF77</f>
        <v>9.8666955978375999</v>
      </c>
      <c r="DG235" s="866">
        <f t="shared" ca="1" si="393"/>
        <v>11.37655322147919</v>
      </c>
      <c r="DH235" s="866">
        <f t="shared" ref="DH235:DI236" ca="1" si="394">DH212/DH77</f>
        <v>11.203133363516212</v>
      </c>
      <c r="DI235" s="2826">
        <f t="shared" ca="1" si="394"/>
        <v>10.820488666822861</v>
      </c>
      <c r="DJ235" s="752">
        <f t="shared" ca="1" si="393"/>
        <v>10.836614085364452</v>
      </c>
      <c r="DK235" s="866">
        <f t="shared" ref="DK235:DT235" ca="1" si="395">DK212/DK77</f>
        <v>8.5883150377699451</v>
      </c>
      <c r="DL235" s="866">
        <f t="shared" ca="1" si="395"/>
        <v>10.428507119689257</v>
      </c>
      <c r="DM235" s="866">
        <f t="shared" ca="1" si="395"/>
        <v>10.269538916556527</v>
      </c>
      <c r="DN235" s="866">
        <f t="shared" ca="1" si="395"/>
        <v>9.9221839473130391</v>
      </c>
      <c r="DO235" s="752">
        <f t="shared" ca="1" si="395"/>
        <v>9.8195444321923677</v>
      </c>
      <c r="DP235" s="866">
        <f t="shared" ca="1" si="395"/>
        <v>8.9318476392807433</v>
      </c>
      <c r="DQ235" s="866">
        <f t="shared" ca="1" si="395"/>
        <v>10.451260226132217</v>
      </c>
      <c r="DR235" s="866">
        <f t="shared" ca="1" si="395"/>
        <v>10.291945183283561</v>
      </c>
      <c r="DS235" s="866">
        <f t="shared" ca="1" si="395"/>
        <v>9.9368834790868341</v>
      </c>
      <c r="DT235" s="752">
        <f t="shared" ca="1" si="395"/>
        <v>9.9160261954962294</v>
      </c>
      <c r="DU235" s="866">
        <f t="shared" ref="DU235:DY235" ca="1" si="396">DU212/DU77</f>
        <v>8.8668887473587006</v>
      </c>
      <c r="DV235" s="866">
        <f t="shared" ca="1" si="396"/>
        <v>10.45914796969911</v>
      </c>
      <c r="DW235" s="866">
        <f t="shared" ca="1" si="396"/>
        <v>10.299712689082265</v>
      </c>
      <c r="DX235" s="866">
        <f t="shared" ca="1" si="396"/>
        <v>9.9368834790868359</v>
      </c>
      <c r="DY235" s="752">
        <f t="shared" ca="1" si="396"/>
        <v>9.9045323910845262</v>
      </c>
    </row>
    <row r="236" spans="1:129" x14ac:dyDescent="0.2">
      <c r="A236" s="476"/>
      <c r="B236" s="901" t="s">
        <v>745</v>
      </c>
      <c r="C236" s="868"/>
      <c r="D236" s="868"/>
      <c r="E236" s="868"/>
      <c r="F236" s="868"/>
      <c r="G236" s="868"/>
      <c r="H236" s="868"/>
      <c r="I236" s="752"/>
      <c r="J236" s="868"/>
      <c r="K236" s="868"/>
      <c r="L236" s="868"/>
      <c r="M236" s="868"/>
      <c r="N236" s="752"/>
      <c r="O236" s="868"/>
      <c r="P236" s="868"/>
      <c r="Q236" s="868"/>
      <c r="R236" s="868"/>
      <c r="S236" s="752"/>
      <c r="T236" s="868"/>
      <c r="U236" s="868"/>
      <c r="V236" s="868"/>
      <c r="W236" s="868"/>
      <c r="X236" s="752"/>
      <c r="Y236" s="868"/>
      <c r="Z236" s="868"/>
      <c r="AA236" s="868"/>
      <c r="AB236" s="868"/>
      <c r="AC236" s="752"/>
      <c r="AD236" s="868"/>
      <c r="AE236" s="868"/>
      <c r="AF236" s="868"/>
      <c r="AG236" s="868"/>
      <c r="AH236" s="752"/>
      <c r="AI236" s="868"/>
      <c r="AJ236" s="868"/>
      <c r="AK236" s="868"/>
      <c r="AL236" s="868"/>
      <c r="AM236" s="752"/>
      <c r="AN236" s="868"/>
      <c r="AO236" s="868"/>
      <c r="AP236" s="868"/>
      <c r="AQ236" s="868"/>
      <c r="AR236" s="752"/>
      <c r="AS236" s="868"/>
      <c r="AT236" s="868"/>
      <c r="AU236" s="868"/>
      <c r="AV236" s="868"/>
      <c r="AW236" s="752"/>
      <c r="AX236" s="868"/>
      <c r="AY236" s="868"/>
      <c r="AZ236" s="868"/>
      <c r="BA236" s="868"/>
      <c r="BB236" s="752"/>
      <c r="BC236" s="868"/>
      <c r="BD236" s="868"/>
      <c r="BE236" s="868"/>
      <c r="BF236" s="868"/>
      <c r="BG236" s="752"/>
      <c r="BH236" s="902"/>
      <c r="BI236" s="902"/>
      <c r="BJ236" s="902"/>
      <c r="BK236" s="902"/>
      <c r="BL236" s="752"/>
      <c r="BM236" s="903">
        <f t="shared" si="390"/>
        <v>3.1883000908104075</v>
      </c>
      <c r="BN236" s="903">
        <f t="shared" si="390"/>
        <v>3.3235577447010987</v>
      </c>
      <c r="BO236" s="903">
        <f t="shared" si="390"/>
        <v>3.3973118732547429</v>
      </c>
      <c r="BP236" s="903">
        <f t="shared" si="390"/>
        <v>3.4993646292688014</v>
      </c>
      <c r="BQ236" s="752"/>
      <c r="BR236" s="903">
        <f t="shared" ref="BR236:CZ236" si="397">BR213/BR78</f>
        <v>3.5129696302142595</v>
      </c>
      <c r="BS236" s="903">
        <f t="shared" si="397"/>
        <v>3.6455525293045885</v>
      </c>
      <c r="BT236" s="903">
        <f t="shared" si="397"/>
        <v>3.6374864658597548</v>
      </c>
      <c r="BU236" s="903">
        <f t="shared" si="397"/>
        <v>3.7239858205435619</v>
      </c>
      <c r="BV236" s="904">
        <f t="shared" si="397"/>
        <v>3.6304067394976376</v>
      </c>
      <c r="BW236" s="903">
        <f t="shared" si="397"/>
        <v>3.9612922705879741</v>
      </c>
      <c r="BX236" s="903">
        <f t="shared" si="397"/>
        <v>4.0335323555288456</v>
      </c>
      <c r="BY236" s="903">
        <f t="shared" si="397"/>
        <v>4.2085096408300551</v>
      </c>
      <c r="BZ236" s="903">
        <f t="shared" si="397"/>
        <v>4.2818299479090296</v>
      </c>
      <c r="CA236" s="905">
        <f t="shared" si="397"/>
        <v>4.1190622008729907</v>
      </c>
      <c r="CB236" s="903">
        <f t="shared" si="397"/>
        <v>2.3343093264659309</v>
      </c>
      <c r="CC236" s="903">
        <f t="shared" si="397"/>
        <v>2.9579430923744501</v>
      </c>
      <c r="CD236" s="866">
        <f t="shared" si="397"/>
        <v>4.7749148190144082</v>
      </c>
      <c r="CE236" s="866">
        <f t="shared" si="397"/>
        <v>4.9207384197385862</v>
      </c>
      <c r="CF236" s="752">
        <f t="shared" si="397"/>
        <v>3.7252375776944517</v>
      </c>
      <c r="CG236" s="866">
        <f t="shared" si="397"/>
        <v>4.3312561122532811</v>
      </c>
      <c r="CH236" s="866">
        <f t="shared" si="397"/>
        <v>5.4049019394946791</v>
      </c>
      <c r="CI236" s="866">
        <f t="shared" si="397"/>
        <v>7.3581883472523275</v>
      </c>
      <c r="CJ236" s="866">
        <f t="shared" si="397"/>
        <v>9.6004380864981087</v>
      </c>
      <c r="CK236" s="752">
        <f t="shared" si="397"/>
        <v>6.5281295559928996</v>
      </c>
      <c r="CL236" s="866">
        <f t="shared" ca="1" si="397"/>
        <v>10.542999253243194</v>
      </c>
      <c r="CM236" s="866">
        <f t="shared" si="397"/>
        <v>8.043352276514268</v>
      </c>
      <c r="CN236" s="866">
        <f t="shared" si="397"/>
        <v>11.520429343523912</v>
      </c>
      <c r="CO236" s="866">
        <f>CO213/CO78</f>
        <v>11.763416787386134</v>
      </c>
      <c r="CP236" s="752">
        <f t="shared" ca="1" si="397"/>
        <v>10.460882875529643</v>
      </c>
      <c r="CQ236" s="866">
        <f t="shared" si="397"/>
        <v>10.726355761995251</v>
      </c>
      <c r="CR236" s="866">
        <f t="shared" si="397"/>
        <v>10.890055862986973</v>
      </c>
      <c r="CS236" s="866">
        <f t="shared" si="397"/>
        <v>12.822738747574441</v>
      </c>
      <c r="CT236" s="866">
        <f t="shared" si="397"/>
        <v>11.311599292169744</v>
      </c>
      <c r="CU236" s="752">
        <f t="shared" si="397"/>
        <v>11.46507176349326</v>
      </c>
      <c r="CV236" s="866">
        <f t="shared" ca="1" si="397"/>
        <v>4.5764846718313548</v>
      </c>
      <c r="CW236" s="866">
        <f t="shared" ca="1" si="397"/>
        <v>4.7294094907043061</v>
      </c>
      <c r="CX236" s="866">
        <f t="shared" ca="1" si="397"/>
        <v>5.5258484658622757</v>
      </c>
      <c r="CY236" s="866">
        <f ca="1">CY213/CY78</f>
        <v>5.5441915330655904</v>
      </c>
      <c r="CZ236" s="752">
        <f t="shared" ca="1" si="397"/>
        <v>5.1039252301297013</v>
      </c>
      <c r="DA236" s="866">
        <f t="shared" ca="1" si="392"/>
        <v>5.861573498481838</v>
      </c>
      <c r="DB236" s="866">
        <f t="shared" ca="1" si="392"/>
        <v>6.3672724264706204</v>
      </c>
      <c r="DC236" s="866">
        <f t="shared" ca="1" si="392"/>
        <v>6.5606121320232802</v>
      </c>
      <c r="DD236" s="866">
        <f t="shared" ca="1" si="392"/>
        <v>6.3550280397800281</v>
      </c>
      <c r="DE236" s="752">
        <f t="shared" ca="1" si="392"/>
        <v>6.2842889495945959</v>
      </c>
      <c r="DF236" s="866">
        <f t="shared" ca="1" si="393"/>
        <v>6.5537409510339755</v>
      </c>
      <c r="DG236" s="866">
        <f t="shared" ca="1" si="393"/>
        <v>8.3127513199541507</v>
      </c>
      <c r="DH236" s="866">
        <f t="shared" ref="DH236" ca="1" si="398">DH213/DH78</f>
        <v>8.3040088372369283</v>
      </c>
      <c r="DI236" s="2826">
        <f t="shared" ca="1" si="394"/>
        <v>8.1362781416738041</v>
      </c>
      <c r="DJ236" s="752">
        <f t="shared" ca="1" si="393"/>
        <v>7.7722492209158798</v>
      </c>
      <c r="DK236" s="866">
        <f t="shared" ref="DK236:DT236" ca="1" si="399">DK213/DK78</f>
        <v>6.4292198729643291</v>
      </c>
      <c r="DL236" s="866">
        <f t="shared" ca="1" si="399"/>
        <v>9.0608989387500252</v>
      </c>
      <c r="DM236" s="866">
        <f t="shared" ca="1" si="399"/>
        <v>9.0513696325882513</v>
      </c>
      <c r="DN236" s="866">
        <f t="shared" ca="1" si="399"/>
        <v>8.8685431744244472</v>
      </c>
      <c r="DO236" s="752">
        <f t="shared" ca="1" si="399"/>
        <v>8.3591586860526057</v>
      </c>
      <c r="DP236" s="866">
        <f t="shared" ca="1" si="399"/>
        <v>6.5720914256968701</v>
      </c>
      <c r="DQ236" s="866">
        <f t="shared" ca="1" si="399"/>
        <v>8.336027023650022</v>
      </c>
      <c r="DR236" s="866">
        <f t="shared" ca="1" si="399"/>
        <v>8.327260061981189</v>
      </c>
      <c r="DS236" s="866">
        <f t="shared" ca="1" si="399"/>
        <v>8.1590597204704896</v>
      </c>
      <c r="DT236" s="752">
        <f t="shared" ca="1" si="399"/>
        <v>7.851500778097094</v>
      </c>
      <c r="DU236" s="866">
        <f t="shared" ref="DU236:DY236" ca="1" si="400">DU213/DU78</f>
        <v>7.5579051395513996</v>
      </c>
      <c r="DV236" s="866">
        <f t="shared" ca="1" si="400"/>
        <v>9.5864310771975259</v>
      </c>
      <c r="DW236" s="866">
        <f t="shared" ca="1" si="400"/>
        <v>9.576349071278365</v>
      </c>
      <c r="DX236" s="866">
        <f t="shared" ca="1" si="400"/>
        <v>9.3829186785410617</v>
      </c>
      <c r="DY236" s="752">
        <f t="shared" ca="1" si="400"/>
        <v>9.0271106020486727</v>
      </c>
    </row>
    <row r="237" spans="1:129" x14ac:dyDescent="0.2">
      <c r="A237" s="474"/>
      <c r="B237" s="895"/>
      <c r="C237" s="600"/>
      <c r="D237" s="600"/>
      <c r="E237" s="600"/>
      <c r="F237" s="600"/>
      <c r="G237" s="600"/>
      <c r="H237" s="600"/>
      <c r="I237" s="593"/>
      <c r="J237" s="600"/>
      <c r="K237" s="600"/>
      <c r="L237" s="600"/>
      <c r="M237" s="600"/>
      <c r="N237" s="593"/>
      <c r="O237" s="600"/>
      <c r="P237" s="600"/>
      <c r="Q237" s="600"/>
      <c r="R237" s="600"/>
      <c r="S237" s="593"/>
      <c r="T237" s="600"/>
      <c r="U237" s="600"/>
      <c r="V237" s="600"/>
      <c r="W237" s="600"/>
      <c r="X237" s="593"/>
      <c r="Y237" s="600"/>
      <c r="Z237" s="600"/>
      <c r="AA237" s="600"/>
      <c r="AB237" s="600"/>
      <c r="AC237" s="593"/>
      <c r="AD237" s="600"/>
      <c r="AE237" s="600"/>
      <c r="AF237" s="600"/>
      <c r="AG237" s="600"/>
      <c r="AH237" s="593"/>
      <c r="AI237" s="600"/>
      <c r="AJ237" s="600"/>
      <c r="AK237" s="600"/>
      <c r="AL237" s="600"/>
      <c r="AM237" s="593"/>
      <c r="AN237" s="600"/>
      <c r="AO237" s="600"/>
      <c r="AP237" s="600"/>
      <c r="AQ237" s="600"/>
      <c r="AR237" s="593"/>
      <c r="AS237" s="600"/>
      <c r="AT237" s="600"/>
      <c r="AU237" s="600"/>
      <c r="AV237" s="600"/>
      <c r="AW237" s="593"/>
      <c r="AX237" s="600"/>
      <c r="AY237" s="600"/>
      <c r="AZ237" s="600"/>
      <c r="BA237" s="600"/>
      <c r="BB237" s="593"/>
      <c r="BC237" s="600"/>
      <c r="BD237" s="600"/>
      <c r="BE237" s="600"/>
      <c r="BF237" s="600"/>
      <c r="BG237" s="593"/>
      <c r="BH237" s="888"/>
      <c r="BI237" s="888"/>
      <c r="BJ237" s="888"/>
      <c r="BK237" s="888"/>
      <c r="BL237" s="593"/>
      <c r="BM237" s="600"/>
      <c r="BN237" s="600"/>
      <c r="BO237" s="600"/>
      <c r="BP237" s="600"/>
      <c r="BQ237" s="593"/>
      <c r="BR237" s="600"/>
      <c r="BS237" s="600"/>
      <c r="BT237" s="600"/>
      <c r="BU237" s="600"/>
      <c r="BV237" s="898"/>
      <c r="BW237" s="600"/>
      <c r="BX237" s="600"/>
      <c r="BY237" s="600"/>
      <c r="BZ237" s="600"/>
      <c r="CA237" s="593"/>
      <c r="CB237" s="600"/>
      <c r="CC237" s="600"/>
      <c r="CD237" s="600"/>
      <c r="CE237" s="600"/>
      <c r="CF237" s="593"/>
      <c r="CG237" s="899"/>
      <c r="CH237" s="899"/>
      <c r="CI237" s="899"/>
      <c r="CJ237" s="899"/>
      <c r="CK237" s="593"/>
      <c r="CL237" s="899"/>
      <c r="CM237" s="899"/>
      <c r="CN237" s="899"/>
      <c r="CO237" s="899"/>
      <c r="CP237" s="593"/>
      <c r="CQ237" s="899"/>
      <c r="CR237" s="899"/>
      <c r="CS237" s="899"/>
      <c r="CT237" s="899"/>
      <c r="CU237" s="593"/>
      <c r="CV237" s="899"/>
      <c r="CW237" s="899"/>
      <c r="CX237" s="899"/>
      <c r="CY237" s="899"/>
      <c r="CZ237" s="593"/>
      <c r="DA237" s="899"/>
      <c r="DB237" s="899"/>
      <c r="DC237" s="899"/>
      <c r="DD237" s="899"/>
      <c r="DE237" s="593"/>
      <c r="DF237" s="899"/>
      <c r="DG237" s="899"/>
      <c r="DH237" s="899"/>
      <c r="DI237" s="899"/>
      <c r="DJ237" s="593"/>
      <c r="DK237" s="899"/>
      <c r="DL237" s="899"/>
      <c r="DM237" s="899"/>
      <c r="DN237" s="899"/>
      <c r="DO237" s="593"/>
      <c r="DP237" s="899"/>
      <c r="DQ237" s="899"/>
      <c r="DR237" s="899"/>
      <c r="DS237" s="899"/>
      <c r="DT237" s="593"/>
      <c r="DU237" s="899"/>
      <c r="DV237" s="899"/>
      <c r="DW237" s="899"/>
      <c r="DX237" s="899"/>
      <c r="DY237" s="593"/>
    </row>
    <row r="238" spans="1:129" ht="12" thickBot="1" x14ac:dyDescent="0.25">
      <c r="A238" s="526"/>
      <c r="B238" s="757"/>
      <c r="C238" s="758"/>
      <c r="D238" s="758"/>
      <c r="E238" s="758"/>
      <c r="F238" s="758"/>
      <c r="G238" s="758"/>
      <c r="H238" s="758"/>
      <c r="I238" s="759"/>
      <c r="J238" s="758"/>
      <c r="K238" s="758"/>
      <c r="L238" s="758"/>
      <c r="M238" s="758"/>
      <c r="N238" s="759"/>
      <c r="O238" s="760"/>
      <c r="P238" s="760"/>
      <c r="Q238" s="760"/>
      <c r="R238" s="760"/>
      <c r="S238" s="759"/>
      <c r="T238" s="760"/>
      <c r="U238" s="760"/>
      <c r="V238" s="760"/>
      <c r="W238" s="760"/>
      <c r="X238" s="759"/>
      <c r="Y238" s="760"/>
      <c r="Z238" s="760"/>
      <c r="AA238" s="760"/>
      <c r="AB238" s="760"/>
      <c r="AC238" s="759"/>
      <c r="AD238" s="760"/>
      <c r="AE238" s="760"/>
      <c r="AF238" s="760"/>
      <c r="AG238" s="760"/>
      <c r="AH238" s="759"/>
      <c r="AI238" s="760"/>
      <c r="AJ238" s="760"/>
      <c r="AK238" s="760"/>
      <c r="AL238" s="760"/>
      <c r="AM238" s="759"/>
      <c r="AN238" s="760"/>
      <c r="AO238" s="760"/>
      <c r="AP238" s="760"/>
      <c r="AQ238" s="760"/>
      <c r="AR238" s="759"/>
      <c r="AS238" s="760"/>
      <c r="AT238" s="760"/>
      <c r="AU238" s="760"/>
      <c r="AV238" s="760"/>
      <c r="AW238" s="759"/>
      <c r="AX238" s="758"/>
      <c r="AY238" s="758"/>
      <c r="AZ238" s="758"/>
      <c r="BA238" s="758"/>
      <c r="BB238" s="759"/>
      <c r="BC238" s="760"/>
      <c r="BD238" s="760"/>
      <c r="BE238" s="760"/>
      <c r="BF238" s="760"/>
      <c r="BG238" s="759"/>
      <c r="BH238" s="760"/>
      <c r="BI238" s="760"/>
      <c r="BJ238" s="760"/>
      <c r="BK238" s="760"/>
      <c r="BL238" s="763"/>
      <c r="BM238" s="760"/>
      <c r="BN238" s="760"/>
      <c r="BO238" s="760"/>
      <c r="BP238" s="760"/>
      <c r="BQ238" s="763"/>
      <c r="BR238" s="760"/>
      <c r="BS238" s="760"/>
      <c r="BT238" s="760"/>
      <c r="BU238" s="760"/>
      <c r="BV238" s="906"/>
      <c r="BW238" s="760"/>
      <c r="BX238" s="760"/>
      <c r="BY238" s="760"/>
      <c r="BZ238" s="760"/>
      <c r="CA238" s="763"/>
      <c r="CB238" s="760"/>
      <c r="CC238" s="760"/>
      <c r="CD238" s="760"/>
      <c r="CE238" s="760"/>
      <c r="CF238" s="763"/>
      <c r="CG238" s="907"/>
      <c r="CH238" s="907"/>
      <c r="CI238" s="907"/>
      <c r="CJ238" s="907"/>
      <c r="CK238" s="763"/>
      <c r="CL238" s="907"/>
      <c r="CM238" s="907"/>
      <c r="CN238" s="907"/>
      <c r="CO238" s="907"/>
      <c r="CP238" s="763"/>
      <c r="CQ238" s="907"/>
      <c r="CR238" s="907"/>
      <c r="CS238" s="907"/>
      <c r="CT238" s="907"/>
      <c r="CU238" s="763"/>
      <c r="CV238" s="907"/>
      <c r="CW238" s="907"/>
      <c r="CX238" s="907"/>
      <c r="CY238" s="907"/>
      <c r="CZ238" s="763"/>
      <c r="DA238" s="907"/>
      <c r="DB238" s="907"/>
      <c r="DC238" s="907"/>
      <c r="DD238" s="907"/>
      <c r="DE238" s="763"/>
      <c r="DF238" s="907"/>
      <c r="DG238" s="907"/>
      <c r="DH238" s="907"/>
      <c r="DI238" s="2828"/>
      <c r="DJ238" s="763"/>
      <c r="DK238" s="907"/>
      <c r="DL238" s="907"/>
      <c r="DM238" s="907"/>
      <c r="DN238" s="907"/>
      <c r="DO238" s="763"/>
      <c r="DP238" s="907"/>
      <c r="DQ238" s="907"/>
      <c r="DR238" s="907"/>
      <c r="DS238" s="907"/>
      <c r="DT238" s="763"/>
      <c r="DU238" s="907"/>
      <c r="DV238" s="907"/>
      <c r="DW238" s="907"/>
      <c r="DX238" s="907"/>
      <c r="DY238" s="763"/>
    </row>
    <row r="239" spans="1:129" ht="12" thickBot="1" x14ac:dyDescent="0.25">
      <c r="A239" s="682"/>
      <c r="B239" s="682"/>
      <c r="C239" s="682"/>
      <c r="D239" s="682"/>
      <c r="E239" s="682"/>
      <c r="F239" s="682"/>
      <c r="G239" s="682"/>
      <c r="H239" s="682"/>
      <c r="I239" s="682"/>
      <c r="J239" s="682"/>
      <c r="K239" s="682"/>
      <c r="L239" s="682"/>
      <c r="M239" s="682"/>
      <c r="N239" s="682"/>
      <c r="O239" s="682"/>
      <c r="P239" s="682"/>
      <c r="Q239" s="682"/>
      <c r="R239" s="682"/>
      <c r="S239" s="682"/>
      <c r="T239" s="682"/>
      <c r="U239" s="682"/>
      <c r="V239" s="682"/>
      <c r="W239" s="682"/>
      <c r="X239" s="682"/>
      <c r="Y239" s="682"/>
      <c r="Z239" s="682"/>
      <c r="AA239" s="682"/>
      <c r="AB239" s="682"/>
      <c r="AC239" s="682"/>
      <c r="AD239" s="682"/>
      <c r="AE239" s="682"/>
      <c r="AF239" s="682"/>
      <c r="AG239" s="682"/>
      <c r="AH239" s="682"/>
      <c r="AI239" s="682"/>
      <c r="AJ239" s="682"/>
      <c r="AK239" s="682"/>
      <c r="AL239" s="682"/>
      <c r="AM239" s="682"/>
      <c r="AN239" s="682"/>
      <c r="AO239" s="682"/>
      <c r="AP239" s="682"/>
      <c r="AQ239" s="682"/>
      <c r="AR239" s="682"/>
      <c r="AS239" s="682"/>
      <c r="AT239" s="682"/>
      <c r="AU239" s="682"/>
      <c r="AV239" s="682"/>
      <c r="AW239" s="682"/>
      <c r="AX239" s="682"/>
      <c r="AY239" s="682"/>
      <c r="AZ239" s="682"/>
      <c r="BA239" s="682"/>
      <c r="BB239" s="682"/>
      <c r="BC239" s="682"/>
      <c r="BD239" s="682"/>
      <c r="BE239" s="682"/>
      <c r="BF239" s="682"/>
      <c r="BG239" s="682"/>
      <c r="BH239" s="682"/>
      <c r="BI239" s="682"/>
      <c r="BJ239" s="682"/>
      <c r="BK239" s="682"/>
      <c r="BL239" s="682"/>
      <c r="BM239" s="682"/>
      <c r="BN239" s="682"/>
      <c r="BO239" s="682"/>
      <c r="BP239" s="682"/>
      <c r="BQ239" s="682"/>
      <c r="BR239" s="682"/>
      <c r="BS239" s="682"/>
      <c r="BT239" s="682"/>
      <c r="BU239" s="682"/>
      <c r="BV239" s="682"/>
      <c r="BW239" s="682"/>
      <c r="BX239" s="682"/>
      <c r="BY239" s="682"/>
      <c r="BZ239" s="682"/>
      <c r="CA239" s="682"/>
      <c r="CB239" s="682"/>
      <c r="CC239" s="682"/>
      <c r="CD239" s="682"/>
      <c r="CE239" s="682"/>
      <c r="CF239" s="682"/>
      <c r="CG239" s="682"/>
      <c r="CH239" s="682"/>
      <c r="CI239" s="682"/>
      <c r="CJ239" s="682"/>
      <c r="CK239" s="682"/>
      <c r="CL239" s="682"/>
      <c r="CM239" s="682"/>
      <c r="CN239" s="682"/>
      <c r="CO239" s="682"/>
      <c r="CP239" s="682"/>
      <c r="CQ239" s="682"/>
      <c r="CR239" s="682"/>
      <c r="CS239" s="682"/>
      <c r="CT239" s="682"/>
      <c r="CU239" s="682"/>
      <c r="CV239" s="682"/>
      <c r="CW239" s="682"/>
      <c r="CX239" s="682"/>
      <c r="CY239" s="682"/>
      <c r="CZ239" s="682"/>
      <c r="DA239" s="682"/>
      <c r="DB239" s="682"/>
      <c r="DC239" s="682"/>
      <c r="DD239" s="682"/>
      <c r="DE239" s="682"/>
      <c r="DF239" s="682"/>
      <c r="DG239" s="682"/>
      <c r="DH239" s="682"/>
      <c r="DI239" s="1610"/>
      <c r="DJ239" s="682"/>
      <c r="DK239" s="682"/>
      <c r="DL239" s="682"/>
      <c r="DM239" s="682"/>
      <c r="DN239" s="682"/>
      <c r="DO239" s="682"/>
      <c r="DP239" s="682"/>
      <c r="DQ239" s="682"/>
      <c r="DR239" s="682"/>
      <c r="DS239" s="682"/>
      <c r="DT239" s="682"/>
      <c r="DU239" s="682"/>
      <c r="DV239" s="682"/>
      <c r="DW239" s="682"/>
      <c r="DX239" s="682"/>
      <c r="DY239" s="682"/>
    </row>
    <row r="240" spans="1:129" ht="12" thickBot="1" x14ac:dyDescent="0.25">
      <c r="A240" s="526"/>
      <c r="B240" s="685" t="s">
        <v>799</v>
      </c>
      <c r="C240" s="686"/>
      <c r="D240" s="686"/>
      <c r="E240" s="686"/>
      <c r="F240" s="686"/>
      <c r="G240" s="686"/>
      <c r="H240" s="686"/>
      <c r="I240" s="687"/>
      <c r="J240" s="686"/>
      <c r="K240" s="686"/>
      <c r="L240" s="686"/>
      <c r="M240" s="686"/>
      <c r="N240" s="687"/>
      <c r="O240" s="686"/>
      <c r="P240" s="686"/>
      <c r="Q240" s="686"/>
      <c r="R240" s="686"/>
      <c r="S240" s="687"/>
      <c r="T240" s="686"/>
      <c r="U240" s="686"/>
      <c r="V240" s="686"/>
      <c r="W240" s="686"/>
      <c r="X240" s="687"/>
      <c r="Y240" s="686"/>
      <c r="Z240" s="686"/>
      <c r="AA240" s="686"/>
      <c r="AB240" s="686"/>
      <c r="AC240" s="687"/>
      <c r="AD240" s="686"/>
      <c r="AE240" s="686"/>
      <c r="AF240" s="686"/>
      <c r="AG240" s="686"/>
      <c r="AH240" s="687"/>
      <c r="AI240" s="686"/>
      <c r="AJ240" s="686"/>
      <c r="AK240" s="686"/>
      <c r="AL240" s="686"/>
      <c r="AM240" s="687"/>
      <c r="AN240" s="686"/>
      <c r="AO240" s="686"/>
      <c r="AP240" s="686"/>
      <c r="AQ240" s="686"/>
      <c r="AR240" s="687"/>
      <c r="AS240" s="686"/>
      <c r="AT240" s="686"/>
      <c r="AU240" s="686"/>
      <c r="AV240" s="686"/>
      <c r="AW240" s="687"/>
      <c r="AX240" s="686"/>
      <c r="AY240" s="686"/>
      <c r="AZ240" s="686"/>
      <c r="BA240" s="686"/>
      <c r="BB240" s="687"/>
      <c r="BC240" s="686"/>
      <c r="BD240" s="686"/>
      <c r="BE240" s="686"/>
      <c r="BF240" s="686"/>
      <c r="BG240" s="687"/>
      <c r="BH240" s="686"/>
      <c r="BI240" s="686"/>
      <c r="BJ240" s="686"/>
      <c r="BK240" s="686"/>
      <c r="BL240" s="687"/>
      <c r="BM240" s="686"/>
      <c r="BN240" s="686"/>
      <c r="BO240" s="686"/>
      <c r="BP240" s="686"/>
      <c r="BQ240" s="687"/>
      <c r="BR240" s="686"/>
      <c r="BS240" s="686"/>
      <c r="BT240" s="686"/>
      <c r="BU240" s="686"/>
      <c r="BV240" s="687"/>
      <c r="BW240" s="686"/>
      <c r="BX240" s="686"/>
      <c r="BY240" s="686"/>
      <c r="BZ240" s="686"/>
      <c r="CA240" s="687"/>
      <c r="CB240" s="686"/>
      <c r="CC240" s="686"/>
      <c r="CD240" s="686"/>
      <c r="CE240" s="686"/>
      <c r="CF240" s="687"/>
      <c r="CG240" s="686"/>
      <c r="CH240" s="686"/>
      <c r="CI240" s="686"/>
      <c r="CJ240" s="686"/>
      <c r="CK240" s="687"/>
      <c r="CL240" s="686"/>
      <c r="CM240" s="686"/>
      <c r="CN240" s="686"/>
      <c r="CO240" s="686"/>
      <c r="CP240" s="687"/>
      <c r="CQ240" s="686"/>
      <c r="CR240" s="686"/>
      <c r="CS240" s="686"/>
      <c r="CT240" s="686"/>
      <c r="CU240" s="687"/>
      <c r="CV240" s="686"/>
      <c r="CW240" s="686"/>
      <c r="CX240" s="686"/>
      <c r="CY240" s="686"/>
      <c r="CZ240" s="687"/>
      <c r="DA240" s="686"/>
      <c r="DB240" s="686"/>
      <c r="DC240" s="686"/>
      <c r="DD240" s="686"/>
      <c r="DE240" s="687"/>
      <c r="DF240" s="686"/>
      <c r="DG240" s="686"/>
      <c r="DH240" s="686"/>
      <c r="DI240" s="2803"/>
      <c r="DJ240" s="687"/>
      <c r="DK240" s="686"/>
      <c r="DL240" s="686"/>
      <c r="DM240" s="686"/>
      <c r="DN240" s="686"/>
      <c r="DO240" s="687"/>
      <c r="DP240" s="686"/>
      <c r="DQ240" s="686"/>
      <c r="DR240" s="686"/>
      <c r="DS240" s="686"/>
      <c r="DT240" s="687"/>
      <c r="DU240" s="686"/>
      <c r="DV240" s="686"/>
      <c r="DW240" s="686"/>
      <c r="DX240" s="686"/>
      <c r="DY240" s="687"/>
    </row>
    <row r="241" spans="1:129" x14ac:dyDescent="0.2">
      <c r="A241" s="526"/>
      <c r="B241" s="756"/>
      <c r="C241" s="599"/>
      <c r="D241" s="599"/>
      <c r="E241" s="599"/>
      <c r="F241" s="599"/>
      <c r="G241" s="599"/>
      <c r="H241" s="599"/>
      <c r="I241" s="598"/>
      <c r="J241" s="599"/>
      <c r="K241" s="599"/>
      <c r="L241" s="599"/>
      <c r="M241" s="599"/>
      <c r="N241" s="598"/>
      <c r="O241" s="599"/>
      <c r="P241" s="599"/>
      <c r="Q241" s="599"/>
      <c r="R241" s="599"/>
      <c r="S241" s="598"/>
      <c r="T241" s="599"/>
      <c r="U241" s="599"/>
      <c r="V241" s="599"/>
      <c r="W241" s="599"/>
      <c r="X241" s="598"/>
      <c r="Y241" s="599"/>
      <c r="Z241" s="599"/>
      <c r="AA241" s="599"/>
      <c r="AB241" s="599"/>
      <c r="AC241" s="598"/>
      <c r="AD241" s="599"/>
      <c r="AE241" s="599"/>
      <c r="AF241" s="599"/>
      <c r="AG241" s="599"/>
      <c r="AH241" s="598"/>
      <c r="AI241" s="599"/>
      <c r="AJ241" s="599"/>
      <c r="AK241" s="599"/>
      <c r="AL241" s="599"/>
      <c r="AM241" s="598"/>
      <c r="AN241" s="599"/>
      <c r="AO241" s="599"/>
      <c r="AP241" s="599"/>
      <c r="AQ241" s="599"/>
      <c r="AR241" s="598"/>
      <c r="AS241" s="599"/>
      <c r="AT241" s="599"/>
      <c r="AU241" s="599"/>
      <c r="AV241" s="599"/>
      <c r="AW241" s="598"/>
      <c r="AX241" s="599"/>
      <c r="AY241" s="599"/>
      <c r="AZ241" s="599"/>
      <c r="BA241" s="599"/>
      <c r="BB241" s="598"/>
      <c r="BC241" s="599"/>
      <c r="BD241" s="599"/>
      <c r="BE241" s="599"/>
      <c r="BF241" s="599"/>
      <c r="BG241" s="598"/>
      <c r="BH241" s="599"/>
      <c r="BI241" s="599"/>
      <c r="BJ241" s="599"/>
      <c r="BK241" s="599"/>
      <c r="BL241" s="598"/>
      <c r="BM241" s="599"/>
      <c r="BN241" s="599"/>
      <c r="BO241" s="599"/>
      <c r="BP241" s="599"/>
      <c r="BQ241" s="598"/>
      <c r="BR241" s="599"/>
      <c r="BS241" s="599"/>
      <c r="BT241" s="599"/>
      <c r="BU241" s="599"/>
      <c r="BV241" s="598"/>
      <c r="BW241" s="599"/>
      <c r="BX241" s="599"/>
      <c r="BY241" s="599"/>
      <c r="BZ241" s="599"/>
      <c r="CA241" s="598"/>
      <c r="CB241" s="599"/>
      <c r="CC241" s="599"/>
      <c r="CD241" s="599"/>
      <c r="CE241" s="599"/>
      <c r="CF241" s="598"/>
      <c r="CG241" s="526"/>
      <c r="CH241" s="526"/>
      <c r="CI241" s="526"/>
      <c r="CJ241" s="526"/>
      <c r="CK241" s="598"/>
      <c r="CL241" s="526"/>
      <c r="CM241" s="526"/>
      <c r="CN241" s="526"/>
      <c r="CO241" s="526"/>
      <c r="CP241" s="598"/>
      <c r="CQ241" s="526"/>
      <c r="CR241" s="526"/>
      <c r="CS241" s="526"/>
      <c r="CT241" s="526"/>
      <c r="CU241" s="598"/>
      <c r="CV241" s="526"/>
      <c r="CW241" s="526"/>
      <c r="CX241" s="526"/>
      <c r="CY241" s="526"/>
      <c r="CZ241" s="598"/>
      <c r="DA241" s="526"/>
      <c r="DB241" s="526"/>
      <c r="DC241" s="526"/>
      <c r="DD241" s="526"/>
      <c r="DE241" s="598"/>
      <c r="DF241" s="526"/>
      <c r="DG241" s="526"/>
      <c r="DH241" s="526"/>
      <c r="DI241" s="1609"/>
      <c r="DJ241" s="598"/>
      <c r="DK241" s="526"/>
      <c r="DL241" s="526"/>
      <c r="DM241" s="526"/>
      <c r="DN241" s="526"/>
      <c r="DO241" s="598"/>
      <c r="DP241" s="526"/>
      <c r="DQ241" s="526"/>
      <c r="DR241" s="526"/>
      <c r="DS241" s="526"/>
      <c r="DT241" s="598"/>
      <c r="DU241" s="526"/>
      <c r="DV241" s="526"/>
      <c r="DW241" s="526"/>
      <c r="DX241" s="526"/>
      <c r="DY241" s="598"/>
    </row>
    <row r="242" spans="1:129" ht="10.5" customHeight="1" x14ac:dyDescent="0.2">
      <c r="A242" s="641"/>
      <c r="B242" s="908" t="s">
        <v>208</v>
      </c>
      <c r="C242" s="641"/>
      <c r="D242" s="641"/>
      <c r="E242" s="641"/>
      <c r="F242" s="641"/>
      <c r="G242" s="641"/>
      <c r="H242" s="641"/>
      <c r="I242" s="643"/>
      <c r="J242" s="641"/>
      <c r="K242" s="641"/>
      <c r="L242" s="641"/>
      <c r="M242" s="641"/>
      <c r="N242" s="643"/>
      <c r="O242" s="641"/>
      <c r="P242" s="641"/>
      <c r="Q242" s="641"/>
      <c r="R242" s="641"/>
      <c r="S242" s="643"/>
      <c r="T242" s="641"/>
      <c r="U242" s="641"/>
      <c r="V242" s="641"/>
      <c r="W242" s="641"/>
      <c r="X242" s="643"/>
      <c r="Y242" s="641"/>
      <c r="Z242" s="641"/>
      <c r="AA242" s="641"/>
      <c r="AB242" s="641"/>
      <c r="AC242" s="643"/>
      <c r="AD242" s="641"/>
      <c r="AE242" s="641"/>
      <c r="AF242" s="641"/>
      <c r="AG242" s="641"/>
      <c r="AH242" s="643"/>
      <c r="AI242" s="641"/>
      <c r="AJ242" s="641"/>
      <c r="AK242" s="641"/>
      <c r="AL242" s="641"/>
      <c r="AM242" s="643"/>
      <c r="AN242" s="641"/>
      <c r="AO242" s="641"/>
      <c r="AP242" s="641"/>
      <c r="AQ242" s="641"/>
      <c r="AR242" s="643"/>
      <c r="AS242" s="641"/>
      <c r="AT242" s="641"/>
      <c r="AU242" s="641"/>
      <c r="AV242" s="641"/>
      <c r="AW242" s="643"/>
      <c r="AX242" s="641"/>
      <c r="AY242" s="641"/>
      <c r="AZ242" s="641"/>
      <c r="BA242" s="641"/>
      <c r="BB242" s="645">
        <f>BB24</f>
        <v>123.1</v>
      </c>
      <c r="BC242" s="641"/>
      <c r="BD242" s="641"/>
      <c r="BE242" s="641"/>
      <c r="BF242" s="641"/>
      <c r="BG242" s="645">
        <f t="shared" ref="BG242:CZ242" si="401">BG24</f>
        <v>140.69999999999925</v>
      </c>
      <c r="BH242" s="644">
        <f t="shared" si="401"/>
        <v>141.9</v>
      </c>
      <c r="BI242" s="644">
        <f t="shared" si="401"/>
        <v>280.79999999999995</v>
      </c>
      <c r="BJ242" s="644">
        <f t="shared" si="401"/>
        <v>280.59999999999991</v>
      </c>
      <c r="BK242" s="644">
        <f t="shared" si="401"/>
        <v>246.79999999999995</v>
      </c>
      <c r="BL242" s="645">
        <f t="shared" si="401"/>
        <v>895.1</v>
      </c>
      <c r="BM242" s="644">
        <f t="shared" si="401"/>
        <v>206.10000000000002</v>
      </c>
      <c r="BN242" s="644">
        <f t="shared" si="401"/>
        <v>191.5</v>
      </c>
      <c r="BO242" s="644">
        <f t="shared" si="401"/>
        <v>187</v>
      </c>
      <c r="BP242" s="644">
        <f t="shared" si="401"/>
        <v>210.90000000000009</v>
      </c>
      <c r="BQ242" s="645">
        <f t="shared" si="401"/>
        <v>795</v>
      </c>
      <c r="BR242" s="644">
        <f t="shared" si="401"/>
        <v>260.89999999999998</v>
      </c>
      <c r="BS242" s="644">
        <f t="shared" si="401"/>
        <v>234.30000000000007</v>
      </c>
      <c r="BT242" s="644">
        <f t="shared" si="401"/>
        <v>231.89999999999986</v>
      </c>
      <c r="BU242" s="644">
        <f t="shared" si="401"/>
        <v>242</v>
      </c>
      <c r="BV242" s="645">
        <f t="shared" si="401"/>
        <v>969</v>
      </c>
      <c r="BW242" s="644">
        <f t="shared" si="401"/>
        <v>244</v>
      </c>
      <c r="BX242" s="644">
        <f t="shared" si="401"/>
        <v>230</v>
      </c>
      <c r="BY242" s="644">
        <f t="shared" si="401"/>
        <v>230</v>
      </c>
      <c r="BZ242" s="644">
        <f t="shared" si="401"/>
        <v>260</v>
      </c>
      <c r="CA242" s="645">
        <f t="shared" si="401"/>
        <v>964</v>
      </c>
      <c r="CB242" s="644">
        <f t="shared" si="401"/>
        <v>242</v>
      </c>
      <c r="CC242" s="644">
        <f t="shared" si="401"/>
        <v>275</v>
      </c>
      <c r="CD242" s="641">
        <f t="shared" si="401"/>
        <v>257</v>
      </c>
      <c r="CE242" s="641">
        <f t="shared" si="401"/>
        <v>291.10000000000002</v>
      </c>
      <c r="CF242" s="643">
        <f t="shared" si="401"/>
        <v>1065.0999999999999</v>
      </c>
      <c r="CG242" s="641">
        <f t="shared" si="401"/>
        <v>267</v>
      </c>
      <c r="CH242" s="641">
        <f t="shared" si="401"/>
        <v>265.89999999999998</v>
      </c>
      <c r="CI242" s="641">
        <f t="shared" si="401"/>
        <v>296.7</v>
      </c>
      <c r="CJ242" s="641">
        <f t="shared" si="401"/>
        <v>299</v>
      </c>
      <c r="CK242" s="643">
        <f t="shared" si="401"/>
        <v>1128.5999999999999</v>
      </c>
      <c r="CL242" s="641">
        <f t="shared" si="401"/>
        <v>269</v>
      </c>
      <c r="CM242" s="641">
        <f t="shared" si="401"/>
        <v>288.10000000000002</v>
      </c>
      <c r="CN242" s="641">
        <f t="shared" si="401"/>
        <v>293.3</v>
      </c>
      <c r="CO242" s="641">
        <f>CO24</f>
        <v>311.2</v>
      </c>
      <c r="CP242" s="643">
        <f t="shared" ca="1" si="401"/>
        <v>1161.5999999999999</v>
      </c>
      <c r="CQ242" s="641">
        <f t="shared" si="401"/>
        <v>294.10000000000002</v>
      </c>
      <c r="CR242" s="641">
        <f t="shared" si="401"/>
        <v>316.7</v>
      </c>
      <c r="CS242" s="641">
        <f t="shared" si="401"/>
        <v>316.39999999999998</v>
      </c>
      <c r="CT242" s="641">
        <f t="shared" si="401"/>
        <v>329.5</v>
      </c>
      <c r="CU242" s="643">
        <f t="shared" si="401"/>
        <v>1256.6999999999998</v>
      </c>
      <c r="CV242" s="641">
        <f t="shared" si="401"/>
        <v>291.89999999999998</v>
      </c>
      <c r="CW242" s="641">
        <f>CW24</f>
        <v>300.2</v>
      </c>
      <c r="CX242" s="641">
        <f t="shared" si="401"/>
        <v>305.8</v>
      </c>
      <c r="CY242" s="641">
        <f>CY24</f>
        <v>339.85660813999999</v>
      </c>
      <c r="CZ242" s="643">
        <f t="shared" si="401"/>
        <v>1237.7566081399998</v>
      </c>
      <c r="DA242" s="641">
        <f t="shared" ref="DA242:DJ242" si="402">DA24</f>
        <v>319.32900000000001</v>
      </c>
      <c r="DB242" s="641">
        <f>DB24</f>
        <v>328.4</v>
      </c>
      <c r="DC242" s="641">
        <f>DC24</f>
        <v>340.5</v>
      </c>
      <c r="DD242" s="641">
        <f>DD24</f>
        <v>329</v>
      </c>
      <c r="DE242" s="643">
        <f t="shared" si="402"/>
        <v>1317.229</v>
      </c>
      <c r="DF242" s="641">
        <f t="shared" si="402"/>
        <v>312.5</v>
      </c>
      <c r="DG242" s="641">
        <f>DG24</f>
        <v>334.3</v>
      </c>
      <c r="DH242" s="641">
        <f>DH24</f>
        <v>292.14958975000002</v>
      </c>
      <c r="DI242" s="550">
        <f>DI24</f>
        <v>346.15327301999997</v>
      </c>
      <c r="DJ242" s="643">
        <f t="shared" si="402"/>
        <v>1285.10286277</v>
      </c>
      <c r="DK242" s="641">
        <f t="shared" ref="DK242:DT242" si="403">DK24</f>
        <v>376.17849694080002</v>
      </c>
      <c r="DL242" s="641">
        <f t="shared" si="403"/>
        <v>343.14503238766713</v>
      </c>
      <c r="DM242" s="641">
        <f t="shared" si="403"/>
        <v>336.23305155920002</v>
      </c>
      <c r="DN242" s="641">
        <f t="shared" si="403"/>
        <v>350.90581616116117</v>
      </c>
      <c r="DO242" s="643">
        <f t="shared" si="403"/>
        <v>1406.4623970488283</v>
      </c>
      <c r="DP242" s="641">
        <f t="shared" si="403"/>
        <v>353.96382799679998</v>
      </c>
      <c r="DQ242" s="641">
        <f t="shared" si="403"/>
        <v>322.2224282710248</v>
      </c>
      <c r="DR242" s="641">
        <f t="shared" si="403"/>
        <v>317.7740818872</v>
      </c>
      <c r="DS242" s="641">
        <f t="shared" si="403"/>
        <v>326.66051516967843</v>
      </c>
      <c r="DT242" s="643">
        <f t="shared" si="403"/>
        <v>1320.6208533247034</v>
      </c>
      <c r="DU242" s="641">
        <f t="shared" ref="DU242:DY242" si="404">DU24</f>
        <v>330.83620118964802</v>
      </c>
      <c r="DV242" s="641">
        <f t="shared" si="404"/>
        <v>298.49710827640916</v>
      </c>
      <c r="DW242" s="641">
        <f t="shared" si="404"/>
        <v>294.04645900434099</v>
      </c>
      <c r="DX242" s="641">
        <f t="shared" si="404"/>
        <v>302.33496696416694</v>
      </c>
      <c r="DY242" s="643">
        <f t="shared" si="404"/>
        <v>1225.714735434565</v>
      </c>
    </row>
    <row r="243" spans="1:129" ht="10.5" customHeight="1" x14ac:dyDescent="0.2">
      <c r="A243" s="611"/>
      <c r="B243" s="612" t="s">
        <v>217</v>
      </c>
      <c r="C243" s="815"/>
      <c r="D243" s="815"/>
      <c r="E243" s="815"/>
      <c r="F243" s="815"/>
      <c r="G243" s="815"/>
      <c r="H243" s="815"/>
      <c r="I243" s="909"/>
      <c r="J243" s="815"/>
      <c r="K243" s="815"/>
      <c r="L243" s="815"/>
      <c r="M243" s="815"/>
      <c r="N243" s="909"/>
      <c r="O243" s="815"/>
      <c r="P243" s="815"/>
      <c r="Q243" s="815"/>
      <c r="R243" s="815"/>
      <c r="S243" s="909"/>
      <c r="T243" s="815"/>
      <c r="U243" s="815"/>
      <c r="V243" s="815"/>
      <c r="W243" s="815"/>
      <c r="X243" s="909"/>
      <c r="Y243" s="815"/>
      <c r="Z243" s="815"/>
      <c r="AA243" s="815"/>
      <c r="AB243" s="815"/>
      <c r="AC243" s="909"/>
      <c r="AD243" s="815"/>
      <c r="AE243" s="815"/>
      <c r="AF243" s="815"/>
      <c r="AG243" s="815"/>
      <c r="AH243" s="909"/>
      <c r="AI243" s="815"/>
      <c r="AJ243" s="815"/>
      <c r="AK243" s="815"/>
      <c r="AL243" s="815"/>
      <c r="AM243" s="909"/>
      <c r="AN243" s="815"/>
      <c r="AO243" s="815"/>
      <c r="AP243" s="815"/>
      <c r="AQ243" s="815"/>
      <c r="AR243" s="909"/>
      <c r="AS243" s="815"/>
      <c r="AT243" s="815"/>
      <c r="AU243" s="815"/>
      <c r="AV243" s="815"/>
      <c r="AW243" s="909"/>
      <c r="AX243" s="815"/>
      <c r="AY243" s="815"/>
      <c r="AZ243" s="815"/>
      <c r="BA243" s="815"/>
      <c r="BB243" s="910">
        <f>BB242/BB$14</f>
        <v>4.1641296258710506E-2</v>
      </c>
      <c r="BC243" s="815"/>
      <c r="BD243" s="815"/>
      <c r="BE243" s="815"/>
      <c r="BF243" s="815"/>
      <c r="BG243" s="910">
        <f t="shared" ref="BG243:CZ243" si="405">BG242/BG$14</f>
        <v>3.8116652669790932E-2</v>
      </c>
      <c r="BH243" s="911">
        <f t="shared" si="405"/>
        <v>6.736932060959977E-2</v>
      </c>
      <c r="BI243" s="911">
        <f t="shared" si="405"/>
        <v>2.6605774059370285E-2</v>
      </c>
      <c r="BJ243" s="911">
        <f t="shared" si="405"/>
        <v>2.6316283082925357E-2</v>
      </c>
      <c r="BK243" s="911">
        <f t="shared" si="405"/>
        <v>2.1254973560466437E-2</v>
      </c>
      <c r="BL243" s="910">
        <f t="shared" si="405"/>
        <v>2.561937581572139E-2</v>
      </c>
      <c r="BM243" s="911">
        <f t="shared" si="405"/>
        <v>1.9145912101591316E-2</v>
      </c>
      <c r="BN243" s="911">
        <f t="shared" si="405"/>
        <v>1.7969747015989787E-2</v>
      </c>
      <c r="BO243" s="911">
        <f t="shared" si="405"/>
        <v>1.7702633621750577E-2</v>
      </c>
      <c r="BP243" s="911">
        <f t="shared" si="405"/>
        <v>1.7896693057712385E-2</v>
      </c>
      <c r="BQ243" s="910">
        <f t="shared" si="405"/>
        <v>1.8163457408405911E-2</v>
      </c>
      <c r="BR243" s="911">
        <f t="shared" si="405"/>
        <v>2.2618510940805213E-2</v>
      </c>
      <c r="BS243" s="911">
        <f t="shared" si="405"/>
        <v>1.8012131089568655E-2</v>
      </c>
      <c r="BT243" s="911">
        <f t="shared" si="405"/>
        <v>1.7796980883018797E-2</v>
      </c>
      <c r="BU243" s="911">
        <f t="shared" si="405"/>
        <v>1.7936554995552922E-2</v>
      </c>
      <c r="BV243" s="910">
        <f t="shared" si="405"/>
        <v>1.8975815137569765E-2</v>
      </c>
      <c r="BW243" s="911">
        <f t="shared" si="405"/>
        <v>2.0615072659682324E-2</v>
      </c>
      <c r="BX243" s="911">
        <f t="shared" si="405"/>
        <v>1.9425675675675675E-2</v>
      </c>
      <c r="BY243" s="911">
        <f t="shared" si="405"/>
        <v>1.9285594499413049E-2</v>
      </c>
      <c r="BZ243" s="911">
        <f t="shared" si="405"/>
        <v>2.1351728668801841E-2</v>
      </c>
      <c r="CA243" s="910">
        <f t="shared" si="405"/>
        <v>2.0176228049980118E-2</v>
      </c>
      <c r="CB243" s="911">
        <f t="shared" si="405"/>
        <v>1.726844583987441E-2</v>
      </c>
      <c r="CC243" s="911">
        <f t="shared" si="405"/>
        <v>1.8849818356295841E-2</v>
      </c>
      <c r="CD243" s="912">
        <f t="shared" si="405"/>
        <v>1.7367211785376403E-2</v>
      </c>
      <c r="CE243" s="912">
        <f t="shared" si="405"/>
        <v>1.8338971732405993E-2</v>
      </c>
      <c r="CF243" s="909">
        <f t="shared" si="405"/>
        <v>1.7969001742745166E-2</v>
      </c>
      <c r="CG243" s="912">
        <f t="shared" si="405"/>
        <v>1.4590163934426229E-2</v>
      </c>
      <c r="CH243" s="912">
        <f t="shared" si="405"/>
        <v>1.4433359026413206E-2</v>
      </c>
      <c r="CI243" s="912">
        <f t="shared" si="405"/>
        <v>1.6410942841023488E-2</v>
      </c>
      <c r="CJ243" s="912">
        <f t="shared" si="405"/>
        <v>1.6039051603905161E-2</v>
      </c>
      <c r="CK243" s="909">
        <f t="shared" si="405"/>
        <v>1.5366810086596589E-2</v>
      </c>
      <c r="CL243" s="912">
        <f t="shared" si="405"/>
        <v>1.4690623122713123E-2</v>
      </c>
      <c r="CM243" s="912">
        <f t="shared" si="405"/>
        <v>1.532463111309695E-2</v>
      </c>
      <c r="CN243" s="912">
        <f t="shared" si="405"/>
        <v>1.5054458850461437E-2</v>
      </c>
      <c r="CO243" s="912">
        <f>CO242/CO$14</f>
        <v>1.5865409125669132E-2</v>
      </c>
      <c r="CP243" s="909">
        <f t="shared" ca="1" si="405"/>
        <v>1.5242414222054261E-2</v>
      </c>
      <c r="CQ243" s="912">
        <f t="shared" si="405"/>
        <v>1.4562938534595027E-2</v>
      </c>
      <c r="CR243" s="912">
        <f t="shared" si="405"/>
        <v>1.4503372824150609E-2</v>
      </c>
      <c r="CS243" s="912">
        <f t="shared" si="405"/>
        <v>1.404100470400284E-2</v>
      </c>
      <c r="CT243" s="912">
        <f t="shared" si="405"/>
        <v>1.3801451770313684E-2</v>
      </c>
      <c r="CU243" s="909">
        <f t="shared" si="405"/>
        <v>1.4209681851023915E-2</v>
      </c>
      <c r="CV243" s="912">
        <f t="shared" si="405"/>
        <v>1.2224181180875164E-2</v>
      </c>
      <c r="CW243" s="912">
        <f>CW242/CW$14</f>
        <v>1.2282388560440234E-2</v>
      </c>
      <c r="CX243" s="912">
        <f t="shared" si="405"/>
        <v>1.1978878833637532E-2</v>
      </c>
      <c r="CY243" s="912">
        <f>CY242/CY$14</f>
        <v>1.28180367447547E-2</v>
      </c>
      <c r="CZ243" s="909">
        <f t="shared" si="405"/>
        <v>1.2332846964080523E-2</v>
      </c>
      <c r="DA243" s="912">
        <f t="shared" ref="DA243:DJ243" si="406">DA242/DA$14</f>
        <v>1.110130366765166E-2</v>
      </c>
      <c r="DB243" s="912">
        <f>DB242/DB$14</f>
        <v>1.112854417361071E-2</v>
      </c>
      <c r="DC243" s="912">
        <f>DC242/DC$14</f>
        <v>1.1189946465718671E-2</v>
      </c>
      <c r="DD243" s="912">
        <f>DD242/DD$14</f>
        <v>1.0524867799342915E-2</v>
      </c>
      <c r="DE243" s="909">
        <f t="shared" si="406"/>
        <v>1.0980275617856142E-2</v>
      </c>
      <c r="DF243" s="912">
        <f t="shared" si="406"/>
        <v>1.0008743638442542E-2</v>
      </c>
      <c r="DG243" s="912">
        <f>DG242/DG$14</f>
        <v>1.0341648724230951E-2</v>
      </c>
      <c r="DH243" s="912">
        <f>DH242/DH$14</f>
        <v>8.8810604925248816E-3</v>
      </c>
      <c r="DI243" s="912">
        <f>DI242/DI$14</f>
        <v>1.0135690607811996E-2</v>
      </c>
      <c r="DJ243" s="909">
        <f t="shared" si="406"/>
        <v>9.8402926567783683E-3</v>
      </c>
      <c r="DK243" s="912">
        <f t="shared" ref="DK243:DT243" ca="1" si="407">DK242/DK$14</f>
        <v>1.1688899910726894E-2</v>
      </c>
      <c r="DL243" s="912">
        <f t="shared" ca="1" si="407"/>
        <v>9.8403292050883266E-3</v>
      </c>
      <c r="DM243" s="912">
        <f t="shared" ca="1" si="407"/>
        <v>9.6151877848755559E-3</v>
      </c>
      <c r="DN243" s="912">
        <f t="shared" ca="1" si="407"/>
        <v>9.857947844529813E-3</v>
      </c>
      <c r="DO243" s="909">
        <f t="shared" ca="1" si="407"/>
        <v>1.0219970754481215E-2</v>
      </c>
      <c r="DP243" s="912">
        <f t="shared" ca="1" si="407"/>
        <v>1.047150896204707E-2</v>
      </c>
      <c r="DQ243" s="912">
        <f t="shared" ca="1" si="407"/>
        <v>8.8077759137585952E-3</v>
      </c>
      <c r="DR243" s="912">
        <f t="shared" ca="1" si="407"/>
        <v>8.6711510075970725E-3</v>
      </c>
      <c r="DS243" s="912">
        <f t="shared" ca="1" si="407"/>
        <v>8.7673912522049698E-3</v>
      </c>
      <c r="DT243" s="909">
        <f t="shared" ca="1" si="407"/>
        <v>9.1524016624221979E-3</v>
      </c>
      <c r="DU243" s="912">
        <f t="shared" ref="DU243:DY243" ca="1" si="408">DU242/DU$14</f>
        <v>9.3645795092454683E-3</v>
      </c>
      <c r="DV243" s="912">
        <f t="shared" ca="1" si="408"/>
        <v>7.8205707557994254E-3</v>
      </c>
      <c r="DW243" s="912">
        <f t="shared" ca="1" si="408"/>
        <v>7.7002035389002301E-3</v>
      </c>
      <c r="DX243" s="912">
        <f t="shared" ca="1" si="408"/>
        <v>7.7981800547416401E-3</v>
      </c>
      <c r="DY243" s="909">
        <f t="shared" ca="1" si="408"/>
        <v>8.1468040717071321E-3</v>
      </c>
    </row>
    <row r="244" spans="1:129" ht="10.5" customHeight="1" x14ac:dyDescent="0.2">
      <c r="A244" s="611"/>
      <c r="B244" s="612" t="s">
        <v>218</v>
      </c>
      <c r="C244" s="815"/>
      <c r="D244" s="815"/>
      <c r="E244" s="815"/>
      <c r="F244" s="815"/>
      <c r="G244" s="815"/>
      <c r="H244" s="815"/>
      <c r="I244" s="909"/>
      <c r="J244" s="815"/>
      <c r="K244" s="815"/>
      <c r="L244" s="815"/>
      <c r="M244" s="815"/>
      <c r="N244" s="909"/>
      <c r="O244" s="815"/>
      <c r="P244" s="815"/>
      <c r="Q244" s="815"/>
      <c r="R244" s="815"/>
      <c r="S244" s="909"/>
      <c r="T244" s="815"/>
      <c r="U244" s="815"/>
      <c r="V244" s="815"/>
      <c r="W244" s="815"/>
      <c r="X244" s="909"/>
      <c r="Y244" s="815"/>
      <c r="Z244" s="815"/>
      <c r="AA244" s="815"/>
      <c r="AB244" s="815"/>
      <c r="AC244" s="909"/>
      <c r="AD244" s="815"/>
      <c r="AE244" s="815"/>
      <c r="AF244" s="815"/>
      <c r="AG244" s="815"/>
      <c r="AH244" s="909"/>
      <c r="AI244" s="815"/>
      <c r="AJ244" s="815"/>
      <c r="AK244" s="815"/>
      <c r="AL244" s="815"/>
      <c r="AM244" s="909"/>
      <c r="AN244" s="815"/>
      <c r="AO244" s="815"/>
      <c r="AP244" s="815"/>
      <c r="AQ244" s="815"/>
      <c r="AR244" s="909"/>
      <c r="AS244" s="815"/>
      <c r="AT244" s="815"/>
      <c r="AU244" s="815"/>
      <c r="AV244" s="815"/>
      <c r="AW244" s="909"/>
      <c r="AX244" s="815"/>
      <c r="AY244" s="815"/>
      <c r="AZ244" s="815"/>
      <c r="BA244" s="815"/>
      <c r="BB244" s="910">
        <f>BB243-AW243</f>
        <v>4.1641296258710506E-2</v>
      </c>
      <c r="BC244" s="815"/>
      <c r="BD244" s="815"/>
      <c r="BE244" s="815"/>
      <c r="BF244" s="815"/>
      <c r="BG244" s="910">
        <f>BG243-BB243</f>
        <v>-3.5246435889195737E-3</v>
      </c>
      <c r="BH244" s="913"/>
      <c r="BI244" s="913"/>
      <c r="BJ244" s="913"/>
      <c r="BK244" s="913"/>
      <c r="BL244" s="910">
        <f t="shared" ref="BL244:CZ244" si="409">BL243-BG243</f>
        <v>-1.2497276854069542E-2</v>
      </c>
      <c r="BM244" s="911">
        <f t="shared" si="409"/>
        <v>-4.822340850800845E-2</v>
      </c>
      <c r="BN244" s="911">
        <f t="shared" si="409"/>
        <v>-8.6360270433804981E-3</v>
      </c>
      <c r="BO244" s="911">
        <f t="shared" si="409"/>
        <v>-8.6136494611747799E-3</v>
      </c>
      <c r="BP244" s="911">
        <f t="shared" si="409"/>
        <v>-3.3582805027540519E-3</v>
      </c>
      <c r="BQ244" s="910">
        <f t="shared" si="409"/>
        <v>-7.4559184073154788E-3</v>
      </c>
      <c r="BR244" s="911">
        <f t="shared" si="409"/>
        <v>3.4725988392138966E-3</v>
      </c>
      <c r="BS244" s="911">
        <f t="shared" si="409"/>
        <v>4.238407357886817E-5</v>
      </c>
      <c r="BT244" s="911">
        <f t="shared" si="409"/>
        <v>9.4347261268220434E-5</v>
      </c>
      <c r="BU244" s="911">
        <f t="shared" si="409"/>
        <v>3.9861937840536543E-5</v>
      </c>
      <c r="BV244" s="910">
        <f t="shared" si="409"/>
        <v>8.1235772916385396E-4</v>
      </c>
      <c r="BW244" s="911">
        <f t="shared" si="409"/>
        <v>-2.0034382811228886E-3</v>
      </c>
      <c r="BX244" s="911">
        <f t="shared" si="409"/>
        <v>1.4135445861070198E-3</v>
      </c>
      <c r="BY244" s="911">
        <f t="shared" si="409"/>
        <v>1.4886136163942514E-3</v>
      </c>
      <c r="BZ244" s="911">
        <f t="shared" si="409"/>
        <v>3.4151736732489189E-3</v>
      </c>
      <c r="CA244" s="910">
        <f t="shared" si="409"/>
        <v>1.2004129124103535E-3</v>
      </c>
      <c r="CB244" s="911">
        <f t="shared" si="409"/>
        <v>-3.3466268198079144E-3</v>
      </c>
      <c r="CC244" s="911">
        <f t="shared" si="409"/>
        <v>-5.7585731937983414E-4</v>
      </c>
      <c r="CD244" s="912">
        <f t="shared" si="409"/>
        <v>-1.9183827140366455E-3</v>
      </c>
      <c r="CE244" s="912">
        <f t="shared" si="409"/>
        <v>-3.0127569363958481E-3</v>
      </c>
      <c r="CF244" s="909">
        <f t="shared" si="409"/>
        <v>-2.2072263072349524E-3</v>
      </c>
      <c r="CG244" s="912">
        <f t="shared" si="409"/>
        <v>-2.6782819054481811E-3</v>
      </c>
      <c r="CH244" s="912">
        <f t="shared" si="409"/>
        <v>-4.4164593298826344E-3</v>
      </c>
      <c r="CI244" s="912">
        <f t="shared" si="409"/>
        <v>-9.5626894435291501E-4</v>
      </c>
      <c r="CJ244" s="912">
        <f t="shared" si="409"/>
        <v>-2.2999201285008319E-3</v>
      </c>
      <c r="CK244" s="909">
        <f t="shared" si="409"/>
        <v>-2.6021916561485767E-3</v>
      </c>
      <c r="CL244" s="912">
        <f t="shared" si="409"/>
        <v>1.0045918828689368E-4</v>
      </c>
      <c r="CM244" s="912">
        <f t="shared" si="409"/>
        <v>8.9127208668374376E-4</v>
      </c>
      <c r="CN244" s="912">
        <f t="shared" si="409"/>
        <v>-1.3564839905620511E-3</v>
      </c>
      <c r="CO244" s="912">
        <f t="shared" si="409"/>
        <v>-1.736424782360288E-4</v>
      </c>
      <c r="CP244" s="909">
        <f t="shared" ca="1" si="409"/>
        <v>-1.2439586454232772E-4</v>
      </c>
      <c r="CQ244" s="912">
        <f t="shared" si="409"/>
        <v>-1.2768458811809533E-4</v>
      </c>
      <c r="CR244" s="912">
        <f t="shared" si="409"/>
        <v>-8.2125828894634087E-4</v>
      </c>
      <c r="CS244" s="912">
        <f t="shared" si="409"/>
        <v>-1.0134541464585974E-3</v>
      </c>
      <c r="CT244" s="912">
        <f t="shared" si="409"/>
        <v>-2.0639573553554481E-3</v>
      </c>
      <c r="CU244" s="909">
        <f t="shared" ca="1" si="409"/>
        <v>-1.0327323710303468E-3</v>
      </c>
      <c r="CV244" s="912">
        <f t="shared" si="409"/>
        <v>-2.3387573537198628E-3</v>
      </c>
      <c r="CW244" s="912">
        <f t="shared" si="409"/>
        <v>-2.2209842637103752E-3</v>
      </c>
      <c r="CX244" s="912">
        <f t="shared" si="409"/>
        <v>-2.0621258703653073E-3</v>
      </c>
      <c r="CY244" s="912">
        <f t="shared" si="409"/>
        <v>-9.8341502555898339E-4</v>
      </c>
      <c r="CZ244" s="909">
        <f t="shared" si="409"/>
        <v>-1.8768348869433911E-3</v>
      </c>
      <c r="DA244" s="912">
        <f t="shared" ref="DA244:DJ244" si="410">DA243-CV243</f>
        <v>-1.1228775132235049E-3</v>
      </c>
      <c r="DB244" s="912">
        <f t="shared" si="410"/>
        <v>-1.1538443868295244E-3</v>
      </c>
      <c r="DC244" s="912">
        <f t="shared" si="410"/>
        <v>-7.8893236791886118E-4</v>
      </c>
      <c r="DD244" s="912">
        <f t="shared" si="410"/>
        <v>-2.2931689454117853E-3</v>
      </c>
      <c r="DE244" s="909">
        <f t="shared" si="410"/>
        <v>-1.3525713462243811E-3</v>
      </c>
      <c r="DF244" s="912">
        <f t="shared" si="410"/>
        <v>-1.0925600292091171E-3</v>
      </c>
      <c r="DG244" s="912">
        <f t="shared" si="410"/>
        <v>-7.8689544937975836E-4</v>
      </c>
      <c r="DH244" s="912">
        <f t="shared" si="410"/>
        <v>-2.3088859731937895E-3</v>
      </c>
      <c r="DI244" s="912">
        <f t="shared" si="410"/>
        <v>-3.8917719153091883E-4</v>
      </c>
      <c r="DJ244" s="909">
        <f t="shared" si="410"/>
        <v>-1.1399829610777741E-3</v>
      </c>
      <c r="DK244" s="912">
        <f t="shared" ref="DK244:DT244" ca="1" si="411">DK243-DF243</f>
        <v>1.6801562722843517E-3</v>
      </c>
      <c r="DL244" s="912">
        <f t="shared" ca="1" si="411"/>
        <v>-5.0131951914262479E-4</v>
      </c>
      <c r="DM244" s="912">
        <f t="shared" ca="1" si="411"/>
        <v>7.3412729235067427E-4</v>
      </c>
      <c r="DN244" s="912">
        <f t="shared" ca="1" si="411"/>
        <v>-2.7774276328218321E-4</v>
      </c>
      <c r="DO244" s="909">
        <f t="shared" ca="1" si="411"/>
        <v>3.7967809770284716E-4</v>
      </c>
      <c r="DP244" s="912">
        <f t="shared" ca="1" si="411"/>
        <v>-1.2173909486798244E-3</v>
      </c>
      <c r="DQ244" s="912">
        <f t="shared" ca="1" si="411"/>
        <v>-1.0325532913297315E-3</v>
      </c>
      <c r="DR244" s="912">
        <f t="shared" ca="1" si="411"/>
        <v>-9.4403677727848342E-4</v>
      </c>
      <c r="DS244" s="912">
        <f t="shared" ca="1" si="411"/>
        <v>-1.0905565923248432E-3</v>
      </c>
      <c r="DT244" s="909">
        <f t="shared" ca="1" si="411"/>
        <v>-1.0675690920590175E-3</v>
      </c>
      <c r="DU244" s="912">
        <f t="shared" ref="DU244" ca="1" si="412">DU243-DP243</f>
        <v>-1.1069294528016013E-3</v>
      </c>
      <c r="DV244" s="912">
        <f t="shared" ref="DV244" ca="1" si="413">DV243-DQ243</f>
        <v>-9.8720515795916973E-4</v>
      </c>
      <c r="DW244" s="912">
        <f t="shared" ref="DW244" ca="1" si="414">DW243-DR243</f>
        <v>-9.709474686968424E-4</v>
      </c>
      <c r="DX244" s="912">
        <f t="shared" ref="DX244" ca="1" si="415">DX243-DS243</f>
        <v>-9.6921119746332975E-4</v>
      </c>
      <c r="DY244" s="909">
        <f t="shared" ref="DY244" ca="1" si="416">DY243-DT243</f>
        <v>-1.0055975907150658E-3</v>
      </c>
    </row>
    <row r="245" spans="1:129" ht="10.5" customHeight="1" x14ac:dyDescent="0.2">
      <c r="A245" s="611"/>
      <c r="B245" s="612" t="s">
        <v>219</v>
      </c>
      <c r="C245" s="815"/>
      <c r="D245" s="815"/>
      <c r="E245" s="815"/>
      <c r="F245" s="815"/>
      <c r="G245" s="815"/>
      <c r="H245" s="815"/>
      <c r="I245" s="817"/>
      <c r="J245" s="815"/>
      <c r="K245" s="815"/>
      <c r="L245" s="815"/>
      <c r="M245" s="815"/>
      <c r="N245" s="817"/>
      <c r="O245" s="815"/>
      <c r="P245" s="815"/>
      <c r="Q245" s="815"/>
      <c r="R245" s="815"/>
      <c r="S245" s="817"/>
      <c r="T245" s="815"/>
      <c r="U245" s="815"/>
      <c r="V245" s="815"/>
      <c r="W245" s="815"/>
      <c r="X245" s="817"/>
      <c r="Y245" s="815"/>
      <c r="Z245" s="815"/>
      <c r="AA245" s="815"/>
      <c r="AB245" s="815"/>
      <c r="AC245" s="817"/>
      <c r="AD245" s="815"/>
      <c r="AE245" s="815"/>
      <c r="AF245" s="815"/>
      <c r="AG245" s="815"/>
      <c r="AH245" s="817"/>
      <c r="AI245" s="815"/>
      <c r="AJ245" s="815"/>
      <c r="AK245" s="815"/>
      <c r="AL245" s="815"/>
      <c r="AM245" s="817"/>
      <c r="AN245" s="815"/>
      <c r="AO245" s="815"/>
      <c r="AP245" s="815"/>
      <c r="AQ245" s="815"/>
      <c r="AR245" s="817"/>
      <c r="AS245" s="815"/>
      <c r="AT245" s="815"/>
      <c r="AU245" s="815"/>
      <c r="AV245" s="815"/>
      <c r="AW245" s="817"/>
      <c r="AX245" s="815"/>
      <c r="AY245" s="815"/>
      <c r="AZ245" s="815"/>
      <c r="BA245" s="815"/>
      <c r="BB245" s="817"/>
      <c r="BC245" s="815"/>
      <c r="BD245" s="815"/>
      <c r="BE245" s="815"/>
      <c r="BF245" s="815"/>
      <c r="BG245" s="910">
        <f>BG242/BB242-1</f>
        <v>0.14297319252639529</v>
      </c>
      <c r="BH245" s="912"/>
      <c r="BI245" s="911">
        <f>BI242/BH242-1</f>
        <v>0.97885835095137375</v>
      </c>
      <c r="BJ245" s="911">
        <f>BJ242/BI242-1</f>
        <v>-7.1225071225089476E-4</v>
      </c>
      <c r="BK245" s="911">
        <f>BK242/BJ242-1</f>
        <v>-0.12045616535994286</v>
      </c>
      <c r="BL245" s="910">
        <f t="shared" ref="BL245:CZ245" si="417">BL242/BG242-1</f>
        <v>5.3617626154939932</v>
      </c>
      <c r="BM245" s="911">
        <f t="shared" si="417"/>
        <v>0.45243128964059198</v>
      </c>
      <c r="BN245" s="911">
        <f t="shared" si="417"/>
        <v>-0.31801994301994296</v>
      </c>
      <c r="BO245" s="911">
        <f t="shared" si="417"/>
        <v>-0.33357091945830342</v>
      </c>
      <c r="BP245" s="911">
        <f t="shared" si="417"/>
        <v>-0.14546191247974016</v>
      </c>
      <c r="BQ245" s="910">
        <f t="shared" si="417"/>
        <v>-0.11183108032622058</v>
      </c>
      <c r="BR245" s="911">
        <f t="shared" si="417"/>
        <v>0.26589034449296434</v>
      </c>
      <c r="BS245" s="911">
        <f t="shared" si="417"/>
        <v>0.22349869451697169</v>
      </c>
      <c r="BT245" s="911">
        <f t="shared" si="417"/>
        <v>0.24010695187165698</v>
      </c>
      <c r="BU245" s="911">
        <f t="shared" si="417"/>
        <v>0.14746325272641014</v>
      </c>
      <c r="BV245" s="910">
        <f t="shared" si="417"/>
        <v>0.21886792452830184</v>
      </c>
      <c r="BW245" s="911">
        <f t="shared" si="417"/>
        <v>-6.4775776159447962E-2</v>
      </c>
      <c r="BX245" s="911">
        <f t="shared" si="417"/>
        <v>-1.8352539479300378E-2</v>
      </c>
      <c r="BY245" s="911">
        <f t="shared" si="417"/>
        <v>-8.1931867184125151E-3</v>
      </c>
      <c r="BZ245" s="911">
        <f t="shared" si="417"/>
        <v>7.4380165289256173E-2</v>
      </c>
      <c r="CA245" s="910">
        <f t="shared" si="417"/>
        <v>-5.1599587203302599E-3</v>
      </c>
      <c r="CB245" s="911">
        <f t="shared" si="417"/>
        <v>-8.1967213114754189E-3</v>
      </c>
      <c r="CC245" s="911">
        <f t="shared" si="417"/>
        <v>0.19565217391304346</v>
      </c>
      <c r="CD245" s="912">
        <f t="shared" si="417"/>
        <v>0.11739130434782608</v>
      </c>
      <c r="CE245" s="912">
        <f t="shared" si="417"/>
        <v>0.11961538461538468</v>
      </c>
      <c r="CF245" s="909">
        <f t="shared" si="417"/>
        <v>0.10487551867219902</v>
      </c>
      <c r="CG245" s="912">
        <f t="shared" si="417"/>
        <v>0.10330578512396693</v>
      </c>
      <c r="CH245" s="912">
        <f t="shared" si="417"/>
        <v>-3.3090909090909171E-2</v>
      </c>
      <c r="CI245" s="912">
        <f t="shared" si="417"/>
        <v>0.15447470817120612</v>
      </c>
      <c r="CJ245" s="912">
        <f t="shared" si="417"/>
        <v>2.713844039848845E-2</v>
      </c>
      <c r="CK245" s="909">
        <f t="shared" si="417"/>
        <v>5.9618815134729219E-2</v>
      </c>
      <c r="CL245" s="912">
        <f t="shared" si="417"/>
        <v>7.4906367041198685E-3</v>
      </c>
      <c r="CM245" s="912">
        <f t="shared" si="417"/>
        <v>8.349003384731124E-2</v>
      </c>
      <c r="CN245" s="912">
        <f t="shared" si="417"/>
        <v>-1.1459386585776832E-2</v>
      </c>
      <c r="CO245" s="912">
        <f t="shared" si="417"/>
        <v>4.0802675585284165E-2</v>
      </c>
      <c r="CP245" s="909">
        <f t="shared" ca="1" si="417"/>
        <v>2.9239766081871288E-2</v>
      </c>
      <c r="CQ245" s="912">
        <f t="shared" si="417"/>
        <v>9.3308550185873695E-2</v>
      </c>
      <c r="CR245" s="912">
        <f t="shared" si="417"/>
        <v>9.9271086428323274E-2</v>
      </c>
      <c r="CS245" s="912">
        <f t="shared" si="417"/>
        <v>7.8758949880668228E-2</v>
      </c>
      <c r="CT245" s="912">
        <f t="shared" si="417"/>
        <v>5.8804627249357422E-2</v>
      </c>
      <c r="CU245" s="909">
        <f t="shared" ca="1" si="417"/>
        <v>8.1869834710743827E-2</v>
      </c>
      <c r="CV245" s="912">
        <f t="shared" si="417"/>
        <v>-7.4804488269297753E-3</v>
      </c>
      <c r="CW245" s="912">
        <f t="shared" si="417"/>
        <v>-5.2099778970634669E-2</v>
      </c>
      <c r="CX245" s="912">
        <f t="shared" si="417"/>
        <v>-3.3501896333754666E-2</v>
      </c>
      <c r="CY245" s="912">
        <f t="shared" si="417"/>
        <v>3.1431284188163877E-2</v>
      </c>
      <c r="CZ245" s="909">
        <f t="shared" si="417"/>
        <v>-1.5073917291318573E-2</v>
      </c>
      <c r="DA245" s="912">
        <f t="shared" ref="DA245:DJ245" si="418">DA242/CV242-1</f>
        <v>9.3967112024666122E-2</v>
      </c>
      <c r="DB245" s="912">
        <f t="shared" si="418"/>
        <v>9.3937375083277708E-2</v>
      </c>
      <c r="DC245" s="912">
        <f t="shared" si="418"/>
        <v>0.11347285807717467</v>
      </c>
      <c r="DD245" s="912">
        <f t="shared" si="418"/>
        <v>-3.1944672782492245E-2</v>
      </c>
      <c r="DE245" s="909">
        <f t="shared" si="418"/>
        <v>6.4206800704885714E-2</v>
      </c>
      <c r="DF245" s="912">
        <f t="shared" si="418"/>
        <v>-2.1385467652483836E-2</v>
      </c>
      <c r="DG245" s="912">
        <f t="shared" si="418"/>
        <v>1.7965895249695496E-2</v>
      </c>
      <c r="DH245" s="912">
        <f t="shared" si="418"/>
        <v>-0.14199826798825255</v>
      </c>
      <c r="DI245" s="912">
        <f t="shared" si="418"/>
        <v>5.2137607963525845E-2</v>
      </c>
      <c r="DJ245" s="909">
        <f t="shared" si="418"/>
        <v>-2.4389181554612005E-2</v>
      </c>
      <c r="DK245" s="912">
        <f t="shared" ref="DK245:DT245" si="419">DK242/DF242-1</f>
        <v>0.20377119021056012</v>
      </c>
      <c r="DL245" s="912">
        <f t="shared" si="419"/>
        <v>2.6458367896102564E-2</v>
      </c>
      <c r="DM245" s="912">
        <f t="shared" si="419"/>
        <v>0.15089345785809027</v>
      </c>
      <c r="DN245" s="912">
        <f t="shared" si="419"/>
        <v>1.3729591806825425E-2</v>
      </c>
      <c r="DO245" s="909">
        <f t="shared" si="419"/>
        <v>9.4435657871963175E-2</v>
      </c>
      <c r="DP245" s="912">
        <f t="shared" si="419"/>
        <v>-5.9053532098874872E-2</v>
      </c>
      <c r="DQ245" s="912">
        <f t="shared" si="419"/>
        <v>-6.0973064278561639E-2</v>
      </c>
      <c r="DR245" s="912">
        <f t="shared" si="419"/>
        <v>-5.4899331241830551E-2</v>
      </c>
      <c r="DS245" s="912">
        <f t="shared" si="419"/>
        <v>-6.9093471452600697E-2</v>
      </c>
      <c r="DT245" s="909">
        <f t="shared" si="419"/>
        <v>-6.1033657141666753E-2</v>
      </c>
      <c r="DU245" s="912">
        <f t="shared" ref="DU245" si="420">DU242/DP242-1</f>
        <v>-6.5338955502992957E-2</v>
      </c>
      <c r="DV245" s="912">
        <f t="shared" ref="DV245" si="421">DV242/DQ242-1</f>
        <v>-7.3630256347829381E-2</v>
      </c>
      <c r="DW245" s="912">
        <f t="shared" ref="DW245" si="422">DW242/DR242-1</f>
        <v>-7.4668213159314822E-2</v>
      </c>
      <c r="DX245" s="912">
        <f t="shared" ref="DX245" si="423">DX242/DS242-1</f>
        <v>-7.4467366197827678E-2</v>
      </c>
      <c r="DY245" s="909">
        <f t="shared" ref="DY245" si="424">DY242/DT242-1</f>
        <v>-7.1864773035507756E-2</v>
      </c>
    </row>
    <row r="246" spans="1:129" ht="10.5" customHeight="1" x14ac:dyDescent="0.2">
      <c r="A246" s="526"/>
      <c r="B246" s="756"/>
      <c r="C246" s="597"/>
      <c r="D246" s="597"/>
      <c r="E246" s="597"/>
      <c r="F246" s="597"/>
      <c r="G246" s="597"/>
      <c r="H246" s="597"/>
      <c r="I246" s="598"/>
      <c r="J246" s="597"/>
      <c r="K246" s="597"/>
      <c r="L246" s="597"/>
      <c r="M246" s="597"/>
      <c r="N246" s="598"/>
      <c r="O246" s="597"/>
      <c r="P246" s="597"/>
      <c r="Q246" s="597"/>
      <c r="R246" s="597"/>
      <c r="S246" s="598"/>
      <c r="T246" s="597"/>
      <c r="U246" s="597"/>
      <c r="V246" s="597"/>
      <c r="W246" s="597"/>
      <c r="X246" s="598"/>
      <c r="Y246" s="597"/>
      <c r="Z246" s="597"/>
      <c r="AA246" s="597"/>
      <c r="AB246" s="597"/>
      <c r="AC246" s="598"/>
      <c r="AD246" s="597"/>
      <c r="AE246" s="597"/>
      <c r="AF246" s="597"/>
      <c r="AG246" s="597"/>
      <c r="AH246" s="598"/>
      <c r="AI246" s="597"/>
      <c r="AJ246" s="597"/>
      <c r="AK246" s="597"/>
      <c r="AL246" s="597"/>
      <c r="AM246" s="598"/>
      <c r="AN246" s="597"/>
      <c r="AO246" s="597"/>
      <c r="AP246" s="597"/>
      <c r="AQ246" s="597"/>
      <c r="AR246" s="598"/>
      <c r="AS246" s="597"/>
      <c r="AT246" s="597"/>
      <c r="AU246" s="597"/>
      <c r="AV246" s="597"/>
      <c r="AW246" s="598"/>
      <c r="AX246" s="597"/>
      <c r="AY246" s="597"/>
      <c r="AZ246" s="597"/>
      <c r="BA246" s="597"/>
      <c r="BB246" s="598"/>
      <c r="BC246" s="597"/>
      <c r="BD246" s="597"/>
      <c r="BE246" s="597"/>
      <c r="BF246" s="597"/>
      <c r="BG246" s="598"/>
      <c r="BH246" s="597"/>
      <c r="BI246" s="597"/>
      <c r="BJ246" s="597"/>
      <c r="BK246" s="597"/>
      <c r="BL246" s="598"/>
      <c r="BM246" s="597"/>
      <c r="BN246" s="597"/>
      <c r="BO246" s="597"/>
      <c r="BP246" s="597"/>
      <c r="BQ246" s="598"/>
      <c r="BR246" s="597"/>
      <c r="BS246" s="597"/>
      <c r="BT246" s="597"/>
      <c r="BU246" s="597"/>
      <c r="BV246" s="598"/>
      <c r="BW246" s="597"/>
      <c r="BX246" s="597"/>
      <c r="BY246" s="597"/>
      <c r="BZ246" s="597"/>
      <c r="CA246" s="598"/>
      <c r="CB246" s="597"/>
      <c r="CC246" s="597"/>
      <c r="CD246" s="597"/>
      <c r="CE246" s="597"/>
      <c r="CF246" s="598"/>
      <c r="CG246" s="597"/>
      <c r="CH246" s="597"/>
      <c r="CI246" s="597"/>
      <c r="CJ246" s="597"/>
      <c r="CK246" s="598"/>
      <c r="CL246" s="597"/>
      <c r="CM246" s="597"/>
      <c r="CN246" s="597"/>
      <c r="CO246" s="597"/>
      <c r="CP246" s="598"/>
      <c r="CQ246" s="597"/>
      <c r="CR246" s="597"/>
      <c r="CS246" s="597"/>
      <c r="CT246" s="597"/>
      <c r="CU246" s="598"/>
      <c r="CV246" s="597"/>
      <c r="CW246" s="597"/>
      <c r="CX246" s="597"/>
      <c r="CY246" s="597"/>
      <c r="CZ246" s="598"/>
      <c r="DA246" s="597"/>
      <c r="DB246" s="597"/>
      <c r="DC246" s="597"/>
      <c r="DD246" s="597"/>
      <c r="DE246" s="598"/>
      <c r="DF246" s="597"/>
      <c r="DG246" s="597"/>
      <c r="DH246" s="597"/>
      <c r="DI246" s="2800"/>
      <c r="DJ246" s="598"/>
      <c r="DK246" s="597"/>
      <c r="DL246" s="597"/>
      <c r="DM246" s="597"/>
      <c r="DN246" s="597"/>
      <c r="DO246" s="598"/>
      <c r="DP246" s="597"/>
      <c r="DQ246" s="597"/>
      <c r="DR246" s="597"/>
      <c r="DS246" s="597"/>
      <c r="DT246" s="598"/>
      <c r="DU246" s="597"/>
      <c r="DV246" s="597"/>
      <c r="DW246" s="597"/>
      <c r="DX246" s="597"/>
      <c r="DY246" s="598"/>
    </row>
    <row r="247" spans="1:129" ht="10.5" customHeight="1" x14ac:dyDescent="0.2">
      <c r="A247" s="641"/>
      <c r="B247" s="908" t="s">
        <v>175</v>
      </c>
      <c r="C247" s="641"/>
      <c r="D247" s="641"/>
      <c r="E247" s="641"/>
      <c r="F247" s="641"/>
      <c r="G247" s="641"/>
      <c r="H247" s="641"/>
      <c r="I247" s="643"/>
      <c r="J247" s="641"/>
      <c r="K247" s="641"/>
      <c r="L247" s="641"/>
      <c r="M247" s="641"/>
      <c r="N247" s="643"/>
      <c r="O247" s="641"/>
      <c r="P247" s="641"/>
      <c r="Q247" s="641"/>
      <c r="R247" s="641"/>
      <c r="S247" s="643"/>
      <c r="T247" s="641"/>
      <c r="U247" s="641"/>
      <c r="V247" s="641"/>
      <c r="W247" s="641"/>
      <c r="X247" s="643"/>
      <c r="Y247" s="641"/>
      <c r="Z247" s="641"/>
      <c r="AA247" s="641"/>
      <c r="AB247" s="641"/>
      <c r="AC247" s="643"/>
      <c r="AD247" s="641"/>
      <c r="AE247" s="641"/>
      <c r="AF247" s="641"/>
      <c r="AG247" s="641"/>
      <c r="AH247" s="643"/>
      <c r="AI247" s="641"/>
      <c r="AJ247" s="641"/>
      <c r="AK247" s="641"/>
      <c r="AL247" s="641"/>
      <c r="AM247" s="643"/>
      <c r="AN247" s="641"/>
      <c r="AO247" s="641"/>
      <c r="AP247" s="641"/>
      <c r="AQ247" s="641"/>
      <c r="AR247" s="643"/>
      <c r="AS247" s="641"/>
      <c r="AT247" s="641"/>
      <c r="AU247" s="641"/>
      <c r="AV247" s="641"/>
      <c r="AW247" s="643"/>
      <c r="AX247" s="641"/>
      <c r="AY247" s="641"/>
      <c r="AZ247" s="641"/>
      <c r="BA247" s="641"/>
      <c r="BB247" s="645">
        <f>BB26</f>
        <v>82.5</v>
      </c>
      <c r="BC247" s="641"/>
      <c r="BD247" s="641"/>
      <c r="BE247" s="641"/>
      <c r="BF247" s="641"/>
      <c r="BG247" s="645">
        <f t="shared" ref="BG247:CZ247" si="425">BG26</f>
        <v>99.299999999999244</v>
      </c>
      <c r="BH247" s="644">
        <f t="shared" si="425"/>
        <v>53.600000000000009</v>
      </c>
      <c r="BI247" s="644">
        <f t="shared" si="425"/>
        <v>188.79999999999995</v>
      </c>
      <c r="BJ247" s="644">
        <f t="shared" si="425"/>
        <v>192.1999999999999</v>
      </c>
      <c r="BK247" s="644">
        <f t="shared" si="425"/>
        <v>156.59999999999997</v>
      </c>
      <c r="BL247" s="645">
        <f t="shared" si="425"/>
        <v>605.79999999999995</v>
      </c>
      <c r="BM247" s="644">
        <f t="shared" si="425"/>
        <v>119.60000000000002</v>
      </c>
      <c r="BN247" s="644">
        <f t="shared" si="425"/>
        <v>103.9</v>
      </c>
      <c r="BO247" s="644">
        <f t="shared" si="425"/>
        <v>98.8</v>
      </c>
      <c r="BP247" s="644">
        <f t="shared" si="425"/>
        <v>118.20000000000009</v>
      </c>
      <c r="BQ247" s="645">
        <f t="shared" si="425"/>
        <v>438</v>
      </c>
      <c r="BR247" s="644">
        <f t="shared" si="425"/>
        <v>166.49999999999997</v>
      </c>
      <c r="BS247" s="644">
        <f t="shared" si="425"/>
        <v>142.00000000000006</v>
      </c>
      <c r="BT247" s="644">
        <f t="shared" si="425"/>
        <v>140.69999999999987</v>
      </c>
      <c r="BU247" s="644">
        <f t="shared" si="425"/>
        <v>142</v>
      </c>
      <c r="BV247" s="645">
        <f t="shared" si="425"/>
        <v>592</v>
      </c>
      <c r="BW247" s="644">
        <f t="shared" si="425"/>
        <v>146</v>
      </c>
      <c r="BX247" s="644">
        <f t="shared" si="425"/>
        <v>134</v>
      </c>
      <c r="BY247" s="644">
        <f t="shared" si="425"/>
        <v>132</v>
      </c>
      <c r="BZ247" s="644">
        <f t="shared" si="425"/>
        <v>162</v>
      </c>
      <c r="CA247" s="645">
        <f t="shared" si="425"/>
        <v>574</v>
      </c>
      <c r="CB247" s="644">
        <f t="shared" si="425"/>
        <v>143</v>
      </c>
      <c r="CC247" s="644">
        <f t="shared" si="425"/>
        <v>168</v>
      </c>
      <c r="CD247" s="641">
        <f t="shared" si="425"/>
        <v>145</v>
      </c>
      <c r="CE247" s="641">
        <f t="shared" si="425"/>
        <v>175.20000000000002</v>
      </c>
      <c r="CF247" s="643">
        <f t="shared" si="425"/>
        <v>631.20000000000005</v>
      </c>
      <c r="CG247" s="641">
        <f t="shared" si="425"/>
        <v>145</v>
      </c>
      <c r="CH247" s="641">
        <f t="shared" si="425"/>
        <v>136.89999999999998</v>
      </c>
      <c r="CI247" s="641">
        <f t="shared" si="425"/>
        <v>167.2</v>
      </c>
      <c r="CJ247" s="641">
        <f t="shared" si="425"/>
        <v>162</v>
      </c>
      <c r="CK247" s="643">
        <f t="shared" si="425"/>
        <v>611.09999999999991</v>
      </c>
      <c r="CL247" s="641">
        <f t="shared" ca="1" si="425"/>
        <v>124.21513002364065</v>
      </c>
      <c r="CM247" s="641">
        <f t="shared" si="425"/>
        <v>148.80000000000001</v>
      </c>
      <c r="CN247" s="641">
        <f t="shared" si="425"/>
        <v>151.5</v>
      </c>
      <c r="CO247" s="641">
        <f>CO26</f>
        <v>169.1</v>
      </c>
      <c r="CP247" s="643">
        <f t="shared" ca="1" si="425"/>
        <v>593.61513002364063</v>
      </c>
      <c r="CQ247" s="641">
        <f t="shared" si="425"/>
        <v>138.60000000000002</v>
      </c>
      <c r="CR247" s="641">
        <f t="shared" si="425"/>
        <v>160</v>
      </c>
      <c r="CS247" s="641">
        <f t="shared" si="425"/>
        <v>160.19999999999999</v>
      </c>
      <c r="CT247" s="641">
        <f t="shared" si="425"/>
        <v>168.1</v>
      </c>
      <c r="CU247" s="643">
        <f t="shared" si="425"/>
        <v>626.9</v>
      </c>
      <c r="CV247" s="641">
        <f t="shared" si="425"/>
        <v>131.79999999999998</v>
      </c>
      <c r="CW247" s="641">
        <f>CW26</f>
        <v>140.1</v>
      </c>
      <c r="CX247" s="641">
        <f t="shared" si="425"/>
        <v>141.83558597000001</v>
      </c>
      <c r="CY247" s="641">
        <f>CY26</f>
        <v>169.62961639999997</v>
      </c>
      <c r="CZ247" s="643">
        <f t="shared" si="425"/>
        <v>583.36520236999991</v>
      </c>
      <c r="DA247" s="641">
        <f t="shared" ref="DA247:DJ247" si="426">DA26</f>
        <v>141.32900000000001</v>
      </c>
      <c r="DB247" s="641">
        <f>DB26</f>
        <v>150.79999999999998</v>
      </c>
      <c r="DC247" s="641">
        <f>DC26</f>
        <v>161.5</v>
      </c>
      <c r="DD247" s="641">
        <f>DD26</f>
        <v>150.1</v>
      </c>
      <c r="DE247" s="643">
        <f t="shared" si="426"/>
        <v>603.72900000000004</v>
      </c>
      <c r="DF247" s="641">
        <f t="shared" si="426"/>
        <v>132.19999999999999</v>
      </c>
      <c r="DG247" s="641">
        <f>DG26</f>
        <v>155.5</v>
      </c>
      <c r="DH247" s="641">
        <f>DH26</f>
        <v>115.73384750999998</v>
      </c>
      <c r="DI247" s="550">
        <f>DI26</f>
        <v>169.95395961999995</v>
      </c>
      <c r="DJ247" s="643">
        <f t="shared" si="426"/>
        <v>573.38780712999994</v>
      </c>
      <c r="DK247" s="641">
        <f t="shared" ref="DK247:DT247" si="427">DK26</f>
        <v>175.55242000000001</v>
      </c>
      <c r="DL247" s="641">
        <f t="shared" si="427"/>
        <v>146.02970932846713</v>
      </c>
      <c r="DM247" s="641">
        <f t="shared" si="427"/>
        <v>141.20126450000001</v>
      </c>
      <c r="DN247" s="641">
        <f t="shared" si="427"/>
        <v>151.56169498356115</v>
      </c>
      <c r="DO247" s="643">
        <f t="shared" si="427"/>
        <v>614.34508881202828</v>
      </c>
      <c r="DP247" s="641">
        <f t="shared" si="427"/>
        <v>153.9985216</v>
      </c>
      <c r="DQ247" s="641">
        <f t="shared" si="427"/>
        <v>123.77482153182478</v>
      </c>
      <c r="DR247" s="641">
        <f t="shared" si="427"/>
        <v>118.89912750000001</v>
      </c>
      <c r="DS247" s="641">
        <f t="shared" si="427"/>
        <v>128.43949087607842</v>
      </c>
      <c r="DT247" s="643">
        <f t="shared" si="427"/>
        <v>525.11196150790329</v>
      </c>
      <c r="DU247" s="641">
        <f t="shared" ref="DU247:DY247" si="428">DU26</f>
        <v>131.793230142</v>
      </c>
      <c r="DV247" s="641">
        <f t="shared" si="428"/>
        <v>100.85541132261712</v>
      </c>
      <c r="DW247" s="641">
        <f t="shared" si="428"/>
        <v>95.932832550324989</v>
      </c>
      <c r="DX247" s="641">
        <f t="shared" si="428"/>
        <v>104.62737922099087</v>
      </c>
      <c r="DY247" s="643">
        <f t="shared" si="428"/>
        <v>433.20885323593296</v>
      </c>
    </row>
    <row r="248" spans="1:129" ht="10.5" customHeight="1" x14ac:dyDescent="0.2">
      <c r="A248" s="611"/>
      <c r="B248" s="612" t="s">
        <v>217</v>
      </c>
      <c r="C248" s="815"/>
      <c r="D248" s="815"/>
      <c r="E248" s="815"/>
      <c r="F248" s="815"/>
      <c r="G248" s="815"/>
      <c r="H248" s="815"/>
      <c r="I248" s="909"/>
      <c r="J248" s="815"/>
      <c r="K248" s="815"/>
      <c r="L248" s="815"/>
      <c r="M248" s="815"/>
      <c r="N248" s="909"/>
      <c r="O248" s="815"/>
      <c r="P248" s="815"/>
      <c r="Q248" s="815"/>
      <c r="R248" s="815"/>
      <c r="S248" s="909"/>
      <c r="T248" s="815"/>
      <c r="U248" s="815"/>
      <c r="V248" s="815"/>
      <c r="W248" s="815"/>
      <c r="X248" s="909"/>
      <c r="Y248" s="815"/>
      <c r="Z248" s="815"/>
      <c r="AA248" s="815"/>
      <c r="AB248" s="815"/>
      <c r="AC248" s="909"/>
      <c r="AD248" s="815"/>
      <c r="AE248" s="815"/>
      <c r="AF248" s="815"/>
      <c r="AG248" s="815"/>
      <c r="AH248" s="909"/>
      <c r="AI248" s="815"/>
      <c r="AJ248" s="815"/>
      <c r="AK248" s="815"/>
      <c r="AL248" s="815"/>
      <c r="AM248" s="909"/>
      <c r="AN248" s="815"/>
      <c r="AO248" s="815"/>
      <c r="AP248" s="815"/>
      <c r="AQ248" s="815"/>
      <c r="AR248" s="909"/>
      <c r="AS248" s="815"/>
      <c r="AT248" s="815"/>
      <c r="AU248" s="815"/>
      <c r="AV248" s="815"/>
      <c r="AW248" s="909"/>
      <c r="AX248" s="815"/>
      <c r="AY248" s="815"/>
      <c r="AZ248" s="815"/>
      <c r="BA248" s="815"/>
      <c r="BB248" s="910">
        <f>BB247/BB$14</f>
        <v>2.7907448751775931E-2</v>
      </c>
      <c r="BC248" s="815"/>
      <c r="BD248" s="815"/>
      <c r="BE248" s="815"/>
      <c r="BF248" s="815"/>
      <c r="BG248" s="910">
        <f t="shared" ref="BG248:CZ248" si="429">BG247/BG$14</f>
        <v>2.6901091756291622E-2</v>
      </c>
      <c r="BH248" s="911">
        <f t="shared" si="429"/>
        <v>2.54474671224422E-2</v>
      </c>
      <c r="BI248" s="911">
        <f t="shared" si="429"/>
        <v>1.7888782558437E-2</v>
      </c>
      <c r="BJ248" s="911">
        <f t="shared" si="429"/>
        <v>1.8025622268489853E-2</v>
      </c>
      <c r="BK248" s="911">
        <f t="shared" si="429"/>
        <v>1.3486745784315414E-2</v>
      </c>
      <c r="BL248" s="910">
        <f t="shared" si="429"/>
        <v>1.73390882238454E-2</v>
      </c>
      <c r="BM248" s="911">
        <f t="shared" si="429"/>
        <v>1.1110388584911798E-2</v>
      </c>
      <c r="BN248" s="911">
        <f t="shared" si="429"/>
        <v>9.7496434201636509E-3</v>
      </c>
      <c r="BO248" s="911">
        <f t="shared" si="429"/>
        <v>9.3530492076414808E-3</v>
      </c>
      <c r="BP248" s="911">
        <f t="shared" si="429"/>
        <v>1.0030294544436248E-2</v>
      </c>
      <c r="BQ248" s="910">
        <f t="shared" si="429"/>
        <v>1.0007036911800993E-2</v>
      </c>
      <c r="BR248" s="911">
        <f t="shared" si="429"/>
        <v>1.4434580573568676E-2</v>
      </c>
      <c r="BS248" s="911">
        <f t="shared" si="429"/>
        <v>1.0916443084587064E-2</v>
      </c>
      <c r="BT248" s="911">
        <f t="shared" si="429"/>
        <v>1.0797909487885917E-2</v>
      </c>
      <c r="BU248" s="911">
        <f t="shared" si="429"/>
        <v>1.0524755410613698E-2</v>
      </c>
      <c r="BV248" s="910">
        <f t="shared" si="429"/>
        <v>1.1593067658866151E-2</v>
      </c>
      <c r="BW248" s="911">
        <f t="shared" si="429"/>
        <v>1.2335248394727948E-2</v>
      </c>
      <c r="BX248" s="911">
        <f t="shared" si="429"/>
        <v>1.1317567567567568E-2</v>
      </c>
      <c r="BY248" s="911">
        <f t="shared" si="429"/>
        <v>1.1068254234445749E-2</v>
      </c>
      <c r="BZ248" s="911">
        <f t="shared" si="429"/>
        <v>1.3303769401330377E-2</v>
      </c>
      <c r="CA248" s="910">
        <f t="shared" si="429"/>
        <v>1.2013646162540028E-2</v>
      </c>
      <c r="CB248" s="911">
        <f t="shared" si="429"/>
        <v>1.020408163265306E-2</v>
      </c>
      <c r="CC248" s="911">
        <f t="shared" si="429"/>
        <v>1.1515525395846186E-2</v>
      </c>
      <c r="CD248" s="912">
        <f t="shared" si="429"/>
        <v>9.7986214353290978E-3</v>
      </c>
      <c r="CE248" s="912">
        <f t="shared" si="429"/>
        <v>1.1037402430496496E-2</v>
      </c>
      <c r="CF248" s="909">
        <f t="shared" si="429"/>
        <v>1.0648797202160127E-2</v>
      </c>
      <c r="CG248" s="912">
        <f t="shared" si="429"/>
        <v>7.9234972677595626E-3</v>
      </c>
      <c r="CH248" s="912">
        <f t="shared" si="429"/>
        <v>7.4310900741480553E-3</v>
      </c>
      <c r="CI248" s="912">
        <f t="shared" si="429"/>
        <v>9.2480945164109436E-3</v>
      </c>
      <c r="CJ248" s="912">
        <f t="shared" si="429"/>
        <v>8.6900547151593181E-3</v>
      </c>
      <c r="CK248" s="909">
        <f t="shared" si="429"/>
        <v>8.3206252382767819E-3</v>
      </c>
      <c r="CL248" s="912">
        <f t="shared" ca="1" si="429"/>
        <v>6.7836344286844328E-3</v>
      </c>
      <c r="CM248" s="912">
        <f t="shared" si="429"/>
        <v>7.9149778189129688E-3</v>
      </c>
      <c r="CN248" s="912">
        <f t="shared" si="429"/>
        <v>7.7761695050968544E-3</v>
      </c>
      <c r="CO248" s="912">
        <f>CO247/CO$14</f>
        <v>8.6209533520265093E-3</v>
      </c>
      <c r="CP248" s="909">
        <f t="shared" ca="1" si="429"/>
        <v>7.7893661331774541E-3</v>
      </c>
      <c r="CQ248" s="912">
        <f t="shared" si="429"/>
        <v>6.8630509380988476E-3</v>
      </c>
      <c r="CR248" s="912">
        <f t="shared" si="429"/>
        <v>7.3272486639220005E-3</v>
      </c>
      <c r="CS248" s="912">
        <f t="shared" si="429"/>
        <v>7.1092571225703375E-3</v>
      </c>
      <c r="CT248" s="912">
        <f t="shared" si="429"/>
        <v>7.0410441353254329E-3</v>
      </c>
      <c r="CU248" s="909">
        <f t="shared" si="429"/>
        <v>7.0884455736507463E-3</v>
      </c>
      <c r="CV248" s="912">
        <f t="shared" si="429"/>
        <v>5.5195172306932048E-3</v>
      </c>
      <c r="CW248" s="912">
        <f>CW247/CW$14</f>
        <v>5.732054088333367E-3</v>
      </c>
      <c r="CX248" s="912">
        <f t="shared" si="429"/>
        <v>5.5560212512511765E-3</v>
      </c>
      <c r="CY248" s="912">
        <f>CY247/CY$14</f>
        <v>6.3977530638985218E-3</v>
      </c>
      <c r="CZ248" s="909">
        <f t="shared" si="429"/>
        <v>5.8125755238830554E-3</v>
      </c>
      <c r="DA248" s="912">
        <f t="shared" ref="DA248:DJ248" si="430">DA247/DA$14</f>
        <v>4.9132278811055106E-3</v>
      </c>
      <c r="DB248" s="912">
        <f>DB247/DB$14</f>
        <v>5.1101841089540041E-3</v>
      </c>
      <c r="DC248" s="912">
        <f>DC247/DC$14</f>
        <v>5.3074195424774318E-3</v>
      </c>
      <c r="DD248" s="912">
        <f>DD247/DD$14</f>
        <v>4.8017709929524975E-3</v>
      </c>
      <c r="DE248" s="909">
        <f t="shared" si="430"/>
        <v>5.0326183362897963E-3</v>
      </c>
      <c r="DF248" s="912">
        <f t="shared" si="430"/>
        <v>4.2340989088067334E-3</v>
      </c>
      <c r="DG248" s="912">
        <f>DG247/DG$14</f>
        <v>4.8104288860840944E-3</v>
      </c>
      <c r="DH248" s="912">
        <f>DH247/DH$14</f>
        <v>3.5181952562333176E-3</v>
      </c>
      <c r="DI248" s="912">
        <f>DI247/DI$14</f>
        <v>4.9764104127981617E-3</v>
      </c>
      <c r="DJ248" s="909">
        <f t="shared" si="430"/>
        <v>4.3905464624254091E-3</v>
      </c>
      <c r="DK248" s="912">
        <f t="shared" ref="DK248:DT248" ca="1" si="431">DK247/DK$14</f>
        <v>5.4548962345097041E-3</v>
      </c>
      <c r="DL248" s="912">
        <f t="shared" ca="1" si="431"/>
        <v>4.1876765737119863E-3</v>
      </c>
      <c r="DM248" s="912">
        <f t="shared" ca="1" si="431"/>
        <v>4.0379036722698229E-3</v>
      </c>
      <c r="DN248" s="912">
        <f t="shared" ca="1" si="431"/>
        <v>4.2578014258113335E-3</v>
      </c>
      <c r="DO248" s="909">
        <f t="shared" ca="1" si="431"/>
        <v>4.4641000385025722E-3</v>
      </c>
      <c r="DP248" s="912">
        <f t="shared" ca="1" si="431"/>
        <v>4.5558239897071579E-3</v>
      </c>
      <c r="DQ248" s="912">
        <f t="shared" ca="1" si="431"/>
        <v>3.3833178455871232E-3</v>
      </c>
      <c r="DR248" s="912">
        <f t="shared" ca="1" si="431"/>
        <v>3.2444190636982417E-3</v>
      </c>
      <c r="DS248" s="912">
        <f t="shared" ca="1" si="431"/>
        <v>3.4472463504187727E-3</v>
      </c>
      <c r="DT248" s="909">
        <f t="shared" ca="1" si="431"/>
        <v>3.6392243673597719E-3</v>
      </c>
      <c r="DU248" s="912">
        <f t="shared" ref="DU248:DY248" ca="1" si="432">DU247/DU$14</f>
        <v>3.7305112862711215E-3</v>
      </c>
      <c r="DV248" s="912">
        <f t="shared" ca="1" si="432"/>
        <v>2.6423937066197634E-3</v>
      </c>
      <c r="DW248" s="912">
        <f t="shared" ca="1" si="432"/>
        <v>2.512195995156773E-3</v>
      </c>
      <c r="DX248" s="912">
        <f t="shared" ca="1" si="432"/>
        <v>2.6986727668775498E-3</v>
      </c>
      <c r="DY248" s="909">
        <f t="shared" ca="1" si="432"/>
        <v>2.8793548347045114E-3</v>
      </c>
    </row>
    <row r="249" spans="1:129" ht="10.5" customHeight="1" x14ac:dyDescent="0.2">
      <c r="A249" s="611"/>
      <c r="B249" s="612" t="s">
        <v>218</v>
      </c>
      <c r="C249" s="815"/>
      <c r="D249" s="815"/>
      <c r="E249" s="815"/>
      <c r="F249" s="815"/>
      <c r="G249" s="815"/>
      <c r="H249" s="815"/>
      <c r="I249" s="909"/>
      <c r="J249" s="815"/>
      <c r="K249" s="815"/>
      <c r="L249" s="815"/>
      <c r="M249" s="815"/>
      <c r="N249" s="909"/>
      <c r="O249" s="815"/>
      <c r="P249" s="815"/>
      <c r="Q249" s="815"/>
      <c r="R249" s="815"/>
      <c r="S249" s="909"/>
      <c r="T249" s="815"/>
      <c r="U249" s="815"/>
      <c r="V249" s="815"/>
      <c r="W249" s="815"/>
      <c r="X249" s="909"/>
      <c r="Y249" s="815"/>
      <c r="Z249" s="815"/>
      <c r="AA249" s="815"/>
      <c r="AB249" s="815"/>
      <c r="AC249" s="909"/>
      <c r="AD249" s="815"/>
      <c r="AE249" s="815"/>
      <c r="AF249" s="815"/>
      <c r="AG249" s="815"/>
      <c r="AH249" s="909"/>
      <c r="AI249" s="815"/>
      <c r="AJ249" s="815"/>
      <c r="AK249" s="815"/>
      <c r="AL249" s="815"/>
      <c r="AM249" s="909"/>
      <c r="AN249" s="815"/>
      <c r="AO249" s="815"/>
      <c r="AP249" s="815"/>
      <c r="AQ249" s="815"/>
      <c r="AR249" s="909"/>
      <c r="AS249" s="815"/>
      <c r="AT249" s="815"/>
      <c r="AU249" s="815"/>
      <c r="AV249" s="815"/>
      <c r="AW249" s="909"/>
      <c r="AX249" s="815"/>
      <c r="AY249" s="815"/>
      <c r="AZ249" s="815"/>
      <c r="BA249" s="815"/>
      <c r="BB249" s="910">
        <f>BB248-AW248</f>
        <v>2.7907448751775931E-2</v>
      </c>
      <c r="BC249" s="815"/>
      <c r="BD249" s="815"/>
      <c r="BE249" s="815"/>
      <c r="BF249" s="815"/>
      <c r="BG249" s="910">
        <f>BG248-BB248</f>
        <v>-1.0063569954843095E-3</v>
      </c>
      <c r="BH249" s="913"/>
      <c r="BI249" s="913"/>
      <c r="BJ249" s="913"/>
      <c r="BK249" s="913"/>
      <c r="BL249" s="910">
        <f t="shared" ref="BL249:CZ249" si="433">BL248-BG248</f>
        <v>-9.562003532446222E-3</v>
      </c>
      <c r="BM249" s="911">
        <f t="shared" si="433"/>
        <v>-1.4337078537530402E-2</v>
      </c>
      <c r="BN249" s="911">
        <f t="shared" si="433"/>
        <v>-8.1391391382733495E-3</v>
      </c>
      <c r="BO249" s="911">
        <f t="shared" si="433"/>
        <v>-8.6725730608483726E-3</v>
      </c>
      <c r="BP249" s="911">
        <f t="shared" si="433"/>
        <v>-3.4564512398791662E-3</v>
      </c>
      <c r="BQ249" s="910">
        <f t="shared" si="433"/>
        <v>-7.3320513120444068E-3</v>
      </c>
      <c r="BR249" s="911">
        <f t="shared" si="433"/>
        <v>3.3241919886568775E-3</v>
      </c>
      <c r="BS249" s="911">
        <f t="shared" si="433"/>
        <v>1.1667996644234135E-3</v>
      </c>
      <c r="BT249" s="911">
        <f t="shared" si="433"/>
        <v>1.4448602802444362E-3</v>
      </c>
      <c r="BU249" s="911">
        <f t="shared" si="433"/>
        <v>4.944608661774496E-4</v>
      </c>
      <c r="BV249" s="910">
        <f t="shared" si="433"/>
        <v>1.5860307470651584E-3</v>
      </c>
      <c r="BW249" s="911">
        <f t="shared" si="433"/>
        <v>-2.0993321788407276E-3</v>
      </c>
      <c r="BX249" s="911">
        <f t="shared" si="433"/>
        <v>4.0112448298050378E-4</v>
      </c>
      <c r="BY249" s="911">
        <f t="shared" si="433"/>
        <v>2.703447465598318E-4</v>
      </c>
      <c r="BZ249" s="911">
        <f t="shared" si="433"/>
        <v>2.7790139907166791E-3</v>
      </c>
      <c r="CA249" s="910">
        <f t="shared" si="433"/>
        <v>4.2057850367387649E-4</v>
      </c>
      <c r="CB249" s="911">
        <f t="shared" si="433"/>
        <v>-2.1311667620748879E-3</v>
      </c>
      <c r="CC249" s="911">
        <f t="shared" si="433"/>
        <v>1.9795782827861791E-4</v>
      </c>
      <c r="CD249" s="912">
        <f t="shared" si="433"/>
        <v>-1.269632799116651E-3</v>
      </c>
      <c r="CE249" s="912">
        <f t="shared" si="433"/>
        <v>-2.2663669708338809E-3</v>
      </c>
      <c r="CF249" s="909">
        <f t="shared" si="433"/>
        <v>-1.3648489603799007E-3</v>
      </c>
      <c r="CG249" s="912">
        <f t="shared" si="433"/>
        <v>-2.2805843648934978E-3</v>
      </c>
      <c r="CH249" s="912">
        <f t="shared" si="433"/>
        <v>-4.0844353216981308E-3</v>
      </c>
      <c r="CI249" s="912">
        <f t="shared" si="433"/>
        <v>-5.5052691891815421E-4</v>
      </c>
      <c r="CJ249" s="912">
        <f t="shared" si="433"/>
        <v>-2.347347715337178E-3</v>
      </c>
      <c r="CK249" s="909">
        <f t="shared" si="433"/>
        <v>-2.3281719638833451E-3</v>
      </c>
      <c r="CL249" s="912">
        <f t="shared" ca="1" si="433"/>
        <v>-1.1398628390751299E-3</v>
      </c>
      <c r="CM249" s="912">
        <f t="shared" si="433"/>
        <v>4.8388774476491349E-4</v>
      </c>
      <c r="CN249" s="912">
        <f t="shared" si="433"/>
        <v>-1.4719250113140892E-3</v>
      </c>
      <c r="CO249" s="912">
        <f t="shared" si="433"/>
        <v>-6.9101363132808777E-5</v>
      </c>
      <c r="CP249" s="909">
        <f t="shared" ca="1" si="433"/>
        <v>-5.3125910509932775E-4</v>
      </c>
      <c r="CQ249" s="912">
        <f t="shared" ca="1" si="433"/>
        <v>7.9416509414414853E-5</v>
      </c>
      <c r="CR249" s="912">
        <f t="shared" si="433"/>
        <v>-5.8772915499096835E-4</v>
      </c>
      <c r="CS249" s="912">
        <f t="shared" si="433"/>
        <v>-6.6691238252651695E-4</v>
      </c>
      <c r="CT249" s="912">
        <f t="shared" si="433"/>
        <v>-1.5799092167010764E-3</v>
      </c>
      <c r="CU249" s="909">
        <f t="shared" ca="1" si="433"/>
        <v>-7.0092055952670779E-4</v>
      </c>
      <c r="CV249" s="912">
        <f t="shared" si="433"/>
        <v>-1.3435337074056428E-3</v>
      </c>
      <c r="CW249" s="912">
        <f t="shared" si="433"/>
        <v>-1.5951945755886335E-3</v>
      </c>
      <c r="CX249" s="912">
        <f t="shared" si="433"/>
        <v>-1.553235871319161E-3</v>
      </c>
      <c r="CY249" s="912">
        <f t="shared" si="433"/>
        <v>-6.4329107142691109E-4</v>
      </c>
      <c r="CZ249" s="909">
        <f t="shared" si="433"/>
        <v>-1.275870049767691E-3</v>
      </c>
      <c r="DA249" s="912">
        <f t="shared" ref="DA249:DJ249" si="434">DA248-CV248</f>
        <v>-6.0628934958769417E-4</v>
      </c>
      <c r="DB249" s="912">
        <f t="shared" si="434"/>
        <v>-6.2186997937936292E-4</v>
      </c>
      <c r="DC249" s="912">
        <f t="shared" si="434"/>
        <v>-2.4860170877374476E-4</v>
      </c>
      <c r="DD249" s="912">
        <f t="shared" si="434"/>
        <v>-1.5959820709460244E-3</v>
      </c>
      <c r="DE249" s="909">
        <f t="shared" si="434"/>
        <v>-7.7995718759325903E-4</v>
      </c>
      <c r="DF249" s="912">
        <f t="shared" si="434"/>
        <v>-6.7912897229877728E-4</v>
      </c>
      <c r="DG249" s="912">
        <f t="shared" si="434"/>
        <v>-2.9975522286990967E-4</v>
      </c>
      <c r="DH249" s="912">
        <f t="shared" si="434"/>
        <v>-1.7892242862441142E-3</v>
      </c>
      <c r="DI249" s="912">
        <f t="shared" si="434"/>
        <v>1.7463941984566418E-4</v>
      </c>
      <c r="DJ249" s="909">
        <f t="shared" si="434"/>
        <v>-6.4207187386438724E-4</v>
      </c>
      <c r="DK249" s="912">
        <f t="shared" ref="DK249:DT249" ca="1" si="435">DK248-DF248</f>
        <v>1.2207973257029707E-3</v>
      </c>
      <c r="DL249" s="912">
        <f t="shared" ca="1" si="435"/>
        <v>-6.2275231237210807E-4</v>
      </c>
      <c r="DM249" s="912">
        <f t="shared" ca="1" si="435"/>
        <v>5.197084160365054E-4</v>
      </c>
      <c r="DN249" s="912">
        <f t="shared" ca="1" si="435"/>
        <v>-7.1860898698682812E-4</v>
      </c>
      <c r="DO249" s="909">
        <f t="shared" ca="1" si="435"/>
        <v>7.3553576077163042E-5</v>
      </c>
      <c r="DP249" s="912">
        <f t="shared" ca="1" si="435"/>
        <v>-8.9907224480254618E-4</v>
      </c>
      <c r="DQ249" s="912">
        <f t="shared" ca="1" si="435"/>
        <v>-8.0435872812486316E-4</v>
      </c>
      <c r="DR249" s="912">
        <f t="shared" ca="1" si="435"/>
        <v>-7.9348460857158127E-4</v>
      </c>
      <c r="DS249" s="912">
        <f t="shared" ca="1" si="435"/>
        <v>-8.1055507539256081E-4</v>
      </c>
      <c r="DT249" s="909">
        <f t="shared" ca="1" si="435"/>
        <v>-8.2487567114280028E-4</v>
      </c>
      <c r="DU249" s="912">
        <f t="shared" ref="DU249" ca="1" si="436">DU248-DP248</f>
        <v>-8.2531270343603634E-4</v>
      </c>
      <c r="DV249" s="912">
        <f t="shared" ref="DV249" ca="1" si="437">DV248-DQ248</f>
        <v>-7.4092413896735976E-4</v>
      </c>
      <c r="DW249" s="912">
        <f t="shared" ref="DW249" ca="1" si="438">DW248-DR248</f>
        <v>-7.3222306854146867E-4</v>
      </c>
      <c r="DX249" s="912">
        <f t="shared" ref="DX249" ca="1" si="439">DX248-DS248</f>
        <v>-7.4857358354122293E-4</v>
      </c>
      <c r="DY249" s="909">
        <f t="shared" ref="DY249" ca="1" si="440">DY248-DT248</f>
        <v>-7.5986953265526043E-4</v>
      </c>
    </row>
    <row r="250" spans="1:129" ht="10.5" customHeight="1" x14ac:dyDescent="0.2">
      <c r="A250" s="611"/>
      <c r="B250" s="612" t="s">
        <v>219</v>
      </c>
      <c r="C250" s="815"/>
      <c r="D250" s="815"/>
      <c r="E250" s="815"/>
      <c r="F250" s="815"/>
      <c r="G250" s="815"/>
      <c r="H250" s="815"/>
      <c r="I250" s="817"/>
      <c r="J250" s="815"/>
      <c r="K250" s="815"/>
      <c r="L250" s="815"/>
      <c r="M250" s="815"/>
      <c r="N250" s="817"/>
      <c r="O250" s="815"/>
      <c r="P250" s="815"/>
      <c r="Q250" s="815"/>
      <c r="R250" s="815"/>
      <c r="S250" s="817"/>
      <c r="T250" s="815"/>
      <c r="U250" s="815"/>
      <c r="V250" s="815"/>
      <c r="W250" s="815"/>
      <c r="X250" s="817"/>
      <c r="Y250" s="815"/>
      <c r="Z250" s="815"/>
      <c r="AA250" s="815"/>
      <c r="AB250" s="815"/>
      <c r="AC250" s="817"/>
      <c r="AD250" s="815"/>
      <c r="AE250" s="815"/>
      <c r="AF250" s="815"/>
      <c r="AG250" s="815"/>
      <c r="AH250" s="817"/>
      <c r="AI250" s="815"/>
      <c r="AJ250" s="815"/>
      <c r="AK250" s="815"/>
      <c r="AL250" s="815"/>
      <c r="AM250" s="817"/>
      <c r="AN250" s="815"/>
      <c r="AO250" s="815"/>
      <c r="AP250" s="815"/>
      <c r="AQ250" s="815"/>
      <c r="AR250" s="817"/>
      <c r="AS250" s="815"/>
      <c r="AT250" s="815"/>
      <c r="AU250" s="815"/>
      <c r="AV250" s="815"/>
      <c r="AW250" s="817"/>
      <c r="AX250" s="815"/>
      <c r="AY250" s="815"/>
      <c r="AZ250" s="815"/>
      <c r="BA250" s="815"/>
      <c r="BB250" s="817"/>
      <c r="BC250" s="815"/>
      <c r="BD250" s="815"/>
      <c r="BE250" s="815"/>
      <c r="BF250" s="815"/>
      <c r="BG250" s="910">
        <f>BG247/BB247-1</f>
        <v>0.20363636363635451</v>
      </c>
      <c r="BH250" s="912"/>
      <c r="BI250" s="911">
        <f>BI247/BH247-1</f>
        <v>2.5223880597014912</v>
      </c>
      <c r="BJ250" s="911">
        <f>BJ247/BI247-1</f>
        <v>1.8008474576270972E-2</v>
      </c>
      <c r="BK250" s="911">
        <f>BK247/BJ247-1</f>
        <v>-0.18522372528616005</v>
      </c>
      <c r="BL250" s="910">
        <f t="shared" ref="BL250:CZ250" si="441">BL247/BG247-1</f>
        <v>5.1007049345418389</v>
      </c>
      <c r="BM250" s="911">
        <f t="shared" si="441"/>
        <v>1.2313432835820897</v>
      </c>
      <c r="BN250" s="911">
        <f t="shared" si="441"/>
        <v>-0.44968220338983034</v>
      </c>
      <c r="BO250" s="911">
        <f t="shared" si="441"/>
        <v>-0.48595213319458874</v>
      </c>
      <c r="BP250" s="911">
        <f t="shared" si="441"/>
        <v>-0.24521072796934795</v>
      </c>
      <c r="BQ250" s="910">
        <f t="shared" si="441"/>
        <v>-0.27698910531528553</v>
      </c>
      <c r="BR250" s="911">
        <f t="shared" si="441"/>
        <v>0.39214046822742432</v>
      </c>
      <c r="BS250" s="911">
        <f t="shared" si="441"/>
        <v>0.36669874879692066</v>
      </c>
      <c r="BT250" s="911">
        <f t="shared" si="441"/>
        <v>0.4240890688259098</v>
      </c>
      <c r="BU250" s="911">
        <f t="shared" si="441"/>
        <v>0.20135363790186034</v>
      </c>
      <c r="BV250" s="910">
        <f t="shared" si="441"/>
        <v>0.35159817351598166</v>
      </c>
      <c r="BW250" s="911">
        <f t="shared" si="441"/>
        <v>-0.12312312312312301</v>
      </c>
      <c r="BX250" s="911">
        <f t="shared" si="441"/>
        <v>-5.6338028169014454E-2</v>
      </c>
      <c r="BY250" s="911">
        <f t="shared" si="441"/>
        <v>-6.1833688699359457E-2</v>
      </c>
      <c r="BZ250" s="911">
        <f t="shared" si="441"/>
        <v>0.14084507042253525</v>
      </c>
      <c r="CA250" s="910">
        <f t="shared" si="441"/>
        <v>-3.0405405405405372E-2</v>
      </c>
      <c r="CB250" s="911">
        <f t="shared" si="441"/>
        <v>-2.0547945205479423E-2</v>
      </c>
      <c r="CC250" s="911">
        <f t="shared" si="441"/>
        <v>0.25373134328358216</v>
      </c>
      <c r="CD250" s="912">
        <f t="shared" si="441"/>
        <v>9.8484848484848397E-2</v>
      </c>
      <c r="CE250" s="912">
        <f t="shared" si="441"/>
        <v>8.1481481481481488E-2</v>
      </c>
      <c r="CF250" s="909">
        <f t="shared" si="441"/>
        <v>9.9651567944250896E-2</v>
      </c>
      <c r="CG250" s="912">
        <f t="shared" si="441"/>
        <v>1.3986013986013957E-2</v>
      </c>
      <c r="CH250" s="912">
        <f t="shared" si="441"/>
        <v>-0.18511904761904774</v>
      </c>
      <c r="CI250" s="912">
        <f t="shared" si="441"/>
        <v>0.15310344827586198</v>
      </c>
      <c r="CJ250" s="912">
        <f t="shared" si="441"/>
        <v>-7.5342465753424737E-2</v>
      </c>
      <c r="CK250" s="909">
        <f t="shared" si="441"/>
        <v>-3.1844106463878585E-2</v>
      </c>
      <c r="CL250" s="912">
        <f t="shared" ca="1" si="441"/>
        <v>-0.14334393087144381</v>
      </c>
      <c r="CM250" s="912">
        <f t="shared" si="441"/>
        <v>8.6924762600438576E-2</v>
      </c>
      <c r="CN250" s="912">
        <f t="shared" si="441"/>
        <v>-9.3899521531100372E-2</v>
      </c>
      <c r="CO250" s="912">
        <f t="shared" si="441"/>
        <v>4.3827160493827177E-2</v>
      </c>
      <c r="CP250" s="909">
        <f t="shared" ca="1" si="441"/>
        <v>-2.8612125636326757E-2</v>
      </c>
      <c r="CQ250" s="912">
        <f t="shared" ca="1" si="441"/>
        <v>0.11580610166910943</v>
      </c>
      <c r="CR250" s="912">
        <f t="shared" si="441"/>
        <v>7.5268817204301008E-2</v>
      </c>
      <c r="CS250" s="912">
        <f t="shared" si="441"/>
        <v>5.7425742574257255E-2</v>
      </c>
      <c r="CT250" s="912">
        <f t="shared" si="441"/>
        <v>-5.9136605558840483E-3</v>
      </c>
      <c r="CU250" s="909">
        <f t="shared" ca="1" si="441"/>
        <v>5.607146498276383E-2</v>
      </c>
      <c r="CV250" s="912">
        <f t="shared" si="441"/>
        <v>-4.9062049062049362E-2</v>
      </c>
      <c r="CW250" s="912">
        <f t="shared" si="441"/>
        <v>-0.12437500000000001</v>
      </c>
      <c r="CX250" s="912">
        <f t="shared" si="441"/>
        <v>-0.11463429481897613</v>
      </c>
      <c r="CY250" s="912">
        <f t="shared" si="441"/>
        <v>9.0994431885780269E-3</v>
      </c>
      <c r="CZ250" s="909">
        <f t="shared" si="441"/>
        <v>-6.9444564731217184E-2</v>
      </c>
      <c r="DA250" s="912">
        <f t="shared" ref="DA250:DJ250" si="442">DA247/CV247-1</f>
        <v>7.2298937784522233E-2</v>
      </c>
      <c r="DB250" s="912">
        <f t="shared" si="442"/>
        <v>7.6374018558172718E-2</v>
      </c>
      <c r="DC250" s="912">
        <f t="shared" si="442"/>
        <v>0.13864231529426796</v>
      </c>
      <c r="DD250" s="912">
        <f t="shared" si="442"/>
        <v>-0.11513093535475316</v>
      </c>
      <c r="DE250" s="909">
        <f t="shared" si="442"/>
        <v>3.4907460279203217E-2</v>
      </c>
      <c r="DF250" s="912">
        <f t="shared" si="442"/>
        <v>-6.4593961607313566E-2</v>
      </c>
      <c r="DG250" s="912">
        <f t="shared" si="442"/>
        <v>3.1167108753315853E-2</v>
      </c>
      <c r="DH250" s="912">
        <f t="shared" si="442"/>
        <v>-0.28338174916408687</v>
      </c>
      <c r="DI250" s="912">
        <f t="shared" si="442"/>
        <v>0.13227154976682187</v>
      </c>
      <c r="DJ250" s="909">
        <f t="shared" si="442"/>
        <v>-5.0256311805462528E-2</v>
      </c>
      <c r="DK250" s="912">
        <f t="shared" ref="DK250:DT250" si="443">DK247/DF247-1</f>
        <v>0.32793055975794272</v>
      </c>
      <c r="DL250" s="912">
        <f t="shared" si="443"/>
        <v>-6.0902190813716173E-2</v>
      </c>
      <c r="DM250" s="912">
        <f t="shared" si="443"/>
        <v>0.22005158851907636</v>
      </c>
      <c r="DN250" s="912">
        <f t="shared" si="443"/>
        <v>-0.1082191004997004</v>
      </c>
      <c r="DO250" s="909">
        <f t="shared" si="443"/>
        <v>7.1430332442947053E-2</v>
      </c>
      <c r="DP250" s="912">
        <f t="shared" si="443"/>
        <v>-0.12277756353344493</v>
      </c>
      <c r="DQ250" s="912">
        <f t="shared" si="443"/>
        <v>-0.15239972673357893</v>
      </c>
      <c r="DR250" s="912">
        <f t="shared" si="443"/>
        <v>-0.15794573142792212</v>
      </c>
      <c r="DS250" s="912">
        <f t="shared" si="443"/>
        <v>-0.15255968277466569</v>
      </c>
      <c r="DT250" s="909">
        <f t="shared" si="443"/>
        <v>-0.14524919125938962</v>
      </c>
      <c r="DU250" s="912">
        <f t="shared" ref="DU250" si="444">DU247/DP247-1</f>
        <v>-0.144191588511977</v>
      </c>
      <c r="DV250" s="912">
        <f t="shared" ref="DV250" si="445">DV247/DQ247-1</f>
        <v>-0.18517021414823587</v>
      </c>
      <c r="DW250" s="912">
        <f t="shared" ref="DW250" si="446">DW247/DR247-1</f>
        <v>-0.19315780891390488</v>
      </c>
      <c r="DX250" s="912">
        <f t="shared" ref="DX250" si="447">DX247/DS247-1</f>
        <v>-0.1853955624758904</v>
      </c>
      <c r="DY250" s="909">
        <f t="shared" ref="DY250" si="448">DY247/DT247-1</f>
        <v>-0.17501621560488323</v>
      </c>
    </row>
    <row r="251" spans="1:129" ht="10.5" customHeight="1" x14ac:dyDescent="0.2">
      <c r="A251" s="526"/>
      <c r="B251" s="756"/>
      <c r="C251" s="597"/>
      <c r="D251" s="597"/>
      <c r="E251" s="597"/>
      <c r="F251" s="597"/>
      <c r="G251" s="597"/>
      <c r="H251" s="597"/>
      <c r="I251" s="598"/>
      <c r="J251" s="597"/>
      <c r="K251" s="597"/>
      <c r="L251" s="597"/>
      <c r="M251" s="597"/>
      <c r="N251" s="598"/>
      <c r="O251" s="597"/>
      <c r="P251" s="597"/>
      <c r="Q251" s="597"/>
      <c r="R251" s="597"/>
      <c r="S251" s="598"/>
      <c r="T251" s="597"/>
      <c r="U251" s="597"/>
      <c r="V251" s="597"/>
      <c r="W251" s="597"/>
      <c r="X251" s="598"/>
      <c r="Y251" s="597"/>
      <c r="Z251" s="597"/>
      <c r="AA251" s="597"/>
      <c r="AB251" s="597"/>
      <c r="AC251" s="598"/>
      <c r="AD251" s="597"/>
      <c r="AE251" s="597"/>
      <c r="AF251" s="597"/>
      <c r="AG251" s="597"/>
      <c r="AH251" s="598"/>
      <c r="AI251" s="597"/>
      <c r="AJ251" s="597"/>
      <c r="AK251" s="597"/>
      <c r="AL251" s="597"/>
      <c r="AM251" s="598"/>
      <c r="AN251" s="597"/>
      <c r="AO251" s="597"/>
      <c r="AP251" s="597"/>
      <c r="AQ251" s="597"/>
      <c r="AR251" s="598"/>
      <c r="AS251" s="597"/>
      <c r="AT251" s="597"/>
      <c r="AU251" s="597"/>
      <c r="AV251" s="597"/>
      <c r="AW251" s="598"/>
      <c r="AX251" s="597"/>
      <c r="AY251" s="597"/>
      <c r="AZ251" s="597"/>
      <c r="BA251" s="597"/>
      <c r="BB251" s="598"/>
      <c r="BC251" s="597"/>
      <c r="BD251" s="597"/>
      <c r="BE251" s="597"/>
      <c r="BF251" s="597"/>
      <c r="BG251" s="598"/>
      <c r="BH251" s="597"/>
      <c r="BI251" s="597"/>
      <c r="BJ251" s="597"/>
      <c r="BK251" s="597"/>
      <c r="BL251" s="598"/>
      <c r="BM251" s="597"/>
      <c r="BN251" s="597"/>
      <c r="BO251" s="597"/>
      <c r="BP251" s="597"/>
      <c r="BQ251" s="598"/>
      <c r="BR251" s="597"/>
      <c r="BS251" s="597"/>
      <c r="BT251" s="597"/>
      <c r="BU251" s="597"/>
      <c r="BV251" s="598"/>
      <c r="BW251" s="597"/>
      <c r="BX251" s="597"/>
      <c r="BY251" s="597"/>
      <c r="BZ251" s="597"/>
      <c r="CA251" s="598"/>
      <c r="CB251" s="597"/>
      <c r="CC251" s="597"/>
      <c r="CD251" s="597"/>
      <c r="CE251" s="597"/>
      <c r="CF251" s="598"/>
      <c r="CG251" s="682"/>
      <c r="CH251" s="682"/>
      <c r="CI251" s="682"/>
      <c r="CJ251" s="682"/>
      <c r="CK251" s="598"/>
      <c r="CL251" s="682"/>
      <c r="CM251" s="682"/>
      <c r="CN251" s="682"/>
      <c r="CO251" s="682"/>
      <c r="CP251" s="598"/>
      <c r="CQ251" s="682"/>
      <c r="CR251" s="682"/>
      <c r="CS251" s="682"/>
      <c r="CT251" s="682"/>
      <c r="CU251" s="598"/>
      <c r="CV251" s="682"/>
      <c r="CW251" s="682"/>
      <c r="CX251" s="682"/>
      <c r="CY251" s="682"/>
      <c r="CZ251" s="598"/>
      <c r="DA251" s="682"/>
      <c r="DB251" s="682"/>
      <c r="DC251" s="682"/>
      <c r="DD251" s="682"/>
      <c r="DE251" s="598"/>
      <c r="DF251" s="682"/>
      <c r="DG251" s="682"/>
      <c r="DH251" s="682"/>
      <c r="DI251" s="1610"/>
      <c r="DJ251" s="598"/>
      <c r="DK251" s="682"/>
      <c r="DL251" s="682"/>
      <c r="DM251" s="682"/>
      <c r="DN251" s="682"/>
      <c r="DO251" s="598"/>
      <c r="DP251" s="682"/>
      <c r="DQ251" s="682"/>
      <c r="DR251" s="682"/>
      <c r="DS251" s="682"/>
      <c r="DT251" s="598"/>
      <c r="DU251" s="682"/>
      <c r="DV251" s="682"/>
      <c r="DW251" s="682"/>
      <c r="DX251" s="682"/>
      <c r="DY251" s="598"/>
    </row>
    <row r="252" spans="1:129" x14ac:dyDescent="0.2">
      <c r="A252" s="471"/>
      <c r="B252" s="693" t="s">
        <v>800</v>
      </c>
      <c r="C252" s="550"/>
      <c r="D252" s="550"/>
      <c r="E252" s="550"/>
      <c r="F252" s="550"/>
      <c r="G252" s="550"/>
      <c r="H252" s="550"/>
      <c r="I252" s="551"/>
      <c r="J252" s="550"/>
      <c r="K252" s="550"/>
      <c r="L252" s="550"/>
      <c r="M252" s="550"/>
      <c r="N252" s="551"/>
      <c r="O252" s="550"/>
      <c r="P252" s="550"/>
      <c r="Q252" s="550"/>
      <c r="R252" s="550"/>
      <c r="S252" s="551"/>
      <c r="T252" s="550"/>
      <c r="U252" s="550"/>
      <c r="V252" s="550"/>
      <c r="W252" s="550"/>
      <c r="X252" s="551"/>
      <c r="Y252" s="550"/>
      <c r="Z252" s="550"/>
      <c r="AA252" s="550"/>
      <c r="AB252" s="550"/>
      <c r="AC252" s="551"/>
      <c r="AD252" s="550"/>
      <c r="AE252" s="550"/>
      <c r="AF252" s="550"/>
      <c r="AG252" s="550"/>
      <c r="AH252" s="551"/>
      <c r="AI252" s="550"/>
      <c r="AJ252" s="550"/>
      <c r="AK252" s="550"/>
      <c r="AL252" s="550"/>
      <c r="AM252" s="551"/>
      <c r="AN252" s="550"/>
      <c r="AO252" s="550"/>
      <c r="AP252" s="550"/>
      <c r="AQ252" s="550"/>
      <c r="AR252" s="551"/>
      <c r="AS252" s="550"/>
      <c r="AT252" s="550"/>
      <c r="AU252" s="550"/>
      <c r="AV252" s="550"/>
      <c r="AW252" s="551"/>
      <c r="AX252" s="550"/>
      <c r="AY252" s="550"/>
      <c r="AZ252" s="550"/>
      <c r="BA252" s="550"/>
      <c r="BB252" s="551"/>
      <c r="BC252" s="550"/>
      <c r="BD252" s="550"/>
      <c r="BE252" s="550"/>
      <c r="BF252" s="550"/>
      <c r="BG252" s="551"/>
      <c r="BH252" s="550"/>
      <c r="BI252" s="550"/>
      <c r="BJ252" s="550"/>
      <c r="BK252" s="550"/>
      <c r="BL252" s="551"/>
      <c r="BM252" s="574">
        <f>BM26-IS!BM120</f>
        <v>171.50000000000003</v>
      </c>
      <c r="BN252" s="574">
        <f>BN26-IS!BN120</f>
        <v>148.19999999999999</v>
      </c>
      <c r="BO252" s="574">
        <f>BO26-IS!BO120</f>
        <v>146.30000000000001</v>
      </c>
      <c r="BP252" s="574">
        <f>BP26-IS!BP120</f>
        <v>166.50000000000009</v>
      </c>
      <c r="BQ252" s="553">
        <f>SUM(BM252:BP252)</f>
        <v>632.50000000000011</v>
      </c>
      <c r="BR252" s="574">
        <f>BR26-IS!BR120</f>
        <v>211.59999999999997</v>
      </c>
      <c r="BS252" s="574">
        <f>BS26-IS!BS120</f>
        <v>191.30000000000007</v>
      </c>
      <c r="BT252" s="574">
        <f>BT26-IS!BT120</f>
        <v>197.19999999999987</v>
      </c>
      <c r="BU252" s="550"/>
      <c r="BV252" s="551"/>
      <c r="BW252" s="550"/>
      <c r="BX252" s="550"/>
      <c r="BY252" s="550"/>
      <c r="BZ252" s="550"/>
      <c r="CA252" s="551"/>
      <c r="CB252" s="550"/>
      <c r="CC252" s="550"/>
      <c r="CD252" s="550"/>
      <c r="CE252" s="550"/>
      <c r="CF252" s="551"/>
      <c r="CG252" s="914"/>
      <c r="CH252" s="914"/>
      <c r="CI252" s="914"/>
      <c r="CJ252" s="914"/>
      <c r="CK252" s="551"/>
      <c r="CL252" s="914"/>
      <c r="CM252" s="914"/>
      <c r="CN252" s="914"/>
      <c r="CO252" s="914"/>
      <c r="CP252" s="551"/>
      <c r="CQ252" s="914"/>
      <c r="CR252" s="914"/>
      <c r="CS252" s="914"/>
      <c r="CT252" s="914"/>
      <c r="CU252" s="551"/>
      <c r="CV252" s="914"/>
      <c r="CW252" s="914"/>
      <c r="CX252" s="914"/>
      <c r="CY252" s="914"/>
      <c r="CZ252" s="551"/>
      <c r="DA252" s="914"/>
      <c r="DB252" s="914"/>
      <c r="DC252" s="914"/>
      <c r="DD252" s="914"/>
      <c r="DE252" s="551"/>
      <c r="DF252" s="914"/>
      <c r="DG252" s="914"/>
      <c r="DH252" s="914"/>
      <c r="DI252" s="914"/>
      <c r="DJ252" s="551"/>
      <c r="DK252" s="914"/>
      <c r="DL252" s="914"/>
      <c r="DM252" s="914"/>
      <c r="DN252" s="914"/>
      <c r="DO252" s="551"/>
      <c r="DP252" s="914"/>
      <c r="DQ252" s="914"/>
      <c r="DR252" s="914"/>
      <c r="DS252" s="914"/>
      <c r="DT252" s="551"/>
      <c r="DU252" s="914"/>
      <c r="DV252" s="914"/>
      <c r="DW252" s="914"/>
      <c r="DX252" s="914"/>
      <c r="DY252" s="551"/>
    </row>
    <row r="253" spans="1:129" x14ac:dyDescent="0.2">
      <c r="A253" s="473"/>
      <c r="B253" s="765" t="s">
        <v>217</v>
      </c>
      <c r="C253" s="469"/>
      <c r="D253" s="469"/>
      <c r="E253" s="469"/>
      <c r="F253" s="469"/>
      <c r="G253" s="469"/>
      <c r="H253" s="469"/>
      <c r="I253" s="580"/>
      <c r="J253" s="469"/>
      <c r="K253" s="469"/>
      <c r="L253" s="469"/>
      <c r="M253" s="469"/>
      <c r="N253" s="580"/>
      <c r="O253" s="469"/>
      <c r="P253" s="469"/>
      <c r="Q253" s="469"/>
      <c r="R253" s="469"/>
      <c r="S253" s="580"/>
      <c r="T253" s="469"/>
      <c r="U253" s="469"/>
      <c r="V253" s="469"/>
      <c r="W253" s="469"/>
      <c r="X253" s="580"/>
      <c r="Y253" s="469"/>
      <c r="Z253" s="469"/>
      <c r="AA253" s="469"/>
      <c r="AB253" s="469"/>
      <c r="AC253" s="580"/>
      <c r="AD253" s="469"/>
      <c r="AE253" s="469"/>
      <c r="AF253" s="469"/>
      <c r="AG253" s="469"/>
      <c r="AH253" s="580"/>
      <c r="AI253" s="469"/>
      <c r="AJ253" s="469"/>
      <c r="AK253" s="469"/>
      <c r="AL253" s="469"/>
      <c r="AM253" s="580"/>
      <c r="AN253" s="469"/>
      <c r="AO253" s="469"/>
      <c r="AP253" s="469"/>
      <c r="AQ253" s="469"/>
      <c r="AR253" s="580"/>
      <c r="AS253" s="469"/>
      <c r="AT253" s="469"/>
      <c r="AU253" s="469"/>
      <c r="AV253" s="469"/>
      <c r="AW253" s="580"/>
      <c r="AX253" s="469"/>
      <c r="AY253" s="469"/>
      <c r="AZ253" s="469"/>
      <c r="BA253" s="469"/>
      <c r="BB253" s="580"/>
      <c r="BC253" s="469"/>
      <c r="BD253" s="469"/>
      <c r="BE253" s="469"/>
      <c r="BF253" s="469"/>
      <c r="BG253" s="580"/>
      <c r="BH253" s="469"/>
      <c r="BI253" s="469"/>
      <c r="BJ253" s="469"/>
      <c r="BK253" s="469"/>
      <c r="BL253" s="580"/>
      <c r="BM253" s="581">
        <f>BM252/BM14</f>
        <v>1.593170269491951E-2</v>
      </c>
      <c r="BN253" s="581">
        <f>BN252/BN14</f>
        <v>1.3906613617596274E-2</v>
      </c>
      <c r="BO253" s="581">
        <f>BO252/BO14</f>
        <v>1.384970748054604E-2</v>
      </c>
      <c r="BP253" s="581">
        <f>BP252/BP14</f>
        <v>1.4128968203457147E-2</v>
      </c>
      <c r="BQ253" s="582">
        <f>BQ252/BQ$14</f>
        <v>1.4450801019895272E-2</v>
      </c>
      <c r="BR253" s="581">
        <f>BR252/BR14</f>
        <v>1.8344487984186978E-2</v>
      </c>
      <c r="BS253" s="581">
        <f>BS252/BS14</f>
        <v>1.4706447620292292E-2</v>
      </c>
      <c r="BT253" s="581">
        <f>BT252/BT14</f>
        <v>1.5133957007896968E-2</v>
      </c>
      <c r="BU253" s="468"/>
      <c r="BV253" s="580"/>
      <c r="BW253" s="469"/>
      <c r="BX253" s="469"/>
      <c r="BY253" s="469"/>
      <c r="BZ253" s="469"/>
      <c r="CA253" s="580"/>
      <c r="CB253" s="469"/>
      <c r="CC253" s="469"/>
      <c r="CD253" s="469"/>
      <c r="CE253" s="469"/>
      <c r="CF253" s="580"/>
      <c r="CG253" s="724"/>
      <c r="CH253" s="724"/>
      <c r="CI253" s="724"/>
      <c r="CJ253" s="724"/>
      <c r="CK253" s="580"/>
      <c r="CL253" s="724"/>
      <c r="CM253" s="724"/>
      <c r="CN253" s="724"/>
      <c r="CO253" s="724"/>
      <c r="CP253" s="580"/>
      <c r="CQ253" s="724"/>
      <c r="CR253" s="724"/>
      <c r="CS253" s="724"/>
      <c r="CT253" s="724"/>
      <c r="CU253" s="580"/>
      <c r="CV253" s="724"/>
      <c r="CW253" s="724"/>
      <c r="CX253" s="724"/>
      <c r="CY253" s="724"/>
      <c r="CZ253" s="580"/>
      <c r="DA253" s="724"/>
      <c r="DB253" s="724"/>
      <c r="DC253" s="724"/>
      <c r="DD253" s="724"/>
      <c r="DE253" s="580"/>
      <c r="DF253" s="724"/>
      <c r="DG253" s="724"/>
      <c r="DH253" s="724"/>
      <c r="DI253" s="724"/>
      <c r="DJ253" s="580"/>
      <c r="DK253" s="724"/>
      <c r="DL253" s="724"/>
      <c r="DM253" s="724"/>
      <c r="DN253" s="724"/>
      <c r="DO253" s="580"/>
      <c r="DP253" s="724"/>
      <c r="DQ253" s="724"/>
      <c r="DR253" s="724"/>
      <c r="DS253" s="724"/>
      <c r="DT253" s="580"/>
      <c r="DU253" s="724"/>
      <c r="DV253" s="724"/>
      <c r="DW253" s="724"/>
      <c r="DX253" s="724"/>
      <c r="DY253" s="580"/>
    </row>
    <row r="254" spans="1:129" ht="11.25" customHeight="1" x14ac:dyDescent="0.2">
      <c r="A254" s="915"/>
      <c r="B254" s="916" t="s">
        <v>801</v>
      </c>
      <c r="C254" s="917"/>
      <c r="D254" s="917"/>
      <c r="E254" s="917"/>
      <c r="F254" s="917"/>
      <c r="G254" s="917"/>
      <c r="H254" s="917"/>
      <c r="I254" s="909"/>
      <c r="J254" s="917"/>
      <c r="K254" s="917"/>
      <c r="L254" s="917"/>
      <c r="M254" s="917"/>
      <c r="N254" s="909"/>
      <c r="O254" s="917"/>
      <c r="P254" s="917"/>
      <c r="Q254" s="917"/>
      <c r="R254" s="917"/>
      <c r="S254" s="909"/>
      <c r="T254" s="917"/>
      <c r="U254" s="917"/>
      <c r="V254" s="917"/>
      <c r="W254" s="917"/>
      <c r="X254" s="909"/>
      <c r="Y254" s="917"/>
      <c r="Z254" s="917"/>
      <c r="AA254" s="917"/>
      <c r="AB254" s="917"/>
      <c r="AC254" s="909"/>
      <c r="AD254" s="917"/>
      <c r="AE254" s="917"/>
      <c r="AF254" s="917"/>
      <c r="AG254" s="917"/>
      <c r="AH254" s="909"/>
      <c r="AI254" s="917"/>
      <c r="AJ254" s="917"/>
      <c r="AK254" s="917"/>
      <c r="AL254" s="917"/>
      <c r="AM254" s="909"/>
      <c r="AN254" s="917"/>
      <c r="AO254" s="917"/>
      <c r="AP254" s="917"/>
      <c r="AQ254" s="917"/>
      <c r="AR254" s="909"/>
      <c r="AS254" s="917"/>
      <c r="AT254" s="917"/>
      <c r="AU254" s="917"/>
      <c r="AV254" s="917"/>
      <c r="AW254" s="909"/>
      <c r="AX254" s="917"/>
      <c r="AY254" s="917"/>
      <c r="AZ254" s="917"/>
      <c r="BA254" s="917"/>
      <c r="BB254" s="909"/>
      <c r="BC254" s="917"/>
      <c r="BD254" s="917"/>
      <c r="BE254" s="917"/>
      <c r="BF254" s="917"/>
      <c r="BG254" s="909"/>
      <c r="BH254" s="917"/>
      <c r="BI254" s="917"/>
      <c r="BJ254" s="917"/>
      <c r="BK254" s="917"/>
      <c r="BL254" s="909"/>
      <c r="BM254" s="911">
        <f t="shared" ref="BM254:BT254" si="449">BM248-BM253</f>
        <v>-4.8213141100077114E-3</v>
      </c>
      <c r="BN254" s="911">
        <f t="shared" si="449"/>
        <v>-4.1569701974326235E-3</v>
      </c>
      <c r="BO254" s="911">
        <f t="shared" si="449"/>
        <v>-4.4966582729045589E-3</v>
      </c>
      <c r="BP254" s="911">
        <f t="shared" si="449"/>
        <v>-4.0986736590208992E-3</v>
      </c>
      <c r="BQ254" s="910">
        <f t="shared" si="449"/>
        <v>-4.4437641080942794E-3</v>
      </c>
      <c r="BR254" s="911">
        <f t="shared" si="449"/>
        <v>-3.9099074106183022E-3</v>
      </c>
      <c r="BS254" s="911">
        <f t="shared" si="449"/>
        <v>-3.790004535705228E-3</v>
      </c>
      <c r="BT254" s="911">
        <f t="shared" si="449"/>
        <v>-4.3360475200110507E-3</v>
      </c>
      <c r="BU254" s="912"/>
      <c r="BV254" s="909"/>
      <c r="BW254" s="913"/>
      <c r="BX254" s="913"/>
      <c r="BY254" s="913"/>
      <c r="BZ254" s="913"/>
      <c r="CA254" s="909"/>
      <c r="CB254" s="913"/>
      <c r="CC254" s="913"/>
      <c r="CD254" s="913"/>
      <c r="CE254" s="913"/>
      <c r="CF254" s="909"/>
      <c r="CG254" s="918"/>
      <c r="CH254" s="918"/>
      <c r="CI254" s="918"/>
      <c r="CJ254" s="918"/>
      <c r="CK254" s="909"/>
      <c r="CL254" s="918"/>
      <c r="CM254" s="918"/>
      <c r="CN254" s="918"/>
      <c r="CO254" s="918"/>
      <c r="CP254" s="909"/>
      <c r="CQ254" s="918"/>
      <c r="CR254" s="918"/>
      <c r="CS254" s="918"/>
      <c r="CT254" s="918"/>
      <c r="CU254" s="909"/>
      <c r="CV254" s="918"/>
      <c r="CW254" s="918"/>
      <c r="CX254" s="918"/>
      <c r="CY254" s="918"/>
      <c r="CZ254" s="909"/>
      <c r="DA254" s="918"/>
      <c r="DB254" s="918"/>
      <c r="DC254" s="918"/>
      <c r="DD254" s="918"/>
      <c r="DE254" s="909"/>
      <c r="DF254" s="918"/>
      <c r="DG254" s="918"/>
      <c r="DH254" s="918"/>
      <c r="DI254" s="918"/>
      <c r="DJ254" s="909"/>
      <c r="DK254" s="918"/>
      <c r="DL254" s="918"/>
      <c r="DM254" s="918"/>
      <c r="DN254" s="918"/>
      <c r="DO254" s="909"/>
      <c r="DP254" s="918"/>
      <c r="DQ254" s="918"/>
      <c r="DR254" s="918"/>
      <c r="DS254" s="918"/>
      <c r="DT254" s="909"/>
      <c r="DU254" s="918"/>
      <c r="DV254" s="918"/>
      <c r="DW254" s="918"/>
      <c r="DX254" s="918"/>
      <c r="DY254" s="909"/>
    </row>
    <row r="255" spans="1:129" ht="11.25" customHeight="1" x14ac:dyDescent="0.2">
      <c r="A255" s="825"/>
      <c r="B255" s="821"/>
      <c r="C255" s="829"/>
      <c r="D255" s="829"/>
      <c r="E255" s="829"/>
      <c r="F255" s="829"/>
      <c r="G255" s="829"/>
      <c r="H255" s="829"/>
      <c r="I255" s="830"/>
      <c r="J255" s="829"/>
      <c r="K255" s="829"/>
      <c r="L255" s="829"/>
      <c r="M255" s="829"/>
      <c r="N255" s="830"/>
      <c r="O255" s="829"/>
      <c r="P255" s="829"/>
      <c r="Q255" s="829"/>
      <c r="R255" s="829"/>
      <c r="S255" s="830"/>
      <c r="T255" s="829"/>
      <c r="U255" s="829"/>
      <c r="V255" s="829"/>
      <c r="W255" s="829"/>
      <c r="X255" s="830"/>
      <c r="Y255" s="829"/>
      <c r="Z255" s="829"/>
      <c r="AA255" s="829"/>
      <c r="AB255" s="829"/>
      <c r="AC255" s="830"/>
      <c r="AD255" s="829"/>
      <c r="AE255" s="829"/>
      <c r="AF255" s="829"/>
      <c r="AG255" s="829"/>
      <c r="AH255" s="830"/>
      <c r="AI255" s="829"/>
      <c r="AJ255" s="829"/>
      <c r="AK255" s="829"/>
      <c r="AL255" s="829"/>
      <c r="AM255" s="830"/>
      <c r="AN255" s="829"/>
      <c r="AO255" s="829"/>
      <c r="AP255" s="829"/>
      <c r="AQ255" s="829"/>
      <c r="AR255" s="830"/>
      <c r="AS255" s="829"/>
      <c r="AT255" s="829"/>
      <c r="AU255" s="829"/>
      <c r="AV255" s="829"/>
      <c r="AW255" s="830"/>
      <c r="AX255" s="829"/>
      <c r="AY255" s="829"/>
      <c r="AZ255" s="829"/>
      <c r="BA255" s="829"/>
      <c r="BB255" s="830"/>
      <c r="BC255" s="829"/>
      <c r="BD255" s="829"/>
      <c r="BE255" s="829"/>
      <c r="BF255" s="829"/>
      <c r="BG255" s="830"/>
      <c r="BH255" s="829"/>
      <c r="BI255" s="829"/>
      <c r="BJ255" s="829"/>
      <c r="BK255" s="829"/>
      <c r="BL255" s="830"/>
      <c r="BM255" s="829"/>
      <c r="BN255" s="829"/>
      <c r="BO255" s="829"/>
      <c r="BP255" s="829"/>
      <c r="BQ255" s="830"/>
      <c r="BR255" s="829"/>
      <c r="BS255" s="829"/>
      <c r="BT255" s="829"/>
      <c r="BU255" s="829"/>
      <c r="BV255" s="830"/>
      <c r="BW255" s="829"/>
      <c r="BX255" s="829"/>
      <c r="BY255" s="829"/>
      <c r="BZ255" s="829"/>
      <c r="CA255" s="830"/>
      <c r="CB255" s="829"/>
      <c r="CC255" s="829"/>
      <c r="CD255" s="829"/>
      <c r="CE255" s="829"/>
      <c r="CF255" s="830"/>
      <c r="CG255" s="831"/>
      <c r="CH255" s="831"/>
      <c r="CI255" s="831"/>
      <c r="CJ255" s="831"/>
      <c r="CK255" s="830"/>
      <c r="CL255" s="831"/>
      <c r="CM255" s="831"/>
      <c r="CN255" s="831"/>
      <c r="CO255" s="831"/>
      <c r="CP255" s="830"/>
      <c r="CQ255" s="831"/>
      <c r="CR255" s="831"/>
      <c r="CS255" s="831"/>
      <c r="CT255" s="831"/>
      <c r="CU255" s="830"/>
      <c r="CV255" s="831"/>
      <c r="CW255" s="831"/>
      <c r="CX255" s="831"/>
      <c r="CY255" s="831"/>
      <c r="CZ255" s="830"/>
      <c r="DA255" s="831"/>
      <c r="DB255" s="831"/>
      <c r="DC255" s="831"/>
      <c r="DD255" s="831"/>
      <c r="DE255" s="830"/>
      <c r="DF255" s="831"/>
      <c r="DG255" s="831"/>
      <c r="DH255" s="831"/>
      <c r="DI255" s="2816"/>
      <c r="DJ255" s="830"/>
      <c r="DK255" s="831"/>
      <c r="DL255" s="831"/>
      <c r="DM255" s="831"/>
      <c r="DN255" s="831"/>
      <c r="DO255" s="830"/>
      <c r="DP255" s="831"/>
      <c r="DQ255" s="831"/>
      <c r="DR255" s="831"/>
      <c r="DS255" s="831"/>
      <c r="DT255" s="830"/>
      <c r="DU255" s="831"/>
      <c r="DV255" s="831"/>
      <c r="DW255" s="831"/>
      <c r="DX255" s="831"/>
      <c r="DY255" s="830"/>
    </row>
    <row r="256" spans="1:129" x14ac:dyDescent="0.2">
      <c r="A256" s="769"/>
      <c r="B256" s="756" t="s">
        <v>802</v>
      </c>
      <c r="C256" s="771"/>
      <c r="D256" s="771"/>
      <c r="E256" s="771"/>
      <c r="F256" s="771"/>
      <c r="G256" s="771"/>
      <c r="H256" s="771"/>
      <c r="I256" s="772"/>
      <c r="J256" s="771"/>
      <c r="K256" s="771"/>
      <c r="L256" s="771"/>
      <c r="M256" s="771"/>
      <c r="N256" s="772"/>
      <c r="O256" s="771"/>
      <c r="P256" s="771"/>
      <c r="Q256" s="771"/>
      <c r="R256" s="771"/>
      <c r="S256" s="772"/>
      <c r="T256" s="771"/>
      <c r="U256" s="771"/>
      <c r="V256" s="771"/>
      <c r="W256" s="771"/>
      <c r="X256" s="772"/>
      <c r="Y256" s="771"/>
      <c r="Z256" s="771"/>
      <c r="AA256" s="771"/>
      <c r="AB256" s="771"/>
      <c r="AC256" s="772"/>
      <c r="AD256" s="771"/>
      <c r="AE256" s="771"/>
      <c r="AF256" s="771"/>
      <c r="AG256" s="771"/>
      <c r="AH256" s="772"/>
      <c r="AI256" s="771"/>
      <c r="AJ256" s="771"/>
      <c r="AK256" s="771"/>
      <c r="AL256" s="771"/>
      <c r="AM256" s="772"/>
      <c r="AN256" s="771"/>
      <c r="AO256" s="771"/>
      <c r="AP256" s="771"/>
      <c r="AQ256" s="771"/>
      <c r="AR256" s="772"/>
      <c r="AS256" s="771"/>
      <c r="AT256" s="771"/>
      <c r="AU256" s="771"/>
      <c r="AV256" s="771"/>
      <c r="AW256" s="772"/>
      <c r="AX256" s="771"/>
      <c r="AY256" s="771"/>
      <c r="AZ256" s="771"/>
      <c r="BA256" s="771"/>
      <c r="BB256" s="772"/>
      <c r="BC256" s="771"/>
      <c r="BD256" s="771"/>
      <c r="BE256" s="773">
        <f>BE24/BE98</f>
        <v>1.207755829604569</v>
      </c>
      <c r="BF256" s="773">
        <f>BF24/BF98</f>
        <v>1.2472922926420242</v>
      </c>
      <c r="BG256" s="772"/>
      <c r="BH256" s="773">
        <f t="shared" ref="BH256:CZ256" si="450">BH24/BH98</f>
        <v>0.76167471819645727</v>
      </c>
      <c r="BI256" s="773">
        <f t="shared" si="450"/>
        <v>1.5186587344510543</v>
      </c>
      <c r="BJ256" s="773">
        <f t="shared" si="450"/>
        <v>1.5350109409190367</v>
      </c>
      <c r="BK256" s="773">
        <f t="shared" si="450"/>
        <v>1.3099787685774944</v>
      </c>
      <c r="BL256" s="774">
        <f t="shared" si="450"/>
        <v>1.2056842672413794</v>
      </c>
      <c r="BM256" s="773">
        <f t="shared" si="450"/>
        <v>1.1195002715915265</v>
      </c>
      <c r="BN256" s="773">
        <f t="shared" si="450"/>
        <v>1.0752386299831556</v>
      </c>
      <c r="BO256" s="773">
        <f t="shared" si="450"/>
        <v>1.0667427267541356</v>
      </c>
      <c r="BP256" s="773">
        <f t="shared" si="450"/>
        <v>1.0304845573900259</v>
      </c>
      <c r="BQ256" s="774">
        <f t="shared" si="450"/>
        <v>1.0711961420769887</v>
      </c>
      <c r="BR256" s="773">
        <f t="shared" si="450"/>
        <v>1.3590382030900017</v>
      </c>
      <c r="BS256" s="773">
        <f t="shared" si="450"/>
        <v>1.2148960882731159</v>
      </c>
      <c r="BT256" s="773">
        <f t="shared" si="450"/>
        <v>1.2053014553014545</v>
      </c>
      <c r="BU256" s="773">
        <f t="shared" si="450"/>
        <v>1.2209889001009082</v>
      </c>
      <c r="BV256" s="774">
        <f t="shared" si="450"/>
        <v>1.24962923797119</v>
      </c>
      <c r="BW256" s="773">
        <f t="shared" si="450"/>
        <v>1.3904916584747333</v>
      </c>
      <c r="BX256" s="773">
        <f t="shared" si="450"/>
        <v>1.3292031715943502</v>
      </c>
      <c r="BY256" s="773">
        <f t="shared" si="450"/>
        <v>1.3227208943893631</v>
      </c>
      <c r="BZ256" s="773">
        <f t="shared" si="450"/>
        <v>1.45430544329747</v>
      </c>
      <c r="CA256" s="774">
        <f t="shared" si="450"/>
        <v>1.374831176721427</v>
      </c>
      <c r="CB256" s="773">
        <f t="shared" si="450"/>
        <v>1.1652542372881358</v>
      </c>
      <c r="CC256" s="773">
        <f t="shared" si="450"/>
        <v>1.2222222222222223</v>
      </c>
      <c r="CD256" s="775">
        <f t="shared" si="450"/>
        <v>1.1213893009861247</v>
      </c>
      <c r="CE256" s="775">
        <f t="shared" si="450"/>
        <v>1.1937470781697246</v>
      </c>
      <c r="CF256" s="772">
        <f t="shared" si="450"/>
        <v>1.1759782889521415</v>
      </c>
      <c r="CG256" s="773">
        <f t="shared" si="450"/>
        <v>1.038910505836576</v>
      </c>
      <c r="CH256" s="775">
        <f t="shared" si="450"/>
        <v>1.0358677486335817</v>
      </c>
      <c r="CI256" s="775">
        <f t="shared" si="450"/>
        <v>1.1617071260767422</v>
      </c>
      <c r="CJ256" s="775">
        <f t="shared" si="450"/>
        <v>1.1325757575757576</v>
      </c>
      <c r="CK256" s="772">
        <f t="shared" si="450"/>
        <v>1.0924476305618178</v>
      </c>
      <c r="CL256" s="775">
        <f t="shared" si="450"/>
        <v>1.0112781954887218</v>
      </c>
      <c r="CM256" s="775">
        <f>CM24/CM98</f>
        <v>1.0859404447794949</v>
      </c>
      <c r="CN256" s="775">
        <f t="shared" si="450"/>
        <v>1.1237547892720308</v>
      </c>
      <c r="CO256" s="775">
        <f>CO24/CO98</f>
        <v>1.1738966427763107</v>
      </c>
      <c r="CP256" s="772">
        <f t="shared" ca="1" si="450"/>
        <v>1.0985435975033098</v>
      </c>
      <c r="CQ256" s="775">
        <f t="shared" si="450"/>
        <v>1.1144372868510801</v>
      </c>
      <c r="CR256" s="775">
        <f t="shared" si="450"/>
        <v>1.180835197613721</v>
      </c>
      <c r="CS256" s="775">
        <f t="shared" si="450"/>
        <v>1.1814787154592978</v>
      </c>
      <c r="CT256" s="775">
        <f t="shared" si="450"/>
        <v>1.1705150976909413</v>
      </c>
      <c r="CU256" s="772">
        <f t="shared" si="450"/>
        <v>1.1621046791196596</v>
      </c>
      <c r="CV256" s="775">
        <f t="shared" si="450"/>
        <v>0.89704978488014753</v>
      </c>
      <c r="CW256" s="775">
        <f>CW24/CW98</f>
        <v>0.91552302531259533</v>
      </c>
      <c r="CX256" s="775">
        <f t="shared" si="450"/>
        <v>0.92330917874396146</v>
      </c>
      <c r="CY256" s="775">
        <f>CY24/CY98</f>
        <v>0.99577089991210077</v>
      </c>
      <c r="CZ256" s="772">
        <f t="shared" si="450"/>
        <v>0.93359225233066812</v>
      </c>
      <c r="DA256" s="775">
        <f>DA24/DA98</f>
        <v>0.794548395123165</v>
      </c>
      <c r="DB256" s="775">
        <f>DB24/DB98</f>
        <v>0.81448412698412698</v>
      </c>
      <c r="DC256" s="775">
        <f>DC24/DC98</f>
        <v>0.83312943479324686</v>
      </c>
      <c r="DD256" s="775">
        <f>DD24/DD98</f>
        <v>0.77338975082275507</v>
      </c>
      <c r="DE256" s="772">
        <f t="shared" ref="DE256:DJ256" si="451">DE24/DE98</f>
        <v>0.80358040507564676</v>
      </c>
      <c r="DF256" s="775">
        <f t="shared" si="451"/>
        <v>0.70942111237230421</v>
      </c>
      <c r="DG256" s="775">
        <f>DG24/DG98</f>
        <v>0.75701992753623182</v>
      </c>
      <c r="DH256" s="775">
        <f>DH24/DH98</f>
        <v>0.66232053899342558</v>
      </c>
      <c r="DI256" s="2829">
        <f>DI24/DI98</f>
        <v>0.75470659704973864</v>
      </c>
      <c r="DJ256" s="772">
        <f t="shared" si="451"/>
        <v>0.72121451593876862</v>
      </c>
      <c r="DK256" s="775">
        <f t="shared" ref="DK256:DT256" si="452">DK24/DK98</f>
        <v>0.79284605628390659</v>
      </c>
      <c r="DL256" s="775">
        <f t="shared" si="452"/>
        <v>0.71500018208684957</v>
      </c>
      <c r="DM256" s="775">
        <f t="shared" si="452"/>
        <v>0.70127299521587783</v>
      </c>
      <c r="DN256" s="775">
        <f t="shared" si="452"/>
        <v>0.70384121874965389</v>
      </c>
      <c r="DO256" s="772">
        <f t="shared" si="452"/>
        <v>0.72782882613570121</v>
      </c>
      <c r="DP256" s="775">
        <f t="shared" si="452"/>
        <v>0.73551631393697736</v>
      </c>
      <c r="DQ256" s="775">
        <f t="shared" si="452"/>
        <v>0.66195912327629225</v>
      </c>
      <c r="DR256" s="775">
        <f t="shared" si="452"/>
        <v>0.6534594883500755</v>
      </c>
      <c r="DS256" s="775">
        <f t="shared" si="452"/>
        <v>0.64599890802394666</v>
      </c>
      <c r="DT256" s="772">
        <f t="shared" si="452"/>
        <v>0.67379352291139527</v>
      </c>
      <c r="DU256" s="775">
        <f t="shared" ref="DU256:DY256" si="453">DU24/DU98</f>
        <v>0.67777209971226393</v>
      </c>
      <c r="DV256" s="775">
        <f t="shared" si="453"/>
        <v>0.60459031505697125</v>
      </c>
      <c r="DW256" s="775">
        <f t="shared" si="453"/>
        <v>0.59616749298361638</v>
      </c>
      <c r="DX256" s="775">
        <f t="shared" si="453"/>
        <v>0.5894855985106835</v>
      </c>
      <c r="DY256" s="772">
        <f t="shared" si="453"/>
        <v>0.61657274442921051</v>
      </c>
    </row>
    <row r="257" spans="1:129" x14ac:dyDescent="0.2">
      <c r="A257" s="769"/>
      <c r="B257" s="756" t="s">
        <v>803</v>
      </c>
      <c r="C257" s="771"/>
      <c r="D257" s="771"/>
      <c r="E257" s="771"/>
      <c r="F257" s="771"/>
      <c r="G257" s="771"/>
      <c r="H257" s="771"/>
      <c r="I257" s="772"/>
      <c r="J257" s="771"/>
      <c r="K257" s="771"/>
      <c r="L257" s="771"/>
      <c r="M257" s="771"/>
      <c r="N257" s="772"/>
      <c r="O257" s="771"/>
      <c r="P257" s="771"/>
      <c r="Q257" s="771"/>
      <c r="R257" s="771"/>
      <c r="S257" s="772"/>
      <c r="T257" s="771"/>
      <c r="U257" s="771"/>
      <c r="V257" s="771"/>
      <c r="W257" s="771"/>
      <c r="X257" s="772"/>
      <c r="Y257" s="771"/>
      <c r="Z257" s="771"/>
      <c r="AA257" s="771"/>
      <c r="AB257" s="771"/>
      <c r="AC257" s="772"/>
      <c r="AD257" s="771"/>
      <c r="AE257" s="771"/>
      <c r="AF257" s="771"/>
      <c r="AG257" s="771"/>
      <c r="AH257" s="772"/>
      <c r="AI257" s="771"/>
      <c r="AJ257" s="771"/>
      <c r="AK257" s="771"/>
      <c r="AL257" s="771"/>
      <c r="AM257" s="772"/>
      <c r="AN257" s="771"/>
      <c r="AO257" s="771"/>
      <c r="AP257" s="771"/>
      <c r="AQ257" s="771"/>
      <c r="AR257" s="772"/>
      <c r="AS257" s="771"/>
      <c r="AT257" s="771"/>
      <c r="AU257" s="771"/>
      <c r="AV257" s="771"/>
      <c r="AW257" s="772"/>
      <c r="AX257" s="771"/>
      <c r="AY257" s="771"/>
      <c r="AZ257" s="771"/>
      <c r="BA257" s="771"/>
      <c r="BB257" s="772"/>
      <c r="BC257" s="771"/>
      <c r="BD257" s="771"/>
      <c r="BE257" s="773">
        <f>BE26/BE98</f>
        <v>0.83124158754410848</v>
      </c>
      <c r="BF257" s="773">
        <f>BF26/BF98</f>
        <v>0.8856823422542105</v>
      </c>
      <c r="BG257" s="772"/>
      <c r="BH257" s="773">
        <f t="shared" ref="BH257:CZ257" si="454">BH26/BH98</f>
        <v>0.28770799785292539</v>
      </c>
      <c r="BI257" s="773">
        <f t="shared" si="454"/>
        <v>1.021092482422931</v>
      </c>
      <c r="BJ257" s="773">
        <f t="shared" si="454"/>
        <v>1.0514223194748353</v>
      </c>
      <c r="BK257" s="773">
        <f t="shared" si="454"/>
        <v>0.83121019108280236</v>
      </c>
      <c r="BL257" s="774">
        <f t="shared" si="454"/>
        <v>0.81600215517241381</v>
      </c>
      <c r="BM257" s="773">
        <f t="shared" si="454"/>
        <v>0.64964693101575244</v>
      </c>
      <c r="BN257" s="773">
        <f t="shared" si="454"/>
        <v>0.58338012352610902</v>
      </c>
      <c r="BO257" s="773">
        <f t="shared" si="454"/>
        <v>0.5636052481460353</v>
      </c>
      <c r="BP257" s="773">
        <f t="shared" si="454"/>
        <v>0.57754042050024224</v>
      </c>
      <c r="BQ257" s="774">
        <f t="shared" si="454"/>
        <v>0.59016844054052953</v>
      </c>
      <c r="BR257" s="773">
        <f t="shared" si="454"/>
        <v>0.86730494754498</v>
      </c>
      <c r="BS257" s="773">
        <f t="shared" si="454"/>
        <v>0.73630065955946422</v>
      </c>
      <c r="BT257" s="773">
        <f t="shared" si="454"/>
        <v>0.73128898128898057</v>
      </c>
      <c r="BU257" s="773">
        <f t="shared" si="454"/>
        <v>0.7164480322906156</v>
      </c>
      <c r="BV257" s="774">
        <f t="shared" si="454"/>
        <v>0.76344737758405012</v>
      </c>
      <c r="BW257" s="773">
        <f t="shared" si="454"/>
        <v>0.8320155005627502</v>
      </c>
      <c r="BX257" s="773">
        <f t="shared" si="454"/>
        <v>0.77440532605931711</v>
      </c>
      <c r="BY257" s="773">
        <f t="shared" si="454"/>
        <v>0.75912677417128671</v>
      </c>
      <c r="BZ257" s="773">
        <f t="shared" si="454"/>
        <v>0.90614416082380822</v>
      </c>
      <c r="CA257" s="774">
        <f t="shared" si="454"/>
        <v>0.81862354298557993</v>
      </c>
      <c r="CB257" s="773">
        <f t="shared" si="454"/>
        <v>0.68855932203389836</v>
      </c>
      <c r="CC257" s="773">
        <f t="shared" si="454"/>
        <v>0.74666666666666681</v>
      </c>
      <c r="CD257" s="775">
        <f t="shared" si="454"/>
        <v>0.63269046164586795</v>
      </c>
      <c r="CE257" s="775">
        <f t="shared" si="454"/>
        <v>0.71846268668957658</v>
      </c>
      <c r="CF257" s="772">
        <f t="shared" si="454"/>
        <v>0.69690873719518531</v>
      </c>
      <c r="CG257" s="773">
        <f t="shared" si="454"/>
        <v>0.56420233463035019</v>
      </c>
      <c r="CH257" s="775">
        <f t="shared" si="454"/>
        <v>0.53332190593432616</v>
      </c>
      <c r="CI257" s="775">
        <f t="shared" si="454"/>
        <v>0.65465935787000773</v>
      </c>
      <c r="CJ257" s="775">
        <f t="shared" si="454"/>
        <v>0.61363636363636365</v>
      </c>
      <c r="CK257" s="772">
        <f t="shared" si="454"/>
        <v>0.59152467396449304</v>
      </c>
      <c r="CL257" s="775">
        <f t="shared" ca="1" si="454"/>
        <v>0.46697417302120547</v>
      </c>
      <c r="CM257" s="775">
        <f>CM26/CM98</f>
        <v>0.56087448171880894</v>
      </c>
      <c r="CN257" s="775">
        <f t="shared" si="454"/>
        <v>0.58045977011494254</v>
      </c>
      <c r="CO257" s="775">
        <f>CO26/CO98</f>
        <v>0.63787250094304027</v>
      </c>
      <c r="CP257" s="772">
        <f t="shared" ca="1" si="454"/>
        <v>0.56139127106453623</v>
      </c>
      <c r="CQ257" s="775">
        <f t="shared" si="454"/>
        <v>0.52519893899204262</v>
      </c>
      <c r="CR257" s="775">
        <f t="shared" si="454"/>
        <v>0.59656972408650266</v>
      </c>
      <c r="CS257" s="775">
        <f t="shared" si="454"/>
        <v>0.59820761762509334</v>
      </c>
      <c r="CT257" s="775">
        <f t="shared" si="454"/>
        <v>0.59715808170515094</v>
      </c>
      <c r="CU257" s="772">
        <f t="shared" si="454"/>
        <v>0.57971148511189208</v>
      </c>
      <c r="CV257" s="775">
        <f t="shared" si="454"/>
        <v>0.40503995082974797</v>
      </c>
      <c r="CW257" s="775">
        <f>CW26/CW98</f>
        <v>0.42726440988106129</v>
      </c>
      <c r="CX257" s="775">
        <f t="shared" si="454"/>
        <v>0.42824754217995176</v>
      </c>
      <c r="CY257" s="775">
        <f>CY26/CY98</f>
        <v>0.49701030295927329</v>
      </c>
      <c r="CZ257" s="772">
        <f t="shared" si="454"/>
        <v>0.44000995804042836</v>
      </c>
      <c r="DA257" s="775">
        <f>DA26/DA98</f>
        <v>0.35165215227668578</v>
      </c>
      <c r="DB257" s="775">
        <f>DB26/DB98</f>
        <v>0.37400793650793646</v>
      </c>
      <c r="DC257" s="775">
        <f>DC26/DC98</f>
        <v>0.39515537068754591</v>
      </c>
      <c r="DD257" s="775">
        <f>DD26/DD98</f>
        <v>0.35284438175834509</v>
      </c>
      <c r="DE257" s="772">
        <f t="shared" ref="DE257:DJ257" si="455">DE26/DE98</f>
        <v>0.36830710102489028</v>
      </c>
      <c r="DF257" s="775">
        <f t="shared" si="455"/>
        <v>0.30011350737797954</v>
      </c>
      <c r="DG257" s="775">
        <f>DG26/DG98</f>
        <v>0.35212862318840576</v>
      </c>
      <c r="DH257" s="775">
        <f>DH26/DH98</f>
        <v>0.26237553278168207</v>
      </c>
      <c r="DI257" s="2829">
        <f>DI26/DI98</f>
        <v>0.37054502879863843</v>
      </c>
      <c r="DJ257" s="772">
        <f t="shared" si="455"/>
        <v>0.32179183608158146</v>
      </c>
      <c r="DK257" s="775">
        <f t="shared" ref="DK257:DT257" si="456">DK26/DK98</f>
        <v>0.37</v>
      </c>
      <c r="DL257" s="775">
        <f t="shared" si="456"/>
        <v>0.30427737226277368</v>
      </c>
      <c r="DM257" s="775">
        <f t="shared" si="456"/>
        <v>0.29449999999999998</v>
      </c>
      <c r="DN257" s="775">
        <f t="shared" si="456"/>
        <v>0.30399999999999999</v>
      </c>
      <c r="DO257" s="772">
        <f t="shared" si="456"/>
        <v>0.3179168286123531</v>
      </c>
      <c r="DP257" s="775">
        <f t="shared" si="456"/>
        <v>0.32</v>
      </c>
      <c r="DQ257" s="775">
        <f t="shared" si="456"/>
        <v>0.25427737226277369</v>
      </c>
      <c r="DR257" s="775">
        <f t="shared" si="456"/>
        <v>0.2445</v>
      </c>
      <c r="DS257" s="775">
        <f t="shared" si="456"/>
        <v>0.254</v>
      </c>
      <c r="DT257" s="772">
        <f t="shared" si="456"/>
        <v>0.26791719786688051</v>
      </c>
      <c r="DU257" s="775">
        <f t="shared" ref="DU257:DY257" si="457">DU26/DU98</f>
        <v>0.27</v>
      </c>
      <c r="DV257" s="775">
        <f t="shared" si="457"/>
        <v>0.2042773722627737</v>
      </c>
      <c r="DW257" s="775">
        <f t="shared" si="457"/>
        <v>0.19450000000000001</v>
      </c>
      <c r="DX257" s="775">
        <f t="shared" si="457"/>
        <v>0.20400000000000001</v>
      </c>
      <c r="DY257" s="772">
        <f t="shared" si="457"/>
        <v>0.21791756583232305</v>
      </c>
    </row>
    <row r="258" spans="1:129" x14ac:dyDescent="0.2">
      <c r="A258" s="769"/>
      <c r="B258" s="742" t="s">
        <v>804</v>
      </c>
      <c r="C258" s="771"/>
      <c r="D258" s="771"/>
      <c r="E258" s="771"/>
      <c r="F258" s="771"/>
      <c r="G258" s="771"/>
      <c r="H258" s="771"/>
      <c r="I258" s="772"/>
      <c r="J258" s="771"/>
      <c r="K258" s="771"/>
      <c r="L258" s="771"/>
      <c r="M258" s="771"/>
      <c r="N258" s="772"/>
      <c r="O258" s="771"/>
      <c r="P258" s="771"/>
      <c r="Q258" s="771"/>
      <c r="R258" s="771"/>
      <c r="S258" s="772"/>
      <c r="T258" s="771"/>
      <c r="U258" s="771"/>
      <c r="V258" s="771"/>
      <c r="W258" s="771"/>
      <c r="X258" s="772"/>
      <c r="Y258" s="771"/>
      <c r="Z258" s="771"/>
      <c r="AA258" s="771"/>
      <c r="AB258" s="771"/>
      <c r="AC258" s="772"/>
      <c r="AD258" s="771"/>
      <c r="AE258" s="771"/>
      <c r="AF258" s="771"/>
      <c r="AG258" s="771"/>
      <c r="AH258" s="772"/>
      <c r="AI258" s="771"/>
      <c r="AJ258" s="771"/>
      <c r="AK258" s="771"/>
      <c r="AL258" s="771"/>
      <c r="AM258" s="772"/>
      <c r="AN258" s="771"/>
      <c r="AO258" s="771"/>
      <c r="AP258" s="771"/>
      <c r="AQ258" s="771"/>
      <c r="AR258" s="772"/>
      <c r="AS258" s="771"/>
      <c r="AT258" s="771"/>
      <c r="AU258" s="771"/>
      <c r="AV258" s="771"/>
      <c r="AW258" s="772"/>
      <c r="AX258" s="771"/>
      <c r="AY258" s="771"/>
      <c r="AZ258" s="771"/>
      <c r="BA258" s="771"/>
      <c r="BB258" s="772"/>
      <c r="BC258" s="771"/>
      <c r="BD258" s="771"/>
      <c r="BE258" s="771"/>
      <c r="BF258" s="771"/>
      <c r="BG258" s="772"/>
      <c r="BH258" s="771"/>
      <c r="BI258" s="771"/>
      <c r="BJ258" s="771"/>
      <c r="BK258" s="771"/>
      <c r="BL258" s="774">
        <f t="shared" ref="BL258:CL258" si="458">BL26/BL93</f>
        <v>0.99769433465085622</v>
      </c>
      <c r="BM258" s="773">
        <f t="shared" si="458"/>
        <v>0.76275510204081642</v>
      </c>
      <c r="BN258" s="773">
        <f t="shared" si="458"/>
        <v>0.68671513549239915</v>
      </c>
      <c r="BO258" s="773">
        <f t="shared" si="458"/>
        <v>0.66264252179745142</v>
      </c>
      <c r="BP258" s="773">
        <f t="shared" si="458"/>
        <v>0.67082860385925125</v>
      </c>
      <c r="BQ258" s="774">
        <f t="shared" si="458"/>
        <v>0.69150615724660569</v>
      </c>
      <c r="BR258" s="773">
        <f t="shared" si="458"/>
        <v>1.0189718482252141</v>
      </c>
      <c r="BS258" s="773">
        <f t="shared" si="458"/>
        <v>0.86532602071907394</v>
      </c>
      <c r="BT258" s="773">
        <f t="shared" si="458"/>
        <v>0.86372007366482428</v>
      </c>
      <c r="BU258" s="773">
        <f t="shared" si="458"/>
        <v>0.84473527662105896</v>
      </c>
      <c r="BV258" s="774">
        <f t="shared" si="458"/>
        <v>0.89901290812452528</v>
      </c>
      <c r="BW258" s="773">
        <f t="shared" si="458"/>
        <v>0.98983050847457632</v>
      </c>
      <c r="BX258" s="773">
        <f t="shared" si="458"/>
        <v>0.9286209286209286</v>
      </c>
      <c r="BY258" s="773">
        <f t="shared" si="458"/>
        <v>0.91412742382271484</v>
      </c>
      <c r="BZ258" s="773">
        <f t="shared" si="458"/>
        <v>1.0894418291862813</v>
      </c>
      <c r="CA258" s="774">
        <f t="shared" si="458"/>
        <v>0.98136433578389448</v>
      </c>
      <c r="CB258" s="773">
        <f t="shared" si="458"/>
        <v>0.81621004566210054</v>
      </c>
      <c r="CC258" s="773">
        <f t="shared" si="458"/>
        <v>0.87591240875912402</v>
      </c>
      <c r="CD258" s="773">
        <f t="shared" si="458"/>
        <v>0.73716319267920694</v>
      </c>
      <c r="CE258" s="773">
        <f t="shared" si="458"/>
        <v>0.83093822031245557</v>
      </c>
      <c r="CF258" s="772">
        <f t="shared" si="458"/>
        <v>0.8149290035711243</v>
      </c>
      <c r="CG258" s="773">
        <f t="shared" si="458"/>
        <v>0.6624029237094563</v>
      </c>
      <c r="CH258" s="773">
        <f t="shared" si="458"/>
        <v>0.62696068329097099</v>
      </c>
      <c r="CI258" s="773">
        <f t="shared" si="458"/>
        <v>0.76908923643054272</v>
      </c>
      <c r="CJ258" s="773">
        <f t="shared" si="458"/>
        <v>0.71713147410358569</v>
      </c>
      <c r="CK258" s="772">
        <f>CK26/CK93</f>
        <v>0.69399412870292021</v>
      </c>
      <c r="CL258" s="773">
        <f t="shared" ca="1" si="458"/>
        <v>0.54576067672952833</v>
      </c>
      <c r="CM258" s="773">
        <f t="shared" ref="CM258:CV258" si="459">CM26/CM93</f>
        <v>0.65666372462488976</v>
      </c>
      <c r="CN258" s="773">
        <f t="shared" si="459"/>
        <v>0.68273997296079314</v>
      </c>
      <c r="CO258" s="773">
        <f t="shared" si="459"/>
        <v>0.74856131031429829</v>
      </c>
      <c r="CP258" s="772">
        <f t="shared" ca="1" si="459"/>
        <v>0.65810990024793858</v>
      </c>
      <c r="CQ258" s="773">
        <f t="shared" si="459"/>
        <v>0.6084284460052678</v>
      </c>
      <c r="CR258" s="773">
        <f t="shared" si="459"/>
        <v>0.69294066695539192</v>
      </c>
      <c r="CS258" s="773">
        <f t="shared" si="459"/>
        <v>0.69561441597915763</v>
      </c>
      <c r="CT258" s="773">
        <f t="shared" si="459"/>
        <v>0.69205434335117333</v>
      </c>
      <c r="CU258" s="772">
        <f>CU26/CU93</f>
        <v>0.67271166434166751</v>
      </c>
      <c r="CV258" s="773">
        <f t="shared" si="459"/>
        <v>0.40503995082974792</v>
      </c>
      <c r="CW258" s="773">
        <f t="shared" ref="CW258:DB258" si="460">CW26/CW93</f>
        <v>0.42726440988106129</v>
      </c>
      <c r="CX258" s="773">
        <f t="shared" si="460"/>
        <v>0.42824754217995176</v>
      </c>
      <c r="CY258" s="773">
        <f t="shared" si="460"/>
        <v>0.49701030295927329</v>
      </c>
      <c r="CZ258" s="772">
        <f t="shared" si="460"/>
        <v>0.44000995804042836</v>
      </c>
      <c r="DA258" s="773">
        <f t="shared" si="460"/>
        <v>0.35165215227668578</v>
      </c>
      <c r="DB258" s="773">
        <f t="shared" si="460"/>
        <v>0.37400793650793646</v>
      </c>
      <c r="DC258" s="773">
        <f t="shared" ref="DC258:DI258" si="461">DC26/DC93</f>
        <v>0.39515537068754591</v>
      </c>
      <c r="DD258" s="773">
        <f t="shared" si="461"/>
        <v>0.35284438175834509</v>
      </c>
      <c r="DE258" s="772">
        <f t="shared" si="461"/>
        <v>0.36830710102489028</v>
      </c>
      <c r="DF258" s="773">
        <f t="shared" si="461"/>
        <v>0.30011350737797954</v>
      </c>
      <c r="DG258" s="773">
        <f t="shared" si="461"/>
        <v>0.35220838052095133</v>
      </c>
      <c r="DH258" s="773">
        <f t="shared" si="461"/>
        <v>0.26237553278168207</v>
      </c>
      <c r="DI258" s="2830">
        <f t="shared" si="461"/>
        <v>0.37054502879863843</v>
      </c>
      <c r="DJ258" s="772">
        <f>DJ26/DJ93</f>
        <v>0.32180989642331731</v>
      </c>
      <c r="DK258" s="919">
        <f>'Key Inputs and Scenarios'!AX121</f>
        <v>0.37</v>
      </c>
      <c r="DL258" s="919">
        <f>'Key Inputs and Scenarios'!AY121</f>
        <v>0.30427737226277368</v>
      </c>
      <c r="DM258" s="919">
        <f>'Key Inputs and Scenarios'!AZ121</f>
        <v>0.29449999999999998</v>
      </c>
      <c r="DN258" s="919">
        <f>'Key Inputs and Scenarios'!BA121</f>
        <v>0.30399999999999999</v>
      </c>
      <c r="DO258" s="772">
        <f>DO26/DO93</f>
        <v>0.3179168286123531</v>
      </c>
      <c r="DP258" s="919">
        <f>'Key Inputs and Scenarios'!BC121</f>
        <v>0.32</v>
      </c>
      <c r="DQ258" s="919">
        <f>'Key Inputs and Scenarios'!BD121</f>
        <v>0.25427737226277369</v>
      </c>
      <c r="DR258" s="919">
        <f>'Key Inputs and Scenarios'!BE121</f>
        <v>0.2445</v>
      </c>
      <c r="DS258" s="919">
        <f>'Key Inputs and Scenarios'!BF121</f>
        <v>0.254</v>
      </c>
      <c r="DT258" s="772">
        <f>DT26/DT93</f>
        <v>0.26791719786688051</v>
      </c>
      <c r="DU258" s="919">
        <f>'Key Inputs and Scenarios'!BH121</f>
        <v>0.27</v>
      </c>
      <c r="DV258" s="919">
        <f>'Key Inputs and Scenarios'!BI121</f>
        <v>0.2042773722627737</v>
      </c>
      <c r="DW258" s="919">
        <f>'Key Inputs and Scenarios'!BJ121</f>
        <v>0.19450000000000001</v>
      </c>
      <c r="DX258" s="919">
        <f>'Key Inputs and Scenarios'!BK121</f>
        <v>0.20400000000000001</v>
      </c>
      <c r="DY258" s="772">
        <f>DY26/DY93</f>
        <v>0.21791756583232308</v>
      </c>
    </row>
    <row r="259" spans="1:129" x14ac:dyDescent="0.2">
      <c r="A259" s="769"/>
      <c r="B259" s="756" t="s">
        <v>800</v>
      </c>
      <c r="C259" s="771"/>
      <c r="D259" s="771"/>
      <c r="E259" s="771"/>
      <c r="F259" s="771"/>
      <c r="G259" s="771"/>
      <c r="H259" s="771"/>
      <c r="I259" s="772"/>
      <c r="J259" s="771"/>
      <c r="K259" s="771"/>
      <c r="L259" s="771"/>
      <c r="M259" s="771"/>
      <c r="N259" s="772"/>
      <c r="O259" s="771"/>
      <c r="P259" s="771"/>
      <c r="Q259" s="771"/>
      <c r="R259" s="771"/>
      <c r="S259" s="772"/>
      <c r="T259" s="771"/>
      <c r="U259" s="771"/>
      <c r="V259" s="771"/>
      <c r="W259" s="771"/>
      <c r="X259" s="772"/>
      <c r="Y259" s="771"/>
      <c r="Z259" s="771"/>
      <c r="AA259" s="771"/>
      <c r="AB259" s="771"/>
      <c r="AC259" s="772"/>
      <c r="AD259" s="771"/>
      <c r="AE259" s="771"/>
      <c r="AF259" s="771"/>
      <c r="AG259" s="771"/>
      <c r="AH259" s="772"/>
      <c r="AI259" s="771"/>
      <c r="AJ259" s="771"/>
      <c r="AK259" s="771"/>
      <c r="AL259" s="771"/>
      <c r="AM259" s="772"/>
      <c r="AN259" s="771"/>
      <c r="AO259" s="771"/>
      <c r="AP259" s="771"/>
      <c r="AQ259" s="771"/>
      <c r="AR259" s="772"/>
      <c r="AS259" s="771"/>
      <c r="AT259" s="771"/>
      <c r="AU259" s="771"/>
      <c r="AV259" s="771"/>
      <c r="AW259" s="772"/>
      <c r="AX259" s="771"/>
      <c r="AY259" s="771"/>
      <c r="AZ259" s="771"/>
      <c r="BA259" s="771"/>
      <c r="BB259" s="772"/>
      <c r="BC259" s="771"/>
      <c r="BD259" s="771"/>
      <c r="BE259" s="771"/>
      <c r="BF259" s="771"/>
      <c r="BG259" s="772"/>
      <c r="BH259" s="771"/>
      <c r="BI259" s="771"/>
      <c r="BJ259" s="771"/>
      <c r="BK259" s="771"/>
      <c r="BL259" s="772"/>
      <c r="BM259" s="773">
        <f t="shared" ref="BM259:BT259" si="462">BM252/BM98</f>
        <v>0.93155893536121692</v>
      </c>
      <c r="BN259" s="773">
        <f t="shared" si="462"/>
        <v>0.83211678832116787</v>
      </c>
      <c r="BO259" s="773">
        <f t="shared" si="462"/>
        <v>0.83456930975470622</v>
      </c>
      <c r="BP259" s="773">
        <f t="shared" si="462"/>
        <v>0.81354044004475734</v>
      </c>
      <c r="BQ259" s="774">
        <f t="shared" si="462"/>
        <v>0.85224095580339043</v>
      </c>
      <c r="BR259" s="773">
        <f t="shared" si="462"/>
        <v>1.1022325939971036</v>
      </c>
      <c r="BS259" s="773">
        <f t="shared" si="462"/>
        <v>0.99193180404032044</v>
      </c>
      <c r="BT259" s="773">
        <f t="shared" si="462"/>
        <v>1.0249480249480243</v>
      </c>
      <c r="BU259" s="775"/>
      <c r="BV259" s="774">
        <f>BV252/BV98</f>
        <v>0</v>
      </c>
      <c r="BW259" s="771"/>
      <c r="BX259" s="771"/>
      <c r="BY259" s="771"/>
      <c r="BZ259" s="771"/>
      <c r="CA259" s="772"/>
      <c r="CB259" s="771"/>
      <c r="CC259" s="771"/>
      <c r="CD259" s="771"/>
      <c r="CE259" s="771"/>
      <c r="CF259" s="772"/>
      <c r="CG259" s="920"/>
      <c r="CH259" s="920"/>
      <c r="CI259" s="920"/>
      <c r="CJ259" s="920"/>
      <c r="CK259" s="772"/>
      <c r="CL259" s="920"/>
      <c r="CM259" s="920"/>
      <c r="CN259" s="920"/>
      <c r="CO259" s="920"/>
      <c r="CP259" s="772"/>
      <c r="CQ259" s="920"/>
      <c r="CR259" s="920"/>
      <c r="CS259" s="920"/>
      <c r="CT259" s="920"/>
      <c r="CU259" s="772"/>
      <c r="CV259" s="920"/>
      <c r="CW259" s="920"/>
      <c r="CX259" s="920"/>
      <c r="CY259" s="920"/>
      <c r="CZ259" s="772"/>
      <c r="DA259" s="920"/>
      <c r="DB259" s="920"/>
      <c r="DC259" s="920"/>
      <c r="DD259" s="920"/>
      <c r="DE259" s="772"/>
      <c r="DF259" s="920"/>
      <c r="DG259" s="920"/>
      <c r="DH259" s="920"/>
      <c r="DI259" s="920"/>
      <c r="DJ259" s="772"/>
      <c r="DK259" s="920"/>
      <c r="DL259" s="920"/>
      <c r="DM259" s="920"/>
      <c r="DN259" s="920"/>
      <c r="DO259" s="772"/>
      <c r="DP259" s="920"/>
      <c r="DQ259" s="920"/>
      <c r="DR259" s="920"/>
      <c r="DS259" s="920"/>
      <c r="DT259" s="772"/>
      <c r="DU259" s="920"/>
      <c r="DV259" s="920"/>
      <c r="DW259" s="920"/>
      <c r="DX259" s="920"/>
      <c r="DY259" s="772"/>
    </row>
    <row r="260" spans="1:129" ht="11.25" customHeight="1" thickBot="1" x14ac:dyDescent="0.25">
      <c r="A260" s="825"/>
      <c r="B260" s="757"/>
      <c r="C260" s="858"/>
      <c r="D260" s="859"/>
      <c r="E260" s="858"/>
      <c r="F260" s="858"/>
      <c r="G260" s="858"/>
      <c r="H260" s="858"/>
      <c r="I260" s="860"/>
      <c r="J260" s="858"/>
      <c r="K260" s="858"/>
      <c r="L260" s="858"/>
      <c r="M260" s="858"/>
      <c r="N260" s="860"/>
      <c r="O260" s="858"/>
      <c r="P260" s="858"/>
      <c r="Q260" s="858"/>
      <c r="R260" s="858"/>
      <c r="S260" s="860"/>
      <c r="T260" s="858"/>
      <c r="U260" s="858"/>
      <c r="V260" s="858"/>
      <c r="W260" s="858"/>
      <c r="X260" s="860"/>
      <c r="Y260" s="858"/>
      <c r="Z260" s="858"/>
      <c r="AA260" s="858"/>
      <c r="AB260" s="858"/>
      <c r="AC260" s="860"/>
      <c r="AD260" s="858"/>
      <c r="AE260" s="858"/>
      <c r="AF260" s="858"/>
      <c r="AG260" s="858"/>
      <c r="AH260" s="860"/>
      <c r="AI260" s="858"/>
      <c r="AJ260" s="858"/>
      <c r="AK260" s="858"/>
      <c r="AL260" s="858"/>
      <c r="AM260" s="860"/>
      <c r="AN260" s="858"/>
      <c r="AO260" s="858"/>
      <c r="AP260" s="858"/>
      <c r="AQ260" s="858"/>
      <c r="AR260" s="860"/>
      <c r="AS260" s="858"/>
      <c r="AT260" s="858"/>
      <c r="AU260" s="858"/>
      <c r="AV260" s="858"/>
      <c r="AW260" s="860"/>
      <c r="AX260" s="858"/>
      <c r="AY260" s="858"/>
      <c r="AZ260" s="858"/>
      <c r="BA260" s="858"/>
      <c r="BB260" s="860"/>
      <c r="BC260" s="858"/>
      <c r="BD260" s="858"/>
      <c r="BE260" s="858"/>
      <c r="BF260" s="858"/>
      <c r="BG260" s="860"/>
      <c r="BH260" s="858"/>
      <c r="BI260" s="858"/>
      <c r="BJ260" s="858"/>
      <c r="BK260" s="858"/>
      <c r="BL260" s="763"/>
      <c r="BM260" s="760"/>
      <c r="BN260" s="760"/>
      <c r="BO260" s="760"/>
      <c r="BP260" s="760"/>
      <c r="BQ260" s="763"/>
      <c r="BR260" s="760"/>
      <c r="BS260" s="760"/>
      <c r="BT260" s="760"/>
      <c r="BU260" s="760"/>
      <c r="BV260" s="763"/>
      <c r="BW260" s="760"/>
      <c r="BX260" s="760"/>
      <c r="BY260" s="760"/>
      <c r="BZ260" s="760"/>
      <c r="CA260" s="763"/>
      <c r="CB260" s="760"/>
      <c r="CC260" s="760"/>
      <c r="CD260" s="760"/>
      <c r="CE260" s="760"/>
      <c r="CF260" s="763"/>
      <c r="CG260" s="921"/>
      <c r="CH260" s="921"/>
      <c r="CI260" s="921"/>
      <c r="CJ260" s="921"/>
      <c r="CK260" s="763"/>
      <c r="CL260" s="921"/>
      <c r="CM260" s="921"/>
      <c r="CN260" s="921"/>
      <c r="CO260" s="921"/>
      <c r="CP260" s="763"/>
      <c r="CQ260" s="921"/>
      <c r="CR260" s="921"/>
      <c r="CS260" s="921"/>
      <c r="CT260" s="921"/>
      <c r="CU260" s="763"/>
      <c r="CV260" s="921"/>
      <c r="CW260" s="921"/>
      <c r="CX260" s="921"/>
      <c r="CY260" s="921"/>
      <c r="CZ260" s="763"/>
      <c r="DA260" s="921"/>
      <c r="DB260" s="921"/>
      <c r="DC260" s="921"/>
      <c r="DD260" s="921"/>
      <c r="DE260" s="763"/>
      <c r="DF260" s="921"/>
      <c r="DG260" s="921"/>
      <c r="DH260" s="921"/>
      <c r="DI260" s="2831"/>
      <c r="DJ260" s="763"/>
      <c r="DK260" s="921"/>
      <c r="DL260" s="921"/>
      <c r="DM260" s="921"/>
      <c r="DN260" s="921"/>
      <c r="DO260" s="763"/>
      <c r="DP260" s="921"/>
      <c r="DQ260" s="921"/>
      <c r="DR260" s="921"/>
      <c r="DS260" s="921"/>
      <c r="DT260" s="763"/>
      <c r="DU260" s="921"/>
      <c r="DV260" s="921"/>
      <c r="DW260" s="921"/>
      <c r="DX260" s="921"/>
      <c r="DY260" s="763"/>
    </row>
    <row r="261" spans="1:129" x14ac:dyDescent="0.2">
      <c r="A261" s="682"/>
      <c r="B261" s="682"/>
      <c r="C261" s="682"/>
      <c r="D261" s="682"/>
      <c r="E261" s="682"/>
      <c r="F261" s="682"/>
      <c r="G261" s="682"/>
      <c r="H261" s="682"/>
      <c r="I261" s="682"/>
      <c r="J261" s="682"/>
      <c r="K261" s="682"/>
      <c r="L261" s="682"/>
      <c r="M261" s="682"/>
      <c r="N261" s="682"/>
      <c r="O261" s="682"/>
      <c r="P261" s="682"/>
      <c r="Q261" s="682"/>
      <c r="R261" s="682"/>
      <c r="S261" s="682"/>
      <c r="T261" s="682"/>
      <c r="U261" s="682"/>
      <c r="V261" s="682"/>
      <c r="W261" s="682"/>
      <c r="X261" s="682"/>
      <c r="Y261" s="682"/>
      <c r="Z261" s="682"/>
      <c r="AA261" s="682"/>
      <c r="AB261" s="682"/>
      <c r="AC261" s="682"/>
      <c r="AD261" s="682"/>
      <c r="AE261" s="682"/>
      <c r="AF261" s="682"/>
      <c r="AG261" s="682"/>
      <c r="AH261" s="682"/>
      <c r="AI261" s="682"/>
      <c r="AJ261" s="682"/>
      <c r="AK261" s="682"/>
      <c r="AL261" s="682"/>
      <c r="AM261" s="682"/>
      <c r="AN261" s="682"/>
      <c r="AO261" s="682"/>
      <c r="AP261" s="682"/>
      <c r="AQ261" s="682"/>
      <c r="AR261" s="682"/>
      <c r="AS261" s="682"/>
      <c r="AT261" s="682"/>
      <c r="AU261" s="682"/>
      <c r="AV261" s="682"/>
      <c r="AW261" s="682"/>
      <c r="AX261" s="682"/>
      <c r="AY261" s="682"/>
      <c r="AZ261" s="682"/>
      <c r="BA261" s="682"/>
      <c r="BB261" s="682"/>
      <c r="BC261" s="682"/>
      <c r="BD261" s="682"/>
      <c r="BE261" s="682"/>
      <c r="BF261" s="682"/>
      <c r="BG261" s="682"/>
      <c r="BH261" s="682"/>
      <c r="BI261" s="682"/>
      <c r="BJ261" s="682"/>
      <c r="BK261" s="682"/>
      <c r="BL261" s="682"/>
      <c r="BM261" s="682"/>
      <c r="BN261" s="682"/>
      <c r="BO261" s="682"/>
      <c r="BP261" s="682"/>
      <c r="BQ261" s="682"/>
      <c r="BR261" s="682"/>
      <c r="BS261" s="682"/>
      <c r="BT261" s="682"/>
      <c r="BU261" s="682"/>
      <c r="BV261" s="682"/>
      <c r="BW261" s="682"/>
      <c r="BX261" s="682"/>
      <c r="BY261" s="682"/>
      <c r="BZ261" s="682"/>
      <c r="CA261" s="682"/>
      <c r="CB261" s="682"/>
      <c r="CC261" s="682"/>
      <c r="CD261" s="682"/>
      <c r="CE261" s="682"/>
      <c r="CF261" s="682"/>
      <c r="CG261" s="682"/>
      <c r="CH261" s="682"/>
      <c r="CI261" s="682"/>
      <c r="CJ261" s="682"/>
      <c r="CK261" s="682"/>
      <c r="CL261" s="682"/>
      <c r="CM261" s="682"/>
      <c r="CN261" s="682"/>
      <c r="CO261" s="682"/>
      <c r="CP261" s="682"/>
      <c r="CQ261" s="682"/>
      <c r="CR261" s="682"/>
      <c r="CS261" s="682"/>
      <c r="CT261" s="682"/>
      <c r="CU261" s="682"/>
      <c r="CV261" s="682"/>
      <c r="CW261" s="682"/>
      <c r="CX261" s="682"/>
      <c r="CY261" s="682"/>
      <c r="CZ261" s="682"/>
      <c r="DA261" s="682"/>
      <c r="DB261" s="682"/>
      <c r="DC261" s="682"/>
      <c r="DD261" s="682"/>
      <c r="DE261" s="682"/>
      <c r="DF261" s="682"/>
      <c r="DG261" s="682"/>
      <c r="DH261" s="682"/>
      <c r="DI261" s="1610"/>
      <c r="DJ261" s="682"/>
      <c r="DK261" s="682"/>
      <c r="DL261" s="682"/>
      <c r="DM261" s="682"/>
      <c r="DN261" s="682"/>
      <c r="DO261" s="682"/>
      <c r="DP261" s="682"/>
      <c r="DQ261" s="682"/>
      <c r="DR261" s="682"/>
      <c r="DS261" s="682"/>
      <c r="DT261" s="682"/>
      <c r="DU261" s="682"/>
      <c r="DV261" s="682"/>
      <c r="DW261" s="682"/>
      <c r="DX261" s="682"/>
      <c r="DY261" s="682"/>
    </row>
    <row r="262" spans="1:129" ht="12" thickBot="1" x14ac:dyDescent="0.25">
      <c r="A262" s="682"/>
      <c r="B262" s="682"/>
      <c r="C262" s="682"/>
      <c r="D262" s="682"/>
      <c r="E262" s="682"/>
      <c r="F262" s="682"/>
      <c r="G262" s="682"/>
      <c r="H262" s="682"/>
      <c r="I262" s="682"/>
      <c r="J262" s="682"/>
      <c r="K262" s="682"/>
      <c r="L262" s="682"/>
      <c r="M262" s="682"/>
      <c r="N262" s="682"/>
      <c r="O262" s="682"/>
      <c r="P262" s="682"/>
      <c r="Q262" s="682"/>
      <c r="R262" s="682"/>
      <c r="S262" s="682"/>
      <c r="T262" s="682"/>
      <c r="U262" s="682"/>
      <c r="V262" s="682"/>
      <c r="W262" s="682"/>
      <c r="X262" s="682"/>
      <c r="Y262" s="682"/>
      <c r="Z262" s="682"/>
      <c r="AA262" s="682"/>
      <c r="AB262" s="682"/>
      <c r="AC262" s="682"/>
      <c r="AD262" s="682"/>
      <c r="AE262" s="682"/>
      <c r="AF262" s="682"/>
      <c r="AG262" s="682"/>
      <c r="AH262" s="682"/>
      <c r="AI262" s="682"/>
      <c r="AJ262" s="682"/>
      <c r="AK262" s="682"/>
      <c r="AL262" s="682"/>
      <c r="AM262" s="682"/>
      <c r="AN262" s="682"/>
      <c r="AO262" s="682"/>
      <c r="AP262" s="682"/>
      <c r="AQ262" s="682"/>
      <c r="AR262" s="682"/>
      <c r="AS262" s="682"/>
      <c r="AT262" s="682"/>
      <c r="AU262" s="682"/>
      <c r="AV262" s="682"/>
      <c r="AW262" s="682"/>
      <c r="AX262" s="682"/>
      <c r="AY262" s="682"/>
      <c r="AZ262" s="682"/>
      <c r="BA262" s="682"/>
      <c r="BB262" s="682"/>
      <c r="BC262" s="682"/>
      <c r="BD262" s="682"/>
      <c r="BE262" s="682"/>
      <c r="BF262" s="682"/>
      <c r="BG262" s="682"/>
      <c r="BH262" s="682"/>
      <c r="BI262" s="682"/>
      <c r="BJ262" s="682"/>
      <c r="BK262" s="682"/>
      <c r="BL262" s="682"/>
      <c r="BM262" s="682"/>
      <c r="BN262" s="682"/>
      <c r="BO262" s="682"/>
      <c r="BP262" s="682"/>
      <c r="BQ262" s="682"/>
      <c r="BR262" s="682"/>
      <c r="BS262" s="682"/>
      <c r="BT262" s="682"/>
      <c r="BU262" s="682"/>
      <c r="BV262" s="682"/>
      <c r="BW262" s="682"/>
      <c r="BX262" s="682"/>
      <c r="BY262" s="682"/>
      <c r="BZ262" s="682"/>
      <c r="CA262" s="682"/>
      <c r="CB262" s="922"/>
      <c r="CC262" s="922"/>
      <c r="CD262" s="923"/>
      <c r="CE262" s="923"/>
      <c r="CF262" s="923"/>
      <c r="CG262" s="923"/>
      <c r="CH262" s="923"/>
      <c r="CI262" s="923"/>
      <c r="CJ262" s="923"/>
      <c r="CK262" s="923"/>
      <c r="CL262" s="923"/>
      <c r="CM262" s="923"/>
      <c r="CN262" s="923"/>
      <c r="CO262" s="923"/>
      <c r="CP262" s="923"/>
      <c r="CQ262" s="923"/>
      <c r="CR262" s="923"/>
      <c r="CS262" s="923"/>
      <c r="CT262" s="923"/>
      <c r="CU262" s="923"/>
      <c r="CV262" s="923"/>
      <c r="CW262" s="923"/>
      <c r="CX262" s="923"/>
      <c r="CY262" s="923"/>
      <c r="CZ262" s="923"/>
      <c r="DA262" s="923"/>
      <c r="DB262" s="923"/>
      <c r="DC262" s="923"/>
      <c r="DD262" s="923"/>
      <c r="DE262" s="923"/>
      <c r="DF262" s="923"/>
      <c r="DG262" s="923"/>
      <c r="DH262" s="923"/>
      <c r="DI262" s="2832"/>
      <c r="DJ262" s="923"/>
      <c r="DK262" s="923"/>
      <c r="DL262" s="923"/>
      <c r="DM262" s="923"/>
      <c r="DN262" s="923"/>
      <c r="DO262" s="923"/>
      <c r="DP262" s="923"/>
      <c r="DQ262" s="923"/>
      <c r="DR262" s="923"/>
      <c r="DS262" s="923"/>
      <c r="DT262" s="923"/>
      <c r="DU262" s="923"/>
      <c r="DV262" s="923"/>
      <c r="DW262" s="923"/>
      <c r="DX262" s="923"/>
      <c r="DY262" s="923"/>
    </row>
    <row r="263" spans="1:129" ht="12" thickBot="1" x14ac:dyDescent="0.25">
      <c r="A263" s="526"/>
      <c r="B263" s="685" t="s">
        <v>805</v>
      </c>
      <c r="C263" s="686"/>
      <c r="D263" s="686"/>
      <c r="E263" s="686"/>
      <c r="F263" s="686"/>
      <c r="G263" s="686"/>
      <c r="H263" s="686"/>
      <c r="I263" s="687"/>
      <c r="J263" s="686"/>
      <c r="K263" s="686"/>
      <c r="L263" s="686"/>
      <c r="M263" s="686"/>
      <c r="N263" s="687"/>
      <c r="O263" s="686"/>
      <c r="P263" s="686"/>
      <c r="Q263" s="686"/>
      <c r="R263" s="686"/>
      <c r="S263" s="687"/>
      <c r="T263" s="686"/>
      <c r="U263" s="686"/>
      <c r="V263" s="686"/>
      <c r="W263" s="686"/>
      <c r="X263" s="687"/>
      <c r="Y263" s="686"/>
      <c r="Z263" s="686"/>
      <c r="AA263" s="686"/>
      <c r="AB263" s="686"/>
      <c r="AC263" s="687"/>
      <c r="AD263" s="686"/>
      <c r="AE263" s="686"/>
      <c r="AF263" s="686"/>
      <c r="AG263" s="686"/>
      <c r="AH263" s="687"/>
      <c r="AI263" s="686"/>
      <c r="AJ263" s="686"/>
      <c r="AK263" s="686"/>
      <c r="AL263" s="686"/>
      <c r="AM263" s="687"/>
      <c r="AN263" s="686"/>
      <c r="AO263" s="686"/>
      <c r="AP263" s="686"/>
      <c r="AQ263" s="686"/>
      <c r="AR263" s="687"/>
      <c r="AS263" s="686"/>
      <c r="AT263" s="686"/>
      <c r="AU263" s="686"/>
      <c r="AV263" s="686"/>
      <c r="AW263" s="687"/>
      <c r="AX263" s="686"/>
      <c r="AY263" s="686"/>
      <c r="AZ263" s="686"/>
      <c r="BA263" s="686"/>
      <c r="BB263" s="687"/>
      <c r="BC263" s="686"/>
      <c r="BD263" s="686"/>
      <c r="BE263" s="686"/>
      <c r="BF263" s="686"/>
      <c r="BG263" s="687"/>
      <c r="BH263" s="686"/>
      <c r="BI263" s="686"/>
      <c r="BJ263" s="686"/>
      <c r="BK263" s="686"/>
      <c r="BL263" s="687"/>
      <c r="BM263" s="686"/>
      <c r="BN263" s="686"/>
      <c r="BO263" s="686"/>
      <c r="BP263" s="686"/>
      <c r="BQ263" s="687"/>
      <c r="BR263" s="686"/>
      <c r="BS263" s="686"/>
      <c r="BT263" s="686"/>
      <c r="BU263" s="686"/>
      <c r="BV263" s="687"/>
      <c r="BW263" s="686"/>
      <c r="BX263" s="686"/>
      <c r="BY263" s="686"/>
      <c r="BZ263" s="686"/>
      <c r="CA263" s="687"/>
      <c r="CB263" s="686"/>
      <c r="CC263" s="686"/>
      <c r="CD263" s="686"/>
      <c r="CE263" s="686"/>
      <c r="CF263" s="687"/>
      <c r="CG263" s="686"/>
      <c r="CH263" s="686"/>
      <c r="CI263" s="686"/>
      <c r="CJ263" s="686"/>
      <c r="CK263" s="687"/>
      <c r="CL263" s="686"/>
      <c r="CM263" s="686"/>
      <c r="CN263" s="686"/>
      <c r="CO263" s="686"/>
      <c r="CP263" s="687"/>
      <c r="CQ263" s="686"/>
      <c r="CR263" s="686"/>
      <c r="CS263" s="686"/>
      <c r="CT263" s="686"/>
      <c r="CU263" s="687"/>
      <c r="CV263" s="686"/>
      <c r="CW263" s="686"/>
      <c r="CX263" s="686"/>
      <c r="CY263" s="686"/>
      <c r="CZ263" s="687"/>
      <c r="DA263" s="686"/>
      <c r="DB263" s="686"/>
      <c r="DC263" s="686"/>
      <c r="DD263" s="686"/>
      <c r="DE263" s="687"/>
      <c r="DF263" s="686"/>
      <c r="DG263" s="686"/>
      <c r="DH263" s="686"/>
      <c r="DI263" s="2803"/>
      <c r="DJ263" s="687"/>
      <c r="DK263" s="686"/>
      <c r="DL263" s="686"/>
      <c r="DM263" s="686"/>
      <c r="DN263" s="686"/>
      <c r="DO263" s="687"/>
      <c r="DP263" s="686"/>
      <c r="DQ263" s="686"/>
      <c r="DR263" s="686"/>
      <c r="DS263" s="686"/>
      <c r="DT263" s="687"/>
      <c r="DU263" s="686"/>
      <c r="DV263" s="686"/>
      <c r="DW263" s="686"/>
      <c r="DX263" s="686"/>
      <c r="DY263" s="687"/>
    </row>
    <row r="264" spans="1:129" x14ac:dyDescent="0.2">
      <c r="A264" s="526"/>
      <c r="B264" s="690"/>
      <c r="C264" s="691"/>
      <c r="D264" s="599"/>
      <c r="E264" s="599"/>
      <c r="F264" s="599"/>
      <c r="G264" s="599"/>
      <c r="H264" s="599"/>
      <c r="I264" s="598"/>
      <c r="J264" s="599"/>
      <c r="K264" s="599"/>
      <c r="L264" s="599"/>
      <c r="M264" s="599"/>
      <c r="N264" s="598"/>
      <c r="O264" s="599"/>
      <c r="P264" s="599"/>
      <c r="Q264" s="599"/>
      <c r="R264" s="599"/>
      <c r="S264" s="598"/>
      <c r="T264" s="599"/>
      <c r="U264" s="599"/>
      <c r="V264" s="599"/>
      <c r="W264" s="599"/>
      <c r="X264" s="598"/>
      <c r="Y264" s="599"/>
      <c r="Z264" s="599"/>
      <c r="AA264" s="599"/>
      <c r="AB264" s="599"/>
      <c r="AC264" s="598"/>
      <c r="AD264" s="599"/>
      <c r="AE264" s="599"/>
      <c r="AF264" s="599"/>
      <c r="AG264" s="599"/>
      <c r="AH264" s="598"/>
      <c r="AI264" s="599"/>
      <c r="AJ264" s="599"/>
      <c r="AK264" s="599"/>
      <c r="AL264" s="599"/>
      <c r="AM264" s="598"/>
      <c r="AN264" s="599"/>
      <c r="AO264" s="599"/>
      <c r="AP264" s="599"/>
      <c r="AQ264" s="599"/>
      <c r="AR264" s="598"/>
      <c r="AS264" s="599"/>
      <c r="AT264" s="599"/>
      <c r="AU264" s="599"/>
      <c r="AV264" s="599"/>
      <c r="AW264" s="598"/>
      <c r="AX264" s="599"/>
      <c r="AY264" s="599"/>
      <c r="AZ264" s="599"/>
      <c r="BA264" s="599"/>
      <c r="BB264" s="598"/>
      <c r="BC264" s="599"/>
      <c r="BD264" s="599"/>
      <c r="BE264" s="599"/>
      <c r="BF264" s="599"/>
      <c r="BG264" s="598"/>
      <c r="BH264" s="599"/>
      <c r="BI264" s="599"/>
      <c r="BJ264" s="599"/>
      <c r="BK264" s="599"/>
      <c r="BL264" s="598"/>
      <c r="BM264" s="599"/>
      <c r="BN264" s="599"/>
      <c r="BO264" s="599"/>
      <c r="BP264" s="599"/>
      <c r="BQ264" s="598"/>
      <c r="BR264" s="599"/>
      <c r="BS264" s="599"/>
      <c r="BT264" s="599"/>
      <c r="BU264" s="599"/>
      <c r="BV264" s="598"/>
      <c r="BW264" s="599"/>
      <c r="BX264" s="599"/>
      <c r="BY264" s="599"/>
      <c r="BZ264" s="599"/>
      <c r="CA264" s="598"/>
      <c r="CB264" s="599"/>
      <c r="CC264" s="599"/>
      <c r="CD264" s="599"/>
      <c r="CE264" s="599"/>
      <c r="CF264" s="598"/>
      <c r="CG264" s="526"/>
      <c r="CH264" s="526"/>
      <c r="CI264" s="526"/>
      <c r="CJ264" s="526"/>
      <c r="CK264" s="598"/>
      <c r="CL264" s="526"/>
      <c r="CM264" s="526"/>
      <c r="CN264" s="526"/>
      <c r="CO264" s="526"/>
      <c r="CP264" s="598"/>
      <c r="CQ264" s="526"/>
      <c r="CR264" s="526"/>
      <c r="CS264" s="526"/>
      <c r="CT264" s="526"/>
      <c r="CU264" s="598"/>
      <c r="CV264" s="526"/>
      <c r="CW264" s="526"/>
      <c r="CX264" s="526"/>
      <c r="CY264" s="526"/>
      <c r="CZ264" s="598"/>
      <c r="DA264" s="526"/>
      <c r="DB264" s="526"/>
      <c r="DC264" s="526"/>
      <c r="DD264" s="526"/>
      <c r="DE264" s="598"/>
      <c r="DF264" s="526"/>
      <c r="DG264" s="526"/>
      <c r="DH264" s="526"/>
      <c r="DI264" s="1609"/>
      <c r="DJ264" s="598"/>
      <c r="DK264" s="526"/>
      <c r="DL264" s="526"/>
      <c r="DM264" s="526"/>
      <c r="DN264" s="526"/>
      <c r="DO264" s="598"/>
      <c r="DP264" s="526"/>
      <c r="DQ264" s="526"/>
      <c r="DR264" s="526"/>
      <c r="DS264" s="526"/>
      <c r="DT264" s="598"/>
      <c r="DU264" s="526"/>
      <c r="DV264" s="526"/>
      <c r="DW264" s="526"/>
      <c r="DX264" s="526"/>
      <c r="DY264" s="598"/>
    </row>
    <row r="265" spans="1:129" ht="11.25" customHeight="1" x14ac:dyDescent="0.2">
      <c r="A265" s="825"/>
      <c r="B265" s="924" t="s">
        <v>806</v>
      </c>
      <c r="C265" s="827"/>
      <c r="D265" s="828"/>
      <c r="E265" s="829"/>
      <c r="F265" s="829"/>
      <c r="G265" s="829"/>
      <c r="H265" s="829"/>
      <c r="I265" s="830"/>
      <c r="J265" s="829"/>
      <c r="K265" s="829"/>
      <c r="L265" s="829"/>
      <c r="M265" s="829"/>
      <c r="N265" s="830"/>
      <c r="O265" s="829"/>
      <c r="P265" s="829"/>
      <c r="Q265" s="829"/>
      <c r="R265" s="829"/>
      <c r="S265" s="830"/>
      <c r="T265" s="829"/>
      <c r="U265" s="829"/>
      <c r="V265" s="829"/>
      <c r="W265" s="829"/>
      <c r="X265" s="830"/>
      <c r="Y265" s="829"/>
      <c r="Z265" s="829"/>
      <c r="AA265" s="829"/>
      <c r="AB265" s="829"/>
      <c r="AC265" s="830"/>
      <c r="AD265" s="829"/>
      <c r="AE265" s="829"/>
      <c r="AF265" s="829"/>
      <c r="AG265" s="829"/>
      <c r="AH265" s="830"/>
      <c r="AI265" s="829"/>
      <c r="AJ265" s="829"/>
      <c r="AK265" s="829"/>
      <c r="AL265" s="829"/>
      <c r="AM265" s="830"/>
      <c r="AN265" s="829"/>
      <c r="AO265" s="829"/>
      <c r="AP265" s="829"/>
      <c r="AQ265" s="829"/>
      <c r="AR265" s="830"/>
      <c r="AS265" s="829"/>
      <c r="AT265" s="829"/>
      <c r="AU265" s="829"/>
      <c r="AV265" s="829"/>
      <c r="AW265" s="830"/>
      <c r="AX265" s="829"/>
      <c r="AY265" s="829"/>
      <c r="AZ265" s="829"/>
      <c r="BA265" s="829"/>
      <c r="BB265" s="830"/>
      <c r="BC265" s="829"/>
      <c r="BD265" s="829"/>
      <c r="BE265" s="829"/>
      <c r="BF265" s="829"/>
      <c r="BG265" s="830"/>
      <c r="BH265" s="829"/>
      <c r="BI265" s="829"/>
      <c r="BJ265" s="829"/>
      <c r="BK265" s="829"/>
      <c r="BL265" s="830"/>
      <c r="BM265" s="829"/>
      <c r="BN265" s="829"/>
      <c r="BO265" s="829"/>
      <c r="BP265" s="829"/>
      <c r="BQ265" s="830"/>
      <c r="BR265" s="829"/>
      <c r="BS265" s="829"/>
      <c r="BT265" s="829"/>
      <c r="BU265" s="829"/>
      <c r="BV265" s="830"/>
      <c r="BW265" s="829"/>
      <c r="BX265" s="829"/>
      <c r="BY265" s="829"/>
      <c r="BZ265" s="829"/>
      <c r="CA265" s="830"/>
      <c r="CB265" s="829"/>
      <c r="CC265" s="829"/>
      <c r="CD265" s="829"/>
      <c r="CE265" s="829"/>
      <c r="CF265" s="830"/>
      <c r="CG265" s="831"/>
      <c r="CH265" s="831"/>
      <c r="CI265" s="831"/>
      <c r="CJ265" s="831"/>
      <c r="CK265" s="830"/>
      <c r="CL265" s="831"/>
      <c r="CM265" s="831"/>
      <c r="CN265" s="831"/>
      <c r="CO265" s="831"/>
      <c r="CP265" s="830"/>
      <c r="CQ265" s="831"/>
      <c r="CR265" s="831"/>
      <c r="CS265" s="831"/>
      <c r="CT265" s="831"/>
      <c r="CU265" s="830"/>
      <c r="CV265" s="831"/>
      <c r="CW265" s="831"/>
      <c r="CX265" s="831"/>
      <c r="CY265" s="831"/>
      <c r="CZ265" s="830"/>
      <c r="DA265" s="831"/>
      <c r="DB265" s="831"/>
      <c r="DC265" s="831"/>
      <c r="DD265" s="831"/>
      <c r="DE265" s="830"/>
      <c r="DF265" s="831"/>
      <c r="DG265" s="831"/>
      <c r="DH265" s="831"/>
      <c r="DI265" s="2816"/>
      <c r="DJ265" s="830"/>
      <c r="DK265" s="831"/>
      <c r="DL265" s="831"/>
      <c r="DM265" s="831"/>
      <c r="DN265" s="831"/>
      <c r="DO265" s="830"/>
      <c r="DP265" s="831"/>
      <c r="DQ265" s="831"/>
      <c r="DR265" s="831"/>
      <c r="DS265" s="831"/>
      <c r="DT265" s="830"/>
      <c r="DU265" s="831"/>
      <c r="DV265" s="831"/>
      <c r="DW265" s="831"/>
      <c r="DX265" s="831"/>
      <c r="DY265" s="830"/>
    </row>
    <row r="266" spans="1:129" ht="11.25" customHeight="1" x14ac:dyDescent="0.2">
      <c r="A266" s="825"/>
      <c r="B266" s="821"/>
      <c r="C266" s="827"/>
      <c r="D266" s="828"/>
      <c r="E266" s="829"/>
      <c r="F266" s="829"/>
      <c r="G266" s="829"/>
      <c r="H266" s="829"/>
      <c r="I266" s="830"/>
      <c r="J266" s="829"/>
      <c r="K266" s="829"/>
      <c r="L266" s="829"/>
      <c r="M266" s="829"/>
      <c r="N266" s="830"/>
      <c r="O266" s="829"/>
      <c r="P266" s="829"/>
      <c r="Q266" s="829"/>
      <c r="R266" s="829"/>
      <c r="S266" s="830"/>
      <c r="T266" s="829"/>
      <c r="U266" s="829"/>
      <c r="V266" s="829"/>
      <c r="W266" s="829"/>
      <c r="X266" s="830"/>
      <c r="Y266" s="829"/>
      <c r="Z266" s="829"/>
      <c r="AA266" s="829"/>
      <c r="AB266" s="829"/>
      <c r="AC266" s="830"/>
      <c r="AD266" s="829"/>
      <c r="AE266" s="829"/>
      <c r="AF266" s="829"/>
      <c r="AG266" s="829"/>
      <c r="AH266" s="830"/>
      <c r="AI266" s="829"/>
      <c r="AJ266" s="829"/>
      <c r="AK266" s="829"/>
      <c r="AL266" s="829"/>
      <c r="AM266" s="830"/>
      <c r="AN266" s="829"/>
      <c r="AO266" s="829"/>
      <c r="AP266" s="829"/>
      <c r="AQ266" s="829"/>
      <c r="AR266" s="830"/>
      <c r="AS266" s="829"/>
      <c r="AT266" s="829"/>
      <c r="AU266" s="829"/>
      <c r="AV266" s="829"/>
      <c r="AW266" s="830"/>
      <c r="AX266" s="829"/>
      <c r="AY266" s="829"/>
      <c r="AZ266" s="829"/>
      <c r="BA266" s="829"/>
      <c r="BB266" s="830"/>
      <c r="BC266" s="829"/>
      <c r="BD266" s="829"/>
      <c r="BE266" s="829"/>
      <c r="BF266" s="829"/>
      <c r="BG266" s="830"/>
      <c r="BH266" s="829"/>
      <c r="BI266" s="829"/>
      <c r="BJ266" s="829"/>
      <c r="BK266" s="829"/>
      <c r="BL266" s="830"/>
      <c r="BM266" s="829"/>
      <c r="BN266" s="829"/>
      <c r="BO266" s="829"/>
      <c r="BP266" s="829"/>
      <c r="BQ266" s="830"/>
      <c r="BR266" s="829"/>
      <c r="BS266" s="829"/>
      <c r="BT266" s="829"/>
      <c r="BU266" s="829"/>
      <c r="BV266" s="830"/>
      <c r="BW266" s="829"/>
      <c r="BX266" s="829"/>
      <c r="BY266" s="829"/>
      <c r="BZ266" s="829"/>
      <c r="CA266" s="830"/>
      <c r="CB266" s="829"/>
      <c r="CC266" s="829"/>
      <c r="CD266" s="829"/>
      <c r="CE266" s="829"/>
      <c r="CF266" s="830"/>
      <c r="CG266" s="831"/>
      <c r="CH266" s="831"/>
      <c r="CI266" s="831"/>
      <c r="CJ266" s="831"/>
      <c r="CK266" s="830"/>
      <c r="CL266" s="831"/>
      <c r="CM266" s="831"/>
      <c r="CN266" s="831"/>
      <c r="CO266" s="831"/>
      <c r="CP266" s="830"/>
      <c r="CQ266" s="831"/>
      <c r="CR266" s="831"/>
      <c r="CS266" s="831"/>
      <c r="CT266" s="831"/>
      <c r="CU266" s="830"/>
      <c r="CV266" s="831"/>
      <c r="CW266" s="831"/>
      <c r="CX266" s="831"/>
      <c r="CY266" s="831"/>
      <c r="CZ266" s="830"/>
      <c r="DA266" s="831"/>
      <c r="DB266" s="831"/>
      <c r="DC266" s="831"/>
      <c r="DD266" s="831"/>
      <c r="DE266" s="830"/>
      <c r="DF266" s="831"/>
      <c r="DG266" s="831"/>
      <c r="DH266" s="831"/>
      <c r="DI266" s="2816"/>
      <c r="DJ266" s="830"/>
      <c r="DK266" s="831"/>
      <c r="DL266" s="831"/>
      <c r="DM266" s="831"/>
      <c r="DN266" s="831"/>
      <c r="DO266" s="830"/>
      <c r="DP266" s="831"/>
      <c r="DQ266" s="831"/>
      <c r="DR266" s="831"/>
      <c r="DS266" s="831"/>
      <c r="DT266" s="830"/>
      <c r="DU266" s="831"/>
      <c r="DV266" s="831"/>
      <c r="DW266" s="831"/>
      <c r="DX266" s="831"/>
      <c r="DY266" s="830"/>
    </row>
    <row r="267" spans="1:129" ht="11.25" customHeight="1" x14ac:dyDescent="0.2">
      <c r="A267" s="825"/>
      <c r="B267" s="756" t="s">
        <v>786</v>
      </c>
      <c r="C267" s="827"/>
      <c r="D267" s="828"/>
      <c r="E267" s="829"/>
      <c r="F267" s="829"/>
      <c r="G267" s="829"/>
      <c r="H267" s="829"/>
      <c r="I267" s="830"/>
      <c r="J267" s="829"/>
      <c r="K267" s="829"/>
      <c r="L267" s="829"/>
      <c r="M267" s="829"/>
      <c r="N267" s="830"/>
      <c r="O267" s="829"/>
      <c r="P267" s="829"/>
      <c r="Q267" s="829"/>
      <c r="R267" s="829"/>
      <c r="S267" s="830"/>
      <c r="T267" s="829"/>
      <c r="U267" s="829"/>
      <c r="V267" s="829"/>
      <c r="W267" s="829"/>
      <c r="X267" s="830"/>
      <c r="Y267" s="829"/>
      <c r="Z267" s="829"/>
      <c r="AA267" s="829"/>
      <c r="AB267" s="829"/>
      <c r="AC267" s="830"/>
      <c r="AD267" s="829"/>
      <c r="AE267" s="829"/>
      <c r="AF267" s="829"/>
      <c r="AG267" s="829"/>
      <c r="AH267" s="830"/>
      <c r="AI267" s="829"/>
      <c r="AJ267" s="829"/>
      <c r="AK267" s="829"/>
      <c r="AL267" s="829"/>
      <c r="AM267" s="830"/>
      <c r="AN267" s="829"/>
      <c r="AO267" s="829"/>
      <c r="AP267" s="829"/>
      <c r="AQ267" s="829"/>
      <c r="AR267" s="830"/>
      <c r="AS267" s="829"/>
      <c r="AT267" s="829"/>
      <c r="AU267" s="829"/>
      <c r="AV267" s="829"/>
      <c r="AW267" s="830"/>
      <c r="AX267" s="829"/>
      <c r="AY267" s="829"/>
      <c r="AZ267" s="829"/>
      <c r="BA267" s="829"/>
      <c r="BB267" s="830"/>
      <c r="BC267" s="829"/>
      <c r="BD267" s="829"/>
      <c r="BE267" s="829"/>
      <c r="BF267" s="829"/>
      <c r="BG267" s="830"/>
      <c r="BH267" s="829"/>
      <c r="BI267" s="829"/>
      <c r="BJ267" s="829"/>
      <c r="BK267" s="829"/>
      <c r="BL267" s="870">
        <f t="shared" ref="BL267:BT267" si="463">BL158/BL$182</f>
        <v>0.13930578013981301</v>
      </c>
      <c r="BM267" s="803">
        <f t="shared" si="463"/>
        <v>0.15750604928766293</v>
      </c>
      <c r="BN267" s="803">
        <f t="shared" si="463"/>
        <v>0.15892515355306694</v>
      </c>
      <c r="BO267" s="803">
        <f t="shared" si="463"/>
        <v>0.1690396239572417</v>
      </c>
      <c r="BP267" s="803">
        <f t="shared" si="463"/>
        <v>0.17232884379244176</v>
      </c>
      <c r="BQ267" s="870">
        <f t="shared" si="463"/>
        <v>0.16462596763853179</v>
      </c>
      <c r="BR267" s="803">
        <f t="shared" si="463"/>
        <v>0.17291337517772307</v>
      </c>
      <c r="BS267" s="803">
        <f t="shared" si="463"/>
        <v>0.17920413642974362</v>
      </c>
      <c r="BT267" s="803">
        <f t="shared" si="463"/>
        <v>0.17805960283570973</v>
      </c>
      <c r="BU267" s="803">
        <f>(BU158+(BU163*BU148))/BU$182</f>
        <v>0.18576831729896331</v>
      </c>
      <c r="BV267" s="870">
        <f>(BV158+(BV163*BV148))/BV$182</f>
        <v>0.17922704017226312</v>
      </c>
      <c r="BW267" s="803">
        <f t="shared" ref="BW267:CZ267" si="464">BW158/BW$182</f>
        <v>0.18418194873459903</v>
      </c>
      <c r="BX267" s="803">
        <f t="shared" si="464"/>
        <v>0.18858736285304056</v>
      </c>
      <c r="BY267" s="803">
        <f t="shared" si="464"/>
        <v>0.19178755597511735</v>
      </c>
      <c r="BZ267" s="803">
        <f t="shared" si="464"/>
        <v>0.19579223125564588</v>
      </c>
      <c r="CA267" s="870">
        <f t="shared" si="464"/>
        <v>0.19013106833466512</v>
      </c>
      <c r="CB267" s="803">
        <f t="shared" si="464"/>
        <v>0.20562650258188675</v>
      </c>
      <c r="CC267" s="803">
        <f t="shared" si="464"/>
        <v>0.20955081132924108</v>
      </c>
      <c r="CD267" s="751">
        <f t="shared" si="464"/>
        <v>0.20321743569379835</v>
      </c>
      <c r="CE267" s="751">
        <f t="shared" si="464"/>
        <v>0.22692975198103732</v>
      </c>
      <c r="CF267" s="849">
        <f t="shared" si="464"/>
        <v>0.21169583173790812</v>
      </c>
      <c r="CG267" s="751">
        <f t="shared" si="464"/>
        <v>0.23553536687888368</v>
      </c>
      <c r="CH267" s="751">
        <f t="shared" si="464"/>
        <v>0.24326656005920755</v>
      </c>
      <c r="CI267" s="751">
        <f t="shared" si="464"/>
        <v>0.25062874045717537</v>
      </c>
      <c r="CJ267" s="751">
        <f t="shared" si="464"/>
        <v>0.26213370248289003</v>
      </c>
      <c r="CK267" s="849">
        <f t="shared" si="464"/>
        <v>0.24794147207583769</v>
      </c>
      <c r="CL267" s="751">
        <f t="shared" si="464"/>
        <v>0.25849998403672197</v>
      </c>
      <c r="CM267" s="751">
        <f t="shared" si="464"/>
        <v>0.25665861633443904</v>
      </c>
      <c r="CN267" s="751">
        <f t="shared" si="464"/>
        <v>0.25449900471279197</v>
      </c>
      <c r="CO267" s="751">
        <f>CO158/CO$182</f>
        <v>0.25819013662266399</v>
      </c>
      <c r="CP267" s="849">
        <f t="shared" si="464"/>
        <v>0.25695285369075493</v>
      </c>
      <c r="CQ267" s="751">
        <f t="shared" si="464"/>
        <v>0.26086122197993378</v>
      </c>
      <c r="CR267" s="751">
        <f t="shared" si="464"/>
        <v>0.25489021695530745</v>
      </c>
      <c r="CS267" s="751">
        <f t="shared" ca="1" si="464"/>
        <v>0.25302889174168658</v>
      </c>
      <c r="CT267" s="751">
        <f t="shared" ca="1" si="464"/>
        <v>0.26073578965887456</v>
      </c>
      <c r="CU267" s="849">
        <f t="shared" ca="1" si="464"/>
        <v>0.25732766111961164</v>
      </c>
      <c r="CV267" s="751">
        <f t="shared" ca="1" si="464"/>
        <v>0.26029720965273861</v>
      </c>
      <c r="CW267" s="751">
        <f t="shared" ca="1" si="464"/>
        <v>0.25562229137418324</v>
      </c>
      <c r="CX267" s="751">
        <f t="shared" ca="1" si="464"/>
        <v>0.25349082960962305</v>
      </c>
      <c r="CY267" s="751">
        <f ca="1">CY158/CY$182</f>
        <v>0.26176997633995763</v>
      </c>
      <c r="CZ267" s="849">
        <f t="shared" ca="1" si="464"/>
        <v>0.25781652216450063</v>
      </c>
      <c r="DA267" s="751">
        <f t="shared" ref="DA267:DE268" ca="1" si="465">DA158/DA$182</f>
        <v>0.27799890908301805</v>
      </c>
      <c r="DB267" s="751">
        <f t="shared" ca="1" si="465"/>
        <v>0.2642598005507843</v>
      </c>
      <c r="DC267" s="751">
        <f t="shared" ca="1" si="465"/>
        <v>0.26840327142148185</v>
      </c>
      <c r="DD267" s="751">
        <f t="shared" ca="1" si="465"/>
        <v>0.28208188407296464</v>
      </c>
      <c r="DE267" s="849">
        <f t="shared" ca="1" si="465"/>
        <v>0.27324916897248475</v>
      </c>
      <c r="DF267" s="751">
        <f t="shared" ref="DF267:DJ268" ca="1" si="466">DF158/DF$182</f>
        <v>0.28980397545863895</v>
      </c>
      <c r="DG267" s="751">
        <f t="shared" ca="1" si="466"/>
        <v>0.28598453879963082</v>
      </c>
      <c r="DH267" s="751">
        <f t="shared" ref="DH267:DI268" ca="1" si="467">DH158/DH$182</f>
        <v>0.28745700283164932</v>
      </c>
      <c r="DI267" s="2821">
        <f t="shared" ca="1" si="467"/>
        <v>0.29099867455389594</v>
      </c>
      <c r="DJ267" s="849">
        <f t="shared" ca="1" si="466"/>
        <v>0.28857981991876447</v>
      </c>
      <c r="DK267" s="751">
        <f t="shared" ref="DK267:DT267" ca="1" si="468">DK158/DK$182</f>
        <v>0.27638815017010876</v>
      </c>
      <c r="DL267" s="751">
        <f t="shared" ca="1" si="468"/>
        <v>0.2603419589768754</v>
      </c>
      <c r="DM267" s="751">
        <f t="shared" ca="1" si="468"/>
        <v>0.26674706115947339</v>
      </c>
      <c r="DN267" s="751">
        <f t="shared" ca="1" si="468"/>
        <v>0.27673304343083688</v>
      </c>
      <c r="DO267" s="849">
        <f t="shared" ca="1" si="468"/>
        <v>0.26996161589939804</v>
      </c>
      <c r="DP267" s="751">
        <f t="shared" ca="1" si="468"/>
        <v>0.28065301923668118</v>
      </c>
      <c r="DQ267" s="751">
        <f t="shared" ca="1" si="468"/>
        <v>0.26466015725773634</v>
      </c>
      <c r="DR267" s="751">
        <f t="shared" ca="1" si="468"/>
        <v>0.27145421660734076</v>
      </c>
      <c r="DS267" s="751">
        <f t="shared" ca="1" si="468"/>
        <v>0.28195656179811035</v>
      </c>
      <c r="DT267" s="849">
        <f t="shared" ca="1" si="468"/>
        <v>0.27459847791661529</v>
      </c>
      <c r="DU267" s="751">
        <f t="shared" ref="DU267:DY267" ca="1" si="469">DU158/DU$182</f>
        <v>0.28637060002781128</v>
      </c>
      <c r="DV267" s="751">
        <f t="shared" ca="1" si="469"/>
        <v>0.27051836169368415</v>
      </c>
      <c r="DW267" s="751">
        <f t="shared" ca="1" si="469"/>
        <v>0.27780198025987507</v>
      </c>
      <c r="DX267" s="751">
        <f t="shared" ca="1" si="469"/>
        <v>0.28894269399690825</v>
      </c>
      <c r="DY267" s="849">
        <f t="shared" ca="1" si="469"/>
        <v>0.28083706099845257</v>
      </c>
    </row>
    <row r="268" spans="1:129" ht="11.25" customHeight="1" x14ac:dyDescent="0.2">
      <c r="A268" s="825"/>
      <c r="B268" s="756" t="s">
        <v>745</v>
      </c>
      <c r="C268" s="827"/>
      <c r="D268" s="828"/>
      <c r="E268" s="829"/>
      <c r="F268" s="829"/>
      <c r="G268" s="829"/>
      <c r="H268" s="829"/>
      <c r="I268" s="830"/>
      <c r="J268" s="829"/>
      <c r="K268" s="829"/>
      <c r="L268" s="829"/>
      <c r="M268" s="829"/>
      <c r="N268" s="830"/>
      <c r="O268" s="829"/>
      <c r="P268" s="829"/>
      <c r="Q268" s="829"/>
      <c r="R268" s="829"/>
      <c r="S268" s="830"/>
      <c r="T268" s="829"/>
      <c r="U268" s="829"/>
      <c r="V268" s="829"/>
      <c r="W268" s="829"/>
      <c r="X268" s="830"/>
      <c r="Y268" s="829"/>
      <c r="Z268" s="829"/>
      <c r="AA268" s="829"/>
      <c r="AB268" s="829"/>
      <c r="AC268" s="830"/>
      <c r="AD268" s="829"/>
      <c r="AE268" s="829"/>
      <c r="AF268" s="829"/>
      <c r="AG268" s="829"/>
      <c r="AH268" s="830"/>
      <c r="AI268" s="829"/>
      <c r="AJ268" s="829"/>
      <c r="AK268" s="829"/>
      <c r="AL268" s="829"/>
      <c r="AM268" s="830"/>
      <c r="AN268" s="829"/>
      <c r="AO268" s="829"/>
      <c r="AP268" s="829"/>
      <c r="AQ268" s="829"/>
      <c r="AR268" s="830"/>
      <c r="AS268" s="829"/>
      <c r="AT268" s="829"/>
      <c r="AU268" s="829"/>
      <c r="AV268" s="829"/>
      <c r="AW268" s="830"/>
      <c r="AX268" s="829"/>
      <c r="AY268" s="829"/>
      <c r="AZ268" s="829"/>
      <c r="BA268" s="829"/>
      <c r="BB268" s="830"/>
      <c r="BC268" s="829"/>
      <c r="BD268" s="829"/>
      <c r="BE268" s="829"/>
      <c r="BF268" s="829"/>
      <c r="BG268" s="830"/>
      <c r="BH268" s="829"/>
      <c r="BI268" s="829"/>
      <c r="BJ268" s="829"/>
      <c r="BK268" s="829"/>
      <c r="BL268" s="870">
        <f t="shared" ref="BL268:BT268" si="470">BL159/BL$182</f>
        <v>0.45692358354026391</v>
      </c>
      <c r="BM268" s="803">
        <f t="shared" si="470"/>
        <v>0.49497846026671394</v>
      </c>
      <c r="BN268" s="803">
        <f t="shared" si="470"/>
        <v>0.49257435849557801</v>
      </c>
      <c r="BO268" s="803">
        <f t="shared" si="470"/>
        <v>0.47932169910162203</v>
      </c>
      <c r="BP268" s="803">
        <f t="shared" si="470"/>
        <v>0.4788511159845496</v>
      </c>
      <c r="BQ268" s="870">
        <f t="shared" si="470"/>
        <v>0.48627238097190645</v>
      </c>
      <c r="BR268" s="803">
        <f t="shared" si="470"/>
        <v>0.47713690744529591</v>
      </c>
      <c r="BS268" s="803">
        <f t="shared" si="470"/>
        <v>0.50075957792845405</v>
      </c>
      <c r="BT268" s="803">
        <f t="shared" si="470"/>
        <v>0.49592334460218507</v>
      </c>
      <c r="BU268" s="803">
        <f>(BU159+(BU163*BU149))/BU$182</f>
        <v>0.51739329847334614</v>
      </c>
      <c r="BV268" s="870">
        <f>(BV159+(BV163*BV149))/BV$182</f>
        <v>0.49858274187023177</v>
      </c>
      <c r="BW268" s="803">
        <f t="shared" ref="BW268:CZ268" si="471">BW159/BW$182</f>
        <v>0.46384103200213633</v>
      </c>
      <c r="BX268" s="803">
        <f t="shared" si="471"/>
        <v>0.45583831282263509</v>
      </c>
      <c r="BY268" s="803">
        <f t="shared" si="471"/>
        <v>0.44673332277718858</v>
      </c>
      <c r="BZ268" s="803">
        <f t="shared" si="471"/>
        <v>0.44196747967479683</v>
      </c>
      <c r="CA268" s="870">
        <f t="shared" si="471"/>
        <v>0.45201296984110251</v>
      </c>
      <c r="CB268" s="803">
        <f t="shared" si="471"/>
        <v>0.46349009510613953</v>
      </c>
      <c r="CC268" s="803">
        <f t="shared" si="471"/>
        <v>0.45786984807167747</v>
      </c>
      <c r="CD268" s="751">
        <f t="shared" si="471"/>
        <v>0.47275228994480151</v>
      </c>
      <c r="CE268" s="751">
        <f t="shared" si="471"/>
        <v>0.46121953014681261</v>
      </c>
      <c r="CF268" s="849">
        <f t="shared" si="471"/>
        <v>0.4638110911612236</v>
      </c>
      <c r="CG268" s="751">
        <f t="shared" si="471"/>
        <v>0.45211490634515999</v>
      </c>
      <c r="CH268" s="751">
        <f t="shared" si="471"/>
        <v>0.44202758951794219</v>
      </c>
      <c r="CI268" s="751">
        <f t="shared" si="471"/>
        <v>0.43321585615554414</v>
      </c>
      <c r="CJ268" s="751">
        <f t="shared" si="471"/>
        <v>0.42652631253695761</v>
      </c>
      <c r="CK268" s="849">
        <f t="shared" si="471"/>
        <v>0.43843726546569056</v>
      </c>
      <c r="CL268" s="751">
        <f t="shared" si="471"/>
        <v>0.41826223711587396</v>
      </c>
      <c r="CM268" s="751">
        <f t="shared" si="471"/>
        <v>0.41935167798250778</v>
      </c>
      <c r="CN268" s="751">
        <f t="shared" si="471"/>
        <v>0.41426871174712432</v>
      </c>
      <c r="CO268" s="751">
        <f>CO159/CO$182</f>
        <v>0.4081401113753072</v>
      </c>
      <c r="CP268" s="849">
        <f t="shared" si="471"/>
        <v>0.4148693270796705</v>
      </c>
      <c r="CQ268" s="751">
        <f t="shared" si="471"/>
        <v>0.38802918059220298</v>
      </c>
      <c r="CR268" s="751">
        <f t="shared" si="471"/>
        <v>0.39628514944567772</v>
      </c>
      <c r="CS268" s="751">
        <f t="shared" ca="1" si="471"/>
        <v>0.38334754173070545</v>
      </c>
      <c r="CT268" s="751">
        <f t="shared" ca="1" si="471"/>
        <v>0.38233470901809341</v>
      </c>
      <c r="CU268" s="849">
        <f t="shared" ca="1" si="471"/>
        <v>0.38737496527497045</v>
      </c>
      <c r="CV268" s="751">
        <f ca="1">CV159/CV$182</f>
        <v>0.37033904243592536</v>
      </c>
      <c r="CW268" s="751">
        <f t="shared" ca="1" si="471"/>
        <v>0.36902431378507461</v>
      </c>
      <c r="CX268" s="751">
        <f t="shared" ca="1" si="471"/>
        <v>0.36215020523766844</v>
      </c>
      <c r="CY268" s="751">
        <f ca="1">CY159/CY$182</f>
        <v>0.34913516777198961</v>
      </c>
      <c r="CZ268" s="849">
        <f t="shared" ca="1" si="471"/>
        <v>0.36233427854420008</v>
      </c>
      <c r="DA268" s="751">
        <f t="shared" ca="1" si="465"/>
        <v>0.36640574935605724</v>
      </c>
      <c r="DB268" s="751">
        <f t="shared" ca="1" si="465"/>
        <v>0.37206101490713139</v>
      </c>
      <c r="DC268" s="751">
        <f t="shared" ca="1" si="465"/>
        <v>0.3714053328421999</v>
      </c>
      <c r="DD268" s="751">
        <f t="shared" ca="1" si="465"/>
        <v>0.35981348786434675</v>
      </c>
      <c r="DE268" s="849">
        <f t="shared" ca="1" si="465"/>
        <v>0.36734728060538574</v>
      </c>
      <c r="DF268" s="751">
        <f t="shared" ca="1" si="466"/>
        <v>0.36039603927423169</v>
      </c>
      <c r="DG268" s="751">
        <f t="shared" ca="1" si="466"/>
        <v>0.35564624299560271</v>
      </c>
      <c r="DH268" s="751">
        <f t="shared" ref="DH268" ca="1" si="472">DH159/DH$182</f>
        <v>0.35747737800426993</v>
      </c>
      <c r="DI268" s="2821">
        <f t="shared" ca="1" si="467"/>
        <v>0.36188174981831156</v>
      </c>
      <c r="DJ268" s="849">
        <f t="shared" ca="1" si="466"/>
        <v>0.35887369712096018</v>
      </c>
      <c r="DK268" s="751">
        <f t="shared" ref="DK268:DT268" ca="1" si="473">DK159/DK$182</f>
        <v>0.40716025479952384</v>
      </c>
      <c r="DL268" s="751">
        <f t="shared" ca="1" si="473"/>
        <v>0.38158727403234383</v>
      </c>
      <c r="DM268" s="751">
        <f t="shared" ca="1" si="473"/>
        <v>0.37671031677807398</v>
      </c>
      <c r="DN268" s="751">
        <f t="shared" ca="1" si="473"/>
        <v>0.37540287778866638</v>
      </c>
      <c r="DO268" s="849">
        <f t="shared" ca="1" si="473"/>
        <v>0.38472870156187411</v>
      </c>
      <c r="DP268" s="751">
        <f t="shared" ca="1" si="473"/>
        <v>0.40074801919776276</v>
      </c>
      <c r="DQ268" s="751">
        <f t="shared" ca="1" si="473"/>
        <v>0.37533635771742974</v>
      </c>
      <c r="DR268" s="751">
        <f t="shared" ca="1" si="473"/>
        <v>0.37043457118119405</v>
      </c>
      <c r="DS268" s="751">
        <f t="shared" ca="1" si="473"/>
        <v>0.36893275818917093</v>
      </c>
      <c r="DT268" s="849">
        <f t="shared" ca="1" si="473"/>
        <v>0.37839094343164026</v>
      </c>
      <c r="DU268" s="751">
        <f t="shared" ref="DU268:DY268" ca="1" si="474">DU159/DU$182</f>
        <v>0.39386118947081639</v>
      </c>
      <c r="DV268" s="751">
        <f t="shared" ca="1" si="474"/>
        <v>0.36874790848208444</v>
      </c>
      <c r="DW268" s="751">
        <f t="shared" ca="1" si="474"/>
        <v>0.36380613491771913</v>
      </c>
      <c r="DX268" s="751">
        <f t="shared" ca="1" si="474"/>
        <v>0.36205265572072975</v>
      </c>
      <c r="DY268" s="849">
        <f t="shared" ca="1" si="474"/>
        <v>0.3716652783666094</v>
      </c>
    </row>
    <row r="269" spans="1:129" ht="11.25" customHeight="1" x14ac:dyDescent="0.2">
      <c r="A269" s="825"/>
      <c r="B269" s="821" t="s">
        <v>752</v>
      </c>
      <c r="C269" s="827"/>
      <c r="D269" s="828"/>
      <c r="E269" s="829"/>
      <c r="F269" s="829"/>
      <c r="G269" s="829"/>
      <c r="H269" s="829"/>
      <c r="I269" s="830"/>
      <c r="J269" s="829"/>
      <c r="K269" s="829"/>
      <c r="L269" s="829"/>
      <c r="M269" s="829"/>
      <c r="N269" s="830"/>
      <c r="O269" s="829"/>
      <c r="P269" s="829"/>
      <c r="Q269" s="829"/>
      <c r="R269" s="829"/>
      <c r="S269" s="830"/>
      <c r="T269" s="829"/>
      <c r="U269" s="829"/>
      <c r="V269" s="829"/>
      <c r="W269" s="829"/>
      <c r="X269" s="830"/>
      <c r="Y269" s="829"/>
      <c r="Z269" s="829"/>
      <c r="AA269" s="829"/>
      <c r="AB269" s="829"/>
      <c r="AC269" s="830"/>
      <c r="AD269" s="829"/>
      <c r="AE269" s="829"/>
      <c r="AF269" s="829"/>
      <c r="AG269" s="829"/>
      <c r="AH269" s="830"/>
      <c r="AI269" s="829"/>
      <c r="AJ269" s="829"/>
      <c r="AK269" s="829"/>
      <c r="AL269" s="829"/>
      <c r="AM269" s="830"/>
      <c r="AN269" s="829"/>
      <c r="AO269" s="829"/>
      <c r="AP269" s="829"/>
      <c r="AQ269" s="829"/>
      <c r="AR269" s="830"/>
      <c r="AS269" s="829"/>
      <c r="AT269" s="829"/>
      <c r="AU269" s="829"/>
      <c r="AV269" s="829"/>
      <c r="AW269" s="830"/>
      <c r="AX269" s="829"/>
      <c r="AY269" s="829"/>
      <c r="AZ269" s="829"/>
      <c r="BA269" s="829"/>
      <c r="BB269" s="830"/>
      <c r="BC269" s="829"/>
      <c r="BD269" s="829"/>
      <c r="BE269" s="829"/>
      <c r="BF269" s="829"/>
      <c r="BG269" s="830"/>
      <c r="BH269" s="829"/>
      <c r="BI269" s="829"/>
      <c r="BJ269" s="829"/>
      <c r="BK269" s="829"/>
      <c r="BL269" s="870">
        <f>BL160/BL182</f>
        <v>0.59622936368007684</v>
      </c>
      <c r="BM269" s="743"/>
      <c r="BN269" s="743"/>
      <c r="BO269" s="743"/>
      <c r="BP269" s="743"/>
      <c r="BQ269" s="870">
        <f>BQ160/BQ182</f>
        <v>0.65089834861043827</v>
      </c>
      <c r="BR269" s="743"/>
      <c r="BS269" s="743"/>
      <c r="BT269" s="743"/>
      <c r="BU269" s="743"/>
      <c r="BV269" s="870">
        <f>BV165/BV182</f>
        <v>0.67085675119945176</v>
      </c>
      <c r="BW269" s="743"/>
      <c r="BX269" s="743"/>
      <c r="BY269" s="743"/>
      <c r="BZ269" s="743"/>
      <c r="CA269" s="870">
        <f t="shared" ref="CA269:CZ269" si="475">CA160/CA182</f>
        <v>0.6421440381757676</v>
      </c>
      <c r="CB269" s="803">
        <f t="shared" si="475"/>
        <v>0.66911659768802623</v>
      </c>
      <c r="CC269" s="803">
        <f t="shared" si="475"/>
        <v>0.66742065940091855</v>
      </c>
      <c r="CD269" s="751">
        <f t="shared" si="475"/>
        <v>0.67596972563859981</v>
      </c>
      <c r="CE269" s="751">
        <f t="shared" si="475"/>
        <v>0.68814928212784987</v>
      </c>
      <c r="CF269" s="849">
        <f t="shared" si="475"/>
        <v>0.67550692289913172</v>
      </c>
      <c r="CG269" s="751">
        <f t="shared" si="475"/>
        <v>0.68765027322404371</v>
      </c>
      <c r="CH269" s="751">
        <f t="shared" si="475"/>
        <v>0.68529414957714974</v>
      </c>
      <c r="CI269" s="751">
        <f t="shared" si="475"/>
        <v>0.68384459661271957</v>
      </c>
      <c r="CJ269" s="751">
        <f t="shared" si="475"/>
        <v>0.68866001501984764</v>
      </c>
      <c r="CK269" s="849">
        <f t="shared" si="475"/>
        <v>0.68637873754152823</v>
      </c>
      <c r="CL269" s="751">
        <f t="shared" si="475"/>
        <v>0.67676222115259599</v>
      </c>
      <c r="CM269" s="751">
        <f t="shared" si="475"/>
        <v>0.67601029431694681</v>
      </c>
      <c r="CN269" s="751">
        <f t="shared" si="475"/>
        <v>0.66876771645991628</v>
      </c>
      <c r="CO269" s="751">
        <f>CO160/CO182</f>
        <v>0.66633024799797114</v>
      </c>
      <c r="CP269" s="849">
        <f t="shared" si="475"/>
        <v>0.67182218077042544</v>
      </c>
      <c r="CQ269" s="751">
        <f t="shared" si="475"/>
        <v>0.64889040257213682</v>
      </c>
      <c r="CR269" s="751">
        <f t="shared" si="475"/>
        <v>0.65117536640098517</v>
      </c>
      <c r="CS269" s="751">
        <f t="shared" ca="1" si="475"/>
        <v>0.63637643347239203</v>
      </c>
      <c r="CT269" s="751">
        <f t="shared" ca="1" si="475"/>
        <v>0.64307049867696797</v>
      </c>
      <c r="CU269" s="849">
        <f t="shared" ca="1" si="475"/>
        <v>0.64470262639458209</v>
      </c>
      <c r="CV269" s="751">
        <f t="shared" ca="1" si="475"/>
        <v>0.63063625208866403</v>
      </c>
      <c r="CW269" s="751">
        <f t="shared" ca="1" si="475"/>
        <v>0.62464660515925774</v>
      </c>
      <c r="CX269" s="751">
        <f t="shared" ca="1" si="475"/>
        <v>0.61564103484729149</v>
      </c>
      <c r="CY269" s="751">
        <f ca="1">CY160/CY182</f>
        <v>0.61090514411194718</v>
      </c>
      <c r="CZ269" s="849">
        <f t="shared" ca="1" si="475"/>
        <v>0.62015080070870066</v>
      </c>
      <c r="DA269" s="751">
        <f t="shared" ref="DA269:DJ269" ca="1" si="476">DA160/DA182</f>
        <v>0.64440465843907524</v>
      </c>
      <c r="DB269" s="751">
        <f ca="1">DB160/DB182</f>
        <v>0.63632081545791563</v>
      </c>
      <c r="DC269" s="751">
        <f ca="1">DC160/DC182</f>
        <v>0.6398086042636818</v>
      </c>
      <c r="DD269" s="751">
        <f ca="1">DD160/DD182</f>
        <v>0.64189537193731139</v>
      </c>
      <c r="DE269" s="849">
        <f t="shared" ca="1" si="476"/>
        <v>0.64059644957787054</v>
      </c>
      <c r="DF269" s="751">
        <f t="shared" ca="1" si="476"/>
        <v>0.65020001473287059</v>
      </c>
      <c r="DG269" s="751">
        <f t="shared" ca="1" si="476"/>
        <v>0.64163078179523347</v>
      </c>
      <c r="DH269" s="751">
        <f t="shared" ref="DH269:DI269" ca="1" si="477">DH160/DH182</f>
        <v>0.64493438083591925</v>
      </c>
      <c r="DI269" s="2821">
        <f t="shared" ca="1" si="477"/>
        <v>0.6528804243722075</v>
      </c>
      <c r="DJ269" s="849">
        <f t="shared" ca="1" si="476"/>
        <v>0.64745351703972465</v>
      </c>
      <c r="DK269" s="751">
        <f t="shared" ref="DK269:DT269" ca="1" si="478">DK160/DK182</f>
        <v>0.68354840496963254</v>
      </c>
      <c r="DL269" s="751">
        <f t="shared" ca="1" si="478"/>
        <v>0.64192923300921922</v>
      </c>
      <c r="DM269" s="751">
        <f t="shared" ca="1" si="478"/>
        <v>0.64345737793754743</v>
      </c>
      <c r="DN269" s="751">
        <f t="shared" ca="1" si="478"/>
        <v>0.65213592121950326</v>
      </c>
      <c r="DO269" s="849">
        <f t="shared" ca="1" si="478"/>
        <v>0.65469031746127215</v>
      </c>
      <c r="DP269" s="751">
        <f t="shared" ca="1" si="478"/>
        <v>0.68140103843444388</v>
      </c>
      <c r="DQ269" s="751">
        <f t="shared" ca="1" si="478"/>
        <v>0.63999651497516608</v>
      </c>
      <c r="DR269" s="751">
        <f t="shared" ca="1" si="478"/>
        <v>0.64188878778853475</v>
      </c>
      <c r="DS269" s="751">
        <f t="shared" ca="1" si="478"/>
        <v>0.65088931998728128</v>
      </c>
      <c r="DT269" s="849">
        <f t="shared" ca="1" si="478"/>
        <v>0.65298942134825555</v>
      </c>
      <c r="DU269" s="751">
        <f t="shared" ref="DU269:DY269" ca="1" si="479">DU160/DU182</f>
        <v>0.68023178949862773</v>
      </c>
      <c r="DV269" s="751">
        <f t="shared" ca="1" si="479"/>
        <v>0.63926627017576854</v>
      </c>
      <c r="DW269" s="751">
        <f t="shared" ca="1" si="479"/>
        <v>0.6416081151775942</v>
      </c>
      <c r="DX269" s="751">
        <f t="shared" ca="1" si="479"/>
        <v>0.65099534971763806</v>
      </c>
      <c r="DY269" s="849">
        <f t="shared" ca="1" si="479"/>
        <v>0.65250233936506197</v>
      </c>
    </row>
    <row r="270" spans="1:129" ht="11.25" customHeight="1" x14ac:dyDescent="0.2">
      <c r="A270" s="825"/>
      <c r="B270" s="822"/>
      <c r="C270" s="827"/>
      <c r="D270" s="828"/>
      <c r="E270" s="829"/>
      <c r="F270" s="829"/>
      <c r="G270" s="829"/>
      <c r="H270" s="829"/>
      <c r="I270" s="830"/>
      <c r="J270" s="829"/>
      <c r="K270" s="829"/>
      <c r="L270" s="829"/>
      <c r="M270" s="829"/>
      <c r="N270" s="830"/>
      <c r="O270" s="829"/>
      <c r="P270" s="829"/>
      <c r="Q270" s="829"/>
      <c r="R270" s="829"/>
      <c r="S270" s="830"/>
      <c r="T270" s="829"/>
      <c r="U270" s="829"/>
      <c r="V270" s="829"/>
      <c r="W270" s="829"/>
      <c r="X270" s="830"/>
      <c r="Y270" s="829"/>
      <c r="Z270" s="829"/>
      <c r="AA270" s="829"/>
      <c r="AB270" s="829"/>
      <c r="AC270" s="830"/>
      <c r="AD270" s="829"/>
      <c r="AE270" s="829"/>
      <c r="AF270" s="829"/>
      <c r="AG270" s="829"/>
      <c r="AH270" s="830"/>
      <c r="AI270" s="829"/>
      <c r="AJ270" s="829"/>
      <c r="AK270" s="829"/>
      <c r="AL270" s="829"/>
      <c r="AM270" s="830"/>
      <c r="AN270" s="829"/>
      <c r="AO270" s="829"/>
      <c r="AP270" s="829"/>
      <c r="AQ270" s="829"/>
      <c r="AR270" s="830"/>
      <c r="AS270" s="829"/>
      <c r="AT270" s="829"/>
      <c r="AU270" s="829"/>
      <c r="AV270" s="829"/>
      <c r="AW270" s="830"/>
      <c r="AX270" s="829"/>
      <c r="AY270" s="829"/>
      <c r="AZ270" s="829"/>
      <c r="BA270" s="829"/>
      <c r="BB270" s="830"/>
      <c r="BC270" s="829"/>
      <c r="BD270" s="829"/>
      <c r="BE270" s="829"/>
      <c r="BF270" s="829"/>
      <c r="BG270" s="830"/>
      <c r="BH270" s="829"/>
      <c r="BI270" s="829"/>
      <c r="BJ270" s="829"/>
      <c r="BK270" s="829"/>
      <c r="BL270" s="849"/>
      <c r="BM270" s="743"/>
      <c r="BN270" s="743"/>
      <c r="BO270" s="743"/>
      <c r="BP270" s="743"/>
      <c r="BQ270" s="849"/>
      <c r="BR270" s="743"/>
      <c r="BS270" s="743"/>
      <c r="BT270" s="743"/>
      <c r="BU270" s="743"/>
      <c r="BV270" s="849"/>
      <c r="BW270" s="743"/>
      <c r="BX270" s="743"/>
      <c r="BY270" s="743"/>
      <c r="BZ270" s="743"/>
      <c r="CA270" s="849"/>
      <c r="CB270" s="743"/>
      <c r="CC270" s="743"/>
      <c r="CD270" s="743"/>
      <c r="CE270" s="743"/>
      <c r="CF270" s="849"/>
      <c r="CG270" s="743"/>
      <c r="CH270" s="743"/>
      <c r="CI270" s="743"/>
      <c r="CJ270" s="743"/>
      <c r="CK270" s="849"/>
      <c r="CL270" s="743"/>
      <c r="CM270" s="743"/>
      <c r="CN270" s="743"/>
      <c r="CO270" s="743"/>
      <c r="CP270" s="849"/>
      <c r="CQ270" s="743"/>
      <c r="CR270" s="743"/>
      <c r="CS270" s="743"/>
      <c r="CT270" s="743"/>
      <c r="CU270" s="849"/>
      <c r="CV270" s="743"/>
      <c r="CW270" s="743"/>
      <c r="CX270" s="743"/>
      <c r="CY270" s="743"/>
      <c r="CZ270" s="849"/>
      <c r="DA270" s="743"/>
      <c r="DB270" s="743"/>
      <c r="DC270" s="743"/>
      <c r="DD270" s="743"/>
      <c r="DE270" s="849"/>
      <c r="DF270" s="743"/>
      <c r="DG270" s="743"/>
      <c r="DH270" s="743"/>
      <c r="DI270" s="2818"/>
      <c r="DJ270" s="849"/>
      <c r="DK270" s="743"/>
      <c r="DL270" s="743"/>
      <c r="DM270" s="743"/>
      <c r="DN270" s="743"/>
      <c r="DO270" s="849"/>
      <c r="DP270" s="743"/>
      <c r="DQ270" s="743"/>
      <c r="DR270" s="743"/>
      <c r="DS270" s="743"/>
      <c r="DT270" s="849"/>
      <c r="DU270" s="743"/>
      <c r="DV270" s="743"/>
      <c r="DW270" s="743"/>
      <c r="DX270" s="743"/>
      <c r="DY270" s="849"/>
    </row>
    <row r="271" spans="1:129" ht="11.25" customHeight="1" x14ac:dyDescent="0.2">
      <c r="A271" s="825"/>
      <c r="B271" s="756" t="s">
        <v>786</v>
      </c>
      <c r="C271" s="827"/>
      <c r="D271" s="828"/>
      <c r="E271" s="829"/>
      <c r="F271" s="829"/>
      <c r="G271" s="829"/>
      <c r="H271" s="829"/>
      <c r="I271" s="830"/>
      <c r="J271" s="829"/>
      <c r="K271" s="829"/>
      <c r="L271" s="829"/>
      <c r="M271" s="829"/>
      <c r="N271" s="830"/>
      <c r="O271" s="829"/>
      <c r="P271" s="829"/>
      <c r="Q271" s="829"/>
      <c r="R271" s="829"/>
      <c r="S271" s="830"/>
      <c r="T271" s="829"/>
      <c r="U271" s="829"/>
      <c r="V271" s="829"/>
      <c r="W271" s="829"/>
      <c r="X271" s="830"/>
      <c r="Y271" s="829"/>
      <c r="Z271" s="829"/>
      <c r="AA271" s="829"/>
      <c r="AB271" s="829"/>
      <c r="AC271" s="830"/>
      <c r="AD271" s="829"/>
      <c r="AE271" s="829"/>
      <c r="AF271" s="829"/>
      <c r="AG271" s="829"/>
      <c r="AH271" s="830"/>
      <c r="AI271" s="829"/>
      <c r="AJ271" s="829"/>
      <c r="AK271" s="829"/>
      <c r="AL271" s="829"/>
      <c r="AM271" s="830"/>
      <c r="AN271" s="829"/>
      <c r="AO271" s="829"/>
      <c r="AP271" s="829"/>
      <c r="AQ271" s="829"/>
      <c r="AR271" s="830"/>
      <c r="AS271" s="829"/>
      <c r="AT271" s="829"/>
      <c r="AU271" s="829"/>
      <c r="AV271" s="829"/>
      <c r="AW271" s="830"/>
      <c r="AX271" s="829"/>
      <c r="AY271" s="829"/>
      <c r="AZ271" s="829"/>
      <c r="BA271" s="829"/>
      <c r="BB271" s="830"/>
      <c r="BC271" s="829"/>
      <c r="BD271" s="829"/>
      <c r="BE271" s="829"/>
      <c r="BF271" s="829"/>
      <c r="BG271" s="830"/>
      <c r="BH271" s="829"/>
      <c r="BI271" s="829"/>
      <c r="BJ271" s="829"/>
      <c r="BK271" s="829"/>
      <c r="BL271" s="870">
        <f t="shared" ref="BL271:BT271" si="480">BL169/BL$182</f>
        <v>6.7532118120174692E-2</v>
      </c>
      <c r="BM271" s="803">
        <f t="shared" si="480"/>
        <v>5.3615020256995043E-2</v>
      </c>
      <c r="BN271" s="803">
        <f t="shared" si="480"/>
        <v>5.5960743593011078E-2</v>
      </c>
      <c r="BO271" s="803">
        <f t="shared" si="480"/>
        <v>6.002692223455286E-2</v>
      </c>
      <c r="BP271" s="803">
        <f t="shared" si="480"/>
        <v>5.8759828730231153E-2</v>
      </c>
      <c r="BQ271" s="870">
        <f t="shared" si="480"/>
        <v>5.711879360190758E-2</v>
      </c>
      <c r="BR271" s="803">
        <f t="shared" si="480"/>
        <v>5.9173257487580518E-2</v>
      </c>
      <c r="BS271" s="803">
        <f t="shared" si="480"/>
        <v>5.5086196400275025E-2</v>
      </c>
      <c r="BT271" s="803">
        <f t="shared" si="480"/>
        <v>5.5285356813752615E-2</v>
      </c>
      <c r="BU271" s="803">
        <f>(BU169+(BU174*BU151))/BU$182</f>
        <v>5.7345920469156028E-2</v>
      </c>
      <c r="BV271" s="870">
        <f>(BV169+(BV174*BV151))/BV$182</f>
        <v>5.6659038553186179E-2</v>
      </c>
      <c r="BW271" s="803">
        <f t="shared" ref="BW271:CZ271" si="481">BW169/BW$182</f>
        <v>5.9571787315818379E-2</v>
      </c>
      <c r="BX271" s="803">
        <f t="shared" si="481"/>
        <v>6.3775429070945952E-2</v>
      </c>
      <c r="BY271" s="803">
        <f t="shared" si="481"/>
        <v>6.5320879599485432E-2</v>
      </c>
      <c r="BZ271" s="803">
        <f t="shared" si="481"/>
        <v>6.5218887781608739E-2</v>
      </c>
      <c r="CA271" s="870">
        <f t="shared" si="481"/>
        <v>6.3487723926623399E-2</v>
      </c>
      <c r="CB271" s="803">
        <f t="shared" si="481"/>
        <v>6.083024840444326E-2</v>
      </c>
      <c r="CC271" s="803">
        <f t="shared" si="481"/>
        <v>6.1001676596663307E-2</v>
      </c>
      <c r="CD271" s="751">
        <f t="shared" si="481"/>
        <v>5.8251061120917651E-2</v>
      </c>
      <c r="CE271" s="751">
        <f t="shared" si="481"/>
        <v>6.0531002652037182E-2</v>
      </c>
      <c r="CF271" s="849">
        <f t="shared" si="481"/>
        <v>6.0148403741124061E-2</v>
      </c>
      <c r="CG271" s="751">
        <f t="shared" si="481"/>
        <v>6.0156068725958543E-2</v>
      </c>
      <c r="CH271" s="751">
        <f t="shared" si="481"/>
        <v>6.3871479988391613E-2</v>
      </c>
      <c r="CI271" s="751">
        <f t="shared" si="481"/>
        <v>6.5713867259718103E-2</v>
      </c>
      <c r="CJ271" s="751">
        <f t="shared" si="481"/>
        <v>7.5971607235820207E-2</v>
      </c>
      <c r="CK271" s="849">
        <f t="shared" si="481"/>
        <v>6.647057320876712E-2</v>
      </c>
      <c r="CL271" s="751">
        <f t="shared" si="481"/>
        <v>6.8013257237473049E-2</v>
      </c>
      <c r="CM271" s="751">
        <f t="shared" si="481"/>
        <v>6.9170399038791908E-2</v>
      </c>
      <c r="CN271" s="751">
        <f t="shared" si="481"/>
        <v>7.0361402609953216E-2</v>
      </c>
      <c r="CO271" s="751">
        <f>CO169/CO$182</f>
        <v>8.0098683352978164E-2</v>
      </c>
      <c r="CP271" s="849">
        <f t="shared" si="481"/>
        <v>7.2055000890420801E-2</v>
      </c>
      <c r="CQ271" s="751">
        <f t="shared" si="481"/>
        <v>8.2699458002071166E-2</v>
      </c>
      <c r="CR271" s="751">
        <f t="shared" si="481"/>
        <v>6.2726858610276631E-2</v>
      </c>
      <c r="CS271" s="751">
        <f t="shared" ca="1" si="481"/>
        <v>6.490344161914835E-2</v>
      </c>
      <c r="CT271" s="751">
        <f t="shared" ca="1" si="481"/>
        <v>7.5387694889085505E-2</v>
      </c>
      <c r="CU271" s="849">
        <f t="shared" ca="1" si="481"/>
        <v>7.1148822092922254E-2</v>
      </c>
      <c r="CV271" s="751">
        <f t="shared" ca="1" si="481"/>
        <v>7.4805304006983139E-2</v>
      </c>
      <c r="CW271" s="751">
        <f t="shared" ca="1" si="481"/>
        <v>6.6863040512537997E-2</v>
      </c>
      <c r="CX271" s="751">
        <f t="shared" ca="1" si="481"/>
        <v>6.8249780729079848E-2</v>
      </c>
      <c r="CY271" s="751">
        <f ca="1">CY169/CY$182</f>
        <v>7.9898600193810329E-2</v>
      </c>
      <c r="CZ271" s="849">
        <f t="shared" ca="1" si="481"/>
        <v>7.2549198262428671E-2</v>
      </c>
      <c r="DA271" s="751">
        <f t="shared" ref="DA271:DE272" ca="1" si="482">DA169/DA$182</f>
        <v>7.0675445042662946E-2</v>
      </c>
      <c r="DB271" s="751">
        <f t="shared" ca="1" si="482"/>
        <v>6.5033189390621776E-2</v>
      </c>
      <c r="DC271" s="751">
        <f t="shared" ca="1" si="482"/>
        <v>6.5261570903328389E-2</v>
      </c>
      <c r="DD271" s="751">
        <f t="shared" ca="1" si="482"/>
        <v>7.5896159706513588E-2</v>
      </c>
      <c r="DE271" s="849">
        <f t="shared" ca="1" si="482"/>
        <v>6.9274638232556834E-2</v>
      </c>
      <c r="DF271" s="751">
        <f t="shared" ref="DF271:DJ272" ca="1" si="483">DF169/DF$182</f>
        <v>6.931672755777131E-2</v>
      </c>
      <c r="DG271" s="751">
        <f t="shared" ca="1" si="483"/>
        <v>7.1056728309637843E-2</v>
      </c>
      <c r="DH271" s="751">
        <f t="shared" ref="DH271:DI272" ca="1" si="484">DH169/DH$182</f>
        <v>7.0292119724604002E-2</v>
      </c>
      <c r="DI271" s="2821">
        <f t="shared" ca="1" si="484"/>
        <v>6.8696228686113678E-2</v>
      </c>
      <c r="DJ271" s="849">
        <f t="shared" ca="1" si="483"/>
        <v>6.9830844607137704E-2</v>
      </c>
      <c r="DK271" s="751">
        <f t="shared" ref="DK271:DT271" ca="1" si="485">DK169/DK$182</f>
        <v>6.8479600355379658E-2</v>
      </c>
      <c r="DL271" s="751">
        <f t="shared" ca="1" si="485"/>
        <v>6.4115805970587886E-2</v>
      </c>
      <c r="DM271" s="751">
        <f t="shared" ca="1" si="485"/>
        <v>6.4502089470754212E-2</v>
      </c>
      <c r="DN271" s="751">
        <f t="shared" ca="1" si="485"/>
        <v>6.4624840441835085E-2</v>
      </c>
      <c r="DO271" s="849">
        <f t="shared" ca="1" si="485"/>
        <v>6.5366110074167677E-2</v>
      </c>
      <c r="DP271" s="751">
        <f t="shared" ca="1" si="485"/>
        <v>6.9723894717827528E-2</v>
      </c>
      <c r="DQ271" s="751">
        <f t="shared" ca="1" si="485"/>
        <v>6.5351837841284607E-2</v>
      </c>
      <c r="DR271" s="751">
        <f t="shared" ca="1" si="485"/>
        <v>6.5810314694559974E-2</v>
      </c>
      <c r="DS271" s="751">
        <f t="shared" ca="1" si="485"/>
        <v>6.6011955853480256E-2</v>
      </c>
      <c r="DT271" s="849">
        <f t="shared" ca="1" si="485"/>
        <v>6.6662952445369572E-2</v>
      </c>
      <c r="DU271" s="751">
        <f t="shared" ref="DU271:DY271" ca="1" si="486">DU169/DU$182</f>
        <v>7.1321221294347023E-2</v>
      </c>
      <c r="DV271" s="751">
        <f t="shared" ca="1" si="486"/>
        <v>6.6961249915817908E-2</v>
      </c>
      <c r="DW271" s="751">
        <f t="shared" ca="1" si="486"/>
        <v>6.7509706883191134E-2</v>
      </c>
      <c r="DX271" s="751">
        <f t="shared" ca="1" si="486"/>
        <v>6.7805548742010655E-2</v>
      </c>
      <c r="DY271" s="849">
        <f t="shared" ca="1" si="486"/>
        <v>6.8341798843894311E-2</v>
      </c>
    </row>
    <row r="272" spans="1:129" ht="11.25" customHeight="1" x14ac:dyDescent="0.2">
      <c r="A272" s="825"/>
      <c r="B272" s="756" t="s">
        <v>745</v>
      </c>
      <c r="C272" s="827"/>
      <c r="D272" s="828"/>
      <c r="E272" s="829"/>
      <c r="F272" s="829"/>
      <c r="G272" s="829"/>
      <c r="H272" s="829"/>
      <c r="I272" s="830"/>
      <c r="J272" s="829"/>
      <c r="K272" s="829"/>
      <c r="L272" s="829"/>
      <c r="M272" s="829"/>
      <c r="N272" s="830"/>
      <c r="O272" s="829"/>
      <c r="P272" s="829"/>
      <c r="Q272" s="829"/>
      <c r="R272" s="829"/>
      <c r="S272" s="830"/>
      <c r="T272" s="829"/>
      <c r="U272" s="829"/>
      <c r="V272" s="829"/>
      <c r="W272" s="829"/>
      <c r="X272" s="830"/>
      <c r="Y272" s="829"/>
      <c r="Z272" s="829"/>
      <c r="AA272" s="829"/>
      <c r="AB272" s="829"/>
      <c r="AC272" s="830"/>
      <c r="AD272" s="829"/>
      <c r="AE272" s="829"/>
      <c r="AF272" s="829"/>
      <c r="AG272" s="829"/>
      <c r="AH272" s="830"/>
      <c r="AI272" s="829"/>
      <c r="AJ272" s="829"/>
      <c r="AK272" s="829"/>
      <c r="AL272" s="829"/>
      <c r="AM272" s="830"/>
      <c r="AN272" s="829"/>
      <c r="AO272" s="829"/>
      <c r="AP272" s="829"/>
      <c r="AQ272" s="829"/>
      <c r="AR272" s="830"/>
      <c r="AS272" s="829"/>
      <c r="AT272" s="829"/>
      <c r="AU272" s="829"/>
      <c r="AV272" s="829"/>
      <c r="AW272" s="830"/>
      <c r="AX272" s="829"/>
      <c r="AY272" s="829"/>
      <c r="AZ272" s="829"/>
      <c r="BA272" s="829"/>
      <c r="BB272" s="830"/>
      <c r="BC272" s="829"/>
      <c r="BD272" s="829"/>
      <c r="BE272" s="829"/>
      <c r="BF272" s="829"/>
      <c r="BG272" s="830"/>
      <c r="BH272" s="829"/>
      <c r="BI272" s="829"/>
      <c r="BJ272" s="829"/>
      <c r="BK272" s="829"/>
      <c r="BL272" s="870">
        <f t="shared" ref="BL272:BT272" si="487">BL170/BL$182</f>
        <v>0.32846769870028647</v>
      </c>
      <c r="BM272" s="803">
        <f t="shared" si="487"/>
        <v>0.2851868042248763</v>
      </c>
      <c r="BN272" s="803">
        <f t="shared" si="487"/>
        <v>0.28380353836780264</v>
      </c>
      <c r="BO272" s="803">
        <f t="shared" si="487"/>
        <v>0.28240070523387589</v>
      </c>
      <c r="BP272" s="803">
        <f t="shared" si="487"/>
        <v>0.28203258151051286</v>
      </c>
      <c r="BQ272" s="870">
        <f t="shared" si="487"/>
        <v>0.28332837015708268</v>
      </c>
      <c r="BR272" s="803">
        <f t="shared" si="487"/>
        <v>0.28370221499568749</v>
      </c>
      <c r="BS272" s="803">
        <f t="shared" si="487"/>
        <v>0.25800815395604687</v>
      </c>
      <c r="BT272" s="803">
        <f t="shared" si="487"/>
        <v>0.26370192667166209</v>
      </c>
      <c r="BU272" s="803">
        <f>(BU170+(BU174*BU152))/BU$182</f>
        <v>0.27353047146680604</v>
      </c>
      <c r="BV272" s="870">
        <f>(BV170+(BV174*BV152))/BV$182</f>
        <v>0.26936434889418481</v>
      </c>
      <c r="BW272" s="803">
        <f t="shared" ref="BW272:CZ272" si="488">BW170/BW$182</f>
        <v>0.28497028770952804</v>
      </c>
      <c r="BX272" s="803">
        <f t="shared" si="488"/>
        <v>0.28343740876689189</v>
      </c>
      <c r="BY272" s="803">
        <f t="shared" si="488"/>
        <v>0.28659929480936919</v>
      </c>
      <c r="BZ272" s="803">
        <f t="shared" si="488"/>
        <v>0.28700251322028009</v>
      </c>
      <c r="CA272" s="870">
        <f t="shared" si="488"/>
        <v>0.28551497600430864</v>
      </c>
      <c r="CB272" s="803">
        <f t="shared" si="488"/>
        <v>0.26277471805766606</v>
      </c>
      <c r="CC272" s="803">
        <f t="shared" si="488"/>
        <v>0.26479172939415169</v>
      </c>
      <c r="CD272" s="751">
        <f t="shared" si="488"/>
        <v>0.26213007146456685</v>
      </c>
      <c r="CE272" s="751">
        <f t="shared" si="488"/>
        <v>0.24821387081472779</v>
      </c>
      <c r="CF272" s="849">
        <f t="shared" si="488"/>
        <v>0.25921091387207423</v>
      </c>
      <c r="CG272" s="751">
        <f t="shared" si="488"/>
        <v>0.24946141761283927</v>
      </c>
      <c r="CH272" s="751">
        <f t="shared" si="488"/>
        <v>0.24791947242874818</v>
      </c>
      <c r="CI272" s="751">
        <f t="shared" si="488"/>
        <v>0.24815716828349688</v>
      </c>
      <c r="CJ272" s="751">
        <f t="shared" si="488"/>
        <v>0.2329544736567879</v>
      </c>
      <c r="CK272" s="849">
        <f t="shared" si="488"/>
        <v>0.24456368418462104</v>
      </c>
      <c r="CL272" s="751">
        <f t="shared" si="488"/>
        <v>0.2524938746938068</v>
      </c>
      <c r="CM272" s="751">
        <f t="shared" si="488"/>
        <v>0.25188843708233954</v>
      </c>
      <c r="CN272" s="751">
        <f t="shared" si="488"/>
        <v>0.25825576522679883</v>
      </c>
      <c r="CO272" s="751">
        <f>CO170/CO$182</f>
        <v>0.25101920739676298</v>
      </c>
      <c r="CP272" s="849">
        <f t="shared" si="488"/>
        <v>0.25341903656206555</v>
      </c>
      <c r="CQ272" s="751">
        <f t="shared" si="488"/>
        <v>0.26541426014054564</v>
      </c>
      <c r="CR272" s="751">
        <f t="shared" si="488"/>
        <v>0.28347026017266558</v>
      </c>
      <c r="CS272" s="751">
        <f t="shared" ca="1" si="488"/>
        <v>0.29584028200522</v>
      </c>
      <c r="CT272" s="751">
        <f t="shared" ca="1" si="488"/>
        <v>0.27881862295675724</v>
      </c>
      <c r="CU272" s="849">
        <f t="shared" ca="1" si="488"/>
        <v>0.28134909493323851</v>
      </c>
      <c r="CV272" s="751">
        <f t="shared" ca="1" si="488"/>
        <v>0.2916269855875962</v>
      </c>
      <c r="CW272" s="751">
        <f t="shared" ca="1" si="488"/>
        <v>0.30572865803296867</v>
      </c>
      <c r="CX272" s="751">
        <f t="shared" ca="1" si="488"/>
        <v>0.31310506659730092</v>
      </c>
      <c r="CY272" s="751">
        <f ca="1">CY170/CY$182</f>
        <v>0.30613989414441617</v>
      </c>
      <c r="CZ272" s="849">
        <f t="shared" ca="1" si="488"/>
        <v>0.30435840637508216</v>
      </c>
      <c r="DA272" s="751">
        <f t="shared" ca="1" si="482"/>
        <v>0.28216655043795585</v>
      </c>
      <c r="DB272" s="751">
        <f t="shared" ca="1" si="482"/>
        <v>0.29573170904989626</v>
      </c>
      <c r="DC272" s="751">
        <f t="shared" ca="1" si="482"/>
        <v>0.29203456996183036</v>
      </c>
      <c r="DD272" s="751">
        <f t="shared" ca="1" si="482"/>
        <v>0.27968441951311063</v>
      </c>
      <c r="DE272" s="849">
        <f t="shared" ca="1" si="482"/>
        <v>0.28735972964025752</v>
      </c>
      <c r="DF272" s="751">
        <f t="shared" ca="1" si="483"/>
        <v>0.27811318721577488</v>
      </c>
      <c r="DG272" s="751">
        <f t="shared" ca="1" si="483"/>
        <v>0.28509443361775094</v>
      </c>
      <c r="DH272" s="751">
        <f t="shared" ref="DH272" ca="1" si="489">DH170/DH$182</f>
        <v>0.28202666429209905</v>
      </c>
      <c r="DI272" s="2821">
        <f t="shared" ca="1" si="484"/>
        <v>0.27562361615636982</v>
      </c>
      <c r="DJ272" s="849">
        <f t="shared" ca="1" si="483"/>
        <v>0.28017593218713976</v>
      </c>
      <c r="DK272" s="751">
        <f t="shared" ref="DK272:DT272" ca="1" si="490">DK170/DK$182</f>
        <v>0.24567261126942883</v>
      </c>
      <c r="DL272" s="751">
        <f t="shared" ca="1" si="490"/>
        <v>0.29189882866386685</v>
      </c>
      <c r="DM272" s="751">
        <f t="shared" ca="1" si="490"/>
        <v>0.2894565464214548</v>
      </c>
      <c r="DN272" s="751">
        <f t="shared" ca="1" si="490"/>
        <v>0.2805531065317205</v>
      </c>
      <c r="DO272" s="849">
        <f t="shared" ca="1" si="490"/>
        <v>0.27753347349420737</v>
      </c>
      <c r="DP272" s="751">
        <f t="shared" ca="1" si="490"/>
        <v>0.24657642449504621</v>
      </c>
      <c r="DQ272" s="751">
        <f t="shared" ca="1" si="490"/>
        <v>0.2925937724005141</v>
      </c>
      <c r="DR272" s="751">
        <f t="shared" ca="1" si="490"/>
        <v>0.28971196701291441</v>
      </c>
      <c r="DS272" s="751">
        <f t="shared" ca="1" si="490"/>
        <v>0.28040412348522409</v>
      </c>
      <c r="DT272" s="849">
        <f t="shared" ca="1" si="490"/>
        <v>0.27793405803923354</v>
      </c>
      <c r="DU272" s="751">
        <f t="shared" ref="DU272:DY272" ca="1" si="491">DU170/DU$182</f>
        <v>0.24613766145959473</v>
      </c>
      <c r="DV272" s="751">
        <f t="shared" ca="1" si="491"/>
        <v>0.29170140372148656</v>
      </c>
      <c r="DW272" s="751">
        <f t="shared" ca="1" si="491"/>
        <v>0.28827339668014934</v>
      </c>
      <c r="DX272" s="751">
        <f t="shared" ca="1" si="491"/>
        <v>0.27848006622963672</v>
      </c>
      <c r="DY272" s="849">
        <f t="shared" ca="1" si="491"/>
        <v>0.27672539432336046</v>
      </c>
    </row>
    <row r="273" spans="1:129" ht="11.25" customHeight="1" x14ac:dyDescent="0.2">
      <c r="A273" s="825"/>
      <c r="B273" s="821" t="s">
        <v>781</v>
      </c>
      <c r="C273" s="827"/>
      <c r="D273" s="828"/>
      <c r="E273" s="829"/>
      <c r="F273" s="829"/>
      <c r="G273" s="829"/>
      <c r="H273" s="829"/>
      <c r="I273" s="830"/>
      <c r="J273" s="829"/>
      <c r="K273" s="829"/>
      <c r="L273" s="829"/>
      <c r="M273" s="829"/>
      <c r="N273" s="830"/>
      <c r="O273" s="829"/>
      <c r="P273" s="829"/>
      <c r="Q273" s="829"/>
      <c r="R273" s="829"/>
      <c r="S273" s="830"/>
      <c r="T273" s="829"/>
      <c r="U273" s="829"/>
      <c r="V273" s="829"/>
      <c r="W273" s="829"/>
      <c r="X273" s="830"/>
      <c r="Y273" s="829"/>
      <c r="Z273" s="829"/>
      <c r="AA273" s="829"/>
      <c r="AB273" s="829"/>
      <c r="AC273" s="830"/>
      <c r="AD273" s="829"/>
      <c r="AE273" s="829"/>
      <c r="AF273" s="829"/>
      <c r="AG273" s="829"/>
      <c r="AH273" s="830"/>
      <c r="AI273" s="829"/>
      <c r="AJ273" s="829"/>
      <c r="AK273" s="829"/>
      <c r="AL273" s="829"/>
      <c r="AM273" s="830"/>
      <c r="AN273" s="829"/>
      <c r="AO273" s="829"/>
      <c r="AP273" s="829"/>
      <c r="AQ273" s="829"/>
      <c r="AR273" s="830"/>
      <c r="AS273" s="829"/>
      <c r="AT273" s="829"/>
      <c r="AU273" s="829"/>
      <c r="AV273" s="829"/>
      <c r="AW273" s="830"/>
      <c r="AX273" s="829"/>
      <c r="AY273" s="829"/>
      <c r="AZ273" s="829"/>
      <c r="BA273" s="829"/>
      <c r="BB273" s="830"/>
      <c r="BC273" s="829"/>
      <c r="BD273" s="829"/>
      <c r="BE273" s="829"/>
      <c r="BF273" s="829"/>
      <c r="BG273" s="830"/>
      <c r="BH273" s="829"/>
      <c r="BI273" s="829"/>
      <c r="BJ273" s="829"/>
      <c r="BK273" s="829"/>
      <c r="BL273" s="870">
        <f>BL171/BL182</f>
        <v>0.39599981682046115</v>
      </c>
      <c r="BM273" s="743"/>
      <c r="BN273" s="743"/>
      <c r="BO273" s="743"/>
      <c r="BP273" s="743"/>
      <c r="BQ273" s="870">
        <f>BQ171/BQ182</f>
        <v>0.34044716375899031</v>
      </c>
      <c r="BR273" s="743"/>
      <c r="BS273" s="743"/>
      <c r="BT273" s="743"/>
      <c r="BU273" s="743"/>
      <c r="BV273" s="870">
        <f>BV176/BV182</f>
        <v>0.32227944776265544</v>
      </c>
      <c r="BW273" s="743"/>
      <c r="BX273" s="743"/>
      <c r="BY273" s="743"/>
      <c r="BZ273" s="743"/>
      <c r="CA273" s="870">
        <f t="shared" ref="CA273:CZ273" si="492">CA171/CA182</f>
        <v>0.34900269993093203</v>
      </c>
      <c r="CB273" s="803">
        <f t="shared" si="492"/>
        <v>0.32360496646210934</v>
      </c>
      <c r="CC273" s="803">
        <f t="shared" si="492"/>
        <v>0.32579340599081502</v>
      </c>
      <c r="CD273" s="751">
        <f t="shared" si="492"/>
        <v>0.32038113258548451</v>
      </c>
      <c r="CE273" s="751">
        <f t="shared" si="492"/>
        <v>0.30874487346676499</v>
      </c>
      <c r="CF273" s="849">
        <f t="shared" si="492"/>
        <v>0.31935931761319825</v>
      </c>
      <c r="CG273" s="751">
        <f t="shared" si="492"/>
        <v>0.30961748633879782</v>
      </c>
      <c r="CH273" s="751">
        <f t="shared" si="492"/>
        <v>0.31179095241713978</v>
      </c>
      <c r="CI273" s="751">
        <f t="shared" si="492"/>
        <v>0.31387103554321499</v>
      </c>
      <c r="CJ273" s="751">
        <f t="shared" si="492"/>
        <v>0.30892608089260809</v>
      </c>
      <c r="CK273" s="849">
        <f t="shared" si="492"/>
        <v>0.31103425739338819</v>
      </c>
      <c r="CL273" s="751">
        <f t="shared" si="492"/>
        <v>0.32050713193127989</v>
      </c>
      <c r="CM273" s="751">
        <f t="shared" si="492"/>
        <v>0.32105883612113151</v>
      </c>
      <c r="CN273" s="751">
        <f t="shared" si="492"/>
        <v>0.32861716783675204</v>
      </c>
      <c r="CO273" s="751">
        <f>CO171/CO182</f>
        <v>0.33111789074974118</v>
      </c>
      <c r="CP273" s="849">
        <f t="shared" si="492"/>
        <v>0.32547403745248632</v>
      </c>
      <c r="CQ273" s="751">
        <f t="shared" si="492"/>
        <v>0.34811371814261682</v>
      </c>
      <c r="CR273" s="751">
        <f t="shared" si="492"/>
        <v>0.34619711878294218</v>
      </c>
      <c r="CS273" s="751">
        <f t="shared" ca="1" si="492"/>
        <v>0.36074372362436835</v>
      </c>
      <c r="CT273" s="751">
        <f t="shared" ca="1" si="492"/>
        <v>0.35420631784584278</v>
      </c>
      <c r="CU273" s="849">
        <f t="shared" ca="1" si="492"/>
        <v>0.35249791702616073</v>
      </c>
      <c r="CV273" s="751">
        <f t="shared" ca="1" si="492"/>
        <v>0.3664322895945793</v>
      </c>
      <c r="CW273" s="751">
        <f t="shared" ca="1" si="492"/>
        <v>0.37259169854550667</v>
      </c>
      <c r="CX273" s="751">
        <f t="shared" ca="1" si="492"/>
        <v>0.3813548473263807</v>
      </c>
      <c r="CY273" s="751">
        <f ca="1">CY171/CY182</f>
        <v>0.38603849433822651</v>
      </c>
      <c r="CZ273" s="849">
        <f t="shared" ca="1" si="492"/>
        <v>0.37690760463751083</v>
      </c>
      <c r="DA273" s="751">
        <f t="shared" ref="DA273:DJ273" ca="1" si="493">DA171/DA182</f>
        <v>0.35284199548061879</v>
      </c>
      <c r="DB273" s="751">
        <f ca="1">DB171/DB182</f>
        <v>0.36076489844051807</v>
      </c>
      <c r="DC273" s="751">
        <f ca="1">DC171/DC182</f>
        <v>0.35729614086515876</v>
      </c>
      <c r="DD273" s="751">
        <f ca="1">DD171/DD182</f>
        <v>0.35558057921962422</v>
      </c>
      <c r="DE273" s="849">
        <f t="shared" ca="1" si="493"/>
        <v>0.35663436787281433</v>
      </c>
      <c r="DF273" s="751">
        <f t="shared" ca="1" si="493"/>
        <v>0.34742991477354618</v>
      </c>
      <c r="DG273" s="751">
        <f t="shared" ca="1" si="493"/>
        <v>0.35615116192738883</v>
      </c>
      <c r="DH273" s="751">
        <f t="shared" ref="DH273:DI273" ca="1" si="494">DH171/DH182</f>
        <v>0.35231878401670302</v>
      </c>
      <c r="DI273" s="2821">
        <f t="shared" ca="1" si="494"/>
        <v>0.34431984484248351</v>
      </c>
      <c r="DJ273" s="849">
        <f t="shared" ca="1" si="493"/>
        <v>0.35000677679427744</v>
      </c>
      <c r="DK273" s="751">
        <f t="shared" ref="DK273:DT273" ca="1" si="495">DK171/DK182</f>
        <v>0.3141522116248085</v>
      </c>
      <c r="DL273" s="751">
        <f t="shared" ca="1" si="495"/>
        <v>0.35601463463445476</v>
      </c>
      <c r="DM273" s="751">
        <f t="shared" ca="1" si="495"/>
        <v>0.35395863589220899</v>
      </c>
      <c r="DN273" s="751">
        <f t="shared" ca="1" si="495"/>
        <v>0.34517794697355558</v>
      </c>
      <c r="DO273" s="849">
        <f t="shared" ca="1" si="495"/>
        <v>0.34289958356837508</v>
      </c>
      <c r="DP273" s="751">
        <f t="shared" ca="1" si="495"/>
        <v>0.31630031921287372</v>
      </c>
      <c r="DQ273" s="751">
        <f t="shared" ca="1" si="495"/>
        <v>0.35794561024179866</v>
      </c>
      <c r="DR273" s="751">
        <f t="shared" ca="1" si="495"/>
        <v>0.35552228170747441</v>
      </c>
      <c r="DS273" s="751">
        <f t="shared" ca="1" si="495"/>
        <v>0.34641607933870439</v>
      </c>
      <c r="DT273" s="849">
        <f t="shared" ca="1" si="495"/>
        <v>0.34459701048460312</v>
      </c>
      <c r="DU273" s="751">
        <f t="shared" ref="DU273:DY273" ca="1" si="496">DU171/DU182</f>
        <v>0.31745888275394174</v>
      </c>
      <c r="DV273" s="751">
        <f t="shared" ca="1" si="496"/>
        <v>0.35866265363730443</v>
      </c>
      <c r="DW273" s="751">
        <f t="shared" ca="1" si="496"/>
        <v>0.35578310356334047</v>
      </c>
      <c r="DX273" s="751">
        <f t="shared" ca="1" si="496"/>
        <v>0.34628561497164739</v>
      </c>
      <c r="DY273" s="849">
        <f t="shared" ca="1" si="496"/>
        <v>0.34506719316725476</v>
      </c>
    </row>
    <row r="274" spans="1:129" ht="11.25" customHeight="1" x14ac:dyDescent="0.2">
      <c r="A274" s="825"/>
      <c r="B274" s="822"/>
      <c r="C274" s="827"/>
      <c r="D274" s="828"/>
      <c r="E274" s="829"/>
      <c r="F274" s="829"/>
      <c r="G274" s="829"/>
      <c r="H274" s="829"/>
      <c r="I274" s="830"/>
      <c r="J274" s="829"/>
      <c r="K274" s="829"/>
      <c r="L274" s="829"/>
      <c r="M274" s="829"/>
      <c r="N274" s="830"/>
      <c r="O274" s="829"/>
      <c r="P274" s="829"/>
      <c r="Q274" s="829"/>
      <c r="R274" s="829"/>
      <c r="S274" s="830"/>
      <c r="T274" s="829"/>
      <c r="U274" s="829"/>
      <c r="V274" s="829"/>
      <c r="W274" s="829"/>
      <c r="X274" s="830"/>
      <c r="Y274" s="829"/>
      <c r="Z274" s="829"/>
      <c r="AA274" s="829"/>
      <c r="AB274" s="829"/>
      <c r="AC274" s="830"/>
      <c r="AD274" s="829"/>
      <c r="AE274" s="829"/>
      <c r="AF274" s="829"/>
      <c r="AG274" s="829"/>
      <c r="AH274" s="830"/>
      <c r="AI274" s="829"/>
      <c r="AJ274" s="829"/>
      <c r="AK274" s="829"/>
      <c r="AL274" s="829"/>
      <c r="AM274" s="830"/>
      <c r="AN274" s="829"/>
      <c r="AO274" s="829"/>
      <c r="AP274" s="829"/>
      <c r="AQ274" s="829"/>
      <c r="AR274" s="830"/>
      <c r="AS274" s="829"/>
      <c r="AT274" s="829"/>
      <c r="AU274" s="829"/>
      <c r="AV274" s="829"/>
      <c r="AW274" s="830"/>
      <c r="AX274" s="829"/>
      <c r="AY274" s="829"/>
      <c r="AZ274" s="829"/>
      <c r="BA274" s="829"/>
      <c r="BB274" s="830"/>
      <c r="BC274" s="829"/>
      <c r="BD274" s="829"/>
      <c r="BE274" s="829"/>
      <c r="BF274" s="829"/>
      <c r="BG274" s="830"/>
      <c r="BH274" s="829"/>
      <c r="BI274" s="829"/>
      <c r="BJ274" s="829"/>
      <c r="BK274" s="829"/>
      <c r="BL274" s="849"/>
      <c r="BM274" s="743"/>
      <c r="BN274" s="743"/>
      <c r="BO274" s="743"/>
      <c r="BP274" s="743"/>
      <c r="BQ274" s="849"/>
      <c r="BR274" s="743"/>
      <c r="BS274" s="743"/>
      <c r="BT274" s="743"/>
      <c r="BU274" s="743"/>
      <c r="BV274" s="849"/>
      <c r="BW274" s="743"/>
      <c r="BX274" s="743"/>
      <c r="BY274" s="743"/>
      <c r="BZ274" s="743"/>
      <c r="CA274" s="849"/>
      <c r="CB274" s="743"/>
      <c r="CC274" s="743"/>
      <c r="CD274" s="743"/>
      <c r="CE274" s="743"/>
      <c r="CF274" s="849"/>
      <c r="CG274" s="743"/>
      <c r="CH274" s="743"/>
      <c r="CI274" s="743"/>
      <c r="CJ274" s="743"/>
      <c r="CK274" s="849"/>
      <c r="CL274" s="743"/>
      <c r="CM274" s="743"/>
      <c r="CN274" s="743"/>
      <c r="CO274" s="743"/>
      <c r="CP274" s="849"/>
      <c r="CQ274" s="743"/>
      <c r="CR274" s="743"/>
      <c r="CS274" s="743"/>
      <c r="CT274" s="743"/>
      <c r="CU274" s="849"/>
      <c r="CV274" s="743"/>
      <c r="CW274" s="743"/>
      <c r="CX274" s="743"/>
      <c r="CY274" s="743"/>
      <c r="CZ274" s="849"/>
      <c r="DA274" s="743"/>
      <c r="DB274" s="743"/>
      <c r="DC274" s="743"/>
      <c r="DD274" s="743"/>
      <c r="DE274" s="849"/>
      <c r="DF274" s="743"/>
      <c r="DG274" s="743"/>
      <c r="DH274" s="743"/>
      <c r="DI274" s="2818"/>
      <c r="DJ274" s="849"/>
      <c r="DK274" s="743"/>
      <c r="DL274" s="743"/>
      <c r="DM274" s="743"/>
      <c r="DN274" s="743"/>
      <c r="DO274" s="849"/>
      <c r="DP274" s="743"/>
      <c r="DQ274" s="743"/>
      <c r="DR274" s="743"/>
      <c r="DS274" s="743"/>
      <c r="DT274" s="849"/>
      <c r="DU274" s="743"/>
      <c r="DV274" s="743"/>
      <c r="DW274" s="743"/>
      <c r="DX274" s="743"/>
      <c r="DY274" s="849"/>
    </row>
    <row r="275" spans="1:129" ht="11.25" customHeight="1" x14ac:dyDescent="0.2">
      <c r="A275" s="825"/>
      <c r="B275" s="821" t="s">
        <v>807</v>
      </c>
      <c r="C275" s="827"/>
      <c r="D275" s="828"/>
      <c r="E275" s="829"/>
      <c r="F275" s="829"/>
      <c r="G275" s="829"/>
      <c r="H275" s="829"/>
      <c r="I275" s="830"/>
      <c r="J275" s="829"/>
      <c r="K275" s="829"/>
      <c r="L275" s="829"/>
      <c r="M275" s="829"/>
      <c r="N275" s="830"/>
      <c r="O275" s="829"/>
      <c r="P275" s="829"/>
      <c r="Q275" s="829"/>
      <c r="R275" s="829"/>
      <c r="S275" s="830"/>
      <c r="T275" s="829"/>
      <c r="U275" s="829"/>
      <c r="V275" s="829"/>
      <c r="W275" s="829"/>
      <c r="X275" s="830"/>
      <c r="Y275" s="829"/>
      <c r="Z275" s="829"/>
      <c r="AA275" s="829"/>
      <c r="AB275" s="829"/>
      <c r="AC275" s="830"/>
      <c r="AD275" s="829"/>
      <c r="AE275" s="829"/>
      <c r="AF275" s="829"/>
      <c r="AG275" s="829"/>
      <c r="AH275" s="830"/>
      <c r="AI275" s="829"/>
      <c r="AJ275" s="829"/>
      <c r="AK275" s="829"/>
      <c r="AL275" s="829"/>
      <c r="AM275" s="830"/>
      <c r="AN275" s="829"/>
      <c r="AO275" s="829"/>
      <c r="AP275" s="829"/>
      <c r="AQ275" s="829"/>
      <c r="AR275" s="830"/>
      <c r="AS275" s="829"/>
      <c r="AT275" s="829"/>
      <c r="AU275" s="829"/>
      <c r="AV275" s="829"/>
      <c r="AW275" s="830"/>
      <c r="AX275" s="829"/>
      <c r="AY275" s="829"/>
      <c r="AZ275" s="829"/>
      <c r="BA275" s="829"/>
      <c r="BB275" s="830"/>
      <c r="BC275" s="829"/>
      <c r="BD275" s="829"/>
      <c r="BE275" s="829"/>
      <c r="BF275" s="829"/>
      <c r="BG275" s="830"/>
      <c r="BH275" s="829"/>
      <c r="BI275" s="829"/>
      <c r="BJ275" s="829"/>
      <c r="BK275" s="829"/>
      <c r="BL275" s="870">
        <f t="shared" ref="BL275:CZ275" si="497">BL179/BL$182</f>
        <v>7.7708194994619102E-3</v>
      </c>
      <c r="BM275" s="803">
        <f t="shared" si="497"/>
        <v>8.7136659637518932E-3</v>
      </c>
      <c r="BN275" s="803">
        <f t="shared" si="497"/>
        <v>8.7362059905412501E-3</v>
      </c>
      <c r="BO275" s="803">
        <f t="shared" si="497"/>
        <v>9.2110494727076532E-3</v>
      </c>
      <c r="BP275" s="803">
        <f t="shared" si="497"/>
        <v>8.0276299822645367E-3</v>
      </c>
      <c r="BQ275" s="870">
        <f t="shared" si="497"/>
        <v>8.654487630571266E-3</v>
      </c>
      <c r="BR275" s="803">
        <f t="shared" si="497"/>
        <v>7.0742448937129374E-3</v>
      </c>
      <c r="BS275" s="803">
        <f t="shared" si="497"/>
        <v>6.9419352854803613E-3</v>
      </c>
      <c r="BT275" s="803">
        <f t="shared" si="497"/>
        <v>7.029769076690482E-3</v>
      </c>
      <c r="BU275" s="803">
        <f t="shared" si="497"/>
        <v>6.4482656388971243E-3</v>
      </c>
      <c r="BV275" s="870">
        <f t="shared" si="497"/>
        <v>6.8638010378928816E-3</v>
      </c>
      <c r="BW275" s="803">
        <f t="shared" si="497"/>
        <v>7.4349442379182153E-3</v>
      </c>
      <c r="BX275" s="803">
        <f t="shared" si="497"/>
        <v>8.3614864864864861E-3</v>
      </c>
      <c r="BY275" s="803">
        <f t="shared" si="497"/>
        <v>9.5589468388395105E-3</v>
      </c>
      <c r="BZ275" s="803">
        <f t="shared" si="497"/>
        <v>1.0018888067668555E-2</v>
      </c>
      <c r="CA275" s="870">
        <f t="shared" si="497"/>
        <v>8.8532618933004036E-3</v>
      </c>
      <c r="CB275" s="803">
        <f t="shared" si="497"/>
        <v>7.2784358498644217E-3</v>
      </c>
      <c r="CC275" s="803">
        <f t="shared" si="497"/>
        <v>6.7859346082665018E-3</v>
      </c>
      <c r="CD275" s="751">
        <f t="shared" si="497"/>
        <v>3.6491417759156645E-3</v>
      </c>
      <c r="CE275" s="751">
        <f t="shared" si="497"/>
        <v>3.1058444053851434E-3</v>
      </c>
      <c r="CF275" s="849">
        <f t="shared" si="497"/>
        <v>5.1337594876700353E-3</v>
      </c>
      <c r="CG275" s="751">
        <f t="shared" si="497"/>
        <v>2.7322404371584699E-3</v>
      </c>
      <c r="CH275" s="751">
        <f t="shared" si="497"/>
        <v>2.9148980057103775E-3</v>
      </c>
      <c r="CI275" s="751">
        <f t="shared" si="497"/>
        <v>2.2843678440656219E-3</v>
      </c>
      <c r="CJ275" s="751">
        <f t="shared" si="497"/>
        <v>2.413904087544255E-3</v>
      </c>
      <c r="CK275" s="849">
        <f t="shared" si="497"/>
        <v>2.5870050650836011E-3</v>
      </c>
      <c r="CL275" s="751">
        <f t="shared" si="497"/>
        <v>2.7306469161242396E-3</v>
      </c>
      <c r="CM275" s="751">
        <f t="shared" si="497"/>
        <v>2.9308695619217218E-3</v>
      </c>
      <c r="CN275" s="751">
        <f t="shared" si="497"/>
        <v>2.6151157033315678E-3</v>
      </c>
      <c r="CO275" s="751">
        <f>CO179/CO$182</f>
        <v>2.5518612522878016E-3</v>
      </c>
      <c r="CP275" s="849">
        <f t="shared" si="497"/>
        <v>2.7037817770882064E-3</v>
      </c>
      <c r="CQ275" s="751">
        <f t="shared" si="497"/>
        <v>2.995879285246444E-3</v>
      </c>
      <c r="CR275" s="751">
        <f t="shared" si="497"/>
        <v>2.6275148160726691E-3</v>
      </c>
      <c r="CS275" s="751">
        <f t="shared" ca="1" si="497"/>
        <v>2.8798429032396546E-3</v>
      </c>
      <c r="CT275" s="751">
        <f t="shared" ca="1" si="497"/>
        <v>2.7231834771892483E-3</v>
      </c>
      <c r="CU275" s="849">
        <f t="shared" ca="1" si="497"/>
        <v>2.7994565792572616E-3</v>
      </c>
      <c r="CV275" s="751">
        <f t="shared" ca="1" si="497"/>
        <v>2.9314583167567103E-3</v>
      </c>
      <c r="CW275" s="751">
        <f t="shared" ca="1" si="497"/>
        <v>2.7616962952355627E-3</v>
      </c>
      <c r="CX275" s="751">
        <f t="shared" ca="1" si="497"/>
        <v>3.0041178263277447E-3</v>
      </c>
      <c r="CY275" s="751">
        <f ca="1">CY179/CY$182</f>
        <v>3.0563615498262428E-3</v>
      </c>
      <c r="CZ275" s="849">
        <f t="shared" ca="1" si="497"/>
        <v>2.941594653788444E-3</v>
      </c>
      <c r="DA275" s="751">
        <f t="shared" ref="DA275:DJ275" ca="1" si="498">DA179/DA$182</f>
        <v>2.7533460803059275E-3</v>
      </c>
      <c r="DB275" s="751">
        <f ca="1">DB179/DB$182</f>
        <v>2.9142861015662592E-3</v>
      </c>
      <c r="DC275" s="751">
        <f ca="1">DC179/DC$182</f>
        <v>2.8952548711595155E-3</v>
      </c>
      <c r="DD275" s="751">
        <f ca="1">DD179/DD$182</f>
        <v>2.5240488430643042E-3</v>
      </c>
      <c r="DE275" s="849">
        <f t="shared" ca="1" si="498"/>
        <v>2.7691825493151231E-3</v>
      </c>
      <c r="DF275" s="751">
        <f t="shared" ca="1" si="498"/>
        <v>2.370070493583194E-3</v>
      </c>
      <c r="DG275" s="751">
        <f t="shared" ca="1" si="498"/>
        <v>2.2180562773776824E-3</v>
      </c>
      <c r="DH275" s="751">
        <f t="shared" ref="DH275:DI275" ca="1" si="499">DH179/DH$182</f>
        <v>2.7468351473776149E-3</v>
      </c>
      <c r="DI275" s="2821">
        <f t="shared" ca="1" si="499"/>
        <v>2.7997307853091114E-3</v>
      </c>
      <c r="DJ275" s="849">
        <f t="shared" ca="1" si="498"/>
        <v>2.5397061659978826E-3</v>
      </c>
      <c r="DK275" s="751">
        <f t="shared" ref="DK275:DT275" ca="1" si="500">DK179/DK$182</f>
        <v>2.2993834055589669E-3</v>
      </c>
      <c r="DL275" s="751">
        <f t="shared" ca="1" si="500"/>
        <v>2.0561323563260511E-3</v>
      </c>
      <c r="DM275" s="751">
        <f t="shared" ca="1" si="500"/>
        <v>2.5839861702435119E-3</v>
      </c>
      <c r="DN275" s="751">
        <f t="shared" ca="1" si="500"/>
        <v>2.6861318069413644E-3</v>
      </c>
      <c r="DO275" s="849">
        <f t="shared" ca="1" si="500"/>
        <v>2.4100989703527862E-3</v>
      </c>
      <c r="DP275" s="751">
        <f t="shared" ca="1" si="500"/>
        <v>2.2986423526824701E-3</v>
      </c>
      <c r="DQ275" s="751">
        <f t="shared" ca="1" si="500"/>
        <v>2.0578747830352169E-3</v>
      </c>
      <c r="DR275" s="751">
        <f t="shared" ca="1" si="500"/>
        <v>2.5889305039908301E-3</v>
      </c>
      <c r="DS275" s="751">
        <f t="shared" ca="1" si="500"/>
        <v>2.6946006740142746E-3</v>
      </c>
      <c r="DT275" s="849">
        <f t="shared" ca="1" si="500"/>
        <v>2.4135681671412644E-3</v>
      </c>
      <c r="DU275" s="751">
        <f t="shared" ref="DU275:DY275" ca="1" si="501">DU179/DU$182</f>
        <v>2.3093277474306151E-3</v>
      </c>
      <c r="DV275" s="751">
        <f t="shared" ca="1" si="501"/>
        <v>2.0710761869271225E-3</v>
      </c>
      <c r="DW275" s="751">
        <f t="shared" ca="1" si="501"/>
        <v>2.6087812590654715E-3</v>
      </c>
      <c r="DX275" s="751">
        <f t="shared" ca="1" si="501"/>
        <v>2.7190353107144744E-3</v>
      </c>
      <c r="DY275" s="849">
        <f t="shared" ca="1" si="501"/>
        <v>2.4304674676832332E-3</v>
      </c>
    </row>
    <row r="276" spans="1:129" ht="11.25" customHeight="1" x14ac:dyDescent="0.2">
      <c r="A276" s="825"/>
      <c r="B276" s="821"/>
      <c r="C276" s="827"/>
      <c r="D276" s="828"/>
      <c r="E276" s="829"/>
      <c r="F276" s="829"/>
      <c r="G276" s="829"/>
      <c r="H276" s="829"/>
      <c r="I276" s="830"/>
      <c r="J276" s="829"/>
      <c r="K276" s="829"/>
      <c r="L276" s="829"/>
      <c r="M276" s="829"/>
      <c r="N276" s="830"/>
      <c r="O276" s="829"/>
      <c r="P276" s="829"/>
      <c r="Q276" s="829"/>
      <c r="R276" s="829"/>
      <c r="S276" s="830"/>
      <c r="T276" s="829"/>
      <c r="U276" s="829"/>
      <c r="V276" s="829"/>
      <c r="W276" s="829"/>
      <c r="X276" s="830"/>
      <c r="Y276" s="829"/>
      <c r="Z276" s="829"/>
      <c r="AA276" s="829"/>
      <c r="AB276" s="829"/>
      <c r="AC276" s="830"/>
      <c r="AD276" s="829"/>
      <c r="AE276" s="829"/>
      <c r="AF276" s="829"/>
      <c r="AG276" s="829"/>
      <c r="AH276" s="830"/>
      <c r="AI276" s="829"/>
      <c r="AJ276" s="829"/>
      <c r="AK276" s="829"/>
      <c r="AL276" s="829"/>
      <c r="AM276" s="830"/>
      <c r="AN276" s="829"/>
      <c r="AO276" s="829"/>
      <c r="AP276" s="829"/>
      <c r="AQ276" s="829"/>
      <c r="AR276" s="830"/>
      <c r="AS276" s="829"/>
      <c r="AT276" s="829"/>
      <c r="AU276" s="829"/>
      <c r="AV276" s="829"/>
      <c r="AW276" s="830"/>
      <c r="AX276" s="829"/>
      <c r="AY276" s="829"/>
      <c r="AZ276" s="829"/>
      <c r="BA276" s="829"/>
      <c r="BB276" s="830"/>
      <c r="BC276" s="829"/>
      <c r="BD276" s="829"/>
      <c r="BE276" s="829"/>
      <c r="BF276" s="829"/>
      <c r="BG276" s="830"/>
      <c r="BH276" s="829"/>
      <c r="BI276" s="829"/>
      <c r="BJ276" s="829"/>
      <c r="BK276" s="829"/>
      <c r="BL276" s="849"/>
      <c r="BM276" s="743"/>
      <c r="BN276" s="743"/>
      <c r="BO276" s="743"/>
      <c r="BP276" s="743"/>
      <c r="BQ276" s="849"/>
      <c r="BR276" s="743"/>
      <c r="BS276" s="743"/>
      <c r="BT276" s="743"/>
      <c r="BU276" s="743"/>
      <c r="BV276" s="849"/>
      <c r="BW276" s="743"/>
      <c r="BX276" s="743"/>
      <c r="BY276" s="743"/>
      <c r="BZ276" s="743"/>
      <c r="CA276" s="849"/>
      <c r="CB276" s="743"/>
      <c r="CC276" s="743"/>
      <c r="CD276" s="743"/>
      <c r="CE276" s="743"/>
      <c r="CF276" s="849"/>
      <c r="CG276" s="743"/>
      <c r="CH276" s="743"/>
      <c r="CI276" s="743"/>
      <c r="CJ276" s="743"/>
      <c r="CK276" s="849"/>
      <c r="CL276" s="743"/>
      <c r="CM276" s="743"/>
      <c r="CN276" s="743"/>
      <c r="CO276" s="743"/>
      <c r="CP276" s="849"/>
      <c r="CQ276" s="743"/>
      <c r="CR276" s="743"/>
      <c r="CS276" s="743"/>
      <c r="CT276" s="743"/>
      <c r="CU276" s="849"/>
      <c r="CV276" s="743"/>
      <c r="CW276" s="743"/>
      <c r="CX276" s="743"/>
      <c r="CY276" s="743"/>
      <c r="CZ276" s="849"/>
      <c r="DA276" s="743"/>
      <c r="DB276" s="743"/>
      <c r="DC276" s="743"/>
      <c r="DD276" s="743"/>
      <c r="DE276" s="849"/>
      <c r="DF276" s="743"/>
      <c r="DG276" s="743"/>
      <c r="DH276" s="743"/>
      <c r="DI276" s="2818"/>
      <c r="DJ276" s="849"/>
      <c r="DK276" s="743"/>
      <c r="DL276" s="743"/>
      <c r="DM276" s="743"/>
      <c r="DN276" s="743"/>
      <c r="DO276" s="849"/>
      <c r="DP276" s="743"/>
      <c r="DQ276" s="743"/>
      <c r="DR276" s="743"/>
      <c r="DS276" s="743"/>
      <c r="DT276" s="849"/>
      <c r="DU276" s="743"/>
      <c r="DV276" s="743"/>
      <c r="DW276" s="743"/>
      <c r="DX276" s="743"/>
      <c r="DY276" s="849"/>
    </row>
    <row r="277" spans="1:129" ht="11.25" customHeight="1" x14ac:dyDescent="0.2">
      <c r="A277" s="825"/>
      <c r="B277" s="925" t="s">
        <v>251</v>
      </c>
      <c r="C277" s="926"/>
      <c r="D277" s="927"/>
      <c r="E277" s="926"/>
      <c r="F277" s="926"/>
      <c r="G277" s="926"/>
      <c r="H277" s="926"/>
      <c r="I277" s="928"/>
      <c r="J277" s="926"/>
      <c r="K277" s="926"/>
      <c r="L277" s="926"/>
      <c r="M277" s="926"/>
      <c r="N277" s="928"/>
      <c r="O277" s="926"/>
      <c r="P277" s="926"/>
      <c r="Q277" s="926"/>
      <c r="R277" s="926"/>
      <c r="S277" s="928"/>
      <c r="T277" s="926"/>
      <c r="U277" s="926"/>
      <c r="V277" s="926"/>
      <c r="W277" s="926"/>
      <c r="X277" s="928"/>
      <c r="Y277" s="926"/>
      <c r="Z277" s="926"/>
      <c r="AA277" s="926"/>
      <c r="AB277" s="926"/>
      <c r="AC277" s="928"/>
      <c r="AD277" s="926"/>
      <c r="AE277" s="926"/>
      <c r="AF277" s="926"/>
      <c r="AG277" s="926"/>
      <c r="AH277" s="928"/>
      <c r="AI277" s="926"/>
      <c r="AJ277" s="926"/>
      <c r="AK277" s="926"/>
      <c r="AL277" s="926"/>
      <c r="AM277" s="928"/>
      <c r="AN277" s="926"/>
      <c r="AO277" s="926"/>
      <c r="AP277" s="926"/>
      <c r="AQ277" s="926"/>
      <c r="AR277" s="928"/>
      <c r="AS277" s="926"/>
      <c r="AT277" s="926"/>
      <c r="AU277" s="926"/>
      <c r="AV277" s="926"/>
      <c r="AW277" s="928"/>
      <c r="AX277" s="926"/>
      <c r="AY277" s="926"/>
      <c r="AZ277" s="926"/>
      <c r="BA277" s="926"/>
      <c r="BB277" s="928"/>
      <c r="BC277" s="926"/>
      <c r="BD277" s="926"/>
      <c r="BE277" s="926"/>
      <c r="BF277" s="926"/>
      <c r="BG277" s="928"/>
      <c r="BH277" s="926"/>
      <c r="BI277" s="926"/>
      <c r="BJ277" s="926"/>
      <c r="BK277" s="926"/>
      <c r="BL277" s="929">
        <f>BL275+BL273+BL269</f>
        <v>0.99999999999999989</v>
      </c>
      <c r="BM277" s="930">
        <f>SUM(BM267:BM275)</f>
        <v>1</v>
      </c>
      <c r="BN277" s="930">
        <f>SUM(BN267:BN275)</f>
        <v>0.99999999999999989</v>
      </c>
      <c r="BO277" s="930">
        <f>SUM(BO267:BO275)</f>
        <v>1</v>
      </c>
      <c r="BP277" s="930">
        <f>SUM(BP267:BP275)</f>
        <v>1</v>
      </c>
      <c r="BQ277" s="929">
        <f>BQ275+BQ273+BQ269</f>
        <v>0.99999999999999978</v>
      </c>
      <c r="BR277" s="930">
        <f>SUM(BR267:BR275)</f>
        <v>0.99999999999999989</v>
      </c>
      <c r="BS277" s="930">
        <f>SUM(BS267:BS275)</f>
        <v>0.99999999999999989</v>
      </c>
      <c r="BT277" s="930">
        <f>SUM(BT267:BT275)</f>
        <v>1</v>
      </c>
      <c r="BU277" s="931">
        <f>SUM(BU267:BU275)</f>
        <v>1.0404862733471687</v>
      </c>
      <c r="BV277" s="932">
        <f>BV275+BV273+BV269</f>
        <v>1</v>
      </c>
      <c r="BW277" s="930">
        <f>SUM(BW267:BW275)</f>
        <v>1</v>
      </c>
      <c r="BX277" s="930">
        <f>SUM(BX267:BX275)</f>
        <v>1</v>
      </c>
      <c r="BY277" s="930">
        <f>SUM(BY267:BY275)</f>
        <v>1</v>
      </c>
      <c r="BZ277" s="930">
        <f>SUM(BZ267:BZ275)</f>
        <v>1.0000000000000002</v>
      </c>
      <c r="CA277" s="929">
        <f>CA275+CA273+CA269</f>
        <v>1</v>
      </c>
      <c r="CB277" s="930">
        <f>SUM(CB267:CB275)</f>
        <v>1.9927215641501352</v>
      </c>
      <c r="CC277" s="930">
        <f>SUM(CC267:CC275)</f>
        <v>1.9932140653917336</v>
      </c>
      <c r="CD277" s="933">
        <f>SUM(CD267:CD275)</f>
        <v>1.9963508582240848</v>
      </c>
      <c r="CE277" s="933">
        <f>SUM(CE267:CE275)</f>
        <v>1.9968941555946149</v>
      </c>
      <c r="CF277" s="934">
        <f>CF275+CF273+CF269</f>
        <v>1</v>
      </c>
      <c r="CG277" s="933">
        <f>SUM(CG267:CG275)</f>
        <v>1.9972677595628416</v>
      </c>
      <c r="CH277" s="933">
        <f>SUM(CH267:CH275)</f>
        <v>1.9970851019942895</v>
      </c>
      <c r="CI277" s="933">
        <f>SUM(CI267:CI275)</f>
        <v>1.9977156321559348</v>
      </c>
      <c r="CJ277" s="933">
        <f>SUM(CJ267:CJ275)</f>
        <v>1.9975860959124558</v>
      </c>
      <c r="CK277" s="934">
        <f>CK275+CK273+CK269</f>
        <v>1</v>
      </c>
      <c r="CL277" s="933">
        <f>SUM(CL267:CL275)</f>
        <v>1.9972693530838757</v>
      </c>
      <c r="CM277" s="933">
        <f>SUM(CM267:CM275)</f>
        <v>1.9970691304380783</v>
      </c>
      <c r="CN277" s="933">
        <f>SUM(CN267:CN275)</f>
        <v>1.9973848842966684</v>
      </c>
      <c r="CO277" s="933">
        <f>SUM(CO267:CO275)</f>
        <v>1.9974481387477125</v>
      </c>
      <c r="CP277" s="934">
        <f>CP275+CP273+CP269</f>
        <v>1</v>
      </c>
      <c r="CQ277" s="933">
        <f>SUM(CQ267:CQ275)</f>
        <v>1.9970041207147535</v>
      </c>
      <c r="CR277" s="933">
        <f>SUM(CR267:CR275)</f>
        <v>1.9973724851839274</v>
      </c>
      <c r="CS277" s="933">
        <f ca="1">SUM(CS267:CS275)</f>
        <v>1.9971201570967603</v>
      </c>
      <c r="CT277" s="933">
        <f ca="1">SUM(CT267:CT275)</f>
        <v>1.9972768165228107</v>
      </c>
      <c r="CU277" s="934">
        <f ca="1">CU275+CU273+CU269</f>
        <v>1</v>
      </c>
      <c r="CV277" s="933">
        <f ca="1">SUM(CV267:CV275)</f>
        <v>1.9970685416832432</v>
      </c>
      <c r="CW277" s="933">
        <f ca="1">SUM(CW267:CW275)</f>
        <v>1.9972383037047645</v>
      </c>
      <c r="CX277" s="933">
        <f ca="1">SUM(CX267:CX275)</f>
        <v>1.9969958821736722</v>
      </c>
      <c r="CY277" s="933">
        <f ca="1">SUM(CY267:CY275)</f>
        <v>1.9969436384501738</v>
      </c>
      <c r="CZ277" s="934">
        <f ca="1">CZ275+CZ273+CZ269</f>
        <v>1</v>
      </c>
      <c r="DA277" s="933">
        <f ca="1">SUM(DA267:DA275)</f>
        <v>1.997246653919694</v>
      </c>
      <c r="DB277" s="933">
        <f ca="1">SUM(DB267:DB275)</f>
        <v>1.9970857138984337</v>
      </c>
      <c r="DC277" s="933">
        <f ca="1">SUM(DC267:DC275)</f>
        <v>1.9971047451288404</v>
      </c>
      <c r="DD277" s="933">
        <f ca="1">SUM(DD267:DD275)</f>
        <v>1.9974759511569355</v>
      </c>
      <c r="DE277" s="934">
        <f ca="1">DE275+DE273+DE269</f>
        <v>1</v>
      </c>
      <c r="DF277" s="933">
        <f ca="1">SUM(DF267:DF275)</f>
        <v>1.9976299295064168</v>
      </c>
      <c r="DG277" s="933">
        <f ca="1">SUM(DG267:DG275)</f>
        <v>1.9977819437226227</v>
      </c>
      <c r="DH277" s="933">
        <f ca="1">SUM(DH267:DH275)</f>
        <v>1.9972531648526222</v>
      </c>
      <c r="DI277" s="2833">
        <f ca="1">SUM(DI267:DI275)</f>
        <v>1.9972002692146913</v>
      </c>
      <c r="DJ277" s="934">
        <f ca="1">DJ275+DJ273+DJ269</f>
        <v>1</v>
      </c>
      <c r="DK277" s="933">
        <f ca="1">SUM(DK267:DK275)</f>
        <v>1.9977006165944409</v>
      </c>
      <c r="DL277" s="933">
        <f ca="1">SUM(DL267:DL275)</f>
        <v>1.997943867643674</v>
      </c>
      <c r="DM277" s="933">
        <f ca="1">SUM(DM267:DM275)</f>
        <v>1.9974160138297565</v>
      </c>
      <c r="DN277" s="933">
        <f ca="1">SUM(DN267:DN275)</f>
        <v>1.9973138681930591</v>
      </c>
      <c r="DO277" s="934">
        <f ca="1">DO275+DO273+DO269</f>
        <v>1</v>
      </c>
      <c r="DP277" s="933">
        <f ca="1">SUM(DP267:DP275)</f>
        <v>1.9977013576473179</v>
      </c>
      <c r="DQ277" s="933">
        <f ca="1">SUM(DQ267:DQ275)</f>
        <v>1.9979421252169647</v>
      </c>
      <c r="DR277" s="933">
        <f ca="1">SUM(DR267:DR275)</f>
        <v>1.9974110694960092</v>
      </c>
      <c r="DS277" s="933">
        <f ca="1">SUM(DS267:DS275)</f>
        <v>1.9973053993259855</v>
      </c>
      <c r="DT277" s="934">
        <f ca="1">DT275+DT273+DT269</f>
        <v>1</v>
      </c>
      <c r="DU277" s="933">
        <f ca="1">SUM(DU267:DU275)</f>
        <v>1.9976906722525694</v>
      </c>
      <c r="DV277" s="933">
        <f ca="1">SUM(DV267:DV275)</f>
        <v>1.9979289238130733</v>
      </c>
      <c r="DW277" s="933">
        <f ca="1">SUM(DW267:DW275)</f>
        <v>1.9973912187409348</v>
      </c>
      <c r="DX277" s="933">
        <f ca="1">SUM(DX267:DX275)</f>
        <v>1.9972809646892851</v>
      </c>
      <c r="DY277" s="934">
        <f ca="1">DY275+DY273+DY269</f>
        <v>1</v>
      </c>
    </row>
    <row r="278" spans="1:129" ht="10.5" customHeight="1" x14ac:dyDescent="0.2">
      <c r="A278" s="526"/>
      <c r="B278" s="690"/>
      <c r="C278" s="691"/>
      <c r="D278" s="597"/>
      <c r="E278" s="597"/>
      <c r="F278" s="597"/>
      <c r="G278" s="597"/>
      <c r="H278" s="597"/>
      <c r="I278" s="598"/>
      <c r="J278" s="597"/>
      <c r="K278" s="597"/>
      <c r="L278" s="597"/>
      <c r="M278" s="597"/>
      <c r="N278" s="598"/>
      <c r="O278" s="597"/>
      <c r="P278" s="597"/>
      <c r="Q278" s="597"/>
      <c r="R278" s="597"/>
      <c r="S278" s="598"/>
      <c r="T278" s="597"/>
      <c r="U278" s="597"/>
      <c r="V278" s="597"/>
      <c r="W278" s="597"/>
      <c r="X278" s="598"/>
      <c r="Y278" s="597"/>
      <c r="Z278" s="597"/>
      <c r="AA278" s="597"/>
      <c r="AB278" s="597"/>
      <c r="AC278" s="598"/>
      <c r="AD278" s="597"/>
      <c r="AE278" s="597"/>
      <c r="AF278" s="597"/>
      <c r="AG278" s="597"/>
      <c r="AH278" s="598"/>
      <c r="AI278" s="597"/>
      <c r="AJ278" s="597"/>
      <c r="AK278" s="597"/>
      <c r="AL278" s="597"/>
      <c r="AM278" s="598"/>
      <c r="AN278" s="597"/>
      <c r="AO278" s="597"/>
      <c r="AP278" s="597"/>
      <c r="AQ278" s="597"/>
      <c r="AR278" s="598"/>
      <c r="AS278" s="597"/>
      <c r="AT278" s="597"/>
      <c r="AU278" s="597"/>
      <c r="AV278" s="597"/>
      <c r="AW278" s="598"/>
      <c r="AX278" s="597"/>
      <c r="AY278" s="597"/>
      <c r="AZ278" s="597"/>
      <c r="BA278" s="597"/>
      <c r="BB278" s="598"/>
      <c r="BC278" s="597"/>
      <c r="BD278" s="597"/>
      <c r="BE278" s="597"/>
      <c r="BF278" s="597"/>
      <c r="BG278" s="598"/>
      <c r="BH278" s="597"/>
      <c r="BI278" s="597"/>
      <c r="BJ278" s="597"/>
      <c r="BK278" s="597"/>
      <c r="BL278" s="598"/>
      <c r="BM278" s="597"/>
      <c r="BN278" s="597"/>
      <c r="BO278" s="597"/>
      <c r="BP278" s="597"/>
      <c r="BQ278" s="598"/>
      <c r="BR278" s="597"/>
      <c r="BS278" s="597"/>
      <c r="BT278" s="597"/>
      <c r="BU278" s="597"/>
      <c r="BV278" s="598"/>
      <c r="BW278" s="597"/>
      <c r="BX278" s="597"/>
      <c r="BY278" s="597"/>
      <c r="BZ278" s="597"/>
      <c r="CA278" s="598"/>
      <c r="CB278" s="597"/>
      <c r="CC278" s="597"/>
      <c r="CD278" s="597"/>
      <c r="CE278" s="597"/>
      <c r="CF278" s="598"/>
      <c r="CG278" s="597"/>
      <c r="CH278" s="597"/>
      <c r="CI278" s="597"/>
      <c r="CJ278" s="597"/>
      <c r="CK278" s="598"/>
      <c r="CL278" s="597"/>
      <c r="CM278" s="597"/>
      <c r="CN278" s="597"/>
      <c r="CO278" s="597"/>
      <c r="CP278" s="598"/>
      <c r="CQ278" s="597"/>
      <c r="CR278" s="597"/>
      <c r="CS278" s="597"/>
      <c r="CT278" s="597"/>
      <c r="CU278" s="598"/>
      <c r="CV278" s="597"/>
      <c r="CW278" s="597"/>
      <c r="CX278" s="597"/>
      <c r="CY278" s="597"/>
      <c r="CZ278" s="598"/>
      <c r="DA278" s="597"/>
      <c r="DB278" s="597"/>
      <c r="DC278" s="597"/>
      <c r="DD278" s="597"/>
      <c r="DE278" s="598"/>
      <c r="DF278" s="597"/>
      <c r="DG278" s="597"/>
      <c r="DH278" s="597"/>
      <c r="DI278" s="2800"/>
      <c r="DJ278" s="598"/>
      <c r="DK278" s="597"/>
      <c r="DL278" s="597"/>
      <c r="DM278" s="597"/>
      <c r="DN278" s="597"/>
      <c r="DO278" s="598"/>
      <c r="DP278" s="597"/>
      <c r="DQ278" s="597"/>
      <c r="DR278" s="597"/>
      <c r="DS278" s="597"/>
      <c r="DT278" s="598"/>
      <c r="DU278" s="597"/>
      <c r="DV278" s="597"/>
      <c r="DW278" s="597"/>
      <c r="DX278" s="597"/>
      <c r="DY278" s="598"/>
    </row>
    <row r="279" spans="1:129" x14ac:dyDescent="0.2">
      <c r="A279" s="526"/>
      <c r="B279" s="832" t="s">
        <v>808</v>
      </c>
      <c r="C279" s="597"/>
      <c r="D279" s="597"/>
      <c r="E279" s="597"/>
      <c r="F279" s="597"/>
      <c r="G279" s="597"/>
      <c r="H279" s="597"/>
      <c r="I279" s="598"/>
      <c r="J279" s="597"/>
      <c r="K279" s="597"/>
      <c r="L279" s="597"/>
      <c r="M279" s="597"/>
      <c r="N279" s="598"/>
      <c r="O279" s="597"/>
      <c r="P279" s="597"/>
      <c r="Q279" s="597"/>
      <c r="R279" s="597"/>
      <c r="S279" s="598"/>
      <c r="T279" s="597"/>
      <c r="U279" s="597"/>
      <c r="V279" s="597"/>
      <c r="W279" s="597"/>
      <c r="X279" s="598"/>
      <c r="Y279" s="597"/>
      <c r="Z279" s="597"/>
      <c r="AA279" s="597"/>
      <c r="AB279" s="597"/>
      <c r="AC279" s="598"/>
      <c r="AD279" s="597"/>
      <c r="AE279" s="597"/>
      <c r="AF279" s="597"/>
      <c r="AG279" s="597"/>
      <c r="AH279" s="598"/>
      <c r="AI279" s="597"/>
      <c r="AJ279" s="597"/>
      <c r="AK279" s="597"/>
      <c r="AL279" s="597"/>
      <c r="AM279" s="598"/>
      <c r="AN279" s="597"/>
      <c r="AO279" s="597"/>
      <c r="AP279" s="597"/>
      <c r="AQ279" s="597"/>
      <c r="AR279" s="598"/>
      <c r="AS279" s="597"/>
      <c r="AT279" s="597"/>
      <c r="AU279" s="597"/>
      <c r="AV279" s="597"/>
      <c r="AW279" s="598"/>
      <c r="AX279" s="597"/>
      <c r="AY279" s="597"/>
      <c r="AZ279" s="597"/>
      <c r="BA279" s="597"/>
      <c r="BB279" s="598"/>
      <c r="BC279" s="597"/>
      <c r="BD279" s="597"/>
      <c r="BE279" s="597"/>
      <c r="BF279" s="597"/>
      <c r="BG279" s="598"/>
      <c r="BH279" s="743"/>
      <c r="BI279" s="743"/>
      <c r="BJ279" s="743"/>
      <c r="BK279" s="743"/>
      <c r="BL279" s="849"/>
      <c r="BM279" s="743"/>
      <c r="BN279" s="743"/>
      <c r="BO279" s="743"/>
      <c r="BP279" s="743"/>
      <c r="BQ279" s="849"/>
      <c r="BR279" s="743"/>
      <c r="BS279" s="743"/>
      <c r="BT279" s="743"/>
      <c r="BU279" s="743"/>
      <c r="BV279" s="849"/>
      <c r="BW279" s="743"/>
      <c r="BX279" s="743"/>
      <c r="BY279" s="743"/>
      <c r="BZ279" s="743"/>
      <c r="CA279" s="849"/>
      <c r="CB279" s="743"/>
      <c r="CC279" s="743"/>
      <c r="CD279" s="743"/>
      <c r="CE279" s="743"/>
      <c r="CF279" s="849"/>
      <c r="CG279" s="743"/>
      <c r="CH279" s="743"/>
      <c r="CI279" s="743"/>
      <c r="CJ279" s="743"/>
      <c r="CK279" s="849"/>
      <c r="CL279" s="743"/>
      <c r="CM279" s="743"/>
      <c r="CN279" s="743"/>
      <c r="CO279" s="743"/>
      <c r="CP279" s="849"/>
      <c r="CQ279" s="743"/>
      <c r="CR279" s="743"/>
      <c r="CS279" s="743"/>
      <c r="CT279" s="743"/>
      <c r="CU279" s="849"/>
      <c r="CV279" s="743"/>
      <c r="CW279" s="743"/>
      <c r="CX279" s="743"/>
      <c r="CY279" s="743"/>
      <c r="CZ279" s="849"/>
      <c r="DA279" s="743"/>
      <c r="DB279" s="743"/>
      <c r="DC279" s="743"/>
      <c r="DD279" s="743"/>
      <c r="DE279" s="849"/>
      <c r="DF279" s="743"/>
      <c r="DG279" s="743"/>
      <c r="DH279" s="743"/>
      <c r="DI279" s="2818"/>
      <c r="DJ279" s="849"/>
      <c r="DK279" s="743"/>
      <c r="DL279" s="743"/>
      <c r="DM279" s="743"/>
      <c r="DN279" s="743"/>
      <c r="DO279" s="849"/>
      <c r="DP279" s="743"/>
      <c r="DQ279" s="743"/>
      <c r="DR279" s="743"/>
      <c r="DS279" s="743"/>
      <c r="DT279" s="849"/>
      <c r="DU279" s="743"/>
      <c r="DV279" s="743"/>
      <c r="DW279" s="743"/>
      <c r="DX279" s="743"/>
      <c r="DY279" s="849"/>
    </row>
    <row r="280" spans="1:129" x14ac:dyDescent="0.2">
      <c r="A280" s="526"/>
      <c r="B280" s="756" t="s">
        <v>786</v>
      </c>
      <c r="C280" s="597"/>
      <c r="D280" s="597"/>
      <c r="E280" s="597"/>
      <c r="F280" s="597"/>
      <c r="G280" s="597"/>
      <c r="H280" s="597"/>
      <c r="I280" s="598"/>
      <c r="J280" s="597"/>
      <c r="K280" s="597"/>
      <c r="L280" s="597"/>
      <c r="M280" s="597"/>
      <c r="N280" s="598"/>
      <c r="O280" s="597"/>
      <c r="P280" s="597"/>
      <c r="Q280" s="597"/>
      <c r="R280" s="597"/>
      <c r="S280" s="598"/>
      <c r="T280" s="597"/>
      <c r="U280" s="597"/>
      <c r="V280" s="597"/>
      <c r="W280" s="597"/>
      <c r="X280" s="598"/>
      <c r="Y280" s="597"/>
      <c r="Z280" s="597"/>
      <c r="AA280" s="597"/>
      <c r="AB280" s="597"/>
      <c r="AC280" s="598"/>
      <c r="AD280" s="597"/>
      <c r="AE280" s="597"/>
      <c r="AF280" s="597"/>
      <c r="AG280" s="597"/>
      <c r="AH280" s="598"/>
      <c r="AI280" s="597"/>
      <c r="AJ280" s="597"/>
      <c r="AK280" s="597"/>
      <c r="AL280" s="597"/>
      <c r="AM280" s="598"/>
      <c r="AN280" s="597"/>
      <c r="AO280" s="597"/>
      <c r="AP280" s="597"/>
      <c r="AQ280" s="597"/>
      <c r="AR280" s="598"/>
      <c r="AS280" s="597"/>
      <c r="AT280" s="597"/>
      <c r="AU280" s="597"/>
      <c r="AV280" s="597"/>
      <c r="AW280" s="598"/>
      <c r="AX280" s="597"/>
      <c r="AY280" s="597"/>
      <c r="AZ280" s="597"/>
      <c r="BA280" s="597"/>
      <c r="BB280" s="598"/>
      <c r="BC280" s="597"/>
      <c r="BD280" s="597"/>
      <c r="BE280" s="597"/>
      <c r="BF280" s="597"/>
      <c r="BG280" s="598"/>
      <c r="BH280" s="803">
        <f t="shared" ref="BH280:CZ280" si="502">BH206/BH$218</f>
        <v>1.9088334362789956E-2</v>
      </c>
      <c r="BI280" s="803">
        <f t="shared" si="502"/>
        <v>2.5781776789676341E-2</v>
      </c>
      <c r="BJ280" s="803">
        <f t="shared" si="502"/>
        <v>3.5725392602557117E-2</v>
      </c>
      <c r="BK280" s="803">
        <f t="shared" si="502"/>
        <v>3.8025561330827184E-2</v>
      </c>
      <c r="BL280" s="870">
        <f t="shared" si="502"/>
        <v>3.2332536209191222E-2</v>
      </c>
      <c r="BM280" s="803">
        <f t="shared" si="502"/>
        <v>0.22377228217228193</v>
      </c>
      <c r="BN280" s="803">
        <f t="shared" si="502"/>
        <v>0.2072210493458467</v>
      </c>
      <c r="BO280" s="803">
        <f t="shared" si="502"/>
        <v>0.20795727774449319</v>
      </c>
      <c r="BP280" s="803">
        <f t="shared" si="502"/>
        <v>0.20705939075092178</v>
      </c>
      <c r="BQ280" s="870">
        <f t="shared" si="502"/>
        <v>0.21103263246620682</v>
      </c>
      <c r="BR280" s="803">
        <f t="shared" si="502"/>
        <v>0.25993759999999999</v>
      </c>
      <c r="BS280" s="803">
        <f t="shared" si="502"/>
        <v>0.26039873960419341</v>
      </c>
      <c r="BT280" s="803">
        <f t="shared" si="502"/>
        <v>0.23404237095473857</v>
      </c>
      <c r="BU280" s="803">
        <f t="shared" si="502"/>
        <v>0.23340344920057549</v>
      </c>
      <c r="BV280" s="870">
        <f t="shared" si="502"/>
        <v>0.24565001922202298</v>
      </c>
      <c r="BW280" s="803">
        <f t="shared" si="502"/>
        <v>0.28982961353585224</v>
      </c>
      <c r="BX280" s="803">
        <f t="shared" si="502"/>
        <v>0.28284054465671349</v>
      </c>
      <c r="BY280" s="803">
        <f t="shared" si="502"/>
        <v>0.26967327590946788</v>
      </c>
      <c r="BZ280" s="803">
        <f t="shared" si="502"/>
        <v>0.28558263676574469</v>
      </c>
      <c r="CA280" s="870">
        <f t="shared" si="502"/>
        <v>0.2817173558462866</v>
      </c>
      <c r="CB280" s="803">
        <f t="shared" si="502"/>
        <v>0.36186762709209791</v>
      </c>
      <c r="CC280" s="803">
        <f t="shared" si="502"/>
        <v>0.33650903722482212</v>
      </c>
      <c r="CD280" s="751">
        <f t="shared" si="502"/>
        <v>0.34831297842601033</v>
      </c>
      <c r="CE280" s="751">
        <f t="shared" si="502"/>
        <v>0.36358218971535566</v>
      </c>
      <c r="CF280" s="849">
        <f t="shared" si="502"/>
        <v>0.35303238143573884</v>
      </c>
      <c r="CG280" s="751">
        <f t="shared" si="502"/>
        <v>0.36729367625883935</v>
      </c>
      <c r="CH280" s="751">
        <f t="shared" si="502"/>
        <v>0.39471740292407315</v>
      </c>
      <c r="CI280" s="751">
        <f t="shared" si="502"/>
        <v>0.46198830709127831</v>
      </c>
      <c r="CJ280" s="751">
        <f t="shared" si="502"/>
        <v>0.4381855096888766</v>
      </c>
      <c r="CK280" s="849">
        <f t="shared" si="502"/>
        <v>0.42459532837174219</v>
      </c>
      <c r="CL280" s="751">
        <f t="shared" ca="1" si="502"/>
        <v>0.33230964479056346</v>
      </c>
      <c r="CM280" s="751">
        <f t="shared" si="502"/>
        <v>0.4185469927277955</v>
      </c>
      <c r="CN280" s="751">
        <f t="shared" si="502"/>
        <v>0.43958485240185602</v>
      </c>
      <c r="CO280" s="751">
        <f>CO206/CO$218</f>
        <v>0.39470925142145358</v>
      </c>
      <c r="CP280" s="849">
        <f t="shared" ca="1" si="502"/>
        <v>0.40245830647665543</v>
      </c>
      <c r="CQ280" s="751">
        <f t="shared" si="502"/>
        <v>0.39238467547884842</v>
      </c>
      <c r="CR280" s="751">
        <f t="shared" si="502"/>
        <v>0.48804691063603167</v>
      </c>
      <c r="CS280" s="751">
        <f t="shared" ca="1" si="502"/>
        <v>0.46841967070181578</v>
      </c>
      <c r="CT280" s="751">
        <f t="shared" ca="1" si="502"/>
        <v>0.35577289398138623</v>
      </c>
      <c r="CU280" s="849">
        <f t="shared" ca="1" si="502"/>
        <v>0.42822231466162425</v>
      </c>
      <c r="CV280" s="751">
        <f t="shared" ca="1" si="502"/>
        <v>0.40457582927742552</v>
      </c>
      <c r="CW280" s="751">
        <f t="shared" ca="1" si="502"/>
        <v>0.47662747100480918</v>
      </c>
      <c r="CX280" s="751">
        <f t="shared" ca="1" si="502"/>
        <v>0.44511785391429298</v>
      </c>
      <c r="CY280" s="751">
        <f ca="1">CY206/CY$218</f>
        <v>0.42565654927444102</v>
      </c>
      <c r="CZ280" s="849">
        <f t="shared" ca="1" si="502"/>
        <v>0.43839258840843215</v>
      </c>
      <c r="DA280" s="751">
        <f t="shared" ref="DA280:DE282" ca="1" si="503">DA206/DA$218</f>
        <v>0.35911575846223681</v>
      </c>
      <c r="DB280" s="751">
        <f t="shared" ca="1" si="503"/>
        <v>0.42265861069467203</v>
      </c>
      <c r="DC280" s="751">
        <f t="shared" ca="1" si="503"/>
        <v>0.4264040036562099</v>
      </c>
      <c r="DD280" s="751">
        <f t="shared" ca="1" si="503"/>
        <v>0.4236640982403112</v>
      </c>
      <c r="DE280" s="849">
        <f t="shared" ca="1" si="503"/>
        <v>0.4110478423768989</v>
      </c>
      <c r="DF280" s="751">
        <f t="shared" ref="DF280:DJ282" ca="1" si="504">DF206/DF$218</f>
        <v>0.37897441864831682</v>
      </c>
      <c r="DG280" s="751">
        <f t="shared" ca="1" si="504"/>
        <v>0.41958940829123986</v>
      </c>
      <c r="DH280" s="751">
        <f t="shared" ref="DH280:DI282" ca="1" si="505">DH206/DH$218</f>
        <v>0.48533998791356053</v>
      </c>
      <c r="DI280" s="2821">
        <f t="shared" ca="1" si="505"/>
        <v>0.48109020939256009</v>
      </c>
      <c r="DJ280" s="849">
        <f t="shared" ca="1" si="504"/>
        <v>0.44777596804853936</v>
      </c>
      <c r="DK280" s="751">
        <f t="shared" ref="DK280:DT280" ca="1" si="506">DK206/DK$218</f>
        <v>0.37877005166881128</v>
      </c>
      <c r="DL280" s="751">
        <f t="shared" ca="1" si="506"/>
        <v>0.42676917830990319</v>
      </c>
      <c r="DM280" s="751">
        <f t="shared" ca="1" si="506"/>
        <v>0.49035616237330909</v>
      </c>
      <c r="DN280" s="751">
        <f t="shared" ca="1" si="506"/>
        <v>0.48903478147828883</v>
      </c>
      <c r="DO280" s="849">
        <f t="shared" ca="1" si="506"/>
        <v>0.45377859629901079</v>
      </c>
      <c r="DP280" s="751">
        <f t="shared" ca="1" si="506"/>
        <v>0.37785840363064654</v>
      </c>
      <c r="DQ280" s="751">
        <f t="shared" ca="1" si="506"/>
        <v>0.4366933805863763</v>
      </c>
      <c r="DR280" s="751">
        <f t="shared" ca="1" si="506"/>
        <v>0.50111177597371115</v>
      </c>
      <c r="DS280" s="751">
        <f t="shared" ca="1" si="506"/>
        <v>0.4997760878343151</v>
      </c>
      <c r="DT280" s="849">
        <f t="shared" ca="1" si="506"/>
        <v>0.46196106189495673</v>
      </c>
      <c r="DU280" s="751">
        <f t="shared" ref="DU280:DY280" ca="1" si="507">DU206/DU$218</f>
        <v>0.38215555700889847</v>
      </c>
      <c r="DV280" s="751">
        <f t="shared" ca="1" si="507"/>
        <v>0.44166190055600507</v>
      </c>
      <c r="DW280" s="751">
        <f t="shared" ca="1" si="507"/>
        <v>0.50706334397488084</v>
      </c>
      <c r="DX280" s="751">
        <f t="shared" ca="1" si="507"/>
        <v>0.50584815241436054</v>
      </c>
      <c r="DY280" s="849">
        <f t="shared" ca="1" si="507"/>
        <v>0.4675547112746139</v>
      </c>
    </row>
    <row r="281" spans="1:129" x14ac:dyDescent="0.2">
      <c r="A281" s="526"/>
      <c r="B281" s="756" t="s">
        <v>745</v>
      </c>
      <c r="C281" s="597"/>
      <c r="D281" s="597"/>
      <c r="E281" s="597"/>
      <c r="F281" s="597"/>
      <c r="G281" s="597"/>
      <c r="H281" s="597"/>
      <c r="I281" s="598"/>
      <c r="J281" s="597"/>
      <c r="K281" s="597"/>
      <c r="L281" s="597"/>
      <c r="M281" s="597"/>
      <c r="N281" s="598"/>
      <c r="O281" s="597"/>
      <c r="P281" s="597"/>
      <c r="Q281" s="597"/>
      <c r="R281" s="597"/>
      <c r="S281" s="598"/>
      <c r="T281" s="597"/>
      <c r="U281" s="597"/>
      <c r="V281" s="597"/>
      <c r="W281" s="597"/>
      <c r="X281" s="598"/>
      <c r="Y281" s="597"/>
      <c r="Z281" s="597"/>
      <c r="AA281" s="597"/>
      <c r="AB281" s="597"/>
      <c r="AC281" s="598"/>
      <c r="AD281" s="597"/>
      <c r="AE281" s="597"/>
      <c r="AF281" s="597"/>
      <c r="AG281" s="597"/>
      <c r="AH281" s="598"/>
      <c r="AI281" s="597"/>
      <c r="AJ281" s="597"/>
      <c r="AK281" s="597"/>
      <c r="AL281" s="597"/>
      <c r="AM281" s="598"/>
      <c r="AN281" s="597"/>
      <c r="AO281" s="597"/>
      <c r="AP281" s="597"/>
      <c r="AQ281" s="597"/>
      <c r="AR281" s="598"/>
      <c r="AS281" s="597"/>
      <c r="AT281" s="597"/>
      <c r="AU281" s="597"/>
      <c r="AV281" s="597"/>
      <c r="AW281" s="598"/>
      <c r="AX281" s="597"/>
      <c r="AY281" s="597"/>
      <c r="AZ281" s="597"/>
      <c r="BA281" s="597"/>
      <c r="BB281" s="598"/>
      <c r="BC281" s="597"/>
      <c r="BD281" s="597"/>
      <c r="BE281" s="597"/>
      <c r="BF281" s="597"/>
      <c r="BG281" s="598"/>
      <c r="BH281" s="803">
        <f t="shared" ref="BH281:CZ281" si="508">BH207/BH$218</f>
        <v>0.11168359569222623</v>
      </c>
      <c r="BI281" s="803">
        <f t="shared" si="508"/>
        <v>0.17852257356632145</v>
      </c>
      <c r="BJ281" s="803">
        <f t="shared" si="508"/>
        <v>0.21130599668070993</v>
      </c>
      <c r="BK281" s="803">
        <f t="shared" si="508"/>
        <v>0.22087640604689862</v>
      </c>
      <c r="BL281" s="870">
        <f t="shared" si="508"/>
        <v>0.19719356938854674</v>
      </c>
      <c r="BM281" s="803">
        <f t="shared" si="508"/>
        <v>5.0713464129756622E-2</v>
      </c>
      <c r="BN281" s="803">
        <f t="shared" si="508"/>
        <v>4.6317056678961847E-2</v>
      </c>
      <c r="BO281" s="803">
        <f t="shared" si="508"/>
        <v>4.2524637482839363E-2</v>
      </c>
      <c r="BP281" s="803">
        <f t="shared" si="508"/>
        <v>4.1492097103652412E-2</v>
      </c>
      <c r="BQ281" s="870">
        <f t="shared" si="508"/>
        <v>4.4953012737050636E-2</v>
      </c>
      <c r="BR281" s="803">
        <f t="shared" si="508"/>
        <v>6.207156541353382E-2</v>
      </c>
      <c r="BS281" s="803">
        <f t="shared" si="508"/>
        <v>5.2474467081650412E-2</v>
      </c>
      <c r="BT281" s="803">
        <f t="shared" si="508"/>
        <v>4.7007977379994077E-2</v>
      </c>
      <c r="BU281" s="803">
        <f t="shared" si="508"/>
        <v>4.6879648397319854E-2</v>
      </c>
      <c r="BV281" s="870">
        <f t="shared" si="508"/>
        <v>5.1433555347825101E-2</v>
      </c>
      <c r="BW281" s="803">
        <f t="shared" si="508"/>
        <v>5.2637200384932928E-2</v>
      </c>
      <c r="BX281" s="803">
        <f t="shared" si="508"/>
        <v>4.9302373325475206E-2</v>
      </c>
      <c r="BY281" s="803">
        <f t="shared" si="508"/>
        <v>4.5299536540194793E-2</v>
      </c>
      <c r="BZ281" s="803">
        <f t="shared" si="508"/>
        <v>4.6489468635365766E-2</v>
      </c>
      <c r="CA281" s="870">
        <f t="shared" si="508"/>
        <v>4.8299133066677193E-2</v>
      </c>
      <c r="CB281" s="803">
        <f t="shared" si="508"/>
        <v>6.1021026814267042E-2</v>
      </c>
      <c r="CC281" s="803">
        <f t="shared" si="508"/>
        <v>5.5006984877569373E-2</v>
      </c>
      <c r="CD281" s="751">
        <f t="shared" si="508"/>
        <v>5.7734155930807614E-2</v>
      </c>
      <c r="CE281" s="751">
        <f t="shared" si="508"/>
        <v>5.4379766502923033E-2</v>
      </c>
      <c r="CF281" s="849">
        <f t="shared" si="508"/>
        <v>5.6735162857068221E-2</v>
      </c>
      <c r="CG281" s="751">
        <f t="shared" si="508"/>
        <v>8.0588014281309378E-2</v>
      </c>
      <c r="CH281" s="751">
        <f t="shared" si="508"/>
        <v>7.333472580458951E-2</v>
      </c>
      <c r="CI281" s="751">
        <f t="shared" si="508"/>
        <v>6.5226746259628154E-2</v>
      </c>
      <c r="CJ281" s="751">
        <f t="shared" si="508"/>
        <v>6.8613711683785467E-2</v>
      </c>
      <c r="CK281" s="849">
        <f t="shared" si="508"/>
        <v>7.055386027085836E-2</v>
      </c>
      <c r="CL281" s="751">
        <f t="shared" ca="1" si="508"/>
        <v>6.0132963251056666E-2</v>
      </c>
      <c r="CM281" s="751">
        <f t="shared" si="508"/>
        <v>6.6255854934880953E-2</v>
      </c>
      <c r="CN281" s="751">
        <f t="shared" si="508"/>
        <v>7.1554798696984237E-2</v>
      </c>
      <c r="CO281" s="751">
        <f>CO207/CO$218</f>
        <v>6.7453611091293469E-2</v>
      </c>
      <c r="CP281" s="849">
        <f t="shared" ca="1" si="508"/>
        <v>6.7115196279151107E-2</v>
      </c>
      <c r="CQ281" s="751">
        <f t="shared" si="508"/>
        <v>7.0747801965406518E-2</v>
      </c>
      <c r="CR281" s="751">
        <f t="shared" si="508"/>
        <v>8.2656787808054466E-2</v>
      </c>
      <c r="CS281" s="751">
        <f t="shared" ca="1" si="508"/>
        <v>7.5393426190665011E-2</v>
      </c>
      <c r="CT281" s="751">
        <f t="shared" ca="1" si="508"/>
        <v>7.4527730090767602E-2</v>
      </c>
      <c r="CU281" s="849">
        <f t="shared" ca="1" si="508"/>
        <v>7.5953557907715061E-2</v>
      </c>
      <c r="CV281" s="751">
        <f t="shared" ca="1" si="508"/>
        <v>6.1398624710969449E-2</v>
      </c>
      <c r="CW281" s="751">
        <f t="shared" ca="1" si="508"/>
        <v>6.1926685668066181E-2</v>
      </c>
      <c r="CX281" s="751">
        <f t="shared" ca="1" si="508"/>
        <v>6.2652074414905362E-2</v>
      </c>
      <c r="CY281" s="751">
        <f ca="1">CY207/CY$218</f>
        <v>5.5932861821661975E-2</v>
      </c>
      <c r="CZ281" s="849">
        <f t="shared" ca="1" si="508"/>
        <v>6.0235875930874934E-2</v>
      </c>
      <c r="DA281" s="751">
        <f t="shared" ca="1" si="503"/>
        <v>9.466373736425758E-2</v>
      </c>
      <c r="DB281" s="751">
        <f t="shared" ca="1" si="503"/>
        <v>7.9343530533986656E-2</v>
      </c>
      <c r="DC281" s="751">
        <f t="shared" ca="1" si="503"/>
        <v>7.8672027140081577E-2</v>
      </c>
      <c r="DD281" s="751">
        <f t="shared" ca="1" si="503"/>
        <v>7.2054754536602927E-2</v>
      </c>
      <c r="DE281" s="849">
        <f t="shared" ca="1" si="503"/>
        <v>8.0201636442738297E-2</v>
      </c>
      <c r="DF281" s="751">
        <f t="shared" ca="1" si="504"/>
        <v>8.4831680673711635E-2</v>
      </c>
      <c r="DG281" s="751">
        <f t="shared" ca="1" si="504"/>
        <v>6.9061146553631172E-2</v>
      </c>
      <c r="DH281" s="751">
        <f t="shared" ref="DH281" ca="1" si="509">DH207/DH$218</f>
        <v>6.7062422325924034E-2</v>
      </c>
      <c r="DI281" s="2821">
        <f t="shared" ca="1" si="505"/>
        <v>7.0385510321059733E-2</v>
      </c>
      <c r="DJ281" s="849">
        <f t="shared" ca="1" si="504"/>
        <v>7.1906885637961895E-2</v>
      </c>
      <c r="DK281" s="751">
        <f t="shared" ref="DK281:DT281" ca="1" si="510">DK207/DK$218</f>
        <v>0.10043708428721394</v>
      </c>
      <c r="DL281" s="751">
        <f t="shared" ca="1" si="510"/>
        <v>7.7119181243396437E-2</v>
      </c>
      <c r="DM281" s="751">
        <f t="shared" ca="1" si="510"/>
        <v>7.2894691622367544E-2</v>
      </c>
      <c r="DN281" s="751">
        <f t="shared" ca="1" si="510"/>
        <v>7.371125697719344E-2</v>
      </c>
      <c r="DO281" s="849">
        <f t="shared" ca="1" si="510"/>
        <v>7.9256685912550084E-2</v>
      </c>
      <c r="DP281" s="751">
        <f t="shared" ca="1" si="510"/>
        <v>9.9100804611703591E-2</v>
      </c>
      <c r="DQ281" s="751">
        <f t="shared" ca="1" si="510"/>
        <v>7.7413854340088142E-2</v>
      </c>
      <c r="DR281" s="751">
        <f t="shared" ca="1" si="510"/>
        <v>7.2748103132085282E-2</v>
      </c>
      <c r="DS281" s="751">
        <f t="shared" ca="1" si="510"/>
        <v>7.3476841464811413E-2</v>
      </c>
      <c r="DT281" s="849">
        <f t="shared" ca="1" si="510"/>
        <v>7.903006644918148E-2</v>
      </c>
      <c r="DU281" s="751">
        <f t="shared" ref="DU281:DY281" ca="1" si="511">DU207/DU$218</f>
        <v>9.8549904977887168E-2</v>
      </c>
      <c r="DV281" s="751">
        <f t="shared" ca="1" si="511"/>
        <v>7.6314473932137569E-2</v>
      </c>
      <c r="DW281" s="751">
        <f t="shared" ca="1" si="511"/>
        <v>7.1402587283395894E-2</v>
      </c>
      <c r="DX281" s="751">
        <f t="shared" ca="1" si="511"/>
        <v>7.2027363107746781E-2</v>
      </c>
      <c r="DY281" s="849">
        <f t="shared" ca="1" si="511"/>
        <v>7.7830007753253952E-2</v>
      </c>
    </row>
    <row r="282" spans="1:129" x14ac:dyDescent="0.2">
      <c r="A282" s="526"/>
      <c r="B282" s="770" t="s">
        <v>752</v>
      </c>
      <c r="C282" s="597"/>
      <c r="D282" s="597"/>
      <c r="E282" s="597"/>
      <c r="F282" s="597"/>
      <c r="G282" s="597"/>
      <c r="H282" s="597"/>
      <c r="I282" s="598"/>
      <c r="J282" s="597"/>
      <c r="K282" s="597"/>
      <c r="L282" s="597"/>
      <c r="M282" s="597"/>
      <c r="N282" s="598"/>
      <c r="O282" s="597"/>
      <c r="P282" s="597"/>
      <c r="Q282" s="597"/>
      <c r="R282" s="597"/>
      <c r="S282" s="598"/>
      <c r="T282" s="597"/>
      <c r="U282" s="597"/>
      <c r="V282" s="597"/>
      <c r="W282" s="597"/>
      <c r="X282" s="598"/>
      <c r="Y282" s="597"/>
      <c r="Z282" s="597"/>
      <c r="AA282" s="597"/>
      <c r="AB282" s="597"/>
      <c r="AC282" s="598"/>
      <c r="AD282" s="597"/>
      <c r="AE282" s="597"/>
      <c r="AF282" s="597"/>
      <c r="AG282" s="597"/>
      <c r="AH282" s="598"/>
      <c r="AI282" s="597"/>
      <c r="AJ282" s="597"/>
      <c r="AK282" s="597"/>
      <c r="AL282" s="597"/>
      <c r="AM282" s="598"/>
      <c r="AN282" s="597"/>
      <c r="AO282" s="597"/>
      <c r="AP282" s="597"/>
      <c r="AQ282" s="597"/>
      <c r="AR282" s="598"/>
      <c r="AS282" s="597"/>
      <c r="AT282" s="597"/>
      <c r="AU282" s="597"/>
      <c r="AV282" s="597"/>
      <c r="AW282" s="598"/>
      <c r="AX282" s="597"/>
      <c r="AY282" s="597"/>
      <c r="AZ282" s="597"/>
      <c r="BA282" s="597"/>
      <c r="BB282" s="598"/>
      <c r="BC282" s="597"/>
      <c r="BD282" s="597"/>
      <c r="BE282" s="597"/>
      <c r="BF282" s="597"/>
      <c r="BG282" s="598"/>
      <c r="BH282" s="803">
        <f t="shared" ref="BH282:CZ282" si="512">BH208/BH$218</f>
        <v>0.13077193005501619</v>
      </c>
      <c r="BI282" s="803">
        <f t="shared" si="512"/>
        <v>0.20430435035599778</v>
      </c>
      <c r="BJ282" s="803">
        <f t="shared" si="512"/>
        <v>0.24703138928326704</v>
      </c>
      <c r="BK282" s="803">
        <f t="shared" si="512"/>
        <v>0.25890196737772581</v>
      </c>
      <c r="BL282" s="870">
        <f t="shared" si="512"/>
        <v>0.22952610559773798</v>
      </c>
      <c r="BM282" s="803">
        <f t="shared" si="512"/>
        <v>0.27448574630203854</v>
      </c>
      <c r="BN282" s="803">
        <f t="shared" si="512"/>
        <v>0.25353810602480853</v>
      </c>
      <c r="BO282" s="803">
        <f t="shared" si="512"/>
        <v>0.25048191522733254</v>
      </c>
      <c r="BP282" s="803">
        <f t="shared" si="512"/>
        <v>0.2485514878545742</v>
      </c>
      <c r="BQ282" s="870">
        <f t="shared" si="512"/>
        <v>0.25598564520325745</v>
      </c>
      <c r="BR282" s="803">
        <f t="shared" si="512"/>
        <v>0.32200916541353386</v>
      </c>
      <c r="BS282" s="803">
        <f t="shared" si="512"/>
        <v>0.31287320668584384</v>
      </c>
      <c r="BT282" s="803">
        <f t="shared" si="512"/>
        <v>0.28105034833473264</v>
      </c>
      <c r="BU282" s="803">
        <f t="shared" si="512"/>
        <v>0.28028309759789538</v>
      </c>
      <c r="BV282" s="870">
        <f t="shared" si="512"/>
        <v>0.29708357456984813</v>
      </c>
      <c r="BW282" s="803">
        <f t="shared" si="512"/>
        <v>0.34246681392078521</v>
      </c>
      <c r="BX282" s="803">
        <f t="shared" si="512"/>
        <v>0.3321429179821887</v>
      </c>
      <c r="BY282" s="803">
        <f t="shared" si="512"/>
        <v>0.31497281244966269</v>
      </c>
      <c r="BZ282" s="803">
        <f t="shared" si="512"/>
        <v>0.33207210540111043</v>
      </c>
      <c r="CA282" s="870">
        <f t="shared" si="512"/>
        <v>0.33001648891296381</v>
      </c>
      <c r="CB282" s="803">
        <f t="shared" si="512"/>
        <v>0.42288865390636493</v>
      </c>
      <c r="CC282" s="803">
        <f t="shared" si="512"/>
        <v>0.39151602210239156</v>
      </c>
      <c r="CD282" s="751">
        <f t="shared" si="512"/>
        <v>0.40604713435681794</v>
      </c>
      <c r="CE282" s="751">
        <f t="shared" si="512"/>
        <v>0.41796195621827875</v>
      </c>
      <c r="CF282" s="849">
        <f t="shared" si="512"/>
        <v>0.40976754429280704</v>
      </c>
      <c r="CG282" s="751">
        <f t="shared" si="512"/>
        <v>0.4478816905401487</v>
      </c>
      <c r="CH282" s="751">
        <f t="shared" si="512"/>
        <v>0.4680521287286627</v>
      </c>
      <c r="CI282" s="751">
        <f t="shared" si="512"/>
        <v>0.52721505335090646</v>
      </c>
      <c r="CJ282" s="751">
        <f t="shared" si="512"/>
        <v>0.50679922137266209</v>
      </c>
      <c r="CK282" s="849">
        <f t="shared" si="512"/>
        <v>0.49514918864260055</v>
      </c>
      <c r="CL282" s="751">
        <f t="shared" ca="1" si="512"/>
        <v>0.39244260804162012</v>
      </c>
      <c r="CM282" s="751">
        <f t="shared" si="512"/>
        <v>0.48480284766267645</v>
      </c>
      <c r="CN282" s="751">
        <f t="shared" si="512"/>
        <v>0.51113965109884019</v>
      </c>
      <c r="CO282" s="751">
        <f>CO208/CO$218</f>
        <v>0.46216286251274702</v>
      </c>
      <c r="CP282" s="849">
        <f t="shared" ca="1" si="512"/>
        <v>0.4695735027558065</v>
      </c>
      <c r="CQ282" s="751">
        <f t="shared" si="512"/>
        <v>0.4631324774442549</v>
      </c>
      <c r="CR282" s="751">
        <f t="shared" si="512"/>
        <v>0.57070369844408619</v>
      </c>
      <c r="CS282" s="751">
        <f t="shared" ca="1" si="512"/>
        <v>0.54381309689248081</v>
      </c>
      <c r="CT282" s="751">
        <f t="shared" ca="1" si="512"/>
        <v>0.43030062407215386</v>
      </c>
      <c r="CU282" s="849">
        <f t="shared" ca="1" si="512"/>
        <v>0.50417587256933927</v>
      </c>
      <c r="CV282" s="751">
        <f t="shared" ca="1" si="512"/>
        <v>0.46597445398839499</v>
      </c>
      <c r="CW282" s="751">
        <f t="shared" ca="1" si="512"/>
        <v>0.53855415667287532</v>
      </c>
      <c r="CX282" s="751">
        <f t="shared" ca="1" si="512"/>
        <v>0.50776992832919832</v>
      </c>
      <c r="CY282" s="751">
        <f ca="1">CY208/CY$218</f>
        <v>0.48158941109610298</v>
      </c>
      <c r="CZ282" s="849">
        <f t="shared" ca="1" si="512"/>
        <v>0.49862846433930713</v>
      </c>
      <c r="DA282" s="751">
        <f t="shared" ca="1" si="503"/>
        <v>0.45377949582649441</v>
      </c>
      <c r="DB282" s="751">
        <f t="shared" ca="1" si="503"/>
        <v>0.5020021412286586</v>
      </c>
      <c r="DC282" s="751">
        <f t="shared" ca="1" si="503"/>
        <v>0.50507603079629149</v>
      </c>
      <c r="DD282" s="751">
        <f t="shared" ca="1" si="503"/>
        <v>0.49571885277691413</v>
      </c>
      <c r="DE282" s="849">
        <f t="shared" ca="1" si="503"/>
        <v>0.49124947881963726</v>
      </c>
      <c r="DF282" s="751">
        <f t="shared" ca="1" si="504"/>
        <v>0.46380609932202849</v>
      </c>
      <c r="DG282" s="751">
        <f t="shared" ca="1" si="504"/>
        <v>0.48865055484487108</v>
      </c>
      <c r="DH282" s="751">
        <f t="shared" ref="DH282" ca="1" si="513">DH208/DH$218</f>
        <v>0.55240241023948455</v>
      </c>
      <c r="DI282" s="2821">
        <f t="shared" ca="1" si="505"/>
        <v>0.55147571971361986</v>
      </c>
      <c r="DJ282" s="849">
        <f t="shared" ca="1" si="504"/>
        <v>0.51968285368650124</v>
      </c>
      <c r="DK282" s="751">
        <f t="shared" ref="DK282:DT282" ca="1" si="514">DK208/DK$218</f>
        <v>0.47920713595602521</v>
      </c>
      <c r="DL282" s="751">
        <f t="shared" ca="1" si="514"/>
        <v>0.50388835955329969</v>
      </c>
      <c r="DM282" s="751">
        <f t="shared" ca="1" si="514"/>
        <v>0.56325085399567665</v>
      </c>
      <c r="DN282" s="751">
        <f t="shared" ca="1" si="514"/>
        <v>0.56274603845548232</v>
      </c>
      <c r="DO282" s="849">
        <f t="shared" ca="1" si="514"/>
        <v>0.53303528221156082</v>
      </c>
      <c r="DP282" s="751">
        <f t="shared" ca="1" si="514"/>
        <v>0.47695920824235011</v>
      </c>
      <c r="DQ282" s="751">
        <f t="shared" ca="1" si="514"/>
        <v>0.51410723492646437</v>
      </c>
      <c r="DR282" s="751">
        <f t="shared" ca="1" si="514"/>
        <v>0.57385987910579639</v>
      </c>
      <c r="DS282" s="751">
        <f t="shared" ca="1" si="514"/>
        <v>0.57325292929912652</v>
      </c>
      <c r="DT282" s="849">
        <f t="shared" ca="1" si="514"/>
        <v>0.54099112834413832</v>
      </c>
      <c r="DU282" s="751">
        <f t="shared" ref="DU282:DY282" ca="1" si="515">DU208/DU$218</f>
        <v>0.48070546198678565</v>
      </c>
      <c r="DV282" s="751">
        <f t="shared" ca="1" si="515"/>
        <v>0.5179763744881426</v>
      </c>
      <c r="DW282" s="751">
        <f t="shared" ca="1" si="515"/>
        <v>0.57846593125827672</v>
      </c>
      <c r="DX282" s="751">
        <f t="shared" ca="1" si="515"/>
        <v>0.57787551552210736</v>
      </c>
      <c r="DY282" s="849">
        <f t="shared" ca="1" si="515"/>
        <v>0.54538471902786789</v>
      </c>
    </row>
    <row r="283" spans="1:129" x14ac:dyDescent="0.2">
      <c r="A283" s="526"/>
      <c r="B283" s="756"/>
      <c r="C283" s="597"/>
      <c r="D283" s="597"/>
      <c r="E283" s="597"/>
      <c r="F283" s="597"/>
      <c r="G283" s="597"/>
      <c r="H283" s="597"/>
      <c r="I283" s="598"/>
      <c r="J283" s="597"/>
      <c r="K283" s="597"/>
      <c r="L283" s="597"/>
      <c r="M283" s="597"/>
      <c r="N283" s="598"/>
      <c r="O283" s="597"/>
      <c r="P283" s="597"/>
      <c r="Q283" s="597"/>
      <c r="R283" s="597"/>
      <c r="S283" s="598"/>
      <c r="T283" s="597"/>
      <c r="U283" s="597"/>
      <c r="V283" s="597"/>
      <c r="W283" s="597"/>
      <c r="X283" s="598"/>
      <c r="Y283" s="597"/>
      <c r="Z283" s="597"/>
      <c r="AA283" s="597"/>
      <c r="AB283" s="597"/>
      <c r="AC283" s="598"/>
      <c r="AD283" s="597"/>
      <c r="AE283" s="597"/>
      <c r="AF283" s="597"/>
      <c r="AG283" s="597"/>
      <c r="AH283" s="598"/>
      <c r="AI283" s="597"/>
      <c r="AJ283" s="597"/>
      <c r="AK283" s="597"/>
      <c r="AL283" s="597"/>
      <c r="AM283" s="598"/>
      <c r="AN283" s="597"/>
      <c r="AO283" s="597"/>
      <c r="AP283" s="597"/>
      <c r="AQ283" s="597"/>
      <c r="AR283" s="598"/>
      <c r="AS283" s="597"/>
      <c r="AT283" s="597"/>
      <c r="AU283" s="597"/>
      <c r="AV283" s="597"/>
      <c r="AW283" s="598"/>
      <c r="AX283" s="597"/>
      <c r="AY283" s="597"/>
      <c r="AZ283" s="597"/>
      <c r="BA283" s="597"/>
      <c r="BB283" s="598"/>
      <c r="BC283" s="597"/>
      <c r="BD283" s="597"/>
      <c r="BE283" s="597"/>
      <c r="BF283" s="597"/>
      <c r="BG283" s="598"/>
      <c r="BH283" s="743"/>
      <c r="BI283" s="743"/>
      <c r="BJ283" s="743"/>
      <c r="BK283" s="743"/>
      <c r="BL283" s="849"/>
      <c r="BM283" s="743"/>
      <c r="BN283" s="743"/>
      <c r="BO283" s="743"/>
      <c r="BP283" s="743"/>
      <c r="BQ283" s="849"/>
      <c r="BR283" s="743"/>
      <c r="BS283" s="743"/>
      <c r="BT283" s="743"/>
      <c r="BU283" s="743"/>
      <c r="BV283" s="849"/>
      <c r="BW283" s="743"/>
      <c r="BX283" s="743"/>
      <c r="BY283" s="743"/>
      <c r="BZ283" s="743"/>
      <c r="CA283" s="849"/>
      <c r="CB283" s="743"/>
      <c r="CC283" s="743"/>
      <c r="CD283" s="743"/>
      <c r="CE283" s="743"/>
      <c r="CF283" s="849"/>
      <c r="CG283" s="743"/>
      <c r="CH283" s="743"/>
      <c r="CI283" s="743"/>
      <c r="CJ283" s="743"/>
      <c r="CK283" s="849"/>
      <c r="CL283" s="743"/>
      <c r="CM283" s="743"/>
      <c r="CN283" s="743"/>
      <c r="CO283" s="743"/>
      <c r="CP283" s="849"/>
      <c r="CQ283" s="743"/>
      <c r="CR283" s="743"/>
      <c r="CS283" s="743"/>
      <c r="CT283" s="743"/>
      <c r="CU283" s="849"/>
      <c r="CV283" s="743"/>
      <c r="CW283" s="743"/>
      <c r="CX283" s="743"/>
      <c r="CY283" s="743"/>
      <c r="CZ283" s="849"/>
      <c r="DA283" s="743"/>
      <c r="DB283" s="743"/>
      <c r="DC283" s="743"/>
      <c r="DD283" s="743"/>
      <c r="DE283" s="849"/>
      <c r="DF283" s="743"/>
      <c r="DG283" s="743"/>
      <c r="DH283" s="743"/>
      <c r="DI283" s="2818"/>
      <c r="DJ283" s="849"/>
      <c r="DK283" s="743"/>
      <c r="DL283" s="743"/>
      <c r="DM283" s="743"/>
      <c r="DN283" s="743"/>
      <c r="DO283" s="849"/>
      <c r="DP283" s="743"/>
      <c r="DQ283" s="743"/>
      <c r="DR283" s="743"/>
      <c r="DS283" s="743"/>
      <c r="DT283" s="849"/>
      <c r="DU283" s="743"/>
      <c r="DV283" s="743"/>
      <c r="DW283" s="743"/>
      <c r="DX283" s="743"/>
      <c r="DY283" s="849"/>
    </row>
    <row r="284" spans="1:129" x14ac:dyDescent="0.2">
      <c r="A284" s="526"/>
      <c r="B284" s="756" t="s">
        <v>786</v>
      </c>
      <c r="C284" s="597"/>
      <c r="D284" s="597"/>
      <c r="E284" s="597"/>
      <c r="F284" s="597"/>
      <c r="G284" s="597"/>
      <c r="H284" s="597"/>
      <c r="I284" s="598"/>
      <c r="J284" s="597"/>
      <c r="K284" s="597"/>
      <c r="L284" s="597"/>
      <c r="M284" s="597"/>
      <c r="N284" s="598"/>
      <c r="O284" s="597"/>
      <c r="P284" s="597"/>
      <c r="Q284" s="597"/>
      <c r="R284" s="597"/>
      <c r="S284" s="598"/>
      <c r="T284" s="597"/>
      <c r="U284" s="597"/>
      <c r="V284" s="597"/>
      <c r="W284" s="597"/>
      <c r="X284" s="598"/>
      <c r="Y284" s="597"/>
      <c r="Z284" s="597"/>
      <c r="AA284" s="597"/>
      <c r="AB284" s="597"/>
      <c r="AC284" s="598"/>
      <c r="AD284" s="597"/>
      <c r="AE284" s="597"/>
      <c r="AF284" s="597"/>
      <c r="AG284" s="597"/>
      <c r="AH284" s="598"/>
      <c r="AI284" s="597"/>
      <c r="AJ284" s="597"/>
      <c r="AK284" s="597"/>
      <c r="AL284" s="597"/>
      <c r="AM284" s="598"/>
      <c r="AN284" s="597"/>
      <c r="AO284" s="597"/>
      <c r="AP284" s="597"/>
      <c r="AQ284" s="597"/>
      <c r="AR284" s="598"/>
      <c r="AS284" s="597"/>
      <c r="AT284" s="597"/>
      <c r="AU284" s="597"/>
      <c r="AV284" s="597"/>
      <c r="AW284" s="598"/>
      <c r="AX284" s="597"/>
      <c r="AY284" s="597"/>
      <c r="AZ284" s="597"/>
      <c r="BA284" s="597"/>
      <c r="BB284" s="598"/>
      <c r="BC284" s="597"/>
      <c r="BD284" s="597"/>
      <c r="BE284" s="597"/>
      <c r="BF284" s="597"/>
      <c r="BG284" s="598"/>
      <c r="BH284" s="803">
        <f t="shared" ref="BH284:CZ284" si="516">BH212/BH$218</f>
        <v>0.66144841854969583</v>
      </c>
      <c r="BI284" s="803">
        <f t="shared" si="516"/>
        <v>0.56110171938715925</v>
      </c>
      <c r="BJ284" s="803">
        <f t="shared" si="516"/>
        <v>0.53768207429445403</v>
      </c>
      <c r="BK284" s="803">
        <f t="shared" si="516"/>
        <v>0.53307789221932356</v>
      </c>
      <c r="BL284" s="870">
        <f t="shared" si="516"/>
        <v>0.55270477189770917</v>
      </c>
      <c r="BM284" s="803">
        <f t="shared" si="516"/>
        <v>0.60701853296725528</v>
      </c>
      <c r="BN284" s="803">
        <f t="shared" si="516"/>
        <v>0.63762862149567967</v>
      </c>
      <c r="BO284" s="803">
        <f t="shared" si="516"/>
        <v>0.64274503094007351</v>
      </c>
      <c r="BP284" s="803">
        <f t="shared" si="516"/>
        <v>0.65745177280502631</v>
      </c>
      <c r="BQ284" s="870">
        <f t="shared" si="516"/>
        <v>0.63781668632501765</v>
      </c>
      <c r="BR284" s="803">
        <f t="shared" si="516"/>
        <v>0.57054301212845604</v>
      </c>
      <c r="BS284" s="803">
        <f t="shared" si="516"/>
        <v>0.58734582447007833</v>
      </c>
      <c r="BT284" s="803">
        <f t="shared" si="516"/>
        <v>0.62731932759802855</v>
      </c>
      <c r="BU284" s="803">
        <f t="shared" si="516"/>
        <v>0.6343744094490712</v>
      </c>
      <c r="BV284" s="870">
        <f t="shared" si="516"/>
        <v>0.60777861881915773</v>
      </c>
      <c r="BW284" s="803">
        <f t="shared" si="516"/>
        <v>0.54082185747066813</v>
      </c>
      <c r="BX284" s="803">
        <f t="shared" si="516"/>
        <v>0.54676535229702461</v>
      </c>
      <c r="BY284" s="803">
        <f t="shared" si="516"/>
        <v>0.55903613535192698</v>
      </c>
      <c r="BZ284" s="803">
        <f t="shared" si="516"/>
        <v>0.53235259697964699</v>
      </c>
      <c r="CA284" s="870">
        <f t="shared" si="516"/>
        <v>0.54487512478496503</v>
      </c>
      <c r="CB284" s="803">
        <f t="shared" si="516"/>
        <v>0.43425086183651274</v>
      </c>
      <c r="CC284" s="803">
        <f t="shared" si="516"/>
        <v>0.48106478583496115</v>
      </c>
      <c r="CD284" s="751">
        <f t="shared" si="516"/>
        <v>0.51764394522035562</v>
      </c>
      <c r="CE284" s="751">
        <f t="shared" si="516"/>
        <v>0.51637475980275116</v>
      </c>
      <c r="CF284" s="849">
        <f t="shared" si="516"/>
        <v>0.49300611494046803</v>
      </c>
      <c r="CG284" s="751">
        <f t="shared" si="516"/>
        <v>0.44677599816239655</v>
      </c>
      <c r="CH284" s="751">
        <f t="shared" si="516"/>
        <v>0.43900274197466149</v>
      </c>
      <c r="CI284" s="751">
        <f t="shared" si="516"/>
        <v>0.40675941291322215</v>
      </c>
      <c r="CJ284" s="751">
        <f t="shared" si="516"/>
        <v>0.43040130788713404</v>
      </c>
      <c r="CK284" s="849">
        <f t="shared" si="516"/>
        <v>0.42809559886516702</v>
      </c>
      <c r="CL284" s="751">
        <f t="shared" ca="1" si="516"/>
        <v>0.48890843293039093</v>
      </c>
      <c r="CM284" s="751">
        <f t="shared" si="516"/>
        <v>0.42807307545337875</v>
      </c>
      <c r="CN284" s="751">
        <f t="shared" si="516"/>
        <v>0.41479445248589231</v>
      </c>
      <c r="CO284" s="751">
        <f>CO212/CO$218</f>
        <v>0.45849699638422836</v>
      </c>
      <c r="CP284" s="849">
        <f t="shared" ca="1" si="516"/>
        <v>0.4438249056275354</v>
      </c>
      <c r="CQ284" s="751">
        <f t="shared" si="516"/>
        <v>0.45234780037271366</v>
      </c>
      <c r="CR284" s="751">
        <f t="shared" si="516"/>
        <v>0.34612459826067665</v>
      </c>
      <c r="CS284" s="751">
        <f t="shared" ca="1" si="516"/>
        <v>0.37230195968727409</v>
      </c>
      <c r="CT284" s="751">
        <f t="shared" ca="1" si="516"/>
        <v>0.48097293386954698</v>
      </c>
      <c r="CU284" s="849">
        <f t="shared" ca="1" si="516"/>
        <v>0.41075853844953247</v>
      </c>
      <c r="CV284" s="751">
        <f t="shared" ca="1" si="516"/>
        <v>0.43406980936077966</v>
      </c>
      <c r="CW284" s="751">
        <f t="shared" ca="1" si="516"/>
        <v>0.37152045684649954</v>
      </c>
      <c r="CX284" s="751">
        <f t="shared" ca="1" si="516"/>
        <v>0.39908433417089489</v>
      </c>
      <c r="CY284" s="751">
        <f ca="1">CY212/CY$218</f>
        <v>0.43264263488588689</v>
      </c>
      <c r="CZ284" s="849">
        <f t="shared" ca="1" si="516"/>
        <v>0.40976053266263657</v>
      </c>
      <c r="DA284" s="751">
        <f t="shared" ref="DA284:DE286" ca="1" si="517">DA212/DA$218</f>
        <v>0.41996950355094492</v>
      </c>
      <c r="DB284" s="751">
        <f t="shared" ca="1" si="517"/>
        <v>0.38832060860745704</v>
      </c>
      <c r="DC284" s="751">
        <f t="shared" ca="1" si="517"/>
        <v>0.38706843831396393</v>
      </c>
      <c r="DD284" s="751">
        <f t="shared" ca="1" si="517"/>
        <v>0.41036354179031143</v>
      </c>
      <c r="DE284" s="849">
        <f t="shared" ca="1" si="517"/>
        <v>0.40066834508737226</v>
      </c>
      <c r="DF284" s="751">
        <f t="shared" ref="DF284:DJ286" ca="1" si="518">DF212/DF$218</f>
        <v>0.41696676465976518</v>
      </c>
      <c r="DG284" s="751">
        <f t="shared" ca="1" si="518"/>
        <v>0.41394440886649214</v>
      </c>
      <c r="DH284" s="751">
        <f t="shared" ref="DH284:DI286" ca="1" si="519">DH212/DH$218</f>
        <v>0.35604187271309401</v>
      </c>
      <c r="DI284" s="2821">
        <f t="shared" ca="1" si="519"/>
        <v>0.3540750716615198</v>
      </c>
      <c r="DJ284" s="849">
        <f t="shared" ca="1" si="518"/>
        <v>0.38120211324635811</v>
      </c>
      <c r="DK284" s="751">
        <f t="shared" ref="DK284:DT284" ca="1" si="520">DK212/DK$218</f>
        <v>0.41292398279438353</v>
      </c>
      <c r="DL284" s="751">
        <f t="shared" ca="1" si="520"/>
        <v>0.39593493033118249</v>
      </c>
      <c r="DM284" s="751">
        <f t="shared" ca="1" si="520"/>
        <v>0.34323760743409787</v>
      </c>
      <c r="DN284" s="751">
        <f t="shared" ca="1" si="520"/>
        <v>0.34260955249575126</v>
      </c>
      <c r="DO284" s="849">
        <f t="shared" ca="1" si="520"/>
        <v>0.36884286057638638</v>
      </c>
      <c r="DP284" s="751">
        <f t="shared" ca="1" si="520"/>
        <v>0.42147091105243334</v>
      </c>
      <c r="DQ284" s="751">
        <f t="shared" ca="1" si="520"/>
        <v>0.39688001061272066</v>
      </c>
      <c r="DR284" s="751">
        <f t="shared" ca="1" si="520"/>
        <v>0.34249166310302537</v>
      </c>
      <c r="DS284" s="751">
        <f t="shared" ca="1" si="520"/>
        <v>0.34182136877656472</v>
      </c>
      <c r="DT284" s="849">
        <f t="shared" ca="1" si="520"/>
        <v>0.37033253442278097</v>
      </c>
      <c r="DU284" s="751">
        <f t="shared" ref="DU284:DY284" ca="1" si="521">DU212/DU$218</f>
        <v>0.4163979458207821</v>
      </c>
      <c r="DV284" s="751">
        <f t="shared" ca="1" si="521"/>
        <v>0.39264364416957437</v>
      </c>
      <c r="DW284" s="751">
        <f t="shared" ca="1" si="521"/>
        <v>0.33787054567397612</v>
      </c>
      <c r="DX284" s="751">
        <f t="shared" ca="1" si="521"/>
        <v>0.33723374230183789</v>
      </c>
      <c r="DY284" s="849">
        <f t="shared" ca="1" si="521"/>
        <v>0.36563017224945382</v>
      </c>
    </row>
    <row r="285" spans="1:129" x14ac:dyDescent="0.2">
      <c r="A285" s="526"/>
      <c r="B285" s="756" t="s">
        <v>745</v>
      </c>
      <c r="C285" s="597"/>
      <c r="D285" s="597"/>
      <c r="E285" s="597"/>
      <c r="F285" s="597"/>
      <c r="G285" s="597"/>
      <c r="H285" s="597"/>
      <c r="I285" s="598"/>
      <c r="J285" s="597"/>
      <c r="K285" s="597"/>
      <c r="L285" s="597"/>
      <c r="M285" s="597"/>
      <c r="N285" s="598"/>
      <c r="O285" s="597"/>
      <c r="P285" s="597"/>
      <c r="Q285" s="597"/>
      <c r="R285" s="597"/>
      <c r="S285" s="598"/>
      <c r="T285" s="597"/>
      <c r="U285" s="597"/>
      <c r="V285" s="597"/>
      <c r="W285" s="597"/>
      <c r="X285" s="598"/>
      <c r="Y285" s="597"/>
      <c r="Z285" s="597"/>
      <c r="AA285" s="597"/>
      <c r="AB285" s="597"/>
      <c r="AC285" s="598"/>
      <c r="AD285" s="597"/>
      <c r="AE285" s="597"/>
      <c r="AF285" s="597"/>
      <c r="AG285" s="597"/>
      <c r="AH285" s="598"/>
      <c r="AI285" s="597"/>
      <c r="AJ285" s="597"/>
      <c r="AK285" s="597"/>
      <c r="AL285" s="597"/>
      <c r="AM285" s="598"/>
      <c r="AN285" s="597"/>
      <c r="AO285" s="597"/>
      <c r="AP285" s="597"/>
      <c r="AQ285" s="597"/>
      <c r="AR285" s="598"/>
      <c r="AS285" s="597"/>
      <c r="AT285" s="597"/>
      <c r="AU285" s="597"/>
      <c r="AV285" s="597"/>
      <c r="AW285" s="598"/>
      <c r="AX285" s="597"/>
      <c r="AY285" s="597"/>
      <c r="AZ285" s="597"/>
      <c r="BA285" s="597"/>
      <c r="BB285" s="598"/>
      <c r="BC285" s="597"/>
      <c r="BD285" s="597"/>
      <c r="BE285" s="597"/>
      <c r="BF285" s="597"/>
      <c r="BG285" s="598"/>
      <c r="BH285" s="803">
        <f t="shared" ref="BH285:CZ285" si="522">BH213/BH$218</f>
        <v>0.16247422764493588</v>
      </c>
      <c r="BI285" s="803">
        <f t="shared" si="522"/>
        <v>0.15992564130671505</v>
      </c>
      <c r="BJ285" s="803">
        <f t="shared" si="522"/>
        <v>0.14704717114015758</v>
      </c>
      <c r="BK285" s="803">
        <f t="shared" si="522"/>
        <v>0.14376782850134406</v>
      </c>
      <c r="BL285" s="870">
        <f t="shared" si="522"/>
        <v>0.15085314842425079</v>
      </c>
      <c r="BM285" s="803">
        <f t="shared" si="522"/>
        <v>2.9219070984513252E-2</v>
      </c>
      <c r="BN285" s="803">
        <f t="shared" si="522"/>
        <v>2.6686213655982345E-2</v>
      </c>
      <c r="BO285" s="803">
        <f t="shared" si="522"/>
        <v>2.5054128860589511E-2</v>
      </c>
      <c r="BP285" s="803">
        <f t="shared" si="522"/>
        <v>2.4437915810987771E-2</v>
      </c>
      <c r="BQ285" s="870">
        <f t="shared" si="522"/>
        <v>2.619203625544787E-2</v>
      </c>
      <c r="BR285" s="803">
        <f t="shared" si="522"/>
        <v>3.0756093134701654E-2</v>
      </c>
      <c r="BS285" s="803">
        <f t="shared" si="522"/>
        <v>2.7036607941822197E-2</v>
      </c>
      <c r="BT285" s="803">
        <f t="shared" si="522"/>
        <v>2.4995988470730545E-2</v>
      </c>
      <c r="BU285" s="803">
        <f t="shared" si="522"/>
        <v>2.4644818534428844E-2</v>
      </c>
      <c r="BV285" s="870">
        <f t="shared" si="522"/>
        <v>2.6591522386743831E-2</v>
      </c>
      <c r="BW285" s="803">
        <f t="shared" si="522"/>
        <v>3.2338747767035256E-2</v>
      </c>
      <c r="BX285" s="803">
        <f t="shared" si="522"/>
        <v>3.0655907036203658E-2</v>
      </c>
      <c r="BY285" s="803">
        <f t="shared" si="522"/>
        <v>2.906166736544601E-2</v>
      </c>
      <c r="BZ285" s="803">
        <f t="shared" si="522"/>
        <v>3.0189086188972428E-2</v>
      </c>
      <c r="CA285" s="870">
        <f t="shared" si="522"/>
        <v>3.0508252503039752E-2</v>
      </c>
      <c r="CB285" s="803">
        <f t="shared" si="522"/>
        <v>2.3142174585320033E-2</v>
      </c>
      <c r="CC285" s="803">
        <f t="shared" si="522"/>
        <v>2.5567340210795455E-2</v>
      </c>
      <c r="CD285" s="751">
        <f t="shared" si="522"/>
        <v>3.1998198322169859E-2</v>
      </c>
      <c r="CE285" s="751">
        <f t="shared" si="522"/>
        <v>2.9252648788019253E-2</v>
      </c>
      <c r="CF285" s="849">
        <f t="shared" si="522"/>
        <v>2.8014816884996428E-2</v>
      </c>
      <c r="CG285" s="751">
        <f t="shared" si="522"/>
        <v>4.4465687822005578E-2</v>
      </c>
      <c r="CH285" s="751">
        <f t="shared" si="522"/>
        <v>4.1131157790418316E-2</v>
      </c>
      <c r="CI285" s="751">
        <f t="shared" si="522"/>
        <v>3.7363555415025736E-2</v>
      </c>
      <c r="CJ285" s="751">
        <f t="shared" si="522"/>
        <v>3.7474525301530781E-2</v>
      </c>
      <c r="CK285" s="849">
        <f t="shared" si="522"/>
        <v>3.9320999105908375E-2</v>
      </c>
      <c r="CL285" s="751">
        <f t="shared" ca="1" si="522"/>
        <v>6.9576309118459731E-2</v>
      </c>
      <c r="CM285" s="751">
        <f t="shared" si="522"/>
        <v>4.3010887179112327E-2</v>
      </c>
      <c r="CN285" s="751">
        <f t="shared" si="522"/>
        <v>4.4607373835220579E-2</v>
      </c>
      <c r="CO285" s="751">
        <f>CO213/CO$218</f>
        <v>4.7709044635184945E-2</v>
      </c>
      <c r="CP285" s="849">
        <f t="shared" ca="1" si="522"/>
        <v>4.968495861024335E-2</v>
      </c>
      <c r="CQ285" s="751">
        <f t="shared" si="522"/>
        <v>4.3552724405686034E-2</v>
      </c>
      <c r="CR285" s="751">
        <f t="shared" si="522"/>
        <v>4.6925367583307703E-2</v>
      </c>
      <c r="CS285" s="751">
        <f t="shared" ca="1" si="522"/>
        <v>4.848605603174945E-2</v>
      </c>
      <c r="CT285" s="751">
        <f t="shared" ca="1" si="522"/>
        <v>4.8914594273771775E-2</v>
      </c>
      <c r="CU285" s="849">
        <f t="shared" ca="1" si="522"/>
        <v>4.7121724609810137E-2</v>
      </c>
      <c r="CV285" s="751">
        <f t="shared" ca="1" si="522"/>
        <v>5.4392544441570205E-2</v>
      </c>
      <c r="CW285" s="751">
        <f t="shared" ca="1" si="522"/>
        <v>5.1304918940257356E-2</v>
      </c>
      <c r="CX285" s="751">
        <f t="shared" ca="1" si="522"/>
        <v>5.416725338941656E-2</v>
      </c>
      <c r="CY285" s="751">
        <f ca="1">CY213/CY$218</f>
        <v>4.9044845601061281E-2</v>
      </c>
      <c r="CZ285" s="849">
        <f t="shared" ca="1" si="522"/>
        <v>5.2027333408425323E-2</v>
      </c>
      <c r="DA285" s="751">
        <f t="shared" ca="1" si="517"/>
        <v>7.2899893821482209E-2</v>
      </c>
      <c r="DB285" s="751">
        <f t="shared" ca="1" si="517"/>
        <v>6.3065994411495532E-2</v>
      </c>
      <c r="DC285" s="751">
        <f t="shared" ca="1" si="517"/>
        <v>6.1859509226919504E-2</v>
      </c>
      <c r="DD285" s="751">
        <f t="shared" ca="1" si="517"/>
        <v>5.6008440137539223E-2</v>
      </c>
      <c r="DE285" s="849">
        <f t="shared" ca="1" si="517"/>
        <v>6.2738236490850488E-2</v>
      </c>
      <c r="DF285" s="751">
        <f t="shared" ca="1" si="518"/>
        <v>7.2737293045568488E-2</v>
      </c>
      <c r="DG285" s="751">
        <f t="shared" ca="1" si="518"/>
        <v>6.1512274718896302E-2</v>
      </c>
      <c r="DH285" s="751">
        <f t="shared" ref="DH285" ca="1" si="523">DH213/DH$218</f>
        <v>5.2907938884184262E-2</v>
      </c>
      <c r="DI285" s="2821">
        <f t="shared" ca="1" si="519"/>
        <v>5.3608420124645707E-2</v>
      </c>
      <c r="DJ285" s="849">
        <f t="shared" ca="1" si="518"/>
        <v>5.9002267058183469E-2</v>
      </c>
      <c r="DK285" s="751">
        <f t="shared" ref="DK285:DT285" ca="1" si="524">DK213/DK$218</f>
        <v>6.0601791246242299E-2</v>
      </c>
      <c r="DL285" s="751">
        <f t="shared" ca="1" si="524"/>
        <v>6.5547837806200035E-2</v>
      </c>
      <c r="DM285" s="751">
        <f t="shared" ca="1" si="524"/>
        <v>5.6010798615578436E-2</v>
      </c>
      <c r="DN285" s="751">
        <f t="shared" ca="1" si="524"/>
        <v>5.5087276509775095E-2</v>
      </c>
      <c r="DO285" s="849">
        <f t="shared" ca="1" si="524"/>
        <v>5.8929681095470546E-2</v>
      </c>
      <c r="DP285" s="751">
        <f t="shared" ca="1" si="524"/>
        <v>5.4200691141204953E-2</v>
      </c>
      <c r="DQ285" s="751">
        <f t="shared" ca="1" si="524"/>
        <v>5.3642697837283121E-2</v>
      </c>
      <c r="DR285" s="751">
        <f t="shared" ca="1" si="524"/>
        <v>4.5516261590057033E-2</v>
      </c>
      <c r="DS285" s="751">
        <f t="shared" ca="1" si="524"/>
        <v>4.4676345746102353E-2</v>
      </c>
      <c r="DT285" s="849">
        <f t="shared" ca="1" si="524"/>
        <v>4.8881153053073848E-2</v>
      </c>
      <c r="DU285" s="751">
        <f t="shared" ref="DU285:DY285" ca="1" si="525">DU213/DU$218</f>
        <v>5.4744257445203316E-2</v>
      </c>
      <c r="DV285" s="751">
        <f t="shared" ca="1" si="525"/>
        <v>5.366156639376813E-2</v>
      </c>
      <c r="DW285" s="751">
        <f t="shared" ca="1" si="525"/>
        <v>4.5262494262425047E-2</v>
      </c>
      <c r="DX285" s="751">
        <f t="shared" ca="1" si="525"/>
        <v>4.4321033488705239E-2</v>
      </c>
      <c r="DY285" s="849">
        <f t="shared" ca="1" si="525"/>
        <v>4.8801687323433811E-2</v>
      </c>
    </row>
    <row r="286" spans="1:129" x14ac:dyDescent="0.2">
      <c r="A286" s="526"/>
      <c r="B286" s="770" t="s">
        <v>781</v>
      </c>
      <c r="C286" s="597"/>
      <c r="D286" s="597"/>
      <c r="E286" s="597"/>
      <c r="F286" s="597"/>
      <c r="G286" s="597"/>
      <c r="H286" s="597"/>
      <c r="I286" s="598"/>
      <c r="J286" s="597"/>
      <c r="K286" s="597"/>
      <c r="L286" s="597"/>
      <c r="M286" s="597"/>
      <c r="N286" s="598"/>
      <c r="O286" s="597"/>
      <c r="P286" s="597"/>
      <c r="Q286" s="597"/>
      <c r="R286" s="597"/>
      <c r="S286" s="598"/>
      <c r="T286" s="597"/>
      <c r="U286" s="597"/>
      <c r="V286" s="597"/>
      <c r="W286" s="597"/>
      <c r="X286" s="598"/>
      <c r="Y286" s="597"/>
      <c r="Z286" s="597"/>
      <c r="AA286" s="597"/>
      <c r="AB286" s="597"/>
      <c r="AC286" s="598"/>
      <c r="AD286" s="597"/>
      <c r="AE286" s="597"/>
      <c r="AF286" s="597"/>
      <c r="AG286" s="597"/>
      <c r="AH286" s="598"/>
      <c r="AI286" s="597"/>
      <c r="AJ286" s="597"/>
      <c r="AK286" s="597"/>
      <c r="AL286" s="597"/>
      <c r="AM286" s="598"/>
      <c r="AN286" s="597"/>
      <c r="AO286" s="597"/>
      <c r="AP286" s="597"/>
      <c r="AQ286" s="597"/>
      <c r="AR286" s="598"/>
      <c r="AS286" s="597"/>
      <c r="AT286" s="597"/>
      <c r="AU286" s="597"/>
      <c r="AV286" s="597"/>
      <c r="AW286" s="598"/>
      <c r="AX286" s="597"/>
      <c r="AY286" s="597"/>
      <c r="AZ286" s="597"/>
      <c r="BA286" s="597"/>
      <c r="BB286" s="598"/>
      <c r="BC286" s="597"/>
      <c r="BD286" s="597"/>
      <c r="BE286" s="597"/>
      <c r="BF286" s="597"/>
      <c r="BG286" s="598"/>
      <c r="BH286" s="803">
        <f t="shared" ref="BH286:CZ286" si="526">BH214/BH$218</f>
        <v>0.82392264619463162</v>
      </c>
      <c r="BI286" s="803">
        <f t="shared" si="526"/>
        <v>0.7210273606938743</v>
      </c>
      <c r="BJ286" s="803">
        <f t="shared" si="526"/>
        <v>0.68472924543461167</v>
      </c>
      <c r="BK286" s="803">
        <f t="shared" si="526"/>
        <v>0.67684572072066762</v>
      </c>
      <c r="BL286" s="870">
        <f t="shared" si="526"/>
        <v>0.70355792032196007</v>
      </c>
      <c r="BM286" s="803">
        <f t="shared" si="526"/>
        <v>0.63623760395176854</v>
      </c>
      <c r="BN286" s="803">
        <f t="shared" si="526"/>
        <v>0.66431483515166201</v>
      </c>
      <c r="BO286" s="803">
        <f t="shared" si="526"/>
        <v>0.66779915980066307</v>
      </c>
      <c r="BP286" s="803">
        <f t="shared" si="526"/>
        <v>0.68188968861601418</v>
      </c>
      <c r="BQ286" s="870">
        <f t="shared" si="526"/>
        <v>0.6640087225804655</v>
      </c>
      <c r="BR286" s="803">
        <f t="shared" si="526"/>
        <v>0.60129910526315777</v>
      </c>
      <c r="BS286" s="803">
        <f t="shared" si="526"/>
        <v>0.61438243241190049</v>
      </c>
      <c r="BT286" s="803">
        <f t="shared" si="526"/>
        <v>0.65231531606875914</v>
      </c>
      <c r="BU286" s="803">
        <f t="shared" si="526"/>
        <v>0.65901922798349999</v>
      </c>
      <c r="BV286" s="870">
        <f t="shared" si="526"/>
        <v>0.63437014120590152</v>
      </c>
      <c r="BW286" s="803">
        <f t="shared" si="526"/>
        <v>0.5731606052377034</v>
      </c>
      <c r="BX286" s="803">
        <f t="shared" si="526"/>
        <v>0.5774212593332283</v>
      </c>
      <c r="BY286" s="803">
        <f t="shared" si="526"/>
        <v>0.58809780271737289</v>
      </c>
      <c r="BZ286" s="803">
        <f t="shared" si="526"/>
        <v>0.56254168316861941</v>
      </c>
      <c r="CA286" s="870">
        <f t="shared" si="526"/>
        <v>0.5753833772880047</v>
      </c>
      <c r="CB286" s="803">
        <f t="shared" si="526"/>
        <v>0.45739303642183282</v>
      </c>
      <c r="CC286" s="803">
        <f t="shared" si="526"/>
        <v>0.50663212604575658</v>
      </c>
      <c r="CD286" s="751">
        <f t="shared" si="526"/>
        <v>0.5496421435425255</v>
      </c>
      <c r="CE286" s="751">
        <f t="shared" si="526"/>
        <v>0.5456274085907703</v>
      </c>
      <c r="CF286" s="849">
        <f t="shared" si="526"/>
        <v>0.5210209318254645</v>
      </c>
      <c r="CG286" s="751">
        <f t="shared" si="526"/>
        <v>0.49124168598440215</v>
      </c>
      <c r="CH286" s="751">
        <f t="shared" si="526"/>
        <v>0.48013389976507981</v>
      </c>
      <c r="CI286" s="751">
        <f t="shared" si="526"/>
        <v>0.44412296832824788</v>
      </c>
      <c r="CJ286" s="751">
        <f t="shared" si="526"/>
        <v>0.46787583318866477</v>
      </c>
      <c r="CK286" s="849">
        <f t="shared" si="526"/>
        <v>0.46741659797107538</v>
      </c>
      <c r="CL286" s="751">
        <f t="shared" ca="1" si="526"/>
        <v>0.55848474204885068</v>
      </c>
      <c r="CM286" s="751">
        <f t="shared" si="526"/>
        <v>0.47108396263249103</v>
      </c>
      <c r="CN286" s="751">
        <f t="shared" si="526"/>
        <v>0.45940182632111293</v>
      </c>
      <c r="CO286" s="751">
        <f>CO214/CO$218</f>
        <v>0.50620604101941324</v>
      </c>
      <c r="CP286" s="849">
        <f t="shared" ca="1" si="526"/>
        <v>0.49350986423777876</v>
      </c>
      <c r="CQ286" s="751">
        <f t="shared" si="526"/>
        <v>0.49590052477839969</v>
      </c>
      <c r="CR286" s="751">
        <f t="shared" si="526"/>
        <v>0.39304996584398438</v>
      </c>
      <c r="CS286" s="751">
        <f t="shared" ca="1" si="526"/>
        <v>0.42078801571902352</v>
      </c>
      <c r="CT286" s="751">
        <f t="shared" ca="1" si="526"/>
        <v>0.52988752814331885</v>
      </c>
      <c r="CU286" s="849">
        <f t="shared" ca="1" si="526"/>
        <v>0.4578802630593426</v>
      </c>
      <c r="CV286" s="751">
        <f t="shared" ca="1" si="526"/>
        <v>0.48846235380234987</v>
      </c>
      <c r="CW286" s="751">
        <f t="shared" ca="1" si="526"/>
        <v>0.42282537578675689</v>
      </c>
      <c r="CX286" s="751">
        <f t="shared" ca="1" si="526"/>
        <v>0.45325158756031142</v>
      </c>
      <c r="CY286" s="751">
        <f ca="1">CY214/CY$218</f>
        <v>0.48168748048694821</v>
      </c>
      <c r="CZ286" s="849">
        <f t="shared" ca="1" si="526"/>
        <v>0.46178786607106187</v>
      </c>
      <c r="DA286" s="751">
        <f t="shared" ca="1" si="517"/>
        <v>0.49286939737242713</v>
      </c>
      <c r="DB286" s="751">
        <f t="shared" ca="1" si="517"/>
        <v>0.45138660301895261</v>
      </c>
      <c r="DC286" s="751">
        <f t="shared" ca="1" si="517"/>
        <v>0.44892794754088344</v>
      </c>
      <c r="DD286" s="751">
        <f t="shared" ca="1" si="517"/>
        <v>0.46637198192785068</v>
      </c>
      <c r="DE286" s="849">
        <f t="shared" ca="1" si="517"/>
        <v>0.46340658157822279</v>
      </c>
      <c r="DF286" s="751">
        <f t="shared" ca="1" si="518"/>
        <v>0.48970405770533371</v>
      </c>
      <c r="DG286" s="751">
        <f t="shared" ca="1" si="518"/>
        <v>0.47545668358538851</v>
      </c>
      <c r="DH286" s="751">
        <f t="shared" ref="DH286" ca="1" si="527">DH214/DH$218</f>
        <v>0.40894981159727828</v>
      </c>
      <c r="DI286" s="2821">
        <f t="shared" ca="1" si="519"/>
        <v>0.40768349178616553</v>
      </c>
      <c r="DJ286" s="849">
        <f t="shared" ca="1" si="518"/>
        <v>0.44020438030454156</v>
      </c>
      <c r="DK286" s="751">
        <f t="shared" ref="DK286:DT286" ca="1" si="528">DK214/DK$218</f>
        <v>0.47352577404062585</v>
      </c>
      <c r="DL286" s="751">
        <f t="shared" ca="1" si="528"/>
        <v>0.46148276813738254</v>
      </c>
      <c r="DM286" s="751">
        <f t="shared" ca="1" si="528"/>
        <v>0.39924840604967626</v>
      </c>
      <c r="DN286" s="751">
        <f t="shared" ca="1" si="528"/>
        <v>0.39769682900552633</v>
      </c>
      <c r="DO286" s="849">
        <f t="shared" ca="1" si="528"/>
        <v>0.42777254167185697</v>
      </c>
      <c r="DP286" s="751">
        <f t="shared" ca="1" si="528"/>
        <v>0.47567160219363824</v>
      </c>
      <c r="DQ286" s="751">
        <f t="shared" ca="1" si="528"/>
        <v>0.45052270845000381</v>
      </c>
      <c r="DR286" s="751">
        <f t="shared" ca="1" si="528"/>
        <v>0.38800792469308237</v>
      </c>
      <c r="DS286" s="751">
        <f t="shared" ca="1" si="528"/>
        <v>0.38649771452266707</v>
      </c>
      <c r="DT286" s="849">
        <f t="shared" ca="1" si="528"/>
        <v>0.41921368747585475</v>
      </c>
      <c r="DU286" s="751">
        <f t="shared" ref="DU286:DY286" ca="1" si="529">DU214/DU$218</f>
        <v>0.47114220326598549</v>
      </c>
      <c r="DV286" s="751">
        <f t="shared" ca="1" si="529"/>
        <v>0.44630521056334249</v>
      </c>
      <c r="DW286" s="751">
        <f t="shared" ca="1" si="529"/>
        <v>0.38313303993640119</v>
      </c>
      <c r="DX286" s="751">
        <f t="shared" ca="1" si="529"/>
        <v>0.38155477579054314</v>
      </c>
      <c r="DY286" s="849">
        <f t="shared" ca="1" si="529"/>
        <v>0.41443185957288758</v>
      </c>
    </row>
    <row r="287" spans="1:129" ht="6.75" customHeight="1" x14ac:dyDescent="0.2">
      <c r="A287" s="526"/>
      <c r="B287" s="756"/>
      <c r="C287" s="597"/>
      <c r="D287" s="597"/>
      <c r="E287" s="597"/>
      <c r="F287" s="597"/>
      <c r="G287" s="597"/>
      <c r="H287" s="597"/>
      <c r="I287" s="598"/>
      <c r="J287" s="597"/>
      <c r="K287" s="597"/>
      <c r="L287" s="597"/>
      <c r="M287" s="597"/>
      <c r="N287" s="598"/>
      <c r="O287" s="597"/>
      <c r="P287" s="597"/>
      <c r="Q287" s="597"/>
      <c r="R287" s="597"/>
      <c r="S287" s="598"/>
      <c r="T287" s="597"/>
      <c r="U287" s="597"/>
      <c r="V287" s="597"/>
      <c r="W287" s="597"/>
      <c r="X287" s="598"/>
      <c r="Y287" s="597"/>
      <c r="Z287" s="597"/>
      <c r="AA287" s="597"/>
      <c r="AB287" s="597"/>
      <c r="AC287" s="598"/>
      <c r="AD287" s="597"/>
      <c r="AE287" s="597"/>
      <c r="AF287" s="597"/>
      <c r="AG287" s="597"/>
      <c r="AH287" s="598"/>
      <c r="AI287" s="597"/>
      <c r="AJ287" s="597"/>
      <c r="AK287" s="597"/>
      <c r="AL287" s="597"/>
      <c r="AM287" s="598"/>
      <c r="AN287" s="597"/>
      <c r="AO287" s="597"/>
      <c r="AP287" s="597"/>
      <c r="AQ287" s="597"/>
      <c r="AR287" s="598"/>
      <c r="AS287" s="597"/>
      <c r="AT287" s="597"/>
      <c r="AU287" s="597"/>
      <c r="AV287" s="597"/>
      <c r="AW287" s="598"/>
      <c r="AX287" s="597"/>
      <c r="AY287" s="597"/>
      <c r="AZ287" s="597"/>
      <c r="BA287" s="597"/>
      <c r="BB287" s="598"/>
      <c r="BC287" s="597"/>
      <c r="BD287" s="597"/>
      <c r="BE287" s="597"/>
      <c r="BF287" s="597"/>
      <c r="BG287" s="598"/>
      <c r="BH287" s="743"/>
      <c r="BI287" s="743"/>
      <c r="BJ287" s="743"/>
      <c r="BK287" s="743"/>
      <c r="BL287" s="849"/>
      <c r="BM287" s="743"/>
      <c r="BN287" s="743"/>
      <c r="BO287" s="743"/>
      <c r="BP287" s="743"/>
      <c r="BQ287" s="849"/>
      <c r="BR287" s="743"/>
      <c r="BS287" s="743"/>
      <c r="BT287" s="743"/>
      <c r="BU287" s="743"/>
      <c r="BV287" s="849"/>
      <c r="BW287" s="743"/>
      <c r="BX287" s="743"/>
      <c r="BY287" s="743"/>
      <c r="BZ287" s="743"/>
      <c r="CA287" s="849"/>
      <c r="CB287" s="743"/>
      <c r="CC287" s="743"/>
      <c r="CD287" s="743"/>
      <c r="CE287" s="743"/>
      <c r="CF287" s="849"/>
      <c r="CG287" s="743"/>
      <c r="CH287" s="743"/>
      <c r="CI287" s="743"/>
      <c r="CJ287" s="743"/>
      <c r="CK287" s="849"/>
      <c r="CL287" s="743"/>
      <c r="CM287" s="743"/>
      <c r="CN287" s="743"/>
      <c r="CO287" s="743"/>
      <c r="CP287" s="849"/>
      <c r="CQ287" s="743"/>
      <c r="CR287" s="743"/>
      <c r="CS287" s="743"/>
      <c r="CT287" s="743"/>
      <c r="CU287" s="849"/>
      <c r="CV287" s="743"/>
      <c r="CW287" s="743"/>
      <c r="CX287" s="743"/>
      <c r="CY287" s="743"/>
      <c r="CZ287" s="849"/>
      <c r="DA287" s="743"/>
      <c r="DB287" s="743"/>
      <c r="DC287" s="743"/>
      <c r="DD287" s="743"/>
      <c r="DE287" s="849"/>
      <c r="DF287" s="743"/>
      <c r="DG287" s="743"/>
      <c r="DH287" s="743"/>
      <c r="DI287" s="2818"/>
      <c r="DJ287" s="849"/>
      <c r="DK287" s="743"/>
      <c r="DL287" s="743"/>
      <c r="DM287" s="743"/>
      <c r="DN287" s="743"/>
      <c r="DO287" s="849"/>
      <c r="DP287" s="743"/>
      <c r="DQ287" s="743"/>
      <c r="DR287" s="743"/>
      <c r="DS287" s="743"/>
      <c r="DT287" s="849"/>
      <c r="DU287" s="743"/>
      <c r="DV287" s="743"/>
      <c r="DW287" s="743"/>
      <c r="DX287" s="743"/>
      <c r="DY287" s="849"/>
    </row>
    <row r="288" spans="1:129" x14ac:dyDescent="0.2">
      <c r="A288" s="526"/>
      <c r="B288" s="756" t="s">
        <v>789</v>
      </c>
      <c r="C288" s="597"/>
      <c r="D288" s="597"/>
      <c r="E288" s="597"/>
      <c r="F288" s="597"/>
      <c r="G288" s="597"/>
      <c r="H288" s="597"/>
      <c r="I288" s="598"/>
      <c r="J288" s="597"/>
      <c r="K288" s="597"/>
      <c r="L288" s="597"/>
      <c r="M288" s="597"/>
      <c r="N288" s="598"/>
      <c r="O288" s="597"/>
      <c r="P288" s="597"/>
      <c r="Q288" s="597"/>
      <c r="R288" s="597"/>
      <c r="S288" s="598"/>
      <c r="T288" s="597"/>
      <c r="U288" s="597"/>
      <c r="V288" s="597"/>
      <c r="W288" s="597"/>
      <c r="X288" s="598"/>
      <c r="Y288" s="597"/>
      <c r="Z288" s="597"/>
      <c r="AA288" s="597"/>
      <c r="AB288" s="597"/>
      <c r="AC288" s="598"/>
      <c r="AD288" s="597"/>
      <c r="AE288" s="597"/>
      <c r="AF288" s="597"/>
      <c r="AG288" s="597"/>
      <c r="AH288" s="598"/>
      <c r="AI288" s="597"/>
      <c r="AJ288" s="597"/>
      <c r="AK288" s="597"/>
      <c r="AL288" s="597"/>
      <c r="AM288" s="598"/>
      <c r="AN288" s="597"/>
      <c r="AO288" s="597"/>
      <c r="AP288" s="597"/>
      <c r="AQ288" s="597"/>
      <c r="AR288" s="598"/>
      <c r="AS288" s="597"/>
      <c r="AT288" s="597"/>
      <c r="AU288" s="597"/>
      <c r="AV288" s="597"/>
      <c r="AW288" s="598"/>
      <c r="AX288" s="597"/>
      <c r="AY288" s="597"/>
      <c r="AZ288" s="597"/>
      <c r="BA288" s="597"/>
      <c r="BB288" s="598"/>
      <c r="BC288" s="597"/>
      <c r="BD288" s="597"/>
      <c r="BE288" s="597"/>
      <c r="BF288" s="597"/>
      <c r="BG288" s="598"/>
      <c r="BH288" s="803">
        <f t="shared" ref="BH288:CZ288" si="530">BH216/BH$218</f>
        <v>4.5305423750352104E-2</v>
      </c>
      <c r="BI288" s="803">
        <f t="shared" si="530"/>
        <v>7.4668288950127948E-2</v>
      </c>
      <c r="BJ288" s="803">
        <f t="shared" si="530"/>
        <v>6.8239365282121295E-2</v>
      </c>
      <c r="BK288" s="803">
        <f t="shared" si="530"/>
        <v>6.4252311901606546E-2</v>
      </c>
      <c r="BL288" s="870">
        <f t="shared" si="530"/>
        <v>6.6915974080301963E-2</v>
      </c>
      <c r="BM288" s="803">
        <f t="shared" si="530"/>
        <v>8.9276649746192899E-2</v>
      </c>
      <c r="BN288" s="803">
        <f t="shared" si="530"/>
        <v>8.2147058823529392E-2</v>
      </c>
      <c r="BO288" s="803">
        <f t="shared" si="530"/>
        <v>8.1718924972004489E-2</v>
      </c>
      <c r="BP288" s="803">
        <f t="shared" si="530"/>
        <v>6.9558823529411756E-2</v>
      </c>
      <c r="BQ288" s="870">
        <f t="shared" si="530"/>
        <v>8.0005632216277101E-2</v>
      </c>
      <c r="BR288" s="803">
        <f t="shared" si="530"/>
        <v>7.6691729323308269E-2</v>
      </c>
      <c r="BS288" s="803">
        <f t="shared" si="530"/>
        <v>7.2744360902255639E-2</v>
      </c>
      <c r="BT288" s="803">
        <f t="shared" si="530"/>
        <v>6.6634335596508235E-2</v>
      </c>
      <c r="BU288" s="803">
        <f t="shared" si="530"/>
        <v>6.0697674418604651E-2</v>
      </c>
      <c r="BV288" s="870">
        <f t="shared" si="530"/>
        <v>6.8546284224250326E-2</v>
      </c>
      <c r="BW288" s="803">
        <f t="shared" si="530"/>
        <v>8.437258084151146E-2</v>
      </c>
      <c r="BX288" s="803">
        <f t="shared" si="530"/>
        <v>9.0435822684582945E-2</v>
      </c>
      <c r="BY288" s="803">
        <f t="shared" si="530"/>
        <v>9.6929384832964358E-2</v>
      </c>
      <c r="BZ288" s="803">
        <f t="shared" si="530"/>
        <v>0.10538621143027017</v>
      </c>
      <c r="CA288" s="870">
        <f t="shared" si="530"/>
        <v>9.4600133799031455E-2</v>
      </c>
      <c r="CB288" s="803">
        <f t="shared" si="530"/>
        <v>0.11971830967180236</v>
      </c>
      <c r="CC288" s="803">
        <f t="shared" si="530"/>
        <v>0.10185185185185187</v>
      </c>
      <c r="CD288" s="751">
        <f t="shared" si="530"/>
        <v>4.4310722100656452E-2</v>
      </c>
      <c r="CE288" s="751">
        <f t="shared" si="530"/>
        <v>3.6410635190950891E-2</v>
      </c>
      <c r="CF288" s="849">
        <f t="shared" si="530"/>
        <v>6.921152388172859E-2</v>
      </c>
      <c r="CG288" s="751">
        <f t="shared" si="530"/>
        <v>6.0876623475449053E-2</v>
      </c>
      <c r="CH288" s="751">
        <f t="shared" si="530"/>
        <v>5.1813971506257529E-2</v>
      </c>
      <c r="CI288" s="751">
        <f t="shared" si="530"/>
        <v>2.8661978320845768E-2</v>
      </c>
      <c r="CJ288" s="751">
        <f t="shared" si="530"/>
        <v>2.532494543867319E-2</v>
      </c>
      <c r="CK288" s="849">
        <f t="shared" si="530"/>
        <v>3.7434213386324078E-2</v>
      </c>
      <c r="CL288" s="751">
        <f t="shared" ca="1" si="530"/>
        <v>4.9072649909529177E-2</v>
      </c>
      <c r="CM288" s="751">
        <f t="shared" si="530"/>
        <v>4.4113189704832537E-2</v>
      </c>
      <c r="CN288" s="751">
        <f t="shared" si="530"/>
        <v>2.9458522580046706E-2</v>
      </c>
      <c r="CO288" s="751">
        <f>CO216/CO$218</f>
        <v>3.1631096467839716E-2</v>
      </c>
      <c r="CP288" s="849">
        <f t="shared" ca="1" si="530"/>
        <v>3.6916633006414623E-2</v>
      </c>
      <c r="CQ288" s="751">
        <f t="shared" si="530"/>
        <v>4.0966997777345381E-2</v>
      </c>
      <c r="CR288" s="751">
        <f t="shared" si="530"/>
        <v>3.6246335711929478E-2</v>
      </c>
      <c r="CS288" s="751">
        <f t="shared" ca="1" si="530"/>
        <v>3.5398887388495524E-2</v>
      </c>
      <c r="CT288" s="751">
        <f t="shared" ca="1" si="530"/>
        <v>3.9811847784527295E-2</v>
      </c>
      <c r="CU288" s="849">
        <f t="shared" ca="1" si="530"/>
        <v>3.7943864371318164E-2</v>
      </c>
      <c r="CV288" s="751">
        <f t="shared" ca="1" si="530"/>
        <v>4.5563192209255171E-2</v>
      </c>
      <c r="CW288" s="751">
        <f t="shared" ca="1" si="530"/>
        <v>3.862046754036777E-2</v>
      </c>
      <c r="CX288" s="751">
        <f t="shared" ca="1" si="530"/>
        <v>3.8978484110490187E-2</v>
      </c>
      <c r="CY288" s="751">
        <f ca="1">CY216/CY$218</f>
        <v>3.672310841694882E-2</v>
      </c>
      <c r="CZ288" s="849">
        <f t="shared" ca="1" si="530"/>
        <v>3.9583669589630929E-2</v>
      </c>
      <c r="DA288" s="751">
        <f t="shared" ref="DA288:DJ288" ca="1" si="531">DA216/DA$218</f>
        <v>5.3351106801078282E-2</v>
      </c>
      <c r="DB288" s="751">
        <f ca="1">DB216/DB$218</f>
        <v>4.6611255752388829E-2</v>
      </c>
      <c r="DC288" s="751">
        <f ca="1">DC216/DC$218</f>
        <v>4.599602166282514E-2</v>
      </c>
      <c r="DD288" s="751">
        <f ca="1">DD216/DD$218</f>
        <v>3.7909165295235199E-2</v>
      </c>
      <c r="DE288" s="849">
        <f t="shared" ca="1" si="531"/>
        <v>4.534393960214006E-2</v>
      </c>
      <c r="DF288" s="751">
        <f t="shared" ca="1" si="531"/>
        <v>4.6489842972637807E-2</v>
      </c>
      <c r="DG288" s="751">
        <f t="shared" ca="1" si="531"/>
        <v>3.5892761569740458E-2</v>
      </c>
      <c r="DH288" s="751">
        <f t="shared" ref="DH288:DI288" ca="1" si="532">DH216/DH$218</f>
        <v>3.8647778163237181E-2</v>
      </c>
      <c r="DI288" s="2821">
        <f t="shared" ca="1" si="532"/>
        <v>4.0840788500214602E-2</v>
      </c>
      <c r="DJ288" s="849">
        <f t="shared" ca="1" si="531"/>
        <v>4.0112766008957121E-2</v>
      </c>
      <c r="DK288" s="751">
        <f t="shared" ref="DK288:DT288" ca="1" si="533">DK216/DK$218</f>
        <v>4.7267090003348951E-2</v>
      </c>
      <c r="DL288" s="751">
        <f t="shared" ca="1" si="533"/>
        <v>3.462887230931784E-2</v>
      </c>
      <c r="DM288" s="751">
        <f t="shared" ca="1" si="533"/>
        <v>3.7500739954647005E-2</v>
      </c>
      <c r="DN288" s="751">
        <f t="shared" ca="1" si="533"/>
        <v>3.9557132538991457E-2</v>
      </c>
      <c r="DO288" s="849">
        <f t="shared" ca="1" si="533"/>
        <v>3.9192176116582093E-2</v>
      </c>
      <c r="DP288" s="751">
        <f t="shared" ca="1" si="533"/>
        <v>4.736918956401167E-2</v>
      </c>
      <c r="DQ288" s="751">
        <f t="shared" ca="1" si="533"/>
        <v>3.5370056623531945E-2</v>
      </c>
      <c r="DR288" s="751">
        <f t="shared" ca="1" si="533"/>
        <v>3.8132196201121189E-2</v>
      </c>
      <c r="DS288" s="751">
        <f t="shared" ca="1" si="533"/>
        <v>4.0249356178206477E-2</v>
      </c>
      <c r="DT288" s="849">
        <f t="shared" ca="1" si="533"/>
        <v>3.979518418000693E-2</v>
      </c>
      <c r="DU288" s="751">
        <f t="shared" ref="DU288:DY288" ca="1" si="534">DU216/DU$218</f>
        <v>4.815233474722877E-2</v>
      </c>
      <c r="DV288" s="751">
        <f t="shared" ca="1" si="534"/>
        <v>3.5718414948514833E-2</v>
      </c>
      <c r="DW288" s="751">
        <f t="shared" ca="1" si="534"/>
        <v>3.8401028805322097E-2</v>
      </c>
      <c r="DX288" s="751">
        <f t="shared" ca="1" si="534"/>
        <v>4.0569708687349472E-2</v>
      </c>
      <c r="DY288" s="849">
        <f t="shared" ca="1" si="534"/>
        <v>4.0183421399244398E-2</v>
      </c>
    </row>
    <row r="289" spans="1:129" ht="6" customHeight="1" x14ac:dyDescent="0.2">
      <c r="A289" s="474"/>
      <c r="B289" s="639"/>
      <c r="C289" s="538"/>
      <c r="D289" s="538"/>
      <c r="E289" s="538"/>
      <c r="F289" s="538"/>
      <c r="G289" s="538"/>
      <c r="H289" s="538"/>
      <c r="I289" s="539"/>
      <c r="J289" s="538"/>
      <c r="K289" s="538"/>
      <c r="L289" s="538"/>
      <c r="M289" s="538"/>
      <c r="N289" s="539"/>
      <c r="O289" s="538"/>
      <c r="P289" s="538"/>
      <c r="Q289" s="538"/>
      <c r="R289" s="538"/>
      <c r="S289" s="539"/>
      <c r="T289" s="538"/>
      <c r="U289" s="538"/>
      <c r="V289" s="538"/>
      <c r="W289" s="538"/>
      <c r="X289" s="539"/>
      <c r="Y289" s="538"/>
      <c r="Z289" s="538"/>
      <c r="AA289" s="538"/>
      <c r="AB289" s="538"/>
      <c r="AC289" s="539"/>
      <c r="AD289" s="538"/>
      <c r="AE289" s="538"/>
      <c r="AF289" s="538"/>
      <c r="AG289" s="538"/>
      <c r="AH289" s="539"/>
      <c r="AI289" s="538"/>
      <c r="AJ289" s="538"/>
      <c r="AK289" s="538"/>
      <c r="AL289" s="538"/>
      <c r="AM289" s="539"/>
      <c r="AN289" s="538"/>
      <c r="AO289" s="538"/>
      <c r="AP289" s="538"/>
      <c r="AQ289" s="538"/>
      <c r="AR289" s="539"/>
      <c r="AS289" s="538"/>
      <c r="AT289" s="538"/>
      <c r="AU289" s="538"/>
      <c r="AV289" s="538"/>
      <c r="AW289" s="539"/>
      <c r="AX289" s="538"/>
      <c r="AY289" s="538"/>
      <c r="AZ289" s="538"/>
      <c r="BA289" s="538"/>
      <c r="BB289" s="539"/>
      <c r="BC289" s="538"/>
      <c r="BD289" s="538"/>
      <c r="BE289" s="538"/>
      <c r="BF289" s="538"/>
      <c r="BG289" s="539"/>
      <c r="BH289" s="538"/>
      <c r="BI289" s="538"/>
      <c r="BJ289" s="538"/>
      <c r="BK289" s="538"/>
      <c r="BL289" s="539"/>
      <c r="BM289" s="538"/>
      <c r="BN289" s="538"/>
      <c r="BO289" s="538"/>
      <c r="BP289" s="538"/>
      <c r="BQ289" s="539"/>
      <c r="BR289" s="538"/>
      <c r="BS289" s="538"/>
      <c r="BT289" s="538"/>
      <c r="BU289" s="538"/>
      <c r="BV289" s="539"/>
      <c r="BW289" s="538"/>
      <c r="BX289" s="538"/>
      <c r="BY289" s="538"/>
      <c r="BZ289" s="538"/>
      <c r="CA289" s="539"/>
      <c r="CB289" s="538"/>
      <c r="CC289" s="538"/>
      <c r="CD289" s="538"/>
      <c r="CE289" s="538"/>
      <c r="CF289" s="539"/>
      <c r="CG289" s="538"/>
      <c r="CH289" s="538"/>
      <c r="CI289" s="538"/>
      <c r="CJ289" s="538"/>
      <c r="CK289" s="539"/>
      <c r="CL289" s="538"/>
      <c r="CM289" s="538"/>
      <c r="CN289" s="538"/>
      <c r="CO289" s="538"/>
      <c r="CP289" s="539"/>
      <c r="CQ289" s="538"/>
      <c r="CR289" s="538"/>
      <c r="CS289" s="538"/>
      <c r="CT289" s="538"/>
      <c r="CU289" s="539"/>
      <c r="CV289" s="538"/>
      <c r="CW289" s="538"/>
      <c r="CX289" s="538"/>
      <c r="CY289" s="538"/>
      <c r="CZ289" s="539"/>
      <c r="DA289" s="538"/>
      <c r="DB289" s="538"/>
      <c r="DC289" s="538"/>
      <c r="DD289" s="538"/>
      <c r="DE289" s="539"/>
      <c r="DF289" s="538"/>
      <c r="DG289" s="538"/>
      <c r="DH289" s="538"/>
      <c r="DI289" s="2797"/>
      <c r="DJ289" s="539"/>
      <c r="DK289" s="538"/>
      <c r="DL289" s="538"/>
      <c r="DM289" s="538"/>
      <c r="DN289" s="538"/>
      <c r="DO289" s="539"/>
      <c r="DP289" s="538"/>
      <c r="DQ289" s="538"/>
      <c r="DR289" s="538"/>
      <c r="DS289" s="538"/>
      <c r="DT289" s="539"/>
      <c r="DU289" s="538"/>
      <c r="DV289" s="538"/>
      <c r="DW289" s="538"/>
      <c r="DX289" s="538"/>
      <c r="DY289" s="539"/>
    </row>
    <row r="290" spans="1:129" ht="11.25" customHeight="1" x14ac:dyDescent="0.2">
      <c r="A290" s="825"/>
      <c r="B290" s="925" t="s">
        <v>251</v>
      </c>
      <c r="C290" s="935"/>
      <c r="D290" s="936"/>
      <c r="E290" s="926"/>
      <c r="F290" s="926"/>
      <c r="G290" s="926"/>
      <c r="H290" s="926"/>
      <c r="I290" s="934"/>
      <c r="J290" s="926"/>
      <c r="K290" s="926"/>
      <c r="L290" s="926"/>
      <c r="M290" s="926"/>
      <c r="N290" s="934"/>
      <c r="O290" s="926"/>
      <c r="P290" s="926"/>
      <c r="Q290" s="926"/>
      <c r="R290" s="926"/>
      <c r="S290" s="934"/>
      <c r="T290" s="926"/>
      <c r="U290" s="926"/>
      <c r="V290" s="926"/>
      <c r="W290" s="926"/>
      <c r="X290" s="934"/>
      <c r="Y290" s="926"/>
      <c r="Z290" s="926"/>
      <c r="AA290" s="926"/>
      <c r="AB290" s="926"/>
      <c r="AC290" s="934"/>
      <c r="AD290" s="926"/>
      <c r="AE290" s="926"/>
      <c r="AF290" s="926"/>
      <c r="AG290" s="926"/>
      <c r="AH290" s="934"/>
      <c r="AI290" s="926"/>
      <c r="AJ290" s="926"/>
      <c r="AK290" s="926"/>
      <c r="AL290" s="926"/>
      <c r="AM290" s="934"/>
      <c r="AN290" s="926"/>
      <c r="AO290" s="926"/>
      <c r="AP290" s="926"/>
      <c r="AQ290" s="926"/>
      <c r="AR290" s="934"/>
      <c r="AS290" s="926"/>
      <c r="AT290" s="926"/>
      <c r="AU290" s="926"/>
      <c r="AV290" s="926"/>
      <c r="AW290" s="934"/>
      <c r="AX290" s="926"/>
      <c r="AY290" s="926"/>
      <c r="AZ290" s="926"/>
      <c r="BA290" s="926"/>
      <c r="BB290" s="934"/>
      <c r="BC290" s="926"/>
      <c r="BD290" s="926"/>
      <c r="BE290" s="926"/>
      <c r="BF290" s="926"/>
      <c r="BG290" s="934"/>
      <c r="BH290" s="926"/>
      <c r="BI290" s="926"/>
      <c r="BJ290" s="926"/>
      <c r="BK290" s="926"/>
      <c r="BL290" s="929">
        <f t="shared" ref="BL290:CZ290" si="535">BL288+BL286+BL282</f>
        <v>1</v>
      </c>
      <c r="BM290" s="937">
        <f t="shared" si="535"/>
        <v>1</v>
      </c>
      <c r="BN290" s="937">
        <f t="shared" si="535"/>
        <v>0.99999999999999989</v>
      </c>
      <c r="BO290" s="937">
        <f t="shared" si="535"/>
        <v>1</v>
      </c>
      <c r="BP290" s="937">
        <f t="shared" si="535"/>
        <v>1.0000000000000002</v>
      </c>
      <c r="BQ290" s="929">
        <f t="shared" si="535"/>
        <v>1</v>
      </c>
      <c r="BR290" s="937">
        <f t="shared" si="535"/>
        <v>0.99999999999999989</v>
      </c>
      <c r="BS290" s="937">
        <f t="shared" si="535"/>
        <v>1</v>
      </c>
      <c r="BT290" s="937">
        <f t="shared" si="535"/>
        <v>1</v>
      </c>
      <c r="BU290" s="937">
        <f t="shared" si="535"/>
        <v>1</v>
      </c>
      <c r="BV290" s="932">
        <f t="shared" si="535"/>
        <v>1</v>
      </c>
      <c r="BW290" s="937">
        <f t="shared" si="535"/>
        <v>1</v>
      </c>
      <c r="BX290" s="937">
        <f t="shared" si="535"/>
        <v>1</v>
      </c>
      <c r="BY290" s="937">
        <f t="shared" si="535"/>
        <v>0.99999999999999989</v>
      </c>
      <c r="BZ290" s="937">
        <f t="shared" si="535"/>
        <v>1</v>
      </c>
      <c r="CA290" s="929">
        <f t="shared" si="535"/>
        <v>1</v>
      </c>
      <c r="CB290" s="937">
        <f t="shared" si="535"/>
        <v>1.0000000000000002</v>
      </c>
      <c r="CC290" s="937">
        <f t="shared" si="535"/>
        <v>1</v>
      </c>
      <c r="CD290" s="935">
        <f t="shared" si="535"/>
        <v>0.99999999999999989</v>
      </c>
      <c r="CE290" s="935">
        <f t="shared" si="535"/>
        <v>1</v>
      </c>
      <c r="CF290" s="934">
        <f t="shared" si="535"/>
        <v>1</v>
      </c>
      <c r="CG290" s="935">
        <f t="shared" si="535"/>
        <v>0.99999999999999989</v>
      </c>
      <c r="CH290" s="935">
        <f t="shared" si="535"/>
        <v>1</v>
      </c>
      <c r="CI290" s="935">
        <f t="shared" si="535"/>
        <v>1</v>
      </c>
      <c r="CJ290" s="935">
        <f t="shared" si="535"/>
        <v>1</v>
      </c>
      <c r="CK290" s="934">
        <f t="shared" si="535"/>
        <v>1</v>
      </c>
      <c r="CL290" s="935">
        <f t="shared" ca="1" si="535"/>
        <v>1</v>
      </c>
      <c r="CM290" s="935">
        <f t="shared" si="535"/>
        <v>1</v>
      </c>
      <c r="CN290" s="935">
        <f t="shared" si="535"/>
        <v>0.99999999999999978</v>
      </c>
      <c r="CO290" s="935">
        <f>CO288+CO286+CO282</f>
        <v>1</v>
      </c>
      <c r="CP290" s="934">
        <f t="shared" ca="1" si="535"/>
        <v>1</v>
      </c>
      <c r="CQ290" s="935">
        <f t="shared" si="535"/>
        <v>1</v>
      </c>
      <c r="CR290" s="935">
        <f t="shared" si="535"/>
        <v>1</v>
      </c>
      <c r="CS290" s="935">
        <f t="shared" ca="1" si="535"/>
        <v>0.99999999999999978</v>
      </c>
      <c r="CT290" s="935">
        <f t="shared" ca="1" si="535"/>
        <v>1</v>
      </c>
      <c r="CU290" s="934">
        <f t="shared" ca="1" si="535"/>
        <v>1</v>
      </c>
      <c r="CV290" s="935">
        <f t="shared" ca="1" si="535"/>
        <v>1</v>
      </c>
      <c r="CW290" s="935">
        <f t="shared" ca="1" si="535"/>
        <v>1</v>
      </c>
      <c r="CX290" s="935">
        <f t="shared" ca="1" si="535"/>
        <v>1</v>
      </c>
      <c r="CY290" s="935">
        <f ca="1">CY288+CY286+CY282</f>
        <v>1</v>
      </c>
      <c r="CZ290" s="934">
        <f t="shared" ca="1" si="535"/>
        <v>1</v>
      </c>
      <c r="DA290" s="935">
        <f t="shared" ref="DA290:DJ290" ca="1" si="536">DA288+DA286+DA282</f>
        <v>0.99999999999999978</v>
      </c>
      <c r="DB290" s="935">
        <f ca="1">DB288+DB286+DB282</f>
        <v>1</v>
      </c>
      <c r="DC290" s="935">
        <f ca="1">DC288+DC286+DC282</f>
        <v>1</v>
      </c>
      <c r="DD290" s="935">
        <f ca="1">DD288+DD286+DD282</f>
        <v>1</v>
      </c>
      <c r="DE290" s="934">
        <f t="shared" ca="1" si="536"/>
        <v>1.0000000000000002</v>
      </c>
      <c r="DF290" s="935">
        <f t="shared" ca="1" si="536"/>
        <v>1</v>
      </c>
      <c r="DG290" s="935">
        <f t="shared" ca="1" si="536"/>
        <v>1</v>
      </c>
      <c r="DH290" s="935">
        <f t="shared" ref="DH290:DI290" ca="1" si="537">DH288+DH286+DH282</f>
        <v>1</v>
      </c>
      <c r="DI290" s="2834">
        <f t="shared" ca="1" si="537"/>
        <v>1</v>
      </c>
      <c r="DJ290" s="934">
        <f t="shared" ca="1" si="536"/>
        <v>1</v>
      </c>
      <c r="DK290" s="935">
        <f t="shared" ref="DK290:DT290" ca="1" si="538">DK288+DK286+DK282</f>
        <v>1</v>
      </c>
      <c r="DL290" s="935">
        <f t="shared" ca="1" si="538"/>
        <v>1</v>
      </c>
      <c r="DM290" s="935">
        <f t="shared" ca="1" si="538"/>
        <v>0.99999999999999989</v>
      </c>
      <c r="DN290" s="935">
        <f t="shared" ca="1" si="538"/>
        <v>1</v>
      </c>
      <c r="DO290" s="934">
        <f t="shared" ca="1" si="538"/>
        <v>0.99999999999999989</v>
      </c>
      <c r="DP290" s="935">
        <f t="shared" ca="1" si="538"/>
        <v>1</v>
      </c>
      <c r="DQ290" s="935">
        <f t="shared" ca="1" si="538"/>
        <v>1</v>
      </c>
      <c r="DR290" s="935">
        <f t="shared" ca="1" si="538"/>
        <v>1</v>
      </c>
      <c r="DS290" s="935">
        <f t="shared" ca="1" si="538"/>
        <v>1</v>
      </c>
      <c r="DT290" s="934">
        <f t="shared" ca="1" si="538"/>
        <v>1</v>
      </c>
      <c r="DU290" s="935">
        <f t="shared" ref="DU290:DY290" ca="1" si="539">DU288+DU286+DU282</f>
        <v>0.99999999999999989</v>
      </c>
      <c r="DV290" s="935">
        <f t="shared" ca="1" si="539"/>
        <v>1</v>
      </c>
      <c r="DW290" s="935">
        <f t="shared" ca="1" si="539"/>
        <v>1</v>
      </c>
      <c r="DX290" s="935">
        <f t="shared" ca="1" si="539"/>
        <v>1</v>
      </c>
      <c r="DY290" s="934">
        <f t="shared" ca="1" si="539"/>
        <v>0.99999999999999989</v>
      </c>
    </row>
    <row r="291" spans="1:129" ht="12" thickBot="1" x14ac:dyDescent="0.25">
      <c r="A291" s="526"/>
      <c r="B291" s="757"/>
      <c r="C291" s="758"/>
      <c r="D291" s="758"/>
      <c r="E291" s="758"/>
      <c r="F291" s="758"/>
      <c r="G291" s="758"/>
      <c r="H291" s="758"/>
      <c r="I291" s="759"/>
      <c r="J291" s="758"/>
      <c r="K291" s="758"/>
      <c r="L291" s="758"/>
      <c r="M291" s="758"/>
      <c r="N291" s="759"/>
      <c r="O291" s="758"/>
      <c r="P291" s="758"/>
      <c r="Q291" s="758"/>
      <c r="R291" s="758"/>
      <c r="S291" s="759"/>
      <c r="T291" s="758"/>
      <c r="U291" s="758"/>
      <c r="V291" s="758"/>
      <c r="W291" s="758"/>
      <c r="X291" s="759"/>
      <c r="Y291" s="758"/>
      <c r="Z291" s="758"/>
      <c r="AA291" s="758"/>
      <c r="AB291" s="758"/>
      <c r="AC291" s="759"/>
      <c r="AD291" s="758"/>
      <c r="AE291" s="758"/>
      <c r="AF291" s="758"/>
      <c r="AG291" s="758"/>
      <c r="AH291" s="759"/>
      <c r="AI291" s="758"/>
      <c r="AJ291" s="758"/>
      <c r="AK291" s="758"/>
      <c r="AL291" s="758"/>
      <c r="AM291" s="759"/>
      <c r="AN291" s="758"/>
      <c r="AO291" s="758"/>
      <c r="AP291" s="758"/>
      <c r="AQ291" s="758"/>
      <c r="AR291" s="759"/>
      <c r="AS291" s="758"/>
      <c r="AT291" s="758"/>
      <c r="AU291" s="758"/>
      <c r="AV291" s="758"/>
      <c r="AW291" s="759"/>
      <c r="AX291" s="758"/>
      <c r="AY291" s="758"/>
      <c r="AZ291" s="758"/>
      <c r="BA291" s="758"/>
      <c r="BB291" s="759"/>
      <c r="BC291" s="758"/>
      <c r="BD291" s="758"/>
      <c r="BE291" s="758"/>
      <c r="BF291" s="758"/>
      <c r="BG291" s="759"/>
      <c r="BH291" s="758"/>
      <c r="BI291" s="758"/>
      <c r="BJ291" s="758"/>
      <c r="BK291" s="758"/>
      <c r="BL291" s="763"/>
      <c r="BM291" s="758"/>
      <c r="BN291" s="758"/>
      <c r="BO291" s="758"/>
      <c r="BP291" s="758"/>
      <c r="BQ291" s="763"/>
      <c r="BR291" s="758"/>
      <c r="BS291" s="758"/>
      <c r="BT291" s="758"/>
      <c r="BU291" s="758"/>
      <c r="BV291" s="763"/>
      <c r="BW291" s="760"/>
      <c r="BX291" s="760"/>
      <c r="BY291" s="760"/>
      <c r="BZ291" s="760"/>
      <c r="CA291" s="763"/>
      <c r="CB291" s="760"/>
      <c r="CC291" s="760"/>
      <c r="CD291" s="760"/>
      <c r="CE291" s="760"/>
      <c r="CF291" s="763"/>
      <c r="CG291" s="907"/>
      <c r="CH291" s="907"/>
      <c r="CI291" s="907"/>
      <c r="CJ291" s="907"/>
      <c r="CK291" s="763"/>
      <c r="CL291" s="907"/>
      <c r="CM291" s="907"/>
      <c r="CN291" s="907"/>
      <c r="CO291" s="907"/>
      <c r="CP291" s="763"/>
      <c r="CQ291" s="907"/>
      <c r="CR291" s="907"/>
      <c r="CS291" s="907"/>
      <c r="CT291" s="907"/>
      <c r="CU291" s="763"/>
      <c r="CV291" s="907"/>
      <c r="CW291" s="907"/>
      <c r="CX291" s="907"/>
      <c r="CY291" s="907"/>
      <c r="CZ291" s="763"/>
      <c r="DA291" s="907"/>
      <c r="DB291" s="907"/>
      <c r="DC291" s="907"/>
      <c r="DD291" s="907"/>
      <c r="DE291" s="763"/>
      <c r="DF291" s="907"/>
      <c r="DG291" s="907"/>
      <c r="DH291" s="907"/>
      <c r="DI291" s="2828"/>
      <c r="DJ291" s="763"/>
      <c r="DK291" s="907"/>
      <c r="DL291" s="907"/>
      <c r="DM291" s="907"/>
      <c r="DN291" s="907"/>
      <c r="DO291" s="763"/>
      <c r="DP291" s="907"/>
      <c r="DQ291" s="907"/>
      <c r="DR291" s="907"/>
      <c r="DS291" s="907"/>
      <c r="DT291" s="763"/>
      <c r="DU291" s="907"/>
      <c r="DV291" s="907"/>
      <c r="DW291" s="907"/>
      <c r="DX291" s="907"/>
      <c r="DY291" s="763"/>
    </row>
    <row r="292" spans="1:129" ht="12" thickBot="1" x14ac:dyDescent="0.25">
      <c r="A292" s="682"/>
      <c r="B292" s="682"/>
      <c r="C292" s="682"/>
      <c r="D292" s="682"/>
      <c r="E292" s="682"/>
      <c r="F292" s="682"/>
      <c r="G292" s="682"/>
      <c r="H292" s="682"/>
      <c r="I292" s="682"/>
      <c r="J292" s="682"/>
      <c r="K292" s="682"/>
      <c r="L292" s="682"/>
      <c r="M292" s="682"/>
      <c r="N292" s="682"/>
      <c r="O292" s="682"/>
      <c r="P292" s="682"/>
      <c r="Q292" s="682"/>
      <c r="R292" s="682"/>
      <c r="S292" s="682"/>
      <c r="T292" s="682"/>
      <c r="U292" s="682"/>
      <c r="V292" s="682"/>
      <c r="W292" s="682"/>
      <c r="X292" s="682"/>
      <c r="Y292" s="682"/>
      <c r="Z292" s="682"/>
      <c r="AA292" s="682"/>
      <c r="AB292" s="682"/>
      <c r="AC292" s="682"/>
      <c r="AD292" s="682"/>
      <c r="AE292" s="682"/>
      <c r="AF292" s="682"/>
      <c r="AG292" s="682"/>
      <c r="AH292" s="682"/>
      <c r="AI292" s="682"/>
      <c r="AJ292" s="682"/>
      <c r="AK292" s="682"/>
      <c r="AL292" s="682"/>
      <c r="AM292" s="682"/>
      <c r="AN292" s="682"/>
      <c r="AO292" s="682"/>
      <c r="AP292" s="682"/>
      <c r="AQ292" s="682"/>
      <c r="AR292" s="682"/>
      <c r="AS292" s="682"/>
      <c r="AT292" s="682"/>
      <c r="AU292" s="682"/>
      <c r="AV292" s="682"/>
      <c r="AW292" s="682"/>
      <c r="AX292" s="682"/>
      <c r="AY292" s="682"/>
      <c r="AZ292" s="682"/>
      <c r="BA292" s="682"/>
      <c r="BB292" s="682"/>
      <c r="BC292" s="682"/>
      <c r="BD292" s="682"/>
      <c r="BE292" s="682"/>
      <c r="BF292" s="682"/>
      <c r="BG292" s="682"/>
      <c r="BH292" s="682"/>
      <c r="BI292" s="682"/>
      <c r="BJ292" s="682"/>
      <c r="BK292" s="682"/>
      <c r="BL292" s="682"/>
      <c r="BM292" s="682"/>
      <c r="BN292" s="682"/>
      <c r="BO292" s="682"/>
      <c r="BP292" s="682"/>
      <c r="BQ292" s="682"/>
      <c r="BR292" s="682"/>
      <c r="BS292" s="682"/>
      <c r="BT292" s="682"/>
      <c r="BU292" s="682"/>
      <c r="BV292" s="682"/>
      <c r="BW292" s="682"/>
      <c r="BX292" s="682"/>
      <c r="BY292" s="682"/>
      <c r="BZ292" s="682"/>
      <c r="CA292" s="682"/>
      <c r="CB292" s="682"/>
      <c r="CC292" s="682"/>
      <c r="CD292" s="682"/>
      <c r="CE292" s="682"/>
      <c r="CF292" s="682"/>
      <c r="CG292" s="682"/>
      <c r="CH292" s="682"/>
      <c r="CI292" s="682"/>
      <c r="CJ292" s="682"/>
      <c r="CK292" s="682"/>
      <c r="CL292" s="682"/>
      <c r="CM292" s="682"/>
      <c r="CN292" s="682"/>
      <c r="CO292" s="682"/>
      <c r="CP292" s="682"/>
      <c r="CQ292" s="682"/>
      <c r="CR292" s="682"/>
      <c r="CS292" s="682"/>
      <c r="CT292" s="682"/>
      <c r="CU292" s="682"/>
      <c r="CV292" s="682"/>
      <c r="CW292" s="682"/>
      <c r="CX292" s="682"/>
      <c r="CY292" s="682"/>
      <c r="CZ292" s="682"/>
      <c r="DA292" s="682"/>
      <c r="DB292" s="682"/>
      <c r="DC292" s="682"/>
      <c r="DD292" s="682"/>
      <c r="DE292" s="682"/>
      <c r="DF292" s="682"/>
      <c r="DG292" s="682"/>
      <c r="DH292" s="682"/>
      <c r="DI292" s="1610"/>
      <c r="DJ292" s="682"/>
      <c r="DK292" s="682"/>
      <c r="DL292" s="682"/>
      <c r="DM292" s="682"/>
      <c r="DN292" s="682"/>
      <c r="DO292" s="682"/>
      <c r="DP292" s="682"/>
      <c r="DQ292" s="682"/>
      <c r="DR292" s="682"/>
      <c r="DS292" s="682"/>
      <c r="DT292" s="682"/>
      <c r="DU292" s="682"/>
      <c r="DV292" s="682"/>
      <c r="DW292" s="682"/>
      <c r="DX292" s="682"/>
      <c r="DY292" s="682"/>
    </row>
    <row r="293" spans="1:129" ht="12" thickBot="1" x14ac:dyDescent="0.25">
      <c r="A293" s="526"/>
      <c r="B293" s="685" t="s">
        <v>809</v>
      </c>
      <c r="C293" s="686"/>
      <c r="D293" s="686"/>
      <c r="E293" s="686"/>
      <c r="F293" s="686"/>
      <c r="G293" s="686"/>
      <c r="H293" s="686"/>
      <c r="I293" s="687"/>
      <c r="J293" s="686"/>
      <c r="K293" s="686"/>
      <c r="L293" s="686"/>
      <c r="M293" s="686"/>
      <c r="N293" s="687"/>
      <c r="O293" s="686"/>
      <c r="P293" s="686"/>
      <c r="Q293" s="686"/>
      <c r="R293" s="686"/>
      <c r="S293" s="687"/>
      <c r="T293" s="686"/>
      <c r="U293" s="686"/>
      <c r="V293" s="686"/>
      <c r="W293" s="686"/>
      <c r="X293" s="687"/>
      <c r="Y293" s="686"/>
      <c r="Z293" s="686"/>
      <c r="AA293" s="686"/>
      <c r="AB293" s="686"/>
      <c r="AC293" s="687"/>
      <c r="AD293" s="686"/>
      <c r="AE293" s="686"/>
      <c r="AF293" s="686"/>
      <c r="AG293" s="686"/>
      <c r="AH293" s="687"/>
      <c r="AI293" s="686"/>
      <c r="AJ293" s="686"/>
      <c r="AK293" s="686"/>
      <c r="AL293" s="686"/>
      <c r="AM293" s="687"/>
      <c r="AN293" s="686"/>
      <c r="AO293" s="686"/>
      <c r="AP293" s="686"/>
      <c r="AQ293" s="686"/>
      <c r="AR293" s="687"/>
      <c r="AS293" s="686"/>
      <c r="AT293" s="686"/>
      <c r="AU293" s="686"/>
      <c r="AV293" s="686"/>
      <c r="AW293" s="687"/>
      <c r="AX293" s="686"/>
      <c r="AY293" s="686"/>
      <c r="AZ293" s="686"/>
      <c r="BA293" s="686"/>
      <c r="BB293" s="687"/>
      <c r="BC293" s="686"/>
      <c r="BD293" s="686"/>
      <c r="BE293" s="686"/>
      <c r="BF293" s="686"/>
      <c r="BG293" s="687"/>
      <c r="BH293" s="686"/>
      <c r="BI293" s="686"/>
      <c r="BJ293" s="686"/>
      <c r="BK293" s="686"/>
      <c r="BL293" s="687"/>
      <c r="BM293" s="686"/>
      <c r="BN293" s="686"/>
      <c r="BO293" s="686"/>
      <c r="BP293" s="686"/>
      <c r="BQ293" s="687"/>
      <c r="BR293" s="686"/>
      <c r="BS293" s="686"/>
      <c r="BT293" s="686"/>
      <c r="BU293" s="686"/>
      <c r="BV293" s="687"/>
      <c r="BW293" s="686"/>
      <c r="BX293" s="686"/>
      <c r="BY293" s="686"/>
      <c r="BZ293" s="686"/>
      <c r="CA293" s="687"/>
      <c r="CB293" s="686"/>
      <c r="CC293" s="686"/>
      <c r="CD293" s="686"/>
      <c r="CE293" s="686"/>
      <c r="CF293" s="687"/>
      <c r="CG293" s="686"/>
      <c r="CH293" s="686"/>
      <c r="CI293" s="686"/>
      <c r="CJ293" s="686"/>
      <c r="CK293" s="687"/>
      <c r="CL293" s="686"/>
      <c r="CM293" s="686"/>
      <c r="CN293" s="686"/>
      <c r="CO293" s="686"/>
      <c r="CP293" s="687"/>
      <c r="CQ293" s="686"/>
      <c r="CR293" s="686"/>
      <c r="CS293" s="686"/>
      <c r="CT293" s="686"/>
      <c r="CU293" s="687"/>
      <c r="CV293" s="686"/>
      <c r="CW293" s="686"/>
      <c r="CX293" s="686"/>
      <c r="CY293" s="686"/>
      <c r="CZ293" s="687"/>
      <c r="DA293" s="686"/>
      <c r="DB293" s="686"/>
      <c r="DC293" s="686"/>
      <c r="DD293" s="686"/>
      <c r="DE293" s="687"/>
      <c r="DF293" s="686"/>
      <c r="DG293" s="686"/>
      <c r="DH293" s="686"/>
      <c r="DI293" s="2803"/>
      <c r="DJ293" s="687"/>
      <c r="DK293" s="686"/>
      <c r="DL293" s="686"/>
      <c r="DM293" s="686"/>
      <c r="DN293" s="686"/>
      <c r="DO293" s="687"/>
      <c r="DP293" s="686"/>
      <c r="DQ293" s="686"/>
      <c r="DR293" s="686"/>
      <c r="DS293" s="686"/>
      <c r="DT293" s="687"/>
      <c r="DU293" s="686"/>
      <c r="DV293" s="686"/>
      <c r="DW293" s="686"/>
      <c r="DX293" s="686"/>
      <c r="DY293" s="687"/>
    </row>
    <row r="294" spans="1:129" ht="5.25" customHeight="1" x14ac:dyDescent="0.2">
      <c r="A294" s="526"/>
      <c r="B294" s="690"/>
      <c r="C294" s="691"/>
      <c r="D294" s="599"/>
      <c r="E294" s="599"/>
      <c r="F294" s="599"/>
      <c r="G294" s="599"/>
      <c r="H294" s="599"/>
      <c r="I294" s="598"/>
      <c r="J294" s="599"/>
      <c r="K294" s="599"/>
      <c r="L294" s="599"/>
      <c r="M294" s="599"/>
      <c r="N294" s="598"/>
      <c r="O294" s="599"/>
      <c r="P294" s="599"/>
      <c r="Q294" s="599"/>
      <c r="R294" s="599"/>
      <c r="S294" s="598"/>
      <c r="T294" s="599"/>
      <c r="U294" s="599"/>
      <c r="V294" s="599"/>
      <c r="W294" s="599"/>
      <c r="X294" s="598"/>
      <c r="Y294" s="599"/>
      <c r="Z294" s="599"/>
      <c r="AA294" s="599"/>
      <c r="AB294" s="599"/>
      <c r="AC294" s="598"/>
      <c r="AD294" s="599"/>
      <c r="AE294" s="599"/>
      <c r="AF294" s="599"/>
      <c r="AG294" s="599"/>
      <c r="AH294" s="598"/>
      <c r="AI294" s="599"/>
      <c r="AJ294" s="599"/>
      <c r="AK294" s="599"/>
      <c r="AL294" s="599"/>
      <c r="AM294" s="598"/>
      <c r="AN294" s="599"/>
      <c r="AO294" s="599"/>
      <c r="AP294" s="599"/>
      <c r="AQ294" s="599"/>
      <c r="AR294" s="598"/>
      <c r="AS294" s="599"/>
      <c r="AT294" s="599"/>
      <c r="AU294" s="599"/>
      <c r="AV294" s="599"/>
      <c r="AW294" s="598"/>
      <c r="AX294" s="599"/>
      <c r="AY294" s="599"/>
      <c r="AZ294" s="599"/>
      <c r="BA294" s="599"/>
      <c r="BB294" s="598"/>
      <c r="BC294" s="599"/>
      <c r="BD294" s="599"/>
      <c r="BE294" s="599"/>
      <c r="BF294" s="599"/>
      <c r="BG294" s="598"/>
      <c r="BH294" s="599"/>
      <c r="BI294" s="599"/>
      <c r="BJ294" s="599"/>
      <c r="BK294" s="599"/>
      <c r="BL294" s="598"/>
      <c r="BM294" s="599"/>
      <c r="BN294" s="599"/>
      <c r="BO294" s="599"/>
      <c r="BP294" s="599"/>
      <c r="BQ294" s="598"/>
      <c r="BR294" s="599"/>
      <c r="BS294" s="599"/>
      <c r="BT294" s="599"/>
      <c r="BU294" s="599"/>
      <c r="BV294" s="598"/>
      <c r="BW294" s="599"/>
      <c r="BX294" s="599"/>
      <c r="BY294" s="599"/>
      <c r="BZ294" s="599"/>
      <c r="CA294" s="598"/>
      <c r="CB294" s="599"/>
      <c r="CC294" s="599"/>
      <c r="CD294" s="599"/>
      <c r="CE294" s="599"/>
      <c r="CF294" s="598"/>
      <c r="CG294" s="526"/>
      <c r="CH294" s="526"/>
      <c r="CI294" s="526"/>
      <c r="CJ294" s="526"/>
      <c r="CK294" s="598"/>
      <c r="CL294" s="526"/>
      <c r="CM294" s="526"/>
      <c r="CN294" s="526"/>
      <c r="CO294" s="526"/>
      <c r="CP294" s="598"/>
      <c r="CQ294" s="526"/>
      <c r="CR294" s="526"/>
      <c r="CS294" s="526"/>
      <c r="CT294" s="526"/>
      <c r="CU294" s="598"/>
      <c r="CV294" s="526"/>
      <c r="CW294" s="526"/>
      <c r="CX294" s="526"/>
      <c r="CY294" s="526"/>
      <c r="CZ294" s="598"/>
      <c r="DA294" s="526"/>
      <c r="DB294" s="526"/>
      <c r="DC294" s="526"/>
      <c r="DD294" s="526"/>
      <c r="DE294" s="598"/>
      <c r="DF294" s="526"/>
      <c r="DG294" s="526"/>
      <c r="DH294" s="526"/>
      <c r="DI294" s="1609"/>
      <c r="DJ294" s="598"/>
      <c r="DK294" s="526"/>
      <c r="DL294" s="526"/>
      <c r="DM294" s="526"/>
      <c r="DN294" s="526"/>
      <c r="DO294" s="598"/>
      <c r="DP294" s="526"/>
      <c r="DQ294" s="526"/>
      <c r="DR294" s="526"/>
      <c r="DS294" s="526"/>
      <c r="DT294" s="598"/>
      <c r="DU294" s="526"/>
      <c r="DV294" s="526"/>
      <c r="DW294" s="526"/>
      <c r="DX294" s="526"/>
      <c r="DY294" s="598"/>
    </row>
    <row r="295" spans="1:129" x14ac:dyDescent="0.2">
      <c r="A295" s="769"/>
      <c r="B295" s="756" t="s">
        <v>810</v>
      </c>
      <c r="C295" s="771"/>
      <c r="D295" s="771"/>
      <c r="E295" s="771"/>
      <c r="F295" s="771"/>
      <c r="G295" s="771"/>
      <c r="H295" s="771"/>
      <c r="I295" s="772"/>
      <c r="J295" s="771"/>
      <c r="K295" s="771"/>
      <c r="L295" s="771"/>
      <c r="M295" s="771"/>
      <c r="N295" s="772"/>
      <c r="O295" s="771"/>
      <c r="P295" s="771"/>
      <c r="Q295" s="771"/>
      <c r="R295" s="771"/>
      <c r="S295" s="772"/>
      <c r="T295" s="771"/>
      <c r="U295" s="771"/>
      <c r="V295" s="771"/>
      <c r="W295" s="771"/>
      <c r="X295" s="772"/>
      <c r="Y295" s="771"/>
      <c r="Z295" s="771"/>
      <c r="AA295" s="771"/>
      <c r="AB295" s="771"/>
      <c r="AC295" s="772"/>
      <c r="AD295" s="771"/>
      <c r="AE295" s="771"/>
      <c r="AF295" s="771"/>
      <c r="AG295" s="771"/>
      <c r="AH295" s="772"/>
      <c r="AI295" s="771"/>
      <c r="AJ295" s="771"/>
      <c r="AK295" s="771"/>
      <c r="AL295" s="771"/>
      <c r="AM295" s="772"/>
      <c r="AN295" s="771"/>
      <c r="AO295" s="771"/>
      <c r="AP295" s="771"/>
      <c r="AQ295" s="771"/>
      <c r="AR295" s="772"/>
      <c r="AS295" s="771"/>
      <c r="AT295" s="771"/>
      <c r="AU295" s="771"/>
      <c r="AV295" s="771"/>
      <c r="AW295" s="772"/>
      <c r="AX295" s="771"/>
      <c r="AY295" s="771"/>
      <c r="AZ295" s="771"/>
      <c r="BA295" s="771"/>
      <c r="BB295" s="772"/>
      <c r="BC295" s="771"/>
      <c r="BD295" s="771"/>
      <c r="BE295" s="773">
        <f>BE19/BE98</f>
        <v>0</v>
      </c>
      <c r="BF295" s="773">
        <f>BF19/BF98</f>
        <v>0</v>
      </c>
      <c r="BG295" s="772"/>
      <c r="BH295" s="773">
        <f t="shared" ref="BH295:CZ295" si="540">BH19/BH98</f>
        <v>1.30703166935051</v>
      </c>
      <c r="BI295" s="773">
        <f t="shared" si="540"/>
        <v>4.6663061114115738</v>
      </c>
      <c r="BJ295" s="773">
        <f t="shared" si="540"/>
        <v>5.11652078774617</v>
      </c>
      <c r="BK295" s="773">
        <f t="shared" si="540"/>
        <v>5.3158174097664546</v>
      </c>
      <c r="BL295" s="774">
        <f t="shared" si="540"/>
        <v>4.0370420258620694</v>
      </c>
      <c r="BM295" s="773">
        <f t="shared" si="540"/>
        <v>4.2802824551873986</v>
      </c>
      <c r="BN295" s="773">
        <f t="shared" si="540"/>
        <v>4.7725996631106122</v>
      </c>
      <c r="BO295" s="773">
        <f t="shared" si="540"/>
        <v>5.0918425556189391</v>
      </c>
      <c r="BP295" s="773">
        <f t="shared" si="540"/>
        <v>4.9833627315414271</v>
      </c>
      <c r="BQ295" s="774">
        <f t="shared" si="540"/>
        <v>4.7840023930117583</v>
      </c>
      <c r="BR295" s="773">
        <f t="shared" si="540"/>
        <v>4.1557710940023131</v>
      </c>
      <c r="BS295" s="773">
        <f t="shared" si="540"/>
        <v>4.828473057618119</v>
      </c>
      <c r="BT295" s="773">
        <f t="shared" si="540"/>
        <v>5.3591476091476089</v>
      </c>
      <c r="BU295" s="773">
        <f t="shared" si="540"/>
        <v>5.4238143289606464</v>
      </c>
      <c r="BV295" s="774">
        <f t="shared" si="540"/>
        <v>4.945772023264511</v>
      </c>
      <c r="BW295" s="773">
        <f t="shared" si="540"/>
        <v>4.4564117906854159</v>
      </c>
      <c r="BX295" s="773">
        <f t="shared" si="540"/>
        <v>4.7446774081693981</v>
      </c>
      <c r="BY295" s="773">
        <f t="shared" si="540"/>
        <v>5.0723470819626879</v>
      </c>
      <c r="BZ295" s="773">
        <f t="shared" si="540"/>
        <v>4.8551427876238611</v>
      </c>
      <c r="CA295" s="774">
        <f t="shared" si="540"/>
        <v>4.7819594767084483</v>
      </c>
      <c r="CB295" s="773">
        <f t="shared" si="540"/>
        <v>3.0768489984591683</v>
      </c>
      <c r="CC295" s="773">
        <f t="shared" si="540"/>
        <v>3.24</v>
      </c>
      <c r="CD295" s="775">
        <f t="shared" si="540"/>
        <v>3.9881315996160227</v>
      </c>
      <c r="CE295" s="775">
        <f t="shared" si="540"/>
        <v>4.164377045281193</v>
      </c>
      <c r="CF295" s="772">
        <f t="shared" si="540"/>
        <v>3.6407740191716149</v>
      </c>
      <c r="CG295" s="775">
        <f t="shared" si="540"/>
        <v>2.3968871595330739</v>
      </c>
      <c r="CH295" s="775">
        <f t="shared" si="540"/>
        <v>3.0281308800785376</v>
      </c>
      <c r="CI295" s="775">
        <f t="shared" si="540"/>
        <v>4.2314017227877843</v>
      </c>
      <c r="CJ295" s="775">
        <f t="shared" si="540"/>
        <v>5.0530303030303028</v>
      </c>
      <c r="CK295" s="772">
        <f t="shared" si="540"/>
        <v>3.6860185869035997</v>
      </c>
      <c r="CL295" s="775">
        <f t="shared" si="540"/>
        <v>2.8872180451127818</v>
      </c>
      <c r="CM295" s="775">
        <f t="shared" si="540"/>
        <v>3.6317376554843572</v>
      </c>
      <c r="CN295" s="775">
        <f t="shared" si="540"/>
        <v>4.9590038314176246</v>
      </c>
      <c r="CO295" s="775">
        <f>CO19/CO98</f>
        <v>4.5703508110147109</v>
      </c>
      <c r="CP295" s="772">
        <f t="shared" si="540"/>
        <v>4.0073765840741435</v>
      </c>
      <c r="CQ295" s="775">
        <f t="shared" si="540"/>
        <v>3.5418719211822665</v>
      </c>
      <c r="CR295" s="775">
        <f t="shared" si="540"/>
        <v>4.4556301267710667</v>
      </c>
      <c r="CS295" s="775">
        <f t="shared" si="540"/>
        <v>5.2382374906646749</v>
      </c>
      <c r="CT295" s="775">
        <f t="shared" si="540"/>
        <v>4.3985790408525753</v>
      </c>
      <c r="CU295" s="772">
        <f t="shared" si="540"/>
        <v>4.4115960791566495</v>
      </c>
      <c r="CV295" s="775">
        <f t="shared" si="540"/>
        <v>3.1527350952673636</v>
      </c>
      <c r="CW295" s="775">
        <f t="shared" si="540"/>
        <v>3.7837755413235747</v>
      </c>
      <c r="CX295" s="775">
        <f t="shared" si="540"/>
        <v>4.4328400954408238</v>
      </c>
      <c r="CY295" s="775">
        <f>CY19/CY98</f>
        <v>4.3719610572516903</v>
      </c>
      <c r="CZ295" s="772">
        <f t="shared" si="540"/>
        <v>3.9424550825539324</v>
      </c>
      <c r="DA295" s="775">
        <f t="shared" ref="DA295:DJ295" si="541">DA19/DA98</f>
        <v>2.7414779795969149</v>
      </c>
      <c r="DB295" s="775">
        <f>DB19/DB98</f>
        <v>3.3913690476190479</v>
      </c>
      <c r="DC295" s="775">
        <f>DC19/DC98</f>
        <v>4.3961340836799607</v>
      </c>
      <c r="DD295" s="775">
        <f>DD19/DD98</f>
        <v>3.8432063939821348</v>
      </c>
      <c r="DE295" s="772">
        <f t="shared" si="541"/>
        <v>3.5998047828208883</v>
      </c>
      <c r="DF295" s="775">
        <f t="shared" si="541"/>
        <v>2.4889897843359821</v>
      </c>
      <c r="DG295" s="775">
        <f t="shared" si="541"/>
        <v>3.3265398550724634</v>
      </c>
      <c r="DH295" s="775">
        <f t="shared" ref="DH295:DI295" si="542">DH19/DH98</f>
        <v>3.7294647899795961</v>
      </c>
      <c r="DI295" s="2829">
        <f t="shared" si="542"/>
        <v>3.9882423310449191</v>
      </c>
      <c r="DJ295" s="772">
        <f t="shared" si="541"/>
        <v>3.389555737067552</v>
      </c>
      <c r="DK295" s="775">
        <f t="shared" ref="DK295:DT295" ca="1" si="543">DK19/DK98</f>
        <v>2.4747368246392494</v>
      </c>
      <c r="DL295" s="775">
        <f t="shared" ca="1" si="543"/>
        <v>3.2357168192553911</v>
      </c>
      <c r="DM295" s="775">
        <f t="shared" ca="1" si="543"/>
        <v>3.7691286041803385</v>
      </c>
      <c r="DN295" s="775">
        <f t="shared" ca="1" si="543"/>
        <v>3.6362351523004457</v>
      </c>
      <c r="DO295" s="772">
        <f t="shared" ca="1" si="543"/>
        <v>3.2845536620106364</v>
      </c>
      <c r="DP295" s="775">
        <f t="shared" ca="1" si="543"/>
        <v>2.5563467031911151</v>
      </c>
      <c r="DQ295" s="775">
        <f t="shared" ca="1" si="543"/>
        <v>3.279513092045339</v>
      </c>
      <c r="DR295" s="775">
        <f t="shared" ca="1" si="543"/>
        <v>3.83735303482249</v>
      </c>
      <c r="DS295" s="775">
        <f t="shared" ca="1" si="543"/>
        <v>3.6996286651068044</v>
      </c>
      <c r="DT295" s="772">
        <f t="shared" ca="1" si="543"/>
        <v>3.3487449687172188</v>
      </c>
      <c r="DU295" s="775">
        <f t="shared" ref="DU295:DY295" ca="1" si="544">DU19/DU98</f>
        <v>2.6033040477619958</v>
      </c>
      <c r="DV295" s="775">
        <f t="shared" ca="1" si="544"/>
        <v>3.3619240398655084</v>
      </c>
      <c r="DW295" s="775">
        <f t="shared" ca="1" si="544"/>
        <v>3.9447742652208313</v>
      </c>
      <c r="DX295" s="775">
        <f t="shared" ca="1" si="544"/>
        <v>3.7997424669742084</v>
      </c>
      <c r="DY295" s="772">
        <f t="shared" ca="1" si="544"/>
        <v>3.4332166890930327</v>
      </c>
    </row>
    <row r="296" spans="1:129" x14ac:dyDescent="0.2">
      <c r="A296" s="472"/>
      <c r="B296" s="938" t="str">
        <f>B257</f>
        <v>SG&amp;A ex. D&amp;A / Adjusted Claim</v>
      </c>
      <c r="C296" s="816"/>
      <c r="D296" s="816"/>
      <c r="E296" s="816"/>
      <c r="F296" s="816"/>
      <c r="G296" s="816"/>
      <c r="H296" s="816"/>
      <c r="I296" s="939"/>
      <c r="J296" s="816"/>
      <c r="K296" s="816"/>
      <c r="L296" s="816"/>
      <c r="M296" s="816"/>
      <c r="N296" s="939"/>
      <c r="O296" s="816"/>
      <c r="P296" s="816"/>
      <c r="Q296" s="816"/>
      <c r="R296" s="816"/>
      <c r="S296" s="939"/>
      <c r="T296" s="816"/>
      <c r="U296" s="816"/>
      <c r="V296" s="816"/>
      <c r="W296" s="816"/>
      <c r="X296" s="939"/>
      <c r="Y296" s="816"/>
      <c r="Z296" s="816"/>
      <c r="AA296" s="816"/>
      <c r="AB296" s="816"/>
      <c r="AC296" s="939"/>
      <c r="AD296" s="816"/>
      <c r="AE296" s="816"/>
      <c r="AF296" s="816"/>
      <c r="AG296" s="816"/>
      <c r="AH296" s="939"/>
      <c r="AI296" s="816"/>
      <c r="AJ296" s="816"/>
      <c r="AK296" s="816"/>
      <c r="AL296" s="816"/>
      <c r="AM296" s="939"/>
      <c r="AN296" s="816"/>
      <c r="AO296" s="816"/>
      <c r="AP296" s="816"/>
      <c r="AQ296" s="816"/>
      <c r="AR296" s="939"/>
      <c r="AS296" s="816"/>
      <c r="AT296" s="816"/>
      <c r="AU296" s="816"/>
      <c r="AV296" s="816"/>
      <c r="AW296" s="939"/>
      <c r="AX296" s="816"/>
      <c r="AY296" s="816"/>
      <c r="AZ296" s="816"/>
      <c r="BA296" s="816"/>
      <c r="BB296" s="939"/>
      <c r="BC296" s="816"/>
      <c r="BD296" s="816"/>
      <c r="BE296" s="816"/>
      <c r="BF296" s="816"/>
      <c r="BG296" s="939"/>
      <c r="BH296" s="816"/>
      <c r="BI296" s="816"/>
      <c r="BJ296" s="816"/>
      <c r="BK296" s="816"/>
      <c r="BL296" s="774">
        <f>BL295-BL297</f>
        <v>0.8160021551724137</v>
      </c>
      <c r="BM296" s="818">
        <f>BM295/BH295-1</f>
        <v>2.2748115868641166</v>
      </c>
      <c r="BN296" s="818">
        <f>BN295/BI295-1</f>
        <v>2.2778949593361464E-2</v>
      </c>
      <c r="BO296" s="818">
        <f>BO295/BJ295-1</f>
        <v>-4.8232447694406266E-3</v>
      </c>
      <c r="BP296" s="818">
        <f>BP295/BK295-1</f>
        <v>-6.2540650401992193E-2</v>
      </c>
      <c r="BQ296" s="774">
        <f>BQ295-BQ297</f>
        <v>0.59016844054052964</v>
      </c>
      <c r="BR296" s="818">
        <f>BR295/BM295-1</f>
        <v>-2.9089519789561202E-2</v>
      </c>
      <c r="BS296" s="818">
        <f>BS295/BN295-1</f>
        <v>1.1707119484455131E-2</v>
      </c>
      <c r="BT296" s="818">
        <f>BT295/BO295-1</f>
        <v>5.2496724046130261E-2</v>
      </c>
      <c r="BU296" s="818">
        <f>BU295/BP295-1</f>
        <v>8.8384414530262578E-2</v>
      </c>
      <c r="BV296" s="774">
        <f>BV295-BV297</f>
        <v>0.76344737758405046</v>
      </c>
      <c r="BW296" s="818">
        <f>BW295/BR295-1</f>
        <v>7.2342939464830724E-2</v>
      </c>
      <c r="BX296" s="818">
        <f>BX295/BS295-1</f>
        <v>-1.7354482141411665E-2</v>
      </c>
      <c r="BY296" s="818">
        <f>BY295/BT295-1</f>
        <v>-5.3516071603509685E-2</v>
      </c>
      <c r="BZ296" s="818">
        <f>BZ295/BU295-1</f>
        <v>-0.10484716231902402</v>
      </c>
      <c r="CA296" s="774">
        <f>CA295-CA297</f>
        <v>0.81862354298557971</v>
      </c>
      <c r="CB296" s="818">
        <f>CB295/BW295-1</f>
        <v>-0.30956806889115263</v>
      </c>
      <c r="CC296" s="818">
        <f>CC295/BX295-1</f>
        <v>-0.31712954933008519</v>
      </c>
      <c r="CD296" s="819">
        <f>CD295/BY295-1</f>
        <v>-0.21375025502536005</v>
      </c>
      <c r="CE296" s="819">
        <f>CE295/BZ295-1</f>
        <v>-0.14227506225017394</v>
      </c>
      <c r="CF296" s="772">
        <f>CF295-CF297</f>
        <v>0.69690873719518498</v>
      </c>
      <c r="CG296" s="819">
        <f>CG295/CB295-1</f>
        <v>-0.22099291816615219</v>
      </c>
      <c r="CH296" s="819">
        <f>CH295/CC295-1</f>
        <v>-6.5391703679463786E-2</v>
      </c>
      <c r="CI296" s="819">
        <f>CI295/CD295-1</f>
        <v>6.0998519506022308E-2</v>
      </c>
      <c r="CJ296" s="819">
        <f>CJ295/CE295-1</f>
        <v>0.21339404383569804</v>
      </c>
      <c r="CK296" s="772">
        <f>CK295-CK297</f>
        <v>0.59152467396449282</v>
      </c>
      <c r="CL296" s="819">
        <f>CL295/CG295-1</f>
        <v>0.20456986622400164</v>
      </c>
      <c r="CM296" s="819">
        <f>CM295/CH295-1</f>
        <v>0.19933311977260515</v>
      </c>
      <c r="CN296" s="819">
        <f>CN295/CI295-1</f>
        <v>0.17195297357644224</v>
      </c>
      <c r="CO296" s="819">
        <f>CO295/CJ295-1</f>
        <v>-9.5522778030072142E-2</v>
      </c>
      <c r="CP296" s="772">
        <f ca="1">CP295-CP297</f>
        <v>0.56139127106453612</v>
      </c>
      <c r="CQ296" s="819">
        <f>CQ295/CL295-1</f>
        <v>0.22674209770114961</v>
      </c>
      <c r="CR296" s="819">
        <f>CR295/CM295-1</f>
        <v>0.22685902712232897</v>
      </c>
      <c r="CS296" s="819">
        <f>CS295/CN295-1</f>
        <v>5.6308417726554927E-2</v>
      </c>
      <c r="CT296" s="819">
        <f>CT295/CO295-1</f>
        <v>-3.7583935515006717E-2</v>
      </c>
      <c r="CU296" s="772">
        <f>CU295-CU297</f>
        <v>0.57971148511189208</v>
      </c>
      <c r="CV296" s="819">
        <f>CV295/CQ295-1</f>
        <v>-0.10986756002882514</v>
      </c>
      <c r="CW296" s="819">
        <f>CW295/CR295-1</f>
        <v>-0.15078778227365464</v>
      </c>
      <c r="CX296" s="819">
        <f>CX295/CS295-1</f>
        <v>-0.15375350901122564</v>
      </c>
      <c r="CY296" s="819">
        <f>CY295/CT295-1</f>
        <v>-6.05149602943722E-3</v>
      </c>
      <c r="CZ296" s="772">
        <f>CZ295-CZ297</f>
        <v>0.4400099580404282</v>
      </c>
      <c r="DA296" s="819">
        <f>DA295/CV295-1</f>
        <v>-0.13044455155391754</v>
      </c>
      <c r="DB296" s="819">
        <f>DB295/CW295-1</f>
        <v>-0.10370765639212887</v>
      </c>
      <c r="DC296" s="819">
        <f>DC295/CX295-1</f>
        <v>-8.2804727828137414E-3</v>
      </c>
      <c r="DD296" s="819">
        <f>DD295/CY295-1</f>
        <v>-0.12094221708414354</v>
      </c>
      <c r="DE296" s="772">
        <f>DE295-DE297</f>
        <v>0.36830710102489039</v>
      </c>
      <c r="DF296" s="819">
        <f>DF295/DA295-1</f>
        <v>-9.2099297218523168E-2</v>
      </c>
      <c r="DG296" s="819">
        <f>DG295/DB295-1</f>
        <v>-1.9115935669725692E-2</v>
      </c>
      <c r="DH296" s="819">
        <f>DH295/DC295-1</f>
        <v>-0.15164899000130183</v>
      </c>
      <c r="DI296" s="819">
        <f>DI295/DD295-1</f>
        <v>3.7738263885563894E-2</v>
      </c>
      <c r="DJ296" s="772">
        <f>DJ295-DJ297</f>
        <v>0.32179183608158102</v>
      </c>
      <c r="DK296" s="819">
        <f ca="1">DK295/DF295-1</f>
        <v>-5.7264034534939556E-3</v>
      </c>
      <c r="DL296" s="819">
        <f ca="1">DL295/DG295-1</f>
        <v>-2.7302554538338408E-2</v>
      </c>
      <c r="DM296" s="819">
        <f ca="1">DM295/DH295-1</f>
        <v>1.0635256379765812E-2</v>
      </c>
      <c r="DN296" s="819">
        <f ca="1">DN295/DI295-1</f>
        <v>-8.8261231270830964E-2</v>
      </c>
      <c r="DO296" s="772">
        <f ca="1">DO295-DO297</f>
        <v>0.31791682861235282</v>
      </c>
      <c r="DP296" s="819">
        <f ca="1">DP295/DK295-1</f>
        <v>3.297719488364681E-2</v>
      </c>
      <c r="DQ296" s="819">
        <f ca="1">DQ295/DL295-1</f>
        <v>1.3535261345900551E-2</v>
      </c>
      <c r="DR296" s="819">
        <f ca="1">DR295/DM295-1</f>
        <v>1.8100849773733829E-2</v>
      </c>
      <c r="DS296" s="819">
        <f ca="1">DS295/DN295-1</f>
        <v>1.7433832013381556E-2</v>
      </c>
      <c r="DT296" s="772">
        <f ca="1">DT295-DT297</f>
        <v>0.2679171978668804</v>
      </c>
      <c r="DU296" s="819">
        <f ca="1">DU295/DP295-1</f>
        <v>1.8368926449711775E-2</v>
      </c>
      <c r="DV296" s="819">
        <f ca="1">DV295/DQ295-1</f>
        <v>2.5129019310842882E-2</v>
      </c>
      <c r="DW296" s="819">
        <f ca="1">DW295/DR295-1</f>
        <v>2.7993575108554047E-2</v>
      </c>
      <c r="DX296" s="819">
        <f ca="1">DX295/DS295-1</f>
        <v>2.7060500101437457E-2</v>
      </c>
      <c r="DY296" s="772">
        <f ca="1">DY295-DY297</f>
        <v>0.21791756583232313</v>
      </c>
    </row>
    <row r="297" spans="1:129" x14ac:dyDescent="0.2">
      <c r="A297" s="940"/>
      <c r="B297" s="690" t="s">
        <v>522</v>
      </c>
      <c r="C297" s="941"/>
      <c r="D297" s="941"/>
      <c r="E297" s="941"/>
      <c r="F297" s="941"/>
      <c r="G297" s="941"/>
      <c r="H297" s="941"/>
      <c r="I297" s="942"/>
      <c r="J297" s="941"/>
      <c r="K297" s="941"/>
      <c r="L297" s="941"/>
      <c r="M297" s="941"/>
      <c r="N297" s="942"/>
      <c r="O297" s="941"/>
      <c r="P297" s="941"/>
      <c r="Q297" s="941"/>
      <c r="R297" s="941"/>
      <c r="S297" s="942"/>
      <c r="T297" s="941"/>
      <c r="U297" s="941"/>
      <c r="V297" s="941"/>
      <c r="W297" s="941"/>
      <c r="X297" s="942"/>
      <c r="Y297" s="941"/>
      <c r="Z297" s="941"/>
      <c r="AA297" s="941"/>
      <c r="AB297" s="941"/>
      <c r="AC297" s="942"/>
      <c r="AD297" s="941"/>
      <c r="AE297" s="941"/>
      <c r="AF297" s="941"/>
      <c r="AG297" s="941"/>
      <c r="AH297" s="942"/>
      <c r="AI297" s="941"/>
      <c r="AJ297" s="941"/>
      <c r="AK297" s="941"/>
      <c r="AL297" s="941"/>
      <c r="AM297" s="942"/>
      <c r="AN297" s="941"/>
      <c r="AO297" s="941"/>
      <c r="AP297" s="941"/>
      <c r="AQ297" s="941"/>
      <c r="AR297" s="942"/>
      <c r="AS297" s="941"/>
      <c r="AT297" s="941"/>
      <c r="AU297" s="941"/>
      <c r="AV297" s="941"/>
      <c r="AW297" s="942"/>
      <c r="AX297" s="941"/>
      <c r="AY297" s="941"/>
      <c r="AZ297" s="941"/>
      <c r="BA297" s="941"/>
      <c r="BB297" s="942"/>
      <c r="BC297" s="941"/>
      <c r="BD297" s="941"/>
      <c r="BE297" s="943">
        <v>5.6855469460511472</v>
      </c>
      <c r="BF297" s="943">
        <v>5.117182586821329</v>
      </c>
      <c r="BG297" s="942"/>
      <c r="BH297" s="943">
        <v>0.70101986044015019</v>
      </c>
      <c r="BI297" s="943">
        <v>3.5803136830719309</v>
      </c>
      <c r="BJ297" s="943">
        <v>4.1230853391684903</v>
      </c>
      <c r="BK297" s="943">
        <v>4.4846072186836521</v>
      </c>
      <c r="BL297" s="944">
        <f t="shared" ref="BL297:CZ297" si="545">BL29/BL98</f>
        <v>3.2210398706896557</v>
      </c>
      <c r="BM297" s="945">
        <f t="shared" si="545"/>
        <v>3.6306355241716459</v>
      </c>
      <c r="BN297" s="945">
        <f t="shared" si="545"/>
        <v>4.1892195395845038</v>
      </c>
      <c r="BO297" s="945">
        <f t="shared" si="545"/>
        <v>4.5282373074729039</v>
      </c>
      <c r="BP297" s="945">
        <f t="shared" si="545"/>
        <v>4.4058223110411845</v>
      </c>
      <c r="BQ297" s="944">
        <f t="shared" si="545"/>
        <v>4.1938339524712287</v>
      </c>
      <c r="BR297" s="945">
        <f t="shared" si="545"/>
        <v>3.2884661464573326</v>
      </c>
      <c r="BS297" s="945">
        <f t="shared" si="545"/>
        <v>4.0921723980586542</v>
      </c>
      <c r="BT297" s="945">
        <f t="shared" si="545"/>
        <v>4.627858627858628</v>
      </c>
      <c r="BU297" s="945">
        <f t="shared" si="545"/>
        <v>4.7073662966700303</v>
      </c>
      <c r="BV297" s="944">
        <f t="shared" si="545"/>
        <v>4.1823246456804606</v>
      </c>
      <c r="BW297" s="945">
        <f t="shared" si="545"/>
        <v>3.6243962901226654</v>
      </c>
      <c r="BX297" s="945">
        <f t="shared" si="545"/>
        <v>3.970272082110081</v>
      </c>
      <c r="BY297" s="945">
        <f t="shared" si="545"/>
        <v>4.3132203077914015</v>
      </c>
      <c r="BZ297" s="945">
        <f t="shared" si="545"/>
        <v>3.9489986268000528</v>
      </c>
      <c r="CA297" s="944">
        <f t="shared" si="545"/>
        <v>3.9633359337228686</v>
      </c>
      <c r="CB297" s="945">
        <f t="shared" si="545"/>
        <v>2.3882896764252699</v>
      </c>
      <c r="CC297" s="945">
        <f t="shared" si="545"/>
        <v>2.4933333333333336</v>
      </c>
      <c r="CD297" s="946">
        <f t="shared" si="545"/>
        <v>3.3554411379701548</v>
      </c>
      <c r="CE297" s="946">
        <f t="shared" si="545"/>
        <v>3.4459143585916161</v>
      </c>
      <c r="CF297" s="947">
        <f t="shared" si="545"/>
        <v>2.9438652819764299</v>
      </c>
      <c r="CG297" s="948">
        <f t="shared" si="545"/>
        <v>1.8326848249027237</v>
      </c>
      <c r="CH297" s="948">
        <f t="shared" si="545"/>
        <v>2.4948089741442114</v>
      </c>
      <c r="CI297" s="948">
        <f t="shared" si="545"/>
        <v>3.5767423649177759</v>
      </c>
      <c r="CJ297" s="948">
        <f t="shared" si="545"/>
        <v>4.4393939393939394</v>
      </c>
      <c r="CK297" s="942">
        <f t="shared" si="545"/>
        <v>3.0944939129391069</v>
      </c>
      <c r="CL297" s="948">
        <f t="shared" ca="1" si="545"/>
        <v>2.4202438720915764</v>
      </c>
      <c r="CM297" s="948">
        <f t="shared" si="545"/>
        <v>3.0708631737655483</v>
      </c>
      <c r="CN297" s="948">
        <f t="shared" si="545"/>
        <v>4.3785440613026818</v>
      </c>
      <c r="CO297" s="948">
        <f>CO29/CO98</f>
        <v>3.9324783100716698</v>
      </c>
      <c r="CP297" s="942">
        <f t="shared" ca="1" si="545"/>
        <v>3.4459853130096074</v>
      </c>
      <c r="CQ297" s="948">
        <f t="shared" si="545"/>
        <v>3.0166729821902241</v>
      </c>
      <c r="CR297" s="948">
        <f t="shared" si="545"/>
        <v>3.8590604026845639</v>
      </c>
      <c r="CS297" s="948">
        <f t="shared" si="545"/>
        <v>4.6400298730395821</v>
      </c>
      <c r="CT297" s="948">
        <f t="shared" si="545"/>
        <v>3.8014209591474248</v>
      </c>
      <c r="CU297" s="942">
        <f t="shared" si="545"/>
        <v>3.8318845940447575</v>
      </c>
      <c r="CV297" s="948">
        <f t="shared" si="545"/>
        <v>2.7476951444376159</v>
      </c>
      <c r="CW297" s="948">
        <f t="shared" si="545"/>
        <v>3.3565111314425131</v>
      </c>
      <c r="CX297" s="948">
        <f t="shared" si="545"/>
        <v>4.0045925532608724</v>
      </c>
      <c r="CY297" s="948">
        <f>CY29/CY98</f>
        <v>3.8749507542924175</v>
      </c>
      <c r="CZ297" s="942">
        <f t="shared" si="545"/>
        <v>3.5024451245135042</v>
      </c>
      <c r="DA297" s="948">
        <f t="shared" ref="DA297:DJ297" si="546">DA29/DA98</f>
        <v>2.3898258273202289</v>
      </c>
      <c r="DB297" s="948">
        <f>DB29/DB98</f>
        <v>3.0173611111111112</v>
      </c>
      <c r="DC297" s="948">
        <f>DC29/DC98</f>
        <v>4.0009787129924153</v>
      </c>
      <c r="DD297" s="948">
        <f>DD29/DD98</f>
        <v>3.4903620122237902</v>
      </c>
      <c r="DE297" s="942">
        <f t="shared" si="546"/>
        <v>3.2314976817959979</v>
      </c>
      <c r="DF297" s="948">
        <f t="shared" si="546"/>
        <v>2.1888762769580024</v>
      </c>
      <c r="DG297" s="948">
        <f t="shared" si="546"/>
        <v>2.9744112318840576</v>
      </c>
      <c r="DH297" s="948">
        <f t="shared" ref="DH297:DI297" si="547">DH29/DH98</f>
        <v>3.4670892571979146</v>
      </c>
      <c r="DI297" s="948">
        <f t="shared" si="547"/>
        <v>3.6176973022462806</v>
      </c>
      <c r="DJ297" s="942">
        <f t="shared" si="546"/>
        <v>3.067763900985971</v>
      </c>
      <c r="DK297" s="948">
        <f t="shared" ref="DK297:DT297" ca="1" si="548">DK29/DK98</f>
        <v>2.1047368246392493</v>
      </c>
      <c r="DL297" s="948">
        <f t="shared" ca="1" si="548"/>
        <v>2.9314394469926173</v>
      </c>
      <c r="DM297" s="948">
        <f t="shared" ca="1" si="548"/>
        <v>3.4746286041803387</v>
      </c>
      <c r="DN297" s="948">
        <f t="shared" ca="1" si="548"/>
        <v>3.3322351523004454</v>
      </c>
      <c r="DO297" s="942">
        <f t="shared" ca="1" si="548"/>
        <v>2.9666368333982835</v>
      </c>
      <c r="DP297" s="948">
        <f t="shared" ca="1" si="548"/>
        <v>2.2363467031911153</v>
      </c>
      <c r="DQ297" s="948">
        <f t="shared" ca="1" si="548"/>
        <v>3.025235719782565</v>
      </c>
      <c r="DR297" s="948">
        <f t="shared" ca="1" si="548"/>
        <v>3.5928530348224896</v>
      </c>
      <c r="DS297" s="948">
        <f t="shared" ca="1" si="548"/>
        <v>3.4456286651068049</v>
      </c>
      <c r="DT297" s="942">
        <f t="shared" ca="1" si="548"/>
        <v>3.0808277708503384</v>
      </c>
      <c r="DU297" s="948">
        <f t="shared" ref="DU297:DY297" ca="1" si="549">DU29/DU98</f>
        <v>2.3333040477619957</v>
      </c>
      <c r="DV297" s="948">
        <f t="shared" ca="1" si="549"/>
        <v>3.1576466676027346</v>
      </c>
      <c r="DW297" s="948">
        <f t="shared" ca="1" si="549"/>
        <v>3.7502742652208312</v>
      </c>
      <c r="DX297" s="948">
        <f t="shared" ca="1" si="549"/>
        <v>3.5957424669742082</v>
      </c>
      <c r="DY297" s="942">
        <f t="shared" ca="1" si="549"/>
        <v>3.2152991232607095</v>
      </c>
    </row>
    <row r="298" spans="1:129" ht="12" customHeight="1" x14ac:dyDescent="0.2">
      <c r="A298" s="526"/>
      <c r="B298" s="756"/>
      <c r="C298" s="597"/>
      <c r="D298" s="597"/>
      <c r="E298" s="597"/>
      <c r="F298" s="597"/>
      <c r="G298" s="597"/>
      <c r="H298" s="597"/>
      <c r="I298" s="598"/>
      <c r="J298" s="597"/>
      <c r="K298" s="597"/>
      <c r="L298" s="597"/>
      <c r="M298" s="597"/>
      <c r="N298" s="598"/>
      <c r="O298" s="597"/>
      <c r="P298" s="597"/>
      <c r="Q298" s="597"/>
      <c r="R298" s="597"/>
      <c r="S298" s="598"/>
      <c r="T298" s="597"/>
      <c r="U298" s="597"/>
      <c r="V298" s="597"/>
      <c r="W298" s="597"/>
      <c r="X298" s="598"/>
      <c r="Y298" s="597"/>
      <c r="Z298" s="597"/>
      <c r="AA298" s="597"/>
      <c r="AB298" s="597"/>
      <c r="AC298" s="598"/>
      <c r="AD298" s="597"/>
      <c r="AE298" s="597"/>
      <c r="AF298" s="597"/>
      <c r="AG298" s="597"/>
      <c r="AH298" s="598"/>
      <c r="AI298" s="597"/>
      <c r="AJ298" s="597"/>
      <c r="AK298" s="597"/>
      <c r="AL298" s="597"/>
      <c r="AM298" s="598"/>
      <c r="AN298" s="597"/>
      <c r="AO298" s="597"/>
      <c r="AP298" s="597"/>
      <c r="AQ298" s="597"/>
      <c r="AR298" s="598"/>
      <c r="AS298" s="597"/>
      <c r="AT298" s="597"/>
      <c r="AU298" s="597"/>
      <c r="AV298" s="597"/>
      <c r="AW298" s="598"/>
      <c r="AX298" s="597"/>
      <c r="AY298" s="597"/>
      <c r="AZ298" s="597"/>
      <c r="BA298" s="597"/>
      <c r="BB298" s="598"/>
      <c r="BC298" s="597"/>
      <c r="BD298" s="597"/>
      <c r="BE298" s="597"/>
      <c r="BF298" s="597"/>
      <c r="BG298" s="598"/>
      <c r="BH298" s="597"/>
      <c r="BI298" s="597"/>
      <c r="BJ298" s="597"/>
      <c r="BK298" s="597"/>
      <c r="BL298" s="598"/>
      <c r="BM298" s="818">
        <f>BM297/BH297-1</f>
        <v>4.1790765555373488</v>
      </c>
      <c r="BN298" s="818">
        <f>BN297/BI297-1</f>
        <v>0.17007053303500719</v>
      </c>
      <c r="BO298" s="818">
        <f>BO297/BJ297-1</f>
        <v>9.8264269345955668E-2</v>
      </c>
      <c r="BP298" s="818">
        <f>BP297/BK297-1</f>
        <v>-1.7567850159593945E-2</v>
      </c>
      <c r="BQ298" s="598"/>
      <c r="BR298" s="818">
        <f>BR297/BM297-1</f>
        <v>-9.4245036560749673E-2</v>
      </c>
      <c r="BS298" s="818">
        <f>BS297/BN297-1</f>
        <v>-2.316592401253692E-2</v>
      </c>
      <c r="BT298" s="818">
        <f>BT297/BO297-1</f>
        <v>2.2000022000022046E-2</v>
      </c>
      <c r="BU298" s="818">
        <f>BU297/BP297-1</f>
        <v>6.8442157749567745E-2</v>
      </c>
      <c r="BV298" s="598"/>
      <c r="BW298" s="818">
        <f>BW297/BR297-1</f>
        <v>0.1021540525899074</v>
      </c>
      <c r="BX298" s="818">
        <f>BX297/BS297-1</f>
        <v>-2.9788656022019855E-2</v>
      </c>
      <c r="BY298" s="818">
        <f>BY297/BT297-1</f>
        <v>-6.7987884974095247E-2</v>
      </c>
      <c r="BZ298" s="818">
        <f>BZ297/BU297-1</f>
        <v>-0.16110232815458692</v>
      </c>
      <c r="CA298" s="598"/>
      <c r="CB298" s="818">
        <f>CB297/BW297-1</f>
        <v>-0.34105172689478724</v>
      </c>
      <c r="CC298" s="818">
        <f>CC297/BX297-1</f>
        <v>-0.37199937894226098</v>
      </c>
      <c r="CD298" s="819">
        <f>CD297/BY297-1</f>
        <v>-0.22205663088693017</v>
      </c>
      <c r="CE298" s="819">
        <f>CE297/BZ297-1</f>
        <v>-0.12739540216454703</v>
      </c>
      <c r="CF298" s="598"/>
      <c r="CG298" s="682"/>
      <c r="CH298" s="682"/>
      <c r="CI298" s="682"/>
      <c r="CJ298" s="682"/>
      <c r="CK298" s="598"/>
      <c r="CL298" s="682"/>
      <c r="CM298" s="682"/>
      <c r="CN298" s="682"/>
      <c r="CO298" s="682"/>
      <c r="CP298" s="598"/>
      <c r="CQ298" s="682"/>
      <c r="CR298" s="682"/>
      <c r="CS298" s="682"/>
      <c r="CT298" s="682"/>
      <c r="CU298" s="598"/>
      <c r="CV298" s="682"/>
      <c r="CW298" s="682"/>
      <c r="CX298" s="682"/>
      <c r="CY298" s="682"/>
      <c r="CZ298" s="598"/>
      <c r="DA298" s="682"/>
      <c r="DB298" s="682"/>
      <c r="DC298" s="682"/>
      <c r="DD298" s="682"/>
      <c r="DE298" s="598"/>
      <c r="DF298" s="682"/>
      <c r="DG298" s="682"/>
      <c r="DH298" s="682"/>
      <c r="DI298" s="1610"/>
      <c r="DJ298" s="598"/>
      <c r="DK298" s="682"/>
      <c r="DL298" s="682"/>
      <c r="DM298" s="682"/>
      <c r="DN298" s="682"/>
      <c r="DO298" s="598"/>
      <c r="DP298" s="682"/>
      <c r="DQ298" s="682"/>
      <c r="DR298" s="682"/>
      <c r="DS298" s="682"/>
      <c r="DT298" s="598"/>
      <c r="DU298" s="682"/>
      <c r="DV298" s="682"/>
      <c r="DW298" s="682"/>
      <c r="DX298" s="682"/>
      <c r="DY298" s="598"/>
    </row>
    <row r="299" spans="1:129" x14ac:dyDescent="0.2">
      <c r="A299" s="668"/>
      <c r="B299" s="690" t="s">
        <v>811</v>
      </c>
      <c r="C299" s="670"/>
      <c r="D299" s="670"/>
      <c r="E299" s="670"/>
      <c r="F299" s="670"/>
      <c r="G299" s="670"/>
      <c r="H299" s="670"/>
      <c r="I299" s="949"/>
      <c r="J299" s="670"/>
      <c r="K299" s="670"/>
      <c r="L299" s="670"/>
      <c r="M299" s="670"/>
      <c r="N299" s="949"/>
      <c r="O299" s="670"/>
      <c r="P299" s="670"/>
      <c r="Q299" s="670"/>
      <c r="R299" s="670"/>
      <c r="S299" s="949"/>
      <c r="T299" s="670"/>
      <c r="U299" s="670"/>
      <c r="V299" s="670"/>
      <c r="W299" s="670"/>
      <c r="X299" s="949"/>
      <c r="Y299" s="670"/>
      <c r="Z299" s="670"/>
      <c r="AA299" s="670"/>
      <c r="AB299" s="670"/>
      <c r="AC299" s="949"/>
      <c r="AD299" s="670"/>
      <c r="AE299" s="670"/>
      <c r="AF299" s="670"/>
      <c r="AG299" s="670"/>
      <c r="AH299" s="949"/>
      <c r="AI299" s="670"/>
      <c r="AJ299" s="670"/>
      <c r="AK299" s="670"/>
      <c r="AL299" s="670"/>
      <c r="AM299" s="949"/>
      <c r="AN299" s="670"/>
      <c r="AO299" s="670"/>
      <c r="AP299" s="670"/>
      <c r="AQ299" s="670"/>
      <c r="AR299" s="949"/>
      <c r="AS299" s="670"/>
      <c r="AT299" s="670"/>
      <c r="AU299" s="670"/>
      <c r="AV299" s="670"/>
      <c r="AW299" s="949"/>
      <c r="AX299" s="670"/>
      <c r="AY299" s="670"/>
      <c r="AZ299" s="670"/>
      <c r="BA299" s="670"/>
      <c r="BB299" s="949"/>
      <c r="BC299" s="670"/>
      <c r="BD299" s="670"/>
      <c r="BE299" s="670"/>
      <c r="BF299" s="670"/>
      <c r="BG299" s="949"/>
      <c r="BH299" s="670"/>
      <c r="BI299" s="670"/>
      <c r="BJ299" s="670"/>
      <c r="BK299" s="670"/>
      <c r="BL299" s="949"/>
      <c r="BM299" s="670"/>
      <c r="BN299" s="670"/>
      <c r="BO299" s="670"/>
      <c r="BP299" s="670"/>
      <c r="BQ299" s="949"/>
      <c r="BR299" s="670"/>
      <c r="BS299" s="670"/>
      <c r="BT299" s="670"/>
      <c r="BU299" s="670"/>
      <c r="BV299" s="949"/>
      <c r="BW299" s="670"/>
      <c r="BX299" s="670"/>
      <c r="BY299" s="670"/>
      <c r="BZ299" s="670"/>
      <c r="CA299" s="949"/>
      <c r="CB299" s="670"/>
      <c r="CC299" s="670"/>
      <c r="CD299" s="670"/>
      <c r="CE299" s="670"/>
      <c r="CF299" s="949"/>
      <c r="CG299" s="950"/>
      <c r="CH299" s="950"/>
      <c r="CI299" s="950"/>
      <c r="CJ299" s="950"/>
      <c r="CK299" s="949"/>
      <c r="CL299" s="950"/>
      <c r="CM299" s="950"/>
      <c r="CN299" s="950"/>
      <c r="CO299" s="950"/>
      <c r="CP299" s="949"/>
      <c r="CQ299" s="950"/>
      <c r="CR299" s="950"/>
      <c r="CS299" s="950"/>
      <c r="CT299" s="950"/>
      <c r="CU299" s="949"/>
      <c r="CV299" s="950"/>
      <c r="CW299" s="950"/>
      <c r="CX299" s="950"/>
      <c r="CY299" s="950"/>
      <c r="CZ299" s="949"/>
      <c r="DA299" s="950"/>
      <c r="DB299" s="950"/>
      <c r="DC299" s="950"/>
      <c r="DD299" s="950"/>
      <c r="DE299" s="949"/>
      <c r="DF299" s="950"/>
      <c r="DG299" s="950"/>
      <c r="DH299" s="950"/>
      <c r="DI299" s="950"/>
      <c r="DJ299" s="949"/>
      <c r="DK299" s="950"/>
      <c r="DL299" s="950"/>
      <c r="DM299" s="950"/>
      <c r="DN299" s="950"/>
      <c r="DO299" s="949"/>
      <c r="DP299" s="950"/>
      <c r="DQ299" s="950"/>
      <c r="DR299" s="950"/>
      <c r="DS299" s="950"/>
      <c r="DT299" s="949"/>
      <c r="DU299" s="950"/>
      <c r="DV299" s="950"/>
      <c r="DW299" s="950"/>
      <c r="DX299" s="950"/>
      <c r="DY299" s="949"/>
    </row>
    <row r="300" spans="1:129" x14ac:dyDescent="0.2">
      <c r="A300" s="474"/>
      <c r="B300" s="802" t="s">
        <v>810</v>
      </c>
      <c r="C300" s="538"/>
      <c r="D300" s="538"/>
      <c r="E300" s="538"/>
      <c r="F300" s="538"/>
      <c r="G300" s="538"/>
      <c r="H300" s="538"/>
      <c r="I300" s="539"/>
      <c r="J300" s="538"/>
      <c r="K300" s="538"/>
      <c r="L300" s="538"/>
      <c r="M300" s="538"/>
      <c r="N300" s="539"/>
      <c r="O300" s="538"/>
      <c r="P300" s="538"/>
      <c r="Q300" s="538"/>
      <c r="R300" s="538"/>
      <c r="S300" s="539"/>
      <c r="T300" s="538"/>
      <c r="U300" s="538"/>
      <c r="V300" s="538"/>
      <c r="W300" s="538"/>
      <c r="X300" s="539"/>
      <c r="Y300" s="538"/>
      <c r="Z300" s="538"/>
      <c r="AA300" s="538"/>
      <c r="AB300" s="538"/>
      <c r="AC300" s="539"/>
      <c r="AD300" s="538"/>
      <c r="AE300" s="538"/>
      <c r="AF300" s="538"/>
      <c r="AG300" s="538"/>
      <c r="AH300" s="539"/>
      <c r="AI300" s="538"/>
      <c r="AJ300" s="538"/>
      <c r="AK300" s="538"/>
      <c r="AL300" s="538"/>
      <c r="AM300" s="539"/>
      <c r="AN300" s="538"/>
      <c r="AO300" s="538"/>
      <c r="AP300" s="538"/>
      <c r="AQ300" s="538"/>
      <c r="AR300" s="539"/>
      <c r="AS300" s="538"/>
      <c r="AT300" s="538"/>
      <c r="AU300" s="538"/>
      <c r="AV300" s="538"/>
      <c r="AW300" s="539"/>
      <c r="AX300" s="538"/>
      <c r="AY300" s="538"/>
      <c r="AZ300" s="538"/>
      <c r="BA300" s="538"/>
      <c r="BB300" s="539"/>
      <c r="BC300" s="538"/>
      <c r="BD300" s="538"/>
      <c r="BE300" s="538"/>
      <c r="BF300" s="538"/>
      <c r="BG300" s="539"/>
      <c r="BH300" s="538"/>
      <c r="BI300" s="538"/>
      <c r="BJ300" s="823">
        <v>0.10833758813518113</v>
      </c>
      <c r="BK300" s="823">
        <v>0.17128041495254354</v>
      </c>
      <c r="BL300" s="539"/>
      <c r="BM300" s="823">
        <v>3.0375525134248722</v>
      </c>
      <c r="BN300" s="823">
        <v>2.2658622658115135E-2</v>
      </c>
      <c r="BO300" s="823">
        <v>-4.9347366756955502E-3</v>
      </c>
      <c r="BP300" s="823">
        <v>-6.2816400774459491E-2</v>
      </c>
      <c r="BQ300" s="806">
        <f>BQ295/BL295-1</f>
        <v>0.185026651286887</v>
      </c>
      <c r="BR300" s="823">
        <v>-6.2816400774459491E-2</v>
      </c>
      <c r="BS300" s="823">
        <v>8.5166881564835428E-4</v>
      </c>
      <c r="BT300" s="823">
        <v>-0.03</v>
      </c>
      <c r="BU300" s="823">
        <v>-0.02</v>
      </c>
      <c r="BV300" s="806">
        <f>BV295/BQ295-1</f>
        <v>3.3814705128295541E-2</v>
      </c>
      <c r="BW300" s="823">
        <v>-0.02</v>
      </c>
      <c r="BX300" s="823">
        <v>0.04</v>
      </c>
      <c r="BY300" s="823">
        <v>0.04</v>
      </c>
      <c r="BZ300" s="823">
        <v>0.04</v>
      </c>
      <c r="CA300" s="806">
        <f t="shared" ref="CA300:CZ300" si="550">CA295/BV295-1</f>
        <v>-3.3121734237951506E-2</v>
      </c>
      <c r="CB300" s="717">
        <f t="shared" si="550"/>
        <v>-0.30956806889115263</v>
      </c>
      <c r="CC300" s="717">
        <f t="shared" si="550"/>
        <v>-0.31712954933008519</v>
      </c>
      <c r="CD300" s="717">
        <f t="shared" si="550"/>
        <v>-0.21375025502536005</v>
      </c>
      <c r="CE300" s="717">
        <f t="shared" si="550"/>
        <v>-0.14227506225017394</v>
      </c>
      <c r="CF300" s="539">
        <f t="shared" si="550"/>
        <v>-0.23864389965979849</v>
      </c>
      <c r="CG300" s="717">
        <f t="shared" si="550"/>
        <v>-0.22099291816615219</v>
      </c>
      <c r="CH300" s="717">
        <f t="shared" si="550"/>
        <v>-6.5391703679463786E-2</v>
      </c>
      <c r="CI300" s="717">
        <f t="shared" si="550"/>
        <v>6.0998519506022308E-2</v>
      </c>
      <c r="CJ300" s="717">
        <f t="shared" si="550"/>
        <v>0.21339404383569804</v>
      </c>
      <c r="CK300" s="539">
        <f t="shared" si="550"/>
        <v>1.2427183750964854E-2</v>
      </c>
      <c r="CL300" s="717">
        <f t="shared" si="550"/>
        <v>0.20456986622400164</v>
      </c>
      <c r="CM300" s="717">
        <f t="shared" si="550"/>
        <v>0.19933311977260515</v>
      </c>
      <c r="CN300" s="717">
        <f t="shared" si="550"/>
        <v>0.17195297357644224</v>
      </c>
      <c r="CO300" s="717">
        <f t="shared" si="550"/>
        <v>-9.5522778030072142E-2</v>
      </c>
      <c r="CP300" s="539">
        <f t="shared" si="550"/>
        <v>8.7182956242360499E-2</v>
      </c>
      <c r="CQ300" s="717">
        <f t="shared" si="550"/>
        <v>0.22674209770114961</v>
      </c>
      <c r="CR300" s="717">
        <f t="shared" si="550"/>
        <v>0.22685902712232897</v>
      </c>
      <c r="CS300" s="717">
        <f t="shared" si="550"/>
        <v>5.6308417726554927E-2</v>
      </c>
      <c r="CT300" s="717">
        <f t="shared" si="550"/>
        <v>-3.7583935515006717E-2</v>
      </c>
      <c r="CU300" s="539">
        <f t="shared" si="550"/>
        <v>0.10086885686983571</v>
      </c>
      <c r="CV300" s="717">
        <f t="shared" si="550"/>
        <v>-0.10986756002882514</v>
      </c>
      <c r="CW300" s="717">
        <f t="shared" si="550"/>
        <v>-0.15078778227365464</v>
      </c>
      <c r="CX300" s="717">
        <f t="shared" si="550"/>
        <v>-0.15375350901122564</v>
      </c>
      <c r="CY300" s="717">
        <f t="shared" si="550"/>
        <v>-6.05149602943722E-3</v>
      </c>
      <c r="CZ300" s="539">
        <f t="shared" si="550"/>
        <v>-0.10634269053308287</v>
      </c>
      <c r="DA300" s="717">
        <f t="shared" ref="DA300:DJ300" si="551">DA295/CV295-1</f>
        <v>-0.13044455155391754</v>
      </c>
      <c r="DB300" s="717">
        <f t="shared" si="551"/>
        <v>-0.10370765639212887</v>
      </c>
      <c r="DC300" s="717">
        <f t="shared" si="551"/>
        <v>-8.2804727828137414E-3</v>
      </c>
      <c r="DD300" s="717">
        <f t="shared" si="551"/>
        <v>-0.12094221708414354</v>
      </c>
      <c r="DE300" s="539">
        <f t="shared" si="551"/>
        <v>-8.6912924195213459E-2</v>
      </c>
      <c r="DF300" s="717">
        <f t="shared" si="551"/>
        <v>-9.2099297218523168E-2</v>
      </c>
      <c r="DG300" s="717">
        <f t="shared" si="551"/>
        <v>-1.9115935669725692E-2</v>
      </c>
      <c r="DH300" s="717">
        <f t="shared" si="551"/>
        <v>-0.15164899000130183</v>
      </c>
      <c r="DI300" s="2483">
        <f t="shared" si="551"/>
        <v>3.7738263885563894E-2</v>
      </c>
      <c r="DJ300" s="539">
        <f t="shared" si="551"/>
        <v>-5.8405679873723693E-2</v>
      </c>
      <c r="DK300" s="717">
        <f t="shared" ref="DK300:DT300" ca="1" si="552">DK295/DF295-1</f>
        <v>-5.7264034534939556E-3</v>
      </c>
      <c r="DL300" s="717">
        <f t="shared" ca="1" si="552"/>
        <v>-2.7302554538338408E-2</v>
      </c>
      <c r="DM300" s="717">
        <f t="shared" ca="1" si="552"/>
        <v>1.0635256379765812E-2</v>
      </c>
      <c r="DN300" s="717">
        <f t="shared" ca="1" si="552"/>
        <v>-8.8261231270830964E-2</v>
      </c>
      <c r="DO300" s="539">
        <f t="shared" ca="1" si="552"/>
        <v>-3.0978123153023396E-2</v>
      </c>
      <c r="DP300" s="717">
        <f t="shared" ca="1" si="552"/>
        <v>3.297719488364681E-2</v>
      </c>
      <c r="DQ300" s="717">
        <f t="shared" ca="1" si="552"/>
        <v>1.3535261345900551E-2</v>
      </c>
      <c r="DR300" s="717">
        <f t="shared" ca="1" si="552"/>
        <v>1.8100849773733829E-2</v>
      </c>
      <c r="DS300" s="717">
        <f t="shared" ca="1" si="552"/>
        <v>1.7433832013381556E-2</v>
      </c>
      <c r="DT300" s="539">
        <f t="shared" ca="1" si="552"/>
        <v>1.9543388025296426E-2</v>
      </c>
      <c r="DU300" s="717">
        <f t="shared" ref="DU300" ca="1" si="553">DU295/DP295-1</f>
        <v>1.8368926449711775E-2</v>
      </c>
      <c r="DV300" s="717">
        <f t="shared" ref="DV300" ca="1" si="554">DV295/DQ295-1</f>
        <v>2.5129019310842882E-2</v>
      </c>
      <c r="DW300" s="717">
        <f t="shared" ref="DW300" ca="1" si="555">DW295/DR295-1</f>
        <v>2.7993575108554047E-2</v>
      </c>
      <c r="DX300" s="717">
        <f t="shared" ref="DX300" ca="1" si="556">DX295/DS295-1</f>
        <v>2.7060500101437457E-2</v>
      </c>
      <c r="DY300" s="539">
        <f t="shared" ref="DY300" ca="1" si="557">DY295/DT295-1</f>
        <v>2.5224889074838108E-2</v>
      </c>
    </row>
    <row r="301" spans="1:129" x14ac:dyDescent="0.2">
      <c r="A301" s="474"/>
      <c r="B301" s="802" t="s">
        <v>802</v>
      </c>
      <c r="C301" s="538"/>
      <c r="D301" s="538"/>
      <c r="E301" s="538"/>
      <c r="F301" s="538"/>
      <c r="G301" s="538"/>
      <c r="H301" s="538"/>
      <c r="I301" s="539"/>
      <c r="J301" s="538"/>
      <c r="K301" s="538"/>
      <c r="L301" s="538"/>
      <c r="M301" s="538"/>
      <c r="N301" s="539"/>
      <c r="O301" s="538"/>
      <c r="P301" s="538"/>
      <c r="Q301" s="538"/>
      <c r="R301" s="538"/>
      <c r="S301" s="539"/>
      <c r="T301" s="538"/>
      <c r="U301" s="538"/>
      <c r="V301" s="538"/>
      <c r="W301" s="538"/>
      <c r="X301" s="539"/>
      <c r="Y301" s="538"/>
      <c r="Z301" s="538"/>
      <c r="AA301" s="538"/>
      <c r="AB301" s="538"/>
      <c r="AC301" s="539"/>
      <c r="AD301" s="538"/>
      <c r="AE301" s="538"/>
      <c r="AF301" s="538"/>
      <c r="AG301" s="538"/>
      <c r="AH301" s="539"/>
      <c r="AI301" s="538"/>
      <c r="AJ301" s="538"/>
      <c r="AK301" s="538"/>
      <c r="AL301" s="538"/>
      <c r="AM301" s="539"/>
      <c r="AN301" s="538"/>
      <c r="AO301" s="538"/>
      <c r="AP301" s="538"/>
      <c r="AQ301" s="538"/>
      <c r="AR301" s="539"/>
      <c r="AS301" s="538"/>
      <c r="AT301" s="538"/>
      <c r="AU301" s="538"/>
      <c r="AV301" s="538"/>
      <c r="AW301" s="539"/>
      <c r="AX301" s="538"/>
      <c r="AY301" s="538"/>
      <c r="AZ301" s="538"/>
      <c r="BA301" s="538"/>
      <c r="BB301" s="539"/>
      <c r="BC301" s="538"/>
      <c r="BD301" s="538"/>
      <c r="BE301" s="538"/>
      <c r="BF301" s="538"/>
      <c r="BG301" s="539"/>
      <c r="BH301" s="538"/>
      <c r="BI301" s="538"/>
      <c r="BJ301" s="823">
        <v>-0.17745340223036599</v>
      </c>
      <c r="BK301" s="823">
        <v>-0.33358828881871272</v>
      </c>
      <c r="BL301" s="539"/>
      <c r="BM301" s="823">
        <v>1.5941618782928955</v>
      </c>
      <c r="BN301" s="823">
        <v>-0.23377293744729111</v>
      </c>
      <c r="BO301" s="823">
        <v>-0.15991591507070269</v>
      </c>
      <c r="BP301" s="823">
        <v>-0.10061533209922047</v>
      </c>
      <c r="BQ301" s="806">
        <f>BQ256/BL256-1</f>
        <v>-0.11154506102339823</v>
      </c>
      <c r="BR301" s="823">
        <v>-0.10061533209922047</v>
      </c>
      <c r="BS301" s="823">
        <v>0.19205839608354314</v>
      </c>
      <c r="BT301" s="823">
        <v>0.1</v>
      </c>
      <c r="BU301" s="823">
        <v>0.1</v>
      </c>
      <c r="BV301" s="806">
        <f>BV256/BQ256-1</f>
        <v>0.16657369167539171</v>
      </c>
      <c r="BW301" s="823">
        <v>0.1</v>
      </c>
      <c r="BX301" s="823">
        <v>-0.03</v>
      </c>
      <c r="BY301" s="823">
        <v>-0.03</v>
      </c>
      <c r="BZ301" s="823">
        <v>-0.03</v>
      </c>
      <c r="CA301" s="806">
        <f t="shared" ref="CA301:CZ301" si="558">CA256/BV256-1</f>
        <v>0.1001912686946298</v>
      </c>
      <c r="CB301" s="717">
        <f t="shared" si="558"/>
        <v>-0.16198401465684897</v>
      </c>
      <c r="CC301" s="717">
        <f t="shared" si="558"/>
        <v>-8.0485024154589246E-2</v>
      </c>
      <c r="CD301" s="717">
        <f t="shared" si="558"/>
        <v>-0.15221018603186398</v>
      </c>
      <c r="CE301" s="717">
        <f t="shared" si="558"/>
        <v>-0.17916343937829138</v>
      </c>
      <c r="CF301" s="539">
        <f t="shared" si="558"/>
        <v>-0.14463804075456876</v>
      </c>
      <c r="CG301" s="717">
        <f t="shared" si="558"/>
        <v>-0.10842589317297502</v>
      </c>
      <c r="CH301" s="717">
        <f t="shared" si="558"/>
        <v>-0.15247184202706965</v>
      </c>
      <c r="CI301" s="717">
        <f t="shared" si="558"/>
        <v>3.5953459744232363E-2</v>
      </c>
      <c r="CJ301" s="717">
        <f t="shared" si="558"/>
        <v>-5.1243116496465957E-2</v>
      </c>
      <c r="CK301" s="539">
        <f t="shared" si="558"/>
        <v>-7.1030782774700651E-2</v>
      </c>
      <c r="CL301" s="717">
        <f t="shared" si="558"/>
        <v>-2.6597392357297855E-2</v>
      </c>
      <c r="CM301" s="717">
        <f t="shared" si="558"/>
        <v>4.833888902513328E-2</v>
      </c>
      <c r="CN301" s="717">
        <f t="shared" si="558"/>
        <v>-3.2669453387001335E-2</v>
      </c>
      <c r="CO301" s="717">
        <f t="shared" si="558"/>
        <v>3.6483992284100486E-2</v>
      </c>
      <c r="CP301" s="539">
        <f t="shared" ca="1" si="558"/>
        <v>5.580099925116766E-3</v>
      </c>
      <c r="CQ301" s="717">
        <f t="shared" si="558"/>
        <v>0.10200861822448815</v>
      </c>
      <c r="CR301" s="717">
        <f t="shared" si="558"/>
        <v>8.738485917014982E-2</v>
      </c>
      <c r="CS301" s="717">
        <f t="shared" si="558"/>
        <v>5.1367012393033429E-2</v>
      </c>
      <c r="CT301" s="717">
        <f t="shared" si="558"/>
        <v>-2.8806156880829548E-3</v>
      </c>
      <c r="CU301" s="539">
        <f t="shared" ca="1" si="558"/>
        <v>5.7859407456205547E-2</v>
      </c>
      <c r="CV301" s="717">
        <f t="shared" si="558"/>
        <v>-0.19506481390727337</v>
      </c>
      <c r="CW301" s="717">
        <f t="shared" si="558"/>
        <v>-0.22468179542520339</v>
      </c>
      <c r="CX301" s="717">
        <f t="shared" si="558"/>
        <v>-0.21851391255488972</v>
      </c>
      <c r="CY301" s="717">
        <f t="shared" si="558"/>
        <v>-0.14928829036341007</v>
      </c>
      <c r="CZ301" s="539">
        <f t="shared" si="558"/>
        <v>-0.19663669796261274</v>
      </c>
      <c r="DA301" s="717">
        <f t="shared" ref="DA301:DJ301" si="559">DA256/CV256-1</f>
        <v>-0.11426499563865067</v>
      </c>
      <c r="DB301" s="717">
        <f t="shared" si="559"/>
        <v>-0.1103619412455189</v>
      </c>
      <c r="DC301" s="717">
        <f t="shared" si="559"/>
        <v>-9.7670147797503826E-2</v>
      </c>
      <c r="DD301" s="717">
        <f t="shared" si="559"/>
        <v>-0.22332561546935725</v>
      </c>
      <c r="DE301" s="539">
        <f t="shared" si="559"/>
        <v>-0.13925977527175604</v>
      </c>
      <c r="DF301" s="717">
        <f t="shared" si="559"/>
        <v>-0.10713920419871337</v>
      </c>
      <c r="DG301" s="717">
        <f t="shared" si="559"/>
        <v>-7.0552878250278117E-2</v>
      </c>
      <c r="DH301" s="717">
        <f t="shared" si="559"/>
        <v>-0.20502083909952118</v>
      </c>
      <c r="DI301" s="2483">
        <f t="shared" si="559"/>
        <v>-2.4157488191614562E-2</v>
      </c>
      <c r="DJ301" s="539">
        <f t="shared" si="559"/>
        <v>-0.10249862816045707</v>
      </c>
      <c r="DK301" s="717">
        <f t="shared" ref="DK301:DT301" si="560">DK256/DF256-1</f>
        <v>0.11759580093779465</v>
      </c>
      <c r="DL301" s="717">
        <f t="shared" si="560"/>
        <v>-5.5506789083000885E-2</v>
      </c>
      <c r="DM301" s="717">
        <f t="shared" si="560"/>
        <v>5.8812091622058027E-2</v>
      </c>
      <c r="DN301" s="717">
        <f t="shared" si="560"/>
        <v>-6.7397553564425117E-2</v>
      </c>
      <c r="DO301" s="539">
        <f t="shared" si="560"/>
        <v>9.1710719220938763E-3</v>
      </c>
      <c r="DP301" s="717">
        <f t="shared" si="560"/>
        <v>-7.2308794238865826E-2</v>
      </c>
      <c r="DQ301" s="717">
        <f t="shared" si="560"/>
        <v>-7.418328014371689E-2</v>
      </c>
      <c r="DR301" s="717">
        <f t="shared" si="560"/>
        <v>-6.8181018222559064E-2</v>
      </c>
      <c r="DS301" s="717">
        <f t="shared" si="560"/>
        <v>-8.2180908399286157E-2</v>
      </c>
      <c r="DT301" s="539">
        <f t="shared" si="560"/>
        <v>-7.42417740050203E-2</v>
      </c>
      <c r="DU301" s="717">
        <f t="shared" ref="DU301" si="561">DU256/DP256-1</f>
        <v>-7.8508407129173841E-2</v>
      </c>
      <c r="DV301" s="717">
        <f t="shared" ref="DV301" si="562">DV256/DQ256-1</f>
        <v>-8.6665182489487513E-2</v>
      </c>
      <c r="DW301" s="717">
        <f t="shared" ref="DW301" si="563">DW256/DR256-1</f>
        <v>-8.7674900109134701E-2</v>
      </c>
      <c r="DX301" s="717">
        <f t="shared" ref="DX301" si="564">DX256/DS256-1</f>
        <v>-8.7482051147938278E-2</v>
      </c>
      <c r="DY301" s="539">
        <f t="shared" ref="DY301" si="565">DY256/DT256-1</f>
        <v>-8.492331335412584E-2</v>
      </c>
    </row>
    <row r="302" spans="1:129" x14ac:dyDescent="0.2">
      <c r="A302" s="474"/>
      <c r="B302" s="802" t="s">
        <v>522</v>
      </c>
      <c r="C302" s="538"/>
      <c r="D302" s="538"/>
      <c r="E302" s="538"/>
      <c r="F302" s="538"/>
      <c r="G302" s="538"/>
      <c r="H302" s="538"/>
      <c r="I302" s="539"/>
      <c r="J302" s="538"/>
      <c r="K302" s="538"/>
      <c r="L302" s="538"/>
      <c r="M302" s="538"/>
      <c r="N302" s="539"/>
      <c r="O302" s="538"/>
      <c r="P302" s="538"/>
      <c r="Q302" s="538"/>
      <c r="R302" s="538"/>
      <c r="S302" s="539"/>
      <c r="T302" s="538"/>
      <c r="U302" s="538"/>
      <c r="V302" s="538"/>
      <c r="W302" s="538"/>
      <c r="X302" s="539"/>
      <c r="Y302" s="538"/>
      <c r="Z302" s="538"/>
      <c r="AA302" s="538"/>
      <c r="AB302" s="538"/>
      <c r="AC302" s="539"/>
      <c r="AD302" s="538"/>
      <c r="AE302" s="538"/>
      <c r="AF302" s="538"/>
      <c r="AG302" s="538"/>
      <c r="AH302" s="539"/>
      <c r="AI302" s="538"/>
      <c r="AJ302" s="538"/>
      <c r="AK302" s="538"/>
      <c r="AL302" s="538"/>
      <c r="AM302" s="539"/>
      <c r="AN302" s="538"/>
      <c r="AO302" s="538"/>
      <c r="AP302" s="538"/>
      <c r="AQ302" s="538"/>
      <c r="AR302" s="539"/>
      <c r="AS302" s="538"/>
      <c r="AT302" s="538"/>
      <c r="AU302" s="538"/>
      <c r="AV302" s="538"/>
      <c r="AW302" s="539"/>
      <c r="AX302" s="538"/>
      <c r="AY302" s="538"/>
      <c r="AZ302" s="538"/>
      <c r="BA302" s="538"/>
      <c r="BB302" s="539"/>
      <c r="BC302" s="538"/>
      <c r="BD302" s="538"/>
      <c r="BE302" s="538"/>
      <c r="BF302" s="538"/>
      <c r="BG302" s="539"/>
      <c r="BH302" s="538"/>
      <c r="BI302" s="538"/>
      <c r="BJ302" s="823">
        <v>-0.27481289341350923</v>
      </c>
      <c r="BK302" s="823">
        <v>-0.12361790055465216</v>
      </c>
      <c r="BL302" s="539"/>
      <c r="BM302" s="823">
        <v>3.7769310240705796</v>
      </c>
      <c r="BN302" s="823">
        <v>0.10044028016440754</v>
      </c>
      <c r="BO302" s="823">
        <v>3.240715266559846E-2</v>
      </c>
      <c r="BP302" s="823">
        <v>-5.5810467947547959E-2</v>
      </c>
      <c r="BQ302" s="806">
        <f>BQ297/BL297-1</f>
        <v>0.30201243102690567</v>
      </c>
      <c r="BR302" s="823">
        <v>-9.74816971996183E-2</v>
      </c>
      <c r="BS302" s="823">
        <v>-3.9531453574407127E-2</v>
      </c>
      <c r="BT302" s="823">
        <v>9.8807243385623522E-5</v>
      </c>
      <c r="BU302" s="823">
        <v>1.0371584005671508E-2</v>
      </c>
      <c r="BV302" s="806">
        <f>BV297/BQ297-1</f>
        <v>-2.7443401243834042E-3</v>
      </c>
      <c r="BW302" s="823">
        <v>-4.2070056628233932E-3</v>
      </c>
      <c r="BX302" s="823">
        <v>5.834886270211026E-2</v>
      </c>
      <c r="BY302" s="823">
        <v>-2.7092337353338269E-3</v>
      </c>
      <c r="BZ302" s="823">
        <v>3.8523288923819621E-4</v>
      </c>
      <c r="CA302" s="806">
        <f t="shared" ref="CA302:CZ302" si="566">CA297/BV297-1</f>
        <v>-5.2360524471424141E-2</v>
      </c>
      <c r="CB302" s="717">
        <f t="shared" si="566"/>
        <v>-0.34105172689478724</v>
      </c>
      <c r="CC302" s="717">
        <f t="shared" si="566"/>
        <v>-0.37199937894226098</v>
      </c>
      <c r="CD302" s="717">
        <f t="shared" si="566"/>
        <v>-0.22205663088693017</v>
      </c>
      <c r="CE302" s="717">
        <f t="shared" si="566"/>
        <v>-0.12739540216454703</v>
      </c>
      <c r="CF302" s="539">
        <f t="shared" si="566"/>
        <v>-0.25722539517078546</v>
      </c>
      <c r="CG302" s="717">
        <f t="shared" si="566"/>
        <v>-0.2326371281536338</v>
      </c>
      <c r="CH302" s="717">
        <f t="shared" si="566"/>
        <v>5.9183454981726058E-4</v>
      </c>
      <c r="CI302" s="717">
        <f t="shared" si="566"/>
        <v>6.59529456331025E-2</v>
      </c>
      <c r="CJ302" s="717">
        <f t="shared" si="566"/>
        <v>0.28830652111980215</v>
      </c>
      <c r="CK302" s="539">
        <f t="shared" si="566"/>
        <v>5.1166957905610877E-2</v>
      </c>
      <c r="CL302" s="717">
        <f t="shared" ca="1" si="566"/>
        <v>0.32060015950644405</v>
      </c>
      <c r="CM302" s="717">
        <f t="shared" si="566"/>
        <v>0.23090112533322893</v>
      </c>
      <c r="CN302" s="717">
        <f t="shared" si="566"/>
        <v>0.22417093952567591</v>
      </c>
      <c r="CO302" s="717">
        <f t="shared" si="566"/>
        <v>-0.11418577315791734</v>
      </c>
      <c r="CP302" s="539">
        <f t="shared" ca="1" si="566"/>
        <v>0.11358606930871584</v>
      </c>
      <c r="CQ302" s="717">
        <f t="shared" ca="1" si="566"/>
        <v>0.24643347597166443</v>
      </c>
      <c r="CR302" s="717">
        <f t="shared" si="566"/>
        <v>0.2566696021016508</v>
      </c>
      <c r="CS302" s="717">
        <f t="shared" si="566"/>
        <v>5.9719808245827011E-2</v>
      </c>
      <c r="CT302" s="717">
        <f t="shared" si="566"/>
        <v>-3.3326910052774439E-2</v>
      </c>
      <c r="CU302" s="539">
        <f t="shared" ca="1" si="566"/>
        <v>0.11198517868844848</v>
      </c>
      <c r="CV302" s="717">
        <f t="shared" si="566"/>
        <v>-8.9163737448704095E-2</v>
      </c>
      <c r="CW302" s="717">
        <f t="shared" si="566"/>
        <v>-0.13022581115663578</v>
      </c>
      <c r="CX302" s="717">
        <f t="shared" si="566"/>
        <v>-0.1369468165433273</v>
      </c>
      <c r="CY302" s="717">
        <f t="shared" si="566"/>
        <v>1.9342713142057155E-2</v>
      </c>
      <c r="CZ302" s="539">
        <f t="shared" si="566"/>
        <v>-8.5973223213257732E-2</v>
      </c>
      <c r="DA302" s="717">
        <f t="shared" ref="DA302:DJ302" si="567">DA297/CV297-1</f>
        <v>-0.13024345799127357</v>
      </c>
      <c r="DB302" s="717">
        <f t="shared" si="567"/>
        <v>-0.10104242382942641</v>
      </c>
      <c r="DC302" s="717">
        <f t="shared" si="567"/>
        <v>-9.0242395958972654E-4</v>
      </c>
      <c r="DD302" s="717">
        <f t="shared" si="567"/>
        <v>-9.9249968955761547E-2</v>
      </c>
      <c r="DE302" s="539">
        <f t="shared" si="567"/>
        <v>-7.7359511165829176E-2</v>
      </c>
      <c r="DF302" s="717">
        <f t="shared" si="567"/>
        <v>-8.4085437551554176E-2</v>
      </c>
      <c r="DG302" s="717">
        <f t="shared" si="567"/>
        <v>-1.4234252263971681E-2</v>
      </c>
      <c r="DH302" s="717">
        <f t="shared" si="567"/>
        <v>-0.13343971415313871</v>
      </c>
      <c r="DI302" s="2483">
        <f t="shared" si="567"/>
        <v>3.6481972235699933E-2</v>
      </c>
      <c r="DJ302" s="539">
        <f t="shared" si="567"/>
        <v>-5.0668079303410551E-2</v>
      </c>
      <c r="DK302" s="717">
        <f t="shared" ref="DK302:DT302" ca="1" si="568">DK297/DF297-1</f>
        <v>-3.8439565179849366E-2</v>
      </c>
      <c r="DL302" s="717">
        <f t="shared" ca="1" si="568"/>
        <v>-1.444715661062812E-2</v>
      </c>
      <c r="DM302" s="717">
        <f t="shared" ca="1" si="568"/>
        <v>2.1745465498967942E-3</v>
      </c>
      <c r="DN302" s="717">
        <f t="shared" ca="1" si="568"/>
        <v>-7.8907140674425058E-2</v>
      </c>
      <c r="DO302" s="539">
        <f t="shared" ca="1" si="568"/>
        <v>-3.2964423225394057E-2</v>
      </c>
      <c r="DP302" s="717">
        <f t="shared" ca="1" si="568"/>
        <v>6.2530325412263332E-2</v>
      </c>
      <c r="DQ302" s="717">
        <f t="shared" ca="1" si="568"/>
        <v>3.1996660509625796E-2</v>
      </c>
      <c r="DR302" s="717">
        <f t="shared" ca="1" si="568"/>
        <v>3.4025055368483104E-2</v>
      </c>
      <c r="DS302" s="717">
        <f t="shared" ca="1" si="568"/>
        <v>3.4029264929900549E-2</v>
      </c>
      <c r="DT302" s="539">
        <f t="shared" ca="1" si="568"/>
        <v>3.849171430978604E-2</v>
      </c>
      <c r="DU302" s="717">
        <f t="shared" ref="DU302" ca="1" si="569">DU297/DP297-1</f>
        <v>4.3355238448729239E-2</v>
      </c>
      <c r="DV302" s="717">
        <f t="shared" ref="DV302" ca="1" si="570">DV297/DQ297-1</f>
        <v>4.3768803519775412E-2</v>
      </c>
      <c r="DW302" s="717">
        <f t="shared" ref="DW302" ca="1" si="571">DW297/DR297-1</f>
        <v>4.3815104284141482E-2</v>
      </c>
      <c r="DX302" s="717">
        <f t="shared" ref="DX302" ca="1" si="572">DX297/DS297-1</f>
        <v>4.3566447942454234E-2</v>
      </c>
      <c r="DY302" s="539">
        <f t="shared" ref="DY302" ca="1" si="573">DY297/DT297-1</f>
        <v>4.3647799361810957E-2</v>
      </c>
    </row>
    <row r="303" spans="1:129" ht="12" thickBot="1" x14ac:dyDescent="0.25">
      <c r="A303" s="526"/>
      <c r="B303" s="757"/>
      <c r="C303" s="758"/>
      <c r="D303" s="758"/>
      <c r="E303" s="758"/>
      <c r="F303" s="758"/>
      <c r="G303" s="758"/>
      <c r="H303" s="758"/>
      <c r="I303" s="759"/>
      <c r="J303" s="758"/>
      <c r="K303" s="758"/>
      <c r="L303" s="758"/>
      <c r="M303" s="758"/>
      <c r="N303" s="759"/>
      <c r="O303" s="758"/>
      <c r="P303" s="758"/>
      <c r="Q303" s="758"/>
      <c r="R303" s="758"/>
      <c r="S303" s="759"/>
      <c r="T303" s="758"/>
      <c r="U303" s="758"/>
      <c r="V303" s="758"/>
      <c r="W303" s="758"/>
      <c r="X303" s="759"/>
      <c r="Y303" s="758"/>
      <c r="Z303" s="758"/>
      <c r="AA303" s="758"/>
      <c r="AB303" s="758"/>
      <c r="AC303" s="759"/>
      <c r="AD303" s="758"/>
      <c r="AE303" s="758"/>
      <c r="AF303" s="758"/>
      <c r="AG303" s="758"/>
      <c r="AH303" s="759"/>
      <c r="AI303" s="758"/>
      <c r="AJ303" s="758"/>
      <c r="AK303" s="758"/>
      <c r="AL303" s="758"/>
      <c r="AM303" s="759"/>
      <c r="AN303" s="758"/>
      <c r="AO303" s="758"/>
      <c r="AP303" s="758"/>
      <c r="AQ303" s="758"/>
      <c r="AR303" s="759"/>
      <c r="AS303" s="758"/>
      <c r="AT303" s="758"/>
      <c r="AU303" s="758"/>
      <c r="AV303" s="758"/>
      <c r="AW303" s="759"/>
      <c r="AX303" s="758"/>
      <c r="AY303" s="758"/>
      <c r="AZ303" s="758"/>
      <c r="BA303" s="758"/>
      <c r="BB303" s="759"/>
      <c r="BC303" s="758"/>
      <c r="BD303" s="758"/>
      <c r="BE303" s="758"/>
      <c r="BF303" s="758"/>
      <c r="BG303" s="759"/>
      <c r="BH303" s="758"/>
      <c r="BI303" s="758"/>
      <c r="BJ303" s="758"/>
      <c r="BK303" s="758"/>
      <c r="BL303" s="763"/>
      <c r="BM303" s="758"/>
      <c r="BN303" s="758"/>
      <c r="BO303" s="758"/>
      <c r="BP303" s="758"/>
      <c r="BQ303" s="763"/>
      <c r="BR303" s="758"/>
      <c r="BS303" s="758"/>
      <c r="BT303" s="758"/>
      <c r="BU303" s="758"/>
      <c r="BV303" s="763"/>
      <c r="BW303" s="760"/>
      <c r="BX303" s="760"/>
      <c r="BY303" s="760"/>
      <c r="BZ303" s="760"/>
      <c r="CA303" s="763"/>
      <c r="CB303" s="760"/>
      <c r="CC303" s="760"/>
      <c r="CD303" s="760"/>
      <c r="CE303" s="760"/>
      <c r="CF303" s="763"/>
      <c r="CG303" s="907"/>
      <c r="CH303" s="907"/>
      <c r="CI303" s="907"/>
      <c r="CJ303" s="907"/>
      <c r="CK303" s="763"/>
      <c r="CL303" s="907"/>
      <c r="CM303" s="907"/>
      <c r="CN303" s="907"/>
      <c r="CO303" s="907"/>
      <c r="CP303" s="763"/>
      <c r="CQ303" s="907"/>
      <c r="CR303" s="907"/>
      <c r="CS303" s="907"/>
      <c r="CT303" s="907"/>
      <c r="CU303" s="763"/>
      <c r="CV303" s="907"/>
      <c r="CW303" s="907"/>
      <c r="CX303" s="907"/>
      <c r="CY303" s="907"/>
      <c r="CZ303" s="763"/>
      <c r="DA303" s="907"/>
      <c r="DB303" s="907"/>
      <c r="DC303" s="907"/>
      <c r="DD303" s="907"/>
      <c r="DE303" s="763"/>
      <c r="DF303" s="907"/>
      <c r="DG303" s="907"/>
      <c r="DH303" s="907"/>
      <c r="DI303" s="2828"/>
      <c r="DJ303" s="763"/>
      <c r="DK303" s="907"/>
      <c r="DL303" s="907"/>
      <c r="DM303" s="907"/>
      <c r="DN303" s="907"/>
      <c r="DO303" s="763"/>
      <c r="DP303" s="907"/>
      <c r="DQ303" s="907"/>
      <c r="DR303" s="907"/>
      <c r="DS303" s="907"/>
      <c r="DT303" s="763"/>
      <c r="DU303" s="907"/>
      <c r="DV303" s="907"/>
      <c r="DW303" s="907"/>
      <c r="DX303" s="907"/>
      <c r="DY303" s="763"/>
    </row>
    <row r="304" spans="1:129" x14ac:dyDescent="0.2">
      <c r="A304" s="682"/>
      <c r="B304" s="682"/>
      <c r="C304" s="682"/>
      <c r="D304" s="682"/>
      <c r="E304" s="682"/>
      <c r="F304" s="682"/>
      <c r="G304" s="682"/>
      <c r="H304" s="682"/>
      <c r="I304" s="682"/>
      <c r="J304" s="682"/>
      <c r="K304" s="682"/>
      <c r="L304" s="682"/>
      <c r="M304" s="682"/>
      <c r="N304" s="682"/>
      <c r="O304" s="682"/>
      <c r="P304" s="682"/>
      <c r="Q304" s="682"/>
      <c r="R304" s="682"/>
      <c r="S304" s="682"/>
      <c r="T304" s="682"/>
      <c r="U304" s="682"/>
      <c r="V304" s="682"/>
      <c r="W304" s="682"/>
      <c r="X304" s="682"/>
      <c r="Y304" s="682"/>
      <c r="Z304" s="682"/>
      <c r="AA304" s="682"/>
      <c r="AB304" s="682"/>
      <c r="AC304" s="682"/>
      <c r="AD304" s="682"/>
      <c r="AE304" s="682"/>
      <c r="AF304" s="682"/>
      <c r="AG304" s="682"/>
      <c r="AH304" s="682"/>
      <c r="AI304" s="682"/>
      <c r="AJ304" s="682"/>
      <c r="AK304" s="682"/>
      <c r="AL304" s="682"/>
      <c r="AM304" s="682"/>
      <c r="AN304" s="682"/>
      <c r="AO304" s="682"/>
      <c r="AP304" s="682"/>
      <c r="AQ304" s="682"/>
      <c r="AR304" s="682"/>
      <c r="AS304" s="682"/>
      <c r="AT304" s="682"/>
      <c r="AU304" s="682"/>
      <c r="AV304" s="682"/>
      <c r="AW304" s="682"/>
      <c r="AX304" s="682"/>
      <c r="AY304" s="682"/>
      <c r="AZ304" s="682"/>
      <c r="BA304" s="682"/>
      <c r="BB304" s="682"/>
      <c r="BC304" s="682"/>
      <c r="BD304" s="682"/>
      <c r="BE304" s="682"/>
      <c r="BF304" s="682"/>
      <c r="BG304" s="682"/>
      <c r="BH304" s="682"/>
      <c r="BI304" s="682"/>
      <c r="BJ304" s="682"/>
      <c r="BK304" s="682"/>
      <c r="BL304" s="682"/>
      <c r="BM304" s="682"/>
      <c r="BN304" s="682"/>
      <c r="BO304" s="682"/>
      <c r="BP304" s="682"/>
      <c r="BQ304" s="682"/>
      <c r="BR304" s="682"/>
      <c r="BS304" s="682"/>
      <c r="BT304" s="682"/>
      <c r="BU304" s="682"/>
      <c r="BV304" s="682"/>
      <c r="BW304" s="682"/>
      <c r="BX304" s="682"/>
      <c r="BY304" s="682"/>
      <c r="BZ304" s="682"/>
      <c r="CA304" s="682"/>
      <c r="CB304" s="682"/>
      <c r="CC304" s="682"/>
      <c r="CD304" s="682"/>
      <c r="CE304" s="682"/>
      <c r="CF304" s="682"/>
      <c r="CG304" s="682"/>
      <c r="CH304" s="682"/>
      <c r="CI304" s="682"/>
      <c r="CJ304" s="682"/>
      <c r="CK304" s="682"/>
      <c r="CL304" s="682"/>
      <c r="CM304" s="682"/>
      <c r="CN304" s="682"/>
      <c r="CO304" s="682"/>
      <c r="CP304" s="682"/>
      <c r="CQ304" s="682"/>
      <c r="CR304" s="682"/>
      <c r="CS304" s="682"/>
      <c r="CT304" s="682"/>
      <c r="CU304" s="682"/>
      <c r="CV304" s="682"/>
      <c r="CW304" s="682"/>
      <c r="CX304" s="682"/>
      <c r="CY304" s="682"/>
      <c r="CZ304" s="682"/>
      <c r="DA304" s="682"/>
      <c r="DB304" s="682"/>
      <c r="DC304" s="682"/>
      <c r="DD304" s="682"/>
      <c r="DE304" s="682"/>
      <c r="DF304" s="682"/>
      <c r="DG304" s="682"/>
      <c r="DH304" s="682"/>
      <c r="DI304" s="1610"/>
      <c r="DJ304" s="682"/>
      <c r="DK304" s="682"/>
      <c r="DL304" s="682"/>
      <c r="DM304" s="682"/>
      <c r="DN304" s="682"/>
      <c r="DO304" s="682"/>
      <c r="DP304" s="682"/>
      <c r="DQ304" s="682"/>
      <c r="DR304" s="682"/>
      <c r="DS304" s="682"/>
      <c r="DT304" s="682"/>
      <c r="DU304" s="682"/>
      <c r="DV304" s="682"/>
      <c r="DW304" s="682"/>
      <c r="DX304" s="682"/>
      <c r="DY304" s="682"/>
    </row>
    <row r="305" spans="1:129" ht="12" thickBot="1" x14ac:dyDescent="0.25">
      <c r="A305" s="682"/>
      <c r="B305" s="682"/>
      <c r="C305" s="682"/>
      <c r="D305" s="682"/>
      <c r="E305" s="682"/>
      <c r="F305" s="682"/>
      <c r="G305" s="682"/>
      <c r="H305" s="682"/>
      <c r="I305" s="682"/>
      <c r="J305" s="682"/>
      <c r="K305" s="682"/>
      <c r="L305" s="682"/>
      <c r="M305" s="682"/>
      <c r="N305" s="682"/>
      <c r="O305" s="682"/>
      <c r="P305" s="682"/>
      <c r="Q305" s="682"/>
      <c r="R305" s="682"/>
      <c r="S305" s="682"/>
      <c r="T305" s="682"/>
      <c r="U305" s="682"/>
      <c r="V305" s="682"/>
      <c r="W305" s="682"/>
      <c r="X305" s="682"/>
      <c r="Y305" s="682"/>
      <c r="Z305" s="682"/>
      <c r="AA305" s="682"/>
      <c r="AB305" s="682"/>
      <c r="AC305" s="682"/>
      <c r="AD305" s="682"/>
      <c r="AE305" s="682"/>
      <c r="AF305" s="682"/>
      <c r="AG305" s="682"/>
      <c r="AH305" s="682"/>
      <c r="AI305" s="682"/>
      <c r="AJ305" s="682"/>
      <c r="AK305" s="682"/>
      <c r="AL305" s="682"/>
      <c r="AM305" s="682"/>
      <c r="AN305" s="682"/>
      <c r="AO305" s="682"/>
      <c r="AP305" s="682"/>
      <c r="AQ305" s="682"/>
      <c r="AR305" s="682"/>
      <c r="AS305" s="682"/>
      <c r="AT305" s="682"/>
      <c r="AU305" s="682"/>
      <c r="AV305" s="682"/>
      <c r="AW305" s="682"/>
      <c r="AX305" s="682"/>
      <c r="AY305" s="682"/>
      <c r="AZ305" s="682"/>
      <c r="BA305" s="682"/>
      <c r="BB305" s="682"/>
      <c r="BC305" s="682"/>
      <c r="BD305" s="682"/>
      <c r="BE305" s="682"/>
      <c r="BF305" s="682"/>
      <c r="BG305" s="682"/>
      <c r="BH305" s="682"/>
      <c r="BI305" s="682"/>
      <c r="BJ305" s="682"/>
      <c r="BK305" s="682"/>
      <c r="BL305" s="682"/>
      <c r="BM305" s="682"/>
      <c r="BN305" s="682"/>
      <c r="BO305" s="682"/>
      <c r="BP305" s="682"/>
      <c r="BQ305" s="682"/>
      <c r="BR305" s="682"/>
      <c r="BS305" s="682"/>
      <c r="BT305" s="682"/>
      <c r="BU305" s="682"/>
      <c r="BV305" s="682"/>
      <c r="BW305" s="682"/>
      <c r="BX305" s="682"/>
      <c r="BY305" s="682"/>
      <c r="BZ305" s="682"/>
      <c r="CA305" s="682"/>
      <c r="CB305" s="682"/>
      <c r="CC305" s="682"/>
      <c r="CD305" s="682"/>
      <c r="CE305" s="682"/>
      <c r="CF305" s="682"/>
      <c r="CG305" s="682"/>
      <c r="CH305" s="682"/>
      <c r="CI305" s="682"/>
      <c r="CJ305" s="682"/>
      <c r="CK305" s="682"/>
      <c r="CL305" s="682"/>
      <c r="CM305" s="682"/>
      <c r="CN305" s="682"/>
      <c r="CO305" s="682"/>
      <c r="CP305" s="682"/>
      <c r="CQ305" s="682"/>
      <c r="CR305" s="682"/>
      <c r="CS305" s="682"/>
      <c r="CT305" s="682"/>
      <c r="CU305" s="682"/>
      <c r="CV305" s="682"/>
      <c r="CW305" s="682"/>
      <c r="CX305" s="682"/>
      <c r="CY305" s="682"/>
      <c r="CZ305" s="682"/>
      <c r="DA305" s="682"/>
      <c r="DB305" s="682"/>
      <c r="DC305" s="682"/>
      <c r="DD305" s="682"/>
      <c r="DE305" s="682"/>
      <c r="DF305" s="682"/>
      <c r="DG305" s="682"/>
      <c r="DH305" s="682"/>
      <c r="DI305" s="1610"/>
      <c r="DJ305" s="682"/>
      <c r="DK305" s="682"/>
      <c r="DL305" s="682"/>
      <c r="DM305" s="682"/>
      <c r="DN305" s="682"/>
      <c r="DO305" s="682"/>
      <c r="DP305" s="682"/>
      <c r="DQ305" s="682"/>
      <c r="DR305" s="682"/>
      <c r="DS305" s="682"/>
      <c r="DT305" s="682"/>
      <c r="DU305" s="682"/>
      <c r="DV305" s="682"/>
      <c r="DW305" s="682"/>
      <c r="DX305" s="682"/>
      <c r="DY305" s="682"/>
    </row>
    <row r="306" spans="1:129" ht="12" thickBot="1" x14ac:dyDescent="0.25">
      <c r="A306" s="526"/>
      <c r="B306" s="685" t="s">
        <v>812</v>
      </c>
      <c r="C306" s="686"/>
      <c r="D306" s="686"/>
      <c r="E306" s="686"/>
      <c r="F306" s="686"/>
      <c r="G306" s="686"/>
      <c r="H306" s="686"/>
      <c r="I306" s="687"/>
      <c r="J306" s="686"/>
      <c r="K306" s="686"/>
      <c r="L306" s="686"/>
      <c r="M306" s="686"/>
      <c r="N306" s="687"/>
      <c r="O306" s="686"/>
      <c r="P306" s="686"/>
      <c r="Q306" s="686"/>
      <c r="R306" s="686"/>
      <c r="S306" s="687"/>
      <c r="T306" s="686"/>
      <c r="U306" s="686"/>
      <c r="V306" s="686"/>
      <c r="W306" s="686"/>
      <c r="X306" s="687"/>
      <c r="Y306" s="686"/>
      <c r="Z306" s="686"/>
      <c r="AA306" s="686"/>
      <c r="AB306" s="686"/>
      <c r="AC306" s="687"/>
      <c r="AD306" s="686"/>
      <c r="AE306" s="686"/>
      <c r="AF306" s="686"/>
      <c r="AG306" s="686"/>
      <c r="AH306" s="687"/>
      <c r="AI306" s="686"/>
      <c r="AJ306" s="686"/>
      <c r="AK306" s="686"/>
      <c r="AL306" s="686"/>
      <c r="AM306" s="687"/>
      <c r="AN306" s="686"/>
      <c r="AO306" s="686"/>
      <c r="AP306" s="686"/>
      <c r="AQ306" s="686"/>
      <c r="AR306" s="687"/>
      <c r="AS306" s="686"/>
      <c r="AT306" s="686"/>
      <c r="AU306" s="686"/>
      <c r="AV306" s="686"/>
      <c r="AW306" s="687"/>
      <c r="AX306" s="686"/>
      <c r="AY306" s="686"/>
      <c r="AZ306" s="686"/>
      <c r="BA306" s="686"/>
      <c r="BB306" s="687"/>
      <c r="BC306" s="686"/>
      <c r="BD306" s="686"/>
      <c r="BE306" s="686"/>
      <c r="BF306" s="686"/>
      <c r="BG306" s="687"/>
      <c r="BH306" s="686"/>
      <c r="BI306" s="686"/>
      <c r="BJ306" s="686"/>
      <c r="BK306" s="686"/>
      <c r="BL306" s="687"/>
      <c r="BM306" s="686"/>
      <c r="BN306" s="686"/>
      <c r="BO306" s="686"/>
      <c r="BP306" s="686"/>
      <c r="BQ306" s="687"/>
      <c r="BR306" s="686"/>
      <c r="BS306" s="686"/>
      <c r="BT306" s="686"/>
      <c r="BU306" s="686"/>
      <c r="BV306" s="687"/>
      <c r="BW306" s="686"/>
      <c r="BX306" s="686"/>
      <c r="BY306" s="686"/>
      <c r="BZ306" s="686"/>
      <c r="CA306" s="687"/>
      <c r="CB306" s="686"/>
      <c r="CC306" s="686"/>
      <c r="CD306" s="686"/>
      <c r="CE306" s="686"/>
      <c r="CF306" s="687"/>
      <c r="CG306" s="686"/>
      <c r="CH306" s="686"/>
      <c r="CI306" s="686"/>
      <c r="CJ306" s="686"/>
      <c r="CK306" s="687"/>
      <c r="CL306" s="686"/>
      <c r="CM306" s="686"/>
      <c r="CN306" s="686"/>
      <c r="CO306" s="686"/>
      <c r="CP306" s="687"/>
      <c r="CQ306" s="686"/>
      <c r="CR306" s="686"/>
      <c r="CS306" s="686"/>
      <c r="CT306" s="686"/>
      <c r="CU306" s="687"/>
      <c r="CV306" s="686"/>
      <c r="CW306" s="686"/>
      <c r="CX306" s="686"/>
      <c r="CY306" s="686"/>
      <c r="CZ306" s="687"/>
      <c r="DA306" s="686"/>
      <c r="DB306" s="686"/>
      <c r="DC306" s="686"/>
      <c r="DD306" s="686"/>
      <c r="DE306" s="687"/>
      <c r="DF306" s="686"/>
      <c r="DG306" s="686"/>
      <c r="DH306" s="686"/>
      <c r="DI306" s="2803"/>
      <c r="DJ306" s="687"/>
      <c r="DK306" s="686"/>
      <c r="DL306" s="686"/>
      <c r="DM306" s="686"/>
      <c r="DN306" s="686"/>
      <c r="DO306" s="687"/>
      <c r="DP306" s="686"/>
      <c r="DQ306" s="686"/>
      <c r="DR306" s="686"/>
      <c r="DS306" s="686"/>
      <c r="DT306" s="687"/>
      <c r="DU306" s="686"/>
      <c r="DV306" s="686"/>
      <c r="DW306" s="686"/>
      <c r="DX306" s="686"/>
      <c r="DY306" s="687"/>
    </row>
    <row r="307" spans="1:129" ht="6" customHeight="1" x14ac:dyDescent="0.2">
      <c r="A307" s="526"/>
      <c r="B307" s="756"/>
      <c r="C307" s="597"/>
      <c r="D307" s="597"/>
      <c r="E307" s="597"/>
      <c r="F307" s="597"/>
      <c r="G307" s="597"/>
      <c r="H307" s="597"/>
      <c r="I307" s="598"/>
      <c r="J307" s="597"/>
      <c r="K307" s="597"/>
      <c r="L307" s="597"/>
      <c r="M307" s="597"/>
      <c r="N307" s="598"/>
      <c r="O307" s="743"/>
      <c r="P307" s="743"/>
      <c r="Q307" s="743"/>
      <c r="R307" s="743"/>
      <c r="S307" s="598"/>
      <c r="T307" s="743"/>
      <c r="U307" s="743"/>
      <c r="V307" s="743"/>
      <c r="W307" s="743"/>
      <c r="X307" s="598"/>
      <c r="Y307" s="743"/>
      <c r="Z307" s="743"/>
      <c r="AA307" s="743"/>
      <c r="AB307" s="743"/>
      <c r="AC307" s="598"/>
      <c r="AD307" s="743"/>
      <c r="AE307" s="743"/>
      <c r="AF307" s="743"/>
      <c r="AG307" s="743"/>
      <c r="AH307" s="598"/>
      <c r="AI307" s="743"/>
      <c r="AJ307" s="743"/>
      <c r="AK307" s="743"/>
      <c r="AL307" s="743"/>
      <c r="AM307" s="598"/>
      <c r="AN307" s="743"/>
      <c r="AO307" s="743"/>
      <c r="AP307" s="743"/>
      <c r="AQ307" s="743"/>
      <c r="AR307" s="598"/>
      <c r="AS307" s="743"/>
      <c r="AT307" s="743"/>
      <c r="AU307" s="743"/>
      <c r="AV307" s="743"/>
      <c r="AW307" s="598"/>
      <c r="AX307" s="743"/>
      <c r="AY307" s="743"/>
      <c r="AZ307" s="743"/>
      <c r="BA307" s="743"/>
      <c r="BB307" s="598"/>
      <c r="BC307" s="743"/>
      <c r="BD307" s="743"/>
      <c r="BE307" s="743"/>
      <c r="BF307" s="743"/>
      <c r="BG307" s="598"/>
      <c r="BH307" s="743"/>
      <c r="BI307" s="743"/>
      <c r="BJ307" s="743"/>
      <c r="BK307" s="743"/>
      <c r="BL307" s="849"/>
      <c r="BM307" s="743"/>
      <c r="BN307" s="743"/>
      <c r="BO307" s="743"/>
      <c r="BP307" s="743"/>
      <c r="BQ307" s="849"/>
      <c r="BR307" s="743"/>
      <c r="BS307" s="743"/>
      <c r="BT307" s="743"/>
      <c r="BU307" s="743"/>
      <c r="BV307" s="849"/>
      <c r="BW307" s="743"/>
      <c r="BX307" s="743"/>
      <c r="BY307" s="743"/>
      <c r="BZ307" s="743"/>
      <c r="CA307" s="849"/>
      <c r="CB307" s="743"/>
      <c r="CC307" s="743"/>
      <c r="CD307" s="743"/>
      <c r="CE307" s="743"/>
      <c r="CF307" s="849"/>
      <c r="CG307" s="820"/>
      <c r="CH307" s="820"/>
      <c r="CI307" s="820"/>
      <c r="CJ307" s="820"/>
      <c r="CK307" s="849"/>
      <c r="CL307" s="820"/>
      <c r="CM307" s="820"/>
      <c r="CN307" s="820"/>
      <c r="CO307" s="820"/>
      <c r="CP307" s="849"/>
      <c r="CQ307" s="820"/>
      <c r="CR307" s="820"/>
      <c r="CS307" s="820"/>
      <c r="CT307" s="820"/>
      <c r="CU307" s="849"/>
      <c r="CV307" s="820"/>
      <c r="CW307" s="820"/>
      <c r="CX307" s="820"/>
      <c r="CY307" s="820"/>
      <c r="CZ307" s="849"/>
      <c r="DA307" s="820"/>
      <c r="DB307" s="820"/>
      <c r="DC307" s="820"/>
      <c r="DD307" s="820"/>
      <c r="DE307" s="849"/>
      <c r="DF307" s="820"/>
      <c r="DG307" s="820"/>
      <c r="DH307" s="820"/>
      <c r="DI307" s="2815"/>
      <c r="DJ307" s="849"/>
      <c r="DK307" s="820"/>
      <c r="DL307" s="820"/>
      <c r="DM307" s="820"/>
      <c r="DN307" s="820"/>
      <c r="DO307" s="849"/>
      <c r="DP307" s="820"/>
      <c r="DQ307" s="820"/>
      <c r="DR307" s="820"/>
      <c r="DS307" s="820"/>
      <c r="DT307" s="849"/>
      <c r="DU307" s="820"/>
      <c r="DV307" s="820"/>
      <c r="DW307" s="820"/>
      <c r="DX307" s="820"/>
      <c r="DY307" s="849"/>
    </row>
    <row r="308" spans="1:129" x14ac:dyDescent="0.2">
      <c r="A308" s="668"/>
      <c r="B308" s="690" t="s">
        <v>813</v>
      </c>
      <c r="C308" s="670"/>
      <c r="D308" s="670"/>
      <c r="E308" s="670"/>
      <c r="F308" s="670"/>
      <c r="G308" s="670"/>
      <c r="H308" s="670"/>
      <c r="I308" s="949"/>
      <c r="J308" s="670"/>
      <c r="K308" s="670"/>
      <c r="L308" s="670"/>
      <c r="M308" s="670"/>
      <c r="N308" s="949"/>
      <c r="O308" s="951"/>
      <c r="P308" s="951"/>
      <c r="Q308" s="951"/>
      <c r="R308" s="951"/>
      <c r="S308" s="949"/>
      <c r="T308" s="951"/>
      <c r="U308" s="951"/>
      <c r="V308" s="951"/>
      <c r="W308" s="951"/>
      <c r="X308" s="949"/>
      <c r="Y308" s="951"/>
      <c r="Z308" s="951"/>
      <c r="AA308" s="951"/>
      <c r="AB308" s="951"/>
      <c r="AC308" s="949"/>
      <c r="AD308" s="951"/>
      <c r="AE308" s="951"/>
      <c r="AF308" s="951"/>
      <c r="AG308" s="951"/>
      <c r="AH308" s="949"/>
      <c r="AI308" s="951"/>
      <c r="AJ308" s="951"/>
      <c r="AK308" s="951"/>
      <c r="AL308" s="951"/>
      <c r="AM308" s="949"/>
      <c r="AN308" s="951"/>
      <c r="AO308" s="951"/>
      <c r="AP308" s="951"/>
      <c r="AQ308" s="951"/>
      <c r="AR308" s="949"/>
      <c r="AS308" s="951"/>
      <c r="AT308" s="951"/>
      <c r="AU308" s="951"/>
      <c r="AV308" s="951"/>
      <c r="AW308" s="949"/>
      <c r="AX308" s="951"/>
      <c r="AY308" s="951"/>
      <c r="AZ308" s="951"/>
      <c r="BA308" s="951"/>
      <c r="BB308" s="949"/>
      <c r="BC308" s="951"/>
      <c r="BD308" s="951"/>
      <c r="BE308" s="951"/>
      <c r="BF308" s="951"/>
      <c r="BG308" s="949"/>
      <c r="BH308" s="952">
        <v>0.58199999999999996</v>
      </c>
      <c r="BI308" s="952">
        <v>0.59599999999999997</v>
      </c>
      <c r="BJ308" s="952">
        <v>0.60099999999999998</v>
      </c>
      <c r="BK308" s="952">
        <v>0.62</v>
      </c>
      <c r="BL308" s="953">
        <v>0.60099999999999998</v>
      </c>
      <c r="BM308" s="952">
        <v>0.64100000000000001</v>
      </c>
      <c r="BN308" s="952">
        <v>0.64500000000000002</v>
      </c>
      <c r="BO308" s="952">
        <v>0.65100000000000002</v>
      </c>
      <c r="BP308" s="952">
        <v>0.65891156595540923</v>
      </c>
      <c r="BQ308" s="953">
        <v>0.65100000000000002</v>
      </c>
      <c r="BR308" s="952">
        <v>0.6654968902038817</v>
      </c>
      <c r="BS308" s="952">
        <v>0.67800000000000005</v>
      </c>
      <c r="BT308" s="952">
        <v>0.67329660422718618</v>
      </c>
      <c r="BU308" s="952">
        <v>0.68899999999999995</v>
      </c>
      <c r="BV308" s="954">
        <f>BV311*BV90/BV93+BV314*BV79/BV93</f>
        <v>0.68026909643128319</v>
      </c>
      <c r="BW308" s="952">
        <v>0.70399999999999996</v>
      </c>
      <c r="BX308" s="952">
        <v>0.71</v>
      </c>
      <c r="BY308" s="952">
        <v>0.72</v>
      </c>
      <c r="BZ308" s="952">
        <v>0.72799999999999998</v>
      </c>
      <c r="CA308" s="954">
        <f>CA311*CA90/CA93+CA314*CA79/CA93</f>
        <v>0.71450829201572907</v>
      </c>
      <c r="CB308" s="952">
        <v>0.73799999999999999</v>
      </c>
      <c r="CC308" s="952">
        <v>0.74099999999999999</v>
      </c>
      <c r="CD308" s="952">
        <v>0.74299999999999999</v>
      </c>
      <c r="CE308" s="952">
        <v>0.75</v>
      </c>
      <c r="CF308" s="955">
        <f>CF311*CF90/CF93+CF314*CF79/CF93</f>
        <v>0.74305450160481112</v>
      </c>
      <c r="CG308" s="952">
        <v>0.76500000000000001</v>
      </c>
      <c r="CH308" s="956">
        <v>0.78</v>
      </c>
      <c r="CI308" s="956">
        <v>0.79300000000000004</v>
      </c>
      <c r="CJ308" s="956">
        <v>0.8</v>
      </c>
      <c r="CK308" s="955">
        <f>CK311*CK90/CK93+CK314*CK79/CK93</f>
        <v>0.78423783182197593</v>
      </c>
      <c r="CL308" s="952">
        <v>0.80500000000000005</v>
      </c>
      <c r="CM308" s="952">
        <v>0.80700000000000005</v>
      </c>
      <c r="CN308" s="952">
        <v>0.81499999999999995</v>
      </c>
      <c r="CO308" s="952">
        <v>0.81100000000000005</v>
      </c>
      <c r="CP308" s="955">
        <f>CP311*CP90/CP93+CP314*CP79/CP93</f>
        <v>0.80809689578713961</v>
      </c>
      <c r="CQ308" s="952">
        <v>0.82399999999999995</v>
      </c>
      <c r="CR308" s="952">
        <v>0.82399999999999995</v>
      </c>
      <c r="CS308" s="952">
        <v>0.82499999999999996</v>
      </c>
      <c r="CT308" s="952">
        <v>0.82099999999999995</v>
      </c>
      <c r="CU308" s="955">
        <f>CU311*CU90/CU93+CU314*CU79/CU93</f>
        <v>0.82324873913510033</v>
      </c>
      <c r="CV308" s="952">
        <v>0.83499999999999996</v>
      </c>
      <c r="CW308" s="952">
        <v>0.83899999999999997</v>
      </c>
      <c r="CX308" s="952">
        <v>0.83819999999999995</v>
      </c>
      <c r="CY308" s="952">
        <v>0.83699999999999997</v>
      </c>
      <c r="CZ308" s="955">
        <f>CZ311*CZ90/CZ93+CZ314*CZ79/CZ93</f>
        <v>0.82938223713984005</v>
      </c>
      <c r="DA308" s="952">
        <v>0.85199999999999998</v>
      </c>
      <c r="DB308" s="952">
        <v>0.85399999999999998</v>
      </c>
      <c r="DC308" s="952">
        <v>0.85399999999999998</v>
      </c>
      <c r="DD308" s="952">
        <v>0.85399999999999998</v>
      </c>
      <c r="DE308" s="955">
        <f t="shared" ref="DE308:DJ308" si="574">DE311*DE90/DE93+DE314*DE79/DE93</f>
        <v>0.84737969741337238</v>
      </c>
      <c r="DF308" s="952">
        <v>0.87</v>
      </c>
      <c r="DG308" s="952">
        <v>0.872</v>
      </c>
      <c r="DH308" s="952">
        <v>0.87</v>
      </c>
      <c r="DI308" s="952">
        <v>0.86883220715558906</v>
      </c>
      <c r="DJ308" s="955">
        <f t="shared" si="574"/>
        <v>0.86893477707795841</v>
      </c>
      <c r="DK308" s="958">
        <f t="shared" ref="DK308:DT308" si="575">DK311*DK90/DK93+DK314*DK79/DK93</f>
        <v>0.87135034523839794</v>
      </c>
      <c r="DL308" s="957">
        <f t="shared" si="575"/>
        <v>0.87407450835141631</v>
      </c>
      <c r="DM308" s="957">
        <f t="shared" si="575"/>
        <v>0.87617459785682794</v>
      </c>
      <c r="DN308" s="957">
        <f t="shared" si="575"/>
        <v>0.8789245503267229</v>
      </c>
      <c r="DO308" s="955">
        <f t="shared" si="575"/>
        <v>0.87517801042867749</v>
      </c>
      <c r="DP308" s="958">
        <f t="shared" si="575"/>
        <v>0.88132795762116278</v>
      </c>
      <c r="DQ308" s="957">
        <f t="shared" si="575"/>
        <v>0.88407575060044685</v>
      </c>
      <c r="DR308" s="957">
        <f t="shared" si="575"/>
        <v>0.88619341276270991</v>
      </c>
      <c r="DS308" s="957">
        <f t="shared" si="575"/>
        <v>0.88893548907325259</v>
      </c>
      <c r="DT308" s="955">
        <f t="shared" si="575"/>
        <v>0.88518028136751115</v>
      </c>
      <c r="DU308" s="958">
        <f t="shared" ref="DU308:DY308" si="576">DU311*DU90/DU93+DU314*DU79/DU93</f>
        <v>0.89129823259439878</v>
      </c>
      <c r="DV308" s="957">
        <f t="shared" si="576"/>
        <v>0.89406948973633771</v>
      </c>
      <c r="DW308" s="957">
        <f t="shared" si="576"/>
        <v>0.89620460027272353</v>
      </c>
      <c r="DX308" s="957">
        <f t="shared" si="576"/>
        <v>0.89893885165951537</v>
      </c>
      <c r="DY308" s="955">
        <f t="shared" si="576"/>
        <v>0.89517503990824676</v>
      </c>
    </row>
    <row r="309" spans="1:129" x14ac:dyDescent="0.2">
      <c r="A309" s="611"/>
      <c r="B309" s="612" t="s">
        <v>814</v>
      </c>
      <c r="C309" s="815"/>
      <c r="D309" s="815"/>
      <c r="E309" s="815"/>
      <c r="F309" s="815"/>
      <c r="G309" s="815"/>
      <c r="H309" s="815"/>
      <c r="I309" s="817"/>
      <c r="J309" s="815"/>
      <c r="K309" s="815"/>
      <c r="L309" s="815"/>
      <c r="M309" s="815"/>
      <c r="N309" s="817"/>
      <c r="O309" s="816"/>
      <c r="P309" s="816"/>
      <c r="Q309" s="816"/>
      <c r="R309" s="816"/>
      <c r="S309" s="817"/>
      <c r="T309" s="816"/>
      <c r="U309" s="816"/>
      <c r="V309" s="816"/>
      <c r="W309" s="816"/>
      <c r="X309" s="817"/>
      <c r="Y309" s="816"/>
      <c r="Z309" s="816"/>
      <c r="AA309" s="816"/>
      <c r="AB309" s="816"/>
      <c r="AC309" s="817"/>
      <c r="AD309" s="816"/>
      <c r="AE309" s="816"/>
      <c r="AF309" s="816"/>
      <c r="AG309" s="816"/>
      <c r="AH309" s="817"/>
      <c r="AI309" s="816"/>
      <c r="AJ309" s="816"/>
      <c r="AK309" s="816"/>
      <c r="AL309" s="816"/>
      <c r="AM309" s="817"/>
      <c r="AN309" s="816"/>
      <c r="AO309" s="816"/>
      <c r="AP309" s="816"/>
      <c r="AQ309" s="816"/>
      <c r="AR309" s="817"/>
      <c r="AS309" s="816"/>
      <c r="AT309" s="816"/>
      <c r="AU309" s="816"/>
      <c r="AV309" s="816"/>
      <c r="AW309" s="817"/>
      <c r="AX309" s="816"/>
      <c r="AY309" s="816"/>
      <c r="AZ309" s="816"/>
      <c r="BA309" s="816"/>
      <c r="BB309" s="817"/>
      <c r="BC309" s="816"/>
      <c r="BD309" s="816"/>
      <c r="BE309" s="816"/>
      <c r="BF309" s="816"/>
      <c r="BG309" s="817"/>
      <c r="BH309" s="816"/>
      <c r="BI309" s="816"/>
      <c r="BJ309" s="816"/>
      <c r="BK309" s="816"/>
      <c r="BL309" s="939"/>
      <c r="BM309" s="959">
        <f t="shared" ref="BM309:DI309" si="577">(BM308-BH308)*10000</f>
        <v>590.00000000000057</v>
      </c>
      <c r="BN309" s="959">
        <f t="shared" si="577"/>
        <v>490.00000000000045</v>
      </c>
      <c r="BO309" s="959">
        <f t="shared" si="577"/>
        <v>500.00000000000045</v>
      </c>
      <c r="BP309" s="959">
        <f t="shared" si="577"/>
        <v>389.1156595540923</v>
      </c>
      <c r="BQ309" s="960">
        <f t="shared" si="577"/>
        <v>500.00000000000045</v>
      </c>
      <c r="BR309" s="959">
        <f t="shared" si="577"/>
        <v>244.96890203881682</v>
      </c>
      <c r="BS309" s="959">
        <f t="shared" si="577"/>
        <v>330.00000000000028</v>
      </c>
      <c r="BT309" s="959">
        <f t="shared" si="577"/>
        <v>222.96604227186157</v>
      </c>
      <c r="BU309" s="959">
        <f t="shared" si="577"/>
        <v>300.88434044590718</v>
      </c>
      <c r="BV309" s="960">
        <f t="shared" si="577"/>
        <v>292.69096431283168</v>
      </c>
      <c r="BW309" s="959">
        <f t="shared" si="577"/>
        <v>385.03109796118264</v>
      </c>
      <c r="BX309" s="959">
        <f t="shared" si="577"/>
        <v>319.99999999999915</v>
      </c>
      <c r="BY309" s="959">
        <f t="shared" si="577"/>
        <v>467.03395772813792</v>
      </c>
      <c r="BZ309" s="959">
        <f t="shared" si="577"/>
        <v>390.00000000000034</v>
      </c>
      <c r="CA309" s="960">
        <f t="shared" si="577"/>
        <v>342.39195584445883</v>
      </c>
      <c r="CB309" s="959">
        <f t="shared" si="577"/>
        <v>340.00000000000028</v>
      </c>
      <c r="CC309" s="959">
        <f t="shared" si="577"/>
        <v>310.00000000000028</v>
      </c>
      <c r="CD309" s="959">
        <f t="shared" si="577"/>
        <v>230.0000000000002</v>
      </c>
      <c r="CE309" s="959">
        <f t="shared" si="577"/>
        <v>220.0000000000002</v>
      </c>
      <c r="CF309" s="960">
        <f t="shared" si="577"/>
        <v>285.46209589082048</v>
      </c>
      <c r="CG309" s="961">
        <f t="shared" si="577"/>
        <v>270.00000000000023</v>
      </c>
      <c r="CH309" s="961">
        <f t="shared" si="577"/>
        <v>390.00000000000034</v>
      </c>
      <c r="CI309" s="961">
        <f t="shared" si="577"/>
        <v>500.00000000000045</v>
      </c>
      <c r="CJ309" s="961">
        <f t="shared" si="577"/>
        <v>500.00000000000045</v>
      </c>
      <c r="CK309" s="960">
        <f t="shared" si="577"/>
        <v>411.83330217164803</v>
      </c>
      <c r="CL309" s="961">
        <f t="shared" si="577"/>
        <v>400.00000000000034</v>
      </c>
      <c r="CM309" s="961">
        <f t="shared" si="577"/>
        <v>270.00000000000023</v>
      </c>
      <c r="CN309" s="961">
        <f t="shared" si="577"/>
        <v>219.99999999999909</v>
      </c>
      <c r="CO309" s="961">
        <f t="shared" si="577"/>
        <v>110.0000000000001</v>
      </c>
      <c r="CP309" s="960">
        <f t="shared" si="577"/>
        <v>238.59063965163685</v>
      </c>
      <c r="CQ309" s="961">
        <f t="shared" si="577"/>
        <v>189.99999999999906</v>
      </c>
      <c r="CR309" s="961">
        <f t="shared" si="577"/>
        <v>169.99999999999903</v>
      </c>
      <c r="CS309" s="961">
        <f t="shared" si="577"/>
        <v>100.00000000000009</v>
      </c>
      <c r="CT309" s="961">
        <f t="shared" si="577"/>
        <v>99.999999999998977</v>
      </c>
      <c r="CU309" s="960">
        <f t="shared" si="577"/>
        <v>151.51843347960715</v>
      </c>
      <c r="CV309" s="961">
        <f t="shared" si="577"/>
        <v>110.0000000000001</v>
      </c>
      <c r="CW309" s="961">
        <f t="shared" si="577"/>
        <v>150.00000000000014</v>
      </c>
      <c r="CX309" s="961">
        <f t="shared" si="577"/>
        <v>131.99999999999989</v>
      </c>
      <c r="CY309" s="961">
        <f t="shared" si="577"/>
        <v>160.00000000000014</v>
      </c>
      <c r="CZ309" s="960">
        <f t="shared" si="577"/>
        <v>61.334980047397238</v>
      </c>
      <c r="DA309" s="961">
        <f t="shared" si="577"/>
        <v>170.00000000000014</v>
      </c>
      <c r="DB309" s="961">
        <f t="shared" si="577"/>
        <v>150.00000000000014</v>
      </c>
      <c r="DC309" s="961">
        <f t="shared" si="577"/>
        <v>158.00000000000037</v>
      </c>
      <c r="DD309" s="961">
        <f t="shared" si="577"/>
        <v>170.00000000000014</v>
      </c>
      <c r="DE309" s="960">
        <f t="shared" ref="DE309:DJ309" si="578">(DE308-CZ308)*10000</f>
        <v>179.97460273532329</v>
      </c>
      <c r="DF309" s="961">
        <f t="shared" si="577"/>
        <v>180.00000000000017</v>
      </c>
      <c r="DG309" s="961">
        <f t="shared" si="577"/>
        <v>180.00000000000017</v>
      </c>
      <c r="DH309" s="961">
        <f t="shared" si="577"/>
        <v>160.00000000000014</v>
      </c>
      <c r="DI309" s="961">
        <f t="shared" si="577"/>
        <v>148.32207155589083</v>
      </c>
      <c r="DJ309" s="960">
        <f t="shared" si="578"/>
        <v>215.55079664586029</v>
      </c>
      <c r="DK309" s="961">
        <f t="shared" ref="DK309:DT309" si="579">(DK308-DF308)*10000</f>
        <v>13.503452383979431</v>
      </c>
      <c r="DL309" s="961">
        <f t="shared" si="579"/>
        <v>20.745083514163156</v>
      </c>
      <c r="DM309" s="961">
        <f t="shared" si="579"/>
        <v>61.745978568279455</v>
      </c>
      <c r="DN309" s="961">
        <f t="shared" si="579"/>
        <v>100.92343171133832</v>
      </c>
      <c r="DO309" s="960">
        <f t="shared" si="579"/>
        <v>62.432333507190798</v>
      </c>
      <c r="DP309" s="961">
        <f t="shared" si="579"/>
        <v>99.776123827648448</v>
      </c>
      <c r="DQ309" s="961">
        <f t="shared" si="579"/>
        <v>100.0124224903054</v>
      </c>
      <c r="DR309" s="961">
        <f t="shared" si="579"/>
        <v>100.18814905881968</v>
      </c>
      <c r="DS309" s="961">
        <f t="shared" si="579"/>
        <v>100.10938746529696</v>
      </c>
      <c r="DT309" s="960">
        <f t="shared" si="579"/>
        <v>100.02270938833658</v>
      </c>
      <c r="DU309" s="961">
        <f t="shared" ref="DU309" si="580">(DU308-DP308)*10000</f>
        <v>99.702749732359933</v>
      </c>
      <c r="DV309" s="961">
        <f t="shared" ref="DV309" si="581">(DV308-DQ308)*10000</f>
        <v>99.937391358908556</v>
      </c>
      <c r="DW309" s="961">
        <f t="shared" ref="DW309" si="582">(DW308-DR308)*10000</f>
        <v>100.11187510013619</v>
      </c>
      <c r="DX309" s="961">
        <f t="shared" ref="DX309" si="583">(DX308-DS308)*10000</f>
        <v>100.03362586262776</v>
      </c>
      <c r="DY309" s="960">
        <f t="shared" ref="DY309" si="584">(DY308-DT308)*10000</f>
        <v>99.947585407356158</v>
      </c>
    </row>
    <row r="310" spans="1:129" x14ac:dyDescent="0.2">
      <c r="A310" s="611"/>
      <c r="B310" s="612" t="s">
        <v>815</v>
      </c>
      <c r="C310" s="815"/>
      <c r="D310" s="815"/>
      <c r="E310" s="815"/>
      <c r="F310" s="815"/>
      <c r="G310" s="815"/>
      <c r="H310" s="815"/>
      <c r="I310" s="817"/>
      <c r="J310" s="815"/>
      <c r="K310" s="815"/>
      <c r="L310" s="815"/>
      <c r="M310" s="815"/>
      <c r="N310" s="817"/>
      <c r="O310" s="816"/>
      <c r="P310" s="816"/>
      <c r="Q310" s="816"/>
      <c r="R310" s="816"/>
      <c r="S310" s="817"/>
      <c r="T310" s="816"/>
      <c r="U310" s="816"/>
      <c r="V310" s="816"/>
      <c r="W310" s="816"/>
      <c r="X310" s="817"/>
      <c r="Y310" s="816"/>
      <c r="Z310" s="816"/>
      <c r="AA310" s="816"/>
      <c r="AB310" s="816"/>
      <c r="AC310" s="817"/>
      <c r="AD310" s="816"/>
      <c r="AE310" s="816"/>
      <c r="AF310" s="816"/>
      <c r="AG310" s="816"/>
      <c r="AH310" s="817"/>
      <c r="AI310" s="816"/>
      <c r="AJ310" s="816"/>
      <c r="AK310" s="816"/>
      <c r="AL310" s="816"/>
      <c r="AM310" s="817"/>
      <c r="AN310" s="816"/>
      <c r="AO310" s="816"/>
      <c r="AP310" s="816"/>
      <c r="AQ310" s="816"/>
      <c r="AR310" s="817"/>
      <c r="AS310" s="816"/>
      <c r="AT310" s="816"/>
      <c r="AU310" s="816"/>
      <c r="AV310" s="816"/>
      <c r="AW310" s="817"/>
      <c r="AX310" s="816"/>
      <c r="AY310" s="816"/>
      <c r="AZ310" s="816"/>
      <c r="BA310" s="816"/>
      <c r="BB310" s="817"/>
      <c r="BC310" s="816"/>
      <c r="BD310" s="816"/>
      <c r="BE310" s="816"/>
      <c r="BF310" s="816"/>
      <c r="BG310" s="817"/>
      <c r="BH310" s="816"/>
      <c r="BI310" s="816"/>
      <c r="BJ310" s="816"/>
      <c r="BK310" s="816"/>
      <c r="BL310" s="939"/>
      <c r="BM310" s="959">
        <f>(BM308-BK308)*10000</f>
        <v>210.0000000000002</v>
      </c>
      <c r="BN310" s="959">
        <f>(BN308-BM308)*10000</f>
        <v>40.000000000000036</v>
      </c>
      <c r="BO310" s="959">
        <f>(BO308-BN308)*10000</f>
        <v>60.000000000000057</v>
      </c>
      <c r="BP310" s="959">
        <f>(BP308-BO308)*10000</f>
        <v>79.115659554092048</v>
      </c>
      <c r="BQ310" s="939"/>
      <c r="BR310" s="959">
        <f>(BR308-BP308)*10000</f>
        <v>65.853242484724689</v>
      </c>
      <c r="BS310" s="959">
        <f>(BS308-BR308)*10000</f>
        <v>125.03109796118351</v>
      </c>
      <c r="BT310" s="959">
        <f>(BT308-BS308)*10000</f>
        <v>-47.033957728138674</v>
      </c>
      <c r="BU310" s="959">
        <f>(BU308-BT308)*10000</f>
        <v>157.03395772813766</v>
      </c>
      <c r="BV310" s="939"/>
      <c r="BW310" s="959">
        <f>(BW308-BU308)*10000</f>
        <v>150.00000000000014</v>
      </c>
      <c r="BX310" s="959">
        <f>(BX308-BW308)*10000</f>
        <v>60.000000000000057</v>
      </c>
      <c r="BY310" s="959">
        <f>(BY308-BX308)*10000</f>
        <v>100.00000000000009</v>
      </c>
      <c r="BZ310" s="959">
        <f>(BZ308-BY308)*10000</f>
        <v>80.000000000000071</v>
      </c>
      <c r="CA310" s="939"/>
      <c r="CB310" s="959">
        <f>(CB308-BZ308)*10000</f>
        <v>100.00000000000009</v>
      </c>
      <c r="CC310" s="959">
        <f>(CC308-CB308)*10000</f>
        <v>30.000000000000028</v>
      </c>
      <c r="CD310" s="959">
        <f>(CD308-CC308)*10000</f>
        <v>20.000000000000018</v>
      </c>
      <c r="CE310" s="959">
        <f>(CE308-CD308)*10000</f>
        <v>70.000000000000057</v>
      </c>
      <c r="CF310" s="939"/>
      <c r="CG310" s="961">
        <f>(CG308-CE308)*10000</f>
        <v>150.00000000000014</v>
      </c>
      <c r="CH310" s="961">
        <f>(CH308-CG308)*10000</f>
        <v>150.00000000000014</v>
      </c>
      <c r="CI310" s="961">
        <f>(CI308-CH308)*10000</f>
        <v>130.00000000000011</v>
      </c>
      <c r="CJ310" s="961">
        <f>(CJ308-CI308)*10000</f>
        <v>70.000000000000057</v>
      </c>
      <c r="CK310" s="939"/>
      <c r="CL310" s="961">
        <f>(CL308-CJ308)*10000</f>
        <v>50.000000000000043</v>
      </c>
      <c r="CM310" s="961">
        <f>(CM308-CL308)*10000</f>
        <v>20.000000000000018</v>
      </c>
      <c r="CN310" s="961">
        <f>(CN308-CM308)*10000</f>
        <v>79.999999999998963</v>
      </c>
      <c r="CO310" s="961">
        <f>(CO308-CN308)*10000</f>
        <v>-39.999999999998927</v>
      </c>
      <c r="CP310" s="939"/>
      <c r="CQ310" s="961">
        <f>(CQ308-CO308)*10000</f>
        <v>129.99999999999901</v>
      </c>
      <c r="CR310" s="961">
        <f>(CR308-CP308)*10000</f>
        <v>159.03104212860342</v>
      </c>
      <c r="CS310" s="961">
        <f>(CS308-CQ308)*10000</f>
        <v>10.000000000000009</v>
      </c>
      <c r="CT310" s="961">
        <f>(CT308-CS308)*10000</f>
        <v>-40.000000000000036</v>
      </c>
      <c r="CU310" s="939"/>
      <c r="CV310" s="961">
        <f>(CV308-CT308)*10000</f>
        <v>140.00000000000011</v>
      </c>
      <c r="CW310" s="961">
        <f>(CW308-CU308)*10000</f>
        <v>157.51260864899641</v>
      </c>
      <c r="CX310" s="961">
        <f>(CX308-CV308)*10000</f>
        <v>31.999999999999808</v>
      </c>
      <c r="CY310" s="961">
        <f>(CY308-CW308)*10000</f>
        <v>-20.000000000000018</v>
      </c>
      <c r="CZ310" s="939"/>
      <c r="DA310" s="961">
        <f>(DA308-CY308)*10000</f>
        <v>150.00000000000014</v>
      </c>
      <c r="DB310" s="961">
        <f>(DB308-CZ308)*10000</f>
        <v>246.17762860159931</v>
      </c>
      <c r="DC310" s="961">
        <f>(DC308-DA308)*10000</f>
        <v>20.000000000000018</v>
      </c>
      <c r="DD310" s="961">
        <f>(DD308-DB308)*10000</f>
        <v>0</v>
      </c>
      <c r="DE310" s="939"/>
      <c r="DF310" s="961">
        <f>(DF308-DD308)*10000</f>
        <v>160.00000000000014</v>
      </c>
      <c r="DG310" s="961">
        <f>(DG308-DE308)*10000</f>
        <v>246.20302586627619</v>
      </c>
      <c r="DH310" s="961">
        <f>(DH308-DF308)*10000</f>
        <v>0</v>
      </c>
      <c r="DI310" s="961">
        <f>(DI308-DG308)*10000</f>
        <v>-31.677928444109327</v>
      </c>
      <c r="DJ310" s="939"/>
      <c r="DK310" s="961">
        <f>(DK308-DI308)*10000</f>
        <v>25.181380828088741</v>
      </c>
      <c r="DL310" s="961">
        <f>(DL308-DK308)*10000</f>
        <v>27.241631130183741</v>
      </c>
      <c r="DM310" s="961">
        <f>(DM308-DL308)*10000</f>
        <v>21.000895054116285</v>
      </c>
      <c r="DN310" s="961">
        <f>(DN308-DM308)*10000</f>
        <v>27.499524698949564</v>
      </c>
      <c r="DO310" s="939"/>
      <c r="DP310" s="961">
        <f>(DP308-DN308)*10000</f>
        <v>24.034072944398854</v>
      </c>
      <c r="DQ310" s="961">
        <f>(DQ308-DP308)*10000</f>
        <v>27.477929792840694</v>
      </c>
      <c r="DR310" s="961">
        <f>(DR308-DQ308)*10000</f>
        <v>21.176621622630563</v>
      </c>
      <c r="DS310" s="961">
        <f>(DS308-DR308)*10000</f>
        <v>27.42076310542685</v>
      </c>
      <c r="DT310" s="939"/>
      <c r="DU310" s="961">
        <f>(DU308-DS308)*10000</f>
        <v>23.627435211461822</v>
      </c>
      <c r="DV310" s="961">
        <f>(DV308-DU308)*10000</f>
        <v>27.71257141938932</v>
      </c>
      <c r="DW310" s="961">
        <f>(DW308-DV308)*10000</f>
        <v>21.351105363858203</v>
      </c>
      <c r="DX310" s="961">
        <f>(DX308-DW308)*10000</f>
        <v>27.342513867918417</v>
      </c>
      <c r="DY310" s="939"/>
    </row>
    <row r="311" spans="1:129" x14ac:dyDescent="0.2">
      <c r="A311" s="668"/>
      <c r="B311" s="690" t="s">
        <v>816</v>
      </c>
      <c r="C311" s="670"/>
      <c r="D311" s="670"/>
      <c r="E311" s="670"/>
      <c r="F311" s="670"/>
      <c r="G311" s="670"/>
      <c r="H311" s="670"/>
      <c r="I311" s="949"/>
      <c r="J311" s="670"/>
      <c r="K311" s="670"/>
      <c r="L311" s="670"/>
      <c r="M311" s="670"/>
      <c r="N311" s="949"/>
      <c r="O311" s="951"/>
      <c r="P311" s="951"/>
      <c r="Q311" s="951"/>
      <c r="R311" s="951"/>
      <c r="S311" s="949"/>
      <c r="T311" s="951"/>
      <c r="U311" s="951"/>
      <c r="V311" s="951"/>
      <c r="W311" s="951"/>
      <c r="X311" s="949"/>
      <c r="Y311" s="951"/>
      <c r="Z311" s="951"/>
      <c r="AA311" s="951"/>
      <c r="AB311" s="951"/>
      <c r="AC311" s="949"/>
      <c r="AD311" s="951"/>
      <c r="AE311" s="951"/>
      <c r="AF311" s="951"/>
      <c r="AG311" s="951"/>
      <c r="AH311" s="949"/>
      <c r="AI311" s="951"/>
      <c r="AJ311" s="951"/>
      <c r="AK311" s="951"/>
      <c r="AL311" s="951"/>
      <c r="AM311" s="949"/>
      <c r="AN311" s="951"/>
      <c r="AO311" s="951"/>
      <c r="AP311" s="951"/>
      <c r="AQ311" s="951"/>
      <c r="AR311" s="949"/>
      <c r="AS311" s="951"/>
      <c r="AT311" s="951"/>
      <c r="AU311" s="951"/>
      <c r="AV311" s="951"/>
      <c r="AW311" s="949"/>
      <c r="AX311" s="951"/>
      <c r="AY311" s="951"/>
      <c r="AZ311" s="951"/>
      <c r="BA311" s="951"/>
      <c r="BB311" s="949"/>
      <c r="BC311" s="951"/>
      <c r="BD311" s="951"/>
      <c r="BE311" s="951"/>
      <c r="BF311" s="951"/>
      <c r="BG311" s="949"/>
      <c r="BH311" s="952">
        <v>0.61199999999999999</v>
      </c>
      <c r="BI311" s="952">
        <v>0.61199999999999999</v>
      </c>
      <c r="BJ311" s="952">
        <v>0.61599999999999999</v>
      </c>
      <c r="BK311" s="952">
        <v>0.63500000000000001</v>
      </c>
      <c r="BL311" s="953">
        <v>0.61699999999999999</v>
      </c>
      <c r="BM311" s="952">
        <v>0.65200000000000002</v>
      </c>
      <c r="BN311" s="952">
        <v>0.65500000000000003</v>
      </c>
      <c r="BO311" s="952">
        <v>0.66100000000000003</v>
      </c>
      <c r="BP311" s="952">
        <v>0.67700000000000005</v>
      </c>
      <c r="BQ311" s="953">
        <v>0.661827074235808</v>
      </c>
      <c r="BR311" s="952">
        <v>0.68799999999999994</v>
      </c>
      <c r="BS311" s="952">
        <v>0.68899999999999995</v>
      </c>
      <c r="BT311" s="952">
        <v>0.69399999999999995</v>
      </c>
      <c r="BU311" s="952">
        <v>0.7</v>
      </c>
      <c r="BV311" s="954">
        <f>BV88/BV90</f>
        <v>0.69278885334231344</v>
      </c>
      <c r="BW311" s="952">
        <v>0.71599999999999997</v>
      </c>
      <c r="BX311" s="952">
        <v>0.72199999999999998</v>
      </c>
      <c r="BY311" s="952">
        <v>0.73099999999999998</v>
      </c>
      <c r="BZ311" s="952">
        <v>0.73899999999999999</v>
      </c>
      <c r="CA311" s="954">
        <f>CA88/CA90</f>
        <v>0.72701094680238143</v>
      </c>
      <c r="CB311" s="952">
        <v>0.748</v>
      </c>
      <c r="CC311" s="952">
        <v>0.75</v>
      </c>
      <c r="CD311" s="952">
        <v>0.753</v>
      </c>
      <c r="CE311" s="952">
        <v>0.75800000000000001</v>
      </c>
      <c r="CF311" s="962">
        <f>CF88/CF90</f>
        <v>0.75250945963991156</v>
      </c>
      <c r="CG311" s="956">
        <v>0.77300000000000002</v>
      </c>
      <c r="CH311" s="956">
        <v>0.78600000000000003</v>
      </c>
      <c r="CI311" s="956">
        <v>0.79900000000000004</v>
      </c>
      <c r="CJ311" s="956">
        <v>0.80500000000000005</v>
      </c>
      <c r="CK311" s="955">
        <f>CK88/CK90</f>
        <v>0.79086344790289642</v>
      </c>
      <c r="CL311" s="956">
        <v>0.81</v>
      </c>
      <c r="CM311" s="956">
        <v>0.81100000000000005</v>
      </c>
      <c r="CN311" s="956">
        <v>0.81499999999999995</v>
      </c>
      <c r="CO311" s="956">
        <v>0.81599999999999995</v>
      </c>
      <c r="CP311" s="955">
        <f>CP88/CP90</f>
        <v>0.81297972642892036</v>
      </c>
      <c r="CQ311" s="956">
        <v>0.82799999999999996</v>
      </c>
      <c r="CR311" s="956">
        <v>0.83199999999999996</v>
      </c>
      <c r="CS311" s="956">
        <v>0.83199999999999996</v>
      </c>
      <c r="CT311" s="956">
        <v>0.82699999999999996</v>
      </c>
      <c r="CU311" s="955">
        <f>CU88/CU90</f>
        <v>0.82971657250470809</v>
      </c>
      <c r="CV311" s="956">
        <v>0.84099999999999997</v>
      </c>
      <c r="CW311" s="956">
        <v>0.84599999999999997</v>
      </c>
      <c r="CX311" s="956">
        <v>0.84509999999999996</v>
      </c>
      <c r="CY311" s="956">
        <v>0.84399999999999997</v>
      </c>
      <c r="CZ311" s="955">
        <f>CZ88/CZ90</f>
        <v>0.84402597031437254</v>
      </c>
      <c r="DA311" s="956">
        <v>0.85799999999999998</v>
      </c>
      <c r="DB311" s="956">
        <v>0.86</v>
      </c>
      <c r="DC311" s="956">
        <v>0.86</v>
      </c>
      <c r="DD311" s="956">
        <v>0.85899999999999999</v>
      </c>
      <c r="DE311" s="955">
        <f>DE88/DE90</f>
        <v>0.85924911724436115</v>
      </c>
      <c r="DF311" s="956">
        <v>0.877</v>
      </c>
      <c r="DG311" s="956">
        <v>0.879</v>
      </c>
      <c r="DH311" s="956">
        <v>0.877</v>
      </c>
      <c r="DI311" s="956">
        <v>0.87528705575624788</v>
      </c>
      <c r="DJ311" s="955">
        <f>DJ88/DJ90</f>
        <v>0.87705564079808707</v>
      </c>
      <c r="DK311" s="957">
        <f>DI311+DK313/10000</f>
        <v>0.8772015629543618</v>
      </c>
      <c r="DL311" s="957">
        <f>DK311+DL313/10000</f>
        <v>0.87991956690462503</v>
      </c>
      <c r="DM311" s="957">
        <f>DL311+DM313/10000</f>
        <v>0.88186020932788234</v>
      </c>
      <c r="DN311" s="957">
        <f>DM311+DN313/10000</f>
        <v>0.88438315184140937</v>
      </c>
      <c r="DO311" s="955">
        <f>DO88/DO90</f>
        <v>0.88087827538204877</v>
      </c>
      <c r="DP311" s="957">
        <f>DN311+DP313/10000</f>
        <v>0.88629765903952329</v>
      </c>
      <c r="DQ311" s="957">
        <f>DP311+DQ313/10000</f>
        <v>0.88901566298978651</v>
      </c>
      <c r="DR311" s="957">
        <f>DQ311+DR313/10000</f>
        <v>0.89095630541304383</v>
      </c>
      <c r="DS311" s="957">
        <f>DR311+DS313/10000</f>
        <v>0.89347924792657085</v>
      </c>
      <c r="DT311" s="955">
        <f>DT88/DT90</f>
        <v>0.88997437146721037</v>
      </c>
      <c r="DU311" s="957">
        <f>DS311+DU313/10000</f>
        <v>0.89539375512468478</v>
      </c>
      <c r="DV311" s="957">
        <f>DU311+DV313/10000</f>
        <v>0.898111759074948</v>
      </c>
      <c r="DW311" s="957">
        <f>DV311+DW313/10000</f>
        <v>0.90005240149820531</v>
      </c>
      <c r="DX311" s="957">
        <f>DW311+DX313/10000</f>
        <v>0.90257534401173234</v>
      </c>
      <c r="DY311" s="955">
        <f>DY88/DY90</f>
        <v>0.89907046755237185</v>
      </c>
    </row>
    <row r="312" spans="1:129" x14ac:dyDescent="0.2">
      <c r="A312" s="611"/>
      <c r="B312" s="612" t="s">
        <v>814</v>
      </c>
      <c r="C312" s="963"/>
      <c r="D312" s="963"/>
      <c r="E312" s="815"/>
      <c r="F312" s="815"/>
      <c r="G312" s="815"/>
      <c r="H312" s="815"/>
      <c r="I312" s="960"/>
      <c r="J312" s="815"/>
      <c r="K312" s="815"/>
      <c r="L312" s="815"/>
      <c r="M312" s="815"/>
      <c r="N312" s="960"/>
      <c r="O312" s="816"/>
      <c r="P312" s="816"/>
      <c r="Q312" s="816"/>
      <c r="R312" s="816"/>
      <c r="S312" s="960"/>
      <c r="T312" s="816"/>
      <c r="U312" s="816"/>
      <c r="V312" s="816"/>
      <c r="W312" s="816"/>
      <c r="X312" s="960"/>
      <c r="Y312" s="816"/>
      <c r="Z312" s="816"/>
      <c r="AA312" s="816"/>
      <c r="AB312" s="816"/>
      <c r="AC312" s="960"/>
      <c r="AD312" s="816"/>
      <c r="AE312" s="816"/>
      <c r="AF312" s="816"/>
      <c r="AG312" s="816"/>
      <c r="AH312" s="960"/>
      <c r="AI312" s="816"/>
      <c r="AJ312" s="816"/>
      <c r="AK312" s="816"/>
      <c r="AL312" s="816"/>
      <c r="AM312" s="960"/>
      <c r="AN312" s="816"/>
      <c r="AO312" s="816"/>
      <c r="AP312" s="816"/>
      <c r="AQ312" s="816"/>
      <c r="AR312" s="960"/>
      <c r="AS312" s="816"/>
      <c r="AT312" s="816"/>
      <c r="AU312" s="816"/>
      <c r="AV312" s="816"/>
      <c r="AW312" s="960"/>
      <c r="AX312" s="816"/>
      <c r="AY312" s="816"/>
      <c r="AZ312" s="816"/>
      <c r="BA312" s="816"/>
      <c r="BB312" s="960"/>
      <c r="BC312" s="816"/>
      <c r="BD312" s="816"/>
      <c r="BE312" s="816"/>
      <c r="BF312" s="816"/>
      <c r="BG312" s="960"/>
      <c r="BH312" s="816"/>
      <c r="BI312" s="816"/>
      <c r="BJ312" s="816"/>
      <c r="BK312" s="816"/>
      <c r="BL312" s="960"/>
      <c r="BM312" s="959">
        <f t="shared" ref="BM312:DI312" si="585">(BM311-BH311)*10000</f>
        <v>400.00000000000034</v>
      </c>
      <c r="BN312" s="959">
        <f t="shared" si="585"/>
        <v>430.0000000000004</v>
      </c>
      <c r="BO312" s="959">
        <f t="shared" si="585"/>
        <v>450.0000000000004</v>
      </c>
      <c r="BP312" s="959">
        <f t="shared" si="585"/>
        <v>420.0000000000004</v>
      </c>
      <c r="BQ312" s="960">
        <f t="shared" si="585"/>
        <v>448.27074235808004</v>
      </c>
      <c r="BR312" s="959">
        <f t="shared" si="585"/>
        <v>359.9999999999992</v>
      </c>
      <c r="BS312" s="959">
        <f t="shared" si="585"/>
        <v>339.9999999999992</v>
      </c>
      <c r="BT312" s="959">
        <f t="shared" si="585"/>
        <v>329.9999999999992</v>
      </c>
      <c r="BU312" s="959">
        <f t="shared" si="585"/>
        <v>229.99999999999909</v>
      </c>
      <c r="BV312" s="960">
        <f t="shared" si="585"/>
        <v>309.6177910650544</v>
      </c>
      <c r="BW312" s="959">
        <f t="shared" si="585"/>
        <v>280.00000000000023</v>
      </c>
      <c r="BX312" s="959">
        <f t="shared" si="585"/>
        <v>330.00000000000028</v>
      </c>
      <c r="BY312" s="959">
        <f t="shared" si="585"/>
        <v>370.00000000000034</v>
      </c>
      <c r="BZ312" s="959">
        <f t="shared" si="585"/>
        <v>390.00000000000034</v>
      </c>
      <c r="CA312" s="960">
        <f t="shared" si="585"/>
        <v>342.22093460067993</v>
      </c>
      <c r="CB312" s="959">
        <f t="shared" si="585"/>
        <v>320.00000000000028</v>
      </c>
      <c r="CC312" s="959">
        <f t="shared" si="585"/>
        <v>280.00000000000023</v>
      </c>
      <c r="CD312" s="959">
        <f t="shared" si="585"/>
        <v>220.0000000000002</v>
      </c>
      <c r="CE312" s="959">
        <f t="shared" si="585"/>
        <v>190.00000000000017</v>
      </c>
      <c r="CF312" s="964">
        <f t="shared" si="585"/>
        <v>254.98512837530129</v>
      </c>
      <c r="CG312" s="959">
        <f t="shared" si="585"/>
        <v>250.00000000000023</v>
      </c>
      <c r="CH312" s="959">
        <f t="shared" si="585"/>
        <v>360.00000000000034</v>
      </c>
      <c r="CI312" s="959">
        <f t="shared" si="585"/>
        <v>460.0000000000004</v>
      </c>
      <c r="CJ312" s="961">
        <f t="shared" si="585"/>
        <v>470.0000000000004</v>
      </c>
      <c r="CK312" s="960">
        <f t="shared" si="585"/>
        <v>383.53988262984859</v>
      </c>
      <c r="CL312" s="959">
        <f t="shared" si="585"/>
        <v>370.00000000000034</v>
      </c>
      <c r="CM312" s="959">
        <f t="shared" si="585"/>
        <v>250.00000000000023</v>
      </c>
      <c r="CN312" s="959">
        <f t="shared" si="585"/>
        <v>159.99999999999903</v>
      </c>
      <c r="CO312" s="959">
        <f t="shared" si="585"/>
        <v>109.99999999999899</v>
      </c>
      <c r="CP312" s="960">
        <f t="shared" si="585"/>
        <v>221.16278526023936</v>
      </c>
      <c r="CQ312" s="959">
        <f t="shared" si="585"/>
        <v>179.99999999999906</v>
      </c>
      <c r="CR312" s="959">
        <f t="shared" si="585"/>
        <v>209.99999999999909</v>
      </c>
      <c r="CS312" s="961">
        <f t="shared" si="585"/>
        <v>170.00000000000014</v>
      </c>
      <c r="CT312" s="959">
        <f t="shared" si="585"/>
        <v>110.0000000000001</v>
      </c>
      <c r="CU312" s="960">
        <f t="shared" si="585"/>
        <v>167.36846075787736</v>
      </c>
      <c r="CV312" s="959">
        <f t="shared" si="585"/>
        <v>130.00000000000011</v>
      </c>
      <c r="CW312" s="959">
        <f t="shared" si="585"/>
        <v>140.00000000000011</v>
      </c>
      <c r="CX312" s="959">
        <f t="shared" si="585"/>
        <v>131</v>
      </c>
      <c r="CY312" s="959">
        <f t="shared" si="585"/>
        <v>170.00000000000014</v>
      </c>
      <c r="CZ312" s="960">
        <f t="shared" si="585"/>
        <v>143.09397809664449</v>
      </c>
      <c r="DA312" s="959">
        <f t="shared" si="585"/>
        <v>170.00000000000014</v>
      </c>
      <c r="DB312" s="959">
        <f t="shared" si="585"/>
        <v>140.00000000000011</v>
      </c>
      <c r="DC312" s="959">
        <f t="shared" si="585"/>
        <v>149.00000000000026</v>
      </c>
      <c r="DD312" s="959">
        <f t="shared" si="585"/>
        <v>150.00000000000014</v>
      </c>
      <c r="DE312" s="960">
        <f t="shared" ref="DE312:DJ312" si="586">(DE311-CZ311)*10000</f>
        <v>152.23146929988607</v>
      </c>
      <c r="DF312" s="959">
        <f t="shared" si="585"/>
        <v>190.00000000000017</v>
      </c>
      <c r="DG312" s="959">
        <f t="shared" si="585"/>
        <v>190.00000000000017</v>
      </c>
      <c r="DH312" s="959">
        <f t="shared" si="585"/>
        <v>170.00000000000014</v>
      </c>
      <c r="DI312" s="959">
        <f t="shared" si="585"/>
        <v>162.87055756247892</v>
      </c>
      <c r="DJ312" s="960">
        <f t="shared" si="586"/>
        <v>178.06523553725918</v>
      </c>
      <c r="DK312" s="959">
        <f t="shared" ref="DK312:DT312" si="587">(DK311-DF311)*10000</f>
        <v>2.0156295436180027</v>
      </c>
      <c r="DL312" s="961">
        <f t="shared" si="587"/>
        <v>9.1956690462502433</v>
      </c>
      <c r="DM312" s="961">
        <f t="shared" si="587"/>
        <v>48.602093278823368</v>
      </c>
      <c r="DN312" s="961">
        <f t="shared" si="587"/>
        <v>90.960960851614871</v>
      </c>
      <c r="DO312" s="960">
        <f t="shared" si="587"/>
        <v>38.226345839617039</v>
      </c>
      <c r="DP312" s="959">
        <f t="shared" si="587"/>
        <v>90.960960851614871</v>
      </c>
      <c r="DQ312" s="961">
        <f t="shared" si="587"/>
        <v>90.960960851614871</v>
      </c>
      <c r="DR312" s="961">
        <f t="shared" si="587"/>
        <v>90.960960851614871</v>
      </c>
      <c r="DS312" s="961">
        <f t="shared" si="587"/>
        <v>90.960960851614871</v>
      </c>
      <c r="DT312" s="960">
        <f t="shared" si="587"/>
        <v>90.96096085161598</v>
      </c>
      <c r="DU312" s="959">
        <f t="shared" ref="DU312" si="588">(DU311-DP311)*10000</f>
        <v>90.960960851614871</v>
      </c>
      <c r="DV312" s="961">
        <f t="shared" ref="DV312" si="589">(DV311-DQ311)*10000</f>
        <v>90.960960851614871</v>
      </c>
      <c r="DW312" s="961">
        <f t="shared" ref="DW312" si="590">(DW311-DR311)*10000</f>
        <v>90.960960851614871</v>
      </c>
      <c r="DX312" s="961">
        <f t="shared" ref="DX312" si="591">(DX311-DS311)*10000</f>
        <v>90.960960851614871</v>
      </c>
      <c r="DY312" s="960">
        <f t="shared" ref="DY312" si="592">(DY311-DT311)*10000</f>
        <v>90.960960851614871</v>
      </c>
    </row>
    <row r="313" spans="1:129" x14ac:dyDescent="0.2">
      <c r="A313" s="611"/>
      <c r="B313" s="740" t="s">
        <v>815</v>
      </c>
      <c r="C313" s="815"/>
      <c r="D313" s="815"/>
      <c r="E313" s="815"/>
      <c r="F313" s="815"/>
      <c r="G313" s="815"/>
      <c r="H313" s="815"/>
      <c r="I313" s="817"/>
      <c r="J313" s="815"/>
      <c r="K313" s="815"/>
      <c r="L313" s="815"/>
      <c r="M313" s="815"/>
      <c r="N313" s="817"/>
      <c r="O313" s="816"/>
      <c r="P313" s="816"/>
      <c r="Q313" s="816"/>
      <c r="R313" s="816"/>
      <c r="S313" s="817"/>
      <c r="T313" s="816"/>
      <c r="U313" s="816"/>
      <c r="V313" s="816"/>
      <c r="W313" s="816"/>
      <c r="X313" s="817"/>
      <c r="Y313" s="816"/>
      <c r="Z313" s="816"/>
      <c r="AA313" s="816"/>
      <c r="AB313" s="816"/>
      <c r="AC313" s="817"/>
      <c r="AD313" s="816"/>
      <c r="AE313" s="816"/>
      <c r="AF313" s="816"/>
      <c r="AG313" s="816"/>
      <c r="AH313" s="817"/>
      <c r="AI313" s="816"/>
      <c r="AJ313" s="816"/>
      <c r="AK313" s="816"/>
      <c r="AL313" s="816"/>
      <c r="AM313" s="817"/>
      <c r="AN313" s="816"/>
      <c r="AO313" s="816"/>
      <c r="AP313" s="816"/>
      <c r="AQ313" s="816"/>
      <c r="AR313" s="817"/>
      <c r="AS313" s="816"/>
      <c r="AT313" s="816"/>
      <c r="AU313" s="816"/>
      <c r="AV313" s="816"/>
      <c r="AW313" s="817"/>
      <c r="AX313" s="816"/>
      <c r="AY313" s="816"/>
      <c r="AZ313" s="816"/>
      <c r="BA313" s="816"/>
      <c r="BB313" s="817"/>
      <c r="BC313" s="816"/>
      <c r="BD313" s="816"/>
      <c r="BE313" s="816"/>
      <c r="BF313" s="816"/>
      <c r="BG313" s="817"/>
      <c r="BH313" s="816"/>
      <c r="BI313" s="816"/>
      <c r="BJ313" s="816"/>
      <c r="BK313" s="816"/>
      <c r="BL313" s="939"/>
      <c r="BM313" s="959">
        <f>(BM311-BK311)*10000</f>
        <v>170.00000000000014</v>
      </c>
      <c r="BN313" s="959">
        <f>(BN311-BM311)*10000</f>
        <v>30.000000000000028</v>
      </c>
      <c r="BO313" s="959">
        <f>(BO311-BN311)*10000</f>
        <v>60.000000000000057</v>
      </c>
      <c r="BP313" s="959">
        <f>(BP311-BO311)*10000</f>
        <v>160.00000000000014</v>
      </c>
      <c r="BQ313" s="939"/>
      <c r="BR313" s="959">
        <f>(BR311-BP311)*10000</f>
        <v>109.99999999999899</v>
      </c>
      <c r="BS313" s="959">
        <f>(BS311-BR311)*10000</f>
        <v>10.000000000000009</v>
      </c>
      <c r="BT313" s="959">
        <f>(BT311-BS311)*10000</f>
        <v>50.000000000000043</v>
      </c>
      <c r="BU313" s="959">
        <f>(BU311-BT311)*10000</f>
        <v>60.000000000000057</v>
      </c>
      <c r="BV313" s="939"/>
      <c r="BW313" s="959">
        <f>(BW311-BU311)*10000</f>
        <v>160.00000000000014</v>
      </c>
      <c r="BX313" s="959">
        <f>(BX311-BW311)*10000</f>
        <v>60.000000000000057</v>
      </c>
      <c r="BY313" s="959">
        <f>(BY311-BX311)*10000</f>
        <v>90.000000000000085</v>
      </c>
      <c r="BZ313" s="959">
        <f>(BZ311-BY311)*10000</f>
        <v>80.000000000000071</v>
      </c>
      <c r="CA313" s="939"/>
      <c r="CB313" s="959">
        <f>(CB311-BZ311)*10000</f>
        <v>90.000000000000085</v>
      </c>
      <c r="CC313" s="959">
        <f>(CC311-CB311)*10000</f>
        <v>20.000000000000018</v>
      </c>
      <c r="CD313" s="959">
        <f>(CD311-CC311)*10000</f>
        <v>30.000000000000028</v>
      </c>
      <c r="CE313" s="959">
        <f>(CE311-CD311)*10000</f>
        <v>50.000000000000043</v>
      </c>
      <c r="CF313" s="965"/>
      <c r="CG313" s="959">
        <f>(CG311-CE311)*10000</f>
        <v>150.00000000000014</v>
      </c>
      <c r="CH313" s="959">
        <f>(CH311-CG311)*10000</f>
        <v>130.00000000000011</v>
      </c>
      <c r="CI313" s="959">
        <f>(CI311-CH311)*10000</f>
        <v>130.00000000000011</v>
      </c>
      <c r="CJ313" s="959">
        <f>(CJ311-CI311)*10000</f>
        <v>60.000000000000057</v>
      </c>
      <c r="CK313" s="939"/>
      <c r="CL313" s="1742">
        <f t="shared" ref="CL313:CQ313" si="593">(CL311-CK311)*10000</f>
        <v>191.36552097103632</v>
      </c>
      <c r="CM313" s="1742">
        <f t="shared" si="593"/>
        <v>10.000000000000009</v>
      </c>
      <c r="CN313" s="1742">
        <f t="shared" si="593"/>
        <v>39.999999999998927</v>
      </c>
      <c r="CO313" s="1742">
        <f t="shared" si="593"/>
        <v>10.000000000000009</v>
      </c>
      <c r="CP313" s="939"/>
      <c r="CQ313" s="1742">
        <f t="shared" si="593"/>
        <v>150.20273571079602</v>
      </c>
      <c r="CR313" s="1742">
        <f>(CR311-CQ311)*10000</f>
        <v>40.000000000000036</v>
      </c>
      <c r="CS313" s="1742">
        <f>(CS311-CR311)*10000</f>
        <v>0</v>
      </c>
      <c r="CT313" s="1742">
        <v>18.994537959023951</v>
      </c>
      <c r="CU313" s="939"/>
      <c r="CV313" s="1742">
        <f>(CV311-CU311)*10000</f>
        <v>112.83427495291876</v>
      </c>
      <c r="CW313" s="1742">
        <f>(CW311-CV311)*10000</f>
        <v>50.000000000000043</v>
      </c>
      <c r="CX313" s="1742">
        <f>(CX311-CW311)*10000</f>
        <v>-9.000000000000119</v>
      </c>
      <c r="CY313" s="1742">
        <f>(CY311-CX311)*10000</f>
        <v>-10.999999999999899</v>
      </c>
      <c r="CZ313" s="939"/>
      <c r="DA313" s="1742">
        <f>(DA311-CZ311)*10000</f>
        <v>139.74029685627443</v>
      </c>
      <c r="DB313" s="1742">
        <f>(DB311-DA311)*10000</f>
        <v>20.000000000000018</v>
      </c>
      <c r="DC313" s="1742">
        <f>(DC311-DB311)*10000</f>
        <v>0</v>
      </c>
      <c r="DD313" s="1742">
        <f>(DD311-DC311)*10000</f>
        <v>-10.000000000000009</v>
      </c>
      <c r="DE313" s="939"/>
      <c r="DF313" s="1742">
        <f>(DF311-DE311)*10000</f>
        <v>177.50882755638852</v>
      </c>
      <c r="DG313" s="1742">
        <f>(DG311-DF311)*10000</f>
        <v>20.000000000000018</v>
      </c>
      <c r="DH313" s="1742">
        <f>(DH311-DG311)*10000</f>
        <v>-20.000000000000018</v>
      </c>
      <c r="DI313" s="1742">
        <f>(DI311-DH311)*10000</f>
        <v>-17.129442437521234</v>
      </c>
      <c r="DJ313" s="939"/>
      <c r="DK313" s="966">
        <v>19.145071981139449</v>
      </c>
      <c r="DL313" s="966">
        <v>27.180039502632642</v>
      </c>
      <c r="DM313" s="966">
        <v>19.406424232573137</v>
      </c>
      <c r="DN313" s="966">
        <v>25.229425135270056</v>
      </c>
      <c r="DO313" s="939"/>
      <c r="DP313" s="966">
        <v>19.145071981139449</v>
      </c>
      <c r="DQ313" s="966">
        <v>27.180039502632642</v>
      </c>
      <c r="DR313" s="966">
        <v>19.406424232573137</v>
      </c>
      <c r="DS313" s="966">
        <v>25.229425135270056</v>
      </c>
      <c r="DT313" s="939"/>
      <c r="DU313" s="966">
        <v>19.145071981139449</v>
      </c>
      <c r="DV313" s="966">
        <v>27.180039502632642</v>
      </c>
      <c r="DW313" s="966">
        <v>19.406424232573137</v>
      </c>
      <c r="DX313" s="966">
        <v>25.229425135270056</v>
      </c>
      <c r="DY313" s="939"/>
    </row>
    <row r="314" spans="1:129" x14ac:dyDescent="0.2">
      <c r="A314" s="668"/>
      <c r="B314" s="727" t="s">
        <v>817</v>
      </c>
      <c r="C314" s="670"/>
      <c r="D314" s="670"/>
      <c r="E314" s="670"/>
      <c r="F314" s="670"/>
      <c r="G314" s="670"/>
      <c r="H314" s="670"/>
      <c r="I314" s="949"/>
      <c r="J314" s="670"/>
      <c r="K314" s="670"/>
      <c r="L314" s="670"/>
      <c r="M314" s="670"/>
      <c r="N314" s="949"/>
      <c r="O314" s="951"/>
      <c r="P314" s="951"/>
      <c r="Q314" s="951"/>
      <c r="R314" s="951"/>
      <c r="S314" s="949"/>
      <c r="T314" s="951"/>
      <c r="U314" s="951"/>
      <c r="V314" s="951"/>
      <c r="W314" s="951"/>
      <c r="X314" s="949"/>
      <c r="Y314" s="951"/>
      <c r="Z314" s="951"/>
      <c r="AA314" s="951"/>
      <c r="AB314" s="951"/>
      <c r="AC314" s="949"/>
      <c r="AD314" s="951"/>
      <c r="AE314" s="951"/>
      <c r="AF314" s="951"/>
      <c r="AG314" s="951"/>
      <c r="AH314" s="949"/>
      <c r="AI314" s="951"/>
      <c r="AJ314" s="951"/>
      <c r="AK314" s="951"/>
      <c r="AL314" s="951"/>
      <c r="AM314" s="949"/>
      <c r="AN314" s="951"/>
      <c r="AO314" s="951"/>
      <c r="AP314" s="951"/>
      <c r="AQ314" s="951"/>
      <c r="AR314" s="949"/>
      <c r="AS314" s="951"/>
      <c r="AT314" s="951"/>
      <c r="AU314" s="951"/>
      <c r="AV314" s="951"/>
      <c r="AW314" s="949"/>
      <c r="AX314" s="951"/>
      <c r="AY314" s="951"/>
      <c r="AZ314" s="951"/>
      <c r="BA314" s="951"/>
      <c r="BB314" s="949"/>
      <c r="BC314" s="951"/>
      <c r="BD314" s="951"/>
      <c r="BE314" s="951"/>
      <c r="BF314" s="951"/>
      <c r="BG314" s="949"/>
      <c r="BH314" s="952">
        <v>0.47599999999999998</v>
      </c>
      <c r="BI314" s="952">
        <v>0.47599999999999998</v>
      </c>
      <c r="BJ314" s="952">
        <v>0.49</v>
      </c>
      <c r="BK314" s="952">
        <v>0.497</v>
      </c>
      <c r="BL314" s="953">
        <v>0.48099999999999998</v>
      </c>
      <c r="BM314" s="952">
        <v>0.52800000000000002</v>
      </c>
      <c r="BN314" s="952">
        <v>0.54500000000000004</v>
      </c>
      <c r="BO314" s="952">
        <v>0.55200000000000005</v>
      </c>
      <c r="BP314" s="952">
        <v>0.55200000000000005</v>
      </c>
      <c r="BQ314" s="953">
        <v>0.54424630541871921</v>
      </c>
      <c r="BR314" s="952">
        <v>0.55500000000000005</v>
      </c>
      <c r="BS314" s="952">
        <v>0.56299999999999994</v>
      </c>
      <c r="BT314" s="952">
        <v>0.56799999999999995</v>
      </c>
      <c r="BU314" s="952">
        <v>0.57399999999999995</v>
      </c>
      <c r="BV314" s="954">
        <f>BV77/BV79</f>
        <v>0.56516873065015472</v>
      </c>
      <c r="BW314" s="952">
        <v>0.58799999999999997</v>
      </c>
      <c r="BX314" s="952">
        <v>0.61</v>
      </c>
      <c r="BY314" s="952">
        <v>0.624</v>
      </c>
      <c r="BZ314" s="952">
        <v>0.629</v>
      </c>
      <c r="CA314" s="954">
        <f>CA77/CA79</f>
        <v>0.61310436137071644</v>
      </c>
      <c r="CB314" s="952">
        <v>0.63800000000000001</v>
      </c>
      <c r="CC314" s="952">
        <v>0.64600000000000002</v>
      </c>
      <c r="CD314" s="952">
        <v>0.65</v>
      </c>
      <c r="CE314" s="952">
        <v>0.66100000000000003</v>
      </c>
      <c r="CF314" s="962">
        <f>CF77/CF79</f>
        <v>0.64879175164287328</v>
      </c>
      <c r="CG314" s="956">
        <v>0.69</v>
      </c>
      <c r="CH314" s="956">
        <v>0.71199999999999997</v>
      </c>
      <c r="CI314" s="956">
        <v>0.73099999999999998</v>
      </c>
      <c r="CJ314" s="956">
        <v>0.745</v>
      </c>
      <c r="CK314" s="955">
        <f>CK77/CK79</f>
        <v>0.71948724599028613</v>
      </c>
      <c r="CL314" s="956">
        <v>0.754</v>
      </c>
      <c r="CM314" s="956">
        <v>0.75800000000000001</v>
      </c>
      <c r="CN314" s="956">
        <v>0.76200000000000001</v>
      </c>
      <c r="CO314" s="956">
        <v>0.76600000000000001</v>
      </c>
      <c r="CP314" s="955">
        <f>CP77/CP79</f>
        <v>0.76004326923076926</v>
      </c>
      <c r="CQ314" s="956">
        <v>0.78</v>
      </c>
      <c r="CR314" s="956">
        <v>0.746</v>
      </c>
      <c r="CS314" s="956">
        <v>0.75</v>
      </c>
      <c r="CT314" s="956">
        <v>0.751</v>
      </c>
      <c r="CU314" s="955">
        <f>CU77/CU79</f>
        <v>0.75647995139732682</v>
      </c>
      <c r="CV314" s="956">
        <v>0.76100000000000001</v>
      </c>
      <c r="CW314" s="956">
        <v>0.76300000000000001</v>
      </c>
      <c r="CX314" s="956">
        <v>0.76480000000000004</v>
      </c>
      <c r="CY314" s="956">
        <v>0.76500000000000001</v>
      </c>
      <c r="CZ314" s="955">
        <f>CZ77/CZ79</f>
        <v>0.76350062214848613</v>
      </c>
      <c r="DA314" s="956">
        <v>0.77300000000000002</v>
      </c>
      <c r="DB314" s="956">
        <v>0.78</v>
      </c>
      <c r="DC314" s="956">
        <v>0.78500000000000003</v>
      </c>
      <c r="DD314" s="956">
        <v>0.78900000000000003</v>
      </c>
      <c r="DE314" s="955">
        <f>DE77/DE79</f>
        <v>0.78188787276341953</v>
      </c>
      <c r="DF314" s="956">
        <v>0.79200000000000004</v>
      </c>
      <c r="DG314" s="956">
        <v>0.83099999999999996</v>
      </c>
      <c r="DH314" s="956">
        <v>0.83299999999999996</v>
      </c>
      <c r="DI314" s="956">
        <v>0.83239460261591414</v>
      </c>
      <c r="DJ314" s="955">
        <f>DJ77/DJ79</f>
        <v>0.82250072673634755</v>
      </c>
      <c r="DK314" s="957">
        <f>DI314+DK316/10000</f>
        <v>0.83608601743108757</v>
      </c>
      <c r="DL314" s="957">
        <f>DK314+DL316/10000</f>
        <v>0.83995521147905583</v>
      </c>
      <c r="DM314" s="957">
        <f>DL314+DM316/10000</f>
        <v>0.84377813730626849</v>
      </c>
      <c r="DN314" s="957">
        <f>DM314+DN316/10000</f>
        <v>0.84753669377104046</v>
      </c>
      <c r="DO314" s="955">
        <f>DO77/DO79</f>
        <v>0.84197656958046574</v>
      </c>
      <c r="DP314" s="957">
        <f>DN314+DP316/10000</f>
        <v>0.85122810858621389</v>
      </c>
      <c r="DQ314" s="957">
        <f>DP314+DQ316/10000</f>
        <v>0.85509730263418215</v>
      </c>
      <c r="DR314" s="957">
        <f>DQ314+DR316/10000</f>
        <v>0.85892022846139482</v>
      </c>
      <c r="DS314" s="957">
        <f>DR314+DS316/10000</f>
        <v>0.86267878492616679</v>
      </c>
      <c r="DT314" s="955">
        <f>DT77/DT79</f>
        <v>0.85711866073559206</v>
      </c>
      <c r="DU314" s="957">
        <f>DS314+DU316/10000</f>
        <v>0.86637019974134022</v>
      </c>
      <c r="DV314" s="957">
        <f>DU314+DV316/10000</f>
        <v>0.87023939378930848</v>
      </c>
      <c r="DW314" s="957">
        <f>DV314+DW316/10000</f>
        <v>0.87406231961652114</v>
      </c>
      <c r="DX314" s="957">
        <f>DW314+DX316/10000</f>
        <v>0.87782087608129311</v>
      </c>
      <c r="DY314" s="955">
        <f>DY77/DY79</f>
        <v>0.87226075189071828</v>
      </c>
    </row>
    <row r="315" spans="1:129" x14ac:dyDescent="0.2">
      <c r="A315" s="611"/>
      <c r="B315" s="740" t="s">
        <v>814</v>
      </c>
      <c r="C315" s="815"/>
      <c r="D315" s="815"/>
      <c r="E315" s="815"/>
      <c r="F315" s="815"/>
      <c r="G315" s="815"/>
      <c r="H315" s="815"/>
      <c r="I315" s="817"/>
      <c r="J315" s="815"/>
      <c r="K315" s="815"/>
      <c r="L315" s="815"/>
      <c r="M315" s="815"/>
      <c r="N315" s="817"/>
      <c r="O315" s="816"/>
      <c r="P315" s="816"/>
      <c r="Q315" s="816"/>
      <c r="R315" s="816"/>
      <c r="S315" s="817"/>
      <c r="T315" s="816"/>
      <c r="U315" s="816"/>
      <c r="V315" s="816"/>
      <c r="W315" s="816"/>
      <c r="X315" s="817"/>
      <c r="Y315" s="816"/>
      <c r="Z315" s="816"/>
      <c r="AA315" s="816"/>
      <c r="AB315" s="816"/>
      <c r="AC315" s="817"/>
      <c r="AD315" s="816"/>
      <c r="AE315" s="816"/>
      <c r="AF315" s="816"/>
      <c r="AG315" s="816"/>
      <c r="AH315" s="817"/>
      <c r="AI315" s="816"/>
      <c r="AJ315" s="816"/>
      <c r="AK315" s="816"/>
      <c r="AL315" s="816"/>
      <c r="AM315" s="817"/>
      <c r="AN315" s="816"/>
      <c r="AO315" s="816"/>
      <c r="AP315" s="816"/>
      <c r="AQ315" s="816"/>
      <c r="AR315" s="817"/>
      <c r="AS315" s="816"/>
      <c r="AT315" s="816"/>
      <c r="AU315" s="816"/>
      <c r="AV315" s="816"/>
      <c r="AW315" s="817"/>
      <c r="AX315" s="816"/>
      <c r="AY315" s="816"/>
      <c r="AZ315" s="816"/>
      <c r="BA315" s="816"/>
      <c r="BB315" s="817"/>
      <c r="BC315" s="816"/>
      <c r="BD315" s="816"/>
      <c r="BE315" s="816"/>
      <c r="BF315" s="816"/>
      <c r="BG315" s="817"/>
      <c r="BH315" s="816"/>
      <c r="BI315" s="816"/>
      <c r="BJ315" s="816"/>
      <c r="BK315" s="816"/>
      <c r="BL315" s="939"/>
      <c r="BM315" s="959">
        <f t="shared" ref="BM315:DI315" si="594">(BM314-BH314)*10000</f>
        <v>520.00000000000045</v>
      </c>
      <c r="BN315" s="959">
        <f t="shared" si="594"/>
        <v>690.00000000000057</v>
      </c>
      <c r="BO315" s="959">
        <f t="shared" si="594"/>
        <v>620.00000000000057</v>
      </c>
      <c r="BP315" s="959">
        <f t="shared" si="594"/>
        <v>550.00000000000045</v>
      </c>
      <c r="BQ315" s="960">
        <f t="shared" si="594"/>
        <v>632.46305418719226</v>
      </c>
      <c r="BR315" s="959">
        <f t="shared" si="594"/>
        <v>270.00000000000023</v>
      </c>
      <c r="BS315" s="959">
        <f t="shared" si="594"/>
        <v>179.99999999999906</v>
      </c>
      <c r="BT315" s="959">
        <f t="shared" si="594"/>
        <v>159.99999999999903</v>
      </c>
      <c r="BU315" s="959">
        <f t="shared" si="594"/>
        <v>219.99999999999909</v>
      </c>
      <c r="BV315" s="960">
        <f t="shared" si="594"/>
        <v>209.22425231435506</v>
      </c>
      <c r="BW315" s="959">
        <f t="shared" si="594"/>
        <v>329.9999999999992</v>
      </c>
      <c r="BX315" s="959">
        <f t="shared" si="594"/>
        <v>470.0000000000004</v>
      </c>
      <c r="BY315" s="959">
        <f t="shared" si="594"/>
        <v>560.00000000000045</v>
      </c>
      <c r="BZ315" s="959">
        <f t="shared" si="594"/>
        <v>550.00000000000045</v>
      </c>
      <c r="CA315" s="960">
        <f t="shared" si="594"/>
        <v>479.35630720561727</v>
      </c>
      <c r="CB315" s="959">
        <f t="shared" si="594"/>
        <v>500.00000000000045</v>
      </c>
      <c r="CC315" s="959">
        <f t="shared" si="594"/>
        <v>360.00000000000034</v>
      </c>
      <c r="CD315" s="959">
        <f t="shared" si="594"/>
        <v>260.00000000000023</v>
      </c>
      <c r="CE315" s="959">
        <f t="shared" si="594"/>
        <v>320.00000000000028</v>
      </c>
      <c r="CF315" s="964">
        <f t="shared" si="594"/>
        <v>356.87390272156836</v>
      </c>
      <c r="CG315" s="959">
        <f t="shared" si="594"/>
        <v>519.99999999999932</v>
      </c>
      <c r="CH315" s="959">
        <f t="shared" si="594"/>
        <v>659.99999999999943</v>
      </c>
      <c r="CI315" s="959">
        <f t="shared" si="594"/>
        <v>809.99999999999966</v>
      </c>
      <c r="CJ315" s="961">
        <f t="shared" si="594"/>
        <v>839.99999999999966</v>
      </c>
      <c r="CK315" s="960">
        <f t="shared" si="594"/>
        <v>706.95494347412841</v>
      </c>
      <c r="CL315" s="961">
        <f t="shared" si="594"/>
        <v>640.00000000000057</v>
      </c>
      <c r="CM315" s="961">
        <f t="shared" si="594"/>
        <v>460.0000000000004</v>
      </c>
      <c r="CN315" s="961">
        <f t="shared" si="594"/>
        <v>310.00000000000028</v>
      </c>
      <c r="CO315" s="961">
        <f t="shared" si="594"/>
        <v>210.0000000000002</v>
      </c>
      <c r="CP315" s="960">
        <f t="shared" si="594"/>
        <v>405.56023240483131</v>
      </c>
      <c r="CQ315" s="961">
        <f t="shared" si="594"/>
        <v>260.00000000000023</v>
      </c>
      <c r="CR315" s="961">
        <f t="shared" si="594"/>
        <v>-120.00000000000011</v>
      </c>
      <c r="CS315" s="961">
        <f t="shared" si="594"/>
        <v>-120.00000000000011</v>
      </c>
      <c r="CT315" s="961">
        <f t="shared" si="594"/>
        <v>-150.00000000000014</v>
      </c>
      <c r="CU315" s="960">
        <f t="shared" si="594"/>
        <v>-35.633178334424365</v>
      </c>
      <c r="CV315" s="961">
        <f t="shared" si="594"/>
        <v>-190.00000000000017</v>
      </c>
      <c r="CW315" s="961">
        <f t="shared" si="594"/>
        <v>170.00000000000014</v>
      </c>
      <c r="CX315" s="961">
        <f t="shared" si="594"/>
        <v>148.00000000000034</v>
      </c>
      <c r="CY315" s="961">
        <f t="shared" si="594"/>
        <v>140.00000000000011</v>
      </c>
      <c r="CZ315" s="960">
        <f t="shared" si="594"/>
        <v>70.206707511593081</v>
      </c>
      <c r="DA315" s="961">
        <f t="shared" si="594"/>
        <v>120.00000000000011</v>
      </c>
      <c r="DB315" s="961">
        <f t="shared" si="594"/>
        <v>170.00000000000014</v>
      </c>
      <c r="DC315" s="961">
        <f t="shared" si="594"/>
        <v>201.99999999999994</v>
      </c>
      <c r="DD315" s="961">
        <f t="shared" si="594"/>
        <v>240.00000000000023</v>
      </c>
      <c r="DE315" s="960">
        <f t="shared" ref="DE315:DJ315" si="595">(DE314-CZ314)*10000</f>
        <v>183.87250614933404</v>
      </c>
      <c r="DF315" s="961">
        <f t="shared" si="594"/>
        <v>190.00000000000017</v>
      </c>
      <c r="DG315" s="961">
        <f t="shared" si="594"/>
        <v>509.99999999999932</v>
      </c>
      <c r="DH315" s="961">
        <f t="shared" si="594"/>
        <v>479.99999999999932</v>
      </c>
      <c r="DI315" s="961">
        <f t="shared" si="594"/>
        <v>433.94602615914101</v>
      </c>
      <c r="DJ315" s="960">
        <f t="shared" si="595"/>
        <v>406.12853972928019</v>
      </c>
      <c r="DK315" s="961">
        <f t="shared" ref="DK315:DT315" si="596">(DK314-DF314)*10000</f>
        <v>440.86017431087532</v>
      </c>
      <c r="DL315" s="961">
        <f t="shared" si="596"/>
        <v>89.55211479055869</v>
      </c>
      <c r="DM315" s="961">
        <f t="shared" si="596"/>
        <v>107.78137306268532</v>
      </c>
      <c r="DN315" s="961">
        <f t="shared" si="596"/>
        <v>151.42091155126326</v>
      </c>
      <c r="DO315" s="960">
        <f t="shared" si="596"/>
        <v>194.75842844118185</v>
      </c>
      <c r="DP315" s="961">
        <f t="shared" si="596"/>
        <v>151.42091155126326</v>
      </c>
      <c r="DQ315" s="961">
        <f t="shared" si="596"/>
        <v>151.42091155126326</v>
      </c>
      <c r="DR315" s="961">
        <f t="shared" si="596"/>
        <v>151.42091155126326</v>
      </c>
      <c r="DS315" s="961">
        <f t="shared" si="596"/>
        <v>151.42091155126326</v>
      </c>
      <c r="DT315" s="960">
        <f t="shared" si="596"/>
        <v>151.42091155126326</v>
      </c>
      <c r="DU315" s="961">
        <f t="shared" ref="DU315" si="597">(DU314-DP314)*10000</f>
        <v>151.42091155126326</v>
      </c>
      <c r="DV315" s="961">
        <f t="shared" ref="DV315" si="598">(DV314-DQ314)*10000</f>
        <v>151.42091155126326</v>
      </c>
      <c r="DW315" s="961">
        <f t="shared" ref="DW315" si="599">(DW314-DR314)*10000</f>
        <v>151.42091155126326</v>
      </c>
      <c r="DX315" s="961">
        <f t="shared" ref="DX315" si="600">(DX314-DS314)*10000</f>
        <v>151.42091155126326</v>
      </c>
      <c r="DY315" s="960">
        <f t="shared" ref="DY315" si="601">(DY314-DT314)*10000</f>
        <v>151.42091155126215</v>
      </c>
    </row>
    <row r="316" spans="1:129" x14ac:dyDescent="0.2">
      <c r="A316" s="611"/>
      <c r="B316" s="740" t="s">
        <v>815</v>
      </c>
      <c r="C316" s="815"/>
      <c r="D316" s="815"/>
      <c r="E316" s="815"/>
      <c r="F316" s="815"/>
      <c r="G316" s="815"/>
      <c r="H316" s="815"/>
      <c r="I316" s="817"/>
      <c r="J316" s="815"/>
      <c r="K316" s="815"/>
      <c r="L316" s="815"/>
      <c r="M316" s="815"/>
      <c r="N316" s="817"/>
      <c r="O316" s="816"/>
      <c r="P316" s="816"/>
      <c r="Q316" s="816"/>
      <c r="R316" s="816"/>
      <c r="S316" s="817"/>
      <c r="T316" s="816"/>
      <c r="U316" s="816"/>
      <c r="V316" s="816"/>
      <c r="W316" s="816"/>
      <c r="X316" s="817"/>
      <c r="Y316" s="816"/>
      <c r="Z316" s="816"/>
      <c r="AA316" s="816"/>
      <c r="AB316" s="816"/>
      <c r="AC316" s="817"/>
      <c r="AD316" s="816"/>
      <c r="AE316" s="816"/>
      <c r="AF316" s="816"/>
      <c r="AG316" s="816"/>
      <c r="AH316" s="817"/>
      <c r="AI316" s="816"/>
      <c r="AJ316" s="816"/>
      <c r="AK316" s="816"/>
      <c r="AL316" s="816"/>
      <c r="AM316" s="817"/>
      <c r="AN316" s="816"/>
      <c r="AO316" s="816"/>
      <c r="AP316" s="816"/>
      <c r="AQ316" s="816"/>
      <c r="AR316" s="817"/>
      <c r="AS316" s="816"/>
      <c r="AT316" s="816"/>
      <c r="AU316" s="816"/>
      <c r="AV316" s="816"/>
      <c r="AW316" s="817"/>
      <c r="AX316" s="816"/>
      <c r="AY316" s="816"/>
      <c r="AZ316" s="816"/>
      <c r="BA316" s="816"/>
      <c r="BB316" s="817"/>
      <c r="BC316" s="816"/>
      <c r="BD316" s="816"/>
      <c r="BE316" s="816"/>
      <c r="BF316" s="816"/>
      <c r="BG316" s="817"/>
      <c r="BH316" s="816"/>
      <c r="BI316" s="816"/>
      <c r="BJ316" s="816"/>
      <c r="BK316" s="816"/>
      <c r="BL316" s="939"/>
      <c r="BM316" s="959">
        <f>(BM314-BK314)*10000</f>
        <v>310.00000000000028</v>
      </c>
      <c r="BN316" s="959">
        <f>(BN314-BM314)*10000</f>
        <v>170.00000000000014</v>
      </c>
      <c r="BO316" s="959">
        <f>(BO314-BN314)*10000</f>
        <v>70.000000000000057</v>
      </c>
      <c r="BP316" s="959">
        <f>(BP314-BO314)*10000</f>
        <v>0</v>
      </c>
      <c r="BQ316" s="939"/>
      <c r="BR316" s="959">
        <f>(BR314-BP314)*10000</f>
        <v>30.000000000000028</v>
      </c>
      <c r="BS316" s="959">
        <f>(BS314-BR314)*10000</f>
        <v>79.999999999998963</v>
      </c>
      <c r="BT316" s="959">
        <f>(BT314-BS314)*10000</f>
        <v>50.000000000000043</v>
      </c>
      <c r="BU316" s="959">
        <f>(BU314-BT314)*10000</f>
        <v>60.000000000000057</v>
      </c>
      <c r="BV316" s="939"/>
      <c r="BW316" s="959">
        <f>(BW314-BU314)*10000</f>
        <v>140.00000000000011</v>
      </c>
      <c r="BX316" s="959">
        <f>(BX314-BW314)*10000</f>
        <v>220.0000000000002</v>
      </c>
      <c r="BY316" s="959">
        <f>(BY314-BX314)*10000</f>
        <v>140.00000000000011</v>
      </c>
      <c r="BZ316" s="959">
        <f>(BZ314-BY314)*10000</f>
        <v>50.000000000000043</v>
      </c>
      <c r="CA316" s="939"/>
      <c r="CB316" s="959">
        <f>(CB314-BZ314)*10000</f>
        <v>90.000000000000085</v>
      </c>
      <c r="CC316" s="959">
        <f>(CC314-CB314)*10000</f>
        <v>80.000000000000071</v>
      </c>
      <c r="CD316" s="959">
        <f>(CD314-CC314)*10000</f>
        <v>40.000000000000036</v>
      </c>
      <c r="CE316" s="959">
        <f>(CE314-CD314)*10000</f>
        <v>110.0000000000001</v>
      </c>
      <c r="CF316" s="965"/>
      <c r="CG316" s="959">
        <f>(CG314-CE314)*10000</f>
        <v>289.99999999999915</v>
      </c>
      <c r="CH316" s="959">
        <f>(CH314-CG314)*10000</f>
        <v>220.0000000000002</v>
      </c>
      <c r="CI316" s="959">
        <f>(CI314-CH314)*10000</f>
        <v>190.00000000000017</v>
      </c>
      <c r="CJ316" s="959">
        <f>(CJ314-CI314)*10000</f>
        <v>140.00000000000011</v>
      </c>
      <c r="CK316" s="939"/>
      <c r="CL316" s="1742">
        <f t="shared" ref="CL316:CQ316" si="602">(CL314-CK314)*10000</f>
        <v>345.12754009713876</v>
      </c>
      <c r="CM316" s="1742">
        <f t="shared" si="602"/>
        <v>40.000000000000036</v>
      </c>
      <c r="CN316" s="1742">
        <f t="shared" si="602"/>
        <v>40.000000000000036</v>
      </c>
      <c r="CO316" s="1742">
        <f t="shared" si="602"/>
        <v>40.000000000000036</v>
      </c>
      <c r="CP316" s="939"/>
      <c r="CQ316" s="1742">
        <f t="shared" si="602"/>
        <v>199.56730769230768</v>
      </c>
      <c r="CR316" s="1742">
        <f>(CR314-CQ314)*10000</f>
        <v>-340.00000000000028</v>
      </c>
      <c r="CS316" s="1742">
        <f>(CS314-CR314)*10000</f>
        <v>40.000000000000036</v>
      </c>
      <c r="CT316" s="1742">
        <v>34.553338903603041</v>
      </c>
      <c r="CU316" s="939"/>
      <c r="CV316" s="1742">
        <f>(CV314-CU314)*10000</f>
        <v>45.20048602673188</v>
      </c>
      <c r="CW316" s="1742">
        <f>(CW314-CV314)*10000</f>
        <v>20.000000000000018</v>
      </c>
      <c r="CX316" s="1742">
        <f>(CX314-CW314)*10000</f>
        <v>18.000000000000238</v>
      </c>
      <c r="CY316" s="1742">
        <f>(CY314-CX314)*10000</f>
        <v>1.9999999999997797</v>
      </c>
      <c r="CZ316" s="939"/>
      <c r="DA316" s="1742">
        <f>(DA314-CZ314)*10000</f>
        <v>94.993778515138899</v>
      </c>
      <c r="DB316" s="1742">
        <f>(DB314-DA314)*10000</f>
        <v>70.000000000000057</v>
      </c>
      <c r="DC316" s="1742">
        <f>(DC314-DB314)*10000</f>
        <v>50.000000000000043</v>
      </c>
      <c r="DD316" s="1742">
        <f>(DD314-DC314)*10000</f>
        <v>40.000000000000036</v>
      </c>
      <c r="DE316" s="939"/>
      <c r="DF316" s="1742">
        <f>(DF314-DE314)*10000</f>
        <v>101.12127236580504</v>
      </c>
      <c r="DG316" s="1742">
        <f>(DG314-DF314)*10000</f>
        <v>389.99999999999926</v>
      </c>
      <c r="DH316" s="1742">
        <f>(DH314-DG314)*10000</f>
        <v>20.000000000000018</v>
      </c>
      <c r="DI316" s="1742">
        <f>(DI314-DH314)*10000</f>
        <v>-6.0539738408582622</v>
      </c>
      <c r="DJ316" s="939"/>
      <c r="DK316" s="966">
        <v>36.914148151734466</v>
      </c>
      <c r="DL316" s="966">
        <v>38.691940479682465</v>
      </c>
      <c r="DM316" s="966">
        <v>38.229258272126224</v>
      </c>
      <c r="DN316" s="966">
        <v>37.585564647720226</v>
      </c>
      <c r="DO316" s="939"/>
      <c r="DP316" s="966">
        <v>36.914148151734466</v>
      </c>
      <c r="DQ316" s="966">
        <v>38.691940479682465</v>
      </c>
      <c r="DR316" s="966">
        <v>38.229258272126224</v>
      </c>
      <c r="DS316" s="966">
        <v>37.585564647720226</v>
      </c>
      <c r="DT316" s="939"/>
      <c r="DU316" s="966">
        <v>36.914148151734466</v>
      </c>
      <c r="DV316" s="966">
        <v>38.691940479682465</v>
      </c>
      <c r="DW316" s="966">
        <v>38.229258272126224</v>
      </c>
      <c r="DX316" s="966">
        <v>37.585564647720226</v>
      </c>
      <c r="DY316" s="939"/>
    </row>
    <row r="317" spans="1:129" ht="12" thickBot="1" x14ac:dyDescent="0.25">
      <c r="A317" s="526"/>
      <c r="B317" s="757"/>
      <c r="C317" s="758"/>
      <c r="D317" s="758"/>
      <c r="E317" s="758"/>
      <c r="F317" s="758"/>
      <c r="G317" s="758"/>
      <c r="H317" s="758"/>
      <c r="I317" s="759"/>
      <c r="J317" s="758"/>
      <c r="K317" s="758"/>
      <c r="L317" s="758"/>
      <c r="M317" s="758"/>
      <c r="N317" s="759"/>
      <c r="O317" s="760"/>
      <c r="P317" s="760"/>
      <c r="Q317" s="760"/>
      <c r="R317" s="760"/>
      <c r="S317" s="759"/>
      <c r="T317" s="760"/>
      <c r="U317" s="760"/>
      <c r="V317" s="760"/>
      <c r="W317" s="760"/>
      <c r="X317" s="759"/>
      <c r="Y317" s="760"/>
      <c r="Z317" s="760"/>
      <c r="AA317" s="760"/>
      <c r="AB317" s="760"/>
      <c r="AC317" s="759"/>
      <c r="AD317" s="760"/>
      <c r="AE317" s="760"/>
      <c r="AF317" s="760"/>
      <c r="AG317" s="760"/>
      <c r="AH317" s="759"/>
      <c r="AI317" s="760"/>
      <c r="AJ317" s="760"/>
      <c r="AK317" s="760"/>
      <c r="AL317" s="760"/>
      <c r="AM317" s="759"/>
      <c r="AN317" s="760"/>
      <c r="AO317" s="760"/>
      <c r="AP317" s="760"/>
      <c r="AQ317" s="760"/>
      <c r="AR317" s="759"/>
      <c r="AS317" s="760"/>
      <c r="AT317" s="760"/>
      <c r="AU317" s="760"/>
      <c r="AV317" s="760"/>
      <c r="AW317" s="759"/>
      <c r="AX317" s="760"/>
      <c r="AY317" s="760"/>
      <c r="AZ317" s="760"/>
      <c r="BA317" s="760"/>
      <c r="BB317" s="759"/>
      <c r="BC317" s="760"/>
      <c r="BD317" s="760"/>
      <c r="BE317" s="760"/>
      <c r="BF317" s="760"/>
      <c r="BG317" s="759"/>
      <c r="BH317" s="760"/>
      <c r="BI317" s="760"/>
      <c r="BJ317" s="760"/>
      <c r="BK317" s="760"/>
      <c r="BL317" s="763"/>
      <c r="BM317" s="760"/>
      <c r="BN317" s="760"/>
      <c r="BO317" s="760"/>
      <c r="BP317" s="760"/>
      <c r="BQ317" s="763"/>
      <c r="BR317" s="760"/>
      <c r="BS317" s="760"/>
      <c r="BT317" s="760"/>
      <c r="BU317" s="760"/>
      <c r="BV317" s="763"/>
      <c r="BW317" s="760"/>
      <c r="BX317" s="760"/>
      <c r="BY317" s="760"/>
      <c r="BZ317" s="760"/>
      <c r="CA317" s="763"/>
      <c r="CB317" s="760"/>
      <c r="CC317" s="760"/>
      <c r="CD317" s="760"/>
      <c r="CE317" s="760"/>
      <c r="CF317" s="763"/>
      <c r="CG317" s="907"/>
      <c r="CH317" s="907"/>
      <c r="CI317" s="907"/>
      <c r="CJ317" s="907"/>
      <c r="CK317" s="763"/>
      <c r="CL317" s="907"/>
      <c r="CM317" s="907"/>
      <c r="CN317" s="907"/>
      <c r="CO317" s="907"/>
      <c r="CP317" s="763"/>
      <c r="CQ317" s="907"/>
      <c r="CR317" s="907"/>
      <c r="CS317" s="907"/>
      <c r="CT317" s="907"/>
      <c r="CU317" s="763"/>
      <c r="CV317" s="907"/>
      <c r="CW317" s="907"/>
      <c r="CX317" s="907"/>
      <c r="CY317" s="907"/>
      <c r="CZ317" s="763"/>
      <c r="DA317" s="907"/>
      <c r="DB317" s="907"/>
      <c r="DC317" s="907"/>
      <c r="DD317" s="907"/>
      <c r="DE317" s="763"/>
      <c r="DF317" s="907"/>
      <c r="DG317" s="907"/>
      <c r="DH317" s="907"/>
      <c r="DI317" s="2828"/>
      <c r="DJ317" s="763"/>
      <c r="DK317" s="907"/>
      <c r="DL317" s="907"/>
      <c r="DM317" s="907"/>
      <c r="DN317" s="907"/>
      <c r="DO317" s="763"/>
      <c r="DP317" s="907"/>
      <c r="DQ317" s="907"/>
      <c r="DR317" s="907"/>
      <c r="DS317" s="907"/>
      <c r="DT317" s="763"/>
      <c r="DU317" s="907"/>
      <c r="DV317" s="907"/>
      <c r="DW317" s="907"/>
      <c r="DX317" s="907"/>
      <c r="DY317" s="763"/>
    </row>
    <row r="318" spans="1:129" ht="12" thickBot="1" x14ac:dyDescent="0.25">
      <c r="A318" s="682"/>
      <c r="B318" s="682"/>
      <c r="C318" s="682"/>
      <c r="D318" s="682"/>
      <c r="E318" s="682"/>
      <c r="F318" s="682"/>
      <c r="G318" s="682"/>
      <c r="H318" s="682"/>
      <c r="I318" s="682"/>
      <c r="J318" s="682"/>
      <c r="K318" s="682"/>
      <c r="L318" s="682"/>
      <c r="M318" s="682"/>
      <c r="N318" s="682"/>
      <c r="O318" s="682"/>
      <c r="P318" s="682"/>
      <c r="Q318" s="682"/>
      <c r="R318" s="682"/>
      <c r="S318" s="682"/>
      <c r="T318" s="682"/>
      <c r="U318" s="682"/>
      <c r="V318" s="682"/>
      <c r="W318" s="682"/>
      <c r="X318" s="682"/>
      <c r="Y318" s="682"/>
      <c r="Z318" s="682"/>
      <c r="AA318" s="682"/>
      <c r="AB318" s="682"/>
      <c r="AC318" s="682"/>
      <c r="AD318" s="682"/>
      <c r="AE318" s="682"/>
      <c r="AF318" s="682"/>
      <c r="AG318" s="682"/>
      <c r="AH318" s="682"/>
      <c r="AI318" s="682"/>
      <c r="AJ318" s="682"/>
      <c r="AK318" s="682"/>
      <c r="AL318" s="682"/>
      <c r="AM318" s="682"/>
      <c r="AN318" s="682"/>
      <c r="AO318" s="682"/>
      <c r="AP318" s="682"/>
      <c r="AQ318" s="682"/>
      <c r="AR318" s="682"/>
      <c r="AS318" s="682"/>
      <c r="AT318" s="682"/>
      <c r="AU318" s="682"/>
      <c r="AV318" s="682"/>
      <c r="AW318" s="682"/>
      <c r="AX318" s="682"/>
      <c r="AY318" s="682"/>
      <c r="AZ318" s="682"/>
      <c r="BA318" s="682"/>
      <c r="BB318" s="682"/>
      <c r="BC318" s="682"/>
      <c r="BD318" s="682"/>
      <c r="BE318" s="682"/>
      <c r="BF318" s="682"/>
      <c r="BG318" s="682"/>
      <c r="BH318" s="682"/>
      <c r="BI318" s="682"/>
      <c r="BJ318" s="682"/>
      <c r="BK318" s="682"/>
      <c r="BL318" s="682"/>
      <c r="BM318" s="682"/>
      <c r="BN318" s="682"/>
      <c r="BO318" s="682"/>
      <c r="BP318" s="682"/>
      <c r="BQ318" s="682"/>
      <c r="BR318" s="682"/>
      <c r="BS318" s="682"/>
      <c r="BT318" s="682"/>
      <c r="BU318" s="682"/>
      <c r="BV318" s="682"/>
      <c r="BW318" s="682"/>
      <c r="BX318" s="682"/>
      <c r="BY318" s="682"/>
      <c r="BZ318" s="682"/>
      <c r="CA318" s="682"/>
      <c r="CB318" s="682"/>
      <c r="CC318" s="682"/>
      <c r="CD318" s="682"/>
      <c r="CE318" s="682"/>
      <c r="CF318" s="682"/>
      <c r="CG318" s="682"/>
      <c r="CH318" s="682"/>
      <c r="CI318" s="682"/>
      <c r="CJ318" s="682"/>
      <c r="CK318" s="682"/>
      <c r="CL318" s="682"/>
      <c r="CM318" s="682"/>
      <c r="CN318" s="682"/>
      <c r="CO318" s="682"/>
      <c r="CP318" s="682"/>
      <c r="CQ318" s="682"/>
      <c r="CR318" s="682"/>
      <c r="CS318" s="682"/>
      <c r="CT318" s="682"/>
      <c r="CU318" s="682"/>
      <c r="CV318" s="682"/>
      <c r="CW318" s="682"/>
      <c r="CX318" s="682"/>
      <c r="CY318" s="682"/>
      <c r="CZ318" s="682"/>
      <c r="DA318" s="682"/>
      <c r="DB318" s="682"/>
      <c r="DC318" s="682"/>
      <c r="DD318" s="682"/>
      <c r="DE318" s="682"/>
      <c r="DF318" s="682"/>
      <c r="DG318" s="682"/>
      <c r="DH318" s="682"/>
      <c r="DI318" s="1610"/>
      <c r="DJ318" s="682"/>
      <c r="DK318" s="682"/>
      <c r="DL318" s="682"/>
      <c r="DM318" s="682"/>
      <c r="DN318" s="682"/>
      <c r="DO318" s="682"/>
      <c r="DP318" s="682"/>
      <c r="DQ318" s="682"/>
      <c r="DR318" s="682"/>
      <c r="DS318" s="682"/>
      <c r="DT318" s="682"/>
      <c r="DU318" s="682"/>
      <c r="DV318" s="682"/>
      <c r="DW318" s="682"/>
      <c r="DX318" s="682"/>
      <c r="DY318" s="682"/>
    </row>
    <row r="319" spans="1:129" ht="12" thickBot="1" x14ac:dyDescent="0.25">
      <c r="A319" s="526"/>
      <c r="B319" s="685" t="s">
        <v>1144</v>
      </c>
      <c r="C319" s="686"/>
      <c r="D319" s="686"/>
      <c r="E319" s="686"/>
      <c r="F319" s="686"/>
      <c r="G319" s="686"/>
      <c r="H319" s="686"/>
      <c r="I319" s="687"/>
      <c r="J319" s="686"/>
      <c r="K319" s="686"/>
      <c r="L319" s="686"/>
      <c r="M319" s="686"/>
      <c r="N319" s="687"/>
      <c r="O319" s="686"/>
      <c r="P319" s="686"/>
      <c r="Q319" s="686"/>
      <c r="R319" s="686"/>
      <c r="S319" s="687"/>
      <c r="T319" s="686"/>
      <c r="U319" s="686"/>
      <c r="V319" s="686"/>
      <c r="W319" s="686"/>
      <c r="X319" s="687"/>
      <c r="Y319" s="686"/>
      <c r="Z319" s="686"/>
      <c r="AA319" s="686"/>
      <c r="AB319" s="686"/>
      <c r="AC319" s="687"/>
      <c r="AD319" s="686"/>
      <c r="AE319" s="686"/>
      <c r="AF319" s="686"/>
      <c r="AG319" s="686"/>
      <c r="AH319" s="687"/>
      <c r="AI319" s="686"/>
      <c r="AJ319" s="686"/>
      <c r="AK319" s="686"/>
      <c r="AL319" s="686"/>
      <c r="AM319" s="687"/>
      <c r="AN319" s="686"/>
      <c r="AO319" s="686"/>
      <c r="AP319" s="686"/>
      <c r="AQ319" s="686"/>
      <c r="AR319" s="687"/>
      <c r="AS319" s="686"/>
      <c r="AT319" s="686"/>
      <c r="AU319" s="686"/>
      <c r="AV319" s="686"/>
      <c r="AW319" s="687"/>
      <c r="AX319" s="686"/>
      <c r="AY319" s="686"/>
      <c r="AZ319" s="686"/>
      <c r="BA319" s="686"/>
      <c r="BB319" s="687"/>
      <c r="BC319" s="686"/>
      <c r="BD319" s="686"/>
      <c r="BE319" s="686"/>
      <c r="BF319" s="686"/>
      <c r="BG319" s="687"/>
      <c r="BH319" s="686"/>
      <c r="BI319" s="686"/>
      <c r="BJ319" s="686"/>
      <c r="BK319" s="686"/>
      <c r="BL319" s="687"/>
      <c r="BM319" s="686"/>
      <c r="BN319" s="686"/>
      <c r="BO319" s="686"/>
      <c r="BP319" s="686"/>
      <c r="BQ319" s="687"/>
      <c r="BR319" s="686"/>
      <c r="BS319" s="686"/>
      <c r="BT319" s="686"/>
      <c r="BU319" s="686"/>
      <c r="BV319" s="687"/>
      <c r="BW319" s="686"/>
      <c r="BX319" s="686"/>
      <c r="BY319" s="686"/>
      <c r="BZ319" s="686"/>
      <c r="CA319" s="687"/>
      <c r="CB319" s="686"/>
      <c r="CC319" s="686"/>
      <c r="CD319" s="686"/>
      <c r="CE319" s="686"/>
      <c r="CF319" s="687"/>
      <c r="CG319" s="686"/>
      <c r="CH319" s="686"/>
      <c r="CI319" s="686"/>
      <c r="CJ319" s="686"/>
      <c r="CK319" s="687"/>
      <c r="CL319" s="686"/>
      <c r="CM319" s="686"/>
      <c r="CN319" s="686"/>
      <c r="CO319" s="686"/>
      <c r="CP319" s="687"/>
      <c r="CQ319" s="686"/>
      <c r="CR319" s="686"/>
      <c r="CS319" s="686"/>
      <c r="CT319" s="686"/>
      <c r="CU319" s="687"/>
      <c r="CV319" s="686"/>
      <c r="CW319" s="686"/>
      <c r="CX319" s="686"/>
      <c r="CY319" s="686"/>
      <c r="CZ319" s="687"/>
      <c r="DA319" s="686"/>
      <c r="DB319" s="686"/>
      <c r="DC319" s="686"/>
      <c r="DD319" s="686"/>
      <c r="DE319" s="687"/>
      <c r="DF319" s="686"/>
      <c r="DG319" s="686"/>
      <c r="DH319" s="686"/>
      <c r="DI319" s="2803"/>
      <c r="DJ319" s="687"/>
      <c r="DK319" s="686"/>
      <c r="DL319" s="686"/>
      <c r="DM319" s="686"/>
      <c r="DN319" s="686"/>
      <c r="DO319" s="687"/>
      <c r="DP319" s="686"/>
      <c r="DQ319" s="686"/>
      <c r="DR319" s="686"/>
      <c r="DS319" s="686"/>
      <c r="DT319" s="687"/>
      <c r="DU319" s="686"/>
      <c r="DV319" s="686"/>
      <c r="DW319" s="686"/>
      <c r="DX319" s="686"/>
      <c r="DY319" s="687"/>
    </row>
    <row r="320" spans="1:129" ht="5.25" customHeight="1" outlineLevel="1" x14ac:dyDescent="0.2">
      <c r="A320" s="526"/>
      <c r="B320" s="690"/>
      <c r="C320" s="691"/>
      <c r="D320" s="599"/>
      <c r="E320" s="599"/>
      <c r="F320" s="599"/>
      <c r="G320" s="599"/>
      <c r="H320" s="599"/>
      <c r="I320" s="598"/>
      <c r="J320" s="599"/>
      <c r="K320" s="599"/>
      <c r="L320" s="599"/>
      <c r="M320" s="599"/>
      <c r="N320" s="598"/>
      <c r="O320" s="599"/>
      <c r="P320" s="599"/>
      <c r="Q320" s="599"/>
      <c r="R320" s="599"/>
      <c r="S320" s="598"/>
      <c r="T320" s="599"/>
      <c r="U320" s="599"/>
      <c r="V320" s="599"/>
      <c r="W320" s="599"/>
      <c r="X320" s="598"/>
      <c r="Y320" s="599"/>
      <c r="Z320" s="599"/>
      <c r="AA320" s="599"/>
      <c r="AB320" s="599"/>
      <c r="AC320" s="598"/>
      <c r="AD320" s="599"/>
      <c r="AE320" s="599"/>
      <c r="AF320" s="599"/>
      <c r="AG320" s="599"/>
      <c r="AH320" s="598"/>
      <c r="AI320" s="599"/>
      <c r="AJ320" s="599"/>
      <c r="AK320" s="599"/>
      <c r="AL320" s="599"/>
      <c r="AM320" s="598"/>
      <c r="AN320" s="599"/>
      <c r="AO320" s="599"/>
      <c r="AP320" s="599"/>
      <c r="AQ320" s="599"/>
      <c r="AR320" s="598"/>
      <c r="AS320" s="599"/>
      <c r="AT320" s="599"/>
      <c r="AU320" s="599"/>
      <c r="AV320" s="599"/>
      <c r="AW320" s="598"/>
      <c r="AX320" s="599"/>
      <c r="AY320" s="599"/>
      <c r="AZ320" s="599"/>
      <c r="BA320" s="599"/>
      <c r="BB320" s="598"/>
      <c r="BC320" s="599"/>
      <c r="BD320" s="599"/>
      <c r="BE320" s="599"/>
      <c r="BF320" s="599"/>
      <c r="BG320" s="598"/>
      <c r="BH320" s="599"/>
      <c r="BI320" s="599"/>
      <c r="BJ320" s="599"/>
      <c r="BK320" s="599"/>
      <c r="BL320" s="598"/>
      <c r="BM320" s="599"/>
      <c r="BN320" s="599"/>
      <c r="BO320" s="599"/>
      <c r="BP320" s="599"/>
      <c r="BQ320" s="598"/>
      <c r="BR320" s="599"/>
      <c r="BS320" s="599"/>
      <c r="BT320" s="599"/>
      <c r="BU320" s="599"/>
      <c r="BV320" s="598"/>
      <c r="BW320" s="599"/>
      <c r="BX320" s="599"/>
      <c r="BY320" s="599"/>
      <c r="BZ320" s="599"/>
      <c r="CA320" s="598"/>
      <c r="CB320" s="599"/>
      <c r="CC320" s="599"/>
      <c r="CD320" s="599"/>
      <c r="CE320" s="599"/>
      <c r="CF320" s="598"/>
      <c r="CG320" s="526"/>
      <c r="CH320" s="526"/>
      <c r="CI320" s="526"/>
      <c r="CJ320" s="526"/>
      <c r="CK320" s="598"/>
      <c r="CL320" s="526"/>
      <c r="CM320" s="526"/>
      <c r="CN320" s="526"/>
      <c r="CO320" s="526"/>
      <c r="CP320" s="598"/>
      <c r="CQ320" s="526"/>
      <c r="CR320" s="526"/>
      <c r="CS320" s="526"/>
      <c r="CT320" s="526"/>
      <c r="CU320" s="598"/>
      <c r="CV320" s="526"/>
      <c r="CW320" s="526"/>
      <c r="CX320" s="526"/>
      <c r="CY320" s="526"/>
      <c r="CZ320" s="598"/>
      <c r="DA320" s="526"/>
      <c r="DB320" s="526"/>
      <c r="DC320" s="526"/>
      <c r="DD320" s="526"/>
      <c r="DE320" s="598"/>
      <c r="DF320" s="526"/>
      <c r="DG320" s="526"/>
      <c r="DH320" s="526"/>
      <c r="DI320" s="1609"/>
      <c r="DJ320" s="598"/>
      <c r="DK320" s="526"/>
      <c r="DL320" s="526"/>
      <c r="DM320" s="526"/>
      <c r="DN320" s="526"/>
      <c r="DO320" s="598"/>
      <c r="DP320" s="526"/>
      <c r="DQ320" s="526"/>
      <c r="DR320" s="526"/>
      <c r="DS320" s="526"/>
      <c r="DT320" s="598"/>
      <c r="DU320" s="526"/>
      <c r="DV320" s="526"/>
      <c r="DW320" s="526"/>
      <c r="DX320" s="526"/>
      <c r="DY320" s="598"/>
    </row>
    <row r="321" spans="1:129" outlineLevel="1" x14ac:dyDescent="0.2">
      <c r="A321" s="769"/>
      <c r="B321" s="756" t="s">
        <v>520</v>
      </c>
      <c r="C321" s="771"/>
      <c r="D321" s="771"/>
      <c r="E321" s="771"/>
      <c r="F321" s="771"/>
      <c r="G321" s="771"/>
      <c r="H321" s="771"/>
      <c r="I321" s="772"/>
      <c r="J321" s="771"/>
      <c r="K321" s="771"/>
      <c r="L321" s="771"/>
      <c r="M321" s="771"/>
      <c r="N321" s="772"/>
      <c r="O321" s="771"/>
      <c r="P321" s="771"/>
      <c r="Q321" s="771"/>
      <c r="R321" s="771"/>
      <c r="S321" s="772"/>
      <c r="T321" s="771"/>
      <c r="U321" s="771"/>
      <c r="V321" s="771"/>
      <c r="W321" s="771"/>
      <c r="X321" s="772"/>
      <c r="Y321" s="771"/>
      <c r="Z321" s="771"/>
      <c r="AA321" s="771"/>
      <c r="AB321" s="771"/>
      <c r="AC321" s="772"/>
      <c r="AD321" s="771"/>
      <c r="AE321" s="771"/>
      <c r="AF321" s="771"/>
      <c r="AG321" s="771"/>
      <c r="AH321" s="772"/>
      <c r="AI321" s="771"/>
      <c r="AJ321" s="771"/>
      <c r="AK321" s="771"/>
      <c r="AL321" s="771"/>
      <c r="AM321" s="772"/>
      <c r="AN321" s="771"/>
      <c r="AO321" s="771"/>
      <c r="AP321" s="771"/>
      <c r="AQ321" s="771"/>
      <c r="AR321" s="772"/>
      <c r="AS321" s="771"/>
      <c r="AT321" s="771"/>
      <c r="AU321" s="771"/>
      <c r="AV321" s="771"/>
      <c r="AW321" s="772"/>
      <c r="AX321" s="771"/>
      <c r="AY321" s="771"/>
      <c r="AZ321" s="771"/>
      <c r="BA321" s="771"/>
      <c r="BB321" s="772"/>
      <c r="BC321" s="771"/>
      <c r="BD321" s="771"/>
      <c r="BE321" s="773"/>
      <c r="BF321" s="773"/>
      <c r="BG321" s="772"/>
      <c r="BH321" s="773"/>
      <c r="BI321" s="773"/>
      <c r="BJ321" s="773"/>
      <c r="BK321" s="773"/>
      <c r="BL321" s="774"/>
      <c r="BM321" s="773"/>
      <c r="BN321" s="773"/>
      <c r="BO321" s="773"/>
      <c r="BP321" s="773"/>
      <c r="BQ321" s="774"/>
      <c r="BR321" s="773"/>
      <c r="BS321" s="773"/>
      <c r="BT321" s="773"/>
      <c r="BU321" s="773"/>
      <c r="BV321" s="774"/>
      <c r="BW321" s="773"/>
      <c r="BX321" s="773"/>
      <c r="BY321" s="773"/>
      <c r="BZ321" s="773"/>
      <c r="CA321" s="774"/>
      <c r="CB321" s="773"/>
      <c r="CC321" s="773"/>
      <c r="CD321" s="775"/>
      <c r="CE321" s="775"/>
      <c r="CF321" s="772"/>
      <c r="CG321" s="775"/>
      <c r="CH321" s="775"/>
      <c r="CI321" s="775"/>
      <c r="CJ321" s="775"/>
      <c r="CK321" s="772"/>
      <c r="CL321" s="775"/>
      <c r="CM321" s="775"/>
      <c r="CN321" s="775"/>
      <c r="CO321" s="775"/>
      <c r="CP321" s="772"/>
      <c r="CQ321" s="775">
        <f>10/12*CR321</f>
        <v>329.95800000000003</v>
      </c>
      <c r="CR321" s="775">
        <f>1.2*329.958</f>
        <v>395.94960000000003</v>
      </c>
      <c r="CS321" s="775">
        <f>1.2*329.1</f>
        <v>394.92</v>
      </c>
      <c r="CT321" s="775">
        <f>(1335-CS321-CR321-290)*1.2</f>
        <v>304.95647999999989</v>
      </c>
      <c r="CU321" s="772">
        <f>SUM(CQ321:CT321)</f>
        <v>1425.7840799999999</v>
      </c>
      <c r="CV321" s="775">
        <f>290*1.1^2</f>
        <v>350.90000000000003</v>
      </c>
      <c r="CW321" s="775">
        <f>(1+CW322)*CR321</f>
        <v>435.54456000000005</v>
      </c>
      <c r="CX321" s="775">
        <f>(1+CX322)*CS321</f>
        <v>434.41200000000003</v>
      </c>
      <c r="CY321" s="775">
        <f>(1+CY322)*CT321</f>
        <v>335.4521279999999</v>
      </c>
      <c r="CZ321" s="772">
        <f>SUM(CV321:CY321)</f>
        <v>1556.3086880000001</v>
      </c>
      <c r="DA321" s="775">
        <f>(1+DA322)*CV321</f>
        <v>385.99000000000007</v>
      </c>
      <c r="DB321" s="775">
        <f>(1+DB322)*CW321</f>
        <v>479.09901600000006</v>
      </c>
      <c r="DC321" s="775">
        <f>(1+DC322)*CX321</f>
        <v>477.85320000000007</v>
      </c>
      <c r="DD321" s="775">
        <f>(1+DD322)*CY321</f>
        <v>368.9973407999999</v>
      </c>
      <c r="DE321" s="772">
        <f>SUM(DA321:DD321)</f>
        <v>1711.9395568</v>
      </c>
      <c r="DF321" s="775">
        <f>(1+DF322)*DA321</f>
        <v>424.58900000000011</v>
      </c>
      <c r="DG321" s="775">
        <f>(1+DG322)*DB321</f>
        <v>527.00891760000013</v>
      </c>
      <c r="DH321" s="775">
        <f>(1+DH322)*DC321</f>
        <v>525.63852000000009</v>
      </c>
      <c r="DI321" s="2829">
        <f>(1+DI322)*DD321</f>
        <v>405.89707487999993</v>
      </c>
      <c r="DJ321" s="772">
        <f>SUM(DF321:DI321)</f>
        <v>1883.1335124800005</v>
      </c>
      <c r="DK321" s="775">
        <f>(1+DK322)*DF321</f>
        <v>467.04790000000014</v>
      </c>
      <c r="DL321" s="775">
        <f>(1+DL322)*DG321</f>
        <v>579.70980936000024</v>
      </c>
      <c r="DM321" s="775">
        <f>(1+DM322)*DH321</f>
        <v>578.2023720000002</v>
      </c>
      <c r="DN321" s="775">
        <f>(1+DN322)*DI321</f>
        <v>446.48678236799998</v>
      </c>
      <c r="DO321" s="772">
        <f>SUM(DK321:DN321)</f>
        <v>2071.4468637280006</v>
      </c>
      <c r="DP321" s="775">
        <f>(1+DP322)*DK321</f>
        <v>513.75269000000014</v>
      </c>
      <c r="DQ321" s="775">
        <f>(1+DQ322)*DL321</f>
        <v>637.68079029600028</v>
      </c>
      <c r="DR321" s="775">
        <f>(1+DR322)*DM321</f>
        <v>636.02260920000026</v>
      </c>
      <c r="DS321" s="775">
        <f>(1+DS322)*DN321</f>
        <v>491.13546060480002</v>
      </c>
      <c r="DT321" s="772">
        <f>SUM(DP321:DS321)</f>
        <v>2278.5915501008008</v>
      </c>
      <c r="DU321" s="775">
        <f>(1+DU322)*DP321</f>
        <v>565.12795900000026</v>
      </c>
      <c r="DV321" s="775">
        <f>(1+DV322)*DQ321</f>
        <v>701.44886932560041</v>
      </c>
      <c r="DW321" s="775">
        <f>(1+DW322)*DR321</f>
        <v>699.62487012000031</v>
      </c>
      <c r="DX321" s="775">
        <f>(1+DX322)*DS321</f>
        <v>540.24900666528004</v>
      </c>
      <c r="DY321" s="772">
        <f>SUM(DU321:DX321)</f>
        <v>2506.4507051108808</v>
      </c>
    </row>
    <row r="322" spans="1:129" outlineLevel="1" x14ac:dyDescent="0.2">
      <c r="A322" s="472"/>
      <c r="B322" s="938" t="s">
        <v>1145</v>
      </c>
      <c r="C322" s="816"/>
      <c r="D322" s="816"/>
      <c r="E322" s="816"/>
      <c r="F322" s="816"/>
      <c r="G322" s="816"/>
      <c r="H322" s="816"/>
      <c r="I322" s="939"/>
      <c r="J322" s="816"/>
      <c r="K322" s="816"/>
      <c r="L322" s="816"/>
      <c r="M322" s="816"/>
      <c r="N322" s="939"/>
      <c r="O322" s="816"/>
      <c r="P322" s="816"/>
      <c r="Q322" s="816"/>
      <c r="R322" s="816"/>
      <c r="S322" s="939"/>
      <c r="T322" s="816"/>
      <c r="U322" s="816"/>
      <c r="V322" s="816"/>
      <c r="W322" s="816"/>
      <c r="X322" s="939"/>
      <c r="Y322" s="816"/>
      <c r="Z322" s="816"/>
      <c r="AA322" s="816"/>
      <c r="AB322" s="816"/>
      <c r="AC322" s="939"/>
      <c r="AD322" s="816"/>
      <c r="AE322" s="816"/>
      <c r="AF322" s="816"/>
      <c r="AG322" s="816"/>
      <c r="AH322" s="939"/>
      <c r="AI322" s="816"/>
      <c r="AJ322" s="816"/>
      <c r="AK322" s="816"/>
      <c r="AL322" s="816"/>
      <c r="AM322" s="939"/>
      <c r="AN322" s="816"/>
      <c r="AO322" s="816"/>
      <c r="AP322" s="816"/>
      <c r="AQ322" s="816"/>
      <c r="AR322" s="939"/>
      <c r="AS322" s="816"/>
      <c r="AT322" s="816"/>
      <c r="AU322" s="816"/>
      <c r="AV322" s="816"/>
      <c r="AW322" s="939"/>
      <c r="AX322" s="816"/>
      <c r="AY322" s="816"/>
      <c r="AZ322" s="816"/>
      <c r="BA322" s="816"/>
      <c r="BB322" s="939"/>
      <c r="BC322" s="816"/>
      <c r="BD322" s="816"/>
      <c r="BE322" s="816"/>
      <c r="BF322" s="816"/>
      <c r="BG322" s="939"/>
      <c r="BH322" s="816"/>
      <c r="BI322" s="816"/>
      <c r="BJ322" s="816"/>
      <c r="BK322" s="816"/>
      <c r="BL322" s="774"/>
      <c r="BM322" s="818"/>
      <c r="BN322" s="818"/>
      <c r="BO322" s="818"/>
      <c r="BP322" s="818"/>
      <c r="BQ322" s="774"/>
      <c r="BR322" s="818"/>
      <c r="BS322" s="818"/>
      <c r="BT322" s="818"/>
      <c r="BU322" s="818"/>
      <c r="BV322" s="774"/>
      <c r="BW322" s="818"/>
      <c r="BX322" s="818"/>
      <c r="BY322" s="818"/>
      <c r="BZ322" s="818"/>
      <c r="CA322" s="774"/>
      <c r="CB322" s="818"/>
      <c r="CC322" s="818"/>
      <c r="CD322" s="819"/>
      <c r="CE322" s="819"/>
      <c r="CF322" s="772"/>
      <c r="CG322" s="819"/>
      <c r="CH322" s="819"/>
      <c r="CI322" s="819"/>
      <c r="CJ322" s="819"/>
      <c r="CK322" s="772"/>
      <c r="CL322" s="819"/>
      <c r="CM322" s="819"/>
      <c r="CN322" s="819"/>
      <c r="CO322" s="819"/>
      <c r="CP322" s="772"/>
      <c r="CQ322" s="819"/>
      <c r="CR322" s="819"/>
      <c r="CS322" s="819"/>
      <c r="CT322" s="819"/>
      <c r="CU322" s="772"/>
      <c r="CV322" s="819"/>
      <c r="CW322" s="974">
        <v>0.1</v>
      </c>
      <c r="CX322" s="974">
        <v>0.1</v>
      </c>
      <c r="CY322" s="974">
        <v>0.1</v>
      </c>
      <c r="CZ322" s="572">
        <f>CZ321/CU321-1</f>
        <v>9.1545844725661629E-2</v>
      </c>
      <c r="DA322" s="974">
        <v>0.1</v>
      </c>
      <c r="DB322" s="974">
        <v>0.1</v>
      </c>
      <c r="DC322" s="974">
        <v>0.1</v>
      </c>
      <c r="DD322" s="974">
        <v>0.1</v>
      </c>
      <c r="DE322" s="572">
        <f>DE321/CZ321-1</f>
        <v>9.9999999999999867E-2</v>
      </c>
      <c r="DF322" s="974">
        <v>0.1</v>
      </c>
      <c r="DG322" s="974">
        <v>0.1</v>
      </c>
      <c r="DH322" s="2745">
        <v>0.1</v>
      </c>
      <c r="DI322" s="2835">
        <v>0.1</v>
      </c>
      <c r="DJ322" s="572">
        <f>DJ321/DE321-1</f>
        <v>0.10000000000000031</v>
      </c>
      <c r="DK322" s="974">
        <v>0.1</v>
      </c>
      <c r="DL322" s="974">
        <v>0.1</v>
      </c>
      <c r="DM322" s="974">
        <v>0.1</v>
      </c>
      <c r="DN322" s="974">
        <v>0.1</v>
      </c>
      <c r="DO322" s="572">
        <f>DO321/DJ321-1</f>
        <v>0.10000000000000009</v>
      </c>
      <c r="DP322" s="974">
        <v>0.1</v>
      </c>
      <c r="DQ322" s="974">
        <v>0.1</v>
      </c>
      <c r="DR322" s="974">
        <v>0.1</v>
      </c>
      <c r="DS322" s="974">
        <v>0.1</v>
      </c>
      <c r="DT322" s="572">
        <f>DT321/DO321-1</f>
        <v>0.10000000000000009</v>
      </c>
      <c r="DU322" s="974">
        <v>0.1</v>
      </c>
      <c r="DV322" s="974">
        <v>0.1</v>
      </c>
      <c r="DW322" s="974">
        <v>0.1</v>
      </c>
      <c r="DX322" s="974">
        <v>0.1</v>
      </c>
      <c r="DY322" s="572">
        <f>DY321/DT321-1</f>
        <v>0.10000000000000009</v>
      </c>
    </row>
    <row r="323" spans="1:129" outlineLevel="1" x14ac:dyDescent="0.2">
      <c r="A323" s="940"/>
      <c r="B323" s="690"/>
      <c r="C323" s="941"/>
      <c r="D323" s="941"/>
      <c r="E323" s="941"/>
      <c r="F323" s="941"/>
      <c r="G323" s="941"/>
      <c r="H323" s="941"/>
      <c r="I323" s="942"/>
      <c r="J323" s="941"/>
      <c r="K323" s="941"/>
      <c r="L323" s="941"/>
      <c r="M323" s="941"/>
      <c r="N323" s="942"/>
      <c r="O323" s="941"/>
      <c r="P323" s="941"/>
      <c r="Q323" s="941"/>
      <c r="R323" s="941"/>
      <c r="S323" s="942"/>
      <c r="T323" s="941"/>
      <c r="U323" s="941"/>
      <c r="V323" s="941"/>
      <c r="W323" s="941"/>
      <c r="X323" s="942"/>
      <c r="Y323" s="941"/>
      <c r="Z323" s="941"/>
      <c r="AA323" s="941"/>
      <c r="AB323" s="941"/>
      <c r="AC323" s="942"/>
      <c r="AD323" s="941"/>
      <c r="AE323" s="941"/>
      <c r="AF323" s="941"/>
      <c r="AG323" s="941"/>
      <c r="AH323" s="942"/>
      <c r="AI323" s="941"/>
      <c r="AJ323" s="941"/>
      <c r="AK323" s="941"/>
      <c r="AL323" s="941"/>
      <c r="AM323" s="942"/>
      <c r="AN323" s="941"/>
      <c r="AO323" s="941"/>
      <c r="AP323" s="941"/>
      <c r="AQ323" s="941"/>
      <c r="AR323" s="942"/>
      <c r="AS323" s="941"/>
      <c r="AT323" s="941"/>
      <c r="AU323" s="941"/>
      <c r="AV323" s="941"/>
      <c r="AW323" s="942"/>
      <c r="AX323" s="941"/>
      <c r="AY323" s="941"/>
      <c r="AZ323" s="941"/>
      <c r="BA323" s="941"/>
      <c r="BB323" s="942"/>
      <c r="BC323" s="941"/>
      <c r="BD323" s="941"/>
      <c r="BE323" s="943"/>
      <c r="BF323" s="943"/>
      <c r="BG323" s="942"/>
      <c r="BH323" s="943"/>
      <c r="BI323" s="943"/>
      <c r="BJ323" s="943"/>
      <c r="BK323" s="943"/>
      <c r="BL323" s="944"/>
      <c r="BM323" s="945"/>
      <c r="BN323" s="945"/>
      <c r="BO323" s="945"/>
      <c r="BP323" s="945"/>
      <c r="BQ323" s="944"/>
      <c r="BR323" s="945"/>
      <c r="BS323" s="945"/>
      <c r="BT323" s="945"/>
      <c r="BU323" s="945"/>
      <c r="BV323" s="944"/>
      <c r="BW323" s="945"/>
      <c r="BX323" s="945"/>
      <c r="BY323" s="945"/>
      <c r="BZ323" s="945"/>
      <c r="CA323" s="944"/>
      <c r="CB323" s="945"/>
      <c r="CC323" s="945"/>
      <c r="CD323" s="946"/>
      <c r="CE323" s="946"/>
      <c r="CF323" s="947"/>
      <c r="CG323" s="948"/>
      <c r="CH323" s="948"/>
      <c r="CI323" s="948"/>
      <c r="CJ323" s="948"/>
      <c r="CK323" s="942"/>
      <c r="CL323" s="948"/>
      <c r="CM323" s="948"/>
      <c r="CN323" s="948"/>
      <c r="CO323" s="948"/>
      <c r="CP323" s="942"/>
      <c r="CQ323" s="948"/>
      <c r="CR323" s="948"/>
      <c r="CS323" s="948"/>
      <c r="CT323" s="948"/>
      <c r="CU323" s="942"/>
      <c r="CV323" s="948"/>
      <c r="CW323" s="948"/>
      <c r="CX323" s="948"/>
      <c r="CY323" s="948"/>
      <c r="CZ323" s="942"/>
      <c r="DA323" s="948"/>
      <c r="DB323" s="948"/>
      <c r="DC323" s="948"/>
      <c r="DD323" s="948"/>
      <c r="DE323" s="942"/>
      <c r="DF323" s="948"/>
      <c r="DG323" s="948"/>
      <c r="DH323" s="948"/>
      <c r="DI323" s="948"/>
      <c r="DJ323" s="942"/>
      <c r="DK323" s="948"/>
      <c r="DL323" s="948"/>
      <c r="DM323" s="948"/>
      <c r="DN323" s="948"/>
      <c r="DO323" s="942"/>
      <c r="DP323" s="948"/>
      <c r="DQ323" s="948"/>
      <c r="DR323" s="948"/>
      <c r="DS323" s="948"/>
      <c r="DT323" s="942"/>
      <c r="DU323" s="948"/>
      <c r="DV323" s="948"/>
      <c r="DW323" s="948"/>
      <c r="DX323" s="948"/>
      <c r="DY323" s="942"/>
    </row>
    <row r="324" spans="1:129" ht="12" customHeight="1" outlineLevel="1" x14ac:dyDescent="0.2">
      <c r="A324" s="526"/>
      <c r="B324" s="756" t="s">
        <v>1146</v>
      </c>
      <c r="C324" s="597"/>
      <c r="D324" s="597"/>
      <c r="E324" s="597"/>
      <c r="F324" s="597"/>
      <c r="G324" s="597"/>
      <c r="H324" s="597"/>
      <c r="I324" s="598"/>
      <c r="J324" s="597"/>
      <c r="K324" s="597"/>
      <c r="L324" s="597"/>
      <c r="M324" s="597"/>
      <c r="N324" s="598"/>
      <c r="O324" s="597"/>
      <c r="P324" s="597"/>
      <c r="Q324" s="597"/>
      <c r="R324" s="597"/>
      <c r="S324" s="598"/>
      <c r="T324" s="597"/>
      <c r="U324" s="597"/>
      <c r="V324" s="597"/>
      <c r="W324" s="597"/>
      <c r="X324" s="598"/>
      <c r="Y324" s="597"/>
      <c r="Z324" s="597"/>
      <c r="AA324" s="597"/>
      <c r="AB324" s="597"/>
      <c r="AC324" s="598"/>
      <c r="AD324" s="597"/>
      <c r="AE324" s="597"/>
      <c r="AF324" s="597"/>
      <c r="AG324" s="597"/>
      <c r="AH324" s="598"/>
      <c r="AI324" s="597"/>
      <c r="AJ324" s="597"/>
      <c r="AK324" s="597"/>
      <c r="AL324" s="597"/>
      <c r="AM324" s="598"/>
      <c r="AN324" s="597"/>
      <c r="AO324" s="597"/>
      <c r="AP324" s="597"/>
      <c r="AQ324" s="597"/>
      <c r="AR324" s="598"/>
      <c r="AS324" s="597"/>
      <c r="AT324" s="597"/>
      <c r="AU324" s="597"/>
      <c r="AV324" s="597"/>
      <c r="AW324" s="598"/>
      <c r="AX324" s="597"/>
      <c r="AY324" s="597"/>
      <c r="AZ324" s="597"/>
      <c r="BA324" s="597"/>
      <c r="BB324" s="598"/>
      <c r="BC324" s="597"/>
      <c r="BD324" s="597"/>
      <c r="BE324" s="597"/>
      <c r="BF324" s="597"/>
      <c r="BG324" s="598"/>
      <c r="BH324" s="597"/>
      <c r="BI324" s="597"/>
      <c r="BJ324" s="597"/>
      <c r="BK324" s="597"/>
      <c r="BL324" s="598"/>
      <c r="BM324" s="818"/>
      <c r="BN324" s="818"/>
      <c r="BO324" s="818"/>
      <c r="BP324" s="818"/>
      <c r="BQ324" s="598"/>
      <c r="BR324" s="818"/>
      <c r="BS324" s="818"/>
      <c r="BT324" s="818"/>
      <c r="BU324" s="818"/>
      <c r="BV324" s="598"/>
      <c r="BW324" s="818"/>
      <c r="BX324" s="818"/>
      <c r="BY324" s="818"/>
      <c r="BZ324" s="818"/>
      <c r="CA324" s="598"/>
      <c r="CB324" s="818"/>
      <c r="CC324" s="818"/>
      <c r="CD324" s="819"/>
      <c r="CE324" s="819"/>
      <c r="CF324" s="598"/>
      <c r="CG324" s="682"/>
      <c r="CH324" s="682"/>
      <c r="CI324" s="682"/>
      <c r="CJ324" s="682"/>
      <c r="CK324" s="598"/>
      <c r="CL324" s="682"/>
      <c r="CM324" s="682"/>
      <c r="CN324" s="682"/>
      <c r="CO324" s="682"/>
      <c r="CP324" s="598"/>
      <c r="CQ324" s="1039">
        <f>(1-CQ330)*CQ321</f>
        <v>230.97059999999999</v>
      </c>
      <c r="CR324" s="1039">
        <f>(1-CR330)*CR321</f>
        <v>277.16471999999999</v>
      </c>
      <c r="CS324" s="1039">
        <f>(1-CS330)*CS321</f>
        <v>276.44400000000002</v>
      </c>
      <c r="CT324" s="1039">
        <f>(1-CT330)*CT321</f>
        <v>213.46953599999992</v>
      </c>
      <c r="CU324" s="772">
        <f>SUM(CQ324:CT324)</f>
        <v>998.048856</v>
      </c>
      <c r="CV324" s="1039">
        <f>(1-CV330)*CV321</f>
        <v>245.63</v>
      </c>
      <c r="CW324" s="1039">
        <f>(1-CW330)*CW321</f>
        <v>304.881192</v>
      </c>
      <c r="CX324" s="1039">
        <f>(1-CX330)*CX321</f>
        <v>304.08839999999998</v>
      </c>
      <c r="CY324" s="1039">
        <f>(1-CY330)*CY321</f>
        <v>268.36170239999996</v>
      </c>
      <c r="CZ324" s="772">
        <f>SUM(CV324:CY324)</f>
        <v>1122.9612943999998</v>
      </c>
      <c r="DA324" s="1039">
        <f>(1-DA330)*DA321</f>
        <v>308.79200000000009</v>
      </c>
      <c r="DB324" s="1039">
        <f>(1-DB330)*DB321</f>
        <v>383.2792128000001</v>
      </c>
      <c r="DC324" s="1039">
        <f>(1-DC330)*DC321</f>
        <v>382.2825600000001</v>
      </c>
      <c r="DD324" s="1039">
        <f>(1-DD330)*DD321</f>
        <v>295.19787263999996</v>
      </c>
      <c r="DE324" s="772">
        <f>SUM(DA324:DD324)</f>
        <v>1369.5516454400004</v>
      </c>
      <c r="DF324" s="1039">
        <f>(1-DF330)*DF321</f>
        <v>339.67120000000011</v>
      </c>
      <c r="DG324" s="1039">
        <f>(1-DG330)*DG321</f>
        <v>421.60713408000015</v>
      </c>
      <c r="DH324" s="1039">
        <f>(1-DH330)*DH321</f>
        <v>420.51081600000009</v>
      </c>
      <c r="DI324" s="2836">
        <f>(1-DI330)*DI321</f>
        <v>324.71765990399996</v>
      </c>
      <c r="DJ324" s="772">
        <f>SUM(DF324:DI324)</f>
        <v>1506.5068099840003</v>
      </c>
      <c r="DK324" s="1039">
        <f>(1-DK330)*DK321</f>
        <v>373.63832000000014</v>
      </c>
      <c r="DL324" s="1039">
        <f>(1-DL330)*DL321</f>
        <v>463.7678474880002</v>
      </c>
      <c r="DM324" s="1039">
        <f>(1-DM330)*DM321</f>
        <v>462.56189760000018</v>
      </c>
      <c r="DN324" s="1039">
        <f>(1-DN330)*DN321</f>
        <v>357.18942589440002</v>
      </c>
      <c r="DO324" s="772">
        <f>SUM(DK324:DN324)</f>
        <v>1657.1574909824005</v>
      </c>
      <c r="DP324" s="1039">
        <f>(1-DP330)*DP321</f>
        <v>411.00215200000014</v>
      </c>
      <c r="DQ324" s="1039">
        <f>(1-DQ330)*DQ321</f>
        <v>510.14463223680025</v>
      </c>
      <c r="DR324" s="1039">
        <f>(1-DR330)*DR321</f>
        <v>508.81808736000022</v>
      </c>
      <c r="DS324" s="1039">
        <f>(1-DS330)*DS321</f>
        <v>392.90836848384004</v>
      </c>
      <c r="DT324" s="772">
        <f>SUM(DP324:DS324)</f>
        <v>1822.8732400806407</v>
      </c>
      <c r="DU324" s="1039">
        <f>(1-DU330)*DU321</f>
        <v>452.10236720000023</v>
      </c>
      <c r="DV324" s="1039">
        <f>(1-DV330)*DV321</f>
        <v>561.15909546048033</v>
      </c>
      <c r="DW324" s="1039">
        <f>(1-DW330)*DW321</f>
        <v>559.69989609600032</v>
      </c>
      <c r="DX324" s="1039">
        <f>(1-DX330)*DX321</f>
        <v>432.19920533222404</v>
      </c>
      <c r="DY324" s="772">
        <f>SUM(DU324:DX324)</f>
        <v>2005.1605640887049</v>
      </c>
    </row>
    <row r="325" spans="1:129" outlineLevel="1" x14ac:dyDescent="0.2">
      <c r="A325" s="668"/>
      <c r="B325" s="690" t="s">
        <v>1145</v>
      </c>
      <c r="C325" s="670"/>
      <c r="D325" s="670"/>
      <c r="E325" s="670"/>
      <c r="F325" s="670"/>
      <c r="G325" s="670"/>
      <c r="H325" s="670"/>
      <c r="I325" s="949"/>
      <c r="J325" s="670"/>
      <c r="K325" s="670"/>
      <c r="L325" s="670"/>
      <c r="M325" s="670"/>
      <c r="N325" s="949"/>
      <c r="O325" s="670"/>
      <c r="P325" s="670"/>
      <c r="Q325" s="670"/>
      <c r="R325" s="670"/>
      <c r="S325" s="949"/>
      <c r="T325" s="670"/>
      <c r="U325" s="670"/>
      <c r="V325" s="670"/>
      <c r="W325" s="670"/>
      <c r="X325" s="949"/>
      <c r="Y325" s="670"/>
      <c r="Z325" s="670"/>
      <c r="AA325" s="670"/>
      <c r="AB325" s="670"/>
      <c r="AC325" s="949"/>
      <c r="AD325" s="670"/>
      <c r="AE325" s="670"/>
      <c r="AF325" s="670"/>
      <c r="AG325" s="670"/>
      <c r="AH325" s="949"/>
      <c r="AI325" s="670"/>
      <c r="AJ325" s="670"/>
      <c r="AK325" s="670"/>
      <c r="AL325" s="670"/>
      <c r="AM325" s="949"/>
      <c r="AN325" s="670"/>
      <c r="AO325" s="670"/>
      <c r="AP325" s="670"/>
      <c r="AQ325" s="670"/>
      <c r="AR325" s="949"/>
      <c r="AS325" s="670"/>
      <c r="AT325" s="670"/>
      <c r="AU325" s="670"/>
      <c r="AV325" s="670"/>
      <c r="AW325" s="949"/>
      <c r="AX325" s="670"/>
      <c r="AY325" s="670"/>
      <c r="AZ325" s="670"/>
      <c r="BA325" s="670"/>
      <c r="BB325" s="949"/>
      <c r="BC325" s="670"/>
      <c r="BD325" s="670"/>
      <c r="BE325" s="670"/>
      <c r="BF325" s="670"/>
      <c r="BG325" s="949"/>
      <c r="BH325" s="670"/>
      <c r="BI325" s="670"/>
      <c r="BJ325" s="670"/>
      <c r="BK325" s="670"/>
      <c r="BL325" s="949"/>
      <c r="BM325" s="670"/>
      <c r="BN325" s="670"/>
      <c r="BO325" s="670"/>
      <c r="BP325" s="670"/>
      <c r="BQ325" s="949"/>
      <c r="BR325" s="670"/>
      <c r="BS325" s="670"/>
      <c r="BT325" s="670"/>
      <c r="BU325" s="670"/>
      <c r="BV325" s="949"/>
      <c r="BW325" s="670"/>
      <c r="BX325" s="670"/>
      <c r="BY325" s="670"/>
      <c r="BZ325" s="670"/>
      <c r="CA325" s="949"/>
      <c r="CB325" s="670"/>
      <c r="CC325" s="670"/>
      <c r="CD325" s="670"/>
      <c r="CE325" s="670"/>
      <c r="CF325" s="949"/>
      <c r="CG325" s="950"/>
      <c r="CH325" s="950"/>
      <c r="CI325" s="950"/>
      <c r="CJ325" s="950"/>
      <c r="CK325" s="949"/>
      <c r="CL325" s="950"/>
      <c r="CM325" s="950"/>
      <c r="CN325" s="950"/>
      <c r="CO325" s="950"/>
      <c r="CP325" s="949"/>
      <c r="CQ325" s="950"/>
      <c r="CR325" s="950"/>
      <c r="CS325" s="950"/>
      <c r="CT325" s="950"/>
      <c r="CU325" s="949"/>
      <c r="CV325" s="950"/>
      <c r="CW325" s="571">
        <f>CW324/CR324-1</f>
        <v>0.10000000000000009</v>
      </c>
      <c r="CX325" s="571">
        <f>CX324/CS324-1</f>
        <v>9.9999999999999867E-2</v>
      </c>
      <c r="CY325" s="571">
        <f>CY324/CT324-1</f>
        <v>0.25714285714285734</v>
      </c>
      <c r="CZ325" s="572">
        <f>CZ324/CU324-1</f>
        <v>0.12515663702138435</v>
      </c>
      <c r="DA325" s="950"/>
      <c r="DB325" s="571">
        <f t="shared" ref="DB325:DJ325" si="603">DB324/CW324-1</f>
        <v>0.25714285714285756</v>
      </c>
      <c r="DC325" s="571">
        <f t="shared" si="603"/>
        <v>0.25714285714285756</v>
      </c>
      <c r="DD325" s="571">
        <f t="shared" si="603"/>
        <v>0.10000000000000009</v>
      </c>
      <c r="DE325" s="572">
        <f t="shared" si="603"/>
        <v>0.21958935919670686</v>
      </c>
      <c r="DF325" s="717">
        <f t="shared" si="603"/>
        <v>0.10000000000000009</v>
      </c>
      <c r="DG325" s="571">
        <f t="shared" si="603"/>
        <v>0.10000000000000009</v>
      </c>
      <c r="DH325" s="571">
        <f t="shared" si="603"/>
        <v>9.9999999999999867E-2</v>
      </c>
      <c r="DI325" s="571">
        <f t="shared" si="603"/>
        <v>0.10000000000000009</v>
      </c>
      <c r="DJ325" s="572">
        <f t="shared" si="603"/>
        <v>9.9999999999999867E-2</v>
      </c>
      <c r="DK325" s="950"/>
      <c r="DL325" s="571">
        <f>DL324/DG324-1</f>
        <v>0.10000000000000009</v>
      </c>
      <c r="DM325" s="571">
        <f>DM324/DH324-1</f>
        <v>0.10000000000000009</v>
      </c>
      <c r="DN325" s="571">
        <f>DN324/DI324-1</f>
        <v>0.10000000000000009</v>
      </c>
      <c r="DO325" s="572">
        <f>DO324/DJ324-1</f>
        <v>0.10000000000000009</v>
      </c>
      <c r="DP325" s="950"/>
      <c r="DQ325" s="571">
        <f>DQ324/DL324-1</f>
        <v>0.10000000000000009</v>
      </c>
      <c r="DR325" s="571">
        <f>DR324/DM324-1</f>
        <v>0.10000000000000009</v>
      </c>
      <c r="DS325" s="571">
        <f>DS324/DN324-1</f>
        <v>0.10000000000000009</v>
      </c>
      <c r="DT325" s="572">
        <f>DT324/DO324-1</f>
        <v>0.10000000000000009</v>
      </c>
      <c r="DU325" s="950"/>
      <c r="DV325" s="571">
        <f>DV324/DQ324-1</f>
        <v>0.10000000000000009</v>
      </c>
      <c r="DW325" s="571">
        <f>DW324/DR324-1</f>
        <v>0.10000000000000009</v>
      </c>
      <c r="DX325" s="571">
        <f>DX324/DS324-1</f>
        <v>0.10000000000000009</v>
      </c>
      <c r="DY325" s="572">
        <f>DY324/DT324-1</f>
        <v>0.10000000000000009</v>
      </c>
    </row>
    <row r="326" spans="1:129" outlineLevel="1" x14ac:dyDescent="0.2">
      <c r="A326" s="474"/>
      <c r="B326" s="802"/>
      <c r="C326" s="538"/>
      <c r="D326" s="538"/>
      <c r="E326" s="538"/>
      <c r="F326" s="538"/>
      <c r="G326" s="538"/>
      <c r="H326" s="538"/>
      <c r="I326" s="539"/>
      <c r="J326" s="538"/>
      <c r="K326" s="538"/>
      <c r="L326" s="538"/>
      <c r="M326" s="538"/>
      <c r="N326" s="539"/>
      <c r="O326" s="538"/>
      <c r="P326" s="538"/>
      <c r="Q326" s="538"/>
      <c r="R326" s="538"/>
      <c r="S326" s="539"/>
      <c r="T326" s="538"/>
      <c r="U326" s="538"/>
      <c r="V326" s="538"/>
      <c r="W326" s="538"/>
      <c r="X326" s="539"/>
      <c r="Y326" s="538"/>
      <c r="Z326" s="538"/>
      <c r="AA326" s="538"/>
      <c r="AB326" s="538"/>
      <c r="AC326" s="539"/>
      <c r="AD326" s="538"/>
      <c r="AE326" s="538"/>
      <c r="AF326" s="538"/>
      <c r="AG326" s="538"/>
      <c r="AH326" s="539"/>
      <c r="AI326" s="538"/>
      <c r="AJ326" s="538"/>
      <c r="AK326" s="538"/>
      <c r="AL326" s="538"/>
      <c r="AM326" s="539"/>
      <c r="AN326" s="538"/>
      <c r="AO326" s="538"/>
      <c r="AP326" s="538"/>
      <c r="AQ326" s="538"/>
      <c r="AR326" s="539"/>
      <c r="AS326" s="538"/>
      <c r="AT326" s="538"/>
      <c r="AU326" s="538"/>
      <c r="AV326" s="538"/>
      <c r="AW326" s="539"/>
      <c r="AX326" s="538"/>
      <c r="AY326" s="538"/>
      <c r="AZ326" s="538"/>
      <c r="BA326" s="538"/>
      <c r="BB326" s="539"/>
      <c r="BC326" s="538"/>
      <c r="BD326" s="538"/>
      <c r="BE326" s="538"/>
      <c r="BF326" s="538"/>
      <c r="BG326" s="539"/>
      <c r="BH326" s="538"/>
      <c r="BI326" s="538"/>
      <c r="BJ326" s="823"/>
      <c r="BK326" s="823"/>
      <c r="BL326" s="539"/>
      <c r="BM326" s="823"/>
      <c r="BN326" s="823"/>
      <c r="BO326" s="823"/>
      <c r="BP326" s="823"/>
      <c r="BQ326" s="806"/>
      <c r="BR326" s="823"/>
      <c r="BS326" s="823"/>
      <c r="BT326" s="823"/>
      <c r="BU326" s="823"/>
      <c r="BV326" s="806"/>
      <c r="BW326" s="823"/>
      <c r="BX326" s="823"/>
      <c r="BY326" s="823"/>
      <c r="BZ326" s="823"/>
      <c r="CA326" s="806"/>
      <c r="CB326" s="717"/>
      <c r="CC326" s="717"/>
      <c r="CD326" s="717"/>
      <c r="CE326" s="717"/>
      <c r="CF326" s="539"/>
      <c r="CG326" s="717"/>
      <c r="CH326" s="717"/>
      <c r="CI326" s="717"/>
      <c r="CJ326" s="717"/>
      <c r="CK326" s="539"/>
      <c r="CL326" s="717"/>
      <c r="CM326" s="717"/>
      <c r="CN326" s="717"/>
      <c r="CO326" s="717"/>
      <c r="CP326" s="539"/>
      <c r="CQ326" s="717"/>
      <c r="CR326" s="717"/>
      <c r="CS326" s="717"/>
      <c r="CT326" s="717"/>
      <c r="CU326" s="539"/>
      <c r="CV326" s="717"/>
      <c r="CW326" s="717"/>
      <c r="CX326" s="717"/>
      <c r="CY326" s="717"/>
      <c r="CZ326" s="539"/>
      <c r="DA326" s="717"/>
      <c r="DB326" s="717"/>
      <c r="DC326" s="2474">
        <f>DC321-DC324</f>
        <v>95.570639999999969</v>
      </c>
      <c r="DD326" s="2474">
        <f>DD321-DD324</f>
        <v>73.799468159999947</v>
      </c>
      <c r="DE326" s="539"/>
      <c r="DF326" s="717"/>
      <c r="DG326" s="717"/>
      <c r="DH326" s="717"/>
      <c r="DI326" s="2483"/>
      <c r="DJ326" s="539"/>
      <c r="DK326" s="717"/>
      <c r="DL326" s="717"/>
      <c r="DM326" s="717"/>
      <c r="DN326" s="717"/>
      <c r="DO326" s="539"/>
      <c r="DP326" s="717"/>
      <c r="DQ326" s="717"/>
      <c r="DR326" s="717"/>
      <c r="DS326" s="717"/>
      <c r="DT326" s="539"/>
      <c r="DU326" s="717"/>
      <c r="DV326" s="717"/>
      <c r="DW326" s="717"/>
      <c r="DX326" s="717"/>
      <c r="DY326" s="539"/>
    </row>
    <row r="327" spans="1:129" outlineLevel="1" x14ac:dyDescent="0.2">
      <c r="A327" s="474"/>
      <c r="B327" s="802" t="s">
        <v>513</v>
      </c>
      <c r="C327" s="538"/>
      <c r="D327" s="538"/>
      <c r="E327" s="538"/>
      <c r="F327" s="538"/>
      <c r="G327" s="538"/>
      <c r="H327" s="538"/>
      <c r="I327" s="539"/>
      <c r="J327" s="538"/>
      <c r="K327" s="538"/>
      <c r="L327" s="538"/>
      <c r="M327" s="538"/>
      <c r="N327" s="539"/>
      <c r="O327" s="538"/>
      <c r="P327" s="538"/>
      <c r="Q327" s="538"/>
      <c r="R327" s="538"/>
      <c r="S327" s="539"/>
      <c r="T327" s="538"/>
      <c r="U327" s="538"/>
      <c r="V327" s="538"/>
      <c r="W327" s="538"/>
      <c r="X327" s="539"/>
      <c r="Y327" s="538"/>
      <c r="Z327" s="538"/>
      <c r="AA327" s="538"/>
      <c r="AB327" s="538"/>
      <c r="AC327" s="539"/>
      <c r="AD327" s="538"/>
      <c r="AE327" s="538"/>
      <c r="AF327" s="538"/>
      <c r="AG327" s="538"/>
      <c r="AH327" s="539"/>
      <c r="AI327" s="538"/>
      <c r="AJ327" s="538"/>
      <c r="AK327" s="538"/>
      <c r="AL327" s="538"/>
      <c r="AM327" s="539"/>
      <c r="AN327" s="538"/>
      <c r="AO327" s="538"/>
      <c r="AP327" s="538"/>
      <c r="AQ327" s="538"/>
      <c r="AR327" s="539"/>
      <c r="AS327" s="538"/>
      <c r="AT327" s="538"/>
      <c r="AU327" s="538"/>
      <c r="AV327" s="538"/>
      <c r="AW327" s="539"/>
      <c r="AX327" s="538"/>
      <c r="AY327" s="538"/>
      <c r="AZ327" s="538"/>
      <c r="BA327" s="538"/>
      <c r="BB327" s="539"/>
      <c r="BC327" s="538"/>
      <c r="BD327" s="538"/>
      <c r="BE327" s="538"/>
      <c r="BF327" s="538"/>
      <c r="BG327" s="539"/>
      <c r="BH327" s="538"/>
      <c r="BI327" s="538"/>
      <c r="BJ327" s="823"/>
      <c r="BK327" s="823"/>
      <c r="BL327" s="539"/>
      <c r="BM327" s="823"/>
      <c r="BN327" s="823"/>
      <c r="BO327" s="823"/>
      <c r="BP327" s="823"/>
      <c r="BQ327" s="806"/>
      <c r="BR327" s="823"/>
      <c r="BS327" s="823"/>
      <c r="BT327" s="823"/>
      <c r="BU327" s="823"/>
      <c r="BV327" s="806"/>
      <c r="BW327" s="823"/>
      <c r="BX327" s="823"/>
      <c r="BY327" s="823"/>
      <c r="BZ327" s="823"/>
      <c r="CA327" s="806"/>
      <c r="CB327" s="717"/>
      <c r="CC327" s="717"/>
      <c r="CD327" s="717"/>
      <c r="CE327" s="717"/>
      <c r="CF327" s="539"/>
      <c r="CG327" s="717"/>
      <c r="CH327" s="717"/>
      <c r="CI327" s="717"/>
      <c r="CJ327" s="717"/>
      <c r="CK327" s="539"/>
      <c r="CL327" s="717"/>
      <c r="CM327" s="717"/>
      <c r="CN327" s="717"/>
      <c r="CO327" s="717"/>
      <c r="CP327" s="539"/>
      <c r="CQ327" s="775">
        <f>CQ331*CQ321</f>
        <v>32.995800000000003</v>
      </c>
      <c r="CR327" s="775">
        <f>CR331*CR321</f>
        <v>39.594960000000007</v>
      </c>
      <c r="CS327" s="775">
        <f>CS331*CS321</f>
        <v>47.3904</v>
      </c>
      <c r="CT327" s="775">
        <f>CT331*CT321</f>
        <v>30.495647999999989</v>
      </c>
      <c r="CU327" s="772">
        <f>SUM(CQ327:CT327)</f>
        <v>150.47680800000001</v>
      </c>
      <c r="CV327" s="775">
        <f>CV331*CV321</f>
        <v>45.617000000000004</v>
      </c>
      <c r="CW327" s="775">
        <f>CW331*CW321</f>
        <v>56.620792800000011</v>
      </c>
      <c r="CX327" s="775">
        <f>CX331*CX321</f>
        <v>86.882400000000018</v>
      </c>
      <c r="CY327" s="775">
        <f>CY331*CY321</f>
        <v>33.545212799999995</v>
      </c>
      <c r="CZ327" s="772">
        <f>SUM(CV327:CY327)</f>
        <v>222.66540560000004</v>
      </c>
      <c r="DA327" s="775">
        <f>DA331*DA321</f>
        <v>38.599000000000011</v>
      </c>
      <c r="DB327" s="775">
        <f>DB331*DB321</f>
        <v>47.909901600000012</v>
      </c>
      <c r="DC327" s="775">
        <f>DC331*DC321</f>
        <v>47.785320000000013</v>
      </c>
      <c r="DD327" s="775">
        <f>DD331*DD321</f>
        <v>36.899734079999995</v>
      </c>
      <c r="DE327" s="772">
        <f>SUM(DA327:DD327)</f>
        <v>171.19395568000004</v>
      </c>
      <c r="DF327" s="775">
        <f>DF331*DF321</f>
        <v>55.196570000000015</v>
      </c>
      <c r="DG327" s="775">
        <f>DG331*DG321</f>
        <v>68.511159288000016</v>
      </c>
      <c r="DH327" s="775">
        <f>DH331*DH321</f>
        <v>68.333007600000016</v>
      </c>
      <c r="DI327" s="2829">
        <f>DI331*DI321</f>
        <v>52.766619734399995</v>
      </c>
      <c r="DJ327" s="772">
        <f>SUM(DF327:DI327)</f>
        <v>244.80735662240002</v>
      </c>
      <c r="DK327" s="775">
        <f>DK331*DK321</f>
        <v>60.716227000000018</v>
      </c>
      <c r="DL327" s="775">
        <f>DL331*DL321</f>
        <v>75.362275216800029</v>
      </c>
      <c r="DM327" s="775">
        <f>DM331*DM321</f>
        <v>75.166308360000031</v>
      </c>
      <c r="DN327" s="775">
        <f>DN331*DN321</f>
        <v>58.043281707840002</v>
      </c>
      <c r="DO327" s="772">
        <f>SUM(DK327:DN327)</f>
        <v>269.28809228464007</v>
      </c>
      <c r="DP327" s="775">
        <f>DP331*DP321</f>
        <v>66.787849700000024</v>
      </c>
      <c r="DQ327" s="775">
        <f>DQ331*DQ321</f>
        <v>82.898502738480033</v>
      </c>
      <c r="DR327" s="775">
        <f>DR331*DR321</f>
        <v>82.682939196000035</v>
      </c>
      <c r="DS327" s="775">
        <f>DS331*DS321</f>
        <v>63.847609878624006</v>
      </c>
      <c r="DT327" s="772">
        <f>SUM(DP327:DS327)</f>
        <v>296.21690151310412</v>
      </c>
      <c r="DU327" s="775">
        <f>DU331*DU321</f>
        <v>73.466634670000033</v>
      </c>
      <c r="DV327" s="775">
        <f>DV331*DV321</f>
        <v>91.188353012328051</v>
      </c>
      <c r="DW327" s="775">
        <f>DW331*DW321</f>
        <v>90.951233115600047</v>
      </c>
      <c r="DX327" s="775">
        <f>DX331*DX321</f>
        <v>70.232370866486406</v>
      </c>
      <c r="DY327" s="772">
        <f>SUM(DU327:DX327)</f>
        <v>325.83859166441454</v>
      </c>
    </row>
    <row r="328" spans="1:129" outlineLevel="1" x14ac:dyDescent="0.2">
      <c r="A328" s="474"/>
      <c r="B328" s="802" t="s">
        <v>1145</v>
      </c>
      <c r="C328" s="538"/>
      <c r="D328" s="538"/>
      <c r="E328" s="538"/>
      <c r="F328" s="538"/>
      <c r="G328" s="538"/>
      <c r="H328" s="538"/>
      <c r="I328" s="539"/>
      <c r="J328" s="538"/>
      <c r="K328" s="538"/>
      <c r="L328" s="538"/>
      <c r="M328" s="538"/>
      <c r="N328" s="539"/>
      <c r="O328" s="538"/>
      <c r="P328" s="538"/>
      <c r="Q328" s="538"/>
      <c r="R328" s="538"/>
      <c r="S328" s="539"/>
      <c r="T328" s="538"/>
      <c r="U328" s="538"/>
      <c r="V328" s="538"/>
      <c r="W328" s="538"/>
      <c r="X328" s="539"/>
      <c r="Y328" s="538"/>
      <c r="Z328" s="538"/>
      <c r="AA328" s="538"/>
      <c r="AB328" s="538"/>
      <c r="AC328" s="539"/>
      <c r="AD328" s="538"/>
      <c r="AE328" s="538"/>
      <c r="AF328" s="538"/>
      <c r="AG328" s="538"/>
      <c r="AH328" s="539"/>
      <c r="AI328" s="538"/>
      <c r="AJ328" s="538"/>
      <c r="AK328" s="538"/>
      <c r="AL328" s="538"/>
      <c r="AM328" s="539"/>
      <c r="AN328" s="538"/>
      <c r="AO328" s="538"/>
      <c r="AP328" s="538"/>
      <c r="AQ328" s="538"/>
      <c r="AR328" s="539"/>
      <c r="AS328" s="538"/>
      <c r="AT328" s="538"/>
      <c r="AU328" s="538"/>
      <c r="AV328" s="538"/>
      <c r="AW328" s="539"/>
      <c r="AX328" s="538"/>
      <c r="AY328" s="538"/>
      <c r="AZ328" s="538"/>
      <c r="BA328" s="538"/>
      <c r="BB328" s="539"/>
      <c r="BC328" s="538"/>
      <c r="BD328" s="538"/>
      <c r="BE328" s="538"/>
      <c r="BF328" s="538"/>
      <c r="BG328" s="539"/>
      <c r="BH328" s="538"/>
      <c r="BI328" s="538"/>
      <c r="BJ328" s="823"/>
      <c r="BK328" s="823"/>
      <c r="BL328" s="539"/>
      <c r="BM328" s="823"/>
      <c r="BN328" s="823"/>
      <c r="BO328" s="823"/>
      <c r="BP328" s="823"/>
      <c r="BQ328" s="806"/>
      <c r="BR328" s="823"/>
      <c r="BS328" s="823"/>
      <c r="BT328" s="823"/>
      <c r="BU328" s="823"/>
      <c r="BV328" s="806"/>
      <c r="BW328" s="823"/>
      <c r="BX328" s="823"/>
      <c r="BY328" s="823"/>
      <c r="BZ328" s="823"/>
      <c r="CA328" s="806"/>
      <c r="CB328" s="717"/>
      <c r="CC328" s="717"/>
      <c r="CD328" s="717"/>
      <c r="CE328" s="717"/>
      <c r="CF328" s="539"/>
      <c r="CG328" s="717"/>
      <c r="CH328" s="717"/>
      <c r="CI328" s="717"/>
      <c r="CJ328" s="717"/>
      <c r="CK328" s="539"/>
      <c r="CL328" s="717"/>
      <c r="CM328" s="717"/>
      <c r="CN328" s="717"/>
      <c r="CO328" s="717"/>
      <c r="CP328" s="539"/>
      <c r="CQ328" s="717"/>
      <c r="CR328" s="717"/>
      <c r="CS328" s="717"/>
      <c r="CT328" s="717"/>
      <c r="CU328" s="539"/>
      <c r="CV328" s="717"/>
      <c r="CW328" s="717">
        <f>CW327/CR327-1</f>
        <v>0.42999999999999994</v>
      </c>
      <c r="CX328" s="717">
        <f>CX327/CS327-1</f>
        <v>0.8333333333333337</v>
      </c>
      <c r="CY328" s="717">
        <f>CY327/CT327-1</f>
        <v>0.10000000000000031</v>
      </c>
      <c r="CZ328" s="539">
        <f>CZ327/CU327-1</f>
        <v>0.47973238241470439</v>
      </c>
      <c r="DA328" s="717"/>
      <c r="DB328" s="717">
        <f t="shared" ref="DB328:DJ328" si="604">DB327/CW327-1</f>
        <v>-0.15384615384615374</v>
      </c>
      <c r="DC328" s="717">
        <f t="shared" si="604"/>
        <v>-0.44999999999999996</v>
      </c>
      <c r="DD328" s="717">
        <f t="shared" si="604"/>
        <v>0.10000000000000009</v>
      </c>
      <c r="DE328" s="539">
        <f t="shared" si="604"/>
        <v>-0.23116051539889493</v>
      </c>
      <c r="DF328" s="717">
        <f t="shared" si="604"/>
        <v>0.42999999999999994</v>
      </c>
      <c r="DG328" s="717">
        <f t="shared" si="604"/>
        <v>0.42999999999999994</v>
      </c>
      <c r="DH328" s="717">
        <f t="shared" si="604"/>
        <v>0.42999999999999994</v>
      </c>
      <c r="DI328" s="2483">
        <f t="shared" si="604"/>
        <v>0.43000000000000016</v>
      </c>
      <c r="DJ328" s="539">
        <f t="shared" si="604"/>
        <v>0.42999999999999972</v>
      </c>
      <c r="DK328" s="717"/>
      <c r="DL328" s="717">
        <f>DL327/DG327-1</f>
        <v>0.10000000000000009</v>
      </c>
      <c r="DM328" s="717">
        <f>DM327/DH327-1</f>
        <v>0.10000000000000009</v>
      </c>
      <c r="DN328" s="717">
        <f>DN327/DI327-1</f>
        <v>0.10000000000000009</v>
      </c>
      <c r="DO328" s="539">
        <f>DO327/DJ327-1</f>
        <v>0.10000000000000009</v>
      </c>
      <c r="DP328" s="717"/>
      <c r="DQ328" s="717">
        <f>DQ327/DL327-1</f>
        <v>0.10000000000000009</v>
      </c>
      <c r="DR328" s="717">
        <f>DR327/DM327-1</f>
        <v>0.10000000000000009</v>
      </c>
      <c r="DS328" s="717">
        <f>DS327/DN327-1</f>
        <v>0.10000000000000009</v>
      </c>
      <c r="DT328" s="539">
        <f>DT327/DO327-1</f>
        <v>0.10000000000000009</v>
      </c>
      <c r="DU328" s="717"/>
      <c r="DV328" s="717">
        <f>DV327/DQ327-1</f>
        <v>0.10000000000000009</v>
      </c>
      <c r="DW328" s="717">
        <f>DW327/DR327-1</f>
        <v>0.10000000000000009</v>
      </c>
      <c r="DX328" s="717">
        <f>DX327/DS327-1</f>
        <v>0.10000000000000009</v>
      </c>
      <c r="DY328" s="539">
        <f>DY327/DT327-1</f>
        <v>0.10000000000000009</v>
      </c>
    </row>
    <row r="329" spans="1:129" outlineLevel="1" x14ac:dyDescent="0.2">
      <c r="A329" s="474"/>
      <c r="B329" s="802"/>
      <c r="C329" s="538"/>
      <c r="D329" s="538"/>
      <c r="E329" s="538"/>
      <c r="F329" s="538"/>
      <c r="G329" s="538"/>
      <c r="H329" s="538"/>
      <c r="I329" s="539"/>
      <c r="J329" s="538"/>
      <c r="K329" s="538"/>
      <c r="L329" s="538"/>
      <c r="M329" s="538"/>
      <c r="N329" s="539"/>
      <c r="O329" s="538"/>
      <c r="P329" s="538"/>
      <c r="Q329" s="538"/>
      <c r="R329" s="538"/>
      <c r="S329" s="539"/>
      <c r="T329" s="538"/>
      <c r="U329" s="538"/>
      <c r="V329" s="538"/>
      <c r="W329" s="538"/>
      <c r="X329" s="539"/>
      <c r="Y329" s="538"/>
      <c r="Z329" s="538"/>
      <c r="AA329" s="538"/>
      <c r="AB329" s="538"/>
      <c r="AC329" s="539"/>
      <c r="AD329" s="538"/>
      <c r="AE329" s="538"/>
      <c r="AF329" s="538"/>
      <c r="AG329" s="538"/>
      <c r="AH329" s="539"/>
      <c r="AI329" s="538"/>
      <c r="AJ329" s="538"/>
      <c r="AK329" s="538"/>
      <c r="AL329" s="538"/>
      <c r="AM329" s="539"/>
      <c r="AN329" s="538"/>
      <c r="AO329" s="538"/>
      <c r="AP329" s="538"/>
      <c r="AQ329" s="538"/>
      <c r="AR329" s="539"/>
      <c r="AS329" s="538"/>
      <c r="AT329" s="538"/>
      <c r="AU329" s="538"/>
      <c r="AV329" s="538"/>
      <c r="AW329" s="539"/>
      <c r="AX329" s="538"/>
      <c r="AY329" s="538"/>
      <c r="AZ329" s="538"/>
      <c r="BA329" s="538"/>
      <c r="BB329" s="539"/>
      <c r="BC329" s="538"/>
      <c r="BD329" s="538"/>
      <c r="BE329" s="538"/>
      <c r="BF329" s="538"/>
      <c r="BG329" s="539"/>
      <c r="BH329" s="538"/>
      <c r="BI329" s="538"/>
      <c r="BJ329" s="823"/>
      <c r="BK329" s="823"/>
      <c r="BL329" s="539"/>
      <c r="BM329" s="823"/>
      <c r="BN329" s="823"/>
      <c r="BO329" s="823"/>
      <c r="BP329" s="823"/>
      <c r="BQ329" s="806"/>
      <c r="BR329" s="823"/>
      <c r="BS329" s="823"/>
      <c r="BT329" s="823"/>
      <c r="BU329" s="823"/>
      <c r="BV329" s="806"/>
      <c r="BW329" s="823"/>
      <c r="BX329" s="823"/>
      <c r="BY329" s="823"/>
      <c r="BZ329" s="823"/>
      <c r="CA329" s="806"/>
      <c r="CB329" s="717"/>
      <c r="CC329" s="717"/>
      <c r="CD329" s="717"/>
      <c r="CE329" s="717"/>
      <c r="CF329" s="539"/>
      <c r="CG329" s="717"/>
      <c r="CH329" s="717"/>
      <c r="CI329" s="717"/>
      <c r="CJ329" s="717"/>
      <c r="CK329" s="539"/>
      <c r="CL329" s="717"/>
      <c r="CM329" s="717"/>
      <c r="CN329" s="717"/>
      <c r="CO329" s="717"/>
      <c r="CP329" s="539"/>
      <c r="CQ329" s="717"/>
      <c r="CR329" s="717"/>
      <c r="CS329" s="717"/>
      <c r="CT329" s="717"/>
      <c r="CU329" s="539"/>
      <c r="CV329" s="717"/>
      <c r="CW329" s="717"/>
      <c r="CX329" s="717"/>
      <c r="CY329" s="717"/>
      <c r="CZ329" s="539"/>
      <c r="DA329" s="717"/>
      <c r="DB329" s="717"/>
      <c r="DC329" s="717"/>
      <c r="DD329" s="717"/>
      <c r="DE329" s="539"/>
      <c r="DF329" s="717"/>
      <c r="DG329" s="717"/>
      <c r="DH329" s="717"/>
      <c r="DI329" s="2483"/>
      <c r="DJ329" s="539"/>
      <c r="DK329" s="717"/>
      <c r="DL329" s="717"/>
      <c r="DM329" s="717"/>
      <c r="DN329" s="717"/>
      <c r="DO329" s="539"/>
      <c r="DP329" s="717"/>
      <c r="DQ329" s="717"/>
      <c r="DR329" s="717"/>
      <c r="DS329" s="717"/>
      <c r="DT329" s="539"/>
      <c r="DU329" s="717"/>
      <c r="DV329" s="717"/>
      <c r="DW329" s="717"/>
      <c r="DX329" s="717"/>
      <c r="DY329" s="539"/>
    </row>
    <row r="330" spans="1:129" outlineLevel="1" x14ac:dyDescent="0.2">
      <c r="A330" s="474"/>
      <c r="B330" s="802" t="s">
        <v>1147</v>
      </c>
      <c r="C330" s="538"/>
      <c r="D330" s="538"/>
      <c r="E330" s="538"/>
      <c r="F330" s="538"/>
      <c r="G330" s="538"/>
      <c r="H330" s="538"/>
      <c r="I330" s="539"/>
      <c r="J330" s="538"/>
      <c r="K330" s="538"/>
      <c r="L330" s="538"/>
      <c r="M330" s="538"/>
      <c r="N330" s="539"/>
      <c r="O330" s="538"/>
      <c r="P330" s="538"/>
      <c r="Q330" s="538"/>
      <c r="R330" s="538"/>
      <c r="S330" s="539"/>
      <c r="T330" s="538"/>
      <c r="U330" s="538"/>
      <c r="V330" s="538"/>
      <c r="W330" s="538"/>
      <c r="X330" s="539"/>
      <c r="Y330" s="538"/>
      <c r="Z330" s="538"/>
      <c r="AA330" s="538"/>
      <c r="AB330" s="538"/>
      <c r="AC330" s="539"/>
      <c r="AD330" s="538"/>
      <c r="AE330" s="538"/>
      <c r="AF330" s="538"/>
      <c r="AG330" s="538"/>
      <c r="AH330" s="539"/>
      <c r="AI330" s="538"/>
      <c r="AJ330" s="538"/>
      <c r="AK330" s="538"/>
      <c r="AL330" s="538"/>
      <c r="AM330" s="539"/>
      <c r="AN330" s="538"/>
      <c r="AO330" s="538"/>
      <c r="AP330" s="538"/>
      <c r="AQ330" s="538"/>
      <c r="AR330" s="539"/>
      <c r="AS330" s="538"/>
      <c r="AT330" s="538"/>
      <c r="AU330" s="538"/>
      <c r="AV330" s="538"/>
      <c r="AW330" s="539"/>
      <c r="AX330" s="538"/>
      <c r="AY330" s="538"/>
      <c r="AZ330" s="538"/>
      <c r="BA330" s="538"/>
      <c r="BB330" s="539"/>
      <c r="BC330" s="538"/>
      <c r="BD330" s="538"/>
      <c r="BE330" s="538"/>
      <c r="BF330" s="538"/>
      <c r="BG330" s="539"/>
      <c r="BH330" s="538"/>
      <c r="BI330" s="538"/>
      <c r="BJ330" s="823"/>
      <c r="BK330" s="823"/>
      <c r="BL330" s="539"/>
      <c r="BM330" s="823"/>
      <c r="BN330" s="823"/>
      <c r="BO330" s="823"/>
      <c r="BP330" s="823"/>
      <c r="BQ330" s="806"/>
      <c r="BR330" s="823"/>
      <c r="BS330" s="823"/>
      <c r="BT330" s="823"/>
      <c r="BU330" s="823"/>
      <c r="BV330" s="806"/>
      <c r="BW330" s="823"/>
      <c r="BX330" s="823"/>
      <c r="BY330" s="823"/>
      <c r="BZ330" s="823"/>
      <c r="CA330" s="806"/>
      <c r="CB330" s="717"/>
      <c r="CC330" s="717"/>
      <c r="CD330" s="717"/>
      <c r="CE330" s="717"/>
      <c r="CF330" s="539"/>
      <c r="CG330" s="717"/>
      <c r="CH330" s="717"/>
      <c r="CI330" s="717"/>
      <c r="CJ330" s="717"/>
      <c r="CK330" s="539"/>
      <c r="CL330" s="717"/>
      <c r="CM330" s="717"/>
      <c r="CN330" s="717"/>
      <c r="CO330" s="717"/>
      <c r="CP330" s="539"/>
      <c r="CQ330" s="823">
        <v>0.3</v>
      </c>
      <c r="CR330" s="823">
        <v>0.3</v>
      </c>
      <c r="CS330" s="823">
        <v>0.3</v>
      </c>
      <c r="CT330" s="823">
        <v>0.3</v>
      </c>
      <c r="CU330" s="1709"/>
      <c r="CV330" s="823">
        <f>CT330</f>
        <v>0.3</v>
      </c>
      <c r="CW330" s="823">
        <f>CV330</f>
        <v>0.3</v>
      </c>
      <c r="CX330" s="823">
        <f>CW330</f>
        <v>0.3</v>
      </c>
      <c r="CY330" s="823">
        <v>0.2</v>
      </c>
      <c r="CZ330" s="539"/>
      <c r="DA330" s="823">
        <f>CY330</f>
        <v>0.2</v>
      </c>
      <c r="DB330" s="823">
        <f>DA330</f>
        <v>0.2</v>
      </c>
      <c r="DC330" s="823">
        <f>DB330</f>
        <v>0.2</v>
      </c>
      <c r="DD330" s="823">
        <f>DC330</f>
        <v>0.2</v>
      </c>
      <c r="DE330" s="539"/>
      <c r="DF330" s="823">
        <f>DD330</f>
        <v>0.2</v>
      </c>
      <c r="DG330" s="823">
        <f>DF330</f>
        <v>0.2</v>
      </c>
      <c r="DH330" s="2746">
        <f>DG330</f>
        <v>0.2</v>
      </c>
      <c r="DI330" s="2837">
        <f>DH330</f>
        <v>0.2</v>
      </c>
      <c r="DJ330" s="539"/>
      <c r="DK330" s="823">
        <f>DI330</f>
        <v>0.2</v>
      </c>
      <c r="DL330" s="823">
        <f>DK330</f>
        <v>0.2</v>
      </c>
      <c r="DM330" s="823">
        <f>DL330</f>
        <v>0.2</v>
      </c>
      <c r="DN330" s="823">
        <f>DM330</f>
        <v>0.2</v>
      </c>
      <c r="DO330" s="539"/>
      <c r="DP330" s="823">
        <f>DN330</f>
        <v>0.2</v>
      </c>
      <c r="DQ330" s="823">
        <f>DP330</f>
        <v>0.2</v>
      </c>
      <c r="DR330" s="823">
        <f>DQ330</f>
        <v>0.2</v>
      </c>
      <c r="DS330" s="823">
        <f>DR330</f>
        <v>0.2</v>
      </c>
      <c r="DT330" s="539"/>
      <c r="DU330" s="823">
        <f>DS330</f>
        <v>0.2</v>
      </c>
      <c r="DV330" s="823">
        <f>DU330</f>
        <v>0.2</v>
      </c>
      <c r="DW330" s="823">
        <f>DV330</f>
        <v>0.2</v>
      </c>
      <c r="DX330" s="823">
        <f>DW330</f>
        <v>0.2</v>
      </c>
      <c r="DY330" s="539"/>
    </row>
    <row r="331" spans="1:129" outlineLevel="1" x14ac:dyDescent="0.2">
      <c r="A331" s="474"/>
      <c r="B331" s="802" t="s">
        <v>1148</v>
      </c>
      <c r="C331" s="538"/>
      <c r="D331" s="538"/>
      <c r="E331" s="538"/>
      <c r="F331" s="538"/>
      <c r="G331" s="538"/>
      <c r="H331" s="538"/>
      <c r="I331" s="539"/>
      <c r="J331" s="538"/>
      <c r="K331" s="538"/>
      <c r="L331" s="538"/>
      <c r="M331" s="538"/>
      <c r="N331" s="539"/>
      <c r="O331" s="538"/>
      <c r="P331" s="538"/>
      <c r="Q331" s="538"/>
      <c r="R331" s="538"/>
      <c r="S331" s="539"/>
      <c r="T331" s="538"/>
      <c r="U331" s="538"/>
      <c r="V331" s="538"/>
      <c r="W331" s="538"/>
      <c r="X331" s="539"/>
      <c r="Y331" s="538"/>
      <c r="Z331" s="538"/>
      <c r="AA331" s="538"/>
      <c r="AB331" s="538"/>
      <c r="AC331" s="539"/>
      <c r="AD331" s="538"/>
      <c r="AE331" s="538"/>
      <c r="AF331" s="538"/>
      <c r="AG331" s="538"/>
      <c r="AH331" s="539"/>
      <c r="AI331" s="538"/>
      <c r="AJ331" s="538"/>
      <c r="AK331" s="538"/>
      <c r="AL331" s="538"/>
      <c r="AM331" s="539"/>
      <c r="AN331" s="538"/>
      <c r="AO331" s="538"/>
      <c r="AP331" s="538"/>
      <c r="AQ331" s="538"/>
      <c r="AR331" s="539"/>
      <c r="AS331" s="538"/>
      <c r="AT331" s="538"/>
      <c r="AU331" s="538"/>
      <c r="AV331" s="538"/>
      <c r="AW331" s="539"/>
      <c r="AX331" s="538"/>
      <c r="AY331" s="538"/>
      <c r="AZ331" s="538"/>
      <c r="BA331" s="538"/>
      <c r="BB331" s="539"/>
      <c r="BC331" s="538"/>
      <c r="BD331" s="538"/>
      <c r="BE331" s="538"/>
      <c r="BF331" s="538"/>
      <c r="BG331" s="539"/>
      <c r="BH331" s="538"/>
      <c r="BI331" s="538"/>
      <c r="BJ331" s="823"/>
      <c r="BK331" s="823"/>
      <c r="BL331" s="539"/>
      <c r="BM331" s="823"/>
      <c r="BN331" s="823"/>
      <c r="BO331" s="823"/>
      <c r="BP331" s="823"/>
      <c r="BQ331" s="806"/>
      <c r="BR331" s="823"/>
      <c r="BS331" s="823"/>
      <c r="BT331" s="823"/>
      <c r="BU331" s="823"/>
      <c r="BV331" s="806"/>
      <c r="BW331" s="823"/>
      <c r="BX331" s="823"/>
      <c r="BY331" s="823"/>
      <c r="BZ331" s="823"/>
      <c r="CA331" s="806"/>
      <c r="CB331" s="717"/>
      <c r="CC331" s="717"/>
      <c r="CD331" s="717"/>
      <c r="CE331" s="717"/>
      <c r="CF331" s="539"/>
      <c r="CG331" s="717"/>
      <c r="CH331" s="717"/>
      <c r="CI331" s="717"/>
      <c r="CJ331" s="717"/>
      <c r="CK331" s="539"/>
      <c r="CL331" s="717"/>
      <c r="CM331" s="717"/>
      <c r="CN331" s="717"/>
      <c r="CO331" s="717"/>
      <c r="CP331" s="539"/>
      <c r="CQ331" s="823">
        <v>0.1</v>
      </c>
      <c r="CR331" s="823">
        <v>0.1</v>
      </c>
      <c r="CS331" s="823">
        <v>0.12</v>
      </c>
      <c r="CT331" s="823">
        <v>0.1</v>
      </c>
      <c r="CU331" s="539"/>
      <c r="CV331" s="823">
        <v>0.13</v>
      </c>
      <c r="CW331" s="823">
        <v>0.13</v>
      </c>
      <c r="CX331" s="823">
        <v>0.2</v>
      </c>
      <c r="CY331" s="823">
        <v>0.1</v>
      </c>
      <c r="CZ331" s="539"/>
      <c r="DA331" s="823">
        <v>0.1</v>
      </c>
      <c r="DB331" s="823">
        <v>0.1</v>
      </c>
      <c r="DC331" s="823">
        <v>0.1</v>
      </c>
      <c r="DD331" s="823">
        <v>0.1</v>
      </c>
      <c r="DE331" s="539"/>
      <c r="DF331" s="823">
        <v>0.13</v>
      </c>
      <c r="DG331" s="823">
        <v>0.13</v>
      </c>
      <c r="DH331" s="2746">
        <v>0.13</v>
      </c>
      <c r="DI331" s="2837">
        <v>0.13</v>
      </c>
      <c r="DJ331" s="539"/>
      <c r="DK331" s="823">
        <v>0.13</v>
      </c>
      <c r="DL331" s="823">
        <v>0.13</v>
      </c>
      <c r="DM331" s="823">
        <v>0.13</v>
      </c>
      <c r="DN331" s="823">
        <v>0.13</v>
      </c>
      <c r="DO331" s="539"/>
      <c r="DP331" s="823">
        <v>0.13</v>
      </c>
      <c r="DQ331" s="823">
        <v>0.13</v>
      </c>
      <c r="DR331" s="823">
        <v>0.13</v>
      </c>
      <c r="DS331" s="823">
        <v>0.13</v>
      </c>
      <c r="DT331" s="539"/>
      <c r="DU331" s="823">
        <v>0.13</v>
      </c>
      <c r="DV331" s="823">
        <v>0.13</v>
      </c>
      <c r="DW331" s="823">
        <v>0.13</v>
      </c>
      <c r="DX331" s="823">
        <v>0.13</v>
      </c>
      <c r="DY331" s="539"/>
    </row>
    <row r="332" spans="1:129" ht="12" outlineLevel="1" thickBot="1" x14ac:dyDescent="0.25">
      <c r="A332" s="526"/>
      <c r="B332" s="757"/>
      <c r="C332" s="758"/>
      <c r="D332" s="758"/>
      <c r="E332" s="758"/>
      <c r="F332" s="758"/>
      <c r="G332" s="758"/>
      <c r="H332" s="758"/>
      <c r="I332" s="759"/>
      <c r="J332" s="758"/>
      <c r="K332" s="758"/>
      <c r="L332" s="758"/>
      <c r="M332" s="758"/>
      <c r="N332" s="759"/>
      <c r="O332" s="758"/>
      <c r="P332" s="758"/>
      <c r="Q332" s="758"/>
      <c r="R332" s="758"/>
      <c r="S332" s="759"/>
      <c r="T332" s="758"/>
      <c r="U332" s="758"/>
      <c r="V332" s="758"/>
      <c r="W332" s="758"/>
      <c r="X332" s="759"/>
      <c r="Y332" s="758"/>
      <c r="Z332" s="758"/>
      <c r="AA332" s="758"/>
      <c r="AB332" s="758"/>
      <c r="AC332" s="759"/>
      <c r="AD332" s="758"/>
      <c r="AE332" s="758"/>
      <c r="AF332" s="758"/>
      <c r="AG332" s="758"/>
      <c r="AH332" s="759"/>
      <c r="AI332" s="758"/>
      <c r="AJ332" s="758"/>
      <c r="AK332" s="758"/>
      <c r="AL332" s="758"/>
      <c r="AM332" s="759"/>
      <c r="AN332" s="758"/>
      <c r="AO332" s="758"/>
      <c r="AP332" s="758"/>
      <c r="AQ332" s="758"/>
      <c r="AR332" s="759"/>
      <c r="AS332" s="758"/>
      <c r="AT332" s="758"/>
      <c r="AU332" s="758"/>
      <c r="AV332" s="758"/>
      <c r="AW332" s="759"/>
      <c r="AX332" s="758"/>
      <c r="AY332" s="758"/>
      <c r="AZ332" s="758"/>
      <c r="BA332" s="758"/>
      <c r="BB332" s="759"/>
      <c r="BC332" s="758"/>
      <c r="BD332" s="758"/>
      <c r="BE332" s="758"/>
      <c r="BF332" s="758"/>
      <c r="BG332" s="759"/>
      <c r="BH332" s="758"/>
      <c r="BI332" s="758"/>
      <c r="BJ332" s="758"/>
      <c r="BK332" s="758"/>
      <c r="BL332" s="763"/>
      <c r="BM332" s="758"/>
      <c r="BN332" s="758"/>
      <c r="BO332" s="758"/>
      <c r="BP332" s="758"/>
      <c r="BQ332" s="763"/>
      <c r="BR332" s="758"/>
      <c r="BS332" s="758"/>
      <c r="BT332" s="758"/>
      <c r="BU332" s="758"/>
      <c r="BV332" s="763"/>
      <c r="BW332" s="760"/>
      <c r="BX332" s="760"/>
      <c r="BY332" s="760"/>
      <c r="BZ332" s="760"/>
      <c r="CA332" s="763"/>
      <c r="CB332" s="760"/>
      <c r="CC332" s="760"/>
      <c r="CD332" s="760"/>
      <c r="CE332" s="760"/>
      <c r="CF332" s="763"/>
      <c r="CG332" s="907"/>
      <c r="CH332" s="907"/>
      <c r="CI332" s="907"/>
      <c r="CJ332" s="907"/>
      <c r="CK332" s="763"/>
      <c r="CL332" s="907"/>
      <c r="CM332" s="907"/>
      <c r="CN332" s="907"/>
      <c r="CO332" s="907"/>
      <c r="CP332" s="763"/>
      <c r="CQ332" s="907"/>
      <c r="CR332" s="907"/>
      <c r="CS332" s="907"/>
      <c r="CT332" s="907"/>
      <c r="CU332" s="763"/>
      <c r="CV332" s="907"/>
      <c r="CW332" s="907"/>
      <c r="CX332" s="907"/>
      <c r="CY332" s="907"/>
      <c r="CZ332" s="763"/>
      <c r="DA332" s="907"/>
      <c r="DB332" s="907"/>
      <c r="DC332" s="907"/>
      <c r="DD332" s="907"/>
      <c r="DE332" s="763"/>
      <c r="DF332" s="907"/>
      <c r="DG332" s="907"/>
      <c r="DH332" s="907"/>
      <c r="DI332" s="2828"/>
      <c r="DJ332" s="763"/>
      <c r="DK332" s="907"/>
      <c r="DL332" s="907"/>
      <c r="DM332" s="907"/>
      <c r="DN332" s="907"/>
      <c r="DO332" s="763"/>
      <c r="DP332" s="907"/>
      <c r="DQ332" s="907"/>
      <c r="DR332" s="907"/>
      <c r="DS332" s="907"/>
      <c r="DT332" s="763"/>
      <c r="DU332" s="907"/>
      <c r="DV332" s="907"/>
      <c r="DW332" s="907"/>
      <c r="DX332" s="907"/>
      <c r="DY332" s="763"/>
    </row>
    <row r="333" spans="1:129" ht="12" thickBot="1" x14ac:dyDescent="0.25">
      <c r="A333" s="526"/>
      <c r="B333" s="597"/>
      <c r="C333" s="597"/>
      <c r="D333" s="597"/>
      <c r="E333" s="597"/>
      <c r="F333" s="597"/>
      <c r="G333" s="597"/>
      <c r="H333" s="597"/>
      <c r="I333" s="597"/>
      <c r="J333" s="597"/>
      <c r="K333" s="597"/>
      <c r="L333" s="597"/>
      <c r="M333" s="597"/>
      <c r="N333" s="597"/>
      <c r="O333" s="597"/>
      <c r="P333" s="597"/>
      <c r="Q333" s="597"/>
      <c r="R333" s="597"/>
      <c r="S333" s="597"/>
      <c r="T333" s="597"/>
      <c r="U333" s="597"/>
      <c r="V333" s="597"/>
      <c r="W333" s="597"/>
      <c r="X333" s="597"/>
      <c r="Y333" s="597"/>
      <c r="Z333" s="597"/>
      <c r="AA333" s="597"/>
      <c r="AB333" s="597"/>
      <c r="AC333" s="597"/>
      <c r="AD333" s="597"/>
      <c r="AE333" s="597"/>
      <c r="AF333" s="597"/>
      <c r="AG333" s="597"/>
      <c r="AH333" s="597"/>
      <c r="AI333" s="597"/>
      <c r="AJ333" s="597"/>
      <c r="AK333" s="597"/>
      <c r="AL333" s="597"/>
      <c r="AM333" s="597"/>
      <c r="AN333" s="597"/>
      <c r="AO333" s="597"/>
      <c r="AP333" s="597"/>
      <c r="AQ333" s="597"/>
      <c r="AR333" s="597"/>
      <c r="AS333" s="597"/>
      <c r="AT333" s="597"/>
      <c r="AU333" s="597"/>
      <c r="AV333" s="597"/>
      <c r="AW333" s="597"/>
      <c r="AX333" s="597"/>
      <c r="AY333" s="597"/>
      <c r="AZ333" s="597"/>
      <c r="BA333" s="597"/>
      <c r="BB333" s="597"/>
      <c r="BC333" s="597"/>
      <c r="BD333" s="597"/>
      <c r="BE333" s="597"/>
      <c r="BF333" s="597"/>
      <c r="BG333" s="597"/>
      <c r="BH333" s="597"/>
      <c r="BI333" s="597"/>
      <c r="BJ333" s="597"/>
      <c r="BK333" s="597"/>
      <c r="BL333" s="743"/>
      <c r="BM333" s="597"/>
      <c r="BN333" s="597"/>
      <c r="BO333" s="597"/>
      <c r="BP333" s="597"/>
      <c r="BQ333" s="743"/>
      <c r="BR333" s="597"/>
      <c r="BS333" s="597"/>
      <c r="BT333" s="597"/>
      <c r="BU333" s="597"/>
      <c r="BV333" s="743"/>
      <c r="BW333" s="743"/>
      <c r="BX333" s="743"/>
      <c r="BY333" s="743"/>
      <c r="BZ333" s="743"/>
      <c r="CA333" s="743"/>
      <c r="CB333" s="743"/>
      <c r="CC333" s="743"/>
      <c r="CD333" s="743"/>
      <c r="CE333" s="743"/>
      <c r="CF333" s="743"/>
      <c r="CG333" s="820"/>
      <c r="CH333" s="820"/>
      <c r="CI333" s="820"/>
      <c r="CJ333" s="820"/>
      <c r="CK333" s="743"/>
      <c r="CL333" s="820"/>
      <c r="CM333" s="820"/>
      <c r="CN333" s="820"/>
      <c r="CO333" s="820"/>
      <c r="CP333" s="743"/>
      <c r="CQ333" s="820"/>
      <c r="CR333" s="820"/>
      <c r="CS333" s="820"/>
      <c r="CT333" s="820"/>
      <c r="CU333" s="743"/>
      <c r="CV333" s="2519">
        <f>CV324-CV327</f>
        <v>200.01299999999998</v>
      </c>
      <c r="CW333" s="2519">
        <f>CW324-CW327</f>
        <v>248.26039919999999</v>
      </c>
      <c r="CX333" s="2519">
        <f>CX324-CX327</f>
        <v>217.20599999999996</v>
      </c>
      <c r="CY333" s="2519">
        <f>CY324-CY327</f>
        <v>234.81648959999995</v>
      </c>
      <c r="CZ333" s="743"/>
      <c r="DA333" s="2519"/>
      <c r="DB333" s="2519"/>
      <c r="DC333" s="2519"/>
      <c r="DD333" s="2519"/>
      <c r="DE333" s="743"/>
      <c r="DF333" s="820"/>
      <c r="DG333" s="820"/>
      <c r="DH333" s="820"/>
      <c r="DI333" s="2815"/>
      <c r="DJ333" s="743"/>
      <c r="DK333" s="820"/>
      <c r="DL333" s="820"/>
      <c r="DM333" s="820"/>
      <c r="DN333" s="820"/>
      <c r="DO333" s="743"/>
      <c r="DP333" s="820"/>
      <c r="DQ333" s="820"/>
      <c r="DR333" s="820"/>
      <c r="DS333" s="820"/>
      <c r="DT333" s="743"/>
      <c r="DU333" s="820"/>
      <c r="DV333" s="820"/>
      <c r="DW333" s="820"/>
      <c r="DX333" s="820"/>
      <c r="DY333" s="743"/>
    </row>
    <row r="334" spans="1:129" ht="12" thickBot="1" x14ac:dyDescent="0.25">
      <c r="A334" s="526"/>
      <c r="B334" s="685" t="s">
        <v>1428</v>
      </c>
      <c r="C334" s="686"/>
      <c r="D334" s="686"/>
      <c r="E334" s="686"/>
      <c r="F334" s="686"/>
      <c r="G334" s="686"/>
      <c r="H334" s="686"/>
      <c r="I334" s="687"/>
      <c r="J334" s="686"/>
      <c r="K334" s="686"/>
      <c r="L334" s="686"/>
      <c r="M334" s="686"/>
      <c r="N334" s="687"/>
      <c r="O334" s="686"/>
      <c r="P334" s="686"/>
      <c r="Q334" s="686"/>
      <c r="R334" s="686"/>
      <c r="S334" s="687"/>
      <c r="T334" s="686"/>
      <c r="U334" s="686"/>
      <c r="V334" s="686"/>
      <c r="W334" s="686"/>
      <c r="X334" s="687"/>
      <c r="Y334" s="686"/>
      <c r="Z334" s="686"/>
      <c r="AA334" s="686"/>
      <c r="AB334" s="686"/>
      <c r="AC334" s="687"/>
      <c r="AD334" s="686"/>
      <c r="AE334" s="686"/>
      <c r="AF334" s="686"/>
      <c r="AG334" s="686"/>
      <c r="AH334" s="687"/>
      <c r="AI334" s="686"/>
      <c r="AJ334" s="686"/>
      <c r="AK334" s="686"/>
      <c r="AL334" s="686"/>
      <c r="AM334" s="687"/>
      <c r="AN334" s="686"/>
      <c r="AO334" s="686"/>
      <c r="AP334" s="686"/>
      <c r="AQ334" s="686"/>
      <c r="AR334" s="687"/>
      <c r="AS334" s="686"/>
      <c r="AT334" s="686"/>
      <c r="AU334" s="686"/>
      <c r="AV334" s="686"/>
      <c r="AW334" s="687"/>
      <c r="AX334" s="686"/>
      <c r="AY334" s="686"/>
      <c r="AZ334" s="686"/>
      <c r="BA334" s="686"/>
      <c r="BB334" s="687"/>
      <c r="BC334" s="686"/>
      <c r="BD334" s="686"/>
      <c r="BE334" s="686"/>
      <c r="BF334" s="686"/>
      <c r="BG334" s="687"/>
      <c r="BH334" s="686"/>
      <c r="BI334" s="686"/>
      <c r="BJ334" s="686"/>
      <c r="BK334" s="686"/>
      <c r="BL334" s="687"/>
      <c r="BM334" s="686"/>
      <c r="BN334" s="686"/>
      <c r="BO334" s="686"/>
      <c r="BP334" s="686"/>
      <c r="BQ334" s="687"/>
      <c r="BR334" s="686"/>
      <c r="BS334" s="686"/>
      <c r="BT334" s="686"/>
      <c r="BU334" s="686"/>
      <c r="BV334" s="687"/>
      <c r="BW334" s="686"/>
      <c r="BX334" s="686"/>
      <c r="BY334" s="686"/>
      <c r="BZ334" s="686"/>
      <c r="CA334" s="687"/>
      <c r="CB334" s="686"/>
      <c r="CC334" s="686"/>
      <c r="CD334" s="686"/>
      <c r="CE334" s="686"/>
      <c r="CF334" s="687"/>
      <c r="CG334" s="686"/>
      <c r="CH334" s="686"/>
      <c r="CI334" s="686"/>
      <c r="CJ334" s="686"/>
      <c r="CK334" s="687"/>
      <c r="CL334" s="686"/>
      <c r="CM334" s="686"/>
      <c r="CN334" s="686"/>
      <c r="CO334" s="686"/>
      <c r="CP334" s="687"/>
      <c r="CQ334" s="686"/>
      <c r="CR334" s="686"/>
      <c r="CS334" s="686"/>
      <c r="CT334" s="686"/>
      <c r="CU334" s="687"/>
      <c r="CV334" s="686"/>
      <c r="CW334" s="686"/>
      <c r="CX334" s="686"/>
      <c r="CY334" s="686"/>
      <c r="CZ334" s="687"/>
      <c r="DA334" s="686"/>
      <c r="DB334" s="686"/>
      <c r="DC334" s="686"/>
      <c r="DD334" s="686"/>
      <c r="DE334" s="687"/>
      <c r="DF334" s="686"/>
      <c r="DG334" s="686"/>
      <c r="DH334" s="686"/>
      <c r="DI334" s="2803"/>
      <c r="DJ334" s="687"/>
      <c r="DK334" s="686"/>
      <c r="DL334" s="686"/>
      <c r="DM334" s="686"/>
      <c r="DN334" s="686"/>
      <c r="DO334" s="687"/>
      <c r="DP334" s="686"/>
      <c r="DQ334" s="686"/>
      <c r="DR334" s="686"/>
      <c r="DS334" s="686"/>
      <c r="DT334" s="687"/>
      <c r="DU334" s="686"/>
      <c r="DV334" s="686"/>
      <c r="DW334" s="686"/>
      <c r="DX334" s="686"/>
      <c r="DY334" s="687"/>
    </row>
    <row r="335" spans="1:129" outlineLevel="1" x14ac:dyDescent="0.2">
      <c r="A335" s="526"/>
      <c r="B335" s="690"/>
      <c r="C335" s="691"/>
      <c r="D335" s="599"/>
      <c r="E335" s="599"/>
      <c r="F335" s="599"/>
      <c r="G335" s="599"/>
      <c r="H335" s="599"/>
      <c r="I335" s="598"/>
      <c r="J335" s="599"/>
      <c r="K335" s="599"/>
      <c r="L335" s="599"/>
      <c r="M335" s="599"/>
      <c r="N335" s="598"/>
      <c r="O335" s="599"/>
      <c r="P335" s="599"/>
      <c r="Q335" s="599"/>
      <c r="R335" s="599"/>
      <c r="S335" s="598"/>
      <c r="T335" s="599"/>
      <c r="U335" s="599"/>
      <c r="V335" s="599"/>
      <c r="W335" s="599"/>
      <c r="X335" s="598"/>
      <c r="Y335" s="599"/>
      <c r="Z335" s="599"/>
      <c r="AA335" s="599"/>
      <c r="AB335" s="599"/>
      <c r="AC335" s="598"/>
      <c r="AD335" s="599"/>
      <c r="AE335" s="599"/>
      <c r="AF335" s="599"/>
      <c r="AG335" s="599"/>
      <c r="AH335" s="598"/>
      <c r="AI335" s="599"/>
      <c r="AJ335" s="599"/>
      <c r="AK335" s="599"/>
      <c r="AL335" s="599"/>
      <c r="AM335" s="598"/>
      <c r="AN335" s="599"/>
      <c r="AO335" s="599"/>
      <c r="AP335" s="599"/>
      <c r="AQ335" s="599"/>
      <c r="AR335" s="598"/>
      <c r="AS335" s="599"/>
      <c r="AT335" s="599"/>
      <c r="AU335" s="599"/>
      <c r="AV335" s="599"/>
      <c r="AW335" s="598"/>
      <c r="AX335" s="599"/>
      <c r="AY335" s="599"/>
      <c r="AZ335" s="599"/>
      <c r="BA335" s="599"/>
      <c r="BB335" s="598"/>
      <c r="BC335" s="599"/>
      <c r="BD335" s="599"/>
      <c r="BE335" s="599"/>
      <c r="BF335" s="599"/>
      <c r="BG335" s="598"/>
      <c r="BH335" s="599"/>
      <c r="BI335" s="599"/>
      <c r="BJ335" s="599"/>
      <c r="BK335" s="599"/>
      <c r="BL335" s="598"/>
      <c r="BM335" s="599"/>
      <c r="BN335" s="599"/>
      <c r="BO335" s="599"/>
      <c r="BP335" s="599"/>
      <c r="BQ335" s="598"/>
      <c r="BR335" s="599"/>
      <c r="BS335" s="599"/>
      <c r="BT335" s="599"/>
      <c r="BU335" s="599"/>
      <c r="BV335" s="598"/>
      <c r="BW335" s="599"/>
      <c r="BX335" s="599"/>
      <c r="BY335" s="599"/>
      <c r="BZ335" s="599"/>
      <c r="CA335" s="598"/>
      <c r="CB335" s="599"/>
      <c r="CC335" s="599"/>
      <c r="CD335" s="599"/>
      <c r="CE335" s="599"/>
      <c r="CF335" s="598"/>
      <c r="CG335" s="526"/>
      <c r="CH335" s="526"/>
      <c r="CI335" s="526"/>
      <c r="CJ335" s="526"/>
      <c r="CK335" s="598"/>
      <c r="CL335" s="526"/>
      <c r="CM335" s="526"/>
      <c r="CN335" s="526"/>
      <c r="CO335" s="526"/>
      <c r="CP335" s="598"/>
      <c r="CQ335" s="526"/>
      <c r="CR335" s="526"/>
      <c r="CS335" s="526"/>
      <c r="CT335" s="526"/>
      <c r="CU335" s="598"/>
      <c r="CV335" s="526"/>
      <c r="CW335" s="526"/>
      <c r="CX335" s="526"/>
      <c r="CY335" s="526"/>
      <c r="CZ335" s="2484"/>
      <c r="DA335" s="526"/>
      <c r="DB335" s="526"/>
      <c r="DC335" s="526"/>
      <c r="DD335" s="526"/>
      <c r="DE335" s="2484"/>
      <c r="DF335" s="526"/>
      <c r="DG335" s="526"/>
      <c r="DH335" s="526"/>
      <c r="DI335" s="1609"/>
      <c r="DJ335" s="2484"/>
      <c r="DK335" s="526"/>
      <c r="DL335" s="526"/>
      <c r="DM335" s="526"/>
      <c r="DN335" s="526"/>
      <c r="DO335" s="2484"/>
      <c r="DP335" s="526"/>
      <c r="DQ335" s="526"/>
      <c r="DR335" s="526"/>
      <c r="DS335" s="526"/>
      <c r="DT335" s="2484"/>
      <c r="DU335" s="526"/>
      <c r="DV335" s="526"/>
      <c r="DW335" s="526"/>
      <c r="DX335" s="526"/>
      <c r="DY335" s="2484"/>
    </row>
    <row r="336" spans="1:129" outlineLevel="1" x14ac:dyDescent="0.2">
      <c r="A336" s="526"/>
      <c r="B336" s="756" t="s">
        <v>520</v>
      </c>
      <c r="C336" s="771"/>
      <c r="D336" s="771"/>
      <c r="E336" s="771"/>
      <c r="F336" s="771"/>
      <c r="G336" s="771"/>
      <c r="H336" s="771"/>
      <c r="I336" s="772"/>
      <c r="J336" s="771"/>
      <c r="K336" s="771"/>
      <c r="L336" s="771"/>
      <c r="M336" s="771"/>
      <c r="N336" s="772"/>
      <c r="O336" s="771"/>
      <c r="P336" s="771"/>
      <c r="Q336" s="771"/>
      <c r="R336" s="771"/>
      <c r="S336" s="772"/>
      <c r="T336" s="771"/>
      <c r="U336" s="771"/>
      <c r="V336" s="771"/>
      <c r="W336" s="771"/>
      <c r="X336" s="772"/>
      <c r="Y336" s="771"/>
      <c r="Z336" s="771"/>
      <c r="AA336" s="771"/>
      <c r="AB336" s="771"/>
      <c r="AC336" s="772"/>
      <c r="AD336" s="771"/>
      <c r="AE336" s="771"/>
      <c r="AF336" s="771"/>
      <c r="AG336" s="771"/>
      <c r="AH336" s="772"/>
      <c r="AI336" s="771"/>
      <c r="AJ336" s="771"/>
      <c r="AK336" s="771"/>
      <c r="AL336" s="771"/>
      <c r="AM336" s="772"/>
      <c r="AN336" s="771"/>
      <c r="AO336" s="771"/>
      <c r="AP336" s="771"/>
      <c r="AQ336" s="771"/>
      <c r="AR336" s="772"/>
      <c r="AS336" s="771"/>
      <c r="AT336" s="771"/>
      <c r="AU336" s="771"/>
      <c r="AV336" s="771"/>
      <c r="AW336" s="772"/>
      <c r="AX336" s="771"/>
      <c r="AY336" s="771"/>
      <c r="AZ336" s="771"/>
      <c r="BA336" s="771"/>
      <c r="BB336" s="772"/>
      <c r="BC336" s="771"/>
      <c r="BD336" s="771"/>
      <c r="BE336" s="773"/>
      <c r="BF336" s="773"/>
      <c r="BG336" s="772"/>
      <c r="BH336" s="773"/>
      <c r="BI336" s="773"/>
      <c r="BJ336" s="773"/>
      <c r="BK336" s="773"/>
      <c r="BL336" s="774"/>
      <c r="BM336" s="773"/>
      <c r="BN336" s="773"/>
      <c r="BO336" s="773"/>
      <c r="BP336" s="773"/>
      <c r="BQ336" s="774"/>
      <c r="BR336" s="773"/>
      <c r="BS336" s="773"/>
      <c r="BT336" s="773"/>
      <c r="BU336" s="773"/>
      <c r="BV336" s="774"/>
      <c r="BW336" s="773"/>
      <c r="BX336" s="773"/>
      <c r="BY336" s="773"/>
      <c r="BZ336" s="773"/>
      <c r="CA336" s="774"/>
      <c r="CB336" s="773"/>
      <c r="CC336" s="773"/>
      <c r="CD336" s="775"/>
      <c r="CE336" s="775"/>
      <c r="CF336" s="772"/>
      <c r="CG336" s="775"/>
      <c r="CH336" s="775"/>
      <c r="CI336" s="775"/>
      <c r="CJ336" s="775"/>
      <c r="CK336" s="772"/>
      <c r="CL336" s="775"/>
      <c r="CM336" s="775"/>
      <c r="CN336" s="775"/>
      <c r="CO336" s="775"/>
      <c r="CP336" s="772"/>
      <c r="CQ336" s="775"/>
      <c r="CR336" s="775"/>
      <c r="CS336" s="775"/>
      <c r="CT336" s="775"/>
      <c r="CU336" s="772"/>
      <c r="CV336" s="775"/>
      <c r="CW336" s="775"/>
      <c r="CX336" s="775"/>
      <c r="CY336" s="2490">
        <v>678.73273999999992</v>
      </c>
      <c r="CZ336" s="2491">
        <f>SUM(CV336:CY336)</f>
        <v>678.73273999999992</v>
      </c>
      <c r="DA336" s="2490">
        <v>710.10890336</v>
      </c>
      <c r="DB336" s="2490">
        <v>717.89480713916589</v>
      </c>
      <c r="DC336" s="2490">
        <v>717.47836647265854</v>
      </c>
      <c r="DD336" s="2490">
        <v>728.21811861579999</v>
      </c>
      <c r="DE336" s="2491">
        <v>2873.7001955876244</v>
      </c>
      <c r="DF336" s="2490">
        <v>763.88374962288003</v>
      </c>
      <c r="DG336" s="2490">
        <v>773.0877563593582</v>
      </c>
      <c r="DH336" s="2490">
        <v>772.9960201702562</v>
      </c>
      <c r="DI336" s="2838">
        <v>785.4715699301214</v>
      </c>
      <c r="DJ336" s="2491">
        <v>3095.4390960826158</v>
      </c>
      <c r="DK336" s="2490">
        <v>824.59117872927493</v>
      </c>
      <c r="DL336" s="2490">
        <v>835.45748440319903</v>
      </c>
      <c r="DM336" s="2490">
        <v>835.75870393255468</v>
      </c>
      <c r="DN336" s="2490">
        <v>850.26216821581534</v>
      </c>
      <c r="DO336" s="2491">
        <v>3346.0695352808434</v>
      </c>
      <c r="DP336" s="2490">
        <v>0</v>
      </c>
      <c r="DQ336" s="2490">
        <v>0</v>
      </c>
      <c r="DR336" s="2490">
        <v>0</v>
      </c>
      <c r="DS336" s="2490">
        <v>0</v>
      </c>
      <c r="DT336" s="2491">
        <v>0</v>
      </c>
      <c r="DU336" s="2490">
        <v>0</v>
      </c>
      <c r="DV336" s="2490">
        <v>0</v>
      </c>
      <c r="DW336" s="2490">
        <v>0</v>
      </c>
      <c r="DX336" s="2490">
        <v>0</v>
      </c>
      <c r="DY336" s="2491">
        <v>0</v>
      </c>
    </row>
    <row r="337" spans="1:129" outlineLevel="1" x14ac:dyDescent="0.2">
      <c r="A337" s="526"/>
      <c r="B337" s="938" t="s">
        <v>1145</v>
      </c>
      <c r="C337" s="816"/>
      <c r="D337" s="816"/>
      <c r="E337" s="816"/>
      <c r="F337" s="816"/>
      <c r="G337" s="816"/>
      <c r="H337" s="816"/>
      <c r="I337" s="939"/>
      <c r="J337" s="816"/>
      <c r="K337" s="816"/>
      <c r="L337" s="816"/>
      <c r="M337" s="816"/>
      <c r="N337" s="939"/>
      <c r="O337" s="816"/>
      <c r="P337" s="816"/>
      <c r="Q337" s="816"/>
      <c r="R337" s="816"/>
      <c r="S337" s="939"/>
      <c r="T337" s="816"/>
      <c r="U337" s="816"/>
      <c r="V337" s="816"/>
      <c r="W337" s="816"/>
      <c r="X337" s="939"/>
      <c r="Y337" s="816"/>
      <c r="Z337" s="816"/>
      <c r="AA337" s="816"/>
      <c r="AB337" s="816"/>
      <c r="AC337" s="939"/>
      <c r="AD337" s="816"/>
      <c r="AE337" s="816"/>
      <c r="AF337" s="816"/>
      <c r="AG337" s="816"/>
      <c r="AH337" s="939"/>
      <c r="AI337" s="816"/>
      <c r="AJ337" s="816"/>
      <c r="AK337" s="816"/>
      <c r="AL337" s="816"/>
      <c r="AM337" s="939"/>
      <c r="AN337" s="816"/>
      <c r="AO337" s="816"/>
      <c r="AP337" s="816"/>
      <c r="AQ337" s="816"/>
      <c r="AR337" s="939"/>
      <c r="AS337" s="816"/>
      <c r="AT337" s="816"/>
      <c r="AU337" s="816"/>
      <c r="AV337" s="816"/>
      <c r="AW337" s="939"/>
      <c r="AX337" s="816"/>
      <c r="AY337" s="816"/>
      <c r="AZ337" s="816"/>
      <c r="BA337" s="816"/>
      <c r="BB337" s="939"/>
      <c r="BC337" s="816"/>
      <c r="BD337" s="816"/>
      <c r="BE337" s="816"/>
      <c r="BF337" s="816"/>
      <c r="BG337" s="939"/>
      <c r="BH337" s="816"/>
      <c r="BI337" s="816"/>
      <c r="BJ337" s="816"/>
      <c r="BK337" s="816"/>
      <c r="BL337" s="774"/>
      <c r="BM337" s="818"/>
      <c r="BN337" s="818"/>
      <c r="BO337" s="818"/>
      <c r="BP337" s="818"/>
      <c r="BQ337" s="774"/>
      <c r="BR337" s="818"/>
      <c r="BS337" s="818"/>
      <c r="BT337" s="818"/>
      <c r="BU337" s="818"/>
      <c r="BV337" s="774"/>
      <c r="BW337" s="818"/>
      <c r="BX337" s="818"/>
      <c r="BY337" s="818"/>
      <c r="BZ337" s="818"/>
      <c r="CA337" s="774"/>
      <c r="CB337" s="818"/>
      <c r="CC337" s="818"/>
      <c r="CD337" s="819"/>
      <c r="CE337" s="819"/>
      <c r="CF337" s="772"/>
      <c r="CG337" s="819"/>
      <c r="CH337" s="819"/>
      <c r="CI337" s="819"/>
      <c r="CJ337" s="819"/>
      <c r="CK337" s="772"/>
      <c r="CL337" s="819"/>
      <c r="CM337" s="819"/>
      <c r="CN337" s="819"/>
      <c r="CO337" s="819"/>
      <c r="CP337" s="772"/>
      <c r="CQ337" s="819"/>
      <c r="CR337" s="819"/>
      <c r="CS337" s="819"/>
      <c r="CT337" s="819"/>
      <c r="CU337" s="772"/>
      <c r="CV337" s="819"/>
      <c r="CW337" s="974"/>
      <c r="CX337" s="974"/>
      <c r="CY337" s="819">
        <v>0.66771152218327701</v>
      </c>
      <c r="CZ337" s="939"/>
      <c r="DA337" s="819">
        <v>6.9542919386302859E-2</v>
      </c>
      <c r="DB337" s="819">
        <v>7.0902448302353926E-2</v>
      </c>
      <c r="DC337" s="819">
        <v>7.1475010602367384E-2</v>
      </c>
      <c r="DD337" s="819">
        <v>7.29084891584868E-2</v>
      </c>
      <c r="DE337" s="939">
        <v>0</v>
      </c>
      <c r="DF337" s="819">
        <v>7.5727604608863963E-2</v>
      </c>
      <c r="DG337" s="819">
        <v>7.6881666605359555E-2</v>
      </c>
      <c r="DH337" s="819">
        <v>7.7378853902646982E-2</v>
      </c>
      <c r="DI337" s="819">
        <v>7.8621294706521461E-2</v>
      </c>
      <c r="DJ337" s="939">
        <v>0</v>
      </c>
      <c r="DK337" s="819">
        <v>7.9472078227041054E-2</v>
      </c>
      <c r="DL337" s="819">
        <v>8.0676129625378845E-2</v>
      </c>
      <c r="DM337" s="819">
        <v>8.1194058086450083E-2</v>
      </c>
      <c r="DN337" s="819">
        <v>8.2486242361971218E-2</v>
      </c>
      <c r="DO337" s="939">
        <v>0</v>
      </c>
      <c r="DP337" s="819">
        <v>0</v>
      </c>
      <c r="DQ337" s="819">
        <v>0</v>
      </c>
      <c r="DR337" s="819">
        <v>0</v>
      </c>
      <c r="DS337" s="819">
        <v>0</v>
      </c>
      <c r="DT337" s="939">
        <v>0</v>
      </c>
      <c r="DU337" s="819">
        <v>0</v>
      </c>
      <c r="DV337" s="819">
        <v>0</v>
      </c>
      <c r="DW337" s="819">
        <v>0</v>
      </c>
      <c r="DX337" s="819">
        <v>0</v>
      </c>
      <c r="DY337" s="939">
        <v>0</v>
      </c>
    </row>
    <row r="338" spans="1:129" outlineLevel="1" x14ac:dyDescent="0.2">
      <c r="A338" s="526"/>
      <c r="B338" s="690"/>
      <c r="C338" s="941"/>
      <c r="D338" s="941"/>
      <c r="E338" s="941"/>
      <c r="F338" s="941"/>
      <c r="G338" s="941"/>
      <c r="H338" s="941"/>
      <c r="I338" s="942"/>
      <c r="J338" s="941"/>
      <c r="K338" s="941"/>
      <c r="L338" s="941"/>
      <c r="M338" s="941"/>
      <c r="N338" s="942"/>
      <c r="O338" s="941"/>
      <c r="P338" s="941"/>
      <c r="Q338" s="941"/>
      <c r="R338" s="941"/>
      <c r="S338" s="942"/>
      <c r="T338" s="941"/>
      <c r="U338" s="941"/>
      <c r="V338" s="941"/>
      <c r="W338" s="941"/>
      <c r="X338" s="942"/>
      <c r="Y338" s="941"/>
      <c r="Z338" s="941"/>
      <c r="AA338" s="941"/>
      <c r="AB338" s="941"/>
      <c r="AC338" s="942"/>
      <c r="AD338" s="941"/>
      <c r="AE338" s="941"/>
      <c r="AF338" s="941"/>
      <c r="AG338" s="941"/>
      <c r="AH338" s="942"/>
      <c r="AI338" s="941"/>
      <c r="AJ338" s="941"/>
      <c r="AK338" s="941"/>
      <c r="AL338" s="941"/>
      <c r="AM338" s="942"/>
      <c r="AN338" s="941"/>
      <c r="AO338" s="941"/>
      <c r="AP338" s="941"/>
      <c r="AQ338" s="941"/>
      <c r="AR338" s="942"/>
      <c r="AS338" s="941"/>
      <c r="AT338" s="941"/>
      <c r="AU338" s="941"/>
      <c r="AV338" s="941"/>
      <c r="AW338" s="942"/>
      <c r="AX338" s="941"/>
      <c r="AY338" s="941"/>
      <c r="AZ338" s="941"/>
      <c r="BA338" s="941"/>
      <c r="BB338" s="942"/>
      <c r="BC338" s="941"/>
      <c r="BD338" s="941"/>
      <c r="BE338" s="943"/>
      <c r="BF338" s="943"/>
      <c r="BG338" s="942"/>
      <c r="BH338" s="943"/>
      <c r="BI338" s="943"/>
      <c r="BJ338" s="943"/>
      <c r="BK338" s="943"/>
      <c r="BL338" s="944"/>
      <c r="BM338" s="945"/>
      <c r="BN338" s="945"/>
      <c r="BO338" s="945"/>
      <c r="BP338" s="945"/>
      <c r="BQ338" s="944"/>
      <c r="BR338" s="945"/>
      <c r="BS338" s="945"/>
      <c r="BT338" s="945"/>
      <c r="BU338" s="945"/>
      <c r="BV338" s="944"/>
      <c r="BW338" s="945"/>
      <c r="BX338" s="945"/>
      <c r="BY338" s="945"/>
      <c r="BZ338" s="945"/>
      <c r="CA338" s="944"/>
      <c r="CB338" s="945"/>
      <c r="CC338" s="945"/>
      <c r="CD338" s="946"/>
      <c r="CE338" s="946"/>
      <c r="CF338" s="947"/>
      <c r="CG338" s="948"/>
      <c r="CH338" s="948"/>
      <c r="CI338" s="948"/>
      <c r="CJ338" s="948"/>
      <c r="CK338" s="942"/>
      <c r="CL338" s="948"/>
      <c r="CM338" s="948"/>
      <c r="CN338" s="948"/>
      <c r="CO338" s="948"/>
      <c r="CP338" s="942"/>
      <c r="CQ338" s="948"/>
      <c r="CR338" s="948"/>
      <c r="CS338" s="948"/>
      <c r="CT338" s="948"/>
      <c r="CU338" s="942"/>
      <c r="CV338" s="948"/>
      <c r="CW338" s="948"/>
      <c r="CX338" s="948"/>
      <c r="CY338" s="948"/>
      <c r="CZ338" s="942"/>
      <c r="DA338" s="948"/>
      <c r="DB338" s="948"/>
      <c r="DC338" s="948"/>
      <c r="DD338" s="948"/>
      <c r="DE338" s="942"/>
      <c r="DF338" s="948"/>
      <c r="DG338" s="948"/>
      <c r="DH338" s="948"/>
      <c r="DI338" s="948"/>
      <c r="DJ338" s="942"/>
      <c r="DK338" s="948"/>
      <c r="DL338" s="948"/>
      <c r="DM338" s="948"/>
      <c r="DN338" s="948"/>
      <c r="DO338" s="942"/>
      <c r="DP338" s="948"/>
      <c r="DQ338" s="948"/>
      <c r="DR338" s="948"/>
      <c r="DS338" s="948"/>
      <c r="DT338" s="942"/>
      <c r="DU338" s="948"/>
      <c r="DV338" s="948"/>
      <c r="DW338" s="948"/>
      <c r="DX338" s="948"/>
      <c r="DY338" s="942"/>
    </row>
    <row r="339" spans="1:129" outlineLevel="1" x14ac:dyDescent="0.2">
      <c r="A339" s="526"/>
      <c r="B339" s="756" t="s">
        <v>1146</v>
      </c>
      <c r="C339" s="597"/>
      <c r="D339" s="597"/>
      <c r="E339" s="597"/>
      <c r="F339" s="597"/>
      <c r="G339" s="597"/>
      <c r="H339" s="597"/>
      <c r="I339" s="598"/>
      <c r="J339" s="597"/>
      <c r="K339" s="597"/>
      <c r="L339" s="597"/>
      <c r="M339" s="597"/>
      <c r="N339" s="598"/>
      <c r="O339" s="597"/>
      <c r="P339" s="597"/>
      <c r="Q339" s="597"/>
      <c r="R339" s="597"/>
      <c r="S339" s="598"/>
      <c r="T339" s="597"/>
      <c r="U339" s="597"/>
      <c r="V339" s="597"/>
      <c r="W339" s="597"/>
      <c r="X339" s="598"/>
      <c r="Y339" s="597"/>
      <c r="Z339" s="597"/>
      <c r="AA339" s="597"/>
      <c r="AB339" s="597"/>
      <c r="AC339" s="598"/>
      <c r="AD339" s="597"/>
      <c r="AE339" s="597"/>
      <c r="AF339" s="597"/>
      <c r="AG339" s="597"/>
      <c r="AH339" s="598"/>
      <c r="AI339" s="597"/>
      <c r="AJ339" s="597"/>
      <c r="AK339" s="597"/>
      <c r="AL339" s="597"/>
      <c r="AM339" s="598"/>
      <c r="AN339" s="597"/>
      <c r="AO339" s="597"/>
      <c r="AP339" s="597"/>
      <c r="AQ339" s="597"/>
      <c r="AR339" s="598"/>
      <c r="AS339" s="597"/>
      <c r="AT339" s="597"/>
      <c r="AU339" s="597"/>
      <c r="AV339" s="597"/>
      <c r="AW339" s="598"/>
      <c r="AX339" s="597"/>
      <c r="AY339" s="597"/>
      <c r="AZ339" s="597"/>
      <c r="BA339" s="597"/>
      <c r="BB339" s="598"/>
      <c r="BC339" s="597"/>
      <c r="BD339" s="597"/>
      <c r="BE339" s="597"/>
      <c r="BF339" s="597"/>
      <c r="BG339" s="598"/>
      <c r="BH339" s="597"/>
      <c r="BI339" s="597"/>
      <c r="BJ339" s="597"/>
      <c r="BK339" s="597"/>
      <c r="BL339" s="598"/>
      <c r="BM339" s="818"/>
      <c r="BN339" s="818"/>
      <c r="BO339" s="818"/>
      <c r="BP339" s="818"/>
      <c r="BQ339" s="598"/>
      <c r="BR339" s="818"/>
      <c r="BS339" s="818"/>
      <c r="BT339" s="818"/>
      <c r="BU339" s="818"/>
      <c r="BV339" s="598"/>
      <c r="BW339" s="818"/>
      <c r="BX339" s="818"/>
      <c r="BY339" s="818"/>
      <c r="BZ339" s="818"/>
      <c r="CA339" s="598"/>
      <c r="CB339" s="818"/>
      <c r="CC339" s="818"/>
      <c r="CD339" s="819"/>
      <c r="CE339" s="819"/>
      <c r="CF339" s="598"/>
      <c r="CG339" s="682"/>
      <c r="CH339" s="682"/>
      <c r="CI339" s="682"/>
      <c r="CJ339" s="682"/>
      <c r="CK339" s="598"/>
      <c r="CL339" s="682"/>
      <c r="CM339" s="682"/>
      <c r="CN339" s="682"/>
      <c r="CO339" s="682"/>
      <c r="CP339" s="598"/>
      <c r="CQ339" s="1039"/>
      <c r="CR339" s="1039"/>
      <c r="CS339" s="1039"/>
      <c r="CT339" s="1039"/>
      <c r="CU339" s="772"/>
      <c r="CV339" s="1039"/>
      <c r="CW339" s="1039"/>
      <c r="CX339" s="1039"/>
      <c r="CY339" s="2488">
        <v>551.04614328749994</v>
      </c>
      <c r="CZ339" s="2491">
        <f>SUM(CV339:CY339)</f>
        <v>551.04614328749994</v>
      </c>
      <c r="DA339" s="2488">
        <v>576.51966591540008</v>
      </c>
      <c r="DB339" s="2488">
        <v>582.84084654611036</v>
      </c>
      <c r="DC339" s="2488">
        <v>582.5027487799897</v>
      </c>
      <c r="DD339" s="2488">
        <v>591.22208505120261</v>
      </c>
      <c r="DE339" s="2489">
        <v>2333.085346292703</v>
      </c>
      <c r="DF339" s="2488">
        <v>607.51491578691582</v>
      </c>
      <c r="DG339" s="2488">
        <v>615.00352576788282</v>
      </c>
      <c r="DH339" s="2488">
        <v>614.92888691102473</v>
      </c>
      <c r="DI339" s="2839">
        <v>625.07930608439506</v>
      </c>
      <c r="DJ339" s="2489">
        <v>2462.5266345502187</v>
      </c>
      <c r="DK339" s="2488">
        <v>656.90799779360634</v>
      </c>
      <c r="DL339" s="2488">
        <v>665.74909574755281</v>
      </c>
      <c r="DM339" s="2488">
        <v>665.99417548712483</v>
      </c>
      <c r="DN339" s="2488">
        <v>677.79455661459281</v>
      </c>
      <c r="DO339" s="2489">
        <v>2666.4458256428766</v>
      </c>
      <c r="DP339" s="2488">
        <v>0</v>
      </c>
      <c r="DQ339" s="2488">
        <v>0</v>
      </c>
      <c r="DR339" s="2488">
        <v>0</v>
      </c>
      <c r="DS339" s="2488">
        <v>0</v>
      </c>
      <c r="DT339" s="2489">
        <v>0</v>
      </c>
      <c r="DU339" s="2488">
        <v>0</v>
      </c>
      <c r="DV339" s="2488">
        <v>0</v>
      </c>
      <c r="DW339" s="2488">
        <v>0</v>
      </c>
      <c r="DX339" s="2488">
        <v>0</v>
      </c>
      <c r="DY339" s="2489">
        <v>0</v>
      </c>
    </row>
    <row r="340" spans="1:129" outlineLevel="1" x14ac:dyDescent="0.2">
      <c r="A340" s="526"/>
      <c r="B340" s="2482" t="s">
        <v>1145</v>
      </c>
      <c r="C340" s="670"/>
      <c r="D340" s="670"/>
      <c r="E340" s="670"/>
      <c r="F340" s="670"/>
      <c r="G340" s="670"/>
      <c r="H340" s="670"/>
      <c r="I340" s="949"/>
      <c r="J340" s="670"/>
      <c r="K340" s="670"/>
      <c r="L340" s="670"/>
      <c r="M340" s="670"/>
      <c r="N340" s="949"/>
      <c r="O340" s="670"/>
      <c r="P340" s="670"/>
      <c r="Q340" s="670"/>
      <c r="R340" s="670"/>
      <c r="S340" s="949"/>
      <c r="T340" s="670"/>
      <c r="U340" s="670"/>
      <c r="V340" s="670"/>
      <c r="W340" s="670"/>
      <c r="X340" s="949"/>
      <c r="Y340" s="670"/>
      <c r="Z340" s="670"/>
      <c r="AA340" s="670"/>
      <c r="AB340" s="670"/>
      <c r="AC340" s="949"/>
      <c r="AD340" s="670"/>
      <c r="AE340" s="670"/>
      <c r="AF340" s="670"/>
      <c r="AG340" s="670"/>
      <c r="AH340" s="949"/>
      <c r="AI340" s="670"/>
      <c r="AJ340" s="670"/>
      <c r="AK340" s="670"/>
      <c r="AL340" s="670"/>
      <c r="AM340" s="949"/>
      <c r="AN340" s="670"/>
      <c r="AO340" s="670"/>
      <c r="AP340" s="670"/>
      <c r="AQ340" s="670"/>
      <c r="AR340" s="949"/>
      <c r="AS340" s="670"/>
      <c r="AT340" s="670"/>
      <c r="AU340" s="670"/>
      <c r="AV340" s="670"/>
      <c r="AW340" s="949"/>
      <c r="AX340" s="670"/>
      <c r="AY340" s="670"/>
      <c r="AZ340" s="670"/>
      <c r="BA340" s="670"/>
      <c r="BB340" s="949"/>
      <c r="BC340" s="670"/>
      <c r="BD340" s="670"/>
      <c r="BE340" s="670"/>
      <c r="BF340" s="670"/>
      <c r="BG340" s="949"/>
      <c r="BH340" s="670"/>
      <c r="BI340" s="670"/>
      <c r="BJ340" s="670"/>
      <c r="BK340" s="670"/>
      <c r="BL340" s="949"/>
      <c r="BM340" s="670"/>
      <c r="BN340" s="670"/>
      <c r="BO340" s="670"/>
      <c r="BP340" s="670"/>
      <c r="BQ340" s="949"/>
      <c r="BR340" s="670"/>
      <c r="BS340" s="670"/>
      <c r="BT340" s="670"/>
      <c r="BU340" s="670"/>
      <c r="BV340" s="949"/>
      <c r="BW340" s="670"/>
      <c r="BX340" s="670"/>
      <c r="BY340" s="670"/>
      <c r="BZ340" s="670"/>
      <c r="CA340" s="949"/>
      <c r="CB340" s="670"/>
      <c r="CC340" s="670"/>
      <c r="CD340" s="670"/>
      <c r="CE340" s="670"/>
      <c r="CF340" s="949"/>
      <c r="CG340" s="950"/>
      <c r="CH340" s="950"/>
      <c r="CI340" s="950"/>
      <c r="CJ340" s="950"/>
      <c r="CK340" s="949"/>
      <c r="CL340" s="950"/>
      <c r="CM340" s="950"/>
      <c r="CN340" s="950"/>
      <c r="CO340" s="950"/>
      <c r="CP340" s="949"/>
      <c r="CQ340" s="950"/>
      <c r="CR340" s="950"/>
      <c r="CS340" s="950"/>
      <c r="CT340" s="950"/>
      <c r="CU340" s="949"/>
      <c r="CV340" s="950"/>
      <c r="CW340" s="571"/>
      <c r="CX340" s="571"/>
      <c r="CY340" s="571">
        <v>0.48312286492600465</v>
      </c>
      <c r="CZ340" s="572"/>
      <c r="DA340" s="571">
        <v>6.4426368838204295E-2</v>
      </c>
      <c r="DB340" s="571">
        <v>6.9749523488740417E-2</v>
      </c>
      <c r="DC340" s="571">
        <v>7.1475010602367606E-2</v>
      </c>
      <c r="DD340" s="571">
        <v>7.29084891584868E-2</v>
      </c>
      <c r="DE340" s="572">
        <v>0</v>
      </c>
      <c r="DF340" s="571">
        <v>5.376269311178028E-2</v>
      </c>
      <c r="DG340" s="571">
        <v>5.5182610162563428E-2</v>
      </c>
      <c r="DH340" s="571">
        <v>5.5666927235878738E-2</v>
      </c>
      <c r="DI340" s="571">
        <v>5.7266502536454267E-2</v>
      </c>
      <c r="DJ340" s="572">
        <v>0</v>
      </c>
      <c r="DK340" s="571">
        <v>8.1303488561612625E-2</v>
      </c>
      <c r="DL340" s="571">
        <v>8.2512648876784889E-2</v>
      </c>
      <c r="DM340" s="571">
        <v>8.3042591855810644E-2</v>
      </c>
      <c r="DN340" s="571">
        <v>8.4333699767498604E-2</v>
      </c>
      <c r="DO340" s="572">
        <v>0</v>
      </c>
      <c r="DP340" s="571">
        <v>0</v>
      </c>
      <c r="DQ340" s="571">
        <v>0</v>
      </c>
      <c r="DR340" s="571">
        <v>0</v>
      </c>
      <c r="DS340" s="571">
        <v>0</v>
      </c>
      <c r="DT340" s="572">
        <v>0</v>
      </c>
      <c r="DU340" s="571">
        <v>0</v>
      </c>
      <c r="DV340" s="571">
        <v>0</v>
      </c>
      <c r="DW340" s="571">
        <v>0</v>
      </c>
      <c r="DX340" s="571">
        <v>0</v>
      </c>
      <c r="DY340" s="572">
        <v>0</v>
      </c>
    </row>
    <row r="341" spans="1:129" outlineLevel="1" x14ac:dyDescent="0.2">
      <c r="A341" s="526"/>
      <c r="B341" s="690"/>
      <c r="C341" s="670"/>
      <c r="D341" s="670"/>
      <c r="E341" s="670"/>
      <c r="F341" s="670"/>
      <c r="G341" s="670"/>
      <c r="H341" s="670"/>
      <c r="I341" s="949"/>
      <c r="J341" s="670"/>
      <c r="K341" s="670"/>
      <c r="L341" s="670"/>
      <c r="M341" s="670"/>
      <c r="N341" s="949"/>
      <c r="O341" s="670"/>
      <c r="P341" s="670"/>
      <c r="Q341" s="670"/>
      <c r="R341" s="670"/>
      <c r="S341" s="949"/>
      <c r="T341" s="670"/>
      <c r="U341" s="670"/>
      <c r="V341" s="670"/>
      <c r="W341" s="670"/>
      <c r="X341" s="949"/>
      <c r="Y341" s="670"/>
      <c r="Z341" s="670"/>
      <c r="AA341" s="670"/>
      <c r="AB341" s="670"/>
      <c r="AC341" s="949"/>
      <c r="AD341" s="670"/>
      <c r="AE341" s="670"/>
      <c r="AF341" s="670"/>
      <c r="AG341" s="670"/>
      <c r="AH341" s="949"/>
      <c r="AI341" s="670"/>
      <c r="AJ341" s="670"/>
      <c r="AK341" s="670"/>
      <c r="AL341" s="670"/>
      <c r="AM341" s="949"/>
      <c r="AN341" s="670"/>
      <c r="AO341" s="670"/>
      <c r="AP341" s="670"/>
      <c r="AQ341" s="670"/>
      <c r="AR341" s="949"/>
      <c r="AS341" s="670"/>
      <c r="AT341" s="670"/>
      <c r="AU341" s="670"/>
      <c r="AV341" s="670"/>
      <c r="AW341" s="949"/>
      <c r="AX341" s="670"/>
      <c r="AY341" s="670"/>
      <c r="AZ341" s="670"/>
      <c r="BA341" s="670"/>
      <c r="BB341" s="949"/>
      <c r="BC341" s="670"/>
      <c r="BD341" s="670"/>
      <c r="BE341" s="670"/>
      <c r="BF341" s="670"/>
      <c r="BG341" s="949"/>
      <c r="BH341" s="670"/>
      <c r="BI341" s="670"/>
      <c r="BJ341" s="670"/>
      <c r="BK341" s="670"/>
      <c r="BL341" s="949"/>
      <c r="BM341" s="670"/>
      <c r="BN341" s="670"/>
      <c r="BO341" s="670"/>
      <c r="BP341" s="670"/>
      <c r="BQ341" s="949"/>
      <c r="BR341" s="670"/>
      <c r="BS341" s="670"/>
      <c r="BT341" s="670"/>
      <c r="BU341" s="670"/>
      <c r="BV341" s="949"/>
      <c r="BW341" s="670"/>
      <c r="BX341" s="670"/>
      <c r="BY341" s="670"/>
      <c r="BZ341" s="670"/>
      <c r="CA341" s="949"/>
      <c r="CB341" s="670"/>
      <c r="CC341" s="670"/>
      <c r="CD341" s="670"/>
      <c r="CE341" s="670"/>
      <c r="CF341" s="949"/>
      <c r="CG341" s="950"/>
      <c r="CH341" s="950"/>
      <c r="CI341" s="950"/>
      <c r="CJ341" s="950"/>
      <c r="CK341" s="949"/>
      <c r="CL341" s="950"/>
      <c r="CM341" s="950"/>
      <c r="CN341" s="950"/>
      <c r="CO341" s="950"/>
      <c r="CP341" s="949"/>
      <c r="CQ341" s="950"/>
      <c r="CR341" s="950"/>
      <c r="CS341" s="950"/>
      <c r="CT341" s="950"/>
      <c r="CU341" s="949"/>
      <c r="CV341" s="950"/>
      <c r="CW341" s="571"/>
      <c r="CX341" s="571"/>
      <c r="CY341" s="571"/>
      <c r="CZ341" s="572"/>
      <c r="DA341" s="571"/>
      <c r="DB341" s="571"/>
      <c r="DC341" s="571"/>
      <c r="DD341" s="571"/>
      <c r="DE341" s="572"/>
      <c r="DF341" s="571"/>
      <c r="DG341" s="571"/>
      <c r="DH341" s="571"/>
      <c r="DI341" s="571"/>
      <c r="DJ341" s="572"/>
      <c r="DK341" s="571"/>
      <c r="DL341" s="571"/>
      <c r="DM341" s="571"/>
      <c r="DN341" s="571"/>
      <c r="DO341" s="572"/>
      <c r="DP341" s="571"/>
      <c r="DQ341" s="571"/>
      <c r="DR341" s="571"/>
      <c r="DS341" s="571"/>
      <c r="DT341" s="572"/>
      <c r="DU341" s="571"/>
      <c r="DV341" s="571"/>
      <c r="DW341" s="571"/>
      <c r="DX341" s="571"/>
      <c r="DY341" s="572"/>
    </row>
    <row r="342" spans="1:129" outlineLevel="1" x14ac:dyDescent="0.2">
      <c r="A342" s="526"/>
      <c r="B342" s="690" t="s">
        <v>173</v>
      </c>
      <c r="C342" s="670"/>
      <c r="D342" s="670"/>
      <c r="E342" s="670"/>
      <c r="F342" s="670"/>
      <c r="G342" s="670"/>
      <c r="H342" s="670"/>
      <c r="I342" s="949"/>
      <c r="J342" s="670"/>
      <c r="K342" s="670"/>
      <c r="L342" s="670"/>
      <c r="M342" s="670"/>
      <c r="N342" s="949"/>
      <c r="O342" s="670"/>
      <c r="P342" s="670"/>
      <c r="Q342" s="670"/>
      <c r="R342" s="670"/>
      <c r="S342" s="949"/>
      <c r="T342" s="670"/>
      <c r="U342" s="670"/>
      <c r="V342" s="670"/>
      <c r="W342" s="670"/>
      <c r="X342" s="949"/>
      <c r="Y342" s="670"/>
      <c r="Z342" s="670"/>
      <c r="AA342" s="670"/>
      <c r="AB342" s="670"/>
      <c r="AC342" s="949"/>
      <c r="AD342" s="670"/>
      <c r="AE342" s="670"/>
      <c r="AF342" s="670"/>
      <c r="AG342" s="670"/>
      <c r="AH342" s="949"/>
      <c r="AI342" s="670"/>
      <c r="AJ342" s="670"/>
      <c r="AK342" s="670"/>
      <c r="AL342" s="670"/>
      <c r="AM342" s="949"/>
      <c r="AN342" s="670"/>
      <c r="AO342" s="670"/>
      <c r="AP342" s="670"/>
      <c r="AQ342" s="670"/>
      <c r="AR342" s="949"/>
      <c r="AS342" s="670"/>
      <c r="AT342" s="670"/>
      <c r="AU342" s="670"/>
      <c r="AV342" s="670"/>
      <c r="AW342" s="949"/>
      <c r="AX342" s="670"/>
      <c r="AY342" s="670"/>
      <c r="AZ342" s="670"/>
      <c r="BA342" s="670"/>
      <c r="BB342" s="949"/>
      <c r="BC342" s="670"/>
      <c r="BD342" s="670"/>
      <c r="BE342" s="670"/>
      <c r="BF342" s="670"/>
      <c r="BG342" s="949"/>
      <c r="BH342" s="670"/>
      <c r="BI342" s="670"/>
      <c r="BJ342" s="670"/>
      <c r="BK342" s="670"/>
      <c r="BL342" s="949"/>
      <c r="BM342" s="670"/>
      <c r="BN342" s="670"/>
      <c r="BO342" s="670"/>
      <c r="BP342" s="670"/>
      <c r="BQ342" s="949"/>
      <c r="BR342" s="670"/>
      <c r="BS342" s="670"/>
      <c r="BT342" s="670"/>
      <c r="BU342" s="670"/>
      <c r="BV342" s="949"/>
      <c r="BW342" s="670"/>
      <c r="BX342" s="670"/>
      <c r="BY342" s="670"/>
      <c r="BZ342" s="670"/>
      <c r="CA342" s="949"/>
      <c r="CB342" s="670"/>
      <c r="CC342" s="670"/>
      <c r="CD342" s="670"/>
      <c r="CE342" s="670"/>
      <c r="CF342" s="949"/>
      <c r="CG342" s="950"/>
      <c r="CH342" s="950"/>
      <c r="CI342" s="950"/>
      <c r="CJ342" s="950"/>
      <c r="CK342" s="949"/>
      <c r="CL342" s="950"/>
      <c r="CM342" s="950"/>
      <c r="CN342" s="950"/>
      <c r="CO342" s="950"/>
      <c r="CP342" s="949"/>
      <c r="CQ342" s="950"/>
      <c r="CR342" s="950"/>
      <c r="CS342" s="950"/>
      <c r="CT342" s="950"/>
      <c r="CU342" s="949"/>
      <c r="CV342" s="950"/>
      <c r="CW342" s="571"/>
      <c r="CX342" s="571"/>
      <c r="CY342" s="2486">
        <v>127.68659671249998</v>
      </c>
      <c r="CZ342" s="2491">
        <f>SUM(CV342:CY342)</f>
        <v>127.68659671249998</v>
      </c>
      <c r="DA342" s="2498">
        <v>133.58923744459997</v>
      </c>
      <c r="DB342" s="2498">
        <v>135.05396059305556</v>
      </c>
      <c r="DC342" s="2498">
        <v>134.97561769266886</v>
      </c>
      <c r="DD342" s="2498">
        <v>136.99603356459735</v>
      </c>
      <c r="DE342" s="2497">
        <v>540.61484929492178</v>
      </c>
      <c r="DF342" s="2498">
        <v>156.36883383596424</v>
      </c>
      <c r="DG342" s="2498">
        <v>158.08423059147538</v>
      </c>
      <c r="DH342" s="2498">
        <v>158.06713325923147</v>
      </c>
      <c r="DI342" s="2498">
        <v>160.39226384572635</v>
      </c>
      <c r="DJ342" s="2497">
        <v>632.9124615323974</v>
      </c>
      <c r="DK342" s="2498">
        <v>167.68318093566862</v>
      </c>
      <c r="DL342" s="2498">
        <v>169.70838865564619</v>
      </c>
      <c r="DM342" s="2498">
        <v>169.76452844542985</v>
      </c>
      <c r="DN342" s="2498">
        <v>172.46761160122256</v>
      </c>
      <c r="DO342" s="2497">
        <v>679.62370963796718</v>
      </c>
      <c r="DP342" s="2498">
        <v>0</v>
      </c>
      <c r="DQ342" s="2498">
        <v>0</v>
      </c>
      <c r="DR342" s="2498">
        <v>0</v>
      </c>
      <c r="DS342" s="2498">
        <v>0</v>
      </c>
      <c r="DT342" s="2497">
        <v>0</v>
      </c>
      <c r="DU342" s="2498">
        <v>0</v>
      </c>
      <c r="DV342" s="2498">
        <v>0</v>
      </c>
      <c r="DW342" s="2498">
        <v>0</v>
      </c>
      <c r="DX342" s="2498">
        <v>0</v>
      </c>
      <c r="DY342" s="2497">
        <v>0</v>
      </c>
    </row>
    <row r="343" spans="1:129" outlineLevel="1" x14ac:dyDescent="0.2">
      <c r="A343" s="526"/>
      <c r="B343" s="690" t="s">
        <v>1145</v>
      </c>
      <c r="C343" s="670"/>
      <c r="D343" s="670"/>
      <c r="E343" s="670"/>
      <c r="F343" s="670"/>
      <c r="G343" s="670"/>
      <c r="H343" s="670"/>
      <c r="I343" s="949"/>
      <c r="J343" s="670"/>
      <c r="K343" s="670"/>
      <c r="L343" s="670"/>
      <c r="M343" s="670"/>
      <c r="N343" s="949"/>
      <c r="O343" s="670"/>
      <c r="P343" s="670"/>
      <c r="Q343" s="670"/>
      <c r="R343" s="670"/>
      <c r="S343" s="949"/>
      <c r="T343" s="670"/>
      <c r="U343" s="670"/>
      <c r="V343" s="670"/>
      <c r="W343" s="670"/>
      <c r="X343" s="949"/>
      <c r="Y343" s="670"/>
      <c r="Z343" s="670"/>
      <c r="AA343" s="670"/>
      <c r="AB343" s="670"/>
      <c r="AC343" s="949"/>
      <c r="AD343" s="670"/>
      <c r="AE343" s="670"/>
      <c r="AF343" s="670"/>
      <c r="AG343" s="670"/>
      <c r="AH343" s="949"/>
      <c r="AI343" s="670"/>
      <c r="AJ343" s="670"/>
      <c r="AK343" s="670"/>
      <c r="AL343" s="670"/>
      <c r="AM343" s="949"/>
      <c r="AN343" s="670"/>
      <c r="AO343" s="670"/>
      <c r="AP343" s="670"/>
      <c r="AQ343" s="670"/>
      <c r="AR343" s="949"/>
      <c r="AS343" s="670"/>
      <c r="AT343" s="670"/>
      <c r="AU343" s="670"/>
      <c r="AV343" s="670"/>
      <c r="AW343" s="949"/>
      <c r="AX343" s="670"/>
      <c r="AY343" s="670"/>
      <c r="AZ343" s="670"/>
      <c r="BA343" s="670"/>
      <c r="BB343" s="949"/>
      <c r="BC343" s="670"/>
      <c r="BD343" s="670"/>
      <c r="BE343" s="670"/>
      <c r="BF343" s="670"/>
      <c r="BG343" s="949"/>
      <c r="BH343" s="670"/>
      <c r="BI343" s="670"/>
      <c r="BJ343" s="670"/>
      <c r="BK343" s="670"/>
      <c r="BL343" s="949"/>
      <c r="BM343" s="670"/>
      <c r="BN343" s="670"/>
      <c r="BO343" s="670"/>
      <c r="BP343" s="670"/>
      <c r="BQ343" s="949"/>
      <c r="BR343" s="670"/>
      <c r="BS343" s="670"/>
      <c r="BT343" s="670"/>
      <c r="BU343" s="670"/>
      <c r="BV343" s="949"/>
      <c r="BW343" s="670"/>
      <c r="BX343" s="670"/>
      <c r="BY343" s="670"/>
      <c r="BZ343" s="670"/>
      <c r="CA343" s="949"/>
      <c r="CB343" s="670"/>
      <c r="CC343" s="670"/>
      <c r="CD343" s="670"/>
      <c r="CE343" s="670"/>
      <c r="CF343" s="949"/>
      <c r="CG343" s="950"/>
      <c r="CH343" s="950"/>
      <c r="CI343" s="950"/>
      <c r="CJ343" s="950"/>
      <c r="CK343" s="949"/>
      <c r="CL343" s="950"/>
      <c r="CM343" s="950"/>
      <c r="CN343" s="950"/>
      <c r="CO343" s="950"/>
      <c r="CP343" s="949"/>
      <c r="CQ343" s="950"/>
      <c r="CR343" s="950"/>
      <c r="CS343" s="950"/>
      <c r="CT343" s="950"/>
      <c r="CU343" s="949"/>
      <c r="CV343" s="950"/>
      <c r="CW343" s="571"/>
      <c r="CX343" s="571"/>
      <c r="CY343" s="571">
        <v>2.6028949410976292</v>
      </c>
      <c r="CZ343" s="2499"/>
      <c r="DA343" s="2500">
        <v>9.2200134366155373E-2</v>
      </c>
      <c r="DB343" s="2500">
        <v>7.5906665350495839E-2</v>
      </c>
      <c r="DC343" s="2500">
        <v>7.1475010602367384E-2</v>
      </c>
      <c r="DD343" s="2500">
        <v>7.29084891584868E-2</v>
      </c>
      <c r="DE343" s="2499">
        <v>0</v>
      </c>
      <c r="DF343" s="2500">
        <v>0.17051969774744058</v>
      </c>
      <c r="DG343" s="2500">
        <v>0.17052643178540006</v>
      </c>
      <c r="DH343" s="2500">
        <v>0.17107916200939766</v>
      </c>
      <c r="DI343" s="2500">
        <v>0.17078034795873887</v>
      </c>
      <c r="DJ343" s="2499">
        <v>0</v>
      </c>
      <c r="DK343" s="2500">
        <v>7.2356791453554559E-2</v>
      </c>
      <c r="DL343" s="2500">
        <v>7.353142069059504E-2</v>
      </c>
      <c r="DM343" s="2500">
        <v>7.4002703440028572E-2</v>
      </c>
      <c r="DN343" s="2500">
        <v>7.5286347769933037E-2</v>
      </c>
      <c r="DO343" s="2499">
        <v>0</v>
      </c>
      <c r="DP343" s="2500">
        <v>0</v>
      </c>
      <c r="DQ343" s="2500">
        <v>0</v>
      </c>
      <c r="DR343" s="2500">
        <v>0</v>
      </c>
      <c r="DS343" s="2500">
        <v>0</v>
      </c>
      <c r="DT343" s="2499">
        <v>0</v>
      </c>
      <c r="DU343" s="2500">
        <v>0</v>
      </c>
      <c r="DV343" s="2500">
        <v>0</v>
      </c>
      <c r="DW343" s="2500">
        <v>0</v>
      </c>
      <c r="DX343" s="2500">
        <v>0</v>
      </c>
      <c r="DY343" s="2499">
        <v>0</v>
      </c>
    </row>
    <row r="344" spans="1:129" outlineLevel="1" x14ac:dyDescent="0.2">
      <c r="A344" s="526"/>
      <c r="B344" s="690"/>
      <c r="C344" s="670"/>
      <c r="D344" s="670"/>
      <c r="E344" s="670"/>
      <c r="F344" s="670"/>
      <c r="G344" s="670"/>
      <c r="H344" s="670"/>
      <c r="I344" s="949"/>
      <c r="J344" s="670"/>
      <c r="K344" s="670"/>
      <c r="L344" s="670"/>
      <c r="M344" s="670"/>
      <c r="N344" s="949"/>
      <c r="O344" s="670"/>
      <c r="P344" s="670"/>
      <c r="Q344" s="670"/>
      <c r="R344" s="670"/>
      <c r="S344" s="949"/>
      <c r="T344" s="670"/>
      <c r="U344" s="670"/>
      <c r="V344" s="670"/>
      <c r="W344" s="670"/>
      <c r="X344" s="949"/>
      <c r="Y344" s="670"/>
      <c r="Z344" s="670"/>
      <c r="AA344" s="670"/>
      <c r="AB344" s="670"/>
      <c r="AC344" s="949"/>
      <c r="AD344" s="670"/>
      <c r="AE344" s="670"/>
      <c r="AF344" s="670"/>
      <c r="AG344" s="670"/>
      <c r="AH344" s="949"/>
      <c r="AI344" s="670"/>
      <c r="AJ344" s="670"/>
      <c r="AK344" s="670"/>
      <c r="AL344" s="670"/>
      <c r="AM344" s="949"/>
      <c r="AN344" s="670"/>
      <c r="AO344" s="670"/>
      <c r="AP344" s="670"/>
      <c r="AQ344" s="670"/>
      <c r="AR344" s="949"/>
      <c r="AS344" s="670"/>
      <c r="AT344" s="670"/>
      <c r="AU344" s="670"/>
      <c r="AV344" s="670"/>
      <c r="AW344" s="949"/>
      <c r="AX344" s="670"/>
      <c r="AY344" s="670"/>
      <c r="AZ344" s="670"/>
      <c r="BA344" s="670"/>
      <c r="BB344" s="949"/>
      <c r="BC344" s="670"/>
      <c r="BD344" s="670"/>
      <c r="BE344" s="670"/>
      <c r="BF344" s="670"/>
      <c r="BG344" s="949"/>
      <c r="BH344" s="670"/>
      <c r="BI344" s="670"/>
      <c r="BJ344" s="670"/>
      <c r="BK344" s="670"/>
      <c r="BL344" s="949"/>
      <c r="BM344" s="670"/>
      <c r="BN344" s="670"/>
      <c r="BO344" s="670"/>
      <c r="BP344" s="670"/>
      <c r="BQ344" s="949"/>
      <c r="BR344" s="670"/>
      <c r="BS344" s="670"/>
      <c r="BT344" s="670"/>
      <c r="BU344" s="670"/>
      <c r="BV344" s="949"/>
      <c r="BW344" s="670"/>
      <c r="BX344" s="670"/>
      <c r="BY344" s="670"/>
      <c r="BZ344" s="670"/>
      <c r="CA344" s="949"/>
      <c r="CB344" s="670"/>
      <c r="CC344" s="670"/>
      <c r="CD344" s="670"/>
      <c r="CE344" s="670"/>
      <c r="CF344" s="949"/>
      <c r="CG344" s="950"/>
      <c r="CH344" s="950"/>
      <c r="CI344" s="950"/>
      <c r="CJ344" s="950"/>
      <c r="CK344" s="949"/>
      <c r="CL344" s="950"/>
      <c r="CM344" s="950"/>
      <c r="CN344" s="950"/>
      <c r="CO344" s="950"/>
      <c r="CP344" s="949"/>
      <c r="CQ344" s="950"/>
      <c r="CR344" s="950"/>
      <c r="CS344" s="950"/>
      <c r="CT344" s="950"/>
      <c r="CU344" s="949"/>
      <c r="CV344" s="950"/>
      <c r="CW344" s="571"/>
      <c r="CX344" s="571"/>
      <c r="CY344" s="571"/>
      <c r="CZ344" s="572"/>
      <c r="DA344" s="571"/>
      <c r="DB344" s="571"/>
      <c r="DC344" s="571"/>
      <c r="DD344" s="571"/>
      <c r="DE344" s="572"/>
      <c r="DF344" s="571"/>
      <c r="DG344" s="571"/>
      <c r="DH344" s="571"/>
      <c r="DI344" s="571"/>
      <c r="DJ344" s="572"/>
      <c r="DK344" s="571"/>
      <c r="DL344" s="571"/>
      <c r="DM344" s="571"/>
      <c r="DN344" s="571"/>
      <c r="DO344" s="572"/>
      <c r="DP344" s="571"/>
      <c r="DQ344" s="571"/>
      <c r="DR344" s="571"/>
      <c r="DS344" s="571"/>
      <c r="DT344" s="572"/>
      <c r="DU344" s="571"/>
      <c r="DV344" s="571"/>
      <c r="DW344" s="571"/>
      <c r="DX344" s="571"/>
      <c r="DY344" s="572"/>
    </row>
    <row r="345" spans="1:129" outlineLevel="1" x14ac:dyDescent="0.2">
      <c r="A345" s="526"/>
      <c r="B345" s="2482" t="s">
        <v>208</v>
      </c>
      <c r="C345" s="670"/>
      <c r="D345" s="670"/>
      <c r="E345" s="670"/>
      <c r="F345" s="670"/>
      <c r="G345" s="670"/>
      <c r="H345" s="670"/>
      <c r="I345" s="949"/>
      <c r="J345" s="670"/>
      <c r="K345" s="670"/>
      <c r="L345" s="670"/>
      <c r="M345" s="670"/>
      <c r="N345" s="949"/>
      <c r="O345" s="670"/>
      <c r="P345" s="670"/>
      <c r="Q345" s="670"/>
      <c r="R345" s="670"/>
      <c r="S345" s="949"/>
      <c r="T345" s="670"/>
      <c r="U345" s="670"/>
      <c r="V345" s="670"/>
      <c r="W345" s="670"/>
      <c r="X345" s="949"/>
      <c r="Y345" s="670"/>
      <c r="Z345" s="670"/>
      <c r="AA345" s="670"/>
      <c r="AB345" s="670"/>
      <c r="AC345" s="949"/>
      <c r="AD345" s="670"/>
      <c r="AE345" s="670"/>
      <c r="AF345" s="670"/>
      <c r="AG345" s="670"/>
      <c r="AH345" s="949"/>
      <c r="AI345" s="670"/>
      <c r="AJ345" s="670"/>
      <c r="AK345" s="670"/>
      <c r="AL345" s="670"/>
      <c r="AM345" s="949"/>
      <c r="AN345" s="670"/>
      <c r="AO345" s="670"/>
      <c r="AP345" s="670"/>
      <c r="AQ345" s="670"/>
      <c r="AR345" s="949"/>
      <c r="AS345" s="670"/>
      <c r="AT345" s="670"/>
      <c r="AU345" s="670"/>
      <c r="AV345" s="670"/>
      <c r="AW345" s="949"/>
      <c r="AX345" s="670"/>
      <c r="AY345" s="670"/>
      <c r="AZ345" s="670"/>
      <c r="BA345" s="670"/>
      <c r="BB345" s="949"/>
      <c r="BC345" s="670"/>
      <c r="BD345" s="670"/>
      <c r="BE345" s="670"/>
      <c r="BF345" s="670"/>
      <c r="BG345" s="949"/>
      <c r="BH345" s="670"/>
      <c r="BI345" s="670"/>
      <c r="BJ345" s="670"/>
      <c r="BK345" s="670"/>
      <c r="BL345" s="949"/>
      <c r="BM345" s="670"/>
      <c r="BN345" s="670"/>
      <c r="BO345" s="670"/>
      <c r="BP345" s="670"/>
      <c r="BQ345" s="949"/>
      <c r="BR345" s="670"/>
      <c r="BS345" s="670"/>
      <c r="BT345" s="670"/>
      <c r="BU345" s="670"/>
      <c r="BV345" s="949"/>
      <c r="BW345" s="670"/>
      <c r="BX345" s="670"/>
      <c r="BY345" s="670"/>
      <c r="BZ345" s="670"/>
      <c r="CA345" s="949"/>
      <c r="CB345" s="670"/>
      <c r="CC345" s="670"/>
      <c r="CD345" s="670"/>
      <c r="CE345" s="670"/>
      <c r="CF345" s="949"/>
      <c r="CG345" s="950"/>
      <c r="CH345" s="950"/>
      <c r="CI345" s="950"/>
      <c r="CJ345" s="950"/>
      <c r="CK345" s="949"/>
      <c r="CL345" s="950"/>
      <c r="CM345" s="950"/>
      <c r="CN345" s="950"/>
      <c r="CO345" s="950"/>
      <c r="CP345" s="949"/>
      <c r="CQ345" s="950"/>
      <c r="CR345" s="950"/>
      <c r="CS345" s="950"/>
      <c r="CT345" s="950"/>
      <c r="CU345" s="949"/>
      <c r="CV345" s="950"/>
      <c r="CW345" s="571"/>
      <c r="CX345" s="571"/>
      <c r="CY345" s="2486">
        <v>80.876153033863147</v>
      </c>
      <c r="CZ345" s="2491">
        <f>SUM(CV345:CY345)</f>
        <v>80.876153033863147</v>
      </c>
      <c r="DA345" s="2486">
        <v>67.650283983443146</v>
      </c>
      <c r="DB345" s="2486">
        <v>74.211647960456887</v>
      </c>
      <c r="DC345" s="2486">
        <v>69.802108861238793</v>
      </c>
      <c r="DD345" s="2486">
        <v>87.433048961147449</v>
      </c>
      <c r="DE345" s="2487">
        <v>299.09708976628627</v>
      </c>
      <c r="DF345" s="2486">
        <v>66.593184736042062</v>
      </c>
      <c r="DG345" s="2486">
        <v>75.992114171921514</v>
      </c>
      <c r="DH345" s="2486">
        <v>71.146831439225338</v>
      </c>
      <c r="DI345" s="2486">
        <v>89.896904912896389</v>
      </c>
      <c r="DJ345" s="2487">
        <v>303.62903526008529</v>
      </c>
      <c r="DK345" s="2486">
        <v>70.834213470951951</v>
      </c>
      <c r="DL345" s="2486">
        <v>83.301052645204905</v>
      </c>
      <c r="DM345" s="2486">
        <v>77.955651776640593</v>
      </c>
      <c r="DN345" s="2486">
        <v>97.982528278883919</v>
      </c>
      <c r="DO345" s="2487">
        <v>330.07344617168138</v>
      </c>
      <c r="DP345" s="2486">
        <v>0</v>
      </c>
      <c r="DQ345" s="2486">
        <v>0</v>
      </c>
      <c r="DR345" s="2486">
        <v>0</v>
      </c>
      <c r="DS345" s="2486">
        <v>0</v>
      </c>
      <c r="DT345" s="2487">
        <v>0</v>
      </c>
      <c r="DU345" s="2486">
        <v>0</v>
      </c>
      <c r="DV345" s="2486">
        <v>0</v>
      </c>
      <c r="DW345" s="2486">
        <v>0</v>
      </c>
      <c r="DX345" s="2486">
        <v>0</v>
      </c>
      <c r="DY345" s="2487">
        <v>0</v>
      </c>
    </row>
    <row r="346" spans="1:129" outlineLevel="1" x14ac:dyDescent="0.2">
      <c r="A346" s="526"/>
      <c r="B346" s="2482" t="s">
        <v>1145</v>
      </c>
      <c r="C346" s="670"/>
      <c r="D346" s="670"/>
      <c r="E346" s="670"/>
      <c r="F346" s="670"/>
      <c r="G346" s="670"/>
      <c r="H346" s="670"/>
      <c r="I346" s="949"/>
      <c r="J346" s="670"/>
      <c r="K346" s="670"/>
      <c r="L346" s="670"/>
      <c r="M346" s="670"/>
      <c r="N346" s="949"/>
      <c r="O346" s="670"/>
      <c r="P346" s="670"/>
      <c r="Q346" s="670"/>
      <c r="R346" s="670"/>
      <c r="S346" s="949"/>
      <c r="T346" s="670"/>
      <c r="U346" s="670"/>
      <c r="V346" s="670"/>
      <c r="W346" s="670"/>
      <c r="X346" s="949"/>
      <c r="Y346" s="670"/>
      <c r="Z346" s="670"/>
      <c r="AA346" s="670"/>
      <c r="AB346" s="670"/>
      <c r="AC346" s="949"/>
      <c r="AD346" s="670"/>
      <c r="AE346" s="670"/>
      <c r="AF346" s="670"/>
      <c r="AG346" s="670"/>
      <c r="AH346" s="949"/>
      <c r="AI346" s="670"/>
      <c r="AJ346" s="670"/>
      <c r="AK346" s="670"/>
      <c r="AL346" s="670"/>
      <c r="AM346" s="949"/>
      <c r="AN346" s="670"/>
      <c r="AO346" s="670"/>
      <c r="AP346" s="670"/>
      <c r="AQ346" s="670"/>
      <c r="AR346" s="949"/>
      <c r="AS346" s="670"/>
      <c r="AT346" s="670"/>
      <c r="AU346" s="670"/>
      <c r="AV346" s="670"/>
      <c r="AW346" s="949"/>
      <c r="AX346" s="670"/>
      <c r="AY346" s="670"/>
      <c r="AZ346" s="670"/>
      <c r="BA346" s="670"/>
      <c r="BB346" s="949"/>
      <c r="BC346" s="670"/>
      <c r="BD346" s="670"/>
      <c r="BE346" s="670"/>
      <c r="BF346" s="670"/>
      <c r="BG346" s="949"/>
      <c r="BH346" s="670"/>
      <c r="BI346" s="670"/>
      <c r="BJ346" s="670"/>
      <c r="BK346" s="670"/>
      <c r="BL346" s="949"/>
      <c r="BM346" s="670"/>
      <c r="BN346" s="670"/>
      <c r="BO346" s="670"/>
      <c r="BP346" s="670"/>
      <c r="BQ346" s="949"/>
      <c r="BR346" s="670"/>
      <c r="BS346" s="670"/>
      <c r="BT346" s="670"/>
      <c r="BU346" s="670"/>
      <c r="BV346" s="949"/>
      <c r="BW346" s="670"/>
      <c r="BX346" s="670"/>
      <c r="BY346" s="670"/>
      <c r="BZ346" s="670"/>
      <c r="CA346" s="949"/>
      <c r="CB346" s="670"/>
      <c r="CC346" s="670"/>
      <c r="CD346" s="670"/>
      <c r="CE346" s="670"/>
      <c r="CF346" s="949"/>
      <c r="CG346" s="950"/>
      <c r="CH346" s="950"/>
      <c r="CI346" s="950"/>
      <c r="CJ346" s="950"/>
      <c r="CK346" s="949"/>
      <c r="CL346" s="950"/>
      <c r="CM346" s="950"/>
      <c r="CN346" s="950"/>
      <c r="CO346" s="950"/>
      <c r="CP346" s="949"/>
      <c r="CQ346" s="950"/>
      <c r="CR346" s="950"/>
      <c r="CS346" s="950"/>
      <c r="CT346" s="950"/>
      <c r="CU346" s="949"/>
      <c r="CV346" s="950"/>
      <c r="CW346" s="571"/>
      <c r="CX346" s="571"/>
      <c r="CY346" s="571">
        <v>3.1099365304683948</v>
      </c>
      <c r="CZ346" s="572"/>
      <c r="DA346" s="571">
        <v>3.5755761448660994E-2</v>
      </c>
      <c r="DB346" s="571">
        <v>9.7147535334795698E-2</v>
      </c>
      <c r="DC346" s="571">
        <v>8.7171388654435189E-2</v>
      </c>
      <c r="DD346" s="571">
        <v>8.1073291462551378E-2</v>
      </c>
      <c r="DE346" s="572">
        <v>0</v>
      </c>
      <c r="DF346" s="571">
        <v>-1.5625939540176992E-2</v>
      </c>
      <c r="DG346" s="571">
        <v>2.399173526524212E-2</v>
      </c>
      <c r="DH346" s="571">
        <v>1.9264784401568091E-2</v>
      </c>
      <c r="DI346" s="571">
        <v>2.8179915730078164E-2</v>
      </c>
      <c r="DJ346" s="572">
        <v>0</v>
      </c>
      <c r="DK346" s="571">
        <v>6.3685627166206515E-2</v>
      </c>
      <c r="DL346" s="571">
        <v>9.6180222815593019E-2</v>
      </c>
      <c r="DM346" s="571">
        <v>9.5700963762967328E-2</v>
      </c>
      <c r="DN346" s="571">
        <v>8.9943289747538291E-2</v>
      </c>
      <c r="DO346" s="572">
        <v>0</v>
      </c>
      <c r="DP346" s="571">
        <v>0</v>
      </c>
      <c r="DQ346" s="571">
        <v>0</v>
      </c>
      <c r="DR346" s="571">
        <v>0</v>
      </c>
      <c r="DS346" s="571">
        <v>0</v>
      </c>
      <c r="DT346" s="572">
        <v>0</v>
      </c>
      <c r="DU346" s="571">
        <v>0</v>
      </c>
      <c r="DV346" s="571">
        <v>0</v>
      </c>
      <c r="DW346" s="571">
        <v>0</v>
      </c>
      <c r="DX346" s="571">
        <v>0</v>
      </c>
      <c r="DY346" s="572">
        <v>0</v>
      </c>
    </row>
    <row r="347" spans="1:129" outlineLevel="1" x14ac:dyDescent="0.2">
      <c r="A347" s="526"/>
      <c r="B347" s="802"/>
      <c r="C347" s="538"/>
      <c r="D347" s="538"/>
      <c r="E347" s="538"/>
      <c r="F347" s="538"/>
      <c r="G347" s="538"/>
      <c r="H347" s="538"/>
      <c r="I347" s="539"/>
      <c r="J347" s="538"/>
      <c r="K347" s="538"/>
      <c r="L347" s="538"/>
      <c r="M347" s="538"/>
      <c r="N347" s="539"/>
      <c r="O347" s="538"/>
      <c r="P347" s="538"/>
      <c r="Q347" s="538"/>
      <c r="R347" s="538"/>
      <c r="S347" s="539"/>
      <c r="T347" s="538"/>
      <c r="U347" s="538"/>
      <c r="V347" s="538"/>
      <c r="W347" s="538"/>
      <c r="X347" s="539"/>
      <c r="Y347" s="538"/>
      <c r="Z347" s="538"/>
      <c r="AA347" s="538"/>
      <c r="AB347" s="538"/>
      <c r="AC347" s="539"/>
      <c r="AD347" s="538"/>
      <c r="AE347" s="538"/>
      <c r="AF347" s="538"/>
      <c r="AG347" s="538"/>
      <c r="AH347" s="539"/>
      <c r="AI347" s="538"/>
      <c r="AJ347" s="538"/>
      <c r="AK347" s="538"/>
      <c r="AL347" s="538"/>
      <c r="AM347" s="539"/>
      <c r="AN347" s="538"/>
      <c r="AO347" s="538"/>
      <c r="AP347" s="538"/>
      <c r="AQ347" s="538"/>
      <c r="AR347" s="539"/>
      <c r="AS347" s="538"/>
      <c r="AT347" s="538"/>
      <c r="AU347" s="538"/>
      <c r="AV347" s="538"/>
      <c r="AW347" s="539"/>
      <c r="AX347" s="538"/>
      <c r="AY347" s="538"/>
      <c r="AZ347" s="538"/>
      <c r="BA347" s="538"/>
      <c r="BB347" s="539"/>
      <c r="BC347" s="538"/>
      <c r="BD347" s="538"/>
      <c r="BE347" s="538"/>
      <c r="BF347" s="538"/>
      <c r="BG347" s="539"/>
      <c r="BH347" s="538"/>
      <c r="BI347" s="538"/>
      <c r="BJ347" s="823"/>
      <c r="BK347" s="823"/>
      <c r="BL347" s="539"/>
      <c r="BM347" s="823"/>
      <c r="BN347" s="823"/>
      <c r="BO347" s="823"/>
      <c r="BP347" s="823"/>
      <c r="BQ347" s="806"/>
      <c r="BR347" s="823"/>
      <c r="BS347" s="823"/>
      <c r="BT347" s="823"/>
      <c r="BU347" s="823"/>
      <c r="BV347" s="806"/>
      <c r="BW347" s="823"/>
      <c r="BX347" s="823"/>
      <c r="BY347" s="823"/>
      <c r="BZ347" s="823"/>
      <c r="CA347" s="806"/>
      <c r="CB347" s="717"/>
      <c r="CC347" s="717"/>
      <c r="CD347" s="717"/>
      <c r="CE347" s="717"/>
      <c r="CF347" s="539"/>
      <c r="CG347" s="717"/>
      <c r="CH347" s="717"/>
      <c r="CI347" s="717"/>
      <c r="CJ347" s="717"/>
      <c r="CK347" s="539"/>
      <c r="CL347" s="717"/>
      <c r="CM347" s="717"/>
      <c r="CN347" s="717"/>
      <c r="CO347" s="717"/>
      <c r="CP347" s="539"/>
      <c r="CQ347" s="717"/>
      <c r="CR347" s="717"/>
      <c r="CS347" s="717"/>
      <c r="CT347" s="717"/>
      <c r="CU347" s="539"/>
      <c r="CV347" s="717"/>
      <c r="CW347" s="717"/>
      <c r="CX347" s="717"/>
      <c r="CY347" s="717"/>
      <c r="CZ347" s="539"/>
      <c r="DA347" s="717"/>
      <c r="DB347" s="717"/>
      <c r="DC347" s="717"/>
      <c r="DD347" s="717"/>
      <c r="DE347" s="539"/>
      <c r="DF347" s="717"/>
      <c r="DG347" s="717"/>
      <c r="DH347" s="717"/>
      <c r="DI347" s="2483"/>
      <c r="DJ347" s="539"/>
      <c r="DK347" s="717"/>
      <c r="DL347" s="717"/>
      <c r="DM347" s="717"/>
      <c r="DN347" s="717"/>
      <c r="DO347" s="539"/>
      <c r="DP347" s="717"/>
      <c r="DQ347" s="717"/>
      <c r="DR347" s="717"/>
      <c r="DS347" s="717"/>
      <c r="DT347" s="539"/>
      <c r="DU347" s="717"/>
      <c r="DV347" s="717"/>
      <c r="DW347" s="717"/>
      <c r="DX347" s="717"/>
      <c r="DY347" s="539"/>
    </row>
    <row r="348" spans="1:129" outlineLevel="1" x14ac:dyDescent="0.2">
      <c r="A348" s="526"/>
      <c r="B348" s="802" t="s">
        <v>513</v>
      </c>
      <c r="C348" s="538"/>
      <c r="D348" s="538"/>
      <c r="E348" s="538"/>
      <c r="F348" s="538"/>
      <c r="G348" s="538"/>
      <c r="H348" s="538"/>
      <c r="I348" s="539"/>
      <c r="J348" s="538"/>
      <c r="K348" s="538"/>
      <c r="L348" s="538"/>
      <c r="M348" s="538"/>
      <c r="N348" s="539"/>
      <c r="O348" s="538"/>
      <c r="P348" s="538"/>
      <c r="Q348" s="538"/>
      <c r="R348" s="538"/>
      <c r="S348" s="539"/>
      <c r="T348" s="538"/>
      <c r="U348" s="538"/>
      <c r="V348" s="538"/>
      <c r="W348" s="538"/>
      <c r="X348" s="539"/>
      <c r="Y348" s="538"/>
      <c r="Z348" s="538"/>
      <c r="AA348" s="538"/>
      <c r="AB348" s="538"/>
      <c r="AC348" s="539"/>
      <c r="AD348" s="538"/>
      <c r="AE348" s="538"/>
      <c r="AF348" s="538"/>
      <c r="AG348" s="538"/>
      <c r="AH348" s="539"/>
      <c r="AI348" s="538"/>
      <c r="AJ348" s="538"/>
      <c r="AK348" s="538"/>
      <c r="AL348" s="538"/>
      <c r="AM348" s="539"/>
      <c r="AN348" s="538"/>
      <c r="AO348" s="538"/>
      <c r="AP348" s="538"/>
      <c r="AQ348" s="538"/>
      <c r="AR348" s="539"/>
      <c r="AS348" s="538"/>
      <c r="AT348" s="538"/>
      <c r="AU348" s="538"/>
      <c r="AV348" s="538"/>
      <c r="AW348" s="539"/>
      <c r="AX348" s="538"/>
      <c r="AY348" s="538"/>
      <c r="AZ348" s="538"/>
      <c r="BA348" s="538"/>
      <c r="BB348" s="539"/>
      <c r="BC348" s="538"/>
      <c r="BD348" s="538"/>
      <c r="BE348" s="538"/>
      <c r="BF348" s="538"/>
      <c r="BG348" s="539"/>
      <c r="BH348" s="538"/>
      <c r="BI348" s="538"/>
      <c r="BJ348" s="823"/>
      <c r="BK348" s="823"/>
      <c r="BL348" s="539"/>
      <c r="BM348" s="823"/>
      <c r="BN348" s="823"/>
      <c r="BO348" s="823"/>
      <c r="BP348" s="823"/>
      <c r="BQ348" s="806"/>
      <c r="BR348" s="823"/>
      <c r="BS348" s="823"/>
      <c r="BT348" s="823"/>
      <c r="BU348" s="823"/>
      <c r="BV348" s="806"/>
      <c r="BW348" s="823"/>
      <c r="BX348" s="823"/>
      <c r="BY348" s="823"/>
      <c r="BZ348" s="823"/>
      <c r="CA348" s="806"/>
      <c r="CB348" s="717"/>
      <c r="CC348" s="717"/>
      <c r="CD348" s="717"/>
      <c r="CE348" s="717"/>
      <c r="CF348" s="539"/>
      <c r="CG348" s="717"/>
      <c r="CH348" s="717"/>
      <c r="CI348" s="717"/>
      <c r="CJ348" s="717"/>
      <c r="CK348" s="539"/>
      <c r="CL348" s="717"/>
      <c r="CM348" s="717"/>
      <c r="CN348" s="717"/>
      <c r="CO348" s="717"/>
      <c r="CP348" s="539"/>
      <c r="CQ348" s="775"/>
      <c r="CR348" s="775"/>
      <c r="CS348" s="775"/>
      <c r="CT348" s="775"/>
      <c r="CU348" s="772"/>
      <c r="CV348" s="775"/>
      <c r="CW348" s="775"/>
      <c r="CX348" s="775"/>
      <c r="CY348" s="2490">
        <v>46.81044367863683</v>
      </c>
      <c r="CZ348" s="2491">
        <f>SUM(CV348:CY348)</f>
        <v>46.81044367863683</v>
      </c>
      <c r="DA348" s="2490">
        <v>65.938953461156828</v>
      </c>
      <c r="DB348" s="2490">
        <v>60.842312632598677</v>
      </c>
      <c r="DC348" s="2490">
        <v>65.17350883143007</v>
      </c>
      <c r="DD348" s="2490">
        <v>49.562984603449912</v>
      </c>
      <c r="DE348" s="2491">
        <v>241.51775952863548</v>
      </c>
      <c r="DF348" s="2490">
        <v>89.775649099922177</v>
      </c>
      <c r="DG348" s="2490">
        <v>82.092116419553861</v>
      </c>
      <c r="DH348" s="2490">
        <v>86.920301820006131</v>
      </c>
      <c r="DI348" s="2838">
        <v>70.495358932829959</v>
      </c>
      <c r="DJ348" s="2491">
        <v>329.28342627231211</v>
      </c>
      <c r="DK348" s="2490">
        <v>96.848967464716665</v>
      </c>
      <c r="DL348" s="2490">
        <v>86.407336010441284</v>
      </c>
      <c r="DM348" s="2490">
        <v>91.808876668789253</v>
      </c>
      <c r="DN348" s="2490">
        <v>74.485083322338639</v>
      </c>
      <c r="DO348" s="2491">
        <v>349.55026346628586</v>
      </c>
      <c r="DP348" s="2490">
        <v>0</v>
      </c>
      <c r="DQ348" s="2490">
        <v>0</v>
      </c>
      <c r="DR348" s="2490">
        <v>0</v>
      </c>
      <c r="DS348" s="2490">
        <v>0</v>
      </c>
      <c r="DT348" s="2491">
        <v>0</v>
      </c>
      <c r="DU348" s="2490">
        <v>0</v>
      </c>
      <c r="DV348" s="2490">
        <v>0</v>
      </c>
      <c r="DW348" s="2490">
        <v>0</v>
      </c>
      <c r="DX348" s="2490">
        <v>0</v>
      </c>
      <c r="DY348" s="2491">
        <v>0</v>
      </c>
    </row>
    <row r="349" spans="1:129" outlineLevel="1" x14ac:dyDescent="0.2">
      <c r="A349" s="526"/>
      <c r="B349" s="802" t="s">
        <v>1145</v>
      </c>
      <c r="C349" s="538"/>
      <c r="D349" s="538"/>
      <c r="E349" s="538"/>
      <c r="F349" s="538"/>
      <c r="G349" s="538"/>
      <c r="H349" s="538"/>
      <c r="I349" s="539"/>
      <c r="J349" s="538"/>
      <c r="K349" s="538"/>
      <c r="L349" s="538"/>
      <c r="M349" s="538"/>
      <c r="N349" s="539"/>
      <c r="O349" s="538"/>
      <c r="P349" s="538"/>
      <c r="Q349" s="538"/>
      <c r="R349" s="538"/>
      <c r="S349" s="539"/>
      <c r="T349" s="538"/>
      <c r="U349" s="538"/>
      <c r="V349" s="538"/>
      <c r="W349" s="538"/>
      <c r="X349" s="539"/>
      <c r="Y349" s="538"/>
      <c r="Z349" s="538"/>
      <c r="AA349" s="538"/>
      <c r="AB349" s="538"/>
      <c r="AC349" s="539"/>
      <c r="AD349" s="538"/>
      <c r="AE349" s="538"/>
      <c r="AF349" s="538"/>
      <c r="AG349" s="538"/>
      <c r="AH349" s="539"/>
      <c r="AI349" s="538"/>
      <c r="AJ349" s="538"/>
      <c r="AK349" s="538"/>
      <c r="AL349" s="538"/>
      <c r="AM349" s="539"/>
      <c r="AN349" s="538"/>
      <c r="AO349" s="538"/>
      <c r="AP349" s="538"/>
      <c r="AQ349" s="538"/>
      <c r="AR349" s="539"/>
      <c r="AS349" s="538"/>
      <c r="AT349" s="538"/>
      <c r="AU349" s="538"/>
      <c r="AV349" s="538"/>
      <c r="AW349" s="539"/>
      <c r="AX349" s="538"/>
      <c r="AY349" s="538"/>
      <c r="AZ349" s="538"/>
      <c r="BA349" s="538"/>
      <c r="BB349" s="539"/>
      <c r="BC349" s="538"/>
      <c r="BD349" s="538"/>
      <c r="BE349" s="538"/>
      <c r="BF349" s="538"/>
      <c r="BG349" s="539"/>
      <c r="BH349" s="538"/>
      <c r="BI349" s="538"/>
      <c r="BJ349" s="823"/>
      <c r="BK349" s="823"/>
      <c r="BL349" s="539"/>
      <c r="BM349" s="823"/>
      <c r="BN349" s="823"/>
      <c r="BO349" s="823"/>
      <c r="BP349" s="823"/>
      <c r="BQ349" s="806"/>
      <c r="BR349" s="823"/>
      <c r="BS349" s="823"/>
      <c r="BT349" s="823"/>
      <c r="BU349" s="823"/>
      <c r="BV349" s="806"/>
      <c r="BW349" s="823"/>
      <c r="BX349" s="823"/>
      <c r="BY349" s="823"/>
      <c r="BZ349" s="823"/>
      <c r="CA349" s="806"/>
      <c r="CB349" s="717"/>
      <c r="CC349" s="717"/>
      <c r="CD349" s="717"/>
      <c r="CE349" s="717"/>
      <c r="CF349" s="539"/>
      <c r="CG349" s="717"/>
      <c r="CH349" s="717"/>
      <c r="CI349" s="717"/>
      <c r="CJ349" s="717"/>
      <c r="CK349" s="539"/>
      <c r="CL349" s="717"/>
      <c r="CM349" s="717"/>
      <c r="CN349" s="717"/>
      <c r="CO349" s="717"/>
      <c r="CP349" s="539"/>
      <c r="CQ349" s="717"/>
      <c r="CR349" s="717"/>
      <c r="CS349" s="717"/>
      <c r="CT349" s="717"/>
      <c r="CU349" s="539"/>
      <c r="CV349" s="717"/>
      <c r="CW349" s="717"/>
      <c r="CX349" s="717"/>
      <c r="CY349" s="2492">
        <v>1.9698666192082639</v>
      </c>
      <c r="CZ349" s="2493"/>
      <c r="DA349" s="2492">
        <v>0.1568815890120252</v>
      </c>
      <c r="DB349" s="2492">
        <v>5.1086085785198465E-2</v>
      </c>
      <c r="DC349" s="2492">
        <v>5.515889622287351E-2</v>
      </c>
      <c r="DD349" s="2492">
        <v>5.8801855066998199E-2</v>
      </c>
      <c r="DE349" s="2493">
        <v>0</v>
      </c>
      <c r="DF349" s="2492">
        <v>0.36149642036413288</v>
      </c>
      <c r="DG349" s="2492">
        <v>0.34926029053619101</v>
      </c>
      <c r="DH349" s="2492">
        <v>0.33367534414670974</v>
      </c>
      <c r="DI349" s="2494">
        <v>0.42233885826002115</v>
      </c>
      <c r="DJ349" s="2493">
        <v>0</v>
      </c>
      <c r="DK349" s="2492">
        <v>7.8788830108281749E-2</v>
      </c>
      <c r="DL349" s="2492">
        <v>5.256557851223298E-2</v>
      </c>
      <c r="DM349" s="2492">
        <v>5.6242037204453643E-2</v>
      </c>
      <c r="DN349" s="2492">
        <v>5.6595561039843867E-2</v>
      </c>
      <c r="DO349" s="2493">
        <v>0</v>
      </c>
      <c r="DP349" s="2492">
        <v>0</v>
      </c>
      <c r="DQ349" s="2492">
        <v>0</v>
      </c>
      <c r="DR349" s="2492">
        <v>0</v>
      </c>
      <c r="DS349" s="2492">
        <v>0</v>
      </c>
      <c r="DT349" s="2493">
        <v>0</v>
      </c>
      <c r="DU349" s="2492">
        <v>0</v>
      </c>
      <c r="DV349" s="2492">
        <v>0</v>
      </c>
      <c r="DW349" s="2492">
        <v>0</v>
      </c>
      <c r="DX349" s="2492">
        <v>0</v>
      </c>
      <c r="DY349" s="2493">
        <v>0</v>
      </c>
    </row>
    <row r="350" spans="1:129" outlineLevel="1" x14ac:dyDescent="0.2">
      <c r="A350" s="526"/>
      <c r="B350" s="802"/>
      <c r="C350" s="538"/>
      <c r="D350" s="538"/>
      <c r="E350" s="538"/>
      <c r="F350" s="538"/>
      <c r="G350" s="538"/>
      <c r="H350" s="538"/>
      <c r="I350" s="539"/>
      <c r="J350" s="538"/>
      <c r="K350" s="538"/>
      <c r="L350" s="538"/>
      <c r="M350" s="538"/>
      <c r="N350" s="539"/>
      <c r="O350" s="538"/>
      <c r="P350" s="538"/>
      <c r="Q350" s="538"/>
      <c r="R350" s="538"/>
      <c r="S350" s="539"/>
      <c r="T350" s="538"/>
      <c r="U350" s="538"/>
      <c r="V350" s="538"/>
      <c r="W350" s="538"/>
      <c r="X350" s="539"/>
      <c r="Y350" s="538"/>
      <c r="Z350" s="538"/>
      <c r="AA350" s="538"/>
      <c r="AB350" s="538"/>
      <c r="AC350" s="539"/>
      <c r="AD350" s="538"/>
      <c r="AE350" s="538"/>
      <c r="AF350" s="538"/>
      <c r="AG350" s="538"/>
      <c r="AH350" s="539"/>
      <c r="AI350" s="538"/>
      <c r="AJ350" s="538"/>
      <c r="AK350" s="538"/>
      <c r="AL350" s="538"/>
      <c r="AM350" s="539"/>
      <c r="AN350" s="538"/>
      <c r="AO350" s="538"/>
      <c r="AP350" s="538"/>
      <c r="AQ350" s="538"/>
      <c r="AR350" s="539"/>
      <c r="AS350" s="538"/>
      <c r="AT350" s="538"/>
      <c r="AU350" s="538"/>
      <c r="AV350" s="538"/>
      <c r="AW350" s="539"/>
      <c r="AX350" s="538"/>
      <c r="AY350" s="538"/>
      <c r="AZ350" s="538"/>
      <c r="BA350" s="538"/>
      <c r="BB350" s="539"/>
      <c r="BC350" s="538"/>
      <c r="BD350" s="538"/>
      <c r="BE350" s="538"/>
      <c r="BF350" s="538"/>
      <c r="BG350" s="539"/>
      <c r="BH350" s="538"/>
      <c r="BI350" s="538"/>
      <c r="BJ350" s="823"/>
      <c r="BK350" s="823"/>
      <c r="BL350" s="539"/>
      <c r="BM350" s="823"/>
      <c r="BN350" s="823"/>
      <c r="BO350" s="823"/>
      <c r="BP350" s="823"/>
      <c r="BQ350" s="806"/>
      <c r="BR350" s="823"/>
      <c r="BS350" s="823"/>
      <c r="BT350" s="823"/>
      <c r="BU350" s="823"/>
      <c r="BV350" s="806"/>
      <c r="BW350" s="823"/>
      <c r="BX350" s="823"/>
      <c r="BY350" s="823"/>
      <c r="BZ350" s="823"/>
      <c r="CA350" s="806"/>
      <c r="CB350" s="717"/>
      <c r="CC350" s="717"/>
      <c r="CD350" s="717"/>
      <c r="CE350" s="717"/>
      <c r="CF350" s="539"/>
      <c r="CG350" s="717"/>
      <c r="CH350" s="717"/>
      <c r="CI350" s="717"/>
      <c r="CJ350" s="717"/>
      <c r="CK350" s="539"/>
      <c r="CL350" s="717"/>
      <c r="CM350" s="717"/>
      <c r="CN350" s="717"/>
      <c r="CO350" s="717"/>
      <c r="CP350" s="539"/>
      <c r="CQ350" s="717"/>
      <c r="CR350" s="717"/>
      <c r="CS350" s="717"/>
      <c r="CT350" s="717"/>
      <c r="CU350" s="539"/>
      <c r="CV350" s="717"/>
      <c r="CW350" s="717"/>
      <c r="CX350" s="717"/>
      <c r="CY350" s="717"/>
      <c r="CZ350" s="539"/>
      <c r="DA350" s="717"/>
      <c r="DB350" s="717"/>
      <c r="DC350" s="717"/>
      <c r="DD350" s="717"/>
      <c r="DE350" s="539"/>
      <c r="DF350" s="717"/>
      <c r="DG350" s="717"/>
      <c r="DH350" s="717"/>
      <c r="DI350" s="2483"/>
      <c r="DJ350" s="539"/>
      <c r="DK350" s="717"/>
      <c r="DL350" s="717"/>
      <c r="DM350" s="717"/>
      <c r="DN350" s="717"/>
      <c r="DO350" s="539"/>
      <c r="DP350" s="717"/>
      <c r="DQ350" s="717"/>
      <c r="DR350" s="717"/>
      <c r="DS350" s="717"/>
      <c r="DT350" s="539"/>
      <c r="DU350" s="717"/>
      <c r="DV350" s="717"/>
      <c r="DW350" s="717"/>
      <c r="DX350" s="717"/>
      <c r="DY350" s="539"/>
    </row>
    <row r="351" spans="1:129" outlineLevel="1" x14ac:dyDescent="0.2">
      <c r="A351" s="526"/>
      <c r="B351" s="802" t="s">
        <v>1147</v>
      </c>
      <c r="C351" s="538"/>
      <c r="D351" s="538"/>
      <c r="E351" s="538"/>
      <c r="F351" s="538"/>
      <c r="G351" s="538"/>
      <c r="H351" s="538"/>
      <c r="I351" s="539"/>
      <c r="J351" s="538"/>
      <c r="K351" s="538"/>
      <c r="L351" s="538"/>
      <c r="M351" s="538"/>
      <c r="N351" s="539"/>
      <c r="O351" s="538"/>
      <c r="P351" s="538"/>
      <c r="Q351" s="538"/>
      <c r="R351" s="538"/>
      <c r="S351" s="539"/>
      <c r="T351" s="538"/>
      <c r="U351" s="538"/>
      <c r="V351" s="538"/>
      <c r="W351" s="538"/>
      <c r="X351" s="539"/>
      <c r="Y351" s="538"/>
      <c r="Z351" s="538"/>
      <c r="AA351" s="538"/>
      <c r="AB351" s="538"/>
      <c r="AC351" s="539"/>
      <c r="AD351" s="538"/>
      <c r="AE351" s="538"/>
      <c r="AF351" s="538"/>
      <c r="AG351" s="538"/>
      <c r="AH351" s="539"/>
      <c r="AI351" s="538"/>
      <c r="AJ351" s="538"/>
      <c r="AK351" s="538"/>
      <c r="AL351" s="538"/>
      <c r="AM351" s="539"/>
      <c r="AN351" s="538"/>
      <c r="AO351" s="538"/>
      <c r="AP351" s="538"/>
      <c r="AQ351" s="538"/>
      <c r="AR351" s="539"/>
      <c r="AS351" s="538"/>
      <c r="AT351" s="538"/>
      <c r="AU351" s="538"/>
      <c r="AV351" s="538"/>
      <c r="AW351" s="539"/>
      <c r="AX351" s="538"/>
      <c r="AY351" s="538"/>
      <c r="AZ351" s="538"/>
      <c r="BA351" s="538"/>
      <c r="BB351" s="539"/>
      <c r="BC351" s="538"/>
      <c r="BD351" s="538"/>
      <c r="BE351" s="538"/>
      <c r="BF351" s="538"/>
      <c r="BG351" s="539"/>
      <c r="BH351" s="538"/>
      <c r="BI351" s="538"/>
      <c r="BJ351" s="823"/>
      <c r="BK351" s="823"/>
      <c r="BL351" s="539"/>
      <c r="BM351" s="823"/>
      <c r="BN351" s="823"/>
      <c r="BO351" s="823"/>
      <c r="BP351" s="823"/>
      <c r="BQ351" s="806"/>
      <c r="BR351" s="823"/>
      <c r="BS351" s="823"/>
      <c r="BT351" s="823"/>
      <c r="BU351" s="823"/>
      <c r="BV351" s="806"/>
      <c r="BW351" s="823"/>
      <c r="BX351" s="823"/>
      <c r="BY351" s="823"/>
      <c r="BZ351" s="823"/>
      <c r="CA351" s="806"/>
      <c r="CB351" s="717"/>
      <c r="CC351" s="717"/>
      <c r="CD351" s="717"/>
      <c r="CE351" s="717"/>
      <c r="CF351" s="539"/>
      <c r="CG351" s="717"/>
      <c r="CH351" s="717"/>
      <c r="CI351" s="717"/>
      <c r="CJ351" s="717"/>
      <c r="CK351" s="539"/>
      <c r="CL351" s="717"/>
      <c r="CM351" s="717"/>
      <c r="CN351" s="717"/>
      <c r="CO351" s="717"/>
      <c r="CP351" s="539"/>
      <c r="CQ351" s="823"/>
      <c r="CR351" s="823"/>
      <c r="CS351" s="823"/>
      <c r="CT351" s="823"/>
      <c r="CU351" s="1709"/>
      <c r="CV351" s="823"/>
      <c r="CW351" s="823"/>
      <c r="CX351" s="823"/>
      <c r="CY351" s="2483">
        <v>0.18812499999999999</v>
      </c>
      <c r="CZ351" s="2485">
        <v>0.18694048926567997</v>
      </c>
      <c r="DA351" s="2483">
        <v>0.18812499999999996</v>
      </c>
      <c r="DB351" s="2483">
        <v>0.18812499999999996</v>
      </c>
      <c r="DC351" s="2483">
        <v>0.18812499999999996</v>
      </c>
      <c r="DD351" s="2483">
        <v>0.18812499999999999</v>
      </c>
      <c r="DE351" s="2485">
        <v>0.18812499999999999</v>
      </c>
      <c r="DF351" s="2483">
        <v>0.2047023960297121</v>
      </c>
      <c r="DG351" s="2483">
        <v>0.20448419896847042</v>
      </c>
      <c r="DH351" s="2483">
        <v>0.20448634809842411</v>
      </c>
      <c r="DI351" s="2483">
        <v>0.20419868775135358</v>
      </c>
      <c r="DJ351" s="2485">
        <v>0.20446613287703505</v>
      </c>
      <c r="DK351" s="2483">
        <v>0.20335311031834527</v>
      </c>
      <c r="DL351" s="2483">
        <v>0.20313228599163935</v>
      </c>
      <c r="DM351" s="2483">
        <v>0.20312624642330948</v>
      </c>
      <c r="DN351" s="2483">
        <v>0.20284050972552087</v>
      </c>
      <c r="DO351" s="2485">
        <v>0.20311105387142672</v>
      </c>
      <c r="DP351" s="2483">
        <v>0</v>
      </c>
      <c r="DQ351" s="2483">
        <v>0</v>
      </c>
      <c r="DR351" s="2483">
        <v>0</v>
      </c>
      <c r="DS351" s="2483">
        <v>0</v>
      </c>
      <c r="DT351" s="2485">
        <v>0</v>
      </c>
      <c r="DU351" s="2483">
        <v>0</v>
      </c>
      <c r="DV351" s="2483">
        <v>0</v>
      </c>
      <c r="DW351" s="2483">
        <v>0</v>
      </c>
      <c r="DX351" s="2483">
        <v>0</v>
      </c>
      <c r="DY351" s="2485">
        <v>0</v>
      </c>
    </row>
    <row r="352" spans="1:129" outlineLevel="1" x14ac:dyDescent="0.2">
      <c r="A352" s="526"/>
      <c r="B352" s="802" t="s">
        <v>1148</v>
      </c>
      <c r="C352" s="538"/>
      <c r="D352" s="538"/>
      <c r="E352" s="538"/>
      <c r="F352" s="538"/>
      <c r="G352" s="538"/>
      <c r="H352" s="538"/>
      <c r="I352" s="539"/>
      <c r="J352" s="538"/>
      <c r="K352" s="538"/>
      <c r="L352" s="538"/>
      <c r="M352" s="538"/>
      <c r="N352" s="539"/>
      <c r="O352" s="538"/>
      <c r="P352" s="538"/>
      <c r="Q352" s="538"/>
      <c r="R352" s="538"/>
      <c r="S352" s="539"/>
      <c r="T352" s="538"/>
      <c r="U352" s="538"/>
      <c r="V352" s="538"/>
      <c r="W352" s="538"/>
      <c r="X352" s="539"/>
      <c r="Y352" s="538"/>
      <c r="Z352" s="538"/>
      <c r="AA352" s="538"/>
      <c r="AB352" s="538"/>
      <c r="AC352" s="539"/>
      <c r="AD352" s="538"/>
      <c r="AE352" s="538"/>
      <c r="AF352" s="538"/>
      <c r="AG352" s="538"/>
      <c r="AH352" s="539"/>
      <c r="AI352" s="538"/>
      <c r="AJ352" s="538"/>
      <c r="AK352" s="538"/>
      <c r="AL352" s="538"/>
      <c r="AM352" s="539"/>
      <c r="AN352" s="538"/>
      <c r="AO352" s="538"/>
      <c r="AP352" s="538"/>
      <c r="AQ352" s="538"/>
      <c r="AR352" s="539"/>
      <c r="AS352" s="538"/>
      <c r="AT352" s="538"/>
      <c r="AU352" s="538"/>
      <c r="AV352" s="538"/>
      <c r="AW352" s="539"/>
      <c r="AX352" s="538"/>
      <c r="AY352" s="538"/>
      <c r="AZ352" s="538"/>
      <c r="BA352" s="538"/>
      <c r="BB352" s="539"/>
      <c r="BC352" s="538"/>
      <c r="BD352" s="538"/>
      <c r="BE352" s="538"/>
      <c r="BF352" s="538"/>
      <c r="BG352" s="539"/>
      <c r="BH352" s="538"/>
      <c r="BI352" s="538"/>
      <c r="BJ352" s="823"/>
      <c r="BK352" s="823"/>
      <c r="BL352" s="539"/>
      <c r="BM352" s="823"/>
      <c r="BN352" s="823"/>
      <c r="BO352" s="823"/>
      <c r="BP352" s="823"/>
      <c r="BQ352" s="806"/>
      <c r="BR352" s="823"/>
      <c r="BS352" s="823"/>
      <c r="BT352" s="823"/>
      <c r="BU352" s="823"/>
      <c r="BV352" s="806"/>
      <c r="BW352" s="823"/>
      <c r="BX352" s="823"/>
      <c r="BY352" s="823"/>
      <c r="BZ352" s="823"/>
      <c r="CA352" s="806"/>
      <c r="CB352" s="717"/>
      <c r="CC352" s="717"/>
      <c r="CD352" s="717"/>
      <c r="CE352" s="717"/>
      <c r="CF352" s="539"/>
      <c r="CG352" s="717"/>
      <c r="CH352" s="717"/>
      <c r="CI352" s="717"/>
      <c r="CJ352" s="717"/>
      <c r="CK352" s="539"/>
      <c r="CL352" s="717"/>
      <c r="CM352" s="717"/>
      <c r="CN352" s="717"/>
      <c r="CO352" s="717"/>
      <c r="CP352" s="539"/>
      <c r="CQ352" s="823"/>
      <c r="CR352" s="823"/>
      <c r="CS352" s="823"/>
      <c r="CT352" s="823"/>
      <c r="CU352" s="539"/>
      <c r="CV352" s="823"/>
      <c r="CW352" s="823"/>
      <c r="CX352" s="823"/>
      <c r="CY352" s="2494">
        <v>6.8967416657456121E-2</v>
      </c>
      <c r="CZ352" s="2495">
        <v>8.3297934214564925E-2</v>
      </c>
      <c r="DA352" s="2494">
        <v>9.2857522485854702E-2</v>
      </c>
      <c r="DB352" s="2494">
        <v>8.475101369664069E-2</v>
      </c>
      <c r="DC352" s="2494">
        <v>9.0836897496774469E-2</v>
      </c>
      <c r="DD352" s="2494">
        <v>6.8060630924233853E-2</v>
      </c>
      <c r="DE352" s="2495">
        <v>8.404417409285421E-2</v>
      </c>
      <c r="DF352" s="2494">
        <v>0.1175252767770532</v>
      </c>
      <c r="DG352" s="2494">
        <v>0.10618731928460988</v>
      </c>
      <c r="DH352" s="2494">
        <v>0.11244598879158718</v>
      </c>
      <c r="DI352" s="2494">
        <v>8.9749090395597003E-2</v>
      </c>
      <c r="DJ352" s="2495">
        <v>0.10637696819460334</v>
      </c>
      <c r="DK352" s="2494">
        <v>0.1174508895595566</v>
      </c>
      <c r="DL352" s="2494">
        <v>0.10342517437876031</v>
      </c>
      <c r="DM352" s="2494">
        <v>0.1098509369232943</v>
      </c>
      <c r="DN352" s="2494">
        <v>8.7602490275014419E-2</v>
      </c>
      <c r="DO352" s="2495">
        <v>0.10446592928827084</v>
      </c>
      <c r="DP352" s="2494">
        <v>0</v>
      </c>
      <c r="DQ352" s="2494">
        <v>0</v>
      </c>
      <c r="DR352" s="2494">
        <v>0</v>
      </c>
      <c r="DS352" s="2494">
        <v>0</v>
      </c>
      <c r="DT352" s="2495">
        <v>0</v>
      </c>
      <c r="DU352" s="2494">
        <v>0</v>
      </c>
      <c r="DV352" s="2494">
        <v>0</v>
      </c>
      <c r="DW352" s="2494">
        <v>0</v>
      </c>
      <c r="DX352" s="2494">
        <v>0</v>
      </c>
      <c r="DY352" s="2495">
        <v>0</v>
      </c>
    </row>
    <row r="353" spans="1:129" ht="12" outlineLevel="1" thickBot="1" x14ac:dyDescent="0.25">
      <c r="A353" s="526"/>
      <c r="B353" s="757"/>
      <c r="C353" s="758"/>
      <c r="D353" s="758"/>
      <c r="E353" s="758"/>
      <c r="F353" s="758"/>
      <c r="G353" s="758"/>
      <c r="H353" s="758"/>
      <c r="I353" s="759"/>
      <c r="J353" s="758"/>
      <c r="K353" s="758"/>
      <c r="L353" s="758"/>
      <c r="M353" s="758"/>
      <c r="N353" s="759"/>
      <c r="O353" s="758"/>
      <c r="P353" s="758"/>
      <c r="Q353" s="758"/>
      <c r="R353" s="758"/>
      <c r="S353" s="759"/>
      <c r="T353" s="758"/>
      <c r="U353" s="758"/>
      <c r="V353" s="758"/>
      <c r="W353" s="758"/>
      <c r="X353" s="759"/>
      <c r="Y353" s="758"/>
      <c r="Z353" s="758"/>
      <c r="AA353" s="758"/>
      <c r="AB353" s="758"/>
      <c r="AC353" s="759"/>
      <c r="AD353" s="758"/>
      <c r="AE353" s="758"/>
      <c r="AF353" s="758"/>
      <c r="AG353" s="758"/>
      <c r="AH353" s="759"/>
      <c r="AI353" s="758"/>
      <c r="AJ353" s="758"/>
      <c r="AK353" s="758"/>
      <c r="AL353" s="758"/>
      <c r="AM353" s="759"/>
      <c r="AN353" s="758"/>
      <c r="AO353" s="758"/>
      <c r="AP353" s="758"/>
      <c r="AQ353" s="758"/>
      <c r="AR353" s="759"/>
      <c r="AS353" s="758"/>
      <c r="AT353" s="758"/>
      <c r="AU353" s="758"/>
      <c r="AV353" s="758"/>
      <c r="AW353" s="759"/>
      <c r="AX353" s="758"/>
      <c r="AY353" s="758"/>
      <c r="AZ353" s="758"/>
      <c r="BA353" s="758"/>
      <c r="BB353" s="759"/>
      <c r="BC353" s="758"/>
      <c r="BD353" s="758"/>
      <c r="BE353" s="758"/>
      <c r="BF353" s="758"/>
      <c r="BG353" s="759"/>
      <c r="BH353" s="758"/>
      <c r="BI353" s="758"/>
      <c r="BJ353" s="758"/>
      <c r="BK353" s="758"/>
      <c r="BL353" s="763"/>
      <c r="BM353" s="758"/>
      <c r="BN353" s="758"/>
      <c r="BO353" s="758"/>
      <c r="BP353" s="758"/>
      <c r="BQ353" s="763"/>
      <c r="BR353" s="758"/>
      <c r="BS353" s="758"/>
      <c r="BT353" s="758"/>
      <c r="BU353" s="758"/>
      <c r="BV353" s="763"/>
      <c r="BW353" s="760"/>
      <c r="BX353" s="760"/>
      <c r="BY353" s="760"/>
      <c r="BZ353" s="760"/>
      <c r="CA353" s="763"/>
      <c r="CB353" s="760"/>
      <c r="CC353" s="760"/>
      <c r="CD353" s="760"/>
      <c r="CE353" s="760"/>
      <c r="CF353" s="763"/>
      <c r="CG353" s="907"/>
      <c r="CH353" s="907"/>
      <c r="CI353" s="907"/>
      <c r="CJ353" s="907"/>
      <c r="CK353" s="763"/>
      <c r="CL353" s="907"/>
      <c r="CM353" s="907"/>
      <c r="CN353" s="907"/>
      <c r="CO353" s="907"/>
      <c r="CP353" s="763"/>
      <c r="CQ353" s="907"/>
      <c r="CR353" s="907"/>
      <c r="CS353" s="907"/>
      <c r="CT353" s="907"/>
      <c r="CU353" s="763"/>
      <c r="CV353" s="907"/>
      <c r="CW353" s="907"/>
      <c r="CX353" s="907"/>
      <c r="CY353" s="907"/>
      <c r="CZ353" s="763"/>
      <c r="DA353" s="907"/>
      <c r="DB353" s="907"/>
      <c r="DC353" s="907"/>
      <c r="DD353" s="907"/>
      <c r="DE353" s="763"/>
      <c r="DF353" s="907"/>
      <c r="DG353" s="907"/>
      <c r="DH353" s="907"/>
      <c r="DI353" s="2828"/>
      <c r="DJ353" s="763"/>
      <c r="DK353" s="907"/>
      <c r="DL353" s="907"/>
      <c r="DM353" s="907"/>
      <c r="DN353" s="907"/>
      <c r="DO353" s="763"/>
      <c r="DP353" s="907"/>
      <c r="DQ353" s="907"/>
      <c r="DR353" s="907"/>
      <c r="DS353" s="907"/>
      <c r="DT353" s="763"/>
      <c r="DU353" s="907"/>
      <c r="DV353" s="907"/>
      <c r="DW353" s="907"/>
      <c r="DX353" s="907"/>
      <c r="DY353" s="763"/>
    </row>
    <row r="354" spans="1:129" ht="12" thickBot="1" x14ac:dyDescent="0.25">
      <c r="A354" s="526"/>
      <c r="B354" s="597"/>
      <c r="C354" s="597"/>
      <c r="D354" s="597"/>
      <c r="E354" s="597"/>
      <c r="F354" s="597"/>
      <c r="G354" s="597"/>
      <c r="H354" s="597"/>
      <c r="I354" s="597"/>
      <c r="J354" s="597"/>
      <c r="K354" s="597"/>
      <c r="L354" s="597"/>
      <c r="M354" s="597"/>
      <c r="N354" s="597"/>
      <c r="O354" s="597"/>
      <c r="P354" s="597"/>
      <c r="Q354" s="597"/>
      <c r="R354" s="597"/>
      <c r="S354" s="597"/>
      <c r="T354" s="597"/>
      <c r="U354" s="597"/>
      <c r="V354" s="597"/>
      <c r="W354" s="597"/>
      <c r="X354" s="597"/>
      <c r="Y354" s="597"/>
      <c r="Z354" s="597"/>
      <c r="AA354" s="597"/>
      <c r="AB354" s="597"/>
      <c r="AC354" s="597"/>
      <c r="AD354" s="597"/>
      <c r="AE354" s="597"/>
      <c r="AF354" s="597"/>
      <c r="AG354" s="597"/>
      <c r="AH354" s="597"/>
      <c r="AI354" s="597"/>
      <c r="AJ354" s="597"/>
      <c r="AK354" s="597"/>
      <c r="AL354" s="597"/>
      <c r="AM354" s="597"/>
      <c r="AN354" s="597"/>
      <c r="AO354" s="597"/>
      <c r="AP354" s="597"/>
      <c r="AQ354" s="597"/>
      <c r="AR354" s="597"/>
      <c r="AS354" s="597"/>
      <c r="AT354" s="597"/>
      <c r="AU354" s="597"/>
      <c r="AV354" s="597"/>
      <c r="AW354" s="597"/>
      <c r="AX354" s="597"/>
      <c r="AY354" s="597"/>
      <c r="AZ354" s="597"/>
      <c r="BA354" s="597"/>
      <c r="BB354" s="597"/>
      <c r="BC354" s="597"/>
      <c r="BD354" s="597"/>
      <c r="BE354" s="597"/>
      <c r="BF354" s="597"/>
      <c r="BG354" s="597"/>
      <c r="BH354" s="597"/>
      <c r="BI354" s="597"/>
      <c r="BJ354" s="597"/>
      <c r="BK354" s="597"/>
      <c r="BL354" s="743"/>
      <c r="BM354" s="597"/>
      <c r="BN354" s="597"/>
      <c r="BO354" s="597"/>
      <c r="BP354" s="597"/>
      <c r="BQ354" s="743"/>
      <c r="BR354" s="597"/>
      <c r="BS354" s="597"/>
      <c r="BT354" s="597"/>
      <c r="BU354" s="597"/>
      <c r="BV354" s="743"/>
      <c r="BW354" s="743"/>
      <c r="BX354" s="743"/>
      <c r="BY354" s="743"/>
      <c r="BZ354" s="743"/>
      <c r="CA354" s="743"/>
      <c r="CB354" s="743"/>
      <c r="CC354" s="743"/>
      <c r="CD354" s="743"/>
      <c r="CE354" s="743"/>
      <c r="CF354" s="743"/>
      <c r="CG354" s="820"/>
      <c r="CH354" s="820"/>
      <c r="CI354" s="820"/>
      <c r="CJ354" s="820"/>
      <c r="CK354" s="743"/>
      <c r="CL354" s="820"/>
      <c r="CM354" s="820"/>
      <c r="CN354" s="820"/>
      <c r="CO354" s="820"/>
      <c r="CP354" s="743"/>
      <c r="CQ354" s="820"/>
      <c r="CR354" s="820"/>
      <c r="CS354" s="820"/>
      <c r="CT354" s="820"/>
      <c r="CU354" s="743"/>
      <c r="CV354" s="820"/>
      <c r="CW354" s="820"/>
      <c r="CX354" s="820"/>
      <c r="CY354" s="820"/>
      <c r="CZ354" s="743"/>
      <c r="DA354" s="820"/>
      <c r="DB354" s="820"/>
      <c r="DC354" s="820"/>
      <c r="DD354" s="820"/>
      <c r="DE354" s="743"/>
      <c r="DF354" s="820"/>
      <c r="DG354" s="820"/>
      <c r="DH354" s="820"/>
      <c r="DI354" s="2815"/>
      <c r="DJ354" s="743"/>
      <c r="DK354" s="820"/>
      <c r="DL354" s="820"/>
      <c r="DM354" s="820"/>
      <c r="DN354" s="820"/>
      <c r="DO354" s="743"/>
      <c r="DP354" s="820"/>
      <c r="DQ354" s="820"/>
      <c r="DR354" s="820"/>
      <c r="DS354" s="820"/>
      <c r="DT354" s="743"/>
      <c r="DU354" s="820"/>
      <c r="DV354" s="820"/>
      <c r="DW354" s="820"/>
      <c r="DX354" s="820"/>
      <c r="DY354" s="743"/>
    </row>
    <row r="355" spans="1:129" ht="12" thickBot="1" x14ac:dyDescent="0.25">
      <c r="A355" s="526"/>
      <c r="B355" s="685" t="s">
        <v>818</v>
      </c>
      <c r="C355" s="686"/>
      <c r="D355" s="686"/>
      <c r="E355" s="686"/>
      <c r="F355" s="686"/>
      <c r="G355" s="686"/>
      <c r="H355" s="686"/>
      <c r="I355" s="687"/>
      <c r="J355" s="686"/>
      <c r="K355" s="686"/>
      <c r="L355" s="686"/>
      <c r="M355" s="686"/>
      <c r="N355" s="687"/>
      <c r="O355" s="686"/>
      <c r="P355" s="686"/>
      <c r="Q355" s="686"/>
      <c r="R355" s="686"/>
      <c r="S355" s="687"/>
      <c r="T355" s="686"/>
      <c r="U355" s="686"/>
      <c r="V355" s="686"/>
      <c r="W355" s="686"/>
      <c r="X355" s="687"/>
      <c r="Y355" s="686"/>
      <c r="Z355" s="686"/>
      <c r="AA355" s="686"/>
      <c r="AB355" s="686"/>
      <c r="AC355" s="687"/>
      <c r="AD355" s="686"/>
      <c r="AE355" s="686"/>
      <c r="AF355" s="686"/>
      <c r="AG355" s="686"/>
      <c r="AH355" s="687"/>
      <c r="AI355" s="686"/>
      <c r="AJ355" s="686"/>
      <c r="AK355" s="686"/>
      <c r="AL355" s="686"/>
      <c r="AM355" s="687"/>
      <c r="AN355" s="686"/>
      <c r="AO355" s="686"/>
      <c r="AP355" s="686"/>
      <c r="AQ355" s="686"/>
      <c r="AR355" s="687"/>
      <c r="AS355" s="686"/>
      <c r="AT355" s="686"/>
      <c r="AU355" s="686"/>
      <c r="AV355" s="686"/>
      <c r="AW355" s="687"/>
      <c r="AX355" s="686"/>
      <c r="AY355" s="686"/>
      <c r="AZ355" s="686"/>
      <c r="BA355" s="686"/>
      <c r="BB355" s="687"/>
      <c r="BC355" s="686"/>
      <c r="BD355" s="686"/>
      <c r="BE355" s="686"/>
      <c r="BF355" s="686"/>
      <c r="BG355" s="687"/>
      <c r="BH355" s="686"/>
      <c r="BI355" s="686"/>
      <c r="BJ355" s="686"/>
      <c r="BK355" s="686"/>
      <c r="BL355" s="687"/>
      <c r="BM355" s="686"/>
      <c r="BN355" s="686"/>
      <c r="BO355" s="686"/>
      <c r="BP355" s="686"/>
      <c r="BQ355" s="687"/>
      <c r="BR355" s="686"/>
      <c r="BS355" s="686"/>
      <c r="BT355" s="686"/>
      <c r="BU355" s="686"/>
      <c r="BV355" s="687"/>
      <c r="BW355" s="686"/>
      <c r="BX355" s="686"/>
      <c r="BY355" s="686"/>
      <c r="BZ355" s="686"/>
      <c r="CA355" s="687"/>
      <c r="CB355" s="686"/>
      <c r="CC355" s="686"/>
      <c r="CD355" s="686"/>
      <c r="CE355" s="686"/>
      <c r="CF355" s="687"/>
      <c r="CG355" s="686"/>
      <c r="CH355" s="686"/>
      <c r="CI355" s="686"/>
      <c r="CJ355" s="686"/>
      <c r="CK355" s="687"/>
      <c r="CL355" s="686"/>
      <c r="CM355" s="686"/>
      <c r="CN355" s="686"/>
      <c r="CO355" s="686"/>
      <c r="CP355" s="687"/>
      <c r="CQ355" s="686"/>
      <c r="CR355" s="686"/>
      <c r="CS355" s="686"/>
      <c r="CT355" s="686"/>
      <c r="CU355" s="687"/>
      <c r="CV355" s="686"/>
      <c r="CW355" s="686"/>
      <c r="CX355" s="686"/>
      <c r="CY355" s="686"/>
      <c r="CZ355" s="687"/>
      <c r="DA355" s="686"/>
      <c r="DB355" s="686"/>
      <c r="DC355" s="686"/>
      <c r="DD355" s="686"/>
      <c r="DE355" s="687"/>
      <c r="DF355" s="686"/>
      <c r="DG355" s="686"/>
      <c r="DH355" s="686"/>
      <c r="DI355" s="2803"/>
      <c r="DJ355" s="687"/>
      <c r="DK355" s="686"/>
      <c r="DL355" s="686"/>
      <c r="DM355" s="686"/>
      <c r="DN355" s="686"/>
      <c r="DO355" s="687"/>
      <c r="DP355" s="686"/>
      <c r="DQ355" s="686"/>
      <c r="DR355" s="686"/>
      <c r="DS355" s="686"/>
      <c r="DT355" s="687"/>
      <c r="DU355" s="686"/>
      <c r="DV355" s="686"/>
      <c r="DW355" s="686"/>
      <c r="DX355" s="686"/>
      <c r="DY355" s="687"/>
    </row>
    <row r="356" spans="1:129" hidden="1" outlineLevel="1" x14ac:dyDescent="0.2">
      <c r="A356" s="526"/>
      <c r="B356" s="832"/>
      <c r="C356" s="967"/>
      <c r="D356" s="597"/>
      <c r="E356" s="597"/>
      <c r="F356" s="597"/>
      <c r="G356" s="597"/>
      <c r="H356" s="597"/>
      <c r="I356" s="598"/>
      <c r="J356" s="597"/>
      <c r="K356" s="597"/>
      <c r="L356" s="597"/>
      <c r="M356" s="597"/>
      <c r="N356" s="598"/>
      <c r="O356" s="597"/>
      <c r="P356" s="597"/>
      <c r="Q356" s="597"/>
      <c r="R356" s="597"/>
      <c r="S356" s="598"/>
      <c r="T356" s="597"/>
      <c r="U356" s="597"/>
      <c r="V356" s="597"/>
      <c r="W356" s="597"/>
      <c r="X356" s="598"/>
      <c r="Y356" s="597"/>
      <c r="Z356" s="597"/>
      <c r="AA356" s="597"/>
      <c r="AB356" s="597"/>
      <c r="AC356" s="598"/>
      <c r="AD356" s="597"/>
      <c r="AE356" s="597"/>
      <c r="AF356" s="597"/>
      <c r="AG356" s="597"/>
      <c r="AH356" s="598"/>
      <c r="AI356" s="597"/>
      <c r="AJ356" s="597"/>
      <c r="AK356" s="597"/>
      <c r="AL356" s="597"/>
      <c r="AM356" s="598"/>
      <c r="AN356" s="597"/>
      <c r="AO356" s="597"/>
      <c r="AP356" s="597"/>
      <c r="AQ356" s="597"/>
      <c r="AR356" s="598"/>
      <c r="AS356" s="597"/>
      <c r="AT356" s="597"/>
      <c r="AU356" s="597"/>
      <c r="AV356" s="597"/>
      <c r="AW356" s="598"/>
      <c r="AX356" s="597"/>
      <c r="AY356" s="597"/>
      <c r="AZ356" s="597"/>
      <c r="BA356" s="597"/>
      <c r="BB356" s="598"/>
      <c r="BC356" s="597"/>
      <c r="BD356" s="597"/>
      <c r="BE356" s="597"/>
      <c r="BF356" s="597"/>
      <c r="BG356" s="598"/>
      <c r="BH356" s="597"/>
      <c r="BI356" s="597"/>
      <c r="BJ356" s="597"/>
      <c r="BK356" s="597"/>
      <c r="BL356" s="598"/>
      <c r="BM356" s="597"/>
      <c r="BN356" s="597"/>
      <c r="BO356" s="597"/>
      <c r="BP356" s="597"/>
      <c r="BQ356" s="598"/>
      <c r="BR356" s="597"/>
      <c r="BS356" s="597"/>
      <c r="BT356" s="597"/>
      <c r="BU356" s="597"/>
      <c r="BV356" s="598"/>
      <c r="BW356" s="597"/>
      <c r="BX356" s="597"/>
      <c r="BY356" s="597"/>
      <c r="BZ356" s="597"/>
      <c r="CA356" s="598"/>
      <c r="CB356" s="597"/>
      <c r="CC356" s="597"/>
      <c r="CD356" s="597"/>
      <c r="CE356" s="597"/>
      <c r="CF356" s="598"/>
      <c r="CG356" s="682"/>
      <c r="CH356" s="682"/>
      <c r="CI356" s="682"/>
      <c r="CJ356" s="682"/>
      <c r="CK356" s="598"/>
      <c r="CL356" s="682"/>
      <c r="CM356" s="682"/>
      <c r="CN356" s="682"/>
      <c r="CO356" s="682"/>
      <c r="CP356" s="598"/>
      <c r="CQ356" s="682"/>
      <c r="CR356" s="682"/>
      <c r="CS356" s="682"/>
      <c r="CT356" s="682"/>
      <c r="CU356" s="598"/>
      <c r="CV356" s="682"/>
      <c r="CW356" s="682"/>
      <c r="CX356" s="682"/>
      <c r="CY356" s="682"/>
      <c r="CZ356" s="598"/>
      <c r="DA356" s="682"/>
      <c r="DB356" s="682"/>
      <c r="DC356" s="682"/>
      <c r="DD356" s="682"/>
      <c r="DE356" s="598"/>
      <c r="DF356" s="682"/>
      <c r="DG356" s="682"/>
      <c r="DH356" s="682"/>
      <c r="DI356" s="1610"/>
      <c r="DJ356" s="598"/>
      <c r="DK356" s="682"/>
      <c r="DL356" s="682"/>
      <c r="DM356" s="682"/>
      <c r="DN356" s="682"/>
      <c r="DO356" s="598"/>
      <c r="DP356" s="682"/>
      <c r="DQ356" s="682"/>
      <c r="DR356" s="682"/>
      <c r="DS356" s="682"/>
      <c r="DT356" s="598"/>
      <c r="DU356" s="682"/>
      <c r="DV356" s="682"/>
      <c r="DW356" s="682"/>
      <c r="DX356" s="682"/>
      <c r="DY356" s="598"/>
    </row>
    <row r="357" spans="1:129" hidden="1" outlineLevel="1" x14ac:dyDescent="0.2">
      <c r="A357" s="526"/>
      <c r="B357" s="756"/>
      <c r="C357" s="597"/>
      <c r="D357" s="597"/>
      <c r="E357" s="597"/>
      <c r="F357" s="597"/>
      <c r="G357" s="597"/>
      <c r="H357" s="597"/>
      <c r="I357" s="598"/>
      <c r="J357" s="597"/>
      <c r="K357" s="597"/>
      <c r="L357" s="597"/>
      <c r="M357" s="597"/>
      <c r="N357" s="598"/>
      <c r="O357" s="968">
        <v>0</v>
      </c>
      <c r="P357" s="968">
        <v>0</v>
      </c>
      <c r="Q357" s="968">
        <v>0</v>
      </c>
      <c r="R357" s="968">
        <v>0</v>
      </c>
      <c r="S357" s="598"/>
      <c r="T357" s="968">
        <v>36246</v>
      </c>
      <c r="U357" s="968">
        <v>36337</v>
      </c>
      <c r="V357" s="968">
        <v>36428</v>
      </c>
      <c r="W357" s="968">
        <v>36526</v>
      </c>
      <c r="X357" s="598"/>
      <c r="Y357" s="968">
        <v>36617</v>
      </c>
      <c r="Z357" s="968">
        <v>36708</v>
      </c>
      <c r="AA357" s="968">
        <v>36799</v>
      </c>
      <c r="AB357" s="968">
        <v>36890</v>
      </c>
      <c r="AC357" s="598"/>
      <c r="AD357" s="968">
        <v>36981</v>
      </c>
      <c r="AE357" s="968">
        <v>37072</v>
      </c>
      <c r="AF357" s="968">
        <v>37163</v>
      </c>
      <c r="AG357" s="968">
        <v>37254</v>
      </c>
      <c r="AH357" s="598"/>
      <c r="AI357" s="968">
        <v>37345</v>
      </c>
      <c r="AJ357" s="968">
        <v>37436</v>
      </c>
      <c r="AK357" s="968">
        <v>37527</v>
      </c>
      <c r="AL357" s="968">
        <v>37618</v>
      </c>
      <c r="AM357" s="598"/>
      <c r="AN357" s="968">
        <v>37709</v>
      </c>
      <c r="AO357" s="968">
        <v>37800</v>
      </c>
      <c r="AP357" s="968">
        <v>37891</v>
      </c>
      <c r="AQ357" s="968">
        <v>37989</v>
      </c>
      <c r="AR357" s="598"/>
      <c r="AS357" s="968">
        <v>38080</v>
      </c>
      <c r="AT357" s="968">
        <v>38171</v>
      </c>
      <c r="AU357" s="968">
        <v>38262</v>
      </c>
      <c r="AV357" s="968">
        <v>38353</v>
      </c>
      <c r="AW357" s="598"/>
      <c r="AX357" s="968">
        <v>38444</v>
      </c>
      <c r="AY357" s="968">
        <v>38535</v>
      </c>
      <c r="AZ357" s="968">
        <v>38626</v>
      </c>
      <c r="BA357" s="968">
        <v>38717</v>
      </c>
      <c r="BB357" s="598"/>
      <c r="BC357" s="968">
        <v>38808</v>
      </c>
      <c r="BD357" s="968">
        <v>38899</v>
      </c>
      <c r="BE357" s="968">
        <v>38990</v>
      </c>
      <c r="BF357" s="968">
        <v>39081</v>
      </c>
      <c r="BG357" s="598"/>
      <c r="BH357" s="597"/>
      <c r="BI357" s="597"/>
      <c r="BJ357" s="597"/>
      <c r="BK357" s="597"/>
      <c r="BL357" s="598"/>
      <c r="BM357" s="597"/>
      <c r="BN357" s="597"/>
      <c r="BO357" s="597"/>
      <c r="BP357" s="597"/>
      <c r="BQ357" s="598"/>
      <c r="BR357" s="597"/>
      <c r="BS357" s="597"/>
      <c r="BT357" s="597"/>
      <c r="BU357" s="597"/>
      <c r="BV357" s="598"/>
      <c r="BW357" s="597"/>
      <c r="BX357" s="597"/>
      <c r="BY357" s="597"/>
      <c r="BZ357" s="597"/>
      <c r="CA357" s="598"/>
      <c r="CB357" s="597"/>
      <c r="CC357" s="597"/>
      <c r="CD357" s="597"/>
      <c r="CE357" s="597"/>
      <c r="CF357" s="598"/>
      <c r="CG357" s="682"/>
      <c r="CH357" s="682"/>
      <c r="CI357" s="682"/>
      <c r="CJ357" s="682"/>
      <c r="CK357" s="598"/>
      <c r="CL357" s="682"/>
      <c r="CM357" s="682"/>
      <c r="CN357" s="682"/>
      <c r="CO357" s="682"/>
      <c r="CP357" s="598"/>
      <c r="CQ357" s="682"/>
      <c r="CR357" s="682"/>
      <c r="CS357" s="682"/>
      <c r="CT357" s="682"/>
      <c r="CU357" s="598"/>
      <c r="CV357" s="682"/>
      <c r="CW357" s="682"/>
      <c r="CX357" s="682"/>
      <c r="CY357" s="682"/>
      <c r="CZ357" s="598"/>
      <c r="DA357" s="682"/>
      <c r="DB357" s="682"/>
      <c r="DC357" s="682"/>
      <c r="DD357" s="682"/>
      <c r="DE357" s="598"/>
      <c r="DF357" s="682"/>
      <c r="DG357" s="682"/>
      <c r="DH357" s="682"/>
      <c r="DI357" s="1610"/>
      <c r="DJ357" s="598"/>
      <c r="DK357" s="682"/>
      <c r="DL357" s="682"/>
      <c r="DM357" s="682"/>
      <c r="DN357" s="682"/>
      <c r="DO357" s="598"/>
      <c r="DP357" s="682"/>
      <c r="DQ357" s="682"/>
      <c r="DR357" s="682"/>
      <c r="DS357" s="682"/>
      <c r="DT357" s="598"/>
      <c r="DU357" s="682"/>
      <c r="DV357" s="682"/>
      <c r="DW357" s="682"/>
      <c r="DX357" s="682"/>
      <c r="DY357" s="598"/>
    </row>
    <row r="358" spans="1:129" hidden="1" outlineLevel="1" x14ac:dyDescent="0.2">
      <c r="A358" s="526"/>
      <c r="B358" s="756" t="s">
        <v>819</v>
      </c>
      <c r="C358" s="597"/>
      <c r="D358" s="597"/>
      <c r="E358" s="597"/>
      <c r="F358" s="597"/>
      <c r="G358" s="597"/>
      <c r="H358" s="597"/>
      <c r="I358" s="598"/>
      <c r="J358" s="597"/>
      <c r="K358" s="597"/>
      <c r="L358" s="597"/>
      <c r="M358" s="597"/>
      <c r="N358" s="598"/>
      <c r="O358" s="968">
        <v>0</v>
      </c>
      <c r="P358" s="968">
        <v>0</v>
      </c>
      <c r="Q358" s="968">
        <v>0</v>
      </c>
      <c r="R358" s="968">
        <v>0</v>
      </c>
      <c r="S358" s="598"/>
      <c r="T358" s="599" t="s">
        <v>124</v>
      </c>
      <c r="U358" s="599" t="s">
        <v>125</v>
      </c>
      <c r="V358" s="599" t="s">
        <v>126</v>
      </c>
      <c r="W358" s="599" t="s">
        <v>127</v>
      </c>
      <c r="X358" s="598"/>
      <c r="Y358" s="599" t="s">
        <v>129</v>
      </c>
      <c r="Z358" s="599" t="s">
        <v>130</v>
      </c>
      <c r="AA358" s="599" t="s">
        <v>131</v>
      </c>
      <c r="AB358" s="599" t="s">
        <v>132</v>
      </c>
      <c r="AC358" s="598"/>
      <c r="AD358" s="599" t="s">
        <v>134</v>
      </c>
      <c r="AE358" s="599" t="s">
        <v>135</v>
      </c>
      <c r="AF358" s="599" t="s">
        <v>136</v>
      </c>
      <c r="AG358" s="599" t="s">
        <v>137</v>
      </c>
      <c r="AH358" s="598"/>
      <c r="AI358" s="599" t="s">
        <v>139</v>
      </c>
      <c r="AJ358" s="599" t="s">
        <v>140</v>
      </c>
      <c r="AK358" s="599" t="s">
        <v>141</v>
      </c>
      <c r="AL358" s="599" t="s">
        <v>142</v>
      </c>
      <c r="AM358" s="598"/>
      <c r="AN358" s="599" t="s">
        <v>144</v>
      </c>
      <c r="AO358" s="599" t="s">
        <v>145</v>
      </c>
      <c r="AP358" s="599" t="s">
        <v>146</v>
      </c>
      <c r="AQ358" s="599" t="s">
        <v>147</v>
      </c>
      <c r="AR358" s="598"/>
      <c r="AS358" s="599" t="s">
        <v>820</v>
      </c>
      <c r="AT358" s="599" t="s">
        <v>821</v>
      </c>
      <c r="AU358" s="599" t="s">
        <v>822</v>
      </c>
      <c r="AV358" s="599" t="s">
        <v>823</v>
      </c>
      <c r="AW358" s="598"/>
      <c r="AX358" s="599" t="s">
        <v>824</v>
      </c>
      <c r="AY358" s="599" t="s">
        <v>825</v>
      </c>
      <c r="AZ358" s="599" t="s">
        <v>826</v>
      </c>
      <c r="BA358" s="599" t="s">
        <v>827</v>
      </c>
      <c r="BB358" s="598"/>
      <c r="BC358" s="599" t="s">
        <v>828</v>
      </c>
      <c r="BD358" s="599" t="s">
        <v>829</v>
      </c>
      <c r="BE358" s="599" t="s">
        <v>830</v>
      </c>
      <c r="BF358" s="599" t="s">
        <v>831</v>
      </c>
      <c r="BG358" s="598"/>
      <c r="BH358" s="599" t="s">
        <v>832</v>
      </c>
      <c r="BI358" s="599" t="s">
        <v>833</v>
      </c>
      <c r="BJ358" s="599" t="s">
        <v>834</v>
      </c>
      <c r="BK358" s="599" t="s">
        <v>835</v>
      </c>
      <c r="BL358" s="598"/>
      <c r="BM358" s="599" t="s">
        <v>836</v>
      </c>
      <c r="BN358" s="599" t="s">
        <v>837</v>
      </c>
      <c r="BO358" s="599" t="s">
        <v>838</v>
      </c>
      <c r="BP358" s="599" t="s">
        <v>839</v>
      </c>
      <c r="BQ358" s="598"/>
      <c r="BR358" s="599" t="s">
        <v>840</v>
      </c>
      <c r="BS358" s="599" t="s">
        <v>841</v>
      </c>
      <c r="BT358" s="599" t="s">
        <v>842</v>
      </c>
      <c r="BU358" s="599" t="s">
        <v>843</v>
      </c>
      <c r="BV358" s="598"/>
      <c r="BW358" s="597"/>
      <c r="BX358" s="597"/>
      <c r="BY358" s="597"/>
      <c r="BZ358" s="597"/>
      <c r="CA358" s="598"/>
      <c r="CB358" s="597"/>
      <c r="CC358" s="597"/>
      <c r="CD358" s="597"/>
      <c r="CE358" s="597"/>
      <c r="CF358" s="598"/>
      <c r="CG358" s="682"/>
      <c r="CH358" s="682"/>
      <c r="CI358" s="682"/>
      <c r="CJ358" s="682"/>
      <c r="CK358" s="598"/>
      <c r="CL358" s="682"/>
      <c r="CM358" s="682"/>
      <c r="CN358" s="682"/>
      <c r="CO358" s="682"/>
      <c r="CP358" s="598"/>
      <c r="CQ358" s="682"/>
      <c r="CR358" s="682"/>
      <c r="CS358" s="682"/>
      <c r="CT358" s="682"/>
      <c r="CU358" s="598"/>
      <c r="CV358" s="682"/>
      <c r="CW358" s="682"/>
      <c r="CX358" s="682"/>
      <c r="CY358" s="682"/>
      <c r="CZ358" s="598"/>
      <c r="DA358" s="682"/>
      <c r="DB358" s="682"/>
      <c r="DC358" s="682"/>
      <c r="DD358" s="682"/>
      <c r="DE358" s="598"/>
      <c r="DF358" s="682"/>
      <c r="DG358" s="682"/>
      <c r="DH358" s="682"/>
      <c r="DI358" s="1610"/>
      <c r="DJ358" s="598"/>
      <c r="DK358" s="682"/>
      <c r="DL358" s="682"/>
      <c r="DM358" s="682"/>
      <c r="DN358" s="682"/>
      <c r="DO358" s="598"/>
      <c r="DP358" s="682"/>
      <c r="DQ358" s="682"/>
      <c r="DR358" s="682"/>
      <c r="DS358" s="682"/>
      <c r="DT358" s="598"/>
      <c r="DU358" s="682"/>
      <c r="DV358" s="682"/>
      <c r="DW358" s="682"/>
      <c r="DX358" s="682"/>
      <c r="DY358" s="598"/>
    </row>
    <row r="359" spans="1:129" hidden="1" outlineLevel="1" x14ac:dyDescent="0.2">
      <c r="A359" s="526"/>
      <c r="B359" s="756"/>
      <c r="C359" s="597"/>
      <c r="D359" s="597"/>
      <c r="E359" s="597"/>
      <c r="F359" s="597"/>
      <c r="G359" s="597"/>
      <c r="H359" s="597"/>
      <c r="I359" s="598"/>
      <c r="J359" s="597"/>
      <c r="K359" s="597"/>
      <c r="L359" s="597"/>
      <c r="M359" s="597"/>
      <c r="N359" s="598"/>
      <c r="O359" s="597"/>
      <c r="P359" s="597"/>
      <c r="Q359" s="597"/>
      <c r="R359" s="597"/>
      <c r="S359" s="598"/>
      <c r="T359" s="597"/>
      <c r="U359" s="597"/>
      <c r="V359" s="597"/>
      <c r="W359" s="597"/>
      <c r="X359" s="598"/>
      <c r="Y359" s="597"/>
      <c r="Z359" s="597"/>
      <c r="AA359" s="597"/>
      <c r="AB359" s="597"/>
      <c r="AC359" s="598"/>
      <c r="AD359" s="597"/>
      <c r="AE359" s="597"/>
      <c r="AF359" s="597"/>
      <c r="AG359" s="597"/>
      <c r="AH359" s="598"/>
      <c r="AI359" s="597"/>
      <c r="AJ359" s="597"/>
      <c r="AK359" s="597"/>
      <c r="AL359" s="597"/>
      <c r="AM359" s="598"/>
      <c r="AN359" s="597"/>
      <c r="AO359" s="597"/>
      <c r="AP359" s="597"/>
      <c r="AQ359" s="597"/>
      <c r="AR359" s="598"/>
      <c r="AS359" s="597"/>
      <c r="AT359" s="597"/>
      <c r="AU359" s="597"/>
      <c r="AV359" s="597"/>
      <c r="AW359" s="598"/>
      <c r="AX359" s="597"/>
      <c r="AY359" s="597"/>
      <c r="AZ359" s="597"/>
      <c r="BA359" s="597"/>
      <c r="BB359" s="598"/>
      <c r="BC359" s="597"/>
      <c r="BD359" s="597"/>
      <c r="BE359" s="597"/>
      <c r="BF359" s="597"/>
      <c r="BG359" s="598"/>
      <c r="BH359" s="597"/>
      <c r="BI359" s="597"/>
      <c r="BJ359" s="597"/>
      <c r="BK359" s="597"/>
      <c r="BL359" s="598"/>
      <c r="BM359" s="597"/>
      <c r="BN359" s="597"/>
      <c r="BO359" s="597"/>
      <c r="BP359" s="597"/>
      <c r="BQ359" s="598"/>
      <c r="BR359" s="597"/>
      <c r="BS359" s="597"/>
      <c r="BT359" s="597"/>
      <c r="BU359" s="597"/>
      <c r="BV359" s="598"/>
      <c r="BW359" s="597"/>
      <c r="BX359" s="597"/>
      <c r="BY359" s="597"/>
      <c r="BZ359" s="597"/>
      <c r="CA359" s="598"/>
      <c r="CB359" s="597"/>
      <c r="CC359" s="597"/>
      <c r="CD359" s="597"/>
      <c r="CE359" s="597"/>
      <c r="CF359" s="598"/>
      <c r="CG359" s="682"/>
      <c r="CH359" s="682"/>
      <c r="CI359" s="682"/>
      <c r="CJ359" s="682"/>
      <c r="CK359" s="598"/>
      <c r="CL359" s="682"/>
      <c r="CM359" s="682"/>
      <c r="CN359" s="682"/>
      <c r="CO359" s="682"/>
      <c r="CP359" s="598"/>
      <c r="CQ359" s="682"/>
      <c r="CR359" s="682"/>
      <c r="CS359" s="682"/>
      <c r="CT359" s="682"/>
      <c r="CU359" s="598"/>
      <c r="CV359" s="682"/>
      <c r="CW359" s="682"/>
      <c r="CX359" s="682"/>
      <c r="CY359" s="682"/>
      <c r="CZ359" s="598"/>
      <c r="DA359" s="682"/>
      <c r="DB359" s="682"/>
      <c r="DC359" s="682"/>
      <c r="DD359" s="682"/>
      <c r="DE359" s="598"/>
      <c r="DF359" s="682"/>
      <c r="DG359" s="682"/>
      <c r="DH359" s="682"/>
      <c r="DI359" s="1610"/>
      <c r="DJ359" s="598"/>
      <c r="DK359" s="682"/>
      <c r="DL359" s="682"/>
      <c r="DM359" s="682"/>
      <c r="DN359" s="682"/>
      <c r="DO359" s="598"/>
      <c r="DP359" s="682"/>
      <c r="DQ359" s="682"/>
      <c r="DR359" s="682"/>
      <c r="DS359" s="682"/>
      <c r="DT359" s="598"/>
      <c r="DU359" s="682"/>
      <c r="DV359" s="682"/>
      <c r="DW359" s="682"/>
      <c r="DX359" s="682"/>
      <c r="DY359" s="598"/>
    </row>
    <row r="360" spans="1:129" hidden="1" outlineLevel="1" x14ac:dyDescent="0.2">
      <c r="A360" s="526"/>
      <c r="B360" s="756" t="s">
        <v>844</v>
      </c>
      <c r="C360" s="597"/>
      <c r="D360" s="597"/>
      <c r="E360" s="597"/>
      <c r="F360" s="597"/>
      <c r="G360" s="597"/>
      <c r="H360" s="597"/>
      <c r="I360" s="598"/>
      <c r="J360" s="597"/>
      <c r="K360" s="597"/>
      <c r="L360" s="597"/>
      <c r="M360" s="597"/>
      <c r="N360" s="598"/>
      <c r="O360" s="597"/>
      <c r="P360" s="597"/>
      <c r="Q360" s="597"/>
      <c r="R360" s="597"/>
      <c r="S360" s="598"/>
      <c r="T360" s="597"/>
      <c r="U360" s="597"/>
      <c r="V360" s="597"/>
      <c r="W360" s="597"/>
      <c r="X360" s="598"/>
      <c r="Y360" s="597"/>
      <c r="Z360" s="597"/>
      <c r="AA360" s="597"/>
      <c r="AB360" s="597"/>
      <c r="AC360" s="598"/>
      <c r="AD360" s="597"/>
      <c r="AE360" s="597"/>
      <c r="AF360" s="597"/>
      <c r="AG360" s="597"/>
      <c r="AH360" s="598"/>
      <c r="AI360" s="597"/>
      <c r="AJ360" s="597"/>
      <c r="AK360" s="597"/>
      <c r="AL360" s="597"/>
      <c r="AM360" s="598"/>
      <c r="AN360" s="597"/>
      <c r="AO360" s="597"/>
      <c r="AP360" s="597"/>
      <c r="AQ360" s="597"/>
      <c r="AR360" s="598"/>
      <c r="AS360" s="597"/>
      <c r="AT360" s="597"/>
      <c r="AU360" s="597"/>
      <c r="AV360" s="597"/>
      <c r="AW360" s="598"/>
      <c r="AX360" s="597"/>
      <c r="AY360" s="597"/>
      <c r="AZ360" s="597"/>
      <c r="BA360" s="597"/>
      <c r="BB360" s="598"/>
      <c r="BC360" s="597"/>
      <c r="BD360" s="597"/>
      <c r="BE360" s="597"/>
      <c r="BF360" s="597"/>
      <c r="BG360" s="598"/>
      <c r="BH360" s="597"/>
      <c r="BI360" s="597"/>
      <c r="BJ360" s="597"/>
      <c r="BK360" s="597"/>
      <c r="BL360" s="598"/>
      <c r="BM360" s="597"/>
      <c r="BN360" s="597"/>
      <c r="BO360" s="597"/>
      <c r="BP360" s="597"/>
      <c r="BQ360" s="598"/>
      <c r="BR360" s="597"/>
      <c r="BS360" s="597"/>
      <c r="BT360" s="597"/>
      <c r="BU360" s="597"/>
      <c r="BV360" s="598"/>
      <c r="BW360" s="597"/>
      <c r="BX360" s="597"/>
      <c r="BY360" s="597"/>
      <c r="BZ360" s="597"/>
      <c r="CA360" s="598"/>
      <c r="CB360" s="597"/>
      <c r="CC360" s="597"/>
      <c r="CD360" s="597"/>
      <c r="CE360" s="597"/>
      <c r="CF360" s="598"/>
      <c r="CG360" s="682"/>
      <c r="CH360" s="682"/>
      <c r="CI360" s="682"/>
      <c r="CJ360" s="682"/>
      <c r="CK360" s="598"/>
      <c r="CL360" s="682"/>
      <c r="CM360" s="682"/>
      <c r="CN360" s="682"/>
      <c r="CO360" s="682"/>
      <c r="CP360" s="598"/>
      <c r="CQ360" s="682"/>
      <c r="CR360" s="682"/>
      <c r="CS360" s="682"/>
      <c r="CT360" s="682"/>
      <c r="CU360" s="598"/>
      <c r="CV360" s="682"/>
      <c r="CW360" s="682"/>
      <c r="CX360" s="682"/>
      <c r="CY360" s="682"/>
      <c r="CZ360" s="598"/>
      <c r="DA360" s="682"/>
      <c r="DB360" s="682"/>
      <c r="DC360" s="682"/>
      <c r="DD360" s="682"/>
      <c r="DE360" s="598"/>
      <c r="DF360" s="682"/>
      <c r="DG360" s="682"/>
      <c r="DH360" s="682"/>
      <c r="DI360" s="1610"/>
      <c r="DJ360" s="598"/>
      <c r="DK360" s="682"/>
      <c r="DL360" s="682"/>
      <c r="DM360" s="682"/>
      <c r="DN360" s="682"/>
      <c r="DO360" s="598"/>
      <c r="DP360" s="682"/>
      <c r="DQ360" s="682"/>
      <c r="DR360" s="682"/>
      <c r="DS360" s="682"/>
      <c r="DT360" s="598"/>
      <c r="DU360" s="682"/>
      <c r="DV360" s="682"/>
      <c r="DW360" s="682"/>
      <c r="DX360" s="682"/>
      <c r="DY360" s="598"/>
    </row>
    <row r="361" spans="1:129" hidden="1" outlineLevel="1" x14ac:dyDescent="0.2">
      <c r="A361" s="466"/>
      <c r="B361" s="607" t="s">
        <v>845</v>
      </c>
      <c r="C361" s="585"/>
      <c r="D361" s="585"/>
      <c r="E361" s="585"/>
      <c r="F361" s="585"/>
      <c r="G361" s="585"/>
      <c r="H361" s="585"/>
      <c r="I361" s="586"/>
      <c r="J361" s="585"/>
      <c r="K361" s="585"/>
      <c r="L361" s="585"/>
      <c r="M361" s="585"/>
      <c r="N361" s="586"/>
      <c r="O361" s="585"/>
      <c r="P361" s="585"/>
      <c r="Q361" s="585"/>
      <c r="R361" s="585"/>
      <c r="S361" s="586"/>
      <c r="T361" s="585"/>
      <c r="U361" s="585"/>
      <c r="V361" s="585"/>
      <c r="W361" s="585"/>
      <c r="X361" s="586"/>
      <c r="Y361" s="585"/>
      <c r="Z361" s="585"/>
      <c r="AA361" s="585"/>
      <c r="AB361" s="585"/>
      <c r="AC361" s="586"/>
      <c r="AD361" s="585"/>
      <c r="AE361" s="585"/>
      <c r="AF361" s="585"/>
      <c r="AG361" s="585"/>
      <c r="AH361" s="586"/>
      <c r="AI361" s="585"/>
      <c r="AJ361" s="585"/>
      <c r="AK361" s="585"/>
      <c r="AL361" s="585"/>
      <c r="AM361" s="586"/>
      <c r="AN361" s="585"/>
      <c r="AO361" s="585"/>
      <c r="AP361" s="585"/>
      <c r="AQ361" s="585"/>
      <c r="AR361" s="586"/>
      <c r="AS361" s="585"/>
      <c r="AT361" s="585"/>
      <c r="AU361" s="585"/>
      <c r="AV361" s="585"/>
      <c r="AW361" s="586"/>
      <c r="AX361" s="585"/>
      <c r="AY361" s="585"/>
      <c r="AZ361" s="585"/>
      <c r="BA361" s="585"/>
      <c r="BB361" s="586"/>
      <c r="BC361" s="585"/>
      <c r="BD361" s="585"/>
      <c r="BE361" s="585"/>
      <c r="BF361" s="585"/>
      <c r="BG361" s="586"/>
      <c r="BH361" s="592">
        <v>193.01249999999999</v>
      </c>
      <c r="BI361" s="592">
        <v>166.1</v>
      </c>
      <c r="BJ361" s="592">
        <v>238.125</v>
      </c>
      <c r="BK361" s="592">
        <v>265.0625</v>
      </c>
      <c r="BL361" s="754">
        <v>862.3</v>
      </c>
      <c r="BM361" s="592">
        <v>252.73750000000001</v>
      </c>
      <c r="BN361" s="592">
        <v>254.95</v>
      </c>
      <c r="BO361" s="592">
        <v>273.84375</v>
      </c>
      <c r="BP361" s="592">
        <v>304.82187499999998</v>
      </c>
      <c r="BQ361" s="754">
        <v>1086.3531249999999</v>
      </c>
      <c r="BR361" s="592">
        <v>452.90560000000005</v>
      </c>
      <c r="BS361" s="592">
        <v>456.87040000000002</v>
      </c>
      <c r="BT361" s="592">
        <v>490.72800000000001</v>
      </c>
      <c r="BU361" s="592">
        <v>546.24079999999992</v>
      </c>
      <c r="BV361" s="754">
        <v>1946.7447999999999</v>
      </c>
      <c r="BW361" s="585"/>
      <c r="BX361" s="585"/>
      <c r="BY361" s="585"/>
      <c r="BZ361" s="585"/>
      <c r="CA361" s="586"/>
      <c r="CB361" s="585"/>
      <c r="CC361" s="585"/>
      <c r="CD361" s="585"/>
      <c r="CE361" s="585"/>
      <c r="CF361" s="586"/>
      <c r="CG361" s="470"/>
      <c r="CH361" s="470"/>
      <c r="CI361" s="470"/>
      <c r="CJ361" s="470"/>
      <c r="CK361" s="586"/>
      <c r="CL361" s="470"/>
      <c r="CM361" s="470"/>
      <c r="CN361" s="470"/>
      <c r="CO361" s="470"/>
      <c r="CP361" s="586"/>
      <c r="CQ361" s="470"/>
      <c r="CR361" s="470"/>
      <c r="CS361" s="470"/>
      <c r="CT361" s="470"/>
      <c r="CU361" s="586"/>
      <c r="CV361" s="470"/>
      <c r="CW361" s="470"/>
      <c r="CX361" s="470"/>
      <c r="CY361" s="470"/>
      <c r="CZ361" s="586"/>
      <c r="DA361" s="470"/>
      <c r="DB361" s="470"/>
      <c r="DC361" s="470"/>
      <c r="DD361" s="470"/>
      <c r="DE361" s="586"/>
      <c r="DF361" s="470"/>
      <c r="DG361" s="470"/>
      <c r="DH361" s="470"/>
      <c r="DI361" s="914"/>
      <c r="DJ361" s="586"/>
      <c r="DK361" s="470"/>
      <c r="DL361" s="470"/>
      <c r="DM361" s="470"/>
      <c r="DN361" s="470"/>
      <c r="DO361" s="586"/>
      <c r="DP361" s="470"/>
      <c r="DQ361" s="470"/>
      <c r="DR361" s="470"/>
      <c r="DS361" s="470"/>
      <c r="DT361" s="586"/>
      <c r="DU361" s="470"/>
      <c r="DV361" s="470"/>
      <c r="DW361" s="470"/>
      <c r="DX361" s="470"/>
      <c r="DY361" s="586"/>
    </row>
    <row r="362" spans="1:129" hidden="1" outlineLevel="1" x14ac:dyDescent="0.2">
      <c r="A362" s="466"/>
      <c r="B362" s="607" t="s">
        <v>846</v>
      </c>
      <c r="C362" s="585"/>
      <c r="D362" s="585"/>
      <c r="E362" s="585"/>
      <c r="F362" s="585"/>
      <c r="G362" s="585"/>
      <c r="H362" s="585"/>
      <c r="I362" s="586"/>
      <c r="J362" s="585"/>
      <c r="K362" s="585"/>
      <c r="L362" s="585"/>
      <c r="M362" s="585"/>
      <c r="N362" s="586"/>
      <c r="O362" s="585"/>
      <c r="P362" s="585"/>
      <c r="Q362" s="585"/>
      <c r="R362" s="585"/>
      <c r="S362" s="586"/>
      <c r="T362" s="585"/>
      <c r="U362" s="585"/>
      <c r="V362" s="585"/>
      <c r="W362" s="585"/>
      <c r="X362" s="586"/>
      <c r="Y362" s="585"/>
      <c r="Z362" s="585"/>
      <c r="AA362" s="585"/>
      <c r="AB362" s="585"/>
      <c r="AC362" s="586"/>
      <c r="AD362" s="585"/>
      <c r="AE362" s="585"/>
      <c r="AF362" s="585"/>
      <c r="AG362" s="585"/>
      <c r="AH362" s="586"/>
      <c r="AI362" s="585"/>
      <c r="AJ362" s="585"/>
      <c r="AK362" s="585"/>
      <c r="AL362" s="585"/>
      <c r="AM362" s="586"/>
      <c r="AN362" s="585"/>
      <c r="AO362" s="585"/>
      <c r="AP362" s="585"/>
      <c r="AQ362" s="585"/>
      <c r="AR362" s="586"/>
      <c r="AS362" s="585"/>
      <c r="AT362" s="585"/>
      <c r="AU362" s="585"/>
      <c r="AV362" s="585"/>
      <c r="AW362" s="586"/>
      <c r="AX362" s="585"/>
      <c r="AY362" s="585"/>
      <c r="AZ362" s="585"/>
      <c r="BA362" s="585"/>
      <c r="BB362" s="586"/>
      <c r="BC362" s="585"/>
      <c r="BD362" s="585"/>
      <c r="BE362" s="585"/>
      <c r="BF362" s="585"/>
      <c r="BG362" s="586"/>
      <c r="BH362" s="592">
        <v>96.558000000000007</v>
      </c>
      <c r="BI362" s="592">
        <v>65.67</v>
      </c>
      <c r="BJ362" s="592">
        <v>60.680999999999997</v>
      </c>
      <c r="BK362" s="592">
        <v>87.844999999999999</v>
      </c>
      <c r="BL362" s="754">
        <v>310.75400000000002</v>
      </c>
      <c r="BM362" s="592">
        <v>167.11699999999999</v>
      </c>
      <c r="BN362" s="592">
        <v>110.873</v>
      </c>
      <c r="BO362" s="592">
        <v>100.12364999999998</v>
      </c>
      <c r="BP362" s="592">
        <v>114.1985</v>
      </c>
      <c r="BQ362" s="754">
        <v>492.31214999999997</v>
      </c>
      <c r="BR362" s="592">
        <v>175.47284999999999</v>
      </c>
      <c r="BS362" s="592">
        <v>116.41665</v>
      </c>
      <c r="BT362" s="592">
        <v>105.12983249999999</v>
      </c>
      <c r="BU362" s="592">
        <v>119.90842499999999</v>
      </c>
      <c r="BV362" s="754">
        <v>516.92775749999998</v>
      </c>
      <c r="BW362" s="585"/>
      <c r="BX362" s="585"/>
      <c r="BY362" s="585"/>
      <c r="BZ362" s="585"/>
      <c r="CA362" s="586"/>
      <c r="CB362" s="585"/>
      <c r="CC362" s="585"/>
      <c r="CD362" s="585"/>
      <c r="CE362" s="585"/>
      <c r="CF362" s="586"/>
      <c r="CG362" s="470"/>
      <c r="CH362" s="470"/>
      <c r="CI362" s="470"/>
      <c r="CJ362" s="470"/>
      <c r="CK362" s="586"/>
      <c r="CL362" s="470"/>
      <c r="CM362" s="470"/>
      <c r="CN362" s="470"/>
      <c r="CO362" s="470"/>
      <c r="CP362" s="586"/>
      <c r="CQ362" s="470"/>
      <c r="CR362" s="470"/>
      <c r="CS362" s="470"/>
      <c r="CT362" s="470"/>
      <c r="CU362" s="586"/>
      <c r="CV362" s="470"/>
      <c r="CW362" s="470"/>
      <c r="CX362" s="470"/>
      <c r="CY362" s="470"/>
      <c r="CZ362" s="586"/>
      <c r="DA362" s="470"/>
      <c r="DB362" s="470"/>
      <c r="DC362" s="470"/>
      <c r="DD362" s="470"/>
      <c r="DE362" s="586"/>
      <c r="DF362" s="470"/>
      <c r="DG362" s="470"/>
      <c r="DH362" s="470"/>
      <c r="DI362" s="914"/>
      <c r="DJ362" s="586"/>
      <c r="DK362" s="470"/>
      <c r="DL362" s="470"/>
      <c r="DM362" s="470"/>
      <c r="DN362" s="470"/>
      <c r="DO362" s="586"/>
      <c r="DP362" s="470"/>
      <c r="DQ362" s="470"/>
      <c r="DR362" s="470"/>
      <c r="DS362" s="470"/>
      <c r="DT362" s="586"/>
      <c r="DU362" s="470"/>
      <c r="DV362" s="470"/>
      <c r="DW362" s="470"/>
      <c r="DX362" s="470"/>
      <c r="DY362" s="586"/>
    </row>
    <row r="363" spans="1:129" hidden="1" outlineLevel="1" x14ac:dyDescent="0.2">
      <c r="A363" s="466"/>
      <c r="B363" s="607" t="s">
        <v>847</v>
      </c>
      <c r="C363" s="585"/>
      <c r="D363" s="585"/>
      <c r="E363" s="585"/>
      <c r="F363" s="585"/>
      <c r="G363" s="585"/>
      <c r="H363" s="585"/>
      <c r="I363" s="586"/>
      <c r="J363" s="585"/>
      <c r="K363" s="585"/>
      <c r="L363" s="585"/>
      <c r="M363" s="585"/>
      <c r="N363" s="586"/>
      <c r="O363" s="585"/>
      <c r="P363" s="585"/>
      <c r="Q363" s="585"/>
      <c r="R363" s="585"/>
      <c r="S363" s="586"/>
      <c r="T363" s="585"/>
      <c r="U363" s="585"/>
      <c r="V363" s="585"/>
      <c r="W363" s="585"/>
      <c r="X363" s="586"/>
      <c r="Y363" s="585"/>
      <c r="Z363" s="585"/>
      <c r="AA363" s="585"/>
      <c r="AB363" s="585"/>
      <c r="AC363" s="586"/>
      <c r="AD363" s="585"/>
      <c r="AE363" s="585"/>
      <c r="AF363" s="585"/>
      <c r="AG363" s="585"/>
      <c r="AH363" s="586"/>
      <c r="AI363" s="585"/>
      <c r="AJ363" s="585"/>
      <c r="AK363" s="585"/>
      <c r="AL363" s="585"/>
      <c r="AM363" s="586"/>
      <c r="AN363" s="585"/>
      <c r="AO363" s="585"/>
      <c r="AP363" s="585"/>
      <c r="AQ363" s="585"/>
      <c r="AR363" s="586"/>
      <c r="AS363" s="585"/>
      <c r="AT363" s="585"/>
      <c r="AU363" s="585"/>
      <c r="AV363" s="585"/>
      <c r="AW363" s="586"/>
      <c r="AX363" s="585"/>
      <c r="AY363" s="585"/>
      <c r="AZ363" s="585"/>
      <c r="BA363" s="585"/>
      <c r="BB363" s="586"/>
      <c r="BC363" s="585"/>
      <c r="BD363" s="585"/>
      <c r="BE363" s="585"/>
      <c r="BF363" s="585"/>
      <c r="BG363" s="586"/>
      <c r="BH363" s="592">
        <v>289.57050000000004</v>
      </c>
      <c r="BI363" s="592">
        <v>231.77</v>
      </c>
      <c r="BJ363" s="592">
        <v>298.80599999999998</v>
      </c>
      <c r="BK363" s="592">
        <v>352.90750000000003</v>
      </c>
      <c r="BL363" s="754">
        <v>1173.0540000000001</v>
      </c>
      <c r="BM363" s="592">
        <v>419.85450000000003</v>
      </c>
      <c r="BN363" s="592">
        <v>365.82300000000004</v>
      </c>
      <c r="BO363" s="592">
        <v>373.9674</v>
      </c>
      <c r="BP363" s="592">
        <v>419.02037499999994</v>
      </c>
      <c r="BQ363" s="754">
        <v>1578.6652749999998</v>
      </c>
      <c r="BR363" s="592">
        <v>628.37845000000004</v>
      </c>
      <c r="BS363" s="592">
        <v>573.28705000000002</v>
      </c>
      <c r="BT363" s="592">
        <v>595.85783249999997</v>
      </c>
      <c r="BU363" s="592">
        <v>666.14922499999989</v>
      </c>
      <c r="BV363" s="754">
        <v>2463.6725575</v>
      </c>
      <c r="BW363" s="585"/>
      <c r="BX363" s="585"/>
      <c r="BY363" s="585"/>
      <c r="BZ363" s="585"/>
      <c r="CA363" s="586"/>
      <c r="CB363" s="585"/>
      <c r="CC363" s="585"/>
      <c r="CD363" s="585"/>
      <c r="CE363" s="585"/>
      <c r="CF363" s="586"/>
      <c r="CG363" s="470"/>
      <c r="CH363" s="470"/>
      <c r="CI363" s="470"/>
      <c r="CJ363" s="470"/>
      <c r="CK363" s="586"/>
      <c r="CL363" s="470"/>
      <c r="CM363" s="470"/>
      <c r="CN363" s="470"/>
      <c r="CO363" s="470"/>
      <c r="CP363" s="586"/>
      <c r="CQ363" s="470"/>
      <c r="CR363" s="470"/>
      <c r="CS363" s="470"/>
      <c r="CT363" s="470"/>
      <c r="CU363" s="586"/>
      <c r="CV363" s="470"/>
      <c r="CW363" s="470"/>
      <c r="CX363" s="470"/>
      <c r="CY363" s="470"/>
      <c r="CZ363" s="586"/>
      <c r="DA363" s="470"/>
      <c r="DB363" s="470"/>
      <c r="DC363" s="470"/>
      <c r="DD363" s="470"/>
      <c r="DE363" s="586"/>
      <c r="DF363" s="470"/>
      <c r="DG363" s="470"/>
      <c r="DH363" s="470"/>
      <c r="DI363" s="914"/>
      <c r="DJ363" s="586"/>
      <c r="DK363" s="470"/>
      <c r="DL363" s="470"/>
      <c r="DM363" s="470"/>
      <c r="DN363" s="470"/>
      <c r="DO363" s="586"/>
      <c r="DP363" s="470"/>
      <c r="DQ363" s="470"/>
      <c r="DR363" s="470"/>
      <c r="DS363" s="470"/>
      <c r="DT363" s="586"/>
      <c r="DU363" s="470"/>
      <c r="DV363" s="470"/>
      <c r="DW363" s="470"/>
      <c r="DX363" s="470"/>
      <c r="DY363" s="586"/>
    </row>
    <row r="364" spans="1:129" hidden="1" outlineLevel="1" x14ac:dyDescent="0.2">
      <c r="A364" s="466"/>
      <c r="B364" s="607"/>
      <c r="C364" s="585"/>
      <c r="D364" s="585"/>
      <c r="E364" s="585"/>
      <c r="F364" s="585"/>
      <c r="G364" s="585"/>
      <c r="H364" s="585"/>
      <c r="I364" s="586"/>
      <c r="J364" s="585"/>
      <c r="K364" s="585"/>
      <c r="L364" s="585"/>
      <c r="M364" s="585"/>
      <c r="N364" s="586"/>
      <c r="O364" s="585"/>
      <c r="P364" s="585"/>
      <c r="Q364" s="585"/>
      <c r="R364" s="585"/>
      <c r="S364" s="586"/>
      <c r="T364" s="585"/>
      <c r="U364" s="585"/>
      <c r="V364" s="585"/>
      <c r="W364" s="585"/>
      <c r="X364" s="586"/>
      <c r="Y364" s="585"/>
      <c r="Z364" s="585"/>
      <c r="AA364" s="585"/>
      <c r="AB364" s="585"/>
      <c r="AC364" s="586"/>
      <c r="AD364" s="585"/>
      <c r="AE364" s="585"/>
      <c r="AF364" s="585"/>
      <c r="AG364" s="585"/>
      <c r="AH364" s="586"/>
      <c r="AI364" s="585"/>
      <c r="AJ364" s="585"/>
      <c r="AK364" s="585"/>
      <c r="AL364" s="585"/>
      <c r="AM364" s="586"/>
      <c r="AN364" s="585"/>
      <c r="AO364" s="585"/>
      <c r="AP364" s="585"/>
      <c r="AQ364" s="585"/>
      <c r="AR364" s="586"/>
      <c r="AS364" s="585"/>
      <c r="AT364" s="585"/>
      <c r="AU364" s="585"/>
      <c r="AV364" s="585"/>
      <c r="AW364" s="586"/>
      <c r="AX364" s="585"/>
      <c r="AY364" s="585"/>
      <c r="AZ364" s="585"/>
      <c r="BA364" s="585"/>
      <c r="BB364" s="586"/>
      <c r="BC364" s="585"/>
      <c r="BD364" s="585"/>
      <c r="BE364" s="585"/>
      <c r="BF364" s="585"/>
      <c r="BG364" s="586"/>
      <c r="BH364" s="585"/>
      <c r="BI364" s="585"/>
      <c r="BJ364" s="585"/>
      <c r="BK364" s="585"/>
      <c r="BL364" s="586"/>
      <c r="BM364" s="585"/>
      <c r="BN364" s="585"/>
      <c r="BO364" s="585"/>
      <c r="BP364" s="585"/>
      <c r="BQ364" s="586"/>
      <c r="BR364" s="585"/>
      <c r="BS364" s="585"/>
      <c r="BT364" s="585"/>
      <c r="BU364" s="585"/>
      <c r="BV364" s="586"/>
      <c r="BW364" s="585"/>
      <c r="BX364" s="585"/>
      <c r="BY364" s="585"/>
      <c r="BZ364" s="585"/>
      <c r="CA364" s="586"/>
      <c r="CB364" s="585"/>
      <c r="CC364" s="585"/>
      <c r="CD364" s="585"/>
      <c r="CE364" s="585"/>
      <c r="CF364" s="586"/>
      <c r="CG364" s="470"/>
      <c r="CH364" s="470"/>
      <c r="CI364" s="470"/>
      <c r="CJ364" s="470"/>
      <c r="CK364" s="586"/>
      <c r="CL364" s="470"/>
      <c r="CM364" s="470"/>
      <c r="CN364" s="470"/>
      <c r="CO364" s="470"/>
      <c r="CP364" s="586"/>
      <c r="CQ364" s="470"/>
      <c r="CR364" s="470"/>
      <c r="CS364" s="470"/>
      <c r="CT364" s="470"/>
      <c r="CU364" s="586"/>
      <c r="CV364" s="470"/>
      <c r="CW364" s="470"/>
      <c r="CX364" s="470"/>
      <c r="CY364" s="470"/>
      <c r="CZ364" s="586"/>
      <c r="DA364" s="470"/>
      <c r="DB364" s="470"/>
      <c r="DC364" s="470"/>
      <c r="DD364" s="470"/>
      <c r="DE364" s="586"/>
      <c r="DF364" s="470"/>
      <c r="DG364" s="470"/>
      <c r="DH364" s="470"/>
      <c r="DI364" s="914"/>
      <c r="DJ364" s="586"/>
      <c r="DK364" s="470"/>
      <c r="DL364" s="470"/>
      <c r="DM364" s="470"/>
      <c r="DN364" s="470"/>
      <c r="DO364" s="586"/>
      <c r="DP364" s="470"/>
      <c r="DQ364" s="470"/>
      <c r="DR364" s="470"/>
      <c r="DS364" s="470"/>
      <c r="DT364" s="586"/>
      <c r="DU364" s="470"/>
      <c r="DV364" s="470"/>
      <c r="DW364" s="470"/>
      <c r="DX364" s="470"/>
      <c r="DY364" s="586"/>
    </row>
    <row r="365" spans="1:129" hidden="1" outlineLevel="1" x14ac:dyDescent="0.2">
      <c r="A365" s="466"/>
      <c r="B365" s="607" t="s">
        <v>848</v>
      </c>
      <c r="C365" s="585"/>
      <c r="D365" s="585"/>
      <c r="E365" s="585"/>
      <c r="F365" s="585"/>
      <c r="G365" s="585"/>
      <c r="H365" s="585"/>
      <c r="I365" s="586"/>
      <c r="J365" s="585"/>
      <c r="K365" s="585"/>
      <c r="L365" s="585"/>
      <c r="M365" s="585"/>
      <c r="N365" s="586"/>
      <c r="O365" s="585"/>
      <c r="P365" s="585"/>
      <c r="Q365" s="585"/>
      <c r="R365" s="585"/>
      <c r="S365" s="586"/>
      <c r="T365" s="585"/>
      <c r="U365" s="585"/>
      <c r="V365" s="585"/>
      <c r="W365" s="585"/>
      <c r="X365" s="586"/>
      <c r="Y365" s="585"/>
      <c r="Z365" s="585"/>
      <c r="AA365" s="585"/>
      <c r="AB365" s="585"/>
      <c r="AC365" s="586"/>
      <c r="AD365" s="585"/>
      <c r="AE365" s="585"/>
      <c r="AF365" s="585"/>
      <c r="AG365" s="585"/>
      <c r="AH365" s="586"/>
      <c r="AI365" s="585"/>
      <c r="AJ365" s="585"/>
      <c r="AK365" s="585"/>
      <c r="AL365" s="585"/>
      <c r="AM365" s="586"/>
      <c r="AN365" s="585"/>
      <c r="AO365" s="585"/>
      <c r="AP365" s="585"/>
      <c r="AQ365" s="585"/>
      <c r="AR365" s="586"/>
      <c r="AS365" s="585"/>
      <c r="AT365" s="585"/>
      <c r="AU365" s="585"/>
      <c r="AV365" s="585"/>
      <c r="AW365" s="586"/>
      <c r="AX365" s="585"/>
      <c r="AY365" s="585"/>
      <c r="AZ365" s="585"/>
      <c r="BA365" s="585"/>
      <c r="BB365" s="586"/>
      <c r="BC365" s="585"/>
      <c r="BD365" s="585"/>
      <c r="BE365" s="585"/>
      <c r="BF365" s="585"/>
      <c r="BG365" s="586"/>
      <c r="BH365" s="592">
        <v>177.57150000000001</v>
      </c>
      <c r="BI365" s="592">
        <v>152.81199999999998</v>
      </c>
      <c r="BJ365" s="592">
        <v>219.07499999999999</v>
      </c>
      <c r="BK365" s="592">
        <v>243.85749999999999</v>
      </c>
      <c r="BL365" s="754">
        <v>793.31599999999992</v>
      </c>
      <c r="BM365" s="592">
        <v>232.51850000000002</v>
      </c>
      <c r="BN365" s="592">
        <v>234.55400000000003</v>
      </c>
      <c r="BO365" s="592">
        <v>251.93625</v>
      </c>
      <c r="BP365" s="592">
        <v>280.43612499999995</v>
      </c>
      <c r="BQ365" s="754">
        <v>999.44487499999991</v>
      </c>
      <c r="BR365" s="592">
        <v>430.26032000000004</v>
      </c>
      <c r="BS365" s="592">
        <v>434.02688000000001</v>
      </c>
      <c r="BT365" s="592">
        <v>466.19159999999999</v>
      </c>
      <c r="BU365" s="592">
        <v>518.9287599999999</v>
      </c>
      <c r="BV365" s="754">
        <v>1849.4075599999999</v>
      </c>
      <c r="BW365" s="585"/>
      <c r="BX365" s="585"/>
      <c r="BY365" s="585"/>
      <c r="BZ365" s="585"/>
      <c r="CA365" s="586"/>
      <c r="CB365" s="585"/>
      <c r="CC365" s="585"/>
      <c r="CD365" s="585"/>
      <c r="CE365" s="585"/>
      <c r="CF365" s="586"/>
      <c r="CG365" s="470"/>
      <c r="CH365" s="470"/>
      <c r="CI365" s="470"/>
      <c r="CJ365" s="470"/>
      <c r="CK365" s="586"/>
      <c r="CL365" s="470"/>
      <c r="CM365" s="470"/>
      <c r="CN365" s="470"/>
      <c r="CO365" s="470"/>
      <c r="CP365" s="586"/>
      <c r="CQ365" s="470"/>
      <c r="CR365" s="470"/>
      <c r="CS365" s="470"/>
      <c r="CT365" s="470"/>
      <c r="CU365" s="586"/>
      <c r="CV365" s="470"/>
      <c r="CW365" s="470"/>
      <c r="CX365" s="470"/>
      <c r="CY365" s="470"/>
      <c r="CZ365" s="586"/>
      <c r="DA365" s="470"/>
      <c r="DB365" s="470"/>
      <c r="DC365" s="470"/>
      <c r="DD365" s="470"/>
      <c r="DE365" s="586"/>
      <c r="DF365" s="470"/>
      <c r="DG365" s="470"/>
      <c r="DH365" s="470"/>
      <c r="DI365" s="914"/>
      <c r="DJ365" s="586"/>
      <c r="DK365" s="470"/>
      <c r="DL365" s="470"/>
      <c r="DM365" s="470"/>
      <c r="DN365" s="470"/>
      <c r="DO365" s="586"/>
      <c r="DP365" s="470"/>
      <c r="DQ365" s="470"/>
      <c r="DR365" s="470"/>
      <c r="DS365" s="470"/>
      <c r="DT365" s="586"/>
      <c r="DU365" s="470"/>
      <c r="DV365" s="470"/>
      <c r="DW365" s="470"/>
      <c r="DX365" s="470"/>
      <c r="DY365" s="586"/>
    </row>
    <row r="366" spans="1:129" hidden="1" outlineLevel="1" x14ac:dyDescent="0.2">
      <c r="A366" s="466"/>
      <c r="B366" s="607" t="s">
        <v>849</v>
      </c>
      <c r="C366" s="585"/>
      <c r="D366" s="585"/>
      <c r="E366" s="585"/>
      <c r="F366" s="585"/>
      <c r="G366" s="585"/>
      <c r="H366" s="585"/>
      <c r="I366" s="586"/>
      <c r="J366" s="585"/>
      <c r="K366" s="585"/>
      <c r="L366" s="585"/>
      <c r="M366" s="585"/>
      <c r="N366" s="586"/>
      <c r="O366" s="585"/>
      <c r="P366" s="585"/>
      <c r="Q366" s="585"/>
      <c r="R366" s="585"/>
      <c r="S366" s="586"/>
      <c r="T366" s="585"/>
      <c r="U366" s="585"/>
      <c r="V366" s="585"/>
      <c r="W366" s="585"/>
      <c r="X366" s="586"/>
      <c r="Y366" s="585"/>
      <c r="Z366" s="585"/>
      <c r="AA366" s="585"/>
      <c r="AB366" s="585"/>
      <c r="AC366" s="586"/>
      <c r="AD366" s="585"/>
      <c r="AE366" s="585"/>
      <c r="AF366" s="585"/>
      <c r="AG366" s="585"/>
      <c r="AH366" s="586"/>
      <c r="AI366" s="585"/>
      <c r="AJ366" s="585"/>
      <c r="AK366" s="585"/>
      <c r="AL366" s="585"/>
      <c r="AM366" s="586"/>
      <c r="AN366" s="585"/>
      <c r="AO366" s="585"/>
      <c r="AP366" s="585"/>
      <c r="AQ366" s="585"/>
      <c r="AR366" s="586"/>
      <c r="AS366" s="585"/>
      <c r="AT366" s="585"/>
      <c r="AU366" s="585"/>
      <c r="AV366" s="585"/>
      <c r="AW366" s="586"/>
      <c r="AX366" s="585"/>
      <c r="AY366" s="585"/>
      <c r="AZ366" s="585"/>
      <c r="BA366" s="585"/>
      <c r="BB366" s="586"/>
      <c r="BC366" s="585"/>
      <c r="BD366" s="585"/>
      <c r="BE366" s="585"/>
      <c r="BF366" s="585"/>
      <c r="BG366" s="586"/>
      <c r="BH366" s="592">
        <v>92.495999999999995</v>
      </c>
      <c r="BI366" s="592">
        <v>54.173999999999999</v>
      </c>
      <c r="BJ366" s="592">
        <v>45.27</v>
      </c>
      <c r="BK366" s="592">
        <v>71.668000000000006</v>
      </c>
      <c r="BL366" s="754">
        <v>263.608</v>
      </c>
      <c r="BM366" s="592">
        <v>163.089</v>
      </c>
      <c r="BN366" s="592">
        <v>96.5</v>
      </c>
      <c r="BO366" s="592">
        <v>78.096446999999984</v>
      </c>
      <c r="BP366" s="592">
        <v>93.642769999999999</v>
      </c>
      <c r="BQ366" s="754">
        <v>431.32821699999994</v>
      </c>
      <c r="BR366" s="592">
        <v>171.2615016</v>
      </c>
      <c r="BS366" s="592">
        <v>101.28248550000001</v>
      </c>
      <c r="BT366" s="592">
        <v>84.103865999999996</v>
      </c>
      <c r="BU366" s="592">
        <v>98.324908500000006</v>
      </c>
      <c r="BV366" s="754">
        <v>454.97276159999996</v>
      </c>
      <c r="BW366" s="585"/>
      <c r="BX366" s="585"/>
      <c r="BY366" s="585"/>
      <c r="BZ366" s="585"/>
      <c r="CA366" s="586"/>
      <c r="CB366" s="585"/>
      <c r="CC366" s="585"/>
      <c r="CD366" s="585"/>
      <c r="CE366" s="585"/>
      <c r="CF366" s="586"/>
      <c r="CG366" s="470"/>
      <c r="CH366" s="470"/>
      <c r="CI366" s="470"/>
      <c r="CJ366" s="470"/>
      <c r="CK366" s="586"/>
      <c r="CL366" s="470"/>
      <c r="CM366" s="470"/>
      <c r="CN366" s="470"/>
      <c r="CO366" s="470"/>
      <c r="CP366" s="586"/>
      <c r="CQ366" s="470"/>
      <c r="CR366" s="470"/>
      <c r="CS366" s="470"/>
      <c r="CT366" s="470"/>
      <c r="CU366" s="586"/>
      <c r="CV366" s="470"/>
      <c r="CW366" s="470"/>
      <c r="CX366" s="470"/>
      <c r="CY366" s="470"/>
      <c r="CZ366" s="586"/>
      <c r="DA366" s="470"/>
      <c r="DB366" s="470"/>
      <c r="DC366" s="470"/>
      <c r="DD366" s="470"/>
      <c r="DE366" s="586"/>
      <c r="DF366" s="470"/>
      <c r="DG366" s="470"/>
      <c r="DH366" s="470"/>
      <c r="DI366" s="914"/>
      <c r="DJ366" s="586"/>
      <c r="DK366" s="470"/>
      <c r="DL366" s="470"/>
      <c r="DM366" s="470"/>
      <c r="DN366" s="470"/>
      <c r="DO366" s="586"/>
      <c r="DP366" s="470"/>
      <c r="DQ366" s="470"/>
      <c r="DR366" s="470"/>
      <c r="DS366" s="470"/>
      <c r="DT366" s="586"/>
      <c r="DU366" s="470"/>
      <c r="DV366" s="470"/>
      <c r="DW366" s="470"/>
      <c r="DX366" s="470"/>
      <c r="DY366" s="586"/>
    </row>
    <row r="367" spans="1:129" hidden="1" outlineLevel="1" x14ac:dyDescent="0.2">
      <c r="A367" s="466"/>
      <c r="B367" s="607" t="s">
        <v>721</v>
      </c>
      <c r="C367" s="585"/>
      <c r="D367" s="585"/>
      <c r="E367" s="585"/>
      <c r="F367" s="585"/>
      <c r="G367" s="585"/>
      <c r="H367" s="585"/>
      <c r="I367" s="586"/>
      <c r="J367" s="585"/>
      <c r="K367" s="585"/>
      <c r="L367" s="585"/>
      <c r="M367" s="585"/>
      <c r="N367" s="586"/>
      <c r="O367" s="585"/>
      <c r="P367" s="585"/>
      <c r="Q367" s="585"/>
      <c r="R367" s="585"/>
      <c r="S367" s="586"/>
      <c r="T367" s="585"/>
      <c r="U367" s="585"/>
      <c r="V367" s="585"/>
      <c r="W367" s="585"/>
      <c r="X367" s="586"/>
      <c r="Y367" s="585"/>
      <c r="Z367" s="585"/>
      <c r="AA367" s="585"/>
      <c r="AB367" s="585"/>
      <c r="AC367" s="586"/>
      <c r="AD367" s="585"/>
      <c r="AE367" s="585"/>
      <c r="AF367" s="585"/>
      <c r="AG367" s="585"/>
      <c r="AH367" s="586"/>
      <c r="AI367" s="585"/>
      <c r="AJ367" s="585"/>
      <c r="AK367" s="585"/>
      <c r="AL367" s="585"/>
      <c r="AM367" s="586"/>
      <c r="AN367" s="585"/>
      <c r="AO367" s="585"/>
      <c r="AP367" s="585"/>
      <c r="AQ367" s="585"/>
      <c r="AR367" s="586"/>
      <c r="AS367" s="585"/>
      <c r="AT367" s="585"/>
      <c r="AU367" s="585"/>
      <c r="AV367" s="585"/>
      <c r="AW367" s="586"/>
      <c r="AX367" s="585"/>
      <c r="AY367" s="585"/>
      <c r="AZ367" s="585"/>
      <c r="BA367" s="585"/>
      <c r="BB367" s="586"/>
      <c r="BC367" s="585"/>
      <c r="BD367" s="585"/>
      <c r="BE367" s="585"/>
      <c r="BF367" s="585"/>
      <c r="BG367" s="586"/>
      <c r="BH367" s="592">
        <v>270.0675</v>
      </c>
      <c r="BI367" s="592">
        <v>206.98599999999999</v>
      </c>
      <c r="BJ367" s="592">
        <v>264.34500000000003</v>
      </c>
      <c r="BK367" s="592">
        <v>315.52550000000002</v>
      </c>
      <c r="BL367" s="754">
        <v>1056.924</v>
      </c>
      <c r="BM367" s="592">
        <v>395.60750000000002</v>
      </c>
      <c r="BN367" s="592">
        <v>331.05400000000003</v>
      </c>
      <c r="BO367" s="592">
        <v>330.03269699999998</v>
      </c>
      <c r="BP367" s="592">
        <v>374.07889499999993</v>
      </c>
      <c r="BQ367" s="754">
        <v>1430.7730919999999</v>
      </c>
      <c r="BR367" s="592">
        <v>601.52182160000007</v>
      </c>
      <c r="BS367" s="592">
        <v>535.30936550000001</v>
      </c>
      <c r="BT367" s="592">
        <v>550.29546600000003</v>
      </c>
      <c r="BU367" s="592">
        <v>617.25366849999989</v>
      </c>
      <c r="BV367" s="754">
        <v>2304.3803215999997</v>
      </c>
      <c r="BW367" s="585"/>
      <c r="BX367" s="585"/>
      <c r="BY367" s="585"/>
      <c r="BZ367" s="585"/>
      <c r="CA367" s="586"/>
      <c r="CB367" s="585"/>
      <c r="CC367" s="585"/>
      <c r="CD367" s="585"/>
      <c r="CE367" s="585"/>
      <c r="CF367" s="586"/>
      <c r="CG367" s="470"/>
      <c r="CH367" s="470"/>
      <c r="CI367" s="470"/>
      <c r="CJ367" s="470"/>
      <c r="CK367" s="586"/>
      <c r="CL367" s="470"/>
      <c r="CM367" s="470"/>
      <c r="CN367" s="470"/>
      <c r="CO367" s="470"/>
      <c r="CP367" s="586"/>
      <c r="CQ367" s="470"/>
      <c r="CR367" s="470"/>
      <c r="CS367" s="470"/>
      <c r="CT367" s="470"/>
      <c r="CU367" s="586"/>
      <c r="CV367" s="470"/>
      <c r="CW367" s="470"/>
      <c r="CX367" s="470"/>
      <c r="CY367" s="470"/>
      <c r="CZ367" s="586"/>
      <c r="DA367" s="470"/>
      <c r="DB367" s="470"/>
      <c r="DC367" s="470"/>
      <c r="DD367" s="470"/>
      <c r="DE367" s="586"/>
      <c r="DF367" s="470"/>
      <c r="DG367" s="470"/>
      <c r="DH367" s="470"/>
      <c r="DI367" s="914"/>
      <c r="DJ367" s="586"/>
      <c r="DK367" s="470"/>
      <c r="DL367" s="470"/>
      <c r="DM367" s="470"/>
      <c r="DN367" s="470"/>
      <c r="DO367" s="586"/>
      <c r="DP367" s="470"/>
      <c r="DQ367" s="470"/>
      <c r="DR367" s="470"/>
      <c r="DS367" s="470"/>
      <c r="DT367" s="586"/>
      <c r="DU367" s="470"/>
      <c r="DV367" s="470"/>
      <c r="DW367" s="470"/>
      <c r="DX367" s="470"/>
      <c r="DY367" s="586"/>
    </row>
    <row r="368" spans="1:129" hidden="1" outlineLevel="1" x14ac:dyDescent="0.2">
      <c r="A368" s="526"/>
      <c r="B368" s="756"/>
      <c r="C368" s="597"/>
      <c r="D368" s="597"/>
      <c r="E368" s="597"/>
      <c r="F368" s="597"/>
      <c r="G368" s="597"/>
      <c r="H368" s="597"/>
      <c r="I368" s="598"/>
      <c r="J368" s="597"/>
      <c r="K368" s="597"/>
      <c r="L368" s="597"/>
      <c r="M368" s="597"/>
      <c r="N368" s="598"/>
      <c r="O368" s="597"/>
      <c r="P368" s="597"/>
      <c r="Q368" s="597"/>
      <c r="R368" s="597"/>
      <c r="S368" s="598"/>
      <c r="T368" s="597"/>
      <c r="U368" s="597"/>
      <c r="V368" s="597"/>
      <c r="W368" s="597"/>
      <c r="X368" s="598"/>
      <c r="Y368" s="597"/>
      <c r="Z368" s="597"/>
      <c r="AA368" s="597"/>
      <c r="AB368" s="597"/>
      <c r="AC368" s="598"/>
      <c r="AD368" s="597"/>
      <c r="AE368" s="597"/>
      <c r="AF368" s="597"/>
      <c r="AG368" s="597"/>
      <c r="AH368" s="598"/>
      <c r="AI368" s="597"/>
      <c r="AJ368" s="597"/>
      <c r="AK368" s="597"/>
      <c r="AL368" s="597"/>
      <c r="AM368" s="598"/>
      <c r="AN368" s="597"/>
      <c r="AO368" s="597"/>
      <c r="AP368" s="597"/>
      <c r="AQ368" s="597"/>
      <c r="AR368" s="598"/>
      <c r="AS368" s="597"/>
      <c r="AT368" s="597"/>
      <c r="AU368" s="597"/>
      <c r="AV368" s="597"/>
      <c r="AW368" s="598"/>
      <c r="AX368" s="597"/>
      <c r="AY368" s="597"/>
      <c r="AZ368" s="597"/>
      <c r="BA368" s="597"/>
      <c r="BB368" s="598"/>
      <c r="BC368" s="597"/>
      <c r="BD368" s="597"/>
      <c r="BE368" s="597"/>
      <c r="BF368" s="597"/>
      <c r="BG368" s="598"/>
      <c r="BH368" s="597"/>
      <c r="BI368" s="597"/>
      <c r="BJ368" s="597"/>
      <c r="BK368" s="597"/>
      <c r="BL368" s="598"/>
      <c r="BM368" s="597"/>
      <c r="BN368" s="597"/>
      <c r="BO368" s="597"/>
      <c r="BP368" s="597"/>
      <c r="BQ368" s="598"/>
      <c r="BR368" s="597"/>
      <c r="BS368" s="597"/>
      <c r="BT368" s="597"/>
      <c r="BU368" s="597"/>
      <c r="BV368" s="598"/>
      <c r="BW368" s="597"/>
      <c r="BX368" s="597"/>
      <c r="BY368" s="597"/>
      <c r="BZ368" s="597"/>
      <c r="CA368" s="598"/>
      <c r="CB368" s="597"/>
      <c r="CC368" s="597"/>
      <c r="CD368" s="597"/>
      <c r="CE368" s="597"/>
      <c r="CF368" s="598"/>
      <c r="CG368" s="682"/>
      <c r="CH368" s="682"/>
      <c r="CI368" s="682"/>
      <c r="CJ368" s="682"/>
      <c r="CK368" s="598"/>
      <c r="CL368" s="682"/>
      <c r="CM368" s="682"/>
      <c r="CN368" s="682"/>
      <c r="CO368" s="682"/>
      <c r="CP368" s="598"/>
      <c r="CQ368" s="682"/>
      <c r="CR368" s="682"/>
      <c r="CS368" s="682"/>
      <c r="CT368" s="682"/>
      <c r="CU368" s="598"/>
      <c r="CV368" s="682"/>
      <c r="CW368" s="682"/>
      <c r="CX368" s="682"/>
      <c r="CY368" s="682"/>
      <c r="CZ368" s="598"/>
      <c r="DA368" s="682"/>
      <c r="DB368" s="682"/>
      <c r="DC368" s="682"/>
      <c r="DD368" s="682"/>
      <c r="DE368" s="598"/>
      <c r="DF368" s="682"/>
      <c r="DG368" s="682"/>
      <c r="DH368" s="682"/>
      <c r="DI368" s="1610"/>
      <c r="DJ368" s="598"/>
      <c r="DK368" s="682"/>
      <c r="DL368" s="682"/>
      <c r="DM368" s="682"/>
      <c r="DN368" s="682"/>
      <c r="DO368" s="598"/>
      <c r="DP368" s="682"/>
      <c r="DQ368" s="682"/>
      <c r="DR368" s="682"/>
      <c r="DS368" s="682"/>
      <c r="DT368" s="598"/>
      <c r="DU368" s="682"/>
      <c r="DV368" s="682"/>
      <c r="DW368" s="682"/>
      <c r="DX368" s="682"/>
      <c r="DY368" s="598"/>
    </row>
    <row r="369" spans="1:129" hidden="1" outlineLevel="1" x14ac:dyDescent="0.2">
      <c r="A369" s="466"/>
      <c r="B369" s="607" t="s">
        <v>173</v>
      </c>
      <c r="C369" s="585"/>
      <c r="D369" s="585"/>
      <c r="E369" s="585"/>
      <c r="F369" s="585"/>
      <c r="G369" s="585"/>
      <c r="H369" s="585"/>
      <c r="I369" s="586"/>
      <c r="J369" s="585"/>
      <c r="K369" s="585"/>
      <c r="L369" s="585"/>
      <c r="M369" s="585"/>
      <c r="N369" s="586"/>
      <c r="O369" s="585"/>
      <c r="P369" s="585"/>
      <c r="Q369" s="585"/>
      <c r="R369" s="585"/>
      <c r="S369" s="586"/>
      <c r="T369" s="585"/>
      <c r="U369" s="585"/>
      <c r="V369" s="585"/>
      <c r="W369" s="585"/>
      <c r="X369" s="586"/>
      <c r="Y369" s="585"/>
      <c r="Z369" s="585"/>
      <c r="AA369" s="585"/>
      <c r="AB369" s="585"/>
      <c r="AC369" s="586"/>
      <c r="AD369" s="585"/>
      <c r="AE369" s="585"/>
      <c r="AF369" s="585"/>
      <c r="AG369" s="585"/>
      <c r="AH369" s="586"/>
      <c r="AI369" s="585"/>
      <c r="AJ369" s="585"/>
      <c r="AK369" s="585"/>
      <c r="AL369" s="585"/>
      <c r="AM369" s="586"/>
      <c r="AN369" s="585"/>
      <c r="AO369" s="585"/>
      <c r="AP369" s="585"/>
      <c r="AQ369" s="585"/>
      <c r="AR369" s="586"/>
      <c r="AS369" s="585"/>
      <c r="AT369" s="585"/>
      <c r="AU369" s="585"/>
      <c r="AV369" s="585"/>
      <c r="AW369" s="586"/>
      <c r="AX369" s="585"/>
      <c r="AY369" s="585"/>
      <c r="AZ369" s="585"/>
      <c r="BA369" s="585"/>
      <c r="BB369" s="586"/>
      <c r="BC369" s="585"/>
      <c r="BD369" s="585"/>
      <c r="BE369" s="585"/>
      <c r="BF369" s="585"/>
      <c r="BG369" s="586"/>
      <c r="BH369" s="592">
        <v>19.503000000000043</v>
      </c>
      <c r="BI369" s="592">
        <v>24.783999999999992</v>
      </c>
      <c r="BJ369" s="592">
        <v>34.461000000000013</v>
      </c>
      <c r="BK369" s="592">
        <v>37.382000000000005</v>
      </c>
      <c r="BL369" s="754">
        <v>116.13</v>
      </c>
      <c r="BM369" s="592">
        <v>24.247000000000014</v>
      </c>
      <c r="BN369" s="592">
        <v>34.769000000000005</v>
      </c>
      <c r="BO369" s="592">
        <v>43.934703000000013</v>
      </c>
      <c r="BP369" s="592">
        <v>44.941480000000013</v>
      </c>
      <c r="BQ369" s="754">
        <v>147.89218299999993</v>
      </c>
      <c r="BR369" s="592">
        <v>26.856628399999977</v>
      </c>
      <c r="BS369" s="592">
        <v>37.977684500000009</v>
      </c>
      <c r="BT369" s="592">
        <v>45.562366499999939</v>
      </c>
      <c r="BU369" s="592">
        <v>48.895556499999998</v>
      </c>
      <c r="BV369" s="754">
        <v>159.29223590000038</v>
      </c>
      <c r="BW369" s="585"/>
      <c r="BX369" s="585"/>
      <c r="BY369" s="585"/>
      <c r="BZ369" s="585"/>
      <c r="CA369" s="586"/>
      <c r="CB369" s="585"/>
      <c r="CC369" s="585"/>
      <c r="CD369" s="585"/>
      <c r="CE369" s="585"/>
      <c r="CF369" s="586"/>
      <c r="CG369" s="470"/>
      <c r="CH369" s="470"/>
      <c r="CI369" s="470"/>
      <c r="CJ369" s="470"/>
      <c r="CK369" s="586"/>
      <c r="CL369" s="470"/>
      <c r="CM369" s="470"/>
      <c r="CN369" s="470"/>
      <c r="CO369" s="470"/>
      <c r="CP369" s="586"/>
      <c r="CQ369" s="470"/>
      <c r="CR369" s="470"/>
      <c r="CS369" s="470"/>
      <c r="CT369" s="470"/>
      <c r="CU369" s="586"/>
      <c r="CV369" s="470"/>
      <c r="CW369" s="470"/>
      <c r="CX369" s="470"/>
      <c r="CY369" s="470"/>
      <c r="CZ369" s="586"/>
      <c r="DA369" s="470"/>
      <c r="DB369" s="470"/>
      <c r="DC369" s="470"/>
      <c r="DD369" s="470"/>
      <c r="DE369" s="586"/>
      <c r="DF369" s="470"/>
      <c r="DG369" s="470"/>
      <c r="DH369" s="470"/>
      <c r="DI369" s="914"/>
      <c r="DJ369" s="586"/>
      <c r="DK369" s="470"/>
      <c r="DL369" s="470"/>
      <c r="DM369" s="470"/>
      <c r="DN369" s="470"/>
      <c r="DO369" s="586"/>
      <c r="DP369" s="470"/>
      <c r="DQ369" s="470"/>
      <c r="DR369" s="470"/>
      <c r="DS369" s="470"/>
      <c r="DT369" s="586"/>
      <c r="DU369" s="470"/>
      <c r="DV369" s="470"/>
      <c r="DW369" s="470"/>
      <c r="DX369" s="470"/>
      <c r="DY369" s="586"/>
    </row>
    <row r="370" spans="1:129" hidden="1" outlineLevel="1" x14ac:dyDescent="0.2">
      <c r="A370" s="526"/>
      <c r="B370" s="756" t="s">
        <v>850</v>
      </c>
      <c r="C370" s="597"/>
      <c r="D370" s="597"/>
      <c r="E370" s="597"/>
      <c r="F370" s="597"/>
      <c r="G370" s="597"/>
      <c r="H370" s="597"/>
      <c r="I370" s="593"/>
      <c r="J370" s="597"/>
      <c r="K370" s="597"/>
      <c r="L370" s="597"/>
      <c r="M370" s="597"/>
      <c r="N370" s="593"/>
      <c r="O370" s="600"/>
      <c r="P370" s="600"/>
      <c r="Q370" s="600"/>
      <c r="R370" s="600"/>
      <c r="S370" s="593"/>
      <c r="T370" s="600"/>
      <c r="U370" s="600"/>
      <c r="V370" s="600"/>
      <c r="W370" s="600"/>
      <c r="X370" s="593"/>
      <c r="Y370" s="600"/>
      <c r="Z370" s="600"/>
      <c r="AA370" s="600"/>
      <c r="AB370" s="600"/>
      <c r="AC370" s="593"/>
      <c r="AD370" s="600"/>
      <c r="AE370" s="600"/>
      <c r="AF370" s="600"/>
      <c r="AG370" s="600"/>
      <c r="AH370" s="593"/>
      <c r="AI370" s="600"/>
      <c r="AJ370" s="600"/>
      <c r="AK370" s="600"/>
      <c r="AL370" s="600"/>
      <c r="AM370" s="593"/>
      <c r="AN370" s="600"/>
      <c r="AO370" s="600"/>
      <c r="AP370" s="600"/>
      <c r="AQ370" s="600"/>
      <c r="AR370" s="593"/>
      <c r="AS370" s="600"/>
      <c r="AT370" s="600"/>
      <c r="AU370" s="600"/>
      <c r="AV370" s="600"/>
      <c r="AW370" s="593"/>
      <c r="AX370" s="600"/>
      <c r="AY370" s="600"/>
      <c r="AZ370" s="600"/>
      <c r="BA370" s="600"/>
      <c r="BB370" s="593"/>
      <c r="BC370" s="600"/>
      <c r="BD370" s="600"/>
      <c r="BE370" s="600"/>
      <c r="BF370" s="600"/>
      <c r="BG370" s="593"/>
      <c r="BH370" s="800">
        <v>6.7351473993379984E-2</v>
      </c>
      <c r="BI370" s="800">
        <v>0.10693359796349827</v>
      </c>
      <c r="BJ370" s="800">
        <v>0.11532900945764146</v>
      </c>
      <c r="BK370" s="800">
        <v>0.10592577375091207</v>
      </c>
      <c r="BL370" s="969">
        <v>9.8998000092067454E-2</v>
      </c>
      <c r="BM370" s="800">
        <v>5.775095896316465E-2</v>
      </c>
      <c r="BN370" s="800">
        <v>9.5043231289448735E-2</v>
      </c>
      <c r="BO370" s="800">
        <v>0.11748270838581121</v>
      </c>
      <c r="BP370" s="800">
        <v>0.10725368664948577</v>
      </c>
      <c r="BQ370" s="969">
        <v>9.3681786343213225E-2</v>
      </c>
      <c r="BR370" s="800">
        <v>4.2739575808177339E-2</v>
      </c>
      <c r="BS370" s="800">
        <v>6.6245495166862761E-2</v>
      </c>
      <c r="BT370" s="800">
        <v>7.6465163357569768E-2</v>
      </c>
      <c r="BU370" s="800">
        <v>7.3400305314473654E-2</v>
      </c>
      <c r="BV370" s="969">
        <v>6.4656415242795667E-2</v>
      </c>
      <c r="BW370" s="600"/>
      <c r="BX370" s="600"/>
      <c r="BY370" s="600"/>
      <c r="BZ370" s="600"/>
      <c r="CA370" s="593"/>
      <c r="CB370" s="600"/>
      <c r="CC370" s="600"/>
      <c r="CD370" s="600"/>
      <c r="CE370" s="600"/>
      <c r="CF370" s="593"/>
      <c r="CG370" s="542"/>
      <c r="CH370" s="542"/>
      <c r="CI370" s="542"/>
      <c r="CJ370" s="542"/>
      <c r="CK370" s="593"/>
      <c r="CL370" s="542"/>
      <c r="CM370" s="542"/>
      <c r="CN370" s="542"/>
      <c r="CO370" s="542"/>
      <c r="CP370" s="593"/>
      <c r="CQ370" s="542"/>
      <c r="CR370" s="542"/>
      <c r="CS370" s="542"/>
      <c r="CT370" s="542"/>
      <c r="CU370" s="593"/>
      <c r="CV370" s="542"/>
      <c r="CW370" s="542"/>
      <c r="CX370" s="542"/>
      <c r="CY370" s="542"/>
      <c r="CZ370" s="593"/>
      <c r="DA370" s="542"/>
      <c r="DB370" s="542"/>
      <c r="DC370" s="542"/>
      <c r="DD370" s="542"/>
      <c r="DE370" s="593"/>
      <c r="DF370" s="542"/>
      <c r="DG370" s="542"/>
      <c r="DH370" s="542"/>
      <c r="DI370" s="899"/>
      <c r="DJ370" s="593"/>
      <c r="DK370" s="542"/>
      <c r="DL370" s="542"/>
      <c r="DM370" s="542"/>
      <c r="DN370" s="542"/>
      <c r="DO370" s="593"/>
      <c r="DP370" s="542"/>
      <c r="DQ370" s="542"/>
      <c r="DR370" s="542"/>
      <c r="DS370" s="542"/>
      <c r="DT370" s="593"/>
      <c r="DU370" s="542"/>
      <c r="DV370" s="542"/>
      <c r="DW370" s="542"/>
      <c r="DX370" s="542"/>
      <c r="DY370" s="593"/>
    </row>
    <row r="371" spans="1:129" hidden="1" outlineLevel="1" x14ac:dyDescent="0.2">
      <c r="A371" s="526"/>
      <c r="B371" s="756"/>
      <c r="C371" s="597"/>
      <c r="D371" s="597"/>
      <c r="E371" s="597"/>
      <c r="F371" s="597"/>
      <c r="G371" s="597"/>
      <c r="H371" s="597"/>
      <c r="I371" s="598"/>
      <c r="J371" s="597"/>
      <c r="K371" s="597"/>
      <c r="L371" s="597"/>
      <c r="M371" s="597"/>
      <c r="N371" s="598"/>
      <c r="O371" s="597"/>
      <c r="P371" s="597"/>
      <c r="Q371" s="597"/>
      <c r="R371" s="597"/>
      <c r="S371" s="598"/>
      <c r="T371" s="597"/>
      <c r="U371" s="597"/>
      <c r="V371" s="597"/>
      <c r="W371" s="597"/>
      <c r="X371" s="598"/>
      <c r="Y371" s="597"/>
      <c r="Z371" s="597"/>
      <c r="AA371" s="597"/>
      <c r="AB371" s="597"/>
      <c r="AC371" s="598"/>
      <c r="AD371" s="597"/>
      <c r="AE371" s="597"/>
      <c r="AF371" s="597"/>
      <c r="AG371" s="597"/>
      <c r="AH371" s="598"/>
      <c r="AI371" s="597"/>
      <c r="AJ371" s="597"/>
      <c r="AK371" s="597"/>
      <c r="AL371" s="597"/>
      <c r="AM371" s="598"/>
      <c r="AN371" s="597"/>
      <c r="AO371" s="597"/>
      <c r="AP371" s="597"/>
      <c r="AQ371" s="597"/>
      <c r="AR371" s="598"/>
      <c r="AS371" s="597"/>
      <c r="AT371" s="597"/>
      <c r="AU371" s="597"/>
      <c r="AV371" s="597"/>
      <c r="AW371" s="598"/>
      <c r="AX371" s="597"/>
      <c r="AY371" s="597"/>
      <c r="AZ371" s="597"/>
      <c r="BA371" s="597"/>
      <c r="BB371" s="598"/>
      <c r="BC371" s="597"/>
      <c r="BD371" s="597"/>
      <c r="BE371" s="597"/>
      <c r="BF371" s="597"/>
      <c r="BG371" s="598"/>
      <c r="BH371" s="597"/>
      <c r="BI371" s="597"/>
      <c r="BJ371" s="597"/>
      <c r="BK371" s="597"/>
      <c r="BL371" s="598"/>
      <c r="BM371" s="597"/>
      <c r="BN371" s="597"/>
      <c r="BO371" s="597"/>
      <c r="BP371" s="597"/>
      <c r="BQ371" s="598"/>
      <c r="BR371" s="597"/>
      <c r="BS371" s="597"/>
      <c r="BT371" s="597"/>
      <c r="BU371" s="597"/>
      <c r="BV371" s="598"/>
      <c r="BW371" s="597"/>
      <c r="BX371" s="597"/>
      <c r="BY371" s="597"/>
      <c r="BZ371" s="597"/>
      <c r="CA371" s="598"/>
      <c r="CB371" s="597"/>
      <c r="CC371" s="597"/>
      <c r="CD371" s="597"/>
      <c r="CE371" s="597"/>
      <c r="CF371" s="598"/>
      <c r="CG371" s="682"/>
      <c r="CH371" s="682"/>
      <c r="CI371" s="682"/>
      <c r="CJ371" s="682"/>
      <c r="CK371" s="598"/>
      <c r="CL371" s="682"/>
      <c r="CM371" s="682"/>
      <c r="CN371" s="682"/>
      <c r="CO371" s="682"/>
      <c r="CP371" s="598"/>
      <c r="CQ371" s="682"/>
      <c r="CR371" s="682"/>
      <c r="CS371" s="682"/>
      <c r="CT371" s="682"/>
      <c r="CU371" s="598"/>
      <c r="CV371" s="682"/>
      <c r="CW371" s="682"/>
      <c r="CX371" s="682"/>
      <c r="CY371" s="682"/>
      <c r="CZ371" s="598"/>
      <c r="DA371" s="682"/>
      <c r="DB371" s="682"/>
      <c r="DC371" s="682"/>
      <c r="DD371" s="682"/>
      <c r="DE371" s="598"/>
      <c r="DF371" s="682"/>
      <c r="DG371" s="682"/>
      <c r="DH371" s="682"/>
      <c r="DI371" s="1610"/>
      <c r="DJ371" s="598"/>
      <c r="DK371" s="682"/>
      <c r="DL371" s="682"/>
      <c r="DM371" s="682"/>
      <c r="DN371" s="682"/>
      <c r="DO371" s="598"/>
      <c r="DP371" s="682"/>
      <c r="DQ371" s="682"/>
      <c r="DR371" s="682"/>
      <c r="DS371" s="682"/>
      <c r="DT371" s="598"/>
      <c r="DU371" s="682"/>
      <c r="DV371" s="682"/>
      <c r="DW371" s="682"/>
      <c r="DX371" s="682"/>
      <c r="DY371" s="598"/>
    </row>
    <row r="372" spans="1:129" hidden="1" outlineLevel="1" x14ac:dyDescent="0.2">
      <c r="A372" s="466"/>
      <c r="B372" s="607" t="s">
        <v>851</v>
      </c>
      <c r="C372" s="585"/>
      <c r="D372" s="585"/>
      <c r="E372" s="585"/>
      <c r="F372" s="585"/>
      <c r="G372" s="585"/>
      <c r="H372" s="585"/>
      <c r="I372" s="586"/>
      <c r="J372" s="585"/>
      <c r="K372" s="585"/>
      <c r="L372" s="585"/>
      <c r="M372" s="585"/>
      <c r="N372" s="586"/>
      <c r="O372" s="585"/>
      <c r="P372" s="585"/>
      <c r="Q372" s="585"/>
      <c r="R372" s="585"/>
      <c r="S372" s="586"/>
      <c r="T372" s="585"/>
      <c r="U372" s="585"/>
      <c r="V372" s="585"/>
      <c r="W372" s="585"/>
      <c r="X372" s="586"/>
      <c r="Y372" s="585"/>
      <c r="Z372" s="585"/>
      <c r="AA372" s="585"/>
      <c r="AB372" s="585"/>
      <c r="AC372" s="586"/>
      <c r="AD372" s="585"/>
      <c r="AE372" s="585"/>
      <c r="AF372" s="585"/>
      <c r="AG372" s="585"/>
      <c r="AH372" s="586"/>
      <c r="AI372" s="585"/>
      <c r="AJ372" s="585"/>
      <c r="AK372" s="585"/>
      <c r="AL372" s="585"/>
      <c r="AM372" s="586"/>
      <c r="AN372" s="585"/>
      <c r="AO372" s="585"/>
      <c r="AP372" s="585"/>
      <c r="AQ372" s="585"/>
      <c r="AR372" s="586"/>
      <c r="AS372" s="585"/>
      <c r="AT372" s="585"/>
      <c r="AU372" s="585"/>
      <c r="AV372" s="585"/>
      <c r="AW372" s="586"/>
      <c r="AX372" s="585"/>
      <c r="AY372" s="585"/>
      <c r="AZ372" s="585"/>
      <c r="BA372" s="585"/>
      <c r="BB372" s="586"/>
      <c r="BC372" s="585"/>
      <c r="BD372" s="585"/>
      <c r="BE372" s="585"/>
      <c r="BF372" s="585"/>
      <c r="BG372" s="586"/>
      <c r="BH372" s="592">
        <v>6.2387800000000144</v>
      </c>
      <c r="BI372" s="592">
        <v>6.373949999999998</v>
      </c>
      <c r="BJ372" s="592">
        <v>9.1952799999999897</v>
      </c>
      <c r="BK372" s="592">
        <v>10.962599999999998</v>
      </c>
      <c r="BL372" s="754">
        <v>32.770610000000005</v>
      </c>
      <c r="BM372" s="592">
        <v>11.365149999999986</v>
      </c>
      <c r="BN372" s="592">
        <v>11.174556800000005</v>
      </c>
      <c r="BO372" s="592">
        <v>11.3919</v>
      </c>
      <c r="BP372" s="592">
        <v>10.729729999999998</v>
      </c>
      <c r="BQ372" s="754">
        <v>22.121629999999996</v>
      </c>
      <c r="BR372" s="592">
        <v>12.681356800000003</v>
      </c>
      <c r="BS372" s="592">
        <v>12.335500800000002</v>
      </c>
      <c r="BT372" s="592">
        <v>12.758928000000001</v>
      </c>
      <c r="BU372" s="592">
        <v>12.290417999999999</v>
      </c>
      <c r="BV372" s="754">
        <v>25.049346</v>
      </c>
      <c r="BW372" s="585"/>
      <c r="BX372" s="585"/>
      <c r="BY372" s="585"/>
      <c r="BZ372" s="585"/>
      <c r="CA372" s="586"/>
      <c r="CB372" s="585"/>
      <c r="CC372" s="585"/>
      <c r="CD372" s="585"/>
      <c r="CE372" s="585"/>
      <c r="CF372" s="586"/>
      <c r="CG372" s="470"/>
      <c r="CH372" s="470"/>
      <c r="CI372" s="470"/>
      <c r="CJ372" s="470"/>
      <c r="CK372" s="586"/>
      <c r="CL372" s="470"/>
      <c r="CM372" s="470"/>
      <c r="CN372" s="470"/>
      <c r="CO372" s="470"/>
      <c r="CP372" s="586"/>
      <c r="CQ372" s="470"/>
      <c r="CR372" s="470"/>
      <c r="CS372" s="470"/>
      <c r="CT372" s="470"/>
      <c r="CU372" s="586"/>
      <c r="CV372" s="470"/>
      <c r="CW372" s="470"/>
      <c r="CX372" s="470"/>
      <c r="CY372" s="470"/>
      <c r="CZ372" s="586"/>
      <c r="DA372" s="470"/>
      <c r="DB372" s="470"/>
      <c r="DC372" s="470"/>
      <c r="DD372" s="470"/>
      <c r="DE372" s="586"/>
      <c r="DF372" s="470"/>
      <c r="DG372" s="470"/>
      <c r="DH372" s="470"/>
      <c r="DI372" s="914"/>
      <c r="DJ372" s="586"/>
      <c r="DK372" s="470"/>
      <c r="DL372" s="470"/>
      <c r="DM372" s="470"/>
      <c r="DN372" s="470"/>
      <c r="DO372" s="586"/>
      <c r="DP372" s="470"/>
      <c r="DQ372" s="470"/>
      <c r="DR372" s="470"/>
      <c r="DS372" s="470"/>
      <c r="DT372" s="586"/>
      <c r="DU372" s="470"/>
      <c r="DV372" s="470"/>
      <c r="DW372" s="470"/>
      <c r="DX372" s="470"/>
      <c r="DY372" s="586"/>
    </row>
    <row r="373" spans="1:129" hidden="1" outlineLevel="1" x14ac:dyDescent="0.2">
      <c r="A373" s="466"/>
      <c r="B373" s="607" t="s">
        <v>852</v>
      </c>
      <c r="C373" s="585"/>
      <c r="D373" s="585"/>
      <c r="E373" s="585"/>
      <c r="F373" s="585"/>
      <c r="G373" s="585"/>
      <c r="H373" s="585"/>
      <c r="I373" s="586"/>
      <c r="J373" s="585"/>
      <c r="K373" s="585"/>
      <c r="L373" s="585"/>
      <c r="M373" s="585"/>
      <c r="N373" s="586"/>
      <c r="O373" s="585"/>
      <c r="P373" s="585"/>
      <c r="Q373" s="585"/>
      <c r="R373" s="585"/>
      <c r="S373" s="586"/>
      <c r="T373" s="585"/>
      <c r="U373" s="585"/>
      <c r="V373" s="585"/>
      <c r="W373" s="585"/>
      <c r="X373" s="586"/>
      <c r="Y373" s="585"/>
      <c r="Z373" s="585"/>
      <c r="AA373" s="585"/>
      <c r="AB373" s="585"/>
      <c r="AC373" s="586"/>
      <c r="AD373" s="585"/>
      <c r="AE373" s="585"/>
      <c r="AF373" s="585"/>
      <c r="AG373" s="585"/>
      <c r="AH373" s="586"/>
      <c r="AI373" s="585"/>
      <c r="AJ373" s="585"/>
      <c r="AK373" s="585"/>
      <c r="AL373" s="585"/>
      <c r="AM373" s="586"/>
      <c r="AN373" s="585"/>
      <c r="AO373" s="585"/>
      <c r="AP373" s="585"/>
      <c r="AQ373" s="585"/>
      <c r="AR373" s="586"/>
      <c r="AS373" s="585"/>
      <c r="AT373" s="585"/>
      <c r="AU373" s="585"/>
      <c r="AV373" s="585"/>
      <c r="AW373" s="586"/>
      <c r="AX373" s="585"/>
      <c r="AY373" s="585"/>
      <c r="AZ373" s="585"/>
      <c r="BA373" s="585"/>
      <c r="BB373" s="586"/>
      <c r="BC373" s="585"/>
      <c r="BD373" s="585"/>
      <c r="BE373" s="585"/>
      <c r="BF373" s="585"/>
      <c r="BG373" s="586"/>
      <c r="BH373" s="592">
        <v>8.6902200000000001</v>
      </c>
      <c r="BI373" s="592">
        <v>7.5520500000000004</v>
      </c>
      <c r="BJ373" s="592">
        <v>7.2817199999999991</v>
      </c>
      <c r="BK373" s="592">
        <v>10.541399999999999</v>
      </c>
      <c r="BL373" s="754">
        <v>34.065390000000001</v>
      </c>
      <c r="BM373" s="592">
        <v>8.3558500000000002</v>
      </c>
      <c r="BN373" s="592">
        <v>8.6924431999999996</v>
      </c>
      <c r="BO373" s="592">
        <v>8.0098919999999989</v>
      </c>
      <c r="BP373" s="592">
        <v>8.5648874999999993</v>
      </c>
      <c r="BQ373" s="754">
        <v>16.574779499999998</v>
      </c>
      <c r="BR373" s="592">
        <v>12.9849909</v>
      </c>
      <c r="BS373" s="592">
        <v>13.096873125</v>
      </c>
      <c r="BT373" s="592">
        <v>11.82710615625</v>
      </c>
      <c r="BU373" s="592">
        <v>11.990842499999999</v>
      </c>
      <c r="BV373" s="754">
        <v>23.81794865625</v>
      </c>
      <c r="BW373" s="585"/>
      <c r="BX373" s="585"/>
      <c r="BY373" s="585"/>
      <c r="BZ373" s="585"/>
      <c r="CA373" s="586"/>
      <c r="CB373" s="585"/>
      <c r="CC373" s="585"/>
      <c r="CD373" s="585"/>
      <c r="CE373" s="585"/>
      <c r="CF373" s="586"/>
      <c r="CG373" s="470"/>
      <c r="CH373" s="470"/>
      <c r="CI373" s="470"/>
      <c r="CJ373" s="470"/>
      <c r="CK373" s="586"/>
      <c r="CL373" s="470"/>
      <c r="CM373" s="470"/>
      <c r="CN373" s="470"/>
      <c r="CO373" s="470"/>
      <c r="CP373" s="586"/>
      <c r="CQ373" s="470"/>
      <c r="CR373" s="470"/>
      <c r="CS373" s="470"/>
      <c r="CT373" s="470"/>
      <c r="CU373" s="586"/>
      <c r="CV373" s="470"/>
      <c r="CW373" s="470"/>
      <c r="CX373" s="470"/>
      <c r="CY373" s="470"/>
      <c r="CZ373" s="586"/>
      <c r="DA373" s="470"/>
      <c r="DB373" s="470"/>
      <c r="DC373" s="470"/>
      <c r="DD373" s="470"/>
      <c r="DE373" s="586"/>
      <c r="DF373" s="470"/>
      <c r="DG373" s="470"/>
      <c r="DH373" s="470"/>
      <c r="DI373" s="914"/>
      <c r="DJ373" s="586"/>
      <c r="DK373" s="470"/>
      <c r="DL373" s="470"/>
      <c r="DM373" s="470"/>
      <c r="DN373" s="470"/>
      <c r="DO373" s="586"/>
      <c r="DP373" s="470"/>
      <c r="DQ373" s="470"/>
      <c r="DR373" s="470"/>
      <c r="DS373" s="470"/>
      <c r="DT373" s="586"/>
      <c r="DU373" s="470"/>
      <c r="DV373" s="470"/>
      <c r="DW373" s="470"/>
      <c r="DX373" s="470"/>
      <c r="DY373" s="586"/>
    </row>
    <row r="374" spans="1:129" hidden="1" outlineLevel="1" x14ac:dyDescent="0.2">
      <c r="A374" s="466"/>
      <c r="B374" s="607" t="s">
        <v>208</v>
      </c>
      <c r="C374" s="585"/>
      <c r="D374" s="585"/>
      <c r="E374" s="585"/>
      <c r="F374" s="585"/>
      <c r="G374" s="585"/>
      <c r="H374" s="585"/>
      <c r="I374" s="586"/>
      <c r="J374" s="585"/>
      <c r="K374" s="585"/>
      <c r="L374" s="585"/>
      <c r="M374" s="585"/>
      <c r="N374" s="586"/>
      <c r="O374" s="585"/>
      <c r="P374" s="585"/>
      <c r="Q374" s="585"/>
      <c r="R374" s="585"/>
      <c r="S374" s="586"/>
      <c r="T374" s="585"/>
      <c r="U374" s="585"/>
      <c r="V374" s="585"/>
      <c r="W374" s="585"/>
      <c r="X374" s="586"/>
      <c r="Y374" s="585"/>
      <c r="Z374" s="585"/>
      <c r="AA374" s="585"/>
      <c r="AB374" s="585"/>
      <c r="AC374" s="586"/>
      <c r="AD374" s="585"/>
      <c r="AE374" s="585"/>
      <c r="AF374" s="585"/>
      <c r="AG374" s="585"/>
      <c r="AH374" s="586"/>
      <c r="AI374" s="585"/>
      <c r="AJ374" s="585"/>
      <c r="AK374" s="585"/>
      <c r="AL374" s="585"/>
      <c r="AM374" s="586"/>
      <c r="AN374" s="585"/>
      <c r="AO374" s="585"/>
      <c r="AP374" s="585"/>
      <c r="AQ374" s="585"/>
      <c r="AR374" s="586"/>
      <c r="AS374" s="585"/>
      <c r="AT374" s="585"/>
      <c r="AU374" s="585"/>
      <c r="AV374" s="585"/>
      <c r="AW374" s="586"/>
      <c r="AX374" s="585"/>
      <c r="AY374" s="585"/>
      <c r="AZ374" s="585"/>
      <c r="BA374" s="585"/>
      <c r="BB374" s="586"/>
      <c r="BC374" s="585"/>
      <c r="BD374" s="585"/>
      <c r="BE374" s="585"/>
      <c r="BF374" s="585"/>
      <c r="BG374" s="586"/>
      <c r="BH374" s="592">
        <v>14.929000000000014</v>
      </c>
      <c r="BI374" s="592">
        <v>13.925999999999998</v>
      </c>
      <c r="BJ374" s="592">
        <v>16.47699999999999</v>
      </c>
      <c r="BK374" s="592">
        <v>21.503999999999998</v>
      </c>
      <c r="BL374" s="754">
        <v>66.836000000000013</v>
      </c>
      <c r="BM374" s="592">
        <v>19.720999999999986</v>
      </c>
      <c r="BN374" s="592">
        <v>19.867000000000004</v>
      </c>
      <c r="BO374" s="592">
        <v>19.401792</v>
      </c>
      <c r="BP374" s="592">
        <v>19.294617499999998</v>
      </c>
      <c r="BQ374" s="754">
        <v>38.696409499999994</v>
      </c>
      <c r="BR374" s="592">
        <v>25.666347700000003</v>
      </c>
      <c r="BS374" s="592">
        <v>25.432373925</v>
      </c>
      <c r="BT374" s="592">
        <v>24.586034156250001</v>
      </c>
      <c r="BU374" s="592">
        <v>24.281260499999998</v>
      </c>
      <c r="BV374" s="754">
        <v>48.867294656249996</v>
      </c>
      <c r="BW374" s="585"/>
      <c r="BX374" s="585"/>
      <c r="BY374" s="585"/>
      <c r="BZ374" s="585"/>
      <c r="CA374" s="586"/>
      <c r="CB374" s="585"/>
      <c r="CC374" s="585"/>
      <c r="CD374" s="585"/>
      <c r="CE374" s="585"/>
      <c r="CF374" s="586"/>
      <c r="CG374" s="470"/>
      <c r="CH374" s="470"/>
      <c r="CI374" s="470"/>
      <c r="CJ374" s="470"/>
      <c r="CK374" s="586"/>
      <c r="CL374" s="470"/>
      <c r="CM374" s="470"/>
      <c r="CN374" s="470"/>
      <c r="CO374" s="470"/>
      <c r="CP374" s="586"/>
      <c r="CQ374" s="470"/>
      <c r="CR374" s="470"/>
      <c r="CS374" s="470"/>
      <c r="CT374" s="470"/>
      <c r="CU374" s="586"/>
      <c r="CV374" s="470"/>
      <c r="CW374" s="470"/>
      <c r="CX374" s="470"/>
      <c r="CY374" s="470"/>
      <c r="CZ374" s="586"/>
      <c r="DA374" s="470"/>
      <c r="DB374" s="470"/>
      <c r="DC374" s="470"/>
      <c r="DD374" s="470"/>
      <c r="DE374" s="586"/>
      <c r="DF374" s="470"/>
      <c r="DG374" s="470"/>
      <c r="DH374" s="470"/>
      <c r="DI374" s="914"/>
      <c r="DJ374" s="586"/>
      <c r="DK374" s="470"/>
      <c r="DL374" s="470"/>
      <c r="DM374" s="470"/>
      <c r="DN374" s="470"/>
      <c r="DO374" s="586"/>
      <c r="DP374" s="470"/>
      <c r="DQ374" s="470"/>
      <c r="DR374" s="470"/>
      <c r="DS374" s="470"/>
      <c r="DT374" s="586"/>
      <c r="DU374" s="470"/>
      <c r="DV374" s="470"/>
      <c r="DW374" s="470"/>
      <c r="DX374" s="470"/>
      <c r="DY374" s="586"/>
    </row>
    <row r="375" spans="1:129" hidden="1" outlineLevel="1" x14ac:dyDescent="0.2">
      <c r="A375" s="526"/>
      <c r="B375" s="756" t="s">
        <v>853</v>
      </c>
      <c r="C375" s="597"/>
      <c r="D375" s="597"/>
      <c r="E375" s="597"/>
      <c r="F375" s="597"/>
      <c r="G375" s="597"/>
      <c r="H375" s="597"/>
      <c r="I375" s="593"/>
      <c r="J375" s="597"/>
      <c r="K375" s="597"/>
      <c r="L375" s="597"/>
      <c r="M375" s="597"/>
      <c r="N375" s="593"/>
      <c r="O375" s="600"/>
      <c r="P375" s="600"/>
      <c r="Q375" s="600"/>
      <c r="R375" s="600"/>
      <c r="S375" s="593"/>
      <c r="T375" s="600"/>
      <c r="U375" s="600"/>
      <c r="V375" s="600"/>
      <c r="W375" s="600"/>
      <c r="X375" s="593"/>
      <c r="Y375" s="600"/>
      <c r="Z375" s="600"/>
      <c r="AA375" s="600"/>
      <c r="AB375" s="600"/>
      <c r="AC375" s="593"/>
      <c r="AD375" s="600"/>
      <c r="AE375" s="600"/>
      <c r="AF375" s="600"/>
      <c r="AG375" s="600"/>
      <c r="AH375" s="593"/>
      <c r="AI375" s="600"/>
      <c r="AJ375" s="600"/>
      <c r="AK375" s="600"/>
      <c r="AL375" s="600"/>
      <c r="AM375" s="593"/>
      <c r="AN375" s="600"/>
      <c r="AO375" s="600"/>
      <c r="AP375" s="600"/>
      <c r="AQ375" s="600"/>
      <c r="AR375" s="593"/>
      <c r="AS375" s="600"/>
      <c r="AT375" s="600"/>
      <c r="AU375" s="600"/>
      <c r="AV375" s="600"/>
      <c r="AW375" s="593"/>
      <c r="AX375" s="600"/>
      <c r="AY375" s="600"/>
      <c r="AZ375" s="600"/>
      <c r="BA375" s="600"/>
      <c r="BB375" s="593"/>
      <c r="BC375" s="600"/>
      <c r="BD375" s="600"/>
      <c r="BE375" s="600"/>
      <c r="BF375" s="600"/>
      <c r="BG375" s="593"/>
      <c r="BH375" s="800">
        <v>5.1555666064050078E-2</v>
      </c>
      <c r="BI375" s="800">
        <v>6.0085429520645467E-2</v>
      </c>
      <c r="BJ375" s="800">
        <v>5.5142801684035764E-2</v>
      </c>
      <c r="BK375" s="800">
        <v>6.0933814101428833E-2</v>
      </c>
      <c r="BL375" s="969">
        <v>5.69760641880084E-2</v>
      </c>
      <c r="BM375" s="800">
        <v>4.6971034012973506E-2</v>
      </c>
      <c r="BN375" s="800">
        <v>5.4307684317279128E-2</v>
      </c>
      <c r="BO375" s="800">
        <v>5.188097144296535E-2</v>
      </c>
      <c r="BP375" s="800">
        <v>4.6046967286495315E-2</v>
      </c>
      <c r="BQ375" s="969">
        <v>2.4512105328977987E-2</v>
      </c>
      <c r="BR375" s="800">
        <v>4.0845365877840017E-2</v>
      </c>
      <c r="BS375" s="800">
        <v>4.4362372959584555E-2</v>
      </c>
      <c r="BT375" s="800">
        <v>4.1261577536198621E-2</v>
      </c>
      <c r="BU375" s="800">
        <v>3.6450182014397751E-2</v>
      </c>
      <c r="BV375" s="969">
        <v>1.9835141852551155E-2</v>
      </c>
      <c r="BW375" s="600"/>
      <c r="BX375" s="600"/>
      <c r="BY375" s="600"/>
      <c r="BZ375" s="600"/>
      <c r="CA375" s="593"/>
      <c r="CB375" s="600"/>
      <c r="CC375" s="600"/>
      <c r="CD375" s="600"/>
      <c r="CE375" s="600"/>
      <c r="CF375" s="593"/>
      <c r="CG375" s="542"/>
      <c r="CH375" s="542"/>
      <c r="CI375" s="542"/>
      <c r="CJ375" s="542"/>
      <c r="CK375" s="593"/>
      <c r="CL375" s="542"/>
      <c r="CM375" s="542"/>
      <c r="CN375" s="542"/>
      <c r="CO375" s="542"/>
      <c r="CP375" s="593"/>
      <c r="CQ375" s="542"/>
      <c r="CR375" s="542"/>
      <c r="CS375" s="542"/>
      <c r="CT375" s="542"/>
      <c r="CU375" s="593"/>
      <c r="CV375" s="542"/>
      <c r="CW375" s="542"/>
      <c r="CX375" s="542"/>
      <c r="CY375" s="542"/>
      <c r="CZ375" s="593"/>
      <c r="DA375" s="542"/>
      <c r="DB375" s="542"/>
      <c r="DC375" s="542"/>
      <c r="DD375" s="542"/>
      <c r="DE375" s="593"/>
      <c r="DF375" s="542"/>
      <c r="DG375" s="542"/>
      <c r="DH375" s="542"/>
      <c r="DI375" s="899"/>
      <c r="DJ375" s="593"/>
      <c r="DK375" s="542"/>
      <c r="DL375" s="542"/>
      <c r="DM375" s="542"/>
      <c r="DN375" s="542"/>
      <c r="DO375" s="593"/>
      <c r="DP375" s="542"/>
      <c r="DQ375" s="542"/>
      <c r="DR375" s="542"/>
      <c r="DS375" s="542"/>
      <c r="DT375" s="593"/>
      <c r="DU375" s="542"/>
      <c r="DV375" s="542"/>
      <c r="DW375" s="542"/>
      <c r="DX375" s="542"/>
      <c r="DY375" s="593"/>
    </row>
    <row r="376" spans="1:129" hidden="1" outlineLevel="1" x14ac:dyDescent="0.2">
      <c r="A376" s="526"/>
      <c r="B376" s="756"/>
      <c r="C376" s="597"/>
      <c r="D376" s="597"/>
      <c r="E376" s="597"/>
      <c r="F376" s="597"/>
      <c r="G376" s="597"/>
      <c r="H376" s="597"/>
      <c r="I376" s="598"/>
      <c r="J376" s="597"/>
      <c r="K376" s="597"/>
      <c r="L376" s="597"/>
      <c r="M376" s="597"/>
      <c r="N376" s="598"/>
      <c r="O376" s="597"/>
      <c r="P376" s="597"/>
      <c r="Q376" s="597"/>
      <c r="R376" s="597"/>
      <c r="S376" s="598"/>
      <c r="T376" s="597"/>
      <c r="U376" s="597"/>
      <c r="V376" s="597"/>
      <c r="W376" s="597"/>
      <c r="X376" s="598"/>
      <c r="Y376" s="597"/>
      <c r="Z376" s="597"/>
      <c r="AA376" s="597"/>
      <c r="AB376" s="597"/>
      <c r="AC376" s="598"/>
      <c r="AD376" s="597"/>
      <c r="AE376" s="597"/>
      <c r="AF376" s="597"/>
      <c r="AG376" s="597"/>
      <c r="AH376" s="598"/>
      <c r="AI376" s="597"/>
      <c r="AJ376" s="597"/>
      <c r="AK376" s="597"/>
      <c r="AL376" s="597"/>
      <c r="AM376" s="598"/>
      <c r="AN376" s="597"/>
      <c r="AO376" s="597"/>
      <c r="AP376" s="597"/>
      <c r="AQ376" s="597"/>
      <c r="AR376" s="598"/>
      <c r="AS376" s="597"/>
      <c r="AT376" s="597"/>
      <c r="AU376" s="597"/>
      <c r="AV376" s="597"/>
      <c r="AW376" s="598"/>
      <c r="AX376" s="597"/>
      <c r="AY376" s="597"/>
      <c r="AZ376" s="597"/>
      <c r="BA376" s="597"/>
      <c r="BB376" s="598"/>
      <c r="BC376" s="597"/>
      <c r="BD376" s="597"/>
      <c r="BE376" s="597"/>
      <c r="BF376" s="597"/>
      <c r="BG376" s="598"/>
      <c r="BH376" s="597"/>
      <c r="BI376" s="597"/>
      <c r="BJ376" s="597"/>
      <c r="BK376" s="597"/>
      <c r="BL376" s="598"/>
      <c r="BM376" s="597"/>
      <c r="BN376" s="597"/>
      <c r="BO376" s="597"/>
      <c r="BP376" s="597"/>
      <c r="BQ376" s="598"/>
      <c r="BR376" s="597"/>
      <c r="BS376" s="597"/>
      <c r="BT376" s="597"/>
      <c r="BU376" s="597"/>
      <c r="BV376" s="598"/>
      <c r="BW376" s="597"/>
      <c r="BX376" s="597"/>
      <c r="BY376" s="597"/>
      <c r="BZ376" s="597"/>
      <c r="CA376" s="598"/>
      <c r="CB376" s="597"/>
      <c r="CC376" s="597"/>
      <c r="CD376" s="597"/>
      <c r="CE376" s="597"/>
      <c r="CF376" s="598"/>
      <c r="CG376" s="682"/>
      <c r="CH376" s="682"/>
      <c r="CI376" s="682"/>
      <c r="CJ376" s="682"/>
      <c r="CK376" s="598"/>
      <c r="CL376" s="682"/>
      <c r="CM376" s="682"/>
      <c r="CN376" s="682"/>
      <c r="CO376" s="682"/>
      <c r="CP376" s="598"/>
      <c r="CQ376" s="682"/>
      <c r="CR376" s="682"/>
      <c r="CS376" s="682"/>
      <c r="CT376" s="682"/>
      <c r="CU376" s="598"/>
      <c r="CV376" s="682"/>
      <c r="CW376" s="682"/>
      <c r="CX376" s="682"/>
      <c r="CY376" s="682"/>
      <c r="CZ376" s="598"/>
      <c r="DA376" s="682"/>
      <c r="DB376" s="682"/>
      <c r="DC376" s="682"/>
      <c r="DD376" s="682"/>
      <c r="DE376" s="598"/>
      <c r="DF376" s="682"/>
      <c r="DG376" s="682"/>
      <c r="DH376" s="682"/>
      <c r="DI376" s="1610"/>
      <c r="DJ376" s="598"/>
      <c r="DK376" s="682"/>
      <c r="DL376" s="682"/>
      <c r="DM376" s="682"/>
      <c r="DN376" s="682"/>
      <c r="DO376" s="598"/>
      <c r="DP376" s="682"/>
      <c r="DQ376" s="682"/>
      <c r="DR376" s="682"/>
      <c r="DS376" s="682"/>
      <c r="DT376" s="598"/>
      <c r="DU376" s="682"/>
      <c r="DV376" s="682"/>
      <c r="DW376" s="682"/>
      <c r="DX376" s="682"/>
      <c r="DY376" s="598"/>
    </row>
    <row r="377" spans="1:129" hidden="1" outlineLevel="1" x14ac:dyDescent="0.2">
      <c r="A377" s="466"/>
      <c r="B377" s="607" t="s">
        <v>854</v>
      </c>
      <c r="C377" s="585"/>
      <c r="D377" s="585"/>
      <c r="E377" s="585"/>
      <c r="F377" s="585"/>
      <c r="G377" s="585"/>
      <c r="H377" s="585"/>
      <c r="I377" s="586"/>
      <c r="J377" s="585"/>
      <c r="K377" s="585"/>
      <c r="L377" s="585"/>
      <c r="M377" s="585"/>
      <c r="N377" s="586"/>
      <c r="O377" s="585"/>
      <c r="P377" s="585"/>
      <c r="Q377" s="585"/>
      <c r="R377" s="585"/>
      <c r="S377" s="586"/>
      <c r="T377" s="585"/>
      <c r="U377" s="585"/>
      <c r="V377" s="585"/>
      <c r="W377" s="585"/>
      <c r="X377" s="586"/>
      <c r="Y377" s="585"/>
      <c r="Z377" s="585"/>
      <c r="AA377" s="585"/>
      <c r="AB377" s="585"/>
      <c r="AC377" s="586"/>
      <c r="AD377" s="585"/>
      <c r="AE377" s="585"/>
      <c r="AF377" s="585"/>
      <c r="AG377" s="585"/>
      <c r="AH377" s="586"/>
      <c r="AI377" s="585"/>
      <c r="AJ377" s="585"/>
      <c r="AK377" s="585"/>
      <c r="AL377" s="585"/>
      <c r="AM377" s="586"/>
      <c r="AN377" s="585"/>
      <c r="AO377" s="585"/>
      <c r="AP377" s="585"/>
      <c r="AQ377" s="585"/>
      <c r="AR377" s="586"/>
      <c r="AS377" s="585"/>
      <c r="AT377" s="585"/>
      <c r="AU377" s="585"/>
      <c r="AV377" s="585"/>
      <c r="AW377" s="586"/>
      <c r="AX377" s="585"/>
      <c r="AY377" s="585"/>
      <c r="AZ377" s="585"/>
      <c r="BA377" s="585"/>
      <c r="BB377" s="586"/>
      <c r="BC377" s="585"/>
      <c r="BD377" s="585"/>
      <c r="BE377" s="585"/>
      <c r="BF377" s="585"/>
      <c r="BG377" s="586"/>
      <c r="BH377" s="592">
        <v>4.5740000000000283</v>
      </c>
      <c r="BI377" s="592">
        <v>10.857999999999993</v>
      </c>
      <c r="BJ377" s="592">
        <v>17.984000000000023</v>
      </c>
      <c r="BK377" s="592">
        <v>15.878000000000007</v>
      </c>
      <c r="BL377" s="754">
        <v>49.294000000000096</v>
      </c>
      <c r="BM377" s="592">
        <v>4.5260000000000282</v>
      </c>
      <c r="BN377" s="592">
        <v>14.902000000000001</v>
      </c>
      <c r="BO377" s="592">
        <v>24.532911000000013</v>
      </c>
      <c r="BP377" s="592">
        <v>25.646862500000015</v>
      </c>
      <c r="BQ377" s="754">
        <v>109.19577349999994</v>
      </c>
      <c r="BR377" s="592">
        <v>1.190280699999974</v>
      </c>
      <c r="BS377" s="592">
        <v>12.545310575000009</v>
      </c>
      <c r="BT377" s="592">
        <v>20.976332343749938</v>
      </c>
      <c r="BU377" s="592">
        <v>24.614296</v>
      </c>
      <c r="BV377" s="754">
        <v>110.42494124375038</v>
      </c>
      <c r="BW377" s="585"/>
      <c r="BX377" s="585"/>
      <c r="BY377" s="585"/>
      <c r="BZ377" s="585"/>
      <c r="CA377" s="586"/>
      <c r="CB377" s="585"/>
      <c r="CC377" s="585"/>
      <c r="CD377" s="585"/>
      <c r="CE377" s="585"/>
      <c r="CF377" s="586"/>
      <c r="CG377" s="470"/>
      <c r="CH377" s="470"/>
      <c r="CI377" s="470"/>
      <c r="CJ377" s="470"/>
      <c r="CK377" s="586"/>
      <c r="CL377" s="470"/>
      <c r="CM377" s="470"/>
      <c r="CN377" s="470"/>
      <c r="CO377" s="470"/>
      <c r="CP377" s="586"/>
      <c r="CQ377" s="470"/>
      <c r="CR377" s="470"/>
      <c r="CS377" s="470"/>
      <c r="CT377" s="470"/>
      <c r="CU377" s="586"/>
      <c r="CV377" s="470"/>
      <c r="CW377" s="470"/>
      <c r="CX377" s="470"/>
      <c r="CY377" s="470"/>
      <c r="CZ377" s="586"/>
      <c r="DA377" s="470"/>
      <c r="DB377" s="470"/>
      <c r="DC377" s="470"/>
      <c r="DD377" s="470"/>
      <c r="DE377" s="586"/>
      <c r="DF377" s="470"/>
      <c r="DG377" s="470"/>
      <c r="DH377" s="470"/>
      <c r="DI377" s="914"/>
      <c r="DJ377" s="586"/>
      <c r="DK377" s="470"/>
      <c r="DL377" s="470"/>
      <c r="DM377" s="470"/>
      <c r="DN377" s="470"/>
      <c r="DO377" s="586"/>
      <c r="DP377" s="470"/>
      <c r="DQ377" s="470"/>
      <c r="DR377" s="470"/>
      <c r="DS377" s="470"/>
      <c r="DT377" s="586"/>
      <c r="DU377" s="470"/>
      <c r="DV377" s="470"/>
      <c r="DW377" s="470"/>
      <c r="DX377" s="470"/>
      <c r="DY377" s="586"/>
    </row>
    <row r="378" spans="1:129" hidden="1" outlineLevel="1" x14ac:dyDescent="0.2">
      <c r="A378" s="526"/>
      <c r="B378" s="756" t="s">
        <v>855</v>
      </c>
      <c r="C378" s="597"/>
      <c r="D378" s="597"/>
      <c r="E378" s="597"/>
      <c r="F378" s="597"/>
      <c r="G378" s="597"/>
      <c r="H378" s="597"/>
      <c r="I378" s="593"/>
      <c r="J378" s="597"/>
      <c r="K378" s="597"/>
      <c r="L378" s="597"/>
      <c r="M378" s="597"/>
      <c r="N378" s="593"/>
      <c r="O378" s="600"/>
      <c r="P378" s="600"/>
      <c r="Q378" s="600"/>
      <c r="R378" s="600"/>
      <c r="S378" s="593"/>
      <c r="T378" s="600"/>
      <c r="U378" s="600"/>
      <c r="V378" s="600"/>
      <c r="W378" s="600"/>
      <c r="X378" s="593"/>
      <c r="Y378" s="600"/>
      <c r="Z378" s="600"/>
      <c r="AA378" s="600"/>
      <c r="AB378" s="600"/>
      <c r="AC378" s="593"/>
      <c r="AD378" s="600"/>
      <c r="AE378" s="600"/>
      <c r="AF378" s="600"/>
      <c r="AG378" s="600"/>
      <c r="AH378" s="593"/>
      <c r="AI378" s="600"/>
      <c r="AJ378" s="600"/>
      <c r="AK378" s="600"/>
      <c r="AL378" s="600"/>
      <c r="AM378" s="593"/>
      <c r="AN378" s="600"/>
      <c r="AO378" s="600"/>
      <c r="AP378" s="600"/>
      <c r="AQ378" s="600"/>
      <c r="AR378" s="593"/>
      <c r="AS378" s="600"/>
      <c r="AT378" s="600"/>
      <c r="AU378" s="600"/>
      <c r="AV378" s="600"/>
      <c r="AW378" s="593"/>
      <c r="AX378" s="600"/>
      <c r="AY378" s="600"/>
      <c r="AZ378" s="600"/>
      <c r="BA378" s="600"/>
      <c r="BB378" s="593"/>
      <c r="BC378" s="600"/>
      <c r="BD378" s="600"/>
      <c r="BE378" s="600"/>
      <c r="BF378" s="600"/>
      <c r="BG378" s="593"/>
      <c r="BH378" s="800">
        <v>1.5795807929329914E-2</v>
      </c>
      <c r="BI378" s="800">
        <v>4.6848168442852806E-2</v>
      </c>
      <c r="BJ378" s="800">
        <v>6.0186207773605699E-2</v>
      </c>
      <c r="BK378" s="800">
        <v>4.4991959649483236E-2</v>
      </c>
      <c r="BL378" s="969">
        <v>4.202193590405906E-2</v>
      </c>
      <c r="BM378" s="800">
        <v>1.0779924950191144E-2</v>
      </c>
      <c r="BN378" s="800">
        <v>4.0735546972169599E-2</v>
      </c>
      <c r="BO378" s="800">
        <v>6.5601736942845851E-2</v>
      </c>
      <c r="BP378" s="800">
        <v>6.120671936299045E-2</v>
      </c>
      <c r="BQ378" s="969">
        <v>6.9169681014235235E-2</v>
      </c>
      <c r="BR378" s="800">
        <v>1.8942099303373213E-3</v>
      </c>
      <c r="BS378" s="800">
        <v>2.1883122207278203E-2</v>
      </c>
      <c r="BT378" s="800">
        <v>3.520358582137114E-2</v>
      </c>
      <c r="BU378" s="800">
        <v>3.6950123300075903E-2</v>
      </c>
      <c r="BV378" s="969">
        <v>4.4821273390244505E-2</v>
      </c>
      <c r="BW378" s="600"/>
      <c r="BX378" s="600"/>
      <c r="BY378" s="600"/>
      <c r="BZ378" s="600"/>
      <c r="CA378" s="593"/>
      <c r="CB378" s="600"/>
      <c r="CC378" s="600"/>
      <c r="CD378" s="600"/>
      <c r="CE378" s="600"/>
      <c r="CF378" s="593"/>
      <c r="CG378" s="542"/>
      <c r="CH378" s="542"/>
      <c r="CI378" s="542"/>
      <c r="CJ378" s="542"/>
      <c r="CK378" s="593"/>
      <c r="CL378" s="542"/>
      <c r="CM378" s="542"/>
      <c r="CN378" s="542"/>
      <c r="CO378" s="542"/>
      <c r="CP378" s="593"/>
      <c r="CQ378" s="542"/>
      <c r="CR378" s="542"/>
      <c r="CS378" s="542"/>
      <c r="CT378" s="542"/>
      <c r="CU378" s="593"/>
      <c r="CV378" s="542"/>
      <c r="CW378" s="542"/>
      <c r="CX378" s="542"/>
      <c r="CY378" s="542"/>
      <c r="CZ378" s="593"/>
      <c r="DA378" s="542"/>
      <c r="DB378" s="542"/>
      <c r="DC378" s="542"/>
      <c r="DD378" s="542"/>
      <c r="DE378" s="593"/>
      <c r="DF378" s="542"/>
      <c r="DG378" s="542"/>
      <c r="DH378" s="542"/>
      <c r="DI378" s="899"/>
      <c r="DJ378" s="593"/>
      <c r="DK378" s="542"/>
      <c r="DL378" s="542"/>
      <c r="DM378" s="542"/>
      <c r="DN378" s="542"/>
      <c r="DO378" s="593"/>
      <c r="DP378" s="542"/>
      <c r="DQ378" s="542"/>
      <c r="DR378" s="542"/>
      <c r="DS378" s="542"/>
      <c r="DT378" s="593"/>
      <c r="DU378" s="542"/>
      <c r="DV378" s="542"/>
      <c r="DW378" s="542"/>
      <c r="DX378" s="542"/>
      <c r="DY378" s="593"/>
    </row>
    <row r="379" spans="1:129" hidden="1" outlineLevel="1" x14ac:dyDescent="0.2">
      <c r="A379" s="526"/>
      <c r="B379" s="756"/>
      <c r="C379" s="597"/>
      <c r="D379" s="597"/>
      <c r="E379" s="597"/>
      <c r="F379" s="597"/>
      <c r="G379" s="597"/>
      <c r="H379" s="597"/>
      <c r="I379" s="598"/>
      <c r="J379" s="597"/>
      <c r="K379" s="597"/>
      <c r="L379" s="597"/>
      <c r="M379" s="597"/>
      <c r="N379" s="598"/>
      <c r="O379" s="597"/>
      <c r="P379" s="597"/>
      <c r="Q379" s="597"/>
      <c r="R379" s="597"/>
      <c r="S379" s="598"/>
      <c r="T379" s="597"/>
      <c r="U379" s="597"/>
      <c r="V379" s="597"/>
      <c r="W379" s="597"/>
      <c r="X379" s="598"/>
      <c r="Y379" s="597"/>
      <c r="Z379" s="597"/>
      <c r="AA379" s="597"/>
      <c r="AB379" s="597"/>
      <c r="AC379" s="598"/>
      <c r="AD379" s="597"/>
      <c r="AE379" s="597"/>
      <c r="AF379" s="597"/>
      <c r="AG379" s="597"/>
      <c r="AH379" s="598"/>
      <c r="AI379" s="597"/>
      <c r="AJ379" s="597"/>
      <c r="AK379" s="597"/>
      <c r="AL379" s="597"/>
      <c r="AM379" s="598"/>
      <c r="AN379" s="597"/>
      <c r="AO379" s="597"/>
      <c r="AP379" s="597"/>
      <c r="AQ379" s="597"/>
      <c r="AR379" s="598"/>
      <c r="AS379" s="597"/>
      <c r="AT379" s="597"/>
      <c r="AU379" s="597"/>
      <c r="AV379" s="597"/>
      <c r="AW379" s="598"/>
      <c r="AX379" s="597"/>
      <c r="AY379" s="597"/>
      <c r="AZ379" s="597"/>
      <c r="BA379" s="597"/>
      <c r="BB379" s="598"/>
      <c r="BC379" s="597"/>
      <c r="BD379" s="597"/>
      <c r="BE379" s="597"/>
      <c r="BF379" s="597"/>
      <c r="BG379" s="598"/>
      <c r="BH379" s="597"/>
      <c r="BI379" s="597"/>
      <c r="BJ379" s="597"/>
      <c r="BK379" s="597"/>
      <c r="BL379" s="598"/>
      <c r="BM379" s="597"/>
      <c r="BN379" s="597"/>
      <c r="BO379" s="597"/>
      <c r="BP379" s="597"/>
      <c r="BQ379" s="598"/>
      <c r="BR379" s="597"/>
      <c r="BS379" s="597"/>
      <c r="BT379" s="597"/>
      <c r="BU379" s="597"/>
      <c r="BV379" s="598"/>
      <c r="BW379" s="597"/>
      <c r="BX379" s="597"/>
      <c r="BY379" s="597"/>
      <c r="BZ379" s="597"/>
      <c r="CA379" s="598"/>
      <c r="CB379" s="597"/>
      <c r="CC379" s="597"/>
      <c r="CD379" s="597"/>
      <c r="CE379" s="597"/>
      <c r="CF379" s="598"/>
      <c r="CG379" s="682"/>
      <c r="CH379" s="682"/>
      <c r="CI379" s="682"/>
      <c r="CJ379" s="682"/>
      <c r="CK379" s="598"/>
      <c r="CL379" s="682"/>
      <c r="CM379" s="682"/>
      <c r="CN379" s="682"/>
      <c r="CO379" s="682"/>
      <c r="CP379" s="598"/>
      <c r="CQ379" s="682"/>
      <c r="CR379" s="682"/>
      <c r="CS379" s="682"/>
      <c r="CT379" s="682"/>
      <c r="CU379" s="598"/>
      <c r="CV379" s="682"/>
      <c r="CW379" s="682"/>
      <c r="CX379" s="682"/>
      <c r="CY379" s="682"/>
      <c r="CZ379" s="598"/>
      <c r="DA379" s="682"/>
      <c r="DB379" s="682"/>
      <c r="DC379" s="682"/>
      <c r="DD379" s="682"/>
      <c r="DE379" s="598"/>
      <c r="DF379" s="682"/>
      <c r="DG379" s="682"/>
      <c r="DH379" s="682"/>
      <c r="DI379" s="1610"/>
      <c r="DJ379" s="598"/>
      <c r="DK379" s="682"/>
      <c r="DL379" s="682"/>
      <c r="DM379" s="682"/>
      <c r="DN379" s="682"/>
      <c r="DO379" s="598"/>
      <c r="DP379" s="682"/>
      <c r="DQ379" s="682"/>
      <c r="DR379" s="682"/>
      <c r="DS379" s="682"/>
      <c r="DT379" s="598"/>
      <c r="DU379" s="682"/>
      <c r="DV379" s="682"/>
      <c r="DW379" s="682"/>
      <c r="DX379" s="682"/>
      <c r="DY379" s="598"/>
    </row>
    <row r="380" spans="1:129" hidden="1" outlineLevel="1" x14ac:dyDescent="0.2">
      <c r="A380" s="466"/>
      <c r="B380" s="607" t="s">
        <v>177</v>
      </c>
      <c r="C380" s="585"/>
      <c r="D380" s="585"/>
      <c r="E380" s="585"/>
      <c r="F380" s="585"/>
      <c r="G380" s="585"/>
      <c r="H380" s="585"/>
      <c r="I380" s="586"/>
      <c r="J380" s="585"/>
      <c r="K380" s="585"/>
      <c r="L380" s="585"/>
      <c r="M380" s="585"/>
      <c r="N380" s="586"/>
      <c r="O380" s="585"/>
      <c r="P380" s="585"/>
      <c r="Q380" s="585"/>
      <c r="R380" s="585"/>
      <c r="S380" s="586"/>
      <c r="T380" s="585"/>
      <c r="U380" s="585"/>
      <c r="V380" s="585"/>
      <c r="W380" s="585"/>
      <c r="X380" s="586"/>
      <c r="Y380" s="585"/>
      <c r="Z380" s="585"/>
      <c r="AA380" s="585"/>
      <c r="AB380" s="585"/>
      <c r="AC380" s="586"/>
      <c r="AD380" s="585"/>
      <c r="AE380" s="585"/>
      <c r="AF380" s="585"/>
      <c r="AG380" s="585"/>
      <c r="AH380" s="586"/>
      <c r="AI380" s="585"/>
      <c r="AJ380" s="585"/>
      <c r="AK380" s="585"/>
      <c r="AL380" s="585"/>
      <c r="AM380" s="586"/>
      <c r="AN380" s="585"/>
      <c r="AO380" s="585"/>
      <c r="AP380" s="585"/>
      <c r="AQ380" s="585"/>
      <c r="AR380" s="586"/>
      <c r="AS380" s="585"/>
      <c r="AT380" s="585"/>
      <c r="AU380" s="585"/>
      <c r="AV380" s="585"/>
      <c r="AW380" s="586"/>
      <c r="AX380" s="585"/>
      <c r="AY380" s="585"/>
      <c r="AZ380" s="585"/>
      <c r="BA380" s="585"/>
      <c r="BB380" s="586"/>
      <c r="BC380" s="585"/>
      <c r="BD380" s="585"/>
      <c r="BE380" s="585"/>
      <c r="BF380" s="585"/>
      <c r="BG380" s="586"/>
      <c r="BH380" s="592">
        <v>6.7749000000000006</v>
      </c>
      <c r="BI380" s="592">
        <v>7.1880000000000015</v>
      </c>
      <c r="BJ380" s="592">
        <v>7.1366999999999994</v>
      </c>
      <c r="BK380" s="592">
        <v>7.8858000000000041</v>
      </c>
      <c r="BL380" s="754">
        <v>28.985400000000006</v>
      </c>
      <c r="BM380" s="592">
        <v>7.8819000000000008</v>
      </c>
      <c r="BN380" s="592">
        <v>7.5489000000000015</v>
      </c>
      <c r="BO380" s="585"/>
      <c r="BP380" s="585"/>
      <c r="BQ380" s="586"/>
      <c r="BR380" s="585"/>
      <c r="BS380" s="585"/>
      <c r="BT380" s="585"/>
      <c r="BU380" s="585"/>
      <c r="BV380" s="586"/>
      <c r="BW380" s="585"/>
      <c r="BX380" s="585"/>
      <c r="BY380" s="585"/>
      <c r="BZ380" s="585"/>
      <c r="CA380" s="586"/>
      <c r="CB380" s="585"/>
      <c r="CC380" s="585"/>
      <c r="CD380" s="585"/>
      <c r="CE380" s="585"/>
      <c r="CF380" s="586"/>
      <c r="CG380" s="470"/>
      <c r="CH380" s="470"/>
      <c r="CI380" s="470"/>
      <c r="CJ380" s="470"/>
      <c r="CK380" s="586"/>
      <c r="CL380" s="470"/>
      <c r="CM380" s="470"/>
      <c r="CN380" s="470"/>
      <c r="CO380" s="470"/>
      <c r="CP380" s="586"/>
      <c r="CQ380" s="470"/>
      <c r="CR380" s="470"/>
      <c r="CS380" s="470"/>
      <c r="CT380" s="470"/>
      <c r="CU380" s="586"/>
      <c r="CV380" s="470"/>
      <c r="CW380" s="470"/>
      <c r="CX380" s="470"/>
      <c r="CY380" s="470"/>
      <c r="CZ380" s="586"/>
      <c r="DA380" s="470"/>
      <c r="DB380" s="470"/>
      <c r="DC380" s="470"/>
      <c r="DD380" s="470"/>
      <c r="DE380" s="586"/>
      <c r="DF380" s="470"/>
      <c r="DG380" s="470"/>
      <c r="DH380" s="470"/>
      <c r="DI380" s="914"/>
      <c r="DJ380" s="586"/>
      <c r="DK380" s="470"/>
      <c r="DL380" s="470"/>
      <c r="DM380" s="470"/>
      <c r="DN380" s="470"/>
      <c r="DO380" s="586"/>
      <c r="DP380" s="470"/>
      <c r="DQ380" s="470"/>
      <c r="DR380" s="470"/>
      <c r="DS380" s="470"/>
      <c r="DT380" s="586"/>
      <c r="DU380" s="470"/>
      <c r="DV380" s="470"/>
      <c r="DW380" s="470"/>
      <c r="DX380" s="470"/>
      <c r="DY380" s="586"/>
    </row>
    <row r="381" spans="1:129" hidden="1" outlineLevel="1" x14ac:dyDescent="0.2">
      <c r="A381" s="526"/>
      <c r="B381" s="756"/>
      <c r="C381" s="597"/>
      <c r="D381" s="597"/>
      <c r="E381" s="597"/>
      <c r="F381" s="597"/>
      <c r="G381" s="597"/>
      <c r="H381" s="597"/>
      <c r="I381" s="598"/>
      <c r="J381" s="597"/>
      <c r="K381" s="597"/>
      <c r="L381" s="597"/>
      <c r="M381" s="597"/>
      <c r="N381" s="598"/>
      <c r="O381" s="597"/>
      <c r="P381" s="597"/>
      <c r="Q381" s="597"/>
      <c r="R381" s="597"/>
      <c r="S381" s="598"/>
      <c r="T381" s="597"/>
      <c r="U381" s="597"/>
      <c r="V381" s="597"/>
      <c r="W381" s="597"/>
      <c r="X381" s="598"/>
      <c r="Y381" s="597"/>
      <c r="Z381" s="597"/>
      <c r="AA381" s="597"/>
      <c r="AB381" s="597"/>
      <c r="AC381" s="598"/>
      <c r="AD381" s="597"/>
      <c r="AE381" s="597"/>
      <c r="AF381" s="597"/>
      <c r="AG381" s="597"/>
      <c r="AH381" s="598"/>
      <c r="AI381" s="597"/>
      <c r="AJ381" s="597"/>
      <c r="AK381" s="597"/>
      <c r="AL381" s="597"/>
      <c r="AM381" s="598"/>
      <c r="AN381" s="597"/>
      <c r="AO381" s="597"/>
      <c r="AP381" s="597"/>
      <c r="AQ381" s="597"/>
      <c r="AR381" s="598"/>
      <c r="AS381" s="597"/>
      <c r="AT381" s="597"/>
      <c r="AU381" s="597"/>
      <c r="AV381" s="597"/>
      <c r="AW381" s="598"/>
      <c r="AX381" s="597"/>
      <c r="AY381" s="597"/>
      <c r="AZ381" s="597"/>
      <c r="BA381" s="597"/>
      <c r="BB381" s="598"/>
      <c r="BC381" s="597"/>
      <c r="BD381" s="597"/>
      <c r="BE381" s="597"/>
      <c r="BF381" s="597"/>
      <c r="BG381" s="598"/>
      <c r="BH381" s="597"/>
      <c r="BI381" s="597"/>
      <c r="BJ381" s="597"/>
      <c r="BK381" s="597"/>
      <c r="BL381" s="598"/>
      <c r="BM381" s="597"/>
      <c r="BN381" s="597"/>
      <c r="BO381" s="597"/>
      <c r="BP381" s="597"/>
      <c r="BQ381" s="598"/>
      <c r="BR381" s="597"/>
      <c r="BS381" s="597"/>
      <c r="BT381" s="597"/>
      <c r="BU381" s="597"/>
      <c r="BV381" s="598"/>
      <c r="BW381" s="597"/>
      <c r="BX381" s="597"/>
      <c r="BY381" s="597"/>
      <c r="BZ381" s="597"/>
      <c r="CA381" s="598"/>
      <c r="CB381" s="597"/>
      <c r="CC381" s="597"/>
      <c r="CD381" s="597"/>
      <c r="CE381" s="597"/>
      <c r="CF381" s="598"/>
      <c r="CG381" s="682"/>
      <c r="CH381" s="682"/>
      <c r="CI381" s="682"/>
      <c r="CJ381" s="682"/>
      <c r="CK381" s="598"/>
      <c r="CL381" s="682"/>
      <c r="CM381" s="682"/>
      <c r="CN381" s="682"/>
      <c r="CO381" s="682"/>
      <c r="CP381" s="598"/>
      <c r="CQ381" s="682"/>
      <c r="CR381" s="682"/>
      <c r="CS381" s="682"/>
      <c r="CT381" s="682"/>
      <c r="CU381" s="598"/>
      <c r="CV381" s="682"/>
      <c r="CW381" s="682"/>
      <c r="CX381" s="682"/>
      <c r="CY381" s="682"/>
      <c r="CZ381" s="598"/>
      <c r="DA381" s="682"/>
      <c r="DB381" s="682"/>
      <c r="DC381" s="682"/>
      <c r="DD381" s="682"/>
      <c r="DE381" s="598"/>
      <c r="DF381" s="682"/>
      <c r="DG381" s="682"/>
      <c r="DH381" s="682"/>
      <c r="DI381" s="1610"/>
      <c r="DJ381" s="598"/>
      <c r="DK381" s="682"/>
      <c r="DL381" s="682"/>
      <c r="DM381" s="682"/>
      <c r="DN381" s="682"/>
      <c r="DO381" s="598"/>
      <c r="DP381" s="682"/>
      <c r="DQ381" s="682"/>
      <c r="DR381" s="682"/>
      <c r="DS381" s="682"/>
      <c r="DT381" s="598"/>
      <c r="DU381" s="682"/>
      <c r="DV381" s="682"/>
      <c r="DW381" s="682"/>
      <c r="DX381" s="682"/>
      <c r="DY381" s="598"/>
    </row>
    <row r="382" spans="1:129" hidden="1" outlineLevel="1" x14ac:dyDescent="0.2">
      <c r="A382" s="466"/>
      <c r="B382" s="607" t="s">
        <v>176</v>
      </c>
      <c r="C382" s="585"/>
      <c r="D382" s="585"/>
      <c r="E382" s="585"/>
      <c r="F382" s="585"/>
      <c r="G382" s="585"/>
      <c r="H382" s="585"/>
      <c r="I382" s="586"/>
      <c r="J382" s="585"/>
      <c r="K382" s="585"/>
      <c r="L382" s="585"/>
      <c r="M382" s="585"/>
      <c r="N382" s="586"/>
      <c r="O382" s="585"/>
      <c r="P382" s="585"/>
      <c r="Q382" s="585"/>
      <c r="R382" s="585"/>
      <c r="S382" s="586"/>
      <c r="T382" s="585"/>
      <c r="U382" s="585"/>
      <c r="V382" s="585"/>
      <c r="W382" s="585"/>
      <c r="X382" s="586"/>
      <c r="Y382" s="585"/>
      <c r="Z382" s="585"/>
      <c r="AA382" s="585"/>
      <c r="AB382" s="585"/>
      <c r="AC382" s="586"/>
      <c r="AD382" s="585"/>
      <c r="AE382" s="585"/>
      <c r="AF382" s="585"/>
      <c r="AG382" s="585"/>
      <c r="AH382" s="586"/>
      <c r="AI382" s="585"/>
      <c r="AJ382" s="585"/>
      <c r="AK382" s="585"/>
      <c r="AL382" s="585"/>
      <c r="AM382" s="586"/>
      <c r="AN382" s="585"/>
      <c r="AO382" s="585"/>
      <c r="AP382" s="585"/>
      <c r="AQ382" s="585"/>
      <c r="AR382" s="586"/>
      <c r="AS382" s="585"/>
      <c r="AT382" s="585"/>
      <c r="AU382" s="585"/>
      <c r="AV382" s="585"/>
      <c r="AW382" s="586"/>
      <c r="AX382" s="585"/>
      <c r="AY382" s="585"/>
      <c r="AZ382" s="585"/>
      <c r="BA382" s="585"/>
      <c r="BB382" s="586"/>
      <c r="BC382" s="585"/>
      <c r="BD382" s="585"/>
      <c r="BE382" s="585"/>
      <c r="BF382" s="585"/>
      <c r="BG382" s="586"/>
      <c r="BH382" s="592">
        <v>11.348900000000029</v>
      </c>
      <c r="BI382" s="592">
        <v>18.045999999999996</v>
      </c>
      <c r="BJ382" s="592">
        <v>25.120700000000021</v>
      </c>
      <c r="BK382" s="592">
        <v>23.76380000000001</v>
      </c>
      <c r="BL382" s="754">
        <v>78.279400000000095</v>
      </c>
      <c r="BM382" s="592">
        <v>12.40790000000003</v>
      </c>
      <c r="BN382" s="592">
        <v>22.450900000000004</v>
      </c>
      <c r="BO382" s="585"/>
      <c r="BP382" s="585"/>
      <c r="BQ382" s="586"/>
      <c r="BR382" s="585"/>
      <c r="BS382" s="585"/>
      <c r="BT382" s="585"/>
      <c r="BU382" s="585"/>
      <c r="BV382" s="586"/>
      <c r="BW382" s="585"/>
      <c r="BX382" s="585"/>
      <c r="BY382" s="585"/>
      <c r="BZ382" s="585"/>
      <c r="CA382" s="586"/>
      <c r="CB382" s="585"/>
      <c r="CC382" s="585"/>
      <c r="CD382" s="585"/>
      <c r="CE382" s="585"/>
      <c r="CF382" s="586"/>
      <c r="CG382" s="470"/>
      <c r="CH382" s="470"/>
      <c r="CI382" s="470"/>
      <c r="CJ382" s="470"/>
      <c r="CK382" s="586"/>
      <c r="CL382" s="470"/>
      <c r="CM382" s="470"/>
      <c r="CN382" s="470"/>
      <c r="CO382" s="470"/>
      <c r="CP382" s="586"/>
      <c r="CQ382" s="470"/>
      <c r="CR382" s="470"/>
      <c r="CS382" s="470"/>
      <c r="CT382" s="470"/>
      <c r="CU382" s="586"/>
      <c r="CV382" s="470"/>
      <c r="CW382" s="470"/>
      <c r="CX382" s="470"/>
      <c r="CY382" s="470"/>
      <c r="CZ382" s="586"/>
      <c r="DA382" s="470"/>
      <c r="DB382" s="470"/>
      <c r="DC382" s="470"/>
      <c r="DD382" s="470"/>
      <c r="DE382" s="586"/>
      <c r="DF382" s="470"/>
      <c r="DG382" s="470"/>
      <c r="DH382" s="470"/>
      <c r="DI382" s="914"/>
      <c r="DJ382" s="586"/>
      <c r="DK382" s="470"/>
      <c r="DL382" s="470"/>
      <c r="DM382" s="470"/>
      <c r="DN382" s="470"/>
      <c r="DO382" s="586"/>
      <c r="DP382" s="470"/>
      <c r="DQ382" s="470"/>
      <c r="DR382" s="470"/>
      <c r="DS382" s="470"/>
      <c r="DT382" s="586"/>
      <c r="DU382" s="470"/>
      <c r="DV382" s="470"/>
      <c r="DW382" s="470"/>
      <c r="DX382" s="470"/>
      <c r="DY382" s="586"/>
    </row>
    <row r="383" spans="1:129" hidden="1" outlineLevel="1" x14ac:dyDescent="0.2">
      <c r="A383" s="526"/>
      <c r="B383" s="756"/>
      <c r="C383" s="597"/>
      <c r="D383" s="597"/>
      <c r="E383" s="597"/>
      <c r="F383" s="597"/>
      <c r="G383" s="597"/>
      <c r="H383" s="597"/>
      <c r="I383" s="598"/>
      <c r="J383" s="597"/>
      <c r="K383" s="597"/>
      <c r="L383" s="597"/>
      <c r="M383" s="597"/>
      <c r="N383" s="598"/>
      <c r="O383" s="597"/>
      <c r="P383" s="597"/>
      <c r="Q383" s="597"/>
      <c r="R383" s="597"/>
      <c r="S383" s="598"/>
      <c r="T383" s="597"/>
      <c r="U383" s="597"/>
      <c r="V383" s="597"/>
      <c r="W383" s="597"/>
      <c r="X383" s="598"/>
      <c r="Y383" s="597"/>
      <c r="Z383" s="597"/>
      <c r="AA383" s="597"/>
      <c r="AB383" s="597"/>
      <c r="AC383" s="598"/>
      <c r="AD383" s="597"/>
      <c r="AE383" s="597"/>
      <c r="AF383" s="597"/>
      <c r="AG383" s="597"/>
      <c r="AH383" s="598"/>
      <c r="AI383" s="597"/>
      <c r="AJ383" s="597"/>
      <c r="AK383" s="597"/>
      <c r="AL383" s="597"/>
      <c r="AM383" s="598"/>
      <c r="AN383" s="597"/>
      <c r="AO383" s="597"/>
      <c r="AP383" s="597"/>
      <c r="AQ383" s="597"/>
      <c r="AR383" s="598"/>
      <c r="AS383" s="597"/>
      <c r="AT383" s="597"/>
      <c r="AU383" s="597"/>
      <c r="AV383" s="597"/>
      <c r="AW383" s="598"/>
      <c r="AX383" s="597"/>
      <c r="AY383" s="597"/>
      <c r="AZ383" s="597"/>
      <c r="BA383" s="597"/>
      <c r="BB383" s="598"/>
      <c r="BC383" s="597"/>
      <c r="BD383" s="597"/>
      <c r="BE383" s="597"/>
      <c r="BF383" s="597"/>
      <c r="BG383" s="598"/>
      <c r="BH383" s="597"/>
      <c r="BI383" s="597"/>
      <c r="BJ383" s="597"/>
      <c r="BK383" s="597"/>
      <c r="BL383" s="598"/>
      <c r="BM383" s="597"/>
      <c r="BN383" s="597"/>
      <c r="BO383" s="597"/>
      <c r="BP383" s="597"/>
      <c r="BQ383" s="598"/>
      <c r="BR383" s="597"/>
      <c r="BS383" s="597"/>
      <c r="BT383" s="597"/>
      <c r="BU383" s="597"/>
      <c r="BV383" s="598"/>
      <c r="BW383" s="597"/>
      <c r="BX383" s="597"/>
      <c r="BY383" s="597"/>
      <c r="BZ383" s="597"/>
      <c r="CA383" s="598"/>
      <c r="CB383" s="597"/>
      <c r="CC383" s="597"/>
      <c r="CD383" s="597"/>
      <c r="CE383" s="597"/>
      <c r="CF383" s="598"/>
      <c r="CG383" s="682"/>
      <c r="CH383" s="682"/>
      <c r="CI383" s="682"/>
      <c r="CJ383" s="682"/>
      <c r="CK383" s="598"/>
      <c r="CL383" s="682"/>
      <c r="CM383" s="682"/>
      <c r="CN383" s="682"/>
      <c r="CO383" s="682"/>
      <c r="CP383" s="598"/>
      <c r="CQ383" s="682"/>
      <c r="CR383" s="682"/>
      <c r="CS383" s="682"/>
      <c r="CT383" s="682"/>
      <c r="CU383" s="598"/>
      <c r="CV383" s="682"/>
      <c r="CW383" s="682"/>
      <c r="CX383" s="682"/>
      <c r="CY383" s="682"/>
      <c r="CZ383" s="598"/>
      <c r="DA383" s="682"/>
      <c r="DB383" s="682"/>
      <c r="DC383" s="682"/>
      <c r="DD383" s="682"/>
      <c r="DE383" s="598"/>
      <c r="DF383" s="682"/>
      <c r="DG383" s="682"/>
      <c r="DH383" s="682"/>
      <c r="DI383" s="1610"/>
      <c r="DJ383" s="598"/>
      <c r="DK383" s="682"/>
      <c r="DL383" s="682"/>
      <c r="DM383" s="682"/>
      <c r="DN383" s="682"/>
      <c r="DO383" s="598"/>
      <c r="DP383" s="682"/>
      <c r="DQ383" s="682"/>
      <c r="DR383" s="682"/>
      <c r="DS383" s="682"/>
      <c r="DT383" s="598"/>
      <c r="DU383" s="682"/>
      <c r="DV383" s="682"/>
      <c r="DW383" s="682"/>
      <c r="DX383" s="682"/>
      <c r="DY383" s="598"/>
    </row>
    <row r="384" spans="1:129" hidden="1" outlineLevel="1" x14ac:dyDescent="0.2">
      <c r="A384" s="526"/>
      <c r="B384" s="756" t="s">
        <v>856</v>
      </c>
      <c r="C384" s="597"/>
      <c r="D384" s="597"/>
      <c r="E384" s="597"/>
      <c r="F384" s="597"/>
      <c r="G384" s="597"/>
      <c r="H384" s="597"/>
      <c r="I384" s="598"/>
      <c r="J384" s="597"/>
      <c r="K384" s="597"/>
      <c r="L384" s="597"/>
      <c r="M384" s="597"/>
      <c r="N384" s="598"/>
      <c r="O384" s="597"/>
      <c r="P384" s="597"/>
      <c r="Q384" s="597"/>
      <c r="R384" s="597"/>
      <c r="S384" s="598"/>
      <c r="T384" s="597"/>
      <c r="U384" s="597"/>
      <c r="V384" s="597"/>
      <c r="W384" s="597"/>
      <c r="X384" s="598"/>
      <c r="Y384" s="597"/>
      <c r="Z384" s="597"/>
      <c r="AA384" s="597"/>
      <c r="AB384" s="597"/>
      <c r="AC384" s="598"/>
      <c r="AD384" s="597"/>
      <c r="AE384" s="597"/>
      <c r="AF384" s="597"/>
      <c r="AG384" s="597"/>
      <c r="AH384" s="598"/>
      <c r="AI384" s="597"/>
      <c r="AJ384" s="597"/>
      <c r="AK384" s="597"/>
      <c r="AL384" s="597"/>
      <c r="AM384" s="598"/>
      <c r="AN384" s="597"/>
      <c r="AO384" s="597"/>
      <c r="AP384" s="597"/>
      <c r="AQ384" s="597"/>
      <c r="AR384" s="598"/>
      <c r="AS384" s="597"/>
      <c r="AT384" s="597"/>
      <c r="AU384" s="597"/>
      <c r="AV384" s="597"/>
      <c r="AW384" s="598"/>
      <c r="AX384" s="597"/>
      <c r="AY384" s="597"/>
      <c r="AZ384" s="597"/>
      <c r="BA384" s="597"/>
      <c r="BB384" s="598"/>
      <c r="BC384" s="597"/>
      <c r="BD384" s="597"/>
      <c r="BE384" s="597"/>
      <c r="BF384" s="597"/>
      <c r="BG384" s="598"/>
      <c r="BH384" s="968">
        <v>0.08</v>
      </c>
      <c r="BI384" s="968">
        <v>0.08</v>
      </c>
      <c r="BJ384" s="968">
        <v>0.08</v>
      </c>
      <c r="BK384" s="968">
        <v>0.08</v>
      </c>
      <c r="BL384" s="598"/>
      <c r="BM384" s="968">
        <v>0.08</v>
      </c>
      <c r="BN384" s="968">
        <v>0.08</v>
      </c>
      <c r="BO384" s="968">
        <v>0.08</v>
      </c>
      <c r="BP384" s="968">
        <v>0.08</v>
      </c>
      <c r="BQ384" s="598"/>
      <c r="BR384" s="968">
        <v>0.05</v>
      </c>
      <c r="BS384" s="968">
        <v>0.05</v>
      </c>
      <c r="BT384" s="968">
        <v>0.05</v>
      </c>
      <c r="BU384" s="968">
        <v>0.05</v>
      </c>
      <c r="BV384" s="598"/>
      <c r="BW384" s="597"/>
      <c r="BX384" s="597"/>
      <c r="BY384" s="597"/>
      <c r="BZ384" s="597"/>
      <c r="CA384" s="598"/>
      <c r="CB384" s="597"/>
      <c r="CC384" s="597"/>
      <c r="CD384" s="597"/>
      <c r="CE384" s="597"/>
      <c r="CF384" s="598"/>
      <c r="CG384" s="682"/>
      <c r="CH384" s="682"/>
      <c r="CI384" s="682"/>
      <c r="CJ384" s="682"/>
      <c r="CK384" s="598"/>
      <c r="CL384" s="682"/>
      <c r="CM384" s="682"/>
      <c r="CN384" s="682"/>
      <c r="CO384" s="682"/>
      <c r="CP384" s="598"/>
      <c r="CQ384" s="682"/>
      <c r="CR384" s="682"/>
      <c r="CS384" s="682"/>
      <c r="CT384" s="682"/>
      <c r="CU384" s="598"/>
      <c r="CV384" s="682"/>
      <c r="CW384" s="682"/>
      <c r="CX384" s="682"/>
      <c r="CY384" s="682"/>
      <c r="CZ384" s="598"/>
      <c r="DA384" s="682"/>
      <c r="DB384" s="682"/>
      <c r="DC384" s="682"/>
      <c r="DD384" s="682"/>
      <c r="DE384" s="598"/>
      <c r="DF384" s="682"/>
      <c r="DG384" s="682"/>
      <c r="DH384" s="682"/>
      <c r="DI384" s="1610"/>
      <c r="DJ384" s="598"/>
      <c r="DK384" s="682"/>
      <c r="DL384" s="682"/>
      <c r="DM384" s="682"/>
      <c r="DN384" s="682"/>
      <c r="DO384" s="598"/>
      <c r="DP384" s="682"/>
      <c r="DQ384" s="682"/>
      <c r="DR384" s="682"/>
      <c r="DS384" s="682"/>
      <c r="DT384" s="598"/>
      <c r="DU384" s="682"/>
      <c r="DV384" s="682"/>
      <c r="DW384" s="682"/>
      <c r="DX384" s="682"/>
      <c r="DY384" s="598"/>
    </row>
    <row r="385" spans="1:129" hidden="1" outlineLevel="1" x14ac:dyDescent="0.2">
      <c r="A385" s="526"/>
      <c r="B385" s="756" t="s">
        <v>857</v>
      </c>
      <c r="C385" s="597"/>
      <c r="D385" s="597"/>
      <c r="E385" s="597"/>
      <c r="F385" s="597"/>
      <c r="G385" s="597"/>
      <c r="H385" s="597"/>
      <c r="I385" s="598"/>
      <c r="J385" s="597"/>
      <c r="K385" s="597"/>
      <c r="L385" s="597"/>
      <c r="M385" s="597"/>
      <c r="N385" s="598"/>
      <c r="O385" s="597"/>
      <c r="P385" s="597"/>
      <c r="Q385" s="597"/>
      <c r="R385" s="597"/>
      <c r="S385" s="598"/>
      <c r="T385" s="597"/>
      <c r="U385" s="597"/>
      <c r="V385" s="597"/>
      <c r="W385" s="597"/>
      <c r="X385" s="598"/>
      <c r="Y385" s="597"/>
      <c r="Z385" s="597"/>
      <c r="AA385" s="597"/>
      <c r="AB385" s="597"/>
      <c r="AC385" s="598"/>
      <c r="AD385" s="597"/>
      <c r="AE385" s="597"/>
      <c r="AF385" s="597"/>
      <c r="AG385" s="597"/>
      <c r="AH385" s="598"/>
      <c r="AI385" s="597"/>
      <c r="AJ385" s="597"/>
      <c r="AK385" s="597"/>
      <c r="AL385" s="597"/>
      <c r="AM385" s="598"/>
      <c r="AN385" s="597"/>
      <c r="AO385" s="597"/>
      <c r="AP385" s="597"/>
      <c r="AQ385" s="597"/>
      <c r="AR385" s="598"/>
      <c r="AS385" s="597"/>
      <c r="AT385" s="597"/>
      <c r="AU385" s="597"/>
      <c r="AV385" s="597"/>
      <c r="AW385" s="598"/>
      <c r="AX385" s="597"/>
      <c r="AY385" s="597"/>
      <c r="AZ385" s="597"/>
      <c r="BA385" s="597"/>
      <c r="BB385" s="598"/>
      <c r="BC385" s="597"/>
      <c r="BD385" s="597"/>
      <c r="BE385" s="597"/>
      <c r="BF385" s="597"/>
      <c r="BG385" s="598"/>
      <c r="BH385" s="968">
        <v>12.5</v>
      </c>
      <c r="BI385" s="968">
        <v>12.5</v>
      </c>
      <c r="BJ385" s="968">
        <v>12.5</v>
      </c>
      <c r="BK385" s="968">
        <v>12.5</v>
      </c>
      <c r="BL385" s="598"/>
      <c r="BM385" s="968">
        <v>12.5</v>
      </c>
      <c r="BN385" s="968">
        <v>12.5</v>
      </c>
      <c r="BO385" s="968">
        <v>12.5</v>
      </c>
      <c r="BP385" s="968">
        <v>12.5</v>
      </c>
      <c r="BQ385" s="598"/>
      <c r="BR385" s="968">
        <v>20</v>
      </c>
      <c r="BS385" s="968">
        <v>20</v>
      </c>
      <c r="BT385" s="968">
        <v>20</v>
      </c>
      <c r="BU385" s="968">
        <v>20</v>
      </c>
      <c r="BV385" s="598"/>
      <c r="BW385" s="597"/>
      <c r="BX385" s="597"/>
      <c r="BY385" s="597"/>
      <c r="BZ385" s="597"/>
      <c r="CA385" s="598"/>
      <c r="CB385" s="597"/>
      <c r="CC385" s="597"/>
      <c r="CD385" s="597"/>
      <c r="CE385" s="597"/>
      <c r="CF385" s="598"/>
      <c r="CG385" s="682"/>
      <c r="CH385" s="682"/>
      <c r="CI385" s="682"/>
      <c r="CJ385" s="682"/>
      <c r="CK385" s="598"/>
      <c r="CL385" s="682"/>
      <c r="CM385" s="682"/>
      <c r="CN385" s="682"/>
      <c r="CO385" s="682"/>
      <c r="CP385" s="598"/>
      <c r="CQ385" s="682"/>
      <c r="CR385" s="682"/>
      <c r="CS385" s="682"/>
      <c r="CT385" s="682"/>
      <c r="CU385" s="598"/>
      <c r="CV385" s="682"/>
      <c r="CW385" s="682"/>
      <c r="CX385" s="682"/>
      <c r="CY385" s="682"/>
      <c r="CZ385" s="598"/>
      <c r="DA385" s="682"/>
      <c r="DB385" s="682"/>
      <c r="DC385" s="682"/>
      <c r="DD385" s="682"/>
      <c r="DE385" s="598"/>
      <c r="DF385" s="682"/>
      <c r="DG385" s="682"/>
      <c r="DH385" s="682"/>
      <c r="DI385" s="1610"/>
      <c r="DJ385" s="598"/>
      <c r="DK385" s="682"/>
      <c r="DL385" s="682"/>
      <c r="DM385" s="682"/>
      <c r="DN385" s="682"/>
      <c r="DO385" s="598"/>
      <c r="DP385" s="682"/>
      <c r="DQ385" s="682"/>
      <c r="DR385" s="682"/>
      <c r="DS385" s="682"/>
      <c r="DT385" s="598"/>
      <c r="DU385" s="682"/>
      <c r="DV385" s="682"/>
      <c r="DW385" s="682"/>
      <c r="DX385" s="682"/>
      <c r="DY385" s="598"/>
    </row>
    <row r="386" spans="1:129" hidden="1" outlineLevel="1" x14ac:dyDescent="0.2">
      <c r="A386" s="526"/>
      <c r="B386" s="756"/>
      <c r="C386" s="597"/>
      <c r="D386" s="597"/>
      <c r="E386" s="597"/>
      <c r="F386" s="597"/>
      <c r="G386" s="597"/>
      <c r="H386" s="597"/>
      <c r="I386" s="598"/>
      <c r="J386" s="597"/>
      <c r="K386" s="597"/>
      <c r="L386" s="597"/>
      <c r="M386" s="597"/>
      <c r="N386" s="598"/>
      <c r="O386" s="597"/>
      <c r="P386" s="597"/>
      <c r="Q386" s="597"/>
      <c r="R386" s="597"/>
      <c r="S386" s="598"/>
      <c r="T386" s="597"/>
      <c r="U386" s="597"/>
      <c r="V386" s="597"/>
      <c r="W386" s="597"/>
      <c r="X386" s="598"/>
      <c r="Y386" s="597"/>
      <c r="Z386" s="597"/>
      <c r="AA386" s="597"/>
      <c r="AB386" s="597"/>
      <c r="AC386" s="598"/>
      <c r="AD386" s="597"/>
      <c r="AE386" s="597"/>
      <c r="AF386" s="597"/>
      <c r="AG386" s="597"/>
      <c r="AH386" s="598"/>
      <c r="AI386" s="597"/>
      <c r="AJ386" s="597"/>
      <c r="AK386" s="597"/>
      <c r="AL386" s="597"/>
      <c r="AM386" s="598"/>
      <c r="AN386" s="597"/>
      <c r="AO386" s="597"/>
      <c r="AP386" s="597"/>
      <c r="AQ386" s="597"/>
      <c r="AR386" s="598"/>
      <c r="AS386" s="597"/>
      <c r="AT386" s="597"/>
      <c r="AU386" s="597"/>
      <c r="AV386" s="597"/>
      <c r="AW386" s="598"/>
      <c r="AX386" s="597"/>
      <c r="AY386" s="597"/>
      <c r="AZ386" s="597"/>
      <c r="BA386" s="597"/>
      <c r="BB386" s="598"/>
      <c r="BC386" s="597"/>
      <c r="BD386" s="597"/>
      <c r="BE386" s="597"/>
      <c r="BF386" s="597"/>
      <c r="BG386" s="598"/>
      <c r="BH386" s="597"/>
      <c r="BI386" s="597"/>
      <c r="BJ386" s="597"/>
      <c r="BK386" s="597"/>
      <c r="BL386" s="598"/>
      <c r="BM386" s="597"/>
      <c r="BN386" s="597"/>
      <c r="BO386" s="597"/>
      <c r="BP386" s="597"/>
      <c r="BQ386" s="598"/>
      <c r="BR386" s="597"/>
      <c r="BS386" s="597"/>
      <c r="BT386" s="597"/>
      <c r="BU386" s="597"/>
      <c r="BV386" s="598"/>
      <c r="BW386" s="597"/>
      <c r="BX386" s="597"/>
      <c r="BY386" s="597"/>
      <c r="BZ386" s="597"/>
      <c r="CA386" s="598"/>
      <c r="CB386" s="597"/>
      <c r="CC386" s="597"/>
      <c r="CD386" s="597"/>
      <c r="CE386" s="597"/>
      <c r="CF386" s="598"/>
      <c r="CG386" s="682"/>
      <c r="CH386" s="682"/>
      <c r="CI386" s="682"/>
      <c r="CJ386" s="682"/>
      <c r="CK386" s="598"/>
      <c r="CL386" s="682"/>
      <c r="CM386" s="682"/>
      <c r="CN386" s="682"/>
      <c r="CO386" s="682"/>
      <c r="CP386" s="598"/>
      <c r="CQ386" s="682"/>
      <c r="CR386" s="682"/>
      <c r="CS386" s="682"/>
      <c r="CT386" s="682"/>
      <c r="CU386" s="598"/>
      <c r="CV386" s="682"/>
      <c r="CW386" s="682"/>
      <c r="CX386" s="682"/>
      <c r="CY386" s="682"/>
      <c r="CZ386" s="598"/>
      <c r="DA386" s="682"/>
      <c r="DB386" s="682"/>
      <c r="DC386" s="682"/>
      <c r="DD386" s="682"/>
      <c r="DE386" s="598"/>
      <c r="DF386" s="682"/>
      <c r="DG386" s="682"/>
      <c r="DH386" s="682"/>
      <c r="DI386" s="1610"/>
      <c r="DJ386" s="598"/>
      <c r="DK386" s="682"/>
      <c r="DL386" s="682"/>
      <c r="DM386" s="682"/>
      <c r="DN386" s="682"/>
      <c r="DO386" s="598"/>
      <c r="DP386" s="682"/>
      <c r="DQ386" s="682"/>
      <c r="DR386" s="682"/>
      <c r="DS386" s="682"/>
      <c r="DT386" s="598"/>
      <c r="DU386" s="682"/>
      <c r="DV386" s="682"/>
      <c r="DW386" s="682"/>
      <c r="DX386" s="682"/>
      <c r="DY386" s="598"/>
    </row>
    <row r="387" spans="1:129" hidden="1" outlineLevel="1" x14ac:dyDescent="0.2">
      <c r="A387" s="466"/>
      <c r="B387" s="607" t="s">
        <v>858</v>
      </c>
      <c r="C387" s="585"/>
      <c r="D387" s="585"/>
      <c r="E387" s="585"/>
      <c r="F387" s="585"/>
      <c r="G387" s="585"/>
      <c r="H387" s="585"/>
      <c r="I387" s="586"/>
      <c r="J387" s="585"/>
      <c r="K387" s="585"/>
      <c r="L387" s="585"/>
      <c r="M387" s="585"/>
      <c r="N387" s="586"/>
      <c r="O387" s="585"/>
      <c r="P387" s="585"/>
      <c r="Q387" s="585"/>
      <c r="R387" s="585"/>
      <c r="S387" s="586"/>
      <c r="T387" s="585"/>
      <c r="U387" s="585"/>
      <c r="V387" s="585"/>
      <c r="W387" s="585"/>
      <c r="X387" s="586"/>
      <c r="Y387" s="585"/>
      <c r="Z387" s="585"/>
      <c r="AA387" s="585"/>
      <c r="AB387" s="585"/>
      <c r="AC387" s="586"/>
      <c r="AD387" s="585"/>
      <c r="AE387" s="585"/>
      <c r="AF387" s="585"/>
      <c r="AG387" s="585"/>
      <c r="AH387" s="586"/>
      <c r="AI387" s="585"/>
      <c r="AJ387" s="585"/>
      <c r="AK387" s="585"/>
      <c r="AL387" s="585"/>
      <c r="AM387" s="586"/>
      <c r="AN387" s="585"/>
      <c r="AO387" s="585"/>
      <c r="AP387" s="585"/>
      <c r="AQ387" s="585"/>
      <c r="AR387" s="586"/>
      <c r="AS387" s="585"/>
      <c r="AT387" s="585"/>
      <c r="AU387" s="585"/>
      <c r="AV387" s="585"/>
      <c r="AW387" s="586"/>
      <c r="AX387" s="585"/>
      <c r="AY387" s="585"/>
      <c r="AZ387" s="585"/>
      <c r="BA387" s="585"/>
      <c r="BB387" s="586"/>
      <c r="BC387" s="585"/>
      <c r="BD387" s="585"/>
      <c r="BE387" s="585"/>
      <c r="BF387" s="585"/>
      <c r="BG387" s="586"/>
      <c r="BH387" s="585"/>
      <c r="BI387" s="585"/>
      <c r="BJ387" s="585"/>
      <c r="BK387" s="585"/>
      <c r="BL387" s="586"/>
      <c r="BM387" s="585"/>
      <c r="BN387" s="585"/>
      <c r="BO387" s="585"/>
      <c r="BP387" s="585"/>
      <c r="BQ387" s="586"/>
      <c r="BR387" s="585"/>
      <c r="BS387" s="585"/>
      <c r="BT387" s="585"/>
      <c r="BU387" s="585"/>
      <c r="BV387" s="586"/>
      <c r="BW387" s="585"/>
      <c r="BX387" s="585"/>
      <c r="BY387" s="585"/>
      <c r="BZ387" s="585"/>
      <c r="CA387" s="586"/>
      <c r="CB387" s="585"/>
      <c r="CC387" s="585"/>
      <c r="CD387" s="585"/>
      <c r="CE387" s="585"/>
      <c r="CF387" s="586"/>
      <c r="CG387" s="470"/>
      <c r="CH387" s="470"/>
      <c r="CI387" s="470"/>
      <c r="CJ387" s="470"/>
      <c r="CK387" s="586"/>
      <c r="CL387" s="470"/>
      <c r="CM387" s="470"/>
      <c r="CN387" s="470"/>
      <c r="CO387" s="470"/>
      <c r="CP387" s="586"/>
      <c r="CQ387" s="470"/>
      <c r="CR387" s="470"/>
      <c r="CS387" s="470"/>
      <c r="CT387" s="470"/>
      <c r="CU387" s="586"/>
      <c r="CV387" s="470"/>
      <c r="CW387" s="470"/>
      <c r="CX387" s="470"/>
      <c r="CY387" s="470"/>
      <c r="CZ387" s="586"/>
      <c r="DA387" s="470"/>
      <c r="DB387" s="470"/>
      <c r="DC387" s="470"/>
      <c r="DD387" s="470"/>
      <c r="DE387" s="586"/>
      <c r="DF387" s="470"/>
      <c r="DG387" s="470"/>
      <c r="DH387" s="470"/>
      <c r="DI387" s="914"/>
      <c r="DJ387" s="586"/>
      <c r="DK387" s="470"/>
      <c r="DL387" s="470"/>
      <c r="DM387" s="470"/>
      <c r="DN387" s="470"/>
      <c r="DO387" s="586"/>
      <c r="DP387" s="470"/>
      <c r="DQ387" s="470"/>
      <c r="DR387" s="470"/>
      <c r="DS387" s="470"/>
      <c r="DT387" s="586"/>
      <c r="DU387" s="470"/>
      <c r="DV387" s="470"/>
      <c r="DW387" s="470"/>
      <c r="DX387" s="470"/>
      <c r="DY387" s="586"/>
    </row>
    <row r="388" spans="1:129" hidden="1" outlineLevel="1" x14ac:dyDescent="0.2">
      <c r="A388" s="466"/>
      <c r="B388" s="607" t="s">
        <v>845</v>
      </c>
      <c r="C388" s="585"/>
      <c r="D388" s="585"/>
      <c r="E388" s="585"/>
      <c r="F388" s="585"/>
      <c r="G388" s="585"/>
      <c r="H388" s="585"/>
      <c r="I388" s="586"/>
      <c r="J388" s="585"/>
      <c r="K388" s="585"/>
      <c r="L388" s="585"/>
      <c r="M388" s="585"/>
      <c r="N388" s="586"/>
      <c r="O388" s="585"/>
      <c r="P388" s="585"/>
      <c r="Q388" s="585"/>
      <c r="R388" s="585"/>
      <c r="S388" s="586"/>
      <c r="T388" s="585"/>
      <c r="U388" s="585"/>
      <c r="V388" s="585"/>
      <c r="W388" s="585"/>
      <c r="X388" s="586"/>
      <c r="Y388" s="585"/>
      <c r="Z388" s="585"/>
      <c r="AA388" s="585"/>
      <c r="AB388" s="585"/>
      <c r="AC388" s="586"/>
      <c r="AD388" s="585"/>
      <c r="AE388" s="585"/>
      <c r="AF388" s="585"/>
      <c r="AG388" s="585"/>
      <c r="AH388" s="586"/>
      <c r="AI388" s="585"/>
      <c r="AJ388" s="585"/>
      <c r="AK388" s="585"/>
      <c r="AL388" s="585"/>
      <c r="AM388" s="586"/>
      <c r="AN388" s="585"/>
      <c r="AO388" s="585"/>
      <c r="AP388" s="585"/>
      <c r="AQ388" s="585"/>
      <c r="AR388" s="586"/>
      <c r="AS388" s="585"/>
      <c r="AT388" s="585"/>
      <c r="AU388" s="585"/>
      <c r="AV388" s="585"/>
      <c r="AW388" s="586"/>
      <c r="AX388" s="585"/>
      <c r="AY388" s="585"/>
      <c r="AZ388" s="585"/>
      <c r="BA388" s="585"/>
      <c r="BB388" s="586"/>
      <c r="BC388" s="585"/>
      <c r="BD388" s="585"/>
      <c r="BE388" s="585"/>
      <c r="BF388" s="585"/>
      <c r="BG388" s="586"/>
      <c r="BH388" s="592">
        <v>15.441000000000001</v>
      </c>
      <c r="BI388" s="592">
        <v>13.288</v>
      </c>
      <c r="BJ388" s="592">
        <v>19.05</v>
      </c>
      <c r="BK388" s="592">
        <v>21.204999999999998</v>
      </c>
      <c r="BL388" s="754">
        <v>68.983999999999995</v>
      </c>
      <c r="BM388" s="592">
        <v>20.219000000000001</v>
      </c>
      <c r="BN388" s="592">
        <v>20.396000000000001</v>
      </c>
      <c r="BO388" s="592">
        <v>21.907499999999999</v>
      </c>
      <c r="BP388" s="592">
        <v>24.385749999999994</v>
      </c>
      <c r="BQ388" s="754">
        <v>86.908249999999995</v>
      </c>
      <c r="BR388" s="592">
        <v>22.645280000000003</v>
      </c>
      <c r="BS388" s="592">
        <v>22.843520000000002</v>
      </c>
      <c r="BT388" s="592">
        <v>24.5364</v>
      </c>
      <c r="BU388" s="592">
        <v>27.312039999999996</v>
      </c>
      <c r="BV388" s="754">
        <v>97.337240000000008</v>
      </c>
      <c r="BW388" s="585"/>
      <c r="BX388" s="585"/>
      <c r="BY388" s="585"/>
      <c r="BZ388" s="585"/>
      <c r="CA388" s="586"/>
      <c r="CB388" s="585"/>
      <c r="CC388" s="585"/>
      <c r="CD388" s="585"/>
      <c r="CE388" s="585"/>
      <c r="CF388" s="586"/>
      <c r="CG388" s="470"/>
      <c r="CH388" s="470"/>
      <c r="CI388" s="470"/>
      <c r="CJ388" s="470"/>
      <c r="CK388" s="586"/>
      <c r="CL388" s="470"/>
      <c r="CM388" s="470"/>
      <c r="CN388" s="470"/>
      <c r="CO388" s="470"/>
      <c r="CP388" s="586"/>
      <c r="CQ388" s="470"/>
      <c r="CR388" s="470"/>
      <c r="CS388" s="470"/>
      <c r="CT388" s="470"/>
      <c r="CU388" s="586"/>
      <c r="CV388" s="470"/>
      <c r="CW388" s="470"/>
      <c r="CX388" s="470"/>
      <c r="CY388" s="470"/>
      <c r="CZ388" s="586"/>
      <c r="DA388" s="470"/>
      <c r="DB388" s="470"/>
      <c r="DC388" s="470"/>
      <c r="DD388" s="470"/>
      <c r="DE388" s="586"/>
      <c r="DF388" s="470"/>
      <c r="DG388" s="470"/>
      <c r="DH388" s="470"/>
      <c r="DI388" s="914"/>
      <c r="DJ388" s="586"/>
      <c r="DK388" s="470"/>
      <c r="DL388" s="470"/>
      <c r="DM388" s="470"/>
      <c r="DN388" s="470"/>
      <c r="DO388" s="586"/>
      <c r="DP388" s="470"/>
      <c r="DQ388" s="470"/>
      <c r="DR388" s="470"/>
      <c r="DS388" s="470"/>
      <c r="DT388" s="586"/>
      <c r="DU388" s="470"/>
      <c r="DV388" s="470"/>
      <c r="DW388" s="470"/>
      <c r="DX388" s="470"/>
      <c r="DY388" s="586"/>
    </row>
    <row r="389" spans="1:129" hidden="1" outlineLevel="1" x14ac:dyDescent="0.2">
      <c r="A389" s="466"/>
      <c r="B389" s="607" t="s">
        <v>846</v>
      </c>
      <c r="C389" s="585"/>
      <c r="D389" s="585"/>
      <c r="E389" s="585"/>
      <c r="F389" s="585"/>
      <c r="G389" s="585"/>
      <c r="H389" s="585"/>
      <c r="I389" s="586"/>
      <c r="J389" s="585"/>
      <c r="K389" s="585"/>
      <c r="L389" s="585"/>
      <c r="M389" s="585"/>
      <c r="N389" s="586"/>
      <c r="O389" s="585"/>
      <c r="P389" s="585"/>
      <c r="Q389" s="585"/>
      <c r="R389" s="585"/>
      <c r="S389" s="586"/>
      <c r="T389" s="585"/>
      <c r="U389" s="585"/>
      <c r="V389" s="585"/>
      <c r="W389" s="585"/>
      <c r="X389" s="586"/>
      <c r="Y389" s="585"/>
      <c r="Z389" s="585"/>
      <c r="AA389" s="585"/>
      <c r="AB389" s="585"/>
      <c r="AC389" s="586"/>
      <c r="AD389" s="585"/>
      <c r="AE389" s="585"/>
      <c r="AF389" s="585"/>
      <c r="AG389" s="585"/>
      <c r="AH389" s="586"/>
      <c r="AI389" s="585"/>
      <c r="AJ389" s="585"/>
      <c r="AK389" s="585"/>
      <c r="AL389" s="585"/>
      <c r="AM389" s="586"/>
      <c r="AN389" s="585"/>
      <c r="AO389" s="585"/>
      <c r="AP389" s="585"/>
      <c r="AQ389" s="585"/>
      <c r="AR389" s="586"/>
      <c r="AS389" s="585"/>
      <c r="AT389" s="585"/>
      <c r="AU389" s="585"/>
      <c r="AV389" s="585"/>
      <c r="AW389" s="586"/>
      <c r="AX389" s="585"/>
      <c r="AY389" s="585"/>
      <c r="AZ389" s="585"/>
      <c r="BA389" s="585"/>
      <c r="BB389" s="586"/>
      <c r="BC389" s="585"/>
      <c r="BD389" s="585"/>
      <c r="BE389" s="585"/>
      <c r="BF389" s="585"/>
      <c r="BG389" s="586"/>
      <c r="BH389" s="592">
        <v>96.558000000000007</v>
      </c>
      <c r="BI389" s="592">
        <v>65.67</v>
      </c>
      <c r="BJ389" s="592">
        <v>60.680999999999997</v>
      </c>
      <c r="BK389" s="592">
        <v>87.844999999999999</v>
      </c>
      <c r="BL389" s="754">
        <v>310.75400000000002</v>
      </c>
      <c r="BM389" s="592">
        <v>167.11699999999999</v>
      </c>
      <c r="BN389" s="592">
        <v>110.873</v>
      </c>
      <c r="BO389" s="592">
        <v>100.12364999999998</v>
      </c>
      <c r="BP389" s="592">
        <v>114.1985</v>
      </c>
      <c r="BQ389" s="754">
        <v>492.31214999999997</v>
      </c>
      <c r="BR389" s="592">
        <v>175.47284999999999</v>
      </c>
      <c r="BS389" s="592">
        <v>116.41665</v>
      </c>
      <c r="BT389" s="592">
        <v>105.12983249999999</v>
      </c>
      <c r="BU389" s="592">
        <v>119.90842499999999</v>
      </c>
      <c r="BV389" s="754">
        <v>516.92775749999998</v>
      </c>
      <c r="BW389" s="585"/>
      <c r="BX389" s="585"/>
      <c r="BY389" s="585"/>
      <c r="BZ389" s="585"/>
      <c r="CA389" s="586"/>
      <c r="CB389" s="585"/>
      <c r="CC389" s="585"/>
      <c r="CD389" s="585"/>
      <c r="CE389" s="585"/>
      <c r="CF389" s="586"/>
      <c r="CG389" s="470"/>
      <c r="CH389" s="470"/>
      <c r="CI389" s="470"/>
      <c r="CJ389" s="470"/>
      <c r="CK389" s="586"/>
      <c r="CL389" s="470"/>
      <c r="CM389" s="470"/>
      <c r="CN389" s="470"/>
      <c r="CO389" s="470"/>
      <c r="CP389" s="586"/>
      <c r="CQ389" s="470"/>
      <c r="CR389" s="470"/>
      <c r="CS389" s="470"/>
      <c r="CT389" s="470"/>
      <c r="CU389" s="586"/>
      <c r="CV389" s="470"/>
      <c r="CW389" s="470"/>
      <c r="CX389" s="470"/>
      <c r="CY389" s="470"/>
      <c r="CZ389" s="586"/>
      <c r="DA389" s="470"/>
      <c r="DB389" s="470"/>
      <c r="DC389" s="470"/>
      <c r="DD389" s="470"/>
      <c r="DE389" s="586"/>
      <c r="DF389" s="470"/>
      <c r="DG389" s="470"/>
      <c r="DH389" s="470"/>
      <c r="DI389" s="914"/>
      <c r="DJ389" s="586"/>
      <c r="DK389" s="470"/>
      <c r="DL389" s="470"/>
      <c r="DM389" s="470"/>
      <c r="DN389" s="470"/>
      <c r="DO389" s="586"/>
      <c r="DP389" s="470"/>
      <c r="DQ389" s="470"/>
      <c r="DR389" s="470"/>
      <c r="DS389" s="470"/>
      <c r="DT389" s="586"/>
      <c r="DU389" s="470"/>
      <c r="DV389" s="470"/>
      <c r="DW389" s="470"/>
      <c r="DX389" s="470"/>
      <c r="DY389" s="586"/>
    </row>
    <row r="390" spans="1:129" hidden="1" outlineLevel="1" x14ac:dyDescent="0.2">
      <c r="A390" s="466"/>
      <c r="B390" s="607" t="s">
        <v>847</v>
      </c>
      <c r="C390" s="585"/>
      <c r="D390" s="585"/>
      <c r="E390" s="585"/>
      <c r="F390" s="585"/>
      <c r="G390" s="585"/>
      <c r="H390" s="585"/>
      <c r="I390" s="586"/>
      <c r="J390" s="585"/>
      <c r="K390" s="585"/>
      <c r="L390" s="585"/>
      <c r="M390" s="585"/>
      <c r="N390" s="586"/>
      <c r="O390" s="585"/>
      <c r="P390" s="585"/>
      <c r="Q390" s="585"/>
      <c r="R390" s="585"/>
      <c r="S390" s="586"/>
      <c r="T390" s="585"/>
      <c r="U390" s="585"/>
      <c r="V390" s="585"/>
      <c r="W390" s="585"/>
      <c r="X390" s="586"/>
      <c r="Y390" s="585"/>
      <c r="Z390" s="585"/>
      <c r="AA390" s="585"/>
      <c r="AB390" s="585"/>
      <c r="AC390" s="586"/>
      <c r="AD390" s="585"/>
      <c r="AE390" s="585"/>
      <c r="AF390" s="585"/>
      <c r="AG390" s="585"/>
      <c r="AH390" s="586"/>
      <c r="AI390" s="585"/>
      <c r="AJ390" s="585"/>
      <c r="AK390" s="585"/>
      <c r="AL390" s="585"/>
      <c r="AM390" s="586"/>
      <c r="AN390" s="585"/>
      <c r="AO390" s="585"/>
      <c r="AP390" s="585"/>
      <c r="AQ390" s="585"/>
      <c r="AR390" s="586"/>
      <c r="AS390" s="585"/>
      <c r="AT390" s="585"/>
      <c r="AU390" s="585"/>
      <c r="AV390" s="585"/>
      <c r="AW390" s="586"/>
      <c r="AX390" s="585"/>
      <c r="AY390" s="585"/>
      <c r="AZ390" s="585"/>
      <c r="BA390" s="585"/>
      <c r="BB390" s="586"/>
      <c r="BC390" s="585"/>
      <c r="BD390" s="585"/>
      <c r="BE390" s="585"/>
      <c r="BF390" s="585"/>
      <c r="BG390" s="586"/>
      <c r="BH390" s="592">
        <v>111.99900000000001</v>
      </c>
      <c r="BI390" s="592">
        <v>78.957999999999998</v>
      </c>
      <c r="BJ390" s="592">
        <v>79.730999999999995</v>
      </c>
      <c r="BK390" s="592">
        <v>109.05</v>
      </c>
      <c r="BL390" s="754">
        <v>379.738</v>
      </c>
      <c r="BM390" s="592">
        <v>187.33599999999998</v>
      </c>
      <c r="BN390" s="592">
        <v>131.26900000000001</v>
      </c>
      <c r="BO390" s="592">
        <v>122.03114999999998</v>
      </c>
      <c r="BP390" s="592">
        <v>138.58425</v>
      </c>
      <c r="BQ390" s="754">
        <v>579.22039999999993</v>
      </c>
      <c r="BR390" s="592">
        <v>198.11813000000001</v>
      </c>
      <c r="BS390" s="592">
        <v>139.26017000000002</v>
      </c>
      <c r="BT390" s="592">
        <v>129.66623249999998</v>
      </c>
      <c r="BU390" s="592">
        <v>147.22046499999999</v>
      </c>
      <c r="BV390" s="754">
        <v>614.26499749999994</v>
      </c>
      <c r="BW390" s="585"/>
      <c r="BX390" s="585"/>
      <c r="BY390" s="585"/>
      <c r="BZ390" s="585"/>
      <c r="CA390" s="586"/>
      <c r="CB390" s="585"/>
      <c r="CC390" s="585"/>
      <c r="CD390" s="585"/>
      <c r="CE390" s="585"/>
      <c r="CF390" s="586"/>
      <c r="CG390" s="470"/>
      <c r="CH390" s="470"/>
      <c r="CI390" s="470"/>
      <c r="CJ390" s="470"/>
      <c r="CK390" s="586"/>
      <c r="CL390" s="470"/>
      <c r="CM390" s="470"/>
      <c r="CN390" s="470"/>
      <c r="CO390" s="470"/>
      <c r="CP390" s="586"/>
      <c r="CQ390" s="470"/>
      <c r="CR390" s="470"/>
      <c r="CS390" s="470"/>
      <c r="CT390" s="470"/>
      <c r="CU390" s="586"/>
      <c r="CV390" s="470"/>
      <c r="CW390" s="470"/>
      <c r="CX390" s="470"/>
      <c r="CY390" s="470"/>
      <c r="CZ390" s="586"/>
      <c r="DA390" s="470"/>
      <c r="DB390" s="470"/>
      <c r="DC390" s="470"/>
      <c r="DD390" s="470"/>
      <c r="DE390" s="586"/>
      <c r="DF390" s="470"/>
      <c r="DG390" s="470"/>
      <c r="DH390" s="470"/>
      <c r="DI390" s="914"/>
      <c r="DJ390" s="586"/>
      <c r="DK390" s="470"/>
      <c r="DL390" s="470"/>
      <c r="DM390" s="470"/>
      <c r="DN390" s="470"/>
      <c r="DO390" s="586"/>
      <c r="DP390" s="470"/>
      <c r="DQ390" s="470"/>
      <c r="DR390" s="470"/>
      <c r="DS390" s="470"/>
      <c r="DT390" s="586"/>
      <c r="DU390" s="470"/>
      <c r="DV390" s="470"/>
      <c r="DW390" s="470"/>
      <c r="DX390" s="470"/>
      <c r="DY390" s="586"/>
    </row>
    <row r="391" spans="1:129" hidden="1" outlineLevel="1" x14ac:dyDescent="0.2">
      <c r="A391" s="466"/>
      <c r="B391" s="607"/>
      <c r="C391" s="585"/>
      <c r="D391" s="585"/>
      <c r="E391" s="585"/>
      <c r="F391" s="585"/>
      <c r="G391" s="585"/>
      <c r="H391" s="585"/>
      <c r="I391" s="586"/>
      <c r="J391" s="585"/>
      <c r="K391" s="585"/>
      <c r="L391" s="585"/>
      <c r="M391" s="585"/>
      <c r="N391" s="586"/>
      <c r="O391" s="585"/>
      <c r="P391" s="585"/>
      <c r="Q391" s="585"/>
      <c r="R391" s="585"/>
      <c r="S391" s="586"/>
      <c r="T391" s="585"/>
      <c r="U391" s="585"/>
      <c r="V391" s="585"/>
      <c r="W391" s="585"/>
      <c r="X391" s="586"/>
      <c r="Y391" s="585"/>
      <c r="Z391" s="585"/>
      <c r="AA391" s="585"/>
      <c r="AB391" s="585"/>
      <c r="AC391" s="586"/>
      <c r="AD391" s="585"/>
      <c r="AE391" s="585"/>
      <c r="AF391" s="585"/>
      <c r="AG391" s="585"/>
      <c r="AH391" s="586"/>
      <c r="AI391" s="585"/>
      <c r="AJ391" s="585"/>
      <c r="AK391" s="585"/>
      <c r="AL391" s="585"/>
      <c r="AM391" s="586"/>
      <c r="AN391" s="585"/>
      <c r="AO391" s="585"/>
      <c r="AP391" s="585"/>
      <c r="AQ391" s="585"/>
      <c r="AR391" s="586"/>
      <c r="AS391" s="585"/>
      <c r="AT391" s="585"/>
      <c r="AU391" s="585"/>
      <c r="AV391" s="585"/>
      <c r="AW391" s="586"/>
      <c r="AX391" s="585"/>
      <c r="AY391" s="585"/>
      <c r="AZ391" s="585"/>
      <c r="BA391" s="585"/>
      <c r="BB391" s="586"/>
      <c r="BC391" s="585"/>
      <c r="BD391" s="585"/>
      <c r="BE391" s="585"/>
      <c r="BF391" s="585"/>
      <c r="BG391" s="586"/>
      <c r="BH391" s="585"/>
      <c r="BI391" s="585"/>
      <c r="BJ391" s="585"/>
      <c r="BK391" s="585"/>
      <c r="BL391" s="586"/>
      <c r="BM391" s="585"/>
      <c r="BN391" s="585"/>
      <c r="BO391" s="585"/>
      <c r="BP391" s="585"/>
      <c r="BQ391" s="586"/>
      <c r="BR391" s="585"/>
      <c r="BS391" s="585"/>
      <c r="BT391" s="585"/>
      <c r="BU391" s="585"/>
      <c r="BV391" s="586"/>
      <c r="BW391" s="585"/>
      <c r="BX391" s="585"/>
      <c r="BY391" s="585"/>
      <c r="BZ391" s="585"/>
      <c r="CA391" s="586"/>
      <c r="CB391" s="585"/>
      <c r="CC391" s="585"/>
      <c r="CD391" s="585"/>
      <c r="CE391" s="585"/>
      <c r="CF391" s="586"/>
      <c r="CG391" s="470"/>
      <c r="CH391" s="470"/>
      <c r="CI391" s="470"/>
      <c r="CJ391" s="470"/>
      <c r="CK391" s="586"/>
      <c r="CL391" s="470"/>
      <c r="CM391" s="470"/>
      <c r="CN391" s="470"/>
      <c r="CO391" s="470"/>
      <c r="CP391" s="586"/>
      <c r="CQ391" s="470"/>
      <c r="CR391" s="470"/>
      <c r="CS391" s="470"/>
      <c r="CT391" s="470"/>
      <c r="CU391" s="586"/>
      <c r="CV391" s="470"/>
      <c r="CW391" s="470"/>
      <c r="CX391" s="470"/>
      <c r="CY391" s="470"/>
      <c r="CZ391" s="586"/>
      <c r="DA391" s="470"/>
      <c r="DB391" s="470"/>
      <c r="DC391" s="470"/>
      <c r="DD391" s="470"/>
      <c r="DE391" s="586"/>
      <c r="DF391" s="470"/>
      <c r="DG391" s="470"/>
      <c r="DH391" s="470"/>
      <c r="DI391" s="914"/>
      <c r="DJ391" s="586"/>
      <c r="DK391" s="470"/>
      <c r="DL391" s="470"/>
      <c r="DM391" s="470"/>
      <c r="DN391" s="470"/>
      <c r="DO391" s="586"/>
      <c r="DP391" s="470"/>
      <c r="DQ391" s="470"/>
      <c r="DR391" s="470"/>
      <c r="DS391" s="470"/>
      <c r="DT391" s="586"/>
      <c r="DU391" s="470"/>
      <c r="DV391" s="470"/>
      <c r="DW391" s="470"/>
      <c r="DX391" s="470"/>
      <c r="DY391" s="586"/>
    </row>
    <row r="392" spans="1:129" hidden="1" outlineLevel="1" x14ac:dyDescent="0.2">
      <c r="A392" s="466"/>
      <c r="B392" s="607" t="s">
        <v>848</v>
      </c>
      <c r="C392" s="585"/>
      <c r="D392" s="585"/>
      <c r="E392" s="585"/>
      <c r="F392" s="585"/>
      <c r="G392" s="585"/>
      <c r="H392" s="585"/>
      <c r="I392" s="586"/>
      <c r="J392" s="585"/>
      <c r="K392" s="585"/>
      <c r="L392" s="585"/>
      <c r="M392" s="585"/>
      <c r="N392" s="586"/>
      <c r="O392" s="585"/>
      <c r="P392" s="585"/>
      <c r="Q392" s="585"/>
      <c r="R392" s="585"/>
      <c r="S392" s="586"/>
      <c r="T392" s="585"/>
      <c r="U392" s="585"/>
      <c r="V392" s="585"/>
      <c r="W392" s="585"/>
      <c r="X392" s="586"/>
      <c r="Y392" s="585"/>
      <c r="Z392" s="585"/>
      <c r="AA392" s="585"/>
      <c r="AB392" s="585"/>
      <c r="AC392" s="586"/>
      <c r="AD392" s="585"/>
      <c r="AE392" s="585"/>
      <c r="AF392" s="585"/>
      <c r="AG392" s="585"/>
      <c r="AH392" s="586"/>
      <c r="AI392" s="585"/>
      <c r="AJ392" s="585"/>
      <c r="AK392" s="585"/>
      <c r="AL392" s="585"/>
      <c r="AM392" s="586"/>
      <c r="AN392" s="585"/>
      <c r="AO392" s="585"/>
      <c r="AP392" s="585"/>
      <c r="AQ392" s="585"/>
      <c r="AR392" s="586"/>
      <c r="AS392" s="585"/>
      <c r="AT392" s="585"/>
      <c r="AU392" s="585"/>
      <c r="AV392" s="585"/>
      <c r="AW392" s="586"/>
      <c r="AX392" s="585"/>
      <c r="AY392" s="585"/>
      <c r="AZ392" s="585"/>
      <c r="BA392" s="585"/>
      <c r="BB392" s="586"/>
      <c r="BC392" s="585"/>
      <c r="BD392" s="585"/>
      <c r="BE392" s="585"/>
      <c r="BF392" s="585"/>
      <c r="BG392" s="586"/>
      <c r="BH392" s="592">
        <v>0</v>
      </c>
      <c r="BI392" s="592">
        <v>0</v>
      </c>
      <c r="BJ392" s="592">
        <v>0</v>
      </c>
      <c r="BK392" s="592">
        <v>0</v>
      </c>
      <c r="BL392" s="754">
        <v>0</v>
      </c>
      <c r="BM392" s="592">
        <v>0</v>
      </c>
      <c r="BN392" s="592">
        <v>0</v>
      </c>
      <c r="BO392" s="592">
        <v>0</v>
      </c>
      <c r="BP392" s="592">
        <v>0</v>
      </c>
      <c r="BQ392" s="754">
        <v>0</v>
      </c>
      <c r="BR392" s="592">
        <v>0</v>
      </c>
      <c r="BS392" s="592">
        <v>0</v>
      </c>
      <c r="BT392" s="592">
        <v>0</v>
      </c>
      <c r="BU392" s="592">
        <v>0</v>
      </c>
      <c r="BV392" s="754">
        <v>0</v>
      </c>
      <c r="BW392" s="585"/>
      <c r="BX392" s="585"/>
      <c r="BY392" s="585"/>
      <c r="BZ392" s="585"/>
      <c r="CA392" s="586"/>
      <c r="CB392" s="585"/>
      <c r="CC392" s="585"/>
      <c r="CD392" s="585"/>
      <c r="CE392" s="585"/>
      <c r="CF392" s="586"/>
      <c r="CG392" s="470"/>
      <c r="CH392" s="470"/>
      <c r="CI392" s="470"/>
      <c r="CJ392" s="470"/>
      <c r="CK392" s="586"/>
      <c r="CL392" s="470"/>
      <c r="CM392" s="470"/>
      <c r="CN392" s="470"/>
      <c r="CO392" s="470"/>
      <c r="CP392" s="586"/>
      <c r="CQ392" s="470"/>
      <c r="CR392" s="470"/>
      <c r="CS392" s="470"/>
      <c r="CT392" s="470"/>
      <c r="CU392" s="586"/>
      <c r="CV392" s="470"/>
      <c r="CW392" s="470"/>
      <c r="CX392" s="470"/>
      <c r="CY392" s="470"/>
      <c r="CZ392" s="586"/>
      <c r="DA392" s="470"/>
      <c r="DB392" s="470"/>
      <c r="DC392" s="470"/>
      <c r="DD392" s="470"/>
      <c r="DE392" s="586"/>
      <c r="DF392" s="470"/>
      <c r="DG392" s="470"/>
      <c r="DH392" s="470"/>
      <c r="DI392" s="914"/>
      <c r="DJ392" s="586"/>
      <c r="DK392" s="470"/>
      <c r="DL392" s="470"/>
      <c r="DM392" s="470"/>
      <c r="DN392" s="470"/>
      <c r="DO392" s="586"/>
      <c r="DP392" s="470"/>
      <c r="DQ392" s="470"/>
      <c r="DR392" s="470"/>
      <c r="DS392" s="470"/>
      <c r="DT392" s="586"/>
      <c r="DU392" s="470"/>
      <c r="DV392" s="470"/>
      <c r="DW392" s="470"/>
      <c r="DX392" s="470"/>
      <c r="DY392" s="586"/>
    </row>
    <row r="393" spans="1:129" hidden="1" outlineLevel="1" x14ac:dyDescent="0.2">
      <c r="A393" s="466"/>
      <c r="B393" s="607" t="s">
        <v>849</v>
      </c>
      <c r="C393" s="585"/>
      <c r="D393" s="585"/>
      <c r="E393" s="585"/>
      <c r="F393" s="585"/>
      <c r="G393" s="585"/>
      <c r="H393" s="585"/>
      <c r="I393" s="586"/>
      <c r="J393" s="585"/>
      <c r="K393" s="585"/>
      <c r="L393" s="585"/>
      <c r="M393" s="585"/>
      <c r="N393" s="586"/>
      <c r="O393" s="585"/>
      <c r="P393" s="585"/>
      <c r="Q393" s="585"/>
      <c r="R393" s="585"/>
      <c r="S393" s="586"/>
      <c r="T393" s="585"/>
      <c r="U393" s="585"/>
      <c r="V393" s="585"/>
      <c r="W393" s="585"/>
      <c r="X393" s="586"/>
      <c r="Y393" s="585"/>
      <c r="Z393" s="585"/>
      <c r="AA393" s="585"/>
      <c r="AB393" s="585"/>
      <c r="AC393" s="586"/>
      <c r="AD393" s="585"/>
      <c r="AE393" s="585"/>
      <c r="AF393" s="585"/>
      <c r="AG393" s="585"/>
      <c r="AH393" s="586"/>
      <c r="AI393" s="585"/>
      <c r="AJ393" s="585"/>
      <c r="AK393" s="585"/>
      <c r="AL393" s="585"/>
      <c r="AM393" s="586"/>
      <c r="AN393" s="585"/>
      <c r="AO393" s="585"/>
      <c r="AP393" s="585"/>
      <c r="AQ393" s="585"/>
      <c r="AR393" s="586"/>
      <c r="AS393" s="585"/>
      <c r="AT393" s="585"/>
      <c r="AU393" s="585"/>
      <c r="AV393" s="585"/>
      <c r="AW393" s="586"/>
      <c r="AX393" s="585"/>
      <c r="AY393" s="585"/>
      <c r="AZ393" s="585"/>
      <c r="BA393" s="585"/>
      <c r="BB393" s="586"/>
      <c r="BC393" s="585"/>
      <c r="BD393" s="585"/>
      <c r="BE393" s="585"/>
      <c r="BF393" s="585"/>
      <c r="BG393" s="586"/>
      <c r="BH393" s="592">
        <v>92.495999999999995</v>
      </c>
      <c r="BI393" s="592">
        <v>54.173999999999999</v>
      </c>
      <c r="BJ393" s="592">
        <v>45.27</v>
      </c>
      <c r="BK393" s="592">
        <v>71.668000000000006</v>
      </c>
      <c r="BL393" s="754">
        <v>263.608</v>
      </c>
      <c r="BM393" s="592">
        <v>163.089</v>
      </c>
      <c r="BN393" s="592">
        <v>96.5</v>
      </c>
      <c r="BO393" s="592">
        <v>78.096446999999984</v>
      </c>
      <c r="BP393" s="592">
        <v>93.642769999999999</v>
      </c>
      <c r="BQ393" s="754">
        <v>431.32821699999994</v>
      </c>
      <c r="BR393" s="592">
        <v>171.2615016</v>
      </c>
      <c r="BS393" s="592">
        <v>101.28248550000001</v>
      </c>
      <c r="BT393" s="592">
        <v>84.103865999999996</v>
      </c>
      <c r="BU393" s="592">
        <v>98.324908500000006</v>
      </c>
      <c r="BV393" s="754">
        <v>454.97276159999996</v>
      </c>
      <c r="BW393" s="585"/>
      <c r="BX393" s="585"/>
      <c r="BY393" s="585"/>
      <c r="BZ393" s="585"/>
      <c r="CA393" s="586"/>
      <c r="CB393" s="585"/>
      <c r="CC393" s="585"/>
      <c r="CD393" s="585"/>
      <c r="CE393" s="585"/>
      <c r="CF393" s="586"/>
      <c r="CG393" s="470"/>
      <c r="CH393" s="470"/>
      <c r="CI393" s="470"/>
      <c r="CJ393" s="470"/>
      <c r="CK393" s="586"/>
      <c r="CL393" s="470"/>
      <c r="CM393" s="470"/>
      <c r="CN393" s="470"/>
      <c r="CO393" s="470"/>
      <c r="CP393" s="586"/>
      <c r="CQ393" s="470"/>
      <c r="CR393" s="470"/>
      <c r="CS393" s="470"/>
      <c r="CT393" s="470"/>
      <c r="CU393" s="586"/>
      <c r="CV393" s="470"/>
      <c r="CW393" s="470"/>
      <c r="CX393" s="470"/>
      <c r="CY393" s="470"/>
      <c r="CZ393" s="586"/>
      <c r="DA393" s="470"/>
      <c r="DB393" s="470"/>
      <c r="DC393" s="470"/>
      <c r="DD393" s="470"/>
      <c r="DE393" s="586"/>
      <c r="DF393" s="470"/>
      <c r="DG393" s="470"/>
      <c r="DH393" s="470"/>
      <c r="DI393" s="914"/>
      <c r="DJ393" s="586"/>
      <c r="DK393" s="470"/>
      <c r="DL393" s="470"/>
      <c r="DM393" s="470"/>
      <c r="DN393" s="470"/>
      <c r="DO393" s="586"/>
      <c r="DP393" s="470"/>
      <c r="DQ393" s="470"/>
      <c r="DR393" s="470"/>
      <c r="DS393" s="470"/>
      <c r="DT393" s="586"/>
      <c r="DU393" s="470"/>
      <c r="DV393" s="470"/>
      <c r="DW393" s="470"/>
      <c r="DX393" s="470"/>
      <c r="DY393" s="586"/>
    </row>
    <row r="394" spans="1:129" hidden="1" outlineLevel="1" x14ac:dyDescent="0.2">
      <c r="A394" s="466"/>
      <c r="B394" s="607" t="s">
        <v>721</v>
      </c>
      <c r="C394" s="585"/>
      <c r="D394" s="585"/>
      <c r="E394" s="585"/>
      <c r="F394" s="585"/>
      <c r="G394" s="585"/>
      <c r="H394" s="585"/>
      <c r="I394" s="586"/>
      <c r="J394" s="585"/>
      <c r="K394" s="585"/>
      <c r="L394" s="585"/>
      <c r="M394" s="585"/>
      <c r="N394" s="586"/>
      <c r="O394" s="585"/>
      <c r="P394" s="585"/>
      <c r="Q394" s="585"/>
      <c r="R394" s="585"/>
      <c r="S394" s="586"/>
      <c r="T394" s="585"/>
      <c r="U394" s="585"/>
      <c r="V394" s="585"/>
      <c r="W394" s="585"/>
      <c r="X394" s="586"/>
      <c r="Y394" s="585"/>
      <c r="Z394" s="585"/>
      <c r="AA394" s="585"/>
      <c r="AB394" s="585"/>
      <c r="AC394" s="586"/>
      <c r="AD394" s="585"/>
      <c r="AE394" s="585"/>
      <c r="AF394" s="585"/>
      <c r="AG394" s="585"/>
      <c r="AH394" s="586"/>
      <c r="AI394" s="585"/>
      <c r="AJ394" s="585"/>
      <c r="AK394" s="585"/>
      <c r="AL394" s="585"/>
      <c r="AM394" s="586"/>
      <c r="AN394" s="585"/>
      <c r="AO394" s="585"/>
      <c r="AP394" s="585"/>
      <c r="AQ394" s="585"/>
      <c r="AR394" s="586"/>
      <c r="AS394" s="585"/>
      <c r="AT394" s="585"/>
      <c r="AU394" s="585"/>
      <c r="AV394" s="585"/>
      <c r="AW394" s="586"/>
      <c r="AX394" s="585"/>
      <c r="AY394" s="585"/>
      <c r="AZ394" s="585"/>
      <c r="BA394" s="585"/>
      <c r="BB394" s="586"/>
      <c r="BC394" s="585"/>
      <c r="BD394" s="585"/>
      <c r="BE394" s="585"/>
      <c r="BF394" s="585"/>
      <c r="BG394" s="586"/>
      <c r="BH394" s="592">
        <v>92.495999999999995</v>
      </c>
      <c r="BI394" s="592">
        <v>54.173999999999999</v>
      </c>
      <c r="BJ394" s="592">
        <v>45.27</v>
      </c>
      <c r="BK394" s="592">
        <v>71.668000000000006</v>
      </c>
      <c r="BL394" s="754">
        <v>263.608</v>
      </c>
      <c r="BM394" s="592">
        <v>163.089</v>
      </c>
      <c r="BN394" s="592">
        <v>96.5</v>
      </c>
      <c r="BO394" s="592">
        <v>78.096446999999984</v>
      </c>
      <c r="BP394" s="592">
        <v>93.642769999999999</v>
      </c>
      <c r="BQ394" s="754">
        <v>431.32821699999994</v>
      </c>
      <c r="BR394" s="592">
        <v>171.2615016</v>
      </c>
      <c r="BS394" s="592">
        <v>101.28248550000001</v>
      </c>
      <c r="BT394" s="592">
        <v>84.103865999999996</v>
      </c>
      <c r="BU394" s="592">
        <v>98.324908500000006</v>
      </c>
      <c r="BV394" s="754">
        <v>454.97276159999996</v>
      </c>
      <c r="BW394" s="585"/>
      <c r="BX394" s="585"/>
      <c r="BY394" s="585"/>
      <c r="BZ394" s="585"/>
      <c r="CA394" s="586"/>
      <c r="CB394" s="585"/>
      <c r="CC394" s="585"/>
      <c r="CD394" s="585"/>
      <c r="CE394" s="585"/>
      <c r="CF394" s="586"/>
      <c r="CG394" s="470"/>
      <c r="CH394" s="470"/>
      <c r="CI394" s="470"/>
      <c r="CJ394" s="470"/>
      <c r="CK394" s="586"/>
      <c r="CL394" s="470"/>
      <c r="CM394" s="470"/>
      <c r="CN394" s="470"/>
      <c r="CO394" s="470"/>
      <c r="CP394" s="586"/>
      <c r="CQ394" s="470"/>
      <c r="CR394" s="470"/>
      <c r="CS394" s="470"/>
      <c r="CT394" s="470"/>
      <c r="CU394" s="586"/>
      <c r="CV394" s="470"/>
      <c r="CW394" s="470"/>
      <c r="CX394" s="470"/>
      <c r="CY394" s="470"/>
      <c r="CZ394" s="586"/>
      <c r="DA394" s="470"/>
      <c r="DB394" s="470"/>
      <c r="DC394" s="470"/>
      <c r="DD394" s="470"/>
      <c r="DE394" s="586"/>
      <c r="DF394" s="470"/>
      <c r="DG394" s="470"/>
      <c r="DH394" s="470"/>
      <c r="DI394" s="914"/>
      <c r="DJ394" s="586"/>
      <c r="DK394" s="470"/>
      <c r="DL394" s="470"/>
      <c r="DM394" s="470"/>
      <c r="DN394" s="470"/>
      <c r="DO394" s="586"/>
      <c r="DP394" s="470"/>
      <c r="DQ394" s="470"/>
      <c r="DR394" s="470"/>
      <c r="DS394" s="470"/>
      <c r="DT394" s="586"/>
      <c r="DU394" s="470"/>
      <c r="DV394" s="470"/>
      <c r="DW394" s="470"/>
      <c r="DX394" s="470"/>
      <c r="DY394" s="586"/>
    </row>
    <row r="395" spans="1:129" hidden="1" outlineLevel="1" x14ac:dyDescent="0.2">
      <c r="A395" s="466"/>
      <c r="B395" s="607"/>
      <c r="C395" s="585"/>
      <c r="D395" s="585"/>
      <c r="E395" s="585"/>
      <c r="F395" s="585"/>
      <c r="G395" s="585"/>
      <c r="H395" s="585"/>
      <c r="I395" s="586"/>
      <c r="J395" s="585"/>
      <c r="K395" s="585"/>
      <c r="L395" s="585"/>
      <c r="M395" s="585"/>
      <c r="N395" s="586"/>
      <c r="O395" s="585"/>
      <c r="P395" s="585"/>
      <c r="Q395" s="585"/>
      <c r="R395" s="585"/>
      <c r="S395" s="586"/>
      <c r="T395" s="585"/>
      <c r="U395" s="585"/>
      <c r="V395" s="585"/>
      <c r="W395" s="585"/>
      <c r="X395" s="586"/>
      <c r="Y395" s="585"/>
      <c r="Z395" s="585"/>
      <c r="AA395" s="585"/>
      <c r="AB395" s="585"/>
      <c r="AC395" s="586"/>
      <c r="AD395" s="585"/>
      <c r="AE395" s="585"/>
      <c r="AF395" s="585"/>
      <c r="AG395" s="585"/>
      <c r="AH395" s="586"/>
      <c r="AI395" s="585"/>
      <c r="AJ395" s="585"/>
      <c r="AK395" s="585"/>
      <c r="AL395" s="585"/>
      <c r="AM395" s="586"/>
      <c r="AN395" s="585"/>
      <c r="AO395" s="585"/>
      <c r="AP395" s="585"/>
      <c r="AQ395" s="585"/>
      <c r="AR395" s="586"/>
      <c r="AS395" s="585"/>
      <c r="AT395" s="585"/>
      <c r="AU395" s="585"/>
      <c r="AV395" s="585"/>
      <c r="AW395" s="586"/>
      <c r="AX395" s="585"/>
      <c r="AY395" s="585"/>
      <c r="AZ395" s="585"/>
      <c r="BA395" s="585"/>
      <c r="BB395" s="586"/>
      <c r="BC395" s="585"/>
      <c r="BD395" s="585"/>
      <c r="BE395" s="585"/>
      <c r="BF395" s="585"/>
      <c r="BG395" s="586"/>
      <c r="BH395" s="585"/>
      <c r="BI395" s="585"/>
      <c r="BJ395" s="585"/>
      <c r="BK395" s="585"/>
      <c r="BL395" s="586"/>
      <c r="BM395" s="585"/>
      <c r="BN395" s="585"/>
      <c r="BO395" s="585"/>
      <c r="BP395" s="585"/>
      <c r="BQ395" s="586"/>
      <c r="BR395" s="585"/>
      <c r="BS395" s="585"/>
      <c r="BT395" s="585"/>
      <c r="BU395" s="585"/>
      <c r="BV395" s="586"/>
      <c r="BW395" s="585"/>
      <c r="BX395" s="585"/>
      <c r="BY395" s="585"/>
      <c r="BZ395" s="585"/>
      <c r="CA395" s="586"/>
      <c r="CB395" s="585"/>
      <c r="CC395" s="585"/>
      <c r="CD395" s="585"/>
      <c r="CE395" s="585"/>
      <c r="CF395" s="586"/>
      <c r="CG395" s="470"/>
      <c r="CH395" s="470"/>
      <c r="CI395" s="470"/>
      <c r="CJ395" s="470"/>
      <c r="CK395" s="586"/>
      <c r="CL395" s="470"/>
      <c r="CM395" s="470"/>
      <c r="CN395" s="470"/>
      <c r="CO395" s="470"/>
      <c r="CP395" s="586"/>
      <c r="CQ395" s="470"/>
      <c r="CR395" s="470"/>
      <c r="CS395" s="470"/>
      <c r="CT395" s="470"/>
      <c r="CU395" s="586"/>
      <c r="CV395" s="470"/>
      <c r="CW395" s="470"/>
      <c r="CX395" s="470"/>
      <c r="CY395" s="470"/>
      <c r="CZ395" s="586"/>
      <c r="DA395" s="470"/>
      <c r="DB395" s="470"/>
      <c r="DC395" s="470"/>
      <c r="DD395" s="470"/>
      <c r="DE395" s="586"/>
      <c r="DF395" s="470"/>
      <c r="DG395" s="470"/>
      <c r="DH395" s="470"/>
      <c r="DI395" s="914"/>
      <c r="DJ395" s="586"/>
      <c r="DK395" s="470"/>
      <c r="DL395" s="470"/>
      <c r="DM395" s="470"/>
      <c r="DN395" s="470"/>
      <c r="DO395" s="586"/>
      <c r="DP395" s="470"/>
      <c r="DQ395" s="470"/>
      <c r="DR395" s="470"/>
      <c r="DS395" s="470"/>
      <c r="DT395" s="586"/>
      <c r="DU395" s="470"/>
      <c r="DV395" s="470"/>
      <c r="DW395" s="470"/>
      <c r="DX395" s="470"/>
      <c r="DY395" s="586"/>
    </row>
    <row r="396" spans="1:129" hidden="1" outlineLevel="1" x14ac:dyDescent="0.2">
      <c r="A396" s="466"/>
      <c r="B396" s="607" t="s">
        <v>859</v>
      </c>
      <c r="C396" s="585"/>
      <c r="D396" s="585"/>
      <c r="E396" s="585"/>
      <c r="F396" s="585"/>
      <c r="G396" s="585"/>
      <c r="H396" s="585"/>
      <c r="I396" s="586"/>
      <c r="J396" s="585"/>
      <c r="K396" s="585"/>
      <c r="L396" s="585"/>
      <c r="M396" s="585"/>
      <c r="N396" s="586"/>
      <c r="O396" s="585"/>
      <c r="P396" s="585"/>
      <c r="Q396" s="585"/>
      <c r="R396" s="585"/>
      <c r="S396" s="586"/>
      <c r="T396" s="585"/>
      <c r="U396" s="585"/>
      <c r="V396" s="585"/>
      <c r="W396" s="585"/>
      <c r="X396" s="586"/>
      <c r="Y396" s="585"/>
      <c r="Z396" s="585"/>
      <c r="AA396" s="585"/>
      <c r="AB396" s="585"/>
      <c r="AC396" s="586"/>
      <c r="AD396" s="585"/>
      <c r="AE396" s="585"/>
      <c r="AF396" s="585"/>
      <c r="AG396" s="585"/>
      <c r="AH396" s="586"/>
      <c r="AI396" s="585"/>
      <c r="AJ396" s="585"/>
      <c r="AK396" s="585"/>
      <c r="AL396" s="585"/>
      <c r="AM396" s="586"/>
      <c r="AN396" s="585"/>
      <c r="AO396" s="585"/>
      <c r="AP396" s="585"/>
      <c r="AQ396" s="585"/>
      <c r="AR396" s="586"/>
      <c r="AS396" s="585"/>
      <c r="AT396" s="585"/>
      <c r="AU396" s="585"/>
      <c r="AV396" s="585"/>
      <c r="AW396" s="586"/>
      <c r="AX396" s="585"/>
      <c r="AY396" s="585"/>
      <c r="AZ396" s="585"/>
      <c r="BA396" s="585"/>
      <c r="BB396" s="586"/>
      <c r="BC396" s="585"/>
      <c r="BD396" s="585"/>
      <c r="BE396" s="585"/>
      <c r="BF396" s="585"/>
      <c r="BG396" s="586"/>
      <c r="BH396" s="592">
        <v>19.503000000000014</v>
      </c>
      <c r="BI396" s="592">
        <v>24.783999999999999</v>
      </c>
      <c r="BJ396" s="592">
        <v>34.460999999999991</v>
      </c>
      <c r="BK396" s="592">
        <v>37.381999999999991</v>
      </c>
      <c r="BL396" s="754">
        <v>116.13</v>
      </c>
      <c r="BM396" s="592">
        <v>24.246999999999986</v>
      </c>
      <c r="BN396" s="592">
        <v>34.769000000000005</v>
      </c>
      <c r="BO396" s="592">
        <v>43.934702999999999</v>
      </c>
      <c r="BP396" s="592">
        <v>44.941479999999999</v>
      </c>
      <c r="BQ396" s="754">
        <v>147.89218299999999</v>
      </c>
      <c r="BR396" s="592">
        <v>26.856628400000005</v>
      </c>
      <c r="BS396" s="592">
        <v>37.977684500000009</v>
      </c>
      <c r="BT396" s="592">
        <v>45.562366499999982</v>
      </c>
      <c r="BU396" s="592">
        <v>48.895556499999984</v>
      </c>
      <c r="BV396" s="754">
        <v>159.29223589999998</v>
      </c>
      <c r="BW396" s="585"/>
      <c r="BX396" s="585"/>
      <c r="BY396" s="585"/>
      <c r="BZ396" s="585"/>
      <c r="CA396" s="586"/>
      <c r="CB396" s="585"/>
      <c r="CC396" s="585"/>
      <c r="CD396" s="585"/>
      <c r="CE396" s="585"/>
      <c r="CF396" s="586"/>
      <c r="CG396" s="470"/>
      <c r="CH396" s="470"/>
      <c r="CI396" s="470"/>
      <c r="CJ396" s="470"/>
      <c r="CK396" s="586"/>
      <c r="CL396" s="470"/>
      <c r="CM396" s="470"/>
      <c r="CN396" s="470"/>
      <c r="CO396" s="470"/>
      <c r="CP396" s="586"/>
      <c r="CQ396" s="470"/>
      <c r="CR396" s="470"/>
      <c r="CS396" s="470"/>
      <c r="CT396" s="470"/>
      <c r="CU396" s="586"/>
      <c r="CV396" s="470"/>
      <c r="CW396" s="470"/>
      <c r="CX396" s="470"/>
      <c r="CY396" s="470"/>
      <c r="CZ396" s="586"/>
      <c r="DA396" s="470"/>
      <c r="DB396" s="470"/>
      <c r="DC396" s="470"/>
      <c r="DD396" s="470"/>
      <c r="DE396" s="586"/>
      <c r="DF396" s="470"/>
      <c r="DG396" s="470"/>
      <c r="DH396" s="470"/>
      <c r="DI396" s="914"/>
      <c r="DJ396" s="586"/>
      <c r="DK396" s="470"/>
      <c r="DL396" s="470"/>
      <c r="DM396" s="470"/>
      <c r="DN396" s="470"/>
      <c r="DO396" s="586"/>
      <c r="DP396" s="470"/>
      <c r="DQ396" s="470"/>
      <c r="DR396" s="470"/>
      <c r="DS396" s="470"/>
      <c r="DT396" s="586"/>
      <c r="DU396" s="470"/>
      <c r="DV396" s="470"/>
      <c r="DW396" s="470"/>
      <c r="DX396" s="470"/>
      <c r="DY396" s="586"/>
    </row>
    <row r="397" spans="1:129" hidden="1" outlineLevel="1" x14ac:dyDescent="0.2">
      <c r="A397" s="526"/>
      <c r="B397" s="756" t="s">
        <v>850</v>
      </c>
      <c r="C397" s="597"/>
      <c r="D397" s="597"/>
      <c r="E397" s="597"/>
      <c r="F397" s="597"/>
      <c r="G397" s="597"/>
      <c r="H397" s="597"/>
      <c r="I397" s="593"/>
      <c r="J397" s="597"/>
      <c r="K397" s="597"/>
      <c r="L397" s="597"/>
      <c r="M397" s="597"/>
      <c r="N397" s="593"/>
      <c r="O397" s="600"/>
      <c r="P397" s="600"/>
      <c r="Q397" s="600"/>
      <c r="R397" s="600"/>
      <c r="S397" s="593"/>
      <c r="T397" s="600"/>
      <c r="U397" s="600"/>
      <c r="V397" s="600"/>
      <c r="W397" s="600"/>
      <c r="X397" s="593"/>
      <c r="Y397" s="600"/>
      <c r="Z397" s="600"/>
      <c r="AA397" s="600"/>
      <c r="AB397" s="600"/>
      <c r="AC397" s="593"/>
      <c r="AD397" s="600"/>
      <c r="AE397" s="600"/>
      <c r="AF397" s="600"/>
      <c r="AG397" s="600"/>
      <c r="AH397" s="593"/>
      <c r="AI397" s="600"/>
      <c r="AJ397" s="600"/>
      <c r="AK397" s="600"/>
      <c r="AL397" s="600"/>
      <c r="AM397" s="593"/>
      <c r="AN397" s="600"/>
      <c r="AO397" s="600"/>
      <c r="AP397" s="600"/>
      <c r="AQ397" s="600"/>
      <c r="AR397" s="593"/>
      <c r="AS397" s="600"/>
      <c r="AT397" s="600"/>
      <c r="AU397" s="600"/>
      <c r="AV397" s="600"/>
      <c r="AW397" s="593"/>
      <c r="AX397" s="600"/>
      <c r="AY397" s="600"/>
      <c r="AZ397" s="600"/>
      <c r="BA397" s="600"/>
      <c r="BB397" s="593"/>
      <c r="BC397" s="600"/>
      <c r="BD397" s="600"/>
      <c r="BE397" s="600"/>
      <c r="BF397" s="600"/>
      <c r="BG397" s="593"/>
      <c r="BH397" s="800">
        <v>0.17413548335253004</v>
      </c>
      <c r="BI397" s="800">
        <v>0.31388839636262317</v>
      </c>
      <c r="BJ397" s="800">
        <v>0.43221582571396311</v>
      </c>
      <c r="BK397" s="800">
        <v>0.34279688216414483</v>
      </c>
      <c r="BL397" s="969">
        <v>0.30581611532161646</v>
      </c>
      <c r="BM397" s="800">
        <v>0.12943054191399403</v>
      </c>
      <c r="BN397" s="800">
        <v>0.26486832382359887</v>
      </c>
      <c r="BO397" s="800">
        <v>0.36002859106056123</v>
      </c>
      <c r="BP397" s="800">
        <v>0.32428995358419155</v>
      </c>
      <c r="BQ397" s="969">
        <v>0.25532972077640914</v>
      </c>
      <c r="BR397" s="800">
        <v>0.13555866088580587</v>
      </c>
      <c r="BS397" s="800">
        <v>0.27271031264718409</v>
      </c>
      <c r="BT397" s="800">
        <v>0.35138189505120376</v>
      </c>
      <c r="BU397" s="800">
        <v>0.33212472532266479</v>
      </c>
      <c r="BV397" s="969">
        <v>0.25932168778671127</v>
      </c>
      <c r="BW397" s="600"/>
      <c r="BX397" s="600"/>
      <c r="BY397" s="600"/>
      <c r="BZ397" s="600"/>
      <c r="CA397" s="593"/>
      <c r="CB397" s="600"/>
      <c r="CC397" s="600"/>
      <c r="CD397" s="600"/>
      <c r="CE397" s="600"/>
      <c r="CF397" s="593"/>
      <c r="CG397" s="542"/>
      <c r="CH397" s="542"/>
      <c r="CI397" s="542"/>
      <c r="CJ397" s="542"/>
      <c r="CK397" s="593"/>
      <c r="CL397" s="542"/>
      <c r="CM397" s="542"/>
      <c r="CN397" s="542"/>
      <c r="CO397" s="542"/>
      <c r="CP397" s="593"/>
      <c r="CQ397" s="542"/>
      <c r="CR397" s="542"/>
      <c r="CS397" s="542"/>
      <c r="CT397" s="542"/>
      <c r="CU397" s="593"/>
      <c r="CV397" s="542"/>
      <c r="CW397" s="542"/>
      <c r="CX397" s="542"/>
      <c r="CY397" s="542"/>
      <c r="CZ397" s="593"/>
      <c r="DA397" s="542"/>
      <c r="DB397" s="542"/>
      <c r="DC397" s="542"/>
      <c r="DD397" s="542"/>
      <c r="DE397" s="593"/>
      <c r="DF397" s="542"/>
      <c r="DG397" s="542"/>
      <c r="DH397" s="542"/>
      <c r="DI397" s="899"/>
      <c r="DJ397" s="593"/>
      <c r="DK397" s="542"/>
      <c r="DL397" s="542"/>
      <c r="DM397" s="542"/>
      <c r="DN397" s="542"/>
      <c r="DO397" s="593"/>
      <c r="DP397" s="542"/>
      <c r="DQ397" s="542"/>
      <c r="DR397" s="542"/>
      <c r="DS397" s="542"/>
      <c r="DT397" s="593"/>
      <c r="DU397" s="542"/>
      <c r="DV397" s="542"/>
      <c r="DW397" s="542"/>
      <c r="DX397" s="542"/>
      <c r="DY397" s="593"/>
    </row>
    <row r="398" spans="1:129" hidden="1" outlineLevel="1" x14ac:dyDescent="0.2">
      <c r="A398" s="526"/>
      <c r="B398" s="756"/>
      <c r="C398" s="597"/>
      <c r="D398" s="597"/>
      <c r="E398" s="597"/>
      <c r="F398" s="597"/>
      <c r="G398" s="597"/>
      <c r="H398" s="597"/>
      <c r="I398" s="598"/>
      <c r="J398" s="597"/>
      <c r="K398" s="597"/>
      <c r="L398" s="597"/>
      <c r="M398" s="597"/>
      <c r="N398" s="598"/>
      <c r="O398" s="597"/>
      <c r="P398" s="597"/>
      <c r="Q398" s="597"/>
      <c r="R398" s="597"/>
      <c r="S398" s="598"/>
      <c r="T398" s="597"/>
      <c r="U398" s="597"/>
      <c r="V398" s="597"/>
      <c r="W398" s="597"/>
      <c r="X398" s="598"/>
      <c r="Y398" s="597"/>
      <c r="Z398" s="597"/>
      <c r="AA398" s="597"/>
      <c r="AB398" s="597"/>
      <c r="AC398" s="598"/>
      <c r="AD398" s="597"/>
      <c r="AE398" s="597"/>
      <c r="AF398" s="597"/>
      <c r="AG398" s="597"/>
      <c r="AH398" s="598"/>
      <c r="AI398" s="597"/>
      <c r="AJ398" s="597"/>
      <c r="AK398" s="597"/>
      <c r="AL398" s="597"/>
      <c r="AM398" s="598"/>
      <c r="AN398" s="597"/>
      <c r="AO398" s="597"/>
      <c r="AP398" s="597"/>
      <c r="AQ398" s="597"/>
      <c r="AR398" s="598"/>
      <c r="AS398" s="597"/>
      <c r="AT398" s="597"/>
      <c r="AU398" s="597"/>
      <c r="AV398" s="597"/>
      <c r="AW398" s="598"/>
      <c r="AX398" s="597"/>
      <c r="AY398" s="597"/>
      <c r="AZ398" s="597"/>
      <c r="BA398" s="597"/>
      <c r="BB398" s="598"/>
      <c r="BC398" s="597"/>
      <c r="BD398" s="597"/>
      <c r="BE398" s="597"/>
      <c r="BF398" s="597"/>
      <c r="BG398" s="598"/>
      <c r="BH398" s="597"/>
      <c r="BI398" s="597"/>
      <c r="BJ398" s="597"/>
      <c r="BK398" s="597"/>
      <c r="BL398" s="598"/>
      <c r="BM398" s="597"/>
      <c r="BN398" s="597"/>
      <c r="BO398" s="597"/>
      <c r="BP398" s="597"/>
      <c r="BQ398" s="598"/>
      <c r="BR398" s="597"/>
      <c r="BS398" s="597"/>
      <c r="BT398" s="597"/>
      <c r="BU398" s="597"/>
      <c r="BV398" s="598"/>
      <c r="BW398" s="597"/>
      <c r="BX398" s="597"/>
      <c r="BY398" s="597"/>
      <c r="BZ398" s="597"/>
      <c r="CA398" s="598"/>
      <c r="CB398" s="597"/>
      <c r="CC398" s="597"/>
      <c r="CD398" s="597"/>
      <c r="CE398" s="597"/>
      <c r="CF398" s="598"/>
      <c r="CG398" s="682"/>
      <c r="CH398" s="682"/>
      <c r="CI398" s="682"/>
      <c r="CJ398" s="682"/>
      <c r="CK398" s="598"/>
      <c r="CL398" s="682"/>
      <c r="CM398" s="682"/>
      <c r="CN398" s="682"/>
      <c r="CO398" s="682"/>
      <c r="CP398" s="598"/>
      <c r="CQ398" s="682"/>
      <c r="CR398" s="682"/>
      <c r="CS398" s="682"/>
      <c r="CT398" s="682"/>
      <c r="CU398" s="598"/>
      <c r="CV398" s="682"/>
      <c r="CW398" s="682"/>
      <c r="CX398" s="682"/>
      <c r="CY398" s="682"/>
      <c r="CZ398" s="598"/>
      <c r="DA398" s="682"/>
      <c r="DB398" s="682"/>
      <c r="DC398" s="682"/>
      <c r="DD398" s="682"/>
      <c r="DE398" s="598"/>
      <c r="DF398" s="682"/>
      <c r="DG398" s="682"/>
      <c r="DH398" s="682"/>
      <c r="DI398" s="1610"/>
      <c r="DJ398" s="598"/>
      <c r="DK398" s="682"/>
      <c r="DL398" s="682"/>
      <c r="DM398" s="682"/>
      <c r="DN398" s="682"/>
      <c r="DO398" s="598"/>
      <c r="DP398" s="682"/>
      <c r="DQ398" s="682"/>
      <c r="DR398" s="682"/>
      <c r="DS398" s="682"/>
      <c r="DT398" s="598"/>
      <c r="DU398" s="682"/>
      <c r="DV398" s="682"/>
      <c r="DW398" s="682"/>
      <c r="DX398" s="682"/>
      <c r="DY398" s="598"/>
    </row>
    <row r="399" spans="1:129" hidden="1" outlineLevel="1" x14ac:dyDescent="0.2">
      <c r="A399" s="466"/>
      <c r="B399" s="607" t="s">
        <v>851</v>
      </c>
      <c r="C399" s="585"/>
      <c r="D399" s="585"/>
      <c r="E399" s="585"/>
      <c r="F399" s="585"/>
      <c r="G399" s="585"/>
      <c r="H399" s="585"/>
      <c r="I399" s="586"/>
      <c r="J399" s="585"/>
      <c r="K399" s="585"/>
      <c r="L399" s="585"/>
      <c r="M399" s="585"/>
      <c r="N399" s="586"/>
      <c r="O399" s="585"/>
      <c r="P399" s="585"/>
      <c r="Q399" s="585"/>
      <c r="R399" s="585"/>
      <c r="S399" s="586"/>
      <c r="T399" s="585"/>
      <c r="U399" s="585"/>
      <c r="V399" s="585"/>
      <c r="W399" s="585"/>
      <c r="X399" s="586"/>
      <c r="Y399" s="585"/>
      <c r="Z399" s="585"/>
      <c r="AA399" s="585"/>
      <c r="AB399" s="585"/>
      <c r="AC399" s="586"/>
      <c r="AD399" s="585"/>
      <c r="AE399" s="585"/>
      <c r="AF399" s="585"/>
      <c r="AG399" s="585"/>
      <c r="AH399" s="586"/>
      <c r="AI399" s="585"/>
      <c r="AJ399" s="585"/>
      <c r="AK399" s="585"/>
      <c r="AL399" s="585"/>
      <c r="AM399" s="586"/>
      <c r="AN399" s="585"/>
      <c r="AO399" s="585"/>
      <c r="AP399" s="585"/>
      <c r="AQ399" s="585"/>
      <c r="AR399" s="586"/>
      <c r="AS399" s="585"/>
      <c r="AT399" s="585"/>
      <c r="AU399" s="585"/>
      <c r="AV399" s="585"/>
      <c r="AW399" s="586"/>
      <c r="AX399" s="585"/>
      <c r="AY399" s="585"/>
      <c r="AZ399" s="585"/>
      <c r="BA399" s="585"/>
      <c r="BB399" s="586"/>
      <c r="BC399" s="585"/>
      <c r="BD399" s="585"/>
      <c r="BE399" s="585"/>
      <c r="BF399" s="585"/>
      <c r="BG399" s="586"/>
      <c r="BH399" s="592">
        <v>6.2387800000000144</v>
      </c>
      <c r="BI399" s="592">
        <v>6.373949999999998</v>
      </c>
      <c r="BJ399" s="592">
        <v>9.1952799999999897</v>
      </c>
      <c r="BK399" s="592">
        <v>10.962599999999998</v>
      </c>
      <c r="BL399" s="754">
        <v>32.770610000000005</v>
      </c>
      <c r="BM399" s="592">
        <v>11.365149999999986</v>
      </c>
      <c r="BN399" s="592">
        <v>11.174556800000005</v>
      </c>
      <c r="BO399" s="592">
        <v>11.3919</v>
      </c>
      <c r="BP399" s="592">
        <v>10.729729999999998</v>
      </c>
      <c r="BQ399" s="754">
        <v>22.121629999999996</v>
      </c>
      <c r="BR399" s="592">
        <v>12.681356800000003</v>
      </c>
      <c r="BS399" s="592">
        <v>12.335500800000002</v>
      </c>
      <c r="BT399" s="592">
        <v>12.758928000000001</v>
      </c>
      <c r="BU399" s="592">
        <v>12.290417999999999</v>
      </c>
      <c r="BV399" s="754">
        <v>25.049346</v>
      </c>
      <c r="BW399" s="585"/>
      <c r="BX399" s="585"/>
      <c r="BY399" s="585"/>
      <c r="BZ399" s="585"/>
      <c r="CA399" s="586"/>
      <c r="CB399" s="585"/>
      <c r="CC399" s="585"/>
      <c r="CD399" s="585"/>
      <c r="CE399" s="585"/>
      <c r="CF399" s="586"/>
      <c r="CG399" s="470"/>
      <c r="CH399" s="470"/>
      <c r="CI399" s="470"/>
      <c r="CJ399" s="470"/>
      <c r="CK399" s="586"/>
      <c r="CL399" s="470"/>
      <c r="CM399" s="470"/>
      <c r="CN399" s="470"/>
      <c r="CO399" s="470"/>
      <c r="CP399" s="586"/>
      <c r="CQ399" s="470"/>
      <c r="CR399" s="470"/>
      <c r="CS399" s="470"/>
      <c r="CT399" s="470"/>
      <c r="CU399" s="586"/>
      <c r="CV399" s="470"/>
      <c r="CW399" s="470"/>
      <c r="CX399" s="470"/>
      <c r="CY399" s="470"/>
      <c r="CZ399" s="586"/>
      <c r="DA399" s="470"/>
      <c r="DB399" s="470"/>
      <c r="DC399" s="470"/>
      <c r="DD399" s="470"/>
      <c r="DE399" s="586"/>
      <c r="DF399" s="470"/>
      <c r="DG399" s="470"/>
      <c r="DH399" s="470"/>
      <c r="DI399" s="914"/>
      <c r="DJ399" s="586"/>
      <c r="DK399" s="470"/>
      <c r="DL399" s="470"/>
      <c r="DM399" s="470"/>
      <c r="DN399" s="470"/>
      <c r="DO399" s="586"/>
      <c r="DP399" s="470"/>
      <c r="DQ399" s="470"/>
      <c r="DR399" s="470"/>
      <c r="DS399" s="470"/>
      <c r="DT399" s="586"/>
      <c r="DU399" s="470"/>
      <c r="DV399" s="470"/>
      <c r="DW399" s="470"/>
      <c r="DX399" s="470"/>
      <c r="DY399" s="586"/>
    </row>
    <row r="400" spans="1:129" hidden="1" outlineLevel="1" x14ac:dyDescent="0.2">
      <c r="A400" s="466"/>
      <c r="B400" s="607" t="s">
        <v>852</v>
      </c>
      <c r="C400" s="585"/>
      <c r="D400" s="585"/>
      <c r="E400" s="585"/>
      <c r="F400" s="585"/>
      <c r="G400" s="585"/>
      <c r="H400" s="585"/>
      <c r="I400" s="586"/>
      <c r="J400" s="585"/>
      <c r="K400" s="585"/>
      <c r="L400" s="585"/>
      <c r="M400" s="585"/>
      <c r="N400" s="586"/>
      <c r="O400" s="585"/>
      <c r="P400" s="585"/>
      <c r="Q400" s="585"/>
      <c r="R400" s="585"/>
      <c r="S400" s="586"/>
      <c r="T400" s="585"/>
      <c r="U400" s="585"/>
      <c r="V400" s="585"/>
      <c r="W400" s="585"/>
      <c r="X400" s="586"/>
      <c r="Y400" s="585"/>
      <c r="Z400" s="585"/>
      <c r="AA400" s="585"/>
      <c r="AB400" s="585"/>
      <c r="AC400" s="586"/>
      <c r="AD400" s="585"/>
      <c r="AE400" s="585"/>
      <c r="AF400" s="585"/>
      <c r="AG400" s="585"/>
      <c r="AH400" s="586"/>
      <c r="AI400" s="585"/>
      <c r="AJ400" s="585"/>
      <c r="AK400" s="585"/>
      <c r="AL400" s="585"/>
      <c r="AM400" s="586"/>
      <c r="AN400" s="585"/>
      <c r="AO400" s="585"/>
      <c r="AP400" s="585"/>
      <c r="AQ400" s="585"/>
      <c r="AR400" s="586"/>
      <c r="AS400" s="585"/>
      <c r="AT400" s="585"/>
      <c r="AU400" s="585"/>
      <c r="AV400" s="585"/>
      <c r="AW400" s="586"/>
      <c r="AX400" s="585"/>
      <c r="AY400" s="585"/>
      <c r="AZ400" s="585"/>
      <c r="BA400" s="585"/>
      <c r="BB400" s="586"/>
      <c r="BC400" s="585"/>
      <c r="BD400" s="585"/>
      <c r="BE400" s="585"/>
      <c r="BF400" s="585"/>
      <c r="BG400" s="586"/>
      <c r="BH400" s="592">
        <v>8.6902200000000001</v>
      </c>
      <c r="BI400" s="592">
        <v>7.5520500000000004</v>
      </c>
      <c r="BJ400" s="592">
        <v>7.2817199999999991</v>
      </c>
      <c r="BK400" s="592">
        <v>10.541399999999999</v>
      </c>
      <c r="BL400" s="754">
        <v>34.065390000000001</v>
      </c>
      <c r="BM400" s="592">
        <v>8.3558500000000002</v>
      </c>
      <c r="BN400" s="592">
        <v>8.6924431999999996</v>
      </c>
      <c r="BO400" s="592">
        <v>8.0098919999999989</v>
      </c>
      <c r="BP400" s="592">
        <v>8.5648874999999993</v>
      </c>
      <c r="BQ400" s="754">
        <v>16.574779499999998</v>
      </c>
      <c r="BR400" s="592">
        <v>12.9849909</v>
      </c>
      <c r="BS400" s="592">
        <v>13.096873125</v>
      </c>
      <c r="BT400" s="592">
        <v>11.82710615625</v>
      </c>
      <c r="BU400" s="592">
        <v>11.990842499999999</v>
      </c>
      <c r="BV400" s="754">
        <v>23.81794865625</v>
      </c>
      <c r="BW400" s="585"/>
      <c r="BX400" s="585"/>
      <c r="BY400" s="585"/>
      <c r="BZ400" s="585"/>
      <c r="CA400" s="586"/>
      <c r="CB400" s="585"/>
      <c r="CC400" s="585"/>
      <c r="CD400" s="585"/>
      <c r="CE400" s="585"/>
      <c r="CF400" s="586"/>
      <c r="CG400" s="470"/>
      <c r="CH400" s="470"/>
      <c r="CI400" s="470"/>
      <c r="CJ400" s="470"/>
      <c r="CK400" s="586"/>
      <c r="CL400" s="470"/>
      <c r="CM400" s="470"/>
      <c r="CN400" s="470"/>
      <c r="CO400" s="470"/>
      <c r="CP400" s="586"/>
      <c r="CQ400" s="470"/>
      <c r="CR400" s="470"/>
      <c r="CS400" s="470"/>
      <c r="CT400" s="470"/>
      <c r="CU400" s="586"/>
      <c r="CV400" s="470"/>
      <c r="CW400" s="470"/>
      <c r="CX400" s="470"/>
      <c r="CY400" s="470"/>
      <c r="CZ400" s="586"/>
      <c r="DA400" s="470"/>
      <c r="DB400" s="470"/>
      <c r="DC400" s="470"/>
      <c r="DD400" s="470"/>
      <c r="DE400" s="586"/>
      <c r="DF400" s="470"/>
      <c r="DG400" s="470"/>
      <c r="DH400" s="470"/>
      <c r="DI400" s="914"/>
      <c r="DJ400" s="586"/>
      <c r="DK400" s="470"/>
      <c r="DL400" s="470"/>
      <c r="DM400" s="470"/>
      <c r="DN400" s="470"/>
      <c r="DO400" s="586"/>
      <c r="DP400" s="470"/>
      <c r="DQ400" s="470"/>
      <c r="DR400" s="470"/>
      <c r="DS400" s="470"/>
      <c r="DT400" s="586"/>
      <c r="DU400" s="470"/>
      <c r="DV400" s="470"/>
      <c r="DW400" s="470"/>
      <c r="DX400" s="470"/>
      <c r="DY400" s="586"/>
    </row>
    <row r="401" spans="1:129" hidden="1" outlineLevel="1" x14ac:dyDescent="0.2">
      <c r="A401" s="466"/>
      <c r="B401" s="607" t="s">
        <v>208</v>
      </c>
      <c r="C401" s="585"/>
      <c r="D401" s="585"/>
      <c r="E401" s="585"/>
      <c r="F401" s="585"/>
      <c r="G401" s="585"/>
      <c r="H401" s="585"/>
      <c r="I401" s="586"/>
      <c r="J401" s="585"/>
      <c r="K401" s="585"/>
      <c r="L401" s="585"/>
      <c r="M401" s="585"/>
      <c r="N401" s="586"/>
      <c r="O401" s="585"/>
      <c r="P401" s="585"/>
      <c r="Q401" s="585"/>
      <c r="R401" s="585"/>
      <c r="S401" s="586"/>
      <c r="T401" s="585"/>
      <c r="U401" s="585"/>
      <c r="V401" s="585"/>
      <c r="W401" s="585"/>
      <c r="X401" s="586"/>
      <c r="Y401" s="585"/>
      <c r="Z401" s="585"/>
      <c r="AA401" s="585"/>
      <c r="AB401" s="585"/>
      <c r="AC401" s="586"/>
      <c r="AD401" s="585"/>
      <c r="AE401" s="585"/>
      <c r="AF401" s="585"/>
      <c r="AG401" s="585"/>
      <c r="AH401" s="586"/>
      <c r="AI401" s="585"/>
      <c r="AJ401" s="585"/>
      <c r="AK401" s="585"/>
      <c r="AL401" s="585"/>
      <c r="AM401" s="586"/>
      <c r="AN401" s="585"/>
      <c r="AO401" s="585"/>
      <c r="AP401" s="585"/>
      <c r="AQ401" s="585"/>
      <c r="AR401" s="586"/>
      <c r="AS401" s="585"/>
      <c r="AT401" s="585"/>
      <c r="AU401" s="585"/>
      <c r="AV401" s="585"/>
      <c r="AW401" s="586"/>
      <c r="AX401" s="585"/>
      <c r="AY401" s="585"/>
      <c r="AZ401" s="585"/>
      <c r="BA401" s="585"/>
      <c r="BB401" s="586"/>
      <c r="BC401" s="585"/>
      <c r="BD401" s="585"/>
      <c r="BE401" s="585"/>
      <c r="BF401" s="585"/>
      <c r="BG401" s="586"/>
      <c r="BH401" s="592">
        <v>14.929000000000014</v>
      </c>
      <c r="BI401" s="592">
        <v>13.925999999999998</v>
      </c>
      <c r="BJ401" s="592">
        <v>16.47699999999999</v>
      </c>
      <c r="BK401" s="592">
        <v>21.503999999999998</v>
      </c>
      <c r="BL401" s="754">
        <v>66.836000000000013</v>
      </c>
      <c r="BM401" s="592">
        <v>19.720999999999986</v>
      </c>
      <c r="BN401" s="592">
        <v>19.867000000000004</v>
      </c>
      <c r="BO401" s="592">
        <v>19.401792</v>
      </c>
      <c r="BP401" s="592">
        <v>19.294617499999998</v>
      </c>
      <c r="BQ401" s="754">
        <v>38.696409499999994</v>
      </c>
      <c r="BR401" s="592">
        <v>25.666347700000003</v>
      </c>
      <c r="BS401" s="592">
        <v>25.432373925</v>
      </c>
      <c r="BT401" s="592">
        <v>24.586034156250001</v>
      </c>
      <c r="BU401" s="592">
        <v>24.281260499999998</v>
      </c>
      <c r="BV401" s="754">
        <v>48.867294656249996</v>
      </c>
      <c r="BW401" s="585"/>
      <c r="BX401" s="585"/>
      <c r="BY401" s="585"/>
      <c r="BZ401" s="585"/>
      <c r="CA401" s="586"/>
      <c r="CB401" s="585"/>
      <c r="CC401" s="585"/>
      <c r="CD401" s="585"/>
      <c r="CE401" s="585"/>
      <c r="CF401" s="586"/>
      <c r="CG401" s="470"/>
      <c r="CH401" s="470"/>
      <c r="CI401" s="470"/>
      <c r="CJ401" s="470"/>
      <c r="CK401" s="586"/>
      <c r="CL401" s="470"/>
      <c r="CM401" s="470"/>
      <c r="CN401" s="470"/>
      <c r="CO401" s="470"/>
      <c r="CP401" s="586"/>
      <c r="CQ401" s="470"/>
      <c r="CR401" s="470"/>
      <c r="CS401" s="470"/>
      <c r="CT401" s="470"/>
      <c r="CU401" s="586"/>
      <c r="CV401" s="470"/>
      <c r="CW401" s="470"/>
      <c r="CX401" s="470"/>
      <c r="CY401" s="470"/>
      <c r="CZ401" s="586"/>
      <c r="DA401" s="470"/>
      <c r="DB401" s="470"/>
      <c r="DC401" s="470"/>
      <c r="DD401" s="470"/>
      <c r="DE401" s="586"/>
      <c r="DF401" s="470"/>
      <c r="DG401" s="470"/>
      <c r="DH401" s="470"/>
      <c r="DI401" s="914"/>
      <c r="DJ401" s="586"/>
      <c r="DK401" s="470"/>
      <c r="DL401" s="470"/>
      <c r="DM401" s="470"/>
      <c r="DN401" s="470"/>
      <c r="DO401" s="586"/>
      <c r="DP401" s="470"/>
      <c r="DQ401" s="470"/>
      <c r="DR401" s="470"/>
      <c r="DS401" s="470"/>
      <c r="DT401" s="586"/>
      <c r="DU401" s="470"/>
      <c r="DV401" s="470"/>
      <c r="DW401" s="470"/>
      <c r="DX401" s="470"/>
      <c r="DY401" s="586"/>
    </row>
    <row r="402" spans="1:129" hidden="1" outlineLevel="1" x14ac:dyDescent="0.2">
      <c r="A402" s="466"/>
      <c r="B402" s="607"/>
      <c r="C402" s="585"/>
      <c r="D402" s="585"/>
      <c r="E402" s="585"/>
      <c r="F402" s="585"/>
      <c r="G402" s="585"/>
      <c r="H402" s="585"/>
      <c r="I402" s="586"/>
      <c r="J402" s="585"/>
      <c r="K402" s="585"/>
      <c r="L402" s="585"/>
      <c r="M402" s="585"/>
      <c r="N402" s="586"/>
      <c r="O402" s="585"/>
      <c r="P402" s="585"/>
      <c r="Q402" s="585"/>
      <c r="R402" s="585"/>
      <c r="S402" s="586"/>
      <c r="T402" s="585"/>
      <c r="U402" s="585"/>
      <c r="V402" s="585"/>
      <c r="W402" s="585"/>
      <c r="X402" s="586"/>
      <c r="Y402" s="585"/>
      <c r="Z402" s="585"/>
      <c r="AA402" s="585"/>
      <c r="AB402" s="585"/>
      <c r="AC402" s="586"/>
      <c r="AD402" s="585"/>
      <c r="AE402" s="585"/>
      <c r="AF402" s="585"/>
      <c r="AG402" s="585"/>
      <c r="AH402" s="586"/>
      <c r="AI402" s="585"/>
      <c r="AJ402" s="585"/>
      <c r="AK402" s="585"/>
      <c r="AL402" s="585"/>
      <c r="AM402" s="586"/>
      <c r="AN402" s="585"/>
      <c r="AO402" s="585"/>
      <c r="AP402" s="585"/>
      <c r="AQ402" s="585"/>
      <c r="AR402" s="586"/>
      <c r="AS402" s="585"/>
      <c r="AT402" s="585"/>
      <c r="AU402" s="585"/>
      <c r="AV402" s="585"/>
      <c r="AW402" s="586"/>
      <c r="AX402" s="585"/>
      <c r="AY402" s="585"/>
      <c r="AZ402" s="585"/>
      <c r="BA402" s="585"/>
      <c r="BB402" s="586"/>
      <c r="BC402" s="585"/>
      <c r="BD402" s="585"/>
      <c r="BE402" s="585"/>
      <c r="BF402" s="585"/>
      <c r="BG402" s="586"/>
      <c r="BH402" s="585"/>
      <c r="BI402" s="585"/>
      <c r="BJ402" s="585"/>
      <c r="BK402" s="585"/>
      <c r="BL402" s="586"/>
      <c r="BM402" s="585"/>
      <c r="BN402" s="585"/>
      <c r="BO402" s="585"/>
      <c r="BP402" s="585"/>
      <c r="BQ402" s="586"/>
      <c r="BR402" s="585"/>
      <c r="BS402" s="585"/>
      <c r="BT402" s="585"/>
      <c r="BU402" s="585"/>
      <c r="BV402" s="586"/>
      <c r="BW402" s="585"/>
      <c r="BX402" s="585"/>
      <c r="BY402" s="585"/>
      <c r="BZ402" s="585"/>
      <c r="CA402" s="586"/>
      <c r="CB402" s="585"/>
      <c r="CC402" s="585"/>
      <c r="CD402" s="585"/>
      <c r="CE402" s="585"/>
      <c r="CF402" s="586"/>
      <c r="CG402" s="470"/>
      <c r="CH402" s="470"/>
      <c r="CI402" s="470"/>
      <c r="CJ402" s="470"/>
      <c r="CK402" s="586"/>
      <c r="CL402" s="470"/>
      <c r="CM402" s="470"/>
      <c r="CN402" s="470"/>
      <c r="CO402" s="470"/>
      <c r="CP402" s="586"/>
      <c r="CQ402" s="470"/>
      <c r="CR402" s="470"/>
      <c r="CS402" s="470"/>
      <c r="CT402" s="470"/>
      <c r="CU402" s="586"/>
      <c r="CV402" s="470"/>
      <c r="CW402" s="470"/>
      <c r="CX402" s="470"/>
      <c r="CY402" s="470"/>
      <c r="CZ402" s="586"/>
      <c r="DA402" s="470"/>
      <c r="DB402" s="470"/>
      <c r="DC402" s="470"/>
      <c r="DD402" s="470"/>
      <c r="DE402" s="586"/>
      <c r="DF402" s="470"/>
      <c r="DG402" s="470"/>
      <c r="DH402" s="470"/>
      <c r="DI402" s="914"/>
      <c r="DJ402" s="586"/>
      <c r="DK402" s="470"/>
      <c r="DL402" s="470"/>
      <c r="DM402" s="470"/>
      <c r="DN402" s="470"/>
      <c r="DO402" s="586"/>
      <c r="DP402" s="470"/>
      <c r="DQ402" s="470"/>
      <c r="DR402" s="470"/>
      <c r="DS402" s="470"/>
      <c r="DT402" s="586"/>
      <c r="DU402" s="470"/>
      <c r="DV402" s="470"/>
      <c r="DW402" s="470"/>
      <c r="DX402" s="470"/>
      <c r="DY402" s="586"/>
    </row>
    <row r="403" spans="1:129" hidden="1" outlineLevel="1" x14ac:dyDescent="0.2">
      <c r="A403" s="466"/>
      <c r="B403" s="607" t="s">
        <v>854</v>
      </c>
      <c r="C403" s="585"/>
      <c r="D403" s="585"/>
      <c r="E403" s="585"/>
      <c r="F403" s="585"/>
      <c r="G403" s="585"/>
      <c r="H403" s="585"/>
      <c r="I403" s="586"/>
      <c r="J403" s="585"/>
      <c r="K403" s="585"/>
      <c r="L403" s="585"/>
      <c r="M403" s="585"/>
      <c r="N403" s="586"/>
      <c r="O403" s="585"/>
      <c r="P403" s="585"/>
      <c r="Q403" s="585"/>
      <c r="R403" s="585"/>
      <c r="S403" s="586"/>
      <c r="T403" s="585"/>
      <c r="U403" s="585"/>
      <c r="V403" s="585"/>
      <c r="W403" s="585"/>
      <c r="X403" s="586"/>
      <c r="Y403" s="585"/>
      <c r="Z403" s="585"/>
      <c r="AA403" s="585"/>
      <c r="AB403" s="585"/>
      <c r="AC403" s="586"/>
      <c r="AD403" s="585"/>
      <c r="AE403" s="585"/>
      <c r="AF403" s="585"/>
      <c r="AG403" s="585"/>
      <c r="AH403" s="586"/>
      <c r="AI403" s="585"/>
      <c r="AJ403" s="585"/>
      <c r="AK403" s="585"/>
      <c r="AL403" s="585"/>
      <c r="AM403" s="586"/>
      <c r="AN403" s="585"/>
      <c r="AO403" s="585"/>
      <c r="AP403" s="585"/>
      <c r="AQ403" s="585"/>
      <c r="AR403" s="586"/>
      <c r="AS403" s="585"/>
      <c r="AT403" s="585"/>
      <c r="AU403" s="585"/>
      <c r="AV403" s="585"/>
      <c r="AW403" s="586"/>
      <c r="AX403" s="585"/>
      <c r="AY403" s="585"/>
      <c r="AZ403" s="585"/>
      <c r="BA403" s="585"/>
      <c r="BB403" s="586"/>
      <c r="BC403" s="585"/>
      <c r="BD403" s="585"/>
      <c r="BE403" s="585"/>
      <c r="BF403" s="585"/>
      <c r="BG403" s="586"/>
      <c r="BH403" s="592">
        <v>4.5739999999999998</v>
      </c>
      <c r="BI403" s="592">
        <v>10.858000000000001</v>
      </c>
      <c r="BJ403" s="592">
        <v>17.984000000000002</v>
      </c>
      <c r="BK403" s="592">
        <v>15.877999999999995</v>
      </c>
      <c r="BL403" s="754">
        <v>49.293999999999983</v>
      </c>
      <c r="BM403" s="592">
        <v>4.5259999999999998</v>
      </c>
      <c r="BN403" s="592">
        <v>14.901999999999999</v>
      </c>
      <c r="BO403" s="592">
        <v>24.532910999999999</v>
      </c>
      <c r="BP403" s="592">
        <v>25.646862500000001</v>
      </c>
      <c r="BQ403" s="754">
        <v>109.1957735</v>
      </c>
      <c r="BR403" s="592">
        <v>1.1902807000000024</v>
      </c>
      <c r="BS403" s="592">
        <v>12.545310575000009</v>
      </c>
      <c r="BT403" s="592">
        <v>20.976332343749981</v>
      </c>
      <c r="BU403" s="592">
        <v>24.614295999999985</v>
      </c>
      <c r="BV403" s="754">
        <v>110.42494124374998</v>
      </c>
      <c r="BW403" s="585"/>
      <c r="BX403" s="585"/>
      <c r="BY403" s="585"/>
      <c r="BZ403" s="585"/>
      <c r="CA403" s="586"/>
      <c r="CB403" s="585"/>
      <c r="CC403" s="585"/>
      <c r="CD403" s="585"/>
      <c r="CE403" s="585"/>
      <c r="CF403" s="586"/>
      <c r="CG403" s="470"/>
      <c r="CH403" s="470"/>
      <c r="CI403" s="470"/>
      <c r="CJ403" s="470"/>
      <c r="CK403" s="586"/>
      <c r="CL403" s="470"/>
      <c r="CM403" s="470"/>
      <c r="CN403" s="470"/>
      <c r="CO403" s="470"/>
      <c r="CP403" s="586"/>
      <c r="CQ403" s="470"/>
      <c r="CR403" s="470"/>
      <c r="CS403" s="470"/>
      <c r="CT403" s="470"/>
      <c r="CU403" s="586"/>
      <c r="CV403" s="470"/>
      <c r="CW403" s="470"/>
      <c r="CX403" s="470"/>
      <c r="CY403" s="470"/>
      <c r="CZ403" s="586"/>
      <c r="DA403" s="470"/>
      <c r="DB403" s="470"/>
      <c r="DC403" s="470"/>
      <c r="DD403" s="470"/>
      <c r="DE403" s="586"/>
      <c r="DF403" s="470"/>
      <c r="DG403" s="470"/>
      <c r="DH403" s="470"/>
      <c r="DI403" s="914"/>
      <c r="DJ403" s="586"/>
      <c r="DK403" s="470"/>
      <c r="DL403" s="470"/>
      <c r="DM403" s="470"/>
      <c r="DN403" s="470"/>
      <c r="DO403" s="586"/>
      <c r="DP403" s="470"/>
      <c r="DQ403" s="470"/>
      <c r="DR403" s="470"/>
      <c r="DS403" s="470"/>
      <c r="DT403" s="586"/>
      <c r="DU403" s="470"/>
      <c r="DV403" s="470"/>
      <c r="DW403" s="470"/>
      <c r="DX403" s="470"/>
      <c r="DY403" s="586"/>
    </row>
    <row r="404" spans="1:129" hidden="1" outlineLevel="1" x14ac:dyDescent="0.2">
      <c r="A404" s="466"/>
      <c r="B404" s="607"/>
      <c r="C404" s="585"/>
      <c r="D404" s="585"/>
      <c r="E404" s="585"/>
      <c r="F404" s="585"/>
      <c r="G404" s="585"/>
      <c r="H404" s="585"/>
      <c r="I404" s="586"/>
      <c r="J404" s="585"/>
      <c r="K404" s="585"/>
      <c r="L404" s="585"/>
      <c r="M404" s="585"/>
      <c r="N404" s="586"/>
      <c r="O404" s="585"/>
      <c r="P404" s="585"/>
      <c r="Q404" s="585"/>
      <c r="R404" s="585"/>
      <c r="S404" s="586"/>
      <c r="T404" s="585"/>
      <c r="U404" s="585"/>
      <c r="V404" s="585"/>
      <c r="W404" s="585"/>
      <c r="X404" s="586"/>
      <c r="Y404" s="585"/>
      <c r="Z404" s="585"/>
      <c r="AA404" s="585"/>
      <c r="AB404" s="585"/>
      <c r="AC404" s="586"/>
      <c r="AD404" s="585"/>
      <c r="AE404" s="585"/>
      <c r="AF404" s="585"/>
      <c r="AG404" s="585"/>
      <c r="AH404" s="586"/>
      <c r="AI404" s="585"/>
      <c r="AJ404" s="585"/>
      <c r="AK404" s="585"/>
      <c r="AL404" s="585"/>
      <c r="AM404" s="586"/>
      <c r="AN404" s="585"/>
      <c r="AO404" s="585"/>
      <c r="AP404" s="585"/>
      <c r="AQ404" s="585"/>
      <c r="AR404" s="586"/>
      <c r="AS404" s="585"/>
      <c r="AT404" s="585"/>
      <c r="AU404" s="585"/>
      <c r="AV404" s="585"/>
      <c r="AW404" s="586"/>
      <c r="AX404" s="585"/>
      <c r="AY404" s="585"/>
      <c r="AZ404" s="585"/>
      <c r="BA404" s="585"/>
      <c r="BB404" s="586"/>
      <c r="BC404" s="585"/>
      <c r="BD404" s="585"/>
      <c r="BE404" s="585"/>
      <c r="BF404" s="585"/>
      <c r="BG404" s="586"/>
      <c r="BH404" s="585"/>
      <c r="BI404" s="585"/>
      <c r="BJ404" s="585"/>
      <c r="BK404" s="585"/>
      <c r="BL404" s="586"/>
      <c r="BM404" s="585"/>
      <c r="BN404" s="585"/>
      <c r="BO404" s="585"/>
      <c r="BP404" s="585"/>
      <c r="BQ404" s="586"/>
      <c r="BR404" s="585"/>
      <c r="BS404" s="585"/>
      <c r="BT404" s="585"/>
      <c r="BU404" s="585"/>
      <c r="BV404" s="586"/>
      <c r="BW404" s="585"/>
      <c r="BX404" s="585"/>
      <c r="BY404" s="585"/>
      <c r="BZ404" s="585"/>
      <c r="CA404" s="586"/>
      <c r="CB404" s="585"/>
      <c r="CC404" s="585"/>
      <c r="CD404" s="585"/>
      <c r="CE404" s="585"/>
      <c r="CF404" s="586"/>
      <c r="CG404" s="470"/>
      <c r="CH404" s="470"/>
      <c r="CI404" s="470"/>
      <c r="CJ404" s="470"/>
      <c r="CK404" s="586"/>
      <c r="CL404" s="470"/>
      <c r="CM404" s="470"/>
      <c r="CN404" s="470"/>
      <c r="CO404" s="470"/>
      <c r="CP404" s="586"/>
      <c r="CQ404" s="470"/>
      <c r="CR404" s="470"/>
      <c r="CS404" s="470"/>
      <c r="CT404" s="470"/>
      <c r="CU404" s="586"/>
      <c r="CV404" s="470"/>
      <c r="CW404" s="470"/>
      <c r="CX404" s="470"/>
      <c r="CY404" s="470"/>
      <c r="CZ404" s="586"/>
      <c r="DA404" s="470"/>
      <c r="DB404" s="470"/>
      <c r="DC404" s="470"/>
      <c r="DD404" s="470"/>
      <c r="DE404" s="586"/>
      <c r="DF404" s="470"/>
      <c r="DG404" s="470"/>
      <c r="DH404" s="470"/>
      <c r="DI404" s="914"/>
      <c r="DJ404" s="586"/>
      <c r="DK404" s="470"/>
      <c r="DL404" s="470"/>
      <c r="DM404" s="470"/>
      <c r="DN404" s="470"/>
      <c r="DO404" s="586"/>
      <c r="DP404" s="470"/>
      <c r="DQ404" s="470"/>
      <c r="DR404" s="470"/>
      <c r="DS404" s="470"/>
      <c r="DT404" s="586"/>
      <c r="DU404" s="470"/>
      <c r="DV404" s="470"/>
      <c r="DW404" s="470"/>
      <c r="DX404" s="470"/>
      <c r="DY404" s="586"/>
    </row>
    <row r="405" spans="1:129" hidden="1" outlineLevel="1" x14ac:dyDescent="0.2">
      <c r="A405" s="526"/>
      <c r="B405" s="756" t="s">
        <v>860</v>
      </c>
      <c r="C405" s="597"/>
      <c r="D405" s="597"/>
      <c r="E405" s="597"/>
      <c r="F405" s="597"/>
      <c r="G405" s="597"/>
      <c r="H405" s="597"/>
      <c r="I405" s="598"/>
      <c r="J405" s="597"/>
      <c r="K405" s="597"/>
      <c r="L405" s="597"/>
      <c r="M405" s="597"/>
      <c r="N405" s="598"/>
      <c r="O405" s="597"/>
      <c r="P405" s="597"/>
      <c r="Q405" s="597"/>
      <c r="R405" s="597"/>
      <c r="S405" s="598"/>
      <c r="T405" s="597"/>
      <c r="U405" s="597"/>
      <c r="V405" s="597"/>
      <c r="W405" s="597"/>
      <c r="X405" s="598"/>
      <c r="Y405" s="597"/>
      <c r="Z405" s="597"/>
      <c r="AA405" s="597"/>
      <c r="AB405" s="597"/>
      <c r="AC405" s="598"/>
      <c r="AD405" s="597"/>
      <c r="AE405" s="597"/>
      <c r="AF405" s="597"/>
      <c r="AG405" s="597"/>
      <c r="AH405" s="598"/>
      <c r="AI405" s="597"/>
      <c r="AJ405" s="597"/>
      <c r="AK405" s="597"/>
      <c r="AL405" s="597"/>
      <c r="AM405" s="598"/>
      <c r="AN405" s="597"/>
      <c r="AO405" s="597"/>
      <c r="AP405" s="597"/>
      <c r="AQ405" s="597"/>
      <c r="AR405" s="598"/>
      <c r="AS405" s="597"/>
      <c r="AT405" s="597"/>
      <c r="AU405" s="597"/>
      <c r="AV405" s="597"/>
      <c r="AW405" s="598"/>
      <c r="AX405" s="597"/>
      <c r="AY405" s="597"/>
      <c r="AZ405" s="597"/>
      <c r="BA405" s="597"/>
      <c r="BB405" s="598"/>
      <c r="BC405" s="597"/>
      <c r="BD405" s="597"/>
      <c r="BE405" s="597"/>
      <c r="BF405" s="597"/>
      <c r="BG405" s="598"/>
      <c r="BH405" s="597"/>
      <c r="BI405" s="597"/>
      <c r="BJ405" s="597"/>
      <c r="BK405" s="597"/>
      <c r="BL405" s="598"/>
      <c r="BM405" s="597"/>
      <c r="BN405" s="597"/>
      <c r="BO405" s="597"/>
      <c r="BP405" s="597"/>
      <c r="BQ405" s="598"/>
      <c r="BR405" s="597"/>
      <c r="BS405" s="597"/>
      <c r="BT405" s="597"/>
      <c r="BU405" s="597"/>
      <c r="BV405" s="598"/>
      <c r="BW405" s="597"/>
      <c r="BX405" s="597"/>
      <c r="BY405" s="597"/>
      <c r="BZ405" s="597"/>
      <c r="CA405" s="598"/>
      <c r="CB405" s="597"/>
      <c r="CC405" s="597"/>
      <c r="CD405" s="597"/>
      <c r="CE405" s="597"/>
      <c r="CF405" s="598"/>
      <c r="CG405" s="682"/>
      <c r="CH405" s="682"/>
      <c r="CI405" s="682"/>
      <c r="CJ405" s="682"/>
      <c r="CK405" s="598"/>
      <c r="CL405" s="682"/>
      <c r="CM405" s="682"/>
      <c r="CN405" s="682"/>
      <c r="CO405" s="682"/>
      <c r="CP405" s="598"/>
      <c r="CQ405" s="682"/>
      <c r="CR405" s="682"/>
      <c r="CS405" s="682"/>
      <c r="CT405" s="682"/>
      <c r="CU405" s="598"/>
      <c r="CV405" s="682"/>
      <c r="CW405" s="682"/>
      <c r="CX405" s="682"/>
      <c r="CY405" s="682"/>
      <c r="CZ405" s="598"/>
      <c r="DA405" s="682"/>
      <c r="DB405" s="682"/>
      <c r="DC405" s="682"/>
      <c r="DD405" s="682"/>
      <c r="DE405" s="598"/>
      <c r="DF405" s="682"/>
      <c r="DG405" s="682"/>
      <c r="DH405" s="682"/>
      <c r="DI405" s="1610"/>
      <c r="DJ405" s="598"/>
      <c r="DK405" s="682"/>
      <c r="DL405" s="682"/>
      <c r="DM405" s="682"/>
      <c r="DN405" s="682"/>
      <c r="DO405" s="598"/>
      <c r="DP405" s="682"/>
      <c r="DQ405" s="682"/>
      <c r="DR405" s="682"/>
      <c r="DS405" s="682"/>
      <c r="DT405" s="598"/>
      <c r="DU405" s="682"/>
      <c r="DV405" s="682"/>
      <c r="DW405" s="682"/>
      <c r="DX405" s="682"/>
      <c r="DY405" s="598"/>
    </row>
    <row r="406" spans="1:129" hidden="1" outlineLevel="1" x14ac:dyDescent="0.2">
      <c r="A406" s="526"/>
      <c r="B406" s="756" t="s">
        <v>861</v>
      </c>
      <c r="C406" s="597"/>
      <c r="D406" s="597"/>
      <c r="E406" s="597"/>
      <c r="F406" s="597"/>
      <c r="G406" s="597"/>
      <c r="H406" s="597"/>
      <c r="I406" s="849"/>
      <c r="J406" s="597"/>
      <c r="K406" s="597"/>
      <c r="L406" s="597"/>
      <c r="M406" s="597"/>
      <c r="N406" s="849"/>
      <c r="O406" s="743"/>
      <c r="P406" s="743"/>
      <c r="Q406" s="743"/>
      <c r="R406" s="743"/>
      <c r="S406" s="849"/>
      <c r="T406" s="743"/>
      <c r="U406" s="743"/>
      <c r="V406" s="743"/>
      <c r="W406" s="743"/>
      <c r="X406" s="849"/>
      <c r="Y406" s="743"/>
      <c r="Z406" s="743"/>
      <c r="AA406" s="743"/>
      <c r="AB406" s="743"/>
      <c r="AC406" s="849"/>
      <c r="AD406" s="743"/>
      <c r="AE406" s="743"/>
      <c r="AF406" s="743"/>
      <c r="AG406" s="743"/>
      <c r="AH406" s="849"/>
      <c r="AI406" s="743"/>
      <c r="AJ406" s="743"/>
      <c r="AK406" s="743"/>
      <c r="AL406" s="743"/>
      <c r="AM406" s="849"/>
      <c r="AN406" s="743"/>
      <c r="AO406" s="743"/>
      <c r="AP406" s="743"/>
      <c r="AQ406" s="743"/>
      <c r="AR406" s="849"/>
      <c r="AS406" s="743"/>
      <c r="AT406" s="743"/>
      <c r="AU406" s="743"/>
      <c r="AV406" s="743"/>
      <c r="AW406" s="849"/>
      <c r="AX406" s="743"/>
      <c r="AY406" s="743"/>
      <c r="AZ406" s="743"/>
      <c r="BA406" s="743"/>
      <c r="BB406" s="849"/>
      <c r="BC406" s="743"/>
      <c r="BD406" s="743"/>
      <c r="BE406" s="743"/>
      <c r="BF406" s="743"/>
      <c r="BG406" s="849"/>
      <c r="BH406" s="744">
        <v>0</v>
      </c>
      <c r="BI406" s="744">
        <v>0</v>
      </c>
      <c r="BJ406" s="744">
        <v>0</v>
      </c>
      <c r="BK406" s="744">
        <v>0</v>
      </c>
      <c r="BL406" s="745">
        <v>0</v>
      </c>
      <c r="BM406" s="744">
        <v>0</v>
      </c>
      <c r="BN406" s="744">
        <v>0</v>
      </c>
      <c r="BO406" s="744">
        <v>0</v>
      </c>
      <c r="BP406" s="744">
        <v>0</v>
      </c>
      <c r="BQ406" s="745">
        <v>0</v>
      </c>
      <c r="BR406" s="744">
        <v>0</v>
      </c>
      <c r="BS406" s="744">
        <v>0</v>
      </c>
      <c r="BT406" s="744">
        <v>0</v>
      </c>
      <c r="BU406" s="744">
        <v>0</v>
      </c>
      <c r="BV406" s="745">
        <v>0</v>
      </c>
      <c r="BW406" s="743"/>
      <c r="BX406" s="743"/>
      <c r="BY406" s="743"/>
      <c r="BZ406" s="743"/>
      <c r="CA406" s="849"/>
      <c r="CB406" s="743"/>
      <c r="CC406" s="743"/>
      <c r="CD406" s="743"/>
      <c r="CE406" s="743"/>
      <c r="CF406" s="849"/>
      <c r="CG406" s="820"/>
      <c r="CH406" s="820"/>
      <c r="CI406" s="820"/>
      <c r="CJ406" s="820"/>
      <c r="CK406" s="849"/>
      <c r="CL406" s="820"/>
      <c r="CM406" s="820"/>
      <c r="CN406" s="820"/>
      <c r="CO406" s="820"/>
      <c r="CP406" s="849"/>
      <c r="CQ406" s="820"/>
      <c r="CR406" s="820"/>
      <c r="CS406" s="820"/>
      <c r="CT406" s="820"/>
      <c r="CU406" s="849"/>
      <c r="CV406" s="820"/>
      <c r="CW406" s="820"/>
      <c r="CX406" s="820"/>
      <c r="CY406" s="820"/>
      <c r="CZ406" s="849"/>
      <c r="DA406" s="820"/>
      <c r="DB406" s="820"/>
      <c r="DC406" s="820"/>
      <c r="DD406" s="820"/>
      <c r="DE406" s="849"/>
      <c r="DF406" s="820"/>
      <c r="DG406" s="820"/>
      <c r="DH406" s="820"/>
      <c r="DI406" s="2815"/>
      <c r="DJ406" s="849"/>
      <c r="DK406" s="820"/>
      <c r="DL406" s="820"/>
      <c r="DM406" s="820"/>
      <c r="DN406" s="820"/>
      <c r="DO406" s="849"/>
      <c r="DP406" s="820"/>
      <c r="DQ406" s="820"/>
      <c r="DR406" s="820"/>
      <c r="DS406" s="820"/>
      <c r="DT406" s="849"/>
      <c r="DU406" s="820"/>
      <c r="DV406" s="820"/>
      <c r="DW406" s="820"/>
      <c r="DX406" s="820"/>
      <c r="DY406" s="849"/>
    </row>
    <row r="407" spans="1:129" hidden="1" outlineLevel="1" x14ac:dyDescent="0.2">
      <c r="A407" s="526"/>
      <c r="B407" s="756" t="s">
        <v>862</v>
      </c>
      <c r="C407" s="597"/>
      <c r="D407" s="597"/>
      <c r="E407" s="597"/>
      <c r="F407" s="597"/>
      <c r="G407" s="597"/>
      <c r="H407" s="597"/>
      <c r="I407" s="849"/>
      <c r="J407" s="597"/>
      <c r="K407" s="597"/>
      <c r="L407" s="597"/>
      <c r="M407" s="597"/>
      <c r="N407" s="849"/>
      <c r="O407" s="743"/>
      <c r="P407" s="743"/>
      <c r="Q407" s="743"/>
      <c r="R407" s="743"/>
      <c r="S407" s="849"/>
      <c r="T407" s="743"/>
      <c r="U407" s="743"/>
      <c r="V407" s="743"/>
      <c r="W407" s="743"/>
      <c r="X407" s="849"/>
      <c r="Y407" s="743"/>
      <c r="Z407" s="743"/>
      <c r="AA407" s="743"/>
      <c r="AB407" s="743"/>
      <c r="AC407" s="849"/>
      <c r="AD407" s="743"/>
      <c r="AE407" s="743"/>
      <c r="AF407" s="743"/>
      <c r="AG407" s="743"/>
      <c r="AH407" s="849"/>
      <c r="AI407" s="743"/>
      <c r="AJ407" s="743"/>
      <c r="AK407" s="743"/>
      <c r="AL407" s="743"/>
      <c r="AM407" s="849"/>
      <c r="AN407" s="743"/>
      <c r="AO407" s="743"/>
      <c r="AP407" s="743"/>
      <c r="AQ407" s="743"/>
      <c r="AR407" s="849"/>
      <c r="AS407" s="743"/>
      <c r="AT407" s="743"/>
      <c r="AU407" s="743"/>
      <c r="AV407" s="743"/>
      <c r="AW407" s="849"/>
      <c r="AX407" s="743"/>
      <c r="AY407" s="743"/>
      <c r="AZ407" s="743"/>
      <c r="BA407" s="743"/>
      <c r="BB407" s="849"/>
      <c r="BC407" s="743"/>
      <c r="BD407" s="743"/>
      <c r="BE407" s="743"/>
      <c r="BF407" s="743"/>
      <c r="BG407" s="849"/>
      <c r="BH407" s="744">
        <v>4.2067979867023042E-2</v>
      </c>
      <c r="BI407" s="744">
        <v>0.17505710370031979</v>
      </c>
      <c r="BJ407" s="744">
        <v>0.25396746922430402</v>
      </c>
      <c r="BK407" s="744">
        <v>0.18415390745062321</v>
      </c>
      <c r="BL407" s="745">
        <v>0.15171486127290401</v>
      </c>
      <c r="BM407" s="744">
        <v>2.4102874034359068E-2</v>
      </c>
      <c r="BN407" s="744">
        <v>0.12963480739224165</v>
      </c>
      <c r="BO407" s="744">
        <v>0.22</v>
      </c>
      <c r="BP407" s="744">
        <v>0.18</v>
      </c>
      <c r="BQ407" s="745">
        <v>0.12387249227954267</v>
      </c>
      <c r="BR407" s="744">
        <v>2.4E-2</v>
      </c>
      <c r="BS407" s="744">
        <v>0.13</v>
      </c>
      <c r="BT407" s="744">
        <v>0.2</v>
      </c>
      <c r="BU407" s="744">
        <v>0.18</v>
      </c>
      <c r="BV407" s="745">
        <v>0.11985232946211066</v>
      </c>
      <c r="BW407" s="743"/>
      <c r="BX407" s="743"/>
      <c r="BY407" s="743"/>
      <c r="BZ407" s="743"/>
      <c r="CA407" s="849"/>
      <c r="CB407" s="743"/>
      <c r="CC407" s="743"/>
      <c r="CD407" s="743"/>
      <c r="CE407" s="743"/>
      <c r="CF407" s="849"/>
      <c r="CG407" s="820"/>
      <c r="CH407" s="820"/>
      <c r="CI407" s="820"/>
      <c r="CJ407" s="820"/>
      <c r="CK407" s="849"/>
      <c r="CL407" s="820"/>
      <c r="CM407" s="820"/>
      <c r="CN407" s="820"/>
      <c r="CO407" s="820"/>
      <c r="CP407" s="849"/>
      <c r="CQ407" s="820"/>
      <c r="CR407" s="820"/>
      <c r="CS407" s="820"/>
      <c r="CT407" s="820"/>
      <c r="CU407" s="849"/>
      <c r="CV407" s="820"/>
      <c r="CW407" s="820"/>
      <c r="CX407" s="820"/>
      <c r="CY407" s="820"/>
      <c r="CZ407" s="849"/>
      <c r="DA407" s="820"/>
      <c r="DB407" s="820"/>
      <c r="DC407" s="820"/>
      <c r="DD407" s="820"/>
      <c r="DE407" s="849"/>
      <c r="DF407" s="820"/>
      <c r="DG407" s="820"/>
      <c r="DH407" s="820"/>
      <c r="DI407" s="2815"/>
      <c r="DJ407" s="849"/>
      <c r="DK407" s="820"/>
      <c r="DL407" s="820"/>
      <c r="DM407" s="820"/>
      <c r="DN407" s="820"/>
      <c r="DO407" s="849"/>
      <c r="DP407" s="820"/>
      <c r="DQ407" s="820"/>
      <c r="DR407" s="820"/>
      <c r="DS407" s="820"/>
      <c r="DT407" s="849"/>
      <c r="DU407" s="820"/>
      <c r="DV407" s="820"/>
      <c r="DW407" s="820"/>
      <c r="DX407" s="820"/>
      <c r="DY407" s="849"/>
    </row>
    <row r="408" spans="1:129" hidden="1" outlineLevel="1" x14ac:dyDescent="0.2">
      <c r="A408" s="526"/>
      <c r="B408" s="756" t="s">
        <v>863</v>
      </c>
      <c r="C408" s="597"/>
      <c r="D408" s="597"/>
      <c r="E408" s="597"/>
      <c r="F408" s="597"/>
      <c r="G408" s="597"/>
      <c r="H408" s="597"/>
      <c r="I408" s="849"/>
      <c r="J408" s="597"/>
      <c r="K408" s="597"/>
      <c r="L408" s="597"/>
      <c r="M408" s="597"/>
      <c r="N408" s="849"/>
      <c r="O408" s="743"/>
      <c r="P408" s="743"/>
      <c r="Q408" s="743"/>
      <c r="R408" s="743"/>
      <c r="S408" s="849"/>
      <c r="T408" s="743"/>
      <c r="U408" s="743"/>
      <c r="V408" s="743"/>
      <c r="W408" s="743"/>
      <c r="X408" s="849"/>
      <c r="Y408" s="743"/>
      <c r="Z408" s="743"/>
      <c r="AA408" s="743"/>
      <c r="AB408" s="743"/>
      <c r="AC408" s="849"/>
      <c r="AD408" s="743"/>
      <c r="AE408" s="743"/>
      <c r="AF408" s="743"/>
      <c r="AG408" s="743"/>
      <c r="AH408" s="849"/>
      <c r="AI408" s="743"/>
      <c r="AJ408" s="743"/>
      <c r="AK408" s="743"/>
      <c r="AL408" s="743"/>
      <c r="AM408" s="849"/>
      <c r="AN408" s="743"/>
      <c r="AO408" s="743"/>
      <c r="AP408" s="743"/>
      <c r="AQ408" s="743"/>
      <c r="AR408" s="849"/>
      <c r="AS408" s="743"/>
      <c r="AT408" s="743"/>
      <c r="AU408" s="743"/>
      <c r="AV408" s="743"/>
      <c r="AW408" s="849"/>
      <c r="AX408" s="743"/>
      <c r="AY408" s="743"/>
      <c r="AZ408" s="743"/>
      <c r="BA408" s="743"/>
      <c r="BB408" s="849"/>
      <c r="BC408" s="743"/>
      <c r="BD408" s="743"/>
      <c r="BE408" s="743"/>
      <c r="BF408" s="743"/>
      <c r="BG408" s="849"/>
      <c r="BH408" s="744">
        <v>0.95793202013297696</v>
      </c>
      <c r="BI408" s="744">
        <v>0.82494289629968021</v>
      </c>
      <c r="BJ408" s="744">
        <v>0.74603253077569598</v>
      </c>
      <c r="BK408" s="744">
        <v>0.81584609254937679</v>
      </c>
      <c r="BL408" s="745">
        <v>0.84828513872709599</v>
      </c>
      <c r="BM408" s="744">
        <v>0.97589712596564093</v>
      </c>
      <c r="BN408" s="744">
        <v>0.87036519260775835</v>
      </c>
      <c r="BO408" s="743"/>
      <c r="BP408" s="743"/>
      <c r="BQ408" s="849"/>
      <c r="BR408" s="743"/>
      <c r="BS408" s="743"/>
      <c r="BT408" s="743"/>
      <c r="BU408" s="743"/>
      <c r="BV408" s="849"/>
      <c r="BW408" s="743"/>
      <c r="BX408" s="743"/>
      <c r="BY408" s="743"/>
      <c r="BZ408" s="743"/>
      <c r="CA408" s="849"/>
      <c r="CB408" s="743"/>
      <c r="CC408" s="743"/>
      <c r="CD408" s="743"/>
      <c r="CE408" s="743"/>
      <c r="CF408" s="849"/>
      <c r="CG408" s="820"/>
      <c r="CH408" s="820"/>
      <c r="CI408" s="820"/>
      <c r="CJ408" s="820"/>
      <c r="CK408" s="849"/>
      <c r="CL408" s="820"/>
      <c r="CM408" s="820"/>
      <c r="CN408" s="820"/>
      <c r="CO408" s="820"/>
      <c r="CP408" s="849"/>
      <c r="CQ408" s="820"/>
      <c r="CR408" s="820"/>
      <c r="CS408" s="820"/>
      <c r="CT408" s="820"/>
      <c r="CU408" s="849"/>
      <c r="CV408" s="820"/>
      <c r="CW408" s="820"/>
      <c r="CX408" s="820"/>
      <c r="CY408" s="820"/>
      <c r="CZ408" s="849"/>
      <c r="DA408" s="820"/>
      <c r="DB408" s="820"/>
      <c r="DC408" s="820"/>
      <c r="DD408" s="820"/>
      <c r="DE408" s="849"/>
      <c r="DF408" s="820"/>
      <c r="DG408" s="820"/>
      <c r="DH408" s="820"/>
      <c r="DI408" s="2815"/>
      <c r="DJ408" s="849"/>
      <c r="DK408" s="820"/>
      <c r="DL408" s="820"/>
      <c r="DM408" s="820"/>
      <c r="DN408" s="820"/>
      <c r="DO408" s="849"/>
      <c r="DP408" s="820"/>
      <c r="DQ408" s="820"/>
      <c r="DR408" s="820"/>
      <c r="DS408" s="820"/>
      <c r="DT408" s="849"/>
      <c r="DU408" s="820"/>
      <c r="DV408" s="820"/>
      <c r="DW408" s="820"/>
      <c r="DX408" s="820"/>
      <c r="DY408" s="849"/>
    </row>
    <row r="409" spans="1:129" hidden="1" outlineLevel="1" x14ac:dyDescent="0.2">
      <c r="A409" s="526"/>
      <c r="B409" s="756"/>
      <c r="C409" s="597"/>
      <c r="D409" s="597"/>
      <c r="E409" s="597"/>
      <c r="F409" s="597"/>
      <c r="G409" s="597"/>
      <c r="H409" s="597"/>
      <c r="I409" s="598"/>
      <c r="J409" s="597"/>
      <c r="K409" s="597"/>
      <c r="L409" s="597"/>
      <c r="M409" s="597"/>
      <c r="N409" s="598"/>
      <c r="O409" s="597"/>
      <c r="P409" s="597"/>
      <c r="Q409" s="597"/>
      <c r="R409" s="597"/>
      <c r="S409" s="598"/>
      <c r="T409" s="597"/>
      <c r="U409" s="597"/>
      <c r="V409" s="597"/>
      <c r="W409" s="597"/>
      <c r="X409" s="598"/>
      <c r="Y409" s="597"/>
      <c r="Z409" s="597"/>
      <c r="AA409" s="597"/>
      <c r="AB409" s="597"/>
      <c r="AC409" s="598"/>
      <c r="AD409" s="597"/>
      <c r="AE409" s="597"/>
      <c r="AF409" s="597"/>
      <c r="AG409" s="597"/>
      <c r="AH409" s="598"/>
      <c r="AI409" s="597"/>
      <c r="AJ409" s="597"/>
      <c r="AK409" s="597"/>
      <c r="AL409" s="597"/>
      <c r="AM409" s="598"/>
      <c r="AN409" s="597"/>
      <c r="AO409" s="597"/>
      <c r="AP409" s="597"/>
      <c r="AQ409" s="597"/>
      <c r="AR409" s="598"/>
      <c r="AS409" s="597"/>
      <c r="AT409" s="597"/>
      <c r="AU409" s="597"/>
      <c r="AV409" s="597"/>
      <c r="AW409" s="598"/>
      <c r="AX409" s="597"/>
      <c r="AY409" s="597"/>
      <c r="AZ409" s="597"/>
      <c r="BA409" s="597"/>
      <c r="BB409" s="598"/>
      <c r="BC409" s="597"/>
      <c r="BD409" s="597"/>
      <c r="BE409" s="597"/>
      <c r="BF409" s="597"/>
      <c r="BG409" s="598"/>
      <c r="BH409" s="597"/>
      <c r="BI409" s="597"/>
      <c r="BJ409" s="597"/>
      <c r="BK409" s="597"/>
      <c r="BL409" s="598"/>
      <c r="BM409" s="597"/>
      <c r="BN409" s="597"/>
      <c r="BO409" s="597"/>
      <c r="BP409" s="597"/>
      <c r="BQ409" s="598"/>
      <c r="BR409" s="597"/>
      <c r="BS409" s="597"/>
      <c r="BT409" s="597"/>
      <c r="BU409" s="597"/>
      <c r="BV409" s="598"/>
      <c r="BW409" s="597"/>
      <c r="BX409" s="597"/>
      <c r="BY409" s="597"/>
      <c r="BZ409" s="597"/>
      <c r="CA409" s="598"/>
      <c r="CB409" s="597"/>
      <c r="CC409" s="597"/>
      <c r="CD409" s="597"/>
      <c r="CE409" s="597"/>
      <c r="CF409" s="598"/>
      <c r="CG409" s="682"/>
      <c r="CH409" s="682"/>
      <c r="CI409" s="682"/>
      <c r="CJ409" s="682"/>
      <c r="CK409" s="598"/>
      <c r="CL409" s="682"/>
      <c r="CM409" s="682"/>
      <c r="CN409" s="682"/>
      <c r="CO409" s="682"/>
      <c r="CP409" s="598"/>
      <c r="CQ409" s="682"/>
      <c r="CR409" s="682"/>
      <c r="CS409" s="682"/>
      <c r="CT409" s="682"/>
      <c r="CU409" s="598"/>
      <c r="CV409" s="682"/>
      <c r="CW409" s="682"/>
      <c r="CX409" s="682"/>
      <c r="CY409" s="682"/>
      <c r="CZ409" s="598"/>
      <c r="DA409" s="682"/>
      <c r="DB409" s="682"/>
      <c r="DC409" s="682"/>
      <c r="DD409" s="682"/>
      <c r="DE409" s="598"/>
      <c r="DF409" s="682"/>
      <c r="DG409" s="682"/>
      <c r="DH409" s="682"/>
      <c r="DI409" s="1610"/>
      <c r="DJ409" s="598"/>
      <c r="DK409" s="682"/>
      <c r="DL409" s="682"/>
      <c r="DM409" s="682"/>
      <c r="DN409" s="682"/>
      <c r="DO409" s="598"/>
      <c r="DP409" s="682"/>
      <c r="DQ409" s="682"/>
      <c r="DR409" s="682"/>
      <c r="DS409" s="682"/>
      <c r="DT409" s="598"/>
      <c r="DU409" s="682"/>
      <c r="DV409" s="682"/>
      <c r="DW409" s="682"/>
      <c r="DX409" s="682"/>
      <c r="DY409" s="598"/>
    </row>
    <row r="410" spans="1:129" hidden="1" outlineLevel="1" x14ac:dyDescent="0.2">
      <c r="A410" s="526"/>
      <c r="B410" s="756" t="s">
        <v>864</v>
      </c>
      <c r="C410" s="597"/>
      <c r="D410" s="597"/>
      <c r="E410" s="597"/>
      <c r="F410" s="597"/>
      <c r="G410" s="597"/>
      <c r="H410" s="597"/>
      <c r="I410" s="849"/>
      <c r="J410" s="597"/>
      <c r="K410" s="597"/>
      <c r="L410" s="597"/>
      <c r="M410" s="597"/>
      <c r="N410" s="849"/>
      <c r="O410" s="743"/>
      <c r="P410" s="743"/>
      <c r="Q410" s="743"/>
      <c r="R410" s="743"/>
      <c r="S410" s="849"/>
      <c r="T410" s="743"/>
      <c r="U410" s="743"/>
      <c r="V410" s="743"/>
      <c r="W410" s="743"/>
      <c r="X410" s="849"/>
      <c r="Y410" s="743"/>
      <c r="Z410" s="743"/>
      <c r="AA410" s="743"/>
      <c r="AB410" s="743"/>
      <c r="AC410" s="849"/>
      <c r="AD410" s="743"/>
      <c r="AE410" s="743"/>
      <c r="AF410" s="743"/>
      <c r="AG410" s="743"/>
      <c r="AH410" s="849"/>
      <c r="AI410" s="743"/>
      <c r="AJ410" s="743"/>
      <c r="AK410" s="743"/>
      <c r="AL410" s="743"/>
      <c r="AM410" s="849"/>
      <c r="AN410" s="743"/>
      <c r="AO410" s="743"/>
      <c r="AP410" s="743"/>
      <c r="AQ410" s="743"/>
      <c r="AR410" s="849"/>
      <c r="AS410" s="743"/>
      <c r="AT410" s="743"/>
      <c r="AU410" s="743"/>
      <c r="AV410" s="743"/>
      <c r="AW410" s="849"/>
      <c r="AX410" s="743"/>
      <c r="AY410" s="743"/>
      <c r="AZ410" s="743"/>
      <c r="BA410" s="743"/>
      <c r="BB410" s="849"/>
      <c r="BC410" s="743"/>
      <c r="BD410" s="743"/>
      <c r="BE410" s="743"/>
      <c r="BF410" s="743"/>
      <c r="BG410" s="849"/>
      <c r="BH410" s="744">
        <v>0.40403989378926325</v>
      </c>
      <c r="BI410" s="744">
        <v>0.47967715231788066</v>
      </c>
      <c r="BJ410" s="744">
        <v>0.48269186351705978</v>
      </c>
      <c r="BK410" s="744">
        <v>0.51698184390473945</v>
      </c>
      <c r="BL410" s="745">
        <v>0.47504653252928225</v>
      </c>
      <c r="BM410" s="744">
        <v>0.56210247786735179</v>
      </c>
      <c r="BN410" s="744">
        <v>0.54787981957246545</v>
      </c>
      <c r="BO410" s="744">
        <v>0.52</v>
      </c>
      <c r="BP410" s="744">
        <v>0.44</v>
      </c>
      <c r="BQ410" s="745">
        <v>0.25454004654333734</v>
      </c>
      <c r="BR410" s="744">
        <v>0.56000000000000005</v>
      </c>
      <c r="BS410" s="744">
        <v>0.54</v>
      </c>
      <c r="BT410" s="744">
        <v>0.52</v>
      </c>
      <c r="BU410" s="744">
        <v>0.45</v>
      </c>
      <c r="BV410" s="745">
        <v>0.2573459654290588</v>
      </c>
      <c r="BW410" s="743"/>
      <c r="BX410" s="743"/>
      <c r="BY410" s="743"/>
      <c r="BZ410" s="743"/>
      <c r="CA410" s="849"/>
      <c r="CB410" s="743"/>
      <c r="CC410" s="743"/>
      <c r="CD410" s="743"/>
      <c r="CE410" s="743"/>
      <c r="CF410" s="849"/>
      <c r="CG410" s="820"/>
      <c r="CH410" s="820"/>
      <c r="CI410" s="820"/>
      <c r="CJ410" s="820"/>
      <c r="CK410" s="849"/>
      <c r="CL410" s="820"/>
      <c r="CM410" s="820"/>
      <c r="CN410" s="820"/>
      <c r="CO410" s="820"/>
      <c r="CP410" s="849"/>
      <c r="CQ410" s="820"/>
      <c r="CR410" s="820"/>
      <c r="CS410" s="820"/>
      <c r="CT410" s="820"/>
      <c r="CU410" s="849"/>
      <c r="CV410" s="820"/>
      <c r="CW410" s="820"/>
      <c r="CX410" s="820"/>
      <c r="CY410" s="820"/>
      <c r="CZ410" s="849"/>
      <c r="DA410" s="820"/>
      <c r="DB410" s="820"/>
      <c r="DC410" s="820"/>
      <c r="DD410" s="820"/>
      <c r="DE410" s="849"/>
      <c r="DF410" s="820"/>
      <c r="DG410" s="820"/>
      <c r="DH410" s="820"/>
      <c r="DI410" s="2815"/>
      <c r="DJ410" s="849"/>
      <c r="DK410" s="820"/>
      <c r="DL410" s="820"/>
      <c r="DM410" s="820"/>
      <c r="DN410" s="820"/>
      <c r="DO410" s="849"/>
      <c r="DP410" s="820"/>
      <c r="DQ410" s="820"/>
      <c r="DR410" s="820"/>
      <c r="DS410" s="820"/>
      <c r="DT410" s="849"/>
      <c r="DU410" s="820"/>
      <c r="DV410" s="820"/>
      <c r="DW410" s="820"/>
      <c r="DX410" s="820"/>
      <c r="DY410" s="849"/>
    </row>
    <row r="411" spans="1:129" hidden="1" outlineLevel="1" x14ac:dyDescent="0.2">
      <c r="A411" s="526"/>
      <c r="B411" s="756" t="s">
        <v>865</v>
      </c>
      <c r="C411" s="597"/>
      <c r="D411" s="597"/>
      <c r="E411" s="597"/>
      <c r="F411" s="597"/>
      <c r="G411" s="597"/>
      <c r="H411" s="597"/>
      <c r="I411" s="849"/>
      <c r="J411" s="597"/>
      <c r="K411" s="597"/>
      <c r="L411" s="597"/>
      <c r="M411" s="597"/>
      <c r="N411" s="849"/>
      <c r="O411" s="743"/>
      <c r="P411" s="743"/>
      <c r="Q411" s="743"/>
      <c r="R411" s="743"/>
      <c r="S411" s="849"/>
      <c r="T411" s="743"/>
      <c r="U411" s="743"/>
      <c r="V411" s="743"/>
      <c r="W411" s="743"/>
      <c r="X411" s="849"/>
      <c r="Y411" s="743"/>
      <c r="Z411" s="743"/>
      <c r="AA411" s="743"/>
      <c r="AB411" s="743"/>
      <c r="AC411" s="849"/>
      <c r="AD411" s="743"/>
      <c r="AE411" s="743"/>
      <c r="AF411" s="743"/>
      <c r="AG411" s="743"/>
      <c r="AH411" s="849"/>
      <c r="AI411" s="743"/>
      <c r="AJ411" s="743"/>
      <c r="AK411" s="743"/>
      <c r="AL411" s="743"/>
      <c r="AM411" s="849"/>
      <c r="AN411" s="743"/>
      <c r="AO411" s="743"/>
      <c r="AP411" s="743"/>
      <c r="AQ411" s="743"/>
      <c r="AR411" s="849"/>
      <c r="AS411" s="743"/>
      <c r="AT411" s="743"/>
      <c r="AU411" s="743"/>
      <c r="AV411" s="743"/>
      <c r="AW411" s="849"/>
      <c r="AX411" s="743"/>
      <c r="AY411" s="743"/>
      <c r="AZ411" s="743"/>
      <c r="BA411" s="743"/>
      <c r="BB411" s="849"/>
      <c r="BC411" s="743"/>
      <c r="BD411" s="743"/>
      <c r="BE411" s="743"/>
      <c r="BF411" s="743"/>
      <c r="BG411" s="849"/>
      <c r="BH411" s="744">
        <v>0.09</v>
      </c>
      <c r="BI411" s="744">
        <v>0.115</v>
      </c>
      <c r="BJ411" s="744">
        <v>0.12</v>
      </c>
      <c r="BK411" s="744">
        <v>0.12</v>
      </c>
      <c r="BL411" s="745">
        <v>0.10962172651035867</v>
      </c>
      <c r="BM411" s="744">
        <v>0.05</v>
      </c>
      <c r="BN411" s="744">
        <v>7.8399999999999997E-2</v>
      </c>
      <c r="BO411" s="744">
        <v>0.08</v>
      </c>
      <c r="BP411" s="744">
        <v>7.4999999999999997E-2</v>
      </c>
      <c r="BQ411" s="745">
        <v>3.3667216013255001E-2</v>
      </c>
      <c r="BR411" s="744">
        <v>7.3999999999999996E-2</v>
      </c>
      <c r="BS411" s="744">
        <v>0.1125</v>
      </c>
      <c r="BT411" s="744">
        <v>0.1125</v>
      </c>
      <c r="BU411" s="744">
        <v>0.1</v>
      </c>
      <c r="BV411" s="745">
        <v>4.6075971566007463E-2</v>
      </c>
      <c r="BW411" s="743"/>
      <c r="BX411" s="743"/>
      <c r="BY411" s="743"/>
      <c r="BZ411" s="743"/>
      <c r="CA411" s="849"/>
      <c r="CB411" s="743"/>
      <c r="CC411" s="743"/>
      <c r="CD411" s="743"/>
      <c r="CE411" s="743"/>
      <c r="CF411" s="849"/>
      <c r="CG411" s="820"/>
      <c r="CH411" s="820"/>
      <c r="CI411" s="820"/>
      <c r="CJ411" s="820"/>
      <c r="CK411" s="849"/>
      <c r="CL411" s="820"/>
      <c r="CM411" s="820"/>
      <c r="CN411" s="820"/>
      <c r="CO411" s="820"/>
      <c r="CP411" s="849"/>
      <c r="CQ411" s="820"/>
      <c r="CR411" s="820"/>
      <c r="CS411" s="820"/>
      <c r="CT411" s="820"/>
      <c r="CU411" s="849"/>
      <c r="CV411" s="820"/>
      <c r="CW411" s="820"/>
      <c r="CX411" s="820"/>
      <c r="CY411" s="820"/>
      <c r="CZ411" s="849"/>
      <c r="DA411" s="820"/>
      <c r="DB411" s="820"/>
      <c r="DC411" s="820"/>
      <c r="DD411" s="820"/>
      <c r="DE411" s="849"/>
      <c r="DF411" s="820"/>
      <c r="DG411" s="820"/>
      <c r="DH411" s="820"/>
      <c r="DI411" s="2815"/>
      <c r="DJ411" s="849"/>
      <c r="DK411" s="820"/>
      <c r="DL411" s="820"/>
      <c r="DM411" s="820"/>
      <c r="DN411" s="820"/>
      <c r="DO411" s="849"/>
      <c r="DP411" s="820"/>
      <c r="DQ411" s="820"/>
      <c r="DR411" s="820"/>
      <c r="DS411" s="820"/>
      <c r="DT411" s="849"/>
      <c r="DU411" s="820"/>
      <c r="DV411" s="820"/>
      <c r="DW411" s="820"/>
      <c r="DX411" s="820"/>
      <c r="DY411" s="849"/>
    </row>
    <row r="412" spans="1:129" hidden="1" outlineLevel="1" x14ac:dyDescent="0.2">
      <c r="A412" s="526"/>
      <c r="B412" s="756"/>
      <c r="C412" s="597"/>
      <c r="D412" s="597"/>
      <c r="E412" s="597"/>
      <c r="F412" s="597"/>
      <c r="G412" s="597"/>
      <c r="H412" s="597"/>
      <c r="I412" s="598"/>
      <c r="J412" s="597"/>
      <c r="K412" s="597"/>
      <c r="L412" s="597"/>
      <c r="M412" s="597"/>
      <c r="N412" s="598"/>
      <c r="O412" s="597"/>
      <c r="P412" s="597"/>
      <c r="Q412" s="597"/>
      <c r="R412" s="597"/>
      <c r="S412" s="598"/>
      <c r="T412" s="597"/>
      <c r="U412" s="597"/>
      <c r="V412" s="597"/>
      <c r="W412" s="597"/>
      <c r="X412" s="598"/>
      <c r="Y412" s="597"/>
      <c r="Z412" s="597"/>
      <c r="AA412" s="597"/>
      <c r="AB412" s="597"/>
      <c r="AC412" s="598"/>
      <c r="AD412" s="597"/>
      <c r="AE412" s="597"/>
      <c r="AF412" s="597"/>
      <c r="AG412" s="597"/>
      <c r="AH412" s="598"/>
      <c r="AI412" s="597"/>
      <c r="AJ412" s="597"/>
      <c r="AK412" s="597"/>
      <c r="AL412" s="597"/>
      <c r="AM412" s="598"/>
      <c r="AN412" s="597"/>
      <c r="AO412" s="597"/>
      <c r="AP412" s="597"/>
      <c r="AQ412" s="597"/>
      <c r="AR412" s="598"/>
      <c r="AS412" s="597"/>
      <c r="AT412" s="597"/>
      <c r="AU412" s="597"/>
      <c r="AV412" s="597"/>
      <c r="AW412" s="598"/>
      <c r="AX412" s="597"/>
      <c r="AY412" s="597"/>
      <c r="AZ412" s="597"/>
      <c r="BA412" s="597"/>
      <c r="BB412" s="598"/>
      <c r="BC412" s="597"/>
      <c r="BD412" s="597"/>
      <c r="BE412" s="597"/>
      <c r="BF412" s="597"/>
      <c r="BG412" s="598"/>
      <c r="BH412" s="597"/>
      <c r="BI412" s="597"/>
      <c r="BJ412" s="597"/>
      <c r="BK412" s="597"/>
      <c r="BL412" s="598"/>
      <c r="BM412" s="597"/>
      <c r="BN412" s="597"/>
      <c r="BO412" s="597"/>
      <c r="BP412" s="597"/>
      <c r="BQ412" s="598"/>
      <c r="BR412" s="597"/>
      <c r="BS412" s="597"/>
      <c r="BT412" s="597"/>
      <c r="BU412" s="597"/>
      <c r="BV412" s="598"/>
      <c r="BW412" s="597"/>
      <c r="BX412" s="597"/>
      <c r="BY412" s="597"/>
      <c r="BZ412" s="597"/>
      <c r="CA412" s="598"/>
      <c r="CB412" s="597"/>
      <c r="CC412" s="597"/>
      <c r="CD412" s="597"/>
      <c r="CE412" s="597"/>
      <c r="CF412" s="598"/>
      <c r="CG412" s="682"/>
      <c r="CH412" s="682"/>
      <c r="CI412" s="682"/>
      <c r="CJ412" s="682"/>
      <c r="CK412" s="598"/>
      <c r="CL412" s="682"/>
      <c r="CM412" s="682"/>
      <c r="CN412" s="682"/>
      <c r="CO412" s="682"/>
      <c r="CP412" s="598"/>
      <c r="CQ412" s="682"/>
      <c r="CR412" s="682"/>
      <c r="CS412" s="682"/>
      <c r="CT412" s="682"/>
      <c r="CU412" s="598"/>
      <c r="CV412" s="682"/>
      <c r="CW412" s="682"/>
      <c r="CX412" s="682"/>
      <c r="CY412" s="682"/>
      <c r="CZ412" s="598"/>
      <c r="DA412" s="682"/>
      <c r="DB412" s="682"/>
      <c r="DC412" s="682"/>
      <c r="DD412" s="682"/>
      <c r="DE412" s="598"/>
      <c r="DF412" s="682"/>
      <c r="DG412" s="682"/>
      <c r="DH412" s="682"/>
      <c r="DI412" s="1610"/>
      <c r="DJ412" s="598"/>
      <c r="DK412" s="682"/>
      <c r="DL412" s="682"/>
      <c r="DM412" s="682"/>
      <c r="DN412" s="682"/>
      <c r="DO412" s="598"/>
      <c r="DP412" s="682"/>
      <c r="DQ412" s="682"/>
      <c r="DR412" s="682"/>
      <c r="DS412" s="682"/>
      <c r="DT412" s="598"/>
      <c r="DU412" s="682"/>
      <c r="DV412" s="682"/>
      <c r="DW412" s="682"/>
      <c r="DX412" s="682"/>
      <c r="DY412" s="598"/>
    </row>
    <row r="413" spans="1:129" hidden="1" outlineLevel="1" x14ac:dyDescent="0.2">
      <c r="A413" s="526"/>
      <c r="B413" s="756" t="s">
        <v>866</v>
      </c>
      <c r="C413" s="597"/>
      <c r="D413" s="597"/>
      <c r="E413" s="597"/>
      <c r="F413" s="597"/>
      <c r="G413" s="597"/>
      <c r="H413" s="597"/>
      <c r="I413" s="849"/>
      <c r="J413" s="597"/>
      <c r="K413" s="597"/>
      <c r="L413" s="597"/>
      <c r="M413" s="597"/>
      <c r="N413" s="849"/>
      <c r="O413" s="743"/>
      <c r="P413" s="743"/>
      <c r="Q413" s="743"/>
      <c r="R413" s="743"/>
      <c r="S413" s="849"/>
      <c r="T413" s="743"/>
      <c r="U413" s="743"/>
      <c r="V413" s="743"/>
      <c r="W413" s="743"/>
      <c r="X413" s="849"/>
      <c r="Y413" s="743"/>
      <c r="Z413" s="743"/>
      <c r="AA413" s="743"/>
      <c r="AB413" s="743"/>
      <c r="AC413" s="849"/>
      <c r="AD413" s="743"/>
      <c r="AE413" s="743"/>
      <c r="AF413" s="743"/>
      <c r="AG413" s="743"/>
      <c r="AH413" s="849"/>
      <c r="AI413" s="743"/>
      <c r="AJ413" s="743"/>
      <c r="AK413" s="743"/>
      <c r="AL413" s="743"/>
      <c r="AM413" s="849"/>
      <c r="AN413" s="743"/>
      <c r="AO413" s="743"/>
      <c r="AP413" s="743"/>
      <c r="AQ413" s="743"/>
      <c r="AR413" s="849"/>
      <c r="AS413" s="743"/>
      <c r="AT413" s="743"/>
      <c r="AU413" s="743"/>
      <c r="AV413" s="743"/>
      <c r="AW413" s="849"/>
      <c r="AX413" s="743"/>
      <c r="AY413" s="743"/>
      <c r="AZ413" s="743"/>
      <c r="BA413" s="743"/>
      <c r="BB413" s="849"/>
      <c r="BC413" s="743"/>
      <c r="BD413" s="743"/>
      <c r="BE413" s="743"/>
      <c r="BF413" s="743"/>
      <c r="BG413" s="849"/>
      <c r="BH413" s="744">
        <v>0.39346629365580732</v>
      </c>
      <c r="BI413" s="744">
        <v>1.0197598419212648</v>
      </c>
      <c r="BJ413" s="744">
        <v>0.96068340881021008</v>
      </c>
      <c r="BK413" s="744">
        <v>0.72946741701329421</v>
      </c>
      <c r="BL413" s="745">
        <v>0.89806002259938178</v>
      </c>
      <c r="BM413" s="744">
        <v>0.30943591736286513</v>
      </c>
      <c r="BN413" s="744">
        <v>0.53491872366044557</v>
      </c>
      <c r="BO413" s="744">
        <v>0.15</v>
      </c>
      <c r="BP413" s="744">
        <v>0.15</v>
      </c>
      <c r="BQ413" s="745">
        <v>0.25983199002667279</v>
      </c>
      <c r="BR413" s="744">
        <v>0.12</v>
      </c>
      <c r="BS413" s="744">
        <v>0.12</v>
      </c>
      <c r="BT413" s="744">
        <v>0.12</v>
      </c>
      <c r="BU413" s="744">
        <v>0.12</v>
      </c>
      <c r="BV413" s="745">
        <v>0.12</v>
      </c>
      <c r="BW413" s="743"/>
      <c r="BX413" s="743"/>
      <c r="BY413" s="743"/>
      <c r="BZ413" s="743"/>
      <c r="CA413" s="849"/>
      <c r="CB413" s="743"/>
      <c r="CC413" s="743"/>
      <c r="CD413" s="743"/>
      <c r="CE413" s="743"/>
      <c r="CF413" s="849"/>
      <c r="CG413" s="820"/>
      <c r="CH413" s="820"/>
      <c r="CI413" s="820"/>
      <c r="CJ413" s="820"/>
      <c r="CK413" s="849"/>
      <c r="CL413" s="820"/>
      <c r="CM413" s="820"/>
      <c r="CN413" s="820"/>
      <c r="CO413" s="820"/>
      <c r="CP413" s="849"/>
      <c r="CQ413" s="820"/>
      <c r="CR413" s="820"/>
      <c r="CS413" s="820"/>
      <c r="CT413" s="820"/>
      <c r="CU413" s="849"/>
      <c r="CV413" s="820"/>
      <c r="CW413" s="820"/>
      <c r="CX413" s="820"/>
      <c r="CY413" s="820"/>
      <c r="CZ413" s="849"/>
      <c r="DA413" s="820"/>
      <c r="DB413" s="820"/>
      <c r="DC413" s="820"/>
      <c r="DD413" s="820"/>
      <c r="DE413" s="849"/>
      <c r="DF413" s="820"/>
      <c r="DG413" s="820"/>
      <c r="DH413" s="820"/>
      <c r="DI413" s="2815"/>
      <c r="DJ413" s="849"/>
      <c r="DK413" s="820"/>
      <c r="DL413" s="820"/>
      <c r="DM413" s="820"/>
      <c r="DN413" s="820"/>
      <c r="DO413" s="849"/>
      <c r="DP413" s="820"/>
      <c r="DQ413" s="820"/>
      <c r="DR413" s="820"/>
      <c r="DS413" s="820"/>
      <c r="DT413" s="849"/>
      <c r="DU413" s="820"/>
      <c r="DV413" s="820"/>
      <c r="DW413" s="820"/>
      <c r="DX413" s="820"/>
      <c r="DY413" s="849"/>
    </row>
    <row r="414" spans="1:129" hidden="1" outlineLevel="1" x14ac:dyDescent="0.2">
      <c r="A414" s="526"/>
      <c r="B414" s="756" t="s">
        <v>867</v>
      </c>
      <c r="C414" s="597"/>
      <c r="D414" s="597"/>
      <c r="E414" s="597"/>
      <c r="F414" s="597"/>
      <c r="G414" s="597"/>
      <c r="H414" s="597"/>
      <c r="I414" s="849"/>
      <c r="J414" s="597"/>
      <c r="K414" s="597"/>
      <c r="L414" s="597"/>
      <c r="M414" s="597"/>
      <c r="N414" s="849"/>
      <c r="O414" s="743"/>
      <c r="P414" s="743"/>
      <c r="Q414" s="743"/>
      <c r="R414" s="743"/>
      <c r="S414" s="849"/>
      <c r="T414" s="743"/>
      <c r="U414" s="743"/>
      <c r="V414" s="743"/>
      <c r="W414" s="743"/>
      <c r="X414" s="849"/>
      <c r="Y414" s="743"/>
      <c r="Z414" s="743"/>
      <c r="AA414" s="743"/>
      <c r="AB414" s="743"/>
      <c r="AC414" s="849"/>
      <c r="AD414" s="743"/>
      <c r="AE414" s="743"/>
      <c r="AF414" s="743"/>
      <c r="AG414" s="743"/>
      <c r="AH414" s="849"/>
      <c r="AI414" s="743"/>
      <c r="AJ414" s="743"/>
      <c r="AK414" s="743"/>
      <c r="AL414" s="743"/>
      <c r="AM414" s="849"/>
      <c r="AN414" s="743"/>
      <c r="AO414" s="743"/>
      <c r="AP414" s="743"/>
      <c r="AQ414" s="743"/>
      <c r="AR414" s="849"/>
      <c r="AS414" s="743"/>
      <c r="AT414" s="743"/>
      <c r="AU414" s="743"/>
      <c r="AV414" s="743"/>
      <c r="AW414" s="849"/>
      <c r="AX414" s="743"/>
      <c r="AY414" s="743"/>
      <c r="AZ414" s="743"/>
      <c r="BA414" s="743"/>
      <c r="BB414" s="849"/>
      <c r="BC414" s="743"/>
      <c r="BD414" s="743"/>
      <c r="BE414" s="743"/>
      <c r="BF414" s="743"/>
      <c r="BG414" s="849"/>
      <c r="BH414" s="744">
        <v>0.17297343262187348</v>
      </c>
      <c r="BI414" s="744">
        <v>-4.499447385259725E-2</v>
      </c>
      <c r="BJ414" s="744">
        <v>-7.0720837991393615E-2</v>
      </c>
      <c r="BK414" s="744">
        <v>0.36538850117350807</v>
      </c>
      <c r="BL414" s="745">
        <v>-0.32157565587160009</v>
      </c>
      <c r="BM414" s="744">
        <v>0.73074214461774245</v>
      </c>
      <c r="BN414" s="744">
        <v>0.6883356174813462</v>
      </c>
      <c r="BO414" s="744">
        <v>0.65</v>
      </c>
      <c r="BP414" s="744">
        <v>0.3</v>
      </c>
      <c r="BQ414" s="745">
        <v>0.58425040385642646</v>
      </c>
      <c r="BR414" s="744">
        <v>0.05</v>
      </c>
      <c r="BS414" s="744">
        <v>0.05</v>
      </c>
      <c r="BT414" s="744">
        <v>0.05</v>
      </c>
      <c r="BU414" s="744">
        <v>0.05</v>
      </c>
      <c r="BV414" s="745">
        <v>0.05</v>
      </c>
      <c r="BW414" s="743"/>
      <c r="BX414" s="743"/>
      <c r="BY414" s="743"/>
      <c r="BZ414" s="743"/>
      <c r="CA414" s="849"/>
      <c r="CB414" s="743"/>
      <c r="CC414" s="743"/>
      <c r="CD414" s="743"/>
      <c r="CE414" s="743"/>
      <c r="CF414" s="849"/>
      <c r="CG414" s="820"/>
      <c r="CH414" s="820"/>
      <c r="CI414" s="820"/>
      <c r="CJ414" s="820"/>
      <c r="CK414" s="849"/>
      <c r="CL414" s="820"/>
      <c r="CM414" s="820"/>
      <c r="CN414" s="820"/>
      <c r="CO414" s="820"/>
      <c r="CP414" s="849"/>
      <c r="CQ414" s="820"/>
      <c r="CR414" s="820"/>
      <c r="CS414" s="820"/>
      <c r="CT414" s="820"/>
      <c r="CU414" s="849"/>
      <c r="CV414" s="820"/>
      <c r="CW414" s="820"/>
      <c r="CX414" s="820"/>
      <c r="CY414" s="820"/>
      <c r="CZ414" s="849"/>
      <c r="DA414" s="820"/>
      <c r="DB414" s="820"/>
      <c r="DC414" s="820"/>
      <c r="DD414" s="820"/>
      <c r="DE414" s="849"/>
      <c r="DF414" s="820"/>
      <c r="DG414" s="820"/>
      <c r="DH414" s="820"/>
      <c r="DI414" s="2815"/>
      <c r="DJ414" s="849"/>
      <c r="DK414" s="820"/>
      <c r="DL414" s="820"/>
      <c r="DM414" s="820"/>
      <c r="DN414" s="820"/>
      <c r="DO414" s="849"/>
      <c r="DP414" s="820"/>
      <c r="DQ414" s="820"/>
      <c r="DR414" s="820"/>
      <c r="DS414" s="820"/>
      <c r="DT414" s="849"/>
      <c r="DU414" s="820"/>
      <c r="DV414" s="820"/>
      <c r="DW414" s="820"/>
      <c r="DX414" s="820"/>
      <c r="DY414" s="849"/>
    </row>
    <row r="415" spans="1:129" hidden="1" outlineLevel="1" x14ac:dyDescent="0.2">
      <c r="A415" s="526"/>
      <c r="B415" s="756"/>
      <c r="C415" s="597"/>
      <c r="D415" s="597"/>
      <c r="E415" s="597"/>
      <c r="F415" s="597"/>
      <c r="G415" s="597"/>
      <c r="H415" s="597"/>
      <c r="I415" s="598"/>
      <c r="J415" s="597"/>
      <c r="K415" s="597"/>
      <c r="L415" s="597"/>
      <c r="M415" s="597"/>
      <c r="N415" s="598"/>
      <c r="O415" s="597"/>
      <c r="P415" s="597"/>
      <c r="Q415" s="597"/>
      <c r="R415" s="597"/>
      <c r="S415" s="598"/>
      <c r="T415" s="597"/>
      <c r="U415" s="597"/>
      <c r="V415" s="597"/>
      <c r="W415" s="597"/>
      <c r="X415" s="598"/>
      <c r="Y415" s="597"/>
      <c r="Z415" s="597"/>
      <c r="AA415" s="597"/>
      <c r="AB415" s="597"/>
      <c r="AC415" s="598"/>
      <c r="AD415" s="597"/>
      <c r="AE415" s="597"/>
      <c r="AF415" s="597"/>
      <c r="AG415" s="597"/>
      <c r="AH415" s="598"/>
      <c r="AI415" s="597"/>
      <c r="AJ415" s="597"/>
      <c r="AK415" s="597"/>
      <c r="AL415" s="597"/>
      <c r="AM415" s="598"/>
      <c r="AN415" s="597"/>
      <c r="AO415" s="597"/>
      <c r="AP415" s="597"/>
      <c r="AQ415" s="597"/>
      <c r="AR415" s="598"/>
      <c r="AS415" s="597"/>
      <c r="AT415" s="597"/>
      <c r="AU415" s="597"/>
      <c r="AV415" s="597"/>
      <c r="AW415" s="598"/>
      <c r="AX415" s="597"/>
      <c r="AY415" s="597"/>
      <c r="AZ415" s="597"/>
      <c r="BA415" s="597"/>
      <c r="BB415" s="598"/>
      <c r="BC415" s="597"/>
      <c r="BD415" s="597"/>
      <c r="BE415" s="597"/>
      <c r="BF415" s="597"/>
      <c r="BG415" s="598"/>
      <c r="BH415" s="597"/>
      <c r="BI415" s="597"/>
      <c r="BJ415" s="597"/>
      <c r="BK415" s="597"/>
      <c r="BL415" s="598"/>
      <c r="BM415" s="597"/>
      <c r="BN415" s="597"/>
      <c r="BO415" s="597"/>
      <c r="BP415" s="597"/>
      <c r="BQ415" s="598"/>
      <c r="BR415" s="597"/>
      <c r="BS415" s="597"/>
      <c r="BT415" s="597"/>
      <c r="BU415" s="597"/>
      <c r="BV415" s="598"/>
      <c r="BW415" s="597"/>
      <c r="BX415" s="597"/>
      <c r="BY415" s="597"/>
      <c r="BZ415" s="597"/>
      <c r="CA415" s="598"/>
      <c r="CB415" s="597"/>
      <c r="CC415" s="597"/>
      <c r="CD415" s="597"/>
      <c r="CE415" s="597"/>
      <c r="CF415" s="598"/>
      <c r="CG415" s="682"/>
      <c r="CH415" s="682"/>
      <c r="CI415" s="682"/>
      <c r="CJ415" s="682"/>
      <c r="CK415" s="598"/>
      <c r="CL415" s="682"/>
      <c r="CM415" s="682"/>
      <c r="CN415" s="682"/>
      <c r="CO415" s="682"/>
      <c r="CP415" s="598"/>
      <c r="CQ415" s="682"/>
      <c r="CR415" s="682"/>
      <c r="CS415" s="682"/>
      <c r="CT415" s="682"/>
      <c r="CU415" s="598"/>
      <c r="CV415" s="682"/>
      <c r="CW415" s="682"/>
      <c r="CX415" s="682"/>
      <c r="CY415" s="682"/>
      <c r="CZ415" s="598"/>
      <c r="DA415" s="682"/>
      <c r="DB415" s="682"/>
      <c r="DC415" s="682"/>
      <c r="DD415" s="682"/>
      <c r="DE415" s="598"/>
      <c r="DF415" s="682"/>
      <c r="DG415" s="682"/>
      <c r="DH415" s="682"/>
      <c r="DI415" s="1610"/>
      <c r="DJ415" s="598"/>
      <c r="DK415" s="682"/>
      <c r="DL415" s="682"/>
      <c r="DM415" s="682"/>
      <c r="DN415" s="682"/>
      <c r="DO415" s="598"/>
      <c r="DP415" s="682"/>
      <c r="DQ415" s="682"/>
      <c r="DR415" s="682"/>
      <c r="DS415" s="682"/>
      <c r="DT415" s="598"/>
      <c r="DU415" s="682"/>
      <c r="DV415" s="682"/>
      <c r="DW415" s="682"/>
      <c r="DX415" s="682"/>
      <c r="DY415" s="598"/>
    </row>
    <row r="416" spans="1:129" ht="12" hidden="1" outlineLevel="1" thickBot="1" x14ac:dyDescent="0.25">
      <c r="A416" s="526"/>
      <c r="B416" s="757" t="s">
        <v>868</v>
      </c>
      <c r="C416" s="758"/>
      <c r="D416" s="758"/>
      <c r="E416" s="758"/>
      <c r="F416" s="758"/>
      <c r="G416" s="758"/>
      <c r="H416" s="758"/>
      <c r="I416" s="759"/>
      <c r="J416" s="758"/>
      <c r="K416" s="758"/>
      <c r="L416" s="758"/>
      <c r="M416" s="758"/>
      <c r="N416" s="759"/>
      <c r="O416" s="758"/>
      <c r="P416" s="758"/>
      <c r="Q416" s="758"/>
      <c r="R416" s="758"/>
      <c r="S416" s="759"/>
      <c r="T416" s="758"/>
      <c r="U416" s="758"/>
      <c r="V416" s="758"/>
      <c r="W416" s="758"/>
      <c r="X416" s="759"/>
      <c r="Y416" s="758"/>
      <c r="Z416" s="758"/>
      <c r="AA416" s="758"/>
      <c r="AB416" s="758"/>
      <c r="AC416" s="759"/>
      <c r="AD416" s="758"/>
      <c r="AE416" s="758"/>
      <c r="AF416" s="758"/>
      <c r="AG416" s="758"/>
      <c r="AH416" s="759"/>
      <c r="AI416" s="758"/>
      <c r="AJ416" s="758"/>
      <c r="AK416" s="758"/>
      <c r="AL416" s="758"/>
      <c r="AM416" s="759"/>
      <c r="AN416" s="758"/>
      <c r="AO416" s="758"/>
      <c r="AP416" s="758"/>
      <c r="AQ416" s="758"/>
      <c r="AR416" s="759"/>
      <c r="AS416" s="758"/>
      <c r="AT416" s="758"/>
      <c r="AU416" s="758"/>
      <c r="AV416" s="758"/>
      <c r="AW416" s="759"/>
      <c r="AX416" s="758"/>
      <c r="AY416" s="758"/>
      <c r="AZ416" s="758"/>
      <c r="BA416" s="758"/>
      <c r="BB416" s="759"/>
      <c r="BC416" s="758"/>
      <c r="BD416" s="758"/>
      <c r="BE416" s="758"/>
      <c r="BF416" s="758"/>
      <c r="BG416" s="759"/>
      <c r="BH416" s="970">
        <v>973.55499999999995</v>
      </c>
      <c r="BI416" s="970">
        <v>935.29200000000003</v>
      </c>
      <c r="BJ416" s="970">
        <v>902.90300000000002</v>
      </c>
      <c r="BK416" s="970">
        <v>1066.627</v>
      </c>
      <c r="BL416" s="759"/>
      <c r="BM416" s="970">
        <v>1057.566</v>
      </c>
      <c r="BN416" s="970">
        <v>977.76800000000003</v>
      </c>
      <c r="BO416" s="758"/>
      <c r="BP416" s="758"/>
      <c r="BQ416" s="759"/>
      <c r="BR416" s="758"/>
      <c r="BS416" s="758"/>
      <c r="BT416" s="758"/>
      <c r="BU416" s="758"/>
      <c r="BV416" s="759"/>
      <c r="BW416" s="758"/>
      <c r="BX416" s="758"/>
      <c r="BY416" s="758"/>
      <c r="BZ416" s="758"/>
      <c r="CA416" s="759"/>
      <c r="CB416" s="758"/>
      <c r="CC416" s="758"/>
      <c r="CD416" s="758"/>
      <c r="CE416" s="758"/>
      <c r="CF416" s="759"/>
      <c r="CG416" s="767"/>
      <c r="CH416" s="767"/>
      <c r="CI416" s="767"/>
      <c r="CJ416" s="767"/>
      <c r="CK416" s="759"/>
      <c r="CL416" s="767"/>
      <c r="CM416" s="767"/>
      <c r="CN416" s="767"/>
      <c r="CO416" s="767"/>
      <c r="CP416" s="759"/>
      <c r="CQ416" s="767"/>
      <c r="CR416" s="767"/>
      <c r="CS416" s="767"/>
      <c r="CT416" s="767"/>
      <c r="CU416" s="759"/>
      <c r="CV416" s="767"/>
      <c r="CW416" s="767"/>
      <c r="CX416" s="767"/>
      <c r="CY416" s="767"/>
      <c r="CZ416" s="759"/>
      <c r="DA416" s="767"/>
      <c r="DB416" s="767"/>
      <c r="DC416" s="767"/>
      <c r="DD416" s="767"/>
      <c r="DE416" s="759"/>
      <c r="DF416" s="767"/>
      <c r="DG416" s="767"/>
      <c r="DH416" s="767"/>
      <c r="DI416" s="2811"/>
      <c r="DJ416" s="759"/>
      <c r="DK416" s="767"/>
      <c r="DL416" s="767"/>
      <c r="DM416" s="767"/>
      <c r="DN416" s="767"/>
      <c r="DO416" s="759"/>
      <c r="DP416" s="767"/>
      <c r="DQ416" s="767"/>
      <c r="DR416" s="767"/>
      <c r="DS416" s="767"/>
      <c r="DT416" s="759"/>
      <c r="DU416" s="767"/>
      <c r="DV416" s="767"/>
      <c r="DW416" s="767"/>
      <c r="DX416" s="767"/>
      <c r="DY416" s="759"/>
    </row>
    <row r="417" spans="1:129" hidden="1" outlineLevel="1" x14ac:dyDescent="0.2">
      <c r="A417" s="682"/>
      <c r="B417" s="682"/>
      <c r="C417" s="682"/>
      <c r="D417" s="682"/>
      <c r="E417" s="682"/>
      <c r="F417" s="682"/>
      <c r="G417" s="682"/>
      <c r="H417" s="682"/>
      <c r="I417" s="682"/>
      <c r="J417" s="682"/>
      <c r="K417" s="682"/>
      <c r="L417" s="682"/>
      <c r="M417" s="682"/>
      <c r="N417" s="682"/>
      <c r="O417" s="682"/>
      <c r="P417" s="682"/>
      <c r="Q417" s="682"/>
      <c r="R417" s="682"/>
      <c r="S417" s="682"/>
      <c r="T417" s="682"/>
      <c r="U417" s="682"/>
      <c r="V417" s="682"/>
      <c r="W417" s="682"/>
      <c r="X417" s="682"/>
      <c r="Y417" s="682"/>
      <c r="Z417" s="682"/>
      <c r="AA417" s="682"/>
      <c r="AB417" s="682"/>
      <c r="AC417" s="682"/>
      <c r="AD417" s="682"/>
      <c r="AE417" s="682"/>
      <c r="AF417" s="682"/>
      <c r="AG417" s="682"/>
      <c r="AH417" s="682"/>
      <c r="AI417" s="682"/>
      <c r="AJ417" s="682"/>
      <c r="AK417" s="682"/>
      <c r="AL417" s="682"/>
      <c r="AM417" s="682"/>
      <c r="AN417" s="682"/>
      <c r="AO417" s="682"/>
      <c r="AP417" s="682"/>
      <c r="AQ417" s="682"/>
      <c r="AR417" s="682"/>
      <c r="AS417" s="682"/>
      <c r="AT417" s="682"/>
      <c r="AU417" s="682"/>
      <c r="AV417" s="682"/>
      <c r="AW417" s="682"/>
      <c r="AX417" s="682"/>
      <c r="AY417" s="682"/>
      <c r="AZ417" s="682"/>
      <c r="BA417" s="682"/>
      <c r="BB417" s="682"/>
      <c r="BC417" s="682"/>
      <c r="BD417" s="682"/>
      <c r="BE417" s="682"/>
      <c r="BF417" s="682"/>
      <c r="BG417" s="682"/>
      <c r="BH417" s="682"/>
      <c r="BI417" s="682"/>
      <c r="BJ417" s="682"/>
      <c r="BK417" s="682"/>
      <c r="BL417" s="682"/>
      <c r="BM417" s="682"/>
      <c r="BN417" s="682"/>
      <c r="BO417" s="682"/>
      <c r="BP417" s="682"/>
      <c r="BQ417" s="682"/>
      <c r="BR417" s="682"/>
      <c r="BS417" s="682"/>
      <c r="BT417" s="682"/>
      <c r="BU417" s="682"/>
      <c r="BV417" s="682"/>
      <c r="BW417" s="682"/>
      <c r="BX417" s="682"/>
      <c r="BY417" s="682"/>
      <c r="BZ417" s="682"/>
      <c r="CA417" s="682"/>
      <c r="CB417" s="682"/>
      <c r="CC417" s="682"/>
      <c r="CD417" s="682"/>
      <c r="CE417" s="682"/>
      <c r="CF417" s="682"/>
      <c r="CG417" s="682"/>
      <c r="CH417" s="682"/>
      <c r="CI417" s="682"/>
      <c r="CJ417" s="682"/>
      <c r="CK417" s="682"/>
      <c r="CL417" s="682"/>
      <c r="CM417" s="682"/>
      <c r="CN417" s="682"/>
      <c r="CO417" s="682"/>
      <c r="CP417" s="682"/>
      <c r="CQ417" s="682"/>
      <c r="CR417" s="682"/>
      <c r="CS417" s="682"/>
      <c r="CT417" s="682"/>
      <c r="CU417" s="682"/>
      <c r="CV417" s="682"/>
      <c r="CW417" s="682"/>
      <c r="CX417" s="682"/>
      <c r="CY417" s="682"/>
      <c r="CZ417" s="682"/>
      <c r="DA417" s="682"/>
      <c r="DB417" s="682"/>
      <c r="DC417" s="682"/>
      <c r="DD417" s="682"/>
      <c r="DE417" s="682"/>
      <c r="DF417" s="682"/>
      <c r="DG417" s="682"/>
      <c r="DH417" s="682"/>
      <c r="DI417" s="1610"/>
      <c r="DJ417" s="682"/>
      <c r="DK417" s="682"/>
      <c r="DL417" s="682"/>
      <c r="DM417" s="682"/>
      <c r="DN417" s="682"/>
      <c r="DO417" s="682"/>
      <c r="DP417" s="682"/>
      <c r="DQ417" s="682"/>
      <c r="DR417" s="682"/>
      <c r="DS417" s="682"/>
      <c r="DT417" s="682"/>
      <c r="DU417" s="682"/>
      <c r="DV417" s="682"/>
      <c r="DW417" s="682"/>
      <c r="DX417" s="682"/>
      <c r="DY417" s="682"/>
    </row>
    <row r="418" spans="1:129" ht="12" hidden="1" outlineLevel="1" thickBot="1" x14ac:dyDescent="0.25">
      <c r="A418" s="682"/>
      <c r="B418" s="682"/>
      <c r="C418" s="682"/>
      <c r="D418" s="682"/>
      <c r="E418" s="682"/>
      <c r="F418" s="682"/>
      <c r="G418" s="682"/>
      <c r="H418" s="682"/>
      <c r="I418" s="682"/>
      <c r="J418" s="682"/>
      <c r="K418" s="682"/>
      <c r="L418" s="682"/>
      <c r="M418" s="682"/>
      <c r="N418" s="682"/>
      <c r="O418" s="682"/>
      <c r="P418" s="682"/>
      <c r="Q418" s="682"/>
      <c r="R418" s="682"/>
      <c r="S418" s="682"/>
      <c r="T418" s="682"/>
      <c r="U418" s="682"/>
      <c r="V418" s="682"/>
      <c r="W418" s="682"/>
      <c r="X418" s="682"/>
      <c r="Y418" s="682"/>
      <c r="Z418" s="682"/>
      <c r="AA418" s="682"/>
      <c r="AB418" s="682"/>
      <c r="AC418" s="682"/>
      <c r="AD418" s="682"/>
      <c r="AE418" s="682"/>
      <c r="AF418" s="682"/>
      <c r="AG418" s="682"/>
      <c r="AH418" s="682"/>
      <c r="AI418" s="682"/>
      <c r="AJ418" s="682"/>
      <c r="AK418" s="682"/>
      <c r="AL418" s="682"/>
      <c r="AM418" s="682"/>
      <c r="AN418" s="682"/>
      <c r="AO418" s="682"/>
      <c r="AP418" s="682"/>
      <c r="AQ418" s="682"/>
      <c r="AR418" s="682"/>
      <c r="AS418" s="682"/>
      <c r="AT418" s="682"/>
      <c r="AU418" s="682"/>
      <c r="AV418" s="682"/>
      <c r="AW418" s="682"/>
      <c r="AX418" s="682"/>
      <c r="AY418" s="682"/>
      <c r="AZ418" s="682"/>
      <c r="BA418" s="682"/>
      <c r="BB418" s="682"/>
      <c r="BC418" s="682"/>
      <c r="BD418" s="682"/>
      <c r="BE418" s="682"/>
      <c r="BF418" s="682"/>
      <c r="BG418" s="682"/>
      <c r="BH418" s="682"/>
      <c r="BI418" s="682"/>
      <c r="BJ418" s="682"/>
      <c r="BK418" s="682"/>
      <c r="BL418" s="682"/>
      <c r="BM418" s="682"/>
      <c r="BN418" s="682"/>
      <c r="BO418" s="682"/>
      <c r="BP418" s="682"/>
      <c r="BQ418" s="682"/>
      <c r="BR418" s="682"/>
      <c r="BS418" s="682"/>
      <c r="BT418" s="682"/>
      <c r="BU418" s="682"/>
      <c r="BV418" s="682"/>
      <c r="BW418" s="682"/>
      <c r="BX418" s="682"/>
      <c r="BY418" s="682"/>
      <c r="BZ418" s="682"/>
      <c r="CA418" s="682"/>
      <c r="CB418" s="682"/>
      <c r="CC418" s="682"/>
      <c r="CD418" s="682"/>
      <c r="CE418" s="682"/>
      <c r="CF418" s="682"/>
      <c r="CG418" s="682"/>
      <c r="CH418" s="682"/>
      <c r="CI418" s="682"/>
      <c r="CJ418" s="682"/>
      <c r="CK418" s="682"/>
      <c r="CL418" s="682"/>
      <c r="CM418" s="682"/>
      <c r="CN418" s="682"/>
      <c r="CO418" s="682"/>
      <c r="CP418" s="682"/>
      <c r="CQ418" s="682"/>
      <c r="CR418" s="682"/>
      <c r="CS418" s="682"/>
      <c r="CT418" s="682"/>
      <c r="CU418" s="682"/>
      <c r="CV418" s="682"/>
      <c r="CW418" s="682"/>
      <c r="CX418" s="682"/>
      <c r="CY418" s="682"/>
      <c r="CZ418" s="682"/>
      <c r="DA418" s="682"/>
      <c r="DB418" s="682"/>
      <c r="DC418" s="682"/>
      <c r="DD418" s="682"/>
      <c r="DE418" s="682"/>
      <c r="DF418" s="682"/>
      <c r="DG418" s="682"/>
      <c r="DH418" s="682"/>
      <c r="DI418" s="1610"/>
      <c r="DJ418" s="682"/>
      <c r="DK418" s="682"/>
      <c r="DL418" s="682"/>
      <c r="DM418" s="682"/>
      <c r="DN418" s="682"/>
      <c r="DO418" s="682"/>
      <c r="DP418" s="682"/>
      <c r="DQ418" s="682"/>
      <c r="DR418" s="682"/>
      <c r="DS418" s="682"/>
      <c r="DT418" s="682"/>
      <c r="DU418" s="682"/>
      <c r="DV418" s="682"/>
      <c r="DW418" s="682"/>
      <c r="DX418" s="682"/>
      <c r="DY418" s="682"/>
    </row>
    <row r="419" spans="1:129" ht="12" collapsed="1" thickBot="1" x14ac:dyDescent="0.25">
      <c r="A419" s="526"/>
      <c r="B419" s="685" t="s">
        <v>869</v>
      </c>
      <c r="C419" s="686"/>
      <c r="D419" s="686"/>
      <c r="E419" s="686"/>
      <c r="F419" s="686"/>
      <c r="G419" s="686"/>
      <c r="H419" s="686"/>
      <c r="I419" s="687"/>
      <c r="J419" s="686"/>
      <c r="K419" s="686"/>
      <c r="L419" s="686"/>
      <c r="M419" s="686"/>
      <c r="N419" s="687"/>
      <c r="O419" s="686"/>
      <c r="P419" s="686"/>
      <c r="Q419" s="686"/>
      <c r="R419" s="686"/>
      <c r="S419" s="687"/>
      <c r="T419" s="686"/>
      <c r="U419" s="686"/>
      <c r="V419" s="686"/>
      <c r="W419" s="686"/>
      <c r="X419" s="687"/>
      <c r="Y419" s="686"/>
      <c r="Z419" s="686"/>
      <c r="AA419" s="686"/>
      <c r="AB419" s="686"/>
      <c r="AC419" s="687"/>
      <c r="AD419" s="686"/>
      <c r="AE419" s="686"/>
      <c r="AF419" s="686"/>
      <c r="AG419" s="686"/>
      <c r="AH419" s="687"/>
      <c r="AI419" s="686"/>
      <c r="AJ419" s="686"/>
      <c r="AK419" s="686"/>
      <c r="AL419" s="686"/>
      <c r="AM419" s="687"/>
      <c r="AN419" s="686"/>
      <c r="AO419" s="686"/>
      <c r="AP419" s="686"/>
      <c r="AQ419" s="686"/>
      <c r="AR419" s="687"/>
      <c r="AS419" s="686"/>
      <c r="AT419" s="686"/>
      <c r="AU419" s="686"/>
      <c r="AV419" s="686"/>
      <c r="AW419" s="687"/>
      <c r="AX419" s="686"/>
      <c r="AY419" s="686"/>
      <c r="AZ419" s="686"/>
      <c r="BA419" s="686"/>
      <c r="BB419" s="687"/>
      <c r="BC419" s="686"/>
      <c r="BD419" s="686"/>
      <c r="BE419" s="686"/>
      <c r="BF419" s="686"/>
      <c r="BG419" s="687"/>
      <c r="BH419" s="686"/>
      <c r="BI419" s="686"/>
      <c r="BJ419" s="686"/>
      <c r="BK419" s="686"/>
      <c r="BL419" s="687"/>
      <c r="BM419" s="686"/>
      <c r="BN419" s="686"/>
      <c r="BO419" s="686"/>
      <c r="BP419" s="686"/>
      <c r="BQ419" s="687"/>
      <c r="BR419" s="686"/>
      <c r="BS419" s="686"/>
      <c r="BT419" s="686"/>
      <c r="BU419" s="686"/>
      <c r="BV419" s="687"/>
      <c r="BW419" s="686"/>
      <c r="BX419" s="686"/>
      <c r="BY419" s="686"/>
      <c r="BZ419" s="686"/>
      <c r="CA419" s="687"/>
      <c r="CB419" s="686"/>
      <c r="CC419" s="686"/>
      <c r="CD419" s="686"/>
      <c r="CE419" s="686"/>
      <c r="CF419" s="687"/>
      <c r="CG419" s="686"/>
      <c r="CH419" s="686"/>
      <c r="CI419" s="686"/>
      <c r="CJ419" s="686"/>
      <c r="CK419" s="687"/>
      <c r="CL419" s="686"/>
      <c r="CM419" s="686"/>
      <c r="CN419" s="686"/>
      <c r="CO419" s="686"/>
      <c r="CP419" s="687"/>
      <c r="CQ419" s="686"/>
      <c r="CR419" s="686"/>
      <c r="CS419" s="686"/>
      <c r="CT419" s="686"/>
      <c r="CU419" s="687"/>
      <c r="CV419" s="686"/>
      <c r="CW419" s="686"/>
      <c r="CX419" s="686"/>
      <c r="CY419" s="686"/>
      <c r="CZ419" s="687"/>
      <c r="DA419" s="686"/>
      <c r="DB419" s="686"/>
      <c r="DC419" s="686"/>
      <c r="DD419" s="686"/>
      <c r="DE419" s="687"/>
      <c r="DF419" s="686"/>
      <c r="DG419" s="686"/>
      <c r="DH419" s="686"/>
      <c r="DI419" s="2803"/>
      <c r="DJ419" s="687"/>
      <c r="DK419" s="686"/>
      <c r="DL419" s="686"/>
      <c r="DM419" s="686"/>
      <c r="DN419" s="686"/>
      <c r="DO419" s="687"/>
      <c r="DP419" s="686"/>
      <c r="DQ419" s="686"/>
      <c r="DR419" s="686"/>
      <c r="DS419" s="686"/>
      <c r="DT419" s="687"/>
      <c r="DU419" s="686"/>
      <c r="DV419" s="686"/>
      <c r="DW419" s="686"/>
      <c r="DX419" s="686"/>
      <c r="DY419" s="687"/>
    </row>
    <row r="420" spans="1:129" hidden="1" outlineLevel="1" x14ac:dyDescent="0.2">
      <c r="A420" s="526"/>
      <c r="B420" s="832"/>
      <c r="C420" s="967"/>
      <c r="D420" s="597"/>
      <c r="E420" s="597"/>
      <c r="F420" s="597"/>
      <c r="G420" s="597"/>
      <c r="H420" s="597"/>
      <c r="I420" s="598"/>
      <c r="J420" s="597"/>
      <c r="K420" s="597"/>
      <c r="L420" s="597"/>
      <c r="M420" s="597"/>
      <c r="N420" s="598"/>
      <c r="O420" s="597"/>
      <c r="P420" s="597"/>
      <c r="Q420" s="597"/>
      <c r="R420" s="597"/>
      <c r="S420" s="598"/>
      <c r="T420" s="597"/>
      <c r="U420" s="597"/>
      <c r="V420" s="597"/>
      <c r="W420" s="597"/>
      <c r="X420" s="598"/>
      <c r="Y420" s="597"/>
      <c r="Z420" s="597"/>
      <c r="AA420" s="597"/>
      <c r="AB420" s="597"/>
      <c r="AC420" s="598"/>
      <c r="AD420" s="597"/>
      <c r="AE420" s="597"/>
      <c r="AF420" s="597"/>
      <c r="AG420" s="597"/>
      <c r="AH420" s="598"/>
      <c r="AI420" s="597"/>
      <c r="AJ420" s="597"/>
      <c r="AK420" s="597"/>
      <c r="AL420" s="597"/>
      <c r="AM420" s="598"/>
      <c r="AN420" s="597"/>
      <c r="AO420" s="597"/>
      <c r="AP420" s="597"/>
      <c r="AQ420" s="597"/>
      <c r="AR420" s="598"/>
      <c r="AS420" s="597"/>
      <c r="AT420" s="597"/>
      <c r="AU420" s="597"/>
      <c r="AV420" s="597"/>
      <c r="AW420" s="598"/>
      <c r="AX420" s="597"/>
      <c r="AY420" s="597"/>
      <c r="AZ420" s="597"/>
      <c r="BA420" s="597"/>
      <c r="BB420" s="598"/>
      <c r="BC420" s="597"/>
      <c r="BD420" s="597"/>
      <c r="BE420" s="597"/>
      <c r="BF420" s="597"/>
      <c r="BG420" s="598"/>
      <c r="BH420" s="597"/>
      <c r="BI420" s="597"/>
      <c r="BJ420" s="597"/>
      <c r="BK420" s="597"/>
      <c r="BL420" s="598"/>
      <c r="BM420" s="597"/>
      <c r="BN420" s="597"/>
      <c r="BO420" s="597"/>
      <c r="BP420" s="597"/>
      <c r="BQ420" s="598"/>
      <c r="BR420" s="597"/>
      <c r="BS420" s="597"/>
      <c r="BT420" s="597"/>
      <c r="BU420" s="597"/>
      <c r="BV420" s="598"/>
      <c r="BW420" s="597"/>
      <c r="BX420" s="597"/>
      <c r="BY420" s="597"/>
      <c r="BZ420" s="597"/>
      <c r="CA420" s="598"/>
      <c r="CB420" s="597"/>
      <c r="CC420" s="597"/>
      <c r="CD420" s="597"/>
      <c r="CE420" s="597"/>
      <c r="CF420" s="598"/>
      <c r="CG420" s="682"/>
      <c r="CH420" s="682"/>
      <c r="CI420" s="682"/>
      <c r="CJ420" s="682"/>
      <c r="CK420" s="598"/>
      <c r="CL420" s="682"/>
      <c r="CM420" s="682"/>
      <c r="CN420" s="682"/>
      <c r="CO420" s="682"/>
      <c r="CP420" s="598"/>
      <c r="CQ420" s="682"/>
      <c r="CR420" s="682"/>
      <c r="CS420" s="682"/>
      <c r="CT420" s="682"/>
      <c r="CU420" s="598"/>
      <c r="CV420" s="682"/>
      <c r="CW420" s="682"/>
      <c r="CX420" s="682"/>
      <c r="CY420" s="682"/>
      <c r="CZ420" s="598"/>
      <c r="DA420" s="682"/>
      <c r="DB420" s="682"/>
      <c r="DC420" s="682"/>
      <c r="DD420" s="682"/>
      <c r="DE420" s="598"/>
      <c r="DF420" s="682"/>
      <c r="DG420" s="682"/>
      <c r="DH420" s="682"/>
      <c r="DI420" s="1610"/>
      <c r="DJ420" s="598"/>
      <c r="DK420" s="682"/>
      <c r="DL420" s="682"/>
      <c r="DM420" s="682"/>
      <c r="DN420" s="682"/>
      <c r="DO420" s="598"/>
      <c r="DP420" s="682"/>
      <c r="DQ420" s="682"/>
      <c r="DR420" s="682"/>
      <c r="DS420" s="682"/>
      <c r="DT420" s="598"/>
      <c r="DU420" s="682"/>
      <c r="DV420" s="682"/>
      <c r="DW420" s="682"/>
      <c r="DX420" s="682"/>
      <c r="DY420" s="598"/>
    </row>
    <row r="421" spans="1:129" hidden="1" outlineLevel="1" x14ac:dyDescent="0.2">
      <c r="A421" s="526"/>
      <c r="B421" s="756" t="s">
        <v>870</v>
      </c>
      <c r="C421" s="597"/>
      <c r="D421" s="597"/>
      <c r="E421" s="597"/>
      <c r="F421" s="597"/>
      <c r="G421" s="597"/>
      <c r="H421" s="597"/>
      <c r="I421" s="598"/>
      <c r="J421" s="597"/>
      <c r="K421" s="597"/>
      <c r="L421" s="597"/>
      <c r="M421" s="597"/>
      <c r="N421" s="598"/>
      <c r="O421" s="971">
        <v>35882</v>
      </c>
      <c r="P421" s="971">
        <v>35973</v>
      </c>
      <c r="Q421" s="971">
        <v>36064</v>
      </c>
      <c r="R421" s="971">
        <v>36160</v>
      </c>
      <c r="S421" s="598"/>
      <c r="T421" s="971">
        <v>36246</v>
      </c>
      <c r="U421" s="971">
        <v>36337</v>
      </c>
      <c r="V421" s="971">
        <v>36428</v>
      </c>
      <c r="W421" s="971">
        <v>36526</v>
      </c>
      <c r="X421" s="598"/>
      <c r="Y421" s="971">
        <v>36617</v>
      </c>
      <c r="Z421" s="971">
        <v>36708</v>
      </c>
      <c r="AA421" s="971">
        <v>36799</v>
      </c>
      <c r="AB421" s="971">
        <v>36890</v>
      </c>
      <c r="AC421" s="598"/>
      <c r="AD421" s="971">
        <v>36981</v>
      </c>
      <c r="AE421" s="971">
        <v>37072</v>
      </c>
      <c r="AF421" s="971">
        <v>37163</v>
      </c>
      <c r="AG421" s="971">
        <v>37254</v>
      </c>
      <c r="AH421" s="598"/>
      <c r="AI421" s="971">
        <v>37345</v>
      </c>
      <c r="AJ421" s="971">
        <v>37436</v>
      </c>
      <c r="AK421" s="971">
        <v>37527</v>
      </c>
      <c r="AL421" s="971">
        <v>37618</v>
      </c>
      <c r="AM421" s="598"/>
      <c r="AN421" s="971">
        <v>37709</v>
      </c>
      <c r="AO421" s="971">
        <v>37800</v>
      </c>
      <c r="AP421" s="971">
        <v>37891</v>
      </c>
      <c r="AQ421" s="971">
        <v>37989</v>
      </c>
      <c r="AR421" s="598"/>
      <c r="AS421" s="971">
        <v>38080</v>
      </c>
      <c r="AT421" s="971">
        <v>38171</v>
      </c>
      <c r="AU421" s="971">
        <v>38262</v>
      </c>
      <c r="AV421" s="971">
        <v>38353</v>
      </c>
      <c r="AW421" s="598"/>
      <c r="AX421" s="971">
        <v>38444</v>
      </c>
      <c r="AY421" s="971">
        <v>38535</v>
      </c>
      <c r="AZ421" s="971">
        <v>38626</v>
      </c>
      <c r="BA421" s="971">
        <v>38717</v>
      </c>
      <c r="BB421" s="598"/>
      <c r="BC421" s="971">
        <v>38808</v>
      </c>
      <c r="BD421" s="971">
        <v>38899</v>
      </c>
      <c r="BE421" s="971">
        <v>38990</v>
      </c>
      <c r="BF421" s="971">
        <v>39081</v>
      </c>
      <c r="BG421" s="598"/>
      <c r="BH421" s="971">
        <v>39172</v>
      </c>
      <c r="BI421" s="597"/>
      <c r="BJ421" s="597"/>
      <c r="BK421" s="597"/>
      <c r="BL421" s="598"/>
      <c r="BM421" s="597"/>
      <c r="BN421" s="597"/>
      <c r="BO421" s="597"/>
      <c r="BP421" s="597"/>
      <c r="BQ421" s="598"/>
      <c r="BR421" s="597"/>
      <c r="BS421" s="597"/>
      <c r="BT421" s="597"/>
      <c r="BU421" s="597"/>
      <c r="BV421" s="598"/>
      <c r="BW421" s="597"/>
      <c r="BX421" s="597"/>
      <c r="BY421" s="597"/>
      <c r="BZ421" s="597"/>
      <c r="CA421" s="598"/>
      <c r="CB421" s="597"/>
      <c r="CC421" s="597"/>
      <c r="CD421" s="597"/>
      <c r="CE421" s="597"/>
      <c r="CF421" s="598"/>
      <c r="CG421" s="682"/>
      <c r="CH421" s="682"/>
      <c r="CI421" s="682"/>
      <c r="CJ421" s="682"/>
      <c r="CK421" s="598"/>
      <c r="CL421" s="682"/>
      <c r="CM421" s="682"/>
      <c r="CN421" s="682"/>
      <c r="CO421" s="682"/>
      <c r="CP421" s="598"/>
      <c r="CQ421" s="682"/>
      <c r="CR421" s="682"/>
      <c r="CS421" s="682"/>
      <c r="CT421" s="682"/>
      <c r="CU421" s="598"/>
      <c r="CV421" s="682"/>
      <c r="CW421" s="682"/>
      <c r="CX421" s="682"/>
      <c r="CY421" s="682"/>
      <c r="CZ421" s="598"/>
      <c r="DA421" s="682"/>
      <c r="DB421" s="682"/>
      <c r="DC421" s="682"/>
      <c r="DD421" s="682"/>
      <c r="DE421" s="598"/>
      <c r="DF421" s="682"/>
      <c r="DG421" s="682"/>
      <c r="DH421" s="682"/>
      <c r="DI421" s="1610"/>
      <c r="DJ421" s="598"/>
      <c r="DK421" s="682"/>
      <c r="DL421" s="682"/>
      <c r="DM421" s="682"/>
      <c r="DN421" s="682"/>
      <c r="DO421" s="598"/>
      <c r="DP421" s="682"/>
      <c r="DQ421" s="682"/>
      <c r="DR421" s="682"/>
      <c r="DS421" s="682"/>
      <c r="DT421" s="598"/>
      <c r="DU421" s="682"/>
      <c r="DV421" s="682"/>
      <c r="DW421" s="682"/>
      <c r="DX421" s="682"/>
      <c r="DY421" s="598"/>
    </row>
    <row r="422" spans="1:129" hidden="1" outlineLevel="1" x14ac:dyDescent="0.2">
      <c r="A422" s="526"/>
      <c r="B422" s="756" t="s">
        <v>819</v>
      </c>
      <c r="C422" s="597"/>
      <c r="D422" s="597"/>
      <c r="E422" s="597"/>
      <c r="F422" s="597"/>
      <c r="G422" s="597"/>
      <c r="H422" s="597"/>
      <c r="I422" s="598"/>
      <c r="J422" s="597"/>
      <c r="K422" s="597"/>
      <c r="L422" s="597"/>
      <c r="M422" s="597"/>
      <c r="N422" s="598"/>
      <c r="O422" s="972" t="s">
        <v>119</v>
      </c>
      <c r="P422" s="972" t="s">
        <v>120</v>
      </c>
      <c r="Q422" s="972" t="s">
        <v>121</v>
      </c>
      <c r="R422" s="972" t="s">
        <v>122</v>
      </c>
      <c r="S422" s="598"/>
      <c r="T422" s="972" t="s">
        <v>124</v>
      </c>
      <c r="U422" s="972" t="s">
        <v>125</v>
      </c>
      <c r="V422" s="972" t="s">
        <v>126</v>
      </c>
      <c r="W422" s="972" t="s">
        <v>127</v>
      </c>
      <c r="X422" s="598"/>
      <c r="Y422" s="972" t="s">
        <v>129</v>
      </c>
      <c r="Z422" s="972" t="s">
        <v>130</v>
      </c>
      <c r="AA422" s="972" t="s">
        <v>131</v>
      </c>
      <c r="AB422" s="972" t="s">
        <v>132</v>
      </c>
      <c r="AC422" s="598"/>
      <c r="AD422" s="972" t="s">
        <v>134</v>
      </c>
      <c r="AE422" s="972" t="s">
        <v>135</v>
      </c>
      <c r="AF422" s="972" t="s">
        <v>136</v>
      </c>
      <c r="AG422" s="972" t="s">
        <v>137</v>
      </c>
      <c r="AH422" s="598"/>
      <c r="AI422" s="972" t="s">
        <v>139</v>
      </c>
      <c r="AJ422" s="972" t="s">
        <v>140</v>
      </c>
      <c r="AK422" s="972" t="s">
        <v>141</v>
      </c>
      <c r="AL422" s="972" t="s">
        <v>142</v>
      </c>
      <c r="AM422" s="598"/>
      <c r="AN422" s="972" t="s">
        <v>144</v>
      </c>
      <c r="AO422" s="972" t="s">
        <v>145</v>
      </c>
      <c r="AP422" s="972" t="s">
        <v>146</v>
      </c>
      <c r="AQ422" s="972" t="s">
        <v>147</v>
      </c>
      <c r="AR422" s="598"/>
      <c r="AS422" s="972" t="s">
        <v>820</v>
      </c>
      <c r="AT422" s="972" t="s">
        <v>821</v>
      </c>
      <c r="AU422" s="972" t="s">
        <v>822</v>
      </c>
      <c r="AV422" s="972" t="s">
        <v>823</v>
      </c>
      <c r="AW422" s="598"/>
      <c r="AX422" s="972" t="s">
        <v>824</v>
      </c>
      <c r="AY422" s="972" t="s">
        <v>825</v>
      </c>
      <c r="AZ422" s="972" t="s">
        <v>826</v>
      </c>
      <c r="BA422" s="972" t="s">
        <v>827</v>
      </c>
      <c r="BB422" s="598"/>
      <c r="BC422" s="972" t="s">
        <v>828</v>
      </c>
      <c r="BD422" s="972" t="s">
        <v>829</v>
      </c>
      <c r="BE422" s="972" t="s">
        <v>830</v>
      </c>
      <c r="BF422" s="972" t="s">
        <v>831</v>
      </c>
      <c r="BG422" s="598"/>
      <c r="BH422" s="972" t="s">
        <v>832</v>
      </c>
      <c r="BI422" s="597"/>
      <c r="BJ422" s="597"/>
      <c r="BK422" s="597"/>
      <c r="BL422" s="598"/>
      <c r="BM422" s="597"/>
      <c r="BN422" s="597"/>
      <c r="BO422" s="597"/>
      <c r="BP422" s="597"/>
      <c r="BQ422" s="598"/>
      <c r="BR422" s="597"/>
      <c r="BS422" s="597"/>
      <c r="BT422" s="597"/>
      <c r="BU422" s="597"/>
      <c r="BV422" s="598"/>
      <c r="BW422" s="597"/>
      <c r="BX422" s="597"/>
      <c r="BY422" s="597"/>
      <c r="BZ422" s="597"/>
      <c r="CA422" s="598"/>
      <c r="CB422" s="597"/>
      <c r="CC422" s="597"/>
      <c r="CD422" s="597"/>
      <c r="CE422" s="597"/>
      <c r="CF422" s="598"/>
      <c r="CG422" s="682"/>
      <c r="CH422" s="682"/>
      <c r="CI422" s="682"/>
      <c r="CJ422" s="682"/>
      <c r="CK422" s="598"/>
      <c r="CL422" s="682"/>
      <c r="CM422" s="682"/>
      <c r="CN422" s="682"/>
      <c r="CO422" s="682"/>
      <c r="CP422" s="598"/>
      <c r="CQ422" s="682"/>
      <c r="CR422" s="682"/>
      <c r="CS422" s="682"/>
      <c r="CT422" s="682"/>
      <c r="CU422" s="598"/>
      <c r="CV422" s="682"/>
      <c r="CW422" s="682"/>
      <c r="CX422" s="682"/>
      <c r="CY422" s="682"/>
      <c r="CZ422" s="598"/>
      <c r="DA422" s="682"/>
      <c r="DB422" s="682"/>
      <c r="DC422" s="682"/>
      <c r="DD422" s="682"/>
      <c r="DE422" s="598"/>
      <c r="DF422" s="682"/>
      <c r="DG422" s="682"/>
      <c r="DH422" s="682"/>
      <c r="DI422" s="1610"/>
      <c r="DJ422" s="598"/>
      <c r="DK422" s="682"/>
      <c r="DL422" s="682"/>
      <c r="DM422" s="682"/>
      <c r="DN422" s="682"/>
      <c r="DO422" s="598"/>
      <c r="DP422" s="682"/>
      <c r="DQ422" s="682"/>
      <c r="DR422" s="682"/>
      <c r="DS422" s="682"/>
      <c r="DT422" s="598"/>
      <c r="DU422" s="682"/>
      <c r="DV422" s="682"/>
      <c r="DW422" s="682"/>
      <c r="DX422" s="682"/>
      <c r="DY422" s="598"/>
    </row>
    <row r="423" spans="1:129" hidden="1" outlineLevel="1" x14ac:dyDescent="0.2">
      <c r="A423" s="526"/>
      <c r="B423" s="756"/>
      <c r="C423" s="597"/>
      <c r="D423" s="597"/>
      <c r="E423" s="597"/>
      <c r="F423" s="597"/>
      <c r="G423" s="597"/>
      <c r="H423" s="597"/>
      <c r="I423" s="598"/>
      <c r="J423" s="597"/>
      <c r="K423" s="597"/>
      <c r="L423" s="597"/>
      <c r="M423" s="597"/>
      <c r="N423" s="598"/>
      <c r="O423" s="597"/>
      <c r="P423" s="597"/>
      <c r="Q423" s="597"/>
      <c r="R423" s="597"/>
      <c r="S423" s="598"/>
      <c r="T423" s="597"/>
      <c r="U423" s="597"/>
      <c r="V423" s="597"/>
      <c r="W423" s="597"/>
      <c r="X423" s="598"/>
      <c r="Y423" s="597"/>
      <c r="Z423" s="597"/>
      <c r="AA423" s="597"/>
      <c r="AB423" s="597"/>
      <c r="AC423" s="598"/>
      <c r="AD423" s="597"/>
      <c r="AE423" s="597"/>
      <c r="AF423" s="597"/>
      <c r="AG423" s="597"/>
      <c r="AH423" s="598"/>
      <c r="AI423" s="597"/>
      <c r="AJ423" s="597"/>
      <c r="AK423" s="597"/>
      <c r="AL423" s="597"/>
      <c r="AM423" s="598"/>
      <c r="AN423" s="597"/>
      <c r="AO423" s="597"/>
      <c r="AP423" s="597"/>
      <c r="AQ423" s="597"/>
      <c r="AR423" s="598"/>
      <c r="AS423" s="597"/>
      <c r="AT423" s="597"/>
      <c r="AU423" s="597"/>
      <c r="AV423" s="597"/>
      <c r="AW423" s="598"/>
      <c r="AX423" s="597"/>
      <c r="AY423" s="597"/>
      <c r="AZ423" s="597"/>
      <c r="BA423" s="597"/>
      <c r="BB423" s="598"/>
      <c r="BC423" s="597"/>
      <c r="BD423" s="597"/>
      <c r="BE423" s="597"/>
      <c r="BF423" s="597"/>
      <c r="BG423" s="598"/>
      <c r="BH423" s="597"/>
      <c r="BI423" s="597"/>
      <c r="BJ423" s="597"/>
      <c r="BK423" s="597"/>
      <c r="BL423" s="598"/>
      <c r="BM423" s="597"/>
      <c r="BN423" s="597"/>
      <c r="BO423" s="597"/>
      <c r="BP423" s="597"/>
      <c r="BQ423" s="598"/>
      <c r="BR423" s="597"/>
      <c r="BS423" s="597"/>
      <c r="BT423" s="597"/>
      <c r="BU423" s="597"/>
      <c r="BV423" s="598"/>
      <c r="BW423" s="597"/>
      <c r="BX423" s="597"/>
      <c r="BY423" s="597"/>
      <c r="BZ423" s="597"/>
      <c r="CA423" s="598"/>
      <c r="CB423" s="597"/>
      <c r="CC423" s="597"/>
      <c r="CD423" s="597"/>
      <c r="CE423" s="597"/>
      <c r="CF423" s="598"/>
      <c r="CG423" s="682"/>
      <c r="CH423" s="682"/>
      <c r="CI423" s="682"/>
      <c r="CJ423" s="682"/>
      <c r="CK423" s="598"/>
      <c r="CL423" s="682"/>
      <c r="CM423" s="682"/>
      <c r="CN423" s="682"/>
      <c r="CO423" s="682"/>
      <c r="CP423" s="598"/>
      <c r="CQ423" s="682"/>
      <c r="CR423" s="682"/>
      <c r="CS423" s="682"/>
      <c r="CT423" s="682"/>
      <c r="CU423" s="598"/>
      <c r="CV423" s="682"/>
      <c r="CW423" s="682"/>
      <c r="CX423" s="682"/>
      <c r="CY423" s="682"/>
      <c r="CZ423" s="598"/>
      <c r="DA423" s="682"/>
      <c r="DB423" s="682"/>
      <c r="DC423" s="682"/>
      <c r="DD423" s="682"/>
      <c r="DE423" s="598"/>
      <c r="DF423" s="682"/>
      <c r="DG423" s="682"/>
      <c r="DH423" s="682"/>
      <c r="DI423" s="1610"/>
      <c r="DJ423" s="598"/>
      <c r="DK423" s="682"/>
      <c r="DL423" s="682"/>
      <c r="DM423" s="682"/>
      <c r="DN423" s="682"/>
      <c r="DO423" s="598"/>
      <c r="DP423" s="682"/>
      <c r="DQ423" s="682"/>
      <c r="DR423" s="682"/>
      <c r="DS423" s="682"/>
      <c r="DT423" s="598"/>
      <c r="DU423" s="682"/>
      <c r="DV423" s="682"/>
      <c r="DW423" s="682"/>
      <c r="DX423" s="682"/>
      <c r="DY423" s="598"/>
    </row>
    <row r="424" spans="1:129" hidden="1" outlineLevel="1" x14ac:dyDescent="0.2">
      <c r="A424" s="466"/>
      <c r="B424" s="607" t="s">
        <v>718</v>
      </c>
      <c r="C424" s="585"/>
      <c r="D424" s="585"/>
      <c r="E424" s="585"/>
      <c r="F424" s="585"/>
      <c r="G424" s="585"/>
      <c r="H424" s="585"/>
      <c r="I424" s="586"/>
      <c r="J424" s="585"/>
      <c r="K424" s="585"/>
      <c r="L424" s="585"/>
      <c r="M424" s="585"/>
      <c r="N424" s="586"/>
      <c r="O424" s="585"/>
      <c r="P424" s="585"/>
      <c r="Q424" s="585"/>
      <c r="R424" s="585"/>
      <c r="S424" s="586"/>
      <c r="T424" s="585"/>
      <c r="U424" s="585"/>
      <c r="V424" s="585"/>
      <c r="W424" s="585"/>
      <c r="X424" s="586"/>
      <c r="Y424" s="585"/>
      <c r="Z424" s="585"/>
      <c r="AA424" s="585"/>
      <c r="AB424" s="585"/>
      <c r="AC424" s="586"/>
      <c r="AD424" s="585"/>
      <c r="AE424" s="585"/>
      <c r="AF424" s="585"/>
      <c r="AG424" s="585"/>
      <c r="AH424" s="754">
        <v>2780</v>
      </c>
      <c r="AI424" s="592">
        <v>807.3</v>
      </c>
      <c r="AJ424" s="592">
        <v>810.7</v>
      </c>
      <c r="AK424" s="592">
        <v>855.4</v>
      </c>
      <c r="AL424" s="592">
        <v>936.7</v>
      </c>
      <c r="AM424" s="754">
        <v>3410.1</v>
      </c>
      <c r="AN424" s="592">
        <v>1069.7</v>
      </c>
      <c r="AO424" s="592">
        <v>1083.8</v>
      </c>
      <c r="AP424" s="592">
        <v>1115.7</v>
      </c>
      <c r="AQ424" s="592">
        <v>1218.5999999999999</v>
      </c>
      <c r="AR424" s="754">
        <v>4487.8</v>
      </c>
      <c r="AS424" s="592">
        <v>1373.3</v>
      </c>
      <c r="AT424" s="592">
        <v>2118.1999999999998</v>
      </c>
      <c r="AU424" s="592">
        <v>2194.5</v>
      </c>
      <c r="AV424" s="592">
        <v>2329.317</v>
      </c>
      <c r="AW424" s="754">
        <v>8015.317</v>
      </c>
      <c r="AX424" s="592">
        <v>2721.0830000000001</v>
      </c>
      <c r="AY424" s="592">
        <v>2796.5</v>
      </c>
      <c r="AZ424" s="592">
        <v>2918.6849999999999</v>
      </c>
      <c r="BA424" s="592">
        <v>3157.7320000000004</v>
      </c>
      <c r="BB424" s="754">
        <v>11594</v>
      </c>
      <c r="BC424" s="592">
        <v>3092.2</v>
      </c>
      <c r="BD424" s="592">
        <v>3189.8119999999999</v>
      </c>
      <c r="BE424" s="592">
        <v>3082.8159999999998</v>
      </c>
      <c r="BF424" s="592">
        <v>3184.3910000000001</v>
      </c>
      <c r="BG424" s="754">
        <v>12549.218999999999</v>
      </c>
      <c r="BH424" s="592">
        <v>3323.5</v>
      </c>
      <c r="BI424" s="585"/>
      <c r="BJ424" s="585"/>
      <c r="BK424" s="585"/>
      <c r="BL424" s="586"/>
      <c r="BM424" s="585"/>
      <c r="BN424" s="585"/>
      <c r="BO424" s="585"/>
      <c r="BP424" s="585"/>
      <c r="BQ424" s="586"/>
      <c r="BR424" s="585"/>
      <c r="BS424" s="585"/>
      <c r="BT424" s="585"/>
      <c r="BU424" s="585"/>
      <c r="BV424" s="586"/>
      <c r="BW424" s="585"/>
      <c r="BX424" s="585"/>
      <c r="BY424" s="585"/>
      <c r="BZ424" s="585"/>
      <c r="CA424" s="586"/>
      <c r="CB424" s="585"/>
      <c r="CC424" s="585"/>
      <c r="CD424" s="585"/>
      <c r="CE424" s="585"/>
      <c r="CF424" s="586"/>
      <c r="CG424" s="470"/>
      <c r="CH424" s="470"/>
      <c r="CI424" s="470"/>
      <c r="CJ424" s="470"/>
      <c r="CK424" s="586"/>
      <c r="CL424" s="470"/>
      <c r="CM424" s="470"/>
      <c r="CN424" s="470"/>
      <c r="CO424" s="470"/>
      <c r="CP424" s="586"/>
      <c r="CQ424" s="470"/>
      <c r="CR424" s="470"/>
      <c r="CS424" s="470"/>
      <c r="CT424" s="470"/>
      <c r="CU424" s="586"/>
      <c r="CV424" s="470"/>
      <c r="CW424" s="470"/>
      <c r="CX424" s="470"/>
      <c r="CY424" s="470"/>
      <c r="CZ424" s="586"/>
      <c r="DA424" s="470"/>
      <c r="DB424" s="470"/>
      <c r="DC424" s="470"/>
      <c r="DD424" s="470"/>
      <c r="DE424" s="586"/>
      <c r="DF424" s="470"/>
      <c r="DG424" s="470"/>
      <c r="DH424" s="470"/>
      <c r="DI424" s="914"/>
      <c r="DJ424" s="586"/>
      <c r="DK424" s="470"/>
      <c r="DL424" s="470"/>
      <c r="DM424" s="470"/>
      <c r="DN424" s="470"/>
      <c r="DO424" s="586"/>
      <c r="DP424" s="470"/>
      <c r="DQ424" s="470"/>
      <c r="DR424" s="470"/>
      <c r="DS424" s="470"/>
      <c r="DT424" s="586"/>
      <c r="DU424" s="470"/>
      <c r="DV424" s="470"/>
      <c r="DW424" s="470"/>
      <c r="DX424" s="470"/>
      <c r="DY424" s="586"/>
    </row>
    <row r="425" spans="1:129" hidden="1" outlineLevel="1" x14ac:dyDescent="0.2">
      <c r="A425" s="466"/>
      <c r="B425" s="607" t="s">
        <v>719</v>
      </c>
      <c r="C425" s="585"/>
      <c r="D425" s="585"/>
      <c r="E425" s="585"/>
      <c r="F425" s="585"/>
      <c r="G425" s="585"/>
      <c r="H425" s="585"/>
      <c r="I425" s="586"/>
      <c r="J425" s="585"/>
      <c r="K425" s="585"/>
      <c r="L425" s="585"/>
      <c r="M425" s="585"/>
      <c r="N425" s="586"/>
      <c r="O425" s="585"/>
      <c r="P425" s="585"/>
      <c r="Q425" s="585"/>
      <c r="R425" s="585"/>
      <c r="S425" s="586"/>
      <c r="T425" s="585"/>
      <c r="U425" s="585"/>
      <c r="V425" s="585"/>
      <c r="W425" s="585"/>
      <c r="X425" s="586"/>
      <c r="Y425" s="585"/>
      <c r="Z425" s="585"/>
      <c r="AA425" s="585"/>
      <c r="AB425" s="585"/>
      <c r="AC425" s="586"/>
      <c r="AD425" s="585"/>
      <c r="AE425" s="585"/>
      <c r="AF425" s="585"/>
      <c r="AG425" s="585"/>
      <c r="AH425" s="754">
        <v>2781.3</v>
      </c>
      <c r="AI425" s="592">
        <v>793.7</v>
      </c>
      <c r="AJ425" s="592">
        <v>802.3</v>
      </c>
      <c r="AK425" s="592">
        <v>843.7</v>
      </c>
      <c r="AL425" s="592">
        <v>901.7</v>
      </c>
      <c r="AM425" s="754">
        <v>3341.4</v>
      </c>
      <c r="AN425" s="592">
        <v>1080</v>
      </c>
      <c r="AO425" s="592">
        <v>1108.4000000000001</v>
      </c>
      <c r="AP425" s="592">
        <v>1126.4000000000001</v>
      </c>
      <c r="AQ425" s="592">
        <v>1207.3</v>
      </c>
      <c r="AR425" s="754">
        <v>4522.1000000000004</v>
      </c>
      <c r="AS425" s="592">
        <v>1627.3</v>
      </c>
      <c r="AT425" s="592">
        <v>5116.1000000000004</v>
      </c>
      <c r="AU425" s="592">
        <v>5202.3999999999996</v>
      </c>
      <c r="AV425" s="592">
        <v>5607.7</v>
      </c>
      <c r="AW425" s="754">
        <v>17553.5</v>
      </c>
      <c r="AX425" s="592">
        <v>5560.2</v>
      </c>
      <c r="AY425" s="592">
        <v>5332.5</v>
      </c>
      <c r="AZ425" s="592">
        <v>5084.8999999999996</v>
      </c>
      <c r="BA425" s="592">
        <v>5131.7</v>
      </c>
      <c r="BB425" s="754">
        <v>21109.3</v>
      </c>
      <c r="BC425" s="592">
        <v>5739.3</v>
      </c>
      <c r="BD425" s="592">
        <v>6165.299</v>
      </c>
      <c r="BE425" s="592">
        <v>5978.9369999999999</v>
      </c>
      <c r="BF425" s="592">
        <v>6003.9840000000004</v>
      </c>
      <c r="BG425" s="754">
        <v>23887.52</v>
      </c>
      <c r="BH425" s="592">
        <v>6041.5</v>
      </c>
      <c r="BI425" s="585"/>
      <c r="BJ425" s="585"/>
      <c r="BK425" s="585"/>
      <c r="BL425" s="586"/>
      <c r="BM425" s="585"/>
      <c r="BN425" s="585"/>
      <c r="BO425" s="585"/>
      <c r="BP425" s="585"/>
      <c r="BQ425" s="586"/>
      <c r="BR425" s="585"/>
      <c r="BS425" s="585"/>
      <c r="BT425" s="585"/>
      <c r="BU425" s="585"/>
      <c r="BV425" s="586"/>
      <c r="BW425" s="585"/>
      <c r="BX425" s="585"/>
      <c r="BY425" s="585"/>
      <c r="BZ425" s="585"/>
      <c r="CA425" s="586"/>
      <c r="CB425" s="585"/>
      <c r="CC425" s="585"/>
      <c r="CD425" s="585"/>
      <c r="CE425" s="585"/>
      <c r="CF425" s="586"/>
      <c r="CG425" s="470"/>
      <c r="CH425" s="470"/>
      <c r="CI425" s="470"/>
      <c r="CJ425" s="470"/>
      <c r="CK425" s="586"/>
      <c r="CL425" s="470"/>
      <c r="CM425" s="470"/>
      <c r="CN425" s="470"/>
      <c r="CO425" s="470"/>
      <c r="CP425" s="586"/>
      <c r="CQ425" s="470"/>
      <c r="CR425" s="470"/>
      <c r="CS425" s="470"/>
      <c r="CT425" s="470"/>
      <c r="CU425" s="586"/>
      <c r="CV425" s="470"/>
      <c r="CW425" s="470"/>
      <c r="CX425" s="470"/>
      <c r="CY425" s="470"/>
      <c r="CZ425" s="586"/>
      <c r="DA425" s="470"/>
      <c r="DB425" s="470"/>
      <c r="DC425" s="470"/>
      <c r="DD425" s="470"/>
      <c r="DE425" s="586"/>
      <c r="DF425" s="470"/>
      <c r="DG425" s="470"/>
      <c r="DH425" s="470"/>
      <c r="DI425" s="914"/>
      <c r="DJ425" s="586"/>
      <c r="DK425" s="470"/>
      <c r="DL425" s="470"/>
      <c r="DM425" s="470"/>
      <c r="DN425" s="470"/>
      <c r="DO425" s="586"/>
      <c r="DP425" s="470"/>
      <c r="DQ425" s="470"/>
      <c r="DR425" s="470"/>
      <c r="DS425" s="470"/>
      <c r="DT425" s="586"/>
      <c r="DU425" s="470"/>
      <c r="DV425" s="470"/>
      <c r="DW425" s="470"/>
      <c r="DX425" s="470"/>
      <c r="DY425" s="586"/>
    </row>
    <row r="426" spans="1:129" hidden="1" outlineLevel="1" x14ac:dyDescent="0.2">
      <c r="A426" s="466"/>
      <c r="B426" s="607" t="s">
        <v>341</v>
      </c>
      <c r="C426" s="585"/>
      <c r="D426" s="585"/>
      <c r="E426" s="585"/>
      <c r="F426" s="585"/>
      <c r="G426" s="585"/>
      <c r="H426" s="585"/>
      <c r="I426" s="586"/>
      <c r="J426" s="585"/>
      <c r="K426" s="585"/>
      <c r="L426" s="585"/>
      <c r="M426" s="585"/>
      <c r="N426" s="586"/>
      <c r="O426" s="585"/>
      <c r="P426" s="585"/>
      <c r="Q426" s="585"/>
      <c r="R426" s="585"/>
      <c r="S426" s="586"/>
      <c r="T426" s="585"/>
      <c r="U426" s="585"/>
      <c r="V426" s="585"/>
      <c r="W426" s="585"/>
      <c r="X426" s="586"/>
      <c r="Y426" s="585"/>
      <c r="Z426" s="585"/>
      <c r="AA426" s="585"/>
      <c r="AB426" s="585"/>
      <c r="AC426" s="586"/>
      <c r="AD426" s="585"/>
      <c r="AE426" s="585"/>
      <c r="AF426" s="585"/>
      <c r="AG426" s="585"/>
      <c r="AH426" s="754">
        <v>51.8</v>
      </c>
      <c r="AI426" s="592">
        <v>12.9</v>
      </c>
      <c r="AJ426" s="592">
        <v>13.5</v>
      </c>
      <c r="AK426" s="592">
        <v>14.3</v>
      </c>
      <c r="AL426" s="592">
        <v>13.1</v>
      </c>
      <c r="AM426" s="754">
        <v>53.8</v>
      </c>
      <c r="AN426" s="592">
        <v>14.1</v>
      </c>
      <c r="AO426" s="592">
        <v>11.8</v>
      </c>
      <c r="AP426" s="592">
        <v>14.7</v>
      </c>
      <c r="AQ426" s="592">
        <v>16.8</v>
      </c>
      <c r="AR426" s="754">
        <v>57.4</v>
      </c>
      <c r="AS426" s="592">
        <v>25.3</v>
      </c>
      <c r="AT426" s="592">
        <v>70.2</v>
      </c>
      <c r="AU426" s="592">
        <v>61</v>
      </c>
      <c r="AV426" s="592">
        <v>75.804000000000002</v>
      </c>
      <c r="AW426" s="754">
        <v>232.304</v>
      </c>
      <c r="AX426" s="592">
        <v>70.7</v>
      </c>
      <c r="AY426" s="592">
        <v>70.099999999999994</v>
      </c>
      <c r="AZ426" s="592">
        <v>68.856000000000222</v>
      </c>
      <c r="BA426" s="592">
        <v>78.343999999999781</v>
      </c>
      <c r="BB426" s="754">
        <v>288</v>
      </c>
      <c r="BC426" s="592">
        <v>75.75</v>
      </c>
      <c r="BD426" s="592">
        <v>83.192999999999998</v>
      </c>
      <c r="BE426" s="592">
        <v>73.459999999999994</v>
      </c>
      <c r="BF426" s="592">
        <v>81.061000000000007</v>
      </c>
      <c r="BG426" s="754">
        <v>313.46399999999994</v>
      </c>
      <c r="BH426" s="592">
        <v>77.3</v>
      </c>
      <c r="BI426" s="585"/>
      <c r="BJ426" s="585"/>
      <c r="BK426" s="585"/>
      <c r="BL426" s="586"/>
      <c r="BM426" s="585"/>
      <c r="BN426" s="585"/>
      <c r="BO426" s="585"/>
      <c r="BP426" s="585"/>
      <c r="BQ426" s="586"/>
      <c r="BR426" s="585"/>
      <c r="BS426" s="585"/>
      <c r="BT426" s="585"/>
      <c r="BU426" s="585"/>
      <c r="BV426" s="586"/>
      <c r="BW426" s="585"/>
      <c r="BX426" s="585"/>
      <c r="BY426" s="585"/>
      <c r="BZ426" s="585"/>
      <c r="CA426" s="586"/>
      <c r="CB426" s="585"/>
      <c r="CC426" s="585"/>
      <c r="CD426" s="585"/>
      <c r="CE426" s="585"/>
      <c r="CF426" s="586"/>
      <c r="CG426" s="470"/>
      <c r="CH426" s="470"/>
      <c r="CI426" s="470"/>
      <c r="CJ426" s="470"/>
      <c r="CK426" s="586"/>
      <c r="CL426" s="470"/>
      <c r="CM426" s="470"/>
      <c r="CN426" s="470"/>
      <c r="CO426" s="470"/>
      <c r="CP426" s="586"/>
      <c r="CQ426" s="470"/>
      <c r="CR426" s="470"/>
      <c r="CS426" s="470"/>
      <c r="CT426" s="470"/>
      <c r="CU426" s="586"/>
      <c r="CV426" s="470"/>
      <c r="CW426" s="470"/>
      <c r="CX426" s="470"/>
      <c r="CY426" s="470"/>
      <c r="CZ426" s="586"/>
      <c r="DA426" s="470"/>
      <c r="DB426" s="470"/>
      <c r="DC426" s="470"/>
      <c r="DD426" s="470"/>
      <c r="DE426" s="586"/>
      <c r="DF426" s="470"/>
      <c r="DG426" s="470"/>
      <c r="DH426" s="470"/>
      <c r="DI426" s="914"/>
      <c r="DJ426" s="586"/>
      <c r="DK426" s="470"/>
      <c r="DL426" s="470"/>
      <c r="DM426" s="470"/>
      <c r="DN426" s="470"/>
      <c r="DO426" s="586"/>
      <c r="DP426" s="470"/>
      <c r="DQ426" s="470"/>
      <c r="DR426" s="470"/>
      <c r="DS426" s="470"/>
      <c r="DT426" s="586"/>
      <c r="DU426" s="470"/>
      <c r="DV426" s="470"/>
      <c r="DW426" s="470"/>
      <c r="DX426" s="470"/>
      <c r="DY426" s="586"/>
    </row>
    <row r="427" spans="1:129" hidden="1" outlineLevel="1" x14ac:dyDescent="0.2">
      <c r="A427" s="466"/>
      <c r="B427" s="607" t="s">
        <v>871</v>
      </c>
      <c r="C427" s="585"/>
      <c r="D427" s="585"/>
      <c r="E427" s="585"/>
      <c r="F427" s="585"/>
      <c r="G427" s="585"/>
      <c r="H427" s="585"/>
      <c r="I427" s="586"/>
      <c r="J427" s="585"/>
      <c r="K427" s="585"/>
      <c r="L427" s="585"/>
      <c r="M427" s="585"/>
      <c r="N427" s="586"/>
      <c r="O427" s="585"/>
      <c r="P427" s="585"/>
      <c r="Q427" s="585"/>
      <c r="R427" s="585"/>
      <c r="S427" s="586"/>
      <c r="T427" s="592">
        <v>785.05799999999999</v>
      </c>
      <c r="U427" s="592">
        <v>796.20699999999999</v>
      </c>
      <c r="V427" s="592">
        <v>812.99599999999998</v>
      </c>
      <c r="W427" s="592">
        <v>913.54499999999996</v>
      </c>
      <c r="X427" s="589">
        <f>SUM(T427:W427)</f>
        <v>3307.806</v>
      </c>
      <c r="Y427" s="592">
        <v>1051.99</v>
      </c>
      <c r="Z427" s="592">
        <v>1083.904</v>
      </c>
      <c r="AA427" s="592">
        <v>1088.828</v>
      </c>
      <c r="AB427" s="592">
        <v>1203.223</v>
      </c>
      <c r="AC427" s="589">
        <f>SUM(Y427:AB427)</f>
        <v>4427.9449999999997</v>
      </c>
      <c r="AD427" s="592">
        <v>1373.942</v>
      </c>
      <c r="AE427" s="592">
        <v>1373.3879999999999</v>
      </c>
      <c r="AF427" s="592">
        <v>1380.4580000000001</v>
      </c>
      <c r="AG427" s="592">
        <v>1486.241</v>
      </c>
      <c r="AH427" s="589">
        <f>SUM(AH424:AH426)</f>
        <v>5613.1</v>
      </c>
      <c r="AI427" s="592">
        <v>1613.9</v>
      </c>
      <c r="AJ427" s="592">
        <v>1626.5</v>
      </c>
      <c r="AK427" s="592">
        <v>1713.4</v>
      </c>
      <c r="AL427" s="592">
        <v>1851.5</v>
      </c>
      <c r="AM427" s="589">
        <f>SUM(AM424:AM426)</f>
        <v>6805.3</v>
      </c>
      <c r="AN427" s="592">
        <v>2163.8000000000002</v>
      </c>
      <c r="AO427" s="592">
        <v>2204</v>
      </c>
      <c r="AP427" s="592">
        <v>2256.8000000000002</v>
      </c>
      <c r="AQ427" s="592">
        <v>2442.6999999999998</v>
      </c>
      <c r="AR427" s="589">
        <f>SUM(AR424:AR426)</f>
        <v>9067.3000000000011</v>
      </c>
      <c r="AS427" s="592">
        <v>3025.9</v>
      </c>
      <c r="AT427" s="592">
        <v>7304.5</v>
      </c>
      <c r="AU427" s="592">
        <v>7457.9</v>
      </c>
      <c r="AV427" s="592">
        <v>8012.8209999999999</v>
      </c>
      <c r="AW427" s="589">
        <f>SUM(AW424:AW426)</f>
        <v>25801.120999999999</v>
      </c>
      <c r="AX427" s="592">
        <v>8351.9830000000002</v>
      </c>
      <c r="AY427" s="592">
        <v>8199.1</v>
      </c>
      <c r="AZ427" s="592">
        <v>8072.4409999999989</v>
      </c>
      <c r="BA427" s="592">
        <v>8367.7759999999998</v>
      </c>
      <c r="BB427" s="589">
        <f>SUM(BB424:BB426)</f>
        <v>32991.300000000003</v>
      </c>
      <c r="BC427" s="592">
        <v>8907.25</v>
      </c>
      <c r="BD427" s="592">
        <v>9438.3040000000001</v>
      </c>
      <c r="BE427" s="592">
        <v>9135.2129999999997</v>
      </c>
      <c r="BF427" s="592">
        <v>9269.4359999999997</v>
      </c>
      <c r="BG427" s="589">
        <f>SUM(BG424:BG426)</f>
        <v>36750.203000000001</v>
      </c>
      <c r="BH427" s="592">
        <v>9442.2999999999993</v>
      </c>
      <c r="BI427" s="585"/>
      <c r="BJ427" s="585"/>
      <c r="BK427" s="585"/>
      <c r="BL427" s="586"/>
      <c r="BM427" s="585"/>
      <c r="BN427" s="585"/>
      <c r="BO427" s="585"/>
      <c r="BP427" s="585"/>
      <c r="BQ427" s="586"/>
      <c r="BR427" s="585"/>
      <c r="BS427" s="585"/>
      <c r="BT427" s="585"/>
      <c r="BU427" s="585"/>
      <c r="BV427" s="586"/>
      <c r="BW427" s="585"/>
      <c r="BX427" s="585"/>
      <c r="BY427" s="585"/>
      <c r="BZ427" s="585"/>
      <c r="CA427" s="586"/>
      <c r="CB427" s="585"/>
      <c r="CC427" s="585"/>
      <c r="CD427" s="585"/>
      <c r="CE427" s="585"/>
      <c r="CF427" s="586"/>
      <c r="CG427" s="470"/>
      <c r="CH427" s="470"/>
      <c r="CI427" s="470"/>
      <c r="CJ427" s="470"/>
      <c r="CK427" s="586"/>
      <c r="CL427" s="470"/>
      <c r="CM427" s="470"/>
      <c r="CN427" s="470"/>
      <c r="CO427" s="470"/>
      <c r="CP427" s="586"/>
      <c r="CQ427" s="470"/>
      <c r="CR427" s="470"/>
      <c r="CS427" s="470"/>
      <c r="CT427" s="470"/>
      <c r="CU427" s="586"/>
      <c r="CV427" s="470"/>
      <c r="CW427" s="470"/>
      <c r="CX427" s="470"/>
      <c r="CY427" s="470"/>
      <c r="CZ427" s="586"/>
      <c r="DA427" s="470"/>
      <c r="DB427" s="470"/>
      <c r="DC427" s="470"/>
      <c r="DD427" s="470"/>
      <c r="DE427" s="586"/>
      <c r="DF427" s="470"/>
      <c r="DG427" s="470"/>
      <c r="DH427" s="470"/>
      <c r="DI427" s="914"/>
      <c r="DJ427" s="586"/>
      <c r="DK427" s="470"/>
      <c r="DL427" s="470"/>
      <c r="DM427" s="470"/>
      <c r="DN427" s="470"/>
      <c r="DO427" s="586"/>
      <c r="DP427" s="470"/>
      <c r="DQ427" s="470"/>
      <c r="DR427" s="470"/>
      <c r="DS427" s="470"/>
      <c r="DT427" s="586"/>
      <c r="DU427" s="470"/>
      <c r="DV427" s="470"/>
      <c r="DW427" s="470"/>
      <c r="DX427" s="470"/>
      <c r="DY427" s="586"/>
    </row>
    <row r="428" spans="1:129" hidden="1" outlineLevel="1" x14ac:dyDescent="0.2">
      <c r="A428" s="526"/>
      <c r="B428" s="756" t="s">
        <v>204</v>
      </c>
      <c r="C428" s="597"/>
      <c r="D428" s="597"/>
      <c r="E428" s="597"/>
      <c r="F428" s="597"/>
      <c r="G428" s="597"/>
      <c r="H428" s="597"/>
      <c r="I428" s="849"/>
      <c r="J428" s="597"/>
      <c r="K428" s="597"/>
      <c r="L428" s="597"/>
      <c r="M428" s="597"/>
      <c r="N428" s="849"/>
      <c r="O428" s="743"/>
      <c r="P428" s="743"/>
      <c r="Q428" s="743"/>
      <c r="R428" s="743"/>
      <c r="S428" s="849"/>
      <c r="T428" s="743"/>
      <c r="U428" s="743"/>
      <c r="V428" s="743"/>
      <c r="W428" s="743"/>
      <c r="X428" s="849"/>
      <c r="Y428" s="744">
        <v>0.34001564215637581</v>
      </c>
      <c r="Z428" s="744">
        <v>0.36133442685130879</v>
      </c>
      <c r="AA428" s="744">
        <v>0.33927842203405678</v>
      </c>
      <c r="AB428" s="744">
        <v>0.31709220673311123</v>
      </c>
      <c r="AC428" s="745">
        <v>0.33863503482368662</v>
      </c>
      <c r="AD428" s="744">
        <v>0.3060409319480224</v>
      </c>
      <c r="AE428" s="744">
        <v>0.26707531294284359</v>
      </c>
      <c r="AF428" s="744">
        <v>0.26783844647639499</v>
      </c>
      <c r="AG428" s="744">
        <v>0.23521658080006791</v>
      </c>
      <c r="AH428" s="745">
        <v>0.2676535051812976</v>
      </c>
      <c r="AI428" s="744">
        <v>0.17464929378387151</v>
      </c>
      <c r="AJ428" s="744">
        <v>0.18429751825412777</v>
      </c>
      <c r="AK428" s="744">
        <v>0.241182274288678</v>
      </c>
      <c r="AL428" s="744">
        <v>0.24576027710176218</v>
      </c>
      <c r="AM428" s="745">
        <v>0.21239600220911781</v>
      </c>
      <c r="AN428" s="744">
        <v>0.34072743044798282</v>
      </c>
      <c r="AO428" s="744">
        <v>0.35505687058100222</v>
      </c>
      <c r="AP428" s="744">
        <v>0.31714719271623704</v>
      </c>
      <c r="AQ428" s="744">
        <v>0.31930866864704277</v>
      </c>
      <c r="AR428" s="745">
        <v>0.33238799171234179</v>
      </c>
      <c r="AS428" s="744">
        <v>0.39841944726869416</v>
      </c>
      <c r="AT428" s="744">
        <v>2.314201451905626</v>
      </c>
      <c r="AU428" s="744">
        <v>2.3046348812477842</v>
      </c>
      <c r="AV428" s="744">
        <v>2.2803131780406929</v>
      </c>
      <c r="AW428" s="745">
        <v>1.8455131075402824</v>
      </c>
      <c r="AX428" s="744">
        <v>1.7601649096136684</v>
      </c>
      <c r="AY428" s="744">
        <v>0.12247244849065653</v>
      </c>
      <c r="AZ428" s="744">
        <v>8.240134622346762E-2</v>
      </c>
      <c r="BA428" s="744">
        <v>4.4298381306658419E-2</v>
      </c>
      <c r="BB428" s="745">
        <v>0.27867700011949115</v>
      </c>
      <c r="BC428" s="744">
        <v>6.6483253138805543E-2</v>
      </c>
      <c r="BD428" s="744">
        <v>0.1511390274542328</v>
      </c>
      <c r="BE428" s="744">
        <v>0.1316543533734098</v>
      </c>
      <c r="BF428" s="744">
        <v>0.10775384044697178</v>
      </c>
      <c r="BG428" s="745">
        <v>0.1139361892377686</v>
      </c>
      <c r="BH428" s="744">
        <v>6.0069044879171418E-2</v>
      </c>
      <c r="BI428" s="743"/>
      <c r="BJ428" s="743"/>
      <c r="BK428" s="743"/>
      <c r="BL428" s="849"/>
      <c r="BM428" s="743"/>
      <c r="BN428" s="743"/>
      <c r="BO428" s="743"/>
      <c r="BP428" s="743"/>
      <c r="BQ428" s="849"/>
      <c r="BR428" s="743"/>
      <c r="BS428" s="743"/>
      <c r="BT428" s="743"/>
      <c r="BU428" s="743"/>
      <c r="BV428" s="849"/>
      <c r="BW428" s="743"/>
      <c r="BX428" s="743"/>
      <c r="BY428" s="743"/>
      <c r="BZ428" s="743"/>
      <c r="CA428" s="849"/>
      <c r="CB428" s="743"/>
      <c r="CC428" s="743"/>
      <c r="CD428" s="743"/>
      <c r="CE428" s="743"/>
      <c r="CF428" s="849"/>
      <c r="CG428" s="820"/>
      <c r="CH428" s="820"/>
      <c r="CI428" s="820"/>
      <c r="CJ428" s="820"/>
      <c r="CK428" s="849"/>
      <c r="CL428" s="820"/>
      <c r="CM428" s="820"/>
      <c r="CN428" s="820"/>
      <c r="CO428" s="820"/>
      <c r="CP428" s="849"/>
      <c r="CQ428" s="820"/>
      <c r="CR428" s="820"/>
      <c r="CS428" s="820"/>
      <c r="CT428" s="820"/>
      <c r="CU428" s="849"/>
      <c r="CV428" s="820"/>
      <c r="CW428" s="820"/>
      <c r="CX428" s="820"/>
      <c r="CY428" s="820"/>
      <c r="CZ428" s="849"/>
      <c r="DA428" s="820"/>
      <c r="DB428" s="820"/>
      <c r="DC428" s="820"/>
      <c r="DD428" s="820"/>
      <c r="DE428" s="849"/>
      <c r="DF428" s="820"/>
      <c r="DG428" s="820"/>
      <c r="DH428" s="820"/>
      <c r="DI428" s="2815"/>
      <c r="DJ428" s="849"/>
      <c r="DK428" s="820"/>
      <c r="DL428" s="820"/>
      <c r="DM428" s="820"/>
      <c r="DN428" s="820"/>
      <c r="DO428" s="849"/>
      <c r="DP428" s="820"/>
      <c r="DQ428" s="820"/>
      <c r="DR428" s="820"/>
      <c r="DS428" s="820"/>
      <c r="DT428" s="849"/>
      <c r="DU428" s="820"/>
      <c r="DV428" s="820"/>
      <c r="DW428" s="820"/>
      <c r="DX428" s="820"/>
      <c r="DY428" s="849"/>
    </row>
    <row r="429" spans="1:129" hidden="1" outlineLevel="1" x14ac:dyDescent="0.2">
      <c r="A429" s="526"/>
      <c r="B429" s="756" t="s">
        <v>872</v>
      </c>
      <c r="C429" s="597"/>
      <c r="D429" s="597"/>
      <c r="E429" s="597"/>
      <c r="F429" s="597"/>
      <c r="G429" s="597"/>
      <c r="H429" s="597"/>
      <c r="I429" s="598"/>
      <c r="J429" s="597"/>
      <c r="K429" s="597"/>
      <c r="L429" s="597"/>
      <c r="M429" s="597"/>
      <c r="N429" s="598"/>
      <c r="O429" s="597"/>
      <c r="P429" s="597"/>
      <c r="Q429" s="597"/>
      <c r="R429" s="597"/>
      <c r="S429" s="598"/>
      <c r="T429" s="597"/>
      <c r="U429" s="597"/>
      <c r="V429" s="597"/>
      <c r="W429" s="597"/>
      <c r="X429" s="598"/>
      <c r="Y429" s="597"/>
      <c r="Z429" s="597"/>
      <c r="AA429" s="597"/>
      <c r="AB429" s="597"/>
      <c r="AC429" s="598"/>
      <c r="AD429" s="597"/>
      <c r="AE429" s="597"/>
      <c r="AF429" s="597"/>
      <c r="AG429" s="597"/>
      <c r="AH429" s="598"/>
      <c r="AI429" s="597"/>
      <c r="AJ429" s="597"/>
      <c r="AK429" s="597"/>
      <c r="AL429" s="597"/>
      <c r="AM429" s="598"/>
      <c r="AN429" s="597"/>
      <c r="AO429" s="597"/>
      <c r="AP429" s="597"/>
      <c r="AQ429" s="597"/>
      <c r="AR429" s="598"/>
      <c r="AS429" s="597"/>
      <c r="AT429" s="597"/>
      <c r="AU429" s="597"/>
      <c r="AV429" s="597"/>
      <c r="AW429" s="598"/>
      <c r="AX429" s="597"/>
      <c r="AY429" s="597"/>
      <c r="AZ429" s="597"/>
      <c r="BA429" s="597"/>
      <c r="BB429" s="598"/>
      <c r="BC429" s="968">
        <v>0.11</v>
      </c>
      <c r="BD429" s="968">
        <v>0.19</v>
      </c>
      <c r="BE429" s="597"/>
      <c r="BF429" s="597"/>
      <c r="BG429" s="598"/>
      <c r="BH429" s="968">
        <v>0.13</v>
      </c>
      <c r="BI429" s="597"/>
      <c r="BJ429" s="597"/>
      <c r="BK429" s="597"/>
      <c r="BL429" s="598"/>
      <c r="BM429" s="597"/>
      <c r="BN429" s="597"/>
      <c r="BO429" s="597"/>
      <c r="BP429" s="597"/>
      <c r="BQ429" s="598"/>
      <c r="BR429" s="597"/>
      <c r="BS429" s="597"/>
      <c r="BT429" s="597"/>
      <c r="BU429" s="597"/>
      <c r="BV429" s="598"/>
      <c r="BW429" s="597"/>
      <c r="BX429" s="597"/>
      <c r="BY429" s="597"/>
      <c r="BZ429" s="597"/>
      <c r="CA429" s="598"/>
      <c r="CB429" s="597"/>
      <c r="CC429" s="597"/>
      <c r="CD429" s="597"/>
      <c r="CE429" s="597"/>
      <c r="CF429" s="598"/>
      <c r="CG429" s="682"/>
      <c r="CH429" s="682"/>
      <c r="CI429" s="682"/>
      <c r="CJ429" s="682"/>
      <c r="CK429" s="598"/>
      <c r="CL429" s="682"/>
      <c r="CM429" s="682"/>
      <c r="CN429" s="682"/>
      <c r="CO429" s="682"/>
      <c r="CP429" s="598"/>
      <c r="CQ429" s="682"/>
      <c r="CR429" s="682"/>
      <c r="CS429" s="682"/>
      <c r="CT429" s="682"/>
      <c r="CU429" s="598"/>
      <c r="CV429" s="682"/>
      <c r="CW429" s="682"/>
      <c r="CX429" s="682"/>
      <c r="CY429" s="682"/>
      <c r="CZ429" s="598"/>
      <c r="DA429" s="682"/>
      <c r="DB429" s="682"/>
      <c r="DC429" s="682"/>
      <c r="DD429" s="682"/>
      <c r="DE429" s="598"/>
      <c r="DF429" s="682"/>
      <c r="DG429" s="682"/>
      <c r="DH429" s="682"/>
      <c r="DI429" s="1610"/>
      <c r="DJ429" s="598"/>
      <c r="DK429" s="682"/>
      <c r="DL429" s="682"/>
      <c r="DM429" s="682"/>
      <c r="DN429" s="682"/>
      <c r="DO429" s="598"/>
      <c r="DP429" s="682"/>
      <c r="DQ429" s="682"/>
      <c r="DR429" s="682"/>
      <c r="DS429" s="682"/>
      <c r="DT429" s="598"/>
      <c r="DU429" s="682"/>
      <c r="DV429" s="682"/>
      <c r="DW429" s="682"/>
      <c r="DX429" s="682"/>
      <c r="DY429" s="598"/>
    </row>
    <row r="430" spans="1:129" hidden="1" outlineLevel="1" x14ac:dyDescent="0.2">
      <c r="A430" s="526"/>
      <c r="B430" s="756"/>
      <c r="C430" s="597"/>
      <c r="D430" s="597"/>
      <c r="E430" s="597"/>
      <c r="F430" s="597"/>
      <c r="G430" s="597"/>
      <c r="H430" s="597"/>
      <c r="I430" s="598"/>
      <c r="J430" s="597"/>
      <c r="K430" s="597"/>
      <c r="L430" s="597"/>
      <c r="M430" s="597"/>
      <c r="N430" s="598"/>
      <c r="O430" s="597"/>
      <c r="P430" s="597"/>
      <c r="Q430" s="597"/>
      <c r="R430" s="597"/>
      <c r="S430" s="598"/>
      <c r="T430" s="597"/>
      <c r="U430" s="597"/>
      <c r="V430" s="597"/>
      <c r="W430" s="597"/>
      <c r="X430" s="598"/>
      <c r="Y430" s="597"/>
      <c r="Z430" s="597"/>
      <c r="AA430" s="597"/>
      <c r="AB430" s="597"/>
      <c r="AC430" s="598"/>
      <c r="AD430" s="597"/>
      <c r="AE430" s="597"/>
      <c r="AF430" s="597"/>
      <c r="AG430" s="597"/>
      <c r="AH430" s="598"/>
      <c r="AI430" s="597"/>
      <c r="AJ430" s="597"/>
      <c r="AK430" s="597"/>
      <c r="AL430" s="597"/>
      <c r="AM430" s="598"/>
      <c r="AN430" s="597"/>
      <c r="AO430" s="597"/>
      <c r="AP430" s="597"/>
      <c r="AQ430" s="597"/>
      <c r="AR430" s="598"/>
      <c r="AS430" s="597"/>
      <c r="AT430" s="597"/>
      <c r="AU430" s="597"/>
      <c r="AV430" s="597"/>
      <c r="AW430" s="598"/>
      <c r="AX430" s="597"/>
      <c r="AY430" s="597"/>
      <c r="AZ430" s="597"/>
      <c r="BA430" s="597"/>
      <c r="BB430" s="598"/>
      <c r="BC430" s="597"/>
      <c r="BD430" s="597"/>
      <c r="BE430" s="597"/>
      <c r="BF430" s="597"/>
      <c r="BG430" s="598"/>
      <c r="BH430" s="597"/>
      <c r="BI430" s="597"/>
      <c r="BJ430" s="597"/>
      <c r="BK430" s="597"/>
      <c r="BL430" s="598"/>
      <c r="BM430" s="597"/>
      <c r="BN430" s="597"/>
      <c r="BO430" s="597"/>
      <c r="BP430" s="597"/>
      <c r="BQ430" s="598"/>
      <c r="BR430" s="597"/>
      <c r="BS430" s="597"/>
      <c r="BT430" s="597"/>
      <c r="BU430" s="597"/>
      <c r="BV430" s="598"/>
      <c r="BW430" s="597"/>
      <c r="BX430" s="597"/>
      <c r="BY430" s="597"/>
      <c r="BZ430" s="597"/>
      <c r="CA430" s="598"/>
      <c r="CB430" s="597"/>
      <c r="CC430" s="597"/>
      <c r="CD430" s="597"/>
      <c r="CE430" s="597"/>
      <c r="CF430" s="598"/>
      <c r="CG430" s="682"/>
      <c r="CH430" s="682"/>
      <c r="CI430" s="682"/>
      <c r="CJ430" s="682"/>
      <c r="CK430" s="598"/>
      <c r="CL430" s="682"/>
      <c r="CM430" s="682"/>
      <c r="CN430" s="682"/>
      <c r="CO430" s="682"/>
      <c r="CP430" s="598"/>
      <c r="CQ430" s="682"/>
      <c r="CR430" s="682"/>
      <c r="CS430" s="682"/>
      <c r="CT430" s="682"/>
      <c r="CU430" s="598"/>
      <c r="CV430" s="682"/>
      <c r="CW430" s="682"/>
      <c r="CX430" s="682"/>
      <c r="CY430" s="682"/>
      <c r="CZ430" s="598"/>
      <c r="DA430" s="682"/>
      <c r="DB430" s="682"/>
      <c r="DC430" s="682"/>
      <c r="DD430" s="682"/>
      <c r="DE430" s="598"/>
      <c r="DF430" s="682"/>
      <c r="DG430" s="682"/>
      <c r="DH430" s="682"/>
      <c r="DI430" s="1610"/>
      <c r="DJ430" s="598"/>
      <c r="DK430" s="682"/>
      <c r="DL430" s="682"/>
      <c r="DM430" s="682"/>
      <c r="DN430" s="682"/>
      <c r="DO430" s="598"/>
      <c r="DP430" s="682"/>
      <c r="DQ430" s="682"/>
      <c r="DR430" s="682"/>
      <c r="DS430" s="682"/>
      <c r="DT430" s="598"/>
      <c r="DU430" s="682"/>
      <c r="DV430" s="682"/>
      <c r="DW430" s="682"/>
      <c r="DX430" s="682"/>
      <c r="DY430" s="598"/>
    </row>
    <row r="431" spans="1:129" hidden="1" outlineLevel="1" x14ac:dyDescent="0.2">
      <c r="A431" s="466"/>
      <c r="B431" s="607" t="s">
        <v>873</v>
      </c>
      <c r="C431" s="585"/>
      <c r="D431" s="585"/>
      <c r="E431" s="585"/>
      <c r="F431" s="585"/>
      <c r="G431" s="585"/>
      <c r="H431" s="585"/>
      <c r="I431" s="586"/>
      <c r="J431" s="585"/>
      <c r="K431" s="585"/>
      <c r="L431" s="585"/>
      <c r="M431" s="585"/>
      <c r="N431" s="586"/>
      <c r="O431" s="585"/>
      <c r="P431" s="585"/>
      <c r="Q431" s="585"/>
      <c r="R431" s="585"/>
      <c r="S431" s="586"/>
      <c r="T431" s="585"/>
      <c r="U431" s="585"/>
      <c r="V431" s="585"/>
      <c r="W431" s="585"/>
      <c r="X431" s="586"/>
      <c r="Y431" s="585"/>
      <c r="Z431" s="585"/>
      <c r="AA431" s="585"/>
      <c r="AB431" s="585"/>
      <c r="AC431" s="586"/>
      <c r="AD431" s="585"/>
      <c r="AE431" s="585"/>
      <c r="AF431" s="585"/>
      <c r="AG431" s="585"/>
      <c r="AH431" s="754">
        <v>4923.6000000000004</v>
      </c>
      <c r="AI431" s="592">
        <v>1422.925</v>
      </c>
      <c r="AJ431" s="592">
        <v>1422.2809999999999</v>
      </c>
      <c r="AK431" s="592">
        <v>1495.4069999999999</v>
      </c>
      <c r="AL431" s="592">
        <v>1604.6780000000001</v>
      </c>
      <c r="AM431" s="754">
        <v>5945.2910000000002</v>
      </c>
      <c r="AN431" s="592">
        <v>1907.5</v>
      </c>
      <c r="AO431" s="592">
        <v>1936.7</v>
      </c>
      <c r="AP431" s="592">
        <v>1975.1969999999999</v>
      </c>
      <c r="AQ431" s="592">
        <v>2141.6980000000003</v>
      </c>
      <c r="AR431" s="754">
        <v>7961.0950000000003</v>
      </c>
      <c r="AS431" s="592">
        <v>2692.3</v>
      </c>
      <c r="AT431" s="592">
        <v>6694.5</v>
      </c>
      <c r="AU431" s="592">
        <v>6803.7</v>
      </c>
      <c r="AV431" s="592">
        <v>7278.4</v>
      </c>
      <c r="AW431" s="754">
        <v>23468.9</v>
      </c>
      <c r="AX431" s="592">
        <v>7659.2</v>
      </c>
      <c r="AY431" s="592">
        <v>7500.2</v>
      </c>
      <c r="AZ431" s="592">
        <v>7319.2</v>
      </c>
      <c r="BA431" s="592">
        <v>7508</v>
      </c>
      <c r="BB431" s="754">
        <v>29986.6</v>
      </c>
      <c r="BC431" s="592">
        <v>8123.9</v>
      </c>
      <c r="BD431" s="592">
        <v>8608.0959999999995</v>
      </c>
      <c r="BE431" s="585"/>
      <c r="BF431" s="585"/>
      <c r="BG431" s="754">
        <v>16731.995999999999</v>
      </c>
      <c r="BH431" s="585"/>
      <c r="BI431" s="585"/>
      <c r="BJ431" s="585"/>
      <c r="BK431" s="585"/>
      <c r="BL431" s="586"/>
      <c r="BM431" s="585"/>
      <c r="BN431" s="585"/>
      <c r="BO431" s="585"/>
      <c r="BP431" s="585"/>
      <c r="BQ431" s="586"/>
      <c r="BR431" s="585"/>
      <c r="BS431" s="585"/>
      <c r="BT431" s="585"/>
      <c r="BU431" s="585"/>
      <c r="BV431" s="586"/>
      <c r="BW431" s="585"/>
      <c r="BX431" s="585"/>
      <c r="BY431" s="585"/>
      <c r="BZ431" s="585"/>
      <c r="CA431" s="586"/>
      <c r="CB431" s="585"/>
      <c r="CC431" s="585"/>
      <c r="CD431" s="585"/>
      <c r="CE431" s="585"/>
      <c r="CF431" s="586"/>
      <c r="CG431" s="470"/>
      <c r="CH431" s="470"/>
      <c r="CI431" s="470"/>
      <c r="CJ431" s="470"/>
      <c r="CK431" s="586"/>
      <c r="CL431" s="470"/>
      <c r="CM431" s="470"/>
      <c r="CN431" s="470"/>
      <c r="CO431" s="470"/>
      <c r="CP431" s="586"/>
      <c r="CQ431" s="470"/>
      <c r="CR431" s="470"/>
      <c r="CS431" s="470"/>
      <c r="CT431" s="470"/>
      <c r="CU431" s="586"/>
      <c r="CV431" s="470"/>
      <c r="CW431" s="470"/>
      <c r="CX431" s="470"/>
      <c r="CY431" s="470"/>
      <c r="CZ431" s="586"/>
      <c r="DA431" s="470"/>
      <c r="DB431" s="470"/>
      <c r="DC431" s="470"/>
      <c r="DD431" s="470"/>
      <c r="DE431" s="586"/>
      <c r="DF431" s="470"/>
      <c r="DG431" s="470"/>
      <c r="DH431" s="470"/>
      <c r="DI431" s="914"/>
      <c r="DJ431" s="586"/>
      <c r="DK431" s="470"/>
      <c r="DL431" s="470"/>
      <c r="DM431" s="470"/>
      <c r="DN431" s="470"/>
      <c r="DO431" s="586"/>
      <c r="DP431" s="470"/>
      <c r="DQ431" s="470"/>
      <c r="DR431" s="470"/>
      <c r="DS431" s="470"/>
      <c r="DT431" s="586"/>
      <c r="DU431" s="470"/>
      <c r="DV431" s="470"/>
      <c r="DW431" s="470"/>
      <c r="DX431" s="470"/>
      <c r="DY431" s="586"/>
    </row>
    <row r="432" spans="1:129" hidden="1" outlineLevel="1" x14ac:dyDescent="0.2">
      <c r="A432" s="526"/>
      <c r="B432" s="756" t="s">
        <v>874</v>
      </c>
      <c r="C432" s="597"/>
      <c r="D432" s="597"/>
      <c r="E432" s="597"/>
      <c r="F432" s="597"/>
      <c r="G432" s="597"/>
      <c r="H432" s="597"/>
      <c r="I432" s="939"/>
      <c r="J432" s="597"/>
      <c r="K432" s="597"/>
      <c r="L432" s="597"/>
      <c r="M432" s="597"/>
      <c r="N432" s="939"/>
      <c r="O432" s="597"/>
      <c r="P432" s="597"/>
      <c r="Q432" s="597"/>
      <c r="R432" s="597"/>
      <c r="S432" s="939"/>
      <c r="T432" s="597"/>
      <c r="U432" s="597"/>
      <c r="V432" s="597"/>
      <c r="W432" s="597"/>
      <c r="X432" s="939"/>
      <c r="Y432" s="597"/>
      <c r="Z432" s="597"/>
      <c r="AA432" s="597"/>
      <c r="AB432" s="597"/>
      <c r="AC432" s="939"/>
      <c r="AD432" s="597"/>
      <c r="AE432" s="597"/>
      <c r="AF432" s="597"/>
      <c r="AG432" s="597"/>
      <c r="AH432" s="973">
        <f>AH431/AH427</f>
        <v>0.87716235235431406</v>
      </c>
      <c r="AI432" s="597"/>
      <c r="AJ432" s="597"/>
      <c r="AK432" s="597"/>
      <c r="AL432" s="597"/>
      <c r="AM432" s="973">
        <f>AM431/AM427</f>
        <v>0.87362658516156522</v>
      </c>
      <c r="AN432" s="597"/>
      <c r="AO432" s="597"/>
      <c r="AP432" s="597"/>
      <c r="AQ432" s="597"/>
      <c r="AR432" s="973">
        <f>AR431/AR427</f>
        <v>0.87800061760391734</v>
      </c>
      <c r="AS432" s="597"/>
      <c r="AT432" s="597"/>
      <c r="AU432" s="597"/>
      <c r="AV432" s="597"/>
      <c r="AW432" s="973">
        <f>AW431/AW427</f>
        <v>0.90960776471688976</v>
      </c>
      <c r="AX432" s="597"/>
      <c r="AY432" s="597"/>
      <c r="AZ432" s="597"/>
      <c r="BA432" s="597"/>
      <c r="BB432" s="973">
        <f>BB431/BB427</f>
        <v>0.90892447402800125</v>
      </c>
      <c r="BC432" s="974">
        <v>0.91205478683095231</v>
      </c>
      <c r="BD432" s="974">
        <v>0.91203843402373985</v>
      </c>
      <c r="BE432" s="597"/>
      <c r="BF432" s="597"/>
      <c r="BG432" s="939"/>
      <c r="BH432" s="597"/>
      <c r="BI432" s="597"/>
      <c r="BJ432" s="597"/>
      <c r="BK432" s="597"/>
      <c r="BL432" s="939"/>
      <c r="BM432" s="597"/>
      <c r="BN432" s="597"/>
      <c r="BO432" s="597"/>
      <c r="BP432" s="597"/>
      <c r="BQ432" s="939"/>
      <c r="BR432" s="597"/>
      <c r="BS432" s="597"/>
      <c r="BT432" s="597"/>
      <c r="BU432" s="597"/>
      <c r="BV432" s="939"/>
      <c r="BW432" s="597"/>
      <c r="BX432" s="597"/>
      <c r="BY432" s="597"/>
      <c r="BZ432" s="597"/>
      <c r="CA432" s="939"/>
      <c r="CB432" s="597"/>
      <c r="CC432" s="597"/>
      <c r="CD432" s="597"/>
      <c r="CE432" s="597"/>
      <c r="CF432" s="939"/>
      <c r="CG432" s="682"/>
      <c r="CH432" s="682"/>
      <c r="CI432" s="682"/>
      <c r="CJ432" s="682"/>
      <c r="CK432" s="939"/>
      <c r="CL432" s="682"/>
      <c r="CM432" s="682"/>
      <c r="CN432" s="682"/>
      <c r="CO432" s="682"/>
      <c r="CP432" s="939"/>
      <c r="CQ432" s="682"/>
      <c r="CR432" s="682"/>
      <c r="CS432" s="682"/>
      <c r="CT432" s="682"/>
      <c r="CU432" s="939"/>
      <c r="CV432" s="682"/>
      <c r="CW432" s="682"/>
      <c r="CX432" s="682"/>
      <c r="CY432" s="682"/>
      <c r="CZ432" s="939"/>
      <c r="DA432" s="682"/>
      <c r="DB432" s="682"/>
      <c r="DC432" s="682"/>
      <c r="DD432" s="682"/>
      <c r="DE432" s="939"/>
      <c r="DF432" s="682"/>
      <c r="DG432" s="682"/>
      <c r="DH432" s="682"/>
      <c r="DI432" s="1610"/>
      <c r="DJ432" s="939"/>
      <c r="DK432" s="682"/>
      <c r="DL432" s="682"/>
      <c r="DM432" s="682"/>
      <c r="DN432" s="682"/>
      <c r="DO432" s="939"/>
      <c r="DP432" s="682"/>
      <c r="DQ432" s="682"/>
      <c r="DR432" s="682"/>
      <c r="DS432" s="682"/>
      <c r="DT432" s="939"/>
      <c r="DU432" s="682"/>
      <c r="DV432" s="682"/>
      <c r="DW432" s="682"/>
      <c r="DX432" s="682"/>
      <c r="DY432" s="939"/>
    </row>
    <row r="433" spans="1:129" hidden="1" outlineLevel="1" x14ac:dyDescent="0.2">
      <c r="A433" s="466"/>
      <c r="B433" s="607" t="s">
        <v>875</v>
      </c>
      <c r="C433" s="585"/>
      <c r="D433" s="585"/>
      <c r="E433" s="585"/>
      <c r="F433" s="585"/>
      <c r="G433" s="585"/>
      <c r="H433" s="585"/>
      <c r="I433" s="586"/>
      <c r="J433" s="585"/>
      <c r="K433" s="585"/>
      <c r="L433" s="585"/>
      <c r="M433" s="585"/>
      <c r="N433" s="586"/>
      <c r="O433" s="585"/>
      <c r="P433" s="585"/>
      <c r="Q433" s="585"/>
      <c r="R433" s="585"/>
      <c r="S433" s="586"/>
      <c r="T433" s="585"/>
      <c r="U433" s="585"/>
      <c r="V433" s="585"/>
      <c r="W433" s="585"/>
      <c r="X433" s="586"/>
      <c r="Y433" s="585"/>
      <c r="Z433" s="585"/>
      <c r="AA433" s="585"/>
      <c r="AB433" s="585"/>
      <c r="AC433" s="586"/>
      <c r="AD433" s="585"/>
      <c r="AE433" s="585"/>
      <c r="AF433" s="585"/>
      <c r="AG433" s="585"/>
      <c r="AH433" s="754">
        <v>246.1</v>
      </c>
      <c r="AI433" s="592">
        <v>67.924999999999997</v>
      </c>
      <c r="AJ433" s="592">
        <v>65.78</v>
      </c>
      <c r="AK433" s="592">
        <v>68.807000000000002</v>
      </c>
      <c r="AL433" s="592">
        <v>79.379000000000005</v>
      </c>
      <c r="AM433" s="754">
        <v>281.89100000000002</v>
      </c>
      <c r="AN433" s="592">
        <v>84.201000000000008</v>
      </c>
      <c r="AO433" s="592">
        <v>82.698999999999998</v>
      </c>
      <c r="AP433" s="592">
        <v>83.697000000000003</v>
      </c>
      <c r="AQ433" s="592">
        <v>87.49799999999999</v>
      </c>
      <c r="AR433" s="754">
        <v>338.09500000000003</v>
      </c>
      <c r="AS433" s="592">
        <v>102.51100000000088</v>
      </c>
      <c r="AT433" s="592">
        <v>200.09100000000035</v>
      </c>
      <c r="AU433" s="592">
        <v>201.04100000000017</v>
      </c>
      <c r="AV433" s="592">
        <v>219.95699999999863</v>
      </c>
      <c r="AW433" s="754">
        <v>723.6</v>
      </c>
      <c r="AX433" s="592">
        <v>210.52400000000034</v>
      </c>
      <c r="AY433" s="592">
        <v>186.19400000000041</v>
      </c>
      <c r="AZ433" s="592">
        <v>214.19500000000062</v>
      </c>
      <c r="BA433" s="592">
        <v>291.46100000000297</v>
      </c>
      <c r="BB433" s="754">
        <v>902.37400000000434</v>
      </c>
      <c r="BC433" s="592">
        <v>249.54499999999999</v>
      </c>
      <c r="BD433" s="592">
        <v>242.66500000000087</v>
      </c>
      <c r="BE433" s="585"/>
      <c r="BF433" s="585"/>
      <c r="BG433" s="754">
        <v>492.21000000000095</v>
      </c>
      <c r="BH433" s="585"/>
      <c r="BI433" s="585"/>
      <c r="BJ433" s="585"/>
      <c r="BK433" s="585"/>
      <c r="BL433" s="586"/>
      <c r="BM433" s="585"/>
      <c r="BN433" s="585"/>
      <c r="BO433" s="585"/>
      <c r="BP433" s="585"/>
      <c r="BQ433" s="586"/>
      <c r="BR433" s="585"/>
      <c r="BS433" s="585"/>
      <c r="BT433" s="585"/>
      <c r="BU433" s="585"/>
      <c r="BV433" s="586"/>
      <c r="BW433" s="585"/>
      <c r="BX433" s="585"/>
      <c r="BY433" s="585"/>
      <c r="BZ433" s="585"/>
      <c r="CA433" s="586"/>
      <c r="CB433" s="585"/>
      <c r="CC433" s="585"/>
      <c r="CD433" s="585"/>
      <c r="CE433" s="585"/>
      <c r="CF433" s="586"/>
      <c r="CG433" s="470"/>
      <c r="CH433" s="470"/>
      <c r="CI433" s="470"/>
      <c r="CJ433" s="470"/>
      <c r="CK433" s="586"/>
      <c r="CL433" s="470"/>
      <c r="CM433" s="470"/>
      <c r="CN433" s="470"/>
      <c r="CO433" s="470"/>
      <c r="CP433" s="586"/>
      <c r="CQ433" s="470"/>
      <c r="CR433" s="470"/>
      <c r="CS433" s="470"/>
      <c r="CT433" s="470"/>
      <c r="CU433" s="586"/>
      <c r="CV433" s="470"/>
      <c r="CW433" s="470"/>
      <c r="CX433" s="470"/>
      <c r="CY433" s="470"/>
      <c r="CZ433" s="586"/>
      <c r="DA433" s="470"/>
      <c r="DB433" s="470"/>
      <c r="DC433" s="470"/>
      <c r="DD433" s="470"/>
      <c r="DE433" s="586"/>
      <c r="DF433" s="470"/>
      <c r="DG433" s="470"/>
      <c r="DH433" s="470"/>
      <c r="DI433" s="914"/>
      <c r="DJ433" s="586"/>
      <c r="DK433" s="470"/>
      <c r="DL433" s="470"/>
      <c r="DM433" s="470"/>
      <c r="DN433" s="470"/>
      <c r="DO433" s="586"/>
      <c r="DP433" s="470"/>
      <c r="DQ433" s="470"/>
      <c r="DR433" s="470"/>
      <c r="DS433" s="470"/>
      <c r="DT433" s="586"/>
      <c r="DU433" s="470"/>
      <c r="DV433" s="470"/>
      <c r="DW433" s="470"/>
      <c r="DX433" s="470"/>
      <c r="DY433" s="586"/>
    </row>
    <row r="434" spans="1:129" hidden="1" outlineLevel="1" x14ac:dyDescent="0.2">
      <c r="A434" s="526"/>
      <c r="B434" s="756" t="s">
        <v>876</v>
      </c>
      <c r="C434" s="597"/>
      <c r="D434" s="597"/>
      <c r="E434" s="597"/>
      <c r="F434" s="597"/>
      <c r="G434" s="597"/>
      <c r="H434" s="597"/>
      <c r="I434" s="939"/>
      <c r="J434" s="597"/>
      <c r="K434" s="597"/>
      <c r="L434" s="597"/>
      <c r="M434" s="597"/>
      <c r="N434" s="939"/>
      <c r="O434" s="597"/>
      <c r="P434" s="597"/>
      <c r="Q434" s="597"/>
      <c r="R434" s="597"/>
      <c r="S434" s="939"/>
      <c r="T434" s="597"/>
      <c r="U434" s="597"/>
      <c r="V434" s="597"/>
      <c r="W434" s="597"/>
      <c r="X434" s="939"/>
      <c r="Y434" s="597"/>
      <c r="Z434" s="597"/>
      <c r="AA434" s="597"/>
      <c r="AB434" s="597"/>
      <c r="AC434" s="939"/>
      <c r="AD434" s="597"/>
      <c r="AE434" s="597"/>
      <c r="AF434" s="597"/>
      <c r="AG434" s="597"/>
      <c r="AH434" s="973">
        <f>AH433/AH424</f>
        <v>8.8525179856115105E-2</v>
      </c>
      <c r="AI434" s="597"/>
      <c r="AJ434" s="597"/>
      <c r="AK434" s="597"/>
      <c r="AL434" s="597"/>
      <c r="AM434" s="973">
        <f>AM433/AM424</f>
        <v>8.2663558253423655E-2</v>
      </c>
      <c r="AN434" s="597"/>
      <c r="AO434" s="597"/>
      <c r="AP434" s="597"/>
      <c r="AQ434" s="597"/>
      <c r="AR434" s="973">
        <f>AR433/AR424</f>
        <v>7.5336467757030179E-2</v>
      </c>
      <c r="AS434" s="597"/>
      <c r="AT434" s="597"/>
      <c r="AU434" s="597"/>
      <c r="AV434" s="597"/>
      <c r="AW434" s="973">
        <f>AW433/AW424</f>
        <v>9.0277153105734934E-2</v>
      </c>
      <c r="AX434" s="597"/>
      <c r="AY434" s="597"/>
      <c r="AZ434" s="597"/>
      <c r="BA434" s="597"/>
      <c r="BB434" s="973">
        <f>BB433/BB424</f>
        <v>7.7831119544592403E-2</v>
      </c>
      <c r="BC434" s="974">
        <v>8.070144233878794E-2</v>
      </c>
      <c r="BD434" s="974">
        <v>7.6075016333251269E-2</v>
      </c>
      <c r="BE434" s="597"/>
      <c r="BF434" s="597"/>
      <c r="BG434" s="939"/>
      <c r="BH434" s="597"/>
      <c r="BI434" s="597"/>
      <c r="BJ434" s="597"/>
      <c r="BK434" s="597"/>
      <c r="BL434" s="939"/>
      <c r="BM434" s="597"/>
      <c r="BN434" s="597"/>
      <c r="BO434" s="597"/>
      <c r="BP434" s="597"/>
      <c r="BQ434" s="939"/>
      <c r="BR434" s="597"/>
      <c r="BS434" s="597"/>
      <c r="BT434" s="597"/>
      <c r="BU434" s="597"/>
      <c r="BV434" s="939"/>
      <c r="BW434" s="597"/>
      <c r="BX434" s="597"/>
      <c r="BY434" s="597"/>
      <c r="BZ434" s="597"/>
      <c r="CA434" s="939"/>
      <c r="CB434" s="597"/>
      <c r="CC434" s="597"/>
      <c r="CD434" s="597"/>
      <c r="CE434" s="597"/>
      <c r="CF434" s="939"/>
      <c r="CG434" s="682"/>
      <c r="CH434" s="682"/>
      <c r="CI434" s="682"/>
      <c r="CJ434" s="682"/>
      <c r="CK434" s="939"/>
      <c r="CL434" s="682"/>
      <c r="CM434" s="682"/>
      <c r="CN434" s="682"/>
      <c r="CO434" s="682"/>
      <c r="CP434" s="939"/>
      <c r="CQ434" s="682"/>
      <c r="CR434" s="682"/>
      <c r="CS434" s="682"/>
      <c r="CT434" s="682"/>
      <c r="CU434" s="939"/>
      <c r="CV434" s="682"/>
      <c r="CW434" s="682"/>
      <c r="CX434" s="682"/>
      <c r="CY434" s="682"/>
      <c r="CZ434" s="939"/>
      <c r="DA434" s="682"/>
      <c r="DB434" s="682"/>
      <c r="DC434" s="682"/>
      <c r="DD434" s="682"/>
      <c r="DE434" s="939"/>
      <c r="DF434" s="682"/>
      <c r="DG434" s="682"/>
      <c r="DH434" s="682"/>
      <c r="DI434" s="1610"/>
      <c r="DJ434" s="939"/>
      <c r="DK434" s="682"/>
      <c r="DL434" s="682"/>
      <c r="DM434" s="682"/>
      <c r="DN434" s="682"/>
      <c r="DO434" s="939"/>
      <c r="DP434" s="682"/>
      <c r="DQ434" s="682"/>
      <c r="DR434" s="682"/>
      <c r="DS434" s="682"/>
      <c r="DT434" s="939"/>
      <c r="DU434" s="682"/>
      <c r="DV434" s="682"/>
      <c r="DW434" s="682"/>
      <c r="DX434" s="682"/>
      <c r="DY434" s="939"/>
    </row>
    <row r="435" spans="1:129" hidden="1" outlineLevel="1" x14ac:dyDescent="0.2">
      <c r="A435" s="466"/>
      <c r="B435" s="607" t="s">
        <v>877</v>
      </c>
      <c r="C435" s="585"/>
      <c r="D435" s="585"/>
      <c r="E435" s="585"/>
      <c r="F435" s="585"/>
      <c r="G435" s="585"/>
      <c r="H435" s="585"/>
      <c r="I435" s="586"/>
      <c r="J435" s="585"/>
      <c r="K435" s="585"/>
      <c r="L435" s="585"/>
      <c r="M435" s="585"/>
      <c r="N435" s="586"/>
      <c r="O435" s="585"/>
      <c r="P435" s="585"/>
      <c r="Q435" s="585"/>
      <c r="R435" s="585"/>
      <c r="S435" s="586"/>
      <c r="T435" s="592">
        <v>715.86599999999999</v>
      </c>
      <c r="U435" s="592">
        <v>722.93200000000002</v>
      </c>
      <c r="V435" s="592">
        <v>738.05399999999997</v>
      </c>
      <c r="W435" s="592">
        <v>826.91200000000003</v>
      </c>
      <c r="X435" s="589">
        <f>SUM(T435:W435)</f>
        <v>3003.7640000000001</v>
      </c>
      <c r="Y435" s="592">
        <v>968.67499999999995</v>
      </c>
      <c r="Z435" s="592">
        <v>1000.498</v>
      </c>
      <c r="AA435" s="592">
        <v>1004.4640000000001</v>
      </c>
      <c r="AB435" s="592">
        <v>1104.6849999999999</v>
      </c>
      <c r="AC435" s="589">
        <f>SUM(Y435:AB435)</f>
        <v>4078.3220000000001</v>
      </c>
      <c r="AD435" s="592">
        <v>1270.7550000000001</v>
      </c>
      <c r="AE435" s="592">
        <v>1268.0319999999999</v>
      </c>
      <c r="AF435" s="592">
        <v>1271.3869999999999</v>
      </c>
      <c r="AG435" s="592">
        <v>1359.5419999999999</v>
      </c>
      <c r="AH435" s="754">
        <v>5169.7160000000003</v>
      </c>
      <c r="AI435" s="592">
        <v>1490.85</v>
      </c>
      <c r="AJ435" s="592">
        <v>1488.0609999999999</v>
      </c>
      <c r="AK435" s="592">
        <v>1564.2139999999999</v>
      </c>
      <c r="AL435" s="592">
        <v>1684.057</v>
      </c>
      <c r="AM435" s="754">
        <v>6227.1819999999998</v>
      </c>
      <c r="AN435" s="592">
        <v>1991.701</v>
      </c>
      <c r="AO435" s="592">
        <v>2019.3990000000001</v>
      </c>
      <c r="AP435" s="592">
        <v>2058.8939999999998</v>
      </c>
      <c r="AQ435" s="592">
        <v>2229.1960000000004</v>
      </c>
      <c r="AR435" s="754">
        <v>8299.19</v>
      </c>
      <c r="AS435" s="592">
        <v>2794.8110000000001</v>
      </c>
      <c r="AT435" s="592">
        <v>6894.5910000000003</v>
      </c>
      <c r="AU435" s="592">
        <v>7004.741</v>
      </c>
      <c r="AV435" s="592">
        <v>7498.2910000000002</v>
      </c>
      <c r="AW435" s="754">
        <v>24192.434000000001</v>
      </c>
      <c r="AX435" s="592">
        <v>7869.7240000000002</v>
      </c>
      <c r="AY435" s="592">
        <v>7686.3940000000002</v>
      </c>
      <c r="AZ435" s="592">
        <v>7533.3950000000004</v>
      </c>
      <c r="BA435" s="592">
        <v>7799.4610000000002</v>
      </c>
      <c r="BB435" s="754">
        <v>30888.973999999998</v>
      </c>
      <c r="BC435" s="592">
        <v>8373.4449999999997</v>
      </c>
      <c r="BD435" s="592">
        <v>8850.7610000000004</v>
      </c>
      <c r="BE435" s="592">
        <v>8509.2199999999993</v>
      </c>
      <c r="BF435" s="592">
        <v>8610.7000000000007</v>
      </c>
      <c r="BG435" s="754">
        <v>34344.126000000004</v>
      </c>
      <c r="BH435" s="592">
        <v>8808.2000000000007</v>
      </c>
      <c r="BI435" s="585"/>
      <c r="BJ435" s="585"/>
      <c r="BK435" s="585"/>
      <c r="BL435" s="586"/>
      <c r="BM435" s="585"/>
      <c r="BN435" s="585"/>
      <c r="BO435" s="585"/>
      <c r="BP435" s="585"/>
      <c r="BQ435" s="586"/>
      <c r="BR435" s="585"/>
      <c r="BS435" s="585"/>
      <c r="BT435" s="585"/>
      <c r="BU435" s="585"/>
      <c r="BV435" s="586"/>
      <c r="BW435" s="585"/>
      <c r="BX435" s="585"/>
      <c r="BY435" s="585"/>
      <c r="BZ435" s="585"/>
      <c r="CA435" s="586"/>
      <c r="CB435" s="585"/>
      <c r="CC435" s="585"/>
      <c r="CD435" s="585"/>
      <c r="CE435" s="585"/>
      <c r="CF435" s="586"/>
      <c r="CG435" s="470"/>
      <c r="CH435" s="470"/>
      <c r="CI435" s="470"/>
      <c r="CJ435" s="470"/>
      <c r="CK435" s="586"/>
      <c r="CL435" s="470"/>
      <c r="CM435" s="470"/>
      <c r="CN435" s="470"/>
      <c r="CO435" s="470"/>
      <c r="CP435" s="586"/>
      <c r="CQ435" s="470"/>
      <c r="CR435" s="470"/>
      <c r="CS435" s="470"/>
      <c r="CT435" s="470"/>
      <c r="CU435" s="586"/>
      <c r="CV435" s="470"/>
      <c r="CW435" s="470"/>
      <c r="CX435" s="470"/>
      <c r="CY435" s="470"/>
      <c r="CZ435" s="586"/>
      <c r="DA435" s="470"/>
      <c r="DB435" s="470"/>
      <c r="DC435" s="470"/>
      <c r="DD435" s="470"/>
      <c r="DE435" s="586"/>
      <c r="DF435" s="470"/>
      <c r="DG435" s="470"/>
      <c r="DH435" s="470"/>
      <c r="DI435" s="914"/>
      <c r="DJ435" s="586"/>
      <c r="DK435" s="470"/>
      <c r="DL435" s="470"/>
      <c r="DM435" s="470"/>
      <c r="DN435" s="470"/>
      <c r="DO435" s="586"/>
      <c r="DP435" s="470"/>
      <c r="DQ435" s="470"/>
      <c r="DR435" s="470"/>
      <c r="DS435" s="470"/>
      <c r="DT435" s="586"/>
      <c r="DU435" s="470"/>
      <c r="DV435" s="470"/>
      <c r="DW435" s="470"/>
      <c r="DX435" s="470"/>
      <c r="DY435" s="586"/>
    </row>
    <row r="436" spans="1:129" hidden="1" outlineLevel="1" x14ac:dyDescent="0.2">
      <c r="A436" s="526"/>
      <c r="B436" s="756"/>
      <c r="C436" s="597"/>
      <c r="D436" s="597"/>
      <c r="E436" s="597"/>
      <c r="F436" s="597"/>
      <c r="G436" s="597"/>
      <c r="H436" s="597"/>
      <c r="I436" s="598"/>
      <c r="J436" s="597"/>
      <c r="K436" s="597"/>
      <c r="L436" s="597"/>
      <c r="M436" s="597"/>
      <c r="N436" s="598"/>
      <c r="O436" s="597"/>
      <c r="P436" s="597"/>
      <c r="Q436" s="597"/>
      <c r="R436" s="597"/>
      <c r="S436" s="598"/>
      <c r="T436" s="597"/>
      <c r="U436" s="597"/>
      <c r="V436" s="597"/>
      <c r="W436" s="597"/>
      <c r="X436" s="598"/>
      <c r="Y436" s="597"/>
      <c r="Z436" s="597"/>
      <c r="AA436" s="597"/>
      <c r="AB436" s="597"/>
      <c r="AC436" s="598"/>
      <c r="AD436" s="597"/>
      <c r="AE436" s="597"/>
      <c r="AF436" s="597"/>
      <c r="AG436" s="597"/>
      <c r="AH436" s="598"/>
      <c r="AI436" s="597"/>
      <c r="AJ436" s="597"/>
      <c r="AK436" s="597"/>
      <c r="AL436" s="597"/>
      <c r="AM436" s="598"/>
      <c r="AN436" s="597"/>
      <c r="AO436" s="597"/>
      <c r="AP436" s="597"/>
      <c r="AQ436" s="597"/>
      <c r="AR436" s="598"/>
      <c r="AS436" s="597"/>
      <c r="AT436" s="597"/>
      <c r="AU436" s="597"/>
      <c r="AV436" s="597"/>
      <c r="AW436" s="598"/>
      <c r="AX436" s="597"/>
      <c r="AY436" s="597"/>
      <c r="AZ436" s="597"/>
      <c r="BA436" s="597"/>
      <c r="BB436" s="598"/>
      <c r="BC436" s="597"/>
      <c r="BD436" s="597"/>
      <c r="BE436" s="597"/>
      <c r="BF436" s="597"/>
      <c r="BG436" s="598"/>
      <c r="BH436" s="597"/>
      <c r="BI436" s="597"/>
      <c r="BJ436" s="597"/>
      <c r="BK436" s="597"/>
      <c r="BL436" s="598"/>
      <c r="BM436" s="597"/>
      <c r="BN436" s="597"/>
      <c r="BO436" s="597"/>
      <c r="BP436" s="597"/>
      <c r="BQ436" s="598"/>
      <c r="BR436" s="597"/>
      <c r="BS436" s="597"/>
      <c r="BT436" s="597"/>
      <c r="BU436" s="597"/>
      <c r="BV436" s="598"/>
      <c r="BW436" s="597"/>
      <c r="BX436" s="597"/>
      <c r="BY436" s="597"/>
      <c r="BZ436" s="597"/>
      <c r="CA436" s="598"/>
      <c r="CB436" s="597"/>
      <c r="CC436" s="597"/>
      <c r="CD436" s="597"/>
      <c r="CE436" s="597"/>
      <c r="CF436" s="598"/>
      <c r="CG436" s="682"/>
      <c r="CH436" s="682"/>
      <c r="CI436" s="682"/>
      <c r="CJ436" s="682"/>
      <c r="CK436" s="598"/>
      <c r="CL436" s="682"/>
      <c r="CM436" s="682"/>
      <c r="CN436" s="682"/>
      <c r="CO436" s="682"/>
      <c r="CP436" s="598"/>
      <c r="CQ436" s="682"/>
      <c r="CR436" s="682"/>
      <c r="CS436" s="682"/>
      <c r="CT436" s="682"/>
      <c r="CU436" s="598"/>
      <c r="CV436" s="682"/>
      <c r="CW436" s="682"/>
      <c r="CX436" s="682"/>
      <c r="CY436" s="682"/>
      <c r="CZ436" s="598"/>
      <c r="DA436" s="682"/>
      <c r="DB436" s="682"/>
      <c r="DC436" s="682"/>
      <c r="DD436" s="682"/>
      <c r="DE436" s="598"/>
      <c r="DF436" s="682"/>
      <c r="DG436" s="682"/>
      <c r="DH436" s="682"/>
      <c r="DI436" s="1610"/>
      <c r="DJ436" s="598"/>
      <c r="DK436" s="682"/>
      <c r="DL436" s="682"/>
      <c r="DM436" s="682"/>
      <c r="DN436" s="682"/>
      <c r="DO436" s="598"/>
      <c r="DP436" s="682"/>
      <c r="DQ436" s="682"/>
      <c r="DR436" s="682"/>
      <c r="DS436" s="682"/>
      <c r="DT436" s="598"/>
      <c r="DU436" s="682"/>
      <c r="DV436" s="682"/>
      <c r="DW436" s="682"/>
      <c r="DX436" s="682"/>
      <c r="DY436" s="598"/>
    </row>
    <row r="437" spans="1:129" hidden="1" outlineLevel="1" x14ac:dyDescent="0.2">
      <c r="A437" s="466"/>
      <c r="B437" s="607" t="s">
        <v>173</v>
      </c>
      <c r="C437" s="585"/>
      <c r="D437" s="585"/>
      <c r="E437" s="585"/>
      <c r="F437" s="585"/>
      <c r="G437" s="585"/>
      <c r="H437" s="585"/>
      <c r="I437" s="586"/>
      <c r="J437" s="585"/>
      <c r="K437" s="585"/>
      <c r="L437" s="585"/>
      <c r="M437" s="585"/>
      <c r="N437" s="586"/>
      <c r="O437" s="585"/>
      <c r="P437" s="585"/>
      <c r="Q437" s="585"/>
      <c r="R437" s="585"/>
      <c r="S437" s="586"/>
      <c r="T437" s="592">
        <v>69.192000000000007</v>
      </c>
      <c r="U437" s="592">
        <v>73.275000000000006</v>
      </c>
      <c r="V437" s="592">
        <v>74.942000000000007</v>
      </c>
      <c r="W437" s="592">
        <v>86.632999999999925</v>
      </c>
      <c r="X437" s="589">
        <f>X427-X435</f>
        <v>304.04199999999992</v>
      </c>
      <c r="Y437" s="592">
        <v>83.315000000000055</v>
      </c>
      <c r="Z437" s="592">
        <v>83.405999999999949</v>
      </c>
      <c r="AA437" s="592">
        <v>84.363999999999919</v>
      </c>
      <c r="AB437" s="592">
        <v>98.538000000000011</v>
      </c>
      <c r="AC437" s="589">
        <f>AC427-AC435</f>
        <v>349.62299999999959</v>
      </c>
      <c r="AD437" s="592">
        <v>103.1869999999999</v>
      </c>
      <c r="AE437" s="592">
        <v>105.35599999999999</v>
      </c>
      <c r="AF437" s="592">
        <v>109.07100000000014</v>
      </c>
      <c r="AG437" s="592">
        <v>126.69900000000007</v>
      </c>
      <c r="AH437" s="589">
        <f>AH427-AH435</f>
        <v>443.38400000000001</v>
      </c>
      <c r="AI437" s="592">
        <v>123.05</v>
      </c>
      <c r="AJ437" s="592">
        <v>138.43900000000008</v>
      </c>
      <c r="AK437" s="592">
        <v>149.18599999999992</v>
      </c>
      <c r="AL437" s="592">
        <v>167.44299999999998</v>
      </c>
      <c r="AM437" s="589">
        <f>AM427-AM435</f>
        <v>578.11800000000039</v>
      </c>
      <c r="AN437" s="592">
        <v>172.09899999999971</v>
      </c>
      <c r="AO437" s="592">
        <v>184.60099999999989</v>
      </c>
      <c r="AP437" s="592">
        <v>197.9060000000004</v>
      </c>
      <c r="AQ437" s="592">
        <v>213.50399999999945</v>
      </c>
      <c r="AR437" s="589">
        <f>AR427-AR435</f>
        <v>768.11000000000058</v>
      </c>
      <c r="AS437" s="592">
        <v>231.08899999999994</v>
      </c>
      <c r="AT437" s="592">
        <v>409.90899999999965</v>
      </c>
      <c r="AU437" s="592">
        <v>453.15899999999965</v>
      </c>
      <c r="AV437" s="592">
        <v>514.53</v>
      </c>
      <c r="AW437" s="589">
        <f>AW427-AW435</f>
        <v>1608.6869999999981</v>
      </c>
      <c r="AX437" s="592">
        <v>482.25900000000001</v>
      </c>
      <c r="AY437" s="592">
        <v>512.70600000000013</v>
      </c>
      <c r="AZ437" s="592">
        <v>539.04599999999846</v>
      </c>
      <c r="BA437" s="592">
        <v>568.31500000000005</v>
      </c>
      <c r="BB437" s="589">
        <f>BB427-BB435</f>
        <v>2102.3260000000046</v>
      </c>
      <c r="BC437" s="592">
        <v>533.80499999999995</v>
      </c>
      <c r="BD437" s="592">
        <v>587.54299999999967</v>
      </c>
      <c r="BE437" s="592">
        <v>625.99300000000039</v>
      </c>
      <c r="BF437" s="592">
        <v>658.73599999999897</v>
      </c>
      <c r="BG437" s="589">
        <f>BG427-BG435</f>
        <v>2406.0769999999975</v>
      </c>
      <c r="BH437" s="592">
        <v>634.09999999999854</v>
      </c>
      <c r="BI437" s="585"/>
      <c r="BJ437" s="585"/>
      <c r="BK437" s="585"/>
      <c r="BL437" s="586"/>
      <c r="BM437" s="585"/>
      <c r="BN437" s="585"/>
      <c r="BO437" s="585"/>
      <c r="BP437" s="585"/>
      <c r="BQ437" s="586"/>
      <c r="BR437" s="585"/>
      <c r="BS437" s="585"/>
      <c r="BT437" s="585"/>
      <c r="BU437" s="585"/>
      <c r="BV437" s="586"/>
      <c r="BW437" s="585"/>
      <c r="BX437" s="585"/>
      <c r="BY437" s="585"/>
      <c r="BZ437" s="585"/>
      <c r="CA437" s="586"/>
      <c r="CB437" s="585"/>
      <c r="CC437" s="585"/>
      <c r="CD437" s="585"/>
      <c r="CE437" s="585"/>
      <c r="CF437" s="586"/>
      <c r="CG437" s="470"/>
      <c r="CH437" s="470"/>
      <c r="CI437" s="470"/>
      <c r="CJ437" s="470"/>
      <c r="CK437" s="586"/>
      <c r="CL437" s="470"/>
      <c r="CM437" s="470"/>
      <c r="CN437" s="470"/>
      <c r="CO437" s="470"/>
      <c r="CP437" s="586"/>
      <c r="CQ437" s="470"/>
      <c r="CR437" s="470"/>
      <c r="CS437" s="470"/>
      <c r="CT437" s="470"/>
      <c r="CU437" s="586"/>
      <c r="CV437" s="470"/>
      <c r="CW437" s="470"/>
      <c r="CX437" s="470"/>
      <c r="CY437" s="470"/>
      <c r="CZ437" s="586"/>
      <c r="DA437" s="470"/>
      <c r="DB437" s="470"/>
      <c r="DC437" s="470"/>
      <c r="DD437" s="470"/>
      <c r="DE437" s="586"/>
      <c r="DF437" s="470"/>
      <c r="DG437" s="470"/>
      <c r="DH437" s="470"/>
      <c r="DI437" s="914"/>
      <c r="DJ437" s="586"/>
      <c r="DK437" s="470"/>
      <c r="DL437" s="470"/>
      <c r="DM437" s="470"/>
      <c r="DN437" s="470"/>
      <c r="DO437" s="586"/>
      <c r="DP437" s="470"/>
      <c r="DQ437" s="470"/>
      <c r="DR437" s="470"/>
      <c r="DS437" s="470"/>
      <c r="DT437" s="586"/>
      <c r="DU437" s="470"/>
      <c r="DV437" s="470"/>
      <c r="DW437" s="470"/>
      <c r="DX437" s="470"/>
      <c r="DY437" s="586"/>
    </row>
    <row r="438" spans="1:129" hidden="1" outlineLevel="1" x14ac:dyDescent="0.2">
      <c r="A438" s="526"/>
      <c r="B438" s="756" t="s">
        <v>850</v>
      </c>
      <c r="C438" s="597"/>
      <c r="D438" s="597"/>
      <c r="E438" s="597"/>
      <c r="F438" s="597"/>
      <c r="G438" s="597"/>
      <c r="H438" s="597"/>
      <c r="I438" s="593"/>
      <c r="J438" s="597"/>
      <c r="K438" s="597"/>
      <c r="L438" s="597"/>
      <c r="M438" s="597"/>
      <c r="N438" s="593"/>
      <c r="O438" s="600"/>
      <c r="P438" s="600"/>
      <c r="Q438" s="600"/>
      <c r="R438" s="600"/>
      <c r="S438" s="593"/>
      <c r="T438" s="800">
        <v>8.8136163187942818E-2</v>
      </c>
      <c r="U438" s="800">
        <v>9.2030087653085166E-2</v>
      </c>
      <c r="V438" s="800">
        <v>9.2180035326127077E-2</v>
      </c>
      <c r="W438" s="800">
        <v>9.4831672221948479E-2</v>
      </c>
      <c r="X438" s="969">
        <v>9.1916515055598766E-2</v>
      </c>
      <c r="Y438" s="800">
        <v>7.9197520888981882E-2</v>
      </c>
      <c r="Z438" s="800">
        <v>7.6949619154463814E-2</v>
      </c>
      <c r="AA438" s="800">
        <v>7.7481475494752081E-2</v>
      </c>
      <c r="AB438" s="800">
        <v>8.1895043562165967E-2</v>
      </c>
      <c r="AC438" s="969">
        <v>7.8958297810835493E-2</v>
      </c>
      <c r="AD438" s="800">
        <v>7.5102879160837868E-2</v>
      </c>
      <c r="AE438" s="800">
        <v>7.6712480376994699E-2</v>
      </c>
      <c r="AF438" s="800">
        <v>7.9010734118676651E-2</v>
      </c>
      <c r="AG438" s="800">
        <v>8.5247951038896166E-2</v>
      </c>
      <c r="AH438" s="969">
        <v>7.9156437619140957E-2</v>
      </c>
      <c r="AI438" s="800">
        <v>7.624388128136822E-2</v>
      </c>
      <c r="AJ438" s="800">
        <v>8.5114663387642231E-2</v>
      </c>
      <c r="AK438" s="800">
        <v>8.7070152912338009E-2</v>
      </c>
      <c r="AL438" s="800">
        <v>9.0436402916554137E-2</v>
      </c>
      <c r="AM438" s="969">
        <v>8.495114102243842E-2</v>
      </c>
      <c r="AN438" s="800">
        <v>7.9535539328958182E-2</v>
      </c>
      <c r="AO438" s="800">
        <v>8.3757259528130623E-2</v>
      </c>
      <c r="AP438" s="800">
        <v>8.7693193902871489E-2</v>
      </c>
      <c r="AQ438" s="800">
        <v>8.7404920784377726E-2</v>
      </c>
      <c r="AR438" s="969">
        <v>8.4712097316731502E-2</v>
      </c>
      <c r="AS438" s="800">
        <v>7.637033609835088E-2</v>
      </c>
      <c r="AT438" s="800">
        <v>5.6117324936682818E-2</v>
      </c>
      <c r="AU438" s="800">
        <v>6.0762278925702899E-2</v>
      </c>
      <c r="AV438" s="800">
        <v>6.4213340095828894E-2</v>
      </c>
      <c r="AW438" s="969">
        <v>6.2349500240706561E-2</v>
      </c>
      <c r="AX438" s="800">
        <v>5.7741856035865971E-2</v>
      </c>
      <c r="AY438" s="800">
        <v>6.2531985217889788E-2</v>
      </c>
      <c r="AZ438" s="800">
        <v>6.6776084210463549E-2</v>
      </c>
      <c r="BA438" s="800">
        <v>6.7917090514851217E-2</v>
      </c>
      <c r="BB438" s="969">
        <v>6.3723648355778581E-2</v>
      </c>
      <c r="BC438" s="800">
        <v>5.9929271099385367E-2</v>
      </c>
      <c r="BD438" s="800">
        <v>6.2250908637823031E-2</v>
      </c>
      <c r="BE438" s="800">
        <v>6.8525276859992254E-2</v>
      </c>
      <c r="BF438" s="800">
        <v>7.1065380892645358E-2</v>
      </c>
      <c r="BG438" s="969">
        <v>6.5471121343193647E-2</v>
      </c>
      <c r="BH438" s="800">
        <v>6.7155248191648073E-2</v>
      </c>
      <c r="BI438" s="600"/>
      <c r="BJ438" s="600"/>
      <c r="BK438" s="600"/>
      <c r="BL438" s="593"/>
      <c r="BM438" s="600"/>
      <c r="BN438" s="600"/>
      <c r="BO438" s="600"/>
      <c r="BP438" s="600"/>
      <c r="BQ438" s="593"/>
      <c r="BR438" s="600"/>
      <c r="BS438" s="600"/>
      <c r="BT438" s="600"/>
      <c r="BU438" s="600"/>
      <c r="BV438" s="593"/>
      <c r="BW438" s="600"/>
      <c r="BX438" s="600"/>
      <c r="BY438" s="600"/>
      <c r="BZ438" s="600"/>
      <c r="CA438" s="593"/>
      <c r="CB438" s="600"/>
      <c r="CC438" s="600"/>
      <c r="CD438" s="600"/>
      <c r="CE438" s="600"/>
      <c r="CF438" s="593"/>
      <c r="CG438" s="542"/>
      <c r="CH438" s="542"/>
      <c r="CI438" s="542"/>
      <c r="CJ438" s="542"/>
      <c r="CK438" s="593"/>
      <c r="CL438" s="542"/>
      <c r="CM438" s="542"/>
      <c r="CN438" s="542"/>
      <c r="CO438" s="542"/>
      <c r="CP438" s="593"/>
      <c r="CQ438" s="542"/>
      <c r="CR438" s="542"/>
      <c r="CS438" s="542"/>
      <c r="CT438" s="542"/>
      <c r="CU438" s="593"/>
      <c r="CV438" s="542"/>
      <c r="CW438" s="542"/>
      <c r="CX438" s="542"/>
      <c r="CY438" s="542"/>
      <c r="CZ438" s="593"/>
      <c r="DA438" s="542"/>
      <c r="DB438" s="542"/>
      <c r="DC438" s="542"/>
      <c r="DD438" s="542"/>
      <c r="DE438" s="593"/>
      <c r="DF438" s="542"/>
      <c r="DG438" s="542"/>
      <c r="DH438" s="542"/>
      <c r="DI438" s="899"/>
      <c r="DJ438" s="593"/>
      <c r="DK438" s="542"/>
      <c r="DL438" s="542"/>
      <c r="DM438" s="542"/>
      <c r="DN438" s="542"/>
      <c r="DO438" s="593"/>
      <c r="DP438" s="542"/>
      <c r="DQ438" s="542"/>
      <c r="DR438" s="542"/>
      <c r="DS438" s="542"/>
      <c r="DT438" s="593"/>
      <c r="DU438" s="542"/>
      <c r="DV438" s="542"/>
      <c r="DW438" s="542"/>
      <c r="DX438" s="542"/>
      <c r="DY438" s="593"/>
    </row>
    <row r="439" spans="1:129" hidden="1" outlineLevel="1" x14ac:dyDescent="0.2">
      <c r="A439" s="526"/>
      <c r="B439" s="756"/>
      <c r="C439" s="597"/>
      <c r="D439" s="597"/>
      <c r="E439" s="597"/>
      <c r="F439" s="597"/>
      <c r="G439" s="597"/>
      <c r="H439" s="597"/>
      <c r="I439" s="598"/>
      <c r="J439" s="597"/>
      <c r="K439" s="597"/>
      <c r="L439" s="597"/>
      <c r="M439" s="597"/>
      <c r="N439" s="598"/>
      <c r="O439" s="597"/>
      <c r="P439" s="597"/>
      <c r="Q439" s="597"/>
      <c r="R439" s="597"/>
      <c r="S439" s="598"/>
      <c r="T439" s="597"/>
      <c r="U439" s="597"/>
      <c r="V439" s="597"/>
      <c r="W439" s="597"/>
      <c r="X439" s="598"/>
      <c r="Y439" s="597"/>
      <c r="Z439" s="597"/>
      <c r="AA439" s="597"/>
      <c r="AB439" s="597"/>
      <c r="AC439" s="598"/>
      <c r="AD439" s="597"/>
      <c r="AE439" s="597"/>
      <c r="AF439" s="597"/>
      <c r="AG439" s="597"/>
      <c r="AH439" s="598"/>
      <c r="AI439" s="597"/>
      <c r="AJ439" s="597"/>
      <c r="AK439" s="597"/>
      <c r="AL439" s="597"/>
      <c r="AM439" s="598"/>
      <c r="AN439" s="597"/>
      <c r="AO439" s="597"/>
      <c r="AP439" s="597"/>
      <c r="AQ439" s="597"/>
      <c r="AR439" s="598"/>
      <c r="AS439" s="597"/>
      <c r="AT439" s="597"/>
      <c r="AU439" s="597"/>
      <c r="AV439" s="597"/>
      <c r="AW439" s="598"/>
      <c r="AX439" s="597"/>
      <c r="AY439" s="597"/>
      <c r="AZ439" s="597"/>
      <c r="BA439" s="597"/>
      <c r="BB439" s="598"/>
      <c r="BC439" s="597"/>
      <c r="BD439" s="597"/>
      <c r="BE439" s="597"/>
      <c r="BF439" s="597"/>
      <c r="BG439" s="598"/>
      <c r="BH439" s="597"/>
      <c r="BI439" s="597"/>
      <c r="BJ439" s="597"/>
      <c r="BK439" s="597"/>
      <c r="BL439" s="598"/>
      <c r="BM439" s="597"/>
      <c r="BN439" s="597"/>
      <c r="BO439" s="597"/>
      <c r="BP439" s="597"/>
      <c r="BQ439" s="598"/>
      <c r="BR439" s="597"/>
      <c r="BS439" s="597"/>
      <c r="BT439" s="597"/>
      <c r="BU439" s="597"/>
      <c r="BV439" s="598"/>
      <c r="BW439" s="597"/>
      <c r="BX439" s="597"/>
      <c r="BY439" s="597"/>
      <c r="BZ439" s="597"/>
      <c r="CA439" s="598"/>
      <c r="CB439" s="597"/>
      <c r="CC439" s="597"/>
      <c r="CD439" s="597"/>
      <c r="CE439" s="597"/>
      <c r="CF439" s="598"/>
      <c r="CG439" s="682"/>
      <c r="CH439" s="682"/>
      <c r="CI439" s="682"/>
      <c r="CJ439" s="682"/>
      <c r="CK439" s="598"/>
      <c r="CL439" s="682"/>
      <c r="CM439" s="682"/>
      <c r="CN439" s="682"/>
      <c r="CO439" s="682"/>
      <c r="CP439" s="598"/>
      <c r="CQ439" s="682"/>
      <c r="CR439" s="682"/>
      <c r="CS439" s="682"/>
      <c r="CT439" s="682"/>
      <c r="CU439" s="598"/>
      <c r="CV439" s="682"/>
      <c r="CW439" s="682"/>
      <c r="CX439" s="682"/>
      <c r="CY439" s="682"/>
      <c r="CZ439" s="598"/>
      <c r="DA439" s="682"/>
      <c r="DB439" s="682"/>
      <c r="DC439" s="682"/>
      <c r="DD439" s="682"/>
      <c r="DE439" s="598"/>
      <c r="DF439" s="682"/>
      <c r="DG439" s="682"/>
      <c r="DH439" s="682"/>
      <c r="DI439" s="1610"/>
      <c r="DJ439" s="598"/>
      <c r="DK439" s="682"/>
      <c r="DL439" s="682"/>
      <c r="DM439" s="682"/>
      <c r="DN439" s="682"/>
      <c r="DO439" s="598"/>
      <c r="DP439" s="682"/>
      <c r="DQ439" s="682"/>
      <c r="DR439" s="682"/>
      <c r="DS439" s="682"/>
      <c r="DT439" s="598"/>
      <c r="DU439" s="682"/>
      <c r="DV439" s="682"/>
      <c r="DW439" s="682"/>
      <c r="DX439" s="682"/>
      <c r="DY439" s="598"/>
    </row>
    <row r="440" spans="1:129" hidden="1" outlineLevel="1" x14ac:dyDescent="0.2">
      <c r="A440" s="466"/>
      <c r="B440" s="607" t="s">
        <v>512</v>
      </c>
      <c r="C440" s="585"/>
      <c r="D440" s="585"/>
      <c r="E440" s="585"/>
      <c r="F440" s="585"/>
      <c r="G440" s="585"/>
      <c r="H440" s="585"/>
      <c r="I440" s="586"/>
      <c r="J440" s="585"/>
      <c r="K440" s="585"/>
      <c r="L440" s="585"/>
      <c r="M440" s="585"/>
      <c r="N440" s="586"/>
      <c r="O440" s="585"/>
      <c r="P440" s="585"/>
      <c r="Q440" s="585"/>
      <c r="R440" s="585"/>
      <c r="S440" s="586"/>
      <c r="T440" s="592">
        <v>24.773</v>
      </c>
      <c r="U440" s="592">
        <v>25.033999999999999</v>
      </c>
      <c r="V440" s="592">
        <v>24.907</v>
      </c>
      <c r="W440" s="592">
        <v>27.843</v>
      </c>
      <c r="X440" s="589">
        <f>SUM(T440:W440)</f>
        <v>102.557</v>
      </c>
      <c r="Y440" s="592">
        <v>27.097000000000001</v>
      </c>
      <c r="Z440" s="592">
        <v>28.25</v>
      </c>
      <c r="AA440" s="592">
        <v>27.256</v>
      </c>
      <c r="AB440" s="592">
        <v>33.639000000000003</v>
      </c>
      <c r="AC440" s="589">
        <f>SUM(Y440:AB440)</f>
        <v>116.24200000000002</v>
      </c>
      <c r="AD440" s="592">
        <v>34.921999999999997</v>
      </c>
      <c r="AE440" s="592">
        <v>36.103999999999999</v>
      </c>
      <c r="AF440" s="592">
        <v>35.031999999999996</v>
      </c>
      <c r="AG440" s="592">
        <v>41.22</v>
      </c>
      <c r="AH440" s="754">
        <v>147.27799999999999</v>
      </c>
      <c r="AI440" s="592">
        <v>36.841999999999999</v>
      </c>
      <c r="AJ440" s="592">
        <v>41.075000000000003</v>
      </c>
      <c r="AK440" s="592">
        <v>41.087000000000003</v>
      </c>
      <c r="AL440" s="592">
        <v>48.631999999999998</v>
      </c>
      <c r="AM440" s="754">
        <v>167.636</v>
      </c>
      <c r="AN440" s="592">
        <v>46.103000000000002</v>
      </c>
      <c r="AO440" s="592">
        <v>48.784999999999997</v>
      </c>
      <c r="AP440" s="592">
        <v>47.42</v>
      </c>
      <c r="AQ440" s="592">
        <v>50.02</v>
      </c>
      <c r="AR440" s="754">
        <v>192.328</v>
      </c>
      <c r="AS440" s="592">
        <v>55.911000000000001</v>
      </c>
      <c r="AT440" s="592">
        <v>119.94499999999999</v>
      </c>
      <c r="AU440" s="592">
        <v>111.645</v>
      </c>
      <c r="AV440" s="592">
        <v>123.504</v>
      </c>
      <c r="AW440" s="754">
        <v>411.005</v>
      </c>
      <c r="AX440" s="592">
        <v>110.703</v>
      </c>
      <c r="AY440" s="592">
        <v>115.128</v>
      </c>
      <c r="AZ440" s="592">
        <v>115.848</v>
      </c>
      <c r="BA440" s="592">
        <v>121.879</v>
      </c>
      <c r="BB440" s="754">
        <v>463.55800000000005</v>
      </c>
      <c r="BC440" s="592">
        <v>129.624</v>
      </c>
      <c r="BD440" s="592">
        <v>138.648</v>
      </c>
      <c r="BE440" s="592">
        <v>136.08199999999999</v>
      </c>
      <c r="BF440" s="592">
        <v>141.92400000000001</v>
      </c>
      <c r="BG440" s="754">
        <v>546.27800000000002</v>
      </c>
      <c r="BH440" s="592">
        <v>135.69999999999999</v>
      </c>
      <c r="BI440" s="585"/>
      <c r="BJ440" s="585"/>
      <c r="BK440" s="585"/>
      <c r="BL440" s="586"/>
      <c r="BM440" s="585"/>
      <c r="BN440" s="585"/>
      <c r="BO440" s="585"/>
      <c r="BP440" s="585"/>
      <c r="BQ440" s="586"/>
      <c r="BR440" s="585"/>
      <c r="BS440" s="585"/>
      <c r="BT440" s="585"/>
      <c r="BU440" s="585"/>
      <c r="BV440" s="586"/>
      <c r="BW440" s="585"/>
      <c r="BX440" s="585"/>
      <c r="BY440" s="585"/>
      <c r="BZ440" s="585"/>
      <c r="CA440" s="586"/>
      <c r="CB440" s="585"/>
      <c r="CC440" s="585"/>
      <c r="CD440" s="585"/>
      <c r="CE440" s="585"/>
      <c r="CF440" s="586"/>
      <c r="CG440" s="470"/>
      <c r="CH440" s="470"/>
      <c r="CI440" s="470"/>
      <c r="CJ440" s="470"/>
      <c r="CK440" s="586"/>
      <c r="CL440" s="470"/>
      <c r="CM440" s="470"/>
      <c r="CN440" s="470"/>
      <c r="CO440" s="470"/>
      <c r="CP440" s="586"/>
      <c r="CQ440" s="470"/>
      <c r="CR440" s="470"/>
      <c r="CS440" s="470"/>
      <c r="CT440" s="470"/>
      <c r="CU440" s="586"/>
      <c r="CV440" s="470"/>
      <c r="CW440" s="470"/>
      <c r="CX440" s="470"/>
      <c r="CY440" s="470"/>
      <c r="CZ440" s="586"/>
      <c r="DA440" s="470"/>
      <c r="DB440" s="470"/>
      <c r="DC440" s="470"/>
      <c r="DD440" s="470"/>
      <c r="DE440" s="586"/>
      <c r="DF440" s="470"/>
      <c r="DG440" s="470"/>
      <c r="DH440" s="470"/>
      <c r="DI440" s="914"/>
      <c r="DJ440" s="586"/>
      <c r="DK440" s="470"/>
      <c r="DL440" s="470"/>
      <c r="DM440" s="470"/>
      <c r="DN440" s="470"/>
      <c r="DO440" s="586"/>
      <c r="DP440" s="470"/>
      <c r="DQ440" s="470"/>
      <c r="DR440" s="470"/>
      <c r="DS440" s="470"/>
      <c r="DT440" s="586"/>
      <c r="DU440" s="470"/>
      <c r="DV440" s="470"/>
      <c r="DW440" s="470"/>
      <c r="DX440" s="470"/>
      <c r="DY440" s="586"/>
    </row>
    <row r="441" spans="1:129" hidden="1" outlineLevel="1" x14ac:dyDescent="0.2">
      <c r="A441" s="526"/>
      <c r="B441" s="756" t="s">
        <v>853</v>
      </c>
      <c r="C441" s="597"/>
      <c r="D441" s="597"/>
      <c r="E441" s="597"/>
      <c r="F441" s="597"/>
      <c r="G441" s="597"/>
      <c r="H441" s="597"/>
      <c r="I441" s="593"/>
      <c r="J441" s="597"/>
      <c r="K441" s="597"/>
      <c r="L441" s="597"/>
      <c r="M441" s="597"/>
      <c r="N441" s="593"/>
      <c r="O441" s="600"/>
      <c r="P441" s="600"/>
      <c r="Q441" s="600"/>
      <c r="R441" s="600"/>
      <c r="S441" s="593"/>
      <c r="T441" s="800">
        <v>3.1555630284641388E-2</v>
      </c>
      <c r="U441" s="800">
        <v>3.1441572354927803E-2</v>
      </c>
      <c r="V441" s="800">
        <v>3.0636067090120987E-2</v>
      </c>
      <c r="W441" s="800">
        <v>3.0477973170451374E-2</v>
      </c>
      <c r="X441" s="780">
        <f>X440/X427</f>
        <v>3.1004538960265504E-2</v>
      </c>
      <c r="Y441" s="800">
        <v>2.5757849409214918E-2</v>
      </c>
      <c r="Z441" s="800">
        <v>2.6063193788379783E-2</v>
      </c>
      <c r="AA441" s="800">
        <v>2.5032420180230486E-2</v>
      </c>
      <c r="AB441" s="800">
        <v>2.7957411053478869E-2</v>
      </c>
      <c r="AC441" s="780">
        <f>AC440/AC427</f>
        <v>2.6251906922963142E-2</v>
      </c>
      <c r="AD441" s="800">
        <v>2.5417375697081825E-2</v>
      </c>
      <c r="AE441" s="800">
        <v>2.6288273961910254E-2</v>
      </c>
      <c r="AF441" s="800">
        <v>2.5377084996428718E-2</v>
      </c>
      <c r="AG441" s="800">
        <v>2.7734398391647114E-2</v>
      </c>
      <c r="AH441" s="780">
        <f>AH440/AH427</f>
        <v>2.6238264060857632E-2</v>
      </c>
      <c r="AI441" s="800">
        <v>2.2827932337815229E-2</v>
      </c>
      <c r="AJ441" s="800">
        <v>2.5253612050415004E-2</v>
      </c>
      <c r="AK441" s="800">
        <v>2.3979806233220501E-2</v>
      </c>
      <c r="AL441" s="800">
        <v>2.6266270591412368E-2</v>
      </c>
      <c r="AM441" s="780">
        <f>AM440/AM427</f>
        <v>2.4633153571481051E-2</v>
      </c>
      <c r="AN441" s="800">
        <v>2.1306497827895371E-2</v>
      </c>
      <c r="AO441" s="800">
        <v>2.2134754990925588E-2</v>
      </c>
      <c r="AP441" s="800">
        <v>2.1012052463665366E-2</v>
      </c>
      <c r="AQ441" s="800">
        <v>2.0477340647644005E-2</v>
      </c>
      <c r="AR441" s="780">
        <f>AR440/AR427</f>
        <v>2.1211165396534799E-2</v>
      </c>
      <c r="AS441" s="800">
        <v>1.8477477775207377E-2</v>
      </c>
      <c r="AT441" s="800">
        <v>1.6420699568758985E-2</v>
      </c>
      <c r="AU441" s="800">
        <v>1.4970031778382655E-2</v>
      </c>
      <c r="AV441" s="800">
        <v>1.5413298262871467E-2</v>
      </c>
      <c r="AW441" s="780">
        <f>AW440/AW427</f>
        <v>1.5929734215811786E-2</v>
      </c>
      <c r="AX441" s="800">
        <v>1.3254696519377494E-2</v>
      </c>
      <c r="AY441" s="800">
        <v>1.404154114475979E-2</v>
      </c>
      <c r="AZ441" s="800">
        <v>1.4351049453319017E-2</v>
      </c>
      <c r="BA441" s="800">
        <v>1.456527995013251E-2</v>
      </c>
      <c r="BB441" s="780">
        <f>BB440/BB427</f>
        <v>1.4050916453731742E-2</v>
      </c>
      <c r="BC441" s="800">
        <v>1.4552639703612225E-2</v>
      </c>
      <c r="BD441" s="800">
        <v>1.468992734287855E-2</v>
      </c>
      <c r="BE441" s="800">
        <v>1.4896423323681669E-2</v>
      </c>
      <c r="BF441" s="800">
        <v>1.5310963903305445E-2</v>
      </c>
      <c r="BG441" s="780">
        <f>BG440/BG427</f>
        <v>1.4864625373633991E-2</v>
      </c>
      <c r="BH441" s="800">
        <v>1.4371498469652522E-2</v>
      </c>
      <c r="BI441" s="600"/>
      <c r="BJ441" s="600"/>
      <c r="BK441" s="600"/>
      <c r="BL441" s="593"/>
      <c r="BM441" s="600"/>
      <c r="BN441" s="600"/>
      <c r="BO441" s="600"/>
      <c r="BP441" s="600"/>
      <c r="BQ441" s="593"/>
      <c r="BR441" s="600"/>
      <c r="BS441" s="600"/>
      <c r="BT441" s="600"/>
      <c r="BU441" s="600"/>
      <c r="BV441" s="593"/>
      <c r="BW441" s="600"/>
      <c r="BX441" s="600"/>
      <c r="BY441" s="600"/>
      <c r="BZ441" s="600"/>
      <c r="CA441" s="593"/>
      <c r="CB441" s="600"/>
      <c r="CC441" s="600"/>
      <c r="CD441" s="600"/>
      <c r="CE441" s="600"/>
      <c r="CF441" s="593"/>
      <c r="CG441" s="542"/>
      <c r="CH441" s="542"/>
      <c r="CI441" s="542"/>
      <c r="CJ441" s="542"/>
      <c r="CK441" s="593"/>
      <c r="CL441" s="542"/>
      <c r="CM441" s="542"/>
      <c r="CN441" s="542"/>
      <c r="CO441" s="542"/>
      <c r="CP441" s="593"/>
      <c r="CQ441" s="542"/>
      <c r="CR441" s="542"/>
      <c r="CS441" s="542"/>
      <c r="CT441" s="542"/>
      <c r="CU441" s="593"/>
      <c r="CV441" s="542"/>
      <c r="CW441" s="542"/>
      <c r="CX441" s="542"/>
      <c r="CY441" s="542"/>
      <c r="CZ441" s="593"/>
      <c r="DA441" s="542"/>
      <c r="DB441" s="542"/>
      <c r="DC441" s="542"/>
      <c r="DD441" s="542"/>
      <c r="DE441" s="593"/>
      <c r="DF441" s="542"/>
      <c r="DG441" s="542"/>
      <c r="DH441" s="542"/>
      <c r="DI441" s="899"/>
      <c r="DJ441" s="593"/>
      <c r="DK441" s="542"/>
      <c r="DL441" s="542"/>
      <c r="DM441" s="542"/>
      <c r="DN441" s="542"/>
      <c r="DO441" s="593"/>
      <c r="DP441" s="542"/>
      <c r="DQ441" s="542"/>
      <c r="DR441" s="542"/>
      <c r="DS441" s="542"/>
      <c r="DT441" s="593"/>
      <c r="DU441" s="542"/>
      <c r="DV441" s="542"/>
      <c r="DW441" s="542"/>
      <c r="DX441" s="542"/>
      <c r="DY441" s="593"/>
    </row>
    <row r="442" spans="1:129" hidden="1" outlineLevel="1" x14ac:dyDescent="0.2">
      <c r="A442" s="526"/>
      <c r="B442" s="756"/>
      <c r="C442" s="597"/>
      <c r="D442" s="597"/>
      <c r="E442" s="597"/>
      <c r="F442" s="597"/>
      <c r="G442" s="597"/>
      <c r="H442" s="597"/>
      <c r="I442" s="598"/>
      <c r="J442" s="597"/>
      <c r="K442" s="597"/>
      <c r="L442" s="597"/>
      <c r="M442" s="597"/>
      <c r="N442" s="598"/>
      <c r="O442" s="597"/>
      <c r="P442" s="597"/>
      <c r="Q442" s="597"/>
      <c r="R442" s="597"/>
      <c r="S442" s="598"/>
      <c r="T442" s="597"/>
      <c r="U442" s="597"/>
      <c r="V442" s="597"/>
      <c r="W442" s="597"/>
      <c r="X442" s="598"/>
      <c r="Y442" s="597"/>
      <c r="Z442" s="597"/>
      <c r="AA442" s="597"/>
      <c r="AB442" s="597"/>
      <c r="AC442" s="598"/>
      <c r="AD442" s="597"/>
      <c r="AE442" s="597"/>
      <c r="AF442" s="597"/>
      <c r="AG442" s="597"/>
      <c r="AH442" s="598"/>
      <c r="AI442" s="597"/>
      <c r="AJ442" s="597"/>
      <c r="AK442" s="597"/>
      <c r="AL442" s="597"/>
      <c r="AM442" s="598"/>
      <c r="AN442" s="597"/>
      <c r="AO442" s="597"/>
      <c r="AP442" s="597"/>
      <c r="AQ442" s="597"/>
      <c r="AR442" s="598"/>
      <c r="AS442" s="597"/>
      <c r="AT442" s="597"/>
      <c r="AU442" s="597"/>
      <c r="AV442" s="597"/>
      <c r="AW442" s="598"/>
      <c r="AX442" s="597"/>
      <c r="AY442" s="597"/>
      <c r="AZ442" s="597"/>
      <c r="BA442" s="597"/>
      <c r="BB442" s="598"/>
      <c r="BC442" s="597"/>
      <c r="BD442" s="597"/>
      <c r="BE442" s="597"/>
      <c r="BF442" s="597"/>
      <c r="BG442" s="598"/>
      <c r="BH442" s="597"/>
      <c r="BI442" s="597"/>
      <c r="BJ442" s="597"/>
      <c r="BK442" s="597"/>
      <c r="BL442" s="598"/>
      <c r="BM442" s="597"/>
      <c r="BN442" s="597"/>
      <c r="BO442" s="597"/>
      <c r="BP442" s="597"/>
      <c r="BQ442" s="598"/>
      <c r="BR442" s="597"/>
      <c r="BS442" s="597"/>
      <c r="BT442" s="597"/>
      <c r="BU442" s="597"/>
      <c r="BV442" s="598"/>
      <c r="BW442" s="597"/>
      <c r="BX442" s="597"/>
      <c r="BY442" s="597"/>
      <c r="BZ442" s="597"/>
      <c r="CA442" s="598"/>
      <c r="CB442" s="597"/>
      <c r="CC442" s="597"/>
      <c r="CD442" s="597"/>
      <c r="CE442" s="597"/>
      <c r="CF442" s="598"/>
      <c r="CG442" s="682"/>
      <c r="CH442" s="682"/>
      <c r="CI442" s="682"/>
      <c r="CJ442" s="682"/>
      <c r="CK442" s="598"/>
      <c r="CL442" s="682"/>
      <c r="CM442" s="682"/>
      <c r="CN442" s="682"/>
      <c r="CO442" s="682"/>
      <c r="CP442" s="598"/>
      <c r="CQ442" s="682"/>
      <c r="CR442" s="682"/>
      <c r="CS442" s="682"/>
      <c r="CT442" s="682"/>
      <c r="CU442" s="598"/>
      <c r="CV442" s="682"/>
      <c r="CW442" s="682"/>
      <c r="CX442" s="682"/>
      <c r="CY442" s="682"/>
      <c r="CZ442" s="598"/>
      <c r="DA442" s="682"/>
      <c r="DB442" s="682"/>
      <c r="DC442" s="682"/>
      <c r="DD442" s="682"/>
      <c r="DE442" s="598"/>
      <c r="DF442" s="682"/>
      <c r="DG442" s="682"/>
      <c r="DH442" s="682"/>
      <c r="DI442" s="1610"/>
      <c r="DJ442" s="598"/>
      <c r="DK442" s="682"/>
      <c r="DL442" s="682"/>
      <c r="DM442" s="682"/>
      <c r="DN442" s="682"/>
      <c r="DO442" s="598"/>
      <c r="DP442" s="682"/>
      <c r="DQ442" s="682"/>
      <c r="DR442" s="682"/>
      <c r="DS442" s="682"/>
      <c r="DT442" s="598"/>
      <c r="DU442" s="682"/>
      <c r="DV442" s="682"/>
      <c r="DW442" s="682"/>
      <c r="DX442" s="682"/>
      <c r="DY442" s="598"/>
    </row>
    <row r="443" spans="1:129" hidden="1" outlineLevel="1" x14ac:dyDescent="0.2">
      <c r="A443" s="466"/>
      <c r="B443" s="607" t="s">
        <v>176</v>
      </c>
      <c r="C443" s="585"/>
      <c r="D443" s="585"/>
      <c r="E443" s="585"/>
      <c r="F443" s="585"/>
      <c r="G443" s="585"/>
      <c r="H443" s="585"/>
      <c r="I443" s="586"/>
      <c r="J443" s="585"/>
      <c r="K443" s="585"/>
      <c r="L443" s="585"/>
      <c r="M443" s="585"/>
      <c r="N443" s="586"/>
      <c r="O443" s="585"/>
      <c r="P443" s="585"/>
      <c r="Q443" s="585"/>
      <c r="R443" s="585"/>
      <c r="S443" s="586"/>
      <c r="T443" s="592">
        <v>44.419000000000011</v>
      </c>
      <c r="U443" s="592">
        <v>48.240999999999978</v>
      </c>
      <c r="V443" s="592">
        <v>50.034999999999997</v>
      </c>
      <c r="W443" s="592">
        <v>58.789999999999921</v>
      </c>
      <c r="X443" s="589">
        <f>X437-X440</f>
        <v>201.4849999999999</v>
      </c>
      <c r="Y443" s="592">
        <v>56.218000000000053</v>
      </c>
      <c r="Z443" s="592">
        <v>55.155999999999949</v>
      </c>
      <c r="AA443" s="592">
        <v>57.107999999999919</v>
      </c>
      <c r="AB443" s="592">
        <v>64.899000000000001</v>
      </c>
      <c r="AC443" s="589">
        <f>AC437-AC440</f>
        <v>233.38099999999957</v>
      </c>
      <c r="AD443" s="592">
        <v>68.264999999999901</v>
      </c>
      <c r="AE443" s="592">
        <v>69.251999999999995</v>
      </c>
      <c r="AF443" s="592">
        <v>74.039000000000144</v>
      </c>
      <c r="AG443" s="592">
        <v>85.47900000000007</v>
      </c>
      <c r="AH443" s="589">
        <f>AH437-AH440</f>
        <v>296.10599999999999</v>
      </c>
      <c r="AI443" s="592">
        <v>86.208000000000197</v>
      </c>
      <c r="AJ443" s="592">
        <v>97.36400000000009</v>
      </c>
      <c r="AK443" s="592">
        <v>108.09899999999992</v>
      </c>
      <c r="AL443" s="592">
        <v>118.81099999999998</v>
      </c>
      <c r="AM443" s="589">
        <f>AM437-AM440</f>
        <v>410.48200000000043</v>
      </c>
      <c r="AN443" s="592">
        <v>125.9959999999997</v>
      </c>
      <c r="AO443" s="592">
        <v>135.81599999999989</v>
      </c>
      <c r="AP443" s="592">
        <v>150.48600000000039</v>
      </c>
      <c r="AQ443" s="592">
        <v>163.48399999999944</v>
      </c>
      <c r="AR443" s="589">
        <f>AR437-AR440</f>
        <v>575.78200000000061</v>
      </c>
      <c r="AS443" s="592">
        <v>175.17799999999994</v>
      </c>
      <c r="AT443" s="592">
        <v>289.96399999999966</v>
      </c>
      <c r="AU443" s="592">
        <v>341.51399999999967</v>
      </c>
      <c r="AV443" s="592">
        <v>391.02599999999973</v>
      </c>
      <c r="AW443" s="589">
        <f>AW437-AW440</f>
        <v>1197.681999999998</v>
      </c>
      <c r="AX443" s="592">
        <v>371.55600000000004</v>
      </c>
      <c r="AY443" s="592">
        <v>397.57800000000015</v>
      </c>
      <c r="AZ443" s="592">
        <v>423.19799999999844</v>
      </c>
      <c r="BA443" s="592">
        <v>446.43599999999958</v>
      </c>
      <c r="BB443" s="589">
        <f>BB437-BB440</f>
        <v>1638.7680000000046</v>
      </c>
      <c r="BC443" s="592">
        <v>404.18100000000027</v>
      </c>
      <c r="BD443" s="592">
        <v>448.89499999999998</v>
      </c>
      <c r="BE443" s="592">
        <v>489.9110000000004</v>
      </c>
      <c r="BF443" s="592">
        <v>516.81199999999899</v>
      </c>
      <c r="BG443" s="589">
        <f>BG437-BG440</f>
        <v>1859.7989999999975</v>
      </c>
      <c r="BH443" s="592">
        <v>498.39999999999856</v>
      </c>
      <c r="BI443" s="585"/>
      <c r="BJ443" s="585"/>
      <c r="BK443" s="585"/>
      <c r="BL443" s="586"/>
      <c r="BM443" s="585"/>
      <c r="BN443" s="585"/>
      <c r="BO443" s="585"/>
      <c r="BP443" s="585"/>
      <c r="BQ443" s="586"/>
      <c r="BR443" s="585"/>
      <c r="BS443" s="585"/>
      <c r="BT443" s="585"/>
      <c r="BU443" s="585"/>
      <c r="BV443" s="586"/>
      <c r="BW443" s="585"/>
      <c r="BX443" s="585"/>
      <c r="BY443" s="585"/>
      <c r="BZ443" s="585"/>
      <c r="CA443" s="586"/>
      <c r="CB443" s="585"/>
      <c r="CC443" s="585"/>
      <c r="CD443" s="585"/>
      <c r="CE443" s="585"/>
      <c r="CF443" s="586"/>
      <c r="CG443" s="470"/>
      <c r="CH443" s="470"/>
      <c r="CI443" s="470"/>
      <c r="CJ443" s="470"/>
      <c r="CK443" s="586"/>
      <c r="CL443" s="470"/>
      <c r="CM443" s="470"/>
      <c r="CN443" s="470"/>
      <c r="CO443" s="470"/>
      <c r="CP443" s="586"/>
      <c r="CQ443" s="470"/>
      <c r="CR443" s="470"/>
      <c r="CS443" s="470"/>
      <c r="CT443" s="470"/>
      <c r="CU443" s="586"/>
      <c r="CV443" s="470"/>
      <c r="CW443" s="470"/>
      <c r="CX443" s="470"/>
      <c r="CY443" s="470"/>
      <c r="CZ443" s="586"/>
      <c r="DA443" s="470"/>
      <c r="DB443" s="470"/>
      <c r="DC443" s="470"/>
      <c r="DD443" s="470"/>
      <c r="DE443" s="586"/>
      <c r="DF443" s="470"/>
      <c r="DG443" s="470"/>
      <c r="DH443" s="470"/>
      <c r="DI443" s="914"/>
      <c r="DJ443" s="586"/>
      <c r="DK443" s="470"/>
      <c r="DL443" s="470"/>
      <c r="DM443" s="470"/>
      <c r="DN443" s="470"/>
      <c r="DO443" s="586"/>
      <c r="DP443" s="470"/>
      <c r="DQ443" s="470"/>
      <c r="DR443" s="470"/>
      <c r="DS443" s="470"/>
      <c r="DT443" s="586"/>
      <c r="DU443" s="470"/>
      <c r="DV443" s="470"/>
      <c r="DW443" s="470"/>
      <c r="DX443" s="470"/>
      <c r="DY443" s="586"/>
    </row>
    <row r="444" spans="1:129" hidden="1" outlineLevel="1" x14ac:dyDescent="0.2">
      <c r="A444" s="526"/>
      <c r="B444" s="756" t="s">
        <v>727</v>
      </c>
      <c r="C444" s="597"/>
      <c r="D444" s="597"/>
      <c r="E444" s="597"/>
      <c r="F444" s="597"/>
      <c r="G444" s="597"/>
      <c r="H444" s="597"/>
      <c r="I444" s="593"/>
      <c r="J444" s="597"/>
      <c r="K444" s="597"/>
      <c r="L444" s="597"/>
      <c r="M444" s="597"/>
      <c r="N444" s="593"/>
      <c r="O444" s="600"/>
      <c r="P444" s="600"/>
      <c r="Q444" s="600"/>
      <c r="R444" s="600"/>
      <c r="S444" s="593"/>
      <c r="T444" s="800">
        <v>5.658053290330143E-2</v>
      </c>
      <c r="U444" s="800">
        <v>6.0588515298157362E-2</v>
      </c>
      <c r="V444" s="800">
        <v>6.1543968236006094E-2</v>
      </c>
      <c r="W444" s="800">
        <v>6.4353699051497112E-2</v>
      </c>
      <c r="X444" s="780">
        <f>X443/X427</f>
        <v>6.0911976095333248E-2</v>
      </c>
      <c r="Y444" s="800">
        <v>5.343967147976697E-2</v>
      </c>
      <c r="Z444" s="800">
        <v>5.0886425366084037E-2</v>
      </c>
      <c r="AA444" s="800">
        <v>5.2449055314521598E-2</v>
      </c>
      <c r="AB444" s="800">
        <v>5.3937632508687085E-2</v>
      </c>
      <c r="AC444" s="780">
        <f>AC443/AC427</f>
        <v>5.2706390887872274E-2</v>
      </c>
      <c r="AD444" s="800">
        <v>4.9685503463756039E-2</v>
      </c>
      <c r="AE444" s="800">
        <v>5.0424206415084445E-2</v>
      </c>
      <c r="AF444" s="800">
        <v>5.3633649122247933E-2</v>
      </c>
      <c r="AG444" s="800">
        <v>5.7513552647249049E-2</v>
      </c>
      <c r="AH444" s="780">
        <f>AH443/AH427</f>
        <v>5.2752667866241464E-2</v>
      </c>
      <c r="AI444" s="800">
        <v>5.3415948943553004E-2</v>
      </c>
      <c r="AJ444" s="800">
        <v>5.9861051337227231E-2</v>
      </c>
      <c r="AK444" s="800">
        <v>6.3090346679117504E-2</v>
      </c>
      <c r="AL444" s="800">
        <v>6.4170132325141765E-2</v>
      </c>
      <c r="AM444" s="780">
        <f>AM443/AM427</f>
        <v>6.03179874509574E-2</v>
      </c>
      <c r="AN444" s="800">
        <v>5.8229041501062812E-2</v>
      </c>
      <c r="AO444" s="800">
        <v>6.1622504537205032E-2</v>
      </c>
      <c r="AP444" s="800">
        <v>6.6681141439206115E-2</v>
      </c>
      <c r="AQ444" s="800">
        <v>6.6927580136733722E-2</v>
      </c>
      <c r="AR444" s="780">
        <f>AR443/AR427</f>
        <v>6.3500931920196804E-2</v>
      </c>
      <c r="AS444" s="800">
        <v>5.7892858323143503E-2</v>
      </c>
      <c r="AT444" s="800">
        <v>3.9696625367923837E-2</v>
      </c>
      <c r="AU444" s="800">
        <v>4.5792247147320247E-2</v>
      </c>
      <c r="AV444" s="800">
        <v>4.8800041832957421E-2</v>
      </c>
      <c r="AW444" s="780">
        <f>AW443/AW427</f>
        <v>4.6419766024894733E-2</v>
      </c>
      <c r="AX444" s="800">
        <v>4.4487159516488482E-2</v>
      </c>
      <c r="AY444" s="800">
        <v>4.8490444073129996E-2</v>
      </c>
      <c r="AZ444" s="800">
        <v>5.2425034757144523E-2</v>
      </c>
      <c r="BA444" s="800">
        <v>5.3351810564718702E-2</v>
      </c>
      <c r="BB444" s="780">
        <f>BB443/BB427</f>
        <v>4.9672731902047039E-2</v>
      </c>
      <c r="BC444" s="800">
        <v>4.5376631395773137E-2</v>
      </c>
      <c r="BD444" s="800">
        <v>4.7560981294944474E-2</v>
      </c>
      <c r="BE444" s="800">
        <v>5.3628853536310583E-2</v>
      </c>
      <c r="BF444" s="800">
        <v>5.575441698933991E-2</v>
      </c>
      <c r="BG444" s="780">
        <f>BG443/BG427</f>
        <v>5.0606495969559608E-2</v>
      </c>
      <c r="BH444" s="800">
        <v>5.2783749721995551E-2</v>
      </c>
      <c r="BI444" s="600"/>
      <c r="BJ444" s="600"/>
      <c r="BK444" s="600"/>
      <c r="BL444" s="593"/>
      <c r="BM444" s="600"/>
      <c r="BN444" s="600"/>
      <c r="BO444" s="600"/>
      <c r="BP444" s="600"/>
      <c r="BQ444" s="593"/>
      <c r="BR444" s="600"/>
      <c r="BS444" s="600"/>
      <c r="BT444" s="600"/>
      <c r="BU444" s="600"/>
      <c r="BV444" s="593"/>
      <c r="BW444" s="600"/>
      <c r="BX444" s="600"/>
      <c r="BY444" s="600"/>
      <c r="BZ444" s="600"/>
      <c r="CA444" s="593"/>
      <c r="CB444" s="600"/>
      <c r="CC444" s="600"/>
      <c r="CD444" s="600"/>
      <c r="CE444" s="600"/>
      <c r="CF444" s="593"/>
      <c r="CG444" s="542"/>
      <c r="CH444" s="542"/>
      <c r="CI444" s="542"/>
      <c r="CJ444" s="542"/>
      <c r="CK444" s="593"/>
      <c r="CL444" s="542"/>
      <c r="CM444" s="542"/>
      <c r="CN444" s="542"/>
      <c r="CO444" s="542"/>
      <c r="CP444" s="593"/>
      <c r="CQ444" s="542"/>
      <c r="CR444" s="542"/>
      <c r="CS444" s="542"/>
      <c r="CT444" s="542"/>
      <c r="CU444" s="593"/>
      <c r="CV444" s="542"/>
      <c r="CW444" s="542"/>
      <c r="CX444" s="542"/>
      <c r="CY444" s="542"/>
      <c r="CZ444" s="593"/>
      <c r="DA444" s="542"/>
      <c r="DB444" s="542"/>
      <c r="DC444" s="542"/>
      <c r="DD444" s="542"/>
      <c r="DE444" s="593"/>
      <c r="DF444" s="542"/>
      <c r="DG444" s="542"/>
      <c r="DH444" s="542"/>
      <c r="DI444" s="899"/>
      <c r="DJ444" s="593"/>
      <c r="DK444" s="542"/>
      <c r="DL444" s="542"/>
      <c r="DM444" s="542"/>
      <c r="DN444" s="542"/>
      <c r="DO444" s="593"/>
      <c r="DP444" s="542"/>
      <c r="DQ444" s="542"/>
      <c r="DR444" s="542"/>
      <c r="DS444" s="542"/>
      <c r="DT444" s="593"/>
      <c r="DU444" s="542"/>
      <c r="DV444" s="542"/>
      <c r="DW444" s="542"/>
      <c r="DX444" s="542"/>
      <c r="DY444" s="593"/>
    </row>
    <row r="445" spans="1:129" hidden="1" outlineLevel="1" x14ac:dyDescent="0.2">
      <c r="A445" s="526"/>
      <c r="B445" s="756"/>
      <c r="C445" s="597"/>
      <c r="D445" s="597"/>
      <c r="E445" s="597"/>
      <c r="F445" s="597"/>
      <c r="G445" s="597"/>
      <c r="H445" s="597"/>
      <c r="I445" s="598"/>
      <c r="J445" s="597"/>
      <c r="K445" s="597"/>
      <c r="L445" s="597"/>
      <c r="M445" s="597"/>
      <c r="N445" s="598"/>
      <c r="O445" s="597"/>
      <c r="P445" s="597"/>
      <c r="Q445" s="597"/>
      <c r="R445" s="597"/>
      <c r="S445" s="598"/>
      <c r="T445" s="597"/>
      <c r="U445" s="597"/>
      <c r="V445" s="597"/>
      <c r="W445" s="597"/>
      <c r="X445" s="598"/>
      <c r="Y445" s="597"/>
      <c r="Z445" s="597"/>
      <c r="AA445" s="597"/>
      <c r="AB445" s="597"/>
      <c r="AC445" s="598"/>
      <c r="AD445" s="597"/>
      <c r="AE445" s="597"/>
      <c r="AF445" s="597"/>
      <c r="AG445" s="597"/>
      <c r="AH445" s="598"/>
      <c r="AI445" s="597"/>
      <c r="AJ445" s="597"/>
      <c r="AK445" s="597"/>
      <c r="AL445" s="597"/>
      <c r="AM445" s="598"/>
      <c r="AN445" s="597"/>
      <c r="AO445" s="597"/>
      <c r="AP445" s="597"/>
      <c r="AQ445" s="597"/>
      <c r="AR445" s="598"/>
      <c r="AS445" s="597"/>
      <c r="AT445" s="597"/>
      <c r="AU445" s="597"/>
      <c r="AV445" s="597"/>
      <c r="AW445" s="598"/>
      <c r="AX445" s="597"/>
      <c r="AY445" s="597"/>
      <c r="AZ445" s="597"/>
      <c r="BA445" s="597"/>
      <c r="BB445" s="598"/>
      <c r="BC445" s="597"/>
      <c r="BD445" s="597"/>
      <c r="BE445" s="597"/>
      <c r="BF445" s="597"/>
      <c r="BG445" s="598"/>
      <c r="BH445" s="597"/>
      <c r="BI445" s="597"/>
      <c r="BJ445" s="597"/>
      <c r="BK445" s="597"/>
      <c r="BL445" s="598"/>
      <c r="BM445" s="597"/>
      <c r="BN445" s="597"/>
      <c r="BO445" s="597"/>
      <c r="BP445" s="597"/>
      <c r="BQ445" s="598"/>
      <c r="BR445" s="597"/>
      <c r="BS445" s="597"/>
      <c r="BT445" s="597"/>
      <c r="BU445" s="597"/>
      <c r="BV445" s="598"/>
      <c r="BW445" s="597"/>
      <c r="BX445" s="597"/>
      <c r="BY445" s="597"/>
      <c r="BZ445" s="597"/>
      <c r="CA445" s="598"/>
      <c r="CB445" s="597"/>
      <c r="CC445" s="597"/>
      <c r="CD445" s="597"/>
      <c r="CE445" s="597"/>
      <c r="CF445" s="598"/>
      <c r="CG445" s="682"/>
      <c r="CH445" s="682"/>
      <c r="CI445" s="682"/>
      <c r="CJ445" s="682"/>
      <c r="CK445" s="598"/>
      <c r="CL445" s="682"/>
      <c r="CM445" s="682"/>
      <c r="CN445" s="682"/>
      <c r="CO445" s="682"/>
      <c r="CP445" s="598"/>
      <c r="CQ445" s="682"/>
      <c r="CR445" s="682"/>
      <c r="CS445" s="682"/>
      <c r="CT445" s="682"/>
      <c r="CU445" s="598"/>
      <c r="CV445" s="682"/>
      <c r="CW445" s="682"/>
      <c r="CX445" s="682"/>
      <c r="CY445" s="682"/>
      <c r="CZ445" s="598"/>
      <c r="DA445" s="682"/>
      <c r="DB445" s="682"/>
      <c r="DC445" s="682"/>
      <c r="DD445" s="682"/>
      <c r="DE445" s="598"/>
      <c r="DF445" s="682"/>
      <c r="DG445" s="682"/>
      <c r="DH445" s="682"/>
      <c r="DI445" s="1610"/>
      <c r="DJ445" s="598"/>
      <c r="DK445" s="682"/>
      <c r="DL445" s="682"/>
      <c r="DM445" s="682"/>
      <c r="DN445" s="682"/>
      <c r="DO445" s="598"/>
      <c r="DP445" s="682"/>
      <c r="DQ445" s="682"/>
      <c r="DR445" s="682"/>
      <c r="DS445" s="682"/>
      <c r="DT445" s="598"/>
      <c r="DU445" s="682"/>
      <c r="DV445" s="682"/>
      <c r="DW445" s="682"/>
      <c r="DX445" s="682"/>
      <c r="DY445" s="598"/>
    </row>
    <row r="446" spans="1:129" hidden="1" outlineLevel="1" x14ac:dyDescent="0.2">
      <c r="A446" s="466"/>
      <c r="B446" s="607" t="s">
        <v>878</v>
      </c>
      <c r="C446" s="585"/>
      <c r="D446" s="585"/>
      <c r="E446" s="585"/>
      <c r="F446" s="585"/>
      <c r="G446" s="585"/>
      <c r="H446" s="585"/>
      <c r="I446" s="586"/>
      <c r="J446" s="585"/>
      <c r="K446" s="585"/>
      <c r="L446" s="585"/>
      <c r="M446" s="585"/>
      <c r="N446" s="586"/>
      <c r="O446" s="585"/>
      <c r="P446" s="585"/>
      <c r="Q446" s="585"/>
      <c r="R446" s="585"/>
      <c r="S446" s="586"/>
      <c r="T446" s="592">
        <v>5.3330000000000002</v>
      </c>
      <c r="U446" s="592">
        <v>4.8790000000000004</v>
      </c>
      <c r="V446" s="592">
        <v>5.3690000000000007</v>
      </c>
      <c r="W446" s="592">
        <v>5.6140000000000008</v>
      </c>
      <c r="X446" s="754">
        <v>21.195</v>
      </c>
      <c r="Y446" s="592">
        <v>5.0729999999999995</v>
      </c>
      <c r="Z446" s="592">
        <v>5</v>
      </c>
      <c r="AA446" s="592">
        <v>5.0640000000000001</v>
      </c>
      <c r="AB446" s="592">
        <v>5.4179999999999993</v>
      </c>
      <c r="AC446" s="754">
        <v>20.555</v>
      </c>
      <c r="AD446" s="592">
        <v>5.9719999999999995</v>
      </c>
      <c r="AE446" s="592">
        <v>5.6329999999999991</v>
      </c>
      <c r="AF446" s="592">
        <v>5.87</v>
      </c>
      <c r="AG446" s="592">
        <v>6.3539999999999992</v>
      </c>
      <c r="AH446" s="754">
        <v>23.828999999999997</v>
      </c>
      <c r="AI446" s="592">
        <v>6.6240000000000006</v>
      </c>
      <c r="AJ446" s="592">
        <v>7.2430000000000003</v>
      </c>
      <c r="AK446" s="592">
        <v>7.7510000000000003</v>
      </c>
      <c r="AL446" s="592">
        <v>8.0380000000000003</v>
      </c>
      <c r="AM446" s="754">
        <v>29.656000000000002</v>
      </c>
      <c r="AN446" s="592">
        <v>9.859</v>
      </c>
      <c r="AO446" s="592">
        <v>10.667666666666666</v>
      </c>
      <c r="AP446" s="592">
        <v>11.877666666666666</v>
      </c>
      <c r="AQ446" s="592">
        <v>12.369666666666667</v>
      </c>
      <c r="AR446" s="754">
        <v>44.773999999999994</v>
      </c>
      <c r="AS446" s="592">
        <v>12.789</v>
      </c>
      <c r="AT446" s="592">
        <v>24.474</v>
      </c>
      <c r="AU446" s="592">
        <v>24.734999999999999</v>
      </c>
      <c r="AV446" s="592">
        <v>24.532</v>
      </c>
      <c r="AW446" s="754">
        <v>86.53</v>
      </c>
      <c r="AX446" s="592">
        <v>24.004000000000001</v>
      </c>
      <c r="AY446" s="592">
        <v>24.556000000000001</v>
      </c>
      <c r="AZ446" s="592">
        <v>25.402000000000001</v>
      </c>
      <c r="BA446" s="592">
        <v>26.15</v>
      </c>
      <c r="BB446" s="754">
        <v>100.11199999999999</v>
      </c>
      <c r="BC446" s="592">
        <v>25.28</v>
      </c>
      <c r="BD446" s="592">
        <v>25.198</v>
      </c>
      <c r="BE446" s="592">
        <v>25.491</v>
      </c>
      <c r="BF446" s="592">
        <v>26.317</v>
      </c>
      <c r="BG446" s="754">
        <v>102.286</v>
      </c>
      <c r="BH446" s="592">
        <v>27.146353151397012</v>
      </c>
      <c r="BI446" s="585"/>
      <c r="BJ446" s="585"/>
      <c r="BK446" s="585"/>
      <c r="BL446" s="586"/>
      <c r="BM446" s="585"/>
      <c r="BN446" s="585"/>
      <c r="BO446" s="585"/>
      <c r="BP446" s="585"/>
      <c r="BQ446" s="586"/>
      <c r="BR446" s="585"/>
      <c r="BS446" s="585"/>
      <c r="BT446" s="585"/>
      <c r="BU446" s="585"/>
      <c r="BV446" s="586"/>
      <c r="BW446" s="585"/>
      <c r="BX446" s="585"/>
      <c r="BY446" s="585"/>
      <c r="BZ446" s="585"/>
      <c r="CA446" s="586"/>
      <c r="CB446" s="585"/>
      <c r="CC446" s="585"/>
      <c r="CD446" s="585"/>
      <c r="CE446" s="585"/>
      <c r="CF446" s="586"/>
      <c r="CG446" s="470"/>
      <c r="CH446" s="470"/>
      <c r="CI446" s="470"/>
      <c r="CJ446" s="470"/>
      <c r="CK446" s="586"/>
      <c r="CL446" s="470"/>
      <c r="CM446" s="470"/>
      <c r="CN446" s="470"/>
      <c r="CO446" s="470"/>
      <c r="CP446" s="586"/>
      <c r="CQ446" s="470"/>
      <c r="CR446" s="470"/>
      <c r="CS446" s="470"/>
      <c r="CT446" s="470"/>
      <c r="CU446" s="586"/>
      <c r="CV446" s="470"/>
      <c r="CW446" s="470"/>
      <c r="CX446" s="470"/>
      <c r="CY446" s="470"/>
      <c r="CZ446" s="586"/>
      <c r="DA446" s="470"/>
      <c r="DB446" s="470"/>
      <c r="DC446" s="470"/>
      <c r="DD446" s="470"/>
      <c r="DE446" s="586"/>
      <c r="DF446" s="470"/>
      <c r="DG446" s="470"/>
      <c r="DH446" s="470"/>
      <c r="DI446" s="914"/>
      <c r="DJ446" s="586"/>
      <c r="DK446" s="470"/>
      <c r="DL446" s="470"/>
      <c r="DM446" s="470"/>
      <c r="DN446" s="470"/>
      <c r="DO446" s="586"/>
      <c r="DP446" s="470"/>
      <c r="DQ446" s="470"/>
      <c r="DR446" s="470"/>
      <c r="DS446" s="470"/>
      <c r="DT446" s="586"/>
      <c r="DU446" s="470"/>
      <c r="DV446" s="470"/>
      <c r="DW446" s="470"/>
      <c r="DX446" s="470"/>
      <c r="DY446" s="586"/>
    </row>
    <row r="447" spans="1:129" hidden="1" outlineLevel="1" x14ac:dyDescent="0.2">
      <c r="A447" s="526"/>
      <c r="B447" s="756" t="s">
        <v>879</v>
      </c>
      <c r="C447" s="597"/>
      <c r="D447" s="597"/>
      <c r="E447" s="597"/>
      <c r="F447" s="597"/>
      <c r="G447" s="597"/>
      <c r="H447" s="597"/>
      <c r="I447" s="598"/>
      <c r="J447" s="597"/>
      <c r="K447" s="597"/>
      <c r="L447" s="597"/>
      <c r="M447" s="597"/>
      <c r="N447" s="598"/>
      <c r="O447" s="597"/>
      <c r="P447" s="597"/>
      <c r="Q447" s="597"/>
      <c r="R447" s="597"/>
      <c r="S447" s="598"/>
      <c r="T447" s="968">
        <v>0.22500000000000001</v>
      </c>
      <c r="U447" s="968">
        <v>0.22500000000000001</v>
      </c>
      <c r="V447" s="968">
        <v>0.22500000000000001</v>
      </c>
      <c r="W447" s="968">
        <v>0.22500000000000001</v>
      </c>
      <c r="X447" s="975">
        <v>0.9</v>
      </c>
      <c r="Y447" s="968">
        <v>0.65</v>
      </c>
      <c r="Z447" s="968">
        <v>0.65</v>
      </c>
      <c r="AA447" s="968">
        <v>0.65</v>
      </c>
      <c r="AB447" s="968">
        <v>0.65</v>
      </c>
      <c r="AC447" s="975">
        <v>2.6</v>
      </c>
      <c r="AD447" s="968">
        <v>0.77</v>
      </c>
      <c r="AE447" s="968">
        <v>0.77</v>
      </c>
      <c r="AF447" s="968">
        <v>0.77</v>
      </c>
      <c r="AG447" s="968">
        <v>0.77</v>
      </c>
      <c r="AH447" s="975">
        <v>3.08</v>
      </c>
      <c r="AI447" s="968">
        <v>6.8000000000000005E-2</v>
      </c>
      <c r="AJ447" s="968">
        <v>6.8000000000000005E-2</v>
      </c>
      <c r="AK447" s="968">
        <v>6.8000000000000005E-2</v>
      </c>
      <c r="AL447" s="968">
        <v>6.8000000000000005E-2</v>
      </c>
      <c r="AM447" s="975">
        <v>0.27200000000000002</v>
      </c>
      <c r="AN447" s="968">
        <v>1.7000000000000001E-2</v>
      </c>
      <c r="AO447" s="968">
        <v>9.0333333333333335E-2</v>
      </c>
      <c r="AP447" s="968">
        <v>9.0333333333333335E-2</v>
      </c>
      <c r="AQ447" s="968">
        <v>9.0333333333333335E-2</v>
      </c>
      <c r="AR447" s="975">
        <v>0.28799999999999998</v>
      </c>
      <c r="AS447" s="968">
        <v>1.0589999999999999</v>
      </c>
      <c r="AT447" s="968">
        <v>12.3</v>
      </c>
      <c r="AU447" s="968">
        <v>11.847</v>
      </c>
      <c r="AV447" s="968">
        <v>12.082000000000001</v>
      </c>
      <c r="AW447" s="975">
        <v>37.287999999999997</v>
      </c>
      <c r="AX447" s="968">
        <v>12.083</v>
      </c>
      <c r="AY447" s="968">
        <v>11.725</v>
      </c>
      <c r="AZ447" s="968">
        <v>11.725</v>
      </c>
      <c r="BA447" s="968">
        <v>11.725</v>
      </c>
      <c r="BB447" s="975">
        <v>47.258000000000003</v>
      </c>
      <c r="BC447" s="968">
        <v>11.599</v>
      </c>
      <c r="BD447" s="968">
        <v>10.619</v>
      </c>
      <c r="BE447" s="968">
        <v>10.619</v>
      </c>
      <c r="BF447" s="968">
        <v>10.619</v>
      </c>
      <c r="BG447" s="975">
        <v>43.456000000000003</v>
      </c>
      <c r="BH447" s="968">
        <v>10.95364684860299</v>
      </c>
      <c r="BI447" s="597"/>
      <c r="BJ447" s="597"/>
      <c r="BK447" s="597"/>
      <c r="BL447" s="598"/>
      <c r="BM447" s="597"/>
      <c r="BN447" s="597"/>
      <c r="BO447" s="597"/>
      <c r="BP447" s="597"/>
      <c r="BQ447" s="598"/>
      <c r="BR447" s="597"/>
      <c r="BS447" s="597"/>
      <c r="BT447" s="597"/>
      <c r="BU447" s="597"/>
      <c r="BV447" s="598"/>
      <c r="BW447" s="597"/>
      <c r="BX447" s="597"/>
      <c r="BY447" s="597"/>
      <c r="BZ447" s="597"/>
      <c r="CA447" s="598"/>
      <c r="CB447" s="597"/>
      <c r="CC447" s="597"/>
      <c r="CD447" s="597"/>
      <c r="CE447" s="597"/>
      <c r="CF447" s="598"/>
      <c r="CG447" s="682"/>
      <c r="CH447" s="682"/>
      <c r="CI447" s="682"/>
      <c r="CJ447" s="682"/>
      <c r="CK447" s="598"/>
      <c r="CL447" s="682"/>
      <c r="CM447" s="682"/>
      <c r="CN447" s="682"/>
      <c r="CO447" s="682"/>
      <c r="CP447" s="598"/>
      <c r="CQ447" s="682"/>
      <c r="CR447" s="682"/>
      <c r="CS447" s="682"/>
      <c r="CT447" s="682"/>
      <c r="CU447" s="598"/>
      <c r="CV447" s="682"/>
      <c r="CW447" s="682"/>
      <c r="CX447" s="682"/>
      <c r="CY447" s="682"/>
      <c r="CZ447" s="598"/>
      <c r="DA447" s="682"/>
      <c r="DB447" s="682"/>
      <c r="DC447" s="682"/>
      <c r="DD447" s="682"/>
      <c r="DE447" s="598"/>
      <c r="DF447" s="682"/>
      <c r="DG447" s="682"/>
      <c r="DH447" s="682"/>
      <c r="DI447" s="1610"/>
      <c r="DJ447" s="598"/>
      <c r="DK447" s="682"/>
      <c r="DL447" s="682"/>
      <c r="DM447" s="682"/>
      <c r="DN447" s="682"/>
      <c r="DO447" s="598"/>
      <c r="DP447" s="682"/>
      <c r="DQ447" s="682"/>
      <c r="DR447" s="682"/>
      <c r="DS447" s="682"/>
      <c r="DT447" s="598"/>
      <c r="DU447" s="682"/>
      <c r="DV447" s="682"/>
      <c r="DW447" s="682"/>
      <c r="DX447" s="682"/>
      <c r="DY447" s="598"/>
    </row>
    <row r="448" spans="1:129" hidden="1" outlineLevel="1" x14ac:dyDescent="0.2">
      <c r="A448" s="526"/>
      <c r="B448" s="756"/>
      <c r="C448" s="597"/>
      <c r="D448" s="597"/>
      <c r="E448" s="597"/>
      <c r="F448" s="597"/>
      <c r="G448" s="597"/>
      <c r="H448" s="597"/>
      <c r="I448" s="598"/>
      <c r="J448" s="597"/>
      <c r="K448" s="597"/>
      <c r="L448" s="597"/>
      <c r="M448" s="597"/>
      <c r="N448" s="598"/>
      <c r="O448" s="597"/>
      <c r="P448" s="597"/>
      <c r="Q448" s="597"/>
      <c r="R448" s="597"/>
      <c r="S448" s="598"/>
      <c r="T448" s="597"/>
      <c r="U448" s="597"/>
      <c r="V448" s="597"/>
      <c r="W448" s="597"/>
      <c r="X448" s="598"/>
      <c r="Y448" s="597"/>
      <c r="Z448" s="597"/>
      <c r="AA448" s="597"/>
      <c r="AB448" s="597"/>
      <c r="AC448" s="598"/>
      <c r="AD448" s="597"/>
      <c r="AE448" s="597"/>
      <c r="AF448" s="597"/>
      <c r="AG448" s="597"/>
      <c r="AH448" s="598"/>
      <c r="AI448" s="597"/>
      <c r="AJ448" s="597"/>
      <c r="AK448" s="597"/>
      <c r="AL448" s="597"/>
      <c r="AM448" s="598"/>
      <c r="AN448" s="597"/>
      <c r="AO448" s="597"/>
      <c r="AP448" s="597"/>
      <c r="AQ448" s="597"/>
      <c r="AR448" s="598"/>
      <c r="AS448" s="597"/>
      <c r="AT448" s="597"/>
      <c r="AU448" s="597"/>
      <c r="AV448" s="597"/>
      <c r="AW448" s="598"/>
      <c r="AX448" s="597"/>
      <c r="AY448" s="597"/>
      <c r="AZ448" s="597"/>
      <c r="BA448" s="597"/>
      <c r="BB448" s="598"/>
      <c r="BC448" s="597"/>
      <c r="BD448" s="597"/>
      <c r="BE448" s="597"/>
      <c r="BF448" s="597"/>
      <c r="BG448" s="598"/>
      <c r="BH448" s="597"/>
      <c r="BI448" s="597"/>
      <c r="BJ448" s="597"/>
      <c r="BK448" s="597"/>
      <c r="BL448" s="598"/>
      <c r="BM448" s="597"/>
      <c r="BN448" s="597"/>
      <c r="BO448" s="597"/>
      <c r="BP448" s="597"/>
      <c r="BQ448" s="598"/>
      <c r="BR448" s="597"/>
      <c r="BS448" s="597"/>
      <c r="BT448" s="597"/>
      <c r="BU448" s="597"/>
      <c r="BV448" s="598"/>
      <c r="BW448" s="597"/>
      <c r="BX448" s="597"/>
      <c r="BY448" s="597"/>
      <c r="BZ448" s="597"/>
      <c r="CA448" s="598"/>
      <c r="CB448" s="597"/>
      <c r="CC448" s="597"/>
      <c r="CD448" s="597"/>
      <c r="CE448" s="597"/>
      <c r="CF448" s="598"/>
      <c r="CG448" s="682"/>
      <c r="CH448" s="682"/>
      <c r="CI448" s="682"/>
      <c r="CJ448" s="682"/>
      <c r="CK448" s="598"/>
      <c r="CL448" s="682"/>
      <c r="CM448" s="682"/>
      <c r="CN448" s="682"/>
      <c r="CO448" s="682"/>
      <c r="CP448" s="598"/>
      <c r="CQ448" s="682"/>
      <c r="CR448" s="682"/>
      <c r="CS448" s="682"/>
      <c r="CT448" s="682"/>
      <c r="CU448" s="598"/>
      <c r="CV448" s="682"/>
      <c r="CW448" s="682"/>
      <c r="CX448" s="682"/>
      <c r="CY448" s="682"/>
      <c r="CZ448" s="598"/>
      <c r="DA448" s="682"/>
      <c r="DB448" s="682"/>
      <c r="DC448" s="682"/>
      <c r="DD448" s="682"/>
      <c r="DE448" s="598"/>
      <c r="DF448" s="682"/>
      <c r="DG448" s="682"/>
      <c r="DH448" s="682"/>
      <c r="DI448" s="1610"/>
      <c r="DJ448" s="598"/>
      <c r="DK448" s="682"/>
      <c r="DL448" s="682"/>
      <c r="DM448" s="682"/>
      <c r="DN448" s="682"/>
      <c r="DO448" s="598"/>
      <c r="DP448" s="682"/>
      <c r="DQ448" s="682"/>
      <c r="DR448" s="682"/>
      <c r="DS448" s="682"/>
      <c r="DT448" s="598"/>
      <c r="DU448" s="682"/>
      <c r="DV448" s="682"/>
      <c r="DW448" s="682"/>
      <c r="DX448" s="682"/>
      <c r="DY448" s="598"/>
    </row>
    <row r="449" spans="1:129" hidden="1" outlineLevel="1" x14ac:dyDescent="0.2">
      <c r="A449" s="466"/>
      <c r="B449" s="607" t="s">
        <v>880</v>
      </c>
      <c r="C449" s="585"/>
      <c r="D449" s="585"/>
      <c r="E449" s="585"/>
      <c r="F449" s="585"/>
      <c r="G449" s="585"/>
      <c r="H449" s="585"/>
      <c r="I449" s="586"/>
      <c r="J449" s="585"/>
      <c r="K449" s="585"/>
      <c r="L449" s="585"/>
      <c r="M449" s="585"/>
      <c r="N449" s="586"/>
      <c r="O449" s="585"/>
      <c r="P449" s="585"/>
      <c r="Q449" s="585"/>
      <c r="R449" s="585"/>
      <c r="S449" s="586"/>
      <c r="T449" s="592">
        <v>38.861000000000011</v>
      </c>
      <c r="U449" s="592">
        <v>43.136999999999979</v>
      </c>
      <c r="V449" s="592">
        <v>44.44100000000001</v>
      </c>
      <c r="W449" s="592">
        <v>52.950999999999922</v>
      </c>
      <c r="X449" s="589">
        <f>X443-X446-X447</f>
        <v>179.3899999999999</v>
      </c>
      <c r="Y449" s="592">
        <v>50.495000000000054</v>
      </c>
      <c r="Z449" s="592">
        <v>49.50599999999995</v>
      </c>
      <c r="AA449" s="592">
        <v>51.39399999999992</v>
      </c>
      <c r="AB449" s="592">
        <v>58.831000000000003</v>
      </c>
      <c r="AC449" s="589">
        <f>AC443-AC446-AC447</f>
        <v>210.22599999999957</v>
      </c>
      <c r="AD449" s="592">
        <v>61.522999999999904</v>
      </c>
      <c r="AE449" s="592">
        <v>62.848999999999997</v>
      </c>
      <c r="AF449" s="592">
        <v>67.399000000000143</v>
      </c>
      <c r="AG449" s="592">
        <v>78.355000000000075</v>
      </c>
      <c r="AH449" s="589">
        <f>AH443-AH446-AH447</f>
        <v>269.197</v>
      </c>
      <c r="AI449" s="592">
        <v>79.51600000000019</v>
      </c>
      <c r="AJ449" s="592">
        <v>90.053000000000083</v>
      </c>
      <c r="AK449" s="592">
        <v>100.28</v>
      </c>
      <c r="AL449" s="592">
        <v>110.705</v>
      </c>
      <c r="AM449" s="589">
        <f>AM443-AM446-AM447</f>
        <v>380.55400000000043</v>
      </c>
      <c r="AN449" s="592">
        <v>116.12</v>
      </c>
      <c r="AO449" s="592">
        <v>125.05799999999989</v>
      </c>
      <c r="AP449" s="592">
        <v>138.5180000000004</v>
      </c>
      <c r="AQ449" s="592">
        <v>151.02399999999943</v>
      </c>
      <c r="AR449" s="589">
        <f>AR443-AR446-AR447</f>
        <v>530.7200000000006</v>
      </c>
      <c r="AS449" s="592">
        <v>161.33000000000001</v>
      </c>
      <c r="AT449" s="592">
        <v>253.19</v>
      </c>
      <c r="AU449" s="592">
        <v>304.93199999999968</v>
      </c>
      <c r="AV449" s="592">
        <v>354.41199999999969</v>
      </c>
      <c r="AW449" s="589">
        <f>AW443-AW446-AW447</f>
        <v>1073.863999999998</v>
      </c>
      <c r="AX449" s="592">
        <v>335.46900000000005</v>
      </c>
      <c r="AY449" s="592">
        <v>361.29700000000014</v>
      </c>
      <c r="AZ449" s="592">
        <v>386.07099999999843</v>
      </c>
      <c r="BA449" s="592">
        <v>408.56099999999958</v>
      </c>
      <c r="BB449" s="589">
        <f>BB443-BB446-BB447</f>
        <v>1491.3980000000045</v>
      </c>
      <c r="BC449" s="592">
        <v>367.30200000000025</v>
      </c>
      <c r="BD449" s="592">
        <v>413.07799999999963</v>
      </c>
      <c r="BE449" s="592">
        <v>453.80100000000039</v>
      </c>
      <c r="BF449" s="592">
        <v>479.87599999999901</v>
      </c>
      <c r="BG449" s="589">
        <f>BG443-BG446-BG447</f>
        <v>1714.0569999999975</v>
      </c>
      <c r="BH449" s="592">
        <v>460.29999999999853</v>
      </c>
      <c r="BI449" s="585"/>
      <c r="BJ449" s="585"/>
      <c r="BK449" s="585"/>
      <c r="BL449" s="586"/>
      <c r="BM449" s="585"/>
      <c r="BN449" s="585"/>
      <c r="BO449" s="585"/>
      <c r="BP449" s="585"/>
      <c r="BQ449" s="586"/>
      <c r="BR449" s="585"/>
      <c r="BS449" s="585"/>
      <c r="BT449" s="585"/>
      <c r="BU449" s="585"/>
      <c r="BV449" s="586"/>
      <c r="BW449" s="585"/>
      <c r="BX449" s="585"/>
      <c r="BY449" s="585"/>
      <c r="BZ449" s="585"/>
      <c r="CA449" s="586"/>
      <c r="CB449" s="585"/>
      <c r="CC449" s="585"/>
      <c r="CD449" s="585"/>
      <c r="CE449" s="585"/>
      <c r="CF449" s="586"/>
      <c r="CG449" s="470"/>
      <c r="CH449" s="470"/>
      <c r="CI449" s="470"/>
      <c r="CJ449" s="470"/>
      <c r="CK449" s="586"/>
      <c r="CL449" s="470"/>
      <c r="CM449" s="470"/>
      <c r="CN449" s="470"/>
      <c r="CO449" s="470"/>
      <c r="CP449" s="586"/>
      <c r="CQ449" s="470"/>
      <c r="CR449" s="470"/>
      <c r="CS449" s="470"/>
      <c r="CT449" s="470"/>
      <c r="CU449" s="586"/>
      <c r="CV449" s="470"/>
      <c r="CW449" s="470"/>
      <c r="CX449" s="470"/>
      <c r="CY449" s="470"/>
      <c r="CZ449" s="586"/>
      <c r="DA449" s="470"/>
      <c r="DB449" s="470"/>
      <c r="DC449" s="470"/>
      <c r="DD449" s="470"/>
      <c r="DE449" s="586"/>
      <c r="DF449" s="470"/>
      <c r="DG449" s="470"/>
      <c r="DH449" s="470"/>
      <c r="DI449" s="914"/>
      <c r="DJ449" s="586"/>
      <c r="DK449" s="470"/>
      <c r="DL449" s="470"/>
      <c r="DM449" s="470"/>
      <c r="DN449" s="470"/>
      <c r="DO449" s="586"/>
      <c r="DP449" s="470"/>
      <c r="DQ449" s="470"/>
      <c r="DR449" s="470"/>
      <c r="DS449" s="470"/>
      <c r="DT449" s="586"/>
      <c r="DU449" s="470"/>
      <c r="DV449" s="470"/>
      <c r="DW449" s="470"/>
      <c r="DX449" s="470"/>
      <c r="DY449" s="586"/>
    </row>
    <row r="450" spans="1:129" ht="12" hidden="1" outlineLevel="1" thickBot="1" x14ac:dyDescent="0.25">
      <c r="A450" s="526"/>
      <c r="B450" s="757" t="s">
        <v>855</v>
      </c>
      <c r="C450" s="758"/>
      <c r="D450" s="758"/>
      <c r="E450" s="758"/>
      <c r="F450" s="758"/>
      <c r="G450" s="758"/>
      <c r="H450" s="758"/>
      <c r="I450" s="894"/>
      <c r="J450" s="758"/>
      <c r="K450" s="758"/>
      <c r="L450" s="758"/>
      <c r="M450" s="758"/>
      <c r="N450" s="894"/>
      <c r="O450" s="893"/>
      <c r="P450" s="893"/>
      <c r="Q450" s="893"/>
      <c r="R450" s="893"/>
      <c r="S450" s="894"/>
      <c r="T450" s="976">
        <v>4.9500801214687334E-2</v>
      </c>
      <c r="U450" s="976">
        <v>5.4178122021032192E-2</v>
      </c>
      <c r="V450" s="976">
        <v>5.4663245575623999E-2</v>
      </c>
      <c r="W450" s="976">
        <v>5.7962114619422057E-2</v>
      </c>
      <c r="X450" s="891">
        <f>X449/X427</f>
        <v>5.4232321968096041E-2</v>
      </c>
      <c r="Y450" s="976">
        <v>4.7999505698723424E-2</v>
      </c>
      <c r="Z450" s="976">
        <v>4.5673786608408082E-2</v>
      </c>
      <c r="AA450" s="976">
        <v>4.7201210843218509E-2</v>
      </c>
      <c r="AB450" s="976">
        <v>4.889451082633893E-2</v>
      </c>
      <c r="AC450" s="891">
        <f>AC449/AC427</f>
        <v>4.7477102809542482E-2</v>
      </c>
      <c r="AD450" s="976">
        <v>4.4778454985727127E-2</v>
      </c>
      <c r="AE450" s="976">
        <v>4.5762013356749877E-2</v>
      </c>
      <c r="AF450" s="976">
        <v>4.8823651280951785E-2</v>
      </c>
      <c r="AG450" s="976">
        <v>5.2720251964519939E-2</v>
      </c>
      <c r="AH450" s="891">
        <f>AH449/AH427</f>
        <v>4.7958703746592786E-2</v>
      </c>
      <c r="AI450" s="976">
        <v>4.9269471466633734E-2</v>
      </c>
      <c r="AJ450" s="976">
        <v>5.5366123578235525E-2</v>
      </c>
      <c r="AK450" s="976">
        <v>5.8526905567876694E-2</v>
      </c>
      <c r="AL450" s="976">
        <v>5.9792060491493375E-2</v>
      </c>
      <c r="AM450" s="891">
        <f>AM449/AM427</f>
        <v>5.5920238637532572E-2</v>
      </c>
      <c r="AN450" s="976">
        <v>5.3664848876975556E-2</v>
      </c>
      <c r="AO450" s="976">
        <v>5.6741379310344779E-2</v>
      </c>
      <c r="AP450" s="976">
        <v>6.1378057426444692E-2</v>
      </c>
      <c r="AQ450" s="976">
        <v>6.1826667212510518E-2</v>
      </c>
      <c r="AR450" s="891">
        <f>AR449/AR427</f>
        <v>5.8531205540789485E-2</v>
      </c>
      <c r="AS450" s="976">
        <v>5.3316368683697386E-2</v>
      </c>
      <c r="AT450" s="976">
        <v>3.4662194537613752E-2</v>
      </c>
      <c r="AU450" s="976">
        <v>4.0887112994274485E-2</v>
      </c>
      <c r="AV450" s="976">
        <v>4.4230614910778579E-2</v>
      </c>
      <c r="AW450" s="891">
        <f>AW449/AW427</f>
        <v>4.1620827250102736E-2</v>
      </c>
      <c r="AX450" s="976">
        <v>4.0166389227564284E-2</v>
      </c>
      <c r="AY450" s="976">
        <v>4.4065446207510593E-2</v>
      </c>
      <c r="AZ450" s="976">
        <v>4.7825806345317169E-2</v>
      </c>
      <c r="BA450" s="976">
        <v>4.8825518273911683E-2</v>
      </c>
      <c r="BB450" s="891">
        <f>BB449/BB427</f>
        <v>4.5205796679730847E-2</v>
      </c>
      <c r="BC450" s="976">
        <v>4.1236296275505936E-2</v>
      </c>
      <c r="BD450" s="976">
        <v>4.376612577852966E-2</v>
      </c>
      <c r="BE450" s="976">
        <v>4.9676017406490733E-2</v>
      </c>
      <c r="BF450" s="976">
        <v>5.1769708534586033E-2</v>
      </c>
      <c r="BG450" s="891">
        <f>BG449/BG427</f>
        <v>4.6640749168106566E-2</v>
      </c>
      <c r="BH450" s="976">
        <v>4.8748715884900776E-2</v>
      </c>
      <c r="BI450" s="893"/>
      <c r="BJ450" s="893"/>
      <c r="BK450" s="893"/>
      <c r="BL450" s="894"/>
      <c r="BM450" s="893"/>
      <c r="BN450" s="893"/>
      <c r="BO450" s="893"/>
      <c r="BP450" s="893"/>
      <c r="BQ450" s="894"/>
      <c r="BR450" s="893"/>
      <c r="BS450" s="893"/>
      <c r="BT450" s="893"/>
      <c r="BU450" s="893"/>
      <c r="BV450" s="894"/>
      <c r="BW450" s="893"/>
      <c r="BX450" s="893"/>
      <c r="BY450" s="893"/>
      <c r="BZ450" s="893"/>
      <c r="CA450" s="894"/>
      <c r="CB450" s="893"/>
      <c r="CC450" s="893"/>
      <c r="CD450" s="893"/>
      <c r="CE450" s="893"/>
      <c r="CF450" s="894"/>
      <c r="CG450" s="977"/>
      <c r="CH450" s="977"/>
      <c r="CI450" s="977"/>
      <c r="CJ450" s="977"/>
      <c r="CK450" s="894"/>
      <c r="CL450" s="977"/>
      <c r="CM450" s="977"/>
      <c r="CN450" s="977"/>
      <c r="CO450" s="977"/>
      <c r="CP450" s="894"/>
      <c r="CQ450" s="977"/>
      <c r="CR450" s="977"/>
      <c r="CS450" s="977"/>
      <c r="CT450" s="977"/>
      <c r="CU450" s="894"/>
      <c r="CV450" s="977"/>
      <c r="CW450" s="977"/>
      <c r="CX450" s="977"/>
      <c r="CY450" s="977"/>
      <c r="CZ450" s="894"/>
      <c r="DA450" s="977"/>
      <c r="DB450" s="977"/>
      <c r="DC450" s="977"/>
      <c r="DD450" s="977"/>
      <c r="DE450" s="894"/>
      <c r="DF450" s="977"/>
      <c r="DG450" s="977"/>
      <c r="DH450" s="977"/>
      <c r="DI450" s="2840"/>
      <c r="DJ450" s="894"/>
      <c r="DK450" s="977"/>
      <c r="DL450" s="977"/>
      <c r="DM450" s="977"/>
      <c r="DN450" s="977"/>
      <c r="DO450" s="894"/>
      <c r="DP450" s="977"/>
      <c r="DQ450" s="977"/>
      <c r="DR450" s="977"/>
      <c r="DS450" s="977"/>
      <c r="DT450" s="894"/>
      <c r="DU450" s="977"/>
      <c r="DV450" s="977"/>
      <c r="DW450" s="977"/>
      <c r="DX450" s="977"/>
      <c r="DY450" s="894"/>
    </row>
    <row r="451" spans="1:129" hidden="1" outlineLevel="1" x14ac:dyDescent="0.2">
      <c r="A451" s="682"/>
      <c r="B451" s="682"/>
      <c r="C451" s="682"/>
      <c r="D451" s="682"/>
      <c r="E451" s="682"/>
      <c r="F451" s="682"/>
      <c r="G451" s="682"/>
      <c r="H451" s="682"/>
      <c r="I451" s="682"/>
      <c r="J451" s="682"/>
      <c r="K451" s="682"/>
      <c r="L451" s="682"/>
      <c r="M451" s="682"/>
      <c r="N451" s="682"/>
      <c r="O451" s="682"/>
      <c r="P451" s="682"/>
      <c r="Q451" s="682"/>
      <c r="R451" s="682"/>
      <c r="S451" s="682"/>
      <c r="T451" s="682"/>
      <c r="U451" s="682"/>
      <c r="V451" s="682"/>
      <c r="W451" s="682"/>
      <c r="X451" s="682"/>
      <c r="Y451" s="682"/>
      <c r="Z451" s="682"/>
      <c r="AA451" s="682"/>
      <c r="AB451" s="682"/>
      <c r="AC451" s="682"/>
      <c r="AD451" s="682"/>
      <c r="AE451" s="682"/>
      <c r="AF451" s="682"/>
      <c r="AG451" s="682"/>
      <c r="AH451" s="682"/>
      <c r="AI451" s="682"/>
      <c r="AJ451" s="682"/>
      <c r="AK451" s="682"/>
      <c r="AL451" s="682"/>
      <c r="AM451" s="682"/>
      <c r="AN451" s="682"/>
      <c r="AO451" s="682"/>
      <c r="AP451" s="682"/>
      <c r="AQ451" s="682"/>
      <c r="AR451" s="682"/>
      <c r="AS451" s="682"/>
      <c r="AT451" s="682"/>
      <c r="AU451" s="682"/>
      <c r="AV451" s="682"/>
      <c r="AW451" s="682"/>
      <c r="AX451" s="682"/>
      <c r="AY451" s="682"/>
      <c r="AZ451" s="682"/>
      <c r="BA451" s="682"/>
      <c r="BB451" s="682"/>
      <c r="BC451" s="682"/>
      <c r="BD451" s="682"/>
      <c r="BE451" s="682"/>
      <c r="BF451" s="682"/>
      <c r="BG451" s="682"/>
      <c r="BH451" s="682"/>
      <c r="BI451" s="682"/>
      <c r="BJ451" s="682"/>
      <c r="BK451" s="682"/>
      <c r="BL451" s="682"/>
      <c r="BM451" s="682"/>
      <c r="BN451" s="682"/>
      <c r="BO451" s="682"/>
      <c r="BP451" s="682"/>
      <c r="BQ451" s="682"/>
      <c r="BR451" s="682"/>
      <c r="BS451" s="682"/>
      <c r="BT451" s="682"/>
      <c r="BU451" s="682"/>
      <c r="BV451" s="682"/>
      <c r="BW451" s="682"/>
      <c r="BX451" s="682"/>
      <c r="BY451" s="682"/>
      <c r="BZ451" s="682"/>
      <c r="CA451" s="682"/>
      <c r="CB451" s="682"/>
      <c r="CC451" s="682"/>
      <c r="CD451" s="682"/>
      <c r="CE451" s="682"/>
      <c r="CF451" s="682"/>
      <c r="CG451" s="682"/>
      <c r="CH451" s="682"/>
      <c r="CI451" s="682"/>
      <c r="CJ451" s="682"/>
      <c r="CK451" s="682"/>
      <c r="CL451" s="682"/>
      <c r="CM451" s="682"/>
      <c r="CN451" s="682"/>
      <c r="CO451" s="682"/>
      <c r="CP451" s="682"/>
      <c r="CQ451" s="682"/>
      <c r="CR451" s="682"/>
      <c r="CS451" s="682"/>
      <c r="CT451" s="682"/>
      <c r="CU451" s="682"/>
      <c r="CV451" s="682"/>
      <c r="CW451" s="682"/>
      <c r="CX451" s="682"/>
      <c r="CY451" s="682"/>
      <c r="CZ451" s="682"/>
      <c r="DA451" s="682"/>
      <c r="DB451" s="682"/>
      <c r="DC451" s="682"/>
      <c r="DD451" s="682"/>
      <c r="DE451" s="682"/>
      <c r="DF451" s="682"/>
      <c r="DG451" s="682"/>
      <c r="DH451" s="682"/>
      <c r="DI451" s="1610"/>
      <c r="DJ451" s="682"/>
      <c r="DK451" s="682"/>
      <c r="DL451" s="682"/>
      <c r="DM451" s="682"/>
      <c r="DN451" s="682"/>
      <c r="DO451" s="682"/>
      <c r="DP451" s="682"/>
      <c r="DQ451" s="682"/>
      <c r="DR451" s="682"/>
      <c r="DS451" s="682"/>
      <c r="DT451" s="682"/>
      <c r="DU451" s="682"/>
      <c r="DV451" s="682"/>
      <c r="DW451" s="682"/>
      <c r="DX451" s="682"/>
      <c r="DY451" s="682"/>
    </row>
    <row r="452" spans="1:129" ht="12" hidden="1" outlineLevel="1" thickBot="1" x14ac:dyDescent="0.25">
      <c r="A452" s="682"/>
      <c r="B452" s="682"/>
      <c r="C452" s="682"/>
      <c r="D452" s="682"/>
      <c r="E452" s="682"/>
      <c r="F452" s="682"/>
      <c r="G452" s="682"/>
      <c r="H452" s="682"/>
      <c r="I452" s="682"/>
      <c r="J452" s="682"/>
      <c r="K452" s="682"/>
      <c r="L452" s="682"/>
      <c r="M452" s="682"/>
      <c r="N452" s="682"/>
      <c r="O452" s="682"/>
      <c r="P452" s="682"/>
      <c r="Q452" s="682"/>
      <c r="R452" s="682"/>
      <c r="S452" s="682"/>
      <c r="T452" s="682"/>
      <c r="U452" s="682"/>
      <c r="V452" s="682"/>
      <c r="W452" s="682"/>
      <c r="X452" s="682"/>
      <c r="Y452" s="682"/>
      <c r="Z452" s="682"/>
      <c r="AA452" s="682"/>
      <c r="AB452" s="682"/>
      <c r="AC452" s="682"/>
      <c r="AD452" s="682"/>
      <c r="AE452" s="682"/>
      <c r="AF452" s="682"/>
      <c r="AG452" s="682"/>
      <c r="AH452" s="682"/>
      <c r="AI452" s="682"/>
      <c r="AJ452" s="682"/>
      <c r="AK452" s="682"/>
      <c r="AL452" s="682"/>
      <c r="AM452" s="682"/>
      <c r="AN452" s="682"/>
      <c r="AO452" s="682"/>
      <c r="AP452" s="682"/>
      <c r="AQ452" s="682"/>
      <c r="AR452" s="682"/>
      <c r="AS452" s="682"/>
      <c r="AT452" s="682"/>
      <c r="AU452" s="682"/>
      <c r="AV452" s="682"/>
      <c r="AW452" s="682"/>
      <c r="AX452" s="682"/>
      <c r="AY452" s="682"/>
      <c r="AZ452" s="682"/>
      <c r="BA452" s="682"/>
      <c r="BB452" s="682"/>
      <c r="BC452" s="682"/>
      <c r="BD452" s="682"/>
      <c r="BE452" s="682"/>
      <c r="BF452" s="682"/>
      <c r="BG452" s="682"/>
      <c r="BH452" s="682"/>
      <c r="BI452" s="682"/>
      <c r="BJ452" s="682"/>
      <c r="BK452" s="682"/>
      <c r="BL452" s="682"/>
      <c r="BM452" s="682"/>
      <c r="BN452" s="682"/>
      <c r="BO452" s="682"/>
      <c r="BP452" s="682"/>
      <c r="BQ452" s="682"/>
      <c r="BR452" s="682"/>
      <c r="BS452" s="682"/>
      <c r="BT452" s="682"/>
      <c r="BU452" s="682"/>
      <c r="BV452" s="682"/>
      <c r="BW452" s="682"/>
      <c r="BX452" s="682"/>
      <c r="BY452" s="682"/>
      <c r="BZ452" s="682"/>
      <c r="CA452" s="682"/>
      <c r="CB452" s="682"/>
      <c r="CC452" s="682"/>
      <c r="CD452" s="682"/>
      <c r="CE452" s="682"/>
      <c r="CF452" s="682"/>
      <c r="CG452" s="682"/>
      <c r="CH452" s="682"/>
      <c r="CI452" s="682"/>
      <c r="CJ452" s="682"/>
      <c r="CK452" s="682"/>
      <c r="CL452" s="682"/>
      <c r="CM452" s="682"/>
      <c r="CN452" s="682"/>
      <c r="CO452" s="682"/>
      <c r="CP452" s="682"/>
      <c r="CQ452" s="682"/>
      <c r="CR452" s="682"/>
      <c r="CS452" s="682"/>
      <c r="CT452" s="682"/>
      <c r="CU452" s="682"/>
      <c r="CV452" s="682"/>
      <c r="CW452" s="682"/>
      <c r="CX452" s="682"/>
      <c r="CY452" s="682"/>
      <c r="CZ452" s="682"/>
      <c r="DA452" s="682"/>
      <c r="DB452" s="682"/>
      <c r="DC452" s="682"/>
      <c r="DD452" s="682"/>
      <c r="DE452" s="682"/>
      <c r="DF452" s="682"/>
      <c r="DG452" s="682"/>
      <c r="DH452" s="682"/>
      <c r="DI452" s="1610"/>
      <c r="DJ452" s="682"/>
      <c r="DK452" s="682"/>
      <c r="DL452" s="682"/>
      <c r="DM452" s="682"/>
      <c r="DN452" s="682"/>
      <c r="DO452" s="682"/>
      <c r="DP452" s="682"/>
      <c r="DQ452" s="682"/>
      <c r="DR452" s="682"/>
      <c r="DS452" s="682"/>
      <c r="DT452" s="682"/>
      <c r="DU452" s="682"/>
      <c r="DV452" s="682"/>
      <c r="DW452" s="682"/>
      <c r="DX452" s="682"/>
      <c r="DY452" s="682"/>
    </row>
    <row r="453" spans="1:129" ht="12" collapsed="1" thickBot="1" x14ac:dyDescent="0.25">
      <c r="A453" s="526"/>
      <c r="B453" s="685" t="s">
        <v>881</v>
      </c>
      <c r="C453" s="686"/>
      <c r="D453" s="686"/>
      <c r="E453" s="686"/>
      <c r="F453" s="686"/>
      <c r="G453" s="686"/>
      <c r="H453" s="686"/>
      <c r="I453" s="687"/>
      <c r="J453" s="686"/>
      <c r="K453" s="686"/>
      <c r="L453" s="686"/>
      <c r="M453" s="686"/>
      <c r="N453" s="687"/>
      <c r="O453" s="686"/>
      <c r="P453" s="686"/>
      <c r="Q453" s="686"/>
      <c r="R453" s="686"/>
      <c r="S453" s="687"/>
      <c r="T453" s="686"/>
      <c r="U453" s="686"/>
      <c r="V453" s="686"/>
      <c r="W453" s="686"/>
      <c r="X453" s="687"/>
      <c r="Y453" s="686"/>
      <c r="Z453" s="686"/>
      <c r="AA453" s="686"/>
      <c r="AB453" s="686"/>
      <c r="AC453" s="687"/>
      <c r="AD453" s="686"/>
      <c r="AE453" s="686"/>
      <c r="AF453" s="686"/>
      <c r="AG453" s="686"/>
      <c r="AH453" s="687"/>
      <c r="AI453" s="686"/>
      <c r="AJ453" s="686"/>
      <c r="AK453" s="686"/>
      <c r="AL453" s="686"/>
      <c r="AM453" s="687"/>
      <c r="AN453" s="686"/>
      <c r="AO453" s="686"/>
      <c r="AP453" s="686"/>
      <c r="AQ453" s="686"/>
      <c r="AR453" s="687"/>
      <c r="AS453" s="686"/>
      <c r="AT453" s="686"/>
      <c r="AU453" s="686"/>
      <c r="AV453" s="686"/>
      <c r="AW453" s="687"/>
      <c r="AX453" s="686"/>
      <c r="AY453" s="686"/>
      <c r="AZ453" s="686"/>
      <c r="BA453" s="686"/>
      <c r="BB453" s="687"/>
      <c r="BC453" s="686"/>
      <c r="BD453" s="686"/>
      <c r="BE453" s="686"/>
      <c r="BF453" s="686"/>
      <c r="BG453" s="687"/>
      <c r="BH453" s="686"/>
      <c r="BI453" s="686"/>
      <c r="BJ453" s="686"/>
      <c r="BK453" s="686"/>
      <c r="BL453" s="687"/>
      <c r="BM453" s="686"/>
      <c r="BN453" s="686"/>
      <c r="BO453" s="686"/>
      <c r="BP453" s="686"/>
      <c r="BQ453" s="687"/>
      <c r="BR453" s="686"/>
      <c r="BS453" s="686"/>
      <c r="BT453" s="686"/>
      <c r="BU453" s="686"/>
      <c r="BV453" s="687"/>
      <c r="BW453" s="686"/>
      <c r="BX453" s="686"/>
      <c r="BY453" s="686"/>
      <c r="BZ453" s="686"/>
      <c r="CA453" s="687"/>
      <c r="CB453" s="686"/>
      <c r="CC453" s="686"/>
      <c r="CD453" s="686"/>
      <c r="CE453" s="686"/>
      <c r="CF453" s="687"/>
      <c r="CG453" s="686"/>
      <c r="CH453" s="686"/>
      <c r="CI453" s="686"/>
      <c r="CJ453" s="686"/>
      <c r="CK453" s="687"/>
      <c r="CL453" s="686"/>
      <c r="CM453" s="686"/>
      <c r="CN453" s="686"/>
      <c r="CO453" s="686"/>
      <c r="CP453" s="687"/>
      <c r="CQ453" s="686"/>
      <c r="CR453" s="686"/>
      <c r="CS453" s="686"/>
      <c r="CT453" s="686"/>
      <c r="CU453" s="687"/>
      <c r="CV453" s="686"/>
      <c r="CW453" s="686"/>
      <c r="CX453" s="686"/>
      <c r="CY453" s="686"/>
      <c r="CZ453" s="687"/>
      <c r="DA453" s="686"/>
      <c r="DB453" s="686"/>
      <c r="DC453" s="686"/>
      <c r="DD453" s="686"/>
      <c r="DE453" s="687"/>
      <c r="DF453" s="686"/>
      <c r="DG453" s="686"/>
      <c r="DH453" s="686"/>
      <c r="DI453" s="2803"/>
      <c r="DJ453" s="687"/>
      <c r="DK453" s="686"/>
      <c r="DL453" s="686"/>
      <c r="DM453" s="686"/>
      <c r="DN453" s="686"/>
      <c r="DO453" s="687"/>
      <c r="DP453" s="686"/>
      <c r="DQ453" s="686"/>
      <c r="DR453" s="686"/>
      <c r="DS453" s="686"/>
      <c r="DT453" s="687"/>
      <c r="DU453" s="686"/>
      <c r="DV453" s="686"/>
      <c r="DW453" s="686"/>
      <c r="DX453" s="686"/>
      <c r="DY453" s="687"/>
    </row>
    <row r="454" spans="1:129" hidden="1" outlineLevel="1" x14ac:dyDescent="0.2">
      <c r="A454" s="526"/>
      <c r="B454" s="756"/>
      <c r="C454" s="597"/>
      <c r="D454" s="597"/>
      <c r="E454" s="597"/>
      <c r="F454" s="597"/>
      <c r="G454" s="597"/>
      <c r="H454" s="597"/>
      <c r="I454" s="597"/>
      <c r="J454" s="597"/>
      <c r="K454" s="597"/>
      <c r="L454" s="597"/>
      <c r="M454" s="597"/>
      <c r="N454" s="597"/>
      <c r="O454" s="597"/>
      <c r="P454" s="597"/>
      <c r="Q454" s="597"/>
      <c r="R454" s="597"/>
      <c r="S454" s="597"/>
      <c r="T454" s="597"/>
      <c r="U454" s="597"/>
      <c r="V454" s="597"/>
      <c r="W454" s="597"/>
      <c r="X454" s="598"/>
      <c r="Y454" s="597"/>
      <c r="Z454" s="597"/>
      <c r="AA454" s="597"/>
      <c r="AB454" s="597"/>
      <c r="AC454" s="598"/>
      <c r="AD454" s="597"/>
      <c r="AE454" s="597"/>
      <c r="AF454" s="597"/>
      <c r="AG454" s="597"/>
      <c r="AH454" s="598"/>
      <c r="AI454" s="597"/>
      <c r="AJ454" s="597"/>
      <c r="AK454" s="597"/>
      <c r="AL454" s="597"/>
      <c r="AM454" s="598"/>
      <c r="AN454" s="597"/>
      <c r="AO454" s="597"/>
      <c r="AP454" s="597"/>
      <c r="AQ454" s="597"/>
      <c r="AR454" s="598"/>
      <c r="AS454" s="597"/>
      <c r="AT454" s="597"/>
      <c r="AU454" s="597"/>
      <c r="AV454" s="597"/>
      <c r="AW454" s="598"/>
      <c r="AX454" s="597"/>
      <c r="AY454" s="597"/>
      <c r="AZ454" s="597"/>
      <c r="BA454" s="597"/>
      <c r="BB454" s="598"/>
      <c r="BC454" s="597"/>
      <c r="BD454" s="597"/>
      <c r="BE454" s="597"/>
      <c r="BF454" s="597"/>
      <c r="BG454" s="598"/>
      <c r="BH454" s="597"/>
      <c r="BI454" s="597"/>
      <c r="BJ454" s="597"/>
      <c r="BK454" s="597"/>
      <c r="BL454" s="598"/>
      <c r="BM454" s="597"/>
      <c r="BN454" s="597"/>
      <c r="BO454" s="597"/>
      <c r="BP454" s="597"/>
      <c r="BQ454" s="598"/>
      <c r="BR454" s="597"/>
      <c r="BS454" s="597"/>
      <c r="BT454" s="597"/>
      <c r="BU454" s="597"/>
      <c r="BV454" s="598"/>
      <c r="BW454" s="597"/>
      <c r="BX454" s="597"/>
      <c r="BY454" s="597"/>
      <c r="BZ454" s="597"/>
      <c r="CA454" s="598"/>
      <c r="CB454" s="597"/>
      <c r="CC454" s="597"/>
      <c r="CD454" s="597"/>
      <c r="CE454" s="597"/>
      <c r="CF454" s="598"/>
      <c r="CG454" s="682"/>
      <c r="CH454" s="682"/>
      <c r="CI454" s="682"/>
      <c r="CJ454" s="682"/>
      <c r="CK454" s="598"/>
      <c r="CL454" s="682"/>
      <c r="CM454" s="682"/>
      <c r="CN454" s="682"/>
      <c r="CO454" s="682"/>
      <c r="CP454" s="598"/>
      <c r="CQ454" s="682"/>
      <c r="CR454" s="682"/>
      <c r="CS454" s="682"/>
      <c r="CT454" s="682"/>
      <c r="CU454" s="598"/>
      <c r="CV454" s="682"/>
      <c r="CW454" s="682"/>
      <c r="CX454" s="682"/>
      <c r="CY454" s="682"/>
      <c r="CZ454" s="598"/>
      <c r="DA454" s="682"/>
      <c r="DB454" s="682"/>
      <c r="DC454" s="682"/>
      <c r="DD454" s="682"/>
      <c r="DE454" s="598"/>
      <c r="DF454" s="682"/>
      <c r="DG454" s="682"/>
      <c r="DH454" s="682"/>
      <c r="DI454" s="1610"/>
      <c r="DJ454" s="598"/>
      <c r="DK454" s="682"/>
      <c r="DL454" s="682"/>
      <c r="DM454" s="682"/>
      <c r="DN454" s="682"/>
      <c r="DO454" s="598"/>
      <c r="DP454" s="682"/>
      <c r="DQ454" s="682"/>
      <c r="DR454" s="682"/>
      <c r="DS454" s="682"/>
      <c r="DT454" s="598"/>
      <c r="DU454" s="682"/>
      <c r="DV454" s="682"/>
      <c r="DW454" s="682"/>
      <c r="DX454" s="682"/>
      <c r="DY454" s="598"/>
    </row>
    <row r="455" spans="1:129" hidden="1" outlineLevel="1" x14ac:dyDescent="0.2">
      <c r="A455" s="466"/>
      <c r="B455" s="607" t="s">
        <v>780</v>
      </c>
      <c r="C455" s="585"/>
      <c r="D455" s="585"/>
      <c r="E455" s="585"/>
      <c r="F455" s="585"/>
      <c r="G455" s="585"/>
      <c r="H455" s="585"/>
      <c r="I455" s="585"/>
      <c r="J455" s="585"/>
      <c r="K455" s="585"/>
      <c r="L455" s="585"/>
      <c r="M455" s="585"/>
      <c r="N455" s="585"/>
      <c r="O455" s="585"/>
      <c r="P455" s="585"/>
      <c r="Q455" s="585"/>
      <c r="R455" s="585"/>
      <c r="S455" s="585"/>
      <c r="T455" s="585"/>
      <c r="U455" s="585"/>
      <c r="V455" s="592">
        <v>3.0489999999999999</v>
      </c>
      <c r="W455" s="592">
        <v>3.2</v>
      </c>
      <c r="X455" s="586"/>
      <c r="Y455" s="592">
        <v>3.5</v>
      </c>
      <c r="Z455" s="592">
        <v>3.6</v>
      </c>
      <c r="AA455" s="592">
        <v>3.5350000000000001</v>
      </c>
      <c r="AB455" s="592">
        <v>3.8</v>
      </c>
      <c r="AC455" s="754">
        <v>14.435</v>
      </c>
      <c r="AD455" s="592">
        <v>4.4000000000000004</v>
      </c>
      <c r="AE455" s="592">
        <v>4.5</v>
      </c>
      <c r="AF455" s="592">
        <v>4.5999999999999996</v>
      </c>
      <c r="AG455" s="592">
        <v>4.7</v>
      </c>
      <c r="AH455" s="754">
        <v>18.2</v>
      </c>
      <c r="AI455" s="592">
        <v>4.9000000000000004</v>
      </c>
      <c r="AJ455" s="592">
        <v>4.9000000000000004</v>
      </c>
      <c r="AK455" s="592">
        <v>5.0999999999999996</v>
      </c>
      <c r="AL455" s="592">
        <v>5.34</v>
      </c>
      <c r="AM455" s="754">
        <v>20.239999999999998</v>
      </c>
      <c r="AN455" s="592">
        <v>6</v>
      </c>
      <c r="AO455" s="592">
        <v>6.1</v>
      </c>
      <c r="AP455" s="592">
        <v>6.2519999999999998</v>
      </c>
      <c r="AQ455" s="592">
        <v>6.6</v>
      </c>
      <c r="AR455" s="754">
        <v>24.951999999999998</v>
      </c>
      <c r="AS455" s="592">
        <v>7.141</v>
      </c>
      <c r="AT455" s="592">
        <v>11.430999999999999</v>
      </c>
      <c r="AU455" s="592">
        <v>11.791</v>
      </c>
      <c r="AV455" s="592">
        <v>12.468</v>
      </c>
      <c r="AW455" s="754">
        <v>42.831000000000003</v>
      </c>
      <c r="AX455" s="592">
        <v>14.303000000000001</v>
      </c>
      <c r="AY455" s="592">
        <v>14.452</v>
      </c>
      <c r="AZ455" s="592">
        <v>14.558999999999999</v>
      </c>
      <c r="BA455" s="592">
        <v>14.987</v>
      </c>
      <c r="BB455" s="754">
        <v>58.301000000000002</v>
      </c>
      <c r="BC455" s="592">
        <v>15.055999999999999</v>
      </c>
      <c r="BD455" s="592">
        <v>15.199</v>
      </c>
      <c r="BE455" s="592">
        <v>14.619</v>
      </c>
      <c r="BF455" s="592">
        <v>14.818</v>
      </c>
      <c r="BG455" s="754">
        <v>59.691999999999993</v>
      </c>
      <c r="BH455" s="592">
        <v>15</v>
      </c>
      <c r="BI455" s="585"/>
      <c r="BJ455" s="585"/>
      <c r="BK455" s="585"/>
      <c r="BL455" s="586"/>
      <c r="BM455" s="585"/>
      <c r="BN455" s="585"/>
      <c r="BO455" s="585"/>
      <c r="BP455" s="585"/>
      <c r="BQ455" s="586"/>
      <c r="BR455" s="585"/>
      <c r="BS455" s="585"/>
      <c r="BT455" s="585"/>
      <c r="BU455" s="585"/>
      <c r="BV455" s="586"/>
      <c r="BW455" s="585"/>
      <c r="BX455" s="585"/>
      <c r="BY455" s="585"/>
      <c r="BZ455" s="585"/>
      <c r="CA455" s="586"/>
      <c r="CB455" s="585"/>
      <c r="CC455" s="585"/>
      <c r="CD455" s="585"/>
      <c r="CE455" s="585"/>
      <c r="CF455" s="586"/>
      <c r="CG455" s="470"/>
      <c r="CH455" s="470"/>
      <c r="CI455" s="470"/>
      <c r="CJ455" s="470"/>
      <c r="CK455" s="586"/>
      <c r="CL455" s="470"/>
      <c r="CM455" s="470"/>
      <c r="CN455" s="470"/>
      <c r="CO455" s="470"/>
      <c r="CP455" s="586"/>
      <c r="CQ455" s="470"/>
      <c r="CR455" s="470"/>
      <c r="CS455" s="470"/>
      <c r="CT455" s="470"/>
      <c r="CU455" s="586"/>
      <c r="CV455" s="470"/>
      <c r="CW455" s="470"/>
      <c r="CX455" s="470"/>
      <c r="CY455" s="470"/>
      <c r="CZ455" s="586"/>
      <c r="DA455" s="470"/>
      <c r="DB455" s="470"/>
      <c r="DC455" s="470"/>
      <c r="DD455" s="470"/>
      <c r="DE455" s="586"/>
      <c r="DF455" s="470"/>
      <c r="DG455" s="470"/>
      <c r="DH455" s="470"/>
      <c r="DI455" s="914"/>
      <c r="DJ455" s="586"/>
      <c r="DK455" s="470"/>
      <c r="DL455" s="470"/>
      <c r="DM455" s="470"/>
      <c r="DN455" s="470"/>
      <c r="DO455" s="586"/>
      <c r="DP455" s="470"/>
      <c r="DQ455" s="470"/>
      <c r="DR455" s="470"/>
      <c r="DS455" s="470"/>
      <c r="DT455" s="586"/>
      <c r="DU455" s="470"/>
      <c r="DV455" s="470"/>
      <c r="DW455" s="470"/>
      <c r="DX455" s="470"/>
      <c r="DY455" s="586"/>
    </row>
    <row r="456" spans="1:129" hidden="1" outlineLevel="1" x14ac:dyDescent="0.2">
      <c r="A456" s="466"/>
      <c r="B456" s="607" t="s">
        <v>240</v>
      </c>
      <c r="C456" s="585"/>
      <c r="D456" s="585"/>
      <c r="E456" s="585"/>
      <c r="F456" s="585"/>
      <c r="G456" s="585"/>
      <c r="H456" s="585"/>
      <c r="I456" s="585"/>
      <c r="J456" s="585"/>
      <c r="K456" s="585"/>
      <c r="L456" s="585"/>
      <c r="M456" s="585"/>
      <c r="N456" s="585"/>
      <c r="O456" s="585"/>
      <c r="P456" s="585"/>
      <c r="Q456" s="585"/>
      <c r="R456" s="585"/>
      <c r="S456" s="585"/>
      <c r="T456" s="585"/>
      <c r="U456" s="585"/>
      <c r="V456" s="592">
        <v>9.2880000000000003</v>
      </c>
      <c r="W456" s="592">
        <v>10.199999999999999</v>
      </c>
      <c r="X456" s="586"/>
      <c r="Y456" s="592">
        <v>13.2</v>
      </c>
      <c r="Z456" s="592">
        <v>13.2</v>
      </c>
      <c r="AA456" s="592">
        <v>13.143000000000001</v>
      </c>
      <c r="AB456" s="592">
        <v>14.3</v>
      </c>
      <c r="AC456" s="754">
        <v>53.843000000000004</v>
      </c>
      <c r="AD456" s="592">
        <v>16.3</v>
      </c>
      <c r="AE456" s="592">
        <v>15.7</v>
      </c>
      <c r="AF456" s="592">
        <v>15.3</v>
      </c>
      <c r="AG456" s="592">
        <v>16.600000000000001</v>
      </c>
      <c r="AH456" s="754">
        <v>63.9</v>
      </c>
      <c r="AI456" s="592">
        <v>17.8</v>
      </c>
      <c r="AJ456" s="592">
        <v>17.2</v>
      </c>
      <c r="AK456" s="592">
        <v>17.600000000000001</v>
      </c>
      <c r="AL456" s="592">
        <v>18.8</v>
      </c>
      <c r="AM456" s="754">
        <v>71.400000000000006</v>
      </c>
      <c r="AN456" s="592">
        <v>22.3</v>
      </c>
      <c r="AO456" s="592">
        <v>22.1</v>
      </c>
      <c r="AP456" s="592">
        <v>21.92</v>
      </c>
      <c r="AQ456" s="592">
        <v>23.6</v>
      </c>
      <c r="AR456" s="754">
        <v>89.92</v>
      </c>
      <c r="AS456" s="592">
        <v>34.265000000000001</v>
      </c>
      <c r="AT456" s="592">
        <v>133.92699999999999</v>
      </c>
      <c r="AU456" s="592">
        <v>132.554</v>
      </c>
      <c r="AV456" s="592">
        <v>140.63999999999999</v>
      </c>
      <c r="AW456" s="754">
        <v>441.38599999999997</v>
      </c>
      <c r="AX456" s="592">
        <v>130.322</v>
      </c>
      <c r="AY456" s="592">
        <v>120.232</v>
      </c>
      <c r="AZ456" s="592">
        <v>116.15900000000001</v>
      </c>
      <c r="BA456" s="592">
        <v>111.24</v>
      </c>
      <c r="BB456" s="754">
        <v>477.95300000000003</v>
      </c>
      <c r="BC456" s="592">
        <v>117.23</v>
      </c>
      <c r="BD456" s="592">
        <v>116.289</v>
      </c>
      <c r="BE456" s="592">
        <v>110.47199999999999</v>
      </c>
      <c r="BF456" s="592">
        <v>112.824</v>
      </c>
      <c r="BG456" s="754">
        <v>456.815</v>
      </c>
      <c r="BH456" s="592">
        <v>114.4</v>
      </c>
      <c r="BI456" s="585"/>
      <c r="BJ456" s="585"/>
      <c r="BK456" s="585"/>
      <c r="BL456" s="586"/>
      <c r="BM456" s="585"/>
      <c r="BN456" s="585"/>
      <c r="BO456" s="585"/>
      <c r="BP456" s="585"/>
      <c r="BQ456" s="586"/>
      <c r="BR456" s="585"/>
      <c r="BS456" s="585"/>
      <c r="BT456" s="585"/>
      <c r="BU456" s="585"/>
      <c r="BV456" s="586"/>
      <c r="BW456" s="585"/>
      <c r="BX456" s="585"/>
      <c r="BY456" s="585"/>
      <c r="BZ456" s="585"/>
      <c r="CA456" s="586"/>
      <c r="CB456" s="585"/>
      <c r="CC456" s="585"/>
      <c r="CD456" s="585"/>
      <c r="CE456" s="585"/>
      <c r="CF456" s="586"/>
      <c r="CG456" s="470"/>
      <c r="CH456" s="470"/>
      <c r="CI456" s="470"/>
      <c r="CJ456" s="470"/>
      <c r="CK456" s="586"/>
      <c r="CL456" s="470"/>
      <c r="CM456" s="470"/>
      <c r="CN456" s="470"/>
      <c r="CO456" s="470"/>
      <c r="CP456" s="586"/>
      <c r="CQ456" s="470"/>
      <c r="CR456" s="470"/>
      <c r="CS456" s="470"/>
      <c r="CT456" s="470"/>
      <c r="CU456" s="586"/>
      <c r="CV456" s="470"/>
      <c r="CW456" s="470"/>
      <c r="CX456" s="470"/>
      <c r="CY456" s="470"/>
      <c r="CZ456" s="586"/>
      <c r="DA456" s="470"/>
      <c r="DB456" s="470"/>
      <c r="DC456" s="470"/>
      <c r="DD456" s="470"/>
      <c r="DE456" s="586"/>
      <c r="DF456" s="470"/>
      <c r="DG456" s="470"/>
      <c r="DH456" s="470"/>
      <c r="DI456" s="914"/>
      <c r="DJ456" s="586"/>
      <c r="DK456" s="470"/>
      <c r="DL456" s="470"/>
      <c r="DM456" s="470"/>
      <c r="DN456" s="470"/>
      <c r="DO456" s="586"/>
      <c r="DP456" s="470"/>
      <c r="DQ456" s="470"/>
      <c r="DR456" s="470"/>
      <c r="DS456" s="470"/>
      <c r="DT456" s="586"/>
      <c r="DU456" s="470"/>
      <c r="DV456" s="470"/>
      <c r="DW456" s="470"/>
      <c r="DX456" s="470"/>
      <c r="DY456" s="586"/>
    </row>
    <row r="457" spans="1:129" hidden="1" outlineLevel="1" x14ac:dyDescent="0.2">
      <c r="A457" s="466"/>
      <c r="B457" s="607" t="s">
        <v>882</v>
      </c>
      <c r="C457" s="585"/>
      <c r="D457" s="585"/>
      <c r="E457" s="585"/>
      <c r="F457" s="585"/>
      <c r="G457" s="585"/>
      <c r="H457" s="585"/>
      <c r="I457" s="585"/>
      <c r="J457" s="585"/>
      <c r="K457" s="585"/>
      <c r="L457" s="585"/>
      <c r="M457" s="585"/>
      <c r="N457" s="585"/>
      <c r="O457" s="585"/>
      <c r="P457" s="585"/>
      <c r="Q457" s="585"/>
      <c r="R457" s="585"/>
      <c r="S457" s="585"/>
      <c r="T457" s="585"/>
      <c r="U457" s="585"/>
      <c r="V457" s="592">
        <v>12.337</v>
      </c>
      <c r="W457" s="592">
        <v>13.4</v>
      </c>
      <c r="X457" s="586"/>
      <c r="Y457" s="592">
        <v>16.7</v>
      </c>
      <c r="Z457" s="592">
        <v>16.8</v>
      </c>
      <c r="AA457" s="592">
        <v>16.678000000000001</v>
      </c>
      <c r="AB457" s="592">
        <v>18.100000000000001</v>
      </c>
      <c r="AC457" s="589">
        <f>SUM(AC455:AC456)</f>
        <v>68.278000000000006</v>
      </c>
      <c r="AD457" s="592">
        <v>20.7</v>
      </c>
      <c r="AE457" s="592">
        <v>20.2</v>
      </c>
      <c r="AF457" s="592">
        <v>19.899999999999999</v>
      </c>
      <c r="AG457" s="592">
        <v>21.3</v>
      </c>
      <c r="AH457" s="589">
        <f>SUM(AH455:AH456)</f>
        <v>82.1</v>
      </c>
      <c r="AI457" s="592">
        <v>22.7</v>
      </c>
      <c r="AJ457" s="592">
        <v>22.1</v>
      </c>
      <c r="AK457" s="592">
        <v>22.7</v>
      </c>
      <c r="AL457" s="592">
        <v>24.14</v>
      </c>
      <c r="AM457" s="589">
        <f>SUM(AM455:AM456)</f>
        <v>91.64</v>
      </c>
      <c r="AN457" s="592">
        <v>28.3</v>
      </c>
      <c r="AO457" s="592">
        <v>28.2</v>
      </c>
      <c r="AP457" s="592">
        <v>28.172000000000001</v>
      </c>
      <c r="AQ457" s="592">
        <v>30.2</v>
      </c>
      <c r="AR457" s="589">
        <f>SUM(AR455:AR456)</f>
        <v>114.872</v>
      </c>
      <c r="AS457" s="592">
        <v>41.405999999999999</v>
      </c>
      <c r="AT457" s="592">
        <v>145.358</v>
      </c>
      <c r="AU457" s="592">
        <v>144.345</v>
      </c>
      <c r="AV457" s="592">
        <v>153.10799999999998</v>
      </c>
      <c r="AW457" s="589">
        <f>SUM(AW455:AW456)</f>
        <v>484.21699999999998</v>
      </c>
      <c r="AX457" s="592">
        <v>144.625</v>
      </c>
      <c r="AY457" s="592">
        <v>134.684</v>
      </c>
      <c r="AZ457" s="592">
        <v>130.71800000000002</v>
      </c>
      <c r="BA457" s="592">
        <v>126.22699999999999</v>
      </c>
      <c r="BB457" s="589">
        <f>SUM(BB455:BB456)</f>
        <v>536.25400000000002</v>
      </c>
      <c r="BC457" s="592">
        <v>132.286</v>
      </c>
      <c r="BD457" s="592">
        <v>131.488</v>
      </c>
      <c r="BE457" s="592">
        <v>125.09099999999999</v>
      </c>
      <c r="BF457" s="592">
        <v>127.642</v>
      </c>
      <c r="BG457" s="589">
        <f>SUM(BG455:BG456)</f>
        <v>516.50699999999995</v>
      </c>
      <c r="BH457" s="592">
        <v>129.4</v>
      </c>
      <c r="BI457" s="585"/>
      <c r="BJ457" s="585"/>
      <c r="BK457" s="585"/>
      <c r="BL457" s="586"/>
      <c r="BM457" s="585"/>
      <c r="BN457" s="585"/>
      <c r="BO457" s="585"/>
      <c r="BP457" s="585"/>
      <c r="BQ457" s="586"/>
      <c r="BR457" s="585"/>
      <c r="BS457" s="585"/>
      <c r="BT457" s="585"/>
      <c r="BU457" s="585"/>
      <c r="BV457" s="586"/>
      <c r="BW457" s="585"/>
      <c r="BX457" s="585"/>
      <c r="BY457" s="585"/>
      <c r="BZ457" s="585"/>
      <c r="CA457" s="586"/>
      <c r="CB457" s="585"/>
      <c r="CC457" s="585"/>
      <c r="CD457" s="585"/>
      <c r="CE457" s="585"/>
      <c r="CF457" s="586"/>
      <c r="CG457" s="470"/>
      <c r="CH457" s="470"/>
      <c r="CI457" s="470"/>
      <c r="CJ457" s="470"/>
      <c r="CK457" s="586"/>
      <c r="CL457" s="470"/>
      <c r="CM457" s="470"/>
      <c r="CN457" s="470"/>
      <c r="CO457" s="470"/>
      <c r="CP457" s="586"/>
      <c r="CQ457" s="470"/>
      <c r="CR457" s="470"/>
      <c r="CS457" s="470"/>
      <c r="CT457" s="470"/>
      <c r="CU457" s="586"/>
      <c r="CV457" s="470"/>
      <c r="CW457" s="470"/>
      <c r="CX457" s="470"/>
      <c r="CY457" s="470"/>
      <c r="CZ457" s="586"/>
      <c r="DA457" s="470"/>
      <c r="DB457" s="470"/>
      <c r="DC457" s="470"/>
      <c r="DD457" s="470"/>
      <c r="DE457" s="586"/>
      <c r="DF457" s="470"/>
      <c r="DG457" s="470"/>
      <c r="DH457" s="470"/>
      <c r="DI457" s="914"/>
      <c r="DJ457" s="586"/>
      <c r="DK457" s="470"/>
      <c r="DL457" s="470"/>
      <c r="DM457" s="470"/>
      <c r="DN457" s="470"/>
      <c r="DO457" s="586"/>
      <c r="DP457" s="470"/>
      <c r="DQ457" s="470"/>
      <c r="DR457" s="470"/>
      <c r="DS457" s="470"/>
      <c r="DT457" s="586"/>
      <c r="DU457" s="470"/>
      <c r="DV457" s="470"/>
      <c r="DW457" s="470"/>
      <c r="DX457" s="470"/>
      <c r="DY457" s="586"/>
    </row>
    <row r="458" spans="1:129" hidden="1" outlineLevel="1" x14ac:dyDescent="0.2">
      <c r="A458" s="526"/>
      <c r="B458" s="756"/>
      <c r="C458" s="597"/>
      <c r="D458" s="597"/>
      <c r="E458" s="597"/>
      <c r="F458" s="597"/>
      <c r="G458" s="597"/>
      <c r="H458" s="597"/>
      <c r="I458" s="597"/>
      <c r="J458" s="597"/>
      <c r="K458" s="597"/>
      <c r="L458" s="597"/>
      <c r="M458" s="597"/>
      <c r="N458" s="597"/>
      <c r="O458" s="597"/>
      <c r="P458" s="597"/>
      <c r="Q458" s="597"/>
      <c r="R458" s="597"/>
      <c r="S458" s="597"/>
      <c r="T458" s="597"/>
      <c r="U458" s="597"/>
      <c r="V458" s="597"/>
      <c r="W458" s="597"/>
      <c r="X458" s="598"/>
      <c r="Y458" s="597"/>
      <c r="Z458" s="597"/>
      <c r="AA458" s="597"/>
      <c r="AB458" s="597"/>
      <c r="AC458" s="598"/>
      <c r="AD458" s="597"/>
      <c r="AE458" s="597"/>
      <c r="AF458" s="597"/>
      <c r="AG458" s="597"/>
      <c r="AH458" s="598"/>
      <c r="AI458" s="597"/>
      <c r="AJ458" s="597"/>
      <c r="AK458" s="597"/>
      <c r="AL458" s="597"/>
      <c r="AM458" s="598"/>
      <c r="AN458" s="597"/>
      <c r="AO458" s="597"/>
      <c r="AP458" s="597"/>
      <c r="AQ458" s="597"/>
      <c r="AR458" s="598"/>
      <c r="AS458" s="597"/>
      <c r="AT458" s="597"/>
      <c r="AU458" s="597"/>
      <c r="AV458" s="597"/>
      <c r="AW458" s="598"/>
      <c r="AX458" s="597"/>
      <c r="AY458" s="597"/>
      <c r="AZ458" s="597"/>
      <c r="BA458" s="597"/>
      <c r="BB458" s="598"/>
      <c r="BC458" s="597"/>
      <c r="BD458" s="597"/>
      <c r="BE458" s="597"/>
      <c r="BF458" s="597"/>
      <c r="BG458" s="598"/>
      <c r="BH458" s="597"/>
      <c r="BI458" s="597"/>
      <c r="BJ458" s="597"/>
      <c r="BK458" s="597"/>
      <c r="BL458" s="598"/>
      <c r="BM458" s="597"/>
      <c r="BN458" s="597"/>
      <c r="BO458" s="597"/>
      <c r="BP458" s="597"/>
      <c r="BQ458" s="598"/>
      <c r="BR458" s="597"/>
      <c r="BS458" s="597"/>
      <c r="BT458" s="597"/>
      <c r="BU458" s="597"/>
      <c r="BV458" s="598"/>
      <c r="BW458" s="597"/>
      <c r="BX458" s="597"/>
      <c r="BY458" s="597"/>
      <c r="BZ458" s="597"/>
      <c r="CA458" s="598"/>
      <c r="CB458" s="597"/>
      <c r="CC458" s="597"/>
      <c r="CD458" s="597"/>
      <c r="CE458" s="597"/>
      <c r="CF458" s="598"/>
      <c r="CG458" s="682"/>
      <c r="CH458" s="682"/>
      <c r="CI458" s="682"/>
      <c r="CJ458" s="682"/>
      <c r="CK458" s="598"/>
      <c r="CL458" s="682"/>
      <c r="CM458" s="682"/>
      <c r="CN458" s="682"/>
      <c r="CO458" s="682"/>
      <c r="CP458" s="598"/>
      <c r="CQ458" s="682"/>
      <c r="CR458" s="682"/>
      <c r="CS458" s="682"/>
      <c r="CT458" s="682"/>
      <c r="CU458" s="598"/>
      <c r="CV458" s="682"/>
      <c r="CW458" s="682"/>
      <c r="CX458" s="682"/>
      <c r="CY458" s="682"/>
      <c r="CZ458" s="598"/>
      <c r="DA458" s="682"/>
      <c r="DB458" s="682"/>
      <c r="DC458" s="682"/>
      <c r="DD458" s="682"/>
      <c r="DE458" s="598"/>
      <c r="DF458" s="682"/>
      <c r="DG458" s="682"/>
      <c r="DH458" s="682"/>
      <c r="DI458" s="1610"/>
      <c r="DJ458" s="598"/>
      <c r="DK458" s="682"/>
      <c r="DL458" s="682"/>
      <c r="DM458" s="682"/>
      <c r="DN458" s="682"/>
      <c r="DO458" s="598"/>
      <c r="DP458" s="682"/>
      <c r="DQ458" s="682"/>
      <c r="DR458" s="682"/>
      <c r="DS458" s="682"/>
      <c r="DT458" s="598"/>
      <c r="DU458" s="682"/>
      <c r="DV458" s="682"/>
      <c r="DW458" s="682"/>
      <c r="DX458" s="682"/>
      <c r="DY458" s="598"/>
    </row>
    <row r="459" spans="1:129" hidden="1" outlineLevel="1" x14ac:dyDescent="0.2">
      <c r="A459" s="466"/>
      <c r="B459" s="607" t="s">
        <v>883</v>
      </c>
      <c r="C459" s="585"/>
      <c r="D459" s="585"/>
      <c r="E459" s="585"/>
      <c r="F459" s="585"/>
      <c r="G459" s="585"/>
      <c r="H459" s="585"/>
      <c r="I459" s="585"/>
      <c r="J459" s="585"/>
      <c r="K459" s="585"/>
      <c r="L459" s="585"/>
      <c r="M459" s="585"/>
      <c r="N459" s="585"/>
      <c r="O459" s="585"/>
      <c r="P459" s="585"/>
      <c r="Q459" s="585"/>
      <c r="R459" s="585"/>
      <c r="S459" s="585"/>
      <c r="T459" s="585"/>
      <c r="U459" s="585"/>
      <c r="V459" s="592">
        <v>18.434999999999999</v>
      </c>
      <c r="W459" s="592">
        <v>19.8</v>
      </c>
      <c r="X459" s="586"/>
      <c r="Y459" s="592">
        <v>23.5</v>
      </c>
      <c r="Z459" s="592">
        <v>23.8</v>
      </c>
      <c r="AA459" s="592">
        <v>23.748000000000001</v>
      </c>
      <c r="AB459" s="592">
        <v>25.4</v>
      </c>
      <c r="AC459" s="754">
        <v>96.448000000000008</v>
      </c>
      <c r="AD459" s="592">
        <v>29.3</v>
      </c>
      <c r="AE459" s="592">
        <v>29</v>
      </c>
      <c r="AF459" s="592">
        <v>28.8</v>
      </c>
      <c r="AG459" s="592">
        <v>30.3</v>
      </c>
      <c r="AH459" s="754">
        <v>117.4</v>
      </c>
      <c r="AI459" s="592">
        <v>32.1</v>
      </c>
      <c r="AJ459" s="592">
        <v>31.6</v>
      </c>
      <c r="AK459" s="592">
        <v>32.6</v>
      </c>
      <c r="AL459" s="592">
        <v>34.36</v>
      </c>
      <c r="AM459" s="754">
        <v>130.66</v>
      </c>
      <c r="AN459" s="592">
        <v>39.700000000000003</v>
      </c>
      <c r="AO459" s="592">
        <v>40.049999999999997</v>
      </c>
      <c r="AP459" s="592">
        <v>40.4</v>
      </c>
      <c r="AQ459" s="592">
        <v>42.8</v>
      </c>
      <c r="AR459" s="754">
        <v>162.94999999999999</v>
      </c>
      <c r="AS459" s="592">
        <v>55.688000000000002</v>
      </c>
      <c r="AT459" s="592">
        <v>168.22</v>
      </c>
      <c r="AU459" s="592">
        <v>167.92700000000002</v>
      </c>
      <c r="AV459" s="592">
        <v>178.04399999999998</v>
      </c>
      <c r="AW459" s="754">
        <v>569.87900000000002</v>
      </c>
      <c r="AX459" s="592">
        <v>173.23099999999999</v>
      </c>
      <c r="AY459" s="592">
        <v>163.09700000000001</v>
      </c>
      <c r="AZ459" s="592">
        <v>159.83600000000001</v>
      </c>
      <c r="BA459" s="592">
        <v>156.20099999999999</v>
      </c>
      <c r="BB459" s="754">
        <v>652.36500000000001</v>
      </c>
      <c r="BC459" s="592">
        <v>161.755</v>
      </c>
      <c r="BD459" s="592">
        <v>161.18100000000001</v>
      </c>
      <c r="BE459" s="592">
        <v>153.61099999999999</v>
      </c>
      <c r="BF459" s="592">
        <v>156.47800000000001</v>
      </c>
      <c r="BG459" s="754">
        <v>633.02499999999998</v>
      </c>
      <c r="BH459" s="592">
        <v>158.6</v>
      </c>
      <c r="BI459" s="585"/>
      <c r="BJ459" s="585"/>
      <c r="BK459" s="585"/>
      <c r="BL459" s="586"/>
      <c r="BM459" s="585"/>
      <c r="BN459" s="585"/>
      <c r="BO459" s="585"/>
      <c r="BP459" s="585"/>
      <c r="BQ459" s="586"/>
      <c r="BR459" s="585"/>
      <c r="BS459" s="585"/>
      <c r="BT459" s="585"/>
      <c r="BU459" s="585"/>
      <c r="BV459" s="586"/>
      <c r="BW459" s="585"/>
      <c r="BX459" s="585"/>
      <c r="BY459" s="585"/>
      <c r="BZ459" s="585"/>
      <c r="CA459" s="586"/>
      <c r="CB459" s="585"/>
      <c r="CC459" s="585"/>
      <c r="CD459" s="585"/>
      <c r="CE459" s="585"/>
      <c r="CF459" s="586"/>
      <c r="CG459" s="470"/>
      <c r="CH459" s="470"/>
      <c r="CI459" s="470"/>
      <c r="CJ459" s="470"/>
      <c r="CK459" s="586"/>
      <c r="CL459" s="470"/>
      <c r="CM459" s="470"/>
      <c r="CN459" s="470"/>
      <c r="CO459" s="470"/>
      <c r="CP459" s="586"/>
      <c r="CQ459" s="470"/>
      <c r="CR459" s="470"/>
      <c r="CS459" s="470"/>
      <c r="CT459" s="470"/>
      <c r="CU459" s="586"/>
      <c r="CV459" s="470"/>
      <c r="CW459" s="470"/>
      <c r="CX459" s="470"/>
      <c r="CY459" s="470"/>
      <c r="CZ459" s="586"/>
      <c r="DA459" s="470"/>
      <c r="DB459" s="470"/>
      <c r="DC459" s="470"/>
      <c r="DD459" s="470"/>
      <c r="DE459" s="586"/>
      <c r="DF459" s="470"/>
      <c r="DG459" s="470"/>
      <c r="DH459" s="470"/>
      <c r="DI459" s="914"/>
      <c r="DJ459" s="586"/>
      <c r="DK459" s="470"/>
      <c r="DL459" s="470"/>
      <c r="DM459" s="470"/>
      <c r="DN459" s="470"/>
      <c r="DO459" s="586"/>
      <c r="DP459" s="470"/>
      <c r="DQ459" s="470"/>
      <c r="DR459" s="470"/>
      <c r="DS459" s="470"/>
      <c r="DT459" s="586"/>
      <c r="DU459" s="470"/>
      <c r="DV459" s="470"/>
      <c r="DW459" s="470"/>
      <c r="DX459" s="470"/>
      <c r="DY459" s="586"/>
    </row>
    <row r="460" spans="1:129" hidden="1" outlineLevel="1" x14ac:dyDescent="0.2">
      <c r="A460" s="526"/>
      <c r="B460" s="756"/>
      <c r="C460" s="597"/>
      <c r="D460" s="597"/>
      <c r="E460" s="597"/>
      <c r="F460" s="597"/>
      <c r="G460" s="597"/>
      <c r="H460" s="597"/>
      <c r="I460" s="597"/>
      <c r="J460" s="597"/>
      <c r="K460" s="597"/>
      <c r="L460" s="597"/>
      <c r="M460" s="597"/>
      <c r="N460" s="597"/>
      <c r="O460" s="597"/>
      <c r="P460" s="597"/>
      <c r="Q460" s="597"/>
      <c r="R460" s="597"/>
      <c r="S460" s="597"/>
      <c r="T460" s="597"/>
      <c r="U460" s="597"/>
      <c r="V460" s="597"/>
      <c r="W460" s="597"/>
      <c r="X460" s="598"/>
      <c r="Y460" s="597"/>
      <c r="Z460" s="597"/>
      <c r="AA460" s="597"/>
      <c r="AB460" s="597"/>
      <c r="AC460" s="598"/>
      <c r="AD460" s="597"/>
      <c r="AE460" s="597"/>
      <c r="AF460" s="597"/>
      <c r="AG460" s="597"/>
      <c r="AH460" s="598"/>
      <c r="AI460" s="597"/>
      <c r="AJ460" s="597"/>
      <c r="AK460" s="597"/>
      <c r="AL460" s="597"/>
      <c r="AM460" s="598"/>
      <c r="AN460" s="597"/>
      <c r="AO460" s="597"/>
      <c r="AP460" s="597"/>
      <c r="AQ460" s="597"/>
      <c r="AR460" s="598"/>
      <c r="AS460" s="597"/>
      <c r="AT460" s="597"/>
      <c r="AU460" s="597"/>
      <c r="AV460" s="597"/>
      <c r="AW460" s="598"/>
      <c r="AX460" s="597"/>
      <c r="AY460" s="597"/>
      <c r="AZ460" s="597"/>
      <c r="BA460" s="597"/>
      <c r="BB460" s="598"/>
      <c r="BC460" s="597"/>
      <c r="BD460" s="597"/>
      <c r="BE460" s="597"/>
      <c r="BF460" s="597"/>
      <c r="BG460" s="598"/>
      <c r="BH460" s="597"/>
      <c r="BI460" s="597"/>
      <c r="BJ460" s="597"/>
      <c r="BK460" s="597"/>
      <c r="BL460" s="598"/>
      <c r="BM460" s="597"/>
      <c r="BN460" s="597"/>
      <c r="BO460" s="597"/>
      <c r="BP460" s="597"/>
      <c r="BQ460" s="598"/>
      <c r="BR460" s="597"/>
      <c r="BS460" s="597"/>
      <c r="BT460" s="597"/>
      <c r="BU460" s="597"/>
      <c r="BV460" s="598"/>
      <c r="BW460" s="597"/>
      <c r="BX460" s="597"/>
      <c r="BY460" s="597"/>
      <c r="BZ460" s="597"/>
      <c r="CA460" s="598"/>
      <c r="CB460" s="597"/>
      <c r="CC460" s="597"/>
      <c r="CD460" s="597"/>
      <c r="CE460" s="597"/>
      <c r="CF460" s="598"/>
      <c r="CG460" s="682"/>
      <c r="CH460" s="682"/>
      <c r="CI460" s="682"/>
      <c r="CJ460" s="682"/>
      <c r="CK460" s="598"/>
      <c r="CL460" s="682"/>
      <c r="CM460" s="682"/>
      <c r="CN460" s="682"/>
      <c r="CO460" s="682"/>
      <c r="CP460" s="598"/>
      <c r="CQ460" s="682"/>
      <c r="CR460" s="682"/>
      <c r="CS460" s="682"/>
      <c r="CT460" s="682"/>
      <c r="CU460" s="598"/>
      <c r="CV460" s="682"/>
      <c r="CW460" s="682"/>
      <c r="CX460" s="682"/>
      <c r="CY460" s="682"/>
      <c r="CZ460" s="598"/>
      <c r="DA460" s="682"/>
      <c r="DB460" s="682"/>
      <c r="DC460" s="682"/>
      <c r="DD460" s="682"/>
      <c r="DE460" s="598"/>
      <c r="DF460" s="682"/>
      <c r="DG460" s="682"/>
      <c r="DH460" s="682"/>
      <c r="DI460" s="1610"/>
      <c r="DJ460" s="598"/>
      <c r="DK460" s="682"/>
      <c r="DL460" s="682"/>
      <c r="DM460" s="682"/>
      <c r="DN460" s="682"/>
      <c r="DO460" s="598"/>
      <c r="DP460" s="682"/>
      <c r="DQ460" s="682"/>
      <c r="DR460" s="682"/>
      <c r="DS460" s="682"/>
      <c r="DT460" s="598"/>
      <c r="DU460" s="682"/>
      <c r="DV460" s="682"/>
      <c r="DW460" s="682"/>
      <c r="DX460" s="682"/>
      <c r="DY460" s="598"/>
    </row>
    <row r="461" spans="1:129" hidden="1" outlineLevel="1" x14ac:dyDescent="0.2">
      <c r="A461" s="526"/>
      <c r="B461" s="756" t="s">
        <v>884</v>
      </c>
      <c r="C461" s="597"/>
      <c r="D461" s="597"/>
      <c r="E461" s="597"/>
      <c r="F461" s="597"/>
      <c r="G461" s="597"/>
      <c r="H461" s="597"/>
      <c r="I461" s="597"/>
      <c r="J461" s="597"/>
      <c r="K461" s="597"/>
      <c r="L461" s="597"/>
      <c r="M461" s="597"/>
      <c r="N461" s="597"/>
      <c r="O461" s="743"/>
      <c r="P461" s="743"/>
      <c r="Q461" s="743"/>
      <c r="R461" s="743"/>
      <c r="S461" s="599"/>
      <c r="T461" s="743"/>
      <c r="U461" s="743"/>
      <c r="V461" s="743"/>
      <c r="W461" s="743"/>
      <c r="X461" s="849"/>
      <c r="Y461" s="743"/>
      <c r="Z461" s="743"/>
      <c r="AA461" s="744">
        <v>0.15939652345031163</v>
      </c>
      <c r="AB461" s="744">
        <v>0.1875</v>
      </c>
      <c r="AC461" s="849"/>
      <c r="AD461" s="744">
        <v>0.25714285714285734</v>
      </c>
      <c r="AE461" s="744">
        <v>0.25</v>
      </c>
      <c r="AF461" s="744">
        <v>0.30127298444130113</v>
      </c>
      <c r="AG461" s="744">
        <v>0.23684210526315796</v>
      </c>
      <c r="AH461" s="745">
        <v>0.26082438517492212</v>
      </c>
      <c r="AI461" s="744">
        <v>0.11363636363636354</v>
      </c>
      <c r="AJ461" s="744">
        <v>8.8888888888889017E-2</v>
      </c>
      <c r="AK461" s="744">
        <v>0.10869565217391308</v>
      </c>
      <c r="AL461" s="744">
        <v>0.13617021276595742</v>
      </c>
      <c r="AM461" s="745">
        <v>0.11208791208791213</v>
      </c>
      <c r="AN461" s="744">
        <v>0.22448979591836715</v>
      </c>
      <c r="AO461" s="744">
        <v>0.2448979591836733</v>
      </c>
      <c r="AP461" s="744">
        <v>0.22588235294117642</v>
      </c>
      <c r="AQ461" s="744">
        <v>0.23595505617977519</v>
      </c>
      <c r="AR461" s="745">
        <v>0.2328063241106717</v>
      </c>
      <c r="AS461" s="744">
        <v>0.1901666666666666</v>
      </c>
      <c r="AT461" s="744">
        <v>0.87393442622950812</v>
      </c>
      <c r="AU461" s="744">
        <v>0.88595649392194509</v>
      </c>
      <c r="AV461" s="744">
        <v>0.88909090909090915</v>
      </c>
      <c r="AW461" s="745">
        <v>0.71653574863738401</v>
      </c>
      <c r="AX461" s="744">
        <v>1.002940764598796</v>
      </c>
      <c r="AY461" s="744">
        <v>0.26428134021520444</v>
      </c>
      <c r="AZ461" s="744">
        <v>0.23475532185565262</v>
      </c>
      <c r="BA461" s="744">
        <v>0.20203721527109408</v>
      </c>
      <c r="BB461" s="745">
        <v>0.36118699073101257</v>
      </c>
      <c r="BC461" s="744">
        <v>5.2646297979444645E-2</v>
      </c>
      <c r="BD461" s="744">
        <v>5.1688347633545462E-2</v>
      </c>
      <c r="BE461" s="744">
        <v>4.1211621677312849E-3</v>
      </c>
      <c r="BF461" s="744">
        <v>-1.1276439580970243E-2</v>
      </c>
      <c r="BG461" s="745">
        <v>2.3858938954734787E-2</v>
      </c>
      <c r="BH461" s="744">
        <v>-3.7194473963867436E-3</v>
      </c>
      <c r="BI461" s="743"/>
      <c r="BJ461" s="743"/>
      <c r="BK461" s="743"/>
      <c r="BL461" s="849"/>
      <c r="BM461" s="743"/>
      <c r="BN461" s="743"/>
      <c r="BO461" s="743"/>
      <c r="BP461" s="743"/>
      <c r="BQ461" s="849"/>
      <c r="BR461" s="743"/>
      <c r="BS461" s="743"/>
      <c r="BT461" s="743"/>
      <c r="BU461" s="743"/>
      <c r="BV461" s="849"/>
      <c r="BW461" s="743"/>
      <c r="BX461" s="743"/>
      <c r="BY461" s="743"/>
      <c r="BZ461" s="743"/>
      <c r="CA461" s="849"/>
      <c r="CB461" s="743"/>
      <c r="CC461" s="743"/>
      <c r="CD461" s="743"/>
      <c r="CE461" s="743"/>
      <c r="CF461" s="849"/>
      <c r="CG461" s="820"/>
      <c r="CH461" s="820"/>
      <c r="CI461" s="820"/>
      <c r="CJ461" s="820"/>
      <c r="CK461" s="849"/>
      <c r="CL461" s="820"/>
      <c r="CM461" s="820"/>
      <c r="CN461" s="820"/>
      <c r="CO461" s="820"/>
      <c r="CP461" s="849"/>
      <c r="CQ461" s="820"/>
      <c r="CR461" s="820"/>
      <c r="CS461" s="820"/>
      <c r="CT461" s="820"/>
      <c r="CU461" s="849"/>
      <c r="CV461" s="820"/>
      <c r="CW461" s="820"/>
      <c r="CX461" s="820"/>
      <c r="CY461" s="820"/>
      <c r="CZ461" s="849"/>
      <c r="DA461" s="820"/>
      <c r="DB461" s="820"/>
      <c r="DC461" s="820"/>
      <c r="DD461" s="820"/>
      <c r="DE461" s="849"/>
      <c r="DF461" s="820"/>
      <c r="DG461" s="820"/>
      <c r="DH461" s="820"/>
      <c r="DI461" s="2815"/>
      <c r="DJ461" s="849"/>
      <c r="DK461" s="820"/>
      <c r="DL461" s="820"/>
      <c r="DM461" s="820"/>
      <c r="DN461" s="820"/>
      <c r="DO461" s="849"/>
      <c r="DP461" s="820"/>
      <c r="DQ461" s="820"/>
      <c r="DR461" s="820"/>
      <c r="DS461" s="820"/>
      <c r="DT461" s="849"/>
      <c r="DU461" s="820"/>
      <c r="DV461" s="820"/>
      <c r="DW461" s="820"/>
      <c r="DX461" s="820"/>
      <c r="DY461" s="849"/>
    </row>
    <row r="462" spans="1:129" hidden="1" outlineLevel="1" x14ac:dyDescent="0.2">
      <c r="A462" s="526"/>
      <c r="B462" s="756" t="s">
        <v>885</v>
      </c>
      <c r="C462" s="597"/>
      <c r="D462" s="597"/>
      <c r="E462" s="597"/>
      <c r="F462" s="597"/>
      <c r="G462" s="597"/>
      <c r="H462" s="597"/>
      <c r="I462" s="597"/>
      <c r="J462" s="597"/>
      <c r="K462" s="597"/>
      <c r="L462" s="597"/>
      <c r="M462" s="597"/>
      <c r="N462" s="597"/>
      <c r="O462" s="743"/>
      <c r="P462" s="743"/>
      <c r="Q462" s="743"/>
      <c r="R462" s="743"/>
      <c r="S462" s="599"/>
      <c r="T462" s="743"/>
      <c r="U462" s="743"/>
      <c r="V462" s="743"/>
      <c r="W462" s="743"/>
      <c r="X462" s="849"/>
      <c r="Y462" s="743"/>
      <c r="Z462" s="743"/>
      <c r="AA462" s="744">
        <v>0.4150516795865633</v>
      </c>
      <c r="AB462" s="744">
        <v>0.40196078431372562</v>
      </c>
      <c r="AC462" s="849"/>
      <c r="AD462" s="744">
        <v>0.23484848484848486</v>
      </c>
      <c r="AE462" s="744">
        <v>0.18939393939393945</v>
      </c>
      <c r="AF462" s="744">
        <v>0.16411778132846377</v>
      </c>
      <c r="AG462" s="744">
        <v>0.16083916083916083</v>
      </c>
      <c r="AH462" s="745">
        <v>0.18678379733670103</v>
      </c>
      <c r="AI462" s="744">
        <v>9.2024539877300526E-2</v>
      </c>
      <c r="AJ462" s="744">
        <v>9.5541401273885329E-2</v>
      </c>
      <c r="AK462" s="744">
        <v>0.15032679738562105</v>
      </c>
      <c r="AL462" s="744">
        <v>0.13253012048192758</v>
      </c>
      <c r="AM462" s="745">
        <v>0.11737089201877948</v>
      </c>
      <c r="AN462" s="744">
        <v>0.25280898876404501</v>
      </c>
      <c r="AO462" s="744">
        <v>0.28488372093023262</v>
      </c>
      <c r="AP462" s="744">
        <v>0.24545454545454537</v>
      </c>
      <c r="AQ462" s="744">
        <v>0.25531914893617014</v>
      </c>
      <c r="AR462" s="745">
        <v>0.25938375350140075</v>
      </c>
      <c r="AS462" s="744">
        <v>0.53654708520179373</v>
      </c>
      <c r="AT462" s="744">
        <v>5.0600452488687777</v>
      </c>
      <c r="AU462" s="744">
        <v>5.0471715328467148</v>
      </c>
      <c r="AV462" s="744">
        <v>4.9593220338983039</v>
      </c>
      <c r="AW462" s="745">
        <v>3.9086521352313151</v>
      </c>
      <c r="AX462" s="744">
        <v>2.8033561943674306</v>
      </c>
      <c r="AY462" s="744">
        <v>-0.10225719981781112</v>
      </c>
      <c r="AZ462" s="744">
        <v>-0.12368544140501225</v>
      </c>
      <c r="BA462" s="744">
        <v>-0.20904436860068254</v>
      </c>
      <c r="BB462" s="745">
        <v>8.2845853742529396E-2</v>
      </c>
      <c r="BC462" s="744">
        <v>-0.10045886343057964</v>
      </c>
      <c r="BD462" s="744">
        <v>-3.2794929802382078E-2</v>
      </c>
      <c r="BE462" s="744">
        <v>-4.8958754810217164E-2</v>
      </c>
      <c r="BF462" s="744">
        <v>1.4239482200647302E-2</v>
      </c>
      <c r="BG462" s="745">
        <v>-4.4226105914179858E-2</v>
      </c>
      <c r="BH462" s="744">
        <v>-2.4140578350251629E-2</v>
      </c>
      <c r="BI462" s="743"/>
      <c r="BJ462" s="743"/>
      <c r="BK462" s="743"/>
      <c r="BL462" s="849"/>
      <c r="BM462" s="743"/>
      <c r="BN462" s="743"/>
      <c r="BO462" s="743"/>
      <c r="BP462" s="743"/>
      <c r="BQ462" s="849"/>
      <c r="BR462" s="743"/>
      <c r="BS462" s="743"/>
      <c r="BT462" s="743"/>
      <c r="BU462" s="743"/>
      <c r="BV462" s="849"/>
      <c r="BW462" s="743"/>
      <c r="BX462" s="743"/>
      <c r="BY462" s="743"/>
      <c r="BZ462" s="743"/>
      <c r="CA462" s="849"/>
      <c r="CB462" s="743"/>
      <c r="CC462" s="743"/>
      <c r="CD462" s="743"/>
      <c r="CE462" s="743"/>
      <c r="CF462" s="849"/>
      <c r="CG462" s="820"/>
      <c r="CH462" s="820"/>
      <c r="CI462" s="820"/>
      <c r="CJ462" s="820"/>
      <c r="CK462" s="849"/>
      <c r="CL462" s="820"/>
      <c r="CM462" s="820"/>
      <c r="CN462" s="820"/>
      <c r="CO462" s="820"/>
      <c r="CP462" s="849"/>
      <c r="CQ462" s="820"/>
      <c r="CR462" s="820"/>
      <c r="CS462" s="820"/>
      <c r="CT462" s="820"/>
      <c r="CU462" s="849"/>
      <c r="CV462" s="820"/>
      <c r="CW462" s="820"/>
      <c r="CX462" s="820"/>
      <c r="CY462" s="820"/>
      <c r="CZ462" s="849"/>
      <c r="DA462" s="820"/>
      <c r="DB462" s="820"/>
      <c r="DC462" s="820"/>
      <c r="DD462" s="820"/>
      <c r="DE462" s="849"/>
      <c r="DF462" s="820"/>
      <c r="DG462" s="820"/>
      <c r="DH462" s="820"/>
      <c r="DI462" s="2815"/>
      <c r="DJ462" s="849"/>
      <c r="DK462" s="820"/>
      <c r="DL462" s="820"/>
      <c r="DM462" s="820"/>
      <c r="DN462" s="820"/>
      <c r="DO462" s="849"/>
      <c r="DP462" s="820"/>
      <c r="DQ462" s="820"/>
      <c r="DR462" s="820"/>
      <c r="DS462" s="820"/>
      <c r="DT462" s="849"/>
      <c r="DU462" s="820"/>
      <c r="DV462" s="820"/>
      <c r="DW462" s="820"/>
      <c r="DX462" s="820"/>
      <c r="DY462" s="849"/>
    </row>
    <row r="463" spans="1:129" hidden="1" outlineLevel="1" x14ac:dyDescent="0.2">
      <c r="A463" s="526"/>
      <c r="B463" s="756" t="s">
        <v>886</v>
      </c>
      <c r="C463" s="597"/>
      <c r="D463" s="597"/>
      <c r="E463" s="597"/>
      <c r="F463" s="597"/>
      <c r="G463" s="597"/>
      <c r="H463" s="597"/>
      <c r="I463" s="597"/>
      <c r="J463" s="597"/>
      <c r="K463" s="597"/>
      <c r="L463" s="597"/>
      <c r="M463" s="597"/>
      <c r="N463" s="597"/>
      <c r="O463" s="743"/>
      <c r="P463" s="743"/>
      <c r="Q463" s="743"/>
      <c r="R463" s="743"/>
      <c r="S463" s="599"/>
      <c r="T463" s="743"/>
      <c r="U463" s="743"/>
      <c r="V463" s="743"/>
      <c r="W463" s="743"/>
      <c r="X463" s="849"/>
      <c r="Y463" s="743"/>
      <c r="Z463" s="743"/>
      <c r="AA463" s="743"/>
      <c r="AB463" s="743"/>
      <c r="AC463" s="849"/>
      <c r="AD463" s="744">
        <v>0.24680851063829801</v>
      </c>
      <c r="AE463" s="744">
        <v>0.21848739495798308</v>
      </c>
      <c r="AF463" s="744">
        <v>0.21273370389085389</v>
      </c>
      <c r="AG463" s="744">
        <v>0.19291338582677175</v>
      </c>
      <c r="AH463" s="745">
        <v>0.21723623092236211</v>
      </c>
      <c r="AI463" s="744">
        <v>9.5563139931740704E-2</v>
      </c>
      <c r="AJ463" s="744">
        <v>8.9655172413793061E-2</v>
      </c>
      <c r="AK463" s="744">
        <v>0.13194444444444442</v>
      </c>
      <c r="AL463" s="744">
        <v>0.13399339933993404</v>
      </c>
      <c r="AM463" s="745">
        <v>0.11294718909710411</v>
      </c>
      <c r="AN463" s="744">
        <v>0.23676012461059193</v>
      </c>
      <c r="AO463" s="744">
        <v>0.26740506329113911</v>
      </c>
      <c r="AP463" s="744">
        <v>0.23926380368098155</v>
      </c>
      <c r="AQ463" s="744">
        <v>0.24563445867287537</v>
      </c>
      <c r="AR463" s="745">
        <v>0.24712995560997975</v>
      </c>
      <c r="AS463" s="744">
        <v>0.40272040302267009</v>
      </c>
      <c r="AT463" s="744">
        <v>3.2002496878901372</v>
      </c>
      <c r="AU463" s="744">
        <v>3.15660891089109</v>
      </c>
      <c r="AV463" s="744">
        <v>3.159906542056075</v>
      </c>
      <c r="AW463" s="745">
        <v>2.4972629640994173</v>
      </c>
      <c r="AX463" s="744">
        <v>2.1107419910932337</v>
      </c>
      <c r="AY463" s="744">
        <v>-3.0454167162049628E-2</v>
      </c>
      <c r="AZ463" s="744">
        <v>-4.8181650359977901E-2</v>
      </c>
      <c r="BA463" s="744">
        <v>-0.1226831569724337</v>
      </c>
      <c r="BB463" s="745">
        <v>0.14474300684882224</v>
      </c>
      <c r="BC463" s="744">
        <v>-6.6246803401238785E-2</v>
      </c>
      <c r="BD463" s="744">
        <v>-1.1747610317786372E-2</v>
      </c>
      <c r="BE463" s="744">
        <v>-3.8946169824069843E-2</v>
      </c>
      <c r="BF463" s="744">
        <v>1.7733561244808183E-3</v>
      </c>
      <c r="BG463" s="745">
        <v>-2.964598039441102E-2</v>
      </c>
      <c r="BH463" s="744">
        <v>-1.9504806652035467E-2</v>
      </c>
      <c r="BI463" s="743"/>
      <c r="BJ463" s="743"/>
      <c r="BK463" s="743"/>
      <c r="BL463" s="849"/>
      <c r="BM463" s="743"/>
      <c r="BN463" s="743"/>
      <c r="BO463" s="743"/>
      <c r="BP463" s="743"/>
      <c r="BQ463" s="849"/>
      <c r="BR463" s="743"/>
      <c r="BS463" s="743"/>
      <c r="BT463" s="743"/>
      <c r="BU463" s="743"/>
      <c r="BV463" s="849"/>
      <c r="BW463" s="743"/>
      <c r="BX463" s="743"/>
      <c r="BY463" s="743"/>
      <c r="BZ463" s="743"/>
      <c r="CA463" s="849"/>
      <c r="CB463" s="743"/>
      <c r="CC463" s="743"/>
      <c r="CD463" s="743"/>
      <c r="CE463" s="743"/>
      <c r="CF463" s="849"/>
      <c r="CG463" s="820"/>
      <c r="CH463" s="820"/>
      <c r="CI463" s="820"/>
      <c r="CJ463" s="820"/>
      <c r="CK463" s="849"/>
      <c r="CL463" s="820"/>
      <c r="CM463" s="820"/>
      <c r="CN463" s="820"/>
      <c r="CO463" s="820"/>
      <c r="CP463" s="849"/>
      <c r="CQ463" s="820"/>
      <c r="CR463" s="820"/>
      <c r="CS463" s="820"/>
      <c r="CT463" s="820"/>
      <c r="CU463" s="849"/>
      <c r="CV463" s="820"/>
      <c r="CW463" s="820"/>
      <c r="CX463" s="820"/>
      <c r="CY463" s="820"/>
      <c r="CZ463" s="849"/>
      <c r="DA463" s="820"/>
      <c r="DB463" s="820"/>
      <c r="DC463" s="820"/>
      <c r="DD463" s="820"/>
      <c r="DE463" s="849"/>
      <c r="DF463" s="820"/>
      <c r="DG463" s="820"/>
      <c r="DH463" s="820"/>
      <c r="DI463" s="2815"/>
      <c r="DJ463" s="849"/>
      <c r="DK463" s="820"/>
      <c r="DL463" s="820"/>
      <c r="DM463" s="820"/>
      <c r="DN463" s="820"/>
      <c r="DO463" s="849"/>
      <c r="DP463" s="820"/>
      <c r="DQ463" s="820"/>
      <c r="DR463" s="820"/>
      <c r="DS463" s="820"/>
      <c r="DT463" s="849"/>
      <c r="DU463" s="820"/>
      <c r="DV463" s="820"/>
      <c r="DW463" s="820"/>
      <c r="DX463" s="820"/>
      <c r="DY463" s="849"/>
    </row>
    <row r="464" spans="1:129" hidden="1" outlineLevel="1" x14ac:dyDescent="0.2">
      <c r="A464" s="526"/>
      <c r="B464" s="756"/>
      <c r="C464" s="597"/>
      <c r="D464" s="597"/>
      <c r="E464" s="597"/>
      <c r="F464" s="597"/>
      <c r="G464" s="597"/>
      <c r="H464" s="597"/>
      <c r="I464" s="597"/>
      <c r="J464" s="597"/>
      <c r="K464" s="597"/>
      <c r="L464" s="597"/>
      <c r="M464" s="597"/>
      <c r="N464" s="597"/>
      <c r="O464" s="597"/>
      <c r="P464" s="597"/>
      <c r="Q464" s="597"/>
      <c r="R464" s="597"/>
      <c r="S464" s="597"/>
      <c r="T464" s="597"/>
      <c r="U464" s="597"/>
      <c r="V464" s="597"/>
      <c r="W464" s="597"/>
      <c r="X464" s="598"/>
      <c r="Y464" s="597"/>
      <c r="Z464" s="597"/>
      <c r="AA464" s="597"/>
      <c r="AB464" s="597"/>
      <c r="AC464" s="598"/>
      <c r="AD464" s="597"/>
      <c r="AE464" s="597"/>
      <c r="AF464" s="597"/>
      <c r="AG464" s="597"/>
      <c r="AH464" s="598"/>
      <c r="AI464" s="597"/>
      <c r="AJ464" s="597"/>
      <c r="AK464" s="597"/>
      <c r="AL464" s="597"/>
      <c r="AM464" s="598"/>
      <c r="AN464" s="597"/>
      <c r="AO464" s="597"/>
      <c r="AP464" s="597"/>
      <c r="AQ464" s="597"/>
      <c r="AR464" s="598"/>
      <c r="AS464" s="597"/>
      <c r="AT464" s="597"/>
      <c r="AU464" s="597"/>
      <c r="AV464" s="597"/>
      <c r="AW464" s="598"/>
      <c r="AX464" s="597"/>
      <c r="AY464" s="597"/>
      <c r="AZ464" s="597"/>
      <c r="BA464" s="597"/>
      <c r="BB464" s="598"/>
      <c r="BC464" s="597"/>
      <c r="BD464" s="597"/>
      <c r="BE464" s="597"/>
      <c r="BF464" s="597"/>
      <c r="BG464" s="598"/>
      <c r="BH464" s="597"/>
      <c r="BI464" s="597"/>
      <c r="BJ464" s="597"/>
      <c r="BK464" s="597"/>
      <c r="BL464" s="598"/>
      <c r="BM464" s="597"/>
      <c r="BN464" s="597"/>
      <c r="BO464" s="597"/>
      <c r="BP464" s="597"/>
      <c r="BQ464" s="598"/>
      <c r="BR464" s="597"/>
      <c r="BS464" s="597"/>
      <c r="BT464" s="597"/>
      <c r="BU464" s="597"/>
      <c r="BV464" s="598"/>
      <c r="BW464" s="597"/>
      <c r="BX464" s="597"/>
      <c r="BY464" s="597"/>
      <c r="BZ464" s="597"/>
      <c r="CA464" s="598"/>
      <c r="CB464" s="597"/>
      <c r="CC464" s="597"/>
      <c r="CD464" s="597"/>
      <c r="CE464" s="597"/>
      <c r="CF464" s="598"/>
      <c r="CG464" s="682"/>
      <c r="CH464" s="682"/>
      <c r="CI464" s="682"/>
      <c r="CJ464" s="682"/>
      <c r="CK464" s="598"/>
      <c r="CL464" s="682"/>
      <c r="CM464" s="682"/>
      <c r="CN464" s="682"/>
      <c r="CO464" s="682"/>
      <c r="CP464" s="598"/>
      <c r="CQ464" s="682"/>
      <c r="CR464" s="682"/>
      <c r="CS464" s="682"/>
      <c r="CT464" s="682"/>
      <c r="CU464" s="598"/>
      <c r="CV464" s="682"/>
      <c r="CW464" s="682"/>
      <c r="CX464" s="682"/>
      <c r="CY464" s="682"/>
      <c r="CZ464" s="598"/>
      <c r="DA464" s="682"/>
      <c r="DB464" s="682"/>
      <c r="DC464" s="682"/>
      <c r="DD464" s="682"/>
      <c r="DE464" s="598"/>
      <c r="DF464" s="682"/>
      <c r="DG464" s="682"/>
      <c r="DH464" s="682"/>
      <c r="DI464" s="1610"/>
      <c r="DJ464" s="598"/>
      <c r="DK464" s="682"/>
      <c r="DL464" s="682"/>
      <c r="DM464" s="682"/>
      <c r="DN464" s="682"/>
      <c r="DO464" s="598"/>
      <c r="DP464" s="682"/>
      <c r="DQ464" s="682"/>
      <c r="DR464" s="682"/>
      <c r="DS464" s="682"/>
      <c r="DT464" s="598"/>
      <c r="DU464" s="682"/>
      <c r="DV464" s="682"/>
      <c r="DW464" s="682"/>
      <c r="DX464" s="682"/>
      <c r="DY464" s="598"/>
    </row>
    <row r="465" spans="1:129" hidden="1" outlineLevel="1" x14ac:dyDescent="0.2">
      <c r="A465" s="526"/>
      <c r="B465" s="756" t="s">
        <v>887</v>
      </c>
      <c r="C465" s="597"/>
      <c r="D465" s="597"/>
      <c r="E465" s="597"/>
      <c r="F465" s="597"/>
      <c r="G465" s="597"/>
      <c r="H465" s="597"/>
      <c r="I465" s="597"/>
      <c r="J465" s="597"/>
      <c r="K465" s="597"/>
      <c r="L465" s="597"/>
      <c r="M465" s="597"/>
      <c r="N465" s="597"/>
      <c r="O465" s="743"/>
      <c r="P465" s="743"/>
      <c r="Q465" s="743"/>
      <c r="R465" s="743"/>
      <c r="S465" s="599"/>
      <c r="T465" s="743"/>
      <c r="U465" s="743"/>
      <c r="V465" s="744">
        <v>0.49617575264442632</v>
      </c>
      <c r="W465" s="744">
        <v>0.48484848484848492</v>
      </c>
      <c r="X465" s="849"/>
      <c r="Y465" s="744">
        <v>0.44680851063829785</v>
      </c>
      <c r="Z465" s="744">
        <v>0.45378151260504201</v>
      </c>
      <c r="AA465" s="744">
        <v>0.44656392117230925</v>
      </c>
      <c r="AB465" s="744">
        <v>0.44881889763779526</v>
      </c>
      <c r="AC465" s="745">
        <v>0.44899842402123413</v>
      </c>
      <c r="AD465" s="744">
        <v>0.45051194539249151</v>
      </c>
      <c r="AE465" s="744">
        <v>0.46551724137931033</v>
      </c>
      <c r="AF465" s="744">
        <v>0.47916666666666663</v>
      </c>
      <c r="AG465" s="744">
        <v>0.46534653465346537</v>
      </c>
      <c r="AH465" s="745">
        <v>0.46507666098807493</v>
      </c>
      <c r="AI465" s="744">
        <v>0.45794392523364486</v>
      </c>
      <c r="AJ465" s="744">
        <v>0.46518987341772156</v>
      </c>
      <c r="AK465" s="744">
        <v>0.46932515337423308</v>
      </c>
      <c r="AL465" s="744">
        <v>0.46623981373690337</v>
      </c>
      <c r="AM465" s="745">
        <v>0.46471758763202198</v>
      </c>
      <c r="AN465" s="744">
        <v>0.45340050377833752</v>
      </c>
      <c r="AO465" s="744">
        <v>0.45692883895131081</v>
      </c>
      <c r="AP465" s="744">
        <v>0.46425742574257428</v>
      </c>
      <c r="AQ465" s="744">
        <v>0.46261682242990648</v>
      </c>
      <c r="AR465" s="745">
        <v>0.45938017796870206</v>
      </c>
      <c r="AS465" s="744">
        <v>0.38469688263180579</v>
      </c>
      <c r="AT465" s="744">
        <v>0.20385804303887767</v>
      </c>
      <c r="AU465" s="744">
        <v>0.2106451017406373</v>
      </c>
      <c r="AV465" s="744">
        <v>0.21008290085596817</v>
      </c>
      <c r="AW465" s="745">
        <v>0.22547417960654803</v>
      </c>
      <c r="AX465" s="744">
        <v>0.24769816025999969</v>
      </c>
      <c r="AY465" s="744">
        <v>0.2658295370239796</v>
      </c>
      <c r="AZ465" s="744">
        <v>0.27326134287644832</v>
      </c>
      <c r="BA465" s="744">
        <v>0.28784066683311887</v>
      </c>
      <c r="BB465" s="745">
        <v>0.26810604492883588</v>
      </c>
      <c r="BC465" s="744">
        <v>0.27923711786343547</v>
      </c>
      <c r="BD465" s="744">
        <v>0.28289314497366314</v>
      </c>
      <c r="BE465" s="744">
        <v>0.28550689729251161</v>
      </c>
      <c r="BF465" s="744">
        <v>0.2840910543335165</v>
      </c>
      <c r="BG465" s="745">
        <v>0.28288930137040391</v>
      </c>
      <c r="BH465" s="744">
        <v>0.28373266078184112</v>
      </c>
      <c r="BI465" s="743"/>
      <c r="BJ465" s="743"/>
      <c r="BK465" s="743"/>
      <c r="BL465" s="849"/>
      <c r="BM465" s="743"/>
      <c r="BN465" s="743"/>
      <c r="BO465" s="743"/>
      <c r="BP465" s="743"/>
      <c r="BQ465" s="849"/>
      <c r="BR465" s="743"/>
      <c r="BS465" s="743"/>
      <c r="BT465" s="743"/>
      <c r="BU465" s="743"/>
      <c r="BV465" s="849"/>
      <c r="BW465" s="743"/>
      <c r="BX465" s="743"/>
      <c r="BY465" s="743"/>
      <c r="BZ465" s="743"/>
      <c r="CA465" s="849"/>
      <c r="CB465" s="743"/>
      <c r="CC465" s="743"/>
      <c r="CD465" s="743"/>
      <c r="CE465" s="743"/>
      <c r="CF465" s="849"/>
      <c r="CG465" s="820"/>
      <c r="CH465" s="820"/>
      <c r="CI465" s="820"/>
      <c r="CJ465" s="820"/>
      <c r="CK465" s="849"/>
      <c r="CL465" s="820"/>
      <c r="CM465" s="820"/>
      <c r="CN465" s="820"/>
      <c r="CO465" s="820"/>
      <c r="CP465" s="849"/>
      <c r="CQ465" s="820"/>
      <c r="CR465" s="820"/>
      <c r="CS465" s="820"/>
      <c r="CT465" s="820"/>
      <c r="CU465" s="849"/>
      <c r="CV465" s="820"/>
      <c r="CW465" s="820"/>
      <c r="CX465" s="820"/>
      <c r="CY465" s="820"/>
      <c r="CZ465" s="849"/>
      <c r="DA465" s="820"/>
      <c r="DB465" s="820"/>
      <c r="DC465" s="820"/>
      <c r="DD465" s="820"/>
      <c r="DE465" s="849"/>
      <c r="DF465" s="820"/>
      <c r="DG465" s="820"/>
      <c r="DH465" s="820"/>
      <c r="DI465" s="2815"/>
      <c r="DJ465" s="849"/>
      <c r="DK465" s="820"/>
      <c r="DL465" s="820"/>
      <c r="DM465" s="820"/>
      <c r="DN465" s="820"/>
      <c r="DO465" s="849"/>
      <c r="DP465" s="820"/>
      <c r="DQ465" s="820"/>
      <c r="DR465" s="820"/>
      <c r="DS465" s="820"/>
      <c r="DT465" s="849"/>
      <c r="DU465" s="820"/>
      <c r="DV465" s="820"/>
      <c r="DW465" s="820"/>
      <c r="DX465" s="820"/>
      <c r="DY465" s="849"/>
    </row>
    <row r="466" spans="1:129" hidden="1" outlineLevel="1" x14ac:dyDescent="0.2">
      <c r="A466" s="526"/>
      <c r="B466" s="756"/>
      <c r="C466" s="597"/>
      <c r="D466" s="597"/>
      <c r="E466" s="597"/>
      <c r="F466" s="597"/>
      <c r="G466" s="597"/>
      <c r="H466" s="597"/>
      <c r="I466" s="597"/>
      <c r="J466" s="597"/>
      <c r="K466" s="597"/>
      <c r="L466" s="597"/>
      <c r="M466" s="597"/>
      <c r="N466" s="597"/>
      <c r="O466" s="597"/>
      <c r="P466" s="597"/>
      <c r="Q466" s="597"/>
      <c r="R466" s="597"/>
      <c r="S466" s="597"/>
      <c r="T466" s="597"/>
      <c r="U466" s="597"/>
      <c r="V466" s="597"/>
      <c r="W466" s="597"/>
      <c r="X466" s="598"/>
      <c r="Y466" s="597"/>
      <c r="Z466" s="597"/>
      <c r="AA466" s="597"/>
      <c r="AB466" s="597"/>
      <c r="AC466" s="598"/>
      <c r="AD466" s="597"/>
      <c r="AE466" s="597"/>
      <c r="AF466" s="597"/>
      <c r="AG466" s="597"/>
      <c r="AH466" s="598"/>
      <c r="AI466" s="597"/>
      <c r="AJ466" s="597"/>
      <c r="AK466" s="597"/>
      <c r="AL466" s="597"/>
      <c r="AM466" s="598"/>
      <c r="AN466" s="597"/>
      <c r="AO466" s="597"/>
      <c r="AP466" s="597"/>
      <c r="AQ466" s="597"/>
      <c r="AR466" s="598"/>
      <c r="AS466" s="597"/>
      <c r="AT466" s="597"/>
      <c r="AU466" s="597"/>
      <c r="AV466" s="597"/>
      <c r="AW466" s="598"/>
      <c r="AX466" s="597"/>
      <c r="AY466" s="597"/>
      <c r="AZ466" s="597"/>
      <c r="BA466" s="597"/>
      <c r="BB466" s="598"/>
      <c r="BC466" s="597"/>
      <c r="BD466" s="597"/>
      <c r="BE466" s="597"/>
      <c r="BF466" s="597"/>
      <c r="BG466" s="598"/>
      <c r="BH466" s="597"/>
      <c r="BI466" s="597"/>
      <c r="BJ466" s="597"/>
      <c r="BK466" s="597"/>
      <c r="BL466" s="598"/>
      <c r="BM466" s="597"/>
      <c r="BN466" s="597"/>
      <c r="BO466" s="597"/>
      <c r="BP466" s="597"/>
      <c r="BQ466" s="598"/>
      <c r="BR466" s="597"/>
      <c r="BS466" s="597"/>
      <c r="BT466" s="597"/>
      <c r="BU466" s="597"/>
      <c r="BV466" s="598"/>
      <c r="BW466" s="597"/>
      <c r="BX466" s="597"/>
      <c r="BY466" s="597"/>
      <c r="BZ466" s="597"/>
      <c r="CA466" s="598"/>
      <c r="CB466" s="597"/>
      <c r="CC466" s="597"/>
      <c r="CD466" s="597"/>
      <c r="CE466" s="597"/>
      <c r="CF466" s="598"/>
      <c r="CG466" s="682"/>
      <c r="CH466" s="682"/>
      <c r="CI466" s="682"/>
      <c r="CJ466" s="682"/>
      <c r="CK466" s="598"/>
      <c r="CL466" s="682"/>
      <c r="CM466" s="682"/>
      <c r="CN466" s="682"/>
      <c r="CO466" s="682"/>
      <c r="CP466" s="598"/>
      <c r="CQ466" s="682"/>
      <c r="CR466" s="682"/>
      <c r="CS466" s="682"/>
      <c r="CT466" s="682"/>
      <c r="CU466" s="598"/>
      <c r="CV466" s="682"/>
      <c r="CW466" s="682"/>
      <c r="CX466" s="682"/>
      <c r="CY466" s="682"/>
      <c r="CZ466" s="598"/>
      <c r="DA466" s="682"/>
      <c r="DB466" s="682"/>
      <c r="DC466" s="682"/>
      <c r="DD466" s="682"/>
      <c r="DE466" s="598"/>
      <c r="DF466" s="682"/>
      <c r="DG466" s="682"/>
      <c r="DH466" s="682"/>
      <c r="DI466" s="1610"/>
      <c r="DJ466" s="598"/>
      <c r="DK466" s="682"/>
      <c r="DL466" s="682"/>
      <c r="DM466" s="682"/>
      <c r="DN466" s="682"/>
      <c r="DO466" s="598"/>
      <c r="DP466" s="682"/>
      <c r="DQ466" s="682"/>
      <c r="DR466" s="682"/>
      <c r="DS466" s="682"/>
      <c r="DT466" s="598"/>
      <c r="DU466" s="682"/>
      <c r="DV466" s="682"/>
      <c r="DW466" s="682"/>
      <c r="DX466" s="682"/>
      <c r="DY466" s="598"/>
    </row>
    <row r="467" spans="1:129" hidden="1" outlineLevel="1" x14ac:dyDescent="0.2">
      <c r="A467" s="526"/>
      <c r="B467" s="756" t="s">
        <v>888</v>
      </c>
      <c r="C467" s="597"/>
      <c r="D467" s="597"/>
      <c r="E467" s="597"/>
      <c r="F467" s="597"/>
      <c r="G467" s="597"/>
      <c r="H467" s="597"/>
      <c r="I467" s="597"/>
      <c r="J467" s="597"/>
      <c r="K467" s="597"/>
      <c r="L467" s="597"/>
      <c r="M467" s="597"/>
      <c r="N467" s="597"/>
      <c r="O467" s="743"/>
      <c r="P467" s="743"/>
      <c r="Q467" s="743"/>
      <c r="R467" s="743"/>
      <c r="S467" s="599"/>
      <c r="T467" s="743"/>
      <c r="U467" s="743"/>
      <c r="V467" s="743"/>
      <c r="W467" s="743"/>
      <c r="X467" s="849"/>
      <c r="Y467" s="743"/>
      <c r="Z467" s="743"/>
      <c r="AA467" s="743"/>
      <c r="AB467" s="743"/>
      <c r="AC467" s="849"/>
      <c r="AD467" s="744">
        <v>0.38889371980676324</v>
      </c>
      <c r="AE467" s="744">
        <v>0.38194554455445551</v>
      </c>
      <c r="AF467" s="744">
        <v>0.38819095477386933</v>
      </c>
      <c r="AG467" s="744">
        <v>0.39894835680751173</v>
      </c>
      <c r="AH467" s="870">
        <f>(AH468*AH455+AH469*AH456)/AH457</f>
        <v>0.38950060901339828</v>
      </c>
      <c r="AI467" s="744">
        <v>0.40547136563876646</v>
      </c>
      <c r="AJ467" s="744">
        <v>0.40038461538461534</v>
      </c>
      <c r="AK467" s="744">
        <v>0.41322907488986782</v>
      </c>
      <c r="AL467" s="744">
        <v>0.40863960231980112</v>
      </c>
      <c r="AM467" s="870">
        <f>(AM468*AM455+AM469*AM456)/AM457</f>
        <v>0.40690746398952427</v>
      </c>
      <c r="AN467" s="744">
        <v>0.43116254416961131</v>
      </c>
      <c r="AO467" s="744">
        <v>0.4285851063829787</v>
      </c>
      <c r="AP467" s="744">
        <v>0.43136390742581293</v>
      </c>
      <c r="AQ467" s="744">
        <v>0.44192715231788082</v>
      </c>
      <c r="AR467" s="870">
        <f>(AR468*AR455+AR469*AR456)/AR457</f>
        <v>0.43325691204122846</v>
      </c>
      <c r="AS467" s="744">
        <v>0.45409863304835046</v>
      </c>
      <c r="AT467" s="744">
        <v>0.47227092420093841</v>
      </c>
      <c r="AU467" s="744">
        <v>0.48501451383837341</v>
      </c>
      <c r="AV467" s="744">
        <v>0.49496096872795681</v>
      </c>
      <c r="AW467" s="870">
        <f>(AW468*AW455+AW469*AW456)/AW457</f>
        <v>0.48018159007221967</v>
      </c>
      <c r="AX467" s="744">
        <v>0.50763785652549709</v>
      </c>
      <c r="AY467" s="744">
        <v>0.51483600130676255</v>
      </c>
      <c r="AZ467" s="744">
        <v>0.52151857433559268</v>
      </c>
      <c r="BA467" s="744">
        <v>0.52761518534069585</v>
      </c>
      <c r="BB467" s="870">
        <f>(BB468*BB455+BB469*BB456)/BB457</f>
        <v>0.51753169953044642</v>
      </c>
      <c r="BC467" s="744">
        <v>0.53958645661672433</v>
      </c>
      <c r="BD467" s="744">
        <v>0.54035470917498174</v>
      </c>
      <c r="BE467" s="744">
        <v>0.56022296568098429</v>
      </c>
      <c r="BF467" s="744">
        <v>0.55942554958399271</v>
      </c>
      <c r="BG467" s="870">
        <f>(BG468*BG455+BG469*BG456)/BG457</f>
        <v>0.54989584458681096</v>
      </c>
      <c r="BH467" s="743"/>
      <c r="BI467" s="743"/>
      <c r="BJ467" s="743"/>
      <c r="BK467" s="743"/>
      <c r="BL467" s="849"/>
      <c r="BM467" s="743"/>
      <c r="BN467" s="743"/>
      <c r="BO467" s="743"/>
      <c r="BP467" s="743"/>
      <c r="BQ467" s="849"/>
      <c r="BR467" s="743"/>
      <c r="BS467" s="743"/>
      <c r="BT467" s="743"/>
      <c r="BU467" s="743"/>
      <c r="BV467" s="849"/>
      <c r="BW467" s="743"/>
      <c r="BX467" s="743"/>
      <c r="BY467" s="743"/>
      <c r="BZ467" s="743"/>
      <c r="CA467" s="849"/>
      <c r="CB467" s="743"/>
      <c r="CC467" s="743"/>
      <c r="CD467" s="743"/>
      <c r="CE467" s="743"/>
      <c r="CF467" s="849"/>
      <c r="CG467" s="820"/>
      <c r="CH467" s="820"/>
      <c r="CI467" s="820"/>
      <c r="CJ467" s="820"/>
      <c r="CK467" s="849"/>
      <c r="CL467" s="820"/>
      <c r="CM467" s="820"/>
      <c r="CN467" s="820"/>
      <c r="CO467" s="820"/>
      <c r="CP467" s="849"/>
      <c r="CQ467" s="820"/>
      <c r="CR467" s="820"/>
      <c r="CS467" s="820"/>
      <c r="CT467" s="820"/>
      <c r="CU467" s="849"/>
      <c r="CV467" s="820"/>
      <c r="CW467" s="820"/>
      <c r="CX467" s="820"/>
      <c r="CY467" s="820"/>
      <c r="CZ467" s="849"/>
      <c r="DA467" s="820"/>
      <c r="DB467" s="820"/>
      <c r="DC467" s="820"/>
      <c r="DD467" s="820"/>
      <c r="DE467" s="849"/>
      <c r="DF467" s="820"/>
      <c r="DG467" s="820"/>
      <c r="DH467" s="820"/>
      <c r="DI467" s="2815"/>
      <c r="DJ467" s="849"/>
      <c r="DK467" s="820"/>
      <c r="DL467" s="820"/>
      <c r="DM467" s="820"/>
      <c r="DN467" s="820"/>
      <c r="DO467" s="849"/>
      <c r="DP467" s="820"/>
      <c r="DQ467" s="820"/>
      <c r="DR467" s="820"/>
      <c r="DS467" s="820"/>
      <c r="DT467" s="849"/>
      <c r="DU467" s="820"/>
      <c r="DV467" s="820"/>
      <c r="DW467" s="820"/>
      <c r="DX467" s="820"/>
      <c r="DY467" s="849"/>
    </row>
    <row r="468" spans="1:129" hidden="1" outlineLevel="1" x14ac:dyDescent="0.2">
      <c r="A468" s="526"/>
      <c r="B468" s="756" t="s">
        <v>889</v>
      </c>
      <c r="C468" s="597"/>
      <c r="D468" s="597"/>
      <c r="E468" s="597"/>
      <c r="F468" s="597"/>
      <c r="G468" s="597"/>
      <c r="H468" s="597"/>
      <c r="I468" s="597"/>
      <c r="J468" s="597"/>
      <c r="K468" s="597"/>
      <c r="L468" s="597"/>
      <c r="M468" s="597"/>
      <c r="N468" s="597"/>
      <c r="O468" s="743"/>
      <c r="P468" s="743"/>
      <c r="Q468" s="743"/>
      <c r="R468" s="743"/>
      <c r="S468" s="599"/>
      <c r="T468" s="743"/>
      <c r="U468" s="743"/>
      <c r="V468" s="743"/>
      <c r="W468" s="743"/>
      <c r="X468" s="849"/>
      <c r="Y468" s="743"/>
      <c r="Z468" s="743"/>
      <c r="AA468" s="743"/>
      <c r="AB468" s="743"/>
      <c r="AC468" s="849"/>
      <c r="AD468" s="744">
        <v>0.307</v>
      </c>
      <c r="AE468" s="744">
        <v>0.30499999999999999</v>
      </c>
      <c r="AF468" s="744">
        <v>0.309</v>
      </c>
      <c r="AG468" s="744">
        <v>0.314</v>
      </c>
      <c r="AH468" s="745">
        <v>0.30875000000000002</v>
      </c>
      <c r="AI468" s="744">
        <v>0.32</v>
      </c>
      <c r="AJ468" s="744">
        <v>0.32100000000000001</v>
      </c>
      <c r="AK468" s="744">
        <v>0.34499999999999997</v>
      </c>
      <c r="AL468" s="744">
        <v>0.34399999999999997</v>
      </c>
      <c r="AM468" s="745">
        <v>0.33250000000000002</v>
      </c>
      <c r="AN468" s="744">
        <v>0.35</v>
      </c>
      <c r="AO468" s="744">
        <v>0.35099999999999998</v>
      </c>
      <c r="AP468" s="744">
        <v>0.35199999999999998</v>
      </c>
      <c r="AQ468" s="744">
        <v>0.36299999999999999</v>
      </c>
      <c r="AR468" s="745">
        <v>0.35399999999999998</v>
      </c>
      <c r="AS468" s="744">
        <v>0.373</v>
      </c>
      <c r="AT468" s="744">
        <v>0.37</v>
      </c>
      <c r="AU468" s="744">
        <v>0.38400000000000001</v>
      </c>
      <c r="AV468" s="744">
        <v>0.39300000000000002</v>
      </c>
      <c r="AW468" s="745">
        <v>0.379</v>
      </c>
      <c r="AX468" s="744">
        <v>0.39500000000000002</v>
      </c>
      <c r="AY468" s="744">
        <v>0.39700000000000002</v>
      </c>
      <c r="AZ468" s="744">
        <v>0.39800000000000002</v>
      </c>
      <c r="BA468" s="744">
        <v>0.40600000000000003</v>
      </c>
      <c r="BB468" s="745">
        <v>0.39907262311109593</v>
      </c>
      <c r="BC468" s="744">
        <v>0.40400000000000003</v>
      </c>
      <c r="BD468" s="744">
        <v>0.41299999999999998</v>
      </c>
      <c r="BE468" s="744">
        <v>0.441</v>
      </c>
      <c r="BF468" s="744">
        <v>0.41799999999999998</v>
      </c>
      <c r="BG468" s="745">
        <v>0.41899999999999998</v>
      </c>
      <c r="BH468" s="743"/>
      <c r="BI468" s="743"/>
      <c r="BJ468" s="743"/>
      <c r="BK468" s="743"/>
      <c r="BL468" s="849"/>
      <c r="BM468" s="743"/>
      <c r="BN468" s="743"/>
      <c r="BO468" s="743"/>
      <c r="BP468" s="743"/>
      <c r="BQ468" s="849"/>
      <c r="BR468" s="743"/>
      <c r="BS468" s="743"/>
      <c r="BT468" s="743"/>
      <c r="BU468" s="743"/>
      <c r="BV468" s="849"/>
      <c r="BW468" s="743"/>
      <c r="BX468" s="743"/>
      <c r="BY468" s="743"/>
      <c r="BZ468" s="743"/>
      <c r="CA468" s="849"/>
      <c r="CB468" s="743"/>
      <c r="CC468" s="743"/>
      <c r="CD468" s="743"/>
      <c r="CE468" s="743"/>
      <c r="CF468" s="849"/>
      <c r="CG468" s="820"/>
      <c r="CH468" s="820"/>
      <c r="CI468" s="820"/>
      <c r="CJ468" s="820"/>
      <c r="CK468" s="849"/>
      <c r="CL468" s="820"/>
      <c r="CM468" s="820"/>
      <c r="CN468" s="820"/>
      <c r="CO468" s="820"/>
      <c r="CP468" s="849"/>
      <c r="CQ468" s="820"/>
      <c r="CR468" s="820"/>
      <c r="CS468" s="820"/>
      <c r="CT468" s="820"/>
      <c r="CU468" s="849"/>
      <c r="CV468" s="820"/>
      <c r="CW468" s="820"/>
      <c r="CX468" s="820"/>
      <c r="CY468" s="820"/>
      <c r="CZ468" s="849"/>
      <c r="DA468" s="820"/>
      <c r="DB468" s="820"/>
      <c r="DC468" s="820"/>
      <c r="DD468" s="820"/>
      <c r="DE468" s="849"/>
      <c r="DF468" s="820"/>
      <c r="DG468" s="820"/>
      <c r="DH468" s="820"/>
      <c r="DI468" s="2815"/>
      <c r="DJ468" s="849"/>
      <c r="DK468" s="820"/>
      <c r="DL468" s="820"/>
      <c r="DM468" s="820"/>
      <c r="DN468" s="820"/>
      <c r="DO468" s="849"/>
      <c r="DP468" s="820"/>
      <c r="DQ468" s="820"/>
      <c r="DR468" s="820"/>
      <c r="DS468" s="820"/>
      <c r="DT468" s="849"/>
      <c r="DU468" s="820"/>
      <c r="DV468" s="820"/>
      <c r="DW468" s="820"/>
      <c r="DX468" s="820"/>
      <c r="DY468" s="849"/>
    </row>
    <row r="469" spans="1:129" hidden="1" outlineLevel="1" x14ac:dyDescent="0.2">
      <c r="A469" s="526"/>
      <c r="B469" s="756" t="s">
        <v>890</v>
      </c>
      <c r="C469" s="597"/>
      <c r="D469" s="597"/>
      <c r="E469" s="597"/>
      <c r="F469" s="597"/>
      <c r="G469" s="597"/>
      <c r="H469" s="597"/>
      <c r="I469" s="597"/>
      <c r="J469" s="597"/>
      <c r="K469" s="597"/>
      <c r="L469" s="597"/>
      <c r="M469" s="597"/>
      <c r="N469" s="597"/>
      <c r="O469" s="743"/>
      <c r="P469" s="743"/>
      <c r="Q469" s="743"/>
      <c r="R469" s="743"/>
      <c r="S469" s="599"/>
      <c r="T469" s="743"/>
      <c r="U469" s="743"/>
      <c r="V469" s="743"/>
      <c r="W469" s="743"/>
      <c r="X469" s="849"/>
      <c r="Y469" s="743"/>
      <c r="Z469" s="743"/>
      <c r="AA469" s="743"/>
      <c r="AB469" s="743"/>
      <c r="AC469" s="849"/>
      <c r="AD469" s="744">
        <v>0.41099999999999998</v>
      </c>
      <c r="AE469" s="744">
        <v>0.40400000000000003</v>
      </c>
      <c r="AF469" s="744">
        <v>0.41199999999999998</v>
      </c>
      <c r="AG469" s="744">
        <v>0.42299999999999999</v>
      </c>
      <c r="AH469" s="745">
        <v>0.41249999999999998</v>
      </c>
      <c r="AI469" s="744">
        <v>0.42899999999999999</v>
      </c>
      <c r="AJ469" s="744">
        <v>0.42299999999999999</v>
      </c>
      <c r="AK469" s="744">
        <v>0.433</v>
      </c>
      <c r="AL469" s="744">
        <v>0.42699999999999999</v>
      </c>
      <c r="AM469" s="745">
        <v>0.42799999999999999</v>
      </c>
      <c r="AN469" s="744">
        <v>0.45300000000000001</v>
      </c>
      <c r="AO469" s="744">
        <v>0.45</v>
      </c>
      <c r="AP469" s="744">
        <v>0.45400000000000001</v>
      </c>
      <c r="AQ469" s="744">
        <v>0.46400000000000002</v>
      </c>
      <c r="AR469" s="745">
        <v>0.45524999999999999</v>
      </c>
      <c r="AS469" s="744">
        <v>0.47099999999999997</v>
      </c>
      <c r="AT469" s="744">
        <v>0.48099999999999998</v>
      </c>
      <c r="AU469" s="744">
        <v>0.49399999999999999</v>
      </c>
      <c r="AV469" s="744">
        <v>0.504</v>
      </c>
      <c r="AW469" s="745">
        <v>0.49</v>
      </c>
      <c r="AX469" s="744">
        <v>0.52</v>
      </c>
      <c r="AY469" s="744">
        <v>0.52900000000000003</v>
      </c>
      <c r="AZ469" s="744">
        <v>0.53700000000000003</v>
      </c>
      <c r="BA469" s="744">
        <v>0.54400000000000004</v>
      </c>
      <c r="BB469" s="745">
        <v>0.5319814103060343</v>
      </c>
      <c r="BC469" s="744">
        <v>0.55700000000000005</v>
      </c>
      <c r="BD469" s="744">
        <v>0.55700000000000005</v>
      </c>
      <c r="BE469" s="744">
        <v>0.57599999999999996</v>
      </c>
      <c r="BF469" s="744">
        <v>0.57799999999999996</v>
      </c>
      <c r="BG469" s="745">
        <v>0.56699999999999995</v>
      </c>
      <c r="BH469" s="744">
        <v>0.58199999999999996</v>
      </c>
      <c r="BI469" s="743"/>
      <c r="BJ469" s="743"/>
      <c r="BK469" s="743"/>
      <c r="BL469" s="849"/>
      <c r="BM469" s="743"/>
      <c r="BN469" s="743"/>
      <c r="BO469" s="743"/>
      <c r="BP469" s="743"/>
      <c r="BQ469" s="849"/>
      <c r="BR469" s="743"/>
      <c r="BS469" s="743"/>
      <c r="BT469" s="743"/>
      <c r="BU469" s="743"/>
      <c r="BV469" s="849"/>
      <c r="BW469" s="743"/>
      <c r="BX469" s="743"/>
      <c r="BY469" s="743"/>
      <c r="BZ469" s="743"/>
      <c r="CA469" s="849"/>
      <c r="CB469" s="743"/>
      <c r="CC469" s="743"/>
      <c r="CD469" s="743"/>
      <c r="CE469" s="743"/>
      <c r="CF469" s="849"/>
      <c r="CG469" s="820"/>
      <c r="CH469" s="820"/>
      <c r="CI469" s="820"/>
      <c r="CJ469" s="820"/>
      <c r="CK469" s="849"/>
      <c r="CL469" s="820"/>
      <c r="CM469" s="820"/>
      <c r="CN469" s="820"/>
      <c r="CO469" s="820"/>
      <c r="CP469" s="849"/>
      <c r="CQ469" s="820"/>
      <c r="CR469" s="820"/>
      <c r="CS469" s="820"/>
      <c r="CT469" s="820"/>
      <c r="CU469" s="849"/>
      <c r="CV469" s="820"/>
      <c r="CW469" s="820"/>
      <c r="CX469" s="820"/>
      <c r="CY469" s="820"/>
      <c r="CZ469" s="849"/>
      <c r="DA469" s="820"/>
      <c r="DB469" s="820"/>
      <c r="DC469" s="820"/>
      <c r="DD469" s="820"/>
      <c r="DE469" s="849"/>
      <c r="DF469" s="820"/>
      <c r="DG469" s="820"/>
      <c r="DH469" s="820"/>
      <c r="DI469" s="2815"/>
      <c r="DJ469" s="849"/>
      <c r="DK469" s="820"/>
      <c r="DL469" s="820"/>
      <c r="DM469" s="820"/>
      <c r="DN469" s="820"/>
      <c r="DO469" s="849"/>
      <c r="DP469" s="820"/>
      <c r="DQ469" s="820"/>
      <c r="DR469" s="820"/>
      <c r="DS469" s="820"/>
      <c r="DT469" s="849"/>
      <c r="DU469" s="820"/>
      <c r="DV469" s="820"/>
      <c r="DW469" s="820"/>
      <c r="DX469" s="820"/>
      <c r="DY469" s="849"/>
    </row>
    <row r="470" spans="1:129" hidden="1" outlineLevel="1" x14ac:dyDescent="0.2">
      <c r="A470" s="526"/>
      <c r="B470" s="756"/>
      <c r="C470" s="597"/>
      <c r="D470" s="597"/>
      <c r="E470" s="597"/>
      <c r="F470" s="597"/>
      <c r="G470" s="597"/>
      <c r="H470" s="597"/>
      <c r="I470" s="597"/>
      <c r="J470" s="597"/>
      <c r="K470" s="597"/>
      <c r="L470" s="597"/>
      <c r="M470" s="597"/>
      <c r="N470" s="597"/>
      <c r="O470" s="597"/>
      <c r="P470" s="597"/>
      <c r="Q470" s="597"/>
      <c r="R470" s="597"/>
      <c r="S470" s="597"/>
      <c r="T470" s="597"/>
      <c r="U470" s="597"/>
      <c r="V470" s="597"/>
      <c r="W470" s="597"/>
      <c r="X470" s="598"/>
      <c r="Y470" s="597"/>
      <c r="Z470" s="597"/>
      <c r="AA470" s="597"/>
      <c r="AB470" s="597"/>
      <c r="AC470" s="598"/>
      <c r="AD470" s="597"/>
      <c r="AE470" s="597"/>
      <c r="AF470" s="597"/>
      <c r="AG470" s="597"/>
      <c r="AH470" s="598"/>
      <c r="AI470" s="597"/>
      <c r="AJ470" s="597"/>
      <c r="AK470" s="597"/>
      <c r="AL470" s="597"/>
      <c r="AM470" s="598"/>
      <c r="AN470" s="597"/>
      <c r="AO470" s="597"/>
      <c r="AP470" s="597"/>
      <c r="AQ470" s="597"/>
      <c r="AR470" s="598"/>
      <c r="AS470" s="597"/>
      <c r="AT470" s="597"/>
      <c r="AU470" s="597"/>
      <c r="AV470" s="597"/>
      <c r="AW470" s="598"/>
      <c r="AX470" s="597"/>
      <c r="AY470" s="597"/>
      <c r="AZ470" s="597"/>
      <c r="BA470" s="597"/>
      <c r="BB470" s="598"/>
      <c r="BC470" s="597"/>
      <c r="BD470" s="597"/>
      <c r="BE470" s="597"/>
      <c r="BF470" s="597"/>
      <c r="BG470" s="598"/>
      <c r="BH470" s="597"/>
      <c r="BI470" s="597"/>
      <c r="BJ470" s="597"/>
      <c r="BK470" s="597"/>
      <c r="BL470" s="598"/>
      <c r="BM470" s="597"/>
      <c r="BN470" s="597"/>
      <c r="BO470" s="597"/>
      <c r="BP470" s="597"/>
      <c r="BQ470" s="598"/>
      <c r="BR470" s="597"/>
      <c r="BS470" s="597"/>
      <c r="BT470" s="597"/>
      <c r="BU470" s="597"/>
      <c r="BV470" s="598"/>
      <c r="BW470" s="597"/>
      <c r="BX470" s="597"/>
      <c r="BY470" s="597"/>
      <c r="BZ470" s="597"/>
      <c r="CA470" s="598"/>
      <c r="CB470" s="597"/>
      <c r="CC470" s="597"/>
      <c r="CD470" s="597"/>
      <c r="CE470" s="597"/>
      <c r="CF470" s="598"/>
      <c r="CG470" s="682"/>
      <c r="CH470" s="682"/>
      <c r="CI470" s="682"/>
      <c r="CJ470" s="682"/>
      <c r="CK470" s="598"/>
      <c r="CL470" s="682"/>
      <c r="CM470" s="682"/>
      <c r="CN470" s="682"/>
      <c r="CO470" s="682"/>
      <c r="CP470" s="598"/>
      <c r="CQ470" s="682"/>
      <c r="CR470" s="682"/>
      <c r="CS470" s="682"/>
      <c r="CT470" s="682"/>
      <c r="CU470" s="598"/>
      <c r="CV470" s="682"/>
      <c r="CW470" s="682"/>
      <c r="CX470" s="682"/>
      <c r="CY470" s="682"/>
      <c r="CZ470" s="598"/>
      <c r="DA470" s="682"/>
      <c r="DB470" s="682"/>
      <c r="DC470" s="682"/>
      <c r="DD470" s="682"/>
      <c r="DE470" s="598"/>
      <c r="DF470" s="682"/>
      <c r="DG470" s="682"/>
      <c r="DH470" s="682"/>
      <c r="DI470" s="1610"/>
      <c r="DJ470" s="598"/>
      <c r="DK470" s="682"/>
      <c r="DL470" s="682"/>
      <c r="DM470" s="682"/>
      <c r="DN470" s="682"/>
      <c r="DO470" s="598"/>
      <c r="DP470" s="682"/>
      <c r="DQ470" s="682"/>
      <c r="DR470" s="682"/>
      <c r="DS470" s="682"/>
      <c r="DT470" s="598"/>
      <c r="DU470" s="682"/>
      <c r="DV470" s="682"/>
      <c r="DW470" s="682"/>
      <c r="DX470" s="682"/>
      <c r="DY470" s="598"/>
    </row>
    <row r="471" spans="1:129" hidden="1" outlineLevel="1" x14ac:dyDescent="0.2">
      <c r="A471" s="526"/>
      <c r="B471" s="756" t="s">
        <v>891</v>
      </c>
      <c r="C471" s="597"/>
      <c r="D471" s="597"/>
      <c r="E471" s="597"/>
      <c r="F471" s="597"/>
      <c r="G471" s="597"/>
      <c r="H471" s="597"/>
      <c r="I471" s="597"/>
      <c r="J471" s="597"/>
      <c r="K471" s="597"/>
      <c r="L471" s="597"/>
      <c r="M471" s="597"/>
      <c r="N471" s="597"/>
      <c r="O471" s="597"/>
      <c r="P471" s="597"/>
      <c r="Q471" s="597"/>
      <c r="R471" s="597"/>
      <c r="S471" s="597"/>
      <c r="T471" s="597"/>
      <c r="U471" s="597"/>
      <c r="V471" s="597"/>
      <c r="W471" s="597"/>
      <c r="X471" s="598"/>
      <c r="Y471" s="597"/>
      <c r="Z471" s="597"/>
      <c r="AA471" s="597"/>
      <c r="AB471" s="597"/>
      <c r="AC471" s="598"/>
      <c r="AD471" s="597"/>
      <c r="AE471" s="597"/>
      <c r="AF471" s="597"/>
      <c r="AG471" s="597"/>
      <c r="AH471" s="598"/>
      <c r="AI471" s="597"/>
      <c r="AJ471" s="597"/>
      <c r="AK471" s="597"/>
      <c r="AL471" s="597"/>
      <c r="AM471" s="598"/>
      <c r="AN471" s="597"/>
      <c r="AO471" s="597"/>
      <c r="AP471" s="597"/>
      <c r="AQ471" s="597"/>
      <c r="AR471" s="598"/>
      <c r="AS471" s="597"/>
      <c r="AT471" s="597"/>
      <c r="AU471" s="597"/>
      <c r="AV471" s="597"/>
      <c r="AW471" s="598"/>
      <c r="AX471" s="597"/>
      <c r="AY471" s="597"/>
      <c r="AZ471" s="597"/>
      <c r="BA471" s="597"/>
      <c r="BB471" s="598"/>
      <c r="BC471" s="597"/>
      <c r="BD471" s="597"/>
      <c r="BE471" s="597"/>
      <c r="BF471" s="597"/>
      <c r="BG471" s="598"/>
      <c r="BH471" s="597"/>
      <c r="BI471" s="597"/>
      <c r="BJ471" s="597"/>
      <c r="BK471" s="597"/>
      <c r="BL471" s="598"/>
      <c r="BM471" s="597"/>
      <c r="BN471" s="597"/>
      <c r="BO471" s="597"/>
      <c r="BP471" s="597"/>
      <c r="BQ471" s="598"/>
      <c r="BR471" s="597"/>
      <c r="BS471" s="597"/>
      <c r="BT471" s="597"/>
      <c r="BU471" s="597"/>
      <c r="BV471" s="598"/>
      <c r="BW471" s="597"/>
      <c r="BX471" s="597"/>
      <c r="BY471" s="597"/>
      <c r="BZ471" s="597"/>
      <c r="CA471" s="598"/>
      <c r="CB471" s="597"/>
      <c r="CC471" s="597"/>
      <c r="CD471" s="597"/>
      <c r="CE471" s="597"/>
      <c r="CF471" s="598"/>
      <c r="CG471" s="682"/>
      <c r="CH471" s="682"/>
      <c r="CI471" s="682"/>
      <c r="CJ471" s="682"/>
      <c r="CK471" s="598"/>
      <c r="CL471" s="682"/>
      <c r="CM471" s="682"/>
      <c r="CN471" s="682"/>
      <c r="CO471" s="682"/>
      <c r="CP471" s="598"/>
      <c r="CQ471" s="682"/>
      <c r="CR471" s="682"/>
      <c r="CS471" s="682"/>
      <c r="CT471" s="682"/>
      <c r="CU471" s="598"/>
      <c r="CV471" s="682"/>
      <c r="CW471" s="682"/>
      <c r="CX471" s="682"/>
      <c r="CY471" s="682"/>
      <c r="CZ471" s="598"/>
      <c r="DA471" s="682"/>
      <c r="DB471" s="682"/>
      <c r="DC471" s="682"/>
      <c r="DD471" s="682"/>
      <c r="DE471" s="598"/>
      <c r="DF471" s="682"/>
      <c r="DG471" s="682"/>
      <c r="DH471" s="682"/>
      <c r="DI471" s="1610"/>
      <c r="DJ471" s="598"/>
      <c r="DK471" s="682"/>
      <c r="DL471" s="682"/>
      <c r="DM471" s="682"/>
      <c r="DN471" s="682"/>
      <c r="DO471" s="598"/>
      <c r="DP471" s="682"/>
      <c r="DQ471" s="682"/>
      <c r="DR471" s="682"/>
      <c r="DS471" s="682"/>
      <c r="DT471" s="598"/>
      <c r="DU471" s="682"/>
      <c r="DV471" s="682"/>
      <c r="DW471" s="682"/>
      <c r="DX471" s="682"/>
      <c r="DY471" s="598"/>
    </row>
    <row r="472" spans="1:129" hidden="1" outlineLevel="1" x14ac:dyDescent="0.2">
      <c r="A472" s="526"/>
      <c r="B472" s="756" t="s">
        <v>810</v>
      </c>
      <c r="C472" s="597"/>
      <c r="D472" s="597"/>
      <c r="E472" s="597"/>
      <c r="F472" s="597"/>
      <c r="G472" s="597"/>
      <c r="H472" s="597"/>
      <c r="I472" s="597"/>
      <c r="J472" s="597"/>
      <c r="K472" s="597"/>
      <c r="L472" s="597"/>
      <c r="M472" s="597"/>
      <c r="N472" s="597"/>
      <c r="O472" s="868"/>
      <c r="P472" s="868"/>
      <c r="Q472" s="868"/>
      <c r="R472" s="868"/>
      <c r="S472" s="599"/>
      <c r="T472" s="868"/>
      <c r="U472" s="868"/>
      <c r="V472" s="978">
        <v>4.0652020612964472</v>
      </c>
      <c r="W472" s="978">
        <v>4.3754040404040362</v>
      </c>
      <c r="X472" s="752"/>
      <c r="Y472" s="978">
        <v>3.5453191489361724</v>
      </c>
      <c r="Z472" s="978">
        <v>3.5044537815126029</v>
      </c>
      <c r="AA472" s="978">
        <v>3.5524675762169409</v>
      </c>
      <c r="AB472" s="978">
        <v>3.8794488188976386</v>
      </c>
      <c r="AC472" s="979">
        <v>3.6249896317186452</v>
      </c>
      <c r="AD472" s="978">
        <v>3.5217406143344676</v>
      </c>
      <c r="AE472" s="978">
        <v>3.6329655172413791</v>
      </c>
      <c r="AF472" s="978">
        <v>3.7871874999999999</v>
      </c>
      <c r="AG472" s="978">
        <v>4.1814851485148541</v>
      </c>
      <c r="AH472" s="979">
        <v>3.7846081771720623</v>
      </c>
      <c r="AI472" s="978">
        <v>3.8333333333333388</v>
      </c>
      <c r="AJ472" s="978">
        <v>4.3809810126582303</v>
      </c>
      <c r="AK472" s="978">
        <v>4.5762576687116541</v>
      </c>
      <c r="AL472" s="978">
        <v>4.8731955762514545</v>
      </c>
      <c r="AM472" s="979">
        <v>4.424598193785398</v>
      </c>
      <c r="AN472" s="978">
        <v>4.334987405541554</v>
      </c>
      <c r="AO472" s="978">
        <v>4.6092634207240923</v>
      </c>
      <c r="AP472" s="978">
        <v>4.8986633663366437</v>
      </c>
      <c r="AQ472" s="978">
        <v>4.9884112149532589</v>
      </c>
      <c r="AR472" s="979">
        <v>4.7137772322798375</v>
      </c>
      <c r="AS472" s="978">
        <v>4.1497090935210448</v>
      </c>
      <c r="AT472" s="978">
        <v>2.4367435501129453</v>
      </c>
      <c r="AU472" s="978">
        <v>2.6985475831760204</v>
      </c>
      <c r="AV472" s="978">
        <v>2.889903619330052</v>
      </c>
      <c r="AW472" s="979">
        <v>2.8228571328299497</v>
      </c>
      <c r="AX472" s="978">
        <v>2.7839070374240178</v>
      </c>
      <c r="AY472" s="978">
        <v>3.1435648724378749</v>
      </c>
      <c r="AZ472" s="978">
        <v>3.3724943066643212</v>
      </c>
      <c r="BA472" s="978">
        <v>3.6383569887516702</v>
      </c>
      <c r="BB472" s="979">
        <v>3.2226223049979663</v>
      </c>
      <c r="BC472" s="978">
        <v>3.3000834595530297</v>
      </c>
      <c r="BD472" s="978">
        <v>3.6452373418703172</v>
      </c>
      <c r="BE472" s="978">
        <v>4.075183417854193</v>
      </c>
      <c r="BF472" s="978">
        <v>4.2097675072534093</v>
      </c>
      <c r="BG472" s="979">
        <v>3.8009193949686013</v>
      </c>
      <c r="BH472" s="978">
        <v>3.9981084489281122</v>
      </c>
      <c r="BI472" s="868"/>
      <c r="BJ472" s="868"/>
      <c r="BK472" s="868"/>
      <c r="BL472" s="752"/>
      <c r="BM472" s="868"/>
      <c r="BN472" s="868"/>
      <c r="BO472" s="868"/>
      <c r="BP472" s="868"/>
      <c r="BQ472" s="752"/>
      <c r="BR472" s="868"/>
      <c r="BS472" s="868"/>
      <c r="BT472" s="868"/>
      <c r="BU472" s="868"/>
      <c r="BV472" s="752"/>
      <c r="BW472" s="868"/>
      <c r="BX472" s="868"/>
      <c r="BY472" s="868"/>
      <c r="BZ472" s="868"/>
      <c r="CA472" s="752"/>
      <c r="CB472" s="868"/>
      <c r="CC472" s="868"/>
      <c r="CD472" s="868"/>
      <c r="CE472" s="868"/>
      <c r="CF472" s="752"/>
      <c r="CG472" s="980"/>
      <c r="CH472" s="980"/>
      <c r="CI472" s="980"/>
      <c r="CJ472" s="980"/>
      <c r="CK472" s="752"/>
      <c r="CL472" s="980"/>
      <c r="CM472" s="980"/>
      <c r="CN472" s="980"/>
      <c r="CO472" s="980"/>
      <c r="CP472" s="752"/>
      <c r="CQ472" s="980"/>
      <c r="CR472" s="980"/>
      <c r="CS472" s="980"/>
      <c r="CT472" s="980"/>
      <c r="CU472" s="752"/>
      <c r="CV472" s="980"/>
      <c r="CW472" s="980"/>
      <c r="CX472" s="980"/>
      <c r="CY472" s="980"/>
      <c r="CZ472" s="752"/>
      <c r="DA472" s="980"/>
      <c r="DB472" s="980"/>
      <c r="DC472" s="980"/>
      <c r="DD472" s="980"/>
      <c r="DE472" s="752"/>
      <c r="DF472" s="980"/>
      <c r="DG472" s="980"/>
      <c r="DH472" s="980"/>
      <c r="DI472" s="2841"/>
      <c r="DJ472" s="752"/>
      <c r="DK472" s="980"/>
      <c r="DL472" s="980"/>
      <c r="DM472" s="980"/>
      <c r="DN472" s="980"/>
      <c r="DO472" s="752"/>
      <c r="DP472" s="980"/>
      <c r="DQ472" s="980"/>
      <c r="DR472" s="980"/>
      <c r="DS472" s="980"/>
      <c r="DT472" s="752"/>
      <c r="DU472" s="980"/>
      <c r="DV472" s="980"/>
      <c r="DW472" s="980"/>
      <c r="DX472" s="980"/>
      <c r="DY472" s="752"/>
    </row>
    <row r="473" spans="1:129" hidden="1" outlineLevel="1" x14ac:dyDescent="0.2">
      <c r="A473" s="526"/>
      <c r="B473" s="756" t="s">
        <v>802</v>
      </c>
      <c r="C473" s="597"/>
      <c r="D473" s="597"/>
      <c r="E473" s="597"/>
      <c r="F473" s="597"/>
      <c r="G473" s="597"/>
      <c r="H473" s="597"/>
      <c r="I473" s="597"/>
      <c r="J473" s="597"/>
      <c r="K473" s="597"/>
      <c r="L473" s="597"/>
      <c r="M473" s="597"/>
      <c r="N473" s="597"/>
      <c r="O473" s="868"/>
      <c r="P473" s="868"/>
      <c r="Q473" s="868"/>
      <c r="R473" s="868"/>
      <c r="S473" s="599"/>
      <c r="T473" s="868"/>
      <c r="U473" s="868"/>
      <c r="V473" s="978">
        <v>1.3510713317059939</v>
      </c>
      <c r="W473" s="978">
        <v>1.4062121212121212</v>
      </c>
      <c r="X473" s="752"/>
      <c r="Y473" s="978">
        <v>1.1530638297872342</v>
      </c>
      <c r="Z473" s="978">
        <v>1.1869747899159664</v>
      </c>
      <c r="AA473" s="978">
        <v>1.147717702543372</v>
      </c>
      <c r="AB473" s="978">
        <v>1.3243700787401578</v>
      </c>
      <c r="AC473" s="979">
        <v>1.2052297611147977</v>
      </c>
      <c r="AD473" s="978">
        <v>1.191877133105802</v>
      </c>
      <c r="AE473" s="978">
        <v>1.2449655172413794</v>
      </c>
      <c r="AF473" s="978">
        <v>1.2163888888888887</v>
      </c>
      <c r="AG473" s="978">
        <v>1.3603960396039603</v>
      </c>
      <c r="AH473" s="979">
        <v>1.2544974446337309</v>
      </c>
      <c r="AI473" s="978">
        <v>1.1477258566978192</v>
      </c>
      <c r="AJ473" s="978">
        <v>1.2998417721518987</v>
      </c>
      <c r="AK473" s="978">
        <v>1.2603374233128835</v>
      </c>
      <c r="AL473" s="978">
        <v>1.4153667054714785</v>
      </c>
      <c r="AM473" s="979">
        <v>1.2829940303076686</v>
      </c>
      <c r="AN473" s="978">
        <v>1.1612846347607053</v>
      </c>
      <c r="AO473" s="978">
        <v>1.2181023720349564</v>
      </c>
      <c r="AP473" s="978">
        <v>1.1737623762376239</v>
      </c>
      <c r="AQ473" s="978">
        <v>1.1686915887850469</v>
      </c>
      <c r="AR473" s="979">
        <v>1.1802884320343665</v>
      </c>
      <c r="AS473" s="978">
        <v>1.0040044533831345</v>
      </c>
      <c r="AT473" s="978">
        <v>0.71302461062893829</v>
      </c>
      <c r="AU473" s="978">
        <v>0.66484246130759184</v>
      </c>
      <c r="AV473" s="978">
        <v>0.69367122733706288</v>
      </c>
      <c r="AW473" s="979">
        <v>0.72121450342967541</v>
      </c>
      <c r="AX473" s="978">
        <v>0.63904843821256019</v>
      </c>
      <c r="AY473" s="978">
        <v>0.70588668093220597</v>
      </c>
      <c r="AZ473" s="978">
        <v>0.72479291273555391</v>
      </c>
      <c r="BA473" s="978">
        <v>0.78027029276381077</v>
      </c>
      <c r="BB473" s="979">
        <v>0.71058073317851211</v>
      </c>
      <c r="BC473" s="978">
        <v>0.80136008160489625</v>
      </c>
      <c r="BD473" s="978">
        <v>0.86020064399650076</v>
      </c>
      <c r="BE473" s="978">
        <v>0.88588707839933345</v>
      </c>
      <c r="BF473" s="978">
        <v>0.9069901200168714</v>
      </c>
      <c r="BG473" s="979">
        <v>0.86296433790134663</v>
      </c>
      <c r="BH473" s="978">
        <v>0.85561160151324078</v>
      </c>
      <c r="BI473" s="868"/>
      <c r="BJ473" s="868"/>
      <c r="BK473" s="868"/>
      <c r="BL473" s="752"/>
      <c r="BM473" s="868"/>
      <c r="BN473" s="868"/>
      <c r="BO473" s="868"/>
      <c r="BP473" s="868"/>
      <c r="BQ473" s="752"/>
      <c r="BR473" s="868"/>
      <c r="BS473" s="868"/>
      <c r="BT473" s="868"/>
      <c r="BU473" s="868"/>
      <c r="BV473" s="752"/>
      <c r="BW473" s="868"/>
      <c r="BX473" s="868"/>
      <c r="BY473" s="868"/>
      <c r="BZ473" s="868"/>
      <c r="CA473" s="752"/>
      <c r="CB473" s="868"/>
      <c r="CC473" s="868"/>
      <c r="CD473" s="868"/>
      <c r="CE473" s="868"/>
      <c r="CF473" s="752"/>
      <c r="CG473" s="980"/>
      <c r="CH473" s="980"/>
      <c r="CI473" s="980"/>
      <c r="CJ473" s="980"/>
      <c r="CK473" s="752"/>
      <c r="CL473" s="980"/>
      <c r="CM473" s="980"/>
      <c r="CN473" s="980"/>
      <c r="CO473" s="980"/>
      <c r="CP473" s="752"/>
      <c r="CQ473" s="980"/>
      <c r="CR473" s="980"/>
      <c r="CS473" s="980"/>
      <c r="CT473" s="980"/>
      <c r="CU473" s="752"/>
      <c r="CV473" s="980"/>
      <c r="CW473" s="980"/>
      <c r="CX473" s="980"/>
      <c r="CY473" s="980"/>
      <c r="CZ473" s="752"/>
      <c r="DA473" s="980"/>
      <c r="DB473" s="980"/>
      <c r="DC473" s="980"/>
      <c r="DD473" s="980"/>
      <c r="DE473" s="752"/>
      <c r="DF473" s="980"/>
      <c r="DG473" s="980"/>
      <c r="DH473" s="980"/>
      <c r="DI473" s="2841"/>
      <c r="DJ473" s="752"/>
      <c r="DK473" s="980"/>
      <c r="DL473" s="980"/>
      <c r="DM473" s="980"/>
      <c r="DN473" s="980"/>
      <c r="DO473" s="752"/>
      <c r="DP473" s="980"/>
      <c r="DQ473" s="980"/>
      <c r="DR473" s="980"/>
      <c r="DS473" s="980"/>
      <c r="DT473" s="752"/>
      <c r="DU473" s="980"/>
      <c r="DV473" s="980"/>
      <c r="DW473" s="980"/>
      <c r="DX473" s="980"/>
      <c r="DY473" s="752"/>
    </row>
    <row r="474" spans="1:129" hidden="1" outlineLevel="1" x14ac:dyDescent="0.2">
      <c r="A474" s="526"/>
      <c r="B474" s="756" t="s">
        <v>522</v>
      </c>
      <c r="C474" s="597"/>
      <c r="D474" s="597"/>
      <c r="E474" s="597"/>
      <c r="F474" s="597"/>
      <c r="G474" s="597"/>
      <c r="H474" s="597"/>
      <c r="I474" s="597"/>
      <c r="J474" s="597"/>
      <c r="K474" s="597"/>
      <c r="L474" s="597"/>
      <c r="M474" s="597"/>
      <c r="N474" s="597"/>
      <c r="O474" s="868"/>
      <c r="P474" s="868"/>
      <c r="Q474" s="868"/>
      <c r="R474" s="868"/>
      <c r="S474" s="599"/>
      <c r="T474" s="868"/>
      <c r="U474" s="868"/>
      <c r="V474" s="978">
        <v>2.7141307295904533</v>
      </c>
      <c r="W474" s="978">
        <v>2.9691919191919149</v>
      </c>
      <c r="X474" s="752"/>
      <c r="Y474" s="978">
        <v>2.3922553191489384</v>
      </c>
      <c r="Z474" s="978">
        <v>2.3174789915966363</v>
      </c>
      <c r="AA474" s="978">
        <v>2.4047498736735688</v>
      </c>
      <c r="AB474" s="978">
        <v>2.5550787401574806</v>
      </c>
      <c r="AC474" s="979">
        <v>2.4197598706038477</v>
      </c>
      <c r="AD474" s="978">
        <v>2.3298634812286654</v>
      </c>
      <c r="AE474" s="978">
        <v>2.3879999999999999</v>
      </c>
      <c r="AF474" s="978">
        <v>2.5707986111111159</v>
      </c>
      <c r="AG474" s="978">
        <v>2.8210891089108934</v>
      </c>
      <c r="AH474" s="979">
        <v>2.5301107325383314</v>
      </c>
      <c r="AI474" s="978">
        <v>2.68560747663552</v>
      </c>
      <c r="AJ474" s="978">
        <v>3.0811392405063316</v>
      </c>
      <c r="AK474" s="978">
        <v>3.3159202453987704</v>
      </c>
      <c r="AL474" s="978">
        <v>3.4578288707799762</v>
      </c>
      <c r="AM474" s="979">
        <v>3.1416041634777292</v>
      </c>
      <c r="AN474" s="978">
        <v>3.1737027707808485</v>
      </c>
      <c r="AO474" s="978">
        <v>3.3911610486891361</v>
      </c>
      <c r="AP474" s="978">
        <v>3.7249009900990195</v>
      </c>
      <c r="AQ474" s="978">
        <v>3.8197196261682116</v>
      </c>
      <c r="AR474" s="979">
        <v>3.533488800245471</v>
      </c>
      <c r="AS474" s="978">
        <v>3.1457046401379101</v>
      </c>
      <c r="AT474" s="978">
        <v>1.7237189394840071</v>
      </c>
      <c r="AU474" s="978">
        <v>2.0337051218684286</v>
      </c>
      <c r="AV474" s="978">
        <v>2.1962323919929894</v>
      </c>
      <c r="AW474" s="979">
        <v>2.1016426294002741</v>
      </c>
      <c r="AX474" s="978">
        <v>2.1448585992114579</v>
      </c>
      <c r="AY474" s="978">
        <v>2.4376781915056691</v>
      </c>
      <c r="AZ474" s="978">
        <v>2.647701393928767</v>
      </c>
      <c r="BA474" s="978">
        <v>2.858086695987859</v>
      </c>
      <c r="BB474" s="979">
        <v>2.512041571819454</v>
      </c>
      <c r="BC474" s="978">
        <v>2.4987233779481333</v>
      </c>
      <c r="BD474" s="978">
        <v>2.7850366978738164</v>
      </c>
      <c r="BE474" s="978">
        <v>3.1892963394548595</v>
      </c>
      <c r="BF474" s="978">
        <v>3.3027773872365378</v>
      </c>
      <c r="BG474" s="979">
        <v>2.937955057067255</v>
      </c>
      <c r="BH474" s="978">
        <v>3.1424968474148711</v>
      </c>
      <c r="BI474" s="868"/>
      <c r="BJ474" s="868"/>
      <c r="BK474" s="868"/>
      <c r="BL474" s="752"/>
      <c r="BM474" s="868"/>
      <c r="BN474" s="868"/>
      <c r="BO474" s="868"/>
      <c r="BP474" s="868"/>
      <c r="BQ474" s="752"/>
      <c r="BR474" s="868"/>
      <c r="BS474" s="868"/>
      <c r="BT474" s="868"/>
      <c r="BU474" s="868"/>
      <c r="BV474" s="752"/>
      <c r="BW474" s="868"/>
      <c r="BX474" s="868"/>
      <c r="BY474" s="868"/>
      <c r="BZ474" s="868"/>
      <c r="CA474" s="752"/>
      <c r="CB474" s="868"/>
      <c r="CC474" s="868"/>
      <c r="CD474" s="868"/>
      <c r="CE474" s="868"/>
      <c r="CF474" s="752"/>
      <c r="CG474" s="980"/>
      <c r="CH474" s="980"/>
      <c r="CI474" s="980"/>
      <c r="CJ474" s="980"/>
      <c r="CK474" s="752"/>
      <c r="CL474" s="980"/>
      <c r="CM474" s="980"/>
      <c r="CN474" s="980"/>
      <c r="CO474" s="980"/>
      <c r="CP474" s="752"/>
      <c r="CQ474" s="980"/>
      <c r="CR474" s="980"/>
      <c r="CS474" s="980"/>
      <c r="CT474" s="980"/>
      <c r="CU474" s="752"/>
      <c r="CV474" s="980"/>
      <c r="CW474" s="980"/>
      <c r="CX474" s="980"/>
      <c r="CY474" s="980"/>
      <c r="CZ474" s="752"/>
      <c r="DA474" s="980"/>
      <c r="DB474" s="980"/>
      <c r="DC474" s="980"/>
      <c r="DD474" s="980"/>
      <c r="DE474" s="752"/>
      <c r="DF474" s="980"/>
      <c r="DG474" s="980"/>
      <c r="DH474" s="980"/>
      <c r="DI474" s="2841"/>
      <c r="DJ474" s="752"/>
      <c r="DK474" s="980"/>
      <c r="DL474" s="980"/>
      <c r="DM474" s="980"/>
      <c r="DN474" s="980"/>
      <c r="DO474" s="752"/>
      <c r="DP474" s="980"/>
      <c r="DQ474" s="980"/>
      <c r="DR474" s="980"/>
      <c r="DS474" s="980"/>
      <c r="DT474" s="752"/>
      <c r="DU474" s="980"/>
      <c r="DV474" s="980"/>
      <c r="DW474" s="980"/>
      <c r="DX474" s="980"/>
      <c r="DY474" s="752"/>
    </row>
    <row r="475" spans="1:129" hidden="1" outlineLevel="1" x14ac:dyDescent="0.2">
      <c r="A475" s="526"/>
      <c r="B475" s="756"/>
      <c r="C475" s="597"/>
      <c r="D475" s="597"/>
      <c r="E475" s="597"/>
      <c r="F475" s="597"/>
      <c r="G475" s="597"/>
      <c r="H475" s="597"/>
      <c r="I475" s="597"/>
      <c r="J475" s="597"/>
      <c r="K475" s="597"/>
      <c r="L475" s="597"/>
      <c r="M475" s="597"/>
      <c r="N475" s="597"/>
      <c r="O475" s="597"/>
      <c r="P475" s="597"/>
      <c r="Q475" s="597"/>
      <c r="R475" s="597"/>
      <c r="S475" s="597"/>
      <c r="T475" s="597"/>
      <c r="U475" s="597"/>
      <c r="V475" s="597"/>
      <c r="W475" s="597"/>
      <c r="X475" s="598"/>
      <c r="Y475" s="597"/>
      <c r="Z475" s="597"/>
      <c r="AA475" s="597"/>
      <c r="AB475" s="597"/>
      <c r="AC475" s="598"/>
      <c r="AD475" s="597"/>
      <c r="AE475" s="597"/>
      <c r="AF475" s="597"/>
      <c r="AG475" s="597"/>
      <c r="AH475" s="598"/>
      <c r="AI475" s="597"/>
      <c r="AJ475" s="597"/>
      <c r="AK475" s="597"/>
      <c r="AL475" s="597"/>
      <c r="AM475" s="598"/>
      <c r="AN475" s="597"/>
      <c r="AO475" s="597"/>
      <c r="AP475" s="597"/>
      <c r="AQ475" s="597"/>
      <c r="AR475" s="598"/>
      <c r="AS475" s="597"/>
      <c r="AT475" s="597"/>
      <c r="AU475" s="597"/>
      <c r="AV475" s="597"/>
      <c r="AW475" s="598"/>
      <c r="AX475" s="597"/>
      <c r="AY475" s="597"/>
      <c r="AZ475" s="597"/>
      <c r="BA475" s="597"/>
      <c r="BB475" s="598"/>
      <c r="BC475" s="597"/>
      <c r="BD475" s="597"/>
      <c r="BE475" s="597"/>
      <c r="BF475" s="597"/>
      <c r="BG475" s="598"/>
      <c r="BH475" s="597"/>
      <c r="BI475" s="597"/>
      <c r="BJ475" s="597"/>
      <c r="BK475" s="597"/>
      <c r="BL475" s="598"/>
      <c r="BM475" s="597"/>
      <c r="BN475" s="597"/>
      <c r="BO475" s="597"/>
      <c r="BP475" s="597"/>
      <c r="BQ475" s="598"/>
      <c r="BR475" s="597"/>
      <c r="BS475" s="597"/>
      <c r="BT475" s="597"/>
      <c r="BU475" s="597"/>
      <c r="BV475" s="598"/>
      <c r="BW475" s="597"/>
      <c r="BX475" s="597"/>
      <c r="BY475" s="597"/>
      <c r="BZ475" s="597"/>
      <c r="CA475" s="598"/>
      <c r="CB475" s="597"/>
      <c r="CC475" s="597"/>
      <c r="CD475" s="597"/>
      <c r="CE475" s="597"/>
      <c r="CF475" s="598"/>
      <c r="CG475" s="682"/>
      <c r="CH475" s="682"/>
      <c r="CI475" s="682"/>
      <c r="CJ475" s="682"/>
      <c r="CK475" s="598"/>
      <c r="CL475" s="682"/>
      <c r="CM475" s="682"/>
      <c r="CN475" s="682"/>
      <c r="CO475" s="682"/>
      <c r="CP475" s="598"/>
      <c r="CQ475" s="682"/>
      <c r="CR475" s="682"/>
      <c r="CS475" s="682"/>
      <c r="CT475" s="682"/>
      <c r="CU475" s="598"/>
      <c r="CV475" s="682"/>
      <c r="CW475" s="682"/>
      <c r="CX475" s="682"/>
      <c r="CY475" s="682"/>
      <c r="CZ475" s="598"/>
      <c r="DA475" s="682"/>
      <c r="DB475" s="682"/>
      <c r="DC475" s="682"/>
      <c r="DD475" s="682"/>
      <c r="DE475" s="598"/>
      <c r="DF475" s="682"/>
      <c r="DG475" s="682"/>
      <c r="DH475" s="682"/>
      <c r="DI475" s="1610"/>
      <c r="DJ475" s="598"/>
      <c r="DK475" s="682"/>
      <c r="DL475" s="682"/>
      <c r="DM475" s="682"/>
      <c r="DN475" s="682"/>
      <c r="DO475" s="598"/>
      <c r="DP475" s="682"/>
      <c r="DQ475" s="682"/>
      <c r="DR475" s="682"/>
      <c r="DS475" s="682"/>
      <c r="DT475" s="598"/>
      <c r="DU475" s="682"/>
      <c r="DV475" s="682"/>
      <c r="DW475" s="682"/>
      <c r="DX475" s="682"/>
      <c r="DY475" s="598"/>
    </row>
    <row r="476" spans="1:129" hidden="1" outlineLevel="1" x14ac:dyDescent="0.2">
      <c r="A476" s="526"/>
      <c r="B476" s="756" t="s">
        <v>194</v>
      </c>
      <c r="C476" s="597"/>
      <c r="D476" s="597"/>
      <c r="E476" s="597"/>
      <c r="F476" s="597"/>
      <c r="G476" s="597"/>
      <c r="H476" s="597"/>
      <c r="I476" s="597"/>
      <c r="J476" s="597"/>
      <c r="K476" s="597"/>
      <c r="L476" s="597"/>
      <c r="M476" s="597"/>
      <c r="N476" s="597"/>
      <c r="O476" s="597"/>
      <c r="P476" s="597"/>
      <c r="Q476" s="597"/>
      <c r="R476" s="597"/>
      <c r="S476" s="597"/>
      <c r="T476" s="597"/>
      <c r="U476" s="597"/>
      <c r="V476" s="597"/>
      <c r="W476" s="597"/>
      <c r="X476" s="598"/>
      <c r="Y476" s="597"/>
      <c r="Z476" s="597"/>
      <c r="AA476" s="597"/>
      <c r="AB476" s="597"/>
      <c r="AC476" s="598"/>
      <c r="AD476" s="597"/>
      <c r="AE476" s="597"/>
      <c r="AF476" s="597"/>
      <c r="AG476" s="597"/>
      <c r="AH476" s="598"/>
      <c r="AI476" s="597"/>
      <c r="AJ476" s="597"/>
      <c r="AK476" s="597"/>
      <c r="AL476" s="597"/>
      <c r="AM476" s="598"/>
      <c r="AN476" s="597"/>
      <c r="AO476" s="597"/>
      <c r="AP476" s="597"/>
      <c r="AQ476" s="597"/>
      <c r="AR476" s="598"/>
      <c r="AS476" s="597"/>
      <c r="AT476" s="597"/>
      <c r="AU476" s="597"/>
      <c r="AV476" s="597"/>
      <c r="AW476" s="598"/>
      <c r="AX476" s="597"/>
      <c r="AY476" s="597"/>
      <c r="AZ476" s="597"/>
      <c r="BA476" s="597"/>
      <c r="BB476" s="598"/>
      <c r="BC476" s="597"/>
      <c r="BD476" s="597"/>
      <c r="BE476" s="597"/>
      <c r="BF476" s="597"/>
      <c r="BG476" s="598"/>
      <c r="BH476" s="597"/>
      <c r="BI476" s="597"/>
      <c r="BJ476" s="597"/>
      <c r="BK476" s="597"/>
      <c r="BL476" s="598"/>
      <c r="BM476" s="597"/>
      <c r="BN476" s="597"/>
      <c r="BO476" s="597"/>
      <c r="BP476" s="597"/>
      <c r="BQ476" s="598"/>
      <c r="BR476" s="597"/>
      <c r="BS476" s="597"/>
      <c r="BT476" s="597"/>
      <c r="BU476" s="597"/>
      <c r="BV476" s="598"/>
      <c r="BW476" s="597"/>
      <c r="BX476" s="597"/>
      <c r="BY476" s="597"/>
      <c r="BZ476" s="597"/>
      <c r="CA476" s="598"/>
      <c r="CB476" s="597"/>
      <c r="CC476" s="597"/>
      <c r="CD476" s="597"/>
      <c r="CE476" s="597"/>
      <c r="CF476" s="598"/>
      <c r="CG476" s="682"/>
      <c r="CH476" s="682"/>
      <c r="CI476" s="682"/>
      <c r="CJ476" s="682"/>
      <c r="CK476" s="598"/>
      <c r="CL476" s="682"/>
      <c r="CM476" s="682"/>
      <c r="CN476" s="682"/>
      <c r="CO476" s="682"/>
      <c r="CP476" s="598"/>
      <c r="CQ476" s="682"/>
      <c r="CR476" s="682"/>
      <c r="CS476" s="682"/>
      <c r="CT476" s="682"/>
      <c r="CU476" s="598"/>
      <c r="CV476" s="682"/>
      <c r="CW476" s="682"/>
      <c r="CX476" s="682"/>
      <c r="CY476" s="682"/>
      <c r="CZ476" s="598"/>
      <c r="DA476" s="682"/>
      <c r="DB476" s="682"/>
      <c r="DC476" s="682"/>
      <c r="DD476" s="682"/>
      <c r="DE476" s="598"/>
      <c r="DF476" s="682"/>
      <c r="DG476" s="682"/>
      <c r="DH476" s="682"/>
      <c r="DI476" s="1610"/>
      <c r="DJ476" s="598"/>
      <c r="DK476" s="682"/>
      <c r="DL476" s="682"/>
      <c r="DM476" s="682"/>
      <c r="DN476" s="682"/>
      <c r="DO476" s="598"/>
      <c r="DP476" s="682"/>
      <c r="DQ476" s="682"/>
      <c r="DR476" s="682"/>
      <c r="DS476" s="682"/>
      <c r="DT476" s="598"/>
      <c r="DU476" s="682"/>
      <c r="DV476" s="682"/>
      <c r="DW476" s="682"/>
      <c r="DX476" s="682"/>
      <c r="DY476" s="598"/>
    </row>
    <row r="477" spans="1:129" hidden="1" outlineLevel="1" x14ac:dyDescent="0.2">
      <c r="A477" s="526"/>
      <c r="B477" s="756" t="s">
        <v>810</v>
      </c>
      <c r="C477" s="597"/>
      <c r="D477" s="597"/>
      <c r="E477" s="597"/>
      <c r="F477" s="597"/>
      <c r="G477" s="597"/>
      <c r="H477" s="597"/>
      <c r="I477" s="597"/>
      <c r="J477" s="597"/>
      <c r="K477" s="597"/>
      <c r="L477" s="597"/>
      <c r="M477" s="597"/>
      <c r="N477" s="597"/>
      <c r="O477" s="743"/>
      <c r="P477" s="743"/>
      <c r="Q477" s="743"/>
      <c r="R477" s="743"/>
      <c r="S477" s="599"/>
      <c r="T477" s="743"/>
      <c r="U477" s="743"/>
      <c r="V477" s="743"/>
      <c r="W477" s="743"/>
      <c r="X477" s="849"/>
      <c r="Y477" s="743"/>
      <c r="Z477" s="743"/>
      <c r="AA477" s="744">
        <v>-0.12612767516800594</v>
      </c>
      <c r="AB477" s="744">
        <v>-0.1133507253105247</v>
      </c>
      <c r="AC477" s="849"/>
      <c r="AD477" s="744">
        <v>-6.6506098918569512E-3</v>
      </c>
      <c r="AE477" s="744">
        <v>3.6670974634257503E-2</v>
      </c>
      <c r="AF477" s="744">
        <v>6.6072362026459164E-2</v>
      </c>
      <c r="AG477" s="744">
        <v>7.7855474763819821E-2</v>
      </c>
      <c r="AH477" s="745">
        <v>4.4032828137425595E-2</v>
      </c>
      <c r="AI477" s="744">
        <v>8.847690762079452E-2</v>
      </c>
      <c r="AJ477" s="744">
        <v>0.20589666812605523</v>
      </c>
      <c r="AK477" s="744">
        <v>0.20835254888004573</v>
      </c>
      <c r="AL477" s="744">
        <v>0.16542218928656882</v>
      </c>
      <c r="AM477" s="745">
        <v>0.16910337521163132</v>
      </c>
      <c r="AN477" s="744">
        <v>0.13086627970649078</v>
      </c>
      <c r="AO477" s="744">
        <v>5.2107600422433231E-2</v>
      </c>
      <c r="AP477" s="744">
        <v>7.0451823512760248E-2</v>
      </c>
      <c r="AQ477" s="744">
        <v>2.3642728246591416E-2</v>
      </c>
      <c r="AR477" s="745">
        <v>6.5357129806862035E-2</v>
      </c>
      <c r="AS477" s="744">
        <v>-4.2740219218090902E-2</v>
      </c>
      <c r="AT477" s="744">
        <v>-0.47133775449741055</v>
      </c>
      <c r="AU477" s="744">
        <v>-0.44912573464012717</v>
      </c>
      <c r="AV477" s="744">
        <v>-0.42067654513579822</v>
      </c>
      <c r="AW477" s="745">
        <v>-0.40114753121995472</v>
      </c>
      <c r="AX477" s="744">
        <v>-0.32913200065745774</v>
      </c>
      <c r="AY477" s="744">
        <v>0.29006799763240076</v>
      </c>
      <c r="AZ477" s="744">
        <v>0.24974424304762777</v>
      </c>
      <c r="BA477" s="744">
        <v>0.25898904185431881</v>
      </c>
      <c r="BB477" s="745">
        <v>0.14161721736418409</v>
      </c>
      <c r="BC477" s="744">
        <v>0.18541438891100182</v>
      </c>
      <c r="BD477" s="744">
        <v>0.15958712156093946</v>
      </c>
      <c r="BE477" s="744">
        <v>0.20835887248239415</v>
      </c>
      <c r="BF477" s="744">
        <v>0.15705180120266093</v>
      </c>
      <c r="BG477" s="745">
        <v>0.17944922961457621</v>
      </c>
      <c r="BH477" s="743"/>
      <c r="BI477" s="743"/>
      <c r="BJ477" s="743"/>
      <c r="BK477" s="743"/>
      <c r="BL477" s="849"/>
      <c r="BM477" s="743"/>
      <c r="BN477" s="743"/>
      <c r="BO477" s="743"/>
      <c r="BP477" s="743"/>
      <c r="BQ477" s="849"/>
      <c r="BR477" s="743"/>
      <c r="BS477" s="743"/>
      <c r="BT477" s="743"/>
      <c r="BU477" s="743"/>
      <c r="BV477" s="849"/>
      <c r="BW477" s="743"/>
      <c r="BX477" s="743"/>
      <c r="BY477" s="743"/>
      <c r="BZ477" s="743"/>
      <c r="CA477" s="849"/>
      <c r="CB477" s="743"/>
      <c r="CC477" s="743"/>
      <c r="CD477" s="743"/>
      <c r="CE477" s="743"/>
      <c r="CF477" s="849"/>
      <c r="CG477" s="820"/>
      <c r="CH477" s="820"/>
      <c r="CI477" s="820"/>
      <c r="CJ477" s="820"/>
      <c r="CK477" s="849"/>
      <c r="CL477" s="820"/>
      <c r="CM477" s="820"/>
      <c r="CN477" s="820"/>
      <c r="CO477" s="820"/>
      <c r="CP477" s="849"/>
      <c r="CQ477" s="820"/>
      <c r="CR477" s="820"/>
      <c r="CS477" s="820"/>
      <c r="CT477" s="820"/>
      <c r="CU477" s="849"/>
      <c r="CV477" s="820"/>
      <c r="CW477" s="820"/>
      <c r="CX477" s="820"/>
      <c r="CY477" s="820"/>
      <c r="CZ477" s="849"/>
      <c r="DA477" s="820"/>
      <c r="DB477" s="820"/>
      <c r="DC477" s="820"/>
      <c r="DD477" s="820"/>
      <c r="DE477" s="849"/>
      <c r="DF477" s="820"/>
      <c r="DG477" s="820"/>
      <c r="DH477" s="820"/>
      <c r="DI477" s="2815"/>
      <c r="DJ477" s="849"/>
      <c r="DK477" s="820"/>
      <c r="DL477" s="820"/>
      <c r="DM477" s="820"/>
      <c r="DN477" s="820"/>
      <c r="DO477" s="849"/>
      <c r="DP477" s="820"/>
      <c r="DQ477" s="820"/>
      <c r="DR477" s="820"/>
      <c r="DS477" s="820"/>
      <c r="DT477" s="849"/>
      <c r="DU477" s="820"/>
      <c r="DV477" s="820"/>
      <c r="DW477" s="820"/>
      <c r="DX477" s="820"/>
      <c r="DY477" s="849"/>
    </row>
    <row r="478" spans="1:129" hidden="1" outlineLevel="1" x14ac:dyDescent="0.2">
      <c r="A478" s="526"/>
      <c r="B478" s="756" t="s">
        <v>802</v>
      </c>
      <c r="C478" s="597"/>
      <c r="D478" s="597"/>
      <c r="E478" s="597"/>
      <c r="F478" s="597"/>
      <c r="G478" s="597"/>
      <c r="H478" s="597"/>
      <c r="I478" s="597"/>
      <c r="J478" s="597"/>
      <c r="K478" s="597"/>
      <c r="L478" s="597"/>
      <c r="M478" s="597"/>
      <c r="N478" s="597"/>
      <c r="O478" s="743"/>
      <c r="P478" s="743"/>
      <c r="Q478" s="743"/>
      <c r="R478" s="743"/>
      <c r="S478" s="599"/>
      <c r="T478" s="743"/>
      <c r="U478" s="743"/>
      <c r="V478" s="743"/>
      <c r="W478" s="743"/>
      <c r="X478" s="849"/>
      <c r="Y478" s="743"/>
      <c r="Z478" s="743"/>
      <c r="AA478" s="744">
        <v>-0.15051287403593105</v>
      </c>
      <c r="AB478" s="744">
        <v>-5.8200353444128772E-2</v>
      </c>
      <c r="AC478" s="849"/>
      <c r="AD478" s="744">
        <v>3.3661018857672254E-2</v>
      </c>
      <c r="AE478" s="744">
        <v>4.8855904790967353E-2</v>
      </c>
      <c r="AF478" s="744">
        <v>5.9832819684962235E-2</v>
      </c>
      <c r="AG478" s="744">
        <v>2.7202336750218103E-2</v>
      </c>
      <c r="AH478" s="745">
        <v>4.0878250030402574E-2</v>
      </c>
      <c r="AI478" s="744">
        <v>-3.7043479719199746E-2</v>
      </c>
      <c r="AJ478" s="744">
        <v>4.4078534024071025E-2</v>
      </c>
      <c r="AK478" s="744">
        <v>3.6130332022466627E-2</v>
      </c>
      <c r="AL478" s="744">
        <v>4.0407840266516226E-2</v>
      </c>
      <c r="AM478" s="745">
        <v>2.2715539035838894E-2</v>
      </c>
      <c r="AN478" s="744">
        <v>1.1813603382515803E-2</v>
      </c>
      <c r="AO478" s="744">
        <v>-6.288411548862749E-2</v>
      </c>
      <c r="AP478" s="744">
        <v>-6.86919593704447E-2</v>
      </c>
      <c r="AQ478" s="744">
        <v>-0.1742835377805928</v>
      </c>
      <c r="AR478" s="745">
        <v>-8.0051501290830385E-2</v>
      </c>
      <c r="AS478" s="744">
        <v>-0.13543637508816264</v>
      </c>
      <c r="AT478" s="744">
        <v>-0.41464311457027825</v>
      </c>
      <c r="AU478" s="744">
        <v>-0.43358002031154141</v>
      </c>
      <c r="AV478" s="744">
        <v>-0.4064548474604901</v>
      </c>
      <c r="AW478" s="745">
        <v>-0.38895062947742609</v>
      </c>
      <c r="AX478" s="744">
        <v>-0.36350039478490714</v>
      </c>
      <c r="AY478" s="744">
        <v>-1.0010776052226555E-2</v>
      </c>
      <c r="AZ478" s="744">
        <v>9.0172416650484921E-2</v>
      </c>
      <c r="BA478" s="744">
        <v>0.12484165698957028</v>
      </c>
      <c r="BB478" s="745">
        <v>-1.4744254588052952E-2</v>
      </c>
      <c r="BC478" s="744">
        <v>0.25398957838990599</v>
      </c>
      <c r="BD478" s="744">
        <v>0.21861010730575781</v>
      </c>
      <c r="BE478" s="744">
        <v>0.2222623356729152</v>
      </c>
      <c r="BF478" s="744">
        <v>0.16240503890543345</v>
      </c>
      <c r="BG478" s="745">
        <v>0.21444938992534257</v>
      </c>
      <c r="BH478" s="743"/>
      <c r="BI478" s="743"/>
      <c r="BJ478" s="743"/>
      <c r="BK478" s="743"/>
      <c r="BL478" s="849"/>
      <c r="BM478" s="743"/>
      <c r="BN478" s="743"/>
      <c r="BO478" s="743"/>
      <c r="BP478" s="743"/>
      <c r="BQ478" s="849"/>
      <c r="BR478" s="743"/>
      <c r="BS478" s="743"/>
      <c r="BT478" s="743"/>
      <c r="BU478" s="743"/>
      <c r="BV478" s="849"/>
      <c r="BW478" s="743"/>
      <c r="BX478" s="743"/>
      <c r="BY478" s="743"/>
      <c r="BZ478" s="743"/>
      <c r="CA478" s="849"/>
      <c r="CB478" s="743"/>
      <c r="CC478" s="743"/>
      <c r="CD478" s="743"/>
      <c r="CE478" s="743"/>
      <c r="CF478" s="849"/>
      <c r="CG478" s="820"/>
      <c r="CH478" s="820"/>
      <c r="CI478" s="820"/>
      <c r="CJ478" s="820"/>
      <c r="CK478" s="849"/>
      <c r="CL478" s="820"/>
      <c r="CM478" s="820"/>
      <c r="CN478" s="820"/>
      <c r="CO478" s="820"/>
      <c r="CP478" s="849"/>
      <c r="CQ478" s="820"/>
      <c r="CR478" s="820"/>
      <c r="CS478" s="820"/>
      <c r="CT478" s="820"/>
      <c r="CU478" s="849"/>
      <c r="CV478" s="820"/>
      <c r="CW478" s="820"/>
      <c r="CX478" s="820"/>
      <c r="CY478" s="820"/>
      <c r="CZ478" s="849"/>
      <c r="DA478" s="820"/>
      <c r="DB478" s="820"/>
      <c r="DC478" s="820"/>
      <c r="DD478" s="820"/>
      <c r="DE478" s="849"/>
      <c r="DF478" s="820"/>
      <c r="DG478" s="820"/>
      <c r="DH478" s="820"/>
      <c r="DI478" s="2815"/>
      <c r="DJ478" s="849"/>
      <c r="DK478" s="820"/>
      <c r="DL478" s="820"/>
      <c r="DM478" s="820"/>
      <c r="DN478" s="820"/>
      <c r="DO478" s="849"/>
      <c r="DP478" s="820"/>
      <c r="DQ478" s="820"/>
      <c r="DR478" s="820"/>
      <c r="DS478" s="820"/>
      <c r="DT478" s="849"/>
      <c r="DU478" s="820"/>
      <c r="DV478" s="820"/>
      <c r="DW478" s="820"/>
      <c r="DX478" s="820"/>
      <c r="DY478" s="849"/>
    </row>
    <row r="479" spans="1:129" hidden="1" outlineLevel="1" x14ac:dyDescent="0.2">
      <c r="A479" s="526"/>
      <c r="B479" s="756" t="s">
        <v>522</v>
      </c>
      <c r="C479" s="597"/>
      <c r="D479" s="597"/>
      <c r="E479" s="597"/>
      <c r="F479" s="597"/>
      <c r="G479" s="597"/>
      <c r="H479" s="597"/>
      <c r="I479" s="597"/>
      <c r="J479" s="597"/>
      <c r="K479" s="597"/>
      <c r="L479" s="597"/>
      <c r="M479" s="597"/>
      <c r="N479" s="597"/>
      <c r="O479" s="743"/>
      <c r="P479" s="743"/>
      <c r="Q479" s="743"/>
      <c r="R479" s="743"/>
      <c r="S479" s="599"/>
      <c r="T479" s="743"/>
      <c r="U479" s="743"/>
      <c r="V479" s="743"/>
      <c r="W479" s="743"/>
      <c r="X479" s="849"/>
      <c r="Y479" s="743"/>
      <c r="Z479" s="743"/>
      <c r="AA479" s="744">
        <v>-0.11398892932602711</v>
      </c>
      <c r="AB479" s="744">
        <v>-0.13946999395954773</v>
      </c>
      <c r="AC479" s="849"/>
      <c r="AD479" s="744">
        <v>-2.6080760452638185E-2</v>
      </c>
      <c r="AE479" s="744">
        <v>3.0430052940750851E-2</v>
      </c>
      <c r="AF479" s="744">
        <v>6.9050315484115554E-2</v>
      </c>
      <c r="AG479" s="744">
        <v>0.10411043877928283</v>
      </c>
      <c r="AH479" s="745">
        <v>4.560405487960506E-2</v>
      </c>
      <c r="AI479" s="744">
        <v>0.15268877265686442</v>
      </c>
      <c r="AJ479" s="744">
        <v>0.29025931344486255</v>
      </c>
      <c r="AK479" s="744">
        <v>0.2898405309024219</v>
      </c>
      <c r="AL479" s="744">
        <v>0.22570707173262661</v>
      </c>
      <c r="AM479" s="745">
        <v>0.24168643019268865</v>
      </c>
      <c r="AN479" s="744">
        <v>0.18174483739403557</v>
      </c>
      <c r="AO479" s="744">
        <v>0.10061921386320005</v>
      </c>
      <c r="AP479" s="744">
        <v>0.12333853483592017</v>
      </c>
      <c r="AQ479" s="744">
        <v>0.10465837637205122</v>
      </c>
      <c r="AR479" s="745">
        <v>0.12474029711430257</v>
      </c>
      <c r="AS479" s="744">
        <v>-8.8219132871254491E-3</v>
      </c>
      <c r="AT479" s="744">
        <v>-0.49170242440997725</v>
      </c>
      <c r="AU479" s="744">
        <v>-0.45402438151399926</v>
      </c>
      <c r="AV479" s="744">
        <v>-0.42502785362909978</v>
      </c>
      <c r="AW479" s="745">
        <v>-0.40522165253381492</v>
      </c>
      <c r="AX479" s="744">
        <v>-0.31816275061430255</v>
      </c>
      <c r="AY479" s="744">
        <v>0.41419702230305866</v>
      </c>
      <c r="AZ479" s="744">
        <v>0.30191017638596529</v>
      </c>
      <c r="BA479" s="744">
        <v>0.30135895746181229</v>
      </c>
      <c r="BB479" s="745">
        <v>0.19527532258721436</v>
      </c>
      <c r="BC479" s="744">
        <v>0.16498280066889781</v>
      </c>
      <c r="BD479" s="744">
        <v>0.142495636864026</v>
      </c>
      <c r="BE479" s="744">
        <v>0.20455288000677885</v>
      </c>
      <c r="BF479" s="744">
        <v>0.15559034366344782</v>
      </c>
      <c r="BG479" s="745">
        <v>0.16954874076359916</v>
      </c>
      <c r="BH479" s="743"/>
      <c r="BI479" s="743"/>
      <c r="BJ479" s="743"/>
      <c r="BK479" s="743"/>
      <c r="BL479" s="849"/>
      <c r="BM479" s="743"/>
      <c r="BN479" s="743"/>
      <c r="BO479" s="743"/>
      <c r="BP479" s="743"/>
      <c r="BQ479" s="849"/>
      <c r="BR479" s="743"/>
      <c r="BS479" s="743"/>
      <c r="BT479" s="743"/>
      <c r="BU479" s="743"/>
      <c r="BV479" s="849"/>
      <c r="BW479" s="743"/>
      <c r="BX479" s="743"/>
      <c r="BY479" s="743"/>
      <c r="BZ479" s="743"/>
      <c r="CA479" s="849"/>
      <c r="CB479" s="743"/>
      <c r="CC479" s="743"/>
      <c r="CD479" s="743"/>
      <c r="CE479" s="743"/>
      <c r="CF479" s="849"/>
      <c r="CG479" s="820"/>
      <c r="CH479" s="820"/>
      <c r="CI479" s="820"/>
      <c r="CJ479" s="820"/>
      <c r="CK479" s="849"/>
      <c r="CL479" s="820"/>
      <c r="CM479" s="820"/>
      <c r="CN479" s="820"/>
      <c r="CO479" s="820"/>
      <c r="CP479" s="849"/>
      <c r="CQ479" s="820"/>
      <c r="CR479" s="820"/>
      <c r="CS479" s="820"/>
      <c r="CT479" s="820"/>
      <c r="CU479" s="849"/>
      <c r="CV479" s="820"/>
      <c r="CW479" s="820"/>
      <c r="CX479" s="820"/>
      <c r="CY479" s="820"/>
      <c r="CZ479" s="849"/>
      <c r="DA479" s="820"/>
      <c r="DB479" s="820"/>
      <c r="DC479" s="820"/>
      <c r="DD479" s="820"/>
      <c r="DE479" s="849"/>
      <c r="DF479" s="820"/>
      <c r="DG479" s="820"/>
      <c r="DH479" s="820"/>
      <c r="DI479" s="2815"/>
      <c r="DJ479" s="849"/>
      <c r="DK479" s="820"/>
      <c r="DL479" s="820"/>
      <c r="DM479" s="820"/>
      <c r="DN479" s="820"/>
      <c r="DO479" s="849"/>
      <c r="DP479" s="820"/>
      <c r="DQ479" s="820"/>
      <c r="DR479" s="820"/>
      <c r="DS479" s="820"/>
      <c r="DT479" s="849"/>
      <c r="DU479" s="820"/>
      <c r="DV479" s="820"/>
      <c r="DW479" s="820"/>
      <c r="DX479" s="820"/>
      <c r="DY479" s="849"/>
    </row>
    <row r="480" spans="1:129" hidden="1" outlineLevel="1" x14ac:dyDescent="0.2">
      <c r="A480" s="526"/>
      <c r="B480" s="756"/>
      <c r="C480" s="597"/>
      <c r="D480" s="597"/>
      <c r="E480" s="597"/>
      <c r="F480" s="597"/>
      <c r="G480" s="597"/>
      <c r="H480" s="597"/>
      <c r="I480" s="597"/>
      <c r="J480" s="597"/>
      <c r="K480" s="597"/>
      <c r="L480" s="597"/>
      <c r="M480" s="597"/>
      <c r="N480" s="597"/>
      <c r="O480" s="597"/>
      <c r="P480" s="597"/>
      <c r="Q480" s="597"/>
      <c r="R480" s="597"/>
      <c r="S480" s="597"/>
      <c r="T480" s="597"/>
      <c r="U480" s="597"/>
      <c r="V480" s="597"/>
      <c r="W480" s="597"/>
      <c r="X480" s="598"/>
      <c r="Y480" s="597"/>
      <c r="Z480" s="597"/>
      <c r="AA480" s="597"/>
      <c r="AB480" s="597"/>
      <c r="AC480" s="598"/>
      <c r="AD480" s="597"/>
      <c r="AE480" s="597"/>
      <c r="AF480" s="597"/>
      <c r="AG480" s="597"/>
      <c r="AH480" s="598"/>
      <c r="AI480" s="597"/>
      <c r="AJ480" s="597"/>
      <c r="AK480" s="597"/>
      <c r="AL480" s="597"/>
      <c r="AM480" s="598"/>
      <c r="AN480" s="597"/>
      <c r="AO480" s="597"/>
      <c r="AP480" s="597"/>
      <c r="AQ480" s="597"/>
      <c r="AR480" s="598"/>
      <c r="AS480" s="597"/>
      <c r="AT480" s="597"/>
      <c r="AU480" s="597"/>
      <c r="AV480" s="597"/>
      <c r="AW480" s="598"/>
      <c r="AX480" s="597"/>
      <c r="AY480" s="597"/>
      <c r="AZ480" s="597"/>
      <c r="BA480" s="597"/>
      <c r="BB480" s="598"/>
      <c r="BC480" s="597"/>
      <c r="BD480" s="597"/>
      <c r="BE480" s="597"/>
      <c r="BF480" s="597"/>
      <c r="BG480" s="598"/>
      <c r="BH480" s="597"/>
      <c r="BI480" s="597"/>
      <c r="BJ480" s="597"/>
      <c r="BK480" s="597"/>
      <c r="BL480" s="598"/>
      <c r="BM480" s="597"/>
      <c r="BN480" s="597"/>
      <c r="BO480" s="597"/>
      <c r="BP480" s="597"/>
      <c r="BQ480" s="598"/>
      <c r="BR480" s="597"/>
      <c r="BS480" s="597"/>
      <c r="BT480" s="597"/>
      <c r="BU480" s="597"/>
      <c r="BV480" s="598"/>
      <c r="BW480" s="597"/>
      <c r="BX480" s="597"/>
      <c r="BY480" s="597"/>
      <c r="BZ480" s="597"/>
      <c r="CA480" s="598"/>
      <c r="CB480" s="597"/>
      <c r="CC480" s="597"/>
      <c r="CD480" s="597"/>
      <c r="CE480" s="597"/>
      <c r="CF480" s="598"/>
      <c r="CG480" s="682"/>
      <c r="CH480" s="682"/>
      <c r="CI480" s="682"/>
      <c r="CJ480" s="682"/>
      <c r="CK480" s="598"/>
      <c r="CL480" s="682"/>
      <c r="CM480" s="682"/>
      <c r="CN480" s="682"/>
      <c r="CO480" s="682"/>
      <c r="CP480" s="598"/>
      <c r="CQ480" s="682"/>
      <c r="CR480" s="682"/>
      <c r="CS480" s="682"/>
      <c r="CT480" s="682"/>
      <c r="CU480" s="598"/>
      <c r="CV480" s="682"/>
      <c r="CW480" s="682"/>
      <c r="CX480" s="682"/>
      <c r="CY480" s="682"/>
      <c r="CZ480" s="598"/>
      <c r="DA480" s="682"/>
      <c r="DB480" s="682"/>
      <c r="DC480" s="682"/>
      <c r="DD480" s="682"/>
      <c r="DE480" s="598"/>
      <c r="DF480" s="682"/>
      <c r="DG480" s="682"/>
      <c r="DH480" s="682"/>
      <c r="DI480" s="1610"/>
      <c r="DJ480" s="598"/>
      <c r="DK480" s="682"/>
      <c r="DL480" s="682"/>
      <c r="DM480" s="682"/>
      <c r="DN480" s="682"/>
      <c r="DO480" s="598"/>
      <c r="DP480" s="682"/>
      <c r="DQ480" s="682"/>
      <c r="DR480" s="682"/>
      <c r="DS480" s="682"/>
      <c r="DT480" s="598"/>
      <c r="DU480" s="682"/>
      <c r="DV480" s="682"/>
      <c r="DW480" s="682"/>
      <c r="DX480" s="682"/>
      <c r="DY480" s="598"/>
    </row>
    <row r="481" spans="1:129" hidden="1" outlineLevel="1" x14ac:dyDescent="0.2">
      <c r="A481" s="526"/>
      <c r="B481" s="756" t="s">
        <v>892</v>
      </c>
      <c r="C481" s="597"/>
      <c r="D481" s="597"/>
      <c r="E481" s="597"/>
      <c r="F481" s="597"/>
      <c r="G481" s="597"/>
      <c r="H481" s="597"/>
      <c r="I481" s="597"/>
      <c r="J481" s="597"/>
      <c r="K481" s="597"/>
      <c r="L481" s="597"/>
      <c r="M481" s="597"/>
      <c r="N481" s="597"/>
      <c r="O481" s="597"/>
      <c r="P481" s="597"/>
      <c r="Q481" s="597"/>
      <c r="R481" s="597"/>
      <c r="S481" s="597"/>
      <c r="T481" s="597"/>
      <c r="U481" s="597"/>
      <c r="V481" s="597"/>
      <c r="W481" s="597"/>
      <c r="X481" s="598"/>
      <c r="Y481" s="597"/>
      <c r="Z481" s="597"/>
      <c r="AA481" s="597"/>
      <c r="AB481" s="597"/>
      <c r="AC481" s="598"/>
      <c r="AD481" s="597"/>
      <c r="AE481" s="597"/>
      <c r="AF481" s="597"/>
      <c r="AG481" s="597"/>
      <c r="AH481" s="598"/>
      <c r="AI481" s="597"/>
      <c r="AJ481" s="597"/>
      <c r="AK481" s="597"/>
      <c r="AL481" s="597"/>
      <c r="AM481" s="598"/>
      <c r="AN481" s="597"/>
      <c r="AO481" s="597"/>
      <c r="AP481" s="597"/>
      <c r="AQ481" s="597"/>
      <c r="AR481" s="598"/>
      <c r="AS481" s="597"/>
      <c r="AT481" s="597"/>
      <c r="AU481" s="597"/>
      <c r="AV481" s="597"/>
      <c r="AW481" s="598"/>
      <c r="AX481" s="597"/>
      <c r="AY481" s="597"/>
      <c r="AZ481" s="597"/>
      <c r="BA481" s="597"/>
      <c r="BB481" s="598"/>
      <c r="BC481" s="597"/>
      <c r="BD481" s="597"/>
      <c r="BE481" s="597"/>
      <c r="BF481" s="597"/>
      <c r="BG481" s="598"/>
      <c r="BH481" s="597"/>
      <c r="BI481" s="597"/>
      <c r="BJ481" s="597"/>
      <c r="BK481" s="597"/>
      <c r="BL481" s="598"/>
      <c r="BM481" s="597"/>
      <c r="BN481" s="597"/>
      <c r="BO481" s="597"/>
      <c r="BP481" s="597"/>
      <c r="BQ481" s="598"/>
      <c r="BR481" s="597"/>
      <c r="BS481" s="597"/>
      <c r="BT481" s="597"/>
      <c r="BU481" s="597"/>
      <c r="BV481" s="598"/>
      <c r="BW481" s="597"/>
      <c r="BX481" s="597"/>
      <c r="BY481" s="597"/>
      <c r="BZ481" s="597"/>
      <c r="CA481" s="598"/>
      <c r="CB481" s="597"/>
      <c r="CC481" s="597"/>
      <c r="CD481" s="597"/>
      <c r="CE481" s="597"/>
      <c r="CF481" s="598"/>
      <c r="CG481" s="682"/>
      <c r="CH481" s="682"/>
      <c r="CI481" s="682"/>
      <c r="CJ481" s="682"/>
      <c r="CK481" s="598"/>
      <c r="CL481" s="682"/>
      <c r="CM481" s="682"/>
      <c r="CN481" s="682"/>
      <c r="CO481" s="682"/>
      <c r="CP481" s="598"/>
      <c r="CQ481" s="682"/>
      <c r="CR481" s="682"/>
      <c r="CS481" s="682"/>
      <c r="CT481" s="682"/>
      <c r="CU481" s="598"/>
      <c r="CV481" s="682"/>
      <c r="CW481" s="682"/>
      <c r="CX481" s="682"/>
      <c r="CY481" s="682"/>
      <c r="CZ481" s="598"/>
      <c r="DA481" s="682"/>
      <c r="DB481" s="682"/>
      <c r="DC481" s="682"/>
      <c r="DD481" s="682"/>
      <c r="DE481" s="598"/>
      <c r="DF481" s="682"/>
      <c r="DG481" s="682"/>
      <c r="DH481" s="682"/>
      <c r="DI481" s="1610"/>
      <c r="DJ481" s="598"/>
      <c r="DK481" s="682"/>
      <c r="DL481" s="682"/>
      <c r="DM481" s="682"/>
      <c r="DN481" s="682"/>
      <c r="DO481" s="598"/>
      <c r="DP481" s="682"/>
      <c r="DQ481" s="682"/>
      <c r="DR481" s="682"/>
      <c r="DS481" s="682"/>
      <c r="DT481" s="598"/>
      <c r="DU481" s="682"/>
      <c r="DV481" s="682"/>
      <c r="DW481" s="682"/>
      <c r="DX481" s="682"/>
      <c r="DY481" s="598"/>
    </row>
    <row r="482" spans="1:129" hidden="1" outlineLevel="1" x14ac:dyDescent="0.2">
      <c r="A482" s="526"/>
      <c r="B482" s="756"/>
      <c r="C482" s="597"/>
      <c r="D482" s="597"/>
      <c r="E482" s="597"/>
      <c r="F482" s="597"/>
      <c r="G482" s="597"/>
      <c r="H482" s="597"/>
      <c r="I482" s="597"/>
      <c r="J482" s="597"/>
      <c r="K482" s="597"/>
      <c r="L482" s="597"/>
      <c r="M482" s="597"/>
      <c r="N482" s="597"/>
      <c r="O482" s="597"/>
      <c r="P482" s="597"/>
      <c r="Q482" s="597"/>
      <c r="R482" s="597"/>
      <c r="S482" s="597"/>
      <c r="T482" s="597"/>
      <c r="U482" s="597"/>
      <c r="V482" s="597"/>
      <c r="W482" s="597"/>
      <c r="X482" s="598"/>
      <c r="Y482" s="597"/>
      <c r="Z482" s="597"/>
      <c r="AA482" s="597"/>
      <c r="AB482" s="597"/>
      <c r="AC482" s="598"/>
      <c r="AD482" s="597"/>
      <c r="AE482" s="597"/>
      <c r="AF482" s="597"/>
      <c r="AG482" s="597"/>
      <c r="AH482" s="598"/>
      <c r="AI482" s="597"/>
      <c r="AJ482" s="597"/>
      <c r="AK482" s="597"/>
      <c r="AL482" s="597"/>
      <c r="AM482" s="598"/>
      <c r="AN482" s="597"/>
      <c r="AO482" s="597"/>
      <c r="AP482" s="597"/>
      <c r="AQ482" s="597"/>
      <c r="AR482" s="598"/>
      <c r="AS482" s="597"/>
      <c r="AT482" s="597"/>
      <c r="AU482" s="597"/>
      <c r="AV482" s="597"/>
      <c r="AW482" s="598"/>
      <c r="AX482" s="597"/>
      <c r="AY482" s="597"/>
      <c r="AZ482" s="597"/>
      <c r="BA482" s="597"/>
      <c r="BB482" s="598"/>
      <c r="BC482" s="597"/>
      <c r="BD482" s="597"/>
      <c r="BE482" s="597"/>
      <c r="BF482" s="597"/>
      <c r="BG482" s="598"/>
      <c r="BH482" s="597"/>
      <c r="BI482" s="597"/>
      <c r="BJ482" s="597"/>
      <c r="BK482" s="597"/>
      <c r="BL482" s="598"/>
      <c r="BM482" s="597"/>
      <c r="BN482" s="597"/>
      <c r="BO482" s="597"/>
      <c r="BP482" s="597"/>
      <c r="BQ482" s="598"/>
      <c r="BR482" s="597"/>
      <c r="BS482" s="597"/>
      <c r="BT482" s="597"/>
      <c r="BU482" s="597"/>
      <c r="BV482" s="598"/>
      <c r="BW482" s="597"/>
      <c r="BX482" s="597"/>
      <c r="BY482" s="597"/>
      <c r="BZ482" s="597"/>
      <c r="CA482" s="598"/>
      <c r="CB482" s="597"/>
      <c r="CC482" s="597"/>
      <c r="CD482" s="597"/>
      <c r="CE482" s="597"/>
      <c r="CF482" s="598"/>
      <c r="CG482" s="682"/>
      <c r="CH482" s="682"/>
      <c r="CI482" s="682"/>
      <c r="CJ482" s="682"/>
      <c r="CK482" s="598"/>
      <c r="CL482" s="682"/>
      <c r="CM482" s="682"/>
      <c r="CN482" s="682"/>
      <c r="CO482" s="682"/>
      <c r="CP482" s="598"/>
      <c r="CQ482" s="682"/>
      <c r="CR482" s="682"/>
      <c r="CS482" s="682"/>
      <c r="CT482" s="682"/>
      <c r="CU482" s="598"/>
      <c r="CV482" s="682"/>
      <c r="CW482" s="682"/>
      <c r="CX482" s="682"/>
      <c r="CY482" s="682"/>
      <c r="CZ482" s="598"/>
      <c r="DA482" s="682"/>
      <c r="DB482" s="682"/>
      <c r="DC482" s="682"/>
      <c r="DD482" s="682"/>
      <c r="DE482" s="598"/>
      <c r="DF482" s="682"/>
      <c r="DG482" s="682"/>
      <c r="DH482" s="682"/>
      <c r="DI482" s="1610"/>
      <c r="DJ482" s="598"/>
      <c r="DK482" s="682"/>
      <c r="DL482" s="682"/>
      <c r="DM482" s="682"/>
      <c r="DN482" s="682"/>
      <c r="DO482" s="598"/>
      <c r="DP482" s="682"/>
      <c r="DQ482" s="682"/>
      <c r="DR482" s="682"/>
      <c r="DS482" s="682"/>
      <c r="DT482" s="598"/>
      <c r="DU482" s="682"/>
      <c r="DV482" s="682"/>
      <c r="DW482" s="682"/>
      <c r="DX482" s="682"/>
      <c r="DY482" s="598"/>
    </row>
    <row r="483" spans="1:129" hidden="1" outlineLevel="1" x14ac:dyDescent="0.2">
      <c r="A483" s="466"/>
      <c r="B483" s="607" t="s">
        <v>893</v>
      </c>
      <c r="C483" s="585"/>
      <c r="D483" s="585"/>
      <c r="E483" s="585"/>
      <c r="F483" s="585"/>
      <c r="G483" s="585"/>
      <c r="H483" s="585"/>
      <c r="I483" s="585"/>
      <c r="J483" s="585"/>
      <c r="K483" s="585"/>
      <c r="L483" s="585"/>
      <c r="M483" s="585"/>
      <c r="N483" s="585"/>
      <c r="O483" s="585"/>
      <c r="P483" s="585"/>
      <c r="Q483" s="585"/>
      <c r="R483" s="585"/>
      <c r="S483" s="585"/>
      <c r="T483" s="585"/>
      <c r="U483" s="585"/>
      <c r="V483" s="585"/>
      <c r="W483" s="585"/>
      <c r="X483" s="586"/>
      <c r="Y483" s="585"/>
      <c r="Z483" s="585"/>
      <c r="AA483" s="585"/>
      <c r="AB483" s="585"/>
      <c r="AC483" s="586"/>
      <c r="AD483" s="585"/>
      <c r="AE483" s="585"/>
      <c r="AF483" s="585"/>
      <c r="AG483" s="585"/>
      <c r="AH483" s="754">
        <v>2780</v>
      </c>
      <c r="AI483" s="592">
        <v>807.3</v>
      </c>
      <c r="AJ483" s="592">
        <v>810.7</v>
      </c>
      <c r="AK483" s="592">
        <v>855.4</v>
      </c>
      <c r="AL483" s="592">
        <v>936.7</v>
      </c>
      <c r="AM483" s="754">
        <v>3410.1</v>
      </c>
      <c r="AN483" s="592">
        <v>1069.7</v>
      </c>
      <c r="AO483" s="592">
        <v>1083.8</v>
      </c>
      <c r="AP483" s="592">
        <v>1115.7</v>
      </c>
      <c r="AQ483" s="592">
        <v>1218.5999999999999</v>
      </c>
      <c r="AR483" s="754">
        <v>4487.8</v>
      </c>
      <c r="AS483" s="592">
        <v>1373.3</v>
      </c>
      <c r="AT483" s="592">
        <v>2118.1999999999998</v>
      </c>
      <c r="AU483" s="592">
        <v>2194.5</v>
      </c>
      <c r="AV483" s="592">
        <v>2329.317</v>
      </c>
      <c r="AW483" s="754">
        <v>8015.317</v>
      </c>
      <c r="AX483" s="592">
        <v>2721.0830000000001</v>
      </c>
      <c r="AY483" s="592">
        <v>2796.5</v>
      </c>
      <c r="AZ483" s="592">
        <v>2918.6849999999999</v>
      </c>
      <c r="BA483" s="592">
        <v>3157.7320000000004</v>
      </c>
      <c r="BB483" s="754">
        <v>11594</v>
      </c>
      <c r="BC483" s="592">
        <v>3092.2</v>
      </c>
      <c r="BD483" s="592">
        <v>3189.8119999999999</v>
      </c>
      <c r="BE483" s="592">
        <v>3082.8159999999998</v>
      </c>
      <c r="BF483" s="592">
        <v>3184.3910000000001</v>
      </c>
      <c r="BG483" s="754">
        <v>12549.218999999999</v>
      </c>
      <c r="BH483" s="585"/>
      <c r="BI483" s="585"/>
      <c r="BJ483" s="585"/>
      <c r="BK483" s="585"/>
      <c r="BL483" s="586"/>
      <c r="BM483" s="585"/>
      <c r="BN483" s="585"/>
      <c r="BO483" s="585"/>
      <c r="BP483" s="585"/>
      <c r="BQ483" s="586"/>
      <c r="BR483" s="585"/>
      <c r="BS483" s="585"/>
      <c r="BT483" s="585"/>
      <c r="BU483" s="585"/>
      <c r="BV483" s="586"/>
      <c r="BW483" s="585"/>
      <c r="BX483" s="585"/>
      <c r="BY483" s="585"/>
      <c r="BZ483" s="585"/>
      <c r="CA483" s="586"/>
      <c r="CB483" s="585"/>
      <c r="CC483" s="585"/>
      <c r="CD483" s="585"/>
      <c r="CE483" s="585"/>
      <c r="CF483" s="586"/>
      <c r="CG483" s="470"/>
      <c r="CH483" s="470"/>
      <c r="CI483" s="470"/>
      <c r="CJ483" s="470"/>
      <c r="CK483" s="586"/>
      <c r="CL483" s="470"/>
      <c r="CM483" s="470"/>
      <c r="CN483" s="470"/>
      <c r="CO483" s="470"/>
      <c r="CP483" s="586"/>
      <c r="CQ483" s="470"/>
      <c r="CR483" s="470"/>
      <c r="CS483" s="470"/>
      <c r="CT483" s="470"/>
      <c r="CU483" s="586"/>
      <c r="CV483" s="470"/>
      <c r="CW483" s="470"/>
      <c r="CX483" s="470"/>
      <c r="CY483" s="470"/>
      <c r="CZ483" s="586"/>
      <c r="DA483" s="470"/>
      <c r="DB483" s="470"/>
      <c r="DC483" s="470"/>
      <c r="DD483" s="470"/>
      <c r="DE483" s="586"/>
      <c r="DF483" s="470"/>
      <c r="DG483" s="470"/>
      <c r="DH483" s="470"/>
      <c r="DI483" s="914"/>
      <c r="DJ483" s="586"/>
      <c r="DK483" s="470"/>
      <c r="DL483" s="470"/>
      <c r="DM483" s="470"/>
      <c r="DN483" s="470"/>
      <c r="DO483" s="586"/>
      <c r="DP483" s="470"/>
      <c r="DQ483" s="470"/>
      <c r="DR483" s="470"/>
      <c r="DS483" s="470"/>
      <c r="DT483" s="586"/>
      <c r="DU483" s="470"/>
      <c r="DV483" s="470"/>
      <c r="DW483" s="470"/>
      <c r="DX483" s="470"/>
      <c r="DY483" s="586"/>
    </row>
    <row r="484" spans="1:129" hidden="1" outlineLevel="1" x14ac:dyDescent="0.2">
      <c r="A484" s="526"/>
      <c r="B484" s="756" t="s">
        <v>204</v>
      </c>
      <c r="C484" s="597"/>
      <c r="D484" s="597"/>
      <c r="E484" s="597"/>
      <c r="F484" s="597"/>
      <c r="G484" s="597"/>
      <c r="H484" s="597"/>
      <c r="I484" s="597"/>
      <c r="J484" s="597"/>
      <c r="K484" s="597"/>
      <c r="L484" s="597"/>
      <c r="M484" s="597"/>
      <c r="N484" s="597"/>
      <c r="O484" s="743"/>
      <c r="P484" s="743"/>
      <c r="Q484" s="743"/>
      <c r="R484" s="743"/>
      <c r="S484" s="599"/>
      <c r="T484" s="743"/>
      <c r="U484" s="743"/>
      <c r="V484" s="743"/>
      <c r="W484" s="743"/>
      <c r="X484" s="849"/>
      <c r="Y484" s="743"/>
      <c r="Z484" s="743"/>
      <c r="AA484" s="743"/>
      <c r="AB484" s="743"/>
      <c r="AC484" s="849"/>
      <c r="AD484" s="743"/>
      <c r="AE484" s="743"/>
      <c r="AF484" s="743"/>
      <c r="AG484" s="743"/>
      <c r="AH484" s="849"/>
      <c r="AI484" s="743"/>
      <c r="AJ484" s="743"/>
      <c r="AK484" s="743"/>
      <c r="AL484" s="743"/>
      <c r="AM484" s="745">
        <v>0.22665467625899272</v>
      </c>
      <c r="AN484" s="744">
        <v>0.32503406416449909</v>
      </c>
      <c r="AO484" s="744">
        <v>0.33686937214752666</v>
      </c>
      <c r="AP484" s="744">
        <v>0.30430208089782562</v>
      </c>
      <c r="AQ484" s="744">
        <v>0.30095014412298537</v>
      </c>
      <c r="AR484" s="745">
        <v>0.31603178792410791</v>
      </c>
      <c r="AS484" s="744">
        <v>0.28381789286715886</v>
      </c>
      <c r="AT484" s="744">
        <v>0.95441963461893331</v>
      </c>
      <c r="AU484" s="744">
        <v>0.96692659317020691</v>
      </c>
      <c r="AV484" s="744">
        <v>0.91146971935007359</v>
      </c>
      <c r="AW484" s="745">
        <v>0.78602366415615665</v>
      </c>
      <c r="AX484" s="744">
        <v>0.98141920920410697</v>
      </c>
      <c r="AY484" s="744">
        <v>0.3202247191011236</v>
      </c>
      <c r="AZ484" s="744">
        <v>0.33</v>
      </c>
      <c r="BA484" s="744">
        <v>0.35564717039372495</v>
      </c>
      <c r="BB484" s="745">
        <v>0.44648053221101547</v>
      </c>
      <c r="BC484" s="744">
        <v>0.13638576993057527</v>
      </c>
      <c r="BD484" s="744">
        <v>0.14064437689969611</v>
      </c>
      <c r="BE484" s="744">
        <v>5.623457139088317E-2</v>
      </c>
      <c r="BF484" s="744">
        <v>8.4424517343459904E-3</v>
      </c>
      <c r="BG484" s="745">
        <v>8.2389080558909811E-2</v>
      </c>
      <c r="BH484" s="743"/>
      <c r="BI484" s="743"/>
      <c r="BJ484" s="743"/>
      <c r="BK484" s="743"/>
      <c r="BL484" s="849"/>
      <c r="BM484" s="743"/>
      <c r="BN484" s="743"/>
      <c r="BO484" s="743"/>
      <c r="BP484" s="743"/>
      <c r="BQ484" s="849"/>
      <c r="BR484" s="743"/>
      <c r="BS484" s="743"/>
      <c r="BT484" s="743"/>
      <c r="BU484" s="743"/>
      <c r="BV484" s="849"/>
      <c r="BW484" s="743"/>
      <c r="BX484" s="743"/>
      <c r="BY484" s="743"/>
      <c r="BZ484" s="743"/>
      <c r="CA484" s="849"/>
      <c r="CB484" s="743"/>
      <c r="CC484" s="743"/>
      <c r="CD484" s="743"/>
      <c r="CE484" s="743"/>
      <c r="CF484" s="849"/>
      <c r="CG484" s="820"/>
      <c r="CH484" s="820"/>
      <c r="CI484" s="820"/>
      <c r="CJ484" s="820"/>
      <c r="CK484" s="849"/>
      <c r="CL484" s="820"/>
      <c r="CM484" s="820"/>
      <c r="CN484" s="820"/>
      <c r="CO484" s="820"/>
      <c r="CP484" s="849"/>
      <c r="CQ484" s="820"/>
      <c r="CR484" s="820"/>
      <c r="CS484" s="820"/>
      <c r="CT484" s="820"/>
      <c r="CU484" s="849"/>
      <c r="CV484" s="820"/>
      <c r="CW484" s="820"/>
      <c r="CX484" s="820"/>
      <c r="CY484" s="820"/>
      <c r="CZ484" s="849"/>
      <c r="DA484" s="820"/>
      <c r="DB484" s="820"/>
      <c r="DC484" s="820"/>
      <c r="DD484" s="820"/>
      <c r="DE484" s="849"/>
      <c r="DF484" s="820"/>
      <c r="DG484" s="820"/>
      <c r="DH484" s="820"/>
      <c r="DI484" s="2815"/>
      <c r="DJ484" s="849"/>
      <c r="DK484" s="820"/>
      <c r="DL484" s="820"/>
      <c r="DM484" s="820"/>
      <c r="DN484" s="820"/>
      <c r="DO484" s="849"/>
      <c r="DP484" s="820"/>
      <c r="DQ484" s="820"/>
      <c r="DR484" s="820"/>
      <c r="DS484" s="820"/>
      <c r="DT484" s="849"/>
      <c r="DU484" s="820"/>
      <c r="DV484" s="820"/>
      <c r="DW484" s="820"/>
      <c r="DX484" s="820"/>
      <c r="DY484" s="849"/>
    </row>
    <row r="485" spans="1:129" hidden="1" outlineLevel="1" x14ac:dyDescent="0.2">
      <c r="A485" s="526"/>
      <c r="B485" s="756"/>
      <c r="C485" s="597"/>
      <c r="D485" s="597"/>
      <c r="E485" s="597"/>
      <c r="F485" s="597"/>
      <c r="G485" s="597"/>
      <c r="H485" s="597"/>
      <c r="I485" s="597"/>
      <c r="J485" s="597"/>
      <c r="K485" s="597"/>
      <c r="L485" s="597"/>
      <c r="M485" s="597"/>
      <c r="N485" s="597"/>
      <c r="O485" s="597"/>
      <c r="P485" s="597"/>
      <c r="Q485" s="597"/>
      <c r="R485" s="597"/>
      <c r="S485" s="597"/>
      <c r="T485" s="597"/>
      <c r="U485" s="597"/>
      <c r="V485" s="597"/>
      <c r="W485" s="597"/>
      <c r="X485" s="598"/>
      <c r="Y485" s="597"/>
      <c r="Z485" s="597"/>
      <c r="AA485" s="597"/>
      <c r="AB485" s="597"/>
      <c r="AC485" s="598"/>
      <c r="AD485" s="597"/>
      <c r="AE485" s="597"/>
      <c r="AF485" s="597"/>
      <c r="AG485" s="597"/>
      <c r="AH485" s="598"/>
      <c r="AI485" s="597"/>
      <c r="AJ485" s="597"/>
      <c r="AK485" s="597"/>
      <c r="AL485" s="597"/>
      <c r="AM485" s="598"/>
      <c r="AN485" s="597"/>
      <c r="AO485" s="597"/>
      <c r="AP485" s="597"/>
      <c r="AQ485" s="597"/>
      <c r="AR485" s="598"/>
      <c r="AS485" s="597"/>
      <c r="AT485" s="597"/>
      <c r="AU485" s="597"/>
      <c r="AV485" s="597"/>
      <c r="AW485" s="598"/>
      <c r="AX485" s="597"/>
      <c r="AY485" s="597"/>
      <c r="AZ485" s="597"/>
      <c r="BA485" s="597"/>
      <c r="BB485" s="598"/>
      <c r="BC485" s="597"/>
      <c r="BD485" s="597"/>
      <c r="BE485" s="597"/>
      <c r="BF485" s="597"/>
      <c r="BG485" s="598"/>
      <c r="BH485" s="597"/>
      <c r="BI485" s="597"/>
      <c r="BJ485" s="597"/>
      <c r="BK485" s="597"/>
      <c r="BL485" s="598"/>
      <c r="BM485" s="597"/>
      <c r="BN485" s="597"/>
      <c r="BO485" s="597"/>
      <c r="BP485" s="597"/>
      <c r="BQ485" s="598"/>
      <c r="BR485" s="597"/>
      <c r="BS485" s="597"/>
      <c r="BT485" s="597"/>
      <c r="BU485" s="597"/>
      <c r="BV485" s="598"/>
      <c r="BW485" s="597"/>
      <c r="BX485" s="597"/>
      <c r="BY485" s="597"/>
      <c r="BZ485" s="597"/>
      <c r="CA485" s="598"/>
      <c r="CB485" s="597"/>
      <c r="CC485" s="597"/>
      <c r="CD485" s="597"/>
      <c r="CE485" s="597"/>
      <c r="CF485" s="598"/>
      <c r="CG485" s="682"/>
      <c r="CH485" s="682"/>
      <c r="CI485" s="682"/>
      <c r="CJ485" s="682"/>
      <c r="CK485" s="598"/>
      <c r="CL485" s="682"/>
      <c r="CM485" s="682"/>
      <c r="CN485" s="682"/>
      <c r="CO485" s="682"/>
      <c r="CP485" s="598"/>
      <c r="CQ485" s="682"/>
      <c r="CR485" s="682"/>
      <c r="CS485" s="682"/>
      <c r="CT485" s="682"/>
      <c r="CU485" s="598"/>
      <c r="CV485" s="682"/>
      <c r="CW485" s="682"/>
      <c r="CX485" s="682"/>
      <c r="CY485" s="682"/>
      <c r="CZ485" s="598"/>
      <c r="DA485" s="682"/>
      <c r="DB485" s="682"/>
      <c r="DC485" s="682"/>
      <c r="DD485" s="682"/>
      <c r="DE485" s="598"/>
      <c r="DF485" s="682"/>
      <c r="DG485" s="682"/>
      <c r="DH485" s="682"/>
      <c r="DI485" s="1610"/>
      <c r="DJ485" s="598"/>
      <c r="DK485" s="682"/>
      <c r="DL485" s="682"/>
      <c r="DM485" s="682"/>
      <c r="DN485" s="682"/>
      <c r="DO485" s="598"/>
      <c r="DP485" s="682"/>
      <c r="DQ485" s="682"/>
      <c r="DR485" s="682"/>
      <c r="DS485" s="682"/>
      <c r="DT485" s="598"/>
      <c r="DU485" s="682"/>
      <c r="DV485" s="682"/>
      <c r="DW485" s="682"/>
      <c r="DX485" s="682"/>
      <c r="DY485" s="598"/>
    </row>
    <row r="486" spans="1:129" hidden="1" outlineLevel="1" x14ac:dyDescent="0.2">
      <c r="A486" s="466"/>
      <c r="B486" s="607" t="s">
        <v>894</v>
      </c>
      <c r="C486" s="585"/>
      <c r="D486" s="585"/>
      <c r="E486" s="585"/>
      <c r="F486" s="585"/>
      <c r="G486" s="585"/>
      <c r="H486" s="585"/>
      <c r="I486" s="585"/>
      <c r="J486" s="585"/>
      <c r="K486" s="585"/>
      <c r="L486" s="585"/>
      <c r="M486" s="585"/>
      <c r="N486" s="585"/>
      <c r="O486" s="585"/>
      <c r="P486" s="585"/>
      <c r="Q486" s="585"/>
      <c r="R486" s="585"/>
      <c r="S486" s="585"/>
      <c r="T486" s="585"/>
      <c r="U486" s="585"/>
      <c r="V486" s="585"/>
      <c r="W486" s="585"/>
      <c r="X486" s="586"/>
      <c r="Y486" s="585"/>
      <c r="Z486" s="585"/>
      <c r="AA486" s="585"/>
      <c r="AB486" s="585"/>
      <c r="AC486" s="586"/>
      <c r="AD486" s="585"/>
      <c r="AE486" s="585"/>
      <c r="AF486" s="585"/>
      <c r="AG486" s="585"/>
      <c r="AH486" s="754">
        <v>2781.3</v>
      </c>
      <c r="AI486" s="592">
        <v>793.7</v>
      </c>
      <c r="AJ486" s="592">
        <v>802.3</v>
      </c>
      <c r="AK486" s="592">
        <v>843.7</v>
      </c>
      <c r="AL486" s="592">
        <v>901.7</v>
      </c>
      <c r="AM486" s="754">
        <v>3341.4</v>
      </c>
      <c r="AN486" s="592">
        <v>1080</v>
      </c>
      <c r="AO486" s="592">
        <v>1108.4000000000001</v>
      </c>
      <c r="AP486" s="592">
        <v>1126.4000000000001</v>
      </c>
      <c r="AQ486" s="592">
        <v>1207.3</v>
      </c>
      <c r="AR486" s="754">
        <v>4522.1000000000004</v>
      </c>
      <c r="AS486" s="592">
        <v>1627.3</v>
      </c>
      <c r="AT486" s="592">
        <v>5116.1000000000004</v>
      </c>
      <c r="AU486" s="592">
        <v>5202.3999999999996</v>
      </c>
      <c r="AV486" s="592">
        <v>5607.7</v>
      </c>
      <c r="AW486" s="754">
        <v>17553.5</v>
      </c>
      <c r="AX486" s="592">
        <v>5560.2</v>
      </c>
      <c r="AY486" s="592">
        <v>5332.5</v>
      </c>
      <c r="AZ486" s="592">
        <v>5084.8999999999996</v>
      </c>
      <c r="BA486" s="592">
        <v>5131.7</v>
      </c>
      <c r="BB486" s="754">
        <v>21109.3</v>
      </c>
      <c r="BC486" s="592">
        <v>5739.3</v>
      </c>
      <c r="BD486" s="592">
        <v>6165.299</v>
      </c>
      <c r="BE486" s="592">
        <v>5978.9369999999999</v>
      </c>
      <c r="BF486" s="592">
        <v>6003.9840000000004</v>
      </c>
      <c r="BG486" s="754">
        <v>23887.52</v>
      </c>
      <c r="BH486" s="585"/>
      <c r="BI486" s="585"/>
      <c r="BJ486" s="585"/>
      <c r="BK486" s="585"/>
      <c r="BL486" s="586"/>
      <c r="BM486" s="585"/>
      <c r="BN486" s="585"/>
      <c r="BO486" s="585"/>
      <c r="BP486" s="585"/>
      <c r="BQ486" s="586"/>
      <c r="BR486" s="585"/>
      <c r="BS486" s="585"/>
      <c r="BT486" s="585"/>
      <c r="BU486" s="585"/>
      <c r="BV486" s="586"/>
      <c r="BW486" s="585"/>
      <c r="BX486" s="585"/>
      <c r="BY486" s="585"/>
      <c r="BZ486" s="585"/>
      <c r="CA486" s="586"/>
      <c r="CB486" s="585"/>
      <c r="CC486" s="585"/>
      <c r="CD486" s="585"/>
      <c r="CE486" s="585"/>
      <c r="CF486" s="586"/>
      <c r="CG486" s="470"/>
      <c r="CH486" s="470"/>
      <c r="CI486" s="470"/>
      <c r="CJ486" s="470"/>
      <c r="CK486" s="586"/>
      <c r="CL486" s="470"/>
      <c r="CM486" s="470"/>
      <c r="CN486" s="470"/>
      <c r="CO486" s="470"/>
      <c r="CP486" s="586"/>
      <c r="CQ486" s="470"/>
      <c r="CR486" s="470"/>
      <c r="CS486" s="470"/>
      <c r="CT486" s="470"/>
      <c r="CU486" s="586"/>
      <c r="CV486" s="470"/>
      <c r="CW486" s="470"/>
      <c r="CX486" s="470"/>
      <c r="CY486" s="470"/>
      <c r="CZ486" s="586"/>
      <c r="DA486" s="470"/>
      <c r="DB486" s="470"/>
      <c r="DC486" s="470"/>
      <c r="DD486" s="470"/>
      <c r="DE486" s="586"/>
      <c r="DF486" s="470"/>
      <c r="DG486" s="470"/>
      <c r="DH486" s="470"/>
      <c r="DI486" s="914"/>
      <c r="DJ486" s="586"/>
      <c r="DK486" s="470"/>
      <c r="DL486" s="470"/>
      <c r="DM486" s="470"/>
      <c r="DN486" s="470"/>
      <c r="DO486" s="586"/>
      <c r="DP486" s="470"/>
      <c r="DQ486" s="470"/>
      <c r="DR486" s="470"/>
      <c r="DS486" s="470"/>
      <c r="DT486" s="586"/>
      <c r="DU486" s="470"/>
      <c r="DV486" s="470"/>
      <c r="DW486" s="470"/>
      <c r="DX486" s="470"/>
      <c r="DY486" s="586"/>
    </row>
    <row r="487" spans="1:129" hidden="1" outlineLevel="1" x14ac:dyDescent="0.2">
      <c r="A487" s="526"/>
      <c r="B487" s="756" t="s">
        <v>204</v>
      </c>
      <c r="C487" s="597"/>
      <c r="D487" s="597"/>
      <c r="E487" s="597"/>
      <c r="F487" s="597"/>
      <c r="G487" s="597"/>
      <c r="H487" s="597"/>
      <c r="I487" s="597"/>
      <c r="J487" s="597"/>
      <c r="K487" s="597"/>
      <c r="L487" s="597"/>
      <c r="M487" s="597"/>
      <c r="N487" s="597"/>
      <c r="O487" s="743"/>
      <c r="P487" s="743"/>
      <c r="Q487" s="743"/>
      <c r="R487" s="743"/>
      <c r="S487" s="599"/>
      <c r="T487" s="743"/>
      <c r="U487" s="743"/>
      <c r="V487" s="743"/>
      <c r="W487" s="743"/>
      <c r="X487" s="849"/>
      <c r="Y487" s="743"/>
      <c r="Z487" s="743"/>
      <c r="AA487" s="743"/>
      <c r="AB487" s="743"/>
      <c r="AC487" s="849"/>
      <c r="AD487" s="743"/>
      <c r="AE487" s="743"/>
      <c r="AF487" s="743"/>
      <c r="AG487" s="743"/>
      <c r="AH487" s="849"/>
      <c r="AI487" s="743"/>
      <c r="AJ487" s="743"/>
      <c r="AK487" s="743"/>
      <c r="AL487" s="743"/>
      <c r="AM487" s="745">
        <v>0.20138064933664102</v>
      </c>
      <c r="AN487" s="744">
        <v>0.36071563563059073</v>
      </c>
      <c r="AO487" s="744">
        <v>0.38152810669325699</v>
      </c>
      <c r="AP487" s="744">
        <v>0.33507170795306385</v>
      </c>
      <c r="AQ487" s="744">
        <v>0.3389153820561166</v>
      </c>
      <c r="AR487" s="745">
        <v>0.35335488118752623</v>
      </c>
      <c r="AS487" s="744">
        <v>0.50675925925925913</v>
      </c>
      <c r="AT487" s="744">
        <v>3.615752435943703</v>
      </c>
      <c r="AU487" s="744">
        <v>3.6186079545454541</v>
      </c>
      <c r="AV487" s="744">
        <v>3.644827300588088</v>
      </c>
      <c r="AW487" s="745">
        <v>2.8817142478052231</v>
      </c>
      <c r="AX487" s="744">
        <v>2.4168254163338045</v>
      </c>
      <c r="AY487" s="744">
        <v>4.2297844060905643E-2</v>
      </c>
      <c r="AZ487" s="744">
        <v>-2.2585729663232357E-2</v>
      </c>
      <c r="BA487" s="744">
        <v>-8.4883285482461601E-2</v>
      </c>
      <c r="BB487" s="745">
        <v>0.20256928817614717</v>
      </c>
      <c r="BC487" s="744">
        <v>3.2211071544189229E-2</v>
      </c>
      <c r="BD487" s="744">
        <v>0.15617421472105009</v>
      </c>
      <c r="BE487" s="744">
        <v>0.17582194340105017</v>
      </c>
      <c r="BF487" s="744">
        <v>0.16997953894420958</v>
      </c>
      <c r="BG487" s="745">
        <v>0.13161118559118501</v>
      </c>
      <c r="BH487" s="743"/>
      <c r="BI487" s="743"/>
      <c r="BJ487" s="743"/>
      <c r="BK487" s="743"/>
      <c r="BL487" s="849"/>
      <c r="BM487" s="743"/>
      <c r="BN487" s="743"/>
      <c r="BO487" s="743"/>
      <c r="BP487" s="743"/>
      <c r="BQ487" s="849"/>
      <c r="BR487" s="743"/>
      <c r="BS487" s="743"/>
      <c r="BT487" s="743"/>
      <c r="BU487" s="743"/>
      <c r="BV487" s="849"/>
      <c r="BW487" s="743"/>
      <c r="BX487" s="743"/>
      <c r="BY487" s="743"/>
      <c r="BZ487" s="743"/>
      <c r="CA487" s="849"/>
      <c r="CB487" s="743"/>
      <c r="CC487" s="743"/>
      <c r="CD487" s="743"/>
      <c r="CE487" s="743"/>
      <c r="CF487" s="849"/>
      <c r="CG487" s="820"/>
      <c r="CH487" s="820"/>
      <c r="CI487" s="820"/>
      <c r="CJ487" s="820"/>
      <c r="CK487" s="849"/>
      <c r="CL487" s="820"/>
      <c r="CM487" s="820"/>
      <c r="CN487" s="820"/>
      <c r="CO487" s="820"/>
      <c r="CP487" s="849"/>
      <c r="CQ487" s="820"/>
      <c r="CR487" s="820"/>
      <c r="CS487" s="820"/>
      <c r="CT487" s="820"/>
      <c r="CU487" s="849"/>
      <c r="CV487" s="820"/>
      <c r="CW487" s="820"/>
      <c r="CX487" s="820"/>
      <c r="CY487" s="820"/>
      <c r="CZ487" s="849"/>
      <c r="DA487" s="820"/>
      <c r="DB487" s="820"/>
      <c r="DC487" s="820"/>
      <c r="DD487" s="820"/>
      <c r="DE487" s="849"/>
      <c r="DF487" s="820"/>
      <c r="DG487" s="820"/>
      <c r="DH487" s="820"/>
      <c r="DI487" s="2815"/>
      <c r="DJ487" s="849"/>
      <c r="DK487" s="820"/>
      <c r="DL487" s="820"/>
      <c r="DM487" s="820"/>
      <c r="DN487" s="820"/>
      <c r="DO487" s="849"/>
      <c r="DP487" s="820"/>
      <c r="DQ487" s="820"/>
      <c r="DR487" s="820"/>
      <c r="DS487" s="820"/>
      <c r="DT487" s="849"/>
      <c r="DU487" s="820"/>
      <c r="DV487" s="820"/>
      <c r="DW487" s="820"/>
      <c r="DX487" s="820"/>
      <c r="DY487" s="849"/>
    </row>
    <row r="488" spans="1:129" hidden="1" outlineLevel="1" x14ac:dyDescent="0.2">
      <c r="A488" s="526"/>
      <c r="B488" s="756"/>
      <c r="C488" s="597"/>
      <c r="D488" s="597"/>
      <c r="E488" s="597"/>
      <c r="F488" s="597"/>
      <c r="G488" s="597"/>
      <c r="H488" s="597"/>
      <c r="I488" s="597"/>
      <c r="J488" s="597"/>
      <c r="K488" s="597"/>
      <c r="L488" s="597"/>
      <c r="M488" s="597"/>
      <c r="N488" s="597"/>
      <c r="O488" s="597"/>
      <c r="P488" s="597"/>
      <c r="Q488" s="597"/>
      <c r="R488" s="597"/>
      <c r="S488" s="597"/>
      <c r="T488" s="597"/>
      <c r="U488" s="597"/>
      <c r="V488" s="597"/>
      <c r="W488" s="597"/>
      <c r="X488" s="598"/>
      <c r="Y488" s="597"/>
      <c r="Z488" s="597"/>
      <c r="AA488" s="597"/>
      <c r="AB488" s="597"/>
      <c r="AC488" s="598"/>
      <c r="AD488" s="597"/>
      <c r="AE488" s="597"/>
      <c r="AF488" s="597"/>
      <c r="AG488" s="597"/>
      <c r="AH488" s="598"/>
      <c r="AI488" s="597"/>
      <c r="AJ488" s="597"/>
      <c r="AK488" s="597"/>
      <c r="AL488" s="597"/>
      <c r="AM488" s="598"/>
      <c r="AN488" s="597"/>
      <c r="AO488" s="597"/>
      <c r="AP488" s="597"/>
      <c r="AQ488" s="597"/>
      <c r="AR488" s="598"/>
      <c r="AS488" s="597"/>
      <c r="AT488" s="597"/>
      <c r="AU488" s="597"/>
      <c r="AV488" s="597"/>
      <c r="AW488" s="598"/>
      <c r="AX488" s="597"/>
      <c r="AY488" s="597"/>
      <c r="AZ488" s="597"/>
      <c r="BA488" s="597"/>
      <c r="BB488" s="598"/>
      <c r="BC488" s="597"/>
      <c r="BD488" s="597"/>
      <c r="BE488" s="597"/>
      <c r="BF488" s="597"/>
      <c r="BG488" s="598"/>
      <c r="BH488" s="597"/>
      <c r="BI488" s="597"/>
      <c r="BJ488" s="597"/>
      <c r="BK488" s="597"/>
      <c r="BL488" s="598"/>
      <c r="BM488" s="597"/>
      <c r="BN488" s="597"/>
      <c r="BO488" s="597"/>
      <c r="BP488" s="597"/>
      <c r="BQ488" s="598"/>
      <c r="BR488" s="597"/>
      <c r="BS488" s="597"/>
      <c r="BT488" s="597"/>
      <c r="BU488" s="597"/>
      <c r="BV488" s="598"/>
      <c r="BW488" s="597"/>
      <c r="BX488" s="597"/>
      <c r="BY488" s="597"/>
      <c r="BZ488" s="597"/>
      <c r="CA488" s="598"/>
      <c r="CB488" s="597"/>
      <c r="CC488" s="597"/>
      <c r="CD488" s="597"/>
      <c r="CE488" s="597"/>
      <c r="CF488" s="598"/>
      <c r="CG488" s="682"/>
      <c r="CH488" s="682"/>
      <c r="CI488" s="682"/>
      <c r="CJ488" s="682"/>
      <c r="CK488" s="598"/>
      <c r="CL488" s="682"/>
      <c r="CM488" s="682"/>
      <c r="CN488" s="682"/>
      <c r="CO488" s="682"/>
      <c r="CP488" s="598"/>
      <c r="CQ488" s="682"/>
      <c r="CR488" s="682"/>
      <c r="CS488" s="682"/>
      <c r="CT488" s="682"/>
      <c r="CU488" s="598"/>
      <c r="CV488" s="682"/>
      <c r="CW488" s="682"/>
      <c r="CX488" s="682"/>
      <c r="CY488" s="682"/>
      <c r="CZ488" s="598"/>
      <c r="DA488" s="682"/>
      <c r="DB488" s="682"/>
      <c r="DC488" s="682"/>
      <c r="DD488" s="682"/>
      <c r="DE488" s="598"/>
      <c r="DF488" s="682"/>
      <c r="DG488" s="682"/>
      <c r="DH488" s="682"/>
      <c r="DI488" s="1610"/>
      <c r="DJ488" s="598"/>
      <c r="DK488" s="682"/>
      <c r="DL488" s="682"/>
      <c r="DM488" s="682"/>
      <c r="DN488" s="682"/>
      <c r="DO488" s="598"/>
      <c r="DP488" s="682"/>
      <c r="DQ488" s="682"/>
      <c r="DR488" s="682"/>
      <c r="DS488" s="682"/>
      <c r="DT488" s="598"/>
      <c r="DU488" s="682"/>
      <c r="DV488" s="682"/>
      <c r="DW488" s="682"/>
      <c r="DX488" s="682"/>
      <c r="DY488" s="598"/>
    </row>
    <row r="489" spans="1:129" hidden="1" outlineLevel="1" x14ac:dyDescent="0.2">
      <c r="A489" s="466"/>
      <c r="B489" s="607" t="s">
        <v>341</v>
      </c>
      <c r="C489" s="585"/>
      <c r="D489" s="585"/>
      <c r="E489" s="585"/>
      <c r="F489" s="585"/>
      <c r="G489" s="585"/>
      <c r="H489" s="585"/>
      <c r="I489" s="585"/>
      <c r="J489" s="585"/>
      <c r="K489" s="585"/>
      <c r="L489" s="585"/>
      <c r="M489" s="585"/>
      <c r="N489" s="585"/>
      <c r="O489" s="585"/>
      <c r="P489" s="585"/>
      <c r="Q489" s="585"/>
      <c r="R489" s="585"/>
      <c r="S489" s="585"/>
      <c r="T489" s="585"/>
      <c r="U489" s="585"/>
      <c r="V489" s="585"/>
      <c r="W489" s="585"/>
      <c r="X489" s="586"/>
      <c r="Y489" s="585"/>
      <c r="Z489" s="585"/>
      <c r="AA489" s="585"/>
      <c r="AB489" s="585"/>
      <c r="AC489" s="586"/>
      <c r="AD489" s="585"/>
      <c r="AE489" s="585"/>
      <c r="AF489" s="585"/>
      <c r="AG489" s="585"/>
      <c r="AH489" s="754">
        <v>51.8</v>
      </c>
      <c r="AI489" s="592">
        <v>12.9</v>
      </c>
      <c r="AJ489" s="592">
        <v>13.5</v>
      </c>
      <c r="AK489" s="592">
        <v>14.3</v>
      </c>
      <c r="AL489" s="592">
        <v>13.1</v>
      </c>
      <c r="AM489" s="754">
        <v>53.8</v>
      </c>
      <c r="AN489" s="592">
        <v>14.1</v>
      </c>
      <c r="AO489" s="592">
        <v>11.8</v>
      </c>
      <c r="AP489" s="592">
        <v>14.7</v>
      </c>
      <c r="AQ489" s="592">
        <v>16.8</v>
      </c>
      <c r="AR489" s="754">
        <v>57.4</v>
      </c>
      <c r="AS489" s="592">
        <v>25.3</v>
      </c>
      <c r="AT489" s="592">
        <v>70.2</v>
      </c>
      <c r="AU489" s="592">
        <v>61</v>
      </c>
      <c r="AV489" s="592">
        <v>75.804000000000002</v>
      </c>
      <c r="AW489" s="754">
        <v>232.304</v>
      </c>
      <c r="AX489" s="592">
        <v>70.7</v>
      </c>
      <c r="AY489" s="592">
        <v>70.099999999999994</v>
      </c>
      <c r="AZ489" s="592">
        <v>68.856000000000222</v>
      </c>
      <c r="BA489" s="592">
        <v>78.343999999999781</v>
      </c>
      <c r="BB489" s="754">
        <v>288</v>
      </c>
      <c r="BC489" s="592">
        <v>75.75</v>
      </c>
      <c r="BD489" s="592">
        <v>83.192999999999998</v>
      </c>
      <c r="BE489" s="592">
        <v>73.459999999999994</v>
      </c>
      <c r="BF489" s="592">
        <v>81.061000000000007</v>
      </c>
      <c r="BG489" s="754">
        <v>313.46399999999994</v>
      </c>
      <c r="BH489" s="585"/>
      <c r="BI489" s="585"/>
      <c r="BJ489" s="585"/>
      <c r="BK489" s="585"/>
      <c r="BL489" s="586"/>
      <c r="BM489" s="585"/>
      <c r="BN489" s="585"/>
      <c r="BO489" s="585"/>
      <c r="BP489" s="585"/>
      <c r="BQ489" s="586"/>
      <c r="BR489" s="585"/>
      <c r="BS489" s="585"/>
      <c r="BT489" s="585"/>
      <c r="BU489" s="585"/>
      <c r="BV489" s="586"/>
      <c r="BW489" s="585"/>
      <c r="BX489" s="585"/>
      <c r="BY489" s="585"/>
      <c r="BZ489" s="585"/>
      <c r="CA489" s="586"/>
      <c r="CB489" s="585"/>
      <c r="CC489" s="585"/>
      <c r="CD489" s="585"/>
      <c r="CE489" s="585"/>
      <c r="CF489" s="586"/>
      <c r="CG489" s="470"/>
      <c r="CH489" s="470"/>
      <c r="CI489" s="470"/>
      <c r="CJ489" s="470"/>
      <c r="CK489" s="586"/>
      <c r="CL489" s="470"/>
      <c r="CM489" s="470"/>
      <c r="CN489" s="470"/>
      <c r="CO489" s="470"/>
      <c r="CP489" s="586"/>
      <c r="CQ489" s="470"/>
      <c r="CR489" s="470"/>
      <c r="CS489" s="470"/>
      <c r="CT489" s="470"/>
      <c r="CU489" s="586"/>
      <c r="CV489" s="470"/>
      <c r="CW489" s="470"/>
      <c r="CX489" s="470"/>
      <c r="CY489" s="470"/>
      <c r="CZ489" s="586"/>
      <c r="DA489" s="470"/>
      <c r="DB489" s="470"/>
      <c r="DC489" s="470"/>
      <c r="DD489" s="470"/>
      <c r="DE489" s="586"/>
      <c r="DF489" s="470"/>
      <c r="DG489" s="470"/>
      <c r="DH489" s="470"/>
      <c r="DI489" s="914"/>
      <c r="DJ489" s="586"/>
      <c r="DK489" s="470"/>
      <c r="DL489" s="470"/>
      <c r="DM489" s="470"/>
      <c r="DN489" s="470"/>
      <c r="DO489" s="586"/>
      <c r="DP489" s="470"/>
      <c r="DQ489" s="470"/>
      <c r="DR489" s="470"/>
      <c r="DS489" s="470"/>
      <c r="DT489" s="586"/>
      <c r="DU489" s="470"/>
      <c r="DV489" s="470"/>
      <c r="DW489" s="470"/>
      <c r="DX489" s="470"/>
      <c r="DY489" s="586"/>
    </row>
    <row r="490" spans="1:129" hidden="1" outlineLevel="1" x14ac:dyDescent="0.2">
      <c r="A490" s="526"/>
      <c r="B490" s="756" t="s">
        <v>204</v>
      </c>
      <c r="C490" s="597"/>
      <c r="D490" s="597"/>
      <c r="E490" s="597"/>
      <c r="F490" s="597"/>
      <c r="G490" s="597"/>
      <c r="H490" s="597"/>
      <c r="I490" s="597"/>
      <c r="J490" s="597"/>
      <c r="K490" s="597"/>
      <c r="L490" s="597"/>
      <c r="M490" s="597"/>
      <c r="N490" s="597"/>
      <c r="O490" s="743"/>
      <c r="P490" s="743"/>
      <c r="Q490" s="743"/>
      <c r="R490" s="743"/>
      <c r="S490" s="599"/>
      <c r="T490" s="743"/>
      <c r="U490" s="743"/>
      <c r="V490" s="743"/>
      <c r="W490" s="743"/>
      <c r="X490" s="849"/>
      <c r="Y490" s="743"/>
      <c r="Z490" s="743"/>
      <c r="AA490" s="743"/>
      <c r="AB490" s="743"/>
      <c r="AC490" s="849"/>
      <c r="AD490" s="743"/>
      <c r="AE490" s="743"/>
      <c r="AF490" s="743"/>
      <c r="AG490" s="743"/>
      <c r="AH490" s="849"/>
      <c r="AI490" s="743"/>
      <c r="AJ490" s="743"/>
      <c r="AK490" s="743"/>
      <c r="AL490" s="743"/>
      <c r="AM490" s="745">
        <v>3.8610038610038533E-2</v>
      </c>
      <c r="AN490" s="744">
        <v>9.3023255813953432E-2</v>
      </c>
      <c r="AO490" s="744">
        <v>-0.12592592592592589</v>
      </c>
      <c r="AP490" s="744">
        <v>2.7972027972027913E-2</v>
      </c>
      <c r="AQ490" s="744">
        <v>0.28244274809160319</v>
      </c>
      <c r="AR490" s="745">
        <v>6.6914498141263934E-2</v>
      </c>
      <c r="AS490" s="744">
        <v>0.79432624113475203</v>
      </c>
      <c r="AT490" s="744">
        <v>4.9491525423728815</v>
      </c>
      <c r="AU490" s="744">
        <v>3.1496598639455788</v>
      </c>
      <c r="AV490" s="744">
        <v>3.5121428571428561</v>
      </c>
      <c r="AW490" s="745">
        <v>3.0471080139372821</v>
      </c>
      <c r="AX490" s="744">
        <v>1.7944664031620552</v>
      </c>
      <c r="AY490" s="744">
        <v>-1.4245014245015675E-3</v>
      </c>
      <c r="AZ490" s="744">
        <v>0.12878688524590531</v>
      </c>
      <c r="BA490" s="744">
        <v>3.35074666244497E-2</v>
      </c>
      <c r="BB490" s="745">
        <v>0.2397548040498656</v>
      </c>
      <c r="BC490" s="744">
        <v>7.1428571428571397E-2</v>
      </c>
      <c r="BD490" s="744">
        <v>0.18677603423680456</v>
      </c>
      <c r="BE490" s="744">
        <v>6.686418031834207E-2</v>
      </c>
      <c r="BF490" s="744">
        <v>3.4680383947720772E-2</v>
      </c>
      <c r="BG490" s="745">
        <v>8.8416666666666366E-2</v>
      </c>
      <c r="BH490" s="743"/>
      <c r="BI490" s="743"/>
      <c r="BJ490" s="743"/>
      <c r="BK490" s="743"/>
      <c r="BL490" s="849"/>
      <c r="BM490" s="743"/>
      <c r="BN490" s="743"/>
      <c r="BO490" s="743"/>
      <c r="BP490" s="743"/>
      <c r="BQ490" s="849"/>
      <c r="BR490" s="743"/>
      <c r="BS490" s="743"/>
      <c r="BT490" s="743"/>
      <c r="BU490" s="743"/>
      <c r="BV490" s="849"/>
      <c r="BW490" s="743"/>
      <c r="BX490" s="743"/>
      <c r="BY490" s="743"/>
      <c r="BZ490" s="743"/>
      <c r="CA490" s="849"/>
      <c r="CB490" s="743"/>
      <c r="CC490" s="743"/>
      <c r="CD490" s="743"/>
      <c r="CE490" s="743"/>
      <c r="CF490" s="849"/>
      <c r="CG490" s="820"/>
      <c r="CH490" s="820"/>
      <c r="CI490" s="820"/>
      <c r="CJ490" s="820"/>
      <c r="CK490" s="849"/>
      <c r="CL490" s="820"/>
      <c r="CM490" s="820"/>
      <c r="CN490" s="820"/>
      <c r="CO490" s="820"/>
      <c r="CP490" s="849"/>
      <c r="CQ490" s="820"/>
      <c r="CR490" s="820"/>
      <c r="CS490" s="820"/>
      <c r="CT490" s="820"/>
      <c r="CU490" s="849"/>
      <c r="CV490" s="820"/>
      <c r="CW490" s="820"/>
      <c r="CX490" s="820"/>
      <c r="CY490" s="820"/>
      <c r="CZ490" s="849"/>
      <c r="DA490" s="820"/>
      <c r="DB490" s="820"/>
      <c r="DC490" s="820"/>
      <c r="DD490" s="820"/>
      <c r="DE490" s="849"/>
      <c r="DF490" s="820"/>
      <c r="DG490" s="820"/>
      <c r="DH490" s="820"/>
      <c r="DI490" s="2815"/>
      <c r="DJ490" s="849"/>
      <c r="DK490" s="820"/>
      <c r="DL490" s="820"/>
      <c r="DM490" s="820"/>
      <c r="DN490" s="820"/>
      <c r="DO490" s="849"/>
      <c r="DP490" s="820"/>
      <c r="DQ490" s="820"/>
      <c r="DR490" s="820"/>
      <c r="DS490" s="820"/>
      <c r="DT490" s="849"/>
      <c r="DU490" s="820"/>
      <c r="DV490" s="820"/>
      <c r="DW490" s="820"/>
      <c r="DX490" s="820"/>
      <c r="DY490" s="849"/>
    </row>
    <row r="491" spans="1:129" hidden="1" outlineLevel="1" x14ac:dyDescent="0.2">
      <c r="A491" s="526"/>
      <c r="B491" s="756"/>
      <c r="C491" s="597"/>
      <c r="D491" s="597"/>
      <c r="E491" s="597"/>
      <c r="F491" s="597"/>
      <c r="G491" s="597"/>
      <c r="H491" s="597"/>
      <c r="I491" s="597"/>
      <c r="J491" s="597"/>
      <c r="K491" s="597"/>
      <c r="L491" s="597"/>
      <c r="M491" s="597"/>
      <c r="N491" s="597"/>
      <c r="O491" s="597"/>
      <c r="P491" s="597"/>
      <c r="Q491" s="597"/>
      <c r="R491" s="597"/>
      <c r="S491" s="597"/>
      <c r="T491" s="597"/>
      <c r="U491" s="597"/>
      <c r="V491" s="597"/>
      <c r="W491" s="597"/>
      <c r="X491" s="598"/>
      <c r="Y491" s="597"/>
      <c r="Z491" s="597"/>
      <c r="AA491" s="597"/>
      <c r="AB491" s="597"/>
      <c r="AC491" s="598"/>
      <c r="AD491" s="597"/>
      <c r="AE491" s="597"/>
      <c r="AF491" s="597"/>
      <c r="AG491" s="597"/>
      <c r="AH491" s="598"/>
      <c r="AI491" s="597"/>
      <c r="AJ491" s="597"/>
      <c r="AK491" s="597"/>
      <c r="AL491" s="597"/>
      <c r="AM491" s="598"/>
      <c r="AN491" s="597"/>
      <c r="AO491" s="597"/>
      <c r="AP491" s="597"/>
      <c r="AQ491" s="597"/>
      <c r="AR491" s="598"/>
      <c r="AS491" s="597"/>
      <c r="AT491" s="597"/>
      <c r="AU491" s="597"/>
      <c r="AV491" s="597"/>
      <c r="AW491" s="598"/>
      <c r="AX491" s="597"/>
      <c r="AY491" s="597"/>
      <c r="AZ491" s="597"/>
      <c r="BA491" s="597"/>
      <c r="BB491" s="598"/>
      <c r="BC491" s="597"/>
      <c r="BD491" s="597"/>
      <c r="BE491" s="597"/>
      <c r="BF491" s="597"/>
      <c r="BG491" s="598"/>
      <c r="BH491" s="597"/>
      <c r="BI491" s="597"/>
      <c r="BJ491" s="597"/>
      <c r="BK491" s="597"/>
      <c r="BL491" s="598"/>
      <c r="BM491" s="597"/>
      <c r="BN491" s="597"/>
      <c r="BO491" s="597"/>
      <c r="BP491" s="597"/>
      <c r="BQ491" s="598"/>
      <c r="BR491" s="597"/>
      <c r="BS491" s="597"/>
      <c r="BT491" s="597"/>
      <c r="BU491" s="597"/>
      <c r="BV491" s="598"/>
      <c r="BW491" s="597"/>
      <c r="BX491" s="597"/>
      <c r="BY491" s="597"/>
      <c r="BZ491" s="597"/>
      <c r="CA491" s="598"/>
      <c r="CB491" s="597"/>
      <c r="CC491" s="597"/>
      <c r="CD491" s="597"/>
      <c r="CE491" s="597"/>
      <c r="CF491" s="598"/>
      <c r="CG491" s="682"/>
      <c r="CH491" s="682"/>
      <c r="CI491" s="682"/>
      <c r="CJ491" s="682"/>
      <c r="CK491" s="598"/>
      <c r="CL491" s="682"/>
      <c r="CM491" s="682"/>
      <c r="CN491" s="682"/>
      <c r="CO491" s="682"/>
      <c r="CP491" s="598"/>
      <c r="CQ491" s="682"/>
      <c r="CR491" s="682"/>
      <c r="CS491" s="682"/>
      <c r="CT491" s="682"/>
      <c r="CU491" s="598"/>
      <c r="CV491" s="682"/>
      <c r="CW491" s="682"/>
      <c r="CX491" s="682"/>
      <c r="CY491" s="682"/>
      <c r="CZ491" s="598"/>
      <c r="DA491" s="682"/>
      <c r="DB491" s="682"/>
      <c r="DC491" s="682"/>
      <c r="DD491" s="682"/>
      <c r="DE491" s="598"/>
      <c r="DF491" s="682"/>
      <c r="DG491" s="682"/>
      <c r="DH491" s="682"/>
      <c r="DI491" s="1610"/>
      <c r="DJ491" s="598"/>
      <c r="DK491" s="682"/>
      <c r="DL491" s="682"/>
      <c r="DM491" s="682"/>
      <c r="DN491" s="682"/>
      <c r="DO491" s="598"/>
      <c r="DP491" s="682"/>
      <c r="DQ491" s="682"/>
      <c r="DR491" s="682"/>
      <c r="DS491" s="682"/>
      <c r="DT491" s="598"/>
      <c r="DU491" s="682"/>
      <c r="DV491" s="682"/>
      <c r="DW491" s="682"/>
      <c r="DX491" s="682"/>
      <c r="DY491" s="598"/>
    </row>
    <row r="492" spans="1:129" hidden="1" outlineLevel="1" x14ac:dyDescent="0.2">
      <c r="A492" s="466"/>
      <c r="B492" s="607" t="s">
        <v>763</v>
      </c>
      <c r="C492" s="585"/>
      <c r="D492" s="585"/>
      <c r="E492" s="585"/>
      <c r="F492" s="585"/>
      <c r="G492" s="585"/>
      <c r="H492" s="585"/>
      <c r="I492" s="585"/>
      <c r="J492" s="585"/>
      <c r="K492" s="585"/>
      <c r="L492" s="585"/>
      <c r="M492" s="585"/>
      <c r="N492" s="585"/>
      <c r="O492" s="585"/>
      <c r="P492" s="585"/>
      <c r="Q492" s="585"/>
      <c r="R492" s="585"/>
      <c r="S492" s="585"/>
      <c r="T492" s="585"/>
      <c r="U492" s="585"/>
      <c r="V492" s="585"/>
      <c r="W492" s="585"/>
      <c r="X492" s="586"/>
      <c r="Y492" s="585"/>
      <c r="Z492" s="585"/>
      <c r="AA492" s="585"/>
      <c r="AB492" s="585"/>
      <c r="AC492" s="586"/>
      <c r="AD492" s="592">
        <v>195.1</v>
      </c>
      <c r="AE492" s="592">
        <v>183.8</v>
      </c>
      <c r="AF492" s="592">
        <v>178.8</v>
      </c>
      <c r="AG492" s="592">
        <v>189.6</v>
      </c>
      <c r="AH492" s="754">
        <v>747.3</v>
      </c>
      <c r="AI492" s="592">
        <v>225.1</v>
      </c>
      <c r="AJ492" s="592">
        <v>215.2</v>
      </c>
      <c r="AK492" s="592">
        <v>225.2</v>
      </c>
      <c r="AL492" s="592">
        <v>239.767</v>
      </c>
      <c r="AM492" s="754">
        <v>905.26700000000005</v>
      </c>
      <c r="AN492" s="592">
        <v>312</v>
      </c>
      <c r="AO492" s="592">
        <v>304</v>
      </c>
      <c r="AP492" s="592">
        <v>304.16699999999997</v>
      </c>
      <c r="AQ492" s="592">
        <v>324.05500000000001</v>
      </c>
      <c r="AR492" s="754">
        <v>1244.222</v>
      </c>
      <c r="AS492" s="592">
        <v>500</v>
      </c>
      <c r="AT492" s="592">
        <v>1300</v>
      </c>
      <c r="AU492" s="592">
        <v>1300</v>
      </c>
      <c r="AV492" s="592">
        <v>1475.6239999999998</v>
      </c>
      <c r="AW492" s="754">
        <v>4575.6239999999998</v>
      </c>
      <c r="AX492" s="592">
        <v>1500</v>
      </c>
      <c r="AY492" s="592">
        <v>1400</v>
      </c>
      <c r="AZ492" s="592">
        <v>1300</v>
      </c>
      <c r="BA492" s="592">
        <v>1335.7079999999996</v>
      </c>
      <c r="BB492" s="754">
        <v>5535.7079999999996</v>
      </c>
      <c r="BC492" s="592">
        <v>1500</v>
      </c>
      <c r="BD492" s="592">
        <v>1500</v>
      </c>
      <c r="BE492" s="592">
        <v>1483.8071814068323</v>
      </c>
      <c r="BF492" s="592">
        <v>1493.6198066029128</v>
      </c>
      <c r="BG492" s="754">
        <v>5977.4269880097454</v>
      </c>
      <c r="BH492" s="585"/>
      <c r="BI492" s="585"/>
      <c r="BJ492" s="585"/>
      <c r="BK492" s="585"/>
      <c r="BL492" s="586"/>
      <c r="BM492" s="585"/>
      <c r="BN492" s="585"/>
      <c r="BO492" s="585"/>
      <c r="BP492" s="585"/>
      <c r="BQ492" s="586"/>
      <c r="BR492" s="585"/>
      <c r="BS492" s="585"/>
      <c r="BT492" s="585"/>
      <c r="BU492" s="585"/>
      <c r="BV492" s="586"/>
      <c r="BW492" s="585"/>
      <c r="BX492" s="585"/>
      <c r="BY492" s="585"/>
      <c r="BZ492" s="585"/>
      <c r="CA492" s="586"/>
      <c r="CB492" s="585"/>
      <c r="CC492" s="585"/>
      <c r="CD492" s="585"/>
      <c r="CE492" s="585"/>
      <c r="CF492" s="586"/>
      <c r="CG492" s="470"/>
      <c r="CH492" s="470"/>
      <c r="CI492" s="470"/>
      <c r="CJ492" s="470"/>
      <c r="CK492" s="586"/>
      <c r="CL492" s="470"/>
      <c r="CM492" s="470"/>
      <c r="CN492" s="470"/>
      <c r="CO492" s="470"/>
      <c r="CP492" s="586"/>
      <c r="CQ492" s="470"/>
      <c r="CR492" s="470"/>
      <c r="CS492" s="470"/>
      <c r="CT492" s="470"/>
      <c r="CU492" s="586"/>
      <c r="CV492" s="470"/>
      <c r="CW492" s="470"/>
      <c r="CX492" s="470"/>
      <c r="CY492" s="470"/>
      <c r="CZ492" s="586"/>
      <c r="DA492" s="470"/>
      <c r="DB492" s="470"/>
      <c r="DC492" s="470"/>
      <c r="DD492" s="470"/>
      <c r="DE492" s="586"/>
      <c r="DF492" s="470"/>
      <c r="DG492" s="470"/>
      <c r="DH492" s="470"/>
      <c r="DI492" s="914"/>
      <c r="DJ492" s="586"/>
      <c r="DK492" s="470"/>
      <c r="DL492" s="470"/>
      <c r="DM492" s="470"/>
      <c r="DN492" s="470"/>
      <c r="DO492" s="586"/>
      <c r="DP492" s="470"/>
      <c r="DQ492" s="470"/>
      <c r="DR492" s="470"/>
      <c r="DS492" s="470"/>
      <c r="DT492" s="586"/>
      <c r="DU492" s="470"/>
      <c r="DV492" s="470"/>
      <c r="DW492" s="470"/>
      <c r="DX492" s="470"/>
      <c r="DY492" s="586"/>
    </row>
    <row r="493" spans="1:129" hidden="1" outlineLevel="1" x14ac:dyDescent="0.2">
      <c r="A493" s="526"/>
      <c r="B493" s="756" t="s">
        <v>895</v>
      </c>
      <c r="C493" s="597"/>
      <c r="D493" s="597"/>
      <c r="E493" s="597"/>
      <c r="F493" s="597"/>
      <c r="G493" s="597"/>
      <c r="H493" s="597"/>
      <c r="I493" s="597"/>
      <c r="J493" s="597"/>
      <c r="K493" s="597"/>
      <c r="L493" s="597"/>
      <c r="M493" s="597"/>
      <c r="N493" s="597"/>
      <c r="O493" s="743"/>
      <c r="P493" s="743"/>
      <c r="Q493" s="743"/>
      <c r="R493" s="743"/>
      <c r="S493" s="599"/>
      <c r="T493" s="743"/>
      <c r="U493" s="743"/>
      <c r="V493" s="743"/>
      <c r="W493" s="743"/>
      <c r="X493" s="849"/>
      <c r="Y493" s="743"/>
      <c r="Z493" s="743"/>
      <c r="AA493" s="743"/>
      <c r="AB493" s="743"/>
      <c r="AC493" s="849"/>
      <c r="AD493" s="743"/>
      <c r="AE493" s="743"/>
      <c r="AF493" s="743"/>
      <c r="AG493" s="743"/>
      <c r="AH493" s="849"/>
      <c r="AI493" s="744">
        <v>0.28360841627819072</v>
      </c>
      <c r="AJ493" s="744">
        <v>0.26822884207902281</v>
      </c>
      <c r="AK493" s="744">
        <v>0.26691952115680928</v>
      </c>
      <c r="AL493" s="744">
        <v>0.26590551181102368</v>
      </c>
      <c r="AM493" s="745">
        <v>0.27092446280002397</v>
      </c>
      <c r="AN493" s="744">
        <v>0.28888888888888886</v>
      </c>
      <c r="AO493" s="744">
        <v>0.27426921688920963</v>
      </c>
      <c r="AP493" s="744">
        <v>0.27003462357954539</v>
      </c>
      <c r="AQ493" s="744">
        <v>0.26841298765841132</v>
      </c>
      <c r="AR493" s="745">
        <v>0.27514252227947189</v>
      </c>
      <c r="AS493" s="744">
        <v>0.30725742026669944</v>
      </c>
      <c r="AT493" s="744">
        <v>0.2540998025839995</v>
      </c>
      <c r="AU493" s="744">
        <v>0.24988466861448563</v>
      </c>
      <c r="AV493" s="744">
        <v>0.26314246482515108</v>
      </c>
      <c r="AW493" s="745">
        <v>0.26066733130144987</v>
      </c>
      <c r="AX493" s="744">
        <v>0.26977446854429699</v>
      </c>
      <c r="AY493" s="744">
        <v>0.26254102203469293</v>
      </c>
      <c r="AZ493" s="744">
        <v>0.25565891167967908</v>
      </c>
      <c r="BA493" s="744">
        <v>0.26028567531227464</v>
      </c>
      <c r="BB493" s="745">
        <v>0.26224024482100305</v>
      </c>
      <c r="BC493" s="744">
        <v>0.26135591448434475</v>
      </c>
      <c r="BD493" s="744">
        <v>0.24329720261742374</v>
      </c>
      <c r="BE493" s="744">
        <v>0.24817240613286817</v>
      </c>
      <c r="BF493" s="744">
        <v>0.24877145019089203</v>
      </c>
      <c r="BG493" s="745">
        <v>0.2502322128044161</v>
      </c>
      <c r="BH493" s="743"/>
      <c r="BI493" s="743"/>
      <c r="BJ493" s="743"/>
      <c r="BK493" s="743"/>
      <c r="BL493" s="849"/>
      <c r="BM493" s="743"/>
      <c r="BN493" s="743"/>
      <c r="BO493" s="743"/>
      <c r="BP493" s="743"/>
      <c r="BQ493" s="849"/>
      <c r="BR493" s="743"/>
      <c r="BS493" s="743"/>
      <c r="BT493" s="743"/>
      <c r="BU493" s="743"/>
      <c r="BV493" s="849"/>
      <c r="BW493" s="743"/>
      <c r="BX493" s="743"/>
      <c r="BY493" s="743"/>
      <c r="BZ493" s="743"/>
      <c r="CA493" s="849"/>
      <c r="CB493" s="743"/>
      <c r="CC493" s="743"/>
      <c r="CD493" s="743"/>
      <c r="CE493" s="743"/>
      <c r="CF493" s="849"/>
      <c r="CG493" s="820"/>
      <c r="CH493" s="820"/>
      <c r="CI493" s="820"/>
      <c r="CJ493" s="820"/>
      <c r="CK493" s="849"/>
      <c r="CL493" s="820"/>
      <c r="CM493" s="820"/>
      <c r="CN493" s="820"/>
      <c r="CO493" s="820"/>
      <c r="CP493" s="849"/>
      <c r="CQ493" s="820"/>
      <c r="CR493" s="820"/>
      <c r="CS493" s="820"/>
      <c r="CT493" s="820"/>
      <c r="CU493" s="849"/>
      <c r="CV493" s="820"/>
      <c r="CW493" s="820"/>
      <c r="CX493" s="820"/>
      <c r="CY493" s="820"/>
      <c r="CZ493" s="849"/>
      <c r="DA493" s="820"/>
      <c r="DB493" s="820"/>
      <c r="DC493" s="820"/>
      <c r="DD493" s="820"/>
      <c r="DE493" s="849"/>
      <c r="DF493" s="820"/>
      <c r="DG493" s="820"/>
      <c r="DH493" s="820"/>
      <c r="DI493" s="2815"/>
      <c r="DJ493" s="849"/>
      <c r="DK493" s="820"/>
      <c r="DL493" s="820"/>
      <c r="DM493" s="820"/>
      <c r="DN493" s="820"/>
      <c r="DO493" s="849"/>
      <c r="DP493" s="820"/>
      <c r="DQ493" s="820"/>
      <c r="DR493" s="820"/>
      <c r="DS493" s="820"/>
      <c r="DT493" s="849"/>
      <c r="DU493" s="820"/>
      <c r="DV493" s="820"/>
      <c r="DW493" s="820"/>
      <c r="DX493" s="820"/>
      <c r="DY493" s="849"/>
    </row>
    <row r="494" spans="1:129" hidden="1" outlineLevel="1" x14ac:dyDescent="0.2">
      <c r="A494" s="526"/>
      <c r="B494" s="756" t="s">
        <v>896</v>
      </c>
      <c r="C494" s="597"/>
      <c r="D494" s="597"/>
      <c r="E494" s="597"/>
      <c r="F494" s="597"/>
      <c r="G494" s="597"/>
      <c r="H494" s="597"/>
      <c r="I494" s="597"/>
      <c r="J494" s="597"/>
      <c r="K494" s="597"/>
      <c r="L494" s="597"/>
      <c r="M494" s="597"/>
      <c r="N494" s="597"/>
      <c r="O494" s="981"/>
      <c r="P494" s="981"/>
      <c r="Q494" s="981"/>
      <c r="R494" s="981"/>
      <c r="S494" s="599"/>
      <c r="T494" s="981"/>
      <c r="U494" s="981"/>
      <c r="V494" s="981"/>
      <c r="W494" s="981"/>
      <c r="X494" s="982"/>
      <c r="Y494" s="981"/>
      <c r="Z494" s="981"/>
      <c r="AA494" s="981"/>
      <c r="AB494" s="981"/>
      <c r="AC494" s="982"/>
      <c r="AD494" s="983" t="s">
        <v>897</v>
      </c>
      <c r="AE494" s="983" t="s">
        <v>897</v>
      </c>
      <c r="AF494" s="983" t="s">
        <v>897</v>
      </c>
      <c r="AG494" s="983" t="s">
        <v>897</v>
      </c>
      <c r="AH494" s="984" t="s">
        <v>897</v>
      </c>
      <c r="AI494" s="985">
        <v>0.17480723349311678</v>
      </c>
      <c r="AJ494" s="985">
        <v>0.18427276195801912</v>
      </c>
      <c r="AK494" s="985">
        <v>0.24117647911055595</v>
      </c>
      <c r="AL494" s="985">
        <v>0.24567482662636819</v>
      </c>
      <c r="AM494" s="986">
        <v>0.21220392698363333</v>
      </c>
      <c r="AN494" s="985">
        <v>0.34054470648658053</v>
      </c>
      <c r="AO494" s="985">
        <v>0.3551091753531892</v>
      </c>
      <c r="AP494" s="985">
        <v>0.31714225349482184</v>
      </c>
      <c r="AQ494" s="985">
        <v>0.31938566674570712</v>
      </c>
      <c r="AR494" s="986">
        <v>0.33237727152233809</v>
      </c>
      <c r="AS494" s="985">
        <v>0.39844190487458175</v>
      </c>
      <c r="AT494" s="985">
        <v>2.3141164924940072</v>
      </c>
      <c r="AU494" s="985">
        <v>2.3046591583321554</v>
      </c>
      <c r="AV494" s="985">
        <v>2.2803561669071812</v>
      </c>
      <c r="AW494" s="986">
        <v>1.8455159319360104</v>
      </c>
      <c r="AX494" s="985">
        <v>1.7601256864389052</v>
      </c>
      <c r="AY494" s="985">
        <v>0.12248136134149612</v>
      </c>
      <c r="AZ494" s="985">
        <v>7.3169871593742553E-2</v>
      </c>
      <c r="BA494" s="985">
        <v>3.4518081220600516E-2</v>
      </c>
      <c r="BB494" s="986">
        <v>0.27297182165069467</v>
      </c>
      <c r="BC494" s="985">
        <v>6.6483253138805543E-2</v>
      </c>
      <c r="BD494" s="985">
        <v>0.1511390274542328</v>
      </c>
      <c r="BE494" s="985">
        <v>0.14139013954371715</v>
      </c>
      <c r="BF494" s="985">
        <v>0.11822329925620956</v>
      </c>
      <c r="BG494" s="986">
        <v>0.11892860513760461</v>
      </c>
      <c r="BH494" s="981"/>
      <c r="BI494" s="981"/>
      <c r="BJ494" s="981"/>
      <c r="BK494" s="981"/>
      <c r="BL494" s="982"/>
      <c r="BM494" s="981"/>
      <c r="BN494" s="981"/>
      <c r="BO494" s="981"/>
      <c r="BP494" s="981"/>
      <c r="BQ494" s="982"/>
      <c r="BR494" s="981"/>
      <c r="BS494" s="981"/>
      <c r="BT494" s="981"/>
      <c r="BU494" s="981"/>
      <c r="BV494" s="982"/>
      <c r="BW494" s="981"/>
      <c r="BX494" s="981"/>
      <c r="BY494" s="981"/>
      <c r="BZ494" s="981"/>
      <c r="CA494" s="982"/>
      <c r="CB494" s="981"/>
      <c r="CC494" s="981"/>
      <c r="CD494" s="981"/>
      <c r="CE494" s="981"/>
      <c r="CF494" s="982"/>
      <c r="CG494" s="987"/>
      <c r="CH494" s="987"/>
      <c r="CI494" s="987"/>
      <c r="CJ494" s="987"/>
      <c r="CK494" s="982"/>
      <c r="CL494" s="987"/>
      <c r="CM494" s="987"/>
      <c r="CN494" s="987"/>
      <c r="CO494" s="987"/>
      <c r="CP494" s="982"/>
      <c r="CQ494" s="987"/>
      <c r="CR494" s="987"/>
      <c r="CS494" s="987"/>
      <c r="CT494" s="987"/>
      <c r="CU494" s="982"/>
      <c r="CV494" s="987"/>
      <c r="CW494" s="987"/>
      <c r="CX494" s="987"/>
      <c r="CY494" s="987"/>
      <c r="CZ494" s="982"/>
      <c r="DA494" s="987"/>
      <c r="DB494" s="987"/>
      <c r="DC494" s="987"/>
      <c r="DD494" s="987"/>
      <c r="DE494" s="982"/>
      <c r="DF494" s="987"/>
      <c r="DG494" s="987"/>
      <c r="DH494" s="987"/>
      <c r="DI494" s="2842"/>
      <c r="DJ494" s="982"/>
      <c r="DK494" s="987"/>
      <c r="DL494" s="987"/>
      <c r="DM494" s="987"/>
      <c r="DN494" s="987"/>
      <c r="DO494" s="982"/>
      <c r="DP494" s="987"/>
      <c r="DQ494" s="987"/>
      <c r="DR494" s="987"/>
      <c r="DS494" s="987"/>
      <c r="DT494" s="982"/>
      <c r="DU494" s="987"/>
      <c r="DV494" s="987"/>
      <c r="DW494" s="987"/>
      <c r="DX494" s="987"/>
      <c r="DY494" s="982"/>
    </row>
    <row r="495" spans="1:129" hidden="1" outlineLevel="1" x14ac:dyDescent="0.2">
      <c r="A495" s="526"/>
      <c r="B495" s="756"/>
      <c r="C495" s="597"/>
      <c r="D495" s="597"/>
      <c r="E495" s="597"/>
      <c r="F495" s="597"/>
      <c r="G495" s="597"/>
      <c r="H495" s="597"/>
      <c r="I495" s="597"/>
      <c r="J495" s="597"/>
      <c r="K495" s="597"/>
      <c r="L495" s="597"/>
      <c r="M495" s="597"/>
      <c r="N495" s="597"/>
      <c r="O495" s="597"/>
      <c r="P495" s="597"/>
      <c r="Q495" s="597"/>
      <c r="R495" s="597"/>
      <c r="S495" s="597"/>
      <c r="T495" s="597"/>
      <c r="U495" s="597"/>
      <c r="V495" s="597"/>
      <c r="W495" s="597"/>
      <c r="X495" s="598"/>
      <c r="Y495" s="597"/>
      <c r="Z495" s="597"/>
      <c r="AA495" s="597"/>
      <c r="AB495" s="597"/>
      <c r="AC495" s="598"/>
      <c r="AD495" s="597"/>
      <c r="AE495" s="597"/>
      <c r="AF495" s="597"/>
      <c r="AG495" s="597"/>
      <c r="AH495" s="598"/>
      <c r="AI495" s="597"/>
      <c r="AJ495" s="597"/>
      <c r="AK495" s="597"/>
      <c r="AL495" s="597"/>
      <c r="AM495" s="598"/>
      <c r="AN495" s="597"/>
      <c r="AO495" s="597"/>
      <c r="AP495" s="597"/>
      <c r="AQ495" s="597"/>
      <c r="AR495" s="598"/>
      <c r="AS495" s="597"/>
      <c r="AT495" s="597"/>
      <c r="AU495" s="597"/>
      <c r="AV495" s="597"/>
      <c r="AW495" s="598"/>
      <c r="AX495" s="597"/>
      <c r="AY495" s="597"/>
      <c r="AZ495" s="597"/>
      <c r="BA495" s="597"/>
      <c r="BB495" s="598"/>
      <c r="BC495" s="597"/>
      <c r="BD495" s="597"/>
      <c r="BE495" s="597"/>
      <c r="BF495" s="597"/>
      <c r="BG495" s="598"/>
      <c r="BH495" s="597"/>
      <c r="BI495" s="597"/>
      <c r="BJ495" s="597"/>
      <c r="BK495" s="597"/>
      <c r="BL495" s="598"/>
      <c r="BM495" s="597"/>
      <c r="BN495" s="597"/>
      <c r="BO495" s="597"/>
      <c r="BP495" s="597"/>
      <c r="BQ495" s="598"/>
      <c r="BR495" s="597"/>
      <c r="BS495" s="597"/>
      <c r="BT495" s="597"/>
      <c r="BU495" s="597"/>
      <c r="BV495" s="598"/>
      <c r="BW495" s="597"/>
      <c r="BX495" s="597"/>
      <c r="BY495" s="597"/>
      <c r="BZ495" s="597"/>
      <c r="CA495" s="598"/>
      <c r="CB495" s="597"/>
      <c r="CC495" s="597"/>
      <c r="CD495" s="597"/>
      <c r="CE495" s="597"/>
      <c r="CF495" s="598"/>
      <c r="CG495" s="682"/>
      <c r="CH495" s="682"/>
      <c r="CI495" s="682"/>
      <c r="CJ495" s="682"/>
      <c r="CK495" s="598"/>
      <c r="CL495" s="682"/>
      <c r="CM495" s="682"/>
      <c r="CN495" s="682"/>
      <c r="CO495" s="682"/>
      <c r="CP495" s="598"/>
      <c r="CQ495" s="682"/>
      <c r="CR495" s="682"/>
      <c r="CS495" s="682"/>
      <c r="CT495" s="682"/>
      <c r="CU495" s="598"/>
      <c r="CV495" s="682"/>
      <c r="CW495" s="682"/>
      <c r="CX495" s="682"/>
      <c r="CY495" s="682"/>
      <c r="CZ495" s="598"/>
      <c r="DA495" s="682"/>
      <c r="DB495" s="682"/>
      <c r="DC495" s="682"/>
      <c r="DD495" s="682"/>
      <c r="DE495" s="598"/>
      <c r="DF495" s="682"/>
      <c r="DG495" s="682"/>
      <c r="DH495" s="682"/>
      <c r="DI495" s="1610"/>
      <c r="DJ495" s="598"/>
      <c r="DK495" s="682"/>
      <c r="DL495" s="682"/>
      <c r="DM495" s="682"/>
      <c r="DN495" s="682"/>
      <c r="DO495" s="598"/>
      <c r="DP495" s="682"/>
      <c r="DQ495" s="682"/>
      <c r="DR495" s="682"/>
      <c r="DS495" s="682"/>
      <c r="DT495" s="598"/>
      <c r="DU495" s="682"/>
      <c r="DV495" s="682"/>
      <c r="DW495" s="682"/>
      <c r="DX495" s="682"/>
      <c r="DY495" s="598"/>
    </row>
    <row r="496" spans="1:129" hidden="1" outlineLevel="1" x14ac:dyDescent="0.2">
      <c r="A496" s="466"/>
      <c r="B496" s="607" t="s">
        <v>898</v>
      </c>
      <c r="C496" s="585"/>
      <c r="D496" s="585"/>
      <c r="E496" s="585"/>
      <c r="F496" s="585"/>
      <c r="G496" s="585"/>
      <c r="H496" s="585"/>
      <c r="I496" s="585"/>
      <c r="J496" s="585"/>
      <c r="K496" s="585"/>
      <c r="L496" s="585"/>
      <c r="M496" s="585"/>
      <c r="N496" s="585"/>
      <c r="O496" s="585"/>
      <c r="P496" s="585"/>
      <c r="Q496" s="585"/>
      <c r="R496" s="585"/>
      <c r="S496" s="585"/>
      <c r="T496" s="585"/>
      <c r="U496" s="585"/>
      <c r="V496" s="585"/>
      <c r="W496" s="585"/>
      <c r="X496" s="586"/>
      <c r="Y496" s="585"/>
      <c r="Z496" s="585"/>
      <c r="AA496" s="585"/>
      <c r="AB496" s="585"/>
      <c r="AC496" s="586"/>
      <c r="AD496" s="585"/>
      <c r="AE496" s="585"/>
      <c r="AF496" s="585"/>
      <c r="AG496" s="585"/>
      <c r="AH496" s="754">
        <v>152.74725274725276</v>
      </c>
      <c r="AI496" s="592">
        <v>164.7551020408163</v>
      </c>
      <c r="AJ496" s="592">
        <v>165.44897959183672</v>
      </c>
      <c r="AK496" s="592">
        <v>167.72549019607843</v>
      </c>
      <c r="AL496" s="592">
        <v>175.41198501872657</v>
      </c>
      <c r="AM496" s="754">
        <v>168.48320158102766</v>
      </c>
      <c r="AN496" s="592">
        <v>178.28333333333333</v>
      </c>
      <c r="AO496" s="592">
        <v>177.67213114754099</v>
      </c>
      <c r="AP496" s="592">
        <v>178.45489443378119</v>
      </c>
      <c r="AQ496" s="592">
        <v>184.63636363636365</v>
      </c>
      <c r="AR496" s="754">
        <v>179.85732606604682</v>
      </c>
      <c r="AS496" s="592">
        <v>192.31200112029126</v>
      </c>
      <c r="AT496" s="592">
        <v>185.30312308634416</v>
      </c>
      <c r="AU496" s="592">
        <v>186.11652955644135</v>
      </c>
      <c r="AV496" s="592">
        <v>186.82362848893166</v>
      </c>
      <c r="AW496" s="754">
        <v>187.13821764609744</v>
      </c>
      <c r="AX496" s="592">
        <v>190.2456128085017</v>
      </c>
      <c r="AY496" s="592">
        <v>193.50262939385553</v>
      </c>
      <c r="AZ496" s="592">
        <v>200.47290335874717</v>
      </c>
      <c r="BA496" s="592">
        <v>210.6980716621072</v>
      </c>
      <c r="BB496" s="754">
        <v>198.86451347318228</v>
      </c>
      <c r="BC496" s="592">
        <v>205.3799149840595</v>
      </c>
      <c r="BD496" s="592">
        <v>209.86985985920126</v>
      </c>
      <c r="BE496" s="592">
        <v>210.87735139202408</v>
      </c>
      <c r="BF496" s="592">
        <v>214.90018895937374</v>
      </c>
      <c r="BG496" s="754">
        <v>210.23284527239832</v>
      </c>
      <c r="BH496" s="585"/>
      <c r="BI496" s="585"/>
      <c r="BJ496" s="585"/>
      <c r="BK496" s="585"/>
      <c r="BL496" s="586"/>
      <c r="BM496" s="585"/>
      <c r="BN496" s="585"/>
      <c r="BO496" s="585"/>
      <c r="BP496" s="585"/>
      <c r="BQ496" s="586"/>
      <c r="BR496" s="585"/>
      <c r="BS496" s="585"/>
      <c r="BT496" s="585"/>
      <c r="BU496" s="585"/>
      <c r="BV496" s="586"/>
      <c r="BW496" s="585"/>
      <c r="BX496" s="585"/>
      <c r="BY496" s="585"/>
      <c r="BZ496" s="585"/>
      <c r="CA496" s="586"/>
      <c r="CB496" s="585"/>
      <c r="CC496" s="585"/>
      <c r="CD496" s="585"/>
      <c r="CE496" s="585"/>
      <c r="CF496" s="586"/>
      <c r="CG496" s="470"/>
      <c r="CH496" s="470"/>
      <c r="CI496" s="470"/>
      <c r="CJ496" s="470"/>
      <c r="CK496" s="586"/>
      <c r="CL496" s="470"/>
      <c r="CM496" s="470"/>
      <c r="CN496" s="470"/>
      <c r="CO496" s="470"/>
      <c r="CP496" s="586"/>
      <c r="CQ496" s="470"/>
      <c r="CR496" s="470"/>
      <c r="CS496" s="470"/>
      <c r="CT496" s="470"/>
      <c r="CU496" s="586"/>
      <c r="CV496" s="470"/>
      <c r="CW496" s="470"/>
      <c r="CX496" s="470"/>
      <c r="CY496" s="470"/>
      <c r="CZ496" s="586"/>
      <c r="DA496" s="470"/>
      <c r="DB496" s="470"/>
      <c r="DC496" s="470"/>
      <c r="DD496" s="470"/>
      <c r="DE496" s="586"/>
      <c r="DF496" s="470"/>
      <c r="DG496" s="470"/>
      <c r="DH496" s="470"/>
      <c r="DI496" s="914"/>
      <c r="DJ496" s="586"/>
      <c r="DK496" s="470"/>
      <c r="DL496" s="470"/>
      <c r="DM496" s="470"/>
      <c r="DN496" s="470"/>
      <c r="DO496" s="586"/>
      <c r="DP496" s="470"/>
      <c r="DQ496" s="470"/>
      <c r="DR496" s="470"/>
      <c r="DS496" s="470"/>
      <c r="DT496" s="586"/>
      <c r="DU496" s="470"/>
      <c r="DV496" s="470"/>
      <c r="DW496" s="470"/>
      <c r="DX496" s="470"/>
      <c r="DY496" s="586"/>
    </row>
    <row r="497" spans="1:129" hidden="1" outlineLevel="1" x14ac:dyDescent="0.2">
      <c r="A497" s="526"/>
      <c r="B497" s="756" t="s">
        <v>204</v>
      </c>
      <c r="C497" s="597"/>
      <c r="D497" s="597"/>
      <c r="E497" s="597"/>
      <c r="F497" s="597"/>
      <c r="G497" s="597"/>
      <c r="H497" s="597"/>
      <c r="I497" s="597"/>
      <c r="J497" s="597"/>
      <c r="K497" s="597"/>
      <c r="L497" s="597"/>
      <c r="M497" s="597"/>
      <c r="N497" s="597"/>
      <c r="O497" s="743"/>
      <c r="P497" s="743"/>
      <c r="Q497" s="743"/>
      <c r="R497" s="743"/>
      <c r="S497" s="599"/>
      <c r="T497" s="743"/>
      <c r="U497" s="743"/>
      <c r="V497" s="751" t="s">
        <v>897</v>
      </c>
      <c r="W497" s="751" t="s">
        <v>897</v>
      </c>
      <c r="X497" s="849" t="s">
        <v>897</v>
      </c>
      <c r="Y497" s="751" t="s">
        <v>897</v>
      </c>
      <c r="Z497" s="751" t="s">
        <v>897</v>
      </c>
      <c r="AA497" s="751" t="s">
        <v>897</v>
      </c>
      <c r="AB497" s="751" t="s">
        <v>897</v>
      </c>
      <c r="AC497" s="849" t="s">
        <v>897</v>
      </c>
      <c r="AD497" s="751" t="s">
        <v>897</v>
      </c>
      <c r="AE497" s="751" t="s">
        <v>897</v>
      </c>
      <c r="AF497" s="751" t="s">
        <v>897</v>
      </c>
      <c r="AG497" s="751" t="s">
        <v>897</v>
      </c>
      <c r="AH497" s="988" t="s">
        <v>897</v>
      </c>
      <c r="AI497" s="751" t="s">
        <v>897</v>
      </c>
      <c r="AJ497" s="751" t="s">
        <v>897</v>
      </c>
      <c r="AK497" s="751" t="s">
        <v>897</v>
      </c>
      <c r="AL497" s="751" t="s">
        <v>897</v>
      </c>
      <c r="AM497" s="745">
        <v>0.10301952114197954</v>
      </c>
      <c r="AN497" s="744">
        <v>8.2111152401007637E-2</v>
      </c>
      <c r="AO497" s="744">
        <v>7.3878675987357756E-2</v>
      </c>
      <c r="AP497" s="744">
        <v>6.3970027603792445E-2</v>
      </c>
      <c r="AQ497" s="744">
        <v>5.2586934790415318E-2</v>
      </c>
      <c r="AR497" s="745">
        <v>6.7508952692527435E-2</v>
      </c>
      <c r="AS497" s="744">
        <v>7.8687488755489809E-2</v>
      </c>
      <c r="AT497" s="744">
        <v>4.2949853134064631E-2</v>
      </c>
      <c r="AU497" s="744">
        <v>4.2933174497509441E-2</v>
      </c>
      <c r="AV497" s="744">
        <v>1.1846338443253668E-2</v>
      </c>
      <c r="AW497" s="745">
        <v>4.0481484626191611E-2</v>
      </c>
      <c r="AX497" s="744">
        <v>-1.0744978471192934E-2</v>
      </c>
      <c r="AY497" s="744">
        <v>4.4249153338288494E-2</v>
      </c>
      <c r="AZ497" s="744">
        <v>7.7136479153788073E-2</v>
      </c>
      <c r="BA497" s="744">
        <v>0.12779134719883656</v>
      </c>
      <c r="BB497" s="745">
        <v>6.2661149467933885E-2</v>
      </c>
      <c r="BC497" s="744">
        <v>7.955138598014222E-2</v>
      </c>
      <c r="BD497" s="744">
        <v>8.4584020985223107E-2</v>
      </c>
      <c r="BE497" s="744">
        <v>5.1899522872964621E-2</v>
      </c>
      <c r="BF497" s="744">
        <v>1.9943786215592008E-2</v>
      </c>
      <c r="BG497" s="745">
        <v>5.7166216338286446E-2</v>
      </c>
      <c r="BH497" s="743"/>
      <c r="BI497" s="743"/>
      <c r="BJ497" s="743"/>
      <c r="BK497" s="743"/>
      <c r="BL497" s="849"/>
      <c r="BM497" s="743"/>
      <c r="BN497" s="743"/>
      <c r="BO497" s="743"/>
      <c r="BP497" s="743"/>
      <c r="BQ497" s="849"/>
      <c r="BR497" s="743"/>
      <c r="BS497" s="743"/>
      <c r="BT497" s="743"/>
      <c r="BU497" s="743"/>
      <c r="BV497" s="849"/>
      <c r="BW497" s="743"/>
      <c r="BX497" s="743"/>
      <c r="BY497" s="743"/>
      <c r="BZ497" s="743"/>
      <c r="CA497" s="849"/>
      <c r="CB497" s="743"/>
      <c r="CC497" s="743"/>
      <c r="CD497" s="743"/>
      <c r="CE497" s="743"/>
      <c r="CF497" s="849"/>
      <c r="CG497" s="820"/>
      <c r="CH497" s="820"/>
      <c r="CI497" s="820"/>
      <c r="CJ497" s="820"/>
      <c r="CK497" s="849"/>
      <c r="CL497" s="820"/>
      <c r="CM497" s="820"/>
      <c r="CN497" s="820"/>
      <c r="CO497" s="820"/>
      <c r="CP497" s="849"/>
      <c r="CQ497" s="820"/>
      <c r="CR497" s="820"/>
      <c r="CS497" s="820"/>
      <c r="CT497" s="820"/>
      <c r="CU497" s="849"/>
      <c r="CV497" s="820"/>
      <c r="CW497" s="820"/>
      <c r="CX497" s="820"/>
      <c r="CY497" s="820"/>
      <c r="CZ497" s="849"/>
      <c r="DA497" s="820"/>
      <c r="DB497" s="820"/>
      <c r="DC497" s="820"/>
      <c r="DD497" s="820"/>
      <c r="DE497" s="849"/>
      <c r="DF497" s="820"/>
      <c r="DG497" s="820"/>
      <c r="DH497" s="820"/>
      <c r="DI497" s="2815"/>
      <c r="DJ497" s="849"/>
      <c r="DK497" s="820"/>
      <c r="DL497" s="820"/>
      <c r="DM497" s="820"/>
      <c r="DN497" s="820"/>
      <c r="DO497" s="849"/>
      <c r="DP497" s="820"/>
      <c r="DQ497" s="820"/>
      <c r="DR497" s="820"/>
      <c r="DS497" s="820"/>
      <c r="DT497" s="849"/>
      <c r="DU497" s="820"/>
      <c r="DV497" s="820"/>
      <c r="DW497" s="820"/>
      <c r="DX497" s="820"/>
      <c r="DY497" s="849"/>
    </row>
    <row r="498" spans="1:129" hidden="1" outlineLevel="1" x14ac:dyDescent="0.2">
      <c r="A498" s="526"/>
      <c r="B498" s="756"/>
      <c r="C498" s="597"/>
      <c r="D498" s="597"/>
      <c r="E498" s="597"/>
      <c r="F498" s="597"/>
      <c r="G498" s="597"/>
      <c r="H498" s="597"/>
      <c r="I498" s="597"/>
      <c r="J498" s="597"/>
      <c r="K498" s="597"/>
      <c r="L498" s="597"/>
      <c r="M498" s="597"/>
      <c r="N498" s="597"/>
      <c r="O498" s="597"/>
      <c r="P498" s="597"/>
      <c r="Q498" s="597"/>
      <c r="R498" s="597"/>
      <c r="S498" s="597"/>
      <c r="T498" s="597"/>
      <c r="U498" s="597"/>
      <c r="V498" s="597"/>
      <c r="W498" s="597"/>
      <c r="X498" s="598"/>
      <c r="Y498" s="597"/>
      <c r="Z498" s="597"/>
      <c r="AA498" s="597"/>
      <c r="AB498" s="597"/>
      <c r="AC498" s="598"/>
      <c r="AD498" s="597"/>
      <c r="AE498" s="597"/>
      <c r="AF498" s="597"/>
      <c r="AG498" s="597"/>
      <c r="AH498" s="598"/>
      <c r="AI498" s="597"/>
      <c r="AJ498" s="597"/>
      <c r="AK498" s="597"/>
      <c r="AL498" s="597"/>
      <c r="AM498" s="598"/>
      <c r="AN498" s="597"/>
      <c r="AO498" s="597"/>
      <c r="AP498" s="597"/>
      <c r="AQ498" s="597"/>
      <c r="AR498" s="598"/>
      <c r="AS498" s="597"/>
      <c r="AT498" s="597"/>
      <c r="AU498" s="597"/>
      <c r="AV498" s="597"/>
      <c r="AW498" s="598"/>
      <c r="AX498" s="597"/>
      <c r="AY498" s="597"/>
      <c r="AZ498" s="597"/>
      <c r="BA498" s="597"/>
      <c r="BB498" s="598"/>
      <c r="BC498" s="597"/>
      <c r="BD498" s="597"/>
      <c r="BE498" s="597"/>
      <c r="BF498" s="597"/>
      <c r="BG498" s="598"/>
      <c r="BH498" s="597"/>
      <c r="BI498" s="597"/>
      <c r="BJ498" s="597"/>
      <c r="BK498" s="597"/>
      <c r="BL498" s="598"/>
      <c r="BM498" s="597"/>
      <c r="BN498" s="597"/>
      <c r="BO498" s="597"/>
      <c r="BP498" s="597"/>
      <c r="BQ498" s="598"/>
      <c r="BR498" s="597"/>
      <c r="BS498" s="597"/>
      <c r="BT498" s="597"/>
      <c r="BU498" s="597"/>
      <c r="BV498" s="598"/>
      <c r="BW498" s="597"/>
      <c r="BX498" s="597"/>
      <c r="BY498" s="597"/>
      <c r="BZ498" s="597"/>
      <c r="CA498" s="598"/>
      <c r="CB498" s="597"/>
      <c r="CC498" s="597"/>
      <c r="CD498" s="597"/>
      <c r="CE498" s="597"/>
      <c r="CF498" s="598"/>
      <c r="CG498" s="682"/>
      <c r="CH498" s="682"/>
      <c r="CI498" s="682"/>
      <c r="CJ498" s="682"/>
      <c r="CK498" s="598"/>
      <c r="CL498" s="682"/>
      <c r="CM498" s="682"/>
      <c r="CN498" s="682"/>
      <c r="CO498" s="682"/>
      <c r="CP498" s="598"/>
      <c r="CQ498" s="682"/>
      <c r="CR498" s="682"/>
      <c r="CS498" s="682"/>
      <c r="CT498" s="682"/>
      <c r="CU498" s="598"/>
      <c r="CV498" s="682"/>
      <c r="CW498" s="682"/>
      <c r="CX498" s="682"/>
      <c r="CY498" s="682"/>
      <c r="CZ498" s="598"/>
      <c r="DA498" s="682"/>
      <c r="DB498" s="682"/>
      <c r="DC498" s="682"/>
      <c r="DD498" s="682"/>
      <c r="DE498" s="598"/>
      <c r="DF498" s="682"/>
      <c r="DG498" s="682"/>
      <c r="DH498" s="682"/>
      <c r="DI498" s="1610"/>
      <c r="DJ498" s="598"/>
      <c r="DK498" s="682"/>
      <c r="DL498" s="682"/>
      <c r="DM498" s="682"/>
      <c r="DN498" s="682"/>
      <c r="DO498" s="598"/>
      <c r="DP498" s="682"/>
      <c r="DQ498" s="682"/>
      <c r="DR498" s="682"/>
      <c r="DS498" s="682"/>
      <c r="DT498" s="598"/>
      <c r="DU498" s="682"/>
      <c r="DV498" s="682"/>
      <c r="DW498" s="682"/>
      <c r="DX498" s="682"/>
      <c r="DY498" s="598"/>
    </row>
    <row r="499" spans="1:129" hidden="1" outlineLevel="1" x14ac:dyDescent="0.2">
      <c r="A499" s="466"/>
      <c r="B499" s="607" t="s">
        <v>899</v>
      </c>
      <c r="C499" s="585"/>
      <c r="D499" s="585"/>
      <c r="E499" s="585"/>
      <c r="F499" s="585"/>
      <c r="G499" s="585"/>
      <c r="H499" s="585"/>
      <c r="I499" s="585"/>
      <c r="J499" s="585"/>
      <c r="K499" s="585"/>
      <c r="L499" s="585"/>
      <c r="M499" s="585"/>
      <c r="N499" s="585"/>
      <c r="O499" s="585"/>
      <c r="P499" s="585"/>
      <c r="Q499" s="585"/>
      <c r="R499" s="585"/>
      <c r="S499" s="585"/>
      <c r="T499" s="585"/>
      <c r="U499" s="585"/>
      <c r="V499" s="585"/>
      <c r="W499" s="585"/>
      <c r="X499" s="586"/>
      <c r="Y499" s="585"/>
      <c r="Z499" s="585"/>
      <c r="AA499" s="585"/>
      <c r="AB499" s="585"/>
      <c r="AC499" s="586"/>
      <c r="AD499" s="585"/>
      <c r="AE499" s="585"/>
      <c r="AF499" s="585"/>
      <c r="AG499" s="585"/>
      <c r="AH499" s="754">
        <v>43.525821596244135</v>
      </c>
      <c r="AI499" s="592">
        <v>44.58988764044944</v>
      </c>
      <c r="AJ499" s="592">
        <v>46.645348837209305</v>
      </c>
      <c r="AK499" s="592">
        <v>47.9375</v>
      </c>
      <c r="AL499" s="592">
        <v>47.962765957446798</v>
      </c>
      <c r="AM499" s="754">
        <v>46.798319327731093</v>
      </c>
      <c r="AN499" s="592">
        <v>48.430493273542602</v>
      </c>
      <c r="AO499" s="592">
        <v>50.153846153846153</v>
      </c>
      <c r="AP499" s="592">
        <v>51.386861313868614</v>
      </c>
      <c r="AQ499" s="592">
        <v>51.156779661016955</v>
      </c>
      <c r="AR499" s="754">
        <v>50.29025800711743</v>
      </c>
      <c r="AS499" s="592">
        <v>47.491609514081425</v>
      </c>
      <c r="AT499" s="592">
        <v>38.200661554428912</v>
      </c>
      <c r="AU499" s="592">
        <v>39.24740105919097</v>
      </c>
      <c r="AV499" s="592">
        <v>39.872724687144483</v>
      </c>
      <c r="AW499" s="754">
        <v>39.769045687901297</v>
      </c>
      <c r="AX499" s="592">
        <v>42.665091082088978</v>
      </c>
      <c r="AY499" s="592">
        <v>44.351753276997805</v>
      </c>
      <c r="AZ499" s="592">
        <v>43.775342418581424</v>
      </c>
      <c r="BA499" s="592">
        <v>46.131787126932757</v>
      </c>
      <c r="BB499" s="754">
        <v>44.166058168899447</v>
      </c>
      <c r="BC499" s="592">
        <v>48.957604708692315</v>
      </c>
      <c r="BD499" s="592">
        <v>53.017043744464225</v>
      </c>
      <c r="BE499" s="592">
        <v>54.121741255702801</v>
      </c>
      <c r="BF499" s="592">
        <v>53.215486066794305</v>
      </c>
      <c r="BG499" s="754">
        <v>52.291452776287997</v>
      </c>
      <c r="BH499" s="585"/>
      <c r="BI499" s="585"/>
      <c r="BJ499" s="585"/>
      <c r="BK499" s="585"/>
      <c r="BL499" s="586"/>
      <c r="BM499" s="585"/>
      <c r="BN499" s="585"/>
      <c r="BO499" s="585"/>
      <c r="BP499" s="585"/>
      <c r="BQ499" s="586"/>
      <c r="BR499" s="585"/>
      <c r="BS499" s="585"/>
      <c r="BT499" s="585"/>
      <c r="BU499" s="585"/>
      <c r="BV499" s="586"/>
      <c r="BW499" s="585"/>
      <c r="BX499" s="585"/>
      <c r="BY499" s="585"/>
      <c r="BZ499" s="585"/>
      <c r="CA499" s="586"/>
      <c r="CB499" s="585"/>
      <c r="CC499" s="585"/>
      <c r="CD499" s="585"/>
      <c r="CE499" s="585"/>
      <c r="CF499" s="586"/>
      <c r="CG499" s="470"/>
      <c r="CH499" s="470"/>
      <c r="CI499" s="470"/>
      <c r="CJ499" s="470"/>
      <c r="CK499" s="586"/>
      <c r="CL499" s="470"/>
      <c r="CM499" s="470"/>
      <c r="CN499" s="470"/>
      <c r="CO499" s="470"/>
      <c r="CP499" s="586"/>
      <c r="CQ499" s="470"/>
      <c r="CR499" s="470"/>
      <c r="CS499" s="470"/>
      <c r="CT499" s="470"/>
      <c r="CU499" s="586"/>
      <c r="CV499" s="470"/>
      <c r="CW499" s="470"/>
      <c r="CX499" s="470"/>
      <c r="CY499" s="470"/>
      <c r="CZ499" s="586"/>
      <c r="DA499" s="470"/>
      <c r="DB499" s="470"/>
      <c r="DC499" s="470"/>
      <c r="DD499" s="470"/>
      <c r="DE499" s="586"/>
      <c r="DF499" s="470"/>
      <c r="DG499" s="470"/>
      <c r="DH499" s="470"/>
      <c r="DI499" s="914"/>
      <c r="DJ499" s="586"/>
      <c r="DK499" s="470"/>
      <c r="DL499" s="470"/>
      <c r="DM499" s="470"/>
      <c r="DN499" s="470"/>
      <c r="DO499" s="586"/>
      <c r="DP499" s="470"/>
      <c r="DQ499" s="470"/>
      <c r="DR499" s="470"/>
      <c r="DS499" s="470"/>
      <c r="DT499" s="586"/>
      <c r="DU499" s="470"/>
      <c r="DV499" s="470"/>
      <c r="DW499" s="470"/>
      <c r="DX499" s="470"/>
      <c r="DY499" s="586"/>
    </row>
    <row r="500" spans="1:129" hidden="1" outlineLevel="1" x14ac:dyDescent="0.2">
      <c r="A500" s="526"/>
      <c r="B500" s="756" t="s">
        <v>204</v>
      </c>
      <c r="C500" s="597"/>
      <c r="D500" s="597"/>
      <c r="E500" s="597"/>
      <c r="F500" s="597"/>
      <c r="G500" s="597"/>
      <c r="H500" s="597"/>
      <c r="I500" s="597"/>
      <c r="J500" s="597"/>
      <c r="K500" s="597"/>
      <c r="L500" s="597"/>
      <c r="M500" s="597"/>
      <c r="N500" s="597"/>
      <c r="O500" s="743"/>
      <c r="P500" s="743"/>
      <c r="Q500" s="743"/>
      <c r="R500" s="743"/>
      <c r="S500" s="599"/>
      <c r="T500" s="743"/>
      <c r="U500" s="743"/>
      <c r="V500" s="751" t="s">
        <v>897</v>
      </c>
      <c r="W500" s="751" t="s">
        <v>897</v>
      </c>
      <c r="X500" s="849" t="s">
        <v>897</v>
      </c>
      <c r="Y500" s="751" t="s">
        <v>897</v>
      </c>
      <c r="Z500" s="751" t="s">
        <v>897</v>
      </c>
      <c r="AA500" s="751" t="s">
        <v>897</v>
      </c>
      <c r="AB500" s="751" t="s">
        <v>897</v>
      </c>
      <c r="AC500" s="849" t="s">
        <v>897</v>
      </c>
      <c r="AD500" s="751" t="s">
        <v>897</v>
      </c>
      <c r="AE500" s="751" t="s">
        <v>897</v>
      </c>
      <c r="AF500" s="751" t="s">
        <v>897</v>
      </c>
      <c r="AG500" s="751" t="s">
        <v>897</v>
      </c>
      <c r="AH500" s="988" t="s">
        <v>897</v>
      </c>
      <c r="AI500" s="751" t="s">
        <v>897</v>
      </c>
      <c r="AJ500" s="751" t="s">
        <v>897</v>
      </c>
      <c r="AK500" s="751" t="s">
        <v>897</v>
      </c>
      <c r="AL500" s="751" t="s">
        <v>897</v>
      </c>
      <c r="AM500" s="745">
        <v>7.5185202977750221E-2</v>
      </c>
      <c r="AN500" s="744">
        <v>8.6131762969709369E-2</v>
      </c>
      <c r="AO500" s="744">
        <v>7.521644502823599E-2</v>
      </c>
      <c r="AP500" s="744">
        <v>7.1955385947715556E-2</v>
      </c>
      <c r="AQ500" s="744">
        <v>6.6593609434533629E-2</v>
      </c>
      <c r="AR500" s="745">
        <v>7.4616753967853056E-2</v>
      </c>
      <c r="AS500" s="744">
        <v>-1.9386210959244643E-2</v>
      </c>
      <c r="AT500" s="744">
        <v>-0.23833036777979166</v>
      </c>
      <c r="AU500" s="744">
        <v>-0.23623665552426665</v>
      </c>
      <c r="AV500" s="744">
        <v>-0.22057789893430824</v>
      </c>
      <c r="AW500" s="745">
        <v>-0.20920975028060296</v>
      </c>
      <c r="AX500" s="744">
        <v>-0.10162886626450018</v>
      </c>
      <c r="AY500" s="744">
        <v>0.16102055493999012</v>
      </c>
      <c r="AZ500" s="744">
        <v>0.11536920247436599</v>
      </c>
      <c r="BA500" s="744">
        <v>0.15697604036090063</v>
      </c>
      <c r="BB500" s="745">
        <v>0.11056369105522257</v>
      </c>
      <c r="BC500" s="744">
        <v>0.14748623446030718</v>
      </c>
      <c r="BD500" s="744">
        <v>0.19537650323195921</v>
      </c>
      <c r="BE500" s="744">
        <v>0.23635220801218937</v>
      </c>
      <c r="BF500" s="744">
        <v>0.15355353393031534</v>
      </c>
      <c r="BG500" s="745">
        <v>0.18397373332063016</v>
      </c>
      <c r="BH500" s="743"/>
      <c r="BI500" s="743"/>
      <c r="BJ500" s="743"/>
      <c r="BK500" s="743"/>
      <c r="BL500" s="849"/>
      <c r="BM500" s="743"/>
      <c r="BN500" s="743"/>
      <c r="BO500" s="743"/>
      <c r="BP500" s="743"/>
      <c r="BQ500" s="849"/>
      <c r="BR500" s="743"/>
      <c r="BS500" s="743"/>
      <c r="BT500" s="743"/>
      <c r="BU500" s="743"/>
      <c r="BV500" s="849"/>
      <c r="BW500" s="743"/>
      <c r="BX500" s="743"/>
      <c r="BY500" s="743"/>
      <c r="BZ500" s="743"/>
      <c r="CA500" s="849"/>
      <c r="CB500" s="743"/>
      <c r="CC500" s="743"/>
      <c r="CD500" s="743"/>
      <c r="CE500" s="743"/>
      <c r="CF500" s="849"/>
      <c r="CG500" s="820"/>
      <c r="CH500" s="820"/>
      <c r="CI500" s="820"/>
      <c r="CJ500" s="820"/>
      <c r="CK500" s="849"/>
      <c r="CL500" s="820"/>
      <c r="CM500" s="820"/>
      <c r="CN500" s="820"/>
      <c r="CO500" s="820"/>
      <c r="CP500" s="849"/>
      <c r="CQ500" s="820"/>
      <c r="CR500" s="820"/>
      <c r="CS500" s="820"/>
      <c r="CT500" s="820"/>
      <c r="CU500" s="849"/>
      <c r="CV500" s="820"/>
      <c r="CW500" s="820"/>
      <c r="CX500" s="820"/>
      <c r="CY500" s="820"/>
      <c r="CZ500" s="849"/>
      <c r="DA500" s="820"/>
      <c r="DB500" s="820"/>
      <c r="DC500" s="820"/>
      <c r="DD500" s="820"/>
      <c r="DE500" s="849"/>
      <c r="DF500" s="820"/>
      <c r="DG500" s="820"/>
      <c r="DH500" s="820"/>
      <c r="DI500" s="2815"/>
      <c r="DJ500" s="849"/>
      <c r="DK500" s="820"/>
      <c r="DL500" s="820"/>
      <c r="DM500" s="820"/>
      <c r="DN500" s="820"/>
      <c r="DO500" s="849"/>
      <c r="DP500" s="820"/>
      <c r="DQ500" s="820"/>
      <c r="DR500" s="820"/>
      <c r="DS500" s="820"/>
      <c r="DT500" s="849"/>
      <c r="DU500" s="820"/>
      <c r="DV500" s="820"/>
      <c r="DW500" s="820"/>
      <c r="DX500" s="820"/>
      <c r="DY500" s="849"/>
    </row>
    <row r="501" spans="1:129" hidden="1" outlineLevel="1" x14ac:dyDescent="0.2">
      <c r="A501" s="526"/>
      <c r="B501" s="756"/>
      <c r="C501" s="597"/>
      <c r="D501" s="597"/>
      <c r="E501" s="597"/>
      <c r="F501" s="597"/>
      <c r="G501" s="597"/>
      <c r="H501" s="597"/>
      <c r="I501" s="597"/>
      <c r="J501" s="597"/>
      <c r="K501" s="597"/>
      <c r="L501" s="597"/>
      <c r="M501" s="597"/>
      <c r="N501" s="597"/>
      <c r="O501" s="597"/>
      <c r="P501" s="597"/>
      <c r="Q501" s="597"/>
      <c r="R501" s="597"/>
      <c r="S501" s="597"/>
      <c r="T501" s="597"/>
      <c r="U501" s="597"/>
      <c r="V501" s="597"/>
      <c r="W501" s="597"/>
      <c r="X501" s="598"/>
      <c r="Y501" s="597"/>
      <c r="Z501" s="597"/>
      <c r="AA501" s="597"/>
      <c r="AB501" s="597"/>
      <c r="AC501" s="598"/>
      <c r="AD501" s="597"/>
      <c r="AE501" s="597"/>
      <c r="AF501" s="597"/>
      <c r="AG501" s="597"/>
      <c r="AH501" s="598"/>
      <c r="AI501" s="597"/>
      <c r="AJ501" s="597"/>
      <c r="AK501" s="597"/>
      <c r="AL501" s="597"/>
      <c r="AM501" s="598"/>
      <c r="AN501" s="597"/>
      <c r="AO501" s="597"/>
      <c r="AP501" s="597"/>
      <c r="AQ501" s="597"/>
      <c r="AR501" s="598"/>
      <c r="AS501" s="597"/>
      <c r="AT501" s="597"/>
      <c r="AU501" s="597"/>
      <c r="AV501" s="597"/>
      <c r="AW501" s="598"/>
      <c r="AX501" s="597"/>
      <c r="AY501" s="597"/>
      <c r="AZ501" s="597"/>
      <c r="BA501" s="597"/>
      <c r="BB501" s="598"/>
      <c r="BC501" s="597"/>
      <c r="BD501" s="597"/>
      <c r="BE501" s="597"/>
      <c r="BF501" s="597"/>
      <c r="BG501" s="598"/>
      <c r="BH501" s="597"/>
      <c r="BI501" s="597"/>
      <c r="BJ501" s="597"/>
      <c r="BK501" s="597"/>
      <c r="BL501" s="598"/>
      <c r="BM501" s="597"/>
      <c r="BN501" s="597"/>
      <c r="BO501" s="597"/>
      <c r="BP501" s="597"/>
      <c r="BQ501" s="598"/>
      <c r="BR501" s="597"/>
      <c r="BS501" s="597"/>
      <c r="BT501" s="597"/>
      <c r="BU501" s="597"/>
      <c r="BV501" s="598"/>
      <c r="BW501" s="597"/>
      <c r="BX501" s="597"/>
      <c r="BY501" s="597"/>
      <c r="BZ501" s="597"/>
      <c r="CA501" s="598"/>
      <c r="CB501" s="597"/>
      <c r="CC501" s="597"/>
      <c r="CD501" s="597"/>
      <c r="CE501" s="597"/>
      <c r="CF501" s="598"/>
      <c r="CG501" s="682"/>
      <c r="CH501" s="682"/>
      <c r="CI501" s="682"/>
      <c r="CJ501" s="682"/>
      <c r="CK501" s="598"/>
      <c r="CL501" s="682"/>
      <c r="CM501" s="682"/>
      <c r="CN501" s="682"/>
      <c r="CO501" s="682"/>
      <c r="CP501" s="598"/>
      <c r="CQ501" s="682"/>
      <c r="CR501" s="682"/>
      <c r="CS501" s="682"/>
      <c r="CT501" s="682"/>
      <c r="CU501" s="598"/>
      <c r="CV501" s="682"/>
      <c r="CW501" s="682"/>
      <c r="CX501" s="682"/>
      <c r="CY501" s="682"/>
      <c r="CZ501" s="598"/>
      <c r="DA501" s="682"/>
      <c r="DB501" s="682"/>
      <c r="DC501" s="682"/>
      <c r="DD501" s="682"/>
      <c r="DE501" s="598"/>
      <c r="DF501" s="682"/>
      <c r="DG501" s="682"/>
      <c r="DH501" s="682"/>
      <c r="DI501" s="1610"/>
      <c r="DJ501" s="598"/>
      <c r="DK501" s="682"/>
      <c r="DL501" s="682"/>
      <c r="DM501" s="682"/>
      <c r="DN501" s="682"/>
      <c r="DO501" s="598"/>
      <c r="DP501" s="682"/>
      <c r="DQ501" s="682"/>
      <c r="DR501" s="682"/>
      <c r="DS501" s="682"/>
      <c r="DT501" s="598"/>
      <c r="DU501" s="682"/>
      <c r="DV501" s="682"/>
      <c r="DW501" s="682"/>
      <c r="DX501" s="682"/>
      <c r="DY501" s="598"/>
    </row>
    <row r="502" spans="1:129" hidden="1" outlineLevel="1" x14ac:dyDescent="0.2">
      <c r="A502" s="466"/>
      <c r="B502" s="607" t="s">
        <v>900</v>
      </c>
      <c r="C502" s="585"/>
      <c r="D502" s="585"/>
      <c r="E502" s="585"/>
      <c r="F502" s="585"/>
      <c r="G502" s="585"/>
      <c r="H502" s="585"/>
      <c r="I502" s="585"/>
      <c r="J502" s="585"/>
      <c r="K502" s="585"/>
      <c r="L502" s="585"/>
      <c r="M502" s="585"/>
      <c r="N502" s="585"/>
      <c r="O502" s="585"/>
      <c r="P502" s="585"/>
      <c r="Q502" s="585"/>
      <c r="R502" s="585"/>
      <c r="S502" s="585"/>
      <c r="T502" s="585"/>
      <c r="U502" s="585"/>
      <c r="V502" s="585"/>
      <c r="W502" s="585"/>
      <c r="X502" s="586"/>
      <c r="Y502" s="585"/>
      <c r="Z502" s="585"/>
      <c r="AA502" s="585"/>
      <c r="AB502" s="585"/>
      <c r="AC502" s="586"/>
      <c r="AD502" s="585"/>
      <c r="AE502" s="585"/>
      <c r="AF502" s="585"/>
      <c r="AG502" s="585"/>
      <c r="AH502" s="586"/>
      <c r="AI502" s="585"/>
      <c r="AJ502" s="585"/>
      <c r="AK502" s="585"/>
      <c r="AL502" s="585"/>
      <c r="AM502" s="586"/>
      <c r="AN502" s="585"/>
      <c r="AO502" s="585"/>
      <c r="AP502" s="585"/>
      <c r="AQ502" s="585"/>
      <c r="AR502" s="586"/>
      <c r="AS502" s="585"/>
      <c r="AT502" s="585"/>
      <c r="AU502" s="585"/>
      <c r="AV502" s="585"/>
      <c r="AW502" s="586"/>
      <c r="AX502" s="585"/>
      <c r="AY502" s="585"/>
      <c r="AZ502" s="585"/>
      <c r="BA502" s="585"/>
      <c r="BB502" s="586"/>
      <c r="BC502" s="585"/>
      <c r="BD502" s="585"/>
      <c r="BE502" s="585"/>
      <c r="BF502" s="585"/>
      <c r="BG502" s="586"/>
      <c r="BH502" s="585"/>
      <c r="BI502" s="585"/>
      <c r="BJ502" s="585"/>
      <c r="BK502" s="585"/>
      <c r="BL502" s="586"/>
      <c r="BM502" s="585"/>
      <c r="BN502" s="585"/>
      <c r="BO502" s="585"/>
      <c r="BP502" s="585"/>
      <c r="BQ502" s="586"/>
      <c r="BR502" s="585"/>
      <c r="BS502" s="585"/>
      <c r="BT502" s="585"/>
      <c r="BU502" s="585"/>
      <c r="BV502" s="586"/>
      <c r="BW502" s="585"/>
      <c r="BX502" s="585"/>
      <c r="BY502" s="585"/>
      <c r="BZ502" s="585"/>
      <c r="CA502" s="586"/>
      <c r="CB502" s="585"/>
      <c r="CC502" s="585"/>
      <c r="CD502" s="585"/>
      <c r="CE502" s="585"/>
      <c r="CF502" s="586"/>
      <c r="CG502" s="470"/>
      <c r="CH502" s="470"/>
      <c r="CI502" s="470"/>
      <c r="CJ502" s="470"/>
      <c r="CK502" s="586"/>
      <c r="CL502" s="470"/>
      <c r="CM502" s="470"/>
      <c r="CN502" s="470"/>
      <c r="CO502" s="470"/>
      <c r="CP502" s="586"/>
      <c r="CQ502" s="470"/>
      <c r="CR502" s="470"/>
      <c r="CS502" s="470"/>
      <c r="CT502" s="470"/>
      <c r="CU502" s="586"/>
      <c r="CV502" s="470"/>
      <c r="CW502" s="470"/>
      <c r="CX502" s="470"/>
      <c r="CY502" s="470"/>
      <c r="CZ502" s="586"/>
      <c r="DA502" s="470"/>
      <c r="DB502" s="470"/>
      <c r="DC502" s="470"/>
      <c r="DD502" s="470"/>
      <c r="DE502" s="586"/>
      <c r="DF502" s="470"/>
      <c r="DG502" s="470"/>
      <c r="DH502" s="470"/>
      <c r="DI502" s="914"/>
      <c r="DJ502" s="586"/>
      <c r="DK502" s="470"/>
      <c r="DL502" s="470"/>
      <c r="DM502" s="470"/>
      <c r="DN502" s="470"/>
      <c r="DO502" s="586"/>
      <c r="DP502" s="470"/>
      <c r="DQ502" s="470"/>
      <c r="DR502" s="470"/>
      <c r="DS502" s="470"/>
      <c r="DT502" s="586"/>
      <c r="DU502" s="470"/>
      <c r="DV502" s="470"/>
      <c r="DW502" s="470"/>
      <c r="DX502" s="470"/>
      <c r="DY502" s="586"/>
    </row>
    <row r="503" spans="1:129" hidden="1" outlineLevel="1" x14ac:dyDescent="0.2">
      <c r="A503" s="466"/>
      <c r="B503" s="607" t="s">
        <v>899</v>
      </c>
      <c r="C503" s="585"/>
      <c r="D503" s="585"/>
      <c r="E503" s="585"/>
      <c r="F503" s="585"/>
      <c r="G503" s="585"/>
      <c r="H503" s="585"/>
      <c r="I503" s="585"/>
      <c r="J503" s="585"/>
      <c r="K503" s="585"/>
      <c r="L503" s="585"/>
      <c r="M503" s="585"/>
      <c r="N503" s="585"/>
      <c r="O503" s="585"/>
      <c r="P503" s="585"/>
      <c r="Q503" s="585"/>
      <c r="R503" s="585"/>
      <c r="S503" s="585"/>
      <c r="T503" s="585"/>
      <c r="U503" s="585"/>
      <c r="V503" s="585"/>
      <c r="W503" s="585"/>
      <c r="X503" s="586"/>
      <c r="Y503" s="585"/>
      <c r="Z503" s="585"/>
      <c r="AA503" s="585"/>
      <c r="AB503" s="585"/>
      <c r="AC503" s="586"/>
      <c r="AD503" s="585"/>
      <c r="AE503" s="585"/>
      <c r="AF503" s="585"/>
      <c r="AG503" s="585"/>
      <c r="AH503" s="754">
        <v>31.83098591549296</v>
      </c>
      <c r="AI503" s="592">
        <v>31.943820224719101</v>
      </c>
      <c r="AJ503" s="592">
        <v>34.133720930232556</v>
      </c>
      <c r="AK503" s="592">
        <v>35.142045454545453</v>
      </c>
      <c r="AL503" s="592">
        <v>35.209202127659559</v>
      </c>
      <c r="AM503" s="754">
        <v>34.119509803921567</v>
      </c>
      <c r="AN503" s="592">
        <v>34.439461883408072</v>
      </c>
      <c r="AO503" s="592">
        <v>36.398190045248867</v>
      </c>
      <c r="AP503" s="592">
        <v>37.510629562043803</v>
      </c>
      <c r="AQ503" s="592">
        <v>37.425635593220342</v>
      </c>
      <c r="AR503" s="754">
        <v>36.453269572953737</v>
      </c>
      <c r="AS503" s="592">
        <v>32.899460090471322</v>
      </c>
      <c r="AT503" s="592">
        <v>28.493880994870345</v>
      </c>
      <c r="AU503" s="592">
        <v>29.440077251535222</v>
      </c>
      <c r="AV503" s="592">
        <v>29.380517633674632</v>
      </c>
      <c r="AW503" s="754">
        <v>29.402554680030633</v>
      </c>
      <c r="AX503" s="592">
        <v>31.1551388100244</v>
      </c>
      <c r="AY503" s="592">
        <v>32.707598642624262</v>
      </c>
      <c r="AZ503" s="592">
        <v>32.583786017441604</v>
      </c>
      <c r="BA503" s="592">
        <v>34.124343761236972</v>
      </c>
      <c r="BB503" s="754">
        <v>32.583940261908594</v>
      </c>
      <c r="BC503" s="592">
        <v>36.162245159088968</v>
      </c>
      <c r="BD503" s="592">
        <v>40.118145310390489</v>
      </c>
      <c r="BE503" s="592">
        <v>40.690218504174517</v>
      </c>
      <c r="BF503" s="592">
        <v>39.976992425344676</v>
      </c>
      <c r="BG503" s="754">
        <v>39.206446837319824</v>
      </c>
      <c r="BH503" s="585"/>
      <c r="BI503" s="585"/>
      <c r="BJ503" s="585"/>
      <c r="BK503" s="585"/>
      <c r="BL503" s="586"/>
      <c r="BM503" s="585"/>
      <c r="BN503" s="585"/>
      <c r="BO503" s="585"/>
      <c r="BP503" s="585"/>
      <c r="BQ503" s="586"/>
      <c r="BR503" s="585"/>
      <c r="BS503" s="585"/>
      <c r="BT503" s="585"/>
      <c r="BU503" s="585"/>
      <c r="BV503" s="586"/>
      <c r="BW503" s="585"/>
      <c r="BX503" s="585"/>
      <c r="BY503" s="585"/>
      <c r="BZ503" s="585"/>
      <c r="CA503" s="586"/>
      <c r="CB503" s="585"/>
      <c r="CC503" s="585"/>
      <c r="CD503" s="585"/>
      <c r="CE503" s="585"/>
      <c r="CF503" s="586"/>
      <c r="CG503" s="470"/>
      <c r="CH503" s="470"/>
      <c r="CI503" s="470"/>
      <c r="CJ503" s="470"/>
      <c r="CK503" s="586"/>
      <c r="CL503" s="470"/>
      <c r="CM503" s="470"/>
      <c r="CN503" s="470"/>
      <c r="CO503" s="470"/>
      <c r="CP503" s="586"/>
      <c r="CQ503" s="470"/>
      <c r="CR503" s="470"/>
      <c r="CS503" s="470"/>
      <c r="CT503" s="470"/>
      <c r="CU503" s="586"/>
      <c r="CV503" s="470"/>
      <c r="CW503" s="470"/>
      <c r="CX503" s="470"/>
      <c r="CY503" s="470"/>
      <c r="CZ503" s="586"/>
      <c r="DA503" s="470"/>
      <c r="DB503" s="470"/>
      <c r="DC503" s="470"/>
      <c r="DD503" s="470"/>
      <c r="DE503" s="586"/>
      <c r="DF503" s="470"/>
      <c r="DG503" s="470"/>
      <c r="DH503" s="470"/>
      <c r="DI503" s="914"/>
      <c r="DJ503" s="586"/>
      <c r="DK503" s="470"/>
      <c r="DL503" s="470"/>
      <c r="DM503" s="470"/>
      <c r="DN503" s="470"/>
      <c r="DO503" s="586"/>
      <c r="DP503" s="470"/>
      <c r="DQ503" s="470"/>
      <c r="DR503" s="470"/>
      <c r="DS503" s="470"/>
      <c r="DT503" s="586"/>
      <c r="DU503" s="470"/>
      <c r="DV503" s="470"/>
      <c r="DW503" s="470"/>
      <c r="DX503" s="470"/>
      <c r="DY503" s="586"/>
    </row>
    <row r="504" spans="1:129" hidden="1" outlineLevel="1" x14ac:dyDescent="0.2">
      <c r="A504" s="526"/>
      <c r="B504" s="756" t="s">
        <v>204</v>
      </c>
      <c r="C504" s="597"/>
      <c r="D504" s="597"/>
      <c r="E504" s="597"/>
      <c r="F504" s="597"/>
      <c r="G504" s="597"/>
      <c r="H504" s="597"/>
      <c r="I504" s="597"/>
      <c r="J504" s="597"/>
      <c r="K504" s="597"/>
      <c r="L504" s="597"/>
      <c r="M504" s="597"/>
      <c r="N504" s="597"/>
      <c r="O504" s="743"/>
      <c r="P504" s="743"/>
      <c r="Q504" s="743"/>
      <c r="R504" s="743"/>
      <c r="S504" s="599"/>
      <c r="T504" s="743"/>
      <c r="U504" s="743"/>
      <c r="V504" s="743"/>
      <c r="W504" s="743"/>
      <c r="X504" s="849"/>
      <c r="Y504" s="743"/>
      <c r="Z504" s="743"/>
      <c r="AA504" s="743"/>
      <c r="AB504" s="743"/>
      <c r="AC504" s="849"/>
      <c r="AD504" s="743"/>
      <c r="AE504" s="743"/>
      <c r="AF504" s="743"/>
      <c r="AG504" s="743"/>
      <c r="AH504" s="849"/>
      <c r="AI504" s="743"/>
      <c r="AJ504" s="743"/>
      <c r="AK504" s="743"/>
      <c r="AL504" s="743"/>
      <c r="AM504" s="849"/>
      <c r="AN504" s="744">
        <v>7.8125961175982583E-2</v>
      </c>
      <c r="AO504" s="744">
        <v>6.634111527555886E-2</v>
      </c>
      <c r="AP504" s="744">
        <v>6.7400291498740383E-2</v>
      </c>
      <c r="AQ504" s="744">
        <v>6.2950403065782812E-2</v>
      </c>
      <c r="AR504" s="745">
        <v>6.8399569115847436E-2</v>
      </c>
      <c r="AS504" s="744">
        <v>-4.4716197893866605E-2</v>
      </c>
      <c r="AT504" s="744">
        <v>-0.2171621457152727</v>
      </c>
      <c r="AU504" s="744">
        <v>-0.21515374187894198</v>
      </c>
      <c r="AV504" s="744">
        <v>-0.21496276100660494</v>
      </c>
      <c r="AW504" s="745">
        <v>-0.19341790120670921</v>
      </c>
      <c r="AX504" s="744">
        <v>-5.301975399140757E-2</v>
      </c>
      <c r="AY504" s="744">
        <v>0.14788149246894444</v>
      </c>
      <c r="AZ504" s="744">
        <v>0.10678330559551941</v>
      </c>
      <c r="BA504" s="744">
        <v>0.16146162524125107</v>
      </c>
      <c r="BB504" s="745">
        <v>0.10820099193757016</v>
      </c>
      <c r="BC504" s="744">
        <v>0.16071526368720579</v>
      </c>
      <c r="BD504" s="744">
        <v>0.22656957328896854</v>
      </c>
      <c r="BE504" s="744">
        <v>0.24878731042468982</v>
      </c>
      <c r="BF504" s="744">
        <v>0.17150948616207318</v>
      </c>
      <c r="BG504" s="745">
        <v>0.20324449781640119</v>
      </c>
      <c r="BH504" s="743"/>
      <c r="BI504" s="743"/>
      <c r="BJ504" s="743"/>
      <c r="BK504" s="743"/>
      <c r="BL504" s="849"/>
      <c r="BM504" s="743"/>
      <c r="BN504" s="743"/>
      <c r="BO504" s="743"/>
      <c r="BP504" s="743"/>
      <c r="BQ504" s="849"/>
      <c r="BR504" s="743"/>
      <c r="BS504" s="743"/>
      <c r="BT504" s="743"/>
      <c r="BU504" s="743"/>
      <c r="BV504" s="849"/>
      <c r="BW504" s="743"/>
      <c r="BX504" s="743"/>
      <c r="BY504" s="743"/>
      <c r="BZ504" s="743"/>
      <c r="CA504" s="849"/>
      <c r="CB504" s="743"/>
      <c r="CC504" s="743"/>
      <c r="CD504" s="743"/>
      <c r="CE504" s="743"/>
      <c r="CF504" s="849"/>
      <c r="CG504" s="820"/>
      <c r="CH504" s="820"/>
      <c r="CI504" s="820"/>
      <c r="CJ504" s="820"/>
      <c r="CK504" s="849"/>
      <c r="CL504" s="820"/>
      <c r="CM504" s="820"/>
      <c r="CN504" s="820"/>
      <c r="CO504" s="820"/>
      <c r="CP504" s="849"/>
      <c r="CQ504" s="820"/>
      <c r="CR504" s="820"/>
      <c r="CS504" s="820"/>
      <c r="CT504" s="820"/>
      <c r="CU504" s="849"/>
      <c r="CV504" s="820"/>
      <c r="CW504" s="820"/>
      <c r="CX504" s="820"/>
      <c r="CY504" s="820"/>
      <c r="CZ504" s="849"/>
      <c r="DA504" s="820"/>
      <c r="DB504" s="820"/>
      <c r="DC504" s="820"/>
      <c r="DD504" s="820"/>
      <c r="DE504" s="849"/>
      <c r="DF504" s="820"/>
      <c r="DG504" s="820"/>
      <c r="DH504" s="820"/>
      <c r="DI504" s="2815"/>
      <c r="DJ504" s="849"/>
      <c r="DK504" s="820"/>
      <c r="DL504" s="820"/>
      <c r="DM504" s="820"/>
      <c r="DN504" s="820"/>
      <c r="DO504" s="849"/>
      <c r="DP504" s="820"/>
      <c r="DQ504" s="820"/>
      <c r="DR504" s="820"/>
      <c r="DS504" s="820"/>
      <c r="DT504" s="849"/>
      <c r="DU504" s="820"/>
      <c r="DV504" s="820"/>
      <c r="DW504" s="820"/>
      <c r="DX504" s="820"/>
      <c r="DY504" s="849"/>
    </row>
    <row r="505" spans="1:129" hidden="1" outlineLevel="1" x14ac:dyDescent="0.2">
      <c r="A505" s="526"/>
      <c r="B505" s="756"/>
      <c r="C505" s="597"/>
      <c r="D505" s="597"/>
      <c r="E505" s="597"/>
      <c r="F505" s="597"/>
      <c r="G505" s="597"/>
      <c r="H505" s="597"/>
      <c r="I505" s="597"/>
      <c r="J505" s="597"/>
      <c r="K505" s="597"/>
      <c r="L505" s="597"/>
      <c r="M505" s="597"/>
      <c r="N505" s="597"/>
      <c r="O505" s="597"/>
      <c r="P505" s="597"/>
      <c r="Q505" s="597"/>
      <c r="R505" s="597"/>
      <c r="S505" s="597"/>
      <c r="T505" s="597"/>
      <c r="U505" s="597"/>
      <c r="V505" s="597"/>
      <c r="W505" s="597"/>
      <c r="X505" s="598"/>
      <c r="Y505" s="597"/>
      <c r="Z505" s="597"/>
      <c r="AA505" s="597"/>
      <c r="AB505" s="597"/>
      <c r="AC505" s="598"/>
      <c r="AD505" s="597"/>
      <c r="AE505" s="597"/>
      <c r="AF505" s="597"/>
      <c r="AG505" s="597"/>
      <c r="AH505" s="598"/>
      <c r="AI505" s="597"/>
      <c r="AJ505" s="597"/>
      <c r="AK505" s="597"/>
      <c r="AL505" s="597"/>
      <c r="AM505" s="598"/>
      <c r="AN505" s="597"/>
      <c r="AO505" s="597"/>
      <c r="AP505" s="597"/>
      <c r="AQ505" s="597"/>
      <c r="AR505" s="598"/>
      <c r="AS505" s="597"/>
      <c r="AT505" s="597"/>
      <c r="AU505" s="597"/>
      <c r="AV505" s="597"/>
      <c r="AW505" s="598"/>
      <c r="AX505" s="597"/>
      <c r="AY505" s="597"/>
      <c r="AZ505" s="597"/>
      <c r="BA505" s="597"/>
      <c r="BB505" s="598"/>
      <c r="BC505" s="597"/>
      <c r="BD505" s="597"/>
      <c r="BE505" s="597"/>
      <c r="BF505" s="597"/>
      <c r="BG505" s="598"/>
      <c r="BH505" s="597"/>
      <c r="BI505" s="597"/>
      <c r="BJ505" s="597"/>
      <c r="BK505" s="597"/>
      <c r="BL505" s="598"/>
      <c r="BM505" s="597"/>
      <c r="BN505" s="597"/>
      <c r="BO505" s="597"/>
      <c r="BP505" s="597"/>
      <c r="BQ505" s="598"/>
      <c r="BR505" s="597"/>
      <c r="BS505" s="597"/>
      <c r="BT505" s="597"/>
      <c r="BU505" s="597"/>
      <c r="BV505" s="598"/>
      <c r="BW505" s="597"/>
      <c r="BX505" s="597"/>
      <c r="BY505" s="597"/>
      <c r="BZ505" s="597"/>
      <c r="CA505" s="598"/>
      <c r="CB505" s="597"/>
      <c r="CC505" s="597"/>
      <c r="CD505" s="597"/>
      <c r="CE505" s="597"/>
      <c r="CF505" s="598"/>
      <c r="CG505" s="682"/>
      <c r="CH505" s="682"/>
      <c r="CI505" s="682"/>
      <c r="CJ505" s="682"/>
      <c r="CK505" s="598"/>
      <c r="CL505" s="682"/>
      <c r="CM505" s="682"/>
      <c r="CN505" s="682"/>
      <c r="CO505" s="682"/>
      <c r="CP505" s="598"/>
      <c r="CQ505" s="682"/>
      <c r="CR505" s="682"/>
      <c r="CS505" s="682"/>
      <c r="CT505" s="682"/>
      <c r="CU505" s="598"/>
      <c r="CV505" s="682"/>
      <c r="CW505" s="682"/>
      <c r="CX505" s="682"/>
      <c r="CY505" s="682"/>
      <c r="CZ505" s="598"/>
      <c r="DA505" s="682"/>
      <c r="DB505" s="682"/>
      <c r="DC505" s="682"/>
      <c r="DD505" s="682"/>
      <c r="DE505" s="598"/>
      <c r="DF505" s="682"/>
      <c r="DG505" s="682"/>
      <c r="DH505" s="682"/>
      <c r="DI505" s="1610"/>
      <c r="DJ505" s="598"/>
      <c r="DK505" s="682"/>
      <c r="DL505" s="682"/>
      <c r="DM505" s="682"/>
      <c r="DN505" s="682"/>
      <c r="DO505" s="598"/>
      <c r="DP505" s="682"/>
      <c r="DQ505" s="682"/>
      <c r="DR505" s="682"/>
      <c r="DS505" s="682"/>
      <c r="DT505" s="598"/>
      <c r="DU505" s="682"/>
      <c r="DV505" s="682"/>
      <c r="DW505" s="682"/>
      <c r="DX505" s="682"/>
      <c r="DY505" s="598"/>
    </row>
    <row r="506" spans="1:129" hidden="1" outlineLevel="1" x14ac:dyDescent="0.2">
      <c r="A506" s="466"/>
      <c r="B506" s="607" t="s">
        <v>901</v>
      </c>
      <c r="C506" s="585"/>
      <c r="D506" s="585"/>
      <c r="E506" s="585"/>
      <c r="F506" s="585"/>
      <c r="G506" s="585"/>
      <c r="H506" s="585"/>
      <c r="I506" s="585"/>
      <c r="J506" s="585"/>
      <c r="K506" s="585"/>
      <c r="L506" s="585"/>
      <c r="M506" s="585"/>
      <c r="N506" s="585"/>
      <c r="O506" s="585"/>
      <c r="P506" s="585"/>
      <c r="Q506" s="585"/>
      <c r="R506" s="585"/>
      <c r="S506" s="585"/>
      <c r="T506" s="585"/>
      <c r="U506" s="585"/>
      <c r="V506" s="592">
        <v>44.100678058041765</v>
      </c>
      <c r="W506" s="592">
        <v>46.138636363636358</v>
      </c>
      <c r="X506" s="586"/>
      <c r="Y506" s="592">
        <v>44.765531914893614</v>
      </c>
      <c r="Z506" s="592">
        <v>45.54218487394958</v>
      </c>
      <c r="AA506" s="592">
        <v>45.849250463196896</v>
      </c>
      <c r="AB506" s="592">
        <v>47.370984251968508</v>
      </c>
      <c r="AC506" s="754">
        <v>45.910179578633041</v>
      </c>
      <c r="AD506" s="592">
        <v>46.892218430034127</v>
      </c>
      <c r="AE506" s="592">
        <v>47.358206896551721</v>
      </c>
      <c r="AF506" s="592">
        <v>47.932569444444447</v>
      </c>
      <c r="AG506" s="592">
        <v>49.050858085808578</v>
      </c>
      <c r="AH506" s="754">
        <v>47.819667802385013</v>
      </c>
      <c r="AI506" s="592">
        <v>50.284018691588784</v>
      </c>
      <c r="AJ506" s="592">
        <v>51.470443037974675</v>
      </c>
      <c r="AK506" s="592">
        <v>52.558036809815952</v>
      </c>
      <c r="AL506" s="592">
        <v>53.881635622817228</v>
      </c>
      <c r="AM506" s="754">
        <v>52.084402265421694</v>
      </c>
      <c r="AN506" s="592">
        <v>54.503677581863968</v>
      </c>
      <c r="AO506" s="592">
        <v>55.032184769038707</v>
      </c>
      <c r="AP506" s="592">
        <v>55.860915841584159</v>
      </c>
      <c r="AQ506" s="592">
        <v>57.07184579439253</v>
      </c>
      <c r="AR506" s="754">
        <v>55.644621049401664</v>
      </c>
      <c r="AS506" s="592">
        <v>54.337433558396782</v>
      </c>
      <c r="AT506" s="592">
        <v>43.421959338960882</v>
      </c>
      <c r="AU506" s="592">
        <v>44.411512145158305</v>
      </c>
      <c r="AV506" s="592">
        <v>45.004852733032287</v>
      </c>
      <c r="AW506" s="754">
        <v>45.274735514030176</v>
      </c>
      <c r="AX506" s="592">
        <v>48.212981510237775</v>
      </c>
      <c r="AY506" s="592">
        <v>50.271310937662861</v>
      </c>
      <c r="AZ506" s="592">
        <v>50.073731825120738</v>
      </c>
      <c r="BA506" s="592">
        <v>53.069007240670679</v>
      </c>
      <c r="BB506" s="754">
        <v>50.346201896177753</v>
      </c>
      <c r="BC506" s="592">
        <v>55.066303978238693</v>
      </c>
      <c r="BD506" s="592">
        <v>58.557174853115441</v>
      </c>
      <c r="BE506" s="592">
        <v>59.469784064943269</v>
      </c>
      <c r="BF506" s="592">
        <v>59.237950382801408</v>
      </c>
      <c r="BG506" s="754">
        <v>58.054899885470554</v>
      </c>
      <c r="BH506" s="585"/>
      <c r="BI506" s="585"/>
      <c r="BJ506" s="585"/>
      <c r="BK506" s="585"/>
      <c r="BL506" s="586"/>
      <c r="BM506" s="585"/>
      <c r="BN506" s="585"/>
      <c r="BO506" s="585"/>
      <c r="BP506" s="585"/>
      <c r="BQ506" s="586"/>
      <c r="BR506" s="585"/>
      <c r="BS506" s="585"/>
      <c r="BT506" s="585"/>
      <c r="BU506" s="585"/>
      <c r="BV506" s="586"/>
      <c r="BW506" s="585"/>
      <c r="BX506" s="585"/>
      <c r="BY506" s="585"/>
      <c r="BZ506" s="585"/>
      <c r="CA506" s="586"/>
      <c r="CB506" s="585"/>
      <c r="CC506" s="585"/>
      <c r="CD506" s="585"/>
      <c r="CE506" s="585"/>
      <c r="CF506" s="586"/>
      <c r="CG506" s="470"/>
      <c r="CH506" s="470"/>
      <c r="CI506" s="470"/>
      <c r="CJ506" s="470"/>
      <c r="CK506" s="586"/>
      <c r="CL506" s="470"/>
      <c r="CM506" s="470"/>
      <c r="CN506" s="470"/>
      <c r="CO506" s="470"/>
      <c r="CP506" s="586"/>
      <c r="CQ506" s="470"/>
      <c r="CR506" s="470"/>
      <c r="CS506" s="470"/>
      <c r="CT506" s="470"/>
      <c r="CU506" s="586"/>
      <c r="CV506" s="470"/>
      <c r="CW506" s="470"/>
      <c r="CX506" s="470"/>
      <c r="CY506" s="470"/>
      <c r="CZ506" s="586"/>
      <c r="DA506" s="470"/>
      <c r="DB506" s="470"/>
      <c r="DC506" s="470"/>
      <c r="DD506" s="470"/>
      <c r="DE506" s="586"/>
      <c r="DF506" s="470"/>
      <c r="DG506" s="470"/>
      <c r="DH506" s="470"/>
      <c r="DI506" s="914"/>
      <c r="DJ506" s="586"/>
      <c r="DK506" s="470"/>
      <c r="DL506" s="470"/>
      <c r="DM506" s="470"/>
      <c r="DN506" s="470"/>
      <c r="DO506" s="586"/>
      <c r="DP506" s="470"/>
      <c r="DQ506" s="470"/>
      <c r="DR506" s="470"/>
      <c r="DS506" s="470"/>
      <c r="DT506" s="586"/>
      <c r="DU506" s="470"/>
      <c r="DV506" s="470"/>
      <c r="DW506" s="470"/>
      <c r="DX506" s="470"/>
      <c r="DY506" s="586"/>
    </row>
    <row r="507" spans="1:129" hidden="1" outlineLevel="1" x14ac:dyDescent="0.2">
      <c r="A507" s="526"/>
      <c r="B507" s="756" t="s">
        <v>204</v>
      </c>
      <c r="C507" s="597"/>
      <c r="D507" s="597"/>
      <c r="E507" s="597"/>
      <c r="F507" s="597"/>
      <c r="G507" s="597"/>
      <c r="H507" s="597"/>
      <c r="I507" s="597"/>
      <c r="J507" s="597"/>
      <c r="K507" s="597"/>
      <c r="L507" s="597"/>
      <c r="M507" s="597"/>
      <c r="N507" s="597"/>
      <c r="O507" s="743"/>
      <c r="P507" s="743"/>
      <c r="Q507" s="743"/>
      <c r="R507" s="743"/>
      <c r="S507" s="599"/>
      <c r="T507" s="743"/>
      <c r="U507" s="743"/>
      <c r="V507" s="743"/>
      <c r="W507" s="743"/>
      <c r="X507" s="849"/>
      <c r="Y507" s="743"/>
      <c r="Z507" s="743"/>
      <c r="AA507" s="744">
        <v>3.9649558286922515E-2</v>
      </c>
      <c r="AB507" s="744">
        <v>2.670967296518123E-2</v>
      </c>
      <c r="AC507" s="849"/>
      <c r="AD507" s="744">
        <v>4.7507232108482178E-2</v>
      </c>
      <c r="AE507" s="744">
        <v>3.9875601656540471E-2</v>
      </c>
      <c r="AF507" s="744">
        <v>4.5438452323660616E-2</v>
      </c>
      <c r="AG507" s="744">
        <v>3.5462084235040159E-2</v>
      </c>
      <c r="AH507" s="745">
        <v>4.1591826502910489E-2</v>
      </c>
      <c r="AI507" s="744">
        <v>7.2331836179075681E-2</v>
      </c>
      <c r="AJ507" s="744">
        <v>8.6832597999447758E-2</v>
      </c>
      <c r="AK507" s="744">
        <v>9.6499466208098683E-2</v>
      </c>
      <c r="AL507" s="744">
        <v>9.8485077030819435E-2</v>
      </c>
      <c r="AM507" s="745">
        <v>8.9183690707779872E-2</v>
      </c>
      <c r="AN507" s="744">
        <v>8.3916500710811803E-2</v>
      </c>
      <c r="AO507" s="744">
        <v>6.9199748842965869E-2</v>
      </c>
      <c r="AP507" s="744">
        <v>6.284251148344544E-2</v>
      </c>
      <c r="AQ507" s="744">
        <v>5.9207745546320245E-2</v>
      </c>
      <c r="AR507" s="745">
        <v>6.8354797772990139E-2</v>
      </c>
      <c r="AS507" s="744">
        <v>-3.0501432351511815E-3</v>
      </c>
      <c r="AT507" s="744">
        <v>-0.21097155198915118</v>
      </c>
      <c r="AU507" s="744">
        <v>-0.20496269214230556</v>
      </c>
      <c r="AV507" s="744">
        <v>-0.21143512871185011</v>
      </c>
      <c r="AW507" s="745">
        <v>-0.18635917254544754</v>
      </c>
      <c r="AX507" s="744">
        <v>-0.11271147065819775</v>
      </c>
      <c r="AY507" s="744">
        <v>0.15773934900621378</v>
      </c>
      <c r="AZ507" s="744">
        <v>0.12749441319303778</v>
      </c>
      <c r="BA507" s="744">
        <v>0.17918411055524985</v>
      </c>
      <c r="BB507" s="745">
        <v>0.11201537291313346</v>
      </c>
      <c r="BC507" s="744">
        <v>0.14214682961570535</v>
      </c>
      <c r="BD507" s="744">
        <v>0.16482291312687614</v>
      </c>
      <c r="BE507" s="744">
        <v>0.18764433760674426</v>
      </c>
      <c r="BF507" s="744">
        <v>0.11624380147445112</v>
      </c>
      <c r="BG507" s="745">
        <v>0.15311379406910208</v>
      </c>
      <c r="BH507" s="743"/>
      <c r="BI507" s="743"/>
      <c r="BJ507" s="743"/>
      <c r="BK507" s="743"/>
      <c r="BL507" s="849"/>
      <c r="BM507" s="743"/>
      <c r="BN507" s="743"/>
      <c r="BO507" s="743"/>
      <c r="BP507" s="743"/>
      <c r="BQ507" s="849"/>
      <c r="BR507" s="743"/>
      <c r="BS507" s="743"/>
      <c r="BT507" s="743"/>
      <c r="BU507" s="743"/>
      <c r="BV507" s="849"/>
      <c r="BW507" s="743"/>
      <c r="BX507" s="743"/>
      <c r="BY507" s="743"/>
      <c r="BZ507" s="743"/>
      <c r="CA507" s="849"/>
      <c r="CB507" s="743"/>
      <c r="CC507" s="743"/>
      <c r="CD507" s="743"/>
      <c r="CE507" s="743"/>
      <c r="CF507" s="849"/>
      <c r="CG507" s="820"/>
      <c r="CH507" s="820"/>
      <c r="CI507" s="820"/>
      <c r="CJ507" s="820"/>
      <c r="CK507" s="849"/>
      <c r="CL507" s="820"/>
      <c r="CM507" s="820"/>
      <c r="CN507" s="820"/>
      <c r="CO507" s="820"/>
      <c r="CP507" s="849"/>
      <c r="CQ507" s="820"/>
      <c r="CR507" s="820"/>
      <c r="CS507" s="820"/>
      <c r="CT507" s="820"/>
      <c r="CU507" s="849"/>
      <c r="CV507" s="820"/>
      <c r="CW507" s="820"/>
      <c r="CX507" s="820"/>
      <c r="CY507" s="820"/>
      <c r="CZ507" s="849"/>
      <c r="DA507" s="820"/>
      <c r="DB507" s="820"/>
      <c r="DC507" s="820"/>
      <c r="DD507" s="820"/>
      <c r="DE507" s="849"/>
      <c r="DF507" s="820"/>
      <c r="DG507" s="820"/>
      <c r="DH507" s="820"/>
      <c r="DI507" s="2815"/>
      <c r="DJ507" s="849"/>
      <c r="DK507" s="820"/>
      <c r="DL507" s="820"/>
      <c r="DM507" s="820"/>
      <c r="DN507" s="820"/>
      <c r="DO507" s="849"/>
      <c r="DP507" s="820"/>
      <c r="DQ507" s="820"/>
      <c r="DR507" s="820"/>
      <c r="DS507" s="820"/>
      <c r="DT507" s="849"/>
      <c r="DU507" s="820"/>
      <c r="DV507" s="820"/>
      <c r="DW507" s="820"/>
      <c r="DX507" s="820"/>
      <c r="DY507" s="849"/>
    </row>
    <row r="508" spans="1:129" hidden="1" outlineLevel="1" x14ac:dyDescent="0.2">
      <c r="A508" s="526"/>
      <c r="B508" s="756"/>
      <c r="C508" s="597"/>
      <c r="D508" s="597"/>
      <c r="E508" s="597"/>
      <c r="F508" s="597"/>
      <c r="G508" s="597"/>
      <c r="H508" s="597"/>
      <c r="I508" s="597"/>
      <c r="J508" s="597"/>
      <c r="K508" s="597"/>
      <c r="L508" s="597"/>
      <c r="M508" s="597"/>
      <c r="N508" s="597"/>
      <c r="O508" s="597"/>
      <c r="P508" s="597"/>
      <c r="Q508" s="597"/>
      <c r="R508" s="597"/>
      <c r="S508" s="597"/>
      <c r="T508" s="597"/>
      <c r="U508" s="597"/>
      <c r="V508" s="597"/>
      <c r="W508" s="597"/>
      <c r="X508" s="598"/>
      <c r="Y508" s="597"/>
      <c r="Z508" s="597"/>
      <c r="AA508" s="597"/>
      <c r="AB508" s="597"/>
      <c r="AC508" s="598"/>
      <c r="AD508" s="597"/>
      <c r="AE508" s="597"/>
      <c r="AF508" s="597"/>
      <c r="AG508" s="597"/>
      <c r="AH508" s="598"/>
      <c r="AI508" s="597"/>
      <c r="AJ508" s="597"/>
      <c r="AK508" s="597"/>
      <c r="AL508" s="597"/>
      <c r="AM508" s="598"/>
      <c r="AN508" s="597"/>
      <c r="AO508" s="597"/>
      <c r="AP508" s="597"/>
      <c r="AQ508" s="597"/>
      <c r="AR508" s="598"/>
      <c r="AS508" s="597"/>
      <c r="AT508" s="597"/>
      <c r="AU508" s="597"/>
      <c r="AV508" s="597"/>
      <c r="AW508" s="598"/>
      <c r="AX508" s="597"/>
      <c r="AY508" s="597"/>
      <c r="AZ508" s="597"/>
      <c r="BA508" s="597"/>
      <c r="BB508" s="598"/>
      <c r="BC508" s="597"/>
      <c r="BD508" s="597"/>
      <c r="BE508" s="597"/>
      <c r="BF508" s="597"/>
      <c r="BG508" s="598"/>
      <c r="BH508" s="597"/>
      <c r="BI508" s="597"/>
      <c r="BJ508" s="597"/>
      <c r="BK508" s="597"/>
      <c r="BL508" s="598"/>
      <c r="BM508" s="597"/>
      <c r="BN508" s="597"/>
      <c r="BO508" s="597"/>
      <c r="BP508" s="597"/>
      <c r="BQ508" s="598"/>
      <c r="BR508" s="597"/>
      <c r="BS508" s="597"/>
      <c r="BT508" s="597"/>
      <c r="BU508" s="597"/>
      <c r="BV508" s="598"/>
      <c r="BW508" s="597"/>
      <c r="BX508" s="597"/>
      <c r="BY508" s="597"/>
      <c r="BZ508" s="597"/>
      <c r="CA508" s="598"/>
      <c r="CB508" s="597"/>
      <c r="CC508" s="597"/>
      <c r="CD508" s="597"/>
      <c r="CE508" s="597"/>
      <c r="CF508" s="598"/>
      <c r="CG508" s="682"/>
      <c r="CH508" s="682"/>
      <c r="CI508" s="682"/>
      <c r="CJ508" s="682"/>
      <c r="CK508" s="598"/>
      <c r="CL508" s="682"/>
      <c r="CM508" s="682"/>
      <c r="CN508" s="682"/>
      <c r="CO508" s="682"/>
      <c r="CP508" s="598"/>
      <c r="CQ508" s="682"/>
      <c r="CR508" s="682"/>
      <c r="CS508" s="682"/>
      <c r="CT508" s="682"/>
      <c r="CU508" s="598"/>
      <c r="CV508" s="682"/>
      <c r="CW508" s="682"/>
      <c r="CX508" s="682"/>
      <c r="CY508" s="682"/>
      <c r="CZ508" s="598"/>
      <c r="DA508" s="682"/>
      <c r="DB508" s="682"/>
      <c r="DC508" s="682"/>
      <c r="DD508" s="682"/>
      <c r="DE508" s="598"/>
      <c r="DF508" s="682"/>
      <c r="DG508" s="682"/>
      <c r="DH508" s="682"/>
      <c r="DI508" s="1610"/>
      <c r="DJ508" s="598"/>
      <c r="DK508" s="682"/>
      <c r="DL508" s="682"/>
      <c r="DM508" s="682"/>
      <c r="DN508" s="682"/>
      <c r="DO508" s="598"/>
      <c r="DP508" s="682"/>
      <c r="DQ508" s="682"/>
      <c r="DR508" s="682"/>
      <c r="DS508" s="682"/>
      <c r="DT508" s="598"/>
      <c r="DU508" s="682"/>
      <c r="DV508" s="682"/>
      <c r="DW508" s="682"/>
      <c r="DX508" s="682"/>
      <c r="DY508" s="598"/>
    </row>
    <row r="509" spans="1:129" hidden="1" outlineLevel="1" x14ac:dyDescent="0.2">
      <c r="A509" s="466"/>
      <c r="B509" s="607" t="s">
        <v>784</v>
      </c>
      <c r="C509" s="585"/>
      <c r="D509" s="585"/>
      <c r="E509" s="585"/>
      <c r="F509" s="585"/>
      <c r="G509" s="585"/>
      <c r="H509" s="585"/>
      <c r="I509" s="585"/>
      <c r="J509" s="585"/>
      <c r="K509" s="585"/>
      <c r="L509" s="585"/>
      <c r="M509" s="585"/>
      <c r="N509" s="585"/>
      <c r="O509" s="585"/>
      <c r="P509" s="585"/>
      <c r="Q509" s="585"/>
      <c r="R509" s="585"/>
      <c r="S509" s="585"/>
      <c r="T509" s="585"/>
      <c r="U509" s="585"/>
      <c r="V509" s="592">
        <v>812.99599999999998</v>
      </c>
      <c r="W509" s="592">
        <v>913.54499999999996</v>
      </c>
      <c r="X509" s="754">
        <v>3307.806</v>
      </c>
      <c r="Y509" s="592">
        <v>1051.99</v>
      </c>
      <c r="Z509" s="592">
        <v>1083.904</v>
      </c>
      <c r="AA509" s="592">
        <v>1088.828</v>
      </c>
      <c r="AB509" s="592">
        <v>1203.223</v>
      </c>
      <c r="AC509" s="754">
        <v>4427.9449999999997</v>
      </c>
      <c r="AD509" s="592">
        <v>1373.942</v>
      </c>
      <c r="AE509" s="592">
        <v>1373.3879999999999</v>
      </c>
      <c r="AF509" s="592">
        <v>1380.4580000000001</v>
      </c>
      <c r="AG509" s="592">
        <v>1486.241</v>
      </c>
      <c r="AH509" s="754">
        <v>5614.0290000000005</v>
      </c>
      <c r="AI509" s="592">
        <v>1614.117</v>
      </c>
      <c r="AJ509" s="592">
        <v>1626.4659999999999</v>
      </c>
      <c r="AK509" s="592">
        <v>1713.3920000000001</v>
      </c>
      <c r="AL509" s="592">
        <v>1851.373</v>
      </c>
      <c r="AM509" s="754">
        <v>6805.348</v>
      </c>
      <c r="AN509" s="592">
        <v>2163.7959999999998</v>
      </c>
      <c r="AO509" s="592">
        <v>2204.0390000000002</v>
      </c>
      <c r="AP509" s="592">
        <v>2256.7809999999999</v>
      </c>
      <c r="AQ509" s="592">
        <v>2442.6750000000002</v>
      </c>
      <c r="AR509" s="754">
        <v>9067.2910000000011</v>
      </c>
      <c r="AS509" s="592">
        <v>3025.9430000000002</v>
      </c>
      <c r="AT509" s="592">
        <v>7304.442</v>
      </c>
      <c r="AU509" s="592">
        <v>7457.8919999999998</v>
      </c>
      <c r="AV509" s="592">
        <v>8012.8440000000001</v>
      </c>
      <c r="AW509" s="754">
        <v>25801.121000000003</v>
      </c>
      <c r="AX509" s="592">
        <v>8351.9830000000002</v>
      </c>
      <c r="AY509" s="592">
        <v>8199.1</v>
      </c>
      <c r="AZ509" s="592">
        <v>8003.5849999999991</v>
      </c>
      <c r="BA509" s="592">
        <v>8289.4320000000007</v>
      </c>
      <c r="BB509" s="754">
        <v>32844.1</v>
      </c>
      <c r="BC509" s="592">
        <v>8907.25</v>
      </c>
      <c r="BD509" s="592">
        <v>9438.3040000000001</v>
      </c>
      <c r="BE509" s="592">
        <v>9135.2129999999997</v>
      </c>
      <c r="BF509" s="592">
        <v>9269.4359999999997</v>
      </c>
      <c r="BG509" s="754">
        <v>36750.203000000001</v>
      </c>
      <c r="BH509" s="585"/>
      <c r="BI509" s="585"/>
      <c r="BJ509" s="585"/>
      <c r="BK509" s="585"/>
      <c r="BL509" s="586"/>
      <c r="BM509" s="585"/>
      <c r="BN509" s="585"/>
      <c r="BO509" s="585"/>
      <c r="BP509" s="585"/>
      <c r="BQ509" s="586"/>
      <c r="BR509" s="585"/>
      <c r="BS509" s="585"/>
      <c r="BT509" s="585"/>
      <c r="BU509" s="585"/>
      <c r="BV509" s="586"/>
      <c r="BW509" s="585"/>
      <c r="BX509" s="585"/>
      <c r="BY509" s="585"/>
      <c r="BZ509" s="585"/>
      <c r="CA509" s="586"/>
      <c r="CB509" s="585"/>
      <c r="CC509" s="585"/>
      <c r="CD509" s="585"/>
      <c r="CE509" s="585"/>
      <c r="CF509" s="586"/>
      <c r="CG509" s="470"/>
      <c r="CH509" s="470"/>
      <c r="CI509" s="470"/>
      <c r="CJ509" s="470"/>
      <c r="CK509" s="586"/>
      <c r="CL509" s="470"/>
      <c r="CM509" s="470"/>
      <c r="CN509" s="470"/>
      <c r="CO509" s="470"/>
      <c r="CP509" s="586"/>
      <c r="CQ509" s="470"/>
      <c r="CR509" s="470"/>
      <c r="CS509" s="470"/>
      <c r="CT509" s="470"/>
      <c r="CU509" s="586"/>
      <c r="CV509" s="470"/>
      <c r="CW509" s="470"/>
      <c r="CX509" s="470"/>
      <c r="CY509" s="470"/>
      <c r="CZ509" s="586"/>
      <c r="DA509" s="470"/>
      <c r="DB509" s="470"/>
      <c r="DC509" s="470"/>
      <c r="DD509" s="470"/>
      <c r="DE509" s="586"/>
      <c r="DF509" s="470"/>
      <c r="DG509" s="470"/>
      <c r="DH509" s="470"/>
      <c r="DI509" s="914"/>
      <c r="DJ509" s="586"/>
      <c r="DK509" s="470"/>
      <c r="DL509" s="470"/>
      <c r="DM509" s="470"/>
      <c r="DN509" s="470"/>
      <c r="DO509" s="586"/>
      <c r="DP509" s="470"/>
      <c r="DQ509" s="470"/>
      <c r="DR509" s="470"/>
      <c r="DS509" s="470"/>
      <c r="DT509" s="586"/>
      <c r="DU509" s="470"/>
      <c r="DV509" s="470"/>
      <c r="DW509" s="470"/>
      <c r="DX509" s="470"/>
      <c r="DY509" s="586"/>
    </row>
    <row r="510" spans="1:129" hidden="1" outlineLevel="1" x14ac:dyDescent="0.2">
      <c r="A510" s="683"/>
      <c r="B510" s="989" t="s">
        <v>204</v>
      </c>
      <c r="C510" s="743"/>
      <c r="D510" s="743"/>
      <c r="E510" s="743"/>
      <c r="F510" s="743"/>
      <c r="G510" s="743"/>
      <c r="H510" s="743"/>
      <c r="I510" s="743"/>
      <c r="J510" s="743"/>
      <c r="K510" s="743"/>
      <c r="L510" s="743"/>
      <c r="M510" s="743"/>
      <c r="N510" s="743"/>
      <c r="O510" s="743"/>
      <c r="P510" s="743"/>
      <c r="Q510" s="743"/>
      <c r="R510" s="743"/>
      <c r="S510" s="743"/>
      <c r="T510" s="743"/>
      <c r="U510" s="743"/>
      <c r="V510" s="751" t="s">
        <v>897</v>
      </c>
      <c r="W510" s="751" t="s">
        <v>897</v>
      </c>
      <c r="X510" s="849" t="s">
        <v>897</v>
      </c>
      <c r="Y510" s="751" t="s">
        <v>897</v>
      </c>
      <c r="Z510" s="751" t="s">
        <v>897</v>
      </c>
      <c r="AA510" s="744">
        <v>0.33927842203405678</v>
      </c>
      <c r="AB510" s="744">
        <v>0.31709220673311123</v>
      </c>
      <c r="AC510" s="745">
        <v>0.33863503482368662</v>
      </c>
      <c r="AD510" s="744">
        <v>0.3060409319480224</v>
      </c>
      <c r="AE510" s="744">
        <v>0.26707531294284359</v>
      </c>
      <c r="AF510" s="744">
        <v>0.26783844647639499</v>
      </c>
      <c r="AG510" s="744">
        <v>0.23521658080006791</v>
      </c>
      <c r="AH510" s="745">
        <v>0.26786330905194178</v>
      </c>
      <c r="AI510" s="744">
        <v>0.17480723349311678</v>
      </c>
      <c r="AJ510" s="744">
        <v>0.18427276195801912</v>
      </c>
      <c r="AK510" s="744">
        <v>0.24117647911055595</v>
      </c>
      <c r="AL510" s="744">
        <v>0.24567482662636819</v>
      </c>
      <c r="AM510" s="745">
        <v>0.21220392698363333</v>
      </c>
      <c r="AN510" s="744">
        <v>0.34054470648658053</v>
      </c>
      <c r="AO510" s="744">
        <v>0.3551091753531892</v>
      </c>
      <c r="AP510" s="744">
        <v>0.31714225349482184</v>
      </c>
      <c r="AQ510" s="744">
        <v>0.31938566674570712</v>
      </c>
      <c r="AR510" s="745">
        <v>0.33237727152233809</v>
      </c>
      <c r="AS510" s="744">
        <v>0.39844190487458175</v>
      </c>
      <c r="AT510" s="744">
        <v>2.3141164924940072</v>
      </c>
      <c r="AU510" s="744">
        <v>2.3046591583321554</v>
      </c>
      <c r="AV510" s="744">
        <v>2.2803561669071812</v>
      </c>
      <c r="AW510" s="745">
        <v>1.8455159319360104</v>
      </c>
      <c r="AX510" s="744">
        <v>1.7601256864389052</v>
      </c>
      <c r="AY510" s="744">
        <v>0.12248136134149612</v>
      </c>
      <c r="AZ510" s="744">
        <v>7.3169871593742553E-2</v>
      </c>
      <c r="BA510" s="744">
        <v>3.4518081220600516E-2</v>
      </c>
      <c r="BB510" s="745">
        <v>0.27297182165069467</v>
      </c>
      <c r="BC510" s="744">
        <v>6.6483253138805543E-2</v>
      </c>
      <c r="BD510" s="744">
        <v>0.1511390274542328</v>
      </c>
      <c r="BE510" s="744">
        <v>0.14139013954371715</v>
      </c>
      <c r="BF510" s="744">
        <v>0.11822329925620956</v>
      </c>
      <c r="BG510" s="745">
        <v>0.11892860513760461</v>
      </c>
      <c r="BH510" s="743"/>
      <c r="BI510" s="743"/>
      <c r="BJ510" s="743"/>
      <c r="BK510" s="743"/>
      <c r="BL510" s="849"/>
      <c r="BM510" s="743"/>
      <c r="BN510" s="743"/>
      <c r="BO510" s="743"/>
      <c r="BP510" s="743"/>
      <c r="BQ510" s="849"/>
      <c r="BR510" s="743"/>
      <c r="BS510" s="743"/>
      <c r="BT510" s="743"/>
      <c r="BU510" s="743"/>
      <c r="BV510" s="849"/>
      <c r="BW510" s="743"/>
      <c r="BX510" s="743"/>
      <c r="BY510" s="743"/>
      <c r="BZ510" s="743"/>
      <c r="CA510" s="849"/>
      <c r="CB510" s="743"/>
      <c r="CC510" s="743"/>
      <c r="CD510" s="743"/>
      <c r="CE510" s="743"/>
      <c r="CF510" s="849"/>
      <c r="CG510" s="820"/>
      <c r="CH510" s="820"/>
      <c r="CI510" s="820"/>
      <c r="CJ510" s="820"/>
      <c r="CK510" s="849"/>
      <c r="CL510" s="820"/>
      <c r="CM510" s="820"/>
      <c r="CN510" s="820"/>
      <c r="CO510" s="820"/>
      <c r="CP510" s="849"/>
      <c r="CQ510" s="820"/>
      <c r="CR510" s="820"/>
      <c r="CS510" s="820"/>
      <c r="CT510" s="820"/>
      <c r="CU510" s="849"/>
      <c r="CV510" s="820"/>
      <c r="CW510" s="820"/>
      <c r="CX510" s="820"/>
      <c r="CY510" s="820"/>
      <c r="CZ510" s="849"/>
      <c r="DA510" s="820"/>
      <c r="DB510" s="820"/>
      <c r="DC510" s="820"/>
      <c r="DD510" s="820"/>
      <c r="DE510" s="849"/>
      <c r="DF510" s="820"/>
      <c r="DG510" s="820"/>
      <c r="DH510" s="820"/>
      <c r="DI510" s="2815"/>
      <c r="DJ510" s="849"/>
      <c r="DK510" s="820"/>
      <c r="DL510" s="820"/>
      <c r="DM510" s="820"/>
      <c r="DN510" s="820"/>
      <c r="DO510" s="849"/>
      <c r="DP510" s="820"/>
      <c r="DQ510" s="820"/>
      <c r="DR510" s="820"/>
      <c r="DS510" s="820"/>
      <c r="DT510" s="849"/>
      <c r="DU510" s="820"/>
      <c r="DV510" s="820"/>
      <c r="DW510" s="820"/>
      <c r="DX510" s="820"/>
      <c r="DY510" s="849"/>
    </row>
    <row r="511" spans="1:129" hidden="1" outlineLevel="1" x14ac:dyDescent="0.2">
      <c r="A511" s="526"/>
      <c r="B511" s="756"/>
      <c r="C511" s="597"/>
      <c r="D511" s="597"/>
      <c r="E511" s="597"/>
      <c r="F511" s="597"/>
      <c r="G511" s="597"/>
      <c r="H511" s="597"/>
      <c r="I511" s="597"/>
      <c r="J511" s="597"/>
      <c r="K511" s="597"/>
      <c r="L511" s="597"/>
      <c r="M511" s="597"/>
      <c r="N511" s="597"/>
      <c r="O511" s="597"/>
      <c r="P511" s="597"/>
      <c r="Q511" s="597"/>
      <c r="R511" s="597"/>
      <c r="S511" s="597"/>
      <c r="T511" s="597"/>
      <c r="U511" s="597"/>
      <c r="V511" s="597"/>
      <c r="W511" s="597"/>
      <c r="X511" s="598"/>
      <c r="Y511" s="597"/>
      <c r="Z511" s="597"/>
      <c r="AA511" s="597"/>
      <c r="AB511" s="597"/>
      <c r="AC511" s="598"/>
      <c r="AD511" s="597"/>
      <c r="AE511" s="597"/>
      <c r="AF511" s="597"/>
      <c r="AG511" s="597"/>
      <c r="AH511" s="598"/>
      <c r="AI511" s="597"/>
      <c r="AJ511" s="597"/>
      <c r="AK511" s="597"/>
      <c r="AL511" s="597"/>
      <c r="AM511" s="598"/>
      <c r="AN511" s="597"/>
      <c r="AO511" s="597"/>
      <c r="AP511" s="597"/>
      <c r="AQ511" s="597"/>
      <c r="AR511" s="598"/>
      <c r="AS511" s="597"/>
      <c r="AT511" s="597"/>
      <c r="AU511" s="597"/>
      <c r="AV511" s="597"/>
      <c r="AW511" s="598"/>
      <c r="AX511" s="597"/>
      <c r="AY511" s="597"/>
      <c r="AZ511" s="597"/>
      <c r="BA511" s="597"/>
      <c r="BB511" s="598"/>
      <c r="BC511" s="597"/>
      <c r="BD511" s="597"/>
      <c r="BE511" s="597"/>
      <c r="BF511" s="597"/>
      <c r="BG511" s="598"/>
      <c r="BH511" s="597"/>
      <c r="BI511" s="597"/>
      <c r="BJ511" s="597"/>
      <c r="BK511" s="597"/>
      <c r="BL511" s="598"/>
      <c r="BM511" s="597"/>
      <c r="BN511" s="597"/>
      <c r="BO511" s="597"/>
      <c r="BP511" s="597"/>
      <c r="BQ511" s="598"/>
      <c r="BR511" s="597"/>
      <c r="BS511" s="597"/>
      <c r="BT511" s="597"/>
      <c r="BU511" s="597"/>
      <c r="BV511" s="598"/>
      <c r="BW511" s="597"/>
      <c r="BX511" s="597"/>
      <c r="BY511" s="597"/>
      <c r="BZ511" s="597"/>
      <c r="CA511" s="598"/>
      <c r="CB511" s="597"/>
      <c r="CC511" s="597"/>
      <c r="CD511" s="597"/>
      <c r="CE511" s="597"/>
      <c r="CF511" s="598"/>
      <c r="CG511" s="682"/>
      <c r="CH511" s="682"/>
      <c r="CI511" s="682"/>
      <c r="CJ511" s="682"/>
      <c r="CK511" s="598"/>
      <c r="CL511" s="682"/>
      <c r="CM511" s="682"/>
      <c r="CN511" s="682"/>
      <c r="CO511" s="682"/>
      <c r="CP511" s="598"/>
      <c r="CQ511" s="682"/>
      <c r="CR511" s="682"/>
      <c r="CS511" s="682"/>
      <c r="CT511" s="682"/>
      <c r="CU511" s="598"/>
      <c r="CV511" s="682"/>
      <c r="CW511" s="682"/>
      <c r="CX511" s="682"/>
      <c r="CY511" s="682"/>
      <c r="CZ511" s="598"/>
      <c r="DA511" s="682"/>
      <c r="DB511" s="682"/>
      <c r="DC511" s="682"/>
      <c r="DD511" s="682"/>
      <c r="DE511" s="598"/>
      <c r="DF511" s="682"/>
      <c r="DG511" s="682"/>
      <c r="DH511" s="682"/>
      <c r="DI511" s="1610"/>
      <c r="DJ511" s="598"/>
      <c r="DK511" s="682"/>
      <c r="DL511" s="682"/>
      <c r="DM511" s="682"/>
      <c r="DN511" s="682"/>
      <c r="DO511" s="598"/>
      <c r="DP511" s="682"/>
      <c r="DQ511" s="682"/>
      <c r="DR511" s="682"/>
      <c r="DS511" s="682"/>
      <c r="DT511" s="598"/>
      <c r="DU511" s="682"/>
      <c r="DV511" s="682"/>
      <c r="DW511" s="682"/>
      <c r="DX511" s="682"/>
      <c r="DY511" s="598"/>
    </row>
    <row r="512" spans="1:129" hidden="1" outlineLevel="1" x14ac:dyDescent="0.2">
      <c r="A512" s="526"/>
      <c r="B512" s="756" t="s">
        <v>902</v>
      </c>
      <c r="C512" s="597"/>
      <c r="D512" s="597"/>
      <c r="E512" s="597"/>
      <c r="F512" s="597"/>
      <c r="G512" s="597"/>
      <c r="H512" s="597"/>
      <c r="I512" s="597"/>
      <c r="J512" s="597"/>
      <c r="K512" s="597"/>
      <c r="L512" s="597"/>
      <c r="M512" s="597"/>
      <c r="N512" s="597"/>
      <c r="O512" s="597"/>
      <c r="P512" s="597"/>
      <c r="Q512" s="597"/>
      <c r="R512" s="597"/>
      <c r="S512" s="597"/>
      <c r="T512" s="597"/>
      <c r="U512" s="597"/>
      <c r="V512" s="597"/>
      <c r="W512" s="597"/>
      <c r="X512" s="598"/>
      <c r="Y512" s="597"/>
      <c r="Z512" s="597"/>
      <c r="AA512" s="597"/>
      <c r="AB512" s="597"/>
      <c r="AC512" s="598"/>
      <c r="AD512" s="597"/>
      <c r="AE512" s="597"/>
      <c r="AF512" s="597"/>
      <c r="AG512" s="597"/>
      <c r="AH512" s="598"/>
      <c r="AI512" s="597"/>
      <c r="AJ512" s="597"/>
      <c r="AK512" s="597"/>
      <c r="AL512" s="597"/>
      <c r="AM512" s="598"/>
      <c r="AN512" s="597"/>
      <c r="AO512" s="597"/>
      <c r="AP512" s="597"/>
      <c r="AQ512" s="597"/>
      <c r="AR512" s="598"/>
      <c r="AS512" s="597"/>
      <c r="AT512" s="597"/>
      <c r="AU512" s="597"/>
      <c r="AV512" s="597"/>
      <c r="AW512" s="598"/>
      <c r="AX512" s="597"/>
      <c r="AY512" s="597"/>
      <c r="AZ512" s="597"/>
      <c r="BA512" s="597"/>
      <c r="BB512" s="598"/>
      <c r="BC512" s="597"/>
      <c r="BD512" s="597"/>
      <c r="BE512" s="597"/>
      <c r="BF512" s="597"/>
      <c r="BG512" s="598"/>
      <c r="BH512" s="597"/>
      <c r="BI512" s="597"/>
      <c r="BJ512" s="597"/>
      <c r="BK512" s="597"/>
      <c r="BL512" s="598"/>
      <c r="BM512" s="597"/>
      <c r="BN512" s="597"/>
      <c r="BO512" s="597"/>
      <c r="BP512" s="597"/>
      <c r="BQ512" s="598"/>
      <c r="BR512" s="597"/>
      <c r="BS512" s="597"/>
      <c r="BT512" s="597"/>
      <c r="BU512" s="597"/>
      <c r="BV512" s="598"/>
      <c r="BW512" s="597"/>
      <c r="BX512" s="597"/>
      <c r="BY512" s="597"/>
      <c r="BZ512" s="597"/>
      <c r="CA512" s="598"/>
      <c r="CB512" s="597"/>
      <c r="CC512" s="597"/>
      <c r="CD512" s="597"/>
      <c r="CE512" s="597"/>
      <c r="CF512" s="598"/>
      <c r="CG512" s="682"/>
      <c r="CH512" s="682"/>
      <c r="CI512" s="682"/>
      <c r="CJ512" s="682"/>
      <c r="CK512" s="598"/>
      <c r="CL512" s="682"/>
      <c r="CM512" s="682"/>
      <c r="CN512" s="682"/>
      <c r="CO512" s="682"/>
      <c r="CP512" s="598"/>
      <c r="CQ512" s="682"/>
      <c r="CR512" s="682"/>
      <c r="CS512" s="682"/>
      <c r="CT512" s="682"/>
      <c r="CU512" s="598"/>
      <c r="CV512" s="682"/>
      <c r="CW512" s="682"/>
      <c r="CX512" s="682"/>
      <c r="CY512" s="682"/>
      <c r="CZ512" s="598"/>
      <c r="DA512" s="682"/>
      <c r="DB512" s="682"/>
      <c r="DC512" s="682"/>
      <c r="DD512" s="682"/>
      <c r="DE512" s="598"/>
      <c r="DF512" s="682"/>
      <c r="DG512" s="682"/>
      <c r="DH512" s="682"/>
      <c r="DI512" s="1610"/>
      <c r="DJ512" s="598"/>
      <c r="DK512" s="682"/>
      <c r="DL512" s="682"/>
      <c r="DM512" s="682"/>
      <c r="DN512" s="682"/>
      <c r="DO512" s="598"/>
      <c r="DP512" s="682"/>
      <c r="DQ512" s="682"/>
      <c r="DR512" s="682"/>
      <c r="DS512" s="682"/>
      <c r="DT512" s="598"/>
      <c r="DU512" s="682"/>
      <c r="DV512" s="682"/>
      <c r="DW512" s="682"/>
      <c r="DX512" s="682"/>
      <c r="DY512" s="598"/>
    </row>
    <row r="513" spans="1:129" hidden="1" outlineLevel="1" x14ac:dyDescent="0.2">
      <c r="A513" s="466"/>
      <c r="B513" s="607" t="s">
        <v>903</v>
      </c>
      <c r="C513" s="585"/>
      <c r="D513" s="585"/>
      <c r="E513" s="585"/>
      <c r="F513" s="585"/>
      <c r="G513" s="585"/>
      <c r="H513" s="585"/>
      <c r="I513" s="585"/>
      <c r="J513" s="585"/>
      <c r="K513" s="585"/>
      <c r="L513" s="585"/>
      <c r="M513" s="585"/>
      <c r="N513" s="585"/>
      <c r="O513" s="585"/>
      <c r="P513" s="585"/>
      <c r="Q513" s="585"/>
      <c r="R513" s="585"/>
      <c r="S513" s="585"/>
      <c r="T513" s="585"/>
      <c r="U513" s="585"/>
      <c r="V513" s="585"/>
      <c r="W513" s="585"/>
      <c r="X513" s="586"/>
      <c r="Y513" s="585"/>
      <c r="Z513" s="585"/>
      <c r="AA513" s="585"/>
      <c r="AB513" s="585"/>
      <c r="AC513" s="586"/>
      <c r="AD513" s="592">
        <v>0</v>
      </c>
      <c r="AE513" s="592">
        <v>0</v>
      </c>
      <c r="AF513" s="592">
        <v>0</v>
      </c>
      <c r="AG513" s="592">
        <v>0</v>
      </c>
      <c r="AH513" s="754">
        <v>0</v>
      </c>
      <c r="AI513" s="592">
        <v>0</v>
      </c>
      <c r="AJ513" s="592">
        <v>7</v>
      </c>
      <c r="AK513" s="592">
        <v>9.9</v>
      </c>
      <c r="AL513" s="592">
        <v>10</v>
      </c>
      <c r="AM513" s="754">
        <v>26.9</v>
      </c>
      <c r="AN513" s="592">
        <v>10</v>
      </c>
      <c r="AO513" s="592">
        <v>3</v>
      </c>
      <c r="AP513" s="592">
        <v>0</v>
      </c>
      <c r="AQ513" s="592">
        <v>0</v>
      </c>
      <c r="AR513" s="754">
        <v>13</v>
      </c>
      <c r="AS513" s="592">
        <v>0</v>
      </c>
      <c r="AT513" s="592">
        <v>0</v>
      </c>
      <c r="AU513" s="592">
        <v>0</v>
      </c>
      <c r="AV513" s="592">
        <v>0</v>
      </c>
      <c r="AW513" s="754">
        <v>0</v>
      </c>
      <c r="AX513" s="592">
        <v>0</v>
      </c>
      <c r="AY513" s="592">
        <v>0</v>
      </c>
      <c r="AZ513" s="592">
        <v>0</v>
      </c>
      <c r="BA513" s="592">
        <v>0</v>
      </c>
      <c r="BB513" s="754">
        <v>0</v>
      </c>
      <c r="BC513" s="592">
        <v>0</v>
      </c>
      <c r="BD513" s="592">
        <v>0</v>
      </c>
      <c r="BE513" s="592">
        <v>0</v>
      </c>
      <c r="BF513" s="592">
        <v>0</v>
      </c>
      <c r="BG513" s="754">
        <v>0</v>
      </c>
      <c r="BH513" s="585"/>
      <c r="BI513" s="585"/>
      <c r="BJ513" s="585"/>
      <c r="BK513" s="585"/>
      <c r="BL513" s="586"/>
      <c r="BM513" s="585"/>
      <c r="BN513" s="585"/>
      <c r="BO513" s="585"/>
      <c r="BP513" s="585"/>
      <c r="BQ513" s="586"/>
      <c r="BR513" s="585"/>
      <c r="BS513" s="585"/>
      <c r="BT513" s="585"/>
      <c r="BU513" s="585"/>
      <c r="BV513" s="586"/>
      <c r="BW513" s="585"/>
      <c r="BX513" s="585"/>
      <c r="BY513" s="585"/>
      <c r="BZ513" s="585"/>
      <c r="CA513" s="586"/>
      <c r="CB513" s="585"/>
      <c r="CC513" s="585"/>
      <c r="CD513" s="585"/>
      <c r="CE513" s="585"/>
      <c r="CF513" s="586"/>
      <c r="CG513" s="470"/>
      <c r="CH513" s="470"/>
      <c r="CI513" s="470"/>
      <c r="CJ513" s="470"/>
      <c r="CK513" s="586"/>
      <c r="CL513" s="470"/>
      <c r="CM513" s="470"/>
      <c r="CN513" s="470"/>
      <c r="CO513" s="470"/>
      <c r="CP513" s="586"/>
      <c r="CQ513" s="470"/>
      <c r="CR513" s="470"/>
      <c r="CS513" s="470"/>
      <c r="CT513" s="470"/>
      <c r="CU513" s="586"/>
      <c r="CV513" s="470"/>
      <c r="CW513" s="470"/>
      <c r="CX513" s="470"/>
      <c r="CY513" s="470"/>
      <c r="CZ513" s="586"/>
      <c r="DA513" s="470"/>
      <c r="DB513" s="470"/>
      <c r="DC513" s="470"/>
      <c r="DD513" s="470"/>
      <c r="DE513" s="586"/>
      <c r="DF513" s="470"/>
      <c r="DG513" s="470"/>
      <c r="DH513" s="470"/>
      <c r="DI513" s="914"/>
      <c r="DJ513" s="586"/>
      <c r="DK513" s="470"/>
      <c r="DL513" s="470"/>
      <c r="DM513" s="470"/>
      <c r="DN513" s="470"/>
      <c r="DO513" s="586"/>
      <c r="DP513" s="470"/>
      <c r="DQ513" s="470"/>
      <c r="DR513" s="470"/>
      <c r="DS513" s="470"/>
      <c r="DT513" s="586"/>
      <c r="DU513" s="470"/>
      <c r="DV513" s="470"/>
      <c r="DW513" s="470"/>
      <c r="DX513" s="470"/>
      <c r="DY513" s="586"/>
    </row>
    <row r="514" spans="1:129" hidden="1" outlineLevel="1" x14ac:dyDescent="0.2">
      <c r="A514" s="466"/>
      <c r="B514" s="607" t="s">
        <v>904</v>
      </c>
      <c r="C514" s="585"/>
      <c r="D514" s="585"/>
      <c r="E514" s="585"/>
      <c r="F514" s="585"/>
      <c r="G514" s="585"/>
      <c r="H514" s="585"/>
      <c r="I514" s="585"/>
      <c r="J514" s="585"/>
      <c r="K514" s="585"/>
      <c r="L514" s="585"/>
      <c r="M514" s="585"/>
      <c r="N514" s="585"/>
      <c r="O514" s="585"/>
      <c r="P514" s="585"/>
      <c r="Q514" s="585"/>
      <c r="R514" s="585"/>
      <c r="S514" s="585"/>
      <c r="T514" s="585"/>
      <c r="U514" s="585"/>
      <c r="V514" s="585"/>
      <c r="W514" s="585"/>
      <c r="X514" s="586"/>
      <c r="Y514" s="585"/>
      <c r="Z514" s="585"/>
      <c r="AA514" s="585"/>
      <c r="AB514" s="585"/>
      <c r="AC514" s="586"/>
      <c r="AD514" s="592">
        <v>1178.8420000000001</v>
      </c>
      <c r="AE514" s="592">
        <v>1189.588</v>
      </c>
      <c r="AF514" s="592">
        <v>1201.6580000000001</v>
      </c>
      <c r="AG514" s="592">
        <v>1296.6410000000001</v>
      </c>
      <c r="AH514" s="754">
        <v>4866.7290000000012</v>
      </c>
      <c r="AI514" s="592">
        <v>1389.0170000000001</v>
      </c>
      <c r="AJ514" s="592">
        <v>1404.2659999999998</v>
      </c>
      <c r="AK514" s="592">
        <v>1478.2919999999999</v>
      </c>
      <c r="AL514" s="592">
        <v>1601.606</v>
      </c>
      <c r="AM514" s="754">
        <v>5873.1809999999996</v>
      </c>
      <c r="AN514" s="592">
        <v>1841.7959999999998</v>
      </c>
      <c r="AO514" s="592">
        <v>1897.0390000000002</v>
      </c>
      <c r="AP514" s="592">
        <v>1952.614</v>
      </c>
      <c r="AQ514" s="592">
        <v>2118.62</v>
      </c>
      <c r="AR514" s="754">
        <v>7810.0690000000013</v>
      </c>
      <c r="AS514" s="592">
        <v>2525.9430000000002</v>
      </c>
      <c r="AT514" s="592">
        <v>6004.442</v>
      </c>
      <c r="AU514" s="592">
        <v>6157.8919999999998</v>
      </c>
      <c r="AV514" s="592">
        <v>6537.22</v>
      </c>
      <c r="AW514" s="754">
        <v>21225.497000000003</v>
      </c>
      <c r="AX514" s="592">
        <v>6851.9830000000002</v>
      </c>
      <c r="AY514" s="592">
        <v>6799.1</v>
      </c>
      <c r="AZ514" s="592">
        <v>6703.5849999999991</v>
      </c>
      <c r="BA514" s="592">
        <v>6953.7240000000011</v>
      </c>
      <c r="BB514" s="754">
        <v>27308.392</v>
      </c>
      <c r="BC514" s="592">
        <v>7407.25</v>
      </c>
      <c r="BD514" s="592">
        <v>7938.3040000000001</v>
      </c>
      <c r="BE514" s="592">
        <v>7651.4058185931672</v>
      </c>
      <c r="BF514" s="592">
        <v>7775.8161933970869</v>
      </c>
      <c r="BG514" s="754">
        <v>30772.776011990256</v>
      </c>
      <c r="BH514" s="585"/>
      <c r="BI514" s="585"/>
      <c r="BJ514" s="585"/>
      <c r="BK514" s="585"/>
      <c r="BL514" s="586"/>
      <c r="BM514" s="585"/>
      <c r="BN514" s="585"/>
      <c r="BO514" s="585"/>
      <c r="BP514" s="585"/>
      <c r="BQ514" s="586"/>
      <c r="BR514" s="585"/>
      <c r="BS514" s="585"/>
      <c r="BT514" s="585"/>
      <c r="BU514" s="585"/>
      <c r="BV514" s="586"/>
      <c r="BW514" s="585"/>
      <c r="BX514" s="585"/>
      <c r="BY514" s="585"/>
      <c r="BZ514" s="585"/>
      <c r="CA514" s="586"/>
      <c r="CB514" s="585"/>
      <c r="CC514" s="585"/>
      <c r="CD514" s="585"/>
      <c r="CE514" s="585"/>
      <c r="CF514" s="586"/>
      <c r="CG514" s="470"/>
      <c r="CH514" s="470"/>
      <c r="CI514" s="470"/>
      <c r="CJ514" s="470"/>
      <c r="CK514" s="586"/>
      <c r="CL514" s="470"/>
      <c r="CM514" s="470"/>
      <c r="CN514" s="470"/>
      <c r="CO514" s="470"/>
      <c r="CP514" s="586"/>
      <c r="CQ514" s="470"/>
      <c r="CR514" s="470"/>
      <c r="CS514" s="470"/>
      <c r="CT514" s="470"/>
      <c r="CU514" s="586"/>
      <c r="CV514" s="470"/>
      <c r="CW514" s="470"/>
      <c r="CX514" s="470"/>
      <c r="CY514" s="470"/>
      <c r="CZ514" s="586"/>
      <c r="DA514" s="470"/>
      <c r="DB514" s="470"/>
      <c r="DC514" s="470"/>
      <c r="DD514" s="470"/>
      <c r="DE514" s="586"/>
      <c r="DF514" s="470"/>
      <c r="DG514" s="470"/>
      <c r="DH514" s="470"/>
      <c r="DI514" s="914"/>
      <c r="DJ514" s="586"/>
      <c r="DK514" s="470"/>
      <c r="DL514" s="470"/>
      <c r="DM514" s="470"/>
      <c r="DN514" s="470"/>
      <c r="DO514" s="586"/>
      <c r="DP514" s="470"/>
      <c r="DQ514" s="470"/>
      <c r="DR514" s="470"/>
      <c r="DS514" s="470"/>
      <c r="DT514" s="586"/>
      <c r="DU514" s="470"/>
      <c r="DV514" s="470"/>
      <c r="DW514" s="470"/>
      <c r="DX514" s="470"/>
      <c r="DY514" s="586"/>
    </row>
    <row r="515" spans="1:129" hidden="1" outlineLevel="1" x14ac:dyDescent="0.2">
      <c r="A515" s="683"/>
      <c r="B515" s="989" t="s">
        <v>905</v>
      </c>
      <c r="C515" s="743"/>
      <c r="D515" s="743"/>
      <c r="E515" s="743"/>
      <c r="F515" s="743"/>
      <c r="G515" s="743"/>
      <c r="H515" s="743"/>
      <c r="I515" s="743"/>
      <c r="J515" s="743"/>
      <c r="K515" s="743"/>
      <c r="L515" s="743"/>
      <c r="M515" s="743"/>
      <c r="N515" s="743"/>
      <c r="O515" s="743"/>
      <c r="P515" s="743"/>
      <c r="Q515" s="743"/>
      <c r="R515" s="743"/>
      <c r="S515" s="743"/>
      <c r="T515" s="743"/>
      <c r="U515" s="743"/>
      <c r="V515" s="743"/>
      <c r="W515" s="743"/>
      <c r="X515" s="849"/>
      <c r="Y515" s="743"/>
      <c r="Z515" s="743"/>
      <c r="AA515" s="743"/>
      <c r="AB515" s="743"/>
      <c r="AC515" s="849"/>
      <c r="AD515" s="751" t="s">
        <v>897</v>
      </c>
      <c r="AE515" s="751" t="s">
        <v>897</v>
      </c>
      <c r="AF515" s="751" t="s">
        <v>897</v>
      </c>
      <c r="AG515" s="751" t="s">
        <v>897</v>
      </c>
      <c r="AH515" s="988" t="s">
        <v>897</v>
      </c>
      <c r="AI515" s="744">
        <v>0.1782893721126324</v>
      </c>
      <c r="AJ515" s="744">
        <v>0.18046416070101579</v>
      </c>
      <c r="AK515" s="744">
        <v>0.230210259491469</v>
      </c>
      <c r="AL515" s="744">
        <v>0.23519617226356404</v>
      </c>
      <c r="AM515" s="745">
        <v>0.20680255670697889</v>
      </c>
      <c r="AN515" s="744">
        <v>0.32597081245225912</v>
      </c>
      <c r="AO515" s="744">
        <v>0.35091143700694905</v>
      </c>
      <c r="AP515" s="744">
        <v>0.32085812545829917</v>
      </c>
      <c r="AQ515" s="744">
        <v>0.32280972973377975</v>
      </c>
      <c r="AR515" s="745">
        <v>0.32978517093207271</v>
      </c>
      <c r="AS515" s="744">
        <v>0.37145644794537525</v>
      </c>
      <c r="AT515" s="744">
        <v>2.1651652918047541</v>
      </c>
      <c r="AU515" s="744">
        <v>2.1536658038916037</v>
      </c>
      <c r="AV515" s="744">
        <v>2.0856028924488585</v>
      </c>
      <c r="AW515" s="745">
        <v>1.717709280161289</v>
      </c>
      <c r="AX515" s="744">
        <v>1.7126435552979618</v>
      </c>
      <c r="AY515" s="744">
        <v>0.1323450205697716</v>
      </c>
      <c r="AZ515" s="744">
        <v>8.8616851351079218E-2</v>
      </c>
      <c r="BA515" s="744">
        <v>6.3712709683932944E-2</v>
      </c>
      <c r="BB515" s="745">
        <v>0.28658433769536695</v>
      </c>
      <c r="BC515" s="744">
        <v>8.1037416467612422E-2</v>
      </c>
      <c r="BD515" s="744">
        <v>0.16755217602329719</v>
      </c>
      <c r="BE515" s="744">
        <v>0.14139013954371693</v>
      </c>
      <c r="BF515" s="744">
        <v>0.11822329925620934</v>
      </c>
      <c r="BG515" s="745">
        <v>0.12686151612259899</v>
      </c>
      <c r="BH515" s="743"/>
      <c r="BI515" s="743"/>
      <c r="BJ515" s="743"/>
      <c r="BK515" s="743"/>
      <c r="BL515" s="849"/>
      <c r="BM515" s="743"/>
      <c r="BN515" s="743"/>
      <c r="BO515" s="743"/>
      <c r="BP515" s="743"/>
      <c r="BQ515" s="849"/>
      <c r="BR515" s="743"/>
      <c r="BS515" s="743"/>
      <c r="BT515" s="743"/>
      <c r="BU515" s="743"/>
      <c r="BV515" s="849"/>
      <c r="BW515" s="743"/>
      <c r="BX515" s="743"/>
      <c r="BY515" s="743"/>
      <c r="BZ515" s="743"/>
      <c r="CA515" s="849"/>
      <c r="CB515" s="743"/>
      <c r="CC515" s="743"/>
      <c r="CD515" s="743"/>
      <c r="CE515" s="743"/>
      <c r="CF515" s="849"/>
      <c r="CG515" s="820"/>
      <c r="CH515" s="820"/>
      <c r="CI515" s="820"/>
      <c r="CJ515" s="820"/>
      <c r="CK515" s="849"/>
      <c r="CL515" s="820"/>
      <c r="CM515" s="820"/>
      <c r="CN515" s="820"/>
      <c r="CO515" s="820"/>
      <c r="CP515" s="849"/>
      <c r="CQ515" s="820"/>
      <c r="CR515" s="820"/>
      <c r="CS515" s="820"/>
      <c r="CT515" s="820"/>
      <c r="CU515" s="849"/>
      <c r="CV515" s="820"/>
      <c r="CW515" s="820"/>
      <c r="CX515" s="820"/>
      <c r="CY515" s="820"/>
      <c r="CZ515" s="849"/>
      <c r="DA515" s="820"/>
      <c r="DB515" s="820"/>
      <c r="DC515" s="820"/>
      <c r="DD515" s="820"/>
      <c r="DE515" s="849"/>
      <c r="DF515" s="820"/>
      <c r="DG515" s="820"/>
      <c r="DH515" s="820"/>
      <c r="DI515" s="2815"/>
      <c r="DJ515" s="849"/>
      <c r="DK515" s="820"/>
      <c r="DL515" s="820"/>
      <c r="DM515" s="820"/>
      <c r="DN515" s="820"/>
      <c r="DO515" s="849"/>
      <c r="DP515" s="820"/>
      <c r="DQ515" s="820"/>
      <c r="DR515" s="820"/>
      <c r="DS515" s="820"/>
      <c r="DT515" s="849"/>
      <c r="DU515" s="820"/>
      <c r="DV515" s="820"/>
      <c r="DW515" s="820"/>
      <c r="DX515" s="820"/>
      <c r="DY515" s="849"/>
    </row>
    <row r="516" spans="1:129" hidden="1" outlineLevel="1" x14ac:dyDescent="0.2">
      <c r="A516" s="526"/>
      <c r="B516" s="756"/>
      <c r="C516" s="597"/>
      <c r="D516" s="597"/>
      <c r="E516" s="597"/>
      <c r="F516" s="597"/>
      <c r="G516" s="597"/>
      <c r="H516" s="597"/>
      <c r="I516" s="597"/>
      <c r="J516" s="597"/>
      <c r="K516" s="597"/>
      <c r="L516" s="597"/>
      <c r="M516" s="597"/>
      <c r="N516" s="597"/>
      <c r="O516" s="597"/>
      <c r="P516" s="597"/>
      <c r="Q516" s="597"/>
      <c r="R516" s="597"/>
      <c r="S516" s="597"/>
      <c r="T516" s="597"/>
      <c r="U516" s="597"/>
      <c r="V516" s="597"/>
      <c r="W516" s="597"/>
      <c r="X516" s="598"/>
      <c r="Y516" s="597"/>
      <c r="Z516" s="597"/>
      <c r="AA516" s="597"/>
      <c r="AB516" s="597"/>
      <c r="AC516" s="598"/>
      <c r="AD516" s="597"/>
      <c r="AE516" s="597"/>
      <c r="AF516" s="597"/>
      <c r="AG516" s="597"/>
      <c r="AH516" s="598"/>
      <c r="AI516" s="597"/>
      <c r="AJ516" s="597"/>
      <c r="AK516" s="597"/>
      <c r="AL516" s="597"/>
      <c r="AM516" s="598"/>
      <c r="AN516" s="597"/>
      <c r="AO516" s="597"/>
      <c r="AP516" s="597"/>
      <c r="AQ516" s="597"/>
      <c r="AR516" s="598"/>
      <c r="AS516" s="597"/>
      <c r="AT516" s="597"/>
      <c r="AU516" s="597"/>
      <c r="AV516" s="597"/>
      <c r="AW516" s="598"/>
      <c r="AX516" s="597"/>
      <c r="AY516" s="597"/>
      <c r="AZ516" s="597"/>
      <c r="BA516" s="597"/>
      <c r="BB516" s="598"/>
      <c r="BC516" s="597"/>
      <c r="BD516" s="597"/>
      <c r="BE516" s="597"/>
      <c r="BF516" s="597"/>
      <c r="BG516" s="598"/>
      <c r="BH516" s="597"/>
      <c r="BI516" s="597"/>
      <c r="BJ516" s="597"/>
      <c r="BK516" s="597"/>
      <c r="BL516" s="598"/>
      <c r="BM516" s="597"/>
      <c r="BN516" s="597"/>
      <c r="BO516" s="597"/>
      <c r="BP516" s="597"/>
      <c r="BQ516" s="598"/>
      <c r="BR516" s="597"/>
      <c r="BS516" s="597"/>
      <c r="BT516" s="597"/>
      <c r="BU516" s="597"/>
      <c r="BV516" s="598"/>
      <c r="BW516" s="597"/>
      <c r="BX516" s="597"/>
      <c r="BY516" s="597"/>
      <c r="BZ516" s="597"/>
      <c r="CA516" s="598"/>
      <c r="CB516" s="597"/>
      <c r="CC516" s="597"/>
      <c r="CD516" s="597"/>
      <c r="CE516" s="597"/>
      <c r="CF516" s="598"/>
      <c r="CG516" s="682"/>
      <c r="CH516" s="682"/>
      <c r="CI516" s="682"/>
      <c r="CJ516" s="682"/>
      <c r="CK516" s="598"/>
      <c r="CL516" s="682"/>
      <c r="CM516" s="682"/>
      <c r="CN516" s="682"/>
      <c r="CO516" s="682"/>
      <c r="CP516" s="598"/>
      <c r="CQ516" s="682"/>
      <c r="CR516" s="682"/>
      <c r="CS516" s="682"/>
      <c r="CT516" s="682"/>
      <c r="CU516" s="598"/>
      <c r="CV516" s="682"/>
      <c r="CW516" s="682"/>
      <c r="CX516" s="682"/>
      <c r="CY516" s="682"/>
      <c r="CZ516" s="598"/>
      <c r="DA516" s="682"/>
      <c r="DB516" s="682"/>
      <c r="DC516" s="682"/>
      <c r="DD516" s="682"/>
      <c r="DE516" s="598"/>
      <c r="DF516" s="682"/>
      <c r="DG516" s="682"/>
      <c r="DH516" s="682"/>
      <c r="DI516" s="1610"/>
      <c r="DJ516" s="598"/>
      <c r="DK516" s="682"/>
      <c r="DL516" s="682"/>
      <c r="DM516" s="682"/>
      <c r="DN516" s="682"/>
      <c r="DO516" s="598"/>
      <c r="DP516" s="682"/>
      <c r="DQ516" s="682"/>
      <c r="DR516" s="682"/>
      <c r="DS516" s="682"/>
      <c r="DT516" s="598"/>
      <c r="DU516" s="682"/>
      <c r="DV516" s="682"/>
      <c r="DW516" s="682"/>
      <c r="DX516" s="682"/>
      <c r="DY516" s="598"/>
    </row>
    <row r="517" spans="1:129" hidden="1" outlineLevel="1" x14ac:dyDescent="0.2">
      <c r="A517" s="526"/>
      <c r="B517" s="756"/>
      <c r="C517" s="597"/>
      <c r="D517" s="597"/>
      <c r="E517" s="597"/>
      <c r="F517" s="597"/>
      <c r="G517" s="597"/>
      <c r="H517" s="597"/>
      <c r="I517" s="597"/>
      <c r="J517" s="597"/>
      <c r="K517" s="597"/>
      <c r="L517" s="597"/>
      <c r="M517" s="597"/>
      <c r="N517" s="597"/>
      <c r="O517" s="597"/>
      <c r="P517" s="597"/>
      <c r="Q517" s="597"/>
      <c r="R517" s="597"/>
      <c r="S517" s="597"/>
      <c r="T517" s="597"/>
      <c r="U517" s="597"/>
      <c r="V517" s="597"/>
      <c r="W517" s="597"/>
      <c r="X517" s="598"/>
      <c r="Y517" s="597"/>
      <c r="Z517" s="597"/>
      <c r="AA517" s="597"/>
      <c r="AB517" s="597"/>
      <c r="AC517" s="598"/>
      <c r="AD517" s="597"/>
      <c r="AE517" s="597"/>
      <c r="AF517" s="597"/>
      <c r="AG517" s="597"/>
      <c r="AH517" s="598"/>
      <c r="AI517" s="597"/>
      <c r="AJ517" s="597"/>
      <c r="AK517" s="597"/>
      <c r="AL517" s="597"/>
      <c r="AM517" s="598"/>
      <c r="AN517" s="597"/>
      <c r="AO517" s="597"/>
      <c r="AP517" s="597"/>
      <c r="AQ517" s="597"/>
      <c r="AR517" s="598"/>
      <c r="AS517" s="597"/>
      <c r="AT517" s="597"/>
      <c r="AU517" s="597"/>
      <c r="AV517" s="597"/>
      <c r="AW517" s="598"/>
      <c r="AX517" s="597"/>
      <c r="AY517" s="597"/>
      <c r="AZ517" s="597"/>
      <c r="BA517" s="597"/>
      <c r="BB517" s="598"/>
      <c r="BC517" s="597"/>
      <c r="BD517" s="597"/>
      <c r="BE517" s="597"/>
      <c r="BF517" s="597"/>
      <c r="BG517" s="598"/>
      <c r="BH517" s="597"/>
      <c r="BI517" s="597"/>
      <c r="BJ517" s="597"/>
      <c r="BK517" s="597"/>
      <c r="BL517" s="598"/>
      <c r="BM517" s="597"/>
      <c r="BN517" s="597"/>
      <c r="BO517" s="597"/>
      <c r="BP517" s="597"/>
      <c r="BQ517" s="598"/>
      <c r="BR517" s="597"/>
      <c r="BS517" s="597"/>
      <c r="BT517" s="597"/>
      <c r="BU517" s="597"/>
      <c r="BV517" s="598"/>
      <c r="BW517" s="597"/>
      <c r="BX517" s="597"/>
      <c r="BY517" s="597"/>
      <c r="BZ517" s="597"/>
      <c r="CA517" s="598"/>
      <c r="CB517" s="597"/>
      <c r="CC517" s="597"/>
      <c r="CD517" s="597"/>
      <c r="CE517" s="597"/>
      <c r="CF517" s="598"/>
      <c r="CG517" s="682"/>
      <c r="CH517" s="682"/>
      <c r="CI517" s="682"/>
      <c r="CJ517" s="682"/>
      <c r="CK517" s="598"/>
      <c r="CL517" s="682"/>
      <c r="CM517" s="682"/>
      <c r="CN517" s="682"/>
      <c r="CO517" s="682"/>
      <c r="CP517" s="598"/>
      <c r="CQ517" s="682"/>
      <c r="CR517" s="682"/>
      <c r="CS517" s="682"/>
      <c r="CT517" s="682"/>
      <c r="CU517" s="598"/>
      <c r="CV517" s="682"/>
      <c r="CW517" s="682"/>
      <c r="CX517" s="682"/>
      <c r="CY517" s="682"/>
      <c r="CZ517" s="598"/>
      <c r="DA517" s="682"/>
      <c r="DB517" s="682"/>
      <c r="DC517" s="682"/>
      <c r="DD517" s="682"/>
      <c r="DE517" s="598"/>
      <c r="DF517" s="682"/>
      <c r="DG517" s="682"/>
      <c r="DH517" s="682"/>
      <c r="DI517" s="1610"/>
      <c r="DJ517" s="598"/>
      <c r="DK517" s="682"/>
      <c r="DL517" s="682"/>
      <c r="DM517" s="682"/>
      <c r="DN517" s="682"/>
      <c r="DO517" s="598"/>
      <c r="DP517" s="682"/>
      <c r="DQ517" s="682"/>
      <c r="DR517" s="682"/>
      <c r="DS517" s="682"/>
      <c r="DT517" s="598"/>
      <c r="DU517" s="682"/>
      <c r="DV517" s="682"/>
      <c r="DW517" s="682"/>
      <c r="DX517" s="682"/>
      <c r="DY517" s="598"/>
    </row>
    <row r="518" spans="1:129" hidden="1" outlineLevel="1" x14ac:dyDescent="0.2">
      <c r="A518" s="526"/>
      <c r="B518" s="756"/>
      <c r="C518" s="597"/>
      <c r="D518" s="597"/>
      <c r="E518" s="597"/>
      <c r="F518" s="597"/>
      <c r="G518" s="597"/>
      <c r="H518" s="597"/>
      <c r="I518" s="597"/>
      <c r="J518" s="597"/>
      <c r="K518" s="597"/>
      <c r="L518" s="597"/>
      <c r="M518" s="597"/>
      <c r="N518" s="597"/>
      <c r="O518" s="597"/>
      <c r="P518" s="597"/>
      <c r="Q518" s="597"/>
      <c r="R518" s="597"/>
      <c r="S518" s="597"/>
      <c r="T518" s="597"/>
      <c r="U518" s="597"/>
      <c r="V518" s="597"/>
      <c r="W518" s="597"/>
      <c r="X518" s="598"/>
      <c r="Y518" s="597"/>
      <c r="Z518" s="597"/>
      <c r="AA518" s="597"/>
      <c r="AB518" s="597"/>
      <c r="AC518" s="598"/>
      <c r="AD518" s="597"/>
      <c r="AE518" s="597"/>
      <c r="AF518" s="597"/>
      <c r="AG518" s="597"/>
      <c r="AH518" s="598"/>
      <c r="AI518" s="597"/>
      <c r="AJ518" s="597"/>
      <c r="AK518" s="597"/>
      <c r="AL518" s="597"/>
      <c r="AM518" s="598"/>
      <c r="AN518" s="597"/>
      <c r="AO518" s="597"/>
      <c r="AP518" s="597"/>
      <c r="AQ518" s="597"/>
      <c r="AR518" s="598"/>
      <c r="AS518" s="597"/>
      <c r="AT518" s="597"/>
      <c r="AU518" s="597"/>
      <c r="AV518" s="597"/>
      <c r="AW518" s="598"/>
      <c r="AX518" s="597"/>
      <c r="AY518" s="597"/>
      <c r="AZ518" s="597"/>
      <c r="BA518" s="597"/>
      <c r="BB518" s="598"/>
      <c r="BC518" s="597"/>
      <c r="BD518" s="597"/>
      <c r="BE518" s="597"/>
      <c r="BF518" s="597"/>
      <c r="BG518" s="598"/>
      <c r="BH518" s="597"/>
      <c r="BI518" s="597"/>
      <c r="BJ518" s="597"/>
      <c r="BK518" s="597"/>
      <c r="BL518" s="598"/>
      <c r="BM518" s="597"/>
      <c r="BN518" s="597"/>
      <c r="BO518" s="597"/>
      <c r="BP518" s="597"/>
      <c r="BQ518" s="598"/>
      <c r="BR518" s="597"/>
      <c r="BS518" s="597"/>
      <c r="BT518" s="597"/>
      <c r="BU518" s="597"/>
      <c r="BV518" s="598"/>
      <c r="BW518" s="597"/>
      <c r="BX518" s="597"/>
      <c r="BY518" s="597"/>
      <c r="BZ518" s="597"/>
      <c r="CA518" s="598"/>
      <c r="CB518" s="597"/>
      <c r="CC518" s="597"/>
      <c r="CD518" s="597"/>
      <c r="CE518" s="597"/>
      <c r="CF518" s="598"/>
      <c r="CG518" s="682"/>
      <c r="CH518" s="682"/>
      <c r="CI518" s="682"/>
      <c r="CJ518" s="682"/>
      <c r="CK518" s="598"/>
      <c r="CL518" s="682"/>
      <c r="CM518" s="682"/>
      <c r="CN518" s="682"/>
      <c r="CO518" s="682"/>
      <c r="CP518" s="598"/>
      <c r="CQ518" s="682"/>
      <c r="CR518" s="682"/>
      <c r="CS518" s="682"/>
      <c r="CT518" s="682"/>
      <c r="CU518" s="598"/>
      <c r="CV518" s="682"/>
      <c r="CW518" s="682"/>
      <c r="CX518" s="682"/>
      <c r="CY518" s="682"/>
      <c r="CZ518" s="598"/>
      <c r="DA518" s="682"/>
      <c r="DB518" s="682"/>
      <c r="DC518" s="682"/>
      <c r="DD518" s="682"/>
      <c r="DE518" s="598"/>
      <c r="DF518" s="682"/>
      <c r="DG518" s="682"/>
      <c r="DH518" s="682"/>
      <c r="DI518" s="1610"/>
      <c r="DJ518" s="598"/>
      <c r="DK518" s="682"/>
      <c r="DL518" s="682"/>
      <c r="DM518" s="682"/>
      <c r="DN518" s="682"/>
      <c r="DO518" s="598"/>
      <c r="DP518" s="682"/>
      <c r="DQ518" s="682"/>
      <c r="DR518" s="682"/>
      <c r="DS518" s="682"/>
      <c r="DT518" s="598"/>
      <c r="DU518" s="682"/>
      <c r="DV518" s="682"/>
      <c r="DW518" s="682"/>
      <c r="DX518" s="682"/>
      <c r="DY518" s="598"/>
    </row>
    <row r="519" spans="1:129" hidden="1" outlineLevel="1" x14ac:dyDescent="0.2">
      <c r="A519" s="526"/>
      <c r="B519" s="756" t="s">
        <v>906</v>
      </c>
      <c r="C519" s="597"/>
      <c r="D519" s="597"/>
      <c r="E519" s="597"/>
      <c r="F519" s="597"/>
      <c r="G519" s="597"/>
      <c r="H519" s="597"/>
      <c r="I519" s="597"/>
      <c r="J519" s="597"/>
      <c r="K519" s="597"/>
      <c r="L519" s="597"/>
      <c r="M519" s="597"/>
      <c r="N519" s="597"/>
      <c r="O519" s="597"/>
      <c r="P519" s="597"/>
      <c r="Q519" s="597"/>
      <c r="R519" s="597"/>
      <c r="S519" s="597"/>
      <c r="T519" s="597"/>
      <c r="U519" s="597"/>
      <c r="V519" s="597"/>
      <c r="W519" s="597"/>
      <c r="X519" s="598"/>
      <c r="Y519" s="597"/>
      <c r="Z519" s="597"/>
      <c r="AA519" s="597"/>
      <c r="AB519" s="597"/>
      <c r="AC519" s="598"/>
      <c r="AD519" s="597"/>
      <c r="AE519" s="597"/>
      <c r="AF519" s="597"/>
      <c r="AG519" s="597"/>
      <c r="AH519" s="598"/>
      <c r="AI519" s="597"/>
      <c r="AJ519" s="597"/>
      <c r="AK519" s="597"/>
      <c r="AL519" s="597"/>
      <c r="AM519" s="598"/>
      <c r="AN519" s="597"/>
      <c r="AO519" s="597"/>
      <c r="AP519" s="597"/>
      <c r="AQ519" s="597"/>
      <c r="AR519" s="598"/>
      <c r="AS519" s="597"/>
      <c r="AT519" s="597"/>
      <c r="AU519" s="597"/>
      <c r="AV519" s="597"/>
      <c r="AW519" s="598"/>
      <c r="AX519" s="597"/>
      <c r="AY519" s="597"/>
      <c r="AZ519" s="597"/>
      <c r="BA519" s="597"/>
      <c r="BB519" s="598"/>
      <c r="BC519" s="597"/>
      <c r="BD519" s="597"/>
      <c r="BE519" s="597"/>
      <c r="BF519" s="597"/>
      <c r="BG519" s="598"/>
      <c r="BH519" s="597"/>
      <c r="BI519" s="597"/>
      <c r="BJ519" s="597"/>
      <c r="BK519" s="597"/>
      <c r="BL519" s="598"/>
      <c r="BM519" s="968">
        <v>56</v>
      </c>
      <c r="BN519" s="597"/>
      <c r="BO519" s="597"/>
      <c r="BP519" s="597"/>
      <c r="BQ519" s="598"/>
      <c r="BR519" s="597"/>
      <c r="BS519" s="597"/>
      <c r="BT519" s="597"/>
      <c r="BU519" s="597"/>
      <c r="BV519" s="598"/>
      <c r="BW519" s="597"/>
      <c r="BX519" s="597"/>
      <c r="BY519" s="597"/>
      <c r="BZ519" s="597"/>
      <c r="CA519" s="598"/>
      <c r="CB519" s="597"/>
      <c r="CC519" s="597"/>
      <c r="CD519" s="597"/>
      <c r="CE519" s="597"/>
      <c r="CF519" s="598"/>
      <c r="CG519" s="682"/>
      <c r="CH519" s="682"/>
      <c r="CI519" s="682"/>
      <c r="CJ519" s="682"/>
      <c r="CK519" s="598"/>
      <c r="CL519" s="682"/>
      <c r="CM519" s="682"/>
      <c r="CN519" s="682"/>
      <c r="CO519" s="682"/>
      <c r="CP519" s="598"/>
      <c r="CQ519" s="682"/>
      <c r="CR519" s="682"/>
      <c r="CS519" s="682"/>
      <c r="CT519" s="682"/>
      <c r="CU519" s="598"/>
      <c r="CV519" s="682"/>
      <c r="CW519" s="682"/>
      <c r="CX519" s="682"/>
      <c r="CY519" s="682"/>
      <c r="CZ519" s="598"/>
      <c r="DA519" s="682"/>
      <c r="DB519" s="682"/>
      <c r="DC519" s="682"/>
      <c r="DD519" s="682"/>
      <c r="DE519" s="598"/>
      <c r="DF519" s="682"/>
      <c r="DG519" s="682"/>
      <c r="DH519" s="682"/>
      <c r="DI519" s="1610"/>
      <c r="DJ519" s="598"/>
      <c r="DK519" s="682"/>
      <c r="DL519" s="682"/>
      <c r="DM519" s="682"/>
      <c r="DN519" s="682"/>
      <c r="DO519" s="598"/>
      <c r="DP519" s="682"/>
      <c r="DQ519" s="682"/>
      <c r="DR519" s="682"/>
      <c r="DS519" s="682"/>
      <c r="DT519" s="598"/>
      <c r="DU519" s="682"/>
      <c r="DV519" s="682"/>
      <c r="DW519" s="682"/>
      <c r="DX519" s="682"/>
      <c r="DY519" s="598"/>
    </row>
    <row r="520" spans="1:129" hidden="1" outlineLevel="1" x14ac:dyDescent="0.2">
      <c r="A520" s="526"/>
      <c r="B520" s="756" t="s">
        <v>907</v>
      </c>
      <c r="C520" s="597"/>
      <c r="D520" s="597"/>
      <c r="E520" s="597"/>
      <c r="F520" s="597"/>
      <c r="G520" s="597"/>
      <c r="H520" s="597"/>
      <c r="I520" s="597"/>
      <c r="J520" s="597"/>
      <c r="K520" s="597"/>
      <c r="L520" s="597"/>
      <c r="M520" s="597"/>
      <c r="N520" s="597"/>
      <c r="O520" s="597"/>
      <c r="P520" s="597"/>
      <c r="Q520" s="597"/>
      <c r="R520" s="597"/>
      <c r="S520" s="597"/>
      <c r="T520" s="597"/>
      <c r="U520" s="597"/>
      <c r="V520" s="597"/>
      <c r="W520" s="597"/>
      <c r="X520" s="598"/>
      <c r="Y520" s="597"/>
      <c r="Z520" s="597"/>
      <c r="AA520" s="597"/>
      <c r="AB520" s="597"/>
      <c r="AC520" s="598"/>
      <c r="AD520" s="597"/>
      <c r="AE520" s="597"/>
      <c r="AF520" s="597"/>
      <c r="AG520" s="597"/>
      <c r="AH520" s="598"/>
      <c r="AI520" s="597"/>
      <c r="AJ520" s="597"/>
      <c r="AK520" s="597"/>
      <c r="AL520" s="597"/>
      <c r="AM520" s="598"/>
      <c r="AN520" s="597"/>
      <c r="AO520" s="597"/>
      <c r="AP520" s="597"/>
      <c r="AQ520" s="597"/>
      <c r="AR520" s="598"/>
      <c r="AS520" s="597"/>
      <c r="AT520" s="597"/>
      <c r="AU520" s="597"/>
      <c r="AV520" s="597"/>
      <c r="AW520" s="598"/>
      <c r="AX520" s="597"/>
      <c r="AY520" s="597"/>
      <c r="AZ520" s="597"/>
      <c r="BA520" s="597"/>
      <c r="BB520" s="598"/>
      <c r="BC520" s="597"/>
      <c r="BD520" s="597"/>
      <c r="BE520" s="597"/>
      <c r="BF520" s="597"/>
      <c r="BG520" s="598"/>
      <c r="BH520" s="597"/>
      <c r="BI520" s="597"/>
      <c r="BJ520" s="597"/>
      <c r="BK520" s="597"/>
      <c r="BL520" s="598"/>
      <c r="BM520" s="968">
        <v>19</v>
      </c>
      <c r="BN520" s="597"/>
      <c r="BO520" s="597"/>
      <c r="BP520" s="597"/>
      <c r="BQ520" s="598"/>
      <c r="BR520" s="597"/>
      <c r="BS520" s="597"/>
      <c r="BT520" s="597"/>
      <c r="BU520" s="597"/>
      <c r="BV520" s="598"/>
      <c r="BW520" s="597"/>
      <c r="BX520" s="597"/>
      <c r="BY520" s="597"/>
      <c r="BZ520" s="597"/>
      <c r="CA520" s="598"/>
      <c r="CB520" s="597"/>
      <c r="CC520" s="597"/>
      <c r="CD520" s="597"/>
      <c r="CE520" s="597"/>
      <c r="CF520" s="598"/>
      <c r="CG520" s="682"/>
      <c r="CH520" s="682"/>
      <c r="CI520" s="682"/>
      <c r="CJ520" s="682"/>
      <c r="CK520" s="598"/>
      <c r="CL520" s="682"/>
      <c r="CM520" s="682"/>
      <c r="CN520" s="682"/>
      <c r="CO520" s="682"/>
      <c r="CP520" s="598"/>
      <c r="CQ520" s="682"/>
      <c r="CR520" s="682"/>
      <c r="CS520" s="682"/>
      <c r="CT520" s="682"/>
      <c r="CU520" s="598"/>
      <c r="CV520" s="682"/>
      <c r="CW520" s="682"/>
      <c r="CX520" s="682"/>
      <c r="CY520" s="682"/>
      <c r="CZ520" s="598"/>
      <c r="DA520" s="682"/>
      <c r="DB520" s="682"/>
      <c r="DC520" s="682"/>
      <c r="DD520" s="682"/>
      <c r="DE520" s="598"/>
      <c r="DF520" s="682"/>
      <c r="DG520" s="682"/>
      <c r="DH520" s="682"/>
      <c r="DI520" s="1610"/>
      <c r="DJ520" s="598"/>
      <c r="DK520" s="682"/>
      <c r="DL520" s="682"/>
      <c r="DM520" s="682"/>
      <c r="DN520" s="682"/>
      <c r="DO520" s="598"/>
      <c r="DP520" s="682"/>
      <c r="DQ520" s="682"/>
      <c r="DR520" s="682"/>
      <c r="DS520" s="682"/>
      <c r="DT520" s="598"/>
      <c r="DU520" s="682"/>
      <c r="DV520" s="682"/>
      <c r="DW520" s="682"/>
      <c r="DX520" s="682"/>
      <c r="DY520" s="598"/>
    </row>
    <row r="521" spans="1:129" hidden="1" outlineLevel="1" x14ac:dyDescent="0.2">
      <c r="A521" s="526"/>
      <c r="B521" s="756" t="s">
        <v>908</v>
      </c>
      <c r="C521" s="597"/>
      <c r="D521" s="597"/>
      <c r="E521" s="597"/>
      <c r="F521" s="597"/>
      <c r="G521" s="597"/>
      <c r="H521" s="597"/>
      <c r="I521" s="597"/>
      <c r="J521" s="597"/>
      <c r="K521" s="597"/>
      <c r="L521" s="597"/>
      <c r="M521" s="597"/>
      <c r="N521" s="597"/>
      <c r="O521" s="597"/>
      <c r="P521" s="597"/>
      <c r="Q521" s="597"/>
      <c r="R521" s="597"/>
      <c r="S521" s="597"/>
      <c r="T521" s="597"/>
      <c r="U521" s="597"/>
      <c r="V521" s="597"/>
      <c r="W521" s="597"/>
      <c r="X521" s="598"/>
      <c r="Y521" s="597"/>
      <c r="Z521" s="597"/>
      <c r="AA521" s="597"/>
      <c r="AB521" s="597"/>
      <c r="AC521" s="598"/>
      <c r="AD521" s="597"/>
      <c r="AE521" s="597"/>
      <c r="AF521" s="597"/>
      <c r="AG521" s="597"/>
      <c r="AH521" s="598"/>
      <c r="AI521" s="597"/>
      <c r="AJ521" s="597"/>
      <c r="AK521" s="597"/>
      <c r="AL521" s="597"/>
      <c r="AM521" s="598"/>
      <c r="AN521" s="597"/>
      <c r="AO521" s="597"/>
      <c r="AP521" s="597"/>
      <c r="AQ521" s="597"/>
      <c r="AR521" s="598"/>
      <c r="AS521" s="597"/>
      <c r="AT521" s="597"/>
      <c r="AU521" s="597"/>
      <c r="AV521" s="597"/>
      <c r="AW521" s="598"/>
      <c r="AX521" s="597"/>
      <c r="AY521" s="597"/>
      <c r="AZ521" s="597"/>
      <c r="BA521" s="597"/>
      <c r="BB521" s="598"/>
      <c r="BC521" s="597"/>
      <c r="BD521" s="597"/>
      <c r="BE521" s="597"/>
      <c r="BF521" s="597"/>
      <c r="BG521" s="598"/>
      <c r="BH521" s="597"/>
      <c r="BI521" s="597"/>
      <c r="BJ521" s="597"/>
      <c r="BK521" s="597"/>
      <c r="BL521" s="598"/>
      <c r="BM521" s="968">
        <v>7</v>
      </c>
      <c r="BN521" s="597"/>
      <c r="BO521" s="597"/>
      <c r="BP521" s="597"/>
      <c r="BQ521" s="598"/>
      <c r="BR521" s="597"/>
      <c r="BS521" s="597"/>
      <c r="BT521" s="597"/>
      <c r="BU521" s="597"/>
      <c r="BV521" s="598"/>
      <c r="BW521" s="597"/>
      <c r="BX521" s="597"/>
      <c r="BY521" s="597"/>
      <c r="BZ521" s="597"/>
      <c r="CA521" s="598"/>
      <c r="CB521" s="597"/>
      <c r="CC521" s="597"/>
      <c r="CD521" s="597"/>
      <c r="CE521" s="597"/>
      <c r="CF521" s="598"/>
      <c r="CG521" s="682"/>
      <c r="CH521" s="682"/>
      <c r="CI521" s="682"/>
      <c r="CJ521" s="682"/>
      <c r="CK521" s="598"/>
      <c r="CL521" s="682"/>
      <c r="CM521" s="682"/>
      <c r="CN521" s="682"/>
      <c r="CO521" s="682"/>
      <c r="CP521" s="598"/>
      <c r="CQ521" s="682"/>
      <c r="CR521" s="682"/>
      <c r="CS521" s="682"/>
      <c r="CT521" s="682"/>
      <c r="CU521" s="598"/>
      <c r="CV521" s="682"/>
      <c r="CW521" s="682"/>
      <c r="CX521" s="682"/>
      <c r="CY521" s="682"/>
      <c r="CZ521" s="598"/>
      <c r="DA521" s="682"/>
      <c r="DB521" s="682"/>
      <c r="DC521" s="682"/>
      <c r="DD521" s="682"/>
      <c r="DE521" s="598"/>
      <c r="DF521" s="682"/>
      <c r="DG521" s="682"/>
      <c r="DH521" s="682"/>
      <c r="DI521" s="1610"/>
      <c r="DJ521" s="598"/>
      <c r="DK521" s="682"/>
      <c r="DL521" s="682"/>
      <c r="DM521" s="682"/>
      <c r="DN521" s="682"/>
      <c r="DO521" s="598"/>
      <c r="DP521" s="682"/>
      <c r="DQ521" s="682"/>
      <c r="DR521" s="682"/>
      <c r="DS521" s="682"/>
      <c r="DT521" s="598"/>
      <c r="DU521" s="682"/>
      <c r="DV521" s="682"/>
      <c r="DW521" s="682"/>
      <c r="DX521" s="682"/>
      <c r="DY521" s="598"/>
    </row>
    <row r="522" spans="1:129" hidden="1" outlineLevel="1" x14ac:dyDescent="0.2">
      <c r="A522" s="526"/>
      <c r="B522" s="756"/>
      <c r="C522" s="597"/>
      <c r="D522" s="597"/>
      <c r="E522" s="597"/>
      <c r="F522" s="597"/>
      <c r="G522" s="597"/>
      <c r="H522" s="597"/>
      <c r="I522" s="597"/>
      <c r="J522" s="597"/>
      <c r="K522" s="597"/>
      <c r="L522" s="597"/>
      <c r="M522" s="597"/>
      <c r="N522" s="597"/>
      <c r="O522" s="597"/>
      <c r="P522" s="597"/>
      <c r="Q522" s="597"/>
      <c r="R522" s="597"/>
      <c r="S522" s="597"/>
      <c r="T522" s="597"/>
      <c r="U522" s="597"/>
      <c r="V522" s="597"/>
      <c r="W522" s="597"/>
      <c r="X522" s="598"/>
      <c r="Y522" s="597"/>
      <c r="Z522" s="597"/>
      <c r="AA522" s="597"/>
      <c r="AB522" s="597"/>
      <c r="AC522" s="598"/>
      <c r="AD522" s="597"/>
      <c r="AE522" s="597"/>
      <c r="AF522" s="597"/>
      <c r="AG522" s="597"/>
      <c r="AH522" s="598"/>
      <c r="AI522" s="597"/>
      <c r="AJ522" s="597"/>
      <c r="AK522" s="597"/>
      <c r="AL522" s="597"/>
      <c r="AM522" s="598"/>
      <c r="AN522" s="597"/>
      <c r="AO522" s="597"/>
      <c r="AP522" s="597"/>
      <c r="AQ522" s="597"/>
      <c r="AR522" s="598"/>
      <c r="AS522" s="597"/>
      <c r="AT522" s="597"/>
      <c r="AU522" s="597"/>
      <c r="AV522" s="597"/>
      <c r="AW522" s="598"/>
      <c r="AX522" s="597"/>
      <c r="AY522" s="597"/>
      <c r="AZ522" s="597"/>
      <c r="BA522" s="597"/>
      <c r="BB522" s="598"/>
      <c r="BC522" s="597"/>
      <c r="BD522" s="597"/>
      <c r="BE522" s="597"/>
      <c r="BF522" s="597"/>
      <c r="BG522" s="598"/>
      <c r="BH522" s="597"/>
      <c r="BI522" s="597"/>
      <c r="BJ522" s="597"/>
      <c r="BK522" s="597"/>
      <c r="BL522" s="598"/>
      <c r="BM522" s="597"/>
      <c r="BN522" s="597"/>
      <c r="BO522" s="597"/>
      <c r="BP522" s="597"/>
      <c r="BQ522" s="598"/>
      <c r="BR522" s="597"/>
      <c r="BS522" s="597"/>
      <c r="BT522" s="597"/>
      <c r="BU522" s="597"/>
      <c r="BV522" s="598"/>
      <c r="BW522" s="597"/>
      <c r="BX522" s="597"/>
      <c r="BY522" s="597"/>
      <c r="BZ522" s="597"/>
      <c r="CA522" s="598"/>
      <c r="CB522" s="597"/>
      <c r="CC522" s="597"/>
      <c r="CD522" s="597"/>
      <c r="CE522" s="597"/>
      <c r="CF522" s="598"/>
      <c r="CG522" s="682"/>
      <c r="CH522" s="682"/>
      <c r="CI522" s="682"/>
      <c r="CJ522" s="682"/>
      <c r="CK522" s="598"/>
      <c r="CL522" s="682"/>
      <c r="CM522" s="682"/>
      <c r="CN522" s="682"/>
      <c r="CO522" s="682"/>
      <c r="CP522" s="598"/>
      <c r="CQ522" s="682"/>
      <c r="CR522" s="682"/>
      <c r="CS522" s="682"/>
      <c r="CT522" s="682"/>
      <c r="CU522" s="598"/>
      <c r="CV522" s="682"/>
      <c r="CW522" s="682"/>
      <c r="CX522" s="682"/>
      <c r="CY522" s="682"/>
      <c r="CZ522" s="598"/>
      <c r="DA522" s="682"/>
      <c r="DB522" s="682"/>
      <c r="DC522" s="682"/>
      <c r="DD522" s="682"/>
      <c r="DE522" s="598"/>
      <c r="DF522" s="682"/>
      <c r="DG522" s="682"/>
      <c r="DH522" s="682"/>
      <c r="DI522" s="1610"/>
      <c r="DJ522" s="598"/>
      <c r="DK522" s="682"/>
      <c r="DL522" s="682"/>
      <c r="DM522" s="682"/>
      <c r="DN522" s="682"/>
      <c r="DO522" s="598"/>
      <c r="DP522" s="682"/>
      <c r="DQ522" s="682"/>
      <c r="DR522" s="682"/>
      <c r="DS522" s="682"/>
      <c r="DT522" s="598"/>
      <c r="DU522" s="682"/>
      <c r="DV522" s="682"/>
      <c r="DW522" s="682"/>
      <c r="DX522" s="682"/>
      <c r="DY522" s="598"/>
    </row>
    <row r="523" spans="1:129" hidden="1" outlineLevel="1" x14ac:dyDescent="0.2">
      <c r="A523" s="526"/>
      <c r="B523" s="756"/>
      <c r="C523" s="597"/>
      <c r="D523" s="597"/>
      <c r="E523" s="597"/>
      <c r="F523" s="597"/>
      <c r="G523" s="597"/>
      <c r="H523" s="597"/>
      <c r="I523" s="597"/>
      <c r="J523" s="597"/>
      <c r="K523" s="597"/>
      <c r="L523" s="597"/>
      <c r="M523" s="597"/>
      <c r="N523" s="597"/>
      <c r="O523" s="597"/>
      <c r="P523" s="597"/>
      <c r="Q523" s="597"/>
      <c r="R523" s="597"/>
      <c r="S523" s="597"/>
      <c r="T523" s="597"/>
      <c r="U523" s="597"/>
      <c r="V523" s="597"/>
      <c r="W523" s="597"/>
      <c r="X523" s="598"/>
      <c r="Y523" s="597"/>
      <c r="Z523" s="597"/>
      <c r="AA523" s="597"/>
      <c r="AB523" s="597"/>
      <c r="AC523" s="598"/>
      <c r="AD523" s="597"/>
      <c r="AE523" s="597"/>
      <c r="AF523" s="597"/>
      <c r="AG523" s="597"/>
      <c r="AH523" s="598"/>
      <c r="AI523" s="597"/>
      <c r="AJ523" s="597"/>
      <c r="AK523" s="597"/>
      <c r="AL523" s="597"/>
      <c r="AM523" s="598"/>
      <c r="AN523" s="597"/>
      <c r="AO523" s="597"/>
      <c r="AP523" s="597"/>
      <c r="AQ523" s="597"/>
      <c r="AR523" s="598"/>
      <c r="AS523" s="597"/>
      <c r="AT523" s="597"/>
      <c r="AU523" s="597"/>
      <c r="AV523" s="597"/>
      <c r="AW523" s="598"/>
      <c r="AX523" s="597"/>
      <c r="AY523" s="597"/>
      <c r="AZ523" s="597"/>
      <c r="BA523" s="597"/>
      <c r="BB523" s="598"/>
      <c r="BC523" s="597"/>
      <c r="BD523" s="597"/>
      <c r="BE523" s="597"/>
      <c r="BF523" s="597"/>
      <c r="BG523" s="598"/>
      <c r="BH523" s="597"/>
      <c r="BI523" s="597"/>
      <c r="BJ523" s="597"/>
      <c r="BK523" s="597"/>
      <c r="BL523" s="598"/>
      <c r="BM523" s="597"/>
      <c r="BN523" s="597"/>
      <c r="BO523" s="597"/>
      <c r="BP523" s="597"/>
      <c r="BQ523" s="598"/>
      <c r="BR523" s="597"/>
      <c r="BS523" s="597"/>
      <c r="BT523" s="597"/>
      <c r="BU523" s="597"/>
      <c r="BV523" s="598"/>
      <c r="BW523" s="597"/>
      <c r="BX523" s="597"/>
      <c r="BY523" s="597"/>
      <c r="BZ523" s="597"/>
      <c r="CA523" s="598"/>
      <c r="CB523" s="597"/>
      <c r="CC523" s="597"/>
      <c r="CD523" s="597"/>
      <c r="CE523" s="597"/>
      <c r="CF523" s="598"/>
      <c r="CG523" s="682"/>
      <c r="CH523" s="682"/>
      <c r="CI523" s="682"/>
      <c r="CJ523" s="682"/>
      <c r="CK523" s="598"/>
      <c r="CL523" s="682"/>
      <c r="CM523" s="682"/>
      <c r="CN523" s="682"/>
      <c r="CO523" s="682"/>
      <c r="CP523" s="598"/>
      <c r="CQ523" s="682"/>
      <c r="CR523" s="682"/>
      <c r="CS523" s="682"/>
      <c r="CT523" s="682"/>
      <c r="CU523" s="598"/>
      <c r="CV523" s="682"/>
      <c r="CW523" s="682"/>
      <c r="CX523" s="682"/>
      <c r="CY523" s="682"/>
      <c r="CZ523" s="598"/>
      <c r="DA523" s="682"/>
      <c r="DB523" s="682"/>
      <c r="DC523" s="682"/>
      <c r="DD523" s="682"/>
      <c r="DE523" s="598"/>
      <c r="DF523" s="682"/>
      <c r="DG523" s="682"/>
      <c r="DH523" s="682"/>
      <c r="DI523" s="1610"/>
      <c r="DJ523" s="598"/>
      <c r="DK523" s="682"/>
      <c r="DL523" s="682"/>
      <c r="DM523" s="682"/>
      <c r="DN523" s="682"/>
      <c r="DO523" s="598"/>
      <c r="DP523" s="682"/>
      <c r="DQ523" s="682"/>
      <c r="DR523" s="682"/>
      <c r="DS523" s="682"/>
      <c r="DT523" s="598"/>
      <c r="DU523" s="682"/>
      <c r="DV523" s="682"/>
      <c r="DW523" s="682"/>
      <c r="DX523" s="682"/>
      <c r="DY523" s="598"/>
    </row>
    <row r="524" spans="1:129" hidden="1" outlineLevel="1" x14ac:dyDescent="0.2">
      <c r="A524" s="526"/>
      <c r="B524" s="756"/>
      <c r="C524" s="597"/>
      <c r="D524" s="597"/>
      <c r="E524" s="597"/>
      <c r="F524" s="597"/>
      <c r="G524" s="597"/>
      <c r="H524" s="597"/>
      <c r="I524" s="597"/>
      <c r="J524" s="597"/>
      <c r="K524" s="597"/>
      <c r="L524" s="597"/>
      <c r="M524" s="597"/>
      <c r="N524" s="597"/>
      <c r="O524" s="597"/>
      <c r="P524" s="597"/>
      <c r="Q524" s="597"/>
      <c r="R524" s="597"/>
      <c r="S524" s="597"/>
      <c r="T524" s="597"/>
      <c r="U524" s="597"/>
      <c r="V524" s="597"/>
      <c r="W524" s="597"/>
      <c r="X524" s="598"/>
      <c r="Y524" s="597"/>
      <c r="Z524" s="597"/>
      <c r="AA524" s="597"/>
      <c r="AB524" s="597"/>
      <c r="AC524" s="598"/>
      <c r="AD524" s="597"/>
      <c r="AE524" s="597"/>
      <c r="AF524" s="597"/>
      <c r="AG524" s="597"/>
      <c r="AH524" s="598"/>
      <c r="AI524" s="597"/>
      <c r="AJ524" s="597"/>
      <c r="AK524" s="597"/>
      <c r="AL524" s="597"/>
      <c r="AM524" s="598"/>
      <c r="AN524" s="597"/>
      <c r="AO524" s="597"/>
      <c r="AP524" s="597"/>
      <c r="AQ524" s="597"/>
      <c r="AR524" s="598"/>
      <c r="AS524" s="597"/>
      <c r="AT524" s="597"/>
      <c r="AU524" s="597"/>
      <c r="AV524" s="597"/>
      <c r="AW524" s="598"/>
      <c r="AX524" s="597"/>
      <c r="AY524" s="597"/>
      <c r="AZ524" s="597"/>
      <c r="BA524" s="597"/>
      <c r="BB524" s="598"/>
      <c r="BC524" s="597"/>
      <c r="BD524" s="597"/>
      <c r="BE524" s="597"/>
      <c r="BF524" s="597"/>
      <c r="BG524" s="598"/>
      <c r="BH524" s="597"/>
      <c r="BI524" s="597"/>
      <c r="BJ524" s="597"/>
      <c r="BK524" s="597"/>
      <c r="BL524" s="598"/>
      <c r="BM524" s="597"/>
      <c r="BN524" s="597"/>
      <c r="BO524" s="597"/>
      <c r="BP524" s="597"/>
      <c r="BQ524" s="598"/>
      <c r="BR524" s="597"/>
      <c r="BS524" s="597"/>
      <c r="BT524" s="597"/>
      <c r="BU524" s="597"/>
      <c r="BV524" s="598"/>
      <c r="BW524" s="597"/>
      <c r="BX524" s="597"/>
      <c r="BY524" s="597"/>
      <c r="BZ524" s="597"/>
      <c r="CA524" s="598"/>
      <c r="CB524" s="597"/>
      <c r="CC524" s="597"/>
      <c r="CD524" s="597"/>
      <c r="CE524" s="597"/>
      <c r="CF524" s="598"/>
      <c r="CG524" s="682"/>
      <c r="CH524" s="682"/>
      <c r="CI524" s="682"/>
      <c r="CJ524" s="682"/>
      <c r="CK524" s="598"/>
      <c r="CL524" s="682"/>
      <c r="CM524" s="682"/>
      <c r="CN524" s="682"/>
      <c r="CO524" s="682"/>
      <c r="CP524" s="598"/>
      <c r="CQ524" s="682"/>
      <c r="CR524" s="682"/>
      <c r="CS524" s="682"/>
      <c r="CT524" s="682"/>
      <c r="CU524" s="598"/>
      <c r="CV524" s="682"/>
      <c r="CW524" s="682"/>
      <c r="CX524" s="682"/>
      <c r="CY524" s="682"/>
      <c r="CZ524" s="598"/>
      <c r="DA524" s="682"/>
      <c r="DB524" s="682"/>
      <c r="DC524" s="682"/>
      <c r="DD524" s="682"/>
      <c r="DE524" s="598"/>
      <c r="DF524" s="682"/>
      <c r="DG524" s="682"/>
      <c r="DH524" s="682"/>
      <c r="DI524" s="1610"/>
      <c r="DJ524" s="598"/>
      <c r="DK524" s="682"/>
      <c r="DL524" s="682"/>
      <c r="DM524" s="682"/>
      <c r="DN524" s="682"/>
      <c r="DO524" s="598"/>
      <c r="DP524" s="682"/>
      <c r="DQ524" s="682"/>
      <c r="DR524" s="682"/>
      <c r="DS524" s="682"/>
      <c r="DT524" s="598"/>
      <c r="DU524" s="682"/>
      <c r="DV524" s="682"/>
      <c r="DW524" s="682"/>
      <c r="DX524" s="682"/>
      <c r="DY524" s="598"/>
    </row>
    <row r="525" spans="1:129" hidden="1" outlineLevel="1" x14ac:dyDescent="0.2">
      <c r="A525" s="526"/>
      <c r="B525" s="756" t="s">
        <v>909</v>
      </c>
      <c r="C525" s="597"/>
      <c r="D525" s="597"/>
      <c r="E525" s="597"/>
      <c r="F525" s="597"/>
      <c r="G525" s="597"/>
      <c r="H525" s="597"/>
      <c r="I525" s="597"/>
      <c r="J525" s="597"/>
      <c r="K525" s="597"/>
      <c r="L525" s="597"/>
      <c r="M525" s="597"/>
      <c r="N525" s="597"/>
      <c r="O525" s="597"/>
      <c r="P525" s="597"/>
      <c r="Q525" s="597"/>
      <c r="R525" s="597"/>
      <c r="S525" s="597"/>
      <c r="T525" s="597"/>
      <c r="U525" s="597"/>
      <c r="V525" s="597"/>
      <c r="W525" s="597"/>
      <c r="X525" s="598"/>
      <c r="Y525" s="597"/>
      <c r="Z525" s="597"/>
      <c r="AA525" s="597"/>
      <c r="AB525" s="597"/>
      <c r="AC525" s="598"/>
      <c r="AD525" s="597"/>
      <c r="AE525" s="597"/>
      <c r="AF525" s="597"/>
      <c r="AG525" s="597"/>
      <c r="AH525" s="598"/>
      <c r="AI525" s="597"/>
      <c r="AJ525" s="597"/>
      <c r="AK525" s="597"/>
      <c r="AL525" s="597"/>
      <c r="AM525" s="598"/>
      <c r="AN525" s="597"/>
      <c r="AO525" s="597"/>
      <c r="AP525" s="597"/>
      <c r="AQ525" s="597"/>
      <c r="AR525" s="598"/>
      <c r="AS525" s="597"/>
      <c r="AT525" s="597"/>
      <c r="AU525" s="597"/>
      <c r="AV525" s="597"/>
      <c r="AW525" s="598"/>
      <c r="AX525" s="597"/>
      <c r="AY525" s="597"/>
      <c r="AZ525" s="597"/>
      <c r="BA525" s="597"/>
      <c r="BB525" s="598"/>
      <c r="BC525" s="597"/>
      <c r="BD525" s="597"/>
      <c r="BE525" s="597"/>
      <c r="BF525" s="597"/>
      <c r="BG525" s="598"/>
      <c r="BH525" s="597"/>
      <c r="BI525" s="597"/>
      <c r="BJ525" s="597"/>
      <c r="BK525" s="597"/>
      <c r="BL525" s="598"/>
      <c r="BM525" s="597"/>
      <c r="BN525" s="597"/>
      <c r="BO525" s="597"/>
      <c r="BP525" s="597"/>
      <c r="BQ525" s="598"/>
      <c r="BR525" s="597"/>
      <c r="BS525" s="597"/>
      <c r="BT525" s="597"/>
      <c r="BU525" s="597"/>
      <c r="BV525" s="598"/>
      <c r="BW525" s="597"/>
      <c r="BX525" s="597"/>
      <c r="BY525" s="597"/>
      <c r="BZ525" s="597"/>
      <c r="CA525" s="598"/>
      <c r="CB525" s="597"/>
      <c r="CC525" s="597"/>
      <c r="CD525" s="597"/>
      <c r="CE525" s="597"/>
      <c r="CF525" s="598"/>
      <c r="CG525" s="682"/>
      <c r="CH525" s="682"/>
      <c r="CI525" s="682"/>
      <c r="CJ525" s="682"/>
      <c r="CK525" s="598"/>
      <c r="CL525" s="682"/>
      <c r="CM525" s="682"/>
      <c r="CN525" s="682"/>
      <c r="CO525" s="682"/>
      <c r="CP525" s="598"/>
      <c r="CQ525" s="682"/>
      <c r="CR525" s="682"/>
      <c r="CS525" s="682"/>
      <c r="CT525" s="682"/>
      <c r="CU525" s="598"/>
      <c r="CV525" s="682"/>
      <c r="CW525" s="682"/>
      <c r="CX525" s="682"/>
      <c r="CY525" s="682"/>
      <c r="CZ525" s="598"/>
      <c r="DA525" s="682"/>
      <c r="DB525" s="682"/>
      <c r="DC525" s="682"/>
      <c r="DD525" s="682"/>
      <c r="DE525" s="598"/>
      <c r="DF525" s="682"/>
      <c r="DG525" s="682"/>
      <c r="DH525" s="682"/>
      <c r="DI525" s="1610"/>
      <c r="DJ525" s="598"/>
      <c r="DK525" s="682"/>
      <c r="DL525" s="682"/>
      <c r="DM525" s="682"/>
      <c r="DN525" s="682"/>
      <c r="DO525" s="598"/>
      <c r="DP525" s="682"/>
      <c r="DQ525" s="682"/>
      <c r="DR525" s="682"/>
      <c r="DS525" s="682"/>
      <c r="DT525" s="598"/>
      <c r="DU525" s="682"/>
      <c r="DV525" s="682"/>
      <c r="DW525" s="682"/>
      <c r="DX525" s="682"/>
      <c r="DY525" s="598"/>
    </row>
    <row r="526" spans="1:129" hidden="1" outlineLevel="1" x14ac:dyDescent="0.2">
      <c r="A526" s="526"/>
      <c r="B526" s="756"/>
      <c r="C526" s="597"/>
      <c r="D526" s="597"/>
      <c r="E526" s="597"/>
      <c r="F526" s="597"/>
      <c r="G526" s="597"/>
      <c r="H526" s="597"/>
      <c r="I526" s="597"/>
      <c r="J526" s="597"/>
      <c r="K526" s="597"/>
      <c r="L526" s="597"/>
      <c r="M526" s="597"/>
      <c r="N526" s="597"/>
      <c r="O526" s="597"/>
      <c r="P526" s="597"/>
      <c r="Q526" s="597"/>
      <c r="R526" s="597"/>
      <c r="S526" s="597"/>
      <c r="T526" s="597"/>
      <c r="U526" s="597"/>
      <c r="V526" s="597"/>
      <c r="W526" s="597"/>
      <c r="X526" s="598"/>
      <c r="Y526" s="597"/>
      <c r="Z526" s="597"/>
      <c r="AA526" s="597"/>
      <c r="AB526" s="597"/>
      <c r="AC526" s="598"/>
      <c r="AD526" s="597"/>
      <c r="AE526" s="597"/>
      <c r="AF526" s="597"/>
      <c r="AG526" s="597"/>
      <c r="AH526" s="598"/>
      <c r="AI526" s="597"/>
      <c r="AJ526" s="597"/>
      <c r="AK526" s="597"/>
      <c r="AL526" s="597"/>
      <c r="AM526" s="598"/>
      <c r="AN526" s="597"/>
      <c r="AO526" s="597"/>
      <c r="AP526" s="597"/>
      <c r="AQ526" s="597"/>
      <c r="AR526" s="598"/>
      <c r="AS526" s="597"/>
      <c r="AT526" s="597"/>
      <c r="AU526" s="597"/>
      <c r="AV526" s="597"/>
      <c r="AW526" s="598"/>
      <c r="AX526" s="597"/>
      <c r="AY526" s="597"/>
      <c r="AZ526" s="597"/>
      <c r="BA526" s="597"/>
      <c r="BB526" s="598"/>
      <c r="BC526" s="597"/>
      <c r="BD526" s="597"/>
      <c r="BE526" s="597"/>
      <c r="BF526" s="597"/>
      <c r="BG526" s="598"/>
      <c r="BH526" s="597"/>
      <c r="BI526" s="597"/>
      <c r="BJ526" s="597"/>
      <c r="BK526" s="597"/>
      <c r="BL526" s="598"/>
      <c r="BM526" s="597"/>
      <c r="BN526" s="597"/>
      <c r="BO526" s="597"/>
      <c r="BP526" s="597"/>
      <c r="BQ526" s="598"/>
      <c r="BR526" s="597"/>
      <c r="BS526" s="597"/>
      <c r="BT526" s="597"/>
      <c r="BU526" s="597"/>
      <c r="BV526" s="598"/>
      <c r="BW526" s="597"/>
      <c r="BX526" s="597"/>
      <c r="BY526" s="597"/>
      <c r="BZ526" s="597"/>
      <c r="CA526" s="598"/>
      <c r="CB526" s="597"/>
      <c r="CC526" s="597"/>
      <c r="CD526" s="597"/>
      <c r="CE526" s="597"/>
      <c r="CF526" s="598"/>
      <c r="CG526" s="682"/>
      <c r="CH526" s="682"/>
      <c r="CI526" s="682"/>
      <c r="CJ526" s="682"/>
      <c r="CK526" s="598"/>
      <c r="CL526" s="682"/>
      <c r="CM526" s="682"/>
      <c r="CN526" s="682"/>
      <c r="CO526" s="682"/>
      <c r="CP526" s="598"/>
      <c r="CQ526" s="682"/>
      <c r="CR526" s="682"/>
      <c r="CS526" s="682"/>
      <c r="CT526" s="682"/>
      <c r="CU526" s="598"/>
      <c r="CV526" s="682"/>
      <c r="CW526" s="682"/>
      <c r="CX526" s="682"/>
      <c r="CY526" s="682"/>
      <c r="CZ526" s="598"/>
      <c r="DA526" s="682"/>
      <c r="DB526" s="682"/>
      <c r="DC526" s="682"/>
      <c r="DD526" s="682"/>
      <c r="DE526" s="598"/>
      <c r="DF526" s="682"/>
      <c r="DG526" s="682"/>
      <c r="DH526" s="682"/>
      <c r="DI526" s="1610"/>
      <c r="DJ526" s="598"/>
      <c r="DK526" s="682"/>
      <c r="DL526" s="682"/>
      <c r="DM526" s="682"/>
      <c r="DN526" s="682"/>
      <c r="DO526" s="598"/>
      <c r="DP526" s="682"/>
      <c r="DQ526" s="682"/>
      <c r="DR526" s="682"/>
      <c r="DS526" s="682"/>
      <c r="DT526" s="598"/>
      <c r="DU526" s="682"/>
      <c r="DV526" s="682"/>
      <c r="DW526" s="682"/>
      <c r="DX526" s="682"/>
      <c r="DY526" s="598"/>
    </row>
    <row r="527" spans="1:129" hidden="1" outlineLevel="1" x14ac:dyDescent="0.2">
      <c r="A527" s="526"/>
      <c r="B527" s="756"/>
      <c r="C527" s="597"/>
      <c r="D527" s="597"/>
      <c r="E527" s="597"/>
      <c r="F527" s="597"/>
      <c r="G527" s="597"/>
      <c r="H527" s="597"/>
      <c r="I527" s="597"/>
      <c r="J527" s="597"/>
      <c r="K527" s="597"/>
      <c r="L527" s="597"/>
      <c r="M527" s="597"/>
      <c r="N527" s="597"/>
      <c r="O527" s="597"/>
      <c r="P527" s="597"/>
      <c r="Q527" s="597"/>
      <c r="R527" s="597"/>
      <c r="S527" s="597"/>
      <c r="T527" s="597"/>
      <c r="U527" s="597"/>
      <c r="V527" s="597"/>
      <c r="W527" s="597"/>
      <c r="X527" s="598"/>
      <c r="Y527" s="597"/>
      <c r="Z527" s="597"/>
      <c r="AA527" s="597"/>
      <c r="AB527" s="597"/>
      <c r="AC527" s="598"/>
      <c r="AD527" s="597"/>
      <c r="AE527" s="597"/>
      <c r="AF527" s="597"/>
      <c r="AG527" s="597"/>
      <c r="AH527" s="598"/>
      <c r="AI527" s="597"/>
      <c r="AJ527" s="597"/>
      <c r="AK527" s="597"/>
      <c r="AL527" s="597"/>
      <c r="AM527" s="598"/>
      <c r="AN527" s="597"/>
      <c r="AO527" s="597"/>
      <c r="AP527" s="597"/>
      <c r="AQ527" s="597"/>
      <c r="AR527" s="598"/>
      <c r="AS527" s="597"/>
      <c r="AT527" s="597"/>
      <c r="AU527" s="597"/>
      <c r="AV527" s="597"/>
      <c r="AW527" s="598"/>
      <c r="AX527" s="597"/>
      <c r="AY527" s="597"/>
      <c r="AZ527" s="597"/>
      <c r="BA527" s="597"/>
      <c r="BB527" s="598"/>
      <c r="BC527" s="597"/>
      <c r="BD527" s="597"/>
      <c r="BE527" s="597"/>
      <c r="BF527" s="597"/>
      <c r="BG527" s="598"/>
      <c r="BH527" s="597"/>
      <c r="BI527" s="597"/>
      <c r="BJ527" s="597"/>
      <c r="BK527" s="597"/>
      <c r="BL527" s="598"/>
      <c r="BM527" s="597"/>
      <c r="BN527" s="597"/>
      <c r="BO527" s="597"/>
      <c r="BP527" s="597"/>
      <c r="BQ527" s="598"/>
      <c r="BR527" s="597"/>
      <c r="BS527" s="597"/>
      <c r="BT527" s="597"/>
      <c r="BU527" s="597"/>
      <c r="BV527" s="598"/>
      <c r="BW527" s="597"/>
      <c r="BX527" s="597"/>
      <c r="BY527" s="597"/>
      <c r="BZ527" s="597"/>
      <c r="CA527" s="598"/>
      <c r="CB527" s="597"/>
      <c r="CC527" s="597"/>
      <c r="CD527" s="597"/>
      <c r="CE527" s="597"/>
      <c r="CF527" s="598"/>
      <c r="CG527" s="682"/>
      <c r="CH527" s="682"/>
      <c r="CI527" s="682"/>
      <c r="CJ527" s="682"/>
      <c r="CK527" s="598"/>
      <c r="CL527" s="682"/>
      <c r="CM527" s="682"/>
      <c r="CN527" s="682"/>
      <c r="CO527" s="682"/>
      <c r="CP527" s="598"/>
      <c r="CQ527" s="682"/>
      <c r="CR527" s="682"/>
      <c r="CS527" s="682"/>
      <c r="CT527" s="682"/>
      <c r="CU527" s="598"/>
      <c r="CV527" s="682"/>
      <c r="CW527" s="682"/>
      <c r="CX527" s="682"/>
      <c r="CY527" s="682"/>
      <c r="CZ527" s="598"/>
      <c r="DA527" s="682"/>
      <c r="DB527" s="682"/>
      <c r="DC527" s="682"/>
      <c r="DD527" s="682"/>
      <c r="DE527" s="598"/>
      <c r="DF527" s="682"/>
      <c r="DG527" s="682"/>
      <c r="DH527" s="682"/>
      <c r="DI527" s="1610"/>
      <c r="DJ527" s="598"/>
      <c r="DK527" s="682"/>
      <c r="DL527" s="682"/>
      <c r="DM527" s="682"/>
      <c r="DN527" s="682"/>
      <c r="DO527" s="598"/>
      <c r="DP527" s="682"/>
      <c r="DQ527" s="682"/>
      <c r="DR527" s="682"/>
      <c r="DS527" s="682"/>
      <c r="DT527" s="598"/>
      <c r="DU527" s="682"/>
      <c r="DV527" s="682"/>
      <c r="DW527" s="682"/>
      <c r="DX527" s="682"/>
      <c r="DY527" s="598"/>
    </row>
    <row r="528" spans="1:129" hidden="1" outlineLevel="1" x14ac:dyDescent="0.2">
      <c r="A528" s="526"/>
      <c r="B528" s="756" t="s">
        <v>910</v>
      </c>
      <c r="C528" s="597"/>
      <c r="D528" s="597"/>
      <c r="E528" s="597"/>
      <c r="F528" s="597"/>
      <c r="G528" s="597"/>
      <c r="H528" s="597"/>
      <c r="I528" s="597"/>
      <c r="J528" s="597"/>
      <c r="K528" s="597"/>
      <c r="L528" s="597"/>
      <c r="M528" s="597"/>
      <c r="N528" s="597"/>
      <c r="O528" s="597"/>
      <c r="P528" s="597"/>
      <c r="Q528" s="597"/>
      <c r="R528" s="597"/>
      <c r="S528" s="597"/>
      <c r="T528" s="597"/>
      <c r="U528" s="597"/>
      <c r="V528" s="597"/>
      <c r="W528" s="597"/>
      <c r="X528" s="598"/>
      <c r="Y528" s="597"/>
      <c r="Z528" s="597"/>
      <c r="AA528" s="597"/>
      <c r="AB528" s="597"/>
      <c r="AC528" s="598"/>
      <c r="AD528" s="597"/>
      <c r="AE528" s="597"/>
      <c r="AF528" s="597"/>
      <c r="AG528" s="597"/>
      <c r="AH528" s="598"/>
      <c r="AI528" s="597"/>
      <c r="AJ528" s="597"/>
      <c r="AK528" s="597"/>
      <c r="AL528" s="597"/>
      <c r="AM528" s="598"/>
      <c r="AN528" s="597"/>
      <c r="AO528" s="597"/>
      <c r="AP528" s="597"/>
      <c r="AQ528" s="597"/>
      <c r="AR528" s="598"/>
      <c r="AS528" s="597"/>
      <c r="AT528" s="597"/>
      <c r="AU528" s="597"/>
      <c r="AV528" s="597"/>
      <c r="AW528" s="598"/>
      <c r="AX528" s="597"/>
      <c r="AY528" s="597"/>
      <c r="AZ528" s="597"/>
      <c r="BA528" s="597"/>
      <c r="BB528" s="598"/>
      <c r="BC528" s="597"/>
      <c r="BD528" s="597"/>
      <c r="BE528" s="597"/>
      <c r="BF528" s="597"/>
      <c r="BG528" s="598"/>
      <c r="BH528" s="597"/>
      <c r="BI528" s="597"/>
      <c r="BJ528" s="597"/>
      <c r="BK528" s="597"/>
      <c r="BL528" s="598"/>
      <c r="BM528" s="597"/>
      <c r="BN528" s="597"/>
      <c r="BO528" s="597"/>
      <c r="BP528" s="597"/>
      <c r="BQ528" s="598"/>
      <c r="BR528" s="597"/>
      <c r="BS528" s="597"/>
      <c r="BT528" s="597"/>
      <c r="BU528" s="597"/>
      <c r="BV528" s="598"/>
      <c r="BW528" s="597"/>
      <c r="BX528" s="597"/>
      <c r="BY528" s="597"/>
      <c r="BZ528" s="597"/>
      <c r="CA528" s="598"/>
      <c r="CB528" s="597"/>
      <c r="CC528" s="597"/>
      <c r="CD528" s="597"/>
      <c r="CE528" s="597"/>
      <c r="CF528" s="598"/>
      <c r="CG528" s="682"/>
      <c r="CH528" s="682"/>
      <c r="CI528" s="682"/>
      <c r="CJ528" s="682"/>
      <c r="CK528" s="598"/>
      <c r="CL528" s="682"/>
      <c r="CM528" s="682"/>
      <c r="CN528" s="682"/>
      <c r="CO528" s="682"/>
      <c r="CP528" s="598"/>
      <c r="CQ528" s="682"/>
      <c r="CR528" s="682"/>
      <c r="CS528" s="682"/>
      <c r="CT528" s="682"/>
      <c r="CU528" s="598"/>
      <c r="CV528" s="682"/>
      <c r="CW528" s="682"/>
      <c r="CX528" s="682"/>
      <c r="CY528" s="682"/>
      <c r="CZ528" s="598"/>
      <c r="DA528" s="682"/>
      <c r="DB528" s="682"/>
      <c r="DC528" s="682"/>
      <c r="DD528" s="682"/>
      <c r="DE528" s="598"/>
      <c r="DF528" s="682"/>
      <c r="DG528" s="682"/>
      <c r="DH528" s="682"/>
      <c r="DI528" s="1610"/>
      <c r="DJ528" s="598"/>
      <c r="DK528" s="682"/>
      <c r="DL528" s="682"/>
      <c r="DM528" s="682"/>
      <c r="DN528" s="682"/>
      <c r="DO528" s="598"/>
      <c r="DP528" s="682"/>
      <c r="DQ528" s="682"/>
      <c r="DR528" s="682"/>
      <c r="DS528" s="682"/>
      <c r="DT528" s="598"/>
      <c r="DU528" s="682"/>
      <c r="DV528" s="682"/>
      <c r="DW528" s="682"/>
      <c r="DX528" s="682"/>
      <c r="DY528" s="598"/>
    </row>
    <row r="529" spans="1:129" hidden="1" outlineLevel="1" x14ac:dyDescent="0.2">
      <c r="A529" s="683"/>
      <c r="B529" s="989" t="s">
        <v>911</v>
      </c>
      <c r="C529" s="743"/>
      <c r="D529" s="743"/>
      <c r="E529" s="743"/>
      <c r="F529" s="743"/>
      <c r="G529" s="743"/>
      <c r="H529" s="743"/>
      <c r="I529" s="743"/>
      <c r="J529" s="743"/>
      <c r="K529" s="743"/>
      <c r="L529" s="743"/>
      <c r="M529" s="743"/>
      <c r="N529" s="743"/>
      <c r="O529" s="743"/>
      <c r="P529" s="743"/>
      <c r="Q529" s="743"/>
      <c r="R529" s="743"/>
      <c r="S529" s="743"/>
      <c r="T529" s="743"/>
      <c r="U529" s="743"/>
      <c r="V529" s="743"/>
      <c r="W529" s="743"/>
      <c r="X529" s="849"/>
      <c r="Y529" s="743"/>
      <c r="Z529" s="743"/>
      <c r="AA529" s="743"/>
      <c r="AB529" s="743"/>
      <c r="AC529" s="849"/>
      <c r="AD529" s="743"/>
      <c r="AE529" s="743"/>
      <c r="AF529" s="743"/>
      <c r="AG529" s="743"/>
      <c r="AH529" s="849"/>
      <c r="AI529" s="743"/>
      <c r="AJ529" s="743"/>
      <c r="AK529" s="743"/>
      <c r="AL529" s="743"/>
      <c r="AM529" s="849"/>
      <c r="AN529" s="743"/>
      <c r="AO529" s="743"/>
      <c r="AP529" s="743"/>
      <c r="AQ529" s="743"/>
      <c r="AR529" s="849"/>
      <c r="AS529" s="743"/>
      <c r="AT529" s="743"/>
      <c r="AU529" s="743"/>
      <c r="AV529" s="743"/>
      <c r="AW529" s="849"/>
      <c r="AX529" s="743"/>
      <c r="AY529" s="743"/>
      <c r="AZ529" s="743"/>
      <c r="BA529" s="743"/>
      <c r="BB529" s="849"/>
      <c r="BC529" s="743"/>
      <c r="BD529" s="743"/>
      <c r="BE529" s="743"/>
      <c r="BF529" s="743"/>
      <c r="BG529" s="745">
        <v>0.15</v>
      </c>
      <c r="BH529" s="743"/>
      <c r="BI529" s="743"/>
      <c r="BJ529" s="743"/>
      <c r="BK529" s="743"/>
      <c r="BL529" s="745">
        <v>0.16</v>
      </c>
      <c r="BM529" s="743"/>
      <c r="BN529" s="743"/>
      <c r="BO529" s="743"/>
      <c r="BP529" s="743"/>
      <c r="BQ529" s="849"/>
      <c r="BR529" s="743"/>
      <c r="BS529" s="743"/>
      <c r="BT529" s="743"/>
      <c r="BU529" s="743"/>
      <c r="BV529" s="849"/>
      <c r="BW529" s="743"/>
      <c r="BX529" s="743"/>
      <c r="BY529" s="743"/>
      <c r="BZ529" s="743"/>
      <c r="CA529" s="849"/>
      <c r="CB529" s="743"/>
      <c r="CC529" s="743"/>
      <c r="CD529" s="743"/>
      <c r="CE529" s="743"/>
      <c r="CF529" s="849"/>
      <c r="CG529" s="820"/>
      <c r="CH529" s="820"/>
      <c r="CI529" s="820"/>
      <c r="CJ529" s="820"/>
      <c r="CK529" s="849"/>
      <c r="CL529" s="820"/>
      <c r="CM529" s="820"/>
      <c r="CN529" s="820"/>
      <c r="CO529" s="820"/>
      <c r="CP529" s="849"/>
      <c r="CQ529" s="820"/>
      <c r="CR529" s="820"/>
      <c r="CS529" s="820"/>
      <c r="CT529" s="820"/>
      <c r="CU529" s="849"/>
      <c r="CV529" s="820"/>
      <c r="CW529" s="820"/>
      <c r="CX529" s="820"/>
      <c r="CY529" s="820"/>
      <c r="CZ529" s="849"/>
      <c r="DA529" s="820"/>
      <c r="DB529" s="820"/>
      <c r="DC529" s="820"/>
      <c r="DD529" s="820"/>
      <c r="DE529" s="849"/>
      <c r="DF529" s="820"/>
      <c r="DG529" s="820"/>
      <c r="DH529" s="820"/>
      <c r="DI529" s="2815"/>
      <c r="DJ529" s="849"/>
      <c r="DK529" s="820"/>
      <c r="DL529" s="820"/>
      <c r="DM529" s="820"/>
      <c r="DN529" s="820"/>
      <c r="DO529" s="849"/>
      <c r="DP529" s="820"/>
      <c r="DQ529" s="820"/>
      <c r="DR529" s="820"/>
      <c r="DS529" s="820"/>
      <c r="DT529" s="849"/>
      <c r="DU529" s="820"/>
      <c r="DV529" s="820"/>
      <c r="DW529" s="820"/>
      <c r="DX529" s="820"/>
      <c r="DY529" s="849"/>
    </row>
    <row r="530" spans="1:129" hidden="1" outlineLevel="1" x14ac:dyDescent="0.2">
      <c r="A530" s="466"/>
      <c r="B530" s="607" t="s">
        <v>912</v>
      </c>
      <c r="C530" s="585"/>
      <c r="D530" s="585"/>
      <c r="E530" s="585"/>
      <c r="F530" s="585"/>
      <c r="G530" s="585"/>
      <c r="H530" s="585"/>
      <c r="I530" s="585"/>
      <c r="J530" s="585"/>
      <c r="K530" s="585"/>
      <c r="L530" s="585"/>
      <c r="M530" s="585"/>
      <c r="N530" s="585"/>
      <c r="O530" s="585"/>
      <c r="P530" s="585"/>
      <c r="Q530" s="585"/>
      <c r="R530" s="585"/>
      <c r="S530" s="585"/>
      <c r="T530" s="585"/>
      <c r="U530" s="585"/>
      <c r="V530" s="585"/>
      <c r="W530" s="585"/>
      <c r="X530" s="586"/>
      <c r="Y530" s="585"/>
      <c r="Z530" s="585"/>
      <c r="AA530" s="585"/>
      <c r="AB530" s="585"/>
      <c r="AC530" s="586"/>
      <c r="AD530" s="585"/>
      <c r="AE530" s="585"/>
      <c r="AF530" s="585"/>
      <c r="AG530" s="585"/>
      <c r="AH530" s="586"/>
      <c r="AI530" s="585"/>
      <c r="AJ530" s="585"/>
      <c r="AK530" s="585"/>
      <c r="AL530" s="585"/>
      <c r="AM530" s="586"/>
      <c r="AN530" s="585"/>
      <c r="AO530" s="585"/>
      <c r="AP530" s="585"/>
      <c r="AQ530" s="585"/>
      <c r="AR530" s="586"/>
      <c r="AS530" s="585"/>
      <c r="AT530" s="585"/>
      <c r="AU530" s="585"/>
      <c r="AV530" s="585"/>
      <c r="AW530" s="586"/>
      <c r="AX530" s="585"/>
      <c r="AY530" s="585"/>
      <c r="AZ530" s="585"/>
      <c r="BA530" s="585"/>
      <c r="BB530" s="586"/>
      <c r="BC530" s="585"/>
      <c r="BD530" s="585"/>
      <c r="BE530" s="585"/>
      <c r="BF530" s="585"/>
      <c r="BG530" s="754">
        <v>1252.79745</v>
      </c>
      <c r="BH530" s="585"/>
      <c r="BI530" s="585"/>
      <c r="BJ530" s="585"/>
      <c r="BK530" s="585"/>
      <c r="BL530" s="754">
        <v>1425.16</v>
      </c>
      <c r="BM530" s="585"/>
      <c r="BN530" s="585"/>
      <c r="BO530" s="585"/>
      <c r="BP530" s="585"/>
      <c r="BQ530" s="586"/>
      <c r="BR530" s="585"/>
      <c r="BS530" s="585"/>
      <c r="BT530" s="585"/>
      <c r="BU530" s="585"/>
      <c r="BV530" s="586"/>
      <c r="BW530" s="585"/>
      <c r="BX530" s="585"/>
      <c r="BY530" s="585"/>
      <c r="BZ530" s="585"/>
      <c r="CA530" s="586"/>
      <c r="CB530" s="585"/>
      <c r="CC530" s="585"/>
      <c r="CD530" s="585"/>
      <c r="CE530" s="585"/>
      <c r="CF530" s="586"/>
      <c r="CG530" s="470"/>
      <c r="CH530" s="470"/>
      <c r="CI530" s="470"/>
      <c r="CJ530" s="470"/>
      <c r="CK530" s="586"/>
      <c r="CL530" s="470"/>
      <c r="CM530" s="470"/>
      <c r="CN530" s="470"/>
      <c r="CO530" s="470"/>
      <c r="CP530" s="586"/>
      <c r="CQ530" s="470"/>
      <c r="CR530" s="470"/>
      <c r="CS530" s="470"/>
      <c r="CT530" s="470"/>
      <c r="CU530" s="586"/>
      <c r="CV530" s="470"/>
      <c r="CW530" s="470"/>
      <c r="CX530" s="470"/>
      <c r="CY530" s="470"/>
      <c r="CZ530" s="586"/>
      <c r="DA530" s="470"/>
      <c r="DB530" s="470"/>
      <c r="DC530" s="470"/>
      <c r="DD530" s="470"/>
      <c r="DE530" s="586"/>
      <c r="DF530" s="470"/>
      <c r="DG530" s="470"/>
      <c r="DH530" s="470"/>
      <c r="DI530" s="914"/>
      <c r="DJ530" s="586"/>
      <c r="DK530" s="470"/>
      <c r="DL530" s="470"/>
      <c r="DM530" s="470"/>
      <c r="DN530" s="470"/>
      <c r="DO530" s="586"/>
      <c r="DP530" s="470"/>
      <c r="DQ530" s="470"/>
      <c r="DR530" s="470"/>
      <c r="DS530" s="470"/>
      <c r="DT530" s="586"/>
      <c r="DU530" s="470"/>
      <c r="DV530" s="470"/>
      <c r="DW530" s="470"/>
      <c r="DX530" s="470"/>
      <c r="DY530" s="586"/>
    </row>
    <row r="531" spans="1:129" hidden="1" outlineLevel="1" x14ac:dyDescent="0.2">
      <c r="A531" s="461"/>
      <c r="B531" s="990" t="s">
        <v>204</v>
      </c>
      <c r="C531" s="571"/>
      <c r="D531" s="571"/>
      <c r="E531" s="571"/>
      <c r="F531" s="571"/>
      <c r="G531" s="571"/>
      <c r="H531" s="571"/>
      <c r="I531" s="571"/>
      <c r="J531" s="571"/>
      <c r="K531" s="571"/>
      <c r="L531" s="571"/>
      <c r="M531" s="571"/>
      <c r="N531" s="571"/>
      <c r="O531" s="571"/>
      <c r="P531" s="571"/>
      <c r="Q531" s="571"/>
      <c r="R531" s="571"/>
      <c r="S531" s="571"/>
      <c r="T531" s="571"/>
      <c r="U531" s="571"/>
      <c r="V531" s="571"/>
      <c r="W531" s="571"/>
      <c r="X531" s="572"/>
      <c r="Y531" s="571"/>
      <c r="Z531" s="571"/>
      <c r="AA531" s="571"/>
      <c r="AB531" s="571"/>
      <c r="AC531" s="572"/>
      <c r="AD531" s="571"/>
      <c r="AE531" s="571"/>
      <c r="AF531" s="571"/>
      <c r="AG531" s="571"/>
      <c r="AH531" s="572"/>
      <c r="AI531" s="571"/>
      <c r="AJ531" s="571"/>
      <c r="AK531" s="571"/>
      <c r="AL531" s="571"/>
      <c r="AM531" s="572"/>
      <c r="AN531" s="571"/>
      <c r="AO531" s="571"/>
      <c r="AP531" s="571"/>
      <c r="AQ531" s="571"/>
      <c r="AR531" s="572"/>
      <c r="AS531" s="571"/>
      <c r="AT531" s="571"/>
      <c r="AU531" s="571"/>
      <c r="AV531" s="571"/>
      <c r="AW531" s="572"/>
      <c r="AX531" s="571"/>
      <c r="AY531" s="571"/>
      <c r="AZ531" s="571"/>
      <c r="BA531" s="571"/>
      <c r="BB531" s="572"/>
      <c r="BC531" s="571"/>
      <c r="BD531" s="571"/>
      <c r="BE531" s="571"/>
      <c r="BF531" s="571"/>
      <c r="BG531" s="572"/>
      <c r="BH531" s="571"/>
      <c r="BI531" s="571"/>
      <c r="BJ531" s="571"/>
      <c r="BK531" s="571"/>
      <c r="BL531" s="991">
        <v>0.13758213668139252</v>
      </c>
      <c r="BM531" s="571"/>
      <c r="BN531" s="571"/>
      <c r="BO531" s="571"/>
      <c r="BP531" s="571"/>
      <c r="BQ531" s="572"/>
      <c r="BR531" s="571"/>
      <c r="BS531" s="571"/>
      <c r="BT531" s="571"/>
      <c r="BU531" s="571"/>
      <c r="BV531" s="572"/>
      <c r="BW531" s="571"/>
      <c r="BX531" s="571"/>
      <c r="BY531" s="571"/>
      <c r="BZ531" s="571"/>
      <c r="CA531" s="572"/>
      <c r="CB531" s="571"/>
      <c r="CC531" s="571"/>
      <c r="CD531" s="571"/>
      <c r="CE531" s="571"/>
      <c r="CF531" s="572"/>
      <c r="CG531" s="571"/>
      <c r="CH531" s="571"/>
      <c r="CI531" s="571"/>
      <c r="CJ531" s="571"/>
      <c r="CK531" s="572"/>
      <c r="CL531" s="571"/>
      <c r="CM531" s="571"/>
      <c r="CN531" s="571"/>
      <c r="CO531" s="571"/>
      <c r="CP531" s="572"/>
      <c r="CQ531" s="571"/>
      <c r="CR531" s="571"/>
      <c r="CS531" s="571"/>
      <c r="CT531" s="571"/>
      <c r="CU531" s="572"/>
      <c r="CV531" s="571"/>
      <c r="CW531" s="571"/>
      <c r="CX531" s="571"/>
      <c r="CY531" s="571"/>
      <c r="CZ531" s="572"/>
      <c r="DA531" s="571"/>
      <c r="DB531" s="571"/>
      <c r="DC531" s="571"/>
      <c r="DD531" s="571"/>
      <c r="DE531" s="572"/>
      <c r="DF531" s="571"/>
      <c r="DG531" s="571"/>
      <c r="DH531" s="571"/>
      <c r="DI531" s="571"/>
      <c r="DJ531" s="572"/>
      <c r="DK531" s="571"/>
      <c r="DL531" s="571"/>
      <c r="DM531" s="571"/>
      <c r="DN531" s="571"/>
      <c r="DO531" s="572"/>
      <c r="DP531" s="571"/>
      <c r="DQ531" s="571"/>
      <c r="DR531" s="571"/>
      <c r="DS531" s="571"/>
      <c r="DT531" s="572"/>
      <c r="DU531" s="571"/>
      <c r="DV531" s="571"/>
      <c r="DW531" s="571"/>
      <c r="DX531" s="571"/>
      <c r="DY531" s="572"/>
    </row>
    <row r="532" spans="1:129" hidden="1" outlineLevel="1" x14ac:dyDescent="0.2">
      <c r="A532" s="526"/>
      <c r="B532" s="756"/>
      <c r="C532" s="597"/>
      <c r="D532" s="597"/>
      <c r="E532" s="597"/>
      <c r="F532" s="597"/>
      <c r="G532" s="597"/>
      <c r="H532" s="597"/>
      <c r="I532" s="597"/>
      <c r="J532" s="597"/>
      <c r="K532" s="597"/>
      <c r="L532" s="597"/>
      <c r="M532" s="597"/>
      <c r="N532" s="597"/>
      <c r="O532" s="597"/>
      <c r="P532" s="597"/>
      <c r="Q532" s="597"/>
      <c r="R532" s="597"/>
      <c r="S532" s="597"/>
      <c r="T532" s="597"/>
      <c r="U532" s="597"/>
      <c r="V532" s="597"/>
      <c r="W532" s="597"/>
      <c r="X532" s="598"/>
      <c r="Y532" s="597"/>
      <c r="Z532" s="597"/>
      <c r="AA532" s="597"/>
      <c r="AB532" s="597"/>
      <c r="AC532" s="598"/>
      <c r="AD532" s="597"/>
      <c r="AE532" s="597"/>
      <c r="AF532" s="597"/>
      <c r="AG532" s="597"/>
      <c r="AH532" s="598"/>
      <c r="AI532" s="597"/>
      <c r="AJ532" s="597"/>
      <c r="AK532" s="597"/>
      <c r="AL532" s="597"/>
      <c r="AM532" s="598"/>
      <c r="AN532" s="597"/>
      <c r="AO532" s="597"/>
      <c r="AP532" s="597"/>
      <c r="AQ532" s="597"/>
      <c r="AR532" s="598"/>
      <c r="AS532" s="597"/>
      <c r="AT532" s="597"/>
      <c r="AU532" s="597"/>
      <c r="AV532" s="597"/>
      <c r="AW532" s="598"/>
      <c r="AX532" s="597"/>
      <c r="AY532" s="597"/>
      <c r="AZ532" s="597"/>
      <c r="BA532" s="597"/>
      <c r="BB532" s="598"/>
      <c r="BC532" s="597"/>
      <c r="BD532" s="597"/>
      <c r="BE532" s="597"/>
      <c r="BF532" s="597"/>
      <c r="BG532" s="598"/>
      <c r="BH532" s="597"/>
      <c r="BI532" s="597"/>
      <c r="BJ532" s="597"/>
      <c r="BK532" s="597"/>
      <c r="BL532" s="598"/>
      <c r="BM532" s="597"/>
      <c r="BN532" s="597"/>
      <c r="BO532" s="597"/>
      <c r="BP532" s="597"/>
      <c r="BQ532" s="598"/>
      <c r="BR532" s="597"/>
      <c r="BS532" s="597"/>
      <c r="BT532" s="597"/>
      <c r="BU532" s="597"/>
      <c r="BV532" s="598"/>
      <c r="BW532" s="597"/>
      <c r="BX532" s="597"/>
      <c r="BY532" s="597"/>
      <c r="BZ532" s="597"/>
      <c r="CA532" s="598"/>
      <c r="CB532" s="597"/>
      <c r="CC532" s="597"/>
      <c r="CD532" s="597"/>
      <c r="CE532" s="597"/>
      <c r="CF532" s="598"/>
      <c r="CG532" s="682"/>
      <c r="CH532" s="682"/>
      <c r="CI532" s="682"/>
      <c r="CJ532" s="682"/>
      <c r="CK532" s="598"/>
      <c r="CL532" s="682"/>
      <c r="CM532" s="682"/>
      <c r="CN532" s="682"/>
      <c r="CO532" s="682"/>
      <c r="CP532" s="598"/>
      <c r="CQ532" s="682"/>
      <c r="CR532" s="682"/>
      <c r="CS532" s="682"/>
      <c r="CT532" s="682"/>
      <c r="CU532" s="598"/>
      <c r="CV532" s="682"/>
      <c r="CW532" s="682"/>
      <c r="CX532" s="682"/>
      <c r="CY532" s="682"/>
      <c r="CZ532" s="598"/>
      <c r="DA532" s="682"/>
      <c r="DB532" s="682"/>
      <c r="DC532" s="682"/>
      <c r="DD532" s="682"/>
      <c r="DE532" s="598"/>
      <c r="DF532" s="682"/>
      <c r="DG532" s="682"/>
      <c r="DH532" s="682"/>
      <c r="DI532" s="1610"/>
      <c r="DJ532" s="598"/>
      <c r="DK532" s="682"/>
      <c r="DL532" s="682"/>
      <c r="DM532" s="682"/>
      <c r="DN532" s="682"/>
      <c r="DO532" s="598"/>
      <c r="DP532" s="682"/>
      <c r="DQ532" s="682"/>
      <c r="DR532" s="682"/>
      <c r="DS532" s="682"/>
      <c r="DT532" s="598"/>
      <c r="DU532" s="682"/>
      <c r="DV532" s="682"/>
      <c r="DW532" s="682"/>
      <c r="DX532" s="682"/>
      <c r="DY532" s="598"/>
    </row>
    <row r="533" spans="1:129" hidden="1" outlineLevel="1" x14ac:dyDescent="0.2">
      <c r="A533" s="526"/>
      <c r="B533" s="756" t="s">
        <v>913</v>
      </c>
      <c r="C533" s="597"/>
      <c r="D533" s="597"/>
      <c r="E533" s="597"/>
      <c r="F533" s="597"/>
      <c r="G533" s="597"/>
      <c r="H533" s="597"/>
      <c r="I533" s="597"/>
      <c r="J533" s="597"/>
      <c r="K533" s="597"/>
      <c r="L533" s="597"/>
      <c r="M533" s="597"/>
      <c r="N533" s="597"/>
      <c r="O533" s="597"/>
      <c r="P533" s="597"/>
      <c r="Q533" s="597"/>
      <c r="R533" s="597"/>
      <c r="S533" s="597"/>
      <c r="T533" s="597"/>
      <c r="U533" s="597"/>
      <c r="V533" s="597"/>
      <c r="W533" s="597"/>
      <c r="X533" s="598"/>
      <c r="Y533" s="597"/>
      <c r="Z533" s="597"/>
      <c r="AA533" s="597"/>
      <c r="AB533" s="597"/>
      <c r="AC533" s="598"/>
      <c r="AD533" s="597"/>
      <c r="AE533" s="597"/>
      <c r="AF533" s="597"/>
      <c r="AG533" s="597"/>
      <c r="AH533" s="598"/>
      <c r="AI533" s="597"/>
      <c r="AJ533" s="597"/>
      <c r="AK533" s="597"/>
      <c r="AL533" s="597"/>
      <c r="AM533" s="598"/>
      <c r="AN533" s="597"/>
      <c r="AO533" s="597"/>
      <c r="AP533" s="597"/>
      <c r="AQ533" s="597"/>
      <c r="AR533" s="598"/>
      <c r="AS533" s="597"/>
      <c r="AT533" s="597"/>
      <c r="AU533" s="597"/>
      <c r="AV533" s="597"/>
      <c r="AW533" s="598"/>
      <c r="AX533" s="597"/>
      <c r="AY533" s="597"/>
      <c r="AZ533" s="597"/>
      <c r="BA533" s="597"/>
      <c r="BB533" s="598"/>
      <c r="BC533" s="597"/>
      <c r="BD533" s="597"/>
      <c r="BE533" s="597"/>
      <c r="BF533" s="597"/>
      <c r="BG533" s="598"/>
      <c r="BH533" s="597"/>
      <c r="BI533" s="597"/>
      <c r="BJ533" s="597"/>
      <c r="BK533" s="597"/>
      <c r="BL533" s="598"/>
      <c r="BM533" s="597"/>
      <c r="BN533" s="597"/>
      <c r="BO533" s="597"/>
      <c r="BP533" s="597"/>
      <c r="BQ533" s="598"/>
      <c r="BR533" s="597"/>
      <c r="BS533" s="597"/>
      <c r="BT533" s="597"/>
      <c r="BU533" s="597"/>
      <c r="BV533" s="598"/>
      <c r="BW533" s="597"/>
      <c r="BX533" s="597"/>
      <c r="BY533" s="597"/>
      <c r="BZ533" s="597"/>
      <c r="CA533" s="598"/>
      <c r="CB533" s="597"/>
      <c r="CC533" s="597"/>
      <c r="CD533" s="597"/>
      <c r="CE533" s="597"/>
      <c r="CF533" s="598"/>
      <c r="CG533" s="682"/>
      <c r="CH533" s="682"/>
      <c r="CI533" s="682"/>
      <c r="CJ533" s="682"/>
      <c r="CK533" s="598"/>
      <c r="CL533" s="682"/>
      <c r="CM533" s="682"/>
      <c r="CN533" s="682"/>
      <c r="CO533" s="682"/>
      <c r="CP533" s="598"/>
      <c r="CQ533" s="682"/>
      <c r="CR533" s="682"/>
      <c r="CS533" s="682"/>
      <c r="CT533" s="682"/>
      <c r="CU533" s="598"/>
      <c r="CV533" s="682"/>
      <c r="CW533" s="682"/>
      <c r="CX533" s="682"/>
      <c r="CY533" s="682"/>
      <c r="CZ533" s="598"/>
      <c r="DA533" s="682"/>
      <c r="DB533" s="682"/>
      <c r="DC533" s="682"/>
      <c r="DD533" s="682"/>
      <c r="DE533" s="598"/>
      <c r="DF533" s="682"/>
      <c r="DG533" s="682"/>
      <c r="DH533" s="682"/>
      <c r="DI533" s="1610"/>
      <c r="DJ533" s="598"/>
      <c r="DK533" s="682"/>
      <c r="DL533" s="682"/>
      <c r="DM533" s="682"/>
      <c r="DN533" s="682"/>
      <c r="DO533" s="598"/>
      <c r="DP533" s="682"/>
      <c r="DQ533" s="682"/>
      <c r="DR533" s="682"/>
      <c r="DS533" s="682"/>
      <c r="DT533" s="598"/>
      <c r="DU533" s="682"/>
      <c r="DV533" s="682"/>
      <c r="DW533" s="682"/>
      <c r="DX533" s="682"/>
      <c r="DY533" s="598"/>
    </row>
    <row r="534" spans="1:129" hidden="1" outlineLevel="1" x14ac:dyDescent="0.2">
      <c r="A534" s="466"/>
      <c r="B534" s="607" t="s">
        <v>914</v>
      </c>
      <c r="C534" s="585"/>
      <c r="D534" s="585"/>
      <c r="E534" s="585"/>
      <c r="F534" s="585"/>
      <c r="G534" s="585"/>
      <c r="H534" s="585"/>
      <c r="I534" s="585"/>
      <c r="J534" s="585"/>
      <c r="K534" s="585"/>
      <c r="L534" s="585"/>
      <c r="M534" s="585"/>
      <c r="N534" s="585"/>
      <c r="O534" s="585"/>
      <c r="P534" s="585"/>
      <c r="Q534" s="585"/>
      <c r="R534" s="585"/>
      <c r="S534" s="585"/>
      <c r="T534" s="585"/>
      <c r="U534" s="585"/>
      <c r="V534" s="585"/>
      <c r="W534" s="585"/>
      <c r="X534" s="586"/>
      <c r="Y534" s="585"/>
      <c r="Z534" s="585"/>
      <c r="AA534" s="585"/>
      <c r="AB534" s="585"/>
      <c r="AC534" s="586"/>
      <c r="AD534" s="585"/>
      <c r="AE534" s="585"/>
      <c r="AF534" s="585"/>
      <c r="AG534" s="585"/>
      <c r="AH534" s="586"/>
      <c r="AI534" s="585"/>
      <c r="AJ534" s="585"/>
      <c r="AK534" s="585"/>
      <c r="AL534" s="585"/>
      <c r="AM534" s="586"/>
      <c r="AN534" s="585"/>
      <c r="AO534" s="585"/>
      <c r="AP534" s="585"/>
      <c r="AQ534" s="585"/>
      <c r="AR534" s="586"/>
      <c r="AS534" s="585"/>
      <c r="AT534" s="585"/>
      <c r="AU534" s="585"/>
      <c r="AV534" s="585"/>
      <c r="AW534" s="586"/>
      <c r="AX534" s="585"/>
      <c r="AY534" s="585"/>
      <c r="AZ534" s="585"/>
      <c r="BA534" s="585"/>
      <c r="BB534" s="586"/>
      <c r="BC534" s="585"/>
      <c r="BD534" s="585"/>
      <c r="BE534" s="585"/>
      <c r="BF534" s="585"/>
      <c r="BG534" s="586"/>
      <c r="BH534" s="585"/>
      <c r="BI534" s="585"/>
      <c r="BJ534" s="585"/>
      <c r="BK534" s="585"/>
      <c r="BL534" s="754">
        <v>7</v>
      </c>
      <c r="BM534" s="585"/>
      <c r="BN534" s="585"/>
      <c r="BO534" s="585"/>
      <c r="BP534" s="585"/>
      <c r="BQ534" s="586"/>
      <c r="BR534" s="585"/>
      <c r="BS534" s="585"/>
      <c r="BT534" s="585"/>
      <c r="BU534" s="585"/>
      <c r="BV534" s="586"/>
      <c r="BW534" s="585"/>
      <c r="BX534" s="585"/>
      <c r="BY534" s="585"/>
      <c r="BZ534" s="585"/>
      <c r="CA534" s="586"/>
      <c r="CB534" s="585"/>
      <c r="CC534" s="585"/>
      <c r="CD534" s="585"/>
      <c r="CE534" s="585"/>
      <c r="CF534" s="586"/>
      <c r="CG534" s="470"/>
      <c r="CH534" s="470"/>
      <c r="CI534" s="470"/>
      <c r="CJ534" s="470"/>
      <c r="CK534" s="586"/>
      <c r="CL534" s="470"/>
      <c r="CM534" s="470"/>
      <c r="CN534" s="470"/>
      <c r="CO534" s="470"/>
      <c r="CP534" s="586"/>
      <c r="CQ534" s="470"/>
      <c r="CR534" s="470"/>
      <c r="CS534" s="470"/>
      <c r="CT534" s="470"/>
      <c r="CU534" s="586"/>
      <c r="CV534" s="470"/>
      <c r="CW534" s="470"/>
      <c r="CX534" s="470"/>
      <c r="CY534" s="470"/>
      <c r="CZ534" s="586"/>
      <c r="DA534" s="470"/>
      <c r="DB534" s="470"/>
      <c r="DC534" s="470"/>
      <c r="DD534" s="470"/>
      <c r="DE534" s="586"/>
      <c r="DF534" s="470"/>
      <c r="DG534" s="470"/>
      <c r="DH534" s="470"/>
      <c r="DI534" s="914"/>
      <c r="DJ534" s="586"/>
      <c r="DK534" s="470"/>
      <c r="DL534" s="470"/>
      <c r="DM534" s="470"/>
      <c r="DN534" s="470"/>
      <c r="DO534" s="586"/>
      <c r="DP534" s="470"/>
      <c r="DQ534" s="470"/>
      <c r="DR534" s="470"/>
      <c r="DS534" s="470"/>
      <c r="DT534" s="586"/>
      <c r="DU534" s="470"/>
      <c r="DV534" s="470"/>
      <c r="DW534" s="470"/>
      <c r="DX534" s="470"/>
      <c r="DY534" s="586"/>
    </row>
    <row r="535" spans="1:129" hidden="1" outlineLevel="1" x14ac:dyDescent="0.2">
      <c r="A535" s="466"/>
      <c r="B535" s="607" t="s">
        <v>915</v>
      </c>
      <c r="C535" s="585"/>
      <c r="D535" s="585"/>
      <c r="E535" s="585"/>
      <c r="F535" s="585"/>
      <c r="G535" s="585"/>
      <c r="H535" s="585"/>
      <c r="I535" s="585"/>
      <c r="J535" s="585"/>
      <c r="K535" s="585"/>
      <c r="L535" s="585"/>
      <c r="M535" s="585"/>
      <c r="N535" s="585"/>
      <c r="O535" s="585"/>
      <c r="P535" s="585"/>
      <c r="Q535" s="585"/>
      <c r="R535" s="585"/>
      <c r="S535" s="585"/>
      <c r="T535" s="585"/>
      <c r="U535" s="585"/>
      <c r="V535" s="585"/>
      <c r="W535" s="585"/>
      <c r="X535" s="586"/>
      <c r="Y535" s="585"/>
      <c r="Z535" s="585"/>
      <c r="AA535" s="585"/>
      <c r="AB535" s="585"/>
      <c r="AC535" s="586"/>
      <c r="AD535" s="585"/>
      <c r="AE535" s="585"/>
      <c r="AF535" s="585"/>
      <c r="AG535" s="585"/>
      <c r="AH535" s="586"/>
      <c r="AI535" s="585"/>
      <c r="AJ535" s="585"/>
      <c r="AK535" s="585"/>
      <c r="AL535" s="585"/>
      <c r="AM535" s="586"/>
      <c r="AN535" s="585"/>
      <c r="AO535" s="585"/>
      <c r="AP535" s="585"/>
      <c r="AQ535" s="585"/>
      <c r="AR535" s="586"/>
      <c r="AS535" s="585"/>
      <c r="AT535" s="585"/>
      <c r="AU535" s="585"/>
      <c r="AV535" s="585"/>
      <c r="AW535" s="586"/>
      <c r="AX535" s="585"/>
      <c r="AY535" s="585"/>
      <c r="AZ535" s="585"/>
      <c r="BA535" s="585"/>
      <c r="BB535" s="586"/>
      <c r="BC535" s="585"/>
      <c r="BD535" s="585"/>
      <c r="BE535" s="585"/>
      <c r="BF535" s="585"/>
      <c r="BG535" s="586"/>
      <c r="BH535" s="585"/>
      <c r="BI535" s="585"/>
      <c r="BJ535" s="585"/>
      <c r="BK535" s="585"/>
      <c r="BL535" s="754">
        <v>21</v>
      </c>
      <c r="BM535" s="585"/>
      <c r="BN535" s="585"/>
      <c r="BO535" s="585"/>
      <c r="BP535" s="585"/>
      <c r="BQ535" s="586"/>
      <c r="BR535" s="585"/>
      <c r="BS535" s="585"/>
      <c r="BT535" s="585"/>
      <c r="BU535" s="585"/>
      <c r="BV535" s="586"/>
      <c r="BW535" s="585"/>
      <c r="BX535" s="585"/>
      <c r="BY535" s="585"/>
      <c r="BZ535" s="585"/>
      <c r="CA535" s="586"/>
      <c r="CB535" s="585"/>
      <c r="CC535" s="585"/>
      <c r="CD535" s="585"/>
      <c r="CE535" s="585"/>
      <c r="CF535" s="586"/>
      <c r="CG535" s="470"/>
      <c r="CH535" s="470"/>
      <c r="CI535" s="470"/>
      <c r="CJ535" s="470"/>
      <c r="CK535" s="586"/>
      <c r="CL535" s="470"/>
      <c r="CM535" s="470"/>
      <c r="CN535" s="470"/>
      <c r="CO535" s="470"/>
      <c r="CP535" s="586"/>
      <c r="CQ535" s="470"/>
      <c r="CR535" s="470"/>
      <c r="CS535" s="470"/>
      <c r="CT535" s="470"/>
      <c r="CU535" s="586"/>
      <c r="CV535" s="470"/>
      <c r="CW535" s="470"/>
      <c r="CX535" s="470"/>
      <c r="CY535" s="470"/>
      <c r="CZ535" s="586"/>
      <c r="DA535" s="470"/>
      <c r="DB535" s="470"/>
      <c r="DC535" s="470"/>
      <c r="DD535" s="470"/>
      <c r="DE535" s="586"/>
      <c r="DF535" s="470"/>
      <c r="DG535" s="470"/>
      <c r="DH535" s="470"/>
      <c r="DI535" s="914"/>
      <c r="DJ535" s="586"/>
      <c r="DK535" s="470"/>
      <c r="DL535" s="470"/>
      <c r="DM535" s="470"/>
      <c r="DN535" s="470"/>
      <c r="DO535" s="586"/>
      <c r="DP535" s="470"/>
      <c r="DQ535" s="470"/>
      <c r="DR535" s="470"/>
      <c r="DS535" s="470"/>
      <c r="DT535" s="586"/>
      <c r="DU535" s="470"/>
      <c r="DV535" s="470"/>
      <c r="DW535" s="470"/>
      <c r="DX535" s="470"/>
      <c r="DY535" s="586"/>
    </row>
    <row r="536" spans="1:129" ht="12" hidden="1" outlineLevel="1" thickBot="1" x14ac:dyDescent="0.25">
      <c r="A536" s="466"/>
      <c r="B536" s="992" t="s">
        <v>916</v>
      </c>
      <c r="C536" s="993"/>
      <c r="D536" s="993"/>
      <c r="E536" s="993"/>
      <c r="F536" s="993"/>
      <c r="G536" s="993"/>
      <c r="H536" s="993"/>
      <c r="I536" s="993"/>
      <c r="J536" s="993"/>
      <c r="K536" s="993"/>
      <c r="L536" s="993"/>
      <c r="M536" s="993"/>
      <c r="N536" s="993"/>
      <c r="O536" s="993"/>
      <c r="P536" s="993"/>
      <c r="Q536" s="993"/>
      <c r="R536" s="993"/>
      <c r="S536" s="993"/>
      <c r="T536" s="993"/>
      <c r="U536" s="993"/>
      <c r="V536" s="993"/>
      <c r="W536" s="993"/>
      <c r="X536" s="994"/>
      <c r="Y536" s="993"/>
      <c r="Z536" s="993"/>
      <c r="AA536" s="993"/>
      <c r="AB536" s="993"/>
      <c r="AC536" s="994"/>
      <c r="AD536" s="993"/>
      <c r="AE536" s="993"/>
      <c r="AF536" s="993"/>
      <c r="AG536" s="993"/>
      <c r="AH536" s="994"/>
      <c r="AI536" s="993"/>
      <c r="AJ536" s="993"/>
      <c r="AK536" s="993"/>
      <c r="AL536" s="993"/>
      <c r="AM536" s="994"/>
      <c r="AN536" s="993"/>
      <c r="AO536" s="993"/>
      <c r="AP536" s="993"/>
      <c r="AQ536" s="993"/>
      <c r="AR536" s="994"/>
      <c r="AS536" s="993"/>
      <c r="AT536" s="993"/>
      <c r="AU536" s="993"/>
      <c r="AV536" s="993"/>
      <c r="AW536" s="994"/>
      <c r="AX536" s="993"/>
      <c r="AY536" s="993"/>
      <c r="AZ536" s="993"/>
      <c r="BA536" s="993"/>
      <c r="BB536" s="994"/>
      <c r="BC536" s="993"/>
      <c r="BD536" s="993"/>
      <c r="BE536" s="993"/>
      <c r="BF536" s="993"/>
      <c r="BG536" s="994"/>
      <c r="BH536" s="993"/>
      <c r="BI536" s="993"/>
      <c r="BJ536" s="993"/>
      <c r="BK536" s="993"/>
      <c r="BL536" s="995">
        <v>60000</v>
      </c>
      <c r="BM536" s="993"/>
      <c r="BN536" s="993"/>
      <c r="BO536" s="993"/>
      <c r="BP536" s="993"/>
      <c r="BQ536" s="994"/>
      <c r="BR536" s="993"/>
      <c r="BS536" s="993"/>
      <c r="BT536" s="993"/>
      <c r="BU536" s="993"/>
      <c r="BV536" s="994"/>
      <c r="BW536" s="993"/>
      <c r="BX536" s="993"/>
      <c r="BY536" s="993"/>
      <c r="BZ536" s="993"/>
      <c r="CA536" s="994"/>
      <c r="CB536" s="993"/>
      <c r="CC536" s="993"/>
      <c r="CD536" s="993"/>
      <c r="CE536" s="993"/>
      <c r="CF536" s="994"/>
      <c r="CG536" s="996"/>
      <c r="CH536" s="996"/>
      <c r="CI536" s="996"/>
      <c r="CJ536" s="996"/>
      <c r="CK536" s="994"/>
      <c r="CL536" s="996"/>
      <c r="CM536" s="996"/>
      <c r="CN536" s="996"/>
      <c r="CO536" s="996"/>
      <c r="CP536" s="994"/>
      <c r="CQ536" s="996"/>
      <c r="CR536" s="996"/>
      <c r="CS536" s="996"/>
      <c r="CT536" s="996"/>
      <c r="CU536" s="994"/>
      <c r="CV536" s="996"/>
      <c r="CW536" s="996"/>
      <c r="CX536" s="996"/>
      <c r="CY536" s="996"/>
      <c r="CZ536" s="994"/>
      <c r="DA536" s="996"/>
      <c r="DB536" s="996"/>
      <c r="DC536" s="996"/>
      <c r="DD536" s="996"/>
      <c r="DE536" s="994"/>
      <c r="DF536" s="996"/>
      <c r="DG536" s="996"/>
      <c r="DH536" s="996"/>
      <c r="DI536" s="2843"/>
      <c r="DJ536" s="994"/>
      <c r="DK536" s="996"/>
      <c r="DL536" s="996"/>
      <c r="DM536" s="996"/>
      <c r="DN536" s="996"/>
      <c r="DO536" s="994"/>
      <c r="DP536" s="996"/>
      <c r="DQ536" s="996"/>
      <c r="DR536" s="996"/>
      <c r="DS536" s="996"/>
      <c r="DT536" s="994"/>
      <c r="DU536" s="996"/>
      <c r="DV536" s="996"/>
      <c r="DW536" s="996"/>
      <c r="DX536" s="996"/>
      <c r="DY536" s="994"/>
    </row>
    <row r="537" spans="1:129" hidden="1" outlineLevel="1" x14ac:dyDescent="0.2">
      <c r="A537" s="682"/>
      <c r="B537" s="682"/>
      <c r="C537" s="682"/>
      <c r="D537" s="682"/>
      <c r="E537" s="682"/>
      <c r="F537" s="682"/>
      <c r="G537" s="682"/>
      <c r="H537" s="682"/>
      <c r="I537" s="682"/>
      <c r="J537" s="682"/>
      <c r="K537" s="682"/>
      <c r="L537" s="682"/>
      <c r="M537" s="682"/>
      <c r="N537" s="682"/>
      <c r="O537" s="682"/>
      <c r="P537" s="682"/>
      <c r="Q537" s="682"/>
      <c r="R537" s="682"/>
      <c r="S537" s="682"/>
      <c r="T537" s="682"/>
      <c r="U537" s="682"/>
      <c r="V537" s="682"/>
      <c r="W537" s="682"/>
      <c r="X537" s="682"/>
      <c r="Y537" s="682"/>
      <c r="Z537" s="682"/>
      <c r="AA537" s="682"/>
      <c r="AB537" s="682"/>
      <c r="AC537" s="682"/>
      <c r="AD537" s="682"/>
      <c r="AE537" s="682"/>
      <c r="AF537" s="682"/>
      <c r="AG537" s="682"/>
      <c r="AH537" s="682"/>
      <c r="AI537" s="682"/>
      <c r="AJ537" s="682"/>
      <c r="AK537" s="682"/>
      <c r="AL537" s="682"/>
      <c r="AM537" s="682"/>
      <c r="AN537" s="682"/>
      <c r="AO537" s="682"/>
      <c r="AP537" s="682"/>
      <c r="AQ537" s="682"/>
      <c r="AR537" s="682"/>
      <c r="AS537" s="682"/>
      <c r="AT537" s="682"/>
      <c r="AU537" s="682"/>
      <c r="AV537" s="682"/>
      <c r="AW537" s="682"/>
      <c r="AX537" s="682"/>
      <c r="AY537" s="682"/>
      <c r="AZ537" s="682"/>
      <c r="BA537" s="682"/>
      <c r="BB537" s="682"/>
      <c r="BC537" s="682"/>
      <c r="BD537" s="682"/>
      <c r="BE537" s="682"/>
      <c r="BF537" s="682"/>
      <c r="BG537" s="682"/>
      <c r="BH537" s="682"/>
      <c r="BI537" s="682"/>
      <c r="BJ537" s="682"/>
      <c r="BK537" s="682"/>
      <c r="BL537" s="682"/>
      <c r="BM537" s="682"/>
      <c r="BN537" s="682"/>
      <c r="BO537" s="682"/>
      <c r="BP537" s="682"/>
      <c r="BQ537" s="682"/>
      <c r="BR537" s="682"/>
      <c r="BS537" s="682"/>
      <c r="BT537" s="682"/>
      <c r="BU537" s="682"/>
      <c r="BV537" s="682"/>
      <c r="BW537" s="682"/>
      <c r="BX537" s="682"/>
      <c r="BY537" s="682"/>
      <c r="BZ537" s="682"/>
      <c r="CA537" s="682"/>
      <c r="CB537" s="682"/>
      <c r="CC537" s="682"/>
      <c r="CD537" s="682"/>
      <c r="CE537" s="682"/>
      <c r="CF537" s="682"/>
      <c r="CG537" s="682"/>
      <c r="CH537" s="682"/>
      <c r="CI537" s="682"/>
      <c r="CJ537" s="682"/>
      <c r="CK537" s="682"/>
      <c r="CL537" s="682"/>
      <c r="CM537" s="682"/>
      <c r="CN537" s="682"/>
      <c r="CO537" s="682"/>
      <c r="CP537" s="682"/>
      <c r="CQ537" s="682"/>
      <c r="CR537" s="682"/>
      <c r="CS537" s="682"/>
      <c r="CT537" s="682"/>
      <c r="CU537" s="682"/>
      <c r="CV537" s="682"/>
      <c r="CW537" s="682"/>
      <c r="CX537" s="682"/>
      <c r="CY537" s="682"/>
      <c r="CZ537" s="682"/>
      <c r="DA537" s="682"/>
      <c r="DB537" s="682"/>
      <c r="DC537" s="682"/>
      <c r="DD537" s="682"/>
      <c r="DE537" s="682"/>
      <c r="DF537" s="682"/>
      <c r="DG537" s="682"/>
      <c r="DH537" s="682"/>
      <c r="DI537" s="1610"/>
      <c r="DJ537" s="682"/>
      <c r="DK537" s="682"/>
      <c r="DL537" s="682"/>
      <c r="DM537" s="682"/>
      <c r="DN537" s="682"/>
      <c r="DO537" s="682"/>
      <c r="DP537" s="682"/>
      <c r="DQ537" s="682"/>
      <c r="DR537" s="682"/>
      <c r="DS537" s="682"/>
      <c r="DT537" s="682"/>
      <c r="DU537" s="682"/>
      <c r="DV537" s="682"/>
      <c r="DW537" s="682"/>
      <c r="DX537" s="682"/>
      <c r="DY537" s="682"/>
    </row>
    <row r="538" spans="1:129" ht="12" hidden="1" outlineLevel="1" thickBot="1" x14ac:dyDescent="0.25">
      <c r="A538" s="682"/>
      <c r="B538" s="682"/>
      <c r="C538" s="682"/>
      <c r="D538" s="682"/>
      <c r="E538" s="682"/>
      <c r="F538" s="682"/>
      <c r="G538" s="682"/>
      <c r="H538" s="682"/>
      <c r="I538" s="682"/>
      <c r="J538" s="682"/>
      <c r="K538" s="682"/>
      <c r="L538" s="682"/>
      <c r="M538" s="682"/>
      <c r="N538" s="682"/>
      <c r="O538" s="682"/>
      <c r="P538" s="682"/>
      <c r="Q538" s="682"/>
      <c r="R538" s="682"/>
      <c r="S538" s="682"/>
      <c r="T538" s="682"/>
      <c r="U538" s="682"/>
      <c r="V538" s="682"/>
      <c r="W538" s="682"/>
      <c r="X538" s="682"/>
      <c r="Y538" s="682"/>
      <c r="Z538" s="682"/>
      <c r="AA538" s="682"/>
      <c r="AB538" s="682"/>
      <c r="AC538" s="682"/>
      <c r="AD538" s="682"/>
      <c r="AE538" s="682"/>
      <c r="AF538" s="682"/>
      <c r="AG538" s="682"/>
      <c r="AH538" s="682"/>
      <c r="AI538" s="682"/>
      <c r="AJ538" s="682"/>
      <c r="AK538" s="682"/>
      <c r="AL538" s="682"/>
      <c r="AM538" s="682"/>
      <c r="AN538" s="682"/>
      <c r="AO538" s="682"/>
      <c r="AP538" s="682"/>
      <c r="AQ538" s="682"/>
      <c r="AR538" s="682"/>
      <c r="AS538" s="682"/>
      <c r="AT538" s="682"/>
      <c r="AU538" s="682"/>
      <c r="AV538" s="682"/>
      <c r="AW538" s="682"/>
      <c r="AX538" s="682"/>
      <c r="AY538" s="682"/>
      <c r="AZ538" s="682"/>
      <c r="BA538" s="682"/>
      <c r="BB538" s="682"/>
      <c r="BC538" s="682"/>
      <c r="BD538" s="682"/>
      <c r="BE538" s="682"/>
      <c r="BF538" s="682"/>
      <c r="BG538" s="682"/>
      <c r="BH538" s="682"/>
      <c r="BI538" s="682"/>
      <c r="BJ538" s="682"/>
      <c r="BK538" s="682"/>
      <c r="BL538" s="682"/>
      <c r="BM538" s="682"/>
      <c r="BN538" s="682"/>
      <c r="BO538" s="682"/>
      <c r="BP538" s="682"/>
      <c r="BQ538" s="682"/>
      <c r="BR538" s="682"/>
      <c r="BS538" s="682"/>
      <c r="BT538" s="682"/>
      <c r="BU538" s="682"/>
      <c r="BV538" s="682"/>
      <c r="BW538" s="682"/>
      <c r="BX538" s="682"/>
      <c r="BY538" s="682"/>
      <c r="BZ538" s="682"/>
      <c r="CA538" s="682"/>
      <c r="CB538" s="682"/>
      <c r="CC538" s="682"/>
      <c r="CD538" s="682"/>
      <c r="CE538" s="682"/>
      <c r="CF538" s="682"/>
      <c r="CG538" s="682"/>
      <c r="CH538" s="682"/>
      <c r="CI538" s="682"/>
      <c r="CJ538" s="682"/>
      <c r="CK538" s="682"/>
      <c r="CL538" s="682"/>
      <c r="CM538" s="682"/>
      <c r="CN538" s="682"/>
      <c r="CO538" s="682"/>
      <c r="CP538" s="682"/>
      <c r="CQ538" s="682"/>
      <c r="CR538" s="682"/>
      <c r="CS538" s="682"/>
      <c r="CT538" s="682"/>
      <c r="CU538" s="682"/>
      <c r="CV538" s="682"/>
      <c r="CW538" s="682"/>
      <c r="CX538" s="682"/>
      <c r="CY538" s="682"/>
      <c r="CZ538" s="682"/>
      <c r="DA538" s="682"/>
      <c r="DB538" s="682"/>
      <c r="DC538" s="682"/>
      <c r="DD538" s="682"/>
      <c r="DE538" s="682"/>
      <c r="DF538" s="682"/>
      <c r="DG538" s="682"/>
      <c r="DH538" s="682"/>
      <c r="DI538" s="1610"/>
      <c r="DJ538" s="682"/>
      <c r="DK538" s="682"/>
      <c r="DL538" s="682"/>
      <c r="DM538" s="682"/>
      <c r="DN538" s="682"/>
      <c r="DO538" s="682"/>
      <c r="DP538" s="682"/>
      <c r="DQ538" s="682"/>
      <c r="DR538" s="682"/>
      <c r="DS538" s="682"/>
      <c r="DT538" s="682"/>
      <c r="DU538" s="682"/>
      <c r="DV538" s="682"/>
      <c r="DW538" s="682"/>
      <c r="DX538" s="682"/>
      <c r="DY538" s="682"/>
    </row>
    <row r="539" spans="1:129" ht="12" collapsed="1" thickBot="1" x14ac:dyDescent="0.25">
      <c r="A539" s="526"/>
      <c r="B539" s="685" t="s">
        <v>917</v>
      </c>
      <c r="C539" s="686"/>
      <c r="D539" s="686"/>
      <c r="E539" s="686"/>
      <c r="F539" s="686"/>
      <c r="G539" s="686"/>
      <c r="H539" s="686"/>
      <c r="I539" s="687"/>
      <c r="J539" s="686"/>
      <c r="K539" s="686"/>
      <c r="L539" s="686"/>
      <c r="M539" s="686"/>
      <c r="N539" s="687"/>
      <c r="O539" s="686"/>
      <c r="P539" s="686"/>
      <c r="Q539" s="686"/>
      <c r="R539" s="686"/>
      <c r="S539" s="687"/>
      <c r="T539" s="686"/>
      <c r="U539" s="686"/>
      <c r="V539" s="686"/>
      <c r="W539" s="686"/>
      <c r="X539" s="687"/>
      <c r="Y539" s="686"/>
      <c r="Z539" s="686"/>
      <c r="AA539" s="686"/>
      <c r="AB539" s="686"/>
      <c r="AC539" s="687"/>
      <c r="AD539" s="686"/>
      <c r="AE539" s="686"/>
      <c r="AF539" s="686"/>
      <c r="AG539" s="686"/>
      <c r="AH539" s="687"/>
      <c r="AI539" s="686"/>
      <c r="AJ539" s="686"/>
      <c r="AK539" s="686"/>
      <c r="AL539" s="686"/>
      <c r="AM539" s="687"/>
      <c r="AN539" s="686"/>
      <c r="AO539" s="686"/>
      <c r="AP539" s="686"/>
      <c r="AQ539" s="686"/>
      <c r="AR539" s="687"/>
      <c r="AS539" s="686"/>
      <c r="AT539" s="686"/>
      <c r="AU539" s="686"/>
      <c r="AV539" s="686"/>
      <c r="AW539" s="687"/>
      <c r="AX539" s="686"/>
      <c r="AY539" s="686"/>
      <c r="AZ539" s="686"/>
      <c r="BA539" s="686"/>
      <c r="BB539" s="687"/>
      <c r="BC539" s="686"/>
      <c r="BD539" s="686"/>
      <c r="BE539" s="686"/>
      <c r="BF539" s="686"/>
      <c r="BG539" s="687"/>
      <c r="BH539" s="686"/>
      <c r="BI539" s="686"/>
      <c r="BJ539" s="686"/>
      <c r="BK539" s="686"/>
      <c r="BL539" s="687"/>
      <c r="BM539" s="686"/>
      <c r="BN539" s="686"/>
      <c r="BO539" s="686"/>
      <c r="BP539" s="686"/>
      <c r="BQ539" s="687"/>
      <c r="BR539" s="686"/>
      <c r="BS539" s="686"/>
      <c r="BT539" s="686"/>
      <c r="BU539" s="686"/>
      <c r="BV539" s="687"/>
      <c r="BW539" s="686"/>
      <c r="BX539" s="686"/>
      <c r="BY539" s="686"/>
      <c r="BZ539" s="686"/>
      <c r="CA539" s="687"/>
      <c r="CB539" s="686"/>
      <c r="CC539" s="686"/>
      <c r="CD539" s="686"/>
      <c r="CE539" s="686"/>
      <c r="CF539" s="687"/>
      <c r="CG539" s="686"/>
      <c r="CH539" s="686"/>
      <c r="CI539" s="686"/>
      <c r="CJ539" s="686"/>
      <c r="CK539" s="687"/>
      <c r="CL539" s="686"/>
      <c r="CM539" s="686"/>
      <c r="CN539" s="686"/>
      <c r="CO539" s="686"/>
      <c r="CP539" s="687"/>
      <c r="CQ539" s="686"/>
      <c r="CR539" s="686"/>
      <c r="CS539" s="686"/>
      <c r="CT539" s="686"/>
      <c r="CU539" s="687"/>
      <c r="CV539" s="686"/>
      <c r="CW539" s="686"/>
      <c r="CX539" s="686"/>
      <c r="CY539" s="686"/>
      <c r="CZ539" s="687"/>
      <c r="DA539" s="686"/>
      <c r="DB539" s="686"/>
      <c r="DC539" s="686"/>
      <c r="DD539" s="686"/>
      <c r="DE539" s="687"/>
      <c r="DF539" s="686"/>
      <c r="DG539" s="686"/>
      <c r="DH539" s="686"/>
      <c r="DI539" s="2803"/>
      <c r="DJ539" s="687"/>
      <c r="DK539" s="686"/>
      <c r="DL539" s="686"/>
      <c r="DM539" s="686"/>
      <c r="DN539" s="686"/>
      <c r="DO539" s="687"/>
      <c r="DP539" s="686"/>
      <c r="DQ539" s="686"/>
      <c r="DR539" s="686"/>
      <c r="DS539" s="686"/>
      <c r="DT539" s="687"/>
      <c r="DU539" s="686"/>
      <c r="DV539" s="686"/>
      <c r="DW539" s="686"/>
      <c r="DX539" s="686"/>
      <c r="DY539" s="687"/>
    </row>
    <row r="540" spans="1:129" hidden="1" outlineLevel="1" x14ac:dyDescent="0.2">
      <c r="A540" s="526"/>
      <c r="B540" s="756"/>
      <c r="C540" s="597"/>
      <c r="D540" s="597"/>
      <c r="E540" s="597"/>
      <c r="F540" s="597"/>
      <c r="G540" s="597"/>
      <c r="H540" s="597"/>
      <c r="I540" s="598"/>
      <c r="J540" s="597"/>
      <c r="K540" s="597"/>
      <c r="L540" s="597"/>
      <c r="M540" s="597"/>
      <c r="N540" s="598"/>
      <c r="O540" s="597"/>
      <c r="P540" s="597"/>
      <c r="Q540" s="597"/>
      <c r="R540" s="597"/>
      <c r="S540" s="598"/>
      <c r="T540" s="597"/>
      <c r="U540" s="597"/>
      <c r="V540" s="597"/>
      <c r="W540" s="597"/>
      <c r="X540" s="598"/>
      <c r="Y540" s="597"/>
      <c r="Z540" s="597"/>
      <c r="AA540" s="597"/>
      <c r="AB540" s="597"/>
      <c r="AC540" s="598"/>
      <c r="AD540" s="597"/>
      <c r="AE540" s="597"/>
      <c r="AF540" s="597"/>
      <c r="AG540" s="597"/>
      <c r="AH540" s="598"/>
      <c r="AI540" s="597"/>
      <c r="AJ540" s="597"/>
      <c r="AK540" s="597"/>
      <c r="AL540" s="597"/>
      <c r="AM540" s="598"/>
      <c r="AN540" s="597"/>
      <c r="AO540" s="597"/>
      <c r="AP540" s="597"/>
      <c r="AQ540" s="597"/>
      <c r="AR540" s="598"/>
      <c r="AS540" s="597"/>
      <c r="AT540" s="597"/>
      <c r="AU540" s="597"/>
      <c r="AV540" s="597"/>
      <c r="AW540" s="598"/>
      <c r="AX540" s="597"/>
      <c r="AY540" s="597"/>
      <c r="AZ540" s="597"/>
      <c r="BA540" s="597"/>
      <c r="BB540" s="598"/>
      <c r="BC540" s="597"/>
      <c r="BD540" s="597"/>
      <c r="BE540" s="597"/>
      <c r="BF540" s="597"/>
      <c r="BG540" s="598"/>
      <c r="BH540" s="597"/>
      <c r="BI540" s="597"/>
      <c r="BJ540" s="597"/>
      <c r="BK540" s="597"/>
      <c r="BL540" s="598"/>
      <c r="BM540" s="597"/>
      <c r="BN540" s="597"/>
      <c r="BO540" s="597"/>
      <c r="BP540" s="597"/>
      <c r="BQ540" s="598"/>
      <c r="BR540" s="597"/>
      <c r="BS540" s="597"/>
      <c r="BT540" s="597"/>
      <c r="BU540" s="597"/>
      <c r="BV540" s="598"/>
      <c r="BW540" s="597"/>
      <c r="BX540" s="597"/>
      <c r="BY540" s="597"/>
      <c r="BZ540" s="597"/>
      <c r="CA540" s="598"/>
      <c r="CB540" s="597"/>
      <c r="CC540" s="597"/>
      <c r="CD540" s="597"/>
      <c r="CE540" s="597"/>
      <c r="CF540" s="598"/>
      <c r="CG540" s="682"/>
      <c r="CH540" s="682"/>
      <c r="CI540" s="682"/>
      <c r="CJ540" s="682"/>
      <c r="CK540" s="598"/>
      <c r="CL540" s="682"/>
      <c r="CM540" s="682"/>
      <c r="CN540" s="682"/>
      <c r="CO540" s="682"/>
      <c r="CP540" s="598"/>
      <c r="CQ540" s="682"/>
      <c r="CR540" s="682"/>
      <c r="CS540" s="682"/>
      <c r="CT540" s="682"/>
      <c r="CU540" s="598"/>
      <c r="CV540" s="682"/>
      <c r="CW540" s="682"/>
      <c r="CX540" s="682"/>
      <c r="CY540" s="682"/>
      <c r="CZ540" s="598"/>
      <c r="DA540" s="682"/>
      <c r="DB540" s="682"/>
      <c r="DC540" s="682"/>
      <c r="DD540" s="682"/>
      <c r="DE540" s="598"/>
      <c r="DF540" s="682"/>
      <c r="DG540" s="682"/>
      <c r="DH540" s="682"/>
      <c r="DI540" s="1610"/>
      <c r="DJ540" s="598"/>
      <c r="DK540" s="682"/>
      <c r="DL540" s="682"/>
      <c r="DM540" s="682"/>
      <c r="DN540" s="682"/>
      <c r="DO540" s="598"/>
      <c r="DP540" s="682"/>
      <c r="DQ540" s="682"/>
      <c r="DR540" s="682"/>
      <c r="DS540" s="682"/>
      <c r="DT540" s="598"/>
      <c r="DU540" s="682"/>
      <c r="DV540" s="682"/>
      <c r="DW540" s="682"/>
      <c r="DX540" s="682"/>
      <c r="DY540" s="598"/>
    </row>
    <row r="541" spans="1:129" hidden="1" outlineLevel="1" x14ac:dyDescent="0.2">
      <c r="A541" s="466"/>
      <c r="B541" s="607" t="s">
        <v>718</v>
      </c>
      <c r="C541" s="585"/>
      <c r="D541" s="585"/>
      <c r="E541" s="585"/>
      <c r="F541" s="585"/>
      <c r="G541" s="585"/>
      <c r="H541" s="585"/>
      <c r="I541" s="586"/>
      <c r="J541" s="585"/>
      <c r="K541" s="585"/>
      <c r="L541" s="585"/>
      <c r="M541" s="585"/>
      <c r="N541" s="586"/>
      <c r="O541" s="585"/>
      <c r="P541" s="585"/>
      <c r="Q541" s="585"/>
      <c r="R541" s="585"/>
      <c r="S541" s="586"/>
      <c r="T541" s="585"/>
      <c r="U541" s="585"/>
      <c r="V541" s="585"/>
      <c r="W541" s="585"/>
      <c r="X541" s="586"/>
      <c r="Y541" s="585"/>
      <c r="Z541" s="585"/>
      <c r="AA541" s="585"/>
      <c r="AB541" s="585"/>
      <c r="AC541" s="586"/>
      <c r="AD541" s="585"/>
      <c r="AE541" s="585"/>
      <c r="AF541" s="585"/>
      <c r="AG541" s="585"/>
      <c r="AH541" s="586"/>
      <c r="AI541" s="585"/>
      <c r="AJ541" s="585"/>
      <c r="AK541" s="585"/>
      <c r="AL541" s="585"/>
      <c r="AM541" s="586"/>
      <c r="AN541" s="585"/>
      <c r="AO541" s="585"/>
      <c r="AP541" s="585"/>
      <c r="AQ541" s="585"/>
      <c r="AR541" s="586"/>
      <c r="AS541" s="585"/>
      <c r="AT541" s="585"/>
      <c r="AU541" s="585"/>
      <c r="AV541" s="585"/>
      <c r="AW541" s="586"/>
      <c r="AX541" s="585"/>
      <c r="AY541" s="585"/>
      <c r="AZ541" s="585"/>
      <c r="BA541" s="585"/>
      <c r="BB541" s="586"/>
      <c r="BC541" s="592">
        <v>688.2</v>
      </c>
      <c r="BD541" s="592">
        <v>665.9</v>
      </c>
      <c r="BE541" s="592">
        <v>753.3</v>
      </c>
      <c r="BF541" s="592">
        <v>827.9</v>
      </c>
      <c r="BG541" s="754">
        <v>2935.3</v>
      </c>
      <c r="BH541" s="585"/>
      <c r="BI541" s="585"/>
      <c r="BJ541" s="585"/>
      <c r="BK541" s="585"/>
      <c r="BL541" s="586"/>
      <c r="BM541" s="585"/>
      <c r="BN541" s="585"/>
      <c r="BO541" s="585"/>
      <c r="BP541" s="585"/>
      <c r="BQ541" s="586"/>
      <c r="BR541" s="585"/>
      <c r="BS541" s="585"/>
      <c r="BT541" s="585"/>
      <c r="BU541" s="585"/>
      <c r="BV541" s="586"/>
      <c r="BW541" s="585"/>
      <c r="BX541" s="585"/>
      <c r="BY541" s="585"/>
      <c r="BZ541" s="585"/>
      <c r="CA541" s="586"/>
      <c r="CB541" s="585"/>
      <c r="CC541" s="585"/>
      <c r="CD541" s="585"/>
      <c r="CE541" s="585"/>
      <c r="CF541" s="586"/>
      <c r="CG541" s="470"/>
      <c r="CH541" s="470"/>
      <c r="CI541" s="470"/>
      <c r="CJ541" s="470"/>
      <c r="CK541" s="586"/>
      <c r="CL541" s="470"/>
      <c r="CM541" s="470"/>
      <c r="CN541" s="470"/>
      <c r="CO541" s="470"/>
      <c r="CP541" s="586"/>
      <c r="CQ541" s="470"/>
      <c r="CR541" s="470"/>
      <c r="CS541" s="470"/>
      <c r="CT541" s="470"/>
      <c r="CU541" s="586"/>
      <c r="CV541" s="470"/>
      <c r="CW541" s="470"/>
      <c r="CX541" s="470"/>
      <c r="CY541" s="470"/>
      <c r="CZ541" s="586"/>
      <c r="DA541" s="470"/>
      <c r="DB541" s="470"/>
      <c r="DC541" s="470"/>
      <c r="DD541" s="470"/>
      <c r="DE541" s="586"/>
      <c r="DF541" s="470"/>
      <c r="DG541" s="470"/>
      <c r="DH541" s="470"/>
      <c r="DI541" s="914"/>
      <c r="DJ541" s="586"/>
      <c r="DK541" s="470"/>
      <c r="DL541" s="470"/>
      <c r="DM541" s="470"/>
      <c r="DN541" s="470"/>
      <c r="DO541" s="586"/>
      <c r="DP541" s="470"/>
      <c r="DQ541" s="470"/>
      <c r="DR541" s="470"/>
      <c r="DS541" s="470"/>
      <c r="DT541" s="586"/>
      <c r="DU541" s="470"/>
      <c r="DV541" s="470"/>
      <c r="DW541" s="470"/>
      <c r="DX541" s="470"/>
      <c r="DY541" s="586"/>
    </row>
    <row r="542" spans="1:129" hidden="1" outlineLevel="1" x14ac:dyDescent="0.2">
      <c r="A542" s="466"/>
      <c r="B542" s="607" t="s">
        <v>719</v>
      </c>
      <c r="C542" s="585"/>
      <c r="D542" s="585"/>
      <c r="E542" s="585"/>
      <c r="F542" s="585"/>
      <c r="G542" s="585"/>
      <c r="H542" s="585"/>
      <c r="I542" s="586"/>
      <c r="J542" s="585"/>
      <c r="K542" s="585"/>
      <c r="L542" s="585"/>
      <c r="M542" s="585"/>
      <c r="N542" s="586"/>
      <c r="O542" s="585"/>
      <c r="P542" s="585"/>
      <c r="Q542" s="585"/>
      <c r="R542" s="585"/>
      <c r="S542" s="586"/>
      <c r="T542" s="585"/>
      <c r="U542" s="585"/>
      <c r="V542" s="585"/>
      <c r="W542" s="585"/>
      <c r="X542" s="586"/>
      <c r="Y542" s="585"/>
      <c r="Z542" s="585"/>
      <c r="AA542" s="585"/>
      <c r="AB542" s="585"/>
      <c r="AC542" s="586"/>
      <c r="AD542" s="585"/>
      <c r="AE542" s="585"/>
      <c r="AF542" s="585"/>
      <c r="AG542" s="585"/>
      <c r="AH542" s="586"/>
      <c r="AI542" s="585"/>
      <c r="AJ542" s="585"/>
      <c r="AK542" s="585"/>
      <c r="AL542" s="585"/>
      <c r="AM542" s="586"/>
      <c r="AN542" s="585"/>
      <c r="AO542" s="585"/>
      <c r="AP542" s="585"/>
      <c r="AQ542" s="585"/>
      <c r="AR542" s="586"/>
      <c r="AS542" s="585"/>
      <c r="AT542" s="585"/>
      <c r="AU542" s="585"/>
      <c r="AV542" s="585"/>
      <c r="AW542" s="586"/>
      <c r="AX542" s="585"/>
      <c r="AY542" s="585"/>
      <c r="AZ542" s="585"/>
      <c r="BA542" s="585"/>
      <c r="BB542" s="586"/>
      <c r="BC542" s="592">
        <v>189.1</v>
      </c>
      <c r="BD542" s="592">
        <v>184.8</v>
      </c>
      <c r="BE542" s="592">
        <v>177.2</v>
      </c>
      <c r="BF542" s="592">
        <v>181.7</v>
      </c>
      <c r="BG542" s="754">
        <v>732.8</v>
      </c>
      <c r="BH542" s="585"/>
      <c r="BI542" s="585"/>
      <c r="BJ542" s="585"/>
      <c r="BK542" s="585"/>
      <c r="BL542" s="586"/>
      <c r="BM542" s="585"/>
      <c r="BN542" s="585"/>
      <c r="BO542" s="585"/>
      <c r="BP542" s="585"/>
      <c r="BQ542" s="586"/>
      <c r="BR542" s="585"/>
      <c r="BS542" s="585"/>
      <c r="BT542" s="585"/>
      <c r="BU542" s="585"/>
      <c r="BV542" s="586"/>
      <c r="BW542" s="585"/>
      <c r="BX542" s="585"/>
      <c r="BY542" s="585"/>
      <c r="BZ542" s="585"/>
      <c r="CA542" s="586"/>
      <c r="CB542" s="585"/>
      <c r="CC542" s="585"/>
      <c r="CD542" s="585"/>
      <c r="CE542" s="585"/>
      <c r="CF542" s="586"/>
      <c r="CG542" s="470"/>
      <c r="CH542" s="470"/>
      <c r="CI542" s="470"/>
      <c r="CJ542" s="470"/>
      <c r="CK542" s="586"/>
      <c r="CL542" s="470"/>
      <c r="CM542" s="470"/>
      <c r="CN542" s="470"/>
      <c r="CO542" s="470"/>
      <c r="CP542" s="586"/>
      <c r="CQ542" s="470"/>
      <c r="CR542" s="470"/>
      <c r="CS542" s="470"/>
      <c r="CT542" s="470"/>
      <c r="CU542" s="586"/>
      <c r="CV542" s="470"/>
      <c r="CW542" s="470"/>
      <c r="CX542" s="470"/>
      <c r="CY542" s="470"/>
      <c r="CZ542" s="586"/>
      <c r="DA542" s="470"/>
      <c r="DB542" s="470"/>
      <c r="DC542" s="470"/>
      <c r="DD542" s="470"/>
      <c r="DE542" s="586"/>
      <c r="DF542" s="470"/>
      <c r="DG542" s="470"/>
      <c r="DH542" s="470"/>
      <c r="DI542" s="914"/>
      <c r="DJ542" s="586"/>
      <c r="DK542" s="470"/>
      <c r="DL542" s="470"/>
      <c r="DM542" s="470"/>
      <c r="DN542" s="470"/>
      <c r="DO542" s="586"/>
      <c r="DP542" s="470"/>
      <c r="DQ542" s="470"/>
      <c r="DR542" s="470"/>
      <c r="DS542" s="470"/>
      <c r="DT542" s="586"/>
      <c r="DU542" s="470"/>
      <c r="DV542" s="470"/>
      <c r="DW542" s="470"/>
      <c r="DX542" s="470"/>
      <c r="DY542" s="586"/>
    </row>
    <row r="543" spans="1:129" hidden="1" outlineLevel="1" x14ac:dyDescent="0.2">
      <c r="A543" s="466"/>
      <c r="B543" s="607" t="s">
        <v>341</v>
      </c>
      <c r="C543" s="585"/>
      <c r="D543" s="585"/>
      <c r="E543" s="585"/>
      <c r="F543" s="585"/>
      <c r="G543" s="585"/>
      <c r="H543" s="585"/>
      <c r="I543" s="586"/>
      <c r="J543" s="585"/>
      <c r="K543" s="585"/>
      <c r="L543" s="585"/>
      <c r="M543" s="585"/>
      <c r="N543" s="586"/>
      <c r="O543" s="585"/>
      <c r="P543" s="585"/>
      <c r="Q543" s="585"/>
      <c r="R543" s="585"/>
      <c r="S543" s="586"/>
      <c r="T543" s="585"/>
      <c r="U543" s="585"/>
      <c r="V543" s="585"/>
      <c r="W543" s="585"/>
      <c r="X543" s="586"/>
      <c r="Y543" s="585"/>
      <c r="Z543" s="585"/>
      <c r="AA543" s="585"/>
      <c r="AB543" s="585"/>
      <c r="AC543" s="586"/>
      <c r="AD543" s="585"/>
      <c r="AE543" s="585"/>
      <c r="AF543" s="585"/>
      <c r="AG543" s="585"/>
      <c r="AH543" s="586"/>
      <c r="AI543" s="585"/>
      <c r="AJ543" s="585"/>
      <c r="AK543" s="585"/>
      <c r="AL543" s="585"/>
      <c r="AM543" s="586"/>
      <c r="AN543" s="585"/>
      <c r="AO543" s="585"/>
      <c r="AP543" s="585"/>
      <c r="AQ543" s="585"/>
      <c r="AR543" s="586"/>
      <c r="AS543" s="585"/>
      <c r="AT543" s="585"/>
      <c r="AU543" s="585"/>
      <c r="AV543" s="585"/>
      <c r="AW543" s="586"/>
      <c r="AX543" s="585"/>
      <c r="AY543" s="585"/>
      <c r="AZ543" s="585"/>
      <c r="BA543" s="585"/>
      <c r="BB543" s="586"/>
      <c r="BC543" s="592">
        <v>12.8</v>
      </c>
      <c r="BD543" s="592">
        <v>4.0999999999999996</v>
      </c>
      <c r="BE543" s="592">
        <v>3</v>
      </c>
      <c r="BF543" s="592">
        <v>3.3</v>
      </c>
      <c r="BG543" s="754">
        <v>23.2</v>
      </c>
      <c r="BH543" s="585"/>
      <c r="BI543" s="585"/>
      <c r="BJ543" s="585"/>
      <c r="BK543" s="585"/>
      <c r="BL543" s="586"/>
      <c r="BM543" s="585"/>
      <c r="BN543" s="585"/>
      <c r="BO543" s="585"/>
      <c r="BP543" s="585"/>
      <c r="BQ543" s="586"/>
      <c r="BR543" s="585"/>
      <c r="BS543" s="585"/>
      <c r="BT543" s="585"/>
      <c r="BU543" s="585"/>
      <c r="BV543" s="586"/>
      <c r="BW543" s="585"/>
      <c r="BX543" s="585"/>
      <c r="BY543" s="585"/>
      <c r="BZ543" s="585"/>
      <c r="CA543" s="586"/>
      <c r="CB543" s="585"/>
      <c r="CC543" s="585"/>
      <c r="CD543" s="585"/>
      <c r="CE543" s="585"/>
      <c r="CF543" s="586"/>
      <c r="CG543" s="470"/>
      <c r="CH543" s="470"/>
      <c r="CI543" s="470"/>
      <c r="CJ543" s="470"/>
      <c r="CK543" s="586"/>
      <c r="CL543" s="470"/>
      <c r="CM543" s="470"/>
      <c r="CN543" s="470"/>
      <c r="CO543" s="470"/>
      <c r="CP543" s="586"/>
      <c r="CQ543" s="470"/>
      <c r="CR543" s="470"/>
      <c r="CS543" s="470"/>
      <c r="CT543" s="470"/>
      <c r="CU543" s="586"/>
      <c r="CV543" s="470"/>
      <c r="CW543" s="470"/>
      <c r="CX543" s="470"/>
      <c r="CY543" s="470"/>
      <c r="CZ543" s="586"/>
      <c r="DA543" s="470"/>
      <c r="DB543" s="470"/>
      <c r="DC543" s="470"/>
      <c r="DD543" s="470"/>
      <c r="DE543" s="586"/>
      <c r="DF543" s="470"/>
      <c r="DG543" s="470"/>
      <c r="DH543" s="470"/>
      <c r="DI543" s="914"/>
      <c r="DJ543" s="586"/>
      <c r="DK543" s="470"/>
      <c r="DL543" s="470"/>
      <c r="DM543" s="470"/>
      <c r="DN543" s="470"/>
      <c r="DO543" s="586"/>
      <c r="DP543" s="470"/>
      <c r="DQ543" s="470"/>
      <c r="DR543" s="470"/>
      <c r="DS543" s="470"/>
      <c r="DT543" s="586"/>
      <c r="DU543" s="470"/>
      <c r="DV543" s="470"/>
      <c r="DW543" s="470"/>
      <c r="DX543" s="470"/>
      <c r="DY543" s="586"/>
    </row>
    <row r="544" spans="1:129" hidden="1" outlineLevel="1" x14ac:dyDescent="0.2">
      <c r="A544" s="466"/>
      <c r="B544" s="607" t="s">
        <v>871</v>
      </c>
      <c r="C544" s="585"/>
      <c r="D544" s="585"/>
      <c r="E544" s="585"/>
      <c r="F544" s="585"/>
      <c r="G544" s="585"/>
      <c r="H544" s="585"/>
      <c r="I544" s="586"/>
      <c r="J544" s="585"/>
      <c r="K544" s="585"/>
      <c r="L544" s="585"/>
      <c r="M544" s="585"/>
      <c r="N544" s="586"/>
      <c r="O544" s="585"/>
      <c r="P544" s="585"/>
      <c r="Q544" s="585"/>
      <c r="R544" s="585"/>
      <c r="S544" s="586"/>
      <c r="T544" s="585"/>
      <c r="U544" s="585"/>
      <c r="V544" s="585"/>
      <c r="W544" s="585"/>
      <c r="X544" s="586"/>
      <c r="Y544" s="585"/>
      <c r="Z544" s="585"/>
      <c r="AA544" s="585"/>
      <c r="AB544" s="585"/>
      <c r="AC544" s="586"/>
      <c r="AD544" s="585"/>
      <c r="AE544" s="585"/>
      <c r="AF544" s="585"/>
      <c r="AG544" s="585"/>
      <c r="AH544" s="586"/>
      <c r="AI544" s="585"/>
      <c r="AJ544" s="585"/>
      <c r="AK544" s="585"/>
      <c r="AL544" s="585"/>
      <c r="AM544" s="586"/>
      <c r="AN544" s="585"/>
      <c r="AO544" s="585"/>
      <c r="AP544" s="585"/>
      <c r="AQ544" s="585"/>
      <c r="AR544" s="586"/>
      <c r="AS544" s="585"/>
      <c r="AT544" s="585"/>
      <c r="AU544" s="585"/>
      <c r="AV544" s="585"/>
      <c r="AW544" s="586"/>
      <c r="AX544" s="585"/>
      <c r="AY544" s="585"/>
      <c r="AZ544" s="585"/>
      <c r="BA544" s="585"/>
      <c r="BB544" s="586"/>
      <c r="BC544" s="592">
        <v>890.1</v>
      </c>
      <c r="BD544" s="592">
        <v>854.8</v>
      </c>
      <c r="BE544" s="592">
        <v>933.5</v>
      </c>
      <c r="BF544" s="592">
        <v>1012.9</v>
      </c>
      <c r="BG544" s="754">
        <v>3691.3</v>
      </c>
      <c r="BH544" s="585"/>
      <c r="BI544" s="585"/>
      <c r="BJ544" s="585"/>
      <c r="BK544" s="585"/>
      <c r="BL544" s="586"/>
      <c r="BM544" s="585"/>
      <c r="BN544" s="585"/>
      <c r="BO544" s="585"/>
      <c r="BP544" s="585"/>
      <c r="BQ544" s="586"/>
      <c r="BR544" s="585"/>
      <c r="BS544" s="585"/>
      <c r="BT544" s="585"/>
      <c r="BU544" s="585"/>
      <c r="BV544" s="586"/>
      <c r="BW544" s="585"/>
      <c r="BX544" s="585"/>
      <c r="BY544" s="585"/>
      <c r="BZ544" s="585"/>
      <c r="CA544" s="586"/>
      <c r="CB544" s="585"/>
      <c r="CC544" s="585"/>
      <c r="CD544" s="585"/>
      <c r="CE544" s="585"/>
      <c r="CF544" s="586"/>
      <c r="CG544" s="470"/>
      <c r="CH544" s="470"/>
      <c r="CI544" s="470"/>
      <c r="CJ544" s="470"/>
      <c r="CK544" s="586"/>
      <c r="CL544" s="470"/>
      <c r="CM544" s="470"/>
      <c r="CN544" s="470"/>
      <c r="CO544" s="470"/>
      <c r="CP544" s="586"/>
      <c r="CQ544" s="470"/>
      <c r="CR544" s="470"/>
      <c r="CS544" s="470"/>
      <c r="CT544" s="470"/>
      <c r="CU544" s="586"/>
      <c r="CV544" s="470"/>
      <c r="CW544" s="470"/>
      <c r="CX544" s="470"/>
      <c r="CY544" s="470"/>
      <c r="CZ544" s="586"/>
      <c r="DA544" s="470"/>
      <c r="DB544" s="470"/>
      <c r="DC544" s="470"/>
      <c r="DD544" s="470"/>
      <c r="DE544" s="586"/>
      <c r="DF544" s="470"/>
      <c r="DG544" s="470"/>
      <c r="DH544" s="470"/>
      <c r="DI544" s="914"/>
      <c r="DJ544" s="586"/>
      <c r="DK544" s="470"/>
      <c r="DL544" s="470"/>
      <c r="DM544" s="470"/>
      <c r="DN544" s="470"/>
      <c r="DO544" s="586"/>
      <c r="DP544" s="470"/>
      <c r="DQ544" s="470"/>
      <c r="DR544" s="470"/>
      <c r="DS544" s="470"/>
      <c r="DT544" s="586"/>
      <c r="DU544" s="470"/>
      <c r="DV544" s="470"/>
      <c r="DW544" s="470"/>
      <c r="DX544" s="470"/>
      <c r="DY544" s="586"/>
    </row>
    <row r="545" spans="1:129" hidden="1" outlineLevel="1" x14ac:dyDescent="0.2">
      <c r="A545" s="526"/>
      <c r="B545" s="756" t="s">
        <v>204</v>
      </c>
      <c r="C545" s="597"/>
      <c r="D545" s="597"/>
      <c r="E545" s="597"/>
      <c r="F545" s="597"/>
      <c r="G545" s="597"/>
      <c r="H545" s="597"/>
      <c r="I545" s="598"/>
      <c r="J545" s="597"/>
      <c r="K545" s="597"/>
      <c r="L545" s="597"/>
      <c r="M545" s="597"/>
      <c r="N545" s="598"/>
      <c r="O545" s="597"/>
      <c r="P545" s="597"/>
      <c r="Q545" s="597"/>
      <c r="R545" s="597"/>
      <c r="S545" s="598"/>
      <c r="T545" s="597"/>
      <c r="U545" s="597"/>
      <c r="V545" s="597"/>
      <c r="W545" s="597"/>
      <c r="X545" s="598"/>
      <c r="Y545" s="597"/>
      <c r="Z545" s="597"/>
      <c r="AA545" s="597"/>
      <c r="AB545" s="597"/>
      <c r="AC545" s="598"/>
      <c r="AD545" s="597"/>
      <c r="AE545" s="597"/>
      <c r="AF545" s="597"/>
      <c r="AG545" s="597"/>
      <c r="AH545" s="598"/>
      <c r="AI545" s="597"/>
      <c r="AJ545" s="597"/>
      <c r="AK545" s="597"/>
      <c r="AL545" s="597"/>
      <c r="AM545" s="598"/>
      <c r="AN545" s="597"/>
      <c r="AO545" s="597"/>
      <c r="AP545" s="597"/>
      <c r="AQ545" s="597"/>
      <c r="AR545" s="598"/>
      <c r="AS545" s="597"/>
      <c r="AT545" s="597"/>
      <c r="AU545" s="597"/>
      <c r="AV545" s="597"/>
      <c r="AW545" s="598"/>
      <c r="AX545" s="597"/>
      <c r="AY545" s="597"/>
      <c r="AZ545" s="597"/>
      <c r="BA545" s="597"/>
      <c r="BB545" s="598"/>
      <c r="BC545" s="597"/>
      <c r="BD545" s="597"/>
      <c r="BE545" s="597"/>
      <c r="BF545" s="597"/>
      <c r="BG545" s="598"/>
      <c r="BH545" s="597"/>
      <c r="BI545" s="597"/>
      <c r="BJ545" s="597"/>
      <c r="BK545" s="597"/>
      <c r="BL545" s="598"/>
      <c r="BM545" s="597"/>
      <c r="BN545" s="597"/>
      <c r="BO545" s="597"/>
      <c r="BP545" s="597"/>
      <c r="BQ545" s="598"/>
      <c r="BR545" s="597"/>
      <c r="BS545" s="597"/>
      <c r="BT545" s="597"/>
      <c r="BU545" s="597"/>
      <c r="BV545" s="598"/>
      <c r="BW545" s="597"/>
      <c r="BX545" s="597"/>
      <c r="BY545" s="597"/>
      <c r="BZ545" s="597"/>
      <c r="CA545" s="598"/>
      <c r="CB545" s="597"/>
      <c r="CC545" s="597"/>
      <c r="CD545" s="597"/>
      <c r="CE545" s="597"/>
      <c r="CF545" s="598"/>
      <c r="CG545" s="682"/>
      <c r="CH545" s="682"/>
      <c r="CI545" s="682"/>
      <c r="CJ545" s="682"/>
      <c r="CK545" s="598"/>
      <c r="CL545" s="682"/>
      <c r="CM545" s="682"/>
      <c r="CN545" s="682"/>
      <c r="CO545" s="682"/>
      <c r="CP545" s="598"/>
      <c r="CQ545" s="682"/>
      <c r="CR545" s="682"/>
      <c r="CS545" s="682"/>
      <c r="CT545" s="682"/>
      <c r="CU545" s="598"/>
      <c r="CV545" s="682"/>
      <c r="CW545" s="682"/>
      <c r="CX545" s="682"/>
      <c r="CY545" s="682"/>
      <c r="CZ545" s="598"/>
      <c r="DA545" s="682"/>
      <c r="DB545" s="682"/>
      <c r="DC545" s="682"/>
      <c r="DD545" s="682"/>
      <c r="DE545" s="598"/>
      <c r="DF545" s="682"/>
      <c r="DG545" s="682"/>
      <c r="DH545" s="682"/>
      <c r="DI545" s="1610"/>
      <c r="DJ545" s="598"/>
      <c r="DK545" s="682"/>
      <c r="DL545" s="682"/>
      <c r="DM545" s="682"/>
      <c r="DN545" s="682"/>
      <c r="DO545" s="598"/>
      <c r="DP545" s="682"/>
      <c r="DQ545" s="682"/>
      <c r="DR545" s="682"/>
      <c r="DS545" s="682"/>
      <c r="DT545" s="598"/>
      <c r="DU545" s="682"/>
      <c r="DV545" s="682"/>
      <c r="DW545" s="682"/>
      <c r="DX545" s="682"/>
      <c r="DY545" s="598"/>
    </row>
    <row r="546" spans="1:129" hidden="1" outlineLevel="1" x14ac:dyDescent="0.2">
      <c r="A546" s="526"/>
      <c r="B546" s="756"/>
      <c r="C546" s="597"/>
      <c r="D546" s="597"/>
      <c r="E546" s="597"/>
      <c r="F546" s="597"/>
      <c r="G546" s="597"/>
      <c r="H546" s="597"/>
      <c r="I546" s="598"/>
      <c r="J546" s="597"/>
      <c r="K546" s="597"/>
      <c r="L546" s="597"/>
      <c r="M546" s="597"/>
      <c r="N546" s="598"/>
      <c r="O546" s="597"/>
      <c r="P546" s="597"/>
      <c r="Q546" s="597"/>
      <c r="R546" s="597"/>
      <c r="S546" s="598"/>
      <c r="T546" s="597"/>
      <c r="U546" s="597"/>
      <c r="V546" s="597"/>
      <c r="W546" s="597"/>
      <c r="X546" s="598"/>
      <c r="Y546" s="597"/>
      <c r="Z546" s="597"/>
      <c r="AA546" s="597"/>
      <c r="AB546" s="597"/>
      <c r="AC546" s="598"/>
      <c r="AD546" s="597"/>
      <c r="AE546" s="597"/>
      <c r="AF546" s="597"/>
      <c r="AG546" s="597"/>
      <c r="AH546" s="598"/>
      <c r="AI546" s="597"/>
      <c r="AJ546" s="597"/>
      <c r="AK546" s="597"/>
      <c r="AL546" s="597"/>
      <c r="AM546" s="598"/>
      <c r="AN546" s="597"/>
      <c r="AO546" s="597"/>
      <c r="AP546" s="597"/>
      <c r="AQ546" s="597"/>
      <c r="AR546" s="598"/>
      <c r="AS546" s="597"/>
      <c r="AT546" s="597"/>
      <c r="AU546" s="597"/>
      <c r="AV546" s="597"/>
      <c r="AW546" s="598"/>
      <c r="AX546" s="597"/>
      <c r="AY546" s="597"/>
      <c r="AZ546" s="597"/>
      <c r="BA546" s="597"/>
      <c r="BB546" s="598"/>
      <c r="BC546" s="597"/>
      <c r="BD546" s="597"/>
      <c r="BE546" s="597"/>
      <c r="BF546" s="597"/>
      <c r="BG546" s="598"/>
      <c r="BH546" s="597"/>
      <c r="BI546" s="597"/>
      <c r="BJ546" s="597"/>
      <c r="BK546" s="597"/>
      <c r="BL546" s="598"/>
      <c r="BM546" s="597"/>
      <c r="BN546" s="597"/>
      <c r="BO546" s="597"/>
      <c r="BP546" s="597"/>
      <c r="BQ546" s="598"/>
      <c r="BR546" s="597"/>
      <c r="BS546" s="597"/>
      <c r="BT546" s="597"/>
      <c r="BU546" s="597"/>
      <c r="BV546" s="598"/>
      <c r="BW546" s="597"/>
      <c r="BX546" s="597"/>
      <c r="BY546" s="597"/>
      <c r="BZ546" s="597"/>
      <c r="CA546" s="598"/>
      <c r="CB546" s="597"/>
      <c r="CC546" s="597"/>
      <c r="CD546" s="597"/>
      <c r="CE546" s="597"/>
      <c r="CF546" s="598"/>
      <c r="CG546" s="682"/>
      <c r="CH546" s="682"/>
      <c r="CI546" s="682"/>
      <c r="CJ546" s="682"/>
      <c r="CK546" s="598"/>
      <c r="CL546" s="682"/>
      <c r="CM546" s="682"/>
      <c r="CN546" s="682"/>
      <c r="CO546" s="682"/>
      <c r="CP546" s="598"/>
      <c r="CQ546" s="682"/>
      <c r="CR546" s="682"/>
      <c r="CS546" s="682"/>
      <c r="CT546" s="682"/>
      <c r="CU546" s="598"/>
      <c r="CV546" s="682"/>
      <c r="CW546" s="682"/>
      <c r="CX546" s="682"/>
      <c r="CY546" s="682"/>
      <c r="CZ546" s="598"/>
      <c r="DA546" s="682"/>
      <c r="DB546" s="682"/>
      <c r="DC546" s="682"/>
      <c r="DD546" s="682"/>
      <c r="DE546" s="598"/>
      <c r="DF546" s="682"/>
      <c r="DG546" s="682"/>
      <c r="DH546" s="682"/>
      <c r="DI546" s="1610"/>
      <c r="DJ546" s="598"/>
      <c r="DK546" s="682"/>
      <c r="DL546" s="682"/>
      <c r="DM546" s="682"/>
      <c r="DN546" s="682"/>
      <c r="DO546" s="598"/>
      <c r="DP546" s="682"/>
      <c r="DQ546" s="682"/>
      <c r="DR546" s="682"/>
      <c r="DS546" s="682"/>
      <c r="DT546" s="598"/>
      <c r="DU546" s="682"/>
      <c r="DV546" s="682"/>
      <c r="DW546" s="682"/>
      <c r="DX546" s="682"/>
      <c r="DY546" s="598"/>
    </row>
    <row r="547" spans="1:129" hidden="1" outlineLevel="1" x14ac:dyDescent="0.2">
      <c r="A547" s="466"/>
      <c r="B547" s="607" t="s">
        <v>877</v>
      </c>
      <c r="C547" s="585"/>
      <c r="D547" s="585"/>
      <c r="E547" s="585"/>
      <c r="F547" s="585"/>
      <c r="G547" s="585"/>
      <c r="H547" s="585"/>
      <c r="I547" s="586"/>
      <c r="J547" s="585"/>
      <c r="K547" s="585"/>
      <c r="L547" s="585"/>
      <c r="M547" s="585"/>
      <c r="N547" s="586"/>
      <c r="O547" s="585"/>
      <c r="P547" s="585"/>
      <c r="Q547" s="585"/>
      <c r="R547" s="585"/>
      <c r="S547" s="586"/>
      <c r="T547" s="585"/>
      <c r="U547" s="585"/>
      <c r="V547" s="585"/>
      <c r="W547" s="585"/>
      <c r="X547" s="586"/>
      <c r="Y547" s="585"/>
      <c r="Z547" s="585"/>
      <c r="AA547" s="585"/>
      <c r="AB547" s="585"/>
      <c r="AC547" s="586"/>
      <c r="AD547" s="585"/>
      <c r="AE547" s="585"/>
      <c r="AF547" s="585"/>
      <c r="AG547" s="585"/>
      <c r="AH547" s="586"/>
      <c r="AI547" s="585"/>
      <c r="AJ547" s="585"/>
      <c r="AK547" s="585"/>
      <c r="AL547" s="585"/>
      <c r="AM547" s="586"/>
      <c r="AN547" s="585"/>
      <c r="AO547" s="585"/>
      <c r="AP547" s="585"/>
      <c r="AQ547" s="585"/>
      <c r="AR547" s="586"/>
      <c r="AS547" s="585"/>
      <c r="AT547" s="585"/>
      <c r="AU547" s="585"/>
      <c r="AV547" s="585"/>
      <c r="AW547" s="586"/>
      <c r="AX547" s="585"/>
      <c r="AY547" s="585"/>
      <c r="AZ547" s="585"/>
      <c r="BA547" s="585"/>
      <c r="BB547" s="586"/>
      <c r="BC547" s="592">
        <v>795.7</v>
      </c>
      <c r="BD547" s="592">
        <v>747.2</v>
      </c>
      <c r="BE547" s="592">
        <v>806.6</v>
      </c>
      <c r="BF547" s="592">
        <v>883</v>
      </c>
      <c r="BG547" s="754">
        <v>3232.5</v>
      </c>
      <c r="BH547" s="585"/>
      <c r="BI547" s="585"/>
      <c r="BJ547" s="585"/>
      <c r="BK547" s="585"/>
      <c r="BL547" s="586"/>
      <c r="BM547" s="585"/>
      <c r="BN547" s="585"/>
      <c r="BO547" s="585"/>
      <c r="BP547" s="585"/>
      <c r="BQ547" s="586"/>
      <c r="BR547" s="585"/>
      <c r="BS547" s="585"/>
      <c r="BT547" s="585"/>
      <c r="BU547" s="585"/>
      <c r="BV547" s="586"/>
      <c r="BW547" s="585"/>
      <c r="BX547" s="585"/>
      <c r="BY547" s="585"/>
      <c r="BZ547" s="585"/>
      <c r="CA547" s="586"/>
      <c r="CB547" s="585"/>
      <c r="CC547" s="585"/>
      <c r="CD547" s="585"/>
      <c r="CE547" s="585"/>
      <c r="CF547" s="586"/>
      <c r="CG547" s="470"/>
      <c r="CH547" s="470"/>
      <c r="CI547" s="470"/>
      <c r="CJ547" s="470"/>
      <c r="CK547" s="586"/>
      <c r="CL547" s="470"/>
      <c r="CM547" s="470"/>
      <c r="CN547" s="470"/>
      <c r="CO547" s="470"/>
      <c r="CP547" s="586"/>
      <c r="CQ547" s="470"/>
      <c r="CR547" s="470"/>
      <c r="CS547" s="470"/>
      <c r="CT547" s="470"/>
      <c r="CU547" s="586"/>
      <c r="CV547" s="470"/>
      <c r="CW547" s="470"/>
      <c r="CX547" s="470"/>
      <c r="CY547" s="470"/>
      <c r="CZ547" s="586"/>
      <c r="DA547" s="470"/>
      <c r="DB547" s="470"/>
      <c r="DC547" s="470"/>
      <c r="DD547" s="470"/>
      <c r="DE547" s="586"/>
      <c r="DF547" s="470"/>
      <c r="DG547" s="470"/>
      <c r="DH547" s="470"/>
      <c r="DI547" s="914"/>
      <c r="DJ547" s="586"/>
      <c r="DK547" s="470"/>
      <c r="DL547" s="470"/>
      <c r="DM547" s="470"/>
      <c r="DN547" s="470"/>
      <c r="DO547" s="586"/>
      <c r="DP547" s="470"/>
      <c r="DQ547" s="470"/>
      <c r="DR547" s="470"/>
      <c r="DS547" s="470"/>
      <c r="DT547" s="586"/>
      <c r="DU547" s="470"/>
      <c r="DV547" s="470"/>
      <c r="DW547" s="470"/>
      <c r="DX547" s="470"/>
      <c r="DY547" s="586"/>
    </row>
    <row r="548" spans="1:129" hidden="1" outlineLevel="1" x14ac:dyDescent="0.2">
      <c r="A548" s="526"/>
      <c r="B548" s="756"/>
      <c r="C548" s="597"/>
      <c r="D548" s="597"/>
      <c r="E548" s="597"/>
      <c r="F548" s="597"/>
      <c r="G548" s="597"/>
      <c r="H548" s="597"/>
      <c r="I548" s="598"/>
      <c r="J548" s="597"/>
      <c r="K548" s="597"/>
      <c r="L548" s="597"/>
      <c r="M548" s="597"/>
      <c r="N548" s="598"/>
      <c r="O548" s="597"/>
      <c r="P548" s="597"/>
      <c r="Q548" s="597"/>
      <c r="R548" s="597"/>
      <c r="S548" s="598"/>
      <c r="T548" s="597"/>
      <c r="U548" s="597"/>
      <c r="V548" s="597"/>
      <c r="W548" s="597"/>
      <c r="X548" s="598"/>
      <c r="Y548" s="597"/>
      <c r="Z548" s="597"/>
      <c r="AA548" s="597"/>
      <c r="AB548" s="597"/>
      <c r="AC548" s="598"/>
      <c r="AD548" s="597"/>
      <c r="AE548" s="597"/>
      <c r="AF548" s="597"/>
      <c r="AG548" s="597"/>
      <c r="AH548" s="598"/>
      <c r="AI548" s="597"/>
      <c r="AJ548" s="597"/>
      <c r="AK548" s="597"/>
      <c r="AL548" s="597"/>
      <c r="AM548" s="598"/>
      <c r="AN548" s="597"/>
      <c r="AO548" s="597"/>
      <c r="AP548" s="597"/>
      <c r="AQ548" s="597"/>
      <c r="AR548" s="598"/>
      <c r="AS548" s="597"/>
      <c r="AT548" s="597"/>
      <c r="AU548" s="597"/>
      <c r="AV548" s="597"/>
      <c r="AW548" s="598"/>
      <c r="AX548" s="597"/>
      <c r="AY548" s="597"/>
      <c r="AZ548" s="597"/>
      <c r="BA548" s="597"/>
      <c r="BB548" s="598"/>
      <c r="BC548" s="597"/>
      <c r="BD548" s="597"/>
      <c r="BE548" s="597"/>
      <c r="BF548" s="597"/>
      <c r="BG548" s="598"/>
      <c r="BH548" s="597"/>
      <c r="BI548" s="597"/>
      <c r="BJ548" s="597"/>
      <c r="BK548" s="597"/>
      <c r="BL548" s="598"/>
      <c r="BM548" s="597"/>
      <c r="BN548" s="597"/>
      <c r="BO548" s="597"/>
      <c r="BP548" s="597"/>
      <c r="BQ548" s="598"/>
      <c r="BR548" s="597"/>
      <c r="BS548" s="597"/>
      <c r="BT548" s="597"/>
      <c r="BU548" s="597"/>
      <c r="BV548" s="598"/>
      <c r="BW548" s="597"/>
      <c r="BX548" s="597"/>
      <c r="BY548" s="597"/>
      <c r="BZ548" s="597"/>
      <c r="CA548" s="598"/>
      <c r="CB548" s="597"/>
      <c r="CC548" s="597"/>
      <c r="CD548" s="597"/>
      <c r="CE548" s="597"/>
      <c r="CF548" s="598"/>
      <c r="CG548" s="682"/>
      <c r="CH548" s="682"/>
      <c r="CI548" s="682"/>
      <c r="CJ548" s="682"/>
      <c r="CK548" s="598"/>
      <c r="CL548" s="682"/>
      <c r="CM548" s="682"/>
      <c r="CN548" s="682"/>
      <c r="CO548" s="682"/>
      <c r="CP548" s="598"/>
      <c r="CQ548" s="682"/>
      <c r="CR548" s="682"/>
      <c r="CS548" s="682"/>
      <c r="CT548" s="682"/>
      <c r="CU548" s="598"/>
      <c r="CV548" s="682"/>
      <c r="CW548" s="682"/>
      <c r="CX548" s="682"/>
      <c r="CY548" s="682"/>
      <c r="CZ548" s="598"/>
      <c r="DA548" s="682"/>
      <c r="DB548" s="682"/>
      <c r="DC548" s="682"/>
      <c r="DD548" s="682"/>
      <c r="DE548" s="598"/>
      <c r="DF548" s="682"/>
      <c r="DG548" s="682"/>
      <c r="DH548" s="682"/>
      <c r="DI548" s="1610"/>
      <c r="DJ548" s="598"/>
      <c r="DK548" s="682"/>
      <c r="DL548" s="682"/>
      <c r="DM548" s="682"/>
      <c r="DN548" s="682"/>
      <c r="DO548" s="598"/>
      <c r="DP548" s="682"/>
      <c r="DQ548" s="682"/>
      <c r="DR548" s="682"/>
      <c r="DS548" s="682"/>
      <c r="DT548" s="598"/>
      <c r="DU548" s="682"/>
      <c r="DV548" s="682"/>
      <c r="DW548" s="682"/>
      <c r="DX548" s="682"/>
      <c r="DY548" s="598"/>
    </row>
    <row r="549" spans="1:129" hidden="1" outlineLevel="1" x14ac:dyDescent="0.2">
      <c r="A549" s="466"/>
      <c r="B549" s="607" t="s">
        <v>859</v>
      </c>
      <c r="C549" s="585"/>
      <c r="D549" s="585"/>
      <c r="E549" s="585"/>
      <c r="F549" s="585"/>
      <c r="G549" s="585"/>
      <c r="H549" s="585"/>
      <c r="I549" s="586"/>
      <c r="J549" s="585"/>
      <c r="K549" s="585"/>
      <c r="L549" s="585"/>
      <c r="M549" s="585"/>
      <c r="N549" s="586"/>
      <c r="O549" s="585"/>
      <c r="P549" s="585"/>
      <c r="Q549" s="585"/>
      <c r="R549" s="585"/>
      <c r="S549" s="586"/>
      <c r="T549" s="585"/>
      <c r="U549" s="585"/>
      <c r="V549" s="585"/>
      <c r="W549" s="585"/>
      <c r="X549" s="586"/>
      <c r="Y549" s="585"/>
      <c r="Z549" s="585"/>
      <c r="AA549" s="585"/>
      <c r="AB549" s="585"/>
      <c r="AC549" s="586"/>
      <c r="AD549" s="585"/>
      <c r="AE549" s="585"/>
      <c r="AF549" s="585"/>
      <c r="AG549" s="585"/>
      <c r="AH549" s="586"/>
      <c r="AI549" s="585"/>
      <c r="AJ549" s="585"/>
      <c r="AK549" s="585"/>
      <c r="AL549" s="585"/>
      <c r="AM549" s="586"/>
      <c r="AN549" s="585"/>
      <c r="AO549" s="585"/>
      <c r="AP549" s="585"/>
      <c r="AQ549" s="585"/>
      <c r="AR549" s="586"/>
      <c r="AS549" s="585"/>
      <c r="AT549" s="585"/>
      <c r="AU549" s="585"/>
      <c r="AV549" s="585"/>
      <c r="AW549" s="586"/>
      <c r="AX549" s="585"/>
      <c r="AY549" s="585"/>
      <c r="AZ549" s="585"/>
      <c r="BA549" s="585"/>
      <c r="BB549" s="586"/>
      <c r="BC549" s="592">
        <v>94.4</v>
      </c>
      <c r="BD549" s="592">
        <v>107.6</v>
      </c>
      <c r="BE549" s="592">
        <v>126.9</v>
      </c>
      <c r="BF549" s="592">
        <v>129.9</v>
      </c>
      <c r="BG549" s="754">
        <v>458.8</v>
      </c>
      <c r="BH549" s="585"/>
      <c r="BI549" s="585"/>
      <c r="BJ549" s="585"/>
      <c r="BK549" s="585"/>
      <c r="BL549" s="586"/>
      <c r="BM549" s="585"/>
      <c r="BN549" s="585"/>
      <c r="BO549" s="585"/>
      <c r="BP549" s="585"/>
      <c r="BQ549" s="586"/>
      <c r="BR549" s="585"/>
      <c r="BS549" s="585"/>
      <c r="BT549" s="585"/>
      <c r="BU549" s="585"/>
      <c r="BV549" s="586"/>
      <c r="BW549" s="585"/>
      <c r="BX549" s="585"/>
      <c r="BY549" s="585"/>
      <c r="BZ549" s="585"/>
      <c r="CA549" s="586"/>
      <c r="CB549" s="585"/>
      <c r="CC549" s="585"/>
      <c r="CD549" s="585"/>
      <c r="CE549" s="585"/>
      <c r="CF549" s="586"/>
      <c r="CG549" s="470"/>
      <c r="CH549" s="470"/>
      <c r="CI549" s="470"/>
      <c r="CJ549" s="470"/>
      <c r="CK549" s="586"/>
      <c r="CL549" s="470"/>
      <c r="CM549" s="470"/>
      <c r="CN549" s="470"/>
      <c r="CO549" s="470"/>
      <c r="CP549" s="586"/>
      <c r="CQ549" s="470"/>
      <c r="CR549" s="470"/>
      <c r="CS549" s="470"/>
      <c r="CT549" s="470"/>
      <c r="CU549" s="586"/>
      <c r="CV549" s="470"/>
      <c r="CW549" s="470"/>
      <c r="CX549" s="470"/>
      <c r="CY549" s="470"/>
      <c r="CZ549" s="586"/>
      <c r="DA549" s="470"/>
      <c r="DB549" s="470"/>
      <c r="DC549" s="470"/>
      <c r="DD549" s="470"/>
      <c r="DE549" s="586"/>
      <c r="DF549" s="470"/>
      <c r="DG549" s="470"/>
      <c r="DH549" s="470"/>
      <c r="DI549" s="914"/>
      <c r="DJ549" s="586"/>
      <c r="DK549" s="470"/>
      <c r="DL549" s="470"/>
      <c r="DM549" s="470"/>
      <c r="DN549" s="470"/>
      <c r="DO549" s="586"/>
      <c r="DP549" s="470"/>
      <c r="DQ549" s="470"/>
      <c r="DR549" s="470"/>
      <c r="DS549" s="470"/>
      <c r="DT549" s="586"/>
      <c r="DU549" s="470"/>
      <c r="DV549" s="470"/>
      <c r="DW549" s="470"/>
      <c r="DX549" s="470"/>
      <c r="DY549" s="586"/>
    </row>
    <row r="550" spans="1:129" hidden="1" outlineLevel="1" x14ac:dyDescent="0.2">
      <c r="A550" s="526"/>
      <c r="B550" s="756" t="s">
        <v>850</v>
      </c>
      <c r="C550" s="597"/>
      <c r="D550" s="597"/>
      <c r="E550" s="597"/>
      <c r="F550" s="597"/>
      <c r="G550" s="597"/>
      <c r="H550" s="597"/>
      <c r="I550" s="593"/>
      <c r="J550" s="597"/>
      <c r="K550" s="597"/>
      <c r="L550" s="597"/>
      <c r="M550" s="597"/>
      <c r="N550" s="593"/>
      <c r="O550" s="597"/>
      <c r="P550" s="597"/>
      <c r="Q550" s="597"/>
      <c r="R550" s="597"/>
      <c r="S550" s="593"/>
      <c r="T550" s="600"/>
      <c r="U550" s="600"/>
      <c r="V550" s="600"/>
      <c r="W550" s="600"/>
      <c r="X550" s="593"/>
      <c r="Y550" s="600"/>
      <c r="Z550" s="600"/>
      <c r="AA550" s="600"/>
      <c r="AB550" s="600"/>
      <c r="AC550" s="593"/>
      <c r="AD550" s="600"/>
      <c r="AE550" s="600"/>
      <c r="AF550" s="600"/>
      <c r="AG550" s="600"/>
      <c r="AH550" s="593"/>
      <c r="AI550" s="600"/>
      <c r="AJ550" s="600"/>
      <c r="AK550" s="600"/>
      <c r="AL550" s="600"/>
      <c r="AM550" s="593"/>
      <c r="AN550" s="600"/>
      <c r="AO550" s="600"/>
      <c r="AP550" s="600"/>
      <c r="AQ550" s="600"/>
      <c r="AR550" s="593"/>
      <c r="AS550" s="600"/>
      <c r="AT550" s="600"/>
      <c r="AU550" s="600"/>
      <c r="AV550" s="600"/>
      <c r="AW550" s="593"/>
      <c r="AX550" s="600"/>
      <c r="AY550" s="600"/>
      <c r="AZ550" s="600"/>
      <c r="BA550" s="600"/>
      <c r="BB550" s="593"/>
      <c r="BC550" s="800">
        <v>0.10605549938209187</v>
      </c>
      <c r="BD550" s="800">
        <v>0.1258773982218063</v>
      </c>
      <c r="BE550" s="800">
        <v>0.13594001071237277</v>
      </c>
      <c r="BF550" s="800">
        <v>0.12824563135551384</v>
      </c>
      <c r="BG550" s="969">
        <v>0.12429225476119522</v>
      </c>
      <c r="BH550" s="798"/>
      <c r="BI550" s="597"/>
      <c r="BJ550" s="597"/>
      <c r="BK550" s="597"/>
      <c r="BL550" s="593"/>
      <c r="BM550" s="597"/>
      <c r="BN550" s="597"/>
      <c r="BO550" s="597"/>
      <c r="BP550" s="597"/>
      <c r="BQ550" s="593"/>
      <c r="BR550" s="597"/>
      <c r="BS550" s="597"/>
      <c r="BT550" s="597"/>
      <c r="BU550" s="597"/>
      <c r="BV550" s="593"/>
      <c r="BW550" s="597"/>
      <c r="BX550" s="597"/>
      <c r="BY550" s="597"/>
      <c r="BZ550" s="597"/>
      <c r="CA550" s="593"/>
      <c r="CB550" s="597"/>
      <c r="CC550" s="597"/>
      <c r="CD550" s="597"/>
      <c r="CE550" s="597"/>
      <c r="CF550" s="593"/>
      <c r="CG550" s="682"/>
      <c r="CH550" s="682"/>
      <c r="CI550" s="682"/>
      <c r="CJ550" s="682"/>
      <c r="CK550" s="593"/>
      <c r="CL550" s="682"/>
      <c r="CM550" s="682"/>
      <c r="CN550" s="682"/>
      <c r="CO550" s="682"/>
      <c r="CP550" s="593"/>
      <c r="CQ550" s="682"/>
      <c r="CR550" s="682"/>
      <c r="CS550" s="682"/>
      <c r="CT550" s="682"/>
      <c r="CU550" s="593"/>
      <c r="CV550" s="682"/>
      <c r="CW550" s="682"/>
      <c r="CX550" s="682"/>
      <c r="CY550" s="682"/>
      <c r="CZ550" s="593"/>
      <c r="DA550" s="682"/>
      <c r="DB550" s="682"/>
      <c r="DC550" s="682"/>
      <c r="DD550" s="682"/>
      <c r="DE550" s="593"/>
      <c r="DF550" s="682"/>
      <c r="DG550" s="682"/>
      <c r="DH550" s="682"/>
      <c r="DI550" s="1610"/>
      <c r="DJ550" s="593"/>
      <c r="DK550" s="682"/>
      <c r="DL550" s="682"/>
      <c r="DM550" s="682"/>
      <c r="DN550" s="682"/>
      <c r="DO550" s="593"/>
      <c r="DP550" s="682"/>
      <c r="DQ550" s="682"/>
      <c r="DR550" s="682"/>
      <c r="DS550" s="682"/>
      <c r="DT550" s="593"/>
      <c r="DU550" s="682"/>
      <c r="DV550" s="682"/>
      <c r="DW550" s="682"/>
      <c r="DX550" s="682"/>
      <c r="DY550" s="593"/>
    </row>
    <row r="551" spans="1:129" hidden="1" outlineLevel="1" x14ac:dyDescent="0.2">
      <c r="A551" s="526"/>
      <c r="B551" s="756"/>
      <c r="C551" s="597"/>
      <c r="D551" s="597"/>
      <c r="E551" s="597"/>
      <c r="F551" s="597"/>
      <c r="G551" s="597"/>
      <c r="H551" s="597"/>
      <c r="I551" s="598"/>
      <c r="J551" s="597"/>
      <c r="K551" s="597"/>
      <c r="L551" s="597"/>
      <c r="M551" s="597"/>
      <c r="N551" s="598"/>
      <c r="O551" s="597"/>
      <c r="P551" s="597"/>
      <c r="Q551" s="597"/>
      <c r="R551" s="597"/>
      <c r="S551" s="598"/>
      <c r="T551" s="597"/>
      <c r="U551" s="597"/>
      <c r="V551" s="597"/>
      <c r="W551" s="597"/>
      <c r="X551" s="598"/>
      <c r="Y551" s="597"/>
      <c r="Z551" s="597"/>
      <c r="AA551" s="597"/>
      <c r="AB551" s="597"/>
      <c r="AC551" s="598"/>
      <c r="AD551" s="597"/>
      <c r="AE551" s="597"/>
      <c r="AF551" s="597"/>
      <c r="AG551" s="597"/>
      <c r="AH551" s="598"/>
      <c r="AI551" s="597"/>
      <c r="AJ551" s="597"/>
      <c r="AK551" s="597"/>
      <c r="AL551" s="597"/>
      <c r="AM551" s="598"/>
      <c r="AN551" s="597"/>
      <c r="AO551" s="597"/>
      <c r="AP551" s="597"/>
      <c r="AQ551" s="597"/>
      <c r="AR551" s="598"/>
      <c r="AS551" s="597"/>
      <c r="AT551" s="597"/>
      <c r="AU551" s="597"/>
      <c r="AV551" s="597"/>
      <c r="AW551" s="598"/>
      <c r="AX551" s="597"/>
      <c r="AY551" s="597"/>
      <c r="AZ551" s="597"/>
      <c r="BA551" s="597"/>
      <c r="BB551" s="598"/>
      <c r="BC551" s="597"/>
      <c r="BD551" s="597"/>
      <c r="BE551" s="597"/>
      <c r="BF551" s="597"/>
      <c r="BG551" s="598"/>
      <c r="BH551" s="597"/>
      <c r="BI551" s="597"/>
      <c r="BJ551" s="597"/>
      <c r="BK551" s="597"/>
      <c r="BL551" s="598"/>
      <c r="BM551" s="597"/>
      <c r="BN551" s="597"/>
      <c r="BO551" s="597"/>
      <c r="BP551" s="597"/>
      <c r="BQ551" s="598"/>
      <c r="BR551" s="597"/>
      <c r="BS551" s="597"/>
      <c r="BT551" s="597"/>
      <c r="BU551" s="597"/>
      <c r="BV551" s="598"/>
      <c r="BW551" s="597"/>
      <c r="BX551" s="597"/>
      <c r="BY551" s="597"/>
      <c r="BZ551" s="597"/>
      <c r="CA551" s="598"/>
      <c r="CB551" s="597"/>
      <c r="CC551" s="597"/>
      <c r="CD551" s="597"/>
      <c r="CE551" s="597"/>
      <c r="CF551" s="598"/>
      <c r="CG551" s="682"/>
      <c r="CH551" s="682"/>
      <c r="CI551" s="682"/>
      <c r="CJ551" s="682"/>
      <c r="CK551" s="598"/>
      <c r="CL551" s="682"/>
      <c r="CM551" s="682"/>
      <c r="CN551" s="682"/>
      <c r="CO551" s="682"/>
      <c r="CP551" s="598"/>
      <c r="CQ551" s="682"/>
      <c r="CR551" s="682"/>
      <c r="CS551" s="682"/>
      <c r="CT551" s="682"/>
      <c r="CU551" s="598"/>
      <c r="CV551" s="682"/>
      <c r="CW551" s="682"/>
      <c r="CX551" s="682"/>
      <c r="CY551" s="682"/>
      <c r="CZ551" s="598"/>
      <c r="DA551" s="682"/>
      <c r="DB551" s="682"/>
      <c r="DC551" s="682"/>
      <c r="DD551" s="682"/>
      <c r="DE551" s="598"/>
      <c r="DF551" s="682"/>
      <c r="DG551" s="682"/>
      <c r="DH551" s="682"/>
      <c r="DI551" s="1610"/>
      <c r="DJ551" s="598"/>
      <c r="DK551" s="682"/>
      <c r="DL551" s="682"/>
      <c r="DM551" s="682"/>
      <c r="DN551" s="682"/>
      <c r="DO551" s="598"/>
      <c r="DP551" s="682"/>
      <c r="DQ551" s="682"/>
      <c r="DR551" s="682"/>
      <c r="DS551" s="682"/>
      <c r="DT551" s="598"/>
      <c r="DU551" s="682"/>
      <c r="DV551" s="682"/>
      <c r="DW551" s="682"/>
      <c r="DX551" s="682"/>
      <c r="DY551" s="598"/>
    </row>
    <row r="552" spans="1:129" hidden="1" outlineLevel="1" x14ac:dyDescent="0.2">
      <c r="A552" s="466"/>
      <c r="B552" s="607" t="s">
        <v>918</v>
      </c>
      <c r="C552" s="585"/>
      <c r="D552" s="585"/>
      <c r="E552" s="585"/>
      <c r="F552" s="585"/>
      <c r="G552" s="585"/>
      <c r="H552" s="585"/>
      <c r="I552" s="586"/>
      <c r="J552" s="585"/>
      <c r="K552" s="585"/>
      <c r="L552" s="585"/>
      <c r="M552" s="585"/>
      <c r="N552" s="586"/>
      <c r="O552" s="585"/>
      <c r="P552" s="585"/>
      <c r="Q552" s="585"/>
      <c r="R552" s="585"/>
      <c r="S552" s="586"/>
      <c r="T552" s="585"/>
      <c r="U552" s="585"/>
      <c r="V552" s="585"/>
      <c r="W552" s="585"/>
      <c r="X552" s="586"/>
      <c r="Y552" s="585"/>
      <c r="Z552" s="585"/>
      <c r="AA552" s="585"/>
      <c r="AB552" s="585"/>
      <c r="AC552" s="586"/>
      <c r="AD552" s="585"/>
      <c r="AE552" s="585"/>
      <c r="AF552" s="585"/>
      <c r="AG552" s="585"/>
      <c r="AH552" s="586"/>
      <c r="AI552" s="585"/>
      <c r="AJ552" s="585"/>
      <c r="AK552" s="585"/>
      <c r="AL552" s="585"/>
      <c r="AM552" s="586"/>
      <c r="AN552" s="585"/>
      <c r="AO552" s="585"/>
      <c r="AP552" s="585"/>
      <c r="AQ552" s="585"/>
      <c r="AR552" s="586"/>
      <c r="AS552" s="585"/>
      <c r="AT552" s="585"/>
      <c r="AU552" s="585"/>
      <c r="AV552" s="585"/>
      <c r="AW552" s="586"/>
      <c r="AX552" s="585"/>
      <c r="AY552" s="585"/>
      <c r="AZ552" s="585"/>
      <c r="BA552" s="585"/>
      <c r="BB552" s="586"/>
      <c r="BC552" s="592">
        <v>37</v>
      </c>
      <c r="BD552" s="592">
        <v>34.799999999999997</v>
      </c>
      <c r="BE552" s="592">
        <v>33.200000000000003</v>
      </c>
      <c r="BF552" s="592">
        <v>35.700000000000003</v>
      </c>
      <c r="BG552" s="754">
        <v>140.69999999999999</v>
      </c>
      <c r="BH552" s="585"/>
      <c r="BI552" s="585"/>
      <c r="BJ552" s="585"/>
      <c r="BK552" s="585"/>
      <c r="BL552" s="586"/>
      <c r="BM552" s="585"/>
      <c r="BN552" s="585"/>
      <c r="BO552" s="585"/>
      <c r="BP552" s="585"/>
      <c r="BQ552" s="586"/>
      <c r="BR552" s="585"/>
      <c r="BS552" s="585"/>
      <c r="BT552" s="585"/>
      <c r="BU552" s="585"/>
      <c r="BV552" s="586"/>
      <c r="BW552" s="585"/>
      <c r="BX552" s="585"/>
      <c r="BY552" s="585"/>
      <c r="BZ552" s="585"/>
      <c r="CA552" s="586"/>
      <c r="CB552" s="585"/>
      <c r="CC552" s="585"/>
      <c r="CD552" s="585"/>
      <c r="CE552" s="585"/>
      <c r="CF552" s="586"/>
      <c r="CG552" s="470"/>
      <c r="CH552" s="470"/>
      <c r="CI552" s="470"/>
      <c r="CJ552" s="470"/>
      <c r="CK552" s="586"/>
      <c r="CL552" s="470"/>
      <c r="CM552" s="470"/>
      <c r="CN552" s="470"/>
      <c r="CO552" s="470"/>
      <c r="CP552" s="586"/>
      <c r="CQ552" s="470"/>
      <c r="CR552" s="470"/>
      <c r="CS552" s="470"/>
      <c r="CT552" s="470"/>
      <c r="CU552" s="586"/>
      <c r="CV552" s="470"/>
      <c r="CW552" s="470"/>
      <c r="CX552" s="470"/>
      <c r="CY552" s="470"/>
      <c r="CZ552" s="586"/>
      <c r="DA552" s="470"/>
      <c r="DB552" s="470"/>
      <c r="DC552" s="470"/>
      <c r="DD552" s="470"/>
      <c r="DE552" s="586"/>
      <c r="DF552" s="470"/>
      <c r="DG552" s="470"/>
      <c r="DH552" s="470"/>
      <c r="DI552" s="914"/>
      <c r="DJ552" s="586"/>
      <c r="DK552" s="470"/>
      <c r="DL552" s="470"/>
      <c r="DM552" s="470"/>
      <c r="DN552" s="470"/>
      <c r="DO552" s="586"/>
      <c r="DP552" s="470"/>
      <c r="DQ552" s="470"/>
      <c r="DR552" s="470"/>
      <c r="DS552" s="470"/>
      <c r="DT552" s="586"/>
      <c r="DU552" s="470"/>
      <c r="DV552" s="470"/>
      <c r="DW552" s="470"/>
      <c r="DX552" s="470"/>
      <c r="DY552" s="586"/>
    </row>
    <row r="553" spans="1:129" hidden="1" outlineLevel="1" x14ac:dyDescent="0.2">
      <c r="A553" s="526"/>
      <c r="B553" s="756"/>
      <c r="C553" s="597"/>
      <c r="D553" s="597"/>
      <c r="E553" s="597"/>
      <c r="F553" s="597"/>
      <c r="G553" s="597"/>
      <c r="H553" s="597"/>
      <c r="I553" s="598"/>
      <c r="J553" s="597"/>
      <c r="K553" s="597"/>
      <c r="L553" s="597"/>
      <c r="M553" s="597"/>
      <c r="N553" s="598"/>
      <c r="O553" s="597"/>
      <c r="P553" s="597"/>
      <c r="Q553" s="597"/>
      <c r="R553" s="597"/>
      <c r="S553" s="598"/>
      <c r="T553" s="597"/>
      <c r="U553" s="597"/>
      <c r="V553" s="597"/>
      <c r="W553" s="597"/>
      <c r="X553" s="598"/>
      <c r="Y553" s="597"/>
      <c r="Z553" s="597"/>
      <c r="AA553" s="597"/>
      <c r="AB553" s="597"/>
      <c r="AC553" s="598"/>
      <c r="AD553" s="597"/>
      <c r="AE553" s="597"/>
      <c r="AF553" s="597"/>
      <c r="AG553" s="597"/>
      <c r="AH553" s="598"/>
      <c r="AI553" s="597"/>
      <c r="AJ553" s="597"/>
      <c r="AK553" s="597"/>
      <c r="AL553" s="597"/>
      <c r="AM553" s="598"/>
      <c r="AN553" s="597"/>
      <c r="AO553" s="597"/>
      <c r="AP553" s="597"/>
      <c r="AQ553" s="597"/>
      <c r="AR553" s="598"/>
      <c r="AS553" s="597"/>
      <c r="AT553" s="597"/>
      <c r="AU553" s="597"/>
      <c r="AV553" s="597"/>
      <c r="AW553" s="598"/>
      <c r="AX553" s="597"/>
      <c r="AY553" s="597"/>
      <c r="AZ553" s="597"/>
      <c r="BA553" s="597"/>
      <c r="BB553" s="598"/>
      <c r="BC553" s="597"/>
      <c r="BD553" s="597"/>
      <c r="BE553" s="597"/>
      <c r="BF553" s="597"/>
      <c r="BG553" s="598"/>
      <c r="BH553" s="597"/>
      <c r="BI553" s="597"/>
      <c r="BJ553" s="597"/>
      <c r="BK553" s="597"/>
      <c r="BL553" s="598"/>
      <c r="BM553" s="597"/>
      <c r="BN553" s="597"/>
      <c r="BO553" s="597"/>
      <c r="BP553" s="597"/>
      <c r="BQ553" s="598"/>
      <c r="BR553" s="597"/>
      <c r="BS553" s="597"/>
      <c r="BT553" s="597"/>
      <c r="BU553" s="597"/>
      <c r="BV553" s="598"/>
      <c r="BW553" s="597"/>
      <c r="BX553" s="597"/>
      <c r="BY553" s="597"/>
      <c r="BZ553" s="597"/>
      <c r="CA553" s="598"/>
      <c r="CB553" s="597"/>
      <c r="CC553" s="597"/>
      <c r="CD553" s="597"/>
      <c r="CE553" s="597"/>
      <c r="CF553" s="598"/>
      <c r="CG553" s="682"/>
      <c r="CH553" s="682"/>
      <c r="CI553" s="682"/>
      <c r="CJ553" s="682"/>
      <c r="CK553" s="598"/>
      <c r="CL553" s="682"/>
      <c r="CM553" s="682"/>
      <c r="CN553" s="682"/>
      <c r="CO553" s="682"/>
      <c r="CP553" s="598"/>
      <c r="CQ553" s="682"/>
      <c r="CR553" s="682"/>
      <c r="CS553" s="682"/>
      <c r="CT553" s="682"/>
      <c r="CU553" s="598"/>
      <c r="CV553" s="682"/>
      <c r="CW553" s="682"/>
      <c r="CX553" s="682"/>
      <c r="CY553" s="682"/>
      <c r="CZ553" s="598"/>
      <c r="DA553" s="682"/>
      <c r="DB553" s="682"/>
      <c r="DC553" s="682"/>
      <c r="DD553" s="682"/>
      <c r="DE553" s="598"/>
      <c r="DF553" s="682"/>
      <c r="DG553" s="682"/>
      <c r="DH553" s="682"/>
      <c r="DI553" s="1610"/>
      <c r="DJ553" s="598"/>
      <c r="DK553" s="682"/>
      <c r="DL553" s="682"/>
      <c r="DM553" s="682"/>
      <c r="DN553" s="682"/>
      <c r="DO553" s="598"/>
      <c r="DP553" s="682"/>
      <c r="DQ553" s="682"/>
      <c r="DR553" s="682"/>
      <c r="DS553" s="682"/>
      <c r="DT553" s="598"/>
      <c r="DU553" s="682"/>
      <c r="DV553" s="682"/>
      <c r="DW553" s="682"/>
      <c r="DX553" s="682"/>
      <c r="DY553" s="598"/>
    </row>
    <row r="554" spans="1:129" hidden="1" outlineLevel="1" x14ac:dyDescent="0.2">
      <c r="A554" s="466"/>
      <c r="B554" s="607" t="s">
        <v>880</v>
      </c>
      <c r="C554" s="585"/>
      <c r="D554" s="585"/>
      <c r="E554" s="585"/>
      <c r="F554" s="585"/>
      <c r="G554" s="585"/>
      <c r="H554" s="585"/>
      <c r="I554" s="586"/>
      <c r="J554" s="585"/>
      <c r="K554" s="585"/>
      <c r="L554" s="585"/>
      <c r="M554" s="585"/>
      <c r="N554" s="586"/>
      <c r="O554" s="585"/>
      <c r="P554" s="585"/>
      <c r="Q554" s="585"/>
      <c r="R554" s="585"/>
      <c r="S554" s="586"/>
      <c r="T554" s="585"/>
      <c r="U554" s="585"/>
      <c r="V554" s="585"/>
      <c r="W554" s="585"/>
      <c r="X554" s="586"/>
      <c r="Y554" s="585"/>
      <c r="Z554" s="585"/>
      <c r="AA554" s="585"/>
      <c r="AB554" s="585"/>
      <c r="AC554" s="586"/>
      <c r="AD554" s="585"/>
      <c r="AE554" s="585"/>
      <c r="AF554" s="585"/>
      <c r="AG554" s="585"/>
      <c r="AH554" s="586"/>
      <c r="AI554" s="585"/>
      <c r="AJ554" s="585"/>
      <c r="AK554" s="585"/>
      <c r="AL554" s="585"/>
      <c r="AM554" s="586"/>
      <c r="AN554" s="585"/>
      <c r="AO554" s="585"/>
      <c r="AP554" s="585"/>
      <c r="AQ554" s="585"/>
      <c r="AR554" s="586"/>
      <c r="AS554" s="585"/>
      <c r="AT554" s="585"/>
      <c r="AU554" s="585"/>
      <c r="AV554" s="585"/>
      <c r="AW554" s="586"/>
      <c r="AX554" s="585"/>
      <c r="AY554" s="585"/>
      <c r="AZ554" s="585"/>
      <c r="BA554" s="585"/>
      <c r="BB554" s="586"/>
      <c r="BC554" s="592">
        <v>57.4</v>
      </c>
      <c r="BD554" s="592">
        <v>72.8</v>
      </c>
      <c r="BE554" s="592">
        <v>93.7</v>
      </c>
      <c r="BF554" s="592">
        <v>94.2</v>
      </c>
      <c r="BG554" s="754">
        <v>318.10000000000002</v>
      </c>
      <c r="BH554" s="585"/>
      <c r="BI554" s="585"/>
      <c r="BJ554" s="585"/>
      <c r="BK554" s="585"/>
      <c r="BL554" s="586"/>
      <c r="BM554" s="585"/>
      <c r="BN554" s="585"/>
      <c r="BO554" s="585"/>
      <c r="BP554" s="585"/>
      <c r="BQ554" s="586"/>
      <c r="BR554" s="585"/>
      <c r="BS554" s="585"/>
      <c r="BT554" s="585"/>
      <c r="BU554" s="585"/>
      <c r="BV554" s="586"/>
      <c r="BW554" s="585"/>
      <c r="BX554" s="585"/>
      <c r="BY554" s="585"/>
      <c r="BZ554" s="585"/>
      <c r="CA554" s="586"/>
      <c r="CB554" s="585"/>
      <c r="CC554" s="585"/>
      <c r="CD554" s="585"/>
      <c r="CE554" s="585"/>
      <c r="CF554" s="586"/>
      <c r="CG554" s="470"/>
      <c r="CH554" s="470"/>
      <c r="CI554" s="470"/>
      <c r="CJ554" s="470"/>
      <c r="CK554" s="586"/>
      <c r="CL554" s="470"/>
      <c r="CM554" s="470"/>
      <c r="CN554" s="470"/>
      <c r="CO554" s="470"/>
      <c r="CP554" s="586"/>
      <c r="CQ554" s="470"/>
      <c r="CR554" s="470"/>
      <c r="CS554" s="470"/>
      <c r="CT554" s="470"/>
      <c r="CU554" s="586"/>
      <c r="CV554" s="470"/>
      <c r="CW554" s="470"/>
      <c r="CX554" s="470"/>
      <c r="CY554" s="470"/>
      <c r="CZ554" s="586"/>
      <c r="DA554" s="470"/>
      <c r="DB554" s="470"/>
      <c r="DC554" s="470"/>
      <c r="DD554" s="470"/>
      <c r="DE554" s="586"/>
      <c r="DF554" s="470"/>
      <c r="DG554" s="470"/>
      <c r="DH554" s="470"/>
      <c r="DI554" s="914"/>
      <c r="DJ554" s="586"/>
      <c r="DK554" s="470"/>
      <c r="DL554" s="470"/>
      <c r="DM554" s="470"/>
      <c r="DN554" s="470"/>
      <c r="DO554" s="586"/>
      <c r="DP554" s="470"/>
      <c r="DQ554" s="470"/>
      <c r="DR554" s="470"/>
      <c r="DS554" s="470"/>
      <c r="DT554" s="586"/>
      <c r="DU554" s="470"/>
      <c r="DV554" s="470"/>
      <c r="DW554" s="470"/>
      <c r="DX554" s="470"/>
      <c r="DY554" s="586"/>
    </row>
    <row r="555" spans="1:129" hidden="1" outlineLevel="1" x14ac:dyDescent="0.2">
      <c r="A555" s="526"/>
      <c r="B555" s="756" t="s">
        <v>855</v>
      </c>
      <c r="C555" s="597"/>
      <c r="D555" s="597"/>
      <c r="E555" s="597"/>
      <c r="F555" s="597"/>
      <c r="G555" s="597"/>
      <c r="H555" s="597"/>
      <c r="I555" s="849"/>
      <c r="J555" s="597"/>
      <c r="K555" s="597"/>
      <c r="L555" s="597"/>
      <c r="M555" s="597"/>
      <c r="N555" s="849"/>
      <c r="O555" s="597"/>
      <c r="P555" s="597"/>
      <c r="Q555" s="597"/>
      <c r="R555" s="597"/>
      <c r="S555" s="849"/>
      <c r="T555" s="743"/>
      <c r="U555" s="743"/>
      <c r="V555" s="743"/>
      <c r="W555" s="743"/>
      <c r="X555" s="849"/>
      <c r="Y555" s="743"/>
      <c r="Z555" s="743"/>
      <c r="AA555" s="743"/>
      <c r="AB555" s="743"/>
      <c r="AC555" s="849"/>
      <c r="AD555" s="743"/>
      <c r="AE555" s="743"/>
      <c r="AF555" s="743"/>
      <c r="AG555" s="743"/>
      <c r="AH555" s="849"/>
      <c r="AI555" s="743"/>
      <c r="AJ555" s="743"/>
      <c r="AK555" s="743"/>
      <c r="AL555" s="743"/>
      <c r="AM555" s="849"/>
      <c r="AN555" s="743"/>
      <c r="AO555" s="743"/>
      <c r="AP555" s="743"/>
      <c r="AQ555" s="743"/>
      <c r="AR555" s="849"/>
      <c r="AS555" s="743"/>
      <c r="AT555" s="743"/>
      <c r="AU555" s="743"/>
      <c r="AV555" s="743"/>
      <c r="AW555" s="849"/>
      <c r="AX555" s="743"/>
      <c r="AY555" s="743"/>
      <c r="AZ555" s="743"/>
      <c r="BA555" s="743"/>
      <c r="BB555" s="849"/>
      <c r="BC555" s="744">
        <v>6.4487136276822787E-2</v>
      </c>
      <c r="BD555" s="744">
        <v>8.5166120729995354E-2</v>
      </c>
      <c r="BE555" s="744">
        <v>0.10037493304767003</v>
      </c>
      <c r="BF555" s="744">
        <v>9.3000296179287179E-2</v>
      </c>
      <c r="BG555" s="745">
        <v>8.6175602091404097E-2</v>
      </c>
      <c r="BH555" s="751"/>
      <c r="BI555" s="597"/>
      <c r="BJ555" s="597"/>
      <c r="BK555" s="597"/>
      <c r="BL555" s="849"/>
      <c r="BM555" s="597"/>
      <c r="BN555" s="597"/>
      <c r="BO555" s="597"/>
      <c r="BP555" s="597"/>
      <c r="BQ555" s="849"/>
      <c r="BR555" s="597"/>
      <c r="BS555" s="597"/>
      <c r="BT555" s="597"/>
      <c r="BU555" s="597"/>
      <c r="BV555" s="849"/>
      <c r="BW555" s="597"/>
      <c r="BX555" s="597"/>
      <c r="BY555" s="597"/>
      <c r="BZ555" s="597"/>
      <c r="CA555" s="849"/>
      <c r="CB555" s="597"/>
      <c r="CC555" s="597"/>
      <c r="CD555" s="597"/>
      <c r="CE555" s="597"/>
      <c r="CF555" s="849"/>
      <c r="CG555" s="682"/>
      <c r="CH555" s="682"/>
      <c r="CI555" s="682"/>
      <c r="CJ555" s="682"/>
      <c r="CK555" s="849"/>
      <c r="CL555" s="682"/>
      <c r="CM555" s="682"/>
      <c r="CN555" s="682"/>
      <c r="CO555" s="682"/>
      <c r="CP555" s="849"/>
      <c r="CQ555" s="682"/>
      <c r="CR555" s="682"/>
      <c r="CS555" s="682"/>
      <c r="CT555" s="682"/>
      <c r="CU555" s="849"/>
      <c r="CV555" s="682"/>
      <c r="CW555" s="682"/>
      <c r="CX555" s="682"/>
      <c r="CY555" s="682"/>
      <c r="CZ555" s="849"/>
      <c r="DA555" s="682"/>
      <c r="DB555" s="682"/>
      <c r="DC555" s="682"/>
      <c r="DD555" s="682"/>
      <c r="DE555" s="849"/>
      <c r="DF555" s="682"/>
      <c r="DG555" s="682"/>
      <c r="DH555" s="682"/>
      <c r="DI555" s="1610"/>
      <c r="DJ555" s="849"/>
      <c r="DK555" s="682"/>
      <c r="DL555" s="682"/>
      <c r="DM555" s="682"/>
      <c r="DN555" s="682"/>
      <c r="DO555" s="849"/>
      <c r="DP555" s="682"/>
      <c r="DQ555" s="682"/>
      <c r="DR555" s="682"/>
      <c r="DS555" s="682"/>
      <c r="DT555" s="849"/>
      <c r="DU555" s="682"/>
      <c r="DV555" s="682"/>
      <c r="DW555" s="682"/>
      <c r="DX555" s="682"/>
      <c r="DY555" s="849"/>
    </row>
    <row r="556" spans="1:129" hidden="1" outlineLevel="1" x14ac:dyDescent="0.2">
      <c r="A556" s="526"/>
      <c r="B556" s="756"/>
      <c r="C556" s="597"/>
      <c r="D556" s="597"/>
      <c r="E556" s="597"/>
      <c r="F556" s="597"/>
      <c r="G556" s="597"/>
      <c r="H556" s="597"/>
      <c r="I556" s="598"/>
      <c r="J556" s="597"/>
      <c r="K556" s="597"/>
      <c r="L556" s="597"/>
      <c r="M556" s="597"/>
      <c r="N556" s="598"/>
      <c r="O556" s="597"/>
      <c r="P556" s="597"/>
      <c r="Q556" s="597"/>
      <c r="R556" s="597"/>
      <c r="S556" s="598"/>
      <c r="T556" s="597"/>
      <c r="U556" s="597"/>
      <c r="V556" s="597"/>
      <c r="W556" s="597"/>
      <c r="X556" s="598"/>
      <c r="Y556" s="597"/>
      <c r="Z556" s="597"/>
      <c r="AA556" s="597"/>
      <c r="AB556" s="597"/>
      <c r="AC556" s="598"/>
      <c r="AD556" s="597"/>
      <c r="AE556" s="597"/>
      <c r="AF556" s="597"/>
      <c r="AG556" s="597"/>
      <c r="AH556" s="598"/>
      <c r="AI556" s="597"/>
      <c r="AJ556" s="597"/>
      <c r="AK556" s="597"/>
      <c r="AL556" s="597"/>
      <c r="AM556" s="598"/>
      <c r="AN556" s="597"/>
      <c r="AO556" s="597"/>
      <c r="AP556" s="597"/>
      <c r="AQ556" s="597"/>
      <c r="AR556" s="598"/>
      <c r="AS556" s="597"/>
      <c r="AT556" s="597"/>
      <c r="AU556" s="597"/>
      <c r="AV556" s="597"/>
      <c r="AW556" s="598"/>
      <c r="AX556" s="597"/>
      <c r="AY556" s="597"/>
      <c r="AZ556" s="597"/>
      <c r="BA556" s="597"/>
      <c r="BB556" s="598"/>
      <c r="BC556" s="597"/>
      <c r="BD556" s="597"/>
      <c r="BE556" s="597"/>
      <c r="BF556" s="597"/>
      <c r="BG556" s="598"/>
      <c r="BH556" s="597"/>
      <c r="BI556" s="597"/>
      <c r="BJ556" s="597"/>
      <c r="BK556" s="597"/>
      <c r="BL556" s="598"/>
      <c r="BM556" s="597"/>
      <c r="BN556" s="597"/>
      <c r="BO556" s="597"/>
      <c r="BP556" s="597"/>
      <c r="BQ556" s="598"/>
      <c r="BR556" s="597"/>
      <c r="BS556" s="597"/>
      <c r="BT556" s="597"/>
      <c r="BU556" s="597"/>
      <c r="BV556" s="598"/>
      <c r="BW556" s="597"/>
      <c r="BX556" s="597"/>
      <c r="BY556" s="597"/>
      <c r="BZ556" s="597"/>
      <c r="CA556" s="598"/>
      <c r="CB556" s="597"/>
      <c r="CC556" s="597"/>
      <c r="CD556" s="597"/>
      <c r="CE556" s="597"/>
      <c r="CF556" s="598"/>
      <c r="CG556" s="682"/>
      <c r="CH556" s="682"/>
      <c r="CI556" s="682"/>
      <c r="CJ556" s="682"/>
      <c r="CK556" s="598"/>
      <c r="CL556" s="682"/>
      <c r="CM556" s="682"/>
      <c r="CN556" s="682"/>
      <c r="CO556" s="682"/>
      <c r="CP556" s="598"/>
      <c r="CQ556" s="682"/>
      <c r="CR556" s="682"/>
      <c r="CS556" s="682"/>
      <c r="CT556" s="682"/>
      <c r="CU556" s="598"/>
      <c r="CV556" s="682"/>
      <c r="CW556" s="682"/>
      <c r="CX556" s="682"/>
      <c r="CY556" s="682"/>
      <c r="CZ556" s="598"/>
      <c r="DA556" s="682"/>
      <c r="DB556" s="682"/>
      <c r="DC556" s="682"/>
      <c r="DD556" s="682"/>
      <c r="DE556" s="598"/>
      <c r="DF556" s="682"/>
      <c r="DG556" s="682"/>
      <c r="DH556" s="682"/>
      <c r="DI556" s="1610"/>
      <c r="DJ556" s="598"/>
      <c r="DK556" s="682"/>
      <c r="DL556" s="682"/>
      <c r="DM556" s="682"/>
      <c r="DN556" s="682"/>
      <c r="DO556" s="598"/>
      <c r="DP556" s="682"/>
      <c r="DQ556" s="682"/>
      <c r="DR556" s="682"/>
      <c r="DS556" s="682"/>
      <c r="DT556" s="598"/>
      <c r="DU556" s="682"/>
      <c r="DV556" s="682"/>
      <c r="DW556" s="682"/>
      <c r="DX556" s="682"/>
      <c r="DY556" s="598"/>
    </row>
    <row r="557" spans="1:129" hidden="1" outlineLevel="1" x14ac:dyDescent="0.2">
      <c r="A557" s="526"/>
      <c r="B557" s="756" t="s">
        <v>919</v>
      </c>
      <c r="C557" s="597"/>
      <c r="D557" s="597"/>
      <c r="E557" s="597"/>
      <c r="F557" s="597"/>
      <c r="G557" s="597"/>
      <c r="H557" s="597"/>
      <c r="I557" s="598"/>
      <c r="J557" s="597"/>
      <c r="K557" s="597"/>
      <c r="L557" s="597"/>
      <c r="M557" s="597"/>
      <c r="N557" s="598"/>
      <c r="O557" s="597"/>
      <c r="P557" s="597"/>
      <c r="Q557" s="597"/>
      <c r="R557" s="597"/>
      <c r="S557" s="598"/>
      <c r="T557" s="597"/>
      <c r="U557" s="597"/>
      <c r="V557" s="597"/>
      <c r="W557" s="597"/>
      <c r="X557" s="598"/>
      <c r="Y557" s="597"/>
      <c r="Z557" s="597"/>
      <c r="AA557" s="597"/>
      <c r="AB557" s="597"/>
      <c r="AC557" s="598"/>
      <c r="AD557" s="597"/>
      <c r="AE557" s="597"/>
      <c r="AF557" s="597"/>
      <c r="AG557" s="597"/>
      <c r="AH557" s="598"/>
      <c r="AI557" s="597"/>
      <c r="AJ557" s="597"/>
      <c r="AK557" s="597"/>
      <c r="AL557" s="597"/>
      <c r="AM557" s="598"/>
      <c r="AN557" s="597"/>
      <c r="AO557" s="597"/>
      <c r="AP557" s="597"/>
      <c r="AQ557" s="597"/>
      <c r="AR557" s="598"/>
      <c r="AS557" s="597"/>
      <c r="AT557" s="597"/>
      <c r="AU557" s="597"/>
      <c r="AV557" s="597"/>
      <c r="AW557" s="598"/>
      <c r="AX557" s="597"/>
      <c r="AY557" s="597"/>
      <c r="AZ557" s="597"/>
      <c r="BA557" s="597"/>
      <c r="BB557" s="598"/>
      <c r="BC557" s="597"/>
      <c r="BD557" s="597"/>
      <c r="BE557" s="597"/>
      <c r="BF557" s="597"/>
      <c r="BG557" s="598"/>
      <c r="BH557" s="597"/>
      <c r="BI557" s="597"/>
      <c r="BJ557" s="597"/>
      <c r="BK557" s="597"/>
      <c r="BL557" s="598"/>
      <c r="BM557" s="597"/>
      <c r="BN557" s="597"/>
      <c r="BO557" s="597"/>
      <c r="BP557" s="597"/>
      <c r="BQ557" s="598"/>
      <c r="BR557" s="597"/>
      <c r="BS557" s="597"/>
      <c r="BT557" s="597"/>
      <c r="BU557" s="597"/>
      <c r="BV557" s="598"/>
      <c r="BW557" s="597"/>
      <c r="BX557" s="597"/>
      <c r="BY557" s="597"/>
      <c r="BZ557" s="597"/>
      <c r="CA557" s="598"/>
      <c r="CB557" s="597"/>
      <c r="CC557" s="597"/>
      <c r="CD557" s="597"/>
      <c r="CE557" s="597"/>
      <c r="CF557" s="598"/>
      <c r="CG557" s="682"/>
      <c r="CH557" s="682"/>
      <c r="CI557" s="682"/>
      <c r="CJ557" s="682"/>
      <c r="CK557" s="598"/>
      <c r="CL557" s="682"/>
      <c r="CM557" s="682"/>
      <c r="CN557" s="682"/>
      <c r="CO557" s="682"/>
      <c r="CP557" s="598"/>
      <c r="CQ557" s="682"/>
      <c r="CR557" s="682"/>
      <c r="CS557" s="682"/>
      <c r="CT557" s="682"/>
      <c r="CU557" s="598"/>
      <c r="CV557" s="682"/>
      <c r="CW557" s="682"/>
      <c r="CX557" s="682"/>
      <c r="CY557" s="682"/>
      <c r="CZ557" s="598"/>
      <c r="DA557" s="682"/>
      <c r="DB557" s="682"/>
      <c r="DC557" s="682"/>
      <c r="DD557" s="682"/>
      <c r="DE557" s="598"/>
      <c r="DF557" s="682"/>
      <c r="DG557" s="682"/>
      <c r="DH557" s="682"/>
      <c r="DI557" s="1610"/>
      <c r="DJ557" s="598"/>
      <c r="DK557" s="682"/>
      <c r="DL557" s="682"/>
      <c r="DM557" s="682"/>
      <c r="DN557" s="682"/>
      <c r="DO557" s="598"/>
      <c r="DP557" s="682"/>
      <c r="DQ557" s="682"/>
      <c r="DR557" s="682"/>
      <c r="DS557" s="682"/>
      <c r="DT557" s="598"/>
      <c r="DU557" s="682"/>
      <c r="DV557" s="682"/>
      <c r="DW557" s="682"/>
      <c r="DX557" s="682"/>
      <c r="DY557" s="598"/>
    </row>
    <row r="558" spans="1:129" hidden="1" outlineLevel="1" x14ac:dyDescent="0.2">
      <c r="A558" s="466"/>
      <c r="B558" s="607" t="s">
        <v>780</v>
      </c>
      <c r="C558" s="585"/>
      <c r="D558" s="585"/>
      <c r="E558" s="585"/>
      <c r="F558" s="585"/>
      <c r="G558" s="585"/>
      <c r="H558" s="585"/>
      <c r="I558" s="586"/>
      <c r="J558" s="585"/>
      <c r="K558" s="585"/>
      <c r="L558" s="585"/>
      <c r="M558" s="585"/>
      <c r="N558" s="586"/>
      <c r="O558" s="585"/>
      <c r="P558" s="585"/>
      <c r="Q558" s="585"/>
      <c r="R558" s="585"/>
      <c r="S558" s="586"/>
      <c r="T558" s="585"/>
      <c r="U558" s="585"/>
      <c r="V558" s="585"/>
      <c r="W558" s="585"/>
      <c r="X558" s="586"/>
      <c r="Y558" s="585"/>
      <c r="Z558" s="585"/>
      <c r="AA558" s="585"/>
      <c r="AB558" s="585"/>
      <c r="AC558" s="586"/>
      <c r="AD558" s="585"/>
      <c r="AE558" s="585"/>
      <c r="AF558" s="585"/>
      <c r="AG558" s="585"/>
      <c r="AH558" s="586"/>
      <c r="AI558" s="585"/>
      <c r="AJ558" s="585"/>
      <c r="AK558" s="585"/>
      <c r="AL558" s="585"/>
      <c r="AM558" s="586"/>
      <c r="AN558" s="585"/>
      <c r="AO558" s="585"/>
      <c r="AP558" s="585"/>
      <c r="AQ558" s="585"/>
      <c r="AR558" s="586"/>
      <c r="AS558" s="585"/>
      <c r="AT558" s="585"/>
      <c r="AU558" s="585"/>
      <c r="AV558" s="585"/>
      <c r="AW558" s="586"/>
      <c r="AX558" s="585"/>
      <c r="AY558" s="585"/>
      <c r="AZ558" s="585"/>
      <c r="BA558" s="585"/>
      <c r="BB558" s="586"/>
      <c r="BC558" s="592">
        <v>3.1440000000000055</v>
      </c>
      <c r="BD558" s="592">
        <v>3.1010000000000009</v>
      </c>
      <c r="BE558" s="592">
        <v>3.5809999999999995</v>
      </c>
      <c r="BF558" s="592">
        <v>3.7820000000000018</v>
      </c>
      <c r="BG558" s="754">
        <v>13.608000000000008</v>
      </c>
      <c r="BH558" s="585"/>
      <c r="BI558" s="585"/>
      <c r="BJ558" s="585"/>
      <c r="BK558" s="585"/>
      <c r="BL558" s="586"/>
      <c r="BM558" s="585"/>
      <c r="BN558" s="585"/>
      <c r="BO558" s="585"/>
      <c r="BP558" s="585"/>
      <c r="BQ558" s="586"/>
      <c r="BR558" s="585"/>
      <c r="BS558" s="585"/>
      <c r="BT558" s="585"/>
      <c r="BU558" s="585"/>
      <c r="BV558" s="586"/>
      <c r="BW558" s="585"/>
      <c r="BX558" s="585"/>
      <c r="BY558" s="585"/>
      <c r="BZ558" s="585"/>
      <c r="CA558" s="586"/>
      <c r="CB558" s="585"/>
      <c r="CC558" s="585"/>
      <c r="CD558" s="585"/>
      <c r="CE558" s="585"/>
      <c r="CF558" s="586"/>
      <c r="CG558" s="470"/>
      <c r="CH558" s="470"/>
      <c r="CI558" s="470"/>
      <c r="CJ558" s="470"/>
      <c r="CK558" s="586"/>
      <c r="CL558" s="470"/>
      <c r="CM558" s="470"/>
      <c r="CN558" s="470"/>
      <c r="CO558" s="470"/>
      <c r="CP558" s="586"/>
      <c r="CQ558" s="470"/>
      <c r="CR558" s="470"/>
      <c r="CS558" s="470"/>
      <c r="CT558" s="470"/>
      <c r="CU558" s="586"/>
      <c r="CV558" s="470"/>
      <c r="CW558" s="470"/>
      <c r="CX558" s="470"/>
      <c r="CY558" s="470"/>
      <c r="CZ558" s="586"/>
      <c r="DA558" s="470"/>
      <c r="DB558" s="470"/>
      <c r="DC558" s="470"/>
      <c r="DD558" s="470"/>
      <c r="DE558" s="586"/>
      <c r="DF558" s="470"/>
      <c r="DG558" s="470"/>
      <c r="DH558" s="470"/>
      <c r="DI558" s="914"/>
      <c r="DJ558" s="586"/>
      <c r="DK558" s="470"/>
      <c r="DL558" s="470"/>
      <c r="DM558" s="470"/>
      <c r="DN558" s="470"/>
      <c r="DO558" s="586"/>
      <c r="DP558" s="470"/>
      <c r="DQ558" s="470"/>
      <c r="DR558" s="470"/>
      <c r="DS558" s="470"/>
      <c r="DT558" s="586"/>
      <c r="DU558" s="470"/>
      <c r="DV558" s="470"/>
      <c r="DW558" s="470"/>
      <c r="DX558" s="470"/>
      <c r="DY558" s="586"/>
    </row>
    <row r="559" spans="1:129" hidden="1" outlineLevel="1" x14ac:dyDescent="0.2">
      <c r="A559" s="466"/>
      <c r="B559" s="607" t="s">
        <v>240</v>
      </c>
      <c r="C559" s="585"/>
      <c r="D559" s="585"/>
      <c r="E559" s="585"/>
      <c r="F559" s="585"/>
      <c r="G559" s="585"/>
      <c r="H559" s="585"/>
      <c r="I559" s="586"/>
      <c r="J559" s="585"/>
      <c r="K559" s="585"/>
      <c r="L559" s="585"/>
      <c r="M559" s="585"/>
      <c r="N559" s="586"/>
      <c r="O559" s="585"/>
      <c r="P559" s="585"/>
      <c r="Q559" s="585"/>
      <c r="R559" s="585"/>
      <c r="S559" s="586"/>
      <c r="T559" s="585"/>
      <c r="U559" s="585"/>
      <c r="V559" s="585"/>
      <c r="W559" s="585"/>
      <c r="X559" s="586"/>
      <c r="Y559" s="585"/>
      <c r="Z559" s="585"/>
      <c r="AA559" s="585"/>
      <c r="AB559" s="585"/>
      <c r="AC559" s="586"/>
      <c r="AD559" s="585"/>
      <c r="AE559" s="585"/>
      <c r="AF559" s="585"/>
      <c r="AG559" s="585"/>
      <c r="AH559" s="586"/>
      <c r="AI559" s="585"/>
      <c r="AJ559" s="585"/>
      <c r="AK559" s="585"/>
      <c r="AL559" s="585"/>
      <c r="AM559" s="586"/>
      <c r="AN559" s="585"/>
      <c r="AO559" s="585"/>
      <c r="AP559" s="585"/>
      <c r="AQ559" s="585"/>
      <c r="AR559" s="586"/>
      <c r="AS559" s="585"/>
      <c r="AT559" s="585"/>
      <c r="AU559" s="585"/>
      <c r="AV559" s="585"/>
      <c r="AW559" s="586"/>
      <c r="AX559" s="585"/>
      <c r="AY559" s="585"/>
      <c r="AZ559" s="585"/>
      <c r="BA559" s="585"/>
      <c r="BB559" s="586"/>
      <c r="BC559" s="592">
        <v>15.57000000000005</v>
      </c>
      <c r="BD559" s="592">
        <v>18.210999999999999</v>
      </c>
      <c r="BE559" s="592">
        <v>19.028000000000006</v>
      </c>
      <c r="BF559" s="592">
        <v>22.976000000000013</v>
      </c>
      <c r="BG559" s="754">
        <v>75.785000000000068</v>
      </c>
      <c r="BH559" s="585"/>
      <c r="BI559" s="585"/>
      <c r="BJ559" s="585"/>
      <c r="BK559" s="585"/>
      <c r="BL559" s="586"/>
      <c r="BM559" s="585"/>
      <c r="BN559" s="585"/>
      <c r="BO559" s="585"/>
      <c r="BP559" s="585"/>
      <c r="BQ559" s="586"/>
      <c r="BR559" s="585"/>
      <c r="BS559" s="585"/>
      <c r="BT559" s="585"/>
      <c r="BU559" s="585"/>
      <c r="BV559" s="586"/>
      <c r="BW559" s="585"/>
      <c r="BX559" s="585"/>
      <c r="BY559" s="585"/>
      <c r="BZ559" s="585"/>
      <c r="CA559" s="586"/>
      <c r="CB559" s="585"/>
      <c r="CC559" s="585"/>
      <c r="CD559" s="585"/>
      <c r="CE559" s="585"/>
      <c r="CF559" s="586"/>
      <c r="CG559" s="470"/>
      <c r="CH559" s="470"/>
      <c r="CI559" s="470"/>
      <c r="CJ559" s="470"/>
      <c r="CK559" s="586"/>
      <c r="CL559" s="470"/>
      <c r="CM559" s="470"/>
      <c r="CN559" s="470"/>
      <c r="CO559" s="470"/>
      <c r="CP559" s="586"/>
      <c r="CQ559" s="470"/>
      <c r="CR559" s="470"/>
      <c r="CS559" s="470"/>
      <c r="CT559" s="470"/>
      <c r="CU559" s="586"/>
      <c r="CV559" s="470"/>
      <c r="CW559" s="470"/>
      <c r="CX559" s="470"/>
      <c r="CY559" s="470"/>
      <c r="CZ559" s="586"/>
      <c r="DA559" s="470"/>
      <c r="DB559" s="470"/>
      <c r="DC559" s="470"/>
      <c r="DD559" s="470"/>
      <c r="DE559" s="586"/>
      <c r="DF559" s="470"/>
      <c r="DG559" s="470"/>
      <c r="DH559" s="470"/>
      <c r="DI559" s="914"/>
      <c r="DJ559" s="586"/>
      <c r="DK559" s="470"/>
      <c r="DL559" s="470"/>
      <c r="DM559" s="470"/>
      <c r="DN559" s="470"/>
      <c r="DO559" s="586"/>
      <c r="DP559" s="470"/>
      <c r="DQ559" s="470"/>
      <c r="DR559" s="470"/>
      <c r="DS559" s="470"/>
      <c r="DT559" s="586"/>
      <c r="DU559" s="470"/>
      <c r="DV559" s="470"/>
      <c r="DW559" s="470"/>
      <c r="DX559" s="470"/>
      <c r="DY559" s="586"/>
    </row>
    <row r="560" spans="1:129" hidden="1" outlineLevel="1" x14ac:dyDescent="0.2">
      <c r="A560" s="466"/>
      <c r="B560" s="607" t="s">
        <v>882</v>
      </c>
      <c r="C560" s="585"/>
      <c r="D560" s="585"/>
      <c r="E560" s="585"/>
      <c r="F560" s="585"/>
      <c r="G560" s="585"/>
      <c r="H560" s="585"/>
      <c r="I560" s="586"/>
      <c r="J560" s="585"/>
      <c r="K560" s="585"/>
      <c r="L560" s="585"/>
      <c r="M560" s="585"/>
      <c r="N560" s="586"/>
      <c r="O560" s="585"/>
      <c r="P560" s="585"/>
      <c r="Q560" s="585"/>
      <c r="R560" s="585"/>
      <c r="S560" s="586"/>
      <c r="T560" s="585"/>
      <c r="U560" s="585"/>
      <c r="V560" s="585"/>
      <c r="W560" s="585"/>
      <c r="X560" s="586"/>
      <c r="Y560" s="585"/>
      <c r="Z560" s="585"/>
      <c r="AA560" s="585"/>
      <c r="AB560" s="585"/>
      <c r="AC560" s="586"/>
      <c r="AD560" s="585"/>
      <c r="AE560" s="585"/>
      <c r="AF560" s="585"/>
      <c r="AG560" s="585"/>
      <c r="AH560" s="586"/>
      <c r="AI560" s="585"/>
      <c r="AJ560" s="585"/>
      <c r="AK560" s="585"/>
      <c r="AL560" s="585"/>
      <c r="AM560" s="586"/>
      <c r="AN560" s="585"/>
      <c r="AO560" s="585"/>
      <c r="AP560" s="585"/>
      <c r="AQ560" s="585"/>
      <c r="AR560" s="586"/>
      <c r="AS560" s="585"/>
      <c r="AT560" s="585"/>
      <c r="AU560" s="585"/>
      <c r="AV560" s="585"/>
      <c r="AW560" s="586"/>
      <c r="AX560" s="585"/>
      <c r="AY560" s="585"/>
      <c r="AZ560" s="585"/>
      <c r="BA560" s="585"/>
      <c r="BB560" s="586"/>
      <c r="BC560" s="592">
        <v>18.714000000000055</v>
      </c>
      <c r="BD560" s="592">
        <v>21.311999999999998</v>
      </c>
      <c r="BE560" s="592">
        <v>22.609000000000005</v>
      </c>
      <c r="BF560" s="592">
        <v>26.758000000000017</v>
      </c>
      <c r="BG560" s="754">
        <v>89.393000000000072</v>
      </c>
      <c r="BH560" s="585"/>
      <c r="BI560" s="585"/>
      <c r="BJ560" s="585"/>
      <c r="BK560" s="585"/>
      <c r="BL560" s="586"/>
      <c r="BM560" s="585"/>
      <c r="BN560" s="585"/>
      <c r="BO560" s="585"/>
      <c r="BP560" s="585"/>
      <c r="BQ560" s="586"/>
      <c r="BR560" s="585"/>
      <c r="BS560" s="585"/>
      <c r="BT560" s="585"/>
      <c r="BU560" s="585"/>
      <c r="BV560" s="586"/>
      <c r="BW560" s="585"/>
      <c r="BX560" s="585"/>
      <c r="BY560" s="585"/>
      <c r="BZ560" s="585"/>
      <c r="CA560" s="586"/>
      <c r="CB560" s="585"/>
      <c r="CC560" s="585"/>
      <c r="CD560" s="585"/>
      <c r="CE560" s="585"/>
      <c r="CF560" s="586"/>
      <c r="CG560" s="470"/>
      <c r="CH560" s="470"/>
      <c r="CI560" s="470"/>
      <c r="CJ560" s="470"/>
      <c r="CK560" s="586"/>
      <c r="CL560" s="470"/>
      <c r="CM560" s="470"/>
      <c r="CN560" s="470"/>
      <c r="CO560" s="470"/>
      <c r="CP560" s="586"/>
      <c r="CQ560" s="470"/>
      <c r="CR560" s="470"/>
      <c r="CS560" s="470"/>
      <c r="CT560" s="470"/>
      <c r="CU560" s="586"/>
      <c r="CV560" s="470"/>
      <c r="CW560" s="470"/>
      <c r="CX560" s="470"/>
      <c r="CY560" s="470"/>
      <c r="CZ560" s="586"/>
      <c r="DA560" s="470"/>
      <c r="DB560" s="470"/>
      <c r="DC560" s="470"/>
      <c r="DD560" s="470"/>
      <c r="DE560" s="586"/>
      <c r="DF560" s="470"/>
      <c r="DG560" s="470"/>
      <c r="DH560" s="470"/>
      <c r="DI560" s="914"/>
      <c r="DJ560" s="586"/>
      <c r="DK560" s="470"/>
      <c r="DL560" s="470"/>
      <c r="DM560" s="470"/>
      <c r="DN560" s="470"/>
      <c r="DO560" s="586"/>
      <c r="DP560" s="470"/>
      <c r="DQ560" s="470"/>
      <c r="DR560" s="470"/>
      <c r="DS560" s="470"/>
      <c r="DT560" s="586"/>
      <c r="DU560" s="470"/>
      <c r="DV560" s="470"/>
      <c r="DW560" s="470"/>
      <c r="DX560" s="470"/>
      <c r="DY560" s="586"/>
    </row>
    <row r="561" spans="1:129" hidden="1" outlineLevel="1" x14ac:dyDescent="0.2">
      <c r="A561" s="526"/>
      <c r="B561" s="756"/>
      <c r="C561" s="597"/>
      <c r="D561" s="597"/>
      <c r="E561" s="597"/>
      <c r="F561" s="597"/>
      <c r="G561" s="597"/>
      <c r="H561" s="597"/>
      <c r="I561" s="598"/>
      <c r="J561" s="597"/>
      <c r="K561" s="597"/>
      <c r="L561" s="597"/>
      <c r="M561" s="597"/>
      <c r="N561" s="598"/>
      <c r="O561" s="597"/>
      <c r="P561" s="597"/>
      <c r="Q561" s="597"/>
      <c r="R561" s="597"/>
      <c r="S561" s="598"/>
      <c r="T561" s="597"/>
      <c r="U561" s="597"/>
      <c r="V561" s="597"/>
      <c r="W561" s="597"/>
      <c r="X561" s="598"/>
      <c r="Y561" s="597"/>
      <c r="Z561" s="597"/>
      <c r="AA561" s="597"/>
      <c r="AB561" s="597"/>
      <c r="AC561" s="598"/>
      <c r="AD561" s="597"/>
      <c r="AE561" s="597"/>
      <c r="AF561" s="597"/>
      <c r="AG561" s="597"/>
      <c r="AH561" s="598"/>
      <c r="AI561" s="597"/>
      <c r="AJ561" s="597"/>
      <c r="AK561" s="597"/>
      <c r="AL561" s="597"/>
      <c r="AM561" s="598"/>
      <c r="AN561" s="597"/>
      <c r="AO561" s="597"/>
      <c r="AP561" s="597"/>
      <c r="AQ561" s="597"/>
      <c r="AR561" s="598"/>
      <c r="AS561" s="597"/>
      <c r="AT561" s="597"/>
      <c r="AU561" s="597"/>
      <c r="AV561" s="597"/>
      <c r="AW561" s="598"/>
      <c r="AX561" s="597"/>
      <c r="AY561" s="597"/>
      <c r="AZ561" s="597"/>
      <c r="BA561" s="597"/>
      <c r="BB561" s="598"/>
      <c r="BC561" s="597"/>
      <c r="BD561" s="597"/>
      <c r="BE561" s="597"/>
      <c r="BF561" s="597"/>
      <c r="BG561" s="598"/>
      <c r="BH561" s="597"/>
      <c r="BI561" s="597"/>
      <c r="BJ561" s="597"/>
      <c r="BK561" s="597"/>
      <c r="BL561" s="598"/>
      <c r="BM561" s="597"/>
      <c r="BN561" s="597"/>
      <c r="BO561" s="597"/>
      <c r="BP561" s="597"/>
      <c r="BQ561" s="598"/>
      <c r="BR561" s="597"/>
      <c r="BS561" s="597"/>
      <c r="BT561" s="597"/>
      <c r="BU561" s="597"/>
      <c r="BV561" s="598"/>
      <c r="BW561" s="597"/>
      <c r="BX561" s="597"/>
      <c r="BY561" s="597"/>
      <c r="BZ561" s="597"/>
      <c r="CA561" s="598"/>
      <c r="CB561" s="597"/>
      <c r="CC561" s="597"/>
      <c r="CD561" s="597"/>
      <c r="CE561" s="597"/>
      <c r="CF561" s="598"/>
      <c r="CG561" s="682"/>
      <c r="CH561" s="682"/>
      <c r="CI561" s="682"/>
      <c r="CJ561" s="682"/>
      <c r="CK561" s="598"/>
      <c r="CL561" s="682"/>
      <c r="CM561" s="682"/>
      <c r="CN561" s="682"/>
      <c r="CO561" s="682"/>
      <c r="CP561" s="598"/>
      <c r="CQ561" s="682"/>
      <c r="CR561" s="682"/>
      <c r="CS561" s="682"/>
      <c r="CT561" s="682"/>
      <c r="CU561" s="598"/>
      <c r="CV561" s="682"/>
      <c r="CW561" s="682"/>
      <c r="CX561" s="682"/>
      <c r="CY561" s="682"/>
      <c r="CZ561" s="598"/>
      <c r="DA561" s="682"/>
      <c r="DB561" s="682"/>
      <c r="DC561" s="682"/>
      <c r="DD561" s="682"/>
      <c r="DE561" s="598"/>
      <c r="DF561" s="682"/>
      <c r="DG561" s="682"/>
      <c r="DH561" s="682"/>
      <c r="DI561" s="1610"/>
      <c r="DJ561" s="598"/>
      <c r="DK561" s="682"/>
      <c r="DL561" s="682"/>
      <c r="DM561" s="682"/>
      <c r="DN561" s="682"/>
      <c r="DO561" s="598"/>
      <c r="DP561" s="682"/>
      <c r="DQ561" s="682"/>
      <c r="DR561" s="682"/>
      <c r="DS561" s="682"/>
      <c r="DT561" s="598"/>
      <c r="DU561" s="682"/>
      <c r="DV561" s="682"/>
      <c r="DW561" s="682"/>
      <c r="DX561" s="682"/>
      <c r="DY561" s="598"/>
    </row>
    <row r="562" spans="1:129" hidden="1" outlineLevel="1" x14ac:dyDescent="0.2">
      <c r="A562" s="526"/>
      <c r="B562" s="756" t="s">
        <v>883</v>
      </c>
      <c r="C562" s="597"/>
      <c r="D562" s="597"/>
      <c r="E562" s="597"/>
      <c r="F562" s="597"/>
      <c r="G562" s="597"/>
      <c r="H562" s="597"/>
      <c r="I562" s="598"/>
      <c r="J562" s="597"/>
      <c r="K562" s="597"/>
      <c r="L562" s="597"/>
      <c r="M562" s="597"/>
      <c r="N562" s="598"/>
      <c r="O562" s="597"/>
      <c r="P562" s="597"/>
      <c r="Q562" s="597"/>
      <c r="R562" s="597"/>
      <c r="S562" s="598"/>
      <c r="T562" s="597"/>
      <c r="U562" s="597"/>
      <c r="V562" s="597"/>
      <c r="W562" s="597"/>
      <c r="X562" s="598"/>
      <c r="Y562" s="597"/>
      <c r="Z562" s="597"/>
      <c r="AA562" s="597"/>
      <c r="AB562" s="597"/>
      <c r="AC562" s="598"/>
      <c r="AD562" s="597"/>
      <c r="AE562" s="597"/>
      <c r="AF562" s="597"/>
      <c r="AG562" s="597"/>
      <c r="AH562" s="598"/>
      <c r="AI562" s="597"/>
      <c r="AJ562" s="597"/>
      <c r="AK562" s="597"/>
      <c r="AL562" s="597"/>
      <c r="AM562" s="598"/>
      <c r="AN562" s="597"/>
      <c r="AO562" s="597"/>
      <c r="AP562" s="597"/>
      <c r="AQ562" s="597"/>
      <c r="AR562" s="598"/>
      <c r="AS562" s="597"/>
      <c r="AT562" s="597"/>
      <c r="AU562" s="597"/>
      <c r="AV562" s="597"/>
      <c r="AW562" s="598"/>
      <c r="AX562" s="597"/>
      <c r="AY562" s="597"/>
      <c r="AZ562" s="597"/>
      <c r="BA562" s="597"/>
      <c r="BB562" s="598"/>
      <c r="BC562" s="968">
        <v>25.002000000000066</v>
      </c>
      <c r="BD562" s="968">
        <v>27.514000000000003</v>
      </c>
      <c r="BE562" s="968">
        <v>27.489000000000004</v>
      </c>
      <c r="BF562" s="968">
        <v>28.621999999999986</v>
      </c>
      <c r="BG562" s="598"/>
      <c r="BH562" s="968">
        <v>27.7</v>
      </c>
      <c r="BI562" s="597"/>
      <c r="BJ562" s="597"/>
      <c r="BK562" s="597"/>
      <c r="BL562" s="598"/>
      <c r="BM562" s="597"/>
      <c r="BN562" s="597"/>
      <c r="BO562" s="597"/>
      <c r="BP562" s="597"/>
      <c r="BQ562" s="598"/>
      <c r="BR562" s="597"/>
      <c r="BS562" s="597"/>
      <c r="BT562" s="597"/>
      <c r="BU562" s="597"/>
      <c r="BV562" s="598"/>
      <c r="BW562" s="597"/>
      <c r="BX562" s="597"/>
      <c r="BY562" s="597"/>
      <c r="BZ562" s="597"/>
      <c r="CA562" s="598"/>
      <c r="CB562" s="597"/>
      <c r="CC562" s="597"/>
      <c r="CD562" s="597"/>
      <c r="CE562" s="597"/>
      <c r="CF562" s="598"/>
      <c r="CG562" s="682"/>
      <c r="CH562" s="682"/>
      <c r="CI562" s="682"/>
      <c r="CJ562" s="682"/>
      <c r="CK562" s="598"/>
      <c r="CL562" s="682"/>
      <c r="CM562" s="682"/>
      <c r="CN562" s="682"/>
      <c r="CO562" s="682"/>
      <c r="CP562" s="598"/>
      <c r="CQ562" s="682"/>
      <c r="CR562" s="682"/>
      <c r="CS562" s="682"/>
      <c r="CT562" s="682"/>
      <c r="CU562" s="598"/>
      <c r="CV562" s="682"/>
      <c r="CW562" s="682"/>
      <c r="CX562" s="682"/>
      <c r="CY562" s="682"/>
      <c r="CZ562" s="598"/>
      <c r="DA562" s="682"/>
      <c r="DB562" s="682"/>
      <c r="DC562" s="682"/>
      <c r="DD562" s="682"/>
      <c r="DE562" s="598"/>
      <c r="DF562" s="682"/>
      <c r="DG562" s="682"/>
      <c r="DH562" s="682"/>
      <c r="DI562" s="1610"/>
      <c r="DJ562" s="598"/>
      <c r="DK562" s="682"/>
      <c r="DL562" s="682"/>
      <c r="DM562" s="682"/>
      <c r="DN562" s="682"/>
      <c r="DO562" s="598"/>
      <c r="DP562" s="682"/>
      <c r="DQ562" s="682"/>
      <c r="DR562" s="682"/>
      <c r="DS562" s="682"/>
      <c r="DT562" s="598"/>
      <c r="DU562" s="682"/>
      <c r="DV562" s="682"/>
      <c r="DW562" s="682"/>
      <c r="DX562" s="682"/>
      <c r="DY562" s="598"/>
    </row>
    <row r="563" spans="1:129" hidden="1" outlineLevel="1" x14ac:dyDescent="0.2">
      <c r="A563" s="526"/>
      <c r="B563" s="756"/>
      <c r="C563" s="597"/>
      <c r="D563" s="597"/>
      <c r="E563" s="597"/>
      <c r="F563" s="597"/>
      <c r="G563" s="597"/>
      <c r="H563" s="597"/>
      <c r="I563" s="598"/>
      <c r="J563" s="597"/>
      <c r="K563" s="597"/>
      <c r="L563" s="597"/>
      <c r="M563" s="597"/>
      <c r="N563" s="598"/>
      <c r="O563" s="597"/>
      <c r="P563" s="597"/>
      <c r="Q563" s="597"/>
      <c r="R563" s="597"/>
      <c r="S563" s="598"/>
      <c r="T563" s="597"/>
      <c r="U563" s="597"/>
      <c r="V563" s="597"/>
      <c r="W563" s="597"/>
      <c r="X563" s="598"/>
      <c r="Y563" s="597"/>
      <c r="Z563" s="597"/>
      <c r="AA563" s="597"/>
      <c r="AB563" s="597"/>
      <c r="AC563" s="598"/>
      <c r="AD563" s="597"/>
      <c r="AE563" s="597"/>
      <c r="AF563" s="597"/>
      <c r="AG563" s="597"/>
      <c r="AH563" s="598"/>
      <c r="AI563" s="597"/>
      <c r="AJ563" s="597"/>
      <c r="AK563" s="597"/>
      <c r="AL563" s="597"/>
      <c r="AM563" s="598"/>
      <c r="AN563" s="597"/>
      <c r="AO563" s="597"/>
      <c r="AP563" s="597"/>
      <c r="AQ563" s="597"/>
      <c r="AR563" s="598"/>
      <c r="AS563" s="597"/>
      <c r="AT563" s="597"/>
      <c r="AU563" s="597"/>
      <c r="AV563" s="597"/>
      <c r="AW563" s="598"/>
      <c r="AX563" s="597"/>
      <c r="AY563" s="597"/>
      <c r="AZ563" s="597"/>
      <c r="BA563" s="597"/>
      <c r="BB563" s="598"/>
      <c r="BC563" s="597"/>
      <c r="BD563" s="597"/>
      <c r="BE563" s="597"/>
      <c r="BF563" s="597"/>
      <c r="BG563" s="598"/>
      <c r="BH563" s="597"/>
      <c r="BI563" s="597"/>
      <c r="BJ563" s="597"/>
      <c r="BK563" s="597"/>
      <c r="BL563" s="598"/>
      <c r="BM563" s="597"/>
      <c r="BN563" s="597"/>
      <c r="BO563" s="597"/>
      <c r="BP563" s="597"/>
      <c r="BQ563" s="598"/>
      <c r="BR563" s="597"/>
      <c r="BS563" s="597"/>
      <c r="BT563" s="597"/>
      <c r="BU563" s="597"/>
      <c r="BV563" s="598"/>
      <c r="BW563" s="597"/>
      <c r="BX563" s="597"/>
      <c r="BY563" s="597"/>
      <c r="BZ563" s="597"/>
      <c r="CA563" s="598"/>
      <c r="CB563" s="597"/>
      <c r="CC563" s="597"/>
      <c r="CD563" s="597"/>
      <c r="CE563" s="597"/>
      <c r="CF563" s="598"/>
      <c r="CG563" s="682"/>
      <c r="CH563" s="682"/>
      <c r="CI563" s="682"/>
      <c r="CJ563" s="682"/>
      <c r="CK563" s="598"/>
      <c r="CL563" s="682"/>
      <c r="CM563" s="682"/>
      <c r="CN563" s="682"/>
      <c r="CO563" s="682"/>
      <c r="CP563" s="598"/>
      <c r="CQ563" s="682"/>
      <c r="CR563" s="682"/>
      <c r="CS563" s="682"/>
      <c r="CT563" s="682"/>
      <c r="CU563" s="598"/>
      <c r="CV563" s="682"/>
      <c r="CW563" s="682"/>
      <c r="CX563" s="682"/>
      <c r="CY563" s="682"/>
      <c r="CZ563" s="598"/>
      <c r="DA563" s="682"/>
      <c r="DB563" s="682"/>
      <c r="DC563" s="682"/>
      <c r="DD563" s="682"/>
      <c r="DE563" s="598"/>
      <c r="DF563" s="682"/>
      <c r="DG563" s="682"/>
      <c r="DH563" s="682"/>
      <c r="DI563" s="1610"/>
      <c r="DJ563" s="598"/>
      <c r="DK563" s="682"/>
      <c r="DL563" s="682"/>
      <c r="DM563" s="682"/>
      <c r="DN563" s="682"/>
      <c r="DO563" s="598"/>
      <c r="DP563" s="682"/>
      <c r="DQ563" s="682"/>
      <c r="DR563" s="682"/>
      <c r="DS563" s="682"/>
      <c r="DT563" s="598"/>
      <c r="DU563" s="682"/>
      <c r="DV563" s="682"/>
      <c r="DW563" s="682"/>
      <c r="DX563" s="682"/>
      <c r="DY563" s="598"/>
    </row>
    <row r="564" spans="1:129" hidden="1" outlineLevel="1" x14ac:dyDescent="0.2">
      <c r="A564" s="526"/>
      <c r="B564" s="756" t="s">
        <v>884</v>
      </c>
      <c r="C564" s="597"/>
      <c r="D564" s="597"/>
      <c r="E564" s="597"/>
      <c r="F564" s="597"/>
      <c r="G564" s="597"/>
      <c r="H564" s="597"/>
      <c r="I564" s="598"/>
      <c r="J564" s="597"/>
      <c r="K564" s="597"/>
      <c r="L564" s="597"/>
      <c r="M564" s="597"/>
      <c r="N564" s="598"/>
      <c r="O564" s="597"/>
      <c r="P564" s="597"/>
      <c r="Q564" s="597"/>
      <c r="R564" s="597"/>
      <c r="S564" s="598"/>
      <c r="T564" s="597"/>
      <c r="U564" s="597"/>
      <c r="V564" s="597"/>
      <c r="W564" s="597"/>
      <c r="X564" s="598"/>
      <c r="Y564" s="597"/>
      <c r="Z564" s="597"/>
      <c r="AA564" s="597"/>
      <c r="AB564" s="597"/>
      <c r="AC564" s="598"/>
      <c r="AD564" s="597"/>
      <c r="AE564" s="597"/>
      <c r="AF564" s="597"/>
      <c r="AG564" s="597"/>
      <c r="AH564" s="598"/>
      <c r="AI564" s="597"/>
      <c r="AJ564" s="597"/>
      <c r="AK564" s="597"/>
      <c r="AL564" s="597"/>
      <c r="AM564" s="598"/>
      <c r="AN564" s="597"/>
      <c r="AO564" s="597"/>
      <c r="AP564" s="597"/>
      <c r="AQ564" s="597"/>
      <c r="AR564" s="598"/>
      <c r="AS564" s="597"/>
      <c r="AT564" s="597"/>
      <c r="AU564" s="597"/>
      <c r="AV564" s="597"/>
      <c r="AW564" s="598"/>
      <c r="AX564" s="597"/>
      <c r="AY564" s="597"/>
      <c r="AZ564" s="597"/>
      <c r="BA564" s="597"/>
      <c r="BB564" s="598"/>
      <c r="BC564" s="597"/>
      <c r="BD564" s="597"/>
      <c r="BE564" s="597"/>
      <c r="BF564" s="597"/>
      <c r="BG564" s="598"/>
      <c r="BH564" s="597"/>
      <c r="BI564" s="597"/>
      <c r="BJ564" s="597"/>
      <c r="BK564" s="597"/>
      <c r="BL564" s="598"/>
      <c r="BM564" s="597"/>
      <c r="BN564" s="597"/>
      <c r="BO564" s="597"/>
      <c r="BP564" s="597"/>
      <c r="BQ564" s="598"/>
      <c r="BR564" s="597"/>
      <c r="BS564" s="597"/>
      <c r="BT564" s="597"/>
      <c r="BU564" s="597"/>
      <c r="BV564" s="598"/>
      <c r="BW564" s="597"/>
      <c r="BX564" s="597"/>
      <c r="BY564" s="597"/>
      <c r="BZ564" s="597"/>
      <c r="CA564" s="598"/>
      <c r="CB564" s="597"/>
      <c r="CC564" s="597"/>
      <c r="CD564" s="597"/>
      <c r="CE564" s="597"/>
      <c r="CF564" s="598"/>
      <c r="CG564" s="682"/>
      <c r="CH564" s="682"/>
      <c r="CI564" s="682"/>
      <c r="CJ564" s="682"/>
      <c r="CK564" s="598"/>
      <c r="CL564" s="682"/>
      <c r="CM564" s="682"/>
      <c r="CN564" s="682"/>
      <c r="CO564" s="682"/>
      <c r="CP564" s="598"/>
      <c r="CQ564" s="682"/>
      <c r="CR564" s="682"/>
      <c r="CS564" s="682"/>
      <c r="CT564" s="682"/>
      <c r="CU564" s="598"/>
      <c r="CV564" s="682"/>
      <c r="CW564" s="682"/>
      <c r="CX564" s="682"/>
      <c r="CY564" s="682"/>
      <c r="CZ564" s="598"/>
      <c r="DA564" s="682"/>
      <c r="DB564" s="682"/>
      <c r="DC564" s="682"/>
      <c r="DD564" s="682"/>
      <c r="DE564" s="598"/>
      <c r="DF564" s="682"/>
      <c r="DG564" s="682"/>
      <c r="DH564" s="682"/>
      <c r="DI564" s="1610"/>
      <c r="DJ564" s="598"/>
      <c r="DK564" s="682"/>
      <c r="DL564" s="682"/>
      <c r="DM564" s="682"/>
      <c r="DN564" s="682"/>
      <c r="DO564" s="598"/>
      <c r="DP564" s="682"/>
      <c r="DQ564" s="682"/>
      <c r="DR564" s="682"/>
      <c r="DS564" s="682"/>
      <c r="DT564" s="598"/>
      <c r="DU564" s="682"/>
      <c r="DV564" s="682"/>
      <c r="DW564" s="682"/>
      <c r="DX564" s="682"/>
      <c r="DY564" s="598"/>
    </row>
    <row r="565" spans="1:129" hidden="1" outlineLevel="1" x14ac:dyDescent="0.2">
      <c r="A565" s="526"/>
      <c r="B565" s="756" t="s">
        <v>885</v>
      </c>
      <c r="C565" s="597"/>
      <c r="D565" s="597"/>
      <c r="E565" s="597"/>
      <c r="F565" s="597"/>
      <c r="G565" s="597"/>
      <c r="H565" s="597"/>
      <c r="I565" s="598"/>
      <c r="J565" s="597"/>
      <c r="K565" s="597"/>
      <c r="L565" s="597"/>
      <c r="M565" s="597"/>
      <c r="N565" s="598"/>
      <c r="O565" s="597"/>
      <c r="P565" s="597"/>
      <c r="Q565" s="597"/>
      <c r="R565" s="597"/>
      <c r="S565" s="598"/>
      <c r="T565" s="597"/>
      <c r="U565" s="597"/>
      <c r="V565" s="597"/>
      <c r="W565" s="597"/>
      <c r="X565" s="598"/>
      <c r="Y565" s="597"/>
      <c r="Z565" s="597"/>
      <c r="AA565" s="597"/>
      <c r="AB565" s="597"/>
      <c r="AC565" s="598"/>
      <c r="AD565" s="597"/>
      <c r="AE565" s="597"/>
      <c r="AF565" s="597"/>
      <c r="AG565" s="597"/>
      <c r="AH565" s="598"/>
      <c r="AI565" s="597"/>
      <c r="AJ565" s="597"/>
      <c r="AK565" s="597"/>
      <c r="AL565" s="597"/>
      <c r="AM565" s="598"/>
      <c r="AN565" s="597"/>
      <c r="AO565" s="597"/>
      <c r="AP565" s="597"/>
      <c r="AQ565" s="597"/>
      <c r="AR565" s="598"/>
      <c r="AS565" s="597"/>
      <c r="AT565" s="597"/>
      <c r="AU565" s="597"/>
      <c r="AV565" s="597"/>
      <c r="AW565" s="598"/>
      <c r="AX565" s="597"/>
      <c r="AY565" s="597"/>
      <c r="AZ565" s="597"/>
      <c r="BA565" s="597"/>
      <c r="BB565" s="598"/>
      <c r="BC565" s="597"/>
      <c r="BD565" s="597"/>
      <c r="BE565" s="597"/>
      <c r="BF565" s="597"/>
      <c r="BG565" s="598"/>
      <c r="BH565" s="597"/>
      <c r="BI565" s="597"/>
      <c r="BJ565" s="597"/>
      <c r="BK565" s="597"/>
      <c r="BL565" s="598"/>
      <c r="BM565" s="597"/>
      <c r="BN565" s="597"/>
      <c r="BO565" s="597"/>
      <c r="BP565" s="597"/>
      <c r="BQ565" s="598"/>
      <c r="BR565" s="597"/>
      <c r="BS565" s="597"/>
      <c r="BT565" s="597"/>
      <c r="BU565" s="597"/>
      <c r="BV565" s="598"/>
      <c r="BW565" s="597"/>
      <c r="BX565" s="597"/>
      <c r="BY565" s="597"/>
      <c r="BZ565" s="597"/>
      <c r="CA565" s="598"/>
      <c r="CB565" s="597"/>
      <c r="CC565" s="597"/>
      <c r="CD565" s="597"/>
      <c r="CE565" s="597"/>
      <c r="CF565" s="598"/>
      <c r="CG565" s="682"/>
      <c r="CH565" s="682"/>
      <c r="CI565" s="682"/>
      <c r="CJ565" s="682"/>
      <c r="CK565" s="598"/>
      <c r="CL565" s="682"/>
      <c r="CM565" s="682"/>
      <c r="CN565" s="682"/>
      <c r="CO565" s="682"/>
      <c r="CP565" s="598"/>
      <c r="CQ565" s="682"/>
      <c r="CR565" s="682"/>
      <c r="CS565" s="682"/>
      <c r="CT565" s="682"/>
      <c r="CU565" s="598"/>
      <c r="CV565" s="682"/>
      <c r="CW565" s="682"/>
      <c r="CX565" s="682"/>
      <c r="CY565" s="682"/>
      <c r="CZ565" s="598"/>
      <c r="DA565" s="682"/>
      <c r="DB565" s="682"/>
      <c r="DC565" s="682"/>
      <c r="DD565" s="682"/>
      <c r="DE565" s="598"/>
      <c r="DF565" s="682"/>
      <c r="DG565" s="682"/>
      <c r="DH565" s="682"/>
      <c r="DI565" s="1610"/>
      <c r="DJ565" s="598"/>
      <c r="DK565" s="682"/>
      <c r="DL565" s="682"/>
      <c r="DM565" s="682"/>
      <c r="DN565" s="682"/>
      <c r="DO565" s="598"/>
      <c r="DP565" s="682"/>
      <c r="DQ565" s="682"/>
      <c r="DR565" s="682"/>
      <c r="DS565" s="682"/>
      <c r="DT565" s="598"/>
      <c r="DU565" s="682"/>
      <c r="DV565" s="682"/>
      <c r="DW565" s="682"/>
      <c r="DX565" s="682"/>
      <c r="DY565" s="598"/>
    </row>
    <row r="566" spans="1:129" hidden="1" outlineLevel="1" x14ac:dyDescent="0.2">
      <c r="A566" s="526"/>
      <c r="B566" s="756" t="s">
        <v>886</v>
      </c>
      <c r="C566" s="597"/>
      <c r="D566" s="597"/>
      <c r="E566" s="597"/>
      <c r="F566" s="597"/>
      <c r="G566" s="597"/>
      <c r="H566" s="597"/>
      <c r="I566" s="598"/>
      <c r="J566" s="597"/>
      <c r="K566" s="597"/>
      <c r="L566" s="597"/>
      <c r="M566" s="597"/>
      <c r="N566" s="598"/>
      <c r="O566" s="597"/>
      <c r="P566" s="597"/>
      <c r="Q566" s="597"/>
      <c r="R566" s="597"/>
      <c r="S566" s="598"/>
      <c r="T566" s="597"/>
      <c r="U566" s="597"/>
      <c r="V566" s="597"/>
      <c r="W566" s="597"/>
      <c r="X566" s="598"/>
      <c r="Y566" s="597"/>
      <c r="Z566" s="597"/>
      <c r="AA566" s="597"/>
      <c r="AB566" s="597"/>
      <c r="AC566" s="598"/>
      <c r="AD566" s="597"/>
      <c r="AE566" s="597"/>
      <c r="AF566" s="597"/>
      <c r="AG566" s="597"/>
      <c r="AH566" s="598"/>
      <c r="AI566" s="597"/>
      <c r="AJ566" s="597"/>
      <c r="AK566" s="597"/>
      <c r="AL566" s="597"/>
      <c r="AM566" s="598"/>
      <c r="AN566" s="597"/>
      <c r="AO566" s="597"/>
      <c r="AP566" s="597"/>
      <c r="AQ566" s="597"/>
      <c r="AR566" s="598"/>
      <c r="AS566" s="597"/>
      <c r="AT566" s="597"/>
      <c r="AU566" s="597"/>
      <c r="AV566" s="597"/>
      <c r="AW566" s="598"/>
      <c r="AX566" s="597"/>
      <c r="AY566" s="597"/>
      <c r="AZ566" s="597"/>
      <c r="BA566" s="597"/>
      <c r="BB566" s="598"/>
      <c r="BC566" s="597"/>
      <c r="BD566" s="597"/>
      <c r="BE566" s="597"/>
      <c r="BF566" s="597"/>
      <c r="BG566" s="598"/>
      <c r="BH566" s="597"/>
      <c r="BI566" s="597"/>
      <c r="BJ566" s="597"/>
      <c r="BK566" s="597"/>
      <c r="BL566" s="598"/>
      <c r="BM566" s="597"/>
      <c r="BN566" s="597"/>
      <c r="BO566" s="597"/>
      <c r="BP566" s="597"/>
      <c r="BQ566" s="598"/>
      <c r="BR566" s="597"/>
      <c r="BS566" s="597"/>
      <c r="BT566" s="597"/>
      <c r="BU566" s="597"/>
      <c r="BV566" s="598"/>
      <c r="BW566" s="597"/>
      <c r="BX566" s="597"/>
      <c r="BY566" s="597"/>
      <c r="BZ566" s="597"/>
      <c r="CA566" s="598"/>
      <c r="CB566" s="597"/>
      <c r="CC566" s="597"/>
      <c r="CD566" s="597"/>
      <c r="CE566" s="597"/>
      <c r="CF566" s="598"/>
      <c r="CG566" s="682"/>
      <c r="CH566" s="682"/>
      <c r="CI566" s="682"/>
      <c r="CJ566" s="682"/>
      <c r="CK566" s="598"/>
      <c r="CL566" s="682"/>
      <c r="CM566" s="682"/>
      <c r="CN566" s="682"/>
      <c r="CO566" s="682"/>
      <c r="CP566" s="598"/>
      <c r="CQ566" s="682"/>
      <c r="CR566" s="682"/>
      <c r="CS566" s="682"/>
      <c r="CT566" s="682"/>
      <c r="CU566" s="598"/>
      <c r="CV566" s="682"/>
      <c r="CW566" s="682"/>
      <c r="CX566" s="682"/>
      <c r="CY566" s="682"/>
      <c r="CZ566" s="598"/>
      <c r="DA566" s="682"/>
      <c r="DB566" s="682"/>
      <c r="DC566" s="682"/>
      <c r="DD566" s="682"/>
      <c r="DE566" s="598"/>
      <c r="DF566" s="682"/>
      <c r="DG566" s="682"/>
      <c r="DH566" s="682"/>
      <c r="DI566" s="1610"/>
      <c r="DJ566" s="598"/>
      <c r="DK566" s="682"/>
      <c r="DL566" s="682"/>
      <c r="DM566" s="682"/>
      <c r="DN566" s="682"/>
      <c r="DO566" s="598"/>
      <c r="DP566" s="682"/>
      <c r="DQ566" s="682"/>
      <c r="DR566" s="682"/>
      <c r="DS566" s="682"/>
      <c r="DT566" s="598"/>
      <c r="DU566" s="682"/>
      <c r="DV566" s="682"/>
      <c r="DW566" s="682"/>
      <c r="DX566" s="682"/>
      <c r="DY566" s="598"/>
    </row>
    <row r="567" spans="1:129" hidden="1" outlineLevel="1" x14ac:dyDescent="0.2">
      <c r="A567" s="526"/>
      <c r="B567" s="756"/>
      <c r="C567" s="597"/>
      <c r="D567" s="597"/>
      <c r="E567" s="597"/>
      <c r="F567" s="597"/>
      <c r="G567" s="597"/>
      <c r="H567" s="597"/>
      <c r="I567" s="598"/>
      <c r="J567" s="597"/>
      <c r="K567" s="597"/>
      <c r="L567" s="597"/>
      <c r="M567" s="597"/>
      <c r="N567" s="598"/>
      <c r="O567" s="597"/>
      <c r="P567" s="597"/>
      <c r="Q567" s="597"/>
      <c r="R567" s="597"/>
      <c r="S567" s="598"/>
      <c r="T567" s="597"/>
      <c r="U567" s="597"/>
      <c r="V567" s="597"/>
      <c r="W567" s="597"/>
      <c r="X567" s="598"/>
      <c r="Y567" s="597"/>
      <c r="Z567" s="597"/>
      <c r="AA567" s="597"/>
      <c r="AB567" s="597"/>
      <c r="AC567" s="598"/>
      <c r="AD567" s="597"/>
      <c r="AE567" s="597"/>
      <c r="AF567" s="597"/>
      <c r="AG567" s="597"/>
      <c r="AH567" s="598"/>
      <c r="AI567" s="597"/>
      <c r="AJ567" s="597"/>
      <c r="AK567" s="597"/>
      <c r="AL567" s="597"/>
      <c r="AM567" s="598"/>
      <c r="AN567" s="597"/>
      <c r="AO567" s="597"/>
      <c r="AP567" s="597"/>
      <c r="AQ567" s="597"/>
      <c r="AR567" s="598"/>
      <c r="AS567" s="597"/>
      <c r="AT567" s="597"/>
      <c r="AU567" s="597"/>
      <c r="AV567" s="597"/>
      <c r="AW567" s="598"/>
      <c r="AX567" s="597"/>
      <c r="AY567" s="597"/>
      <c r="AZ567" s="597"/>
      <c r="BA567" s="597"/>
      <c r="BB567" s="598"/>
      <c r="BC567" s="597"/>
      <c r="BD567" s="597"/>
      <c r="BE567" s="597"/>
      <c r="BF567" s="597"/>
      <c r="BG567" s="598"/>
      <c r="BH567" s="597"/>
      <c r="BI567" s="597"/>
      <c r="BJ567" s="597"/>
      <c r="BK567" s="597"/>
      <c r="BL567" s="598"/>
      <c r="BM567" s="597"/>
      <c r="BN567" s="597"/>
      <c r="BO567" s="597"/>
      <c r="BP567" s="597"/>
      <c r="BQ567" s="598"/>
      <c r="BR567" s="597"/>
      <c r="BS567" s="597"/>
      <c r="BT567" s="597"/>
      <c r="BU567" s="597"/>
      <c r="BV567" s="598"/>
      <c r="BW567" s="597"/>
      <c r="BX567" s="597"/>
      <c r="BY567" s="597"/>
      <c r="BZ567" s="597"/>
      <c r="CA567" s="598"/>
      <c r="CB567" s="597"/>
      <c r="CC567" s="597"/>
      <c r="CD567" s="597"/>
      <c r="CE567" s="597"/>
      <c r="CF567" s="598"/>
      <c r="CG567" s="682"/>
      <c r="CH567" s="682"/>
      <c r="CI567" s="682"/>
      <c r="CJ567" s="682"/>
      <c r="CK567" s="598"/>
      <c r="CL567" s="682"/>
      <c r="CM567" s="682"/>
      <c r="CN567" s="682"/>
      <c r="CO567" s="682"/>
      <c r="CP567" s="598"/>
      <c r="CQ567" s="682"/>
      <c r="CR567" s="682"/>
      <c r="CS567" s="682"/>
      <c r="CT567" s="682"/>
      <c r="CU567" s="598"/>
      <c r="CV567" s="682"/>
      <c r="CW567" s="682"/>
      <c r="CX567" s="682"/>
      <c r="CY567" s="682"/>
      <c r="CZ567" s="598"/>
      <c r="DA567" s="682"/>
      <c r="DB567" s="682"/>
      <c r="DC567" s="682"/>
      <c r="DD567" s="682"/>
      <c r="DE567" s="598"/>
      <c r="DF567" s="682"/>
      <c r="DG567" s="682"/>
      <c r="DH567" s="682"/>
      <c r="DI567" s="1610"/>
      <c r="DJ567" s="598"/>
      <c r="DK567" s="682"/>
      <c r="DL567" s="682"/>
      <c r="DM567" s="682"/>
      <c r="DN567" s="682"/>
      <c r="DO567" s="598"/>
      <c r="DP567" s="682"/>
      <c r="DQ567" s="682"/>
      <c r="DR567" s="682"/>
      <c r="DS567" s="682"/>
      <c r="DT567" s="598"/>
      <c r="DU567" s="682"/>
      <c r="DV567" s="682"/>
      <c r="DW567" s="682"/>
      <c r="DX567" s="682"/>
      <c r="DY567" s="598"/>
    </row>
    <row r="568" spans="1:129" ht="12" hidden="1" outlineLevel="1" thickBot="1" x14ac:dyDescent="0.25">
      <c r="A568" s="526"/>
      <c r="B568" s="757" t="s">
        <v>887</v>
      </c>
      <c r="C568" s="758"/>
      <c r="D568" s="758"/>
      <c r="E568" s="758"/>
      <c r="F568" s="758"/>
      <c r="G568" s="758"/>
      <c r="H568" s="758"/>
      <c r="I568" s="759"/>
      <c r="J568" s="758"/>
      <c r="K568" s="758"/>
      <c r="L568" s="758"/>
      <c r="M568" s="758"/>
      <c r="N568" s="759"/>
      <c r="O568" s="758"/>
      <c r="P568" s="758"/>
      <c r="Q568" s="758"/>
      <c r="R568" s="758"/>
      <c r="S568" s="759"/>
      <c r="T568" s="758"/>
      <c r="U568" s="758"/>
      <c r="V568" s="758"/>
      <c r="W568" s="758"/>
      <c r="X568" s="759"/>
      <c r="Y568" s="758"/>
      <c r="Z568" s="758"/>
      <c r="AA568" s="758"/>
      <c r="AB568" s="758"/>
      <c r="AC568" s="759"/>
      <c r="AD568" s="758"/>
      <c r="AE568" s="758"/>
      <c r="AF568" s="758"/>
      <c r="AG568" s="758"/>
      <c r="AH568" s="759"/>
      <c r="AI568" s="758"/>
      <c r="AJ568" s="758"/>
      <c r="AK568" s="758"/>
      <c r="AL568" s="758"/>
      <c r="AM568" s="759"/>
      <c r="AN568" s="758"/>
      <c r="AO568" s="758"/>
      <c r="AP568" s="758"/>
      <c r="AQ568" s="758"/>
      <c r="AR568" s="759"/>
      <c r="AS568" s="758"/>
      <c r="AT568" s="758"/>
      <c r="AU568" s="758"/>
      <c r="AV568" s="758"/>
      <c r="AW568" s="759"/>
      <c r="AX568" s="758"/>
      <c r="AY568" s="758"/>
      <c r="AZ568" s="758"/>
      <c r="BA568" s="758"/>
      <c r="BB568" s="759"/>
      <c r="BC568" s="758"/>
      <c r="BD568" s="758"/>
      <c r="BE568" s="758"/>
      <c r="BF568" s="758"/>
      <c r="BG568" s="759"/>
      <c r="BH568" s="758"/>
      <c r="BI568" s="758"/>
      <c r="BJ568" s="758"/>
      <c r="BK568" s="758"/>
      <c r="BL568" s="759"/>
      <c r="BM568" s="758"/>
      <c r="BN568" s="758"/>
      <c r="BO568" s="758"/>
      <c r="BP568" s="758"/>
      <c r="BQ568" s="759"/>
      <c r="BR568" s="758"/>
      <c r="BS568" s="758"/>
      <c r="BT568" s="758"/>
      <c r="BU568" s="758"/>
      <c r="BV568" s="759"/>
      <c r="BW568" s="758"/>
      <c r="BX568" s="758"/>
      <c r="BY568" s="758"/>
      <c r="BZ568" s="758"/>
      <c r="CA568" s="759"/>
      <c r="CB568" s="758"/>
      <c r="CC568" s="758"/>
      <c r="CD568" s="758"/>
      <c r="CE568" s="758"/>
      <c r="CF568" s="759"/>
      <c r="CG568" s="767"/>
      <c r="CH568" s="767"/>
      <c r="CI568" s="767"/>
      <c r="CJ568" s="767"/>
      <c r="CK568" s="759"/>
      <c r="CL568" s="767"/>
      <c r="CM568" s="767"/>
      <c r="CN568" s="767"/>
      <c r="CO568" s="767"/>
      <c r="CP568" s="759"/>
      <c r="CQ568" s="767"/>
      <c r="CR568" s="767"/>
      <c r="CS568" s="767"/>
      <c r="CT568" s="767"/>
      <c r="CU568" s="759"/>
      <c r="CV568" s="767"/>
      <c r="CW568" s="767"/>
      <c r="CX568" s="767"/>
      <c r="CY568" s="767"/>
      <c r="CZ568" s="759"/>
      <c r="DA568" s="767"/>
      <c r="DB568" s="767"/>
      <c r="DC568" s="767"/>
      <c r="DD568" s="767"/>
      <c r="DE568" s="759"/>
      <c r="DF568" s="767"/>
      <c r="DG568" s="767"/>
      <c r="DH568" s="767"/>
      <c r="DI568" s="2811"/>
      <c r="DJ568" s="759"/>
      <c r="DK568" s="767"/>
      <c r="DL568" s="767"/>
      <c r="DM568" s="767"/>
      <c r="DN568" s="767"/>
      <c r="DO568" s="759"/>
      <c r="DP568" s="767"/>
      <c r="DQ568" s="767"/>
      <c r="DR568" s="767"/>
      <c r="DS568" s="767"/>
      <c r="DT568" s="759"/>
      <c r="DU568" s="767"/>
      <c r="DV568" s="767"/>
      <c r="DW568" s="767"/>
      <c r="DX568" s="767"/>
      <c r="DY568" s="759"/>
    </row>
    <row r="569" spans="1:129" hidden="1" outlineLevel="1" x14ac:dyDescent="0.2">
      <c r="A569" s="682"/>
      <c r="B569" s="682"/>
      <c r="C569" s="682"/>
      <c r="D569" s="682"/>
      <c r="E569" s="682"/>
      <c r="F569" s="682"/>
      <c r="G569" s="682"/>
      <c r="H569" s="682"/>
      <c r="I569" s="682"/>
      <c r="J569" s="682"/>
      <c r="K569" s="682"/>
      <c r="L569" s="682"/>
      <c r="M569" s="682"/>
      <c r="N569" s="682"/>
      <c r="O569" s="682"/>
      <c r="P569" s="682"/>
      <c r="Q569" s="682"/>
      <c r="R569" s="682"/>
      <c r="S569" s="682"/>
      <c r="T569" s="682"/>
      <c r="U569" s="682"/>
      <c r="V569" s="682"/>
      <c r="W569" s="682"/>
      <c r="X569" s="682"/>
      <c r="Y569" s="682"/>
      <c r="Z569" s="682"/>
      <c r="AA569" s="682"/>
      <c r="AB569" s="682"/>
      <c r="AC569" s="682"/>
      <c r="AD569" s="682"/>
      <c r="AE569" s="682"/>
      <c r="AF569" s="682"/>
      <c r="AG569" s="682"/>
      <c r="AH569" s="682"/>
      <c r="AI569" s="682"/>
      <c r="AJ569" s="682"/>
      <c r="AK569" s="682"/>
      <c r="AL569" s="682"/>
      <c r="AM569" s="682"/>
      <c r="AN569" s="682"/>
      <c r="AO569" s="682"/>
      <c r="AP569" s="682"/>
      <c r="AQ569" s="682"/>
      <c r="AR569" s="682"/>
      <c r="AS569" s="682"/>
      <c r="AT569" s="682"/>
      <c r="AU569" s="682"/>
      <c r="AV569" s="682"/>
      <c r="AW569" s="682"/>
      <c r="AX569" s="682"/>
      <c r="AY569" s="682"/>
      <c r="AZ569" s="682"/>
      <c r="BA569" s="682"/>
      <c r="BB569" s="682"/>
      <c r="BC569" s="682"/>
      <c r="BD569" s="682"/>
      <c r="BE569" s="682"/>
      <c r="BF569" s="682"/>
      <c r="BG569" s="682"/>
      <c r="BH569" s="682"/>
      <c r="BI569" s="682"/>
      <c r="BJ569" s="682"/>
      <c r="BK569" s="682"/>
      <c r="BL569" s="682"/>
      <c r="BM569" s="682"/>
      <c r="BN569" s="682"/>
      <c r="BO569" s="682"/>
      <c r="BP569" s="682"/>
      <c r="BQ569" s="682"/>
      <c r="BR569" s="682"/>
      <c r="BS569" s="682"/>
      <c r="BT569" s="682"/>
      <c r="BU569" s="682"/>
      <c r="BV569" s="682"/>
      <c r="BW569" s="682"/>
      <c r="BX569" s="682"/>
      <c r="BY569" s="682"/>
      <c r="BZ569" s="682"/>
      <c r="CA569" s="682"/>
      <c r="CB569" s="682"/>
      <c r="CC569" s="682"/>
      <c r="CD569" s="682"/>
      <c r="CE569" s="682"/>
      <c r="CF569" s="682"/>
      <c r="CG569" s="682"/>
      <c r="CH569" s="682"/>
      <c r="CI569" s="682"/>
      <c r="CJ569" s="682"/>
      <c r="CK569" s="682"/>
      <c r="CL569" s="682"/>
      <c r="CM569" s="682"/>
      <c r="CN569" s="682"/>
      <c r="CO569" s="682"/>
      <c r="CP569" s="682"/>
      <c r="CQ569" s="682"/>
      <c r="CR569" s="682"/>
      <c r="CS569" s="682"/>
      <c r="CT569" s="682"/>
      <c r="CU569" s="682"/>
      <c r="CV569" s="682"/>
      <c r="CW569" s="682"/>
      <c r="CX569" s="682"/>
      <c r="CY569" s="682"/>
      <c r="CZ569" s="682"/>
      <c r="DA569" s="682"/>
      <c r="DB569" s="682"/>
      <c r="DC569" s="682"/>
      <c r="DD569" s="682"/>
      <c r="DE569" s="682"/>
      <c r="DF569" s="682"/>
      <c r="DG569" s="682"/>
      <c r="DH569" s="682"/>
      <c r="DI569" s="1610"/>
      <c r="DJ569" s="682"/>
      <c r="DK569" s="682"/>
      <c r="DL569" s="682"/>
      <c r="DM569" s="682"/>
      <c r="DN569" s="682"/>
      <c r="DO569" s="682"/>
      <c r="DP569" s="682"/>
      <c r="DQ569" s="682"/>
      <c r="DR569" s="682"/>
      <c r="DS569" s="682"/>
      <c r="DT569" s="682"/>
      <c r="DU569" s="682"/>
      <c r="DV569" s="682"/>
      <c r="DW569" s="682"/>
      <c r="DX569" s="682"/>
      <c r="DY569" s="682"/>
    </row>
    <row r="570" spans="1:129" ht="12" hidden="1" outlineLevel="1" thickBot="1" x14ac:dyDescent="0.25">
      <c r="A570" s="682"/>
      <c r="B570" s="682"/>
      <c r="C570" s="682"/>
      <c r="D570" s="682"/>
      <c r="E570" s="682"/>
      <c r="F570" s="682"/>
      <c r="G570" s="682"/>
      <c r="H570" s="682"/>
      <c r="I570" s="682"/>
      <c r="J570" s="682"/>
      <c r="K570" s="682"/>
      <c r="L570" s="682"/>
      <c r="M570" s="682"/>
      <c r="N570" s="682"/>
      <c r="O570" s="682"/>
      <c r="P570" s="682"/>
      <c r="Q570" s="682"/>
      <c r="R570" s="682"/>
      <c r="S570" s="682"/>
      <c r="T570" s="682"/>
      <c r="U570" s="682"/>
      <c r="V570" s="682"/>
      <c r="W570" s="682"/>
      <c r="X570" s="682"/>
      <c r="Y570" s="682"/>
      <c r="Z570" s="682"/>
      <c r="AA570" s="682"/>
      <c r="AB570" s="682"/>
      <c r="AC570" s="682"/>
      <c r="AD570" s="682"/>
      <c r="AE570" s="682"/>
      <c r="AF570" s="682"/>
      <c r="AG570" s="682"/>
      <c r="AH570" s="682"/>
      <c r="AI570" s="682"/>
      <c r="AJ570" s="682"/>
      <c r="AK570" s="682"/>
      <c r="AL570" s="682"/>
      <c r="AM570" s="682"/>
      <c r="AN570" s="682"/>
      <c r="AO570" s="682"/>
      <c r="AP570" s="682"/>
      <c r="AQ570" s="682"/>
      <c r="AR570" s="682"/>
      <c r="AS570" s="682"/>
      <c r="AT570" s="682"/>
      <c r="AU570" s="682"/>
      <c r="AV570" s="682"/>
      <c r="AW570" s="682"/>
      <c r="AX570" s="682"/>
      <c r="AY570" s="682"/>
      <c r="AZ570" s="682"/>
      <c r="BA570" s="682"/>
      <c r="BB570" s="682"/>
      <c r="BC570" s="682"/>
      <c r="BD570" s="682"/>
      <c r="BE570" s="682"/>
      <c r="BF570" s="682"/>
      <c r="BG570" s="682"/>
      <c r="BH570" s="682"/>
      <c r="BI570" s="682"/>
      <c r="BJ570" s="682"/>
      <c r="BK570" s="682"/>
      <c r="BL570" s="682"/>
      <c r="BM570" s="682"/>
      <c r="BN570" s="682"/>
      <c r="BO570" s="682"/>
      <c r="BP570" s="682"/>
      <c r="BQ570" s="682"/>
      <c r="BR570" s="682"/>
      <c r="BS570" s="682"/>
      <c r="BT570" s="682"/>
      <c r="BU570" s="682"/>
      <c r="BV570" s="682"/>
      <c r="BW570" s="682"/>
      <c r="BX570" s="682"/>
      <c r="BY570" s="682"/>
      <c r="BZ570" s="682"/>
      <c r="CA570" s="682"/>
      <c r="CB570" s="682"/>
      <c r="CC570" s="682"/>
      <c r="CD570" s="682"/>
      <c r="CE570" s="682"/>
      <c r="CF570" s="682"/>
      <c r="CG570" s="682"/>
      <c r="CH570" s="682"/>
      <c r="CI570" s="682"/>
      <c r="CJ570" s="682"/>
      <c r="CK570" s="682"/>
      <c r="CL570" s="682"/>
      <c r="CM570" s="682"/>
      <c r="CN570" s="682"/>
      <c r="CO570" s="682"/>
      <c r="CP570" s="682"/>
      <c r="CQ570" s="682"/>
      <c r="CR570" s="682"/>
      <c r="CS570" s="682"/>
      <c r="CT570" s="682"/>
      <c r="CU570" s="682"/>
      <c r="CV570" s="682"/>
      <c r="CW570" s="682"/>
      <c r="CX570" s="682"/>
      <c r="CY570" s="682"/>
      <c r="CZ570" s="682"/>
      <c r="DA570" s="682"/>
      <c r="DB570" s="682"/>
      <c r="DC570" s="682"/>
      <c r="DD570" s="682"/>
      <c r="DE570" s="682"/>
      <c r="DF570" s="682"/>
      <c r="DG570" s="682"/>
      <c r="DH570" s="682"/>
      <c r="DI570" s="1610"/>
      <c r="DJ570" s="682"/>
      <c r="DK570" s="682"/>
      <c r="DL570" s="682"/>
      <c r="DM570" s="682"/>
      <c r="DN570" s="682"/>
      <c r="DO570" s="682"/>
      <c r="DP570" s="682"/>
      <c r="DQ570" s="682"/>
      <c r="DR570" s="682"/>
      <c r="DS570" s="682"/>
      <c r="DT570" s="682"/>
      <c r="DU570" s="682"/>
      <c r="DV570" s="682"/>
      <c r="DW570" s="682"/>
      <c r="DX570" s="682"/>
      <c r="DY570" s="682"/>
    </row>
    <row r="571" spans="1:129" ht="12" collapsed="1" thickBot="1" x14ac:dyDescent="0.25">
      <c r="A571" s="526"/>
      <c r="B571" s="685" t="s">
        <v>920</v>
      </c>
      <c r="C571" s="686"/>
      <c r="D571" s="686"/>
      <c r="E571" s="686"/>
      <c r="F571" s="686"/>
      <c r="G571" s="686"/>
      <c r="H571" s="686"/>
      <c r="I571" s="687"/>
      <c r="J571" s="686"/>
      <c r="K571" s="686"/>
      <c r="L571" s="686"/>
      <c r="M571" s="686"/>
      <c r="N571" s="687"/>
      <c r="O571" s="686"/>
      <c r="P571" s="686"/>
      <c r="Q571" s="686"/>
      <c r="R571" s="686"/>
      <c r="S571" s="687"/>
      <c r="T571" s="686"/>
      <c r="U571" s="686"/>
      <c r="V571" s="686"/>
      <c r="W571" s="686"/>
      <c r="X571" s="687"/>
      <c r="Y571" s="686"/>
      <c r="Z571" s="686"/>
      <c r="AA571" s="686"/>
      <c r="AB571" s="686"/>
      <c r="AC571" s="687"/>
      <c r="AD571" s="686"/>
      <c r="AE571" s="686"/>
      <c r="AF571" s="686"/>
      <c r="AG571" s="686"/>
      <c r="AH571" s="687"/>
      <c r="AI571" s="686"/>
      <c r="AJ571" s="686"/>
      <c r="AK571" s="686"/>
      <c r="AL571" s="686"/>
      <c r="AM571" s="687"/>
      <c r="AN571" s="686"/>
      <c r="AO571" s="686"/>
      <c r="AP571" s="686"/>
      <c r="AQ571" s="686"/>
      <c r="AR571" s="687"/>
      <c r="AS571" s="686"/>
      <c r="AT571" s="686"/>
      <c r="AU571" s="686"/>
      <c r="AV571" s="686"/>
      <c r="AW571" s="687"/>
      <c r="AX571" s="686"/>
      <c r="AY571" s="686"/>
      <c r="AZ571" s="686"/>
      <c r="BA571" s="686"/>
      <c r="BB571" s="687"/>
      <c r="BC571" s="686"/>
      <c r="BD571" s="686"/>
      <c r="BE571" s="686"/>
      <c r="BF571" s="686"/>
      <c r="BG571" s="687"/>
      <c r="BH571" s="686"/>
      <c r="BI571" s="686"/>
      <c r="BJ571" s="686"/>
      <c r="BK571" s="686"/>
      <c r="BL571" s="687"/>
      <c r="BM571" s="686"/>
      <c r="BN571" s="686"/>
      <c r="BO571" s="686"/>
      <c r="BP571" s="686"/>
      <c r="BQ571" s="687"/>
      <c r="BR571" s="686"/>
      <c r="BS571" s="686"/>
      <c r="BT571" s="686"/>
      <c r="BU571" s="686"/>
      <c r="BV571" s="687"/>
      <c r="BW571" s="686"/>
      <c r="BX571" s="686"/>
      <c r="BY571" s="686"/>
      <c r="BZ571" s="686"/>
      <c r="CA571" s="687"/>
      <c r="CB571" s="686"/>
      <c r="CC571" s="686"/>
      <c r="CD571" s="686"/>
      <c r="CE571" s="686"/>
      <c r="CF571" s="687"/>
      <c r="CG571" s="686"/>
      <c r="CH571" s="686"/>
      <c r="CI571" s="686"/>
      <c r="CJ571" s="686"/>
      <c r="CK571" s="687"/>
      <c r="CL571" s="686"/>
      <c r="CM571" s="686"/>
      <c r="CN571" s="686"/>
      <c r="CO571" s="686"/>
      <c r="CP571" s="687"/>
      <c r="CQ571" s="686"/>
      <c r="CR571" s="686"/>
      <c r="CS571" s="686"/>
      <c r="CT571" s="686"/>
      <c r="CU571" s="687"/>
      <c r="CV571" s="686"/>
      <c r="CW571" s="686"/>
      <c r="CX571" s="686"/>
      <c r="CY571" s="686"/>
      <c r="CZ571" s="687"/>
      <c r="DA571" s="686"/>
      <c r="DB571" s="686"/>
      <c r="DC571" s="686"/>
      <c r="DD571" s="686"/>
      <c r="DE571" s="687"/>
      <c r="DF571" s="686"/>
      <c r="DG571" s="686"/>
      <c r="DH571" s="686"/>
      <c r="DI571" s="2803"/>
      <c r="DJ571" s="687"/>
      <c r="DK571" s="686"/>
      <c r="DL571" s="686"/>
      <c r="DM571" s="686"/>
      <c r="DN571" s="686"/>
      <c r="DO571" s="687"/>
      <c r="DP571" s="686"/>
      <c r="DQ571" s="686"/>
      <c r="DR571" s="686"/>
      <c r="DS571" s="686"/>
      <c r="DT571" s="687"/>
      <c r="DU571" s="686"/>
      <c r="DV571" s="686"/>
      <c r="DW571" s="686"/>
      <c r="DX571" s="686"/>
      <c r="DY571" s="687"/>
    </row>
    <row r="572" spans="1:129" hidden="1" outlineLevel="1" x14ac:dyDescent="0.2">
      <c r="A572" s="466"/>
      <c r="B572" s="997"/>
      <c r="C572" s="998"/>
      <c r="D572" s="585"/>
      <c r="E572" s="585"/>
      <c r="F572" s="585"/>
      <c r="G572" s="585"/>
      <c r="H572" s="585"/>
      <c r="I572" s="586"/>
      <c r="J572" s="585"/>
      <c r="K572" s="585"/>
      <c r="L572" s="585"/>
      <c r="M572" s="585"/>
      <c r="N572" s="586"/>
      <c r="O572" s="585"/>
      <c r="P572" s="585"/>
      <c r="Q572" s="585"/>
      <c r="R572" s="585"/>
      <c r="S572" s="586"/>
      <c r="T572" s="585"/>
      <c r="U572" s="585"/>
      <c r="V572" s="585"/>
      <c r="W572" s="585"/>
      <c r="X572" s="586"/>
      <c r="Y572" s="585"/>
      <c r="Z572" s="585"/>
      <c r="AA572" s="585"/>
      <c r="AB572" s="585"/>
      <c r="AC572" s="586"/>
      <c r="AD572" s="585"/>
      <c r="AE572" s="585"/>
      <c r="AF572" s="585"/>
      <c r="AG572" s="585"/>
      <c r="AH572" s="754">
        <v>533.9</v>
      </c>
      <c r="AI572" s="585"/>
      <c r="AJ572" s="585"/>
      <c r="AK572" s="585"/>
      <c r="AL572" s="585"/>
      <c r="AM572" s="754">
        <v>933.2</v>
      </c>
      <c r="AN572" s="585"/>
      <c r="AO572" s="585"/>
      <c r="AP572" s="585"/>
      <c r="AQ572" s="585"/>
      <c r="AR572" s="754">
        <v>1400</v>
      </c>
      <c r="AS572" s="585"/>
      <c r="AT572" s="585"/>
      <c r="AU572" s="585"/>
      <c r="AV572" s="585"/>
      <c r="AW572" s="586"/>
      <c r="AX572" s="585"/>
      <c r="AY572" s="585"/>
      <c r="AZ572" s="585"/>
      <c r="BA572" s="585"/>
      <c r="BB572" s="586"/>
      <c r="BC572" s="585"/>
      <c r="BD572" s="585"/>
      <c r="BE572" s="585"/>
      <c r="BF572" s="585"/>
      <c r="BG572" s="586"/>
      <c r="BH572" s="585"/>
      <c r="BI572" s="585"/>
      <c r="BJ572" s="585"/>
      <c r="BK572" s="585"/>
      <c r="BL572" s="586"/>
      <c r="BM572" s="585"/>
      <c r="BN572" s="585"/>
      <c r="BO572" s="585"/>
      <c r="BP572" s="585"/>
      <c r="BQ572" s="586"/>
      <c r="BR572" s="585"/>
      <c r="BS572" s="585"/>
      <c r="BT572" s="585"/>
      <c r="BU572" s="585"/>
      <c r="BV572" s="586"/>
      <c r="BW572" s="585"/>
      <c r="BX572" s="585"/>
      <c r="BY572" s="585"/>
      <c r="BZ572" s="585"/>
      <c r="CA572" s="586"/>
      <c r="CB572" s="585"/>
      <c r="CC572" s="585"/>
      <c r="CD572" s="585"/>
      <c r="CE572" s="585"/>
      <c r="CF572" s="586"/>
      <c r="CG572" s="470"/>
      <c r="CH572" s="470"/>
      <c r="CI572" s="470"/>
      <c r="CJ572" s="470"/>
      <c r="CK572" s="586"/>
      <c r="CL572" s="470"/>
      <c r="CM572" s="470"/>
      <c r="CN572" s="470"/>
      <c r="CO572" s="470"/>
      <c r="CP572" s="586"/>
      <c r="CQ572" s="470"/>
      <c r="CR572" s="470"/>
      <c r="CS572" s="470"/>
      <c r="CT572" s="470"/>
      <c r="CU572" s="586"/>
      <c r="CV572" s="470"/>
      <c r="CW572" s="470"/>
      <c r="CX572" s="470"/>
      <c r="CY572" s="470"/>
      <c r="CZ572" s="586"/>
      <c r="DA572" s="470"/>
      <c r="DB572" s="470"/>
      <c r="DC572" s="470"/>
      <c r="DD572" s="470"/>
      <c r="DE572" s="586"/>
      <c r="DF572" s="470"/>
      <c r="DG572" s="470"/>
      <c r="DH572" s="470"/>
      <c r="DI572" s="914"/>
      <c r="DJ572" s="586"/>
      <c r="DK572" s="470"/>
      <c r="DL572" s="470"/>
      <c r="DM572" s="470"/>
      <c r="DN572" s="470"/>
      <c r="DO572" s="586"/>
      <c r="DP572" s="470"/>
      <c r="DQ572" s="470"/>
      <c r="DR572" s="470"/>
      <c r="DS572" s="470"/>
      <c r="DT572" s="586"/>
      <c r="DU572" s="470"/>
      <c r="DV572" s="470"/>
      <c r="DW572" s="470"/>
      <c r="DX572" s="470"/>
      <c r="DY572" s="586"/>
    </row>
    <row r="573" spans="1:129" hidden="1" outlineLevel="1" x14ac:dyDescent="0.2">
      <c r="A573" s="466"/>
      <c r="B573" s="607"/>
      <c r="C573" s="587"/>
      <c r="D573" s="587" t="s">
        <v>921</v>
      </c>
      <c r="E573" s="585"/>
      <c r="F573" s="585"/>
      <c r="G573" s="585"/>
      <c r="H573" s="585"/>
      <c r="I573" s="586"/>
      <c r="J573" s="585"/>
      <c r="K573" s="585"/>
      <c r="L573" s="585"/>
      <c r="M573" s="585"/>
      <c r="N573" s="586"/>
      <c r="O573" s="585"/>
      <c r="P573" s="585"/>
      <c r="Q573" s="585"/>
      <c r="R573" s="585"/>
      <c r="S573" s="586"/>
      <c r="T573" s="585"/>
      <c r="U573" s="585"/>
      <c r="V573" s="585"/>
      <c r="W573" s="585"/>
      <c r="X573" s="586"/>
      <c r="Y573" s="585"/>
      <c r="Z573" s="585"/>
      <c r="AA573" s="585"/>
      <c r="AB573" s="585"/>
      <c r="AC573" s="586"/>
      <c r="AD573" s="585"/>
      <c r="AE573" s="585"/>
      <c r="AF573" s="585"/>
      <c r="AG573" s="585"/>
      <c r="AH573" s="586"/>
      <c r="AI573" s="585"/>
      <c r="AJ573" s="585"/>
      <c r="AK573" s="585"/>
      <c r="AL573" s="585"/>
      <c r="AM573" s="586"/>
      <c r="AN573" s="585"/>
      <c r="AO573" s="585"/>
      <c r="AP573" s="585"/>
      <c r="AQ573" s="585"/>
      <c r="AR573" s="586"/>
      <c r="AS573" s="585"/>
      <c r="AT573" s="585"/>
      <c r="AU573" s="585"/>
      <c r="AV573" s="585"/>
      <c r="AW573" s="586"/>
      <c r="AX573" s="585"/>
      <c r="AY573" s="585"/>
      <c r="AZ573" s="585"/>
      <c r="BA573" s="585"/>
      <c r="BB573" s="586"/>
      <c r="BC573" s="585"/>
      <c r="BD573" s="585"/>
      <c r="BE573" s="585"/>
      <c r="BF573" s="585"/>
      <c r="BG573" s="586"/>
      <c r="BH573" s="585"/>
      <c r="BI573" s="585"/>
      <c r="BJ573" s="585"/>
      <c r="BK573" s="585"/>
      <c r="BL573" s="586"/>
      <c r="BM573" s="585"/>
      <c r="BN573" s="585"/>
      <c r="BO573" s="585"/>
      <c r="BP573" s="585"/>
      <c r="BQ573" s="586"/>
      <c r="BR573" s="585"/>
      <c r="BS573" s="585"/>
      <c r="BT573" s="585"/>
      <c r="BU573" s="585"/>
      <c r="BV573" s="586"/>
      <c r="BW573" s="585"/>
      <c r="BX573" s="585"/>
      <c r="BY573" s="585"/>
      <c r="BZ573" s="585"/>
      <c r="CA573" s="586"/>
      <c r="CB573" s="585"/>
      <c r="CC573" s="585"/>
      <c r="CD573" s="585"/>
      <c r="CE573" s="585"/>
      <c r="CF573" s="586"/>
      <c r="CG573" s="470"/>
      <c r="CH573" s="470"/>
      <c r="CI573" s="470"/>
      <c r="CJ573" s="470"/>
      <c r="CK573" s="586"/>
      <c r="CL573" s="470"/>
      <c r="CM573" s="470"/>
      <c r="CN573" s="470"/>
      <c r="CO573" s="470"/>
      <c r="CP573" s="586"/>
      <c r="CQ573" s="470"/>
      <c r="CR573" s="470"/>
      <c r="CS573" s="470"/>
      <c r="CT573" s="470"/>
      <c r="CU573" s="586"/>
      <c r="CV573" s="470"/>
      <c r="CW573" s="470"/>
      <c r="CX573" s="470"/>
      <c r="CY573" s="470"/>
      <c r="CZ573" s="586"/>
      <c r="DA573" s="470"/>
      <c r="DB573" s="470"/>
      <c r="DC573" s="470"/>
      <c r="DD573" s="470"/>
      <c r="DE573" s="586"/>
      <c r="DF573" s="470"/>
      <c r="DG573" s="470"/>
      <c r="DH573" s="470"/>
      <c r="DI573" s="914"/>
      <c r="DJ573" s="586"/>
      <c r="DK573" s="470"/>
      <c r="DL573" s="470"/>
      <c r="DM573" s="470"/>
      <c r="DN573" s="470"/>
      <c r="DO573" s="586"/>
      <c r="DP573" s="470"/>
      <c r="DQ573" s="470"/>
      <c r="DR573" s="470"/>
      <c r="DS573" s="470"/>
      <c r="DT573" s="586"/>
      <c r="DU573" s="470"/>
      <c r="DV573" s="470"/>
      <c r="DW573" s="470"/>
      <c r="DX573" s="470"/>
      <c r="DY573" s="586"/>
    </row>
    <row r="574" spans="1:129" hidden="1" outlineLevel="1" x14ac:dyDescent="0.2">
      <c r="A574" s="466"/>
      <c r="B574" s="607" t="s">
        <v>922</v>
      </c>
      <c r="C574" s="587"/>
      <c r="D574" s="587" t="s">
        <v>921</v>
      </c>
      <c r="E574" s="585"/>
      <c r="F574" s="585"/>
      <c r="G574" s="585"/>
      <c r="H574" s="585"/>
      <c r="I574" s="586"/>
      <c r="J574" s="585"/>
      <c r="K574" s="585"/>
      <c r="L574" s="585"/>
      <c r="M574" s="585"/>
      <c r="N574" s="586"/>
      <c r="O574" s="585"/>
      <c r="P574" s="585"/>
      <c r="Q574" s="585"/>
      <c r="R574" s="585"/>
      <c r="S574" s="586"/>
      <c r="T574" s="585"/>
      <c r="U574" s="585"/>
      <c r="V574" s="585"/>
      <c r="W574" s="585"/>
      <c r="X574" s="586"/>
      <c r="Y574" s="585"/>
      <c r="Z574" s="585"/>
      <c r="AA574" s="585"/>
      <c r="AB574" s="585"/>
      <c r="AC574" s="586"/>
      <c r="AD574" s="585"/>
      <c r="AE574" s="585"/>
      <c r="AF574" s="585"/>
      <c r="AG574" s="585"/>
      <c r="AH574" s="586"/>
      <c r="AI574" s="585"/>
      <c r="AJ574" s="585"/>
      <c r="AK574" s="585"/>
      <c r="AL574" s="585"/>
      <c r="AM574" s="586"/>
      <c r="AN574" s="585"/>
      <c r="AO574" s="585"/>
      <c r="AP574" s="585"/>
      <c r="AQ574" s="585"/>
      <c r="AR574" s="586"/>
      <c r="AS574" s="585"/>
      <c r="AT574" s="585"/>
      <c r="AU574" s="585"/>
      <c r="AV574" s="585"/>
      <c r="AW574" s="586"/>
      <c r="AX574" s="585"/>
      <c r="AY574" s="585"/>
      <c r="AZ574" s="585"/>
      <c r="BA574" s="585"/>
      <c r="BB574" s="586"/>
      <c r="BC574" s="585"/>
      <c r="BD574" s="585"/>
      <c r="BE574" s="585"/>
      <c r="BF574" s="585"/>
      <c r="BG574" s="586"/>
      <c r="BH574" s="585"/>
      <c r="BI574" s="585"/>
      <c r="BJ574" s="585"/>
      <c r="BK574" s="585"/>
      <c r="BL574" s="586"/>
      <c r="BM574" s="585"/>
      <c r="BN574" s="585"/>
      <c r="BO574" s="585"/>
      <c r="BP574" s="585"/>
      <c r="BQ574" s="586"/>
      <c r="BR574" s="585"/>
      <c r="BS574" s="585"/>
      <c r="BT574" s="585"/>
      <c r="BU574" s="585"/>
      <c r="BV574" s="586"/>
      <c r="BW574" s="585"/>
      <c r="BX574" s="585"/>
      <c r="BY574" s="585"/>
      <c r="BZ574" s="585"/>
      <c r="CA574" s="586"/>
      <c r="CB574" s="585"/>
      <c r="CC574" s="585"/>
      <c r="CD574" s="585"/>
      <c r="CE574" s="585"/>
      <c r="CF574" s="586"/>
      <c r="CG574" s="470"/>
      <c r="CH574" s="470"/>
      <c r="CI574" s="470"/>
      <c r="CJ574" s="470"/>
      <c r="CK574" s="586"/>
      <c r="CL574" s="470"/>
      <c r="CM574" s="470"/>
      <c r="CN574" s="470"/>
      <c r="CO574" s="470"/>
      <c r="CP574" s="586"/>
      <c r="CQ574" s="470"/>
      <c r="CR574" s="470"/>
      <c r="CS574" s="470"/>
      <c r="CT574" s="470"/>
      <c r="CU574" s="586"/>
      <c r="CV574" s="470"/>
      <c r="CW574" s="470"/>
      <c r="CX574" s="470"/>
      <c r="CY574" s="470"/>
      <c r="CZ574" s="586"/>
      <c r="DA574" s="470"/>
      <c r="DB574" s="470"/>
      <c r="DC574" s="470"/>
      <c r="DD574" s="470"/>
      <c r="DE574" s="586"/>
      <c r="DF574" s="470"/>
      <c r="DG574" s="470"/>
      <c r="DH574" s="470"/>
      <c r="DI574" s="914"/>
      <c r="DJ574" s="586"/>
      <c r="DK574" s="470"/>
      <c r="DL574" s="470"/>
      <c r="DM574" s="470"/>
      <c r="DN574" s="470"/>
      <c r="DO574" s="586"/>
      <c r="DP574" s="470"/>
      <c r="DQ574" s="470"/>
      <c r="DR574" s="470"/>
      <c r="DS574" s="470"/>
      <c r="DT574" s="586"/>
      <c r="DU574" s="470"/>
      <c r="DV574" s="470"/>
      <c r="DW574" s="470"/>
      <c r="DX574" s="470"/>
      <c r="DY574" s="586"/>
    </row>
    <row r="575" spans="1:129" hidden="1" outlineLevel="1" x14ac:dyDescent="0.2">
      <c r="A575" s="466"/>
      <c r="B575" s="607" t="s">
        <v>923</v>
      </c>
      <c r="C575" s="587"/>
      <c r="D575" s="587" t="s">
        <v>921</v>
      </c>
      <c r="E575" s="585"/>
      <c r="F575" s="585"/>
      <c r="G575" s="585"/>
      <c r="H575" s="585"/>
      <c r="I575" s="586"/>
      <c r="J575" s="585"/>
      <c r="K575" s="585"/>
      <c r="L575" s="585"/>
      <c r="M575" s="585"/>
      <c r="N575" s="586"/>
      <c r="O575" s="585"/>
      <c r="P575" s="585"/>
      <c r="Q575" s="585"/>
      <c r="R575" s="585"/>
      <c r="S575" s="586"/>
      <c r="T575" s="585"/>
      <c r="U575" s="585"/>
      <c r="V575" s="585"/>
      <c r="W575" s="585"/>
      <c r="X575" s="586"/>
      <c r="Y575" s="585"/>
      <c r="Z575" s="585"/>
      <c r="AA575" s="585"/>
      <c r="AB575" s="585"/>
      <c r="AC575" s="586"/>
      <c r="AD575" s="585"/>
      <c r="AE575" s="585"/>
      <c r="AF575" s="585"/>
      <c r="AG575" s="585"/>
      <c r="AH575" s="754">
        <v>5685.9480000000003</v>
      </c>
      <c r="AI575" s="585"/>
      <c r="AJ575" s="585"/>
      <c r="AK575" s="585"/>
      <c r="AL575" s="585"/>
      <c r="AM575" s="754">
        <v>10483.763000000001</v>
      </c>
      <c r="AN575" s="585"/>
      <c r="AO575" s="585"/>
      <c r="AP575" s="585"/>
      <c r="AQ575" s="585"/>
      <c r="AR575" s="754">
        <v>11609.478999999999</v>
      </c>
      <c r="AS575" s="585"/>
      <c r="AT575" s="585"/>
      <c r="AU575" s="585"/>
      <c r="AV575" s="585"/>
      <c r="AW575" s="586"/>
      <c r="AX575" s="585"/>
      <c r="AY575" s="585"/>
      <c r="AZ575" s="585"/>
      <c r="BA575" s="585"/>
      <c r="BB575" s="586"/>
      <c r="BC575" s="585"/>
      <c r="BD575" s="585"/>
      <c r="BE575" s="585"/>
      <c r="BF575" s="585"/>
      <c r="BG575" s="586"/>
      <c r="BH575" s="585"/>
      <c r="BI575" s="585"/>
      <c r="BJ575" s="585"/>
      <c r="BK575" s="585"/>
      <c r="BL575" s="586"/>
      <c r="BM575" s="585"/>
      <c r="BN575" s="585"/>
      <c r="BO575" s="585"/>
      <c r="BP575" s="585"/>
      <c r="BQ575" s="586"/>
      <c r="BR575" s="585"/>
      <c r="BS575" s="585"/>
      <c r="BT575" s="585"/>
      <c r="BU575" s="585"/>
      <c r="BV575" s="586"/>
      <c r="BW575" s="585"/>
      <c r="BX575" s="585"/>
      <c r="BY575" s="585"/>
      <c r="BZ575" s="585"/>
      <c r="CA575" s="586"/>
      <c r="CB575" s="585"/>
      <c r="CC575" s="585"/>
      <c r="CD575" s="585"/>
      <c r="CE575" s="585"/>
      <c r="CF575" s="586"/>
      <c r="CG575" s="470"/>
      <c r="CH575" s="470"/>
      <c r="CI575" s="470"/>
      <c r="CJ575" s="470"/>
      <c r="CK575" s="586"/>
      <c r="CL575" s="470"/>
      <c r="CM575" s="470"/>
      <c r="CN575" s="470"/>
      <c r="CO575" s="470"/>
      <c r="CP575" s="586"/>
      <c r="CQ575" s="470"/>
      <c r="CR575" s="470"/>
      <c r="CS575" s="470"/>
      <c r="CT575" s="470"/>
      <c r="CU575" s="586"/>
      <c r="CV575" s="470"/>
      <c r="CW575" s="470"/>
      <c r="CX575" s="470"/>
      <c r="CY575" s="470"/>
      <c r="CZ575" s="586"/>
      <c r="DA575" s="470"/>
      <c r="DB575" s="470"/>
      <c r="DC575" s="470"/>
      <c r="DD575" s="470"/>
      <c r="DE575" s="586"/>
      <c r="DF575" s="470"/>
      <c r="DG575" s="470"/>
      <c r="DH575" s="470"/>
      <c r="DI575" s="914"/>
      <c r="DJ575" s="586"/>
      <c r="DK575" s="470"/>
      <c r="DL575" s="470"/>
      <c r="DM575" s="470"/>
      <c r="DN575" s="470"/>
      <c r="DO575" s="586"/>
      <c r="DP575" s="470"/>
      <c r="DQ575" s="470"/>
      <c r="DR575" s="470"/>
      <c r="DS575" s="470"/>
      <c r="DT575" s="586"/>
      <c r="DU575" s="470"/>
      <c r="DV575" s="470"/>
      <c r="DW575" s="470"/>
      <c r="DX575" s="470"/>
      <c r="DY575" s="586"/>
    </row>
    <row r="576" spans="1:129" hidden="1" outlineLevel="1" x14ac:dyDescent="0.2">
      <c r="A576" s="466"/>
      <c r="B576" s="607" t="s">
        <v>924</v>
      </c>
      <c r="C576" s="587"/>
      <c r="D576" s="587" t="s">
        <v>921</v>
      </c>
      <c r="E576" s="585"/>
      <c r="F576" s="585"/>
      <c r="G576" s="585"/>
      <c r="H576" s="585"/>
      <c r="I576" s="586"/>
      <c r="J576" s="585"/>
      <c r="K576" s="585"/>
      <c r="L576" s="585"/>
      <c r="M576" s="585"/>
      <c r="N576" s="586"/>
      <c r="O576" s="585"/>
      <c r="P576" s="585"/>
      <c r="Q576" s="585"/>
      <c r="R576" s="585"/>
      <c r="S576" s="586"/>
      <c r="T576" s="585"/>
      <c r="U576" s="585"/>
      <c r="V576" s="585"/>
      <c r="W576" s="585"/>
      <c r="X576" s="586"/>
      <c r="Y576" s="585"/>
      <c r="Z576" s="585"/>
      <c r="AA576" s="585"/>
      <c r="AB576" s="585"/>
      <c r="AC576" s="586"/>
      <c r="AD576" s="585"/>
      <c r="AE576" s="585"/>
      <c r="AF576" s="585"/>
      <c r="AG576" s="585"/>
      <c r="AH576" s="754">
        <v>687.274</v>
      </c>
      <c r="AI576" s="585"/>
      <c r="AJ576" s="585"/>
      <c r="AK576" s="585"/>
      <c r="AL576" s="585"/>
      <c r="AM576" s="754">
        <v>1501.5219999999999</v>
      </c>
      <c r="AN576" s="585"/>
      <c r="AO576" s="585"/>
      <c r="AP576" s="585"/>
      <c r="AQ576" s="585"/>
      <c r="AR576" s="754">
        <v>2303.1170000000002</v>
      </c>
      <c r="AS576" s="585"/>
      <c r="AT576" s="585"/>
      <c r="AU576" s="585"/>
      <c r="AV576" s="585"/>
      <c r="AW576" s="586"/>
      <c r="AX576" s="585"/>
      <c r="AY576" s="585"/>
      <c r="AZ576" s="585"/>
      <c r="BA576" s="585"/>
      <c r="BB576" s="586"/>
      <c r="BC576" s="585"/>
      <c r="BD576" s="585"/>
      <c r="BE576" s="585"/>
      <c r="BF576" s="585"/>
      <c r="BG576" s="586"/>
      <c r="BH576" s="585"/>
      <c r="BI576" s="585"/>
      <c r="BJ576" s="585"/>
      <c r="BK576" s="585"/>
      <c r="BL576" s="586"/>
      <c r="BM576" s="585"/>
      <c r="BN576" s="585"/>
      <c r="BO576" s="585"/>
      <c r="BP576" s="585"/>
      <c r="BQ576" s="586"/>
      <c r="BR576" s="585"/>
      <c r="BS576" s="585"/>
      <c r="BT576" s="585"/>
      <c r="BU576" s="585"/>
      <c r="BV576" s="586"/>
      <c r="BW576" s="585"/>
      <c r="BX576" s="585"/>
      <c r="BY576" s="585"/>
      <c r="BZ576" s="585"/>
      <c r="CA576" s="586"/>
      <c r="CB576" s="585"/>
      <c r="CC576" s="585"/>
      <c r="CD576" s="585"/>
      <c r="CE576" s="585"/>
      <c r="CF576" s="586"/>
      <c r="CG576" s="470"/>
      <c r="CH576" s="470"/>
      <c r="CI576" s="470"/>
      <c r="CJ576" s="470"/>
      <c r="CK576" s="586"/>
      <c r="CL576" s="470"/>
      <c r="CM576" s="470"/>
      <c r="CN576" s="470"/>
      <c r="CO576" s="470"/>
      <c r="CP576" s="586"/>
      <c r="CQ576" s="470"/>
      <c r="CR576" s="470"/>
      <c r="CS576" s="470"/>
      <c r="CT576" s="470"/>
      <c r="CU576" s="586"/>
      <c r="CV576" s="470"/>
      <c r="CW576" s="470"/>
      <c r="CX576" s="470"/>
      <c r="CY576" s="470"/>
      <c r="CZ576" s="586"/>
      <c r="DA576" s="470"/>
      <c r="DB576" s="470"/>
      <c r="DC576" s="470"/>
      <c r="DD576" s="470"/>
      <c r="DE576" s="586"/>
      <c r="DF576" s="470"/>
      <c r="DG576" s="470"/>
      <c r="DH576" s="470"/>
      <c r="DI576" s="914"/>
      <c r="DJ576" s="586"/>
      <c r="DK576" s="470"/>
      <c r="DL576" s="470"/>
      <c r="DM576" s="470"/>
      <c r="DN576" s="470"/>
      <c r="DO576" s="586"/>
      <c r="DP576" s="470"/>
      <c r="DQ576" s="470"/>
      <c r="DR576" s="470"/>
      <c r="DS576" s="470"/>
      <c r="DT576" s="586"/>
      <c r="DU576" s="470"/>
      <c r="DV576" s="470"/>
      <c r="DW576" s="470"/>
      <c r="DX576" s="470"/>
      <c r="DY576" s="586"/>
    </row>
    <row r="577" spans="1:129" hidden="1" outlineLevel="1" x14ac:dyDescent="0.2">
      <c r="A577" s="466"/>
      <c r="B577" s="607" t="s">
        <v>925</v>
      </c>
      <c r="C577" s="587"/>
      <c r="D577" s="587" t="s">
        <v>921</v>
      </c>
      <c r="E577" s="585"/>
      <c r="F577" s="585"/>
      <c r="G577" s="585"/>
      <c r="H577" s="585"/>
      <c r="I577" s="586"/>
      <c r="J577" s="585"/>
      <c r="K577" s="585"/>
      <c r="L577" s="585"/>
      <c r="M577" s="585"/>
      <c r="N577" s="586"/>
      <c r="O577" s="585"/>
      <c r="P577" s="585"/>
      <c r="Q577" s="585"/>
      <c r="R577" s="585"/>
      <c r="S577" s="586"/>
      <c r="T577" s="585"/>
      <c r="U577" s="585"/>
      <c r="V577" s="585"/>
      <c r="W577" s="585"/>
      <c r="X577" s="586"/>
      <c r="Y577" s="585"/>
      <c r="Z577" s="585"/>
      <c r="AA577" s="585"/>
      <c r="AB577" s="585"/>
      <c r="AC577" s="586"/>
      <c r="AD577" s="585"/>
      <c r="AE577" s="585"/>
      <c r="AF577" s="585"/>
      <c r="AG577" s="585"/>
      <c r="AH577" s="754">
        <v>117.169</v>
      </c>
      <c r="AI577" s="585"/>
      <c r="AJ577" s="585"/>
      <c r="AK577" s="585"/>
      <c r="AL577" s="585"/>
      <c r="AM577" s="754">
        <v>188.83600000000001</v>
      </c>
      <c r="AN577" s="585"/>
      <c r="AO577" s="585"/>
      <c r="AP577" s="585"/>
      <c r="AQ577" s="585"/>
      <c r="AR577" s="754">
        <v>198.28299999999999</v>
      </c>
      <c r="AS577" s="585"/>
      <c r="AT577" s="585"/>
      <c r="AU577" s="585"/>
      <c r="AV577" s="585"/>
      <c r="AW577" s="586"/>
      <c r="AX577" s="585"/>
      <c r="AY577" s="585"/>
      <c r="AZ577" s="585"/>
      <c r="BA577" s="585"/>
      <c r="BB577" s="586"/>
      <c r="BC577" s="585"/>
      <c r="BD577" s="585"/>
      <c r="BE577" s="585"/>
      <c r="BF577" s="585"/>
      <c r="BG577" s="586"/>
      <c r="BH577" s="585"/>
      <c r="BI577" s="585"/>
      <c r="BJ577" s="585"/>
      <c r="BK577" s="585"/>
      <c r="BL577" s="586"/>
      <c r="BM577" s="585"/>
      <c r="BN577" s="585"/>
      <c r="BO577" s="585"/>
      <c r="BP577" s="585"/>
      <c r="BQ577" s="586"/>
      <c r="BR577" s="585"/>
      <c r="BS577" s="585"/>
      <c r="BT577" s="585"/>
      <c r="BU577" s="585"/>
      <c r="BV577" s="586"/>
      <c r="BW577" s="585"/>
      <c r="BX577" s="585"/>
      <c r="BY577" s="585"/>
      <c r="BZ577" s="585"/>
      <c r="CA577" s="586"/>
      <c r="CB577" s="585"/>
      <c r="CC577" s="585"/>
      <c r="CD577" s="585"/>
      <c r="CE577" s="585"/>
      <c r="CF577" s="586"/>
      <c r="CG577" s="470"/>
      <c r="CH577" s="470"/>
      <c r="CI577" s="470"/>
      <c r="CJ577" s="470"/>
      <c r="CK577" s="586"/>
      <c r="CL577" s="470"/>
      <c r="CM577" s="470"/>
      <c r="CN577" s="470"/>
      <c r="CO577" s="470"/>
      <c r="CP577" s="586"/>
      <c r="CQ577" s="470"/>
      <c r="CR577" s="470"/>
      <c r="CS577" s="470"/>
      <c r="CT577" s="470"/>
      <c r="CU577" s="586"/>
      <c r="CV577" s="470"/>
      <c r="CW577" s="470"/>
      <c r="CX577" s="470"/>
      <c r="CY577" s="470"/>
      <c r="CZ577" s="586"/>
      <c r="DA577" s="470"/>
      <c r="DB577" s="470"/>
      <c r="DC577" s="470"/>
      <c r="DD577" s="470"/>
      <c r="DE577" s="586"/>
      <c r="DF577" s="470"/>
      <c r="DG577" s="470"/>
      <c r="DH577" s="470"/>
      <c r="DI577" s="914"/>
      <c r="DJ577" s="586"/>
      <c r="DK577" s="470"/>
      <c r="DL577" s="470"/>
      <c r="DM577" s="470"/>
      <c r="DN577" s="470"/>
      <c r="DO577" s="586"/>
      <c r="DP577" s="470"/>
      <c r="DQ577" s="470"/>
      <c r="DR577" s="470"/>
      <c r="DS577" s="470"/>
      <c r="DT577" s="586"/>
      <c r="DU577" s="470"/>
      <c r="DV577" s="470"/>
      <c r="DW577" s="470"/>
      <c r="DX577" s="470"/>
      <c r="DY577" s="586"/>
    </row>
    <row r="578" spans="1:129" hidden="1" outlineLevel="1" x14ac:dyDescent="0.2">
      <c r="A578" s="466"/>
      <c r="B578" s="607"/>
      <c r="C578" s="585"/>
      <c r="D578" s="585"/>
      <c r="E578" s="585"/>
      <c r="F578" s="585"/>
      <c r="G578" s="585"/>
      <c r="H578" s="585"/>
      <c r="I578" s="586"/>
      <c r="J578" s="585"/>
      <c r="K578" s="585"/>
      <c r="L578" s="585"/>
      <c r="M578" s="585"/>
      <c r="N578" s="586"/>
      <c r="O578" s="585"/>
      <c r="P578" s="585"/>
      <c r="Q578" s="585"/>
      <c r="R578" s="585"/>
      <c r="S578" s="586"/>
      <c r="T578" s="585"/>
      <c r="U578" s="585"/>
      <c r="V578" s="585"/>
      <c r="W578" s="585"/>
      <c r="X578" s="586"/>
      <c r="Y578" s="585"/>
      <c r="Z578" s="585"/>
      <c r="AA578" s="585"/>
      <c r="AB578" s="585"/>
      <c r="AC578" s="586"/>
      <c r="AD578" s="585"/>
      <c r="AE578" s="585"/>
      <c r="AF578" s="585"/>
      <c r="AG578" s="585"/>
      <c r="AH578" s="586"/>
      <c r="AI578" s="585"/>
      <c r="AJ578" s="585"/>
      <c r="AK578" s="585"/>
      <c r="AL578" s="585"/>
      <c r="AM578" s="586"/>
      <c r="AN578" s="585"/>
      <c r="AO578" s="585"/>
      <c r="AP578" s="585"/>
      <c r="AQ578" s="585"/>
      <c r="AR578" s="586"/>
      <c r="AS578" s="585"/>
      <c r="AT578" s="585"/>
      <c r="AU578" s="585"/>
      <c r="AV578" s="585"/>
      <c r="AW578" s="586"/>
      <c r="AX578" s="585"/>
      <c r="AY578" s="585"/>
      <c r="AZ578" s="585"/>
      <c r="BA578" s="585"/>
      <c r="BB578" s="586"/>
      <c r="BC578" s="585"/>
      <c r="BD578" s="585"/>
      <c r="BE578" s="585"/>
      <c r="BF578" s="585"/>
      <c r="BG578" s="586"/>
      <c r="BH578" s="585"/>
      <c r="BI578" s="585"/>
      <c r="BJ578" s="585"/>
      <c r="BK578" s="585"/>
      <c r="BL578" s="586"/>
      <c r="BM578" s="585"/>
      <c r="BN578" s="585"/>
      <c r="BO578" s="585"/>
      <c r="BP578" s="585"/>
      <c r="BQ578" s="586"/>
      <c r="BR578" s="585"/>
      <c r="BS578" s="585"/>
      <c r="BT578" s="585"/>
      <c r="BU578" s="585"/>
      <c r="BV578" s="586"/>
      <c r="BW578" s="585"/>
      <c r="BX578" s="585"/>
      <c r="BY578" s="585"/>
      <c r="BZ578" s="585"/>
      <c r="CA578" s="586"/>
      <c r="CB578" s="585"/>
      <c r="CC578" s="585"/>
      <c r="CD578" s="585"/>
      <c r="CE578" s="585"/>
      <c r="CF578" s="586"/>
      <c r="CG578" s="470"/>
      <c r="CH578" s="470"/>
      <c r="CI578" s="470"/>
      <c r="CJ578" s="470"/>
      <c r="CK578" s="586"/>
      <c r="CL578" s="470"/>
      <c r="CM578" s="470"/>
      <c r="CN578" s="470"/>
      <c r="CO578" s="470"/>
      <c r="CP578" s="586"/>
      <c r="CQ578" s="470"/>
      <c r="CR578" s="470"/>
      <c r="CS578" s="470"/>
      <c r="CT578" s="470"/>
      <c r="CU578" s="586"/>
      <c r="CV578" s="470"/>
      <c r="CW578" s="470"/>
      <c r="CX578" s="470"/>
      <c r="CY578" s="470"/>
      <c r="CZ578" s="586"/>
      <c r="DA578" s="470"/>
      <c r="DB578" s="470"/>
      <c r="DC578" s="470"/>
      <c r="DD578" s="470"/>
      <c r="DE578" s="586"/>
      <c r="DF578" s="470"/>
      <c r="DG578" s="470"/>
      <c r="DH578" s="470"/>
      <c r="DI578" s="914"/>
      <c r="DJ578" s="586"/>
      <c r="DK578" s="470"/>
      <c r="DL578" s="470"/>
      <c r="DM578" s="470"/>
      <c r="DN578" s="470"/>
      <c r="DO578" s="586"/>
      <c r="DP578" s="470"/>
      <c r="DQ578" s="470"/>
      <c r="DR578" s="470"/>
      <c r="DS578" s="470"/>
      <c r="DT578" s="586"/>
      <c r="DU578" s="470"/>
      <c r="DV578" s="470"/>
      <c r="DW578" s="470"/>
      <c r="DX578" s="470"/>
      <c r="DY578" s="586"/>
    </row>
    <row r="579" spans="1:129" hidden="1" outlineLevel="1" x14ac:dyDescent="0.2">
      <c r="A579" s="466"/>
      <c r="B579" s="607" t="s">
        <v>926</v>
      </c>
      <c r="C579" s="587"/>
      <c r="D579" s="587" t="s">
        <v>921</v>
      </c>
      <c r="E579" s="585"/>
      <c r="F579" s="585"/>
      <c r="G579" s="585"/>
      <c r="H579" s="585"/>
      <c r="I579" s="586"/>
      <c r="J579" s="585"/>
      <c r="K579" s="585"/>
      <c r="L579" s="585"/>
      <c r="M579" s="585"/>
      <c r="N579" s="586"/>
      <c r="O579" s="585"/>
      <c r="P579" s="585"/>
      <c r="Q579" s="585"/>
      <c r="R579" s="585"/>
      <c r="S579" s="586"/>
      <c r="T579" s="585"/>
      <c r="U579" s="585"/>
      <c r="V579" s="585"/>
      <c r="W579" s="585"/>
      <c r="X579" s="586"/>
      <c r="Y579" s="585"/>
      <c r="Z579" s="585"/>
      <c r="AA579" s="585"/>
      <c r="AB579" s="585"/>
      <c r="AC579" s="586"/>
      <c r="AD579" s="585"/>
      <c r="AE579" s="585"/>
      <c r="AF579" s="585"/>
      <c r="AG579" s="585"/>
      <c r="AH579" s="589">
        <f>SUM(AH575:AH577)</f>
        <v>6490.3910000000005</v>
      </c>
      <c r="AI579" s="585"/>
      <c r="AJ579" s="585"/>
      <c r="AK579" s="585"/>
      <c r="AL579" s="585"/>
      <c r="AM579" s="589">
        <f>SUM(AM575:AM577)</f>
        <v>12174.120999999999</v>
      </c>
      <c r="AN579" s="585"/>
      <c r="AO579" s="585"/>
      <c r="AP579" s="585"/>
      <c r="AQ579" s="585"/>
      <c r="AR579" s="589">
        <f>SUM(AR575:AR577)</f>
        <v>14110.878999999999</v>
      </c>
      <c r="AS579" s="585"/>
      <c r="AT579" s="585"/>
      <c r="AU579" s="585"/>
      <c r="AV579" s="585"/>
      <c r="AW579" s="586"/>
      <c r="AX579" s="585"/>
      <c r="AY579" s="585"/>
      <c r="AZ579" s="585"/>
      <c r="BA579" s="585"/>
      <c r="BB579" s="586"/>
      <c r="BC579" s="585"/>
      <c r="BD579" s="585"/>
      <c r="BE579" s="585"/>
      <c r="BF579" s="585"/>
      <c r="BG579" s="586"/>
      <c r="BH579" s="585"/>
      <c r="BI579" s="585"/>
      <c r="BJ579" s="585"/>
      <c r="BK579" s="585"/>
      <c r="BL579" s="586"/>
      <c r="BM579" s="585"/>
      <c r="BN579" s="585"/>
      <c r="BO579" s="585"/>
      <c r="BP579" s="585"/>
      <c r="BQ579" s="586"/>
      <c r="BR579" s="585"/>
      <c r="BS579" s="585"/>
      <c r="BT579" s="585"/>
      <c r="BU579" s="585"/>
      <c r="BV579" s="586"/>
      <c r="BW579" s="585"/>
      <c r="BX579" s="585"/>
      <c r="BY579" s="585"/>
      <c r="BZ579" s="585"/>
      <c r="CA579" s="586"/>
      <c r="CB579" s="585"/>
      <c r="CC579" s="585"/>
      <c r="CD579" s="585"/>
      <c r="CE579" s="585"/>
      <c r="CF579" s="586"/>
      <c r="CG579" s="470"/>
      <c r="CH579" s="470"/>
      <c r="CI579" s="470"/>
      <c r="CJ579" s="470"/>
      <c r="CK579" s="586"/>
      <c r="CL579" s="470"/>
      <c r="CM579" s="470"/>
      <c r="CN579" s="470"/>
      <c r="CO579" s="470"/>
      <c r="CP579" s="586"/>
      <c r="CQ579" s="470"/>
      <c r="CR579" s="470"/>
      <c r="CS579" s="470"/>
      <c r="CT579" s="470"/>
      <c r="CU579" s="586"/>
      <c r="CV579" s="470"/>
      <c r="CW579" s="470"/>
      <c r="CX579" s="470"/>
      <c r="CY579" s="470"/>
      <c r="CZ579" s="586"/>
      <c r="DA579" s="470"/>
      <c r="DB579" s="470"/>
      <c r="DC579" s="470"/>
      <c r="DD579" s="470"/>
      <c r="DE579" s="586"/>
      <c r="DF579" s="470"/>
      <c r="DG579" s="470"/>
      <c r="DH579" s="470"/>
      <c r="DI579" s="914"/>
      <c r="DJ579" s="586"/>
      <c r="DK579" s="470"/>
      <c r="DL579" s="470"/>
      <c r="DM579" s="470"/>
      <c r="DN579" s="470"/>
      <c r="DO579" s="586"/>
      <c r="DP579" s="470"/>
      <c r="DQ579" s="470"/>
      <c r="DR579" s="470"/>
      <c r="DS579" s="470"/>
      <c r="DT579" s="586"/>
      <c r="DU579" s="470"/>
      <c r="DV579" s="470"/>
      <c r="DW579" s="470"/>
      <c r="DX579" s="470"/>
      <c r="DY579" s="586"/>
    </row>
    <row r="580" spans="1:129" hidden="1" outlineLevel="1" x14ac:dyDescent="0.2">
      <c r="A580" s="466"/>
      <c r="B580" s="607" t="s">
        <v>927</v>
      </c>
      <c r="C580" s="587"/>
      <c r="D580" s="587" t="s">
        <v>921</v>
      </c>
      <c r="E580" s="585"/>
      <c r="F580" s="585"/>
      <c r="G580" s="585"/>
      <c r="H580" s="585"/>
      <c r="I580" s="586"/>
      <c r="J580" s="585"/>
      <c r="K580" s="585"/>
      <c r="L580" s="585"/>
      <c r="M580" s="585"/>
      <c r="N580" s="586"/>
      <c r="O580" s="585"/>
      <c r="P580" s="585"/>
      <c r="Q580" s="585"/>
      <c r="R580" s="585"/>
      <c r="S580" s="586"/>
      <c r="T580" s="585"/>
      <c r="U580" s="585"/>
      <c r="V580" s="585"/>
      <c r="W580" s="585"/>
      <c r="X580" s="586"/>
      <c r="Y580" s="585"/>
      <c r="Z580" s="585"/>
      <c r="AA580" s="585"/>
      <c r="AB580" s="585"/>
      <c r="AC580" s="586"/>
      <c r="AD580" s="585"/>
      <c r="AE580" s="585"/>
      <c r="AF580" s="585"/>
      <c r="AG580" s="585"/>
      <c r="AH580" s="754">
        <v>6261.2309999999998</v>
      </c>
      <c r="AI580" s="585"/>
      <c r="AJ580" s="585"/>
      <c r="AK580" s="585"/>
      <c r="AL580" s="585"/>
      <c r="AM580" s="754">
        <v>11722.53</v>
      </c>
      <c r="AN580" s="585"/>
      <c r="AO580" s="585"/>
      <c r="AP580" s="585"/>
      <c r="AQ580" s="585"/>
      <c r="AR580" s="754">
        <v>13555.231</v>
      </c>
      <c r="AS580" s="585"/>
      <c r="AT580" s="585"/>
      <c r="AU580" s="585"/>
      <c r="AV580" s="585"/>
      <c r="AW580" s="586"/>
      <c r="AX580" s="585"/>
      <c r="AY580" s="585"/>
      <c r="AZ580" s="585"/>
      <c r="BA580" s="585"/>
      <c r="BB580" s="586"/>
      <c r="BC580" s="585"/>
      <c r="BD580" s="585"/>
      <c r="BE580" s="585"/>
      <c r="BF580" s="585"/>
      <c r="BG580" s="586"/>
      <c r="BH580" s="585"/>
      <c r="BI580" s="585"/>
      <c r="BJ580" s="585"/>
      <c r="BK580" s="585"/>
      <c r="BL580" s="586"/>
      <c r="BM580" s="585"/>
      <c r="BN580" s="585"/>
      <c r="BO580" s="585"/>
      <c r="BP580" s="585"/>
      <c r="BQ580" s="586"/>
      <c r="BR580" s="585"/>
      <c r="BS580" s="585"/>
      <c r="BT580" s="585"/>
      <c r="BU580" s="585"/>
      <c r="BV580" s="586"/>
      <c r="BW580" s="585"/>
      <c r="BX580" s="585"/>
      <c r="BY580" s="585"/>
      <c r="BZ580" s="585"/>
      <c r="CA580" s="586"/>
      <c r="CB580" s="585"/>
      <c r="CC580" s="585"/>
      <c r="CD580" s="585"/>
      <c r="CE580" s="585"/>
      <c r="CF580" s="586"/>
      <c r="CG580" s="470"/>
      <c r="CH580" s="470"/>
      <c r="CI580" s="470"/>
      <c r="CJ580" s="470"/>
      <c r="CK580" s="586"/>
      <c r="CL580" s="470"/>
      <c r="CM580" s="470"/>
      <c r="CN580" s="470"/>
      <c r="CO580" s="470"/>
      <c r="CP580" s="586"/>
      <c r="CQ580" s="470"/>
      <c r="CR580" s="470"/>
      <c r="CS580" s="470"/>
      <c r="CT580" s="470"/>
      <c r="CU580" s="586"/>
      <c r="CV580" s="470"/>
      <c r="CW580" s="470"/>
      <c r="CX580" s="470"/>
      <c r="CY580" s="470"/>
      <c r="CZ580" s="586"/>
      <c r="DA580" s="470"/>
      <c r="DB580" s="470"/>
      <c r="DC580" s="470"/>
      <c r="DD580" s="470"/>
      <c r="DE580" s="586"/>
      <c r="DF580" s="470"/>
      <c r="DG580" s="470"/>
      <c r="DH580" s="470"/>
      <c r="DI580" s="914"/>
      <c r="DJ580" s="586"/>
      <c r="DK580" s="470"/>
      <c r="DL580" s="470"/>
      <c r="DM580" s="470"/>
      <c r="DN580" s="470"/>
      <c r="DO580" s="586"/>
      <c r="DP580" s="470"/>
      <c r="DQ580" s="470"/>
      <c r="DR580" s="470"/>
      <c r="DS580" s="470"/>
      <c r="DT580" s="586"/>
      <c r="DU580" s="470"/>
      <c r="DV580" s="470"/>
      <c r="DW580" s="470"/>
      <c r="DX580" s="470"/>
      <c r="DY580" s="586"/>
    </row>
    <row r="581" spans="1:129" hidden="1" outlineLevel="1" x14ac:dyDescent="0.2">
      <c r="A581" s="466"/>
      <c r="B581" s="999" t="s">
        <v>928</v>
      </c>
      <c r="C581" s="1000"/>
      <c r="D581" s="587" t="s">
        <v>921</v>
      </c>
      <c r="E581" s="585"/>
      <c r="F581" s="585"/>
      <c r="G581" s="585"/>
      <c r="H581" s="585"/>
      <c r="I581" s="586"/>
      <c r="J581" s="585"/>
      <c r="K581" s="585"/>
      <c r="L581" s="585"/>
      <c r="M581" s="585"/>
      <c r="N581" s="586"/>
      <c r="O581" s="585"/>
      <c r="P581" s="585"/>
      <c r="Q581" s="585"/>
      <c r="R581" s="585"/>
      <c r="S581" s="586"/>
      <c r="T581" s="585"/>
      <c r="U581" s="585"/>
      <c r="V581" s="585"/>
      <c r="W581" s="585"/>
      <c r="X581" s="586"/>
      <c r="Y581" s="585"/>
      <c r="Z581" s="585"/>
      <c r="AA581" s="585"/>
      <c r="AB581" s="585"/>
      <c r="AC581" s="586"/>
      <c r="AD581" s="585"/>
      <c r="AE581" s="585"/>
      <c r="AF581" s="585"/>
      <c r="AG581" s="585"/>
      <c r="AH581" s="586"/>
      <c r="AI581" s="585"/>
      <c r="AJ581" s="585"/>
      <c r="AK581" s="585"/>
      <c r="AL581" s="585"/>
      <c r="AM581" s="754">
        <f>AR581-1700</f>
        <v>11300</v>
      </c>
      <c r="AN581" s="585"/>
      <c r="AO581" s="585"/>
      <c r="AP581" s="585"/>
      <c r="AQ581" s="585"/>
      <c r="AR581" s="754">
        <v>13000</v>
      </c>
      <c r="AS581" s="585"/>
      <c r="AT581" s="585"/>
      <c r="AU581" s="585"/>
      <c r="AV581" s="585"/>
      <c r="AW581" s="586"/>
      <c r="AX581" s="585"/>
      <c r="AY581" s="585"/>
      <c r="AZ581" s="585"/>
      <c r="BA581" s="585"/>
      <c r="BB581" s="586"/>
      <c r="BC581" s="585"/>
      <c r="BD581" s="585"/>
      <c r="BE581" s="585"/>
      <c r="BF581" s="585"/>
      <c r="BG581" s="586"/>
      <c r="BH581" s="585"/>
      <c r="BI581" s="585"/>
      <c r="BJ581" s="585"/>
      <c r="BK581" s="585"/>
      <c r="BL581" s="586"/>
      <c r="BM581" s="585"/>
      <c r="BN581" s="585"/>
      <c r="BO581" s="585"/>
      <c r="BP581" s="585"/>
      <c r="BQ581" s="586"/>
      <c r="BR581" s="585"/>
      <c r="BS581" s="585"/>
      <c r="BT581" s="585"/>
      <c r="BU581" s="585"/>
      <c r="BV581" s="586"/>
      <c r="BW581" s="585"/>
      <c r="BX581" s="585"/>
      <c r="BY581" s="585"/>
      <c r="BZ581" s="585"/>
      <c r="CA581" s="586"/>
      <c r="CB581" s="585"/>
      <c r="CC581" s="585"/>
      <c r="CD581" s="585"/>
      <c r="CE581" s="585"/>
      <c r="CF581" s="586"/>
      <c r="CG581" s="470"/>
      <c r="CH581" s="470"/>
      <c r="CI581" s="470"/>
      <c r="CJ581" s="470"/>
      <c r="CK581" s="586"/>
      <c r="CL581" s="470"/>
      <c r="CM581" s="470"/>
      <c r="CN581" s="470"/>
      <c r="CO581" s="470"/>
      <c r="CP581" s="586"/>
      <c r="CQ581" s="470"/>
      <c r="CR581" s="470"/>
      <c r="CS581" s="470"/>
      <c r="CT581" s="470"/>
      <c r="CU581" s="586"/>
      <c r="CV581" s="470"/>
      <c r="CW581" s="470"/>
      <c r="CX581" s="470"/>
      <c r="CY581" s="470"/>
      <c r="CZ581" s="586"/>
      <c r="DA581" s="470"/>
      <c r="DB581" s="470"/>
      <c r="DC581" s="470"/>
      <c r="DD581" s="470"/>
      <c r="DE581" s="586"/>
      <c r="DF581" s="470"/>
      <c r="DG581" s="470"/>
      <c r="DH581" s="470"/>
      <c r="DI581" s="914"/>
      <c r="DJ581" s="586"/>
      <c r="DK581" s="470"/>
      <c r="DL581" s="470"/>
      <c r="DM581" s="470"/>
      <c r="DN581" s="470"/>
      <c r="DO581" s="586"/>
      <c r="DP581" s="470"/>
      <c r="DQ581" s="470"/>
      <c r="DR581" s="470"/>
      <c r="DS581" s="470"/>
      <c r="DT581" s="586"/>
      <c r="DU581" s="470"/>
      <c r="DV581" s="470"/>
      <c r="DW581" s="470"/>
      <c r="DX581" s="470"/>
      <c r="DY581" s="586"/>
    </row>
    <row r="582" spans="1:129" hidden="1" outlineLevel="1" x14ac:dyDescent="0.2">
      <c r="A582" s="466"/>
      <c r="B582" s="999" t="s">
        <v>929</v>
      </c>
      <c r="C582" s="1000"/>
      <c r="D582" s="585"/>
      <c r="E582" s="585"/>
      <c r="F582" s="585"/>
      <c r="G582" s="585"/>
      <c r="H582" s="585"/>
      <c r="I582" s="586"/>
      <c r="J582" s="585"/>
      <c r="K582" s="585"/>
      <c r="L582" s="585"/>
      <c r="M582" s="585"/>
      <c r="N582" s="586"/>
      <c r="O582" s="585"/>
      <c r="P582" s="585"/>
      <c r="Q582" s="585"/>
      <c r="R582" s="585"/>
      <c r="S582" s="586"/>
      <c r="T582" s="585"/>
      <c r="U582" s="585"/>
      <c r="V582" s="585"/>
      <c r="W582" s="585"/>
      <c r="X582" s="586"/>
      <c r="Y582" s="585"/>
      <c r="Z582" s="585"/>
      <c r="AA582" s="585"/>
      <c r="AB582" s="585"/>
      <c r="AC582" s="586"/>
      <c r="AD582" s="585"/>
      <c r="AE582" s="585"/>
      <c r="AF582" s="585"/>
      <c r="AG582" s="585"/>
      <c r="AH582" s="586"/>
      <c r="AI582" s="585"/>
      <c r="AJ582" s="585"/>
      <c r="AK582" s="585"/>
      <c r="AL582" s="585"/>
      <c r="AM582" s="589">
        <f>AM580-AM581</f>
        <v>422.53000000000065</v>
      </c>
      <c r="AN582" s="585"/>
      <c r="AO582" s="585"/>
      <c r="AP582" s="585"/>
      <c r="AQ582" s="585"/>
      <c r="AR582" s="589">
        <f>AR580-AR581</f>
        <v>555.23099999999977</v>
      </c>
      <c r="AS582" s="585"/>
      <c r="AT582" s="585"/>
      <c r="AU582" s="585"/>
      <c r="AV582" s="585"/>
      <c r="AW582" s="586"/>
      <c r="AX582" s="585"/>
      <c r="AY582" s="585"/>
      <c r="AZ582" s="585"/>
      <c r="BA582" s="585"/>
      <c r="BB582" s="586"/>
      <c r="BC582" s="585"/>
      <c r="BD582" s="585"/>
      <c r="BE582" s="585"/>
      <c r="BF582" s="585"/>
      <c r="BG582" s="586"/>
      <c r="BH582" s="585"/>
      <c r="BI582" s="585"/>
      <c r="BJ582" s="585"/>
      <c r="BK582" s="585"/>
      <c r="BL582" s="586"/>
      <c r="BM582" s="585"/>
      <c r="BN582" s="585"/>
      <c r="BO582" s="585"/>
      <c r="BP582" s="585"/>
      <c r="BQ582" s="586"/>
      <c r="BR582" s="585"/>
      <c r="BS582" s="585"/>
      <c r="BT582" s="585"/>
      <c r="BU582" s="585"/>
      <c r="BV582" s="586"/>
      <c r="BW582" s="585"/>
      <c r="BX582" s="585"/>
      <c r="BY582" s="585"/>
      <c r="BZ582" s="585"/>
      <c r="CA582" s="586"/>
      <c r="CB582" s="585"/>
      <c r="CC582" s="585"/>
      <c r="CD582" s="585"/>
      <c r="CE582" s="585"/>
      <c r="CF582" s="586"/>
      <c r="CG582" s="470"/>
      <c r="CH582" s="470"/>
      <c r="CI582" s="470"/>
      <c r="CJ582" s="470"/>
      <c r="CK582" s="586"/>
      <c r="CL582" s="470"/>
      <c r="CM582" s="470"/>
      <c r="CN582" s="470"/>
      <c r="CO582" s="470"/>
      <c r="CP582" s="586"/>
      <c r="CQ582" s="470"/>
      <c r="CR582" s="470"/>
      <c r="CS582" s="470"/>
      <c r="CT582" s="470"/>
      <c r="CU582" s="586"/>
      <c r="CV582" s="470"/>
      <c r="CW582" s="470"/>
      <c r="CX582" s="470"/>
      <c r="CY582" s="470"/>
      <c r="CZ582" s="586"/>
      <c r="DA582" s="470"/>
      <c r="DB582" s="470"/>
      <c r="DC582" s="470"/>
      <c r="DD582" s="470"/>
      <c r="DE582" s="586"/>
      <c r="DF582" s="470"/>
      <c r="DG582" s="470"/>
      <c r="DH582" s="470"/>
      <c r="DI582" s="914"/>
      <c r="DJ582" s="586"/>
      <c r="DK582" s="470"/>
      <c r="DL582" s="470"/>
      <c r="DM582" s="470"/>
      <c r="DN582" s="470"/>
      <c r="DO582" s="586"/>
      <c r="DP582" s="470"/>
      <c r="DQ582" s="470"/>
      <c r="DR582" s="470"/>
      <c r="DS582" s="470"/>
      <c r="DT582" s="586"/>
      <c r="DU582" s="470"/>
      <c r="DV582" s="470"/>
      <c r="DW582" s="470"/>
      <c r="DX582" s="470"/>
      <c r="DY582" s="586"/>
    </row>
    <row r="583" spans="1:129" hidden="1" outlineLevel="1" x14ac:dyDescent="0.2">
      <c r="A583" s="466"/>
      <c r="B583" s="607"/>
      <c r="C583" s="585"/>
      <c r="D583" s="585"/>
      <c r="E583" s="585"/>
      <c r="F583" s="585"/>
      <c r="G583" s="585"/>
      <c r="H583" s="585"/>
      <c r="I583" s="586"/>
      <c r="J583" s="585"/>
      <c r="K583" s="585"/>
      <c r="L583" s="585"/>
      <c r="M583" s="585"/>
      <c r="N583" s="586"/>
      <c r="O583" s="585"/>
      <c r="P583" s="585"/>
      <c r="Q583" s="585"/>
      <c r="R583" s="585"/>
      <c r="S583" s="586"/>
      <c r="T583" s="585"/>
      <c r="U583" s="585"/>
      <c r="V583" s="585"/>
      <c r="W583" s="585"/>
      <c r="X583" s="586"/>
      <c r="Y583" s="585"/>
      <c r="Z583" s="585"/>
      <c r="AA583" s="585"/>
      <c r="AB583" s="585"/>
      <c r="AC583" s="586"/>
      <c r="AD583" s="585"/>
      <c r="AE583" s="585"/>
      <c r="AF583" s="585"/>
      <c r="AG583" s="585"/>
      <c r="AH583" s="586"/>
      <c r="AI583" s="585"/>
      <c r="AJ583" s="585"/>
      <c r="AK583" s="585"/>
      <c r="AL583" s="585"/>
      <c r="AM583" s="586"/>
      <c r="AN583" s="585"/>
      <c r="AO583" s="585"/>
      <c r="AP583" s="585"/>
      <c r="AQ583" s="585"/>
      <c r="AR583" s="586"/>
      <c r="AS583" s="585"/>
      <c r="AT583" s="585"/>
      <c r="AU583" s="585"/>
      <c r="AV583" s="585"/>
      <c r="AW583" s="586"/>
      <c r="AX583" s="585"/>
      <c r="AY583" s="585"/>
      <c r="AZ583" s="585"/>
      <c r="BA583" s="585"/>
      <c r="BB583" s="586"/>
      <c r="BC583" s="585"/>
      <c r="BD583" s="585"/>
      <c r="BE583" s="585"/>
      <c r="BF583" s="585"/>
      <c r="BG583" s="586"/>
      <c r="BH583" s="585"/>
      <c r="BI583" s="585"/>
      <c r="BJ583" s="585"/>
      <c r="BK583" s="585"/>
      <c r="BL583" s="586"/>
      <c r="BM583" s="585"/>
      <c r="BN583" s="585"/>
      <c r="BO583" s="585"/>
      <c r="BP583" s="585"/>
      <c r="BQ583" s="586"/>
      <c r="BR583" s="585"/>
      <c r="BS583" s="585"/>
      <c r="BT583" s="585"/>
      <c r="BU583" s="585"/>
      <c r="BV583" s="586"/>
      <c r="BW583" s="585"/>
      <c r="BX583" s="585"/>
      <c r="BY583" s="585"/>
      <c r="BZ583" s="585"/>
      <c r="CA583" s="586"/>
      <c r="CB583" s="585"/>
      <c r="CC583" s="585"/>
      <c r="CD583" s="585"/>
      <c r="CE583" s="585"/>
      <c r="CF583" s="586"/>
      <c r="CG583" s="470"/>
      <c r="CH583" s="470"/>
      <c r="CI583" s="470"/>
      <c r="CJ583" s="470"/>
      <c r="CK583" s="586"/>
      <c r="CL583" s="470"/>
      <c r="CM583" s="470"/>
      <c r="CN583" s="470"/>
      <c r="CO583" s="470"/>
      <c r="CP583" s="586"/>
      <c r="CQ583" s="470"/>
      <c r="CR583" s="470"/>
      <c r="CS583" s="470"/>
      <c r="CT583" s="470"/>
      <c r="CU583" s="586"/>
      <c r="CV583" s="470"/>
      <c r="CW583" s="470"/>
      <c r="CX583" s="470"/>
      <c r="CY583" s="470"/>
      <c r="CZ583" s="586"/>
      <c r="DA583" s="470"/>
      <c r="DB583" s="470"/>
      <c r="DC583" s="470"/>
      <c r="DD583" s="470"/>
      <c r="DE583" s="586"/>
      <c r="DF583" s="470"/>
      <c r="DG583" s="470"/>
      <c r="DH583" s="470"/>
      <c r="DI583" s="914"/>
      <c r="DJ583" s="586"/>
      <c r="DK583" s="470"/>
      <c r="DL583" s="470"/>
      <c r="DM583" s="470"/>
      <c r="DN583" s="470"/>
      <c r="DO583" s="586"/>
      <c r="DP583" s="470"/>
      <c r="DQ583" s="470"/>
      <c r="DR583" s="470"/>
      <c r="DS583" s="470"/>
      <c r="DT583" s="586"/>
      <c r="DU583" s="470"/>
      <c r="DV583" s="470"/>
      <c r="DW583" s="470"/>
      <c r="DX583" s="470"/>
      <c r="DY583" s="586"/>
    </row>
    <row r="584" spans="1:129" hidden="1" outlineLevel="1" x14ac:dyDescent="0.2">
      <c r="A584" s="466"/>
      <c r="B584" s="607" t="s">
        <v>859</v>
      </c>
      <c r="C584" s="587"/>
      <c r="D584" s="587" t="s">
        <v>921</v>
      </c>
      <c r="E584" s="585"/>
      <c r="F584" s="585"/>
      <c r="G584" s="585"/>
      <c r="H584" s="585"/>
      <c r="I584" s="586"/>
      <c r="J584" s="585"/>
      <c r="K584" s="585"/>
      <c r="L584" s="585"/>
      <c r="M584" s="585"/>
      <c r="N584" s="586"/>
      <c r="O584" s="585"/>
      <c r="P584" s="585"/>
      <c r="Q584" s="585"/>
      <c r="R584" s="585"/>
      <c r="S584" s="586"/>
      <c r="T584" s="585"/>
      <c r="U584" s="585"/>
      <c r="V584" s="585"/>
      <c r="W584" s="585"/>
      <c r="X584" s="586"/>
      <c r="Y584" s="585"/>
      <c r="Z584" s="585"/>
      <c r="AA584" s="585"/>
      <c r="AB584" s="585"/>
      <c r="AC584" s="586"/>
      <c r="AD584" s="585"/>
      <c r="AE584" s="585"/>
      <c r="AF584" s="585"/>
      <c r="AG584" s="585"/>
      <c r="AH584" s="589">
        <f>AH579-AH580</f>
        <v>229.16000000000076</v>
      </c>
      <c r="AI584" s="585"/>
      <c r="AJ584" s="585"/>
      <c r="AK584" s="585"/>
      <c r="AL584" s="585"/>
      <c r="AM584" s="589">
        <f>AM579-AM580</f>
        <v>451.59099999999853</v>
      </c>
      <c r="AN584" s="585"/>
      <c r="AO584" s="585"/>
      <c r="AP584" s="585"/>
      <c r="AQ584" s="585"/>
      <c r="AR584" s="589">
        <f>AR579-AR580</f>
        <v>555.64799999999923</v>
      </c>
      <c r="AS584" s="585"/>
      <c r="AT584" s="585"/>
      <c r="AU584" s="585"/>
      <c r="AV584" s="585"/>
      <c r="AW584" s="586"/>
      <c r="AX584" s="585"/>
      <c r="AY584" s="585"/>
      <c r="AZ584" s="585"/>
      <c r="BA584" s="585"/>
      <c r="BB584" s="586"/>
      <c r="BC584" s="585"/>
      <c r="BD584" s="585"/>
      <c r="BE584" s="585"/>
      <c r="BF584" s="585"/>
      <c r="BG584" s="586"/>
      <c r="BH584" s="585"/>
      <c r="BI584" s="585"/>
      <c r="BJ584" s="585"/>
      <c r="BK584" s="585"/>
      <c r="BL584" s="586"/>
      <c r="BM584" s="585"/>
      <c r="BN584" s="585"/>
      <c r="BO584" s="585"/>
      <c r="BP584" s="585"/>
      <c r="BQ584" s="586"/>
      <c r="BR584" s="585"/>
      <c r="BS584" s="585"/>
      <c r="BT584" s="585"/>
      <c r="BU584" s="585"/>
      <c r="BV584" s="586"/>
      <c r="BW584" s="585"/>
      <c r="BX584" s="585"/>
      <c r="BY584" s="585"/>
      <c r="BZ584" s="585"/>
      <c r="CA584" s="586"/>
      <c r="CB584" s="585"/>
      <c r="CC584" s="585"/>
      <c r="CD584" s="585"/>
      <c r="CE584" s="585"/>
      <c r="CF584" s="586"/>
      <c r="CG584" s="470"/>
      <c r="CH584" s="470"/>
      <c r="CI584" s="470"/>
      <c r="CJ584" s="470"/>
      <c r="CK584" s="586"/>
      <c r="CL584" s="470"/>
      <c r="CM584" s="470"/>
      <c r="CN584" s="470"/>
      <c r="CO584" s="470"/>
      <c r="CP584" s="586"/>
      <c r="CQ584" s="470"/>
      <c r="CR584" s="470"/>
      <c r="CS584" s="470"/>
      <c r="CT584" s="470"/>
      <c r="CU584" s="586"/>
      <c r="CV584" s="470"/>
      <c r="CW584" s="470"/>
      <c r="CX584" s="470"/>
      <c r="CY584" s="470"/>
      <c r="CZ584" s="586"/>
      <c r="DA584" s="470"/>
      <c r="DB584" s="470"/>
      <c r="DC584" s="470"/>
      <c r="DD584" s="470"/>
      <c r="DE584" s="586"/>
      <c r="DF584" s="470"/>
      <c r="DG584" s="470"/>
      <c r="DH584" s="470"/>
      <c r="DI584" s="914"/>
      <c r="DJ584" s="586"/>
      <c r="DK584" s="470"/>
      <c r="DL584" s="470"/>
      <c r="DM584" s="470"/>
      <c r="DN584" s="470"/>
      <c r="DO584" s="586"/>
      <c r="DP584" s="470"/>
      <c r="DQ584" s="470"/>
      <c r="DR584" s="470"/>
      <c r="DS584" s="470"/>
      <c r="DT584" s="586"/>
      <c r="DU584" s="470"/>
      <c r="DV584" s="470"/>
      <c r="DW584" s="470"/>
      <c r="DX584" s="470"/>
      <c r="DY584" s="586"/>
    </row>
    <row r="585" spans="1:129" hidden="1" outlineLevel="1" x14ac:dyDescent="0.2">
      <c r="A585" s="466"/>
      <c r="B585" s="607"/>
      <c r="C585" s="585"/>
      <c r="D585" s="585"/>
      <c r="E585" s="585"/>
      <c r="F585" s="585"/>
      <c r="G585" s="585"/>
      <c r="H585" s="585"/>
      <c r="I585" s="586"/>
      <c r="J585" s="585"/>
      <c r="K585" s="585"/>
      <c r="L585" s="585"/>
      <c r="M585" s="585"/>
      <c r="N585" s="586"/>
      <c r="O585" s="585"/>
      <c r="P585" s="585"/>
      <c r="Q585" s="585"/>
      <c r="R585" s="585"/>
      <c r="S585" s="586"/>
      <c r="T585" s="585"/>
      <c r="U585" s="585"/>
      <c r="V585" s="585"/>
      <c r="W585" s="585"/>
      <c r="X585" s="586"/>
      <c r="Y585" s="585"/>
      <c r="Z585" s="585"/>
      <c r="AA585" s="585"/>
      <c r="AB585" s="585"/>
      <c r="AC585" s="586"/>
      <c r="AD585" s="585"/>
      <c r="AE585" s="585"/>
      <c r="AF585" s="585"/>
      <c r="AG585" s="585"/>
      <c r="AH585" s="586"/>
      <c r="AI585" s="585"/>
      <c r="AJ585" s="585"/>
      <c r="AK585" s="585"/>
      <c r="AL585" s="585"/>
      <c r="AM585" s="586"/>
      <c r="AN585" s="585"/>
      <c r="AO585" s="585"/>
      <c r="AP585" s="585"/>
      <c r="AQ585" s="585"/>
      <c r="AR585" s="586"/>
      <c r="AS585" s="585"/>
      <c r="AT585" s="585"/>
      <c r="AU585" s="585"/>
      <c r="AV585" s="585"/>
      <c r="AW585" s="586"/>
      <c r="AX585" s="585"/>
      <c r="AY585" s="585"/>
      <c r="AZ585" s="585"/>
      <c r="BA585" s="585"/>
      <c r="BB585" s="586"/>
      <c r="BC585" s="585"/>
      <c r="BD585" s="585"/>
      <c r="BE585" s="585"/>
      <c r="BF585" s="585"/>
      <c r="BG585" s="586"/>
      <c r="BH585" s="585"/>
      <c r="BI585" s="585"/>
      <c r="BJ585" s="585"/>
      <c r="BK585" s="585"/>
      <c r="BL585" s="586"/>
      <c r="BM585" s="585"/>
      <c r="BN585" s="585"/>
      <c r="BO585" s="585"/>
      <c r="BP585" s="585"/>
      <c r="BQ585" s="586"/>
      <c r="BR585" s="585"/>
      <c r="BS585" s="585"/>
      <c r="BT585" s="585"/>
      <c r="BU585" s="585"/>
      <c r="BV585" s="586"/>
      <c r="BW585" s="585"/>
      <c r="BX585" s="585"/>
      <c r="BY585" s="585"/>
      <c r="BZ585" s="585"/>
      <c r="CA585" s="586"/>
      <c r="CB585" s="585"/>
      <c r="CC585" s="585"/>
      <c r="CD585" s="585"/>
      <c r="CE585" s="585"/>
      <c r="CF585" s="586"/>
      <c r="CG585" s="470"/>
      <c r="CH585" s="470"/>
      <c r="CI585" s="470"/>
      <c r="CJ585" s="470"/>
      <c r="CK585" s="586"/>
      <c r="CL585" s="470"/>
      <c r="CM585" s="470"/>
      <c r="CN585" s="470"/>
      <c r="CO585" s="470"/>
      <c r="CP585" s="586"/>
      <c r="CQ585" s="470"/>
      <c r="CR585" s="470"/>
      <c r="CS585" s="470"/>
      <c r="CT585" s="470"/>
      <c r="CU585" s="586"/>
      <c r="CV585" s="470"/>
      <c r="CW585" s="470"/>
      <c r="CX585" s="470"/>
      <c r="CY585" s="470"/>
      <c r="CZ585" s="586"/>
      <c r="DA585" s="470"/>
      <c r="DB585" s="470"/>
      <c r="DC585" s="470"/>
      <c r="DD585" s="470"/>
      <c r="DE585" s="586"/>
      <c r="DF585" s="470"/>
      <c r="DG585" s="470"/>
      <c r="DH585" s="470"/>
      <c r="DI585" s="914"/>
      <c r="DJ585" s="586"/>
      <c r="DK585" s="470"/>
      <c r="DL585" s="470"/>
      <c r="DM585" s="470"/>
      <c r="DN585" s="470"/>
      <c r="DO585" s="586"/>
      <c r="DP585" s="470"/>
      <c r="DQ585" s="470"/>
      <c r="DR585" s="470"/>
      <c r="DS585" s="470"/>
      <c r="DT585" s="586"/>
      <c r="DU585" s="470"/>
      <c r="DV585" s="470"/>
      <c r="DW585" s="470"/>
      <c r="DX585" s="470"/>
      <c r="DY585" s="586"/>
    </row>
    <row r="586" spans="1:129" hidden="1" outlineLevel="1" x14ac:dyDescent="0.2">
      <c r="A586" s="466"/>
      <c r="B586" s="607" t="s">
        <v>930</v>
      </c>
      <c r="C586" s="587"/>
      <c r="D586" s="587" t="s">
        <v>921</v>
      </c>
      <c r="E586" s="585"/>
      <c r="F586" s="585"/>
      <c r="G586" s="585"/>
      <c r="H586" s="585"/>
      <c r="I586" s="586"/>
      <c r="J586" s="585"/>
      <c r="K586" s="585"/>
      <c r="L586" s="585"/>
      <c r="M586" s="585"/>
      <c r="N586" s="586"/>
      <c r="O586" s="585"/>
      <c r="P586" s="585"/>
      <c r="Q586" s="585"/>
      <c r="R586" s="585"/>
      <c r="S586" s="586"/>
      <c r="T586" s="585"/>
      <c r="U586" s="585"/>
      <c r="V586" s="585"/>
      <c r="W586" s="585"/>
      <c r="X586" s="586"/>
      <c r="Y586" s="585"/>
      <c r="Z586" s="585"/>
      <c r="AA586" s="585"/>
      <c r="AB586" s="585"/>
      <c r="AC586" s="586"/>
      <c r="AD586" s="585"/>
      <c r="AE586" s="585"/>
      <c r="AF586" s="585"/>
      <c r="AG586" s="585"/>
      <c r="AH586" s="754">
        <v>128.98400000000001</v>
      </c>
      <c r="AI586" s="585"/>
      <c r="AJ586" s="585"/>
      <c r="AK586" s="585"/>
      <c r="AL586" s="585"/>
      <c r="AM586" s="754">
        <v>189.32</v>
      </c>
      <c r="AN586" s="585"/>
      <c r="AO586" s="585"/>
      <c r="AP586" s="585"/>
      <c r="AQ586" s="585"/>
      <c r="AR586" s="754">
        <v>231.245</v>
      </c>
      <c r="AS586" s="585"/>
      <c r="AT586" s="585"/>
      <c r="AU586" s="585"/>
      <c r="AV586" s="585"/>
      <c r="AW586" s="586"/>
      <c r="AX586" s="585"/>
      <c r="AY586" s="585"/>
      <c r="AZ586" s="585"/>
      <c r="BA586" s="585"/>
      <c r="BB586" s="586"/>
      <c r="BC586" s="585"/>
      <c r="BD586" s="585"/>
      <c r="BE586" s="585"/>
      <c r="BF586" s="585"/>
      <c r="BG586" s="586"/>
      <c r="BH586" s="585"/>
      <c r="BI586" s="585"/>
      <c r="BJ586" s="585"/>
      <c r="BK586" s="585"/>
      <c r="BL586" s="586"/>
      <c r="BM586" s="585"/>
      <c r="BN586" s="585"/>
      <c r="BO586" s="585"/>
      <c r="BP586" s="585"/>
      <c r="BQ586" s="586"/>
      <c r="BR586" s="585"/>
      <c r="BS586" s="585"/>
      <c r="BT586" s="585"/>
      <c r="BU586" s="585"/>
      <c r="BV586" s="586"/>
      <c r="BW586" s="585"/>
      <c r="BX586" s="585"/>
      <c r="BY586" s="585"/>
      <c r="BZ586" s="585"/>
      <c r="CA586" s="586"/>
      <c r="CB586" s="585"/>
      <c r="CC586" s="585"/>
      <c r="CD586" s="585"/>
      <c r="CE586" s="585"/>
      <c r="CF586" s="586"/>
      <c r="CG586" s="470"/>
      <c r="CH586" s="470"/>
      <c r="CI586" s="470"/>
      <c r="CJ586" s="470"/>
      <c r="CK586" s="586"/>
      <c r="CL586" s="470"/>
      <c r="CM586" s="470"/>
      <c r="CN586" s="470"/>
      <c r="CO586" s="470"/>
      <c r="CP586" s="586"/>
      <c r="CQ586" s="470"/>
      <c r="CR586" s="470"/>
      <c r="CS586" s="470"/>
      <c r="CT586" s="470"/>
      <c r="CU586" s="586"/>
      <c r="CV586" s="470"/>
      <c r="CW586" s="470"/>
      <c r="CX586" s="470"/>
      <c r="CY586" s="470"/>
      <c r="CZ586" s="586"/>
      <c r="DA586" s="470"/>
      <c r="DB586" s="470"/>
      <c r="DC586" s="470"/>
      <c r="DD586" s="470"/>
      <c r="DE586" s="586"/>
      <c r="DF586" s="470"/>
      <c r="DG586" s="470"/>
      <c r="DH586" s="470"/>
      <c r="DI586" s="914"/>
      <c r="DJ586" s="586"/>
      <c r="DK586" s="470"/>
      <c r="DL586" s="470"/>
      <c r="DM586" s="470"/>
      <c r="DN586" s="470"/>
      <c r="DO586" s="586"/>
      <c r="DP586" s="470"/>
      <c r="DQ586" s="470"/>
      <c r="DR586" s="470"/>
      <c r="DS586" s="470"/>
      <c r="DT586" s="586"/>
      <c r="DU586" s="470"/>
      <c r="DV586" s="470"/>
      <c r="DW586" s="470"/>
      <c r="DX586" s="470"/>
      <c r="DY586" s="586"/>
    </row>
    <row r="587" spans="1:129" hidden="1" outlineLevel="1" x14ac:dyDescent="0.2">
      <c r="A587" s="466"/>
      <c r="B587" s="607" t="s">
        <v>931</v>
      </c>
      <c r="C587" s="587"/>
      <c r="D587" s="587" t="s">
        <v>921</v>
      </c>
      <c r="E587" s="585"/>
      <c r="F587" s="585"/>
      <c r="G587" s="585"/>
      <c r="H587" s="585"/>
      <c r="I587" s="586"/>
      <c r="J587" s="585"/>
      <c r="K587" s="585"/>
      <c r="L587" s="585"/>
      <c r="M587" s="585"/>
      <c r="N587" s="586"/>
      <c r="O587" s="585"/>
      <c r="P587" s="585"/>
      <c r="Q587" s="585"/>
      <c r="R587" s="585"/>
      <c r="S587" s="586"/>
      <c r="T587" s="585"/>
      <c r="U587" s="585"/>
      <c r="V587" s="585"/>
      <c r="W587" s="585"/>
      <c r="X587" s="586"/>
      <c r="Y587" s="585"/>
      <c r="Z587" s="585"/>
      <c r="AA587" s="585"/>
      <c r="AB587" s="585"/>
      <c r="AC587" s="586"/>
      <c r="AD587" s="585"/>
      <c r="AE587" s="585"/>
      <c r="AF587" s="585"/>
      <c r="AG587" s="585"/>
      <c r="AH587" s="754">
        <v>11.129</v>
      </c>
      <c r="AI587" s="585"/>
      <c r="AJ587" s="585"/>
      <c r="AK587" s="585"/>
      <c r="AL587" s="585"/>
      <c r="AM587" s="754">
        <v>1.76</v>
      </c>
      <c r="AN587" s="585"/>
      <c r="AO587" s="585"/>
      <c r="AP587" s="585"/>
      <c r="AQ587" s="585"/>
      <c r="AR587" s="754">
        <v>0</v>
      </c>
      <c r="AS587" s="585"/>
      <c r="AT587" s="585"/>
      <c r="AU587" s="585"/>
      <c r="AV587" s="585"/>
      <c r="AW587" s="586"/>
      <c r="AX587" s="585"/>
      <c r="AY587" s="585"/>
      <c r="AZ587" s="585"/>
      <c r="BA587" s="585"/>
      <c r="BB587" s="586"/>
      <c r="BC587" s="585"/>
      <c r="BD587" s="585"/>
      <c r="BE587" s="585"/>
      <c r="BF587" s="585"/>
      <c r="BG587" s="586"/>
      <c r="BH587" s="585"/>
      <c r="BI587" s="585"/>
      <c r="BJ587" s="585"/>
      <c r="BK587" s="585"/>
      <c r="BL587" s="586"/>
      <c r="BM587" s="585"/>
      <c r="BN587" s="585"/>
      <c r="BO587" s="585"/>
      <c r="BP587" s="585"/>
      <c r="BQ587" s="586"/>
      <c r="BR587" s="585"/>
      <c r="BS587" s="585"/>
      <c r="BT587" s="585"/>
      <c r="BU587" s="585"/>
      <c r="BV587" s="586"/>
      <c r="BW587" s="585"/>
      <c r="BX587" s="585"/>
      <c r="BY587" s="585"/>
      <c r="BZ587" s="585"/>
      <c r="CA587" s="586"/>
      <c r="CB587" s="585"/>
      <c r="CC587" s="585"/>
      <c r="CD587" s="585"/>
      <c r="CE587" s="585"/>
      <c r="CF587" s="586"/>
      <c r="CG587" s="470"/>
      <c r="CH587" s="470"/>
      <c r="CI587" s="470"/>
      <c r="CJ587" s="470"/>
      <c r="CK587" s="586"/>
      <c r="CL587" s="470"/>
      <c r="CM587" s="470"/>
      <c r="CN587" s="470"/>
      <c r="CO587" s="470"/>
      <c r="CP587" s="586"/>
      <c r="CQ587" s="470"/>
      <c r="CR587" s="470"/>
      <c r="CS587" s="470"/>
      <c r="CT587" s="470"/>
      <c r="CU587" s="586"/>
      <c r="CV587" s="470"/>
      <c r="CW587" s="470"/>
      <c r="CX587" s="470"/>
      <c r="CY587" s="470"/>
      <c r="CZ587" s="586"/>
      <c r="DA587" s="470"/>
      <c r="DB587" s="470"/>
      <c r="DC587" s="470"/>
      <c r="DD587" s="470"/>
      <c r="DE587" s="586"/>
      <c r="DF587" s="470"/>
      <c r="DG587" s="470"/>
      <c r="DH587" s="470"/>
      <c r="DI587" s="914"/>
      <c r="DJ587" s="586"/>
      <c r="DK587" s="470"/>
      <c r="DL587" s="470"/>
      <c r="DM587" s="470"/>
      <c r="DN587" s="470"/>
      <c r="DO587" s="586"/>
      <c r="DP587" s="470"/>
      <c r="DQ587" s="470"/>
      <c r="DR587" s="470"/>
      <c r="DS587" s="470"/>
      <c r="DT587" s="586"/>
      <c r="DU587" s="470"/>
      <c r="DV587" s="470"/>
      <c r="DW587" s="470"/>
      <c r="DX587" s="470"/>
      <c r="DY587" s="586"/>
    </row>
    <row r="588" spans="1:129" hidden="1" outlineLevel="1" x14ac:dyDescent="0.2">
      <c r="A588" s="466"/>
      <c r="B588" s="607"/>
      <c r="C588" s="587"/>
      <c r="D588" s="587" t="s">
        <v>921</v>
      </c>
      <c r="E588" s="585"/>
      <c r="F588" s="585"/>
      <c r="G588" s="585"/>
      <c r="H588" s="585"/>
      <c r="I588" s="586"/>
      <c r="J588" s="585"/>
      <c r="K588" s="585"/>
      <c r="L588" s="585"/>
      <c r="M588" s="585"/>
      <c r="N588" s="586"/>
      <c r="O588" s="585"/>
      <c r="P588" s="585"/>
      <c r="Q588" s="585"/>
      <c r="R588" s="585"/>
      <c r="S588" s="586"/>
      <c r="T588" s="585"/>
      <c r="U588" s="585"/>
      <c r="V588" s="585"/>
      <c r="W588" s="585"/>
      <c r="X588" s="586"/>
      <c r="Y588" s="585"/>
      <c r="Z588" s="585"/>
      <c r="AA588" s="585"/>
      <c r="AB588" s="585"/>
      <c r="AC588" s="586"/>
      <c r="AD588" s="585"/>
      <c r="AE588" s="585"/>
      <c r="AF588" s="585"/>
      <c r="AG588" s="585"/>
      <c r="AH588" s="586"/>
      <c r="AI588" s="585"/>
      <c r="AJ588" s="585"/>
      <c r="AK588" s="585"/>
      <c r="AL588" s="585"/>
      <c r="AM588" s="586"/>
      <c r="AN588" s="585"/>
      <c r="AO588" s="585"/>
      <c r="AP588" s="585"/>
      <c r="AQ588" s="585"/>
      <c r="AR588" s="586"/>
      <c r="AS588" s="585"/>
      <c r="AT588" s="585"/>
      <c r="AU588" s="585"/>
      <c r="AV588" s="585"/>
      <c r="AW588" s="586"/>
      <c r="AX588" s="585"/>
      <c r="AY588" s="585"/>
      <c r="AZ588" s="585"/>
      <c r="BA588" s="585"/>
      <c r="BB588" s="586"/>
      <c r="BC588" s="585"/>
      <c r="BD588" s="585"/>
      <c r="BE588" s="585"/>
      <c r="BF588" s="585"/>
      <c r="BG588" s="586"/>
      <c r="BH588" s="585"/>
      <c r="BI588" s="585"/>
      <c r="BJ588" s="585"/>
      <c r="BK588" s="585"/>
      <c r="BL588" s="586"/>
      <c r="BM588" s="585"/>
      <c r="BN588" s="585"/>
      <c r="BO588" s="585"/>
      <c r="BP588" s="585"/>
      <c r="BQ588" s="586"/>
      <c r="BR588" s="585"/>
      <c r="BS588" s="585"/>
      <c r="BT588" s="585"/>
      <c r="BU588" s="585"/>
      <c r="BV588" s="586"/>
      <c r="BW588" s="585"/>
      <c r="BX588" s="585"/>
      <c r="BY588" s="585"/>
      <c r="BZ588" s="585"/>
      <c r="CA588" s="586"/>
      <c r="CB588" s="585"/>
      <c r="CC588" s="585"/>
      <c r="CD588" s="585"/>
      <c r="CE588" s="585"/>
      <c r="CF588" s="586"/>
      <c r="CG588" s="470"/>
      <c r="CH588" s="470"/>
      <c r="CI588" s="470"/>
      <c r="CJ588" s="470"/>
      <c r="CK588" s="586"/>
      <c r="CL588" s="470"/>
      <c r="CM588" s="470"/>
      <c r="CN588" s="470"/>
      <c r="CO588" s="470"/>
      <c r="CP588" s="586"/>
      <c r="CQ588" s="470"/>
      <c r="CR588" s="470"/>
      <c r="CS588" s="470"/>
      <c r="CT588" s="470"/>
      <c r="CU588" s="586"/>
      <c r="CV588" s="470"/>
      <c r="CW588" s="470"/>
      <c r="CX588" s="470"/>
      <c r="CY588" s="470"/>
      <c r="CZ588" s="586"/>
      <c r="DA588" s="470"/>
      <c r="DB588" s="470"/>
      <c r="DC588" s="470"/>
      <c r="DD588" s="470"/>
      <c r="DE588" s="586"/>
      <c r="DF588" s="470"/>
      <c r="DG588" s="470"/>
      <c r="DH588" s="470"/>
      <c r="DI588" s="914"/>
      <c r="DJ588" s="586"/>
      <c r="DK588" s="470"/>
      <c r="DL588" s="470"/>
      <c r="DM588" s="470"/>
      <c r="DN588" s="470"/>
      <c r="DO588" s="586"/>
      <c r="DP588" s="470"/>
      <c r="DQ588" s="470"/>
      <c r="DR588" s="470"/>
      <c r="DS588" s="470"/>
      <c r="DT588" s="586"/>
      <c r="DU588" s="470"/>
      <c r="DV588" s="470"/>
      <c r="DW588" s="470"/>
      <c r="DX588" s="470"/>
      <c r="DY588" s="586"/>
    </row>
    <row r="589" spans="1:129" hidden="1" outlineLevel="1" x14ac:dyDescent="0.2">
      <c r="A589" s="466"/>
      <c r="B589" s="607"/>
      <c r="C589" s="585"/>
      <c r="D589" s="585"/>
      <c r="E589" s="585"/>
      <c r="F589" s="585"/>
      <c r="G589" s="585"/>
      <c r="H589" s="585"/>
      <c r="I589" s="586"/>
      <c r="J589" s="585"/>
      <c r="K589" s="585"/>
      <c r="L589" s="585"/>
      <c r="M589" s="585"/>
      <c r="N589" s="586"/>
      <c r="O589" s="585"/>
      <c r="P589" s="585"/>
      <c r="Q589" s="585"/>
      <c r="R589" s="585"/>
      <c r="S589" s="586"/>
      <c r="T589" s="585"/>
      <c r="U589" s="585"/>
      <c r="V589" s="585"/>
      <c r="W589" s="585"/>
      <c r="X589" s="586"/>
      <c r="Y589" s="585"/>
      <c r="Z589" s="585"/>
      <c r="AA589" s="585"/>
      <c r="AB589" s="585"/>
      <c r="AC589" s="586"/>
      <c r="AD589" s="585"/>
      <c r="AE589" s="585"/>
      <c r="AF589" s="585"/>
      <c r="AG589" s="585"/>
      <c r="AH589" s="586"/>
      <c r="AI589" s="585"/>
      <c r="AJ589" s="585"/>
      <c r="AK589" s="585"/>
      <c r="AL589" s="585"/>
      <c r="AM589" s="586"/>
      <c r="AN589" s="585"/>
      <c r="AO589" s="585"/>
      <c r="AP589" s="585"/>
      <c r="AQ589" s="585"/>
      <c r="AR589" s="586"/>
      <c r="AS589" s="585"/>
      <c r="AT589" s="585"/>
      <c r="AU589" s="585"/>
      <c r="AV589" s="585"/>
      <c r="AW589" s="586"/>
      <c r="AX589" s="585"/>
      <c r="AY589" s="585"/>
      <c r="AZ589" s="585"/>
      <c r="BA589" s="585"/>
      <c r="BB589" s="586"/>
      <c r="BC589" s="585"/>
      <c r="BD589" s="585"/>
      <c r="BE589" s="585"/>
      <c r="BF589" s="585"/>
      <c r="BG589" s="586"/>
      <c r="BH589" s="585"/>
      <c r="BI589" s="585"/>
      <c r="BJ589" s="585"/>
      <c r="BK589" s="585"/>
      <c r="BL589" s="586"/>
      <c r="BM589" s="585"/>
      <c r="BN589" s="585"/>
      <c r="BO589" s="585"/>
      <c r="BP589" s="585"/>
      <c r="BQ589" s="586"/>
      <c r="BR589" s="585"/>
      <c r="BS589" s="585"/>
      <c r="BT589" s="585"/>
      <c r="BU589" s="585"/>
      <c r="BV589" s="586"/>
      <c r="BW589" s="585"/>
      <c r="BX589" s="585"/>
      <c r="BY589" s="585"/>
      <c r="BZ589" s="585"/>
      <c r="CA589" s="586"/>
      <c r="CB589" s="585"/>
      <c r="CC589" s="585"/>
      <c r="CD589" s="585"/>
      <c r="CE589" s="585"/>
      <c r="CF589" s="586"/>
      <c r="CG589" s="470"/>
      <c r="CH589" s="470"/>
      <c r="CI589" s="470"/>
      <c r="CJ589" s="470"/>
      <c r="CK589" s="586"/>
      <c r="CL589" s="470"/>
      <c r="CM589" s="470"/>
      <c r="CN589" s="470"/>
      <c r="CO589" s="470"/>
      <c r="CP589" s="586"/>
      <c r="CQ589" s="470"/>
      <c r="CR589" s="470"/>
      <c r="CS589" s="470"/>
      <c r="CT589" s="470"/>
      <c r="CU589" s="586"/>
      <c r="CV589" s="470"/>
      <c r="CW589" s="470"/>
      <c r="CX589" s="470"/>
      <c r="CY589" s="470"/>
      <c r="CZ589" s="586"/>
      <c r="DA589" s="470"/>
      <c r="DB589" s="470"/>
      <c r="DC589" s="470"/>
      <c r="DD589" s="470"/>
      <c r="DE589" s="586"/>
      <c r="DF589" s="470"/>
      <c r="DG589" s="470"/>
      <c r="DH589" s="470"/>
      <c r="DI589" s="914"/>
      <c r="DJ589" s="586"/>
      <c r="DK589" s="470"/>
      <c r="DL589" s="470"/>
      <c r="DM589" s="470"/>
      <c r="DN589" s="470"/>
      <c r="DO589" s="586"/>
      <c r="DP589" s="470"/>
      <c r="DQ589" s="470"/>
      <c r="DR589" s="470"/>
      <c r="DS589" s="470"/>
      <c r="DT589" s="586"/>
      <c r="DU589" s="470"/>
      <c r="DV589" s="470"/>
      <c r="DW589" s="470"/>
      <c r="DX589" s="470"/>
      <c r="DY589" s="586"/>
    </row>
    <row r="590" spans="1:129" hidden="1" outlineLevel="1" x14ac:dyDescent="0.2">
      <c r="A590" s="466"/>
      <c r="B590" s="607" t="s">
        <v>880</v>
      </c>
      <c r="C590" s="587"/>
      <c r="D590" s="587" t="s">
        <v>921</v>
      </c>
      <c r="E590" s="585"/>
      <c r="F590" s="585"/>
      <c r="G590" s="585"/>
      <c r="H590" s="585"/>
      <c r="I590" s="586"/>
      <c r="J590" s="585"/>
      <c r="K590" s="585"/>
      <c r="L590" s="585"/>
      <c r="M590" s="585"/>
      <c r="N590" s="586"/>
      <c r="O590" s="585"/>
      <c r="P590" s="585"/>
      <c r="Q590" s="585"/>
      <c r="R590" s="585"/>
      <c r="S590" s="586"/>
      <c r="T590" s="585"/>
      <c r="U590" s="585"/>
      <c r="V590" s="585"/>
      <c r="W590" s="585"/>
      <c r="X590" s="586"/>
      <c r="Y590" s="585"/>
      <c r="Z590" s="585"/>
      <c r="AA590" s="585"/>
      <c r="AB590" s="585"/>
      <c r="AC590" s="586"/>
      <c r="AD590" s="585"/>
      <c r="AE590" s="585"/>
      <c r="AF590" s="585"/>
      <c r="AG590" s="585"/>
      <c r="AH590" s="754">
        <v>89.046999999999997</v>
      </c>
      <c r="AI590" s="585"/>
      <c r="AJ590" s="585"/>
      <c r="AK590" s="585"/>
      <c r="AL590" s="585"/>
      <c r="AM590" s="754">
        <v>260.51100000000002</v>
      </c>
      <c r="AN590" s="585"/>
      <c r="AO590" s="585"/>
      <c r="AP590" s="585"/>
      <c r="AQ590" s="585"/>
      <c r="AR590" s="754">
        <v>324.40300000000002</v>
      </c>
      <c r="AS590" s="585"/>
      <c r="AT590" s="585"/>
      <c r="AU590" s="585"/>
      <c r="AV590" s="585"/>
      <c r="AW590" s="586"/>
      <c r="AX590" s="585"/>
      <c r="AY590" s="585"/>
      <c r="AZ590" s="585"/>
      <c r="BA590" s="585"/>
      <c r="BB590" s="586"/>
      <c r="BC590" s="585"/>
      <c r="BD590" s="585"/>
      <c r="BE590" s="585"/>
      <c r="BF590" s="585"/>
      <c r="BG590" s="586"/>
      <c r="BH590" s="585"/>
      <c r="BI590" s="585"/>
      <c r="BJ590" s="585"/>
      <c r="BK590" s="585"/>
      <c r="BL590" s="586"/>
      <c r="BM590" s="585"/>
      <c r="BN590" s="585"/>
      <c r="BO590" s="585"/>
      <c r="BP590" s="585"/>
      <c r="BQ590" s="586"/>
      <c r="BR590" s="585"/>
      <c r="BS590" s="585"/>
      <c r="BT590" s="585"/>
      <c r="BU590" s="585"/>
      <c r="BV590" s="586"/>
      <c r="BW590" s="585"/>
      <c r="BX590" s="585"/>
      <c r="BY590" s="585"/>
      <c r="BZ590" s="585"/>
      <c r="CA590" s="586"/>
      <c r="CB590" s="585"/>
      <c r="CC590" s="585"/>
      <c r="CD590" s="585"/>
      <c r="CE590" s="585"/>
      <c r="CF590" s="586"/>
      <c r="CG590" s="470"/>
      <c r="CH590" s="470"/>
      <c r="CI590" s="470"/>
      <c r="CJ590" s="470"/>
      <c r="CK590" s="586"/>
      <c r="CL590" s="470"/>
      <c r="CM590" s="470"/>
      <c r="CN590" s="470"/>
      <c r="CO590" s="470"/>
      <c r="CP590" s="586"/>
      <c r="CQ590" s="470"/>
      <c r="CR590" s="470"/>
      <c r="CS590" s="470"/>
      <c r="CT590" s="470"/>
      <c r="CU590" s="586"/>
      <c r="CV590" s="470"/>
      <c r="CW590" s="470"/>
      <c r="CX590" s="470"/>
      <c r="CY590" s="470"/>
      <c r="CZ590" s="586"/>
      <c r="DA590" s="470"/>
      <c r="DB590" s="470"/>
      <c r="DC590" s="470"/>
      <c r="DD590" s="470"/>
      <c r="DE590" s="586"/>
      <c r="DF590" s="470"/>
      <c r="DG590" s="470"/>
      <c r="DH590" s="470"/>
      <c r="DI590" s="914"/>
      <c r="DJ590" s="586"/>
      <c r="DK590" s="470"/>
      <c r="DL590" s="470"/>
      <c r="DM590" s="470"/>
      <c r="DN590" s="470"/>
      <c r="DO590" s="586"/>
      <c r="DP590" s="470"/>
      <c r="DQ590" s="470"/>
      <c r="DR590" s="470"/>
      <c r="DS590" s="470"/>
      <c r="DT590" s="586"/>
      <c r="DU590" s="470"/>
      <c r="DV590" s="470"/>
      <c r="DW590" s="470"/>
      <c r="DX590" s="470"/>
      <c r="DY590" s="586"/>
    </row>
    <row r="591" spans="1:129" hidden="1" outlineLevel="1" x14ac:dyDescent="0.2">
      <c r="A591" s="466"/>
      <c r="B591" s="607" t="s">
        <v>932</v>
      </c>
      <c r="C591" s="587"/>
      <c r="D591" s="587" t="s">
        <v>921</v>
      </c>
      <c r="E591" s="585"/>
      <c r="F591" s="585"/>
      <c r="G591" s="585"/>
      <c r="H591" s="585"/>
      <c r="I591" s="586"/>
      <c r="J591" s="585"/>
      <c r="K591" s="585"/>
      <c r="L591" s="585"/>
      <c r="M591" s="585"/>
      <c r="N591" s="586"/>
      <c r="O591" s="585"/>
      <c r="P591" s="585"/>
      <c r="Q591" s="585"/>
      <c r="R591" s="585"/>
      <c r="S591" s="586"/>
      <c r="T591" s="585"/>
      <c r="U591" s="585"/>
      <c r="V591" s="585"/>
      <c r="W591" s="585"/>
      <c r="X591" s="586"/>
      <c r="Y591" s="585"/>
      <c r="Z591" s="585"/>
      <c r="AA591" s="585"/>
      <c r="AB591" s="585"/>
      <c r="AC591" s="586"/>
      <c r="AD591" s="585"/>
      <c r="AE591" s="585"/>
      <c r="AF591" s="585"/>
      <c r="AG591" s="585"/>
      <c r="AH591" s="754">
        <v>41.881999999999998</v>
      </c>
      <c r="AI591" s="585"/>
      <c r="AJ591" s="585"/>
      <c r="AK591" s="585"/>
      <c r="AL591" s="585"/>
      <c r="AM591" s="754">
        <v>57.579000000000001</v>
      </c>
      <c r="AN591" s="585"/>
      <c r="AO591" s="585"/>
      <c r="AP591" s="585"/>
      <c r="AQ591" s="585"/>
      <c r="AR591" s="754">
        <v>38.572000000000003</v>
      </c>
      <c r="AS591" s="585"/>
      <c r="AT591" s="585"/>
      <c r="AU591" s="585"/>
      <c r="AV591" s="585"/>
      <c r="AW591" s="586"/>
      <c r="AX591" s="585"/>
      <c r="AY591" s="585"/>
      <c r="AZ591" s="585"/>
      <c r="BA591" s="585"/>
      <c r="BB591" s="586"/>
      <c r="BC591" s="585"/>
      <c r="BD591" s="585"/>
      <c r="BE591" s="585"/>
      <c r="BF591" s="585"/>
      <c r="BG591" s="586"/>
      <c r="BH591" s="585"/>
      <c r="BI591" s="585"/>
      <c r="BJ591" s="585"/>
      <c r="BK591" s="585"/>
      <c r="BL591" s="586"/>
      <c r="BM591" s="585"/>
      <c r="BN591" s="585"/>
      <c r="BO591" s="585"/>
      <c r="BP591" s="585"/>
      <c r="BQ591" s="586"/>
      <c r="BR591" s="585"/>
      <c r="BS591" s="585"/>
      <c r="BT591" s="585"/>
      <c r="BU591" s="585"/>
      <c r="BV591" s="586"/>
      <c r="BW591" s="585"/>
      <c r="BX591" s="585"/>
      <c r="BY591" s="585"/>
      <c r="BZ591" s="585"/>
      <c r="CA591" s="586"/>
      <c r="CB591" s="585"/>
      <c r="CC591" s="585"/>
      <c r="CD591" s="585"/>
      <c r="CE591" s="585"/>
      <c r="CF591" s="586"/>
      <c r="CG591" s="470"/>
      <c r="CH591" s="470"/>
      <c r="CI591" s="470"/>
      <c r="CJ591" s="470"/>
      <c r="CK591" s="586"/>
      <c r="CL591" s="470"/>
      <c r="CM591" s="470"/>
      <c r="CN591" s="470"/>
      <c r="CO591" s="470"/>
      <c r="CP591" s="586"/>
      <c r="CQ591" s="470"/>
      <c r="CR591" s="470"/>
      <c r="CS591" s="470"/>
      <c r="CT591" s="470"/>
      <c r="CU591" s="586"/>
      <c r="CV591" s="470"/>
      <c r="CW591" s="470"/>
      <c r="CX591" s="470"/>
      <c r="CY591" s="470"/>
      <c r="CZ591" s="586"/>
      <c r="DA591" s="470"/>
      <c r="DB591" s="470"/>
      <c r="DC591" s="470"/>
      <c r="DD591" s="470"/>
      <c r="DE591" s="586"/>
      <c r="DF591" s="470"/>
      <c r="DG591" s="470"/>
      <c r="DH591" s="470"/>
      <c r="DI591" s="914"/>
      <c r="DJ591" s="586"/>
      <c r="DK591" s="470"/>
      <c r="DL591" s="470"/>
      <c r="DM591" s="470"/>
      <c r="DN591" s="470"/>
      <c r="DO591" s="586"/>
      <c r="DP591" s="470"/>
      <c r="DQ591" s="470"/>
      <c r="DR591" s="470"/>
      <c r="DS591" s="470"/>
      <c r="DT591" s="586"/>
      <c r="DU591" s="470"/>
      <c r="DV591" s="470"/>
      <c r="DW591" s="470"/>
      <c r="DX591" s="470"/>
      <c r="DY591" s="586"/>
    </row>
    <row r="592" spans="1:129" hidden="1" outlineLevel="1" x14ac:dyDescent="0.2">
      <c r="A592" s="466"/>
      <c r="B592" s="607" t="s">
        <v>933</v>
      </c>
      <c r="C592" s="587"/>
      <c r="D592" s="587" t="s">
        <v>921</v>
      </c>
      <c r="E592" s="585"/>
      <c r="F592" s="585"/>
      <c r="G592" s="585"/>
      <c r="H592" s="585"/>
      <c r="I592" s="586"/>
      <c r="J592" s="585"/>
      <c r="K592" s="585"/>
      <c r="L592" s="585"/>
      <c r="M592" s="585"/>
      <c r="N592" s="586"/>
      <c r="O592" s="585"/>
      <c r="P592" s="585"/>
      <c r="Q592" s="585"/>
      <c r="R592" s="585"/>
      <c r="S592" s="586"/>
      <c r="T592" s="585"/>
      <c r="U592" s="585"/>
      <c r="V592" s="585"/>
      <c r="W592" s="585"/>
      <c r="X592" s="586"/>
      <c r="Y592" s="585"/>
      <c r="Z592" s="585"/>
      <c r="AA592" s="585"/>
      <c r="AB592" s="585"/>
      <c r="AC592" s="586"/>
      <c r="AD592" s="585"/>
      <c r="AE592" s="585"/>
      <c r="AF592" s="585"/>
      <c r="AG592" s="585"/>
      <c r="AH592" s="754">
        <v>0</v>
      </c>
      <c r="AI592" s="585"/>
      <c r="AJ592" s="585"/>
      <c r="AK592" s="585"/>
      <c r="AL592" s="585"/>
      <c r="AM592" s="754">
        <v>2.871</v>
      </c>
      <c r="AN592" s="585"/>
      <c r="AO592" s="585"/>
      <c r="AP592" s="585"/>
      <c r="AQ592" s="585"/>
      <c r="AR592" s="754">
        <v>5.0359999999999996</v>
      </c>
      <c r="AS592" s="585"/>
      <c r="AT592" s="585"/>
      <c r="AU592" s="585"/>
      <c r="AV592" s="585"/>
      <c r="AW592" s="586"/>
      <c r="AX592" s="585"/>
      <c r="AY592" s="585"/>
      <c r="AZ592" s="585"/>
      <c r="BA592" s="585"/>
      <c r="BB592" s="586"/>
      <c r="BC592" s="585"/>
      <c r="BD592" s="585"/>
      <c r="BE592" s="585"/>
      <c r="BF592" s="585"/>
      <c r="BG592" s="586"/>
      <c r="BH592" s="585"/>
      <c r="BI592" s="585"/>
      <c r="BJ592" s="585"/>
      <c r="BK592" s="585"/>
      <c r="BL592" s="586"/>
      <c r="BM592" s="585"/>
      <c r="BN592" s="585"/>
      <c r="BO592" s="585"/>
      <c r="BP592" s="585"/>
      <c r="BQ592" s="586"/>
      <c r="BR592" s="585"/>
      <c r="BS592" s="585"/>
      <c r="BT592" s="585"/>
      <c r="BU592" s="585"/>
      <c r="BV592" s="586"/>
      <c r="BW592" s="585"/>
      <c r="BX592" s="585"/>
      <c r="BY592" s="585"/>
      <c r="BZ592" s="585"/>
      <c r="CA592" s="586"/>
      <c r="CB592" s="585"/>
      <c r="CC592" s="585"/>
      <c r="CD592" s="585"/>
      <c r="CE592" s="585"/>
      <c r="CF592" s="586"/>
      <c r="CG592" s="470"/>
      <c r="CH592" s="470"/>
      <c r="CI592" s="470"/>
      <c r="CJ592" s="470"/>
      <c r="CK592" s="586"/>
      <c r="CL592" s="470"/>
      <c r="CM592" s="470"/>
      <c r="CN592" s="470"/>
      <c r="CO592" s="470"/>
      <c r="CP592" s="586"/>
      <c r="CQ592" s="470"/>
      <c r="CR592" s="470"/>
      <c r="CS592" s="470"/>
      <c r="CT592" s="470"/>
      <c r="CU592" s="586"/>
      <c r="CV592" s="470"/>
      <c r="CW592" s="470"/>
      <c r="CX592" s="470"/>
      <c r="CY592" s="470"/>
      <c r="CZ592" s="586"/>
      <c r="DA592" s="470"/>
      <c r="DB592" s="470"/>
      <c r="DC592" s="470"/>
      <c r="DD592" s="470"/>
      <c r="DE592" s="586"/>
      <c r="DF592" s="470"/>
      <c r="DG592" s="470"/>
      <c r="DH592" s="470"/>
      <c r="DI592" s="914"/>
      <c r="DJ592" s="586"/>
      <c r="DK592" s="470"/>
      <c r="DL592" s="470"/>
      <c r="DM592" s="470"/>
      <c r="DN592" s="470"/>
      <c r="DO592" s="586"/>
      <c r="DP592" s="470"/>
      <c r="DQ592" s="470"/>
      <c r="DR592" s="470"/>
      <c r="DS592" s="470"/>
      <c r="DT592" s="586"/>
      <c r="DU592" s="470"/>
      <c r="DV592" s="470"/>
      <c r="DW592" s="470"/>
      <c r="DX592" s="470"/>
      <c r="DY592" s="586"/>
    </row>
    <row r="593" spans="1:129" hidden="1" outlineLevel="1" x14ac:dyDescent="0.2">
      <c r="A593" s="466"/>
      <c r="B593" s="607" t="s">
        <v>934</v>
      </c>
      <c r="C593" s="587"/>
      <c r="D593" s="587" t="s">
        <v>921</v>
      </c>
      <c r="E593" s="585"/>
      <c r="F593" s="585"/>
      <c r="G593" s="585"/>
      <c r="H593" s="585"/>
      <c r="I593" s="586"/>
      <c r="J593" s="585"/>
      <c r="K593" s="585"/>
      <c r="L593" s="585"/>
      <c r="M593" s="585"/>
      <c r="N593" s="586"/>
      <c r="O593" s="585"/>
      <c r="P593" s="585"/>
      <c r="Q593" s="585"/>
      <c r="R593" s="585"/>
      <c r="S593" s="586"/>
      <c r="T593" s="585"/>
      <c r="U593" s="585"/>
      <c r="V593" s="585"/>
      <c r="W593" s="585"/>
      <c r="X593" s="586"/>
      <c r="Y593" s="585"/>
      <c r="Z593" s="585"/>
      <c r="AA593" s="585"/>
      <c r="AB593" s="585"/>
      <c r="AC593" s="586"/>
      <c r="AD593" s="585"/>
      <c r="AE593" s="585"/>
      <c r="AF593" s="585"/>
      <c r="AG593" s="585"/>
      <c r="AH593" s="754">
        <v>1.2</v>
      </c>
      <c r="AI593" s="585"/>
      <c r="AJ593" s="585"/>
      <c r="AK593" s="585"/>
      <c r="AL593" s="585"/>
      <c r="AM593" s="754">
        <v>0</v>
      </c>
      <c r="AN593" s="585"/>
      <c r="AO593" s="585"/>
      <c r="AP593" s="585"/>
      <c r="AQ593" s="585"/>
      <c r="AR593" s="754">
        <v>0</v>
      </c>
      <c r="AS593" s="585"/>
      <c r="AT593" s="585"/>
      <c r="AU593" s="585"/>
      <c r="AV593" s="585"/>
      <c r="AW593" s="586"/>
      <c r="AX593" s="585"/>
      <c r="AY593" s="585"/>
      <c r="AZ593" s="585"/>
      <c r="BA593" s="585"/>
      <c r="BB593" s="586"/>
      <c r="BC593" s="585"/>
      <c r="BD593" s="585"/>
      <c r="BE593" s="585"/>
      <c r="BF593" s="585"/>
      <c r="BG593" s="586"/>
      <c r="BH593" s="585"/>
      <c r="BI593" s="585"/>
      <c r="BJ593" s="585"/>
      <c r="BK593" s="585"/>
      <c r="BL593" s="586"/>
      <c r="BM593" s="585"/>
      <c r="BN593" s="585"/>
      <c r="BO593" s="585"/>
      <c r="BP593" s="585"/>
      <c r="BQ593" s="586"/>
      <c r="BR593" s="585"/>
      <c r="BS593" s="585"/>
      <c r="BT593" s="585"/>
      <c r="BU593" s="585"/>
      <c r="BV593" s="586"/>
      <c r="BW593" s="585"/>
      <c r="BX593" s="585"/>
      <c r="BY593" s="585"/>
      <c r="BZ593" s="585"/>
      <c r="CA593" s="586"/>
      <c r="CB593" s="585"/>
      <c r="CC593" s="585"/>
      <c r="CD593" s="585"/>
      <c r="CE593" s="585"/>
      <c r="CF593" s="586"/>
      <c r="CG593" s="470"/>
      <c r="CH593" s="470"/>
      <c r="CI593" s="470"/>
      <c r="CJ593" s="470"/>
      <c r="CK593" s="586"/>
      <c r="CL593" s="470"/>
      <c r="CM593" s="470"/>
      <c r="CN593" s="470"/>
      <c r="CO593" s="470"/>
      <c r="CP593" s="586"/>
      <c r="CQ593" s="470"/>
      <c r="CR593" s="470"/>
      <c r="CS593" s="470"/>
      <c r="CT593" s="470"/>
      <c r="CU593" s="586"/>
      <c r="CV593" s="470"/>
      <c r="CW593" s="470"/>
      <c r="CX593" s="470"/>
      <c r="CY593" s="470"/>
      <c r="CZ593" s="586"/>
      <c r="DA593" s="470"/>
      <c r="DB593" s="470"/>
      <c r="DC593" s="470"/>
      <c r="DD593" s="470"/>
      <c r="DE593" s="586"/>
      <c r="DF593" s="470"/>
      <c r="DG593" s="470"/>
      <c r="DH593" s="470"/>
      <c r="DI593" s="914"/>
      <c r="DJ593" s="586"/>
      <c r="DK593" s="470"/>
      <c r="DL593" s="470"/>
      <c r="DM593" s="470"/>
      <c r="DN593" s="470"/>
      <c r="DO593" s="586"/>
      <c r="DP593" s="470"/>
      <c r="DQ593" s="470"/>
      <c r="DR593" s="470"/>
      <c r="DS593" s="470"/>
      <c r="DT593" s="586"/>
      <c r="DU593" s="470"/>
      <c r="DV593" s="470"/>
      <c r="DW593" s="470"/>
      <c r="DX593" s="470"/>
      <c r="DY593" s="586"/>
    </row>
    <row r="594" spans="1:129" hidden="1" outlineLevel="1" x14ac:dyDescent="0.2">
      <c r="A594" s="466"/>
      <c r="B594" s="607"/>
      <c r="C594" s="587"/>
      <c r="D594" s="587" t="s">
        <v>921</v>
      </c>
      <c r="E594" s="585"/>
      <c r="F594" s="585"/>
      <c r="G594" s="585"/>
      <c r="H594" s="585"/>
      <c r="I594" s="586"/>
      <c r="J594" s="585"/>
      <c r="K594" s="585"/>
      <c r="L594" s="585"/>
      <c r="M594" s="585"/>
      <c r="N594" s="586"/>
      <c r="O594" s="585"/>
      <c r="P594" s="585"/>
      <c r="Q594" s="585"/>
      <c r="R594" s="585"/>
      <c r="S594" s="586"/>
      <c r="T594" s="585"/>
      <c r="U594" s="585"/>
      <c r="V594" s="585"/>
      <c r="W594" s="585"/>
      <c r="X594" s="586"/>
      <c r="Y594" s="585"/>
      <c r="Z594" s="585"/>
      <c r="AA594" s="585"/>
      <c r="AB594" s="585"/>
      <c r="AC594" s="586"/>
      <c r="AD594" s="585"/>
      <c r="AE594" s="585"/>
      <c r="AF594" s="585"/>
      <c r="AG594" s="585"/>
      <c r="AH594" s="586"/>
      <c r="AI594" s="585"/>
      <c r="AJ594" s="585"/>
      <c r="AK594" s="585"/>
      <c r="AL594" s="585"/>
      <c r="AM594" s="586"/>
      <c r="AN594" s="585"/>
      <c r="AO594" s="585"/>
      <c r="AP594" s="585"/>
      <c r="AQ594" s="585"/>
      <c r="AR594" s="586"/>
      <c r="AS594" s="585"/>
      <c r="AT594" s="585"/>
      <c r="AU594" s="585"/>
      <c r="AV594" s="585"/>
      <c r="AW594" s="586"/>
      <c r="AX594" s="585"/>
      <c r="AY594" s="585"/>
      <c r="AZ594" s="585"/>
      <c r="BA594" s="585"/>
      <c r="BB594" s="586"/>
      <c r="BC594" s="585"/>
      <c r="BD594" s="585"/>
      <c r="BE594" s="585"/>
      <c r="BF594" s="585"/>
      <c r="BG594" s="586"/>
      <c r="BH594" s="585"/>
      <c r="BI594" s="585"/>
      <c r="BJ594" s="585"/>
      <c r="BK594" s="585"/>
      <c r="BL594" s="586"/>
      <c r="BM594" s="585"/>
      <c r="BN594" s="585"/>
      <c r="BO594" s="585"/>
      <c r="BP594" s="585"/>
      <c r="BQ594" s="586"/>
      <c r="BR594" s="585"/>
      <c r="BS594" s="585"/>
      <c r="BT594" s="585"/>
      <c r="BU594" s="585"/>
      <c r="BV594" s="586"/>
      <c r="BW594" s="585"/>
      <c r="BX594" s="585"/>
      <c r="BY594" s="585"/>
      <c r="BZ594" s="585"/>
      <c r="CA594" s="586"/>
      <c r="CB594" s="585"/>
      <c r="CC594" s="585"/>
      <c r="CD594" s="585"/>
      <c r="CE594" s="585"/>
      <c r="CF594" s="586"/>
      <c r="CG594" s="470"/>
      <c r="CH594" s="470"/>
      <c r="CI594" s="470"/>
      <c r="CJ594" s="470"/>
      <c r="CK594" s="586"/>
      <c r="CL594" s="470"/>
      <c r="CM594" s="470"/>
      <c r="CN594" s="470"/>
      <c r="CO594" s="470"/>
      <c r="CP594" s="586"/>
      <c r="CQ594" s="470"/>
      <c r="CR594" s="470"/>
      <c r="CS594" s="470"/>
      <c r="CT594" s="470"/>
      <c r="CU594" s="586"/>
      <c r="CV594" s="470"/>
      <c r="CW594" s="470"/>
      <c r="CX594" s="470"/>
      <c r="CY594" s="470"/>
      <c r="CZ594" s="586"/>
      <c r="DA594" s="470"/>
      <c r="DB594" s="470"/>
      <c r="DC594" s="470"/>
      <c r="DD594" s="470"/>
      <c r="DE594" s="586"/>
      <c r="DF594" s="470"/>
      <c r="DG594" s="470"/>
      <c r="DH594" s="470"/>
      <c r="DI594" s="914"/>
      <c r="DJ594" s="586"/>
      <c r="DK594" s="470"/>
      <c r="DL594" s="470"/>
      <c r="DM594" s="470"/>
      <c r="DN594" s="470"/>
      <c r="DO594" s="586"/>
      <c r="DP594" s="470"/>
      <c r="DQ594" s="470"/>
      <c r="DR594" s="470"/>
      <c r="DS594" s="470"/>
      <c r="DT594" s="586"/>
      <c r="DU594" s="470"/>
      <c r="DV594" s="470"/>
      <c r="DW594" s="470"/>
      <c r="DX594" s="470"/>
      <c r="DY594" s="586"/>
    </row>
    <row r="595" spans="1:129" hidden="1" outlineLevel="1" x14ac:dyDescent="0.2">
      <c r="A595" s="466"/>
      <c r="B595" s="607"/>
      <c r="C595" s="585"/>
      <c r="D595" s="585"/>
      <c r="E595" s="585"/>
      <c r="F595" s="585"/>
      <c r="G595" s="585"/>
      <c r="H595" s="585"/>
      <c r="I595" s="586"/>
      <c r="J595" s="585"/>
      <c r="K595" s="585"/>
      <c r="L595" s="585"/>
      <c r="M595" s="585"/>
      <c r="N595" s="586"/>
      <c r="O595" s="585"/>
      <c r="P595" s="585"/>
      <c r="Q595" s="585"/>
      <c r="R595" s="585"/>
      <c r="S595" s="586"/>
      <c r="T595" s="585"/>
      <c r="U595" s="585"/>
      <c r="V595" s="585"/>
      <c r="W595" s="585"/>
      <c r="X595" s="586"/>
      <c r="Y595" s="585"/>
      <c r="Z595" s="585"/>
      <c r="AA595" s="585"/>
      <c r="AB595" s="585"/>
      <c r="AC595" s="586"/>
      <c r="AD595" s="585"/>
      <c r="AE595" s="585"/>
      <c r="AF595" s="585"/>
      <c r="AG595" s="585"/>
      <c r="AH595" s="586"/>
      <c r="AI595" s="585"/>
      <c r="AJ595" s="585"/>
      <c r="AK595" s="585"/>
      <c r="AL595" s="585"/>
      <c r="AM595" s="586"/>
      <c r="AN595" s="585"/>
      <c r="AO595" s="585"/>
      <c r="AP595" s="585"/>
      <c r="AQ595" s="585"/>
      <c r="AR595" s="586"/>
      <c r="AS595" s="585"/>
      <c r="AT595" s="585"/>
      <c r="AU595" s="585"/>
      <c r="AV595" s="585"/>
      <c r="AW595" s="586"/>
      <c r="AX595" s="585"/>
      <c r="AY595" s="585"/>
      <c r="AZ595" s="585"/>
      <c r="BA595" s="585"/>
      <c r="BB595" s="586"/>
      <c r="BC595" s="585"/>
      <c r="BD595" s="585"/>
      <c r="BE595" s="585"/>
      <c r="BF595" s="585"/>
      <c r="BG595" s="586"/>
      <c r="BH595" s="585"/>
      <c r="BI595" s="585"/>
      <c r="BJ595" s="585"/>
      <c r="BK595" s="585"/>
      <c r="BL595" s="586"/>
      <c r="BM595" s="585"/>
      <c r="BN595" s="585"/>
      <c r="BO595" s="585"/>
      <c r="BP595" s="585"/>
      <c r="BQ595" s="586"/>
      <c r="BR595" s="585"/>
      <c r="BS595" s="585"/>
      <c r="BT595" s="585"/>
      <c r="BU595" s="585"/>
      <c r="BV595" s="586"/>
      <c r="BW595" s="585"/>
      <c r="BX595" s="585"/>
      <c r="BY595" s="585"/>
      <c r="BZ595" s="585"/>
      <c r="CA595" s="586"/>
      <c r="CB595" s="585"/>
      <c r="CC595" s="585"/>
      <c r="CD595" s="585"/>
      <c r="CE595" s="585"/>
      <c r="CF595" s="586"/>
      <c r="CG595" s="470"/>
      <c r="CH595" s="470"/>
      <c r="CI595" s="470"/>
      <c r="CJ595" s="470"/>
      <c r="CK595" s="586"/>
      <c r="CL595" s="470"/>
      <c r="CM595" s="470"/>
      <c r="CN595" s="470"/>
      <c r="CO595" s="470"/>
      <c r="CP595" s="586"/>
      <c r="CQ595" s="470"/>
      <c r="CR595" s="470"/>
      <c r="CS595" s="470"/>
      <c r="CT595" s="470"/>
      <c r="CU595" s="586"/>
      <c r="CV595" s="470"/>
      <c r="CW595" s="470"/>
      <c r="CX595" s="470"/>
      <c r="CY595" s="470"/>
      <c r="CZ595" s="586"/>
      <c r="DA595" s="470"/>
      <c r="DB595" s="470"/>
      <c r="DC595" s="470"/>
      <c r="DD595" s="470"/>
      <c r="DE595" s="586"/>
      <c r="DF595" s="470"/>
      <c r="DG595" s="470"/>
      <c r="DH595" s="470"/>
      <c r="DI595" s="914"/>
      <c r="DJ595" s="586"/>
      <c r="DK595" s="470"/>
      <c r="DL595" s="470"/>
      <c r="DM595" s="470"/>
      <c r="DN595" s="470"/>
      <c r="DO595" s="586"/>
      <c r="DP595" s="470"/>
      <c r="DQ595" s="470"/>
      <c r="DR595" s="470"/>
      <c r="DS595" s="470"/>
      <c r="DT595" s="586"/>
      <c r="DU595" s="470"/>
      <c r="DV595" s="470"/>
      <c r="DW595" s="470"/>
      <c r="DX595" s="470"/>
      <c r="DY595" s="586"/>
    </row>
    <row r="596" spans="1:129" hidden="1" outlineLevel="1" x14ac:dyDescent="0.2">
      <c r="A596" s="466"/>
      <c r="B596" s="607" t="s">
        <v>935</v>
      </c>
      <c r="C596" s="587"/>
      <c r="D596" s="587" t="s">
        <v>921</v>
      </c>
      <c r="E596" s="585"/>
      <c r="F596" s="585"/>
      <c r="G596" s="585"/>
      <c r="H596" s="585"/>
      <c r="I596" s="586"/>
      <c r="J596" s="585"/>
      <c r="K596" s="585"/>
      <c r="L596" s="585"/>
      <c r="M596" s="585"/>
      <c r="N596" s="586"/>
      <c r="O596" s="585"/>
      <c r="P596" s="585"/>
      <c r="Q596" s="585"/>
      <c r="R596" s="585"/>
      <c r="S596" s="586"/>
      <c r="T596" s="585"/>
      <c r="U596" s="585"/>
      <c r="V596" s="585"/>
      <c r="W596" s="585"/>
      <c r="X596" s="586"/>
      <c r="Y596" s="585"/>
      <c r="Z596" s="585"/>
      <c r="AA596" s="585"/>
      <c r="AB596" s="585"/>
      <c r="AC596" s="586"/>
      <c r="AD596" s="585"/>
      <c r="AE596" s="585"/>
      <c r="AF596" s="585"/>
      <c r="AG596" s="585"/>
      <c r="AH596" s="754">
        <v>45.965000000000003</v>
      </c>
      <c r="AI596" s="585"/>
      <c r="AJ596" s="585"/>
      <c r="AK596" s="585"/>
      <c r="AL596" s="585"/>
      <c r="AM596" s="754">
        <v>200.06100000000001</v>
      </c>
      <c r="AN596" s="585"/>
      <c r="AO596" s="585"/>
      <c r="AP596" s="585"/>
      <c r="AQ596" s="585"/>
      <c r="AR596" s="754">
        <v>280.79500000000002</v>
      </c>
      <c r="AS596" s="585"/>
      <c r="AT596" s="585"/>
      <c r="AU596" s="585"/>
      <c r="AV596" s="585"/>
      <c r="AW596" s="586"/>
      <c r="AX596" s="585"/>
      <c r="AY596" s="585"/>
      <c r="AZ596" s="585"/>
      <c r="BA596" s="585"/>
      <c r="BB596" s="586"/>
      <c r="BC596" s="585"/>
      <c r="BD596" s="585"/>
      <c r="BE596" s="585"/>
      <c r="BF596" s="585"/>
      <c r="BG596" s="586"/>
      <c r="BH596" s="585"/>
      <c r="BI596" s="585"/>
      <c r="BJ596" s="585"/>
      <c r="BK596" s="585"/>
      <c r="BL596" s="586"/>
      <c r="BM596" s="585"/>
      <c r="BN596" s="585"/>
      <c r="BO596" s="585"/>
      <c r="BP596" s="585"/>
      <c r="BQ596" s="586"/>
      <c r="BR596" s="585"/>
      <c r="BS596" s="585"/>
      <c r="BT596" s="585"/>
      <c r="BU596" s="585"/>
      <c r="BV596" s="586"/>
      <c r="BW596" s="585"/>
      <c r="BX596" s="585"/>
      <c r="BY596" s="585"/>
      <c r="BZ596" s="585"/>
      <c r="CA596" s="586"/>
      <c r="CB596" s="585"/>
      <c r="CC596" s="585"/>
      <c r="CD596" s="585"/>
      <c r="CE596" s="585"/>
      <c r="CF596" s="586"/>
      <c r="CG596" s="470"/>
      <c r="CH596" s="470"/>
      <c r="CI596" s="470"/>
      <c r="CJ596" s="470"/>
      <c r="CK596" s="586"/>
      <c r="CL596" s="470"/>
      <c r="CM596" s="470"/>
      <c r="CN596" s="470"/>
      <c r="CO596" s="470"/>
      <c r="CP596" s="586"/>
      <c r="CQ596" s="470"/>
      <c r="CR596" s="470"/>
      <c r="CS596" s="470"/>
      <c r="CT596" s="470"/>
      <c r="CU596" s="586"/>
      <c r="CV596" s="470"/>
      <c r="CW596" s="470"/>
      <c r="CX596" s="470"/>
      <c r="CY596" s="470"/>
      <c r="CZ596" s="586"/>
      <c r="DA596" s="470"/>
      <c r="DB596" s="470"/>
      <c r="DC596" s="470"/>
      <c r="DD596" s="470"/>
      <c r="DE596" s="586"/>
      <c r="DF596" s="470"/>
      <c r="DG596" s="470"/>
      <c r="DH596" s="470"/>
      <c r="DI596" s="914"/>
      <c r="DJ596" s="586"/>
      <c r="DK596" s="470"/>
      <c r="DL596" s="470"/>
      <c r="DM596" s="470"/>
      <c r="DN596" s="470"/>
      <c r="DO596" s="586"/>
      <c r="DP596" s="470"/>
      <c r="DQ596" s="470"/>
      <c r="DR596" s="470"/>
      <c r="DS596" s="470"/>
      <c r="DT596" s="586"/>
      <c r="DU596" s="470"/>
      <c r="DV596" s="470"/>
      <c r="DW596" s="470"/>
      <c r="DX596" s="470"/>
      <c r="DY596" s="586"/>
    </row>
    <row r="597" spans="1:129" hidden="1" outlineLevel="1" x14ac:dyDescent="0.2">
      <c r="A597" s="466"/>
      <c r="B597" s="607"/>
      <c r="C597" s="587"/>
      <c r="D597" s="587" t="s">
        <v>921</v>
      </c>
      <c r="E597" s="585"/>
      <c r="F597" s="585"/>
      <c r="G597" s="585"/>
      <c r="H597" s="585"/>
      <c r="I597" s="586"/>
      <c r="J597" s="585"/>
      <c r="K597" s="585"/>
      <c r="L597" s="585"/>
      <c r="M597" s="585"/>
      <c r="N597" s="586"/>
      <c r="O597" s="585"/>
      <c r="P597" s="585"/>
      <c r="Q597" s="585"/>
      <c r="R597" s="585"/>
      <c r="S597" s="586"/>
      <c r="T597" s="585"/>
      <c r="U597" s="585"/>
      <c r="V597" s="585"/>
      <c r="W597" s="585"/>
      <c r="X597" s="586"/>
      <c r="Y597" s="585"/>
      <c r="Z597" s="585"/>
      <c r="AA597" s="585"/>
      <c r="AB597" s="585"/>
      <c r="AC597" s="586"/>
      <c r="AD597" s="585"/>
      <c r="AE597" s="585"/>
      <c r="AF597" s="585"/>
      <c r="AG597" s="585"/>
      <c r="AH597" s="586"/>
      <c r="AI597" s="585"/>
      <c r="AJ597" s="585"/>
      <c r="AK597" s="585"/>
      <c r="AL597" s="585"/>
      <c r="AM597" s="586"/>
      <c r="AN597" s="585"/>
      <c r="AO597" s="585"/>
      <c r="AP597" s="585"/>
      <c r="AQ597" s="585"/>
      <c r="AR597" s="586"/>
      <c r="AS597" s="585"/>
      <c r="AT597" s="585"/>
      <c r="AU597" s="585"/>
      <c r="AV597" s="585"/>
      <c r="AW597" s="586"/>
      <c r="AX597" s="585"/>
      <c r="AY597" s="585"/>
      <c r="AZ597" s="585"/>
      <c r="BA597" s="585"/>
      <c r="BB597" s="586"/>
      <c r="BC597" s="585"/>
      <c r="BD597" s="585"/>
      <c r="BE597" s="585"/>
      <c r="BF597" s="585"/>
      <c r="BG597" s="586"/>
      <c r="BH597" s="585"/>
      <c r="BI597" s="585"/>
      <c r="BJ597" s="585"/>
      <c r="BK597" s="585"/>
      <c r="BL597" s="586"/>
      <c r="BM597" s="585"/>
      <c r="BN597" s="585"/>
      <c r="BO597" s="585"/>
      <c r="BP597" s="585"/>
      <c r="BQ597" s="586"/>
      <c r="BR597" s="585"/>
      <c r="BS597" s="585"/>
      <c r="BT597" s="585"/>
      <c r="BU597" s="585"/>
      <c r="BV597" s="586"/>
      <c r="BW597" s="585"/>
      <c r="BX597" s="585"/>
      <c r="BY597" s="585"/>
      <c r="BZ597" s="585"/>
      <c r="CA597" s="586"/>
      <c r="CB597" s="585"/>
      <c r="CC597" s="585"/>
      <c r="CD597" s="585"/>
      <c r="CE597" s="585"/>
      <c r="CF597" s="586"/>
      <c r="CG597" s="470"/>
      <c r="CH597" s="470"/>
      <c r="CI597" s="470"/>
      <c r="CJ597" s="470"/>
      <c r="CK597" s="586"/>
      <c r="CL597" s="470"/>
      <c r="CM597" s="470"/>
      <c r="CN597" s="470"/>
      <c r="CO597" s="470"/>
      <c r="CP597" s="586"/>
      <c r="CQ597" s="470"/>
      <c r="CR597" s="470"/>
      <c r="CS597" s="470"/>
      <c r="CT597" s="470"/>
      <c r="CU597" s="586"/>
      <c r="CV597" s="470"/>
      <c r="CW597" s="470"/>
      <c r="CX597" s="470"/>
      <c r="CY597" s="470"/>
      <c r="CZ597" s="586"/>
      <c r="DA597" s="470"/>
      <c r="DB597" s="470"/>
      <c r="DC597" s="470"/>
      <c r="DD597" s="470"/>
      <c r="DE597" s="586"/>
      <c r="DF597" s="470"/>
      <c r="DG597" s="470"/>
      <c r="DH597" s="470"/>
      <c r="DI597" s="914"/>
      <c r="DJ597" s="586"/>
      <c r="DK597" s="470"/>
      <c r="DL597" s="470"/>
      <c r="DM597" s="470"/>
      <c r="DN597" s="470"/>
      <c r="DO597" s="586"/>
      <c r="DP597" s="470"/>
      <c r="DQ597" s="470"/>
      <c r="DR597" s="470"/>
      <c r="DS597" s="470"/>
      <c r="DT597" s="586"/>
      <c r="DU597" s="470"/>
      <c r="DV597" s="470"/>
      <c r="DW597" s="470"/>
      <c r="DX597" s="470"/>
      <c r="DY597" s="586"/>
    </row>
    <row r="598" spans="1:129" hidden="1" outlineLevel="1" x14ac:dyDescent="0.2">
      <c r="A598" s="466"/>
      <c r="B598" s="607"/>
      <c r="C598" s="585"/>
      <c r="D598" s="585"/>
      <c r="E598" s="585"/>
      <c r="F598" s="585"/>
      <c r="G598" s="585"/>
      <c r="H598" s="585"/>
      <c r="I598" s="586"/>
      <c r="J598" s="585"/>
      <c r="K598" s="585"/>
      <c r="L598" s="585"/>
      <c r="M598" s="585"/>
      <c r="N598" s="586"/>
      <c r="O598" s="585"/>
      <c r="P598" s="585"/>
      <c r="Q598" s="585"/>
      <c r="R598" s="585"/>
      <c r="S598" s="586"/>
      <c r="T598" s="585"/>
      <c r="U598" s="585"/>
      <c r="V598" s="585"/>
      <c r="W598" s="585"/>
      <c r="X598" s="586"/>
      <c r="Y598" s="585"/>
      <c r="Z598" s="585"/>
      <c r="AA598" s="585"/>
      <c r="AB598" s="585"/>
      <c r="AC598" s="586"/>
      <c r="AD598" s="585"/>
      <c r="AE598" s="585"/>
      <c r="AF598" s="585"/>
      <c r="AG598" s="585"/>
      <c r="AH598" s="586"/>
      <c r="AI598" s="585"/>
      <c r="AJ598" s="585"/>
      <c r="AK598" s="585"/>
      <c r="AL598" s="585"/>
      <c r="AM598" s="586"/>
      <c r="AN598" s="585"/>
      <c r="AO598" s="585"/>
      <c r="AP598" s="585"/>
      <c r="AQ598" s="585"/>
      <c r="AR598" s="586"/>
      <c r="AS598" s="585"/>
      <c r="AT598" s="585"/>
      <c r="AU598" s="585"/>
      <c r="AV598" s="585"/>
      <c r="AW598" s="586"/>
      <c r="AX598" s="585"/>
      <c r="AY598" s="585"/>
      <c r="AZ598" s="585"/>
      <c r="BA598" s="585"/>
      <c r="BB598" s="586"/>
      <c r="BC598" s="585"/>
      <c r="BD598" s="585"/>
      <c r="BE598" s="585"/>
      <c r="BF598" s="585"/>
      <c r="BG598" s="586"/>
      <c r="BH598" s="585"/>
      <c r="BI598" s="585"/>
      <c r="BJ598" s="585"/>
      <c r="BK598" s="585"/>
      <c r="BL598" s="586"/>
      <c r="BM598" s="585"/>
      <c r="BN598" s="585"/>
      <c r="BO598" s="585"/>
      <c r="BP598" s="585"/>
      <c r="BQ598" s="586"/>
      <c r="BR598" s="585"/>
      <c r="BS598" s="585"/>
      <c r="BT598" s="585"/>
      <c r="BU598" s="585"/>
      <c r="BV598" s="586"/>
      <c r="BW598" s="585"/>
      <c r="BX598" s="585"/>
      <c r="BY598" s="585"/>
      <c r="BZ598" s="585"/>
      <c r="CA598" s="586"/>
      <c r="CB598" s="585"/>
      <c r="CC598" s="585"/>
      <c r="CD598" s="585"/>
      <c r="CE598" s="585"/>
      <c r="CF598" s="586"/>
      <c r="CG598" s="470"/>
      <c r="CH598" s="470"/>
      <c r="CI598" s="470"/>
      <c r="CJ598" s="470"/>
      <c r="CK598" s="586"/>
      <c r="CL598" s="470"/>
      <c r="CM598" s="470"/>
      <c r="CN598" s="470"/>
      <c r="CO598" s="470"/>
      <c r="CP598" s="586"/>
      <c r="CQ598" s="470"/>
      <c r="CR598" s="470"/>
      <c r="CS598" s="470"/>
      <c r="CT598" s="470"/>
      <c r="CU598" s="586"/>
      <c r="CV598" s="470"/>
      <c r="CW598" s="470"/>
      <c r="CX598" s="470"/>
      <c r="CY598" s="470"/>
      <c r="CZ598" s="586"/>
      <c r="DA598" s="470"/>
      <c r="DB598" s="470"/>
      <c r="DC598" s="470"/>
      <c r="DD598" s="470"/>
      <c r="DE598" s="586"/>
      <c r="DF598" s="470"/>
      <c r="DG598" s="470"/>
      <c r="DH598" s="470"/>
      <c r="DI598" s="914"/>
      <c r="DJ598" s="586"/>
      <c r="DK598" s="470"/>
      <c r="DL598" s="470"/>
      <c r="DM598" s="470"/>
      <c r="DN598" s="470"/>
      <c r="DO598" s="586"/>
      <c r="DP598" s="470"/>
      <c r="DQ598" s="470"/>
      <c r="DR598" s="470"/>
      <c r="DS598" s="470"/>
      <c r="DT598" s="586"/>
      <c r="DU598" s="470"/>
      <c r="DV598" s="470"/>
      <c r="DW598" s="470"/>
      <c r="DX598" s="470"/>
      <c r="DY598" s="586"/>
    </row>
    <row r="599" spans="1:129" hidden="1" outlineLevel="1" x14ac:dyDescent="0.2">
      <c r="A599" s="466"/>
      <c r="B599" s="607" t="s">
        <v>936</v>
      </c>
      <c r="C599" s="587"/>
      <c r="D599" s="587" t="s">
        <v>921</v>
      </c>
      <c r="E599" s="585"/>
      <c r="F599" s="585"/>
      <c r="G599" s="585"/>
      <c r="H599" s="585"/>
      <c r="I599" s="586"/>
      <c r="J599" s="585"/>
      <c r="K599" s="585"/>
      <c r="L599" s="585"/>
      <c r="M599" s="585"/>
      <c r="N599" s="586"/>
      <c r="O599" s="585"/>
      <c r="P599" s="585"/>
      <c r="Q599" s="585"/>
      <c r="R599" s="585"/>
      <c r="S599" s="586"/>
      <c r="T599" s="585"/>
      <c r="U599" s="585"/>
      <c r="V599" s="585"/>
      <c r="W599" s="585"/>
      <c r="X599" s="586"/>
      <c r="Y599" s="585"/>
      <c r="Z599" s="585"/>
      <c r="AA599" s="585"/>
      <c r="AB599" s="585"/>
      <c r="AC599" s="586"/>
      <c r="AD599" s="585"/>
      <c r="AE599" s="585"/>
      <c r="AF599" s="585"/>
      <c r="AG599" s="585"/>
      <c r="AH599" s="754">
        <v>24.291</v>
      </c>
      <c r="AI599" s="585"/>
      <c r="AJ599" s="585"/>
      <c r="AK599" s="585"/>
      <c r="AL599" s="585"/>
      <c r="AM599" s="754">
        <v>79.015000000000001</v>
      </c>
      <c r="AN599" s="585"/>
      <c r="AO599" s="585"/>
      <c r="AP599" s="585"/>
      <c r="AQ599" s="585"/>
      <c r="AR599" s="754">
        <v>110.914</v>
      </c>
      <c r="AS599" s="585"/>
      <c r="AT599" s="585"/>
      <c r="AU599" s="585"/>
      <c r="AV599" s="585"/>
      <c r="AW599" s="586"/>
      <c r="AX599" s="585"/>
      <c r="AY599" s="585"/>
      <c r="AZ599" s="585"/>
      <c r="BA599" s="585"/>
      <c r="BB599" s="586"/>
      <c r="BC599" s="585"/>
      <c r="BD599" s="585"/>
      <c r="BE599" s="585"/>
      <c r="BF599" s="585"/>
      <c r="BG599" s="586"/>
      <c r="BH599" s="585"/>
      <c r="BI599" s="585"/>
      <c r="BJ599" s="585"/>
      <c r="BK599" s="585"/>
      <c r="BL599" s="586"/>
      <c r="BM599" s="585"/>
      <c r="BN599" s="585"/>
      <c r="BO599" s="585"/>
      <c r="BP599" s="585"/>
      <c r="BQ599" s="586"/>
      <c r="BR599" s="585"/>
      <c r="BS599" s="585"/>
      <c r="BT599" s="585"/>
      <c r="BU599" s="585"/>
      <c r="BV599" s="586"/>
      <c r="BW599" s="585"/>
      <c r="BX599" s="585"/>
      <c r="BY599" s="585"/>
      <c r="BZ599" s="585"/>
      <c r="CA599" s="586"/>
      <c r="CB599" s="585"/>
      <c r="CC599" s="585"/>
      <c r="CD599" s="585"/>
      <c r="CE599" s="585"/>
      <c r="CF599" s="586"/>
      <c r="CG599" s="470"/>
      <c r="CH599" s="470"/>
      <c r="CI599" s="470"/>
      <c r="CJ599" s="470"/>
      <c r="CK599" s="586"/>
      <c r="CL599" s="470"/>
      <c r="CM599" s="470"/>
      <c r="CN599" s="470"/>
      <c r="CO599" s="470"/>
      <c r="CP599" s="586"/>
      <c r="CQ599" s="470"/>
      <c r="CR599" s="470"/>
      <c r="CS599" s="470"/>
      <c r="CT599" s="470"/>
      <c r="CU599" s="586"/>
      <c r="CV599" s="470"/>
      <c r="CW599" s="470"/>
      <c r="CX599" s="470"/>
      <c r="CY599" s="470"/>
      <c r="CZ599" s="586"/>
      <c r="DA599" s="470"/>
      <c r="DB599" s="470"/>
      <c r="DC599" s="470"/>
      <c r="DD599" s="470"/>
      <c r="DE599" s="586"/>
      <c r="DF599" s="470"/>
      <c r="DG599" s="470"/>
      <c r="DH599" s="470"/>
      <c r="DI599" s="914"/>
      <c r="DJ599" s="586"/>
      <c r="DK599" s="470"/>
      <c r="DL599" s="470"/>
      <c r="DM599" s="470"/>
      <c r="DN599" s="470"/>
      <c r="DO599" s="586"/>
      <c r="DP599" s="470"/>
      <c r="DQ599" s="470"/>
      <c r="DR599" s="470"/>
      <c r="DS599" s="470"/>
      <c r="DT599" s="586"/>
      <c r="DU599" s="470"/>
      <c r="DV599" s="470"/>
      <c r="DW599" s="470"/>
      <c r="DX599" s="470"/>
      <c r="DY599" s="586"/>
    </row>
    <row r="600" spans="1:129" hidden="1" outlineLevel="1" x14ac:dyDescent="0.2">
      <c r="A600" s="466"/>
      <c r="B600" s="607"/>
      <c r="C600" s="587"/>
      <c r="D600" s="587" t="s">
        <v>921</v>
      </c>
      <c r="E600" s="585"/>
      <c r="F600" s="585"/>
      <c r="G600" s="585"/>
      <c r="H600" s="585"/>
      <c r="I600" s="586"/>
      <c r="J600" s="585"/>
      <c r="K600" s="585"/>
      <c r="L600" s="585"/>
      <c r="M600" s="585"/>
      <c r="N600" s="586"/>
      <c r="O600" s="585"/>
      <c r="P600" s="585"/>
      <c r="Q600" s="585"/>
      <c r="R600" s="585"/>
      <c r="S600" s="586"/>
      <c r="T600" s="585"/>
      <c r="U600" s="585"/>
      <c r="V600" s="585"/>
      <c r="W600" s="585"/>
      <c r="X600" s="586"/>
      <c r="Y600" s="585"/>
      <c r="Z600" s="585"/>
      <c r="AA600" s="585"/>
      <c r="AB600" s="585"/>
      <c r="AC600" s="586"/>
      <c r="AD600" s="585"/>
      <c r="AE600" s="585"/>
      <c r="AF600" s="585"/>
      <c r="AG600" s="585"/>
      <c r="AH600" s="586"/>
      <c r="AI600" s="585"/>
      <c r="AJ600" s="585"/>
      <c r="AK600" s="585"/>
      <c r="AL600" s="585"/>
      <c r="AM600" s="586"/>
      <c r="AN600" s="585"/>
      <c r="AO600" s="585"/>
      <c r="AP600" s="585"/>
      <c r="AQ600" s="585"/>
      <c r="AR600" s="586"/>
      <c r="AS600" s="585"/>
      <c r="AT600" s="585"/>
      <c r="AU600" s="585"/>
      <c r="AV600" s="585"/>
      <c r="AW600" s="586"/>
      <c r="AX600" s="585"/>
      <c r="AY600" s="585"/>
      <c r="AZ600" s="585"/>
      <c r="BA600" s="585"/>
      <c r="BB600" s="586"/>
      <c r="BC600" s="585"/>
      <c r="BD600" s="585"/>
      <c r="BE600" s="585"/>
      <c r="BF600" s="585"/>
      <c r="BG600" s="586"/>
      <c r="BH600" s="585"/>
      <c r="BI600" s="585"/>
      <c r="BJ600" s="585"/>
      <c r="BK600" s="585"/>
      <c r="BL600" s="586"/>
      <c r="BM600" s="585"/>
      <c r="BN600" s="585"/>
      <c r="BO600" s="585"/>
      <c r="BP600" s="585"/>
      <c r="BQ600" s="586"/>
      <c r="BR600" s="585"/>
      <c r="BS600" s="585"/>
      <c r="BT600" s="585"/>
      <c r="BU600" s="585"/>
      <c r="BV600" s="586"/>
      <c r="BW600" s="585"/>
      <c r="BX600" s="585"/>
      <c r="BY600" s="585"/>
      <c r="BZ600" s="585"/>
      <c r="CA600" s="586"/>
      <c r="CB600" s="585"/>
      <c r="CC600" s="585"/>
      <c r="CD600" s="585"/>
      <c r="CE600" s="585"/>
      <c r="CF600" s="586"/>
      <c r="CG600" s="470"/>
      <c r="CH600" s="470"/>
      <c r="CI600" s="470"/>
      <c r="CJ600" s="470"/>
      <c r="CK600" s="586"/>
      <c r="CL600" s="470"/>
      <c r="CM600" s="470"/>
      <c r="CN600" s="470"/>
      <c r="CO600" s="470"/>
      <c r="CP600" s="586"/>
      <c r="CQ600" s="470"/>
      <c r="CR600" s="470"/>
      <c r="CS600" s="470"/>
      <c r="CT600" s="470"/>
      <c r="CU600" s="586"/>
      <c r="CV600" s="470"/>
      <c r="CW600" s="470"/>
      <c r="CX600" s="470"/>
      <c r="CY600" s="470"/>
      <c r="CZ600" s="586"/>
      <c r="DA600" s="470"/>
      <c r="DB600" s="470"/>
      <c r="DC600" s="470"/>
      <c r="DD600" s="470"/>
      <c r="DE600" s="586"/>
      <c r="DF600" s="470"/>
      <c r="DG600" s="470"/>
      <c r="DH600" s="470"/>
      <c r="DI600" s="914"/>
      <c r="DJ600" s="586"/>
      <c r="DK600" s="470"/>
      <c r="DL600" s="470"/>
      <c r="DM600" s="470"/>
      <c r="DN600" s="470"/>
      <c r="DO600" s="586"/>
      <c r="DP600" s="470"/>
      <c r="DQ600" s="470"/>
      <c r="DR600" s="470"/>
      <c r="DS600" s="470"/>
      <c r="DT600" s="586"/>
      <c r="DU600" s="470"/>
      <c r="DV600" s="470"/>
      <c r="DW600" s="470"/>
      <c r="DX600" s="470"/>
      <c r="DY600" s="586"/>
    </row>
    <row r="601" spans="1:129" hidden="1" outlineLevel="1" x14ac:dyDescent="0.2">
      <c r="A601" s="466"/>
      <c r="B601" s="607"/>
      <c r="C601" s="585"/>
      <c r="D601" s="585"/>
      <c r="E601" s="585"/>
      <c r="F601" s="585"/>
      <c r="G601" s="585"/>
      <c r="H601" s="585"/>
      <c r="I601" s="586"/>
      <c r="J601" s="585"/>
      <c r="K601" s="585"/>
      <c r="L601" s="585"/>
      <c r="M601" s="585"/>
      <c r="N601" s="586"/>
      <c r="O601" s="585"/>
      <c r="P601" s="585"/>
      <c r="Q601" s="585"/>
      <c r="R601" s="585"/>
      <c r="S601" s="586"/>
      <c r="T601" s="585"/>
      <c r="U601" s="585"/>
      <c r="V601" s="585"/>
      <c r="W601" s="585"/>
      <c r="X601" s="586"/>
      <c r="Y601" s="585"/>
      <c r="Z601" s="585"/>
      <c r="AA601" s="585"/>
      <c r="AB601" s="585"/>
      <c r="AC601" s="586"/>
      <c r="AD601" s="585"/>
      <c r="AE601" s="585"/>
      <c r="AF601" s="585"/>
      <c r="AG601" s="585"/>
      <c r="AH601" s="586"/>
      <c r="AI601" s="585"/>
      <c r="AJ601" s="585"/>
      <c r="AK601" s="585"/>
      <c r="AL601" s="585"/>
      <c r="AM601" s="586"/>
      <c r="AN601" s="585"/>
      <c r="AO601" s="585"/>
      <c r="AP601" s="585"/>
      <c r="AQ601" s="585"/>
      <c r="AR601" s="586"/>
      <c r="AS601" s="585"/>
      <c r="AT601" s="585"/>
      <c r="AU601" s="585"/>
      <c r="AV601" s="585"/>
      <c r="AW601" s="586"/>
      <c r="AX601" s="585"/>
      <c r="AY601" s="585"/>
      <c r="AZ601" s="585"/>
      <c r="BA601" s="585"/>
      <c r="BB601" s="586"/>
      <c r="BC601" s="585"/>
      <c r="BD601" s="585"/>
      <c r="BE601" s="585"/>
      <c r="BF601" s="585"/>
      <c r="BG601" s="586"/>
      <c r="BH601" s="585"/>
      <c r="BI601" s="585"/>
      <c r="BJ601" s="585"/>
      <c r="BK601" s="585"/>
      <c r="BL601" s="586"/>
      <c r="BM601" s="585"/>
      <c r="BN601" s="585"/>
      <c r="BO601" s="585"/>
      <c r="BP601" s="585"/>
      <c r="BQ601" s="586"/>
      <c r="BR601" s="585"/>
      <c r="BS601" s="585"/>
      <c r="BT601" s="585"/>
      <c r="BU601" s="585"/>
      <c r="BV601" s="586"/>
      <c r="BW601" s="585"/>
      <c r="BX601" s="585"/>
      <c r="BY601" s="585"/>
      <c r="BZ601" s="585"/>
      <c r="CA601" s="586"/>
      <c r="CB601" s="585"/>
      <c r="CC601" s="585"/>
      <c r="CD601" s="585"/>
      <c r="CE601" s="585"/>
      <c r="CF601" s="586"/>
      <c r="CG601" s="470"/>
      <c r="CH601" s="470"/>
      <c r="CI601" s="470"/>
      <c r="CJ601" s="470"/>
      <c r="CK601" s="586"/>
      <c r="CL601" s="470"/>
      <c r="CM601" s="470"/>
      <c r="CN601" s="470"/>
      <c r="CO601" s="470"/>
      <c r="CP601" s="586"/>
      <c r="CQ601" s="470"/>
      <c r="CR601" s="470"/>
      <c r="CS601" s="470"/>
      <c r="CT601" s="470"/>
      <c r="CU601" s="586"/>
      <c r="CV601" s="470"/>
      <c r="CW601" s="470"/>
      <c r="CX601" s="470"/>
      <c r="CY601" s="470"/>
      <c r="CZ601" s="586"/>
      <c r="DA601" s="470"/>
      <c r="DB601" s="470"/>
      <c r="DC601" s="470"/>
      <c r="DD601" s="470"/>
      <c r="DE601" s="586"/>
      <c r="DF601" s="470"/>
      <c r="DG601" s="470"/>
      <c r="DH601" s="470"/>
      <c r="DI601" s="914"/>
      <c r="DJ601" s="586"/>
      <c r="DK601" s="470"/>
      <c r="DL601" s="470"/>
      <c r="DM601" s="470"/>
      <c r="DN601" s="470"/>
      <c r="DO601" s="586"/>
      <c r="DP601" s="470"/>
      <c r="DQ601" s="470"/>
      <c r="DR601" s="470"/>
      <c r="DS601" s="470"/>
      <c r="DT601" s="586"/>
      <c r="DU601" s="470"/>
      <c r="DV601" s="470"/>
      <c r="DW601" s="470"/>
      <c r="DX601" s="470"/>
      <c r="DY601" s="586"/>
    </row>
    <row r="602" spans="1:129" hidden="1" outlineLevel="1" x14ac:dyDescent="0.2">
      <c r="A602" s="466"/>
      <c r="B602" s="607" t="s">
        <v>937</v>
      </c>
      <c r="C602" s="587"/>
      <c r="D602" s="587" t="s">
        <v>921</v>
      </c>
      <c r="E602" s="585"/>
      <c r="F602" s="585"/>
      <c r="G602" s="585"/>
      <c r="H602" s="585"/>
      <c r="I602" s="586"/>
      <c r="J602" s="585"/>
      <c r="K602" s="585"/>
      <c r="L602" s="585"/>
      <c r="M602" s="585"/>
      <c r="N602" s="586"/>
      <c r="O602" s="585"/>
      <c r="P602" s="585"/>
      <c r="Q602" s="585"/>
      <c r="R602" s="585"/>
      <c r="S602" s="586"/>
      <c r="T602" s="585"/>
      <c r="U602" s="585"/>
      <c r="V602" s="585"/>
      <c r="W602" s="585"/>
      <c r="X602" s="586"/>
      <c r="Y602" s="585"/>
      <c r="Z602" s="585"/>
      <c r="AA602" s="585"/>
      <c r="AB602" s="585"/>
      <c r="AC602" s="586"/>
      <c r="AD602" s="585"/>
      <c r="AE602" s="585"/>
      <c r="AF602" s="585"/>
      <c r="AG602" s="585"/>
      <c r="AH602" s="754">
        <v>21.673999999999999</v>
      </c>
      <c r="AI602" s="585"/>
      <c r="AJ602" s="585"/>
      <c r="AK602" s="585"/>
      <c r="AL602" s="585"/>
      <c r="AM602" s="754">
        <v>121.04600000000001</v>
      </c>
      <c r="AN602" s="585"/>
      <c r="AO602" s="585"/>
      <c r="AP602" s="585"/>
      <c r="AQ602" s="585"/>
      <c r="AR602" s="754">
        <v>169.881</v>
      </c>
      <c r="AS602" s="585"/>
      <c r="AT602" s="585"/>
      <c r="AU602" s="585"/>
      <c r="AV602" s="585"/>
      <c r="AW602" s="586"/>
      <c r="AX602" s="585"/>
      <c r="AY602" s="585"/>
      <c r="AZ602" s="585"/>
      <c r="BA602" s="585"/>
      <c r="BB602" s="586"/>
      <c r="BC602" s="585"/>
      <c r="BD602" s="585"/>
      <c r="BE602" s="585"/>
      <c r="BF602" s="585"/>
      <c r="BG602" s="586"/>
      <c r="BH602" s="585"/>
      <c r="BI602" s="585"/>
      <c r="BJ602" s="585"/>
      <c r="BK602" s="585"/>
      <c r="BL602" s="586"/>
      <c r="BM602" s="585"/>
      <c r="BN602" s="585"/>
      <c r="BO602" s="585"/>
      <c r="BP602" s="585"/>
      <c r="BQ602" s="586"/>
      <c r="BR602" s="585"/>
      <c r="BS602" s="585"/>
      <c r="BT602" s="585"/>
      <c r="BU602" s="585"/>
      <c r="BV602" s="586"/>
      <c r="BW602" s="585"/>
      <c r="BX602" s="585"/>
      <c r="BY602" s="585"/>
      <c r="BZ602" s="585"/>
      <c r="CA602" s="586"/>
      <c r="CB602" s="585"/>
      <c r="CC602" s="585"/>
      <c r="CD602" s="585"/>
      <c r="CE602" s="585"/>
      <c r="CF602" s="586"/>
      <c r="CG602" s="470"/>
      <c r="CH602" s="470"/>
      <c r="CI602" s="470"/>
      <c r="CJ602" s="470"/>
      <c r="CK602" s="586"/>
      <c r="CL602" s="470"/>
      <c r="CM602" s="470"/>
      <c r="CN602" s="470"/>
      <c r="CO602" s="470"/>
      <c r="CP602" s="586"/>
      <c r="CQ602" s="470"/>
      <c r="CR602" s="470"/>
      <c r="CS602" s="470"/>
      <c r="CT602" s="470"/>
      <c r="CU602" s="586"/>
      <c r="CV602" s="470"/>
      <c r="CW602" s="470"/>
      <c r="CX602" s="470"/>
      <c r="CY602" s="470"/>
      <c r="CZ602" s="586"/>
      <c r="DA602" s="470"/>
      <c r="DB602" s="470"/>
      <c r="DC602" s="470"/>
      <c r="DD602" s="470"/>
      <c r="DE602" s="586"/>
      <c r="DF602" s="470"/>
      <c r="DG602" s="470"/>
      <c r="DH602" s="470"/>
      <c r="DI602" s="914"/>
      <c r="DJ602" s="586"/>
      <c r="DK602" s="470"/>
      <c r="DL602" s="470"/>
      <c r="DM602" s="470"/>
      <c r="DN602" s="470"/>
      <c r="DO602" s="586"/>
      <c r="DP602" s="470"/>
      <c r="DQ602" s="470"/>
      <c r="DR602" s="470"/>
      <c r="DS602" s="470"/>
      <c r="DT602" s="586"/>
      <c r="DU602" s="470"/>
      <c r="DV602" s="470"/>
      <c r="DW602" s="470"/>
      <c r="DX602" s="470"/>
      <c r="DY602" s="586"/>
    </row>
    <row r="603" spans="1:129" hidden="1" outlineLevel="1" x14ac:dyDescent="0.2">
      <c r="A603" s="466"/>
      <c r="B603" s="607" t="s">
        <v>938</v>
      </c>
      <c r="C603" s="585"/>
      <c r="D603" s="587" t="s">
        <v>921</v>
      </c>
      <c r="E603" s="585"/>
      <c r="F603" s="585"/>
      <c r="G603" s="585"/>
      <c r="H603" s="585"/>
      <c r="I603" s="586"/>
      <c r="J603" s="585"/>
      <c r="K603" s="585"/>
      <c r="L603" s="585"/>
      <c r="M603" s="585"/>
      <c r="N603" s="586"/>
      <c r="O603" s="585"/>
      <c r="P603" s="585"/>
      <c r="Q603" s="585"/>
      <c r="R603" s="585"/>
      <c r="S603" s="586"/>
      <c r="T603" s="585"/>
      <c r="U603" s="585"/>
      <c r="V603" s="585"/>
      <c r="W603" s="585"/>
      <c r="X603" s="586"/>
      <c r="Y603" s="585"/>
      <c r="Z603" s="585"/>
      <c r="AA603" s="585"/>
      <c r="AB603" s="585"/>
      <c r="AC603" s="586"/>
      <c r="AD603" s="585"/>
      <c r="AE603" s="585"/>
      <c r="AF603" s="585"/>
      <c r="AG603" s="585"/>
      <c r="AH603" s="754">
        <v>0</v>
      </c>
      <c r="AI603" s="585"/>
      <c r="AJ603" s="585"/>
      <c r="AK603" s="585"/>
      <c r="AL603" s="585"/>
      <c r="AM603" s="754">
        <v>5.3150000000000004</v>
      </c>
      <c r="AN603" s="585"/>
      <c r="AO603" s="585"/>
      <c r="AP603" s="585"/>
      <c r="AQ603" s="585"/>
      <c r="AR603" s="754">
        <v>1.4910000000000001</v>
      </c>
      <c r="AS603" s="585"/>
      <c r="AT603" s="585"/>
      <c r="AU603" s="585"/>
      <c r="AV603" s="585"/>
      <c r="AW603" s="586"/>
      <c r="AX603" s="585"/>
      <c r="AY603" s="585"/>
      <c r="AZ603" s="585"/>
      <c r="BA603" s="585"/>
      <c r="BB603" s="586"/>
      <c r="BC603" s="585"/>
      <c r="BD603" s="585"/>
      <c r="BE603" s="585"/>
      <c r="BF603" s="585"/>
      <c r="BG603" s="586"/>
      <c r="BH603" s="585"/>
      <c r="BI603" s="585"/>
      <c r="BJ603" s="585"/>
      <c r="BK603" s="585"/>
      <c r="BL603" s="586"/>
      <c r="BM603" s="585"/>
      <c r="BN603" s="585"/>
      <c r="BO603" s="585"/>
      <c r="BP603" s="585"/>
      <c r="BQ603" s="586"/>
      <c r="BR603" s="585"/>
      <c r="BS603" s="585"/>
      <c r="BT603" s="585"/>
      <c r="BU603" s="585"/>
      <c r="BV603" s="586"/>
      <c r="BW603" s="585"/>
      <c r="BX603" s="585"/>
      <c r="BY603" s="585"/>
      <c r="BZ603" s="585"/>
      <c r="CA603" s="586"/>
      <c r="CB603" s="585"/>
      <c r="CC603" s="585"/>
      <c r="CD603" s="585"/>
      <c r="CE603" s="585"/>
      <c r="CF603" s="586"/>
      <c r="CG603" s="470"/>
      <c r="CH603" s="470"/>
      <c r="CI603" s="470"/>
      <c r="CJ603" s="470"/>
      <c r="CK603" s="586"/>
      <c r="CL603" s="470"/>
      <c r="CM603" s="470"/>
      <c r="CN603" s="470"/>
      <c r="CO603" s="470"/>
      <c r="CP603" s="586"/>
      <c r="CQ603" s="470"/>
      <c r="CR603" s="470"/>
      <c r="CS603" s="470"/>
      <c r="CT603" s="470"/>
      <c r="CU603" s="586"/>
      <c r="CV603" s="470"/>
      <c r="CW603" s="470"/>
      <c r="CX603" s="470"/>
      <c r="CY603" s="470"/>
      <c r="CZ603" s="586"/>
      <c r="DA603" s="470"/>
      <c r="DB603" s="470"/>
      <c r="DC603" s="470"/>
      <c r="DD603" s="470"/>
      <c r="DE603" s="586"/>
      <c r="DF603" s="470"/>
      <c r="DG603" s="470"/>
      <c r="DH603" s="470"/>
      <c r="DI603" s="914"/>
      <c r="DJ603" s="586"/>
      <c r="DK603" s="470"/>
      <c r="DL603" s="470"/>
      <c r="DM603" s="470"/>
      <c r="DN603" s="470"/>
      <c r="DO603" s="586"/>
      <c r="DP603" s="470"/>
      <c r="DQ603" s="470"/>
      <c r="DR603" s="470"/>
      <c r="DS603" s="470"/>
      <c r="DT603" s="586"/>
      <c r="DU603" s="470"/>
      <c r="DV603" s="470"/>
      <c r="DW603" s="470"/>
      <c r="DX603" s="470"/>
      <c r="DY603" s="586"/>
    </row>
    <row r="604" spans="1:129" hidden="1" outlineLevel="1" x14ac:dyDescent="0.2">
      <c r="A604" s="466"/>
      <c r="B604" s="607"/>
      <c r="C604" s="587"/>
      <c r="D604" s="587" t="s">
        <v>921</v>
      </c>
      <c r="E604" s="585"/>
      <c r="F604" s="585"/>
      <c r="G604" s="585"/>
      <c r="H604" s="585"/>
      <c r="I604" s="586"/>
      <c r="J604" s="585"/>
      <c r="K604" s="585"/>
      <c r="L604" s="585"/>
      <c r="M604" s="585"/>
      <c r="N604" s="586"/>
      <c r="O604" s="585"/>
      <c r="P604" s="585"/>
      <c r="Q604" s="585"/>
      <c r="R604" s="585"/>
      <c r="S604" s="586"/>
      <c r="T604" s="585"/>
      <c r="U604" s="585"/>
      <c r="V604" s="585"/>
      <c r="W604" s="585"/>
      <c r="X604" s="586"/>
      <c r="Y604" s="585"/>
      <c r="Z604" s="585"/>
      <c r="AA604" s="585"/>
      <c r="AB604" s="585"/>
      <c r="AC604" s="586"/>
      <c r="AD604" s="585"/>
      <c r="AE604" s="585"/>
      <c r="AF604" s="585"/>
      <c r="AG604" s="585"/>
      <c r="AH604" s="586"/>
      <c r="AI604" s="585"/>
      <c r="AJ604" s="585"/>
      <c r="AK604" s="585"/>
      <c r="AL604" s="585"/>
      <c r="AM604" s="586"/>
      <c r="AN604" s="585"/>
      <c r="AO604" s="585"/>
      <c r="AP604" s="585"/>
      <c r="AQ604" s="585"/>
      <c r="AR604" s="586"/>
      <c r="AS604" s="585"/>
      <c r="AT604" s="585"/>
      <c r="AU604" s="585"/>
      <c r="AV604" s="585"/>
      <c r="AW604" s="586"/>
      <c r="AX604" s="585"/>
      <c r="AY604" s="585"/>
      <c r="AZ604" s="585"/>
      <c r="BA604" s="585"/>
      <c r="BB604" s="586"/>
      <c r="BC604" s="585"/>
      <c r="BD604" s="585"/>
      <c r="BE604" s="585"/>
      <c r="BF604" s="585"/>
      <c r="BG604" s="586"/>
      <c r="BH604" s="585"/>
      <c r="BI604" s="585"/>
      <c r="BJ604" s="585"/>
      <c r="BK604" s="585"/>
      <c r="BL604" s="586"/>
      <c r="BM604" s="585"/>
      <c r="BN604" s="585"/>
      <c r="BO604" s="585"/>
      <c r="BP604" s="585"/>
      <c r="BQ604" s="586"/>
      <c r="BR604" s="585"/>
      <c r="BS604" s="585"/>
      <c r="BT604" s="585"/>
      <c r="BU604" s="585"/>
      <c r="BV604" s="586"/>
      <c r="BW604" s="585"/>
      <c r="BX604" s="585"/>
      <c r="BY604" s="585"/>
      <c r="BZ604" s="585"/>
      <c r="CA604" s="586"/>
      <c r="CB604" s="585"/>
      <c r="CC604" s="585"/>
      <c r="CD604" s="585"/>
      <c r="CE604" s="585"/>
      <c r="CF604" s="586"/>
      <c r="CG604" s="470"/>
      <c r="CH604" s="470"/>
      <c r="CI604" s="470"/>
      <c r="CJ604" s="470"/>
      <c r="CK604" s="586"/>
      <c r="CL604" s="470"/>
      <c r="CM604" s="470"/>
      <c r="CN604" s="470"/>
      <c r="CO604" s="470"/>
      <c r="CP604" s="586"/>
      <c r="CQ604" s="470"/>
      <c r="CR604" s="470"/>
      <c r="CS604" s="470"/>
      <c r="CT604" s="470"/>
      <c r="CU604" s="586"/>
      <c r="CV604" s="470"/>
      <c r="CW604" s="470"/>
      <c r="CX604" s="470"/>
      <c r="CY604" s="470"/>
      <c r="CZ604" s="586"/>
      <c r="DA604" s="470"/>
      <c r="DB604" s="470"/>
      <c r="DC604" s="470"/>
      <c r="DD604" s="470"/>
      <c r="DE604" s="586"/>
      <c r="DF604" s="470"/>
      <c r="DG604" s="470"/>
      <c r="DH604" s="470"/>
      <c r="DI604" s="914"/>
      <c r="DJ604" s="586"/>
      <c r="DK604" s="470"/>
      <c r="DL604" s="470"/>
      <c r="DM604" s="470"/>
      <c r="DN604" s="470"/>
      <c r="DO604" s="586"/>
      <c r="DP604" s="470"/>
      <c r="DQ604" s="470"/>
      <c r="DR604" s="470"/>
      <c r="DS604" s="470"/>
      <c r="DT604" s="586"/>
      <c r="DU604" s="470"/>
      <c r="DV604" s="470"/>
      <c r="DW604" s="470"/>
      <c r="DX604" s="470"/>
      <c r="DY604" s="586"/>
    </row>
    <row r="605" spans="1:129" hidden="1" outlineLevel="1" x14ac:dyDescent="0.2">
      <c r="A605" s="466"/>
      <c r="B605" s="607"/>
      <c r="C605" s="585"/>
      <c r="D605" s="585"/>
      <c r="E605" s="585"/>
      <c r="F605" s="585"/>
      <c r="G605" s="585"/>
      <c r="H605" s="585"/>
      <c r="I605" s="586"/>
      <c r="J605" s="585"/>
      <c r="K605" s="585"/>
      <c r="L605" s="585"/>
      <c r="M605" s="585"/>
      <c r="N605" s="586"/>
      <c r="O605" s="585"/>
      <c r="P605" s="585"/>
      <c r="Q605" s="585"/>
      <c r="R605" s="585"/>
      <c r="S605" s="586"/>
      <c r="T605" s="585"/>
      <c r="U605" s="585"/>
      <c r="V605" s="585"/>
      <c r="W605" s="585"/>
      <c r="X605" s="586"/>
      <c r="Y605" s="585"/>
      <c r="Z605" s="585"/>
      <c r="AA605" s="585"/>
      <c r="AB605" s="585"/>
      <c r="AC605" s="586"/>
      <c r="AD605" s="585"/>
      <c r="AE605" s="585"/>
      <c r="AF605" s="585"/>
      <c r="AG605" s="585"/>
      <c r="AH605" s="586"/>
      <c r="AI605" s="585"/>
      <c r="AJ605" s="585"/>
      <c r="AK605" s="585"/>
      <c r="AL605" s="585"/>
      <c r="AM605" s="586"/>
      <c r="AN605" s="585"/>
      <c r="AO605" s="585"/>
      <c r="AP605" s="585"/>
      <c r="AQ605" s="585"/>
      <c r="AR605" s="586"/>
      <c r="AS605" s="585"/>
      <c r="AT605" s="585"/>
      <c r="AU605" s="585"/>
      <c r="AV605" s="585"/>
      <c r="AW605" s="586"/>
      <c r="AX605" s="585"/>
      <c r="AY605" s="585"/>
      <c r="AZ605" s="585"/>
      <c r="BA605" s="585"/>
      <c r="BB605" s="586"/>
      <c r="BC605" s="585"/>
      <c r="BD605" s="585"/>
      <c r="BE605" s="585"/>
      <c r="BF605" s="585"/>
      <c r="BG605" s="586"/>
      <c r="BH605" s="585"/>
      <c r="BI605" s="585"/>
      <c r="BJ605" s="585"/>
      <c r="BK605" s="585"/>
      <c r="BL605" s="586"/>
      <c r="BM605" s="585"/>
      <c r="BN605" s="585"/>
      <c r="BO605" s="585"/>
      <c r="BP605" s="585"/>
      <c r="BQ605" s="586"/>
      <c r="BR605" s="585"/>
      <c r="BS605" s="585"/>
      <c r="BT605" s="585"/>
      <c r="BU605" s="585"/>
      <c r="BV605" s="586"/>
      <c r="BW605" s="585"/>
      <c r="BX605" s="585"/>
      <c r="BY605" s="585"/>
      <c r="BZ605" s="585"/>
      <c r="CA605" s="586"/>
      <c r="CB605" s="585"/>
      <c r="CC605" s="585"/>
      <c r="CD605" s="585"/>
      <c r="CE605" s="585"/>
      <c r="CF605" s="586"/>
      <c r="CG605" s="470"/>
      <c r="CH605" s="470"/>
      <c r="CI605" s="470"/>
      <c r="CJ605" s="470"/>
      <c r="CK605" s="586"/>
      <c r="CL605" s="470"/>
      <c r="CM605" s="470"/>
      <c r="CN605" s="470"/>
      <c r="CO605" s="470"/>
      <c r="CP605" s="586"/>
      <c r="CQ605" s="470"/>
      <c r="CR605" s="470"/>
      <c r="CS605" s="470"/>
      <c r="CT605" s="470"/>
      <c r="CU605" s="586"/>
      <c r="CV605" s="470"/>
      <c r="CW605" s="470"/>
      <c r="CX605" s="470"/>
      <c r="CY605" s="470"/>
      <c r="CZ605" s="586"/>
      <c r="DA605" s="470"/>
      <c r="DB605" s="470"/>
      <c r="DC605" s="470"/>
      <c r="DD605" s="470"/>
      <c r="DE605" s="586"/>
      <c r="DF605" s="470"/>
      <c r="DG605" s="470"/>
      <c r="DH605" s="470"/>
      <c r="DI605" s="914"/>
      <c r="DJ605" s="586"/>
      <c r="DK605" s="470"/>
      <c r="DL605" s="470"/>
      <c r="DM605" s="470"/>
      <c r="DN605" s="470"/>
      <c r="DO605" s="586"/>
      <c r="DP605" s="470"/>
      <c r="DQ605" s="470"/>
      <c r="DR605" s="470"/>
      <c r="DS605" s="470"/>
      <c r="DT605" s="586"/>
      <c r="DU605" s="470"/>
      <c r="DV605" s="470"/>
      <c r="DW605" s="470"/>
      <c r="DX605" s="470"/>
      <c r="DY605" s="586"/>
    </row>
    <row r="606" spans="1:129" hidden="1" outlineLevel="1" x14ac:dyDescent="0.2">
      <c r="A606" s="466"/>
      <c r="B606" s="607" t="s">
        <v>939</v>
      </c>
      <c r="C606" s="587"/>
      <c r="D606" s="587" t="s">
        <v>921</v>
      </c>
      <c r="E606" s="585"/>
      <c r="F606" s="585"/>
      <c r="G606" s="585"/>
      <c r="H606" s="585"/>
      <c r="I606" s="586"/>
      <c r="J606" s="585"/>
      <c r="K606" s="585"/>
      <c r="L606" s="585"/>
      <c r="M606" s="585"/>
      <c r="N606" s="586"/>
      <c r="O606" s="585"/>
      <c r="P606" s="585"/>
      <c r="Q606" s="585"/>
      <c r="R606" s="585"/>
      <c r="S606" s="586"/>
      <c r="T606" s="585"/>
      <c r="U606" s="585"/>
      <c r="V606" s="585"/>
      <c r="W606" s="585"/>
      <c r="X606" s="586"/>
      <c r="Y606" s="585"/>
      <c r="Z606" s="585"/>
      <c r="AA606" s="585"/>
      <c r="AB606" s="585"/>
      <c r="AC606" s="586"/>
      <c r="AD606" s="585"/>
      <c r="AE606" s="585"/>
      <c r="AF606" s="585"/>
      <c r="AG606" s="585"/>
      <c r="AH606" s="754">
        <v>21.673999999999999</v>
      </c>
      <c r="AI606" s="585"/>
      <c r="AJ606" s="585"/>
      <c r="AK606" s="585"/>
      <c r="AL606" s="585"/>
      <c r="AM606" s="754">
        <v>115.73099999999999</v>
      </c>
      <c r="AN606" s="585"/>
      <c r="AO606" s="585"/>
      <c r="AP606" s="585"/>
      <c r="AQ606" s="585"/>
      <c r="AR606" s="754">
        <v>168.39</v>
      </c>
      <c r="AS606" s="585"/>
      <c r="AT606" s="585"/>
      <c r="AU606" s="585"/>
      <c r="AV606" s="585"/>
      <c r="AW606" s="586"/>
      <c r="AX606" s="585"/>
      <c r="AY606" s="585"/>
      <c r="AZ606" s="585"/>
      <c r="BA606" s="585"/>
      <c r="BB606" s="586"/>
      <c r="BC606" s="585"/>
      <c r="BD606" s="585"/>
      <c r="BE606" s="585"/>
      <c r="BF606" s="585"/>
      <c r="BG606" s="586"/>
      <c r="BH606" s="585"/>
      <c r="BI606" s="585"/>
      <c r="BJ606" s="585"/>
      <c r="BK606" s="585"/>
      <c r="BL606" s="586"/>
      <c r="BM606" s="585"/>
      <c r="BN606" s="585"/>
      <c r="BO606" s="585"/>
      <c r="BP606" s="585"/>
      <c r="BQ606" s="586"/>
      <c r="BR606" s="585"/>
      <c r="BS606" s="585"/>
      <c r="BT606" s="585"/>
      <c r="BU606" s="585"/>
      <c r="BV606" s="586"/>
      <c r="BW606" s="585"/>
      <c r="BX606" s="585"/>
      <c r="BY606" s="585"/>
      <c r="BZ606" s="585"/>
      <c r="CA606" s="586"/>
      <c r="CB606" s="585"/>
      <c r="CC606" s="585"/>
      <c r="CD606" s="585"/>
      <c r="CE606" s="585"/>
      <c r="CF606" s="586"/>
      <c r="CG606" s="470"/>
      <c r="CH606" s="470"/>
      <c r="CI606" s="470"/>
      <c r="CJ606" s="470"/>
      <c r="CK606" s="586"/>
      <c r="CL606" s="470"/>
      <c r="CM606" s="470"/>
      <c r="CN606" s="470"/>
      <c r="CO606" s="470"/>
      <c r="CP606" s="586"/>
      <c r="CQ606" s="470"/>
      <c r="CR606" s="470"/>
      <c r="CS606" s="470"/>
      <c r="CT606" s="470"/>
      <c r="CU606" s="586"/>
      <c r="CV606" s="470"/>
      <c r="CW606" s="470"/>
      <c r="CX606" s="470"/>
      <c r="CY606" s="470"/>
      <c r="CZ606" s="586"/>
      <c r="DA606" s="470"/>
      <c r="DB606" s="470"/>
      <c r="DC606" s="470"/>
      <c r="DD606" s="470"/>
      <c r="DE606" s="586"/>
      <c r="DF606" s="470"/>
      <c r="DG606" s="470"/>
      <c r="DH606" s="470"/>
      <c r="DI606" s="914"/>
      <c r="DJ606" s="586"/>
      <c r="DK606" s="470"/>
      <c r="DL606" s="470"/>
      <c r="DM606" s="470"/>
      <c r="DN606" s="470"/>
      <c r="DO606" s="586"/>
      <c r="DP606" s="470"/>
      <c r="DQ606" s="470"/>
      <c r="DR606" s="470"/>
      <c r="DS606" s="470"/>
      <c r="DT606" s="586"/>
      <c r="DU606" s="470"/>
      <c r="DV606" s="470"/>
      <c r="DW606" s="470"/>
      <c r="DX606" s="470"/>
      <c r="DY606" s="586"/>
    </row>
    <row r="607" spans="1:129" hidden="1" outlineLevel="1" x14ac:dyDescent="0.2">
      <c r="A607" s="526"/>
      <c r="B607" s="756"/>
      <c r="C607" s="599"/>
      <c r="D607" s="599" t="s">
        <v>921</v>
      </c>
      <c r="E607" s="597"/>
      <c r="F607" s="597"/>
      <c r="G607" s="597"/>
      <c r="H607" s="597"/>
      <c r="I607" s="598"/>
      <c r="J607" s="597"/>
      <c r="K607" s="597"/>
      <c r="L607" s="597"/>
      <c r="M607" s="597"/>
      <c r="N607" s="598"/>
      <c r="O607" s="597"/>
      <c r="P607" s="597"/>
      <c r="Q607" s="597"/>
      <c r="R607" s="597"/>
      <c r="S607" s="598"/>
      <c r="T607" s="597"/>
      <c r="U607" s="597"/>
      <c r="V607" s="597"/>
      <c r="W607" s="597"/>
      <c r="X607" s="598"/>
      <c r="Y607" s="597"/>
      <c r="Z607" s="597"/>
      <c r="AA607" s="597"/>
      <c r="AB607" s="597"/>
      <c r="AC607" s="598"/>
      <c r="AD607" s="597"/>
      <c r="AE607" s="597"/>
      <c r="AF607" s="597"/>
      <c r="AG607" s="597"/>
      <c r="AH607" s="598"/>
      <c r="AI607" s="597"/>
      <c r="AJ607" s="597"/>
      <c r="AK607" s="597"/>
      <c r="AL607" s="597"/>
      <c r="AM607" s="598"/>
      <c r="AN607" s="597"/>
      <c r="AO607" s="597"/>
      <c r="AP607" s="597"/>
      <c r="AQ607" s="597"/>
      <c r="AR607" s="598"/>
      <c r="AS607" s="597"/>
      <c r="AT607" s="597"/>
      <c r="AU607" s="597"/>
      <c r="AV607" s="597"/>
      <c r="AW607" s="598"/>
      <c r="AX607" s="597"/>
      <c r="AY607" s="597"/>
      <c r="AZ607" s="597"/>
      <c r="BA607" s="597"/>
      <c r="BB607" s="598"/>
      <c r="BC607" s="597"/>
      <c r="BD607" s="597"/>
      <c r="BE607" s="597"/>
      <c r="BF607" s="597"/>
      <c r="BG607" s="598"/>
      <c r="BH607" s="597"/>
      <c r="BI607" s="597"/>
      <c r="BJ607" s="597"/>
      <c r="BK607" s="597"/>
      <c r="BL607" s="598"/>
      <c r="BM607" s="597"/>
      <c r="BN607" s="597"/>
      <c r="BO607" s="597"/>
      <c r="BP607" s="597"/>
      <c r="BQ607" s="598"/>
      <c r="BR607" s="597"/>
      <c r="BS607" s="597"/>
      <c r="BT607" s="597"/>
      <c r="BU607" s="597"/>
      <c r="BV607" s="598"/>
      <c r="BW607" s="597"/>
      <c r="BX607" s="597"/>
      <c r="BY607" s="597"/>
      <c r="BZ607" s="597"/>
      <c r="CA607" s="598"/>
      <c r="CB607" s="597"/>
      <c r="CC607" s="597"/>
      <c r="CD607" s="597"/>
      <c r="CE607" s="597"/>
      <c r="CF607" s="598"/>
      <c r="CG607" s="682"/>
      <c r="CH607" s="682"/>
      <c r="CI607" s="682"/>
      <c r="CJ607" s="682"/>
      <c r="CK607" s="598"/>
      <c r="CL607" s="682"/>
      <c r="CM607" s="682"/>
      <c r="CN607" s="682"/>
      <c r="CO607" s="682"/>
      <c r="CP607" s="598"/>
      <c r="CQ607" s="682"/>
      <c r="CR607" s="682"/>
      <c r="CS607" s="682"/>
      <c r="CT607" s="682"/>
      <c r="CU607" s="598"/>
      <c r="CV607" s="682"/>
      <c r="CW607" s="682"/>
      <c r="CX607" s="682"/>
      <c r="CY607" s="682"/>
      <c r="CZ607" s="598"/>
      <c r="DA607" s="682"/>
      <c r="DB607" s="682"/>
      <c r="DC607" s="682"/>
      <c r="DD607" s="682"/>
      <c r="DE607" s="598"/>
      <c r="DF607" s="682"/>
      <c r="DG607" s="682"/>
      <c r="DH607" s="682"/>
      <c r="DI607" s="1610"/>
      <c r="DJ607" s="598"/>
      <c r="DK607" s="682"/>
      <c r="DL607" s="682"/>
      <c r="DM607" s="682"/>
      <c r="DN607" s="682"/>
      <c r="DO607" s="598"/>
      <c r="DP607" s="682"/>
      <c r="DQ607" s="682"/>
      <c r="DR607" s="682"/>
      <c r="DS607" s="682"/>
      <c r="DT607" s="598"/>
      <c r="DU607" s="682"/>
      <c r="DV607" s="682"/>
      <c r="DW607" s="682"/>
      <c r="DX607" s="682"/>
      <c r="DY607" s="598"/>
    </row>
    <row r="608" spans="1:129" hidden="1" outlineLevel="1" x14ac:dyDescent="0.2">
      <c r="A608" s="526"/>
      <c r="B608" s="756"/>
      <c r="C608" s="597"/>
      <c r="D608" s="597"/>
      <c r="E608" s="597"/>
      <c r="F608" s="597"/>
      <c r="G608" s="597"/>
      <c r="H608" s="597"/>
      <c r="I608" s="598"/>
      <c r="J608" s="597"/>
      <c r="K608" s="597"/>
      <c r="L608" s="597"/>
      <c r="M608" s="597"/>
      <c r="N608" s="598"/>
      <c r="O608" s="597"/>
      <c r="P608" s="597"/>
      <c r="Q608" s="597"/>
      <c r="R608" s="597"/>
      <c r="S608" s="598"/>
      <c r="T608" s="597"/>
      <c r="U608" s="597"/>
      <c r="V608" s="597"/>
      <c r="W608" s="597"/>
      <c r="X608" s="598"/>
      <c r="Y608" s="597"/>
      <c r="Z608" s="597"/>
      <c r="AA608" s="597"/>
      <c r="AB608" s="597"/>
      <c r="AC608" s="598"/>
      <c r="AD608" s="597"/>
      <c r="AE608" s="597"/>
      <c r="AF608" s="597"/>
      <c r="AG608" s="597"/>
      <c r="AH608" s="598"/>
      <c r="AI608" s="597"/>
      <c r="AJ608" s="597"/>
      <c r="AK608" s="597"/>
      <c r="AL608" s="597"/>
      <c r="AM608" s="598"/>
      <c r="AN608" s="597"/>
      <c r="AO608" s="597"/>
      <c r="AP608" s="597"/>
      <c r="AQ608" s="597"/>
      <c r="AR608" s="598"/>
      <c r="AS608" s="597"/>
      <c r="AT608" s="597"/>
      <c r="AU608" s="597"/>
      <c r="AV608" s="597"/>
      <c r="AW608" s="598"/>
      <c r="AX608" s="597"/>
      <c r="AY608" s="597"/>
      <c r="AZ608" s="597"/>
      <c r="BA608" s="597"/>
      <c r="BB608" s="598"/>
      <c r="BC608" s="597"/>
      <c r="BD608" s="597"/>
      <c r="BE608" s="597"/>
      <c r="BF608" s="597"/>
      <c r="BG608" s="598"/>
      <c r="BH608" s="597"/>
      <c r="BI608" s="597"/>
      <c r="BJ608" s="597"/>
      <c r="BK608" s="597"/>
      <c r="BL608" s="598"/>
      <c r="BM608" s="597"/>
      <c r="BN608" s="597"/>
      <c r="BO608" s="597"/>
      <c r="BP608" s="597"/>
      <c r="BQ608" s="598"/>
      <c r="BR608" s="597"/>
      <c r="BS608" s="597"/>
      <c r="BT608" s="597"/>
      <c r="BU608" s="597"/>
      <c r="BV608" s="598"/>
      <c r="BW608" s="597"/>
      <c r="BX608" s="597"/>
      <c r="BY608" s="597"/>
      <c r="BZ608" s="597"/>
      <c r="CA608" s="598"/>
      <c r="CB608" s="597"/>
      <c r="CC608" s="597"/>
      <c r="CD608" s="597"/>
      <c r="CE608" s="597"/>
      <c r="CF608" s="598"/>
      <c r="CG608" s="682"/>
      <c r="CH608" s="682"/>
      <c r="CI608" s="682"/>
      <c r="CJ608" s="682"/>
      <c r="CK608" s="598"/>
      <c r="CL608" s="682"/>
      <c r="CM608" s="682"/>
      <c r="CN608" s="682"/>
      <c r="CO608" s="682"/>
      <c r="CP608" s="598"/>
      <c r="CQ608" s="682"/>
      <c r="CR608" s="682"/>
      <c r="CS608" s="682"/>
      <c r="CT608" s="682"/>
      <c r="CU608" s="598"/>
      <c r="CV608" s="682"/>
      <c r="CW608" s="682"/>
      <c r="CX608" s="682"/>
      <c r="CY608" s="682"/>
      <c r="CZ608" s="598"/>
      <c r="DA608" s="682"/>
      <c r="DB608" s="682"/>
      <c r="DC608" s="682"/>
      <c r="DD608" s="682"/>
      <c r="DE608" s="598"/>
      <c r="DF608" s="682"/>
      <c r="DG608" s="682"/>
      <c r="DH608" s="682"/>
      <c r="DI608" s="1610"/>
      <c r="DJ608" s="598"/>
      <c r="DK608" s="682"/>
      <c r="DL608" s="682"/>
      <c r="DM608" s="682"/>
      <c r="DN608" s="682"/>
      <c r="DO608" s="598"/>
      <c r="DP608" s="682"/>
      <c r="DQ608" s="682"/>
      <c r="DR608" s="682"/>
      <c r="DS608" s="682"/>
      <c r="DT608" s="598"/>
      <c r="DU608" s="682"/>
      <c r="DV608" s="682"/>
      <c r="DW608" s="682"/>
      <c r="DX608" s="682"/>
      <c r="DY608" s="598"/>
    </row>
    <row r="609" spans="1:129" hidden="1" outlineLevel="1" x14ac:dyDescent="0.2">
      <c r="A609" s="526"/>
      <c r="B609" s="756" t="s">
        <v>940</v>
      </c>
      <c r="C609" s="599"/>
      <c r="D609" s="599" t="s">
        <v>921</v>
      </c>
      <c r="E609" s="597"/>
      <c r="F609" s="597"/>
      <c r="G609" s="597"/>
      <c r="H609" s="597"/>
      <c r="I609" s="598"/>
      <c r="J609" s="597"/>
      <c r="K609" s="597"/>
      <c r="L609" s="597"/>
      <c r="M609" s="597"/>
      <c r="N609" s="975"/>
      <c r="O609" s="597"/>
      <c r="P609" s="597"/>
      <c r="Q609" s="597"/>
      <c r="R609" s="597"/>
      <c r="S609" s="1001"/>
      <c r="T609" s="597"/>
      <c r="U609" s="597"/>
      <c r="V609" s="597"/>
      <c r="W609" s="597"/>
      <c r="X609" s="598"/>
      <c r="Y609" s="597"/>
      <c r="Z609" s="597"/>
      <c r="AA609" s="597"/>
      <c r="AB609" s="597"/>
      <c r="AC609" s="598"/>
      <c r="AD609" s="597"/>
      <c r="AE609" s="597"/>
      <c r="AF609" s="597"/>
      <c r="AG609" s="597"/>
      <c r="AH609" s="979">
        <v>0.37</v>
      </c>
      <c r="AI609" s="597"/>
      <c r="AJ609" s="597"/>
      <c r="AK609" s="597"/>
      <c r="AL609" s="597"/>
      <c r="AM609" s="979">
        <v>1.37</v>
      </c>
      <c r="AN609" s="597"/>
      <c r="AO609" s="597"/>
      <c r="AP609" s="597"/>
      <c r="AQ609" s="597"/>
      <c r="AR609" s="979">
        <v>1.85</v>
      </c>
      <c r="AS609" s="597"/>
      <c r="AT609" s="597"/>
      <c r="AU609" s="597"/>
      <c r="AV609" s="597"/>
      <c r="AW609" s="598"/>
      <c r="AX609" s="597"/>
      <c r="AY609" s="597"/>
      <c r="AZ609" s="597"/>
      <c r="BA609" s="597"/>
      <c r="BB609" s="598"/>
      <c r="BC609" s="597"/>
      <c r="BD609" s="597"/>
      <c r="BE609" s="597"/>
      <c r="BF609" s="597"/>
      <c r="BG609" s="598"/>
      <c r="BH609" s="597"/>
      <c r="BI609" s="597"/>
      <c r="BJ609" s="597"/>
      <c r="BK609" s="597"/>
      <c r="BL609" s="598"/>
      <c r="BM609" s="597"/>
      <c r="BN609" s="597"/>
      <c r="BO609" s="597"/>
      <c r="BP609" s="597"/>
      <c r="BQ609" s="598"/>
      <c r="BR609" s="597"/>
      <c r="BS609" s="597"/>
      <c r="BT609" s="597"/>
      <c r="BU609" s="597"/>
      <c r="BV609" s="598"/>
      <c r="BW609" s="597"/>
      <c r="BX609" s="597"/>
      <c r="BY609" s="597"/>
      <c r="BZ609" s="597"/>
      <c r="CA609" s="598"/>
      <c r="CB609" s="597"/>
      <c r="CC609" s="597"/>
      <c r="CD609" s="597"/>
      <c r="CE609" s="597"/>
      <c r="CF609" s="598"/>
      <c r="CG609" s="682"/>
      <c r="CH609" s="682"/>
      <c r="CI609" s="682"/>
      <c r="CJ609" s="682"/>
      <c r="CK609" s="598"/>
      <c r="CL609" s="682"/>
      <c r="CM609" s="682"/>
      <c r="CN609" s="682"/>
      <c r="CO609" s="682"/>
      <c r="CP609" s="598"/>
      <c r="CQ609" s="682"/>
      <c r="CR609" s="682"/>
      <c r="CS609" s="682"/>
      <c r="CT609" s="682"/>
      <c r="CU609" s="598"/>
      <c r="CV609" s="682"/>
      <c r="CW609" s="682"/>
      <c r="CX609" s="682"/>
      <c r="CY609" s="682"/>
      <c r="CZ609" s="598"/>
      <c r="DA609" s="682"/>
      <c r="DB609" s="682"/>
      <c r="DC609" s="682"/>
      <c r="DD609" s="682"/>
      <c r="DE609" s="598"/>
      <c r="DF609" s="682"/>
      <c r="DG609" s="682"/>
      <c r="DH609" s="682"/>
      <c r="DI609" s="1610"/>
      <c r="DJ609" s="598"/>
      <c r="DK609" s="682"/>
      <c r="DL609" s="682"/>
      <c r="DM609" s="682"/>
      <c r="DN609" s="682"/>
      <c r="DO609" s="598"/>
      <c r="DP609" s="682"/>
      <c r="DQ609" s="682"/>
      <c r="DR609" s="682"/>
      <c r="DS609" s="682"/>
      <c r="DT609" s="598"/>
      <c r="DU609" s="682"/>
      <c r="DV609" s="682"/>
      <c r="DW609" s="682"/>
      <c r="DX609" s="682"/>
      <c r="DY609" s="598"/>
    </row>
    <row r="610" spans="1:129" hidden="1" outlineLevel="1" x14ac:dyDescent="0.2">
      <c r="A610" s="526"/>
      <c r="B610" s="756" t="s">
        <v>941</v>
      </c>
      <c r="C610" s="599"/>
      <c r="D610" s="599" t="s">
        <v>921</v>
      </c>
      <c r="E610" s="597"/>
      <c r="F610" s="597"/>
      <c r="G610" s="597"/>
      <c r="H610" s="597"/>
      <c r="I610" s="598"/>
      <c r="J610" s="597"/>
      <c r="K610" s="597"/>
      <c r="L610" s="597"/>
      <c r="M610" s="597"/>
      <c r="N610" s="598"/>
      <c r="O610" s="597"/>
      <c r="P610" s="597"/>
      <c r="Q610" s="597"/>
      <c r="R610" s="597"/>
      <c r="S610" s="598"/>
      <c r="T610" s="597"/>
      <c r="U610" s="597"/>
      <c r="V610" s="597"/>
      <c r="W610" s="597"/>
      <c r="X610" s="598"/>
      <c r="Y610" s="597"/>
      <c r="Z610" s="597"/>
      <c r="AA610" s="597"/>
      <c r="AB610" s="597"/>
      <c r="AC610" s="598"/>
      <c r="AD610" s="597"/>
      <c r="AE610" s="597"/>
      <c r="AF610" s="597"/>
      <c r="AG610" s="597"/>
      <c r="AH610" s="979">
        <v>0.3</v>
      </c>
      <c r="AI610" s="597"/>
      <c r="AJ610" s="597"/>
      <c r="AK610" s="597"/>
      <c r="AL610" s="597"/>
      <c r="AM610" s="979">
        <v>1.18</v>
      </c>
      <c r="AN610" s="597"/>
      <c r="AO610" s="597"/>
      <c r="AP610" s="597"/>
      <c r="AQ610" s="597"/>
      <c r="AR610" s="979">
        <v>1.71</v>
      </c>
      <c r="AS610" s="597"/>
      <c r="AT610" s="597"/>
      <c r="AU610" s="597"/>
      <c r="AV610" s="597"/>
      <c r="AW610" s="598"/>
      <c r="AX610" s="597"/>
      <c r="AY610" s="597"/>
      <c r="AZ610" s="597"/>
      <c r="BA610" s="597"/>
      <c r="BB610" s="598"/>
      <c r="BC610" s="597"/>
      <c r="BD610" s="597"/>
      <c r="BE610" s="597"/>
      <c r="BF610" s="597"/>
      <c r="BG610" s="598"/>
      <c r="BH610" s="597"/>
      <c r="BI610" s="597"/>
      <c r="BJ610" s="597"/>
      <c r="BK610" s="597"/>
      <c r="BL610" s="598"/>
      <c r="BM610" s="597"/>
      <c r="BN610" s="597"/>
      <c r="BO610" s="597"/>
      <c r="BP610" s="597"/>
      <c r="BQ610" s="598"/>
      <c r="BR610" s="597"/>
      <c r="BS610" s="597"/>
      <c r="BT610" s="597"/>
      <c r="BU610" s="597"/>
      <c r="BV610" s="598"/>
      <c r="BW610" s="597"/>
      <c r="BX610" s="597"/>
      <c r="BY610" s="597"/>
      <c r="BZ610" s="597"/>
      <c r="CA610" s="598"/>
      <c r="CB610" s="597"/>
      <c r="CC610" s="597"/>
      <c r="CD610" s="597"/>
      <c r="CE610" s="597"/>
      <c r="CF610" s="598"/>
      <c r="CG610" s="682"/>
      <c r="CH610" s="682"/>
      <c r="CI610" s="682"/>
      <c r="CJ610" s="682"/>
      <c r="CK610" s="598"/>
      <c r="CL610" s="682"/>
      <c r="CM610" s="682"/>
      <c r="CN610" s="682"/>
      <c r="CO610" s="682"/>
      <c r="CP610" s="598"/>
      <c r="CQ610" s="682"/>
      <c r="CR610" s="682"/>
      <c r="CS610" s="682"/>
      <c r="CT610" s="682"/>
      <c r="CU610" s="598"/>
      <c r="CV610" s="682"/>
      <c r="CW610" s="682"/>
      <c r="CX610" s="682"/>
      <c r="CY610" s="682"/>
      <c r="CZ610" s="598"/>
      <c r="DA610" s="682"/>
      <c r="DB610" s="682"/>
      <c r="DC610" s="682"/>
      <c r="DD610" s="682"/>
      <c r="DE610" s="598"/>
      <c r="DF610" s="682"/>
      <c r="DG610" s="682"/>
      <c r="DH610" s="682"/>
      <c r="DI610" s="1610"/>
      <c r="DJ610" s="598"/>
      <c r="DK610" s="682"/>
      <c r="DL610" s="682"/>
      <c r="DM610" s="682"/>
      <c r="DN610" s="682"/>
      <c r="DO610" s="598"/>
      <c r="DP610" s="682"/>
      <c r="DQ610" s="682"/>
      <c r="DR610" s="682"/>
      <c r="DS610" s="682"/>
      <c r="DT610" s="598"/>
      <c r="DU610" s="682"/>
      <c r="DV610" s="682"/>
      <c r="DW610" s="682"/>
      <c r="DX610" s="682"/>
      <c r="DY610" s="598"/>
    </row>
    <row r="611" spans="1:129" hidden="1" outlineLevel="1" x14ac:dyDescent="0.2">
      <c r="A611" s="526"/>
      <c r="B611" s="756"/>
      <c r="C611" s="597"/>
      <c r="D611" s="597"/>
      <c r="E611" s="597"/>
      <c r="F611" s="597"/>
      <c r="G611" s="597"/>
      <c r="H611" s="597"/>
      <c r="I611" s="598"/>
      <c r="J611" s="597"/>
      <c r="K611" s="597"/>
      <c r="L611" s="597"/>
      <c r="M611" s="597"/>
      <c r="N611" s="598"/>
      <c r="O611" s="597"/>
      <c r="P611" s="597"/>
      <c r="Q611" s="597"/>
      <c r="R611" s="597"/>
      <c r="S611" s="598"/>
      <c r="T611" s="597"/>
      <c r="U611" s="597"/>
      <c r="V611" s="597"/>
      <c r="W611" s="597"/>
      <c r="X611" s="598"/>
      <c r="Y611" s="597"/>
      <c r="Z611" s="597"/>
      <c r="AA611" s="597"/>
      <c r="AB611" s="597"/>
      <c r="AC611" s="598"/>
      <c r="AD611" s="597"/>
      <c r="AE611" s="597"/>
      <c r="AF611" s="597"/>
      <c r="AG611" s="597"/>
      <c r="AH611" s="598"/>
      <c r="AI611" s="597"/>
      <c r="AJ611" s="597"/>
      <c r="AK611" s="597"/>
      <c r="AL611" s="597"/>
      <c r="AM611" s="598"/>
      <c r="AN611" s="597"/>
      <c r="AO611" s="597"/>
      <c r="AP611" s="597"/>
      <c r="AQ611" s="597"/>
      <c r="AR611" s="598"/>
      <c r="AS611" s="597"/>
      <c r="AT611" s="597"/>
      <c r="AU611" s="597"/>
      <c r="AV611" s="597"/>
      <c r="AW611" s="598"/>
      <c r="AX611" s="597"/>
      <c r="AY611" s="597"/>
      <c r="AZ611" s="597"/>
      <c r="BA611" s="597"/>
      <c r="BB611" s="598"/>
      <c r="BC611" s="597"/>
      <c r="BD611" s="597"/>
      <c r="BE611" s="597"/>
      <c r="BF611" s="597"/>
      <c r="BG611" s="598"/>
      <c r="BH611" s="597"/>
      <c r="BI611" s="597"/>
      <c r="BJ611" s="597"/>
      <c r="BK611" s="597"/>
      <c r="BL611" s="598"/>
      <c r="BM611" s="597"/>
      <c r="BN611" s="597"/>
      <c r="BO611" s="597"/>
      <c r="BP611" s="597"/>
      <c r="BQ611" s="598"/>
      <c r="BR611" s="597"/>
      <c r="BS611" s="597"/>
      <c r="BT611" s="597"/>
      <c r="BU611" s="597"/>
      <c r="BV611" s="598"/>
      <c r="BW611" s="597"/>
      <c r="BX611" s="597"/>
      <c r="BY611" s="597"/>
      <c r="BZ611" s="597"/>
      <c r="CA611" s="598"/>
      <c r="CB611" s="597"/>
      <c r="CC611" s="597"/>
      <c r="CD611" s="597"/>
      <c r="CE611" s="597"/>
      <c r="CF611" s="598"/>
      <c r="CG611" s="682"/>
      <c r="CH611" s="682"/>
      <c r="CI611" s="682"/>
      <c r="CJ611" s="682"/>
      <c r="CK611" s="598"/>
      <c r="CL611" s="682"/>
      <c r="CM611" s="682"/>
      <c r="CN611" s="682"/>
      <c r="CO611" s="682"/>
      <c r="CP611" s="598"/>
      <c r="CQ611" s="682"/>
      <c r="CR611" s="682"/>
      <c r="CS611" s="682"/>
      <c r="CT611" s="682"/>
      <c r="CU611" s="598"/>
      <c r="CV611" s="682"/>
      <c r="CW611" s="682"/>
      <c r="CX611" s="682"/>
      <c r="CY611" s="682"/>
      <c r="CZ611" s="598"/>
      <c r="DA611" s="682"/>
      <c r="DB611" s="682"/>
      <c r="DC611" s="682"/>
      <c r="DD611" s="682"/>
      <c r="DE611" s="598"/>
      <c r="DF611" s="682"/>
      <c r="DG611" s="682"/>
      <c r="DH611" s="682"/>
      <c r="DI611" s="1610"/>
      <c r="DJ611" s="598"/>
      <c r="DK611" s="682"/>
      <c r="DL611" s="682"/>
      <c r="DM611" s="682"/>
      <c r="DN611" s="682"/>
      <c r="DO611" s="598"/>
      <c r="DP611" s="682"/>
      <c r="DQ611" s="682"/>
      <c r="DR611" s="682"/>
      <c r="DS611" s="682"/>
      <c r="DT611" s="598"/>
      <c r="DU611" s="682"/>
      <c r="DV611" s="682"/>
      <c r="DW611" s="682"/>
      <c r="DX611" s="682"/>
      <c r="DY611" s="598"/>
    </row>
    <row r="612" spans="1:129" hidden="1" outlineLevel="1" x14ac:dyDescent="0.2">
      <c r="A612" s="466"/>
      <c r="B612" s="607" t="s">
        <v>532</v>
      </c>
      <c r="C612" s="585"/>
      <c r="D612" s="585"/>
      <c r="E612" s="585"/>
      <c r="F612" s="585"/>
      <c r="G612" s="585"/>
      <c r="H612" s="585"/>
      <c r="I612" s="586"/>
      <c r="J612" s="585"/>
      <c r="K612" s="585"/>
      <c r="L612" s="585"/>
      <c r="M612" s="585"/>
      <c r="N612" s="586"/>
      <c r="O612" s="585"/>
      <c r="P612" s="585"/>
      <c r="Q612" s="585"/>
      <c r="R612" s="585"/>
      <c r="S612" s="586"/>
      <c r="T612" s="585"/>
      <c r="U612" s="585"/>
      <c r="V612" s="585"/>
      <c r="W612" s="585"/>
      <c r="X612" s="586"/>
      <c r="Y612" s="585"/>
      <c r="Z612" s="585"/>
      <c r="AA612" s="585"/>
      <c r="AB612" s="585"/>
      <c r="AC612" s="586"/>
      <c r="AD612" s="585"/>
      <c r="AE612" s="585"/>
      <c r="AF612" s="585"/>
      <c r="AG612" s="585"/>
      <c r="AH612" s="589">
        <f>AH606/AH610</f>
        <v>72.24666666666667</v>
      </c>
      <c r="AI612" s="585"/>
      <c r="AJ612" s="585"/>
      <c r="AK612" s="585"/>
      <c r="AL612" s="585"/>
      <c r="AM612" s="589">
        <f>AM606/AM610</f>
        <v>98.077118644067795</v>
      </c>
      <c r="AN612" s="585"/>
      <c r="AO612" s="585"/>
      <c r="AP612" s="585"/>
      <c r="AQ612" s="585"/>
      <c r="AR612" s="589">
        <f>AR606/AR610</f>
        <v>98.473684210526315</v>
      </c>
      <c r="AS612" s="585"/>
      <c r="AT612" s="585"/>
      <c r="AU612" s="585"/>
      <c r="AV612" s="585"/>
      <c r="AW612" s="586"/>
      <c r="AX612" s="585"/>
      <c r="AY612" s="585"/>
      <c r="AZ612" s="585"/>
      <c r="BA612" s="585"/>
      <c r="BB612" s="586"/>
      <c r="BC612" s="585"/>
      <c r="BD612" s="585"/>
      <c r="BE612" s="585"/>
      <c r="BF612" s="585"/>
      <c r="BG612" s="586"/>
      <c r="BH612" s="585"/>
      <c r="BI612" s="585"/>
      <c r="BJ612" s="585"/>
      <c r="BK612" s="585"/>
      <c r="BL612" s="586"/>
      <c r="BM612" s="585"/>
      <c r="BN612" s="585"/>
      <c r="BO612" s="585"/>
      <c r="BP612" s="585"/>
      <c r="BQ612" s="586"/>
      <c r="BR612" s="585"/>
      <c r="BS612" s="585"/>
      <c r="BT612" s="585"/>
      <c r="BU612" s="585"/>
      <c r="BV612" s="586"/>
      <c r="BW612" s="585"/>
      <c r="BX612" s="585"/>
      <c r="BY612" s="585"/>
      <c r="BZ612" s="585"/>
      <c r="CA612" s="586"/>
      <c r="CB612" s="585"/>
      <c r="CC612" s="585"/>
      <c r="CD612" s="585"/>
      <c r="CE612" s="585"/>
      <c r="CF612" s="586"/>
      <c r="CG612" s="470"/>
      <c r="CH612" s="470"/>
      <c r="CI612" s="470"/>
      <c r="CJ612" s="470"/>
      <c r="CK612" s="586"/>
      <c r="CL612" s="470"/>
      <c r="CM612" s="470"/>
      <c r="CN612" s="470"/>
      <c r="CO612" s="470"/>
      <c r="CP612" s="586"/>
      <c r="CQ612" s="470"/>
      <c r="CR612" s="470"/>
      <c r="CS612" s="470"/>
      <c r="CT612" s="470"/>
      <c r="CU612" s="586"/>
      <c r="CV612" s="470"/>
      <c r="CW612" s="470"/>
      <c r="CX612" s="470"/>
      <c r="CY612" s="470"/>
      <c r="CZ612" s="586"/>
      <c r="DA612" s="470"/>
      <c r="DB612" s="470"/>
      <c r="DC612" s="470"/>
      <c r="DD612" s="470"/>
      <c r="DE612" s="586"/>
      <c r="DF612" s="470"/>
      <c r="DG612" s="470"/>
      <c r="DH612" s="470"/>
      <c r="DI612" s="914"/>
      <c r="DJ612" s="586"/>
      <c r="DK612" s="470"/>
      <c r="DL612" s="470"/>
      <c r="DM612" s="470"/>
      <c r="DN612" s="470"/>
      <c r="DO612" s="586"/>
      <c r="DP612" s="470"/>
      <c r="DQ612" s="470"/>
      <c r="DR612" s="470"/>
      <c r="DS612" s="470"/>
      <c r="DT612" s="586"/>
      <c r="DU612" s="470"/>
      <c r="DV612" s="470"/>
      <c r="DW612" s="470"/>
      <c r="DX612" s="470"/>
      <c r="DY612" s="586"/>
    </row>
    <row r="613" spans="1:129" hidden="1" outlineLevel="1" x14ac:dyDescent="0.2">
      <c r="A613" s="526"/>
      <c r="B613" s="756"/>
      <c r="C613" s="597"/>
      <c r="D613" s="597"/>
      <c r="E613" s="597"/>
      <c r="F613" s="597"/>
      <c r="G613" s="597"/>
      <c r="H613" s="597"/>
      <c r="I613" s="598"/>
      <c r="J613" s="597"/>
      <c r="K613" s="597"/>
      <c r="L613" s="597"/>
      <c r="M613" s="597"/>
      <c r="N613" s="598"/>
      <c r="O613" s="597"/>
      <c r="P613" s="597"/>
      <c r="Q613" s="597"/>
      <c r="R613" s="597"/>
      <c r="S613" s="598"/>
      <c r="T613" s="597"/>
      <c r="U613" s="597"/>
      <c r="V613" s="597"/>
      <c r="W613" s="597"/>
      <c r="X613" s="598"/>
      <c r="Y613" s="597"/>
      <c r="Z613" s="597"/>
      <c r="AA613" s="597"/>
      <c r="AB613" s="597"/>
      <c r="AC613" s="598"/>
      <c r="AD613" s="597"/>
      <c r="AE613" s="597"/>
      <c r="AF613" s="597"/>
      <c r="AG613" s="597"/>
      <c r="AH613" s="598"/>
      <c r="AI613" s="597"/>
      <c r="AJ613" s="597"/>
      <c r="AK613" s="597"/>
      <c r="AL613" s="597"/>
      <c r="AM613" s="598"/>
      <c r="AN613" s="597"/>
      <c r="AO613" s="597"/>
      <c r="AP613" s="597"/>
      <c r="AQ613" s="597"/>
      <c r="AR613" s="598"/>
      <c r="AS613" s="597"/>
      <c r="AT613" s="597"/>
      <c r="AU613" s="597"/>
      <c r="AV613" s="597"/>
      <c r="AW613" s="598"/>
      <c r="AX613" s="597"/>
      <c r="AY613" s="597"/>
      <c r="AZ613" s="597"/>
      <c r="BA613" s="597"/>
      <c r="BB613" s="598"/>
      <c r="BC613" s="597"/>
      <c r="BD613" s="597"/>
      <c r="BE613" s="597"/>
      <c r="BF613" s="597"/>
      <c r="BG613" s="598"/>
      <c r="BH613" s="597"/>
      <c r="BI613" s="597"/>
      <c r="BJ613" s="597"/>
      <c r="BK613" s="597"/>
      <c r="BL613" s="598"/>
      <c r="BM613" s="597"/>
      <c r="BN613" s="597"/>
      <c r="BO613" s="597"/>
      <c r="BP613" s="597"/>
      <c r="BQ613" s="598"/>
      <c r="BR613" s="597"/>
      <c r="BS613" s="597"/>
      <c r="BT613" s="597"/>
      <c r="BU613" s="597"/>
      <c r="BV613" s="598"/>
      <c r="BW613" s="597"/>
      <c r="BX613" s="597"/>
      <c r="BY613" s="597"/>
      <c r="BZ613" s="597"/>
      <c r="CA613" s="598"/>
      <c r="CB613" s="597"/>
      <c r="CC613" s="597"/>
      <c r="CD613" s="597"/>
      <c r="CE613" s="597"/>
      <c r="CF613" s="598"/>
      <c r="CG613" s="682"/>
      <c r="CH613" s="682"/>
      <c r="CI613" s="682"/>
      <c r="CJ613" s="682"/>
      <c r="CK613" s="598"/>
      <c r="CL613" s="682"/>
      <c r="CM613" s="682"/>
      <c r="CN613" s="682"/>
      <c r="CO613" s="682"/>
      <c r="CP613" s="598"/>
      <c r="CQ613" s="682"/>
      <c r="CR613" s="682"/>
      <c r="CS613" s="682"/>
      <c r="CT613" s="682"/>
      <c r="CU613" s="598"/>
      <c r="CV613" s="682"/>
      <c r="CW613" s="682"/>
      <c r="CX613" s="682"/>
      <c r="CY613" s="682"/>
      <c r="CZ613" s="598"/>
      <c r="DA613" s="682"/>
      <c r="DB613" s="682"/>
      <c r="DC613" s="682"/>
      <c r="DD613" s="682"/>
      <c r="DE613" s="598"/>
      <c r="DF613" s="682"/>
      <c r="DG613" s="682"/>
      <c r="DH613" s="682"/>
      <c r="DI613" s="1610"/>
      <c r="DJ613" s="598"/>
      <c r="DK613" s="682"/>
      <c r="DL613" s="682"/>
      <c r="DM613" s="682"/>
      <c r="DN613" s="682"/>
      <c r="DO613" s="598"/>
      <c r="DP613" s="682"/>
      <c r="DQ613" s="682"/>
      <c r="DR613" s="682"/>
      <c r="DS613" s="682"/>
      <c r="DT613" s="598"/>
      <c r="DU613" s="682"/>
      <c r="DV613" s="682"/>
      <c r="DW613" s="682"/>
      <c r="DX613" s="682"/>
      <c r="DY613" s="598"/>
    </row>
    <row r="614" spans="1:129" hidden="1" outlineLevel="1" x14ac:dyDescent="0.2">
      <c r="A614" s="466"/>
      <c r="B614" s="607" t="s">
        <v>942</v>
      </c>
      <c r="C614" s="585"/>
      <c r="D614" s="585"/>
      <c r="E614" s="585"/>
      <c r="F614" s="585"/>
      <c r="G614" s="585"/>
      <c r="H614" s="585"/>
      <c r="I614" s="586"/>
      <c r="J614" s="585"/>
      <c r="K614" s="585"/>
      <c r="L614" s="585"/>
      <c r="M614" s="585"/>
      <c r="N614" s="586"/>
      <c r="O614" s="585"/>
      <c r="P614" s="585"/>
      <c r="Q614" s="585"/>
      <c r="R614" s="585"/>
      <c r="S614" s="586"/>
      <c r="T614" s="585"/>
      <c r="U614" s="585"/>
      <c r="V614" s="585"/>
      <c r="W614" s="585"/>
      <c r="X614" s="586"/>
      <c r="Y614" s="585"/>
      <c r="Z614" s="585"/>
      <c r="AA614" s="585"/>
      <c r="AB614" s="585"/>
      <c r="AC614" s="586"/>
      <c r="AD614" s="585"/>
      <c r="AE614" s="585"/>
      <c r="AF614" s="585"/>
      <c r="AG614" s="585"/>
      <c r="AH614" s="754">
        <v>47.796999999999997</v>
      </c>
      <c r="AI614" s="585"/>
      <c r="AJ614" s="585"/>
      <c r="AK614" s="585"/>
      <c r="AL614" s="585"/>
      <c r="AM614" s="754">
        <v>38.161000000000001</v>
      </c>
      <c r="AN614" s="585"/>
      <c r="AO614" s="585"/>
      <c r="AP614" s="585"/>
      <c r="AQ614" s="585"/>
      <c r="AR614" s="754">
        <v>47.000999999999998</v>
      </c>
      <c r="AS614" s="585"/>
      <c r="AT614" s="585"/>
      <c r="AU614" s="585"/>
      <c r="AV614" s="585"/>
      <c r="AW614" s="586"/>
      <c r="AX614" s="585"/>
      <c r="AY614" s="585"/>
      <c r="AZ614" s="585"/>
      <c r="BA614" s="585"/>
      <c r="BB614" s="586"/>
      <c r="BC614" s="585"/>
      <c r="BD614" s="585"/>
      <c r="BE614" s="585"/>
      <c r="BF614" s="585"/>
      <c r="BG614" s="586"/>
      <c r="BH614" s="585"/>
      <c r="BI614" s="585"/>
      <c r="BJ614" s="585"/>
      <c r="BK614" s="585"/>
      <c r="BL614" s="586"/>
      <c r="BM614" s="585"/>
      <c r="BN614" s="585"/>
      <c r="BO614" s="585"/>
      <c r="BP614" s="585"/>
      <c r="BQ614" s="586"/>
      <c r="BR614" s="585"/>
      <c r="BS614" s="585"/>
      <c r="BT614" s="585"/>
      <c r="BU614" s="585"/>
      <c r="BV614" s="586"/>
      <c r="BW614" s="585"/>
      <c r="BX614" s="585"/>
      <c r="BY614" s="585"/>
      <c r="BZ614" s="585"/>
      <c r="CA614" s="586"/>
      <c r="CB614" s="585"/>
      <c r="CC614" s="585"/>
      <c r="CD614" s="585"/>
      <c r="CE614" s="585"/>
      <c r="CF614" s="586"/>
      <c r="CG614" s="470"/>
      <c r="CH614" s="470"/>
      <c r="CI614" s="470"/>
      <c r="CJ614" s="470"/>
      <c r="CK614" s="586"/>
      <c r="CL614" s="470"/>
      <c r="CM614" s="470"/>
      <c r="CN614" s="470"/>
      <c r="CO614" s="470"/>
      <c r="CP614" s="586"/>
      <c r="CQ614" s="470"/>
      <c r="CR614" s="470"/>
      <c r="CS614" s="470"/>
      <c r="CT614" s="470"/>
      <c r="CU614" s="586"/>
      <c r="CV614" s="470"/>
      <c r="CW614" s="470"/>
      <c r="CX614" s="470"/>
      <c r="CY614" s="470"/>
      <c r="CZ614" s="586"/>
      <c r="DA614" s="470"/>
      <c r="DB614" s="470"/>
      <c r="DC614" s="470"/>
      <c r="DD614" s="470"/>
      <c r="DE614" s="586"/>
      <c r="DF614" s="470"/>
      <c r="DG614" s="470"/>
      <c r="DH614" s="470"/>
      <c r="DI614" s="914"/>
      <c r="DJ614" s="586"/>
      <c r="DK614" s="470"/>
      <c r="DL614" s="470"/>
      <c r="DM614" s="470"/>
      <c r="DN614" s="470"/>
      <c r="DO614" s="586"/>
      <c r="DP614" s="470"/>
      <c r="DQ614" s="470"/>
      <c r="DR614" s="470"/>
      <c r="DS614" s="470"/>
      <c r="DT614" s="586"/>
      <c r="DU614" s="470"/>
      <c r="DV614" s="470"/>
      <c r="DW614" s="470"/>
      <c r="DX614" s="470"/>
      <c r="DY614" s="586"/>
    </row>
    <row r="615" spans="1:129" hidden="1" outlineLevel="1" x14ac:dyDescent="0.2">
      <c r="A615" s="466"/>
      <c r="B615" s="607" t="s">
        <v>176</v>
      </c>
      <c r="C615" s="585"/>
      <c r="D615" s="585"/>
      <c r="E615" s="585"/>
      <c r="F615" s="585"/>
      <c r="G615" s="585"/>
      <c r="H615" s="585"/>
      <c r="I615" s="586"/>
      <c r="J615" s="585"/>
      <c r="K615" s="585"/>
      <c r="L615" s="585"/>
      <c r="M615" s="585"/>
      <c r="N615" s="586"/>
      <c r="O615" s="585"/>
      <c r="P615" s="585"/>
      <c r="Q615" s="585"/>
      <c r="R615" s="585"/>
      <c r="S615" s="586"/>
      <c r="T615" s="585"/>
      <c r="U615" s="585"/>
      <c r="V615" s="585"/>
      <c r="W615" s="585"/>
      <c r="X615" s="586"/>
      <c r="Y615" s="585"/>
      <c r="Z615" s="585"/>
      <c r="AA615" s="585"/>
      <c r="AB615" s="585"/>
      <c r="AC615" s="586"/>
      <c r="AD615" s="585"/>
      <c r="AE615" s="585"/>
      <c r="AF615" s="585"/>
      <c r="AG615" s="585"/>
      <c r="AH615" s="589">
        <f>AH590+AH614</f>
        <v>136.84399999999999</v>
      </c>
      <c r="AI615" s="585"/>
      <c r="AJ615" s="585"/>
      <c r="AK615" s="585"/>
      <c r="AL615" s="585"/>
      <c r="AM615" s="589">
        <f>AM590+AM614</f>
        <v>298.67200000000003</v>
      </c>
      <c r="AN615" s="585"/>
      <c r="AO615" s="585"/>
      <c r="AP615" s="585"/>
      <c r="AQ615" s="585"/>
      <c r="AR615" s="589">
        <f>AR590+AR614</f>
        <v>371.404</v>
      </c>
      <c r="AS615" s="585"/>
      <c r="AT615" s="585"/>
      <c r="AU615" s="585"/>
      <c r="AV615" s="585"/>
      <c r="AW615" s="586"/>
      <c r="AX615" s="585"/>
      <c r="AY615" s="585"/>
      <c r="AZ615" s="585"/>
      <c r="BA615" s="585"/>
      <c r="BB615" s="586"/>
      <c r="BC615" s="585"/>
      <c r="BD615" s="585"/>
      <c r="BE615" s="585"/>
      <c r="BF615" s="585"/>
      <c r="BG615" s="586"/>
      <c r="BH615" s="585"/>
      <c r="BI615" s="585"/>
      <c r="BJ615" s="585"/>
      <c r="BK615" s="585"/>
      <c r="BL615" s="586"/>
      <c r="BM615" s="585"/>
      <c r="BN615" s="585"/>
      <c r="BO615" s="585"/>
      <c r="BP615" s="585"/>
      <c r="BQ615" s="586"/>
      <c r="BR615" s="585"/>
      <c r="BS615" s="585"/>
      <c r="BT615" s="585"/>
      <c r="BU615" s="585"/>
      <c r="BV615" s="586"/>
      <c r="BW615" s="585"/>
      <c r="BX615" s="585"/>
      <c r="BY615" s="585"/>
      <c r="BZ615" s="585"/>
      <c r="CA615" s="586"/>
      <c r="CB615" s="585"/>
      <c r="CC615" s="585"/>
      <c r="CD615" s="585"/>
      <c r="CE615" s="585"/>
      <c r="CF615" s="586"/>
      <c r="CG615" s="470"/>
      <c r="CH615" s="470"/>
      <c r="CI615" s="470"/>
      <c r="CJ615" s="470"/>
      <c r="CK615" s="586"/>
      <c r="CL615" s="470"/>
      <c r="CM615" s="470"/>
      <c r="CN615" s="470"/>
      <c r="CO615" s="470"/>
      <c r="CP615" s="586"/>
      <c r="CQ615" s="470"/>
      <c r="CR615" s="470"/>
      <c r="CS615" s="470"/>
      <c r="CT615" s="470"/>
      <c r="CU615" s="586"/>
      <c r="CV615" s="470"/>
      <c r="CW615" s="470"/>
      <c r="CX615" s="470"/>
      <c r="CY615" s="470"/>
      <c r="CZ615" s="586"/>
      <c r="DA615" s="470"/>
      <c r="DB615" s="470"/>
      <c r="DC615" s="470"/>
      <c r="DD615" s="470"/>
      <c r="DE615" s="586"/>
      <c r="DF615" s="470"/>
      <c r="DG615" s="470"/>
      <c r="DH615" s="470"/>
      <c r="DI615" s="914"/>
      <c r="DJ615" s="586"/>
      <c r="DK615" s="470"/>
      <c r="DL615" s="470"/>
      <c r="DM615" s="470"/>
      <c r="DN615" s="470"/>
      <c r="DO615" s="586"/>
      <c r="DP615" s="470"/>
      <c r="DQ615" s="470"/>
      <c r="DR615" s="470"/>
      <c r="DS615" s="470"/>
      <c r="DT615" s="586"/>
      <c r="DU615" s="470"/>
      <c r="DV615" s="470"/>
      <c r="DW615" s="470"/>
      <c r="DX615" s="470"/>
      <c r="DY615" s="586"/>
    </row>
    <row r="616" spans="1:129" hidden="1" outlineLevel="1" x14ac:dyDescent="0.2">
      <c r="A616" s="466"/>
      <c r="B616" s="607"/>
      <c r="C616" s="585"/>
      <c r="D616" s="585"/>
      <c r="E616" s="585"/>
      <c r="F616" s="585"/>
      <c r="G616" s="585"/>
      <c r="H616" s="585"/>
      <c r="I616" s="586"/>
      <c r="J616" s="585"/>
      <c r="K616" s="585"/>
      <c r="L616" s="585"/>
      <c r="M616" s="585"/>
      <c r="N616" s="586"/>
      <c r="O616" s="585"/>
      <c r="P616" s="585"/>
      <c r="Q616" s="585"/>
      <c r="R616" s="585"/>
      <c r="S616" s="586"/>
      <c r="T616" s="585"/>
      <c r="U616" s="585"/>
      <c r="V616" s="585"/>
      <c r="W616" s="585"/>
      <c r="X616" s="586"/>
      <c r="Y616" s="585"/>
      <c r="Z616" s="585"/>
      <c r="AA616" s="585"/>
      <c r="AB616" s="585"/>
      <c r="AC616" s="586"/>
      <c r="AD616" s="585"/>
      <c r="AE616" s="585"/>
      <c r="AF616" s="585"/>
      <c r="AG616" s="585"/>
      <c r="AH616" s="586"/>
      <c r="AI616" s="585"/>
      <c r="AJ616" s="585"/>
      <c r="AK616" s="585"/>
      <c r="AL616" s="585"/>
      <c r="AM616" s="586"/>
      <c r="AN616" s="585"/>
      <c r="AO616" s="585"/>
      <c r="AP616" s="585"/>
      <c r="AQ616" s="585"/>
      <c r="AR616" s="586"/>
      <c r="AS616" s="585"/>
      <c r="AT616" s="585"/>
      <c r="AU616" s="585"/>
      <c r="AV616" s="585"/>
      <c r="AW616" s="586"/>
      <c r="AX616" s="585"/>
      <c r="AY616" s="585"/>
      <c r="AZ616" s="585"/>
      <c r="BA616" s="585"/>
      <c r="BB616" s="586"/>
      <c r="BC616" s="585"/>
      <c r="BD616" s="585"/>
      <c r="BE616" s="585"/>
      <c r="BF616" s="585"/>
      <c r="BG616" s="586"/>
      <c r="BH616" s="585"/>
      <c r="BI616" s="585"/>
      <c r="BJ616" s="585"/>
      <c r="BK616" s="585"/>
      <c r="BL616" s="586"/>
      <c r="BM616" s="585"/>
      <c r="BN616" s="585"/>
      <c r="BO616" s="585"/>
      <c r="BP616" s="585"/>
      <c r="BQ616" s="586"/>
      <c r="BR616" s="585"/>
      <c r="BS616" s="585"/>
      <c r="BT616" s="585"/>
      <c r="BU616" s="585"/>
      <c r="BV616" s="586"/>
      <c r="BW616" s="585"/>
      <c r="BX616" s="585"/>
      <c r="BY616" s="585"/>
      <c r="BZ616" s="585"/>
      <c r="CA616" s="586"/>
      <c r="CB616" s="585"/>
      <c r="CC616" s="585"/>
      <c r="CD616" s="585"/>
      <c r="CE616" s="585"/>
      <c r="CF616" s="586"/>
      <c r="CG616" s="470"/>
      <c r="CH616" s="470"/>
      <c r="CI616" s="470"/>
      <c r="CJ616" s="470"/>
      <c r="CK616" s="586"/>
      <c r="CL616" s="470"/>
      <c r="CM616" s="470"/>
      <c r="CN616" s="470"/>
      <c r="CO616" s="470"/>
      <c r="CP616" s="586"/>
      <c r="CQ616" s="470"/>
      <c r="CR616" s="470"/>
      <c r="CS616" s="470"/>
      <c r="CT616" s="470"/>
      <c r="CU616" s="586"/>
      <c r="CV616" s="470"/>
      <c r="CW616" s="470"/>
      <c r="CX616" s="470"/>
      <c r="CY616" s="470"/>
      <c r="CZ616" s="586"/>
      <c r="DA616" s="470"/>
      <c r="DB616" s="470"/>
      <c r="DC616" s="470"/>
      <c r="DD616" s="470"/>
      <c r="DE616" s="586"/>
      <c r="DF616" s="470"/>
      <c r="DG616" s="470"/>
      <c r="DH616" s="470"/>
      <c r="DI616" s="914"/>
      <c r="DJ616" s="586"/>
      <c r="DK616" s="470"/>
      <c r="DL616" s="470"/>
      <c r="DM616" s="470"/>
      <c r="DN616" s="470"/>
      <c r="DO616" s="586"/>
      <c r="DP616" s="470"/>
      <c r="DQ616" s="470"/>
      <c r="DR616" s="470"/>
      <c r="DS616" s="470"/>
      <c r="DT616" s="586"/>
      <c r="DU616" s="470"/>
      <c r="DV616" s="470"/>
      <c r="DW616" s="470"/>
      <c r="DX616" s="470"/>
      <c r="DY616" s="586"/>
    </row>
    <row r="617" spans="1:129" hidden="1" outlineLevel="1" x14ac:dyDescent="0.2">
      <c r="A617" s="466"/>
      <c r="B617" s="607" t="s">
        <v>943</v>
      </c>
      <c r="C617" s="585"/>
      <c r="D617" s="585"/>
      <c r="E617" s="585"/>
      <c r="F617" s="585"/>
      <c r="G617" s="585"/>
      <c r="H617" s="585"/>
      <c r="I617" s="586"/>
      <c r="J617" s="585"/>
      <c r="K617" s="585"/>
      <c r="L617" s="585"/>
      <c r="M617" s="585"/>
      <c r="N617" s="586"/>
      <c r="O617" s="585"/>
      <c r="P617" s="585"/>
      <c r="Q617" s="585"/>
      <c r="R617" s="585"/>
      <c r="S617" s="586"/>
      <c r="T617" s="585"/>
      <c r="U617" s="585"/>
      <c r="V617" s="585"/>
      <c r="W617" s="585"/>
      <c r="X617" s="586"/>
      <c r="Y617" s="585"/>
      <c r="Z617" s="585"/>
      <c r="AA617" s="585"/>
      <c r="AB617" s="585"/>
      <c r="AC617" s="586"/>
      <c r="AD617" s="585"/>
      <c r="AE617" s="585"/>
      <c r="AF617" s="585"/>
      <c r="AG617" s="585"/>
      <c r="AH617" s="754">
        <v>92.28</v>
      </c>
      <c r="AI617" s="585"/>
      <c r="AJ617" s="585"/>
      <c r="AK617" s="585"/>
      <c r="AL617" s="585"/>
      <c r="AM617" s="754">
        <v>143.28700000000001</v>
      </c>
      <c r="AN617" s="585"/>
      <c r="AO617" s="585"/>
      <c r="AP617" s="585"/>
      <c r="AQ617" s="585"/>
      <c r="AR617" s="754">
        <v>268.60300000000001</v>
      </c>
      <c r="AS617" s="585"/>
      <c r="AT617" s="585"/>
      <c r="AU617" s="585"/>
      <c r="AV617" s="585"/>
      <c r="AW617" s="586"/>
      <c r="AX617" s="585"/>
      <c r="AY617" s="585"/>
      <c r="AZ617" s="585"/>
      <c r="BA617" s="585"/>
      <c r="BB617" s="586"/>
      <c r="BC617" s="585"/>
      <c r="BD617" s="585"/>
      <c r="BE617" s="585"/>
      <c r="BF617" s="585"/>
      <c r="BG617" s="586"/>
      <c r="BH617" s="585"/>
      <c r="BI617" s="585"/>
      <c r="BJ617" s="585"/>
      <c r="BK617" s="585"/>
      <c r="BL617" s="586"/>
      <c r="BM617" s="585"/>
      <c r="BN617" s="585"/>
      <c r="BO617" s="585"/>
      <c r="BP617" s="585"/>
      <c r="BQ617" s="586"/>
      <c r="BR617" s="585"/>
      <c r="BS617" s="585"/>
      <c r="BT617" s="585"/>
      <c r="BU617" s="585"/>
      <c r="BV617" s="586"/>
      <c r="BW617" s="585"/>
      <c r="BX617" s="585"/>
      <c r="BY617" s="585"/>
      <c r="BZ617" s="585"/>
      <c r="CA617" s="586"/>
      <c r="CB617" s="585"/>
      <c r="CC617" s="585"/>
      <c r="CD617" s="585"/>
      <c r="CE617" s="585"/>
      <c r="CF617" s="586"/>
      <c r="CG617" s="470"/>
      <c r="CH617" s="470"/>
      <c r="CI617" s="470"/>
      <c r="CJ617" s="470"/>
      <c r="CK617" s="586"/>
      <c r="CL617" s="470"/>
      <c r="CM617" s="470"/>
      <c r="CN617" s="470"/>
      <c r="CO617" s="470"/>
      <c r="CP617" s="586"/>
      <c r="CQ617" s="470"/>
      <c r="CR617" s="470"/>
      <c r="CS617" s="470"/>
      <c r="CT617" s="470"/>
      <c r="CU617" s="586"/>
      <c r="CV617" s="470"/>
      <c r="CW617" s="470"/>
      <c r="CX617" s="470"/>
      <c r="CY617" s="470"/>
      <c r="CZ617" s="586"/>
      <c r="DA617" s="470"/>
      <c r="DB617" s="470"/>
      <c r="DC617" s="470"/>
      <c r="DD617" s="470"/>
      <c r="DE617" s="586"/>
      <c r="DF617" s="470"/>
      <c r="DG617" s="470"/>
      <c r="DH617" s="470"/>
      <c r="DI617" s="914"/>
      <c r="DJ617" s="586"/>
      <c r="DK617" s="470"/>
      <c r="DL617" s="470"/>
      <c r="DM617" s="470"/>
      <c r="DN617" s="470"/>
      <c r="DO617" s="586"/>
      <c r="DP617" s="470"/>
      <c r="DQ617" s="470"/>
      <c r="DR617" s="470"/>
      <c r="DS617" s="470"/>
      <c r="DT617" s="586"/>
      <c r="DU617" s="470"/>
      <c r="DV617" s="470"/>
      <c r="DW617" s="470"/>
      <c r="DX617" s="470"/>
      <c r="DY617" s="586"/>
    </row>
    <row r="618" spans="1:129" hidden="1" outlineLevel="1" x14ac:dyDescent="0.2">
      <c r="A618" s="466"/>
      <c r="B618" s="607" t="s">
        <v>944</v>
      </c>
      <c r="C618" s="585"/>
      <c r="D618" s="585"/>
      <c r="E618" s="585"/>
      <c r="F618" s="585"/>
      <c r="G618" s="585"/>
      <c r="H618" s="585"/>
      <c r="I618" s="586"/>
      <c r="J618" s="585"/>
      <c r="K618" s="585"/>
      <c r="L618" s="585"/>
      <c r="M618" s="585"/>
      <c r="N618" s="586"/>
      <c r="O618" s="585"/>
      <c r="P618" s="585"/>
      <c r="Q618" s="585"/>
      <c r="R618" s="585"/>
      <c r="S618" s="586"/>
      <c r="T618" s="585"/>
      <c r="U618" s="585"/>
      <c r="V618" s="585"/>
      <c r="W618" s="585"/>
      <c r="X618" s="586"/>
      <c r="Y618" s="585"/>
      <c r="Z618" s="585"/>
      <c r="AA618" s="585"/>
      <c r="AB618" s="585"/>
      <c r="AC618" s="586"/>
      <c r="AD618" s="585"/>
      <c r="AE618" s="585"/>
      <c r="AF618" s="585"/>
      <c r="AG618" s="585"/>
      <c r="AH618" s="754">
        <v>-41.197000000000003</v>
      </c>
      <c r="AI618" s="585"/>
      <c r="AJ618" s="585"/>
      <c r="AK618" s="585"/>
      <c r="AL618" s="585"/>
      <c r="AM618" s="754">
        <v>-51.112000000000002</v>
      </c>
      <c r="AN618" s="585"/>
      <c r="AO618" s="585"/>
      <c r="AP618" s="585"/>
      <c r="AQ618" s="585"/>
      <c r="AR618" s="754">
        <v>-69.338999999999999</v>
      </c>
      <c r="AS618" s="585"/>
      <c r="AT618" s="585"/>
      <c r="AU618" s="585"/>
      <c r="AV618" s="585"/>
      <c r="AW618" s="586"/>
      <c r="AX618" s="585"/>
      <c r="AY618" s="585"/>
      <c r="AZ618" s="585"/>
      <c r="BA618" s="585"/>
      <c r="BB618" s="586"/>
      <c r="BC618" s="585"/>
      <c r="BD618" s="585"/>
      <c r="BE618" s="585"/>
      <c r="BF618" s="585"/>
      <c r="BG618" s="586"/>
      <c r="BH618" s="585"/>
      <c r="BI618" s="585"/>
      <c r="BJ618" s="585"/>
      <c r="BK618" s="585"/>
      <c r="BL618" s="586"/>
      <c r="BM618" s="585"/>
      <c r="BN618" s="585"/>
      <c r="BO618" s="585"/>
      <c r="BP618" s="585"/>
      <c r="BQ618" s="586"/>
      <c r="BR618" s="585"/>
      <c r="BS618" s="585"/>
      <c r="BT618" s="585"/>
      <c r="BU618" s="585"/>
      <c r="BV618" s="586"/>
      <c r="BW618" s="585"/>
      <c r="BX618" s="585"/>
      <c r="BY618" s="585"/>
      <c r="BZ618" s="585"/>
      <c r="CA618" s="586"/>
      <c r="CB618" s="585"/>
      <c r="CC618" s="585"/>
      <c r="CD618" s="585"/>
      <c r="CE618" s="585"/>
      <c r="CF618" s="586"/>
      <c r="CG618" s="470"/>
      <c r="CH618" s="470"/>
      <c r="CI618" s="470"/>
      <c r="CJ618" s="470"/>
      <c r="CK618" s="586"/>
      <c r="CL618" s="470"/>
      <c r="CM618" s="470"/>
      <c r="CN618" s="470"/>
      <c r="CO618" s="470"/>
      <c r="CP618" s="586"/>
      <c r="CQ618" s="470"/>
      <c r="CR618" s="470"/>
      <c r="CS618" s="470"/>
      <c r="CT618" s="470"/>
      <c r="CU618" s="586"/>
      <c r="CV618" s="470"/>
      <c r="CW618" s="470"/>
      <c r="CX618" s="470"/>
      <c r="CY618" s="470"/>
      <c r="CZ618" s="586"/>
      <c r="DA618" s="470"/>
      <c r="DB618" s="470"/>
      <c r="DC618" s="470"/>
      <c r="DD618" s="470"/>
      <c r="DE618" s="586"/>
      <c r="DF618" s="470"/>
      <c r="DG618" s="470"/>
      <c r="DH618" s="470"/>
      <c r="DI618" s="914"/>
      <c r="DJ618" s="586"/>
      <c r="DK618" s="470"/>
      <c r="DL618" s="470"/>
      <c r="DM618" s="470"/>
      <c r="DN618" s="470"/>
      <c r="DO618" s="586"/>
      <c r="DP618" s="470"/>
      <c r="DQ618" s="470"/>
      <c r="DR618" s="470"/>
      <c r="DS618" s="470"/>
      <c r="DT618" s="586"/>
      <c r="DU618" s="470"/>
      <c r="DV618" s="470"/>
      <c r="DW618" s="470"/>
      <c r="DX618" s="470"/>
      <c r="DY618" s="586"/>
    </row>
    <row r="619" spans="1:129" hidden="1" outlineLevel="1" x14ac:dyDescent="0.2">
      <c r="A619" s="466"/>
      <c r="B619" s="607" t="s">
        <v>507</v>
      </c>
      <c r="C619" s="585"/>
      <c r="D619" s="585"/>
      <c r="E619" s="585"/>
      <c r="F619" s="585"/>
      <c r="G619" s="585"/>
      <c r="H619" s="585"/>
      <c r="I619" s="586"/>
      <c r="J619" s="585"/>
      <c r="K619" s="585"/>
      <c r="L619" s="585"/>
      <c r="M619" s="585"/>
      <c r="N619" s="586"/>
      <c r="O619" s="585"/>
      <c r="P619" s="585"/>
      <c r="Q619" s="585"/>
      <c r="R619" s="585"/>
      <c r="S619" s="586"/>
      <c r="T619" s="585"/>
      <c r="U619" s="585"/>
      <c r="V619" s="585"/>
      <c r="W619" s="585"/>
      <c r="X619" s="586"/>
      <c r="Y619" s="585"/>
      <c r="Z619" s="585"/>
      <c r="AA619" s="585"/>
      <c r="AB619" s="585"/>
      <c r="AC619" s="586"/>
      <c r="AD619" s="585"/>
      <c r="AE619" s="585"/>
      <c r="AF619" s="585"/>
      <c r="AG619" s="585"/>
      <c r="AH619" s="589">
        <f>SUM(AH617:AH618)</f>
        <v>51.082999999999998</v>
      </c>
      <c r="AI619" s="585"/>
      <c r="AJ619" s="585"/>
      <c r="AK619" s="585"/>
      <c r="AL619" s="585"/>
      <c r="AM619" s="589">
        <f>SUM(AM617:AM618)</f>
        <v>92.175000000000011</v>
      </c>
      <c r="AN619" s="585"/>
      <c r="AO619" s="585"/>
      <c r="AP619" s="585"/>
      <c r="AQ619" s="585"/>
      <c r="AR619" s="589">
        <f>SUM(AR617:AR618)</f>
        <v>199.26400000000001</v>
      </c>
      <c r="AS619" s="585"/>
      <c r="AT619" s="585"/>
      <c r="AU619" s="585"/>
      <c r="AV619" s="585"/>
      <c r="AW619" s="586"/>
      <c r="AX619" s="585"/>
      <c r="AY619" s="585"/>
      <c r="AZ619" s="585"/>
      <c r="BA619" s="585"/>
      <c r="BB619" s="586"/>
      <c r="BC619" s="585"/>
      <c r="BD619" s="585"/>
      <c r="BE619" s="585"/>
      <c r="BF619" s="585"/>
      <c r="BG619" s="586"/>
      <c r="BH619" s="585"/>
      <c r="BI619" s="585"/>
      <c r="BJ619" s="585"/>
      <c r="BK619" s="585"/>
      <c r="BL619" s="586"/>
      <c r="BM619" s="585"/>
      <c r="BN619" s="585"/>
      <c r="BO619" s="585"/>
      <c r="BP619" s="585"/>
      <c r="BQ619" s="586"/>
      <c r="BR619" s="585"/>
      <c r="BS619" s="585"/>
      <c r="BT619" s="585"/>
      <c r="BU619" s="585"/>
      <c r="BV619" s="586"/>
      <c r="BW619" s="585"/>
      <c r="BX619" s="585"/>
      <c r="BY619" s="585"/>
      <c r="BZ619" s="585"/>
      <c r="CA619" s="586"/>
      <c r="CB619" s="585"/>
      <c r="CC619" s="585"/>
      <c r="CD619" s="585"/>
      <c r="CE619" s="585"/>
      <c r="CF619" s="586"/>
      <c r="CG619" s="470"/>
      <c r="CH619" s="470"/>
      <c r="CI619" s="470"/>
      <c r="CJ619" s="470"/>
      <c r="CK619" s="586"/>
      <c r="CL619" s="470"/>
      <c r="CM619" s="470"/>
      <c r="CN619" s="470"/>
      <c r="CO619" s="470"/>
      <c r="CP619" s="586"/>
      <c r="CQ619" s="470"/>
      <c r="CR619" s="470"/>
      <c r="CS619" s="470"/>
      <c r="CT619" s="470"/>
      <c r="CU619" s="586"/>
      <c r="CV619" s="470"/>
      <c r="CW619" s="470"/>
      <c r="CX619" s="470"/>
      <c r="CY619" s="470"/>
      <c r="CZ619" s="586"/>
      <c r="DA619" s="470"/>
      <c r="DB619" s="470"/>
      <c r="DC619" s="470"/>
      <c r="DD619" s="470"/>
      <c r="DE619" s="586"/>
      <c r="DF619" s="470"/>
      <c r="DG619" s="470"/>
      <c r="DH619" s="470"/>
      <c r="DI619" s="914"/>
      <c r="DJ619" s="586"/>
      <c r="DK619" s="470"/>
      <c r="DL619" s="470"/>
      <c r="DM619" s="470"/>
      <c r="DN619" s="470"/>
      <c r="DO619" s="586"/>
      <c r="DP619" s="470"/>
      <c r="DQ619" s="470"/>
      <c r="DR619" s="470"/>
      <c r="DS619" s="470"/>
      <c r="DT619" s="586"/>
      <c r="DU619" s="470"/>
      <c r="DV619" s="470"/>
      <c r="DW619" s="470"/>
      <c r="DX619" s="470"/>
      <c r="DY619" s="586"/>
    </row>
    <row r="620" spans="1:129" hidden="1" outlineLevel="1" x14ac:dyDescent="0.2">
      <c r="A620" s="526"/>
      <c r="B620" s="756"/>
      <c r="C620" s="597"/>
      <c r="D620" s="597"/>
      <c r="E620" s="597"/>
      <c r="F620" s="597"/>
      <c r="G620" s="597"/>
      <c r="H620" s="597"/>
      <c r="I620" s="598"/>
      <c r="J620" s="597"/>
      <c r="K620" s="597"/>
      <c r="L620" s="597"/>
      <c r="M620" s="597"/>
      <c r="N620" s="598"/>
      <c r="O620" s="597"/>
      <c r="P620" s="597"/>
      <c r="Q620" s="597"/>
      <c r="R620" s="597"/>
      <c r="S620" s="598"/>
      <c r="T620" s="597"/>
      <c r="U620" s="597"/>
      <c r="V620" s="597"/>
      <c r="W620" s="597"/>
      <c r="X620" s="598"/>
      <c r="Y620" s="597"/>
      <c r="Z620" s="597"/>
      <c r="AA620" s="597"/>
      <c r="AB620" s="597"/>
      <c r="AC620" s="598"/>
      <c r="AD620" s="597"/>
      <c r="AE620" s="597"/>
      <c r="AF620" s="597"/>
      <c r="AG620" s="597"/>
      <c r="AH620" s="598"/>
      <c r="AI620" s="597"/>
      <c r="AJ620" s="597"/>
      <c r="AK620" s="597"/>
      <c r="AL620" s="597"/>
      <c r="AM620" s="598"/>
      <c r="AN620" s="597"/>
      <c r="AO620" s="597"/>
      <c r="AP620" s="597"/>
      <c r="AQ620" s="597"/>
      <c r="AR620" s="598"/>
      <c r="AS620" s="597"/>
      <c r="AT620" s="597"/>
      <c r="AU620" s="597"/>
      <c r="AV620" s="597"/>
      <c r="AW620" s="598"/>
      <c r="AX620" s="597"/>
      <c r="AY620" s="597"/>
      <c r="AZ620" s="597"/>
      <c r="BA620" s="597"/>
      <c r="BB620" s="598"/>
      <c r="BC620" s="597"/>
      <c r="BD620" s="597"/>
      <c r="BE620" s="597"/>
      <c r="BF620" s="597"/>
      <c r="BG620" s="598"/>
      <c r="BH620" s="597"/>
      <c r="BI620" s="597"/>
      <c r="BJ620" s="597"/>
      <c r="BK620" s="597"/>
      <c r="BL620" s="598"/>
      <c r="BM620" s="597"/>
      <c r="BN620" s="597"/>
      <c r="BO620" s="597"/>
      <c r="BP620" s="597"/>
      <c r="BQ620" s="598"/>
      <c r="BR620" s="597"/>
      <c r="BS620" s="597"/>
      <c r="BT620" s="597"/>
      <c r="BU620" s="597"/>
      <c r="BV620" s="598"/>
      <c r="BW620" s="597"/>
      <c r="BX620" s="597"/>
      <c r="BY620" s="597"/>
      <c r="BZ620" s="597"/>
      <c r="CA620" s="598"/>
      <c r="CB620" s="597"/>
      <c r="CC620" s="597"/>
      <c r="CD620" s="597"/>
      <c r="CE620" s="597"/>
      <c r="CF620" s="598"/>
      <c r="CG620" s="682"/>
      <c r="CH620" s="682"/>
      <c r="CI620" s="682"/>
      <c r="CJ620" s="682"/>
      <c r="CK620" s="598"/>
      <c r="CL620" s="682"/>
      <c r="CM620" s="682"/>
      <c r="CN620" s="682"/>
      <c r="CO620" s="682"/>
      <c r="CP620" s="598"/>
      <c r="CQ620" s="682"/>
      <c r="CR620" s="682"/>
      <c r="CS620" s="682"/>
      <c r="CT620" s="682"/>
      <c r="CU620" s="598"/>
      <c r="CV620" s="682"/>
      <c r="CW620" s="682"/>
      <c r="CX620" s="682"/>
      <c r="CY620" s="682"/>
      <c r="CZ620" s="598"/>
      <c r="DA620" s="682"/>
      <c r="DB620" s="682"/>
      <c r="DC620" s="682"/>
      <c r="DD620" s="682"/>
      <c r="DE620" s="598"/>
      <c r="DF620" s="682"/>
      <c r="DG620" s="682"/>
      <c r="DH620" s="682"/>
      <c r="DI620" s="1610"/>
      <c r="DJ620" s="598"/>
      <c r="DK620" s="682"/>
      <c r="DL620" s="682"/>
      <c r="DM620" s="682"/>
      <c r="DN620" s="682"/>
      <c r="DO620" s="598"/>
      <c r="DP620" s="682"/>
      <c r="DQ620" s="682"/>
      <c r="DR620" s="682"/>
      <c r="DS620" s="682"/>
      <c r="DT620" s="598"/>
      <c r="DU620" s="682"/>
      <c r="DV620" s="682"/>
      <c r="DW620" s="682"/>
      <c r="DX620" s="682"/>
      <c r="DY620" s="598"/>
    </row>
    <row r="621" spans="1:129" hidden="1" outlineLevel="1" x14ac:dyDescent="0.2">
      <c r="A621" s="526"/>
      <c r="B621" s="756" t="s">
        <v>945</v>
      </c>
      <c r="C621" s="597"/>
      <c r="D621" s="597"/>
      <c r="E621" s="597"/>
      <c r="F621" s="597"/>
      <c r="G621" s="597"/>
      <c r="H621" s="597"/>
      <c r="I621" s="598"/>
      <c r="J621" s="597"/>
      <c r="K621" s="597"/>
      <c r="L621" s="597"/>
      <c r="M621" s="597"/>
      <c r="N621" s="598"/>
      <c r="O621" s="597"/>
      <c r="P621" s="597"/>
      <c r="Q621" s="597"/>
      <c r="R621" s="597"/>
      <c r="S621" s="598"/>
      <c r="T621" s="597"/>
      <c r="U621" s="597"/>
      <c r="V621" s="597"/>
      <c r="W621" s="597"/>
      <c r="X621" s="598"/>
      <c r="Y621" s="597"/>
      <c r="Z621" s="597"/>
      <c r="AA621" s="597"/>
      <c r="AB621" s="597"/>
      <c r="AC621" s="598"/>
      <c r="AD621" s="597"/>
      <c r="AE621" s="597"/>
      <c r="AF621" s="597"/>
      <c r="AG621" s="597"/>
      <c r="AH621" s="598"/>
      <c r="AI621" s="597"/>
      <c r="AJ621" s="597"/>
      <c r="AK621" s="597"/>
      <c r="AL621" s="597"/>
      <c r="AM621" s="598"/>
      <c r="AN621" s="597"/>
      <c r="AO621" s="597"/>
      <c r="AP621" s="597"/>
      <c r="AQ621" s="597"/>
      <c r="AR621" s="598"/>
      <c r="AS621" s="597"/>
      <c r="AT621" s="597"/>
      <c r="AU621" s="597"/>
      <c r="AV621" s="597"/>
      <c r="AW621" s="598"/>
      <c r="AX621" s="597"/>
      <c r="AY621" s="597"/>
      <c r="AZ621" s="597"/>
      <c r="BA621" s="597"/>
      <c r="BB621" s="598"/>
      <c r="BC621" s="597"/>
      <c r="BD621" s="597"/>
      <c r="BE621" s="597"/>
      <c r="BF621" s="597"/>
      <c r="BG621" s="598"/>
      <c r="BH621" s="597"/>
      <c r="BI621" s="597"/>
      <c r="BJ621" s="597"/>
      <c r="BK621" s="597"/>
      <c r="BL621" s="598"/>
      <c r="BM621" s="597"/>
      <c r="BN621" s="597"/>
      <c r="BO621" s="597"/>
      <c r="BP621" s="597"/>
      <c r="BQ621" s="598"/>
      <c r="BR621" s="597"/>
      <c r="BS621" s="597"/>
      <c r="BT621" s="597"/>
      <c r="BU621" s="597"/>
      <c r="BV621" s="598"/>
      <c r="BW621" s="597"/>
      <c r="BX621" s="597"/>
      <c r="BY621" s="597"/>
      <c r="BZ621" s="597"/>
      <c r="CA621" s="598"/>
      <c r="CB621" s="597"/>
      <c r="CC621" s="597"/>
      <c r="CD621" s="597"/>
      <c r="CE621" s="597"/>
      <c r="CF621" s="598"/>
      <c r="CG621" s="682"/>
      <c r="CH621" s="682"/>
      <c r="CI621" s="682"/>
      <c r="CJ621" s="682"/>
      <c r="CK621" s="598"/>
      <c r="CL621" s="682"/>
      <c r="CM621" s="682"/>
      <c r="CN621" s="682"/>
      <c r="CO621" s="682"/>
      <c r="CP621" s="598"/>
      <c r="CQ621" s="682"/>
      <c r="CR621" s="682"/>
      <c r="CS621" s="682"/>
      <c r="CT621" s="682"/>
      <c r="CU621" s="598"/>
      <c r="CV621" s="682"/>
      <c r="CW621" s="682"/>
      <c r="CX621" s="682"/>
      <c r="CY621" s="682"/>
      <c r="CZ621" s="598"/>
      <c r="DA621" s="682"/>
      <c r="DB621" s="682"/>
      <c r="DC621" s="682"/>
      <c r="DD621" s="682"/>
      <c r="DE621" s="598"/>
      <c r="DF621" s="682"/>
      <c r="DG621" s="682"/>
      <c r="DH621" s="682"/>
      <c r="DI621" s="1610"/>
      <c r="DJ621" s="598"/>
      <c r="DK621" s="682"/>
      <c r="DL621" s="682"/>
      <c r="DM621" s="682"/>
      <c r="DN621" s="682"/>
      <c r="DO621" s="598"/>
      <c r="DP621" s="682"/>
      <c r="DQ621" s="682"/>
      <c r="DR621" s="682"/>
      <c r="DS621" s="682"/>
      <c r="DT621" s="598"/>
      <c r="DU621" s="682"/>
      <c r="DV621" s="682"/>
      <c r="DW621" s="682"/>
      <c r="DX621" s="682"/>
      <c r="DY621" s="598"/>
    </row>
    <row r="622" spans="1:129" hidden="1" outlineLevel="1" x14ac:dyDescent="0.2">
      <c r="A622" s="526"/>
      <c r="B622" s="756"/>
      <c r="C622" s="597"/>
      <c r="D622" s="597"/>
      <c r="E622" s="597"/>
      <c r="F622" s="597"/>
      <c r="G622" s="597"/>
      <c r="H622" s="597"/>
      <c r="I622" s="598"/>
      <c r="J622" s="597"/>
      <c r="K622" s="597"/>
      <c r="L622" s="597"/>
      <c r="M622" s="597"/>
      <c r="N622" s="598" t="s">
        <v>946</v>
      </c>
      <c r="O622" s="597"/>
      <c r="P622" s="597"/>
      <c r="Q622" s="597"/>
      <c r="R622" s="597"/>
      <c r="S622" s="598"/>
      <c r="T622" s="597"/>
      <c r="U622" s="597"/>
      <c r="V622" s="597"/>
      <c r="W622" s="597"/>
      <c r="X622" s="598"/>
      <c r="Y622" s="597"/>
      <c r="Z622" s="597"/>
      <c r="AA622" s="597"/>
      <c r="AB622" s="597"/>
      <c r="AC622" s="1001">
        <f>AC624+AC623</f>
        <v>6000</v>
      </c>
      <c r="AD622" s="597"/>
      <c r="AE622" s="597"/>
      <c r="AF622" s="597"/>
      <c r="AG622" s="597"/>
      <c r="AH622" s="598"/>
      <c r="AI622" s="597"/>
      <c r="AJ622" s="597"/>
      <c r="AK622" s="597"/>
      <c r="AL622" s="597"/>
      <c r="AM622" s="598"/>
      <c r="AN622" s="597"/>
      <c r="AO622" s="597"/>
      <c r="AP622" s="597"/>
      <c r="AQ622" s="597"/>
      <c r="AR622" s="598"/>
      <c r="AS622" s="597"/>
      <c r="AT622" s="597"/>
      <c r="AU622" s="597"/>
      <c r="AV622" s="597"/>
      <c r="AW622" s="598"/>
      <c r="AX622" s="597"/>
      <c r="AY622" s="597"/>
      <c r="AZ622" s="597"/>
      <c r="BA622" s="597"/>
      <c r="BB622" s="598"/>
      <c r="BC622" s="597"/>
      <c r="BD622" s="597"/>
      <c r="BE622" s="597"/>
      <c r="BF622" s="597"/>
      <c r="BG622" s="598"/>
      <c r="BH622" s="597"/>
      <c r="BI622" s="597"/>
      <c r="BJ622" s="597"/>
      <c r="BK622" s="597"/>
      <c r="BL622" s="598"/>
      <c r="BM622" s="597"/>
      <c r="BN622" s="597"/>
      <c r="BO622" s="597"/>
      <c r="BP622" s="597"/>
      <c r="BQ622" s="598"/>
      <c r="BR622" s="597"/>
      <c r="BS622" s="597"/>
      <c r="BT622" s="597"/>
      <c r="BU622" s="597"/>
      <c r="BV622" s="598"/>
      <c r="BW622" s="597"/>
      <c r="BX622" s="597"/>
      <c r="BY622" s="597"/>
      <c r="BZ622" s="597"/>
      <c r="CA622" s="598"/>
      <c r="CB622" s="597"/>
      <c r="CC622" s="597"/>
      <c r="CD622" s="597"/>
      <c r="CE622" s="597"/>
      <c r="CF622" s="598"/>
      <c r="CG622" s="682"/>
      <c r="CH622" s="682"/>
      <c r="CI622" s="682"/>
      <c r="CJ622" s="682"/>
      <c r="CK622" s="598"/>
      <c r="CL622" s="682"/>
      <c r="CM622" s="682"/>
      <c r="CN622" s="682"/>
      <c r="CO622" s="682"/>
      <c r="CP622" s="598"/>
      <c r="CQ622" s="682"/>
      <c r="CR622" s="682"/>
      <c r="CS622" s="682"/>
      <c r="CT622" s="682"/>
      <c r="CU622" s="598"/>
      <c r="CV622" s="682"/>
      <c r="CW622" s="682"/>
      <c r="CX622" s="682"/>
      <c r="CY622" s="682"/>
      <c r="CZ622" s="598"/>
      <c r="DA622" s="682"/>
      <c r="DB622" s="682"/>
      <c r="DC622" s="682"/>
      <c r="DD622" s="682"/>
      <c r="DE622" s="598"/>
      <c r="DF622" s="682"/>
      <c r="DG622" s="682"/>
      <c r="DH622" s="682"/>
      <c r="DI622" s="1610"/>
      <c r="DJ622" s="598"/>
      <c r="DK622" s="682"/>
      <c r="DL622" s="682"/>
      <c r="DM622" s="682"/>
      <c r="DN622" s="682"/>
      <c r="DO622" s="598"/>
      <c r="DP622" s="682"/>
      <c r="DQ622" s="682"/>
      <c r="DR622" s="682"/>
      <c r="DS622" s="682"/>
      <c r="DT622" s="598"/>
      <c r="DU622" s="682"/>
      <c r="DV622" s="682"/>
      <c r="DW622" s="682"/>
      <c r="DX622" s="682"/>
      <c r="DY622" s="598"/>
    </row>
    <row r="623" spans="1:129" hidden="1" outlineLevel="1" x14ac:dyDescent="0.2">
      <c r="A623" s="526"/>
      <c r="B623" s="756"/>
      <c r="C623" s="597"/>
      <c r="D623" s="597"/>
      <c r="E623" s="597"/>
      <c r="F623" s="597"/>
      <c r="G623" s="597"/>
      <c r="H623" s="597"/>
      <c r="I623" s="598"/>
      <c r="J623" s="597"/>
      <c r="K623" s="597"/>
      <c r="L623" s="597"/>
      <c r="M623" s="597"/>
      <c r="N623" s="598" t="s">
        <v>947</v>
      </c>
      <c r="O623" s="597"/>
      <c r="P623" s="597"/>
      <c r="Q623" s="597"/>
      <c r="R623" s="597"/>
      <c r="S623" s="598"/>
      <c r="T623" s="597"/>
      <c r="U623" s="597"/>
      <c r="V623" s="597"/>
      <c r="W623" s="597"/>
      <c r="X623" s="598"/>
      <c r="Y623" s="597"/>
      <c r="Z623" s="597"/>
      <c r="AA623" s="597"/>
      <c r="AB623" s="597"/>
      <c r="AC623" s="975">
        <v>400</v>
      </c>
      <c r="AD623" s="597"/>
      <c r="AE623" s="597"/>
      <c r="AF623" s="597"/>
      <c r="AG623" s="597"/>
      <c r="AH623" s="598"/>
      <c r="AI623" s="597"/>
      <c r="AJ623" s="597"/>
      <c r="AK623" s="597"/>
      <c r="AL623" s="597"/>
      <c r="AM623" s="598" t="s">
        <v>948</v>
      </c>
      <c r="AN623" s="597"/>
      <c r="AO623" s="597"/>
      <c r="AP623" s="597"/>
      <c r="AQ623" s="597"/>
      <c r="AR623" s="598"/>
      <c r="AS623" s="597"/>
      <c r="AT623" s="597"/>
      <c r="AU623" s="597"/>
      <c r="AV623" s="597"/>
      <c r="AW623" s="598"/>
      <c r="AX623" s="597"/>
      <c r="AY623" s="597"/>
      <c r="AZ623" s="597"/>
      <c r="BA623" s="597"/>
      <c r="BB623" s="598"/>
      <c r="BC623" s="597"/>
      <c r="BD623" s="597"/>
      <c r="BE623" s="597"/>
      <c r="BF623" s="597"/>
      <c r="BG623" s="598"/>
      <c r="BH623" s="597"/>
      <c r="BI623" s="597"/>
      <c r="BJ623" s="597"/>
      <c r="BK623" s="597"/>
      <c r="BL623" s="598"/>
      <c r="BM623" s="597"/>
      <c r="BN623" s="597"/>
      <c r="BO623" s="597"/>
      <c r="BP623" s="597"/>
      <c r="BQ623" s="598"/>
      <c r="BR623" s="597"/>
      <c r="BS623" s="597"/>
      <c r="BT623" s="597"/>
      <c r="BU623" s="597"/>
      <c r="BV623" s="598"/>
      <c r="BW623" s="597"/>
      <c r="BX623" s="597"/>
      <c r="BY623" s="597"/>
      <c r="BZ623" s="597"/>
      <c r="CA623" s="598"/>
      <c r="CB623" s="597"/>
      <c r="CC623" s="597"/>
      <c r="CD623" s="597"/>
      <c r="CE623" s="597"/>
      <c r="CF623" s="598"/>
      <c r="CG623" s="682"/>
      <c r="CH623" s="682"/>
      <c r="CI623" s="682"/>
      <c r="CJ623" s="682"/>
      <c r="CK623" s="598"/>
      <c r="CL623" s="682"/>
      <c r="CM623" s="682"/>
      <c r="CN623" s="682"/>
      <c r="CO623" s="682"/>
      <c r="CP623" s="598"/>
      <c r="CQ623" s="682"/>
      <c r="CR623" s="682"/>
      <c r="CS623" s="682"/>
      <c r="CT623" s="682"/>
      <c r="CU623" s="598"/>
      <c r="CV623" s="682"/>
      <c r="CW623" s="682"/>
      <c r="CX623" s="682"/>
      <c r="CY623" s="682"/>
      <c r="CZ623" s="598"/>
      <c r="DA623" s="682"/>
      <c r="DB623" s="682"/>
      <c r="DC623" s="682"/>
      <c r="DD623" s="682"/>
      <c r="DE623" s="598"/>
      <c r="DF623" s="682"/>
      <c r="DG623" s="682"/>
      <c r="DH623" s="682"/>
      <c r="DI623" s="1610"/>
      <c r="DJ623" s="598"/>
      <c r="DK623" s="682"/>
      <c r="DL623" s="682"/>
      <c r="DM623" s="682"/>
      <c r="DN623" s="682"/>
      <c r="DO623" s="598"/>
      <c r="DP623" s="682"/>
      <c r="DQ623" s="682"/>
      <c r="DR623" s="682"/>
      <c r="DS623" s="682"/>
      <c r="DT623" s="598"/>
      <c r="DU623" s="682"/>
      <c r="DV623" s="682"/>
      <c r="DW623" s="682"/>
      <c r="DX623" s="682"/>
      <c r="DY623" s="598"/>
    </row>
    <row r="624" spans="1:129" hidden="1" outlineLevel="1" x14ac:dyDescent="0.2">
      <c r="A624" s="526"/>
      <c r="B624" s="756"/>
      <c r="C624" s="597"/>
      <c r="D624" s="597"/>
      <c r="E624" s="597"/>
      <c r="F624" s="597"/>
      <c r="G624" s="597"/>
      <c r="H624" s="597"/>
      <c r="I624" s="598"/>
      <c r="J624" s="597"/>
      <c r="K624" s="597"/>
      <c r="L624" s="597"/>
      <c r="M624" s="597"/>
      <c r="N624" s="598" t="s">
        <v>949</v>
      </c>
      <c r="O624" s="597"/>
      <c r="P624" s="597"/>
      <c r="Q624" s="597"/>
      <c r="R624" s="597"/>
      <c r="S624" s="598"/>
      <c r="T624" s="597"/>
      <c r="U624" s="597"/>
      <c r="V624" s="597"/>
      <c r="W624" s="597"/>
      <c r="X624" s="598"/>
      <c r="Y624" s="597"/>
      <c r="Z624" s="597"/>
      <c r="AA624" s="597"/>
      <c r="AB624" s="597"/>
      <c r="AC624" s="975">
        <v>5600</v>
      </c>
      <c r="AD624" s="597"/>
      <c r="AE624" s="597"/>
      <c r="AF624" s="597"/>
      <c r="AG624" s="597"/>
      <c r="AH624" s="598"/>
      <c r="AI624" s="597"/>
      <c r="AJ624" s="597"/>
      <c r="AK624" s="597"/>
      <c r="AL624" s="597"/>
      <c r="AM624" s="598" t="s">
        <v>176</v>
      </c>
      <c r="AN624" s="597"/>
      <c r="AO624" s="597"/>
      <c r="AP624" s="597"/>
      <c r="AQ624" s="597"/>
      <c r="AR624" s="1001">
        <f>AC624/AR615</f>
        <v>15.077920539358757</v>
      </c>
      <c r="AS624" s="597"/>
      <c r="AT624" s="597"/>
      <c r="AU624" s="597"/>
      <c r="AV624" s="597"/>
      <c r="AW624" s="598"/>
      <c r="AX624" s="597"/>
      <c r="AY624" s="597"/>
      <c r="AZ624" s="597"/>
      <c r="BA624" s="597"/>
      <c r="BB624" s="598"/>
      <c r="BC624" s="597"/>
      <c r="BD624" s="597"/>
      <c r="BE624" s="597"/>
      <c r="BF624" s="597"/>
      <c r="BG624" s="598"/>
      <c r="BH624" s="597"/>
      <c r="BI624" s="597"/>
      <c r="BJ624" s="597"/>
      <c r="BK624" s="597"/>
      <c r="BL624" s="598"/>
      <c r="BM624" s="597"/>
      <c r="BN624" s="597"/>
      <c r="BO624" s="597"/>
      <c r="BP624" s="597"/>
      <c r="BQ624" s="598"/>
      <c r="BR624" s="597"/>
      <c r="BS624" s="597"/>
      <c r="BT624" s="597"/>
      <c r="BU624" s="597"/>
      <c r="BV624" s="598"/>
      <c r="BW624" s="597"/>
      <c r="BX624" s="597"/>
      <c r="BY624" s="597"/>
      <c r="BZ624" s="597"/>
      <c r="CA624" s="598"/>
      <c r="CB624" s="597"/>
      <c r="CC624" s="597"/>
      <c r="CD624" s="597"/>
      <c r="CE624" s="597"/>
      <c r="CF624" s="598"/>
      <c r="CG624" s="682"/>
      <c r="CH624" s="682"/>
      <c r="CI624" s="682"/>
      <c r="CJ624" s="682"/>
      <c r="CK624" s="598"/>
      <c r="CL624" s="682"/>
      <c r="CM624" s="682"/>
      <c r="CN624" s="682"/>
      <c r="CO624" s="682"/>
      <c r="CP624" s="598"/>
      <c r="CQ624" s="682"/>
      <c r="CR624" s="682"/>
      <c r="CS624" s="682"/>
      <c r="CT624" s="682"/>
      <c r="CU624" s="598"/>
      <c r="CV624" s="682"/>
      <c r="CW624" s="682"/>
      <c r="CX624" s="682"/>
      <c r="CY624" s="682"/>
      <c r="CZ624" s="598"/>
      <c r="DA624" s="682"/>
      <c r="DB624" s="682"/>
      <c r="DC624" s="682"/>
      <c r="DD624" s="682"/>
      <c r="DE624" s="598"/>
      <c r="DF624" s="682"/>
      <c r="DG624" s="682"/>
      <c r="DH624" s="682"/>
      <c r="DI624" s="1610"/>
      <c r="DJ624" s="598"/>
      <c r="DK624" s="682"/>
      <c r="DL624" s="682"/>
      <c r="DM624" s="682"/>
      <c r="DN624" s="682"/>
      <c r="DO624" s="598"/>
      <c r="DP624" s="682"/>
      <c r="DQ624" s="682"/>
      <c r="DR624" s="682"/>
      <c r="DS624" s="682"/>
      <c r="DT624" s="598"/>
      <c r="DU624" s="682"/>
      <c r="DV624" s="682"/>
      <c r="DW624" s="682"/>
      <c r="DX624" s="682"/>
      <c r="DY624" s="598"/>
    </row>
    <row r="625" spans="1:129" hidden="1" outlineLevel="1" x14ac:dyDescent="0.2">
      <c r="A625" s="526"/>
      <c r="B625" s="756"/>
      <c r="C625" s="597"/>
      <c r="D625" s="597"/>
      <c r="E625" s="597"/>
      <c r="F625" s="597"/>
      <c r="G625" s="597"/>
      <c r="H625" s="597"/>
      <c r="I625" s="598"/>
      <c r="J625" s="597"/>
      <c r="K625" s="597"/>
      <c r="L625" s="597"/>
      <c r="M625" s="597"/>
      <c r="N625" s="598" t="s">
        <v>950</v>
      </c>
      <c r="O625" s="597"/>
      <c r="P625" s="597"/>
      <c r="Q625" s="597"/>
      <c r="R625" s="597"/>
      <c r="S625" s="598"/>
      <c r="T625" s="597"/>
      <c r="U625" s="597"/>
      <c r="V625" s="597"/>
      <c r="W625" s="597"/>
      <c r="X625" s="598"/>
      <c r="Y625" s="597"/>
      <c r="Z625" s="597"/>
      <c r="AA625" s="597"/>
      <c r="AB625" s="597"/>
      <c r="AC625" s="1001">
        <f>AC624/(1+AC628)</f>
        <v>4087.5912408759123</v>
      </c>
      <c r="AD625" s="597"/>
      <c r="AE625" s="597"/>
      <c r="AF625" s="597"/>
      <c r="AG625" s="597"/>
      <c r="AH625" s="598"/>
      <c r="AI625" s="597"/>
      <c r="AJ625" s="597"/>
      <c r="AK625" s="597"/>
      <c r="AL625" s="597"/>
      <c r="AM625" s="598" t="s">
        <v>951</v>
      </c>
      <c r="AN625" s="597"/>
      <c r="AO625" s="597"/>
      <c r="AP625" s="597"/>
      <c r="AQ625" s="597"/>
      <c r="AR625" s="1001">
        <f>AC626/AR610</f>
        <v>31.935672514619885</v>
      </c>
      <c r="AS625" s="597"/>
      <c r="AT625" s="597"/>
      <c r="AU625" s="597"/>
      <c r="AV625" s="597"/>
      <c r="AW625" s="598"/>
      <c r="AX625" s="597"/>
      <c r="AY625" s="597"/>
      <c r="AZ625" s="597"/>
      <c r="BA625" s="597"/>
      <c r="BB625" s="598"/>
      <c r="BC625" s="597"/>
      <c r="BD625" s="597"/>
      <c r="BE625" s="597"/>
      <c r="BF625" s="597"/>
      <c r="BG625" s="598"/>
      <c r="BH625" s="597"/>
      <c r="BI625" s="597"/>
      <c r="BJ625" s="597"/>
      <c r="BK625" s="597"/>
      <c r="BL625" s="598"/>
      <c r="BM625" s="597"/>
      <c r="BN625" s="597"/>
      <c r="BO625" s="597"/>
      <c r="BP625" s="597"/>
      <c r="BQ625" s="598"/>
      <c r="BR625" s="597"/>
      <c r="BS625" s="597"/>
      <c r="BT625" s="597"/>
      <c r="BU625" s="597"/>
      <c r="BV625" s="598"/>
      <c r="BW625" s="597"/>
      <c r="BX625" s="597"/>
      <c r="BY625" s="597"/>
      <c r="BZ625" s="597"/>
      <c r="CA625" s="598"/>
      <c r="CB625" s="597"/>
      <c r="CC625" s="597"/>
      <c r="CD625" s="597"/>
      <c r="CE625" s="597"/>
      <c r="CF625" s="598"/>
      <c r="CG625" s="682"/>
      <c r="CH625" s="682"/>
      <c r="CI625" s="682"/>
      <c r="CJ625" s="682"/>
      <c r="CK625" s="598"/>
      <c r="CL625" s="682"/>
      <c r="CM625" s="682"/>
      <c r="CN625" s="682"/>
      <c r="CO625" s="682"/>
      <c r="CP625" s="598"/>
      <c r="CQ625" s="682"/>
      <c r="CR625" s="682"/>
      <c r="CS625" s="682"/>
      <c r="CT625" s="682"/>
      <c r="CU625" s="598"/>
      <c r="CV625" s="682"/>
      <c r="CW625" s="682"/>
      <c r="CX625" s="682"/>
      <c r="CY625" s="682"/>
      <c r="CZ625" s="598"/>
      <c r="DA625" s="682"/>
      <c r="DB625" s="682"/>
      <c r="DC625" s="682"/>
      <c r="DD625" s="682"/>
      <c r="DE625" s="598"/>
      <c r="DF625" s="682"/>
      <c r="DG625" s="682"/>
      <c r="DH625" s="682"/>
      <c r="DI625" s="1610"/>
      <c r="DJ625" s="598"/>
      <c r="DK625" s="682"/>
      <c r="DL625" s="682"/>
      <c r="DM625" s="682"/>
      <c r="DN625" s="682"/>
      <c r="DO625" s="598"/>
      <c r="DP625" s="682"/>
      <c r="DQ625" s="682"/>
      <c r="DR625" s="682"/>
      <c r="DS625" s="682"/>
      <c r="DT625" s="598"/>
      <c r="DU625" s="682"/>
      <c r="DV625" s="682"/>
      <c r="DW625" s="682"/>
      <c r="DX625" s="682"/>
      <c r="DY625" s="598"/>
    </row>
    <row r="626" spans="1:129" hidden="1" outlineLevel="1" x14ac:dyDescent="0.2">
      <c r="A626" s="526"/>
      <c r="B626" s="756"/>
      <c r="C626" s="597"/>
      <c r="D626" s="597"/>
      <c r="E626" s="597"/>
      <c r="F626" s="597"/>
      <c r="G626" s="597"/>
      <c r="H626" s="597"/>
      <c r="I626" s="598"/>
      <c r="J626" s="597"/>
      <c r="K626" s="597"/>
      <c r="L626" s="597"/>
      <c r="M626" s="597"/>
      <c r="N626" s="598" t="s">
        <v>952</v>
      </c>
      <c r="O626" s="597"/>
      <c r="P626" s="597"/>
      <c r="Q626" s="597"/>
      <c r="R626" s="597"/>
      <c r="S626" s="598"/>
      <c r="T626" s="597"/>
      <c r="U626" s="597"/>
      <c r="V626" s="597"/>
      <c r="W626" s="597"/>
      <c r="X626" s="598"/>
      <c r="Y626" s="597"/>
      <c r="Z626" s="597"/>
      <c r="AA626" s="597"/>
      <c r="AB626" s="597"/>
      <c r="AC626" s="975">
        <v>54.61</v>
      </c>
      <c r="AD626" s="597"/>
      <c r="AE626" s="597"/>
      <c r="AF626" s="597"/>
      <c r="AG626" s="597"/>
      <c r="AH626" s="598"/>
      <c r="AI626" s="597"/>
      <c r="AJ626" s="597"/>
      <c r="AK626" s="597"/>
      <c r="AL626" s="597"/>
      <c r="AM626" s="598"/>
      <c r="AN626" s="597"/>
      <c r="AO626" s="597"/>
      <c r="AP626" s="597"/>
      <c r="AQ626" s="597"/>
      <c r="AR626" s="598"/>
      <c r="AS626" s="597"/>
      <c r="AT626" s="597"/>
      <c r="AU626" s="597"/>
      <c r="AV626" s="597"/>
      <c r="AW626" s="598"/>
      <c r="AX626" s="597"/>
      <c r="AY626" s="597"/>
      <c r="AZ626" s="597"/>
      <c r="BA626" s="597"/>
      <c r="BB626" s="598"/>
      <c r="BC626" s="597"/>
      <c r="BD626" s="597"/>
      <c r="BE626" s="597"/>
      <c r="BF626" s="597"/>
      <c r="BG626" s="598"/>
      <c r="BH626" s="597"/>
      <c r="BI626" s="597"/>
      <c r="BJ626" s="597"/>
      <c r="BK626" s="597"/>
      <c r="BL626" s="598"/>
      <c r="BM626" s="597"/>
      <c r="BN626" s="597"/>
      <c r="BO626" s="597"/>
      <c r="BP626" s="597"/>
      <c r="BQ626" s="598"/>
      <c r="BR626" s="597"/>
      <c r="BS626" s="597"/>
      <c r="BT626" s="597"/>
      <c r="BU626" s="597"/>
      <c r="BV626" s="598"/>
      <c r="BW626" s="597"/>
      <c r="BX626" s="597"/>
      <c r="BY626" s="597"/>
      <c r="BZ626" s="597"/>
      <c r="CA626" s="598"/>
      <c r="CB626" s="597"/>
      <c r="CC626" s="597"/>
      <c r="CD626" s="597"/>
      <c r="CE626" s="597"/>
      <c r="CF626" s="598"/>
      <c r="CG626" s="682"/>
      <c r="CH626" s="682"/>
      <c r="CI626" s="682"/>
      <c r="CJ626" s="682"/>
      <c r="CK626" s="598"/>
      <c r="CL626" s="682"/>
      <c r="CM626" s="682"/>
      <c r="CN626" s="682"/>
      <c r="CO626" s="682"/>
      <c r="CP626" s="598"/>
      <c r="CQ626" s="682"/>
      <c r="CR626" s="682"/>
      <c r="CS626" s="682"/>
      <c r="CT626" s="682"/>
      <c r="CU626" s="598"/>
      <c r="CV626" s="682"/>
      <c r="CW626" s="682"/>
      <c r="CX626" s="682"/>
      <c r="CY626" s="682"/>
      <c r="CZ626" s="598"/>
      <c r="DA626" s="682"/>
      <c r="DB626" s="682"/>
      <c r="DC626" s="682"/>
      <c r="DD626" s="682"/>
      <c r="DE626" s="598"/>
      <c r="DF626" s="682"/>
      <c r="DG626" s="682"/>
      <c r="DH626" s="682"/>
      <c r="DI626" s="1610"/>
      <c r="DJ626" s="598"/>
      <c r="DK626" s="682"/>
      <c r="DL626" s="682"/>
      <c r="DM626" s="682"/>
      <c r="DN626" s="682"/>
      <c r="DO626" s="598"/>
      <c r="DP626" s="682"/>
      <c r="DQ626" s="682"/>
      <c r="DR626" s="682"/>
      <c r="DS626" s="682"/>
      <c r="DT626" s="598"/>
      <c r="DU626" s="682"/>
      <c r="DV626" s="682"/>
      <c r="DW626" s="682"/>
      <c r="DX626" s="682"/>
      <c r="DY626" s="598"/>
    </row>
    <row r="627" spans="1:129" hidden="1" outlineLevel="1" x14ac:dyDescent="0.2">
      <c r="A627" s="526"/>
      <c r="B627" s="756"/>
      <c r="C627" s="597"/>
      <c r="D627" s="597"/>
      <c r="E627" s="597"/>
      <c r="F627" s="597"/>
      <c r="G627" s="597"/>
      <c r="H627" s="597"/>
      <c r="I627" s="598"/>
      <c r="J627" s="597"/>
      <c r="K627" s="597"/>
      <c r="L627" s="597"/>
      <c r="M627" s="597"/>
      <c r="N627" s="598" t="s">
        <v>953</v>
      </c>
      <c r="O627" s="597"/>
      <c r="P627" s="597"/>
      <c r="Q627" s="597"/>
      <c r="R627" s="597"/>
      <c r="S627" s="598"/>
      <c r="T627" s="597"/>
      <c r="U627" s="597"/>
      <c r="V627" s="597"/>
      <c r="W627" s="597"/>
      <c r="X627" s="598"/>
      <c r="Y627" s="597"/>
      <c r="Z627" s="597"/>
      <c r="AA627" s="597"/>
      <c r="AB627" s="597"/>
      <c r="AC627" s="1001">
        <f>AC626/(1+AC628)</f>
        <v>39.861313868613138</v>
      </c>
      <c r="AD627" s="597"/>
      <c r="AE627" s="597"/>
      <c r="AF627" s="597"/>
      <c r="AG627" s="597"/>
      <c r="AH627" s="752"/>
      <c r="AI627" s="597"/>
      <c r="AJ627" s="597"/>
      <c r="AK627" s="597"/>
      <c r="AL627" s="597"/>
      <c r="AM627" s="752" t="s">
        <v>954</v>
      </c>
      <c r="AN627" s="597"/>
      <c r="AO627" s="597"/>
      <c r="AP627" s="597"/>
      <c r="AQ627" s="597"/>
      <c r="AR627" s="752"/>
      <c r="AS627" s="597"/>
      <c r="AT627" s="597"/>
      <c r="AU627" s="597"/>
      <c r="AV627" s="597"/>
      <c r="AW627" s="598"/>
      <c r="AX627" s="597"/>
      <c r="AY627" s="597"/>
      <c r="AZ627" s="597"/>
      <c r="BA627" s="597"/>
      <c r="BB627" s="598"/>
      <c r="BC627" s="597"/>
      <c r="BD627" s="597"/>
      <c r="BE627" s="597"/>
      <c r="BF627" s="597"/>
      <c r="BG627" s="598"/>
      <c r="BH627" s="597"/>
      <c r="BI627" s="597"/>
      <c r="BJ627" s="597"/>
      <c r="BK627" s="597"/>
      <c r="BL627" s="598"/>
      <c r="BM627" s="597"/>
      <c r="BN627" s="597"/>
      <c r="BO627" s="597"/>
      <c r="BP627" s="597"/>
      <c r="BQ627" s="598"/>
      <c r="BR627" s="597"/>
      <c r="BS627" s="597"/>
      <c r="BT627" s="597"/>
      <c r="BU627" s="597"/>
      <c r="BV627" s="598"/>
      <c r="BW627" s="597"/>
      <c r="BX627" s="597"/>
      <c r="BY627" s="597"/>
      <c r="BZ627" s="597"/>
      <c r="CA627" s="598"/>
      <c r="CB627" s="597"/>
      <c r="CC627" s="597"/>
      <c r="CD627" s="597"/>
      <c r="CE627" s="597"/>
      <c r="CF627" s="598"/>
      <c r="CG627" s="682"/>
      <c r="CH627" s="682"/>
      <c r="CI627" s="682"/>
      <c r="CJ627" s="682"/>
      <c r="CK627" s="598"/>
      <c r="CL627" s="682"/>
      <c r="CM627" s="682"/>
      <c r="CN627" s="682"/>
      <c r="CO627" s="682"/>
      <c r="CP627" s="598"/>
      <c r="CQ627" s="682"/>
      <c r="CR627" s="682"/>
      <c r="CS627" s="682"/>
      <c r="CT627" s="682"/>
      <c r="CU627" s="598"/>
      <c r="CV627" s="682"/>
      <c r="CW627" s="682"/>
      <c r="CX627" s="682"/>
      <c r="CY627" s="682"/>
      <c r="CZ627" s="598"/>
      <c r="DA627" s="682"/>
      <c r="DB627" s="682"/>
      <c r="DC627" s="682"/>
      <c r="DD627" s="682"/>
      <c r="DE627" s="598"/>
      <c r="DF627" s="682"/>
      <c r="DG627" s="682"/>
      <c r="DH627" s="682"/>
      <c r="DI627" s="1610"/>
      <c r="DJ627" s="598"/>
      <c r="DK627" s="682"/>
      <c r="DL627" s="682"/>
      <c r="DM627" s="682"/>
      <c r="DN627" s="682"/>
      <c r="DO627" s="598"/>
      <c r="DP627" s="682"/>
      <c r="DQ627" s="682"/>
      <c r="DR627" s="682"/>
      <c r="DS627" s="682"/>
      <c r="DT627" s="598"/>
      <c r="DU627" s="682"/>
      <c r="DV627" s="682"/>
      <c r="DW627" s="682"/>
      <c r="DX627" s="682"/>
      <c r="DY627" s="598"/>
    </row>
    <row r="628" spans="1:129" hidden="1" outlineLevel="1" x14ac:dyDescent="0.2">
      <c r="A628" s="526"/>
      <c r="B628" s="756"/>
      <c r="C628" s="597"/>
      <c r="D628" s="597"/>
      <c r="E628" s="597"/>
      <c r="F628" s="597"/>
      <c r="G628" s="597"/>
      <c r="H628" s="597"/>
      <c r="I628" s="598"/>
      <c r="J628" s="597"/>
      <c r="K628" s="597"/>
      <c r="L628" s="597"/>
      <c r="M628" s="597"/>
      <c r="N628" s="598" t="s">
        <v>955</v>
      </c>
      <c r="O628" s="597"/>
      <c r="P628" s="597"/>
      <c r="Q628" s="597"/>
      <c r="R628" s="597"/>
      <c r="S628" s="598"/>
      <c r="T628" s="597"/>
      <c r="U628" s="597"/>
      <c r="V628" s="597"/>
      <c r="W628" s="597"/>
      <c r="X628" s="598"/>
      <c r="Y628" s="597"/>
      <c r="Z628" s="597"/>
      <c r="AA628" s="597"/>
      <c r="AB628" s="597"/>
      <c r="AC628" s="975">
        <v>0.37</v>
      </c>
      <c r="AD628" s="597"/>
      <c r="AE628" s="597"/>
      <c r="AF628" s="597"/>
      <c r="AG628" s="597"/>
      <c r="AH628" s="598"/>
      <c r="AI628" s="597"/>
      <c r="AJ628" s="597"/>
      <c r="AK628" s="597"/>
      <c r="AL628" s="597"/>
      <c r="AM628" s="598" t="s">
        <v>176</v>
      </c>
      <c r="AN628" s="597"/>
      <c r="AO628" s="597"/>
      <c r="AP628" s="597"/>
      <c r="AQ628" s="597"/>
      <c r="AR628" s="1001">
        <f>AC627/(AR615/AR612)</f>
        <v>10.568788796336289</v>
      </c>
      <c r="AS628" s="597"/>
      <c r="AT628" s="597"/>
      <c r="AU628" s="597"/>
      <c r="AV628" s="597"/>
      <c r="AW628" s="598"/>
      <c r="AX628" s="597"/>
      <c r="AY628" s="597"/>
      <c r="AZ628" s="597"/>
      <c r="BA628" s="597"/>
      <c r="BB628" s="598"/>
      <c r="BC628" s="597"/>
      <c r="BD628" s="597"/>
      <c r="BE628" s="597"/>
      <c r="BF628" s="597"/>
      <c r="BG628" s="598"/>
      <c r="BH628" s="597"/>
      <c r="BI628" s="597"/>
      <c r="BJ628" s="597"/>
      <c r="BK628" s="597"/>
      <c r="BL628" s="598"/>
      <c r="BM628" s="597"/>
      <c r="BN628" s="597"/>
      <c r="BO628" s="597"/>
      <c r="BP628" s="597"/>
      <c r="BQ628" s="598"/>
      <c r="BR628" s="597"/>
      <c r="BS628" s="597"/>
      <c r="BT628" s="597"/>
      <c r="BU628" s="597"/>
      <c r="BV628" s="598"/>
      <c r="BW628" s="597"/>
      <c r="BX628" s="597"/>
      <c r="BY628" s="597"/>
      <c r="BZ628" s="597"/>
      <c r="CA628" s="598"/>
      <c r="CB628" s="597"/>
      <c r="CC628" s="597"/>
      <c r="CD628" s="597"/>
      <c r="CE628" s="597"/>
      <c r="CF628" s="598"/>
      <c r="CG628" s="682"/>
      <c r="CH628" s="682"/>
      <c r="CI628" s="682"/>
      <c r="CJ628" s="682"/>
      <c r="CK628" s="598"/>
      <c r="CL628" s="682"/>
      <c r="CM628" s="682"/>
      <c r="CN628" s="682"/>
      <c r="CO628" s="682"/>
      <c r="CP628" s="598"/>
      <c r="CQ628" s="682"/>
      <c r="CR628" s="682"/>
      <c r="CS628" s="682"/>
      <c r="CT628" s="682"/>
      <c r="CU628" s="598"/>
      <c r="CV628" s="682"/>
      <c r="CW628" s="682"/>
      <c r="CX628" s="682"/>
      <c r="CY628" s="682"/>
      <c r="CZ628" s="598"/>
      <c r="DA628" s="682"/>
      <c r="DB628" s="682"/>
      <c r="DC628" s="682"/>
      <c r="DD628" s="682"/>
      <c r="DE628" s="598"/>
      <c r="DF628" s="682"/>
      <c r="DG628" s="682"/>
      <c r="DH628" s="682"/>
      <c r="DI628" s="1610"/>
      <c r="DJ628" s="598"/>
      <c r="DK628" s="682"/>
      <c r="DL628" s="682"/>
      <c r="DM628" s="682"/>
      <c r="DN628" s="682"/>
      <c r="DO628" s="598"/>
      <c r="DP628" s="682"/>
      <c r="DQ628" s="682"/>
      <c r="DR628" s="682"/>
      <c r="DS628" s="682"/>
      <c r="DT628" s="598"/>
      <c r="DU628" s="682"/>
      <c r="DV628" s="682"/>
      <c r="DW628" s="682"/>
      <c r="DX628" s="682"/>
      <c r="DY628" s="598"/>
    </row>
    <row r="629" spans="1:129" hidden="1" outlineLevel="1" x14ac:dyDescent="0.2">
      <c r="A629" s="526"/>
      <c r="B629" s="756"/>
      <c r="C629" s="597"/>
      <c r="D629" s="597"/>
      <c r="E629" s="597"/>
      <c r="F629" s="597"/>
      <c r="G629" s="597"/>
      <c r="H629" s="597"/>
      <c r="I629" s="598"/>
      <c r="J629" s="597"/>
      <c r="K629" s="597"/>
      <c r="L629" s="597"/>
      <c r="M629" s="597"/>
      <c r="N629" s="598" t="s">
        <v>956</v>
      </c>
      <c r="O629" s="597"/>
      <c r="P629" s="597"/>
      <c r="Q629" s="597"/>
      <c r="R629" s="597"/>
      <c r="S629" s="598"/>
      <c r="T629" s="597"/>
      <c r="U629" s="597"/>
      <c r="V629" s="597"/>
      <c r="W629" s="597"/>
      <c r="X629" s="598"/>
      <c r="Y629" s="597"/>
      <c r="Z629" s="597"/>
      <c r="AA629" s="597"/>
      <c r="AB629" s="597"/>
      <c r="AC629" s="975">
        <v>0.1</v>
      </c>
      <c r="AD629" s="597"/>
      <c r="AE629" s="597"/>
      <c r="AF629" s="597"/>
      <c r="AG629" s="597"/>
      <c r="AH629" s="598"/>
      <c r="AI629" s="597"/>
      <c r="AJ629" s="597"/>
      <c r="AK629" s="597"/>
      <c r="AL629" s="597"/>
      <c r="AM629" s="598" t="s">
        <v>951</v>
      </c>
      <c r="AN629" s="597"/>
      <c r="AO629" s="597"/>
      <c r="AP629" s="597"/>
      <c r="AQ629" s="597"/>
      <c r="AR629" s="1001">
        <f>AC627/AR610</f>
        <v>23.310709864686046</v>
      </c>
      <c r="AS629" s="597"/>
      <c r="AT629" s="597"/>
      <c r="AU629" s="597"/>
      <c r="AV629" s="597"/>
      <c r="AW629" s="598"/>
      <c r="AX629" s="597"/>
      <c r="AY629" s="597"/>
      <c r="AZ629" s="597"/>
      <c r="BA629" s="597"/>
      <c r="BB629" s="598"/>
      <c r="BC629" s="597"/>
      <c r="BD629" s="597"/>
      <c r="BE629" s="597"/>
      <c r="BF629" s="597"/>
      <c r="BG629" s="598"/>
      <c r="BH629" s="597"/>
      <c r="BI629" s="597"/>
      <c r="BJ629" s="597"/>
      <c r="BK629" s="597"/>
      <c r="BL629" s="598"/>
      <c r="BM629" s="597"/>
      <c r="BN629" s="597"/>
      <c r="BO629" s="597"/>
      <c r="BP629" s="597"/>
      <c r="BQ629" s="598"/>
      <c r="BR629" s="597"/>
      <c r="BS629" s="597"/>
      <c r="BT629" s="597"/>
      <c r="BU629" s="597"/>
      <c r="BV629" s="598"/>
      <c r="BW629" s="597"/>
      <c r="BX629" s="597"/>
      <c r="BY629" s="597"/>
      <c r="BZ629" s="597"/>
      <c r="CA629" s="598"/>
      <c r="CB629" s="597"/>
      <c r="CC629" s="597"/>
      <c r="CD629" s="597"/>
      <c r="CE629" s="597"/>
      <c r="CF629" s="598"/>
      <c r="CG629" s="682"/>
      <c r="CH629" s="682"/>
      <c r="CI629" s="682"/>
      <c r="CJ629" s="682"/>
      <c r="CK629" s="598"/>
      <c r="CL629" s="682"/>
      <c r="CM629" s="682"/>
      <c r="CN629" s="682"/>
      <c r="CO629" s="682"/>
      <c r="CP629" s="598"/>
      <c r="CQ629" s="682"/>
      <c r="CR629" s="682"/>
      <c r="CS629" s="682"/>
      <c r="CT629" s="682"/>
      <c r="CU629" s="598"/>
      <c r="CV629" s="682"/>
      <c r="CW629" s="682"/>
      <c r="CX629" s="682"/>
      <c r="CY629" s="682"/>
      <c r="CZ629" s="598"/>
      <c r="DA629" s="682"/>
      <c r="DB629" s="682"/>
      <c r="DC629" s="682"/>
      <c r="DD629" s="682"/>
      <c r="DE629" s="598"/>
      <c r="DF629" s="682"/>
      <c r="DG629" s="682"/>
      <c r="DH629" s="682"/>
      <c r="DI629" s="1610"/>
      <c r="DJ629" s="598"/>
      <c r="DK629" s="682"/>
      <c r="DL629" s="682"/>
      <c r="DM629" s="682"/>
      <c r="DN629" s="682"/>
      <c r="DO629" s="598"/>
      <c r="DP629" s="682"/>
      <c r="DQ629" s="682"/>
      <c r="DR629" s="682"/>
      <c r="DS629" s="682"/>
      <c r="DT629" s="598"/>
      <c r="DU629" s="682"/>
      <c r="DV629" s="682"/>
      <c r="DW629" s="682"/>
      <c r="DX629" s="682"/>
      <c r="DY629" s="598"/>
    </row>
    <row r="630" spans="1:129" hidden="1" outlineLevel="1" x14ac:dyDescent="0.2">
      <c r="A630" s="526"/>
      <c r="B630" s="756"/>
      <c r="C630" s="597"/>
      <c r="D630" s="597"/>
      <c r="E630" s="597"/>
      <c r="F630" s="597"/>
      <c r="G630" s="597"/>
      <c r="H630" s="597"/>
      <c r="I630" s="598"/>
      <c r="J630" s="597"/>
      <c r="K630" s="597"/>
      <c r="L630" s="597"/>
      <c r="M630" s="597"/>
      <c r="N630" s="598" t="s">
        <v>896</v>
      </c>
      <c r="O630" s="597"/>
      <c r="P630" s="597"/>
      <c r="Q630" s="597"/>
      <c r="R630" s="597"/>
      <c r="S630" s="598"/>
      <c r="T630" s="597"/>
      <c r="U630" s="597"/>
      <c r="V630" s="597"/>
      <c r="W630" s="597"/>
      <c r="X630" s="598"/>
      <c r="Y630" s="597"/>
      <c r="Z630" s="597"/>
      <c r="AA630" s="597"/>
      <c r="AB630" s="597"/>
      <c r="AC630" s="975">
        <v>0.05</v>
      </c>
      <c r="AD630" s="597"/>
      <c r="AE630" s="597"/>
      <c r="AF630" s="597"/>
      <c r="AG630" s="597"/>
      <c r="AH630" s="598"/>
      <c r="AI630" s="597"/>
      <c r="AJ630" s="597"/>
      <c r="AK630" s="597"/>
      <c r="AL630" s="597"/>
      <c r="AM630" s="598"/>
      <c r="AN630" s="597"/>
      <c r="AO630" s="597"/>
      <c r="AP630" s="597"/>
      <c r="AQ630" s="597"/>
      <c r="AR630" s="598"/>
      <c r="AS630" s="597"/>
      <c r="AT630" s="597"/>
      <c r="AU630" s="597"/>
      <c r="AV630" s="597"/>
      <c r="AW630" s="598"/>
      <c r="AX630" s="597"/>
      <c r="AY630" s="597"/>
      <c r="AZ630" s="597"/>
      <c r="BA630" s="597"/>
      <c r="BB630" s="598"/>
      <c r="BC630" s="597"/>
      <c r="BD630" s="597"/>
      <c r="BE630" s="597"/>
      <c r="BF630" s="597"/>
      <c r="BG630" s="598"/>
      <c r="BH630" s="597"/>
      <c r="BI630" s="597"/>
      <c r="BJ630" s="597"/>
      <c r="BK630" s="597"/>
      <c r="BL630" s="598"/>
      <c r="BM630" s="597"/>
      <c r="BN630" s="597"/>
      <c r="BO630" s="597"/>
      <c r="BP630" s="597"/>
      <c r="BQ630" s="598"/>
      <c r="BR630" s="597"/>
      <c r="BS630" s="597"/>
      <c r="BT630" s="597"/>
      <c r="BU630" s="597"/>
      <c r="BV630" s="598"/>
      <c r="BW630" s="597"/>
      <c r="BX630" s="597"/>
      <c r="BY630" s="597"/>
      <c r="BZ630" s="597"/>
      <c r="CA630" s="598"/>
      <c r="CB630" s="597"/>
      <c r="CC630" s="597"/>
      <c r="CD630" s="597"/>
      <c r="CE630" s="597"/>
      <c r="CF630" s="598"/>
      <c r="CG630" s="682"/>
      <c r="CH630" s="682"/>
      <c r="CI630" s="682"/>
      <c r="CJ630" s="682"/>
      <c r="CK630" s="598"/>
      <c r="CL630" s="682"/>
      <c r="CM630" s="682"/>
      <c r="CN630" s="682"/>
      <c r="CO630" s="682"/>
      <c r="CP630" s="598"/>
      <c r="CQ630" s="682"/>
      <c r="CR630" s="682"/>
      <c r="CS630" s="682"/>
      <c r="CT630" s="682"/>
      <c r="CU630" s="598"/>
      <c r="CV630" s="682"/>
      <c r="CW630" s="682"/>
      <c r="CX630" s="682"/>
      <c r="CY630" s="682"/>
      <c r="CZ630" s="598"/>
      <c r="DA630" s="682"/>
      <c r="DB630" s="682"/>
      <c r="DC630" s="682"/>
      <c r="DD630" s="682"/>
      <c r="DE630" s="598"/>
      <c r="DF630" s="682"/>
      <c r="DG630" s="682"/>
      <c r="DH630" s="682"/>
      <c r="DI630" s="1610"/>
      <c r="DJ630" s="598"/>
      <c r="DK630" s="682"/>
      <c r="DL630" s="682"/>
      <c r="DM630" s="682"/>
      <c r="DN630" s="682"/>
      <c r="DO630" s="598"/>
      <c r="DP630" s="682"/>
      <c r="DQ630" s="682"/>
      <c r="DR630" s="682"/>
      <c r="DS630" s="682"/>
      <c r="DT630" s="598"/>
      <c r="DU630" s="682"/>
      <c r="DV630" s="682"/>
      <c r="DW630" s="682"/>
      <c r="DX630" s="682"/>
      <c r="DY630" s="598"/>
    </row>
    <row r="631" spans="1:129" hidden="1" outlineLevel="1" x14ac:dyDescent="0.2">
      <c r="A631" s="526"/>
      <c r="B631" s="756"/>
      <c r="C631" s="597"/>
      <c r="D631" s="597"/>
      <c r="E631" s="597"/>
      <c r="F631" s="597"/>
      <c r="G631" s="597"/>
      <c r="H631" s="597"/>
      <c r="I631" s="598"/>
      <c r="J631" s="597"/>
      <c r="K631" s="597"/>
      <c r="L631" s="597"/>
      <c r="M631" s="597"/>
      <c r="N631" s="598"/>
      <c r="O631" s="597"/>
      <c r="P631" s="597"/>
      <c r="Q631" s="597"/>
      <c r="R631" s="597"/>
      <c r="S631" s="598"/>
      <c r="T631" s="597"/>
      <c r="U631" s="597"/>
      <c r="V631" s="597"/>
      <c r="W631" s="597"/>
      <c r="X631" s="598"/>
      <c r="Y631" s="597"/>
      <c r="Z631" s="597"/>
      <c r="AA631" s="597"/>
      <c r="AB631" s="597"/>
      <c r="AC631" s="598"/>
      <c r="AD631" s="597"/>
      <c r="AE631" s="597"/>
      <c r="AF631" s="597"/>
      <c r="AG631" s="597"/>
      <c r="AH631" s="598"/>
      <c r="AI631" s="597"/>
      <c r="AJ631" s="597"/>
      <c r="AK631" s="597"/>
      <c r="AL631" s="597"/>
      <c r="AM631" s="598" t="s">
        <v>957</v>
      </c>
      <c r="AN631" s="597"/>
      <c r="AO631" s="597"/>
      <c r="AP631" s="597"/>
      <c r="AQ631" s="597"/>
      <c r="AR631" s="1001">
        <f>(AR619*(1+AC630))/(AC629-AC630)</f>
        <v>4184.5439999999999</v>
      </c>
      <c r="AS631" s="597"/>
      <c r="AT631" s="597"/>
      <c r="AU631" s="597"/>
      <c r="AV631" s="597"/>
      <c r="AW631" s="598" t="s">
        <v>958</v>
      </c>
      <c r="AX631" s="597"/>
      <c r="AY631" s="597"/>
      <c r="AZ631" s="597"/>
      <c r="BA631" s="597"/>
      <c r="BB631" s="598"/>
      <c r="BC631" s="597"/>
      <c r="BD631" s="597"/>
      <c r="BE631" s="597"/>
      <c r="BF631" s="597"/>
      <c r="BG631" s="598"/>
      <c r="BH631" s="597"/>
      <c r="BI631" s="597"/>
      <c r="BJ631" s="597"/>
      <c r="BK631" s="597"/>
      <c r="BL631" s="598"/>
      <c r="BM631" s="597"/>
      <c r="BN631" s="597"/>
      <c r="BO631" s="597"/>
      <c r="BP631" s="597"/>
      <c r="BQ631" s="598"/>
      <c r="BR631" s="597"/>
      <c r="BS631" s="597"/>
      <c r="BT631" s="597"/>
      <c r="BU631" s="597"/>
      <c r="BV631" s="598"/>
      <c r="BW631" s="597"/>
      <c r="BX631" s="597"/>
      <c r="BY631" s="597"/>
      <c r="BZ631" s="597"/>
      <c r="CA631" s="598"/>
      <c r="CB631" s="597"/>
      <c r="CC631" s="597"/>
      <c r="CD631" s="597"/>
      <c r="CE631" s="597"/>
      <c r="CF631" s="598"/>
      <c r="CG631" s="682"/>
      <c r="CH631" s="682"/>
      <c r="CI631" s="682"/>
      <c r="CJ631" s="682"/>
      <c r="CK631" s="598"/>
      <c r="CL631" s="682"/>
      <c r="CM631" s="682"/>
      <c r="CN631" s="682"/>
      <c r="CO631" s="682"/>
      <c r="CP631" s="598"/>
      <c r="CQ631" s="682"/>
      <c r="CR631" s="682"/>
      <c r="CS631" s="682"/>
      <c r="CT631" s="682"/>
      <c r="CU631" s="598"/>
      <c r="CV631" s="682"/>
      <c r="CW631" s="682"/>
      <c r="CX631" s="682"/>
      <c r="CY631" s="682"/>
      <c r="CZ631" s="598"/>
      <c r="DA631" s="682"/>
      <c r="DB631" s="682"/>
      <c r="DC631" s="682"/>
      <c r="DD631" s="682"/>
      <c r="DE631" s="598"/>
      <c r="DF631" s="682"/>
      <c r="DG631" s="682"/>
      <c r="DH631" s="682"/>
      <c r="DI631" s="1610"/>
      <c r="DJ631" s="598"/>
      <c r="DK631" s="682"/>
      <c r="DL631" s="682"/>
      <c r="DM631" s="682"/>
      <c r="DN631" s="682"/>
      <c r="DO631" s="598"/>
      <c r="DP631" s="682"/>
      <c r="DQ631" s="682"/>
      <c r="DR631" s="682"/>
      <c r="DS631" s="682"/>
      <c r="DT631" s="598"/>
      <c r="DU631" s="682"/>
      <c r="DV631" s="682"/>
      <c r="DW631" s="682"/>
      <c r="DX631" s="682"/>
      <c r="DY631" s="598"/>
    </row>
    <row r="632" spans="1:129" hidden="1" outlineLevel="1" x14ac:dyDescent="0.2">
      <c r="A632" s="526"/>
      <c r="B632" s="756"/>
      <c r="C632" s="597"/>
      <c r="D632" s="597"/>
      <c r="E632" s="597"/>
      <c r="F632" s="597"/>
      <c r="G632" s="597"/>
      <c r="H632" s="597"/>
      <c r="I632" s="598"/>
      <c r="J632" s="597"/>
      <c r="K632" s="597"/>
      <c r="L632" s="597"/>
      <c r="M632" s="597"/>
      <c r="N632" s="598" t="s">
        <v>959</v>
      </c>
      <c r="O632" s="597"/>
      <c r="P632" s="597"/>
      <c r="Q632" s="597"/>
      <c r="R632" s="597"/>
      <c r="S632" s="598"/>
      <c r="T632" s="597"/>
      <c r="U632" s="597"/>
      <c r="V632" s="597"/>
      <c r="W632" s="597"/>
      <c r="X632" s="598"/>
      <c r="Y632" s="597"/>
      <c r="Z632" s="597"/>
      <c r="AA632" s="597"/>
      <c r="AB632" s="597"/>
      <c r="AC632" s="975">
        <v>6.2E-2</v>
      </c>
      <c r="AD632" s="597"/>
      <c r="AE632" s="597"/>
      <c r="AF632" s="597"/>
      <c r="AG632" s="597"/>
      <c r="AH632" s="598"/>
      <c r="AI632" s="597"/>
      <c r="AJ632" s="597"/>
      <c r="AK632" s="597"/>
      <c r="AL632" s="597"/>
      <c r="AM632" s="598"/>
      <c r="AN632" s="597"/>
      <c r="AO632" s="597"/>
      <c r="AP632" s="597"/>
      <c r="AQ632" s="597"/>
      <c r="AR632" s="1001">
        <f>(AR619*(1+AC632))/(AC629-AC632)</f>
        <v>5568.9044210526317</v>
      </c>
      <c r="AS632" s="597"/>
      <c r="AT632" s="597"/>
      <c r="AU632" s="597"/>
      <c r="AV632" s="597"/>
      <c r="AW632" s="598"/>
      <c r="AX632" s="597"/>
      <c r="AY632" s="597"/>
      <c r="AZ632" s="597"/>
      <c r="BA632" s="597"/>
      <c r="BB632" s="598"/>
      <c r="BC632" s="597"/>
      <c r="BD632" s="597"/>
      <c r="BE632" s="597"/>
      <c r="BF632" s="597"/>
      <c r="BG632" s="598"/>
      <c r="BH632" s="597"/>
      <c r="BI632" s="597"/>
      <c r="BJ632" s="597"/>
      <c r="BK632" s="597"/>
      <c r="BL632" s="598"/>
      <c r="BM632" s="597"/>
      <c r="BN632" s="597"/>
      <c r="BO632" s="597"/>
      <c r="BP632" s="597"/>
      <c r="BQ632" s="598"/>
      <c r="BR632" s="597"/>
      <c r="BS632" s="597"/>
      <c r="BT632" s="597"/>
      <c r="BU632" s="597"/>
      <c r="BV632" s="598"/>
      <c r="BW632" s="597"/>
      <c r="BX632" s="597"/>
      <c r="BY632" s="597"/>
      <c r="BZ632" s="597"/>
      <c r="CA632" s="598"/>
      <c r="CB632" s="597"/>
      <c r="CC632" s="597"/>
      <c r="CD632" s="597"/>
      <c r="CE632" s="597"/>
      <c r="CF632" s="598"/>
      <c r="CG632" s="682"/>
      <c r="CH632" s="682"/>
      <c r="CI632" s="682"/>
      <c r="CJ632" s="682"/>
      <c r="CK632" s="598"/>
      <c r="CL632" s="682"/>
      <c r="CM632" s="682"/>
      <c r="CN632" s="682"/>
      <c r="CO632" s="682"/>
      <c r="CP632" s="598"/>
      <c r="CQ632" s="682"/>
      <c r="CR632" s="682"/>
      <c r="CS632" s="682"/>
      <c r="CT632" s="682"/>
      <c r="CU632" s="598"/>
      <c r="CV632" s="682"/>
      <c r="CW632" s="682"/>
      <c r="CX632" s="682"/>
      <c r="CY632" s="682"/>
      <c r="CZ632" s="598"/>
      <c r="DA632" s="682"/>
      <c r="DB632" s="682"/>
      <c r="DC632" s="682"/>
      <c r="DD632" s="682"/>
      <c r="DE632" s="598"/>
      <c r="DF632" s="682"/>
      <c r="DG632" s="682"/>
      <c r="DH632" s="682"/>
      <c r="DI632" s="1610"/>
      <c r="DJ632" s="598"/>
      <c r="DK632" s="682"/>
      <c r="DL632" s="682"/>
      <c r="DM632" s="682"/>
      <c r="DN632" s="682"/>
      <c r="DO632" s="598"/>
      <c r="DP632" s="682"/>
      <c r="DQ632" s="682"/>
      <c r="DR632" s="682"/>
      <c r="DS632" s="682"/>
      <c r="DT632" s="598"/>
      <c r="DU632" s="682"/>
      <c r="DV632" s="682"/>
      <c r="DW632" s="682"/>
      <c r="DX632" s="682"/>
      <c r="DY632" s="598"/>
    </row>
    <row r="633" spans="1:129" hidden="1" outlineLevel="1" x14ac:dyDescent="0.2">
      <c r="A633" s="526"/>
      <c r="B633" s="756"/>
      <c r="C633" s="682"/>
      <c r="D633" s="682"/>
      <c r="E633" s="682"/>
      <c r="F633" s="682"/>
      <c r="G633" s="682"/>
      <c r="H633" s="682"/>
      <c r="I633" s="1002"/>
      <c r="J633" s="682"/>
      <c r="K633" s="682"/>
      <c r="L633" s="682"/>
      <c r="M633" s="682"/>
      <c r="N633" s="1002"/>
      <c r="O633" s="682"/>
      <c r="P633" s="682"/>
      <c r="Q633" s="682"/>
      <c r="R633" s="682"/>
      <c r="S633" s="1002"/>
      <c r="T633" s="682"/>
      <c r="U633" s="682"/>
      <c r="V633" s="682"/>
      <c r="W633" s="682"/>
      <c r="X633" s="1002"/>
      <c r="Y633" s="682"/>
      <c r="Z633" s="682"/>
      <c r="AA633" s="682"/>
      <c r="AB633" s="682"/>
      <c r="AC633" s="1002"/>
      <c r="AD633" s="682"/>
      <c r="AE633" s="682"/>
      <c r="AF633" s="682"/>
      <c r="AG633" s="682"/>
      <c r="AH633" s="1002"/>
      <c r="AI633" s="682"/>
      <c r="AJ633" s="682"/>
      <c r="AK633" s="682"/>
      <c r="AL633" s="682"/>
      <c r="AM633" s="1002"/>
      <c r="AN633" s="682"/>
      <c r="AO633" s="682"/>
      <c r="AP633" s="682"/>
      <c r="AQ633" s="682"/>
      <c r="AR633" s="1002"/>
      <c r="AS633" s="682"/>
      <c r="AT633" s="682"/>
      <c r="AU633" s="682"/>
      <c r="AV633" s="682"/>
      <c r="AW633" s="1002"/>
      <c r="AX633" s="682"/>
      <c r="AY633" s="682"/>
      <c r="AZ633" s="682"/>
      <c r="BA633" s="682"/>
      <c r="BB633" s="1002"/>
      <c r="BC633" s="682"/>
      <c r="BD633" s="682"/>
      <c r="BE633" s="682"/>
      <c r="BF633" s="682"/>
      <c r="BG633" s="1002"/>
      <c r="BH633" s="682"/>
      <c r="BI633" s="682"/>
      <c r="BJ633" s="682"/>
      <c r="BK633" s="682"/>
      <c r="BL633" s="1002"/>
      <c r="BM633" s="682"/>
      <c r="BN633" s="682"/>
      <c r="BO633" s="682"/>
      <c r="BP633" s="682"/>
      <c r="BQ633" s="1002"/>
      <c r="BR633" s="682"/>
      <c r="BS633" s="682"/>
      <c r="BT633" s="682"/>
      <c r="BU633" s="682"/>
      <c r="BV633" s="1002"/>
      <c r="BW633" s="682"/>
      <c r="BX633" s="682"/>
      <c r="BY633" s="682"/>
      <c r="BZ633" s="682"/>
      <c r="CA633" s="1002"/>
      <c r="CB633" s="682"/>
      <c r="CC633" s="682"/>
      <c r="CD633" s="682"/>
      <c r="CE633" s="682"/>
      <c r="CF633" s="1002"/>
      <c r="CG633" s="682"/>
      <c r="CH633" s="682"/>
      <c r="CI633" s="682"/>
      <c r="CJ633" s="682"/>
      <c r="CK633" s="1002"/>
      <c r="CL633" s="682"/>
      <c r="CM633" s="682"/>
      <c r="CN633" s="682"/>
      <c r="CO633" s="682"/>
      <c r="CP633" s="1002"/>
      <c r="CQ633" s="682"/>
      <c r="CR633" s="682"/>
      <c r="CS633" s="682"/>
      <c r="CT633" s="682"/>
      <c r="CU633" s="1002"/>
      <c r="CV633" s="682"/>
      <c r="CW633" s="682"/>
      <c r="CX633" s="682"/>
      <c r="CY633" s="682"/>
      <c r="CZ633" s="1002"/>
      <c r="DA633" s="682"/>
      <c r="DB633" s="682"/>
      <c r="DC633" s="682"/>
      <c r="DD633" s="682"/>
      <c r="DE633" s="1002"/>
      <c r="DF633" s="682"/>
      <c r="DG633" s="682"/>
      <c r="DH633" s="682"/>
      <c r="DI633" s="1610"/>
      <c r="DJ633" s="1002"/>
      <c r="DK633" s="682"/>
      <c r="DL633" s="682"/>
      <c r="DM633" s="682"/>
      <c r="DN633" s="682"/>
      <c r="DO633" s="1002"/>
      <c r="DP633" s="682"/>
      <c r="DQ633" s="682"/>
      <c r="DR633" s="682"/>
      <c r="DS633" s="682"/>
      <c r="DT633" s="1002"/>
      <c r="DU633" s="682"/>
      <c r="DV633" s="682"/>
      <c r="DW633" s="682"/>
      <c r="DX633" s="682"/>
      <c r="DY633" s="1002"/>
    </row>
    <row r="634" spans="1:129" hidden="1" outlineLevel="1" x14ac:dyDescent="0.2">
      <c r="A634" s="526"/>
      <c r="B634" s="756"/>
      <c r="C634" s="682"/>
      <c r="D634" s="682"/>
      <c r="E634" s="682"/>
      <c r="F634" s="682"/>
      <c r="G634" s="682"/>
      <c r="H634" s="682"/>
      <c r="I634" s="1002"/>
      <c r="J634" s="682"/>
      <c r="K634" s="682"/>
      <c r="L634" s="682"/>
      <c r="M634" s="682"/>
      <c r="N634" s="1002"/>
      <c r="O634" s="682"/>
      <c r="P634" s="682"/>
      <c r="Q634" s="682"/>
      <c r="R634" s="682"/>
      <c r="S634" s="1002"/>
      <c r="T634" s="682"/>
      <c r="U634" s="682"/>
      <c r="V634" s="682"/>
      <c r="W634" s="682"/>
      <c r="X634" s="1002"/>
      <c r="Y634" s="682"/>
      <c r="Z634" s="682"/>
      <c r="AA634" s="682"/>
      <c r="AB634" s="682"/>
      <c r="AC634" s="1002"/>
      <c r="AD634" s="682"/>
      <c r="AE634" s="682"/>
      <c r="AF634" s="682"/>
      <c r="AG634" s="682"/>
      <c r="AH634" s="1002"/>
      <c r="AI634" s="682"/>
      <c r="AJ634" s="682"/>
      <c r="AK634" s="682"/>
      <c r="AL634" s="682"/>
      <c r="AM634" s="1002"/>
      <c r="AN634" s="682"/>
      <c r="AO634" s="682"/>
      <c r="AP634" s="682"/>
      <c r="AQ634" s="682"/>
      <c r="AR634" s="1002"/>
      <c r="AS634" s="682"/>
      <c r="AT634" s="682"/>
      <c r="AU634" s="682"/>
      <c r="AV634" s="682"/>
      <c r="AW634" s="1002"/>
      <c r="AX634" s="682"/>
      <c r="AY634" s="682"/>
      <c r="AZ634" s="682"/>
      <c r="BA634" s="682"/>
      <c r="BB634" s="1002"/>
      <c r="BC634" s="682"/>
      <c r="BD634" s="682"/>
      <c r="BE634" s="682"/>
      <c r="BF634" s="682"/>
      <c r="BG634" s="1002"/>
      <c r="BH634" s="682"/>
      <c r="BI634" s="682"/>
      <c r="BJ634" s="682"/>
      <c r="BK634" s="682"/>
      <c r="BL634" s="1002"/>
      <c r="BM634" s="682"/>
      <c r="BN634" s="682"/>
      <c r="BO634" s="682"/>
      <c r="BP634" s="682"/>
      <c r="BQ634" s="1002"/>
      <c r="BR634" s="682"/>
      <c r="BS634" s="682"/>
      <c r="BT634" s="682"/>
      <c r="BU634" s="682"/>
      <c r="BV634" s="1002"/>
      <c r="BW634" s="682"/>
      <c r="BX634" s="682"/>
      <c r="BY634" s="682"/>
      <c r="BZ634" s="682"/>
      <c r="CA634" s="1002"/>
      <c r="CB634" s="682"/>
      <c r="CC634" s="682"/>
      <c r="CD634" s="682"/>
      <c r="CE634" s="682"/>
      <c r="CF634" s="1002"/>
      <c r="CG634" s="682"/>
      <c r="CH634" s="682"/>
      <c r="CI634" s="682"/>
      <c r="CJ634" s="682"/>
      <c r="CK634" s="1002"/>
      <c r="CL634" s="682"/>
      <c r="CM634" s="682"/>
      <c r="CN634" s="682"/>
      <c r="CO634" s="682"/>
      <c r="CP634" s="1002"/>
      <c r="CQ634" s="682"/>
      <c r="CR634" s="682"/>
      <c r="CS634" s="682"/>
      <c r="CT634" s="682"/>
      <c r="CU634" s="1002"/>
      <c r="CV634" s="682"/>
      <c r="CW634" s="682"/>
      <c r="CX634" s="682"/>
      <c r="CY634" s="682"/>
      <c r="CZ634" s="1002"/>
      <c r="DA634" s="682"/>
      <c r="DB634" s="682"/>
      <c r="DC634" s="682"/>
      <c r="DD634" s="682"/>
      <c r="DE634" s="1002"/>
      <c r="DF634" s="682"/>
      <c r="DG634" s="682"/>
      <c r="DH634" s="682"/>
      <c r="DI634" s="1610"/>
      <c r="DJ634" s="1002"/>
      <c r="DK634" s="682"/>
      <c r="DL634" s="682"/>
      <c r="DM634" s="682"/>
      <c r="DN634" s="682"/>
      <c r="DO634" s="1002"/>
      <c r="DP634" s="682"/>
      <c r="DQ634" s="682"/>
      <c r="DR634" s="682"/>
      <c r="DS634" s="682"/>
      <c r="DT634" s="1002"/>
      <c r="DU634" s="682"/>
      <c r="DV634" s="682"/>
      <c r="DW634" s="682"/>
      <c r="DX634" s="682"/>
      <c r="DY634" s="1002"/>
    </row>
    <row r="635" spans="1:129" ht="11.25" hidden="1" customHeight="1" outlineLevel="1" x14ac:dyDescent="0.2">
      <c r="A635" s="825"/>
      <c r="B635" s="826"/>
      <c r="C635" s="827"/>
      <c r="D635" s="828"/>
      <c r="E635" s="829"/>
      <c r="F635" s="829"/>
      <c r="G635" s="829"/>
      <c r="H635" s="829"/>
      <c r="I635" s="830"/>
      <c r="J635" s="829"/>
      <c r="K635" s="829"/>
      <c r="L635" s="829"/>
      <c r="M635" s="829"/>
      <c r="N635" s="830"/>
      <c r="O635" s="829"/>
      <c r="P635" s="829"/>
      <c r="Q635" s="829"/>
      <c r="R635" s="829"/>
      <c r="S635" s="830"/>
      <c r="T635" s="829"/>
      <c r="U635" s="829"/>
      <c r="V635" s="829"/>
      <c r="W635" s="829"/>
      <c r="X635" s="830"/>
      <c r="Y635" s="829"/>
      <c r="Z635" s="829"/>
      <c r="AA635" s="829"/>
      <c r="AB635" s="829"/>
      <c r="AC635" s="830"/>
      <c r="AD635" s="829"/>
      <c r="AE635" s="829"/>
      <c r="AF635" s="829"/>
      <c r="AG635" s="829"/>
      <c r="AH635" s="830"/>
      <c r="AI635" s="829"/>
      <c r="AJ635" s="829"/>
      <c r="AK635" s="829"/>
      <c r="AL635" s="829"/>
      <c r="AM635" s="830"/>
      <c r="AN635" s="829"/>
      <c r="AO635" s="829"/>
      <c r="AP635" s="829"/>
      <c r="AQ635" s="829"/>
      <c r="AR635" s="830"/>
      <c r="AS635" s="829"/>
      <c r="AT635" s="829"/>
      <c r="AU635" s="829"/>
      <c r="AV635" s="829"/>
      <c r="AW635" s="830"/>
      <c r="AX635" s="829"/>
      <c r="AY635" s="829"/>
      <c r="AZ635" s="829"/>
      <c r="BA635" s="829"/>
      <c r="BB635" s="830"/>
      <c r="BC635" s="829"/>
      <c r="BD635" s="829"/>
      <c r="BE635" s="829"/>
      <c r="BF635" s="829"/>
      <c r="BG635" s="830"/>
      <c r="BH635" s="829"/>
      <c r="BI635" s="829"/>
      <c r="BJ635" s="829"/>
      <c r="BK635" s="829"/>
      <c r="BL635" s="830"/>
      <c r="BM635" s="829"/>
      <c r="BN635" s="829"/>
      <c r="BO635" s="829"/>
      <c r="BP635" s="829"/>
      <c r="BQ635" s="830"/>
      <c r="BR635" s="829"/>
      <c r="BS635" s="829"/>
      <c r="BT635" s="829"/>
      <c r="BU635" s="829"/>
      <c r="BV635" s="830"/>
      <c r="BW635" s="829"/>
      <c r="BX635" s="829"/>
      <c r="BY635" s="829"/>
      <c r="BZ635" s="829"/>
      <c r="CA635" s="830"/>
      <c r="CB635" s="829"/>
      <c r="CC635" s="829"/>
      <c r="CD635" s="829"/>
      <c r="CE635" s="829"/>
      <c r="CF635" s="830"/>
      <c r="CG635" s="831"/>
      <c r="CH635" s="831"/>
      <c r="CI635" s="831"/>
      <c r="CJ635" s="831"/>
      <c r="CK635" s="830"/>
      <c r="CL635" s="831"/>
      <c r="CM635" s="831"/>
      <c r="CN635" s="831"/>
      <c r="CO635" s="831"/>
      <c r="CP635" s="830"/>
      <c r="CQ635" s="831"/>
      <c r="CR635" s="831"/>
      <c r="CS635" s="831"/>
      <c r="CT635" s="831"/>
      <c r="CU635" s="830"/>
      <c r="CV635" s="831"/>
      <c r="CW635" s="831"/>
      <c r="CX635" s="831"/>
      <c r="CY635" s="831"/>
      <c r="CZ635" s="830"/>
      <c r="DA635" s="831"/>
      <c r="DB635" s="831"/>
      <c r="DC635" s="831"/>
      <c r="DD635" s="831"/>
      <c r="DE635" s="830"/>
      <c r="DF635" s="831"/>
      <c r="DG635" s="831"/>
      <c r="DH635" s="831"/>
      <c r="DI635" s="2816"/>
      <c r="DJ635" s="830"/>
      <c r="DK635" s="831"/>
      <c r="DL635" s="831"/>
      <c r="DM635" s="831"/>
      <c r="DN635" s="831"/>
      <c r="DO635" s="830"/>
      <c r="DP635" s="831"/>
      <c r="DQ635" s="831"/>
      <c r="DR635" s="831"/>
      <c r="DS635" s="831"/>
      <c r="DT635" s="830"/>
      <c r="DU635" s="831"/>
      <c r="DV635" s="831"/>
      <c r="DW635" s="831"/>
      <c r="DX635" s="831"/>
      <c r="DY635" s="830"/>
    </row>
    <row r="636" spans="1:129" ht="11.25" hidden="1" customHeight="1" outlineLevel="1" x14ac:dyDescent="0.2">
      <c r="A636" s="466"/>
      <c r="B636" s="607" t="s">
        <v>960</v>
      </c>
      <c r="C636" s="587"/>
      <c r="D636" s="1003"/>
      <c r="E636" s="585"/>
      <c r="F636" s="585"/>
      <c r="G636" s="585"/>
      <c r="H636" s="585"/>
      <c r="I636" s="586"/>
      <c r="J636" s="585"/>
      <c r="K636" s="585"/>
      <c r="L636" s="585"/>
      <c r="M636" s="585"/>
      <c r="N636" s="586"/>
      <c r="O636" s="585"/>
      <c r="P636" s="585"/>
      <c r="Q636" s="585"/>
      <c r="R636" s="585"/>
      <c r="S636" s="586"/>
      <c r="T636" s="585"/>
      <c r="U636" s="585"/>
      <c r="V636" s="585"/>
      <c r="W636" s="585"/>
      <c r="X636" s="586"/>
      <c r="Y636" s="585"/>
      <c r="Z636" s="585"/>
      <c r="AA636" s="585"/>
      <c r="AB636" s="585"/>
      <c r="AC636" s="586"/>
      <c r="AD636" s="585"/>
      <c r="AE636" s="585"/>
      <c r="AF636" s="585"/>
      <c r="AG636" s="585"/>
      <c r="AH636" s="586"/>
      <c r="AI636" s="585"/>
      <c r="AJ636" s="585"/>
      <c r="AK636" s="585"/>
      <c r="AL636" s="585"/>
      <c r="AM636" s="586"/>
      <c r="AN636" s="585"/>
      <c r="AO636" s="585"/>
      <c r="AP636" s="585"/>
      <c r="AQ636" s="585"/>
      <c r="AR636" s="586"/>
      <c r="AS636" s="585"/>
      <c r="AT636" s="585"/>
      <c r="AU636" s="585"/>
      <c r="AV636" s="585"/>
      <c r="AW636" s="586"/>
      <c r="AX636" s="585"/>
      <c r="AY636" s="585"/>
      <c r="AZ636" s="585"/>
      <c r="BA636" s="585"/>
      <c r="BB636" s="586"/>
      <c r="BC636" s="585"/>
      <c r="BD636" s="585"/>
      <c r="BE636" s="585"/>
      <c r="BF636" s="585"/>
      <c r="BG636" s="586"/>
      <c r="BH636" s="592">
        <v>22</v>
      </c>
      <c r="BI636" s="592">
        <v>22</v>
      </c>
      <c r="BJ636" s="592">
        <v>22</v>
      </c>
      <c r="BK636" s="592">
        <v>20</v>
      </c>
      <c r="BL636" s="586"/>
      <c r="BM636" s="592">
        <v>19</v>
      </c>
      <c r="BN636" s="592">
        <v>19</v>
      </c>
      <c r="BO636" s="592">
        <v>20</v>
      </c>
      <c r="BP636" s="592">
        <v>19</v>
      </c>
      <c r="BQ636" s="589">
        <f>BP636</f>
        <v>19</v>
      </c>
      <c r="BR636" s="592">
        <v>20</v>
      </c>
      <c r="BS636" s="592">
        <v>20</v>
      </c>
      <c r="BT636" s="592">
        <v>20</v>
      </c>
      <c r="BU636" s="587"/>
      <c r="BV636" s="589">
        <f>BU636</f>
        <v>0</v>
      </c>
      <c r="BW636" s="585"/>
      <c r="BX636" s="585"/>
      <c r="BY636" s="585"/>
      <c r="BZ636" s="585"/>
      <c r="CA636" s="586"/>
      <c r="CB636" s="585"/>
      <c r="CC636" s="585"/>
      <c r="CD636" s="585"/>
      <c r="CE636" s="585"/>
      <c r="CF636" s="586"/>
      <c r="CG636" s="470"/>
      <c r="CH636" s="470"/>
      <c r="CI636" s="470"/>
      <c r="CJ636" s="470"/>
      <c r="CK636" s="586"/>
      <c r="CL636" s="470"/>
      <c r="CM636" s="470"/>
      <c r="CN636" s="470"/>
      <c r="CO636" s="470"/>
      <c r="CP636" s="586"/>
      <c r="CQ636" s="470"/>
      <c r="CR636" s="470"/>
      <c r="CS636" s="470"/>
      <c r="CT636" s="470"/>
      <c r="CU636" s="586"/>
      <c r="CV636" s="470"/>
      <c r="CW636" s="470"/>
      <c r="CX636" s="470"/>
      <c r="CY636" s="470"/>
      <c r="CZ636" s="586"/>
      <c r="DA636" s="470"/>
      <c r="DB636" s="470"/>
      <c r="DC636" s="470"/>
      <c r="DD636" s="470"/>
      <c r="DE636" s="586"/>
      <c r="DF636" s="470"/>
      <c r="DG636" s="470"/>
      <c r="DH636" s="470"/>
      <c r="DI636" s="914"/>
      <c r="DJ636" s="586"/>
      <c r="DK636" s="470"/>
      <c r="DL636" s="470"/>
      <c r="DM636" s="470"/>
      <c r="DN636" s="470"/>
      <c r="DO636" s="586"/>
      <c r="DP636" s="470"/>
      <c r="DQ636" s="470"/>
      <c r="DR636" s="470"/>
      <c r="DS636" s="470"/>
      <c r="DT636" s="586"/>
      <c r="DU636" s="470"/>
      <c r="DV636" s="470"/>
      <c r="DW636" s="470"/>
      <c r="DX636" s="470"/>
      <c r="DY636" s="586"/>
    </row>
    <row r="637" spans="1:129" ht="11.25" hidden="1" customHeight="1" outlineLevel="1" x14ac:dyDescent="0.2">
      <c r="A637" s="466"/>
      <c r="B637" s="607" t="s">
        <v>961</v>
      </c>
      <c r="C637" s="587"/>
      <c r="D637" s="1003"/>
      <c r="E637" s="585"/>
      <c r="F637" s="585"/>
      <c r="G637" s="585"/>
      <c r="H637" s="585"/>
      <c r="I637" s="586"/>
      <c r="J637" s="585"/>
      <c r="K637" s="585"/>
      <c r="L637" s="585"/>
      <c r="M637" s="585"/>
      <c r="N637" s="586"/>
      <c r="O637" s="585"/>
      <c r="P637" s="585"/>
      <c r="Q637" s="585"/>
      <c r="R637" s="585"/>
      <c r="S637" s="586"/>
      <c r="T637" s="585"/>
      <c r="U637" s="585"/>
      <c r="V637" s="585"/>
      <c r="W637" s="585"/>
      <c r="X637" s="586"/>
      <c r="Y637" s="585"/>
      <c r="Z637" s="585"/>
      <c r="AA637" s="585"/>
      <c r="AB637" s="585"/>
      <c r="AC637" s="586"/>
      <c r="AD637" s="585"/>
      <c r="AE637" s="585"/>
      <c r="AF637" s="585"/>
      <c r="AG637" s="585"/>
      <c r="AH637" s="586"/>
      <c r="AI637" s="585"/>
      <c r="AJ637" s="585"/>
      <c r="AK637" s="585"/>
      <c r="AL637" s="585"/>
      <c r="AM637" s="586"/>
      <c r="AN637" s="585"/>
      <c r="AO637" s="585"/>
      <c r="AP637" s="585"/>
      <c r="AQ637" s="585"/>
      <c r="AR637" s="586"/>
      <c r="AS637" s="585"/>
      <c r="AT637" s="585"/>
      <c r="AU637" s="585"/>
      <c r="AV637" s="585"/>
      <c r="AW637" s="586"/>
      <c r="AX637" s="585"/>
      <c r="AY637" s="585"/>
      <c r="AZ637" s="585"/>
      <c r="BA637" s="585"/>
      <c r="BB637" s="586"/>
      <c r="BC637" s="585"/>
      <c r="BD637" s="585"/>
      <c r="BE637" s="585"/>
      <c r="BF637" s="585"/>
      <c r="BG637" s="586"/>
      <c r="BH637" s="587"/>
      <c r="BI637" s="592">
        <v>10</v>
      </c>
      <c r="BJ637" s="592">
        <v>9</v>
      </c>
      <c r="BK637" s="592">
        <v>9</v>
      </c>
      <c r="BL637" s="586"/>
      <c r="BM637" s="592">
        <v>7</v>
      </c>
      <c r="BN637" s="592">
        <v>7</v>
      </c>
      <c r="BO637" s="592">
        <v>7</v>
      </c>
      <c r="BP637" s="592">
        <v>7</v>
      </c>
      <c r="BQ637" s="589">
        <f>BP637</f>
        <v>7</v>
      </c>
      <c r="BR637" s="592">
        <v>6</v>
      </c>
      <c r="BS637" s="592">
        <v>6</v>
      </c>
      <c r="BT637" s="592">
        <v>6</v>
      </c>
      <c r="BU637" s="587"/>
      <c r="BV637" s="589">
        <f>BU637</f>
        <v>0</v>
      </c>
      <c r="BW637" s="585"/>
      <c r="BX637" s="585"/>
      <c r="BY637" s="585"/>
      <c r="BZ637" s="585"/>
      <c r="CA637" s="586"/>
      <c r="CB637" s="585"/>
      <c r="CC637" s="585"/>
      <c r="CD637" s="585"/>
      <c r="CE637" s="585"/>
      <c r="CF637" s="586"/>
      <c r="CG637" s="470"/>
      <c r="CH637" s="470"/>
      <c r="CI637" s="470"/>
      <c r="CJ637" s="470"/>
      <c r="CK637" s="586"/>
      <c r="CL637" s="470"/>
      <c r="CM637" s="470"/>
      <c r="CN637" s="470"/>
      <c r="CO637" s="470"/>
      <c r="CP637" s="586"/>
      <c r="CQ637" s="470"/>
      <c r="CR637" s="470"/>
      <c r="CS637" s="470"/>
      <c r="CT637" s="470"/>
      <c r="CU637" s="586"/>
      <c r="CV637" s="470"/>
      <c r="CW637" s="470"/>
      <c r="CX637" s="470"/>
      <c r="CY637" s="470"/>
      <c r="CZ637" s="586"/>
      <c r="DA637" s="470"/>
      <c r="DB637" s="470"/>
      <c r="DC637" s="470"/>
      <c r="DD637" s="470"/>
      <c r="DE637" s="586"/>
      <c r="DF637" s="470"/>
      <c r="DG637" s="470"/>
      <c r="DH637" s="470"/>
      <c r="DI637" s="914"/>
      <c r="DJ637" s="586"/>
      <c r="DK637" s="470"/>
      <c r="DL637" s="470"/>
      <c r="DM637" s="470"/>
      <c r="DN637" s="470"/>
      <c r="DO637" s="586"/>
      <c r="DP637" s="470"/>
      <c r="DQ637" s="470"/>
      <c r="DR637" s="470"/>
      <c r="DS637" s="470"/>
      <c r="DT637" s="586"/>
      <c r="DU637" s="470"/>
      <c r="DV637" s="470"/>
      <c r="DW637" s="470"/>
      <c r="DX637" s="470"/>
      <c r="DY637" s="586"/>
    </row>
    <row r="638" spans="1:129" ht="11.25" hidden="1" customHeight="1" outlineLevel="1" x14ac:dyDescent="0.2">
      <c r="A638" s="466"/>
      <c r="B638" s="607" t="s">
        <v>962</v>
      </c>
      <c r="C638" s="587"/>
      <c r="D638" s="1003"/>
      <c r="E638" s="585"/>
      <c r="F638" s="585"/>
      <c r="G638" s="585"/>
      <c r="H638" s="585"/>
      <c r="I638" s="586"/>
      <c r="J638" s="585"/>
      <c r="K638" s="585"/>
      <c r="L638" s="585"/>
      <c r="M638" s="585"/>
      <c r="N638" s="586"/>
      <c r="O638" s="585"/>
      <c r="P638" s="585"/>
      <c r="Q638" s="585"/>
      <c r="R638" s="585"/>
      <c r="S638" s="586"/>
      <c r="T638" s="585"/>
      <c r="U638" s="585"/>
      <c r="V638" s="585"/>
      <c r="W638" s="585"/>
      <c r="X638" s="586"/>
      <c r="Y638" s="585"/>
      <c r="Z638" s="585"/>
      <c r="AA638" s="585"/>
      <c r="AB638" s="585"/>
      <c r="AC638" s="586"/>
      <c r="AD638" s="585"/>
      <c r="AE638" s="585"/>
      <c r="AF638" s="585"/>
      <c r="AG638" s="585"/>
      <c r="AH638" s="586"/>
      <c r="AI638" s="585"/>
      <c r="AJ638" s="585"/>
      <c r="AK638" s="585"/>
      <c r="AL638" s="585"/>
      <c r="AM638" s="586"/>
      <c r="AN638" s="585"/>
      <c r="AO638" s="585"/>
      <c r="AP638" s="585"/>
      <c r="AQ638" s="585"/>
      <c r="AR638" s="586"/>
      <c r="AS638" s="585"/>
      <c r="AT638" s="585"/>
      <c r="AU638" s="585"/>
      <c r="AV638" s="585"/>
      <c r="AW638" s="586"/>
      <c r="AX638" s="585"/>
      <c r="AY638" s="585"/>
      <c r="AZ638" s="585"/>
      <c r="BA638" s="585"/>
      <c r="BB638" s="586"/>
      <c r="BC638" s="585"/>
      <c r="BD638" s="585"/>
      <c r="BE638" s="585"/>
      <c r="BF638" s="585"/>
      <c r="BG638" s="586"/>
      <c r="BH638" s="585"/>
      <c r="BI638" s="585"/>
      <c r="BJ638" s="592">
        <v>293</v>
      </c>
      <c r="BK638" s="587"/>
      <c r="BL638" s="586"/>
      <c r="BM638" s="592">
        <v>510</v>
      </c>
      <c r="BN638" s="592">
        <v>516</v>
      </c>
      <c r="BO638" s="592">
        <v>541</v>
      </c>
      <c r="BP638" s="592">
        <v>560</v>
      </c>
      <c r="BQ638" s="589">
        <f>BP638</f>
        <v>560</v>
      </c>
      <c r="BR638" s="592">
        <v>559</v>
      </c>
      <c r="BS638" s="592">
        <v>561</v>
      </c>
      <c r="BT638" s="592">
        <v>569</v>
      </c>
      <c r="BU638" s="587"/>
      <c r="BV638" s="589">
        <f>BU638</f>
        <v>0</v>
      </c>
      <c r="BW638" s="585"/>
      <c r="BX638" s="585"/>
      <c r="BY638" s="585"/>
      <c r="BZ638" s="585"/>
      <c r="CA638" s="586"/>
      <c r="CB638" s="585"/>
      <c r="CC638" s="585"/>
      <c r="CD638" s="585"/>
      <c r="CE638" s="585"/>
      <c r="CF638" s="586"/>
      <c r="CG638" s="470"/>
      <c r="CH638" s="470"/>
      <c r="CI638" s="470"/>
      <c r="CJ638" s="470"/>
      <c r="CK638" s="586"/>
      <c r="CL638" s="470"/>
      <c r="CM638" s="470"/>
      <c r="CN638" s="470"/>
      <c r="CO638" s="470"/>
      <c r="CP638" s="586"/>
      <c r="CQ638" s="470"/>
      <c r="CR638" s="470"/>
      <c r="CS638" s="470"/>
      <c r="CT638" s="470"/>
      <c r="CU638" s="586"/>
      <c r="CV638" s="470"/>
      <c r="CW638" s="470"/>
      <c r="CX638" s="470"/>
      <c r="CY638" s="470"/>
      <c r="CZ638" s="586"/>
      <c r="DA638" s="470"/>
      <c r="DB638" s="470"/>
      <c r="DC638" s="470"/>
      <c r="DD638" s="470"/>
      <c r="DE638" s="586"/>
      <c r="DF638" s="470"/>
      <c r="DG638" s="470"/>
      <c r="DH638" s="470"/>
      <c r="DI638" s="914"/>
      <c r="DJ638" s="586"/>
      <c r="DK638" s="470"/>
      <c r="DL638" s="470"/>
      <c r="DM638" s="470"/>
      <c r="DN638" s="470"/>
      <c r="DO638" s="586"/>
      <c r="DP638" s="470"/>
      <c r="DQ638" s="470"/>
      <c r="DR638" s="470"/>
      <c r="DS638" s="470"/>
      <c r="DT638" s="586"/>
      <c r="DU638" s="470"/>
      <c r="DV638" s="470"/>
      <c r="DW638" s="470"/>
      <c r="DX638" s="470"/>
      <c r="DY638" s="586"/>
    </row>
    <row r="639" spans="1:129" ht="11.25" hidden="1" customHeight="1" outlineLevel="1" thickBot="1" x14ac:dyDescent="0.25">
      <c r="A639" s="466"/>
      <c r="B639" s="992" t="s">
        <v>963</v>
      </c>
      <c r="C639" s="993"/>
      <c r="D639" s="1004"/>
      <c r="E639" s="993"/>
      <c r="F639" s="993"/>
      <c r="G639" s="993"/>
      <c r="H639" s="993"/>
      <c r="I639" s="994"/>
      <c r="J639" s="993"/>
      <c r="K639" s="993"/>
      <c r="L639" s="993"/>
      <c r="M639" s="993"/>
      <c r="N639" s="994"/>
      <c r="O639" s="993"/>
      <c r="P639" s="993"/>
      <c r="Q639" s="993"/>
      <c r="R639" s="993"/>
      <c r="S639" s="994"/>
      <c r="T639" s="993"/>
      <c r="U639" s="993"/>
      <c r="V639" s="993"/>
      <c r="W639" s="993"/>
      <c r="X639" s="994"/>
      <c r="Y639" s="993"/>
      <c r="Z639" s="993"/>
      <c r="AA639" s="993"/>
      <c r="AB639" s="993"/>
      <c r="AC639" s="994"/>
      <c r="AD639" s="993"/>
      <c r="AE639" s="993"/>
      <c r="AF639" s="993"/>
      <c r="AG639" s="993"/>
      <c r="AH639" s="994"/>
      <c r="AI639" s="993"/>
      <c r="AJ639" s="993"/>
      <c r="AK639" s="993"/>
      <c r="AL639" s="993"/>
      <c r="AM639" s="994"/>
      <c r="AN639" s="993"/>
      <c r="AO639" s="993"/>
      <c r="AP639" s="993"/>
      <c r="AQ639" s="993"/>
      <c r="AR639" s="994"/>
      <c r="AS639" s="993"/>
      <c r="AT639" s="993"/>
      <c r="AU639" s="993"/>
      <c r="AV639" s="993"/>
      <c r="AW639" s="994"/>
      <c r="AX639" s="993"/>
      <c r="AY639" s="993"/>
      <c r="AZ639" s="993"/>
      <c r="BA639" s="993"/>
      <c r="BB639" s="994"/>
      <c r="BC639" s="993"/>
      <c r="BD639" s="993"/>
      <c r="BE639" s="993"/>
      <c r="BF639" s="993"/>
      <c r="BG639" s="994"/>
      <c r="BH639" s="993"/>
      <c r="BI639" s="993"/>
      <c r="BJ639" s="993"/>
      <c r="BK639" s="993"/>
      <c r="BL639" s="994"/>
      <c r="BM639" s="1005">
        <v>485</v>
      </c>
      <c r="BN639" s="1005">
        <v>495</v>
      </c>
      <c r="BO639" s="1005">
        <v>518</v>
      </c>
      <c r="BP639" s="1005">
        <v>534</v>
      </c>
      <c r="BQ639" s="1006">
        <f>BP639</f>
        <v>534</v>
      </c>
      <c r="BR639" s="1005">
        <v>543</v>
      </c>
      <c r="BS639" s="1005">
        <v>546</v>
      </c>
      <c r="BT639" s="1005">
        <v>554</v>
      </c>
      <c r="BU639" s="993"/>
      <c r="BV639" s="1006">
        <f>BU639</f>
        <v>0</v>
      </c>
      <c r="BW639" s="993"/>
      <c r="BX639" s="993"/>
      <c r="BY639" s="993"/>
      <c r="BZ639" s="993"/>
      <c r="CA639" s="994"/>
      <c r="CB639" s="993"/>
      <c r="CC639" s="993"/>
      <c r="CD639" s="993"/>
      <c r="CE639" s="993"/>
      <c r="CF639" s="994"/>
      <c r="CG639" s="996"/>
      <c r="CH639" s="996"/>
      <c r="CI639" s="996"/>
      <c r="CJ639" s="996"/>
      <c r="CK639" s="994"/>
      <c r="CL639" s="996"/>
      <c r="CM639" s="996"/>
      <c r="CN639" s="996"/>
      <c r="CO639" s="996"/>
      <c r="CP639" s="994"/>
      <c r="CQ639" s="996"/>
      <c r="CR639" s="996"/>
      <c r="CS639" s="996"/>
      <c r="CT639" s="996"/>
      <c r="CU639" s="994"/>
      <c r="CV639" s="996"/>
      <c r="CW639" s="996"/>
      <c r="CX639" s="996"/>
      <c r="CY639" s="996"/>
      <c r="CZ639" s="994"/>
      <c r="DA639" s="996"/>
      <c r="DB639" s="996"/>
      <c r="DC639" s="996"/>
      <c r="DD639" s="996"/>
      <c r="DE639" s="994"/>
      <c r="DF639" s="996"/>
      <c r="DG639" s="996"/>
      <c r="DH639" s="996"/>
      <c r="DI639" s="2843"/>
      <c r="DJ639" s="994"/>
      <c r="DK639" s="996"/>
      <c r="DL639" s="996"/>
      <c r="DM639" s="996"/>
      <c r="DN639" s="996"/>
      <c r="DO639" s="994"/>
      <c r="DP639" s="996"/>
      <c r="DQ639" s="996"/>
      <c r="DR639" s="996"/>
      <c r="DS639" s="996"/>
      <c r="DT639" s="994"/>
      <c r="DU639" s="996"/>
      <c r="DV639" s="996"/>
      <c r="DW639" s="996"/>
      <c r="DX639" s="996"/>
      <c r="DY639" s="994"/>
    </row>
    <row r="640" spans="1:129" hidden="1" outlineLevel="1" x14ac:dyDescent="0.2">
      <c r="DH640" s="2734"/>
      <c r="DI640" s="2795"/>
    </row>
    <row r="641" spans="1:129" ht="11.25" hidden="1" customHeight="1" outlineLevel="1" x14ac:dyDescent="0.2">
      <c r="A641" s="825"/>
      <c r="B641" s="826"/>
      <c r="C641" s="827"/>
      <c r="D641" s="828"/>
      <c r="E641" s="829"/>
      <c r="F641" s="829"/>
      <c r="G641" s="829"/>
      <c r="H641" s="829"/>
      <c r="I641" s="830"/>
      <c r="J641" s="829"/>
      <c r="K641" s="829"/>
      <c r="L641" s="829"/>
      <c r="M641" s="829"/>
      <c r="N641" s="830"/>
      <c r="O641" s="829"/>
      <c r="P641" s="829"/>
      <c r="Q641" s="829"/>
      <c r="R641" s="829"/>
      <c r="S641" s="830"/>
      <c r="T641" s="829"/>
      <c r="U641" s="829"/>
      <c r="V641" s="829"/>
      <c r="W641" s="829"/>
      <c r="X641" s="830"/>
      <c r="Y641" s="829"/>
      <c r="Z641" s="829"/>
      <c r="AA641" s="829"/>
      <c r="AB641" s="829"/>
      <c r="AC641" s="830"/>
      <c r="AD641" s="829"/>
      <c r="AE641" s="829"/>
      <c r="AF641" s="829"/>
      <c r="AG641" s="829"/>
      <c r="AH641" s="830"/>
      <c r="AI641" s="829"/>
      <c r="AJ641" s="829"/>
      <c r="AK641" s="829"/>
      <c r="AL641" s="829"/>
      <c r="AM641" s="830"/>
      <c r="AN641" s="829"/>
      <c r="AO641" s="829"/>
      <c r="AP641" s="829"/>
      <c r="AQ641" s="829"/>
      <c r="AR641" s="830"/>
      <c r="AS641" s="829"/>
      <c r="AT641" s="829"/>
      <c r="AU641" s="829"/>
      <c r="AV641" s="829"/>
      <c r="AW641" s="830"/>
      <c r="AX641" s="829"/>
      <c r="AY641" s="829"/>
      <c r="AZ641" s="829"/>
      <c r="BA641" s="829"/>
      <c r="BB641" s="830"/>
      <c r="BC641" s="829"/>
      <c r="BD641" s="829"/>
      <c r="BE641" s="829"/>
      <c r="BF641" s="829"/>
      <c r="BG641" s="830"/>
      <c r="BH641" s="829"/>
      <c r="BI641" s="829"/>
      <c r="BJ641" s="829"/>
      <c r="BK641" s="829"/>
      <c r="BL641" s="830"/>
      <c r="BM641" s="829"/>
      <c r="BN641" s="829"/>
      <c r="BO641" s="829"/>
      <c r="BP641" s="829"/>
      <c r="BQ641" s="830"/>
      <c r="BR641" s="829"/>
      <c r="BS641" s="829"/>
      <c r="BT641" s="829"/>
      <c r="BU641" s="829"/>
      <c r="BV641" s="830"/>
      <c r="BW641" s="829"/>
      <c r="BX641" s="829"/>
      <c r="BY641" s="829"/>
      <c r="BZ641" s="829"/>
      <c r="CA641" s="830"/>
      <c r="CB641" s="829"/>
      <c r="CC641" s="829"/>
      <c r="CD641" s="829"/>
      <c r="CE641" s="829"/>
      <c r="CF641" s="830"/>
      <c r="CG641" s="831"/>
      <c r="CH641" s="831"/>
      <c r="CI641" s="831"/>
      <c r="CJ641" s="831"/>
      <c r="CK641" s="830"/>
      <c r="CL641" s="831"/>
      <c r="CM641" s="831"/>
      <c r="CN641" s="831"/>
      <c r="CO641" s="831"/>
      <c r="CP641" s="830"/>
      <c r="CQ641" s="831"/>
      <c r="CR641" s="831"/>
      <c r="CS641" s="831"/>
      <c r="CT641" s="831"/>
      <c r="CU641" s="830"/>
      <c r="CV641" s="831"/>
      <c r="CW641" s="831"/>
      <c r="CX641" s="831"/>
      <c r="CY641" s="831"/>
      <c r="CZ641" s="830"/>
      <c r="DA641" s="831"/>
      <c r="DB641" s="831"/>
      <c r="DC641" s="831"/>
      <c r="DD641" s="831"/>
      <c r="DE641" s="830"/>
      <c r="DF641" s="831"/>
      <c r="DG641" s="831"/>
      <c r="DH641" s="831"/>
      <c r="DI641" s="2816"/>
      <c r="DJ641" s="830"/>
      <c r="DK641" s="831"/>
      <c r="DL641" s="831"/>
      <c r="DM641" s="831"/>
      <c r="DN641" s="831"/>
      <c r="DO641" s="830"/>
      <c r="DP641" s="831"/>
      <c r="DQ641" s="831"/>
      <c r="DR641" s="831"/>
      <c r="DS641" s="831"/>
      <c r="DT641" s="830"/>
      <c r="DU641" s="831"/>
      <c r="DV641" s="831"/>
      <c r="DW641" s="831"/>
      <c r="DX641" s="831"/>
      <c r="DY641" s="830"/>
    </row>
    <row r="642" spans="1:129" ht="11.25" hidden="1" customHeight="1" outlineLevel="1" x14ac:dyDescent="0.2">
      <c r="A642" s="825"/>
      <c r="B642" s="1007" t="s">
        <v>964</v>
      </c>
      <c r="C642" s="827"/>
      <c r="D642" s="828"/>
      <c r="E642" s="829"/>
      <c r="F642" s="829"/>
      <c r="G642" s="829"/>
      <c r="H642" s="829"/>
      <c r="I642" s="830"/>
      <c r="J642" s="829"/>
      <c r="K642" s="829"/>
      <c r="L642" s="829"/>
      <c r="M642" s="829"/>
      <c r="N642" s="830"/>
      <c r="O642" s="829"/>
      <c r="P642" s="829"/>
      <c r="Q642" s="829"/>
      <c r="R642" s="829"/>
      <c r="S642" s="830"/>
      <c r="T642" s="829"/>
      <c r="U642" s="829"/>
      <c r="V642" s="829"/>
      <c r="W642" s="829"/>
      <c r="X642" s="830"/>
      <c r="Y642" s="829"/>
      <c r="Z642" s="829"/>
      <c r="AA642" s="829"/>
      <c r="AB642" s="829"/>
      <c r="AC642" s="830"/>
      <c r="AD642" s="829"/>
      <c r="AE642" s="829"/>
      <c r="AF642" s="829"/>
      <c r="AG642" s="829"/>
      <c r="AH642" s="830"/>
      <c r="AI642" s="829"/>
      <c r="AJ642" s="829"/>
      <c r="AK642" s="829"/>
      <c r="AL642" s="829"/>
      <c r="AM642" s="830"/>
      <c r="AN642" s="829"/>
      <c r="AO642" s="829"/>
      <c r="AP642" s="829"/>
      <c r="AQ642" s="829"/>
      <c r="AR642" s="830"/>
      <c r="AS642" s="829"/>
      <c r="AT642" s="829"/>
      <c r="AU642" s="829"/>
      <c r="AV642" s="829"/>
      <c r="AW642" s="830"/>
      <c r="AX642" s="829"/>
      <c r="AY642" s="829"/>
      <c r="AZ642" s="829"/>
      <c r="BA642" s="829"/>
      <c r="BB642" s="830"/>
      <c r="BC642" s="829"/>
      <c r="BD642" s="829"/>
      <c r="BE642" s="829"/>
      <c r="BF642" s="829"/>
      <c r="BG642" s="830"/>
      <c r="BH642" s="829"/>
      <c r="BI642" s="829"/>
      <c r="BJ642" s="829"/>
      <c r="BK642" s="829"/>
      <c r="BL642" s="830"/>
      <c r="BM642" s="829"/>
      <c r="BN642" s="829"/>
      <c r="BO642" s="829"/>
      <c r="BP642" s="829"/>
      <c r="BQ642" s="830"/>
      <c r="BR642" s="829"/>
      <c r="BS642" s="829"/>
      <c r="BT642" s="829"/>
      <c r="BU642" s="829"/>
      <c r="BV642" s="830"/>
      <c r="BW642" s="829"/>
      <c r="BX642" s="829"/>
      <c r="BY642" s="829"/>
      <c r="BZ642" s="829"/>
      <c r="CA642" s="830"/>
      <c r="CB642" s="829"/>
      <c r="CC642" s="829"/>
      <c r="CD642" s="829"/>
      <c r="CE642" s="829"/>
      <c r="CF642" s="830"/>
      <c r="CG642" s="831"/>
      <c r="CH642" s="831"/>
      <c r="CI642" s="831"/>
      <c r="CJ642" s="831"/>
      <c r="CK642" s="830"/>
      <c r="CL642" s="831"/>
      <c r="CM642" s="831"/>
      <c r="CN642" s="831"/>
      <c r="CO642" s="831"/>
      <c r="CP642" s="830"/>
      <c r="CQ642" s="831"/>
      <c r="CR642" s="831"/>
      <c r="CS642" s="831"/>
      <c r="CT642" s="831"/>
      <c r="CU642" s="830"/>
      <c r="CV642" s="831"/>
      <c r="CW642" s="831"/>
      <c r="CX642" s="831"/>
      <c r="CY642" s="831"/>
      <c r="CZ642" s="830"/>
      <c r="DA642" s="831"/>
      <c r="DB642" s="831"/>
      <c r="DC642" s="831"/>
      <c r="DD642" s="831"/>
      <c r="DE642" s="830"/>
      <c r="DF642" s="831"/>
      <c r="DG642" s="831"/>
      <c r="DH642" s="831"/>
      <c r="DI642" s="2816"/>
      <c r="DJ642" s="830"/>
      <c r="DK642" s="831"/>
      <c r="DL642" s="831"/>
      <c r="DM642" s="831"/>
      <c r="DN642" s="831"/>
      <c r="DO642" s="830"/>
      <c r="DP642" s="831"/>
      <c r="DQ642" s="831"/>
      <c r="DR642" s="831"/>
      <c r="DS642" s="831"/>
      <c r="DT642" s="830"/>
      <c r="DU642" s="831"/>
      <c r="DV642" s="831"/>
      <c r="DW642" s="831"/>
      <c r="DX642" s="831"/>
      <c r="DY642" s="830"/>
    </row>
    <row r="643" spans="1:129" ht="11.25" hidden="1" customHeight="1" outlineLevel="1" x14ac:dyDescent="0.2">
      <c r="A643" s="825"/>
      <c r="B643" s="826" t="s">
        <v>965</v>
      </c>
      <c r="C643" s="827"/>
      <c r="D643" s="828"/>
      <c r="E643" s="829"/>
      <c r="F643" s="829"/>
      <c r="G643" s="829"/>
      <c r="H643" s="829"/>
      <c r="I643" s="830"/>
      <c r="J643" s="829"/>
      <c r="K643" s="829"/>
      <c r="L643" s="829"/>
      <c r="M643" s="829"/>
      <c r="N643" s="830"/>
      <c r="O643" s="829"/>
      <c r="P643" s="829"/>
      <c r="Q643" s="829"/>
      <c r="R643" s="829"/>
      <c r="S643" s="830"/>
      <c r="T643" s="829"/>
      <c r="U643" s="829"/>
      <c r="V643" s="829"/>
      <c r="W643" s="829"/>
      <c r="X643" s="830"/>
      <c r="Y643" s="829"/>
      <c r="Z643" s="829"/>
      <c r="AA643" s="829"/>
      <c r="AB643" s="829"/>
      <c r="AC643" s="830"/>
      <c r="AD643" s="829"/>
      <c r="AE643" s="829"/>
      <c r="AF643" s="829"/>
      <c r="AG643" s="829"/>
      <c r="AH643" s="830"/>
      <c r="AI643" s="829"/>
      <c r="AJ643" s="829"/>
      <c r="AK643" s="829"/>
      <c r="AL643" s="829"/>
      <c r="AM643" s="830"/>
      <c r="AN643" s="829"/>
      <c r="AO643" s="829"/>
      <c r="AP643" s="829"/>
      <c r="AQ643" s="829"/>
      <c r="AR643" s="830"/>
      <c r="AS643" s="829"/>
      <c r="AT643" s="829"/>
      <c r="AU643" s="829"/>
      <c r="AV643" s="829"/>
      <c r="AW643" s="830"/>
      <c r="AX643" s="829"/>
      <c r="AY643" s="829"/>
      <c r="AZ643" s="829"/>
      <c r="BA643" s="829"/>
      <c r="BB643" s="830"/>
      <c r="BC643" s="829"/>
      <c r="BD643" s="829"/>
      <c r="BE643" s="829"/>
      <c r="BF643" s="829"/>
      <c r="BG643" s="830"/>
      <c r="BH643" s="829"/>
      <c r="BI643" s="829"/>
      <c r="BJ643" s="829"/>
      <c r="BK643" s="829"/>
      <c r="BL643" s="830"/>
      <c r="BM643" s="829"/>
      <c r="BN643" s="829"/>
      <c r="BO643" s="829"/>
      <c r="BP643" s="829"/>
      <c r="BQ643" s="830"/>
      <c r="BR643" s="829"/>
      <c r="BS643" s="829"/>
      <c r="BT643" s="829"/>
      <c r="BU643" s="829"/>
      <c r="BV643" s="830"/>
      <c r="BW643" s="829"/>
      <c r="BX643" s="829"/>
      <c r="BY643" s="829"/>
      <c r="BZ643" s="829"/>
      <c r="CA643" s="830"/>
      <c r="CB643" s="829"/>
      <c r="CC643" s="829"/>
      <c r="CD643" s="829"/>
      <c r="CE643" s="829"/>
      <c r="CF643" s="830"/>
      <c r="CG643" s="831"/>
      <c r="CH643" s="831"/>
      <c r="CI643" s="831"/>
      <c r="CJ643" s="831"/>
      <c r="CK643" s="830"/>
      <c r="CL643" s="831"/>
      <c r="CM643" s="831"/>
      <c r="CN643" s="831"/>
      <c r="CO643" s="831"/>
      <c r="CP643" s="830"/>
      <c r="CQ643" s="831"/>
      <c r="CR643" s="831"/>
      <c r="CS643" s="831"/>
      <c r="CT643" s="831"/>
      <c r="CU643" s="830"/>
      <c r="CV643" s="831"/>
      <c r="CW643" s="831"/>
      <c r="CX643" s="831"/>
      <c r="CY643" s="831"/>
      <c r="CZ643" s="830"/>
      <c r="DA643" s="831"/>
      <c r="DB643" s="831"/>
      <c r="DC643" s="831"/>
      <c r="DD643" s="831"/>
      <c r="DE643" s="830"/>
      <c r="DF643" s="831"/>
      <c r="DG643" s="831"/>
      <c r="DH643" s="831"/>
      <c r="DI643" s="2816"/>
      <c r="DJ643" s="830"/>
      <c r="DK643" s="831"/>
      <c r="DL643" s="831"/>
      <c r="DM643" s="831"/>
      <c r="DN643" s="831"/>
      <c r="DO643" s="830"/>
      <c r="DP643" s="831"/>
      <c r="DQ643" s="831"/>
      <c r="DR643" s="831"/>
      <c r="DS643" s="831"/>
      <c r="DT643" s="830"/>
      <c r="DU643" s="831"/>
      <c r="DV643" s="831"/>
      <c r="DW643" s="831"/>
      <c r="DX643" s="831"/>
      <c r="DY643" s="830"/>
    </row>
    <row r="644" spans="1:129" ht="11.25" hidden="1" customHeight="1" outlineLevel="1" x14ac:dyDescent="0.2">
      <c r="A644" s="471"/>
      <c r="B644" s="1008" t="s">
        <v>966</v>
      </c>
      <c r="C644" s="550"/>
      <c r="D644" s="550"/>
      <c r="E644" s="550"/>
      <c r="F644" s="550"/>
      <c r="G644" s="550"/>
      <c r="H644" s="550"/>
      <c r="I644" s="551"/>
      <c r="J644" s="550"/>
      <c r="K644" s="550"/>
      <c r="L644" s="550"/>
      <c r="M644" s="550"/>
      <c r="N644" s="551"/>
      <c r="O644" s="550"/>
      <c r="P644" s="550"/>
      <c r="Q644" s="550"/>
      <c r="R644" s="550"/>
      <c r="S644" s="551"/>
      <c r="T644" s="550"/>
      <c r="U644" s="550"/>
      <c r="V644" s="550"/>
      <c r="W644" s="550"/>
      <c r="X644" s="551"/>
      <c r="Y644" s="550"/>
      <c r="Z644" s="550"/>
      <c r="AA644" s="550"/>
      <c r="AB644" s="550"/>
      <c r="AC644" s="551"/>
      <c r="AD644" s="550"/>
      <c r="AE644" s="550"/>
      <c r="AF644" s="550"/>
      <c r="AG644" s="550"/>
      <c r="AH644" s="551"/>
      <c r="AI644" s="550"/>
      <c r="AJ644" s="550"/>
      <c r="AK644" s="550"/>
      <c r="AL644" s="550"/>
      <c r="AM644" s="551"/>
      <c r="AN644" s="550"/>
      <c r="AO644" s="550"/>
      <c r="AP644" s="550"/>
      <c r="AQ644" s="550"/>
      <c r="AR644" s="551"/>
      <c r="AS644" s="550"/>
      <c r="AT644" s="550"/>
      <c r="AU644" s="550"/>
      <c r="AV644" s="550"/>
      <c r="AW644" s="551"/>
      <c r="AX644" s="550"/>
      <c r="AY644" s="550"/>
      <c r="AZ644" s="550"/>
      <c r="BA644" s="550"/>
      <c r="BB644" s="551"/>
      <c r="BC644" s="550"/>
      <c r="BD644" s="550"/>
      <c r="BE644" s="550"/>
      <c r="BF644" s="550"/>
      <c r="BG644" s="551"/>
      <c r="BH644" s="550"/>
      <c r="BI644" s="550"/>
      <c r="BJ644" s="550"/>
      <c r="BK644" s="550"/>
      <c r="BL644" s="551"/>
      <c r="BM644" s="550"/>
      <c r="BN644" s="550"/>
      <c r="BO644" s="550"/>
      <c r="BP644" s="552">
        <v>4</v>
      </c>
      <c r="BQ644" s="595">
        <v>4</v>
      </c>
      <c r="BR644" s="552">
        <v>-1</v>
      </c>
      <c r="BS644" s="550"/>
      <c r="BT644" s="552">
        <v>1</v>
      </c>
      <c r="BU644" s="550"/>
      <c r="BV644" s="551"/>
      <c r="BW644" s="550"/>
      <c r="BX644" s="550"/>
      <c r="BY644" s="550"/>
      <c r="BZ644" s="550"/>
      <c r="CA644" s="551"/>
      <c r="CB644" s="550"/>
      <c r="CC644" s="550"/>
      <c r="CD644" s="550"/>
      <c r="CE644" s="550"/>
      <c r="CF644" s="551"/>
      <c r="CG644" s="914"/>
      <c r="CH644" s="914"/>
      <c r="CI644" s="914"/>
      <c r="CJ644" s="914"/>
      <c r="CK644" s="551"/>
      <c r="CL644" s="914"/>
      <c r="CM644" s="914"/>
      <c r="CN644" s="914"/>
      <c r="CO644" s="914"/>
      <c r="CP644" s="551"/>
      <c r="CQ644" s="914"/>
      <c r="CR644" s="914"/>
      <c r="CS644" s="914"/>
      <c r="CT644" s="914"/>
      <c r="CU644" s="551"/>
      <c r="CV644" s="914"/>
      <c r="CW644" s="914"/>
      <c r="CX644" s="914"/>
      <c r="CY644" s="914"/>
      <c r="CZ644" s="551"/>
      <c r="DA644" s="914"/>
      <c r="DB644" s="914"/>
      <c r="DC644" s="914"/>
      <c r="DD644" s="914"/>
      <c r="DE644" s="551"/>
      <c r="DF644" s="914"/>
      <c r="DG644" s="914"/>
      <c r="DH644" s="914"/>
      <c r="DI644" s="914"/>
      <c r="DJ644" s="551"/>
      <c r="DK644" s="914"/>
      <c r="DL644" s="914"/>
      <c r="DM644" s="914"/>
      <c r="DN644" s="914"/>
      <c r="DO644" s="551"/>
      <c r="DP644" s="914"/>
      <c r="DQ644" s="914"/>
      <c r="DR644" s="914"/>
      <c r="DS644" s="914"/>
      <c r="DT644" s="551"/>
      <c r="DU644" s="914"/>
      <c r="DV644" s="914"/>
      <c r="DW644" s="914"/>
      <c r="DX644" s="914"/>
      <c r="DY644" s="551"/>
    </row>
    <row r="645" spans="1:129" ht="11.25" hidden="1" customHeight="1" outlineLevel="1" x14ac:dyDescent="0.2">
      <c r="A645" s="471"/>
      <c r="B645" s="1008" t="s">
        <v>967</v>
      </c>
      <c r="C645" s="550"/>
      <c r="D645" s="550"/>
      <c r="E645" s="550"/>
      <c r="F645" s="550"/>
      <c r="G645" s="550"/>
      <c r="H645" s="550"/>
      <c r="I645" s="551"/>
      <c r="J645" s="550"/>
      <c r="K645" s="550"/>
      <c r="L645" s="550"/>
      <c r="M645" s="550"/>
      <c r="N645" s="551"/>
      <c r="O645" s="550"/>
      <c r="P645" s="550"/>
      <c r="Q645" s="550"/>
      <c r="R645" s="550"/>
      <c r="S645" s="551"/>
      <c r="T645" s="550"/>
      <c r="U645" s="550"/>
      <c r="V645" s="550"/>
      <c r="W645" s="550"/>
      <c r="X645" s="551"/>
      <c r="Y645" s="550"/>
      <c r="Z645" s="550"/>
      <c r="AA645" s="550"/>
      <c r="AB645" s="550"/>
      <c r="AC645" s="551"/>
      <c r="AD645" s="550"/>
      <c r="AE645" s="550"/>
      <c r="AF645" s="550"/>
      <c r="AG645" s="550"/>
      <c r="AH645" s="551"/>
      <c r="AI645" s="550"/>
      <c r="AJ645" s="550"/>
      <c r="AK645" s="550"/>
      <c r="AL645" s="550"/>
      <c r="AM645" s="551"/>
      <c r="AN645" s="550"/>
      <c r="AO645" s="550"/>
      <c r="AP645" s="550"/>
      <c r="AQ645" s="550"/>
      <c r="AR645" s="551"/>
      <c r="AS645" s="550"/>
      <c r="AT645" s="550"/>
      <c r="AU645" s="550"/>
      <c r="AV645" s="550"/>
      <c r="AW645" s="551"/>
      <c r="AX645" s="550"/>
      <c r="AY645" s="550"/>
      <c r="AZ645" s="550"/>
      <c r="BA645" s="550"/>
      <c r="BB645" s="551"/>
      <c r="BC645" s="550"/>
      <c r="BD645" s="550"/>
      <c r="BE645" s="550"/>
      <c r="BF645" s="550"/>
      <c r="BG645" s="551"/>
      <c r="BH645" s="550"/>
      <c r="BI645" s="550"/>
      <c r="BJ645" s="550"/>
      <c r="BK645" s="550"/>
      <c r="BL645" s="551"/>
      <c r="BM645" s="550"/>
      <c r="BN645" s="550"/>
      <c r="BO645" s="550"/>
      <c r="BP645" s="552">
        <v>495</v>
      </c>
      <c r="BQ645" s="595">
        <v>495</v>
      </c>
      <c r="BR645" s="552">
        <v>-138</v>
      </c>
      <c r="BS645" s="550"/>
      <c r="BT645" s="552">
        <v>136</v>
      </c>
      <c r="BU645" s="550"/>
      <c r="BV645" s="551"/>
      <c r="BW645" s="550"/>
      <c r="BX645" s="550"/>
      <c r="BY645" s="550"/>
      <c r="BZ645" s="550"/>
      <c r="CA645" s="551"/>
      <c r="CB645" s="550"/>
      <c r="CC645" s="550"/>
      <c r="CD645" s="550"/>
      <c r="CE645" s="550"/>
      <c r="CF645" s="551"/>
      <c r="CG645" s="914"/>
      <c r="CH645" s="914"/>
      <c r="CI645" s="914"/>
      <c r="CJ645" s="914"/>
      <c r="CK645" s="551"/>
      <c r="CL645" s="914"/>
      <c r="CM645" s="914"/>
      <c r="CN645" s="914"/>
      <c r="CO645" s="914"/>
      <c r="CP645" s="551"/>
      <c r="CQ645" s="914"/>
      <c r="CR645" s="914"/>
      <c r="CS645" s="914"/>
      <c r="CT645" s="914"/>
      <c r="CU645" s="551"/>
      <c r="CV645" s="914"/>
      <c r="CW645" s="914"/>
      <c r="CX645" s="914"/>
      <c r="CY645" s="914"/>
      <c r="CZ645" s="551"/>
      <c r="DA645" s="914"/>
      <c r="DB645" s="914"/>
      <c r="DC645" s="914"/>
      <c r="DD645" s="914"/>
      <c r="DE645" s="551"/>
      <c r="DF645" s="914"/>
      <c r="DG645" s="914"/>
      <c r="DH645" s="914"/>
      <c r="DI645" s="914"/>
      <c r="DJ645" s="551"/>
      <c r="DK645" s="914"/>
      <c r="DL645" s="914"/>
      <c r="DM645" s="914"/>
      <c r="DN645" s="914"/>
      <c r="DO645" s="551"/>
      <c r="DP645" s="914"/>
      <c r="DQ645" s="914"/>
      <c r="DR645" s="914"/>
      <c r="DS645" s="914"/>
      <c r="DT645" s="551"/>
      <c r="DU645" s="914"/>
      <c r="DV645" s="914"/>
      <c r="DW645" s="914"/>
      <c r="DX645" s="914"/>
      <c r="DY645" s="551"/>
    </row>
    <row r="646" spans="1:129" ht="11.25" hidden="1" customHeight="1" outlineLevel="1" x14ac:dyDescent="0.2">
      <c r="A646" s="825"/>
      <c r="B646" s="826"/>
      <c r="C646" s="827"/>
      <c r="D646" s="828"/>
      <c r="E646" s="829"/>
      <c r="F646" s="829"/>
      <c r="G646" s="829"/>
      <c r="H646" s="829"/>
      <c r="I646" s="830"/>
      <c r="J646" s="829"/>
      <c r="K646" s="829"/>
      <c r="L646" s="829"/>
      <c r="M646" s="829"/>
      <c r="N646" s="830"/>
      <c r="O646" s="829"/>
      <c r="P646" s="829"/>
      <c r="Q646" s="829"/>
      <c r="R646" s="829"/>
      <c r="S646" s="830"/>
      <c r="T646" s="829"/>
      <c r="U646" s="829"/>
      <c r="V646" s="829"/>
      <c r="W646" s="829"/>
      <c r="X646" s="830"/>
      <c r="Y646" s="829"/>
      <c r="Z646" s="829"/>
      <c r="AA646" s="829"/>
      <c r="AB646" s="829"/>
      <c r="AC646" s="830"/>
      <c r="AD646" s="829"/>
      <c r="AE646" s="829"/>
      <c r="AF646" s="829"/>
      <c r="AG646" s="829"/>
      <c r="AH646" s="830"/>
      <c r="AI646" s="829"/>
      <c r="AJ646" s="829"/>
      <c r="AK646" s="829"/>
      <c r="AL646" s="829"/>
      <c r="AM646" s="830"/>
      <c r="AN646" s="829"/>
      <c r="AO646" s="829"/>
      <c r="AP646" s="829"/>
      <c r="AQ646" s="829"/>
      <c r="AR646" s="830"/>
      <c r="AS646" s="829"/>
      <c r="AT646" s="829"/>
      <c r="AU646" s="829"/>
      <c r="AV646" s="829"/>
      <c r="AW646" s="830"/>
      <c r="AX646" s="829"/>
      <c r="AY646" s="829"/>
      <c r="AZ646" s="829"/>
      <c r="BA646" s="829"/>
      <c r="BB646" s="830"/>
      <c r="BC646" s="829"/>
      <c r="BD646" s="829"/>
      <c r="BE646" s="829"/>
      <c r="BF646" s="829"/>
      <c r="BG646" s="830"/>
      <c r="BH646" s="829"/>
      <c r="BI646" s="829"/>
      <c r="BJ646" s="829"/>
      <c r="BK646" s="829"/>
      <c r="BL646" s="830"/>
      <c r="BM646" s="829"/>
      <c r="BN646" s="829"/>
      <c r="BO646" s="829"/>
      <c r="BP646" s="829"/>
      <c r="BQ646" s="830"/>
      <c r="BR646" s="829"/>
      <c r="BS646" s="829"/>
      <c r="BT646" s="829"/>
      <c r="BU646" s="829"/>
      <c r="BV646" s="830"/>
      <c r="BW646" s="829"/>
      <c r="BX646" s="829"/>
      <c r="BY646" s="829"/>
      <c r="BZ646" s="829"/>
      <c r="CA646" s="830"/>
      <c r="CB646" s="829"/>
      <c r="CC646" s="829"/>
      <c r="CD646" s="829"/>
      <c r="CE646" s="829"/>
      <c r="CF646" s="830"/>
      <c r="CG646" s="831"/>
      <c r="CH646" s="831"/>
      <c r="CI646" s="831"/>
      <c r="CJ646" s="831"/>
      <c r="CK646" s="830"/>
      <c r="CL646" s="831"/>
      <c r="CM646" s="831"/>
      <c r="CN646" s="831"/>
      <c r="CO646" s="831"/>
      <c r="CP646" s="830"/>
      <c r="CQ646" s="831"/>
      <c r="CR646" s="831"/>
      <c r="CS646" s="831"/>
      <c r="CT646" s="831"/>
      <c r="CU646" s="830"/>
      <c r="CV646" s="831"/>
      <c r="CW646" s="831"/>
      <c r="CX646" s="831"/>
      <c r="CY646" s="831"/>
      <c r="CZ646" s="830"/>
      <c r="DA646" s="831"/>
      <c r="DB646" s="831"/>
      <c r="DC646" s="831"/>
      <c r="DD646" s="831"/>
      <c r="DE646" s="830"/>
      <c r="DF646" s="831"/>
      <c r="DG646" s="831"/>
      <c r="DH646" s="831"/>
      <c r="DI646" s="2816"/>
      <c r="DJ646" s="830"/>
      <c r="DK646" s="831"/>
      <c r="DL646" s="831"/>
      <c r="DM646" s="831"/>
      <c r="DN646" s="831"/>
      <c r="DO646" s="830"/>
      <c r="DP646" s="831"/>
      <c r="DQ646" s="831"/>
      <c r="DR646" s="831"/>
      <c r="DS646" s="831"/>
      <c r="DT646" s="830"/>
      <c r="DU646" s="831"/>
      <c r="DV646" s="831"/>
      <c r="DW646" s="831"/>
      <c r="DX646" s="831"/>
      <c r="DY646" s="830"/>
    </row>
    <row r="647" spans="1:129" ht="11.25" hidden="1" customHeight="1" outlineLevel="1" x14ac:dyDescent="0.2">
      <c r="A647" s="825"/>
      <c r="B647" s="1009" t="s">
        <v>968</v>
      </c>
      <c r="C647" s="827"/>
      <c r="D647" s="828"/>
      <c r="E647" s="829"/>
      <c r="F647" s="829"/>
      <c r="G647" s="829"/>
      <c r="H647" s="829"/>
      <c r="I647" s="830"/>
      <c r="J647" s="829"/>
      <c r="K647" s="829"/>
      <c r="L647" s="829"/>
      <c r="M647" s="829"/>
      <c r="N647" s="830"/>
      <c r="O647" s="829"/>
      <c r="P647" s="829"/>
      <c r="Q647" s="829"/>
      <c r="R647" s="829"/>
      <c r="S647" s="830"/>
      <c r="T647" s="829"/>
      <c r="U647" s="829"/>
      <c r="V647" s="829"/>
      <c r="W647" s="829"/>
      <c r="X647" s="830"/>
      <c r="Y647" s="829"/>
      <c r="Z647" s="829"/>
      <c r="AA647" s="829"/>
      <c r="AB647" s="829"/>
      <c r="AC647" s="830"/>
      <c r="AD647" s="829"/>
      <c r="AE647" s="829"/>
      <c r="AF647" s="829"/>
      <c r="AG647" s="829"/>
      <c r="AH647" s="830"/>
      <c r="AI647" s="829"/>
      <c r="AJ647" s="829"/>
      <c r="AK647" s="829"/>
      <c r="AL647" s="829"/>
      <c r="AM647" s="830"/>
      <c r="AN647" s="829"/>
      <c r="AO647" s="829"/>
      <c r="AP647" s="829"/>
      <c r="AQ647" s="829"/>
      <c r="AR647" s="830"/>
      <c r="AS647" s="829"/>
      <c r="AT647" s="829"/>
      <c r="AU647" s="829"/>
      <c r="AV647" s="829"/>
      <c r="AW647" s="830"/>
      <c r="AX647" s="829"/>
      <c r="AY647" s="829"/>
      <c r="AZ647" s="829"/>
      <c r="BA647" s="829"/>
      <c r="BB647" s="830"/>
      <c r="BC647" s="829"/>
      <c r="BD647" s="829"/>
      <c r="BE647" s="829"/>
      <c r="BF647" s="829"/>
      <c r="BG647" s="830"/>
      <c r="BH647" s="829"/>
      <c r="BI647" s="829"/>
      <c r="BJ647" s="829"/>
      <c r="BK647" s="829"/>
      <c r="BL647" s="830"/>
      <c r="BM647" s="829"/>
      <c r="BN647" s="829"/>
      <c r="BO647" s="829"/>
      <c r="BP647" s="829"/>
      <c r="BQ647" s="830"/>
      <c r="BR647" s="829"/>
      <c r="BS647" s="829"/>
      <c r="BT647" s="829"/>
      <c r="BU647" s="829"/>
      <c r="BV647" s="830"/>
      <c r="BW647" s="829"/>
      <c r="BX647" s="829"/>
      <c r="BY647" s="829"/>
      <c r="BZ647" s="829"/>
      <c r="CA647" s="830"/>
      <c r="CB647" s="829"/>
      <c r="CC647" s="829"/>
      <c r="CD647" s="829"/>
      <c r="CE647" s="829"/>
      <c r="CF647" s="830"/>
      <c r="CG647" s="831"/>
      <c r="CH647" s="831"/>
      <c r="CI647" s="831"/>
      <c r="CJ647" s="831"/>
      <c r="CK647" s="830"/>
      <c r="CL647" s="831"/>
      <c r="CM647" s="831"/>
      <c r="CN647" s="831"/>
      <c r="CO647" s="831"/>
      <c r="CP647" s="830"/>
      <c r="CQ647" s="831"/>
      <c r="CR647" s="831"/>
      <c r="CS647" s="831"/>
      <c r="CT647" s="831"/>
      <c r="CU647" s="830"/>
      <c r="CV647" s="831"/>
      <c r="CW647" s="831"/>
      <c r="CX647" s="831"/>
      <c r="CY647" s="831"/>
      <c r="CZ647" s="830"/>
      <c r="DA647" s="831"/>
      <c r="DB647" s="831"/>
      <c r="DC647" s="831"/>
      <c r="DD647" s="831"/>
      <c r="DE647" s="830"/>
      <c r="DF647" s="831"/>
      <c r="DG647" s="831"/>
      <c r="DH647" s="831"/>
      <c r="DI647" s="2816"/>
      <c r="DJ647" s="830"/>
      <c r="DK647" s="831"/>
      <c r="DL647" s="831"/>
      <c r="DM647" s="831"/>
      <c r="DN647" s="831"/>
      <c r="DO647" s="830"/>
      <c r="DP647" s="831"/>
      <c r="DQ647" s="831"/>
      <c r="DR647" s="831"/>
      <c r="DS647" s="831"/>
      <c r="DT647" s="830"/>
      <c r="DU647" s="831"/>
      <c r="DV647" s="831"/>
      <c r="DW647" s="831"/>
      <c r="DX647" s="831"/>
      <c r="DY647" s="830"/>
    </row>
    <row r="648" spans="1:129" ht="5.25" hidden="1" customHeight="1" outlineLevel="1" x14ac:dyDescent="0.2">
      <c r="A648" s="825"/>
      <c r="B648" s="826"/>
      <c r="C648" s="827"/>
      <c r="D648" s="828"/>
      <c r="E648" s="829"/>
      <c r="F648" s="829"/>
      <c r="G648" s="829"/>
      <c r="H648" s="829"/>
      <c r="I648" s="830"/>
      <c r="J648" s="829"/>
      <c r="K648" s="829"/>
      <c r="L648" s="829"/>
      <c r="M648" s="829"/>
      <c r="N648" s="830"/>
      <c r="O648" s="829"/>
      <c r="P648" s="829"/>
      <c r="Q648" s="829"/>
      <c r="R648" s="829"/>
      <c r="S648" s="830"/>
      <c r="T648" s="829"/>
      <c r="U648" s="829"/>
      <c r="V648" s="829"/>
      <c r="W648" s="829"/>
      <c r="X648" s="830"/>
      <c r="Y648" s="829"/>
      <c r="Z648" s="829"/>
      <c r="AA648" s="829"/>
      <c r="AB648" s="829"/>
      <c r="AC648" s="830"/>
      <c r="AD648" s="829"/>
      <c r="AE648" s="829"/>
      <c r="AF648" s="829"/>
      <c r="AG648" s="829"/>
      <c r="AH648" s="830"/>
      <c r="AI648" s="829"/>
      <c r="AJ648" s="829"/>
      <c r="AK648" s="829"/>
      <c r="AL648" s="829"/>
      <c r="AM648" s="830"/>
      <c r="AN648" s="829"/>
      <c r="AO648" s="829"/>
      <c r="AP648" s="829"/>
      <c r="AQ648" s="829"/>
      <c r="AR648" s="830"/>
      <c r="AS648" s="829"/>
      <c r="AT648" s="829"/>
      <c r="AU648" s="829"/>
      <c r="AV648" s="829"/>
      <c r="AW648" s="830"/>
      <c r="AX648" s="829"/>
      <c r="AY648" s="829"/>
      <c r="AZ648" s="829"/>
      <c r="BA648" s="829"/>
      <c r="BB648" s="830"/>
      <c r="BC648" s="829"/>
      <c r="BD648" s="829"/>
      <c r="BE648" s="829"/>
      <c r="BF648" s="829"/>
      <c r="BG648" s="830"/>
      <c r="BH648" s="829"/>
      <c r="BI648" s="829"/>
      <c r="BJ648" s="829"/>
      <c r="BK648" s="829"/>
      <c r="BL648" s="830"/>
      <c r="BM648" s="829"/>
      <c r="BN648" s="829"/>
      <c r="BO648" s="829"/>
      <c r="BP648" s="829"/>
      <c r="BQ648" s="830"/>
      <c r="BR648" s="829"/>
      <c r="BS648" s="829"/>
      <c r="BT648" s="829"/>
      <c r="BU648" s="829"/>
      <c r="BV648" s="830"/>
      <c r="BW648" s="829"/>
      <c r="BX648" s="829"/>
      <c r="BY648" s="829"/>
      <c r="BZ648" s="829"/>
      <c r="CA648" s="830"/>
      <c r="CB648" s="829"/>
      <c r="CC648" s="829"/>
      <c r="CD648" s="829"/>
      <c r="CE648" s="829"/>
      <c r="CF648" s="830"/>
      <c r="CG648" s="831"/>
      <c r="CH648" s="831"/>
      <c r="CI648" s="831"/>
      <c r="CJ648" s="831"/>
      <c r="CK648" s="830"/>
      <c r="CL648" s="831"/>
      <c r="CM648" s="831"/>
      <c r="CN648" s="831"/>
      <c r="CO648" s="831"/>
      <c r="CP648" s="830"/>
      <c r="CQ648" s="831"/>
      <c r="CR648" s="831"/>
      <c r="CS648" s="831"/>
      <c r="CT648" s="831"/>
      <c r="CU648" s="830"/>
      <c r="CV648" s="831"/>
      <c r="CW648" s="831"/>
      <c r="CX648" s="831"/>
      <c r="CY648" s="831"/>
      <c r="CZ648" s="830"/>
      <c r="DA648" s="831"/>
      <c r="DB648" s="831"/>
      <c r="DC648" s="831"/>
      <c r="DD648" s="831"/>
      <c r="DE648" s="830"/>
      <c r="DF648" s="831"/>
      <c r="DG648" s="831"/>
      <c r="DH648" s="831"/>
      <c r="DI648" s="2816"/>
      <c r="DJ648" s="830"/>
      <c r="DK648" s="831"/>
      <c r="DL648" s="831"/>
      <c r="DM648" s="831"/>
      <c r="DN648" s="831"/>
      <c r="DO648" s="830"/>
      <c r="DP648" s="831"/>
      <c r="DQ648" s="831"/>
      <c r="DR648" s="831"/>
      <c r="DS648" s="831"/>
      <c r="DT648" s="830"/>
      <c r="DU648" s="831"/>
      <c r="DV648" s="831"/>
      <c r="DW648" s="831"/>
      <c r="DX648" s="831"/>
      <c r="DY648" s="830"/>
    </row>
    <row r="649" spans="1:129" ht="11.25" hidden="1" customHeight="1" outlineLevel="1" x14ac:dyDescent="0.2">
      <c r="A649" s="825"/>
      <c r="B649" s="826" t="s">
        <v>969</v>
      </c>
      <c r="C649" s="827"/>
      <c r="D649" s="828"/>
      <c r="E649" s="829"/>
      <c r="F649" s="829"/>
      <c r="G649" s="829"/>
      <c r="H649" s="829"/>
      <c r="I649" s="830"/>
      <c r="J649" s="829"/>
      <c r="K649" s="829"/>
      <c r="L649" s="829"/>
      <c r="M649" s="829"/>
      <c r="N649" s="830"/>
      <c r="O649" s="829"/>
      <c r="P649" s="829"/>
      <c r="Q649" s="829"/>
      <c r="R649" s="829"/>
      <c r="S649" s="830"/>
      <c r="T649" s="829"/>
      <c r="U649" s="829"/>
      <c r="V649" s="829"/>
      <c r="W649" s="829"/>
      <c r="X649" s="830"/>
      <c r="Y649" s="829"/>
      <c r="Z649" s="829"/>
      <c r="AA649" s="829"/>
      <c r="AB649" s="829"/>
      <c r="AC649" s="830"/>
      <c r="AD649" s="829"/>
      <c r="AE649" s="829"/>
      <c r="AF649" s="829"/>
      <c r="AG649" s="829"/>
      <c r="AH649" s="830"/>
      <c r="AI649" s="829"/>
      <c r="AJ649" s="829"/>
      <c r="AK649" s="829"/>
      <c r="AL649" s="829"/>
      <c r="AM649" s="830"/>
      <c r="AN649" s="829"/>
      <c r="AO649" s="829"/>
      <c r="AP649" s="829"/>
      <c r="AQ649" s="829"/>
      <c r="AR649" s="830"/>
      <c r="AS649" s="829"/>
      <c r="AT649" s="829"/>
      <c r="AU649" s="829"/>
      <c r="AV649" s="829"/>
      <c r="AW649" s="830"/>
      <c r="AX649" s="829"/>
      <c r="AY649" s="829"/>
      <c r="AZ649" s="829"/>
      <c r="BA649" s="829"/>
      <c r="BB649" s="830"/>
      <c r="BC649" s="829"/>
      <c r="BD649" s="829"/>
      <c r="BE649" s="829"/>
      <c r="BF649" s="829"/>
      <c r="BG649" s="830"/>
      <c r="BH649" s="829"/>
      <c r="BI649" s="829"/>
      <c r="BJ649" s="829"/>
      <c r="BK649" s="829"/>
      <c r="BL649" s="830"/>
      <c r="BM649" s="829"/>
      <c r="BN649" s="829"/>
      <c r="BO649" s="829"/>
      <c r="BP649" s="829"/>
      <c r="BQ649" s="830"/>
      <c r="BR649" s="829"/>
      <c r="BS649" s="829"/>
      <c r="BT649" s="829"/>
      <c r="BU649" s="829"/>
      <c r="BV649" s="830"/>
      <c r="BW649" s="829"/>
      <c r="BX649" s="829"/>
      <c r="BY649" s="829"/>
      <c r="BZ649" s="829"/>
      <c r="CA649" s="830"/>
      <c r="CB649" s="829"/>
      <c r="CC649" s="829"/>
      <c r="CD649" s="829"/>
      <c r="CE649" s="829"/>
      <c r="CF649" s="830"/>
      <c r="CG649" s="831"/>
      <c r="CH649" s="831"/>
      <c r="CI649" s="831"/>
      <c r="CJ649" s="831"/>
      <c r="CK649" s="830"/>
      <c r="CL649" s="831"/>
      <c r="CM649" s="831"/>
      <c r="CN649" s="831"/>
      <c r="CO649" s="831"/>
      <c r="CP649" s="830"/>
      <c r="CQ649" s="831"/>
      <c r="CR649" s="831"/>
      <c r="CS649" s="831"/>
      <c r="CT649" s="831"/>
      <c r="CU649" s="830"/>
      <c r="CV649" s="831"/>
      <c r="CW649" s="831"/>
      <c r="CX649" s="831"/>
      <c r="CY649" s="831"/>
      <c r="CZ649" s="830"/>
      <c r="DA649" s="831"/>
      <c r="DB649" s="831"/>
      <c r="DC649" s="831"/>
      <c r="DD649" s="831"/>
      <c r="DE649" s="830"/>
      <c r="DF649" s="831"/>
      <c r="DG649" s="831"/>
      <c r="DH649" s="831"/>
      <c r="DI649" s="2816"/>
      <c r="DJ649" s="830"/>
      <c r="DK649" s="831"/>
      <c r="DL649" s="831"/>
      <c r="DM649" s="831"/>
      <c r="DN649" s="831"/>
      <c r="DO649" s="830"/>
      <c r="DP649" s="831"/>
      <c r="DQ649" s="831"/>
      <c r="DR649" s="831"/>
      <c r="DS649" s="831"/>
      <c r="DT649" s="830"/>
      <c r="DU649" s="831"/>
      <c r="DV649" s="831"/>
      <c r="DW649" s="831"/>
      <c r="DX649" s="831"/>
      <c r="DY649" s="830"/>
    </row>
    <row r="650" spans="1:129" ht="11.25" hidden="1" customHeight="1" outlineLevel="1" x14ac:dyDescent="0.2">
      <c r="A650" s="471"/>
      <c r="B650" s="1008" t="s">
        <v>970</v>
      </c>
      <c r="C650" s="550"/>
      <c r="D650" s="550"/>
      <c r="E650" s="550"/>
      <c r="F650" s="550"/>
      <c r="G650" s="550"/>
      <c r="H650" s="550"/>
      <c r="I650" s="551"/>
      <c r="J650" s="550"/>
      <c r="K650" s="550"/>
      <c r="L650" s="550"/>
      <c r="M650" s="550"/>
      <c r="N650" s="551"/>
      <c r="O650" s="550"/>
      <c r="P650" s="550"/>
      <c r="Q650" s="550"/>
      <c r="R650" s="550"/>
      <c r="S650" s="551"/>
      <c r="T650" s="550"/>
      <c r="U650" s="550"/>
      <c r="V650" s="550"/>
      <c r="W650" s="550"/>
      <c r="X650" s="551"/>
      <c r="Y650" s="550"/>
      <c r="Z650" s="550"/>
      <c r="AA650" s="550"/>
      <c r="AB650" s="550"/>
      <c r="AC650" s="551"/>
      <c r="AD650" s="550"/>
      <c r="AE650" s="550"/>
      <c r="AF650" s="550"/>
      <c r="AG650" s="550"/>
      <c r="AH650" s="551"/>
      <c r="AI650" s="550"/>
      <c r="AJ650" s="550"/>
      <c r="AK650" s="550"/>
      <c r="AL650" s="550"/>
      <c r="AM650" s="551"/>
      <c r="AN650" s="550"/>
      <c r="AO650" s="550"/>
      <c r="AP650" s="550"/>
      <c r="AQ650" s="550"/>
      <c r="AR650" s="551"/>
      <c r="AS650" s="550"/>
      <c r="AT650" s="550"/>
      <c r="AU650" s="550"/>
      <c r="AV650" s="550"/>
      <c r="AW650" s="551"/>
      <c r="AX650" s="550"/>
      <c r="AY650" s="550"/>
      <c r="AZ650" s="550"/>
      <c r="BA650" s="550"/>
      <c r="BB650" s="551"/>
      <c r="BC650" s="550"/>
      <c r="BD650" s="550"/>
      <c r="BE650" s="550"/>
      <c r="BF650" s="550"/>
      <c r="BG650" s="551"/>
      <c r="BH650" s="550"/>
      <c r="BI650" s="550"/>
      <c r="BJ650" s="550"/>
      <c r="BK650" s="552">
        <v>775</v>
      </c>
      <c r="BL650" s="595">
        <v>1000</v>
      </c>
      <c r="BM650" s="552">
        <v>555.4</v>
      </c>
      <c r="BN650" s="550"/>
      <c r="BO650" s="550"/>
      <c r="BP650" s="550"/>
      <c r="BQ650" s="595">
        <v>1800</v>
      </c>
      <c r="BR650" s="552">
        <v>244.1</v>
      </c>
      <c r="BS650" s="550"/>
      <c r="BT650" s="550"/>
      <c r="BU650" s="550"/>
      <c r="BV650" s="551"/>
      <c r="BW650" s="550"/>
      <c r="BX650" s="550"/>
      <c r="BY650" s="550"/>
      <c r="BZ650" s="550"/>
      <c r="CA650" s="551"/>
      <c r="CB650" s="550"/>
      <c r="CC650" s="550"/>
      <c r="CD650" s="550"/>
      <c r="CE650" s="550"/>
      <c r="CF650" s="551"/>
      <c r="CG650" s="914"/>
      <c r="CH650" s="914"/>
      <c r="CI650" s="914"/>
      <c r="CJ650" s="914"/>
      <c r="CK650" s="551"/>
      <c r="CL650" s="914"/>
      <c r="CM650" s="914"/>
      <c r="CN650" s="914"/>
      <c r="CO650" s="914"/>
      <c r="CP650" s="551"/>
      <c r="CQ650" s="914"/>
      <c r="CR650" s="914"/>
      <c r="CS650" s="914"/>
      <c r="CT650" s="914"/>
      <c r="CU650" s="551"/>
      <c r="CV650" s="914"/>
      <c r="CW650" s="914"/>
      <c r="CX650" s="914"/>
      <c r="CY650" s="914"/>
      <c r="CZ650" s="551"/>
      <c r="DA650" s="914"/>
      <c r="DB650" s="914"/>
      <c r="DC650" s="914"/>
      <c r="DD650" s="914"/>
      <c r="DE650" s="551"/>
      <c r="DF650" s="914"/>
      <c r="DG650" s="914"/>
      <c r="DH650" s="914"/>
      <c r="DI650" s="914"/>
      <c r="DJ650" s="551"/>
      <c r="DK650" s="914"/>
      <c r="DL650" s="914"/>
      <c r="DM650" s="914"/>
      <c r="DN650" s="914"/>
      <c r="DO650" s="551"/>
      <c r="DP650" s="914"/>
      <c r="DQ650" s="914"/>
      <c r="DR650" s="914"/>
      <c r="DS650" s="914"/>
      <c r="DT650" s="551"/>
      <c r="DU650" s="914"/>
      <c r="DV650" s="914"/>
      <c r="DW650" s="914"/>
      <c r="DX650" s="914"/>
      <c r="DY650" s="551"/>
    </row>
    <row r="651" spans="1:129" ht="11.25" hidden="1" customHeight="1" outlineLevel="1" x14ac:dyDescent="0.2">
      <c r="A651" s="471"/>
      <c r="B651" s="1010" t="s">
        <v>971</v>
      </c>
      <c r="I651" s="576"/>
      <c r="N651" s="576"/>
      <c r="S651" s="576"/>
      <c r="X651" s="576"/>
      <c r="AC651" s="576"/>
      <c r="AH651" s="576"/>
      <c r="AM651" s="576"/>
      <c r="AR651" s="576"/>
      <c r="AW651" s="576"/>
      <c r="BB651" s="576"/>
      <c r="BG651" s="576"/>
      <c r="BL651" s="576"/>
      <c r="BQ651" s="576"/>
      <c r="BR651" s="808">
        <v>240</v>
      </c>
      <c r="BS651" s="808">
        <v>972.1</v>
      </c>
      <c r="BT651" s="808">
        <v>1000</v>
      </c>
      <c r="BU651" s="808">
        <f>BU174+800</f>
        <v>991.18427999999994</v>
      </c>
      <c r="BV651" s="576"/>
      <c r="CA651" s="576"/>
      <c r="CF651" s="576"/>
      <c r="CG651" s="914"/>
      <c r="CH651" s="914"/>
      <c r="CI651" s="914"/>
      <c r="CJ651" s="914"/>
      <c r="CK651" s="576"/>
      <c r="CL651" s="914"/>
      <c r="CM651" s="914"/>
      <c r="CN651" s="914"/>
      <c r="CO651" s="914"/>
      <c r="CP651" s="576"/>
      <c r="CQ651" s="914"/>
      <c r="CR651" s="914"/>
      <c r="CS651" s="914"/>
      <c r="CT651" s="914"/>
      <c r="CU651" s="576"/>
      <c r="CV651" s="914"/>
      <c r="CW651" s="914"/>
      <c r="CX651" s="914"/>
      <c r="CY651" s="914"/>
      <c r="CZ651" s="576"/>
      <c r="DA651" s="914"/>
      <c r="DB651" s="914"/>
      <c r="DC651" s="914"/>
      <c r="DD651" s="914"/>
      <c r="DE651" s="576"/>
      <c r="DF651" s="914"/>
      <c r="DG651" s="914"/>
      <c r="DH651" s="914"/>
      <c r="DI651" s="914"/>
      <c r="DJ651" s="576"/>
      <c r="DK651" s="914"/>
      <c r="DL651" s="914"/>
      <c r="DM651" s="914"/>
      <c r="DN651" s="914"/>
      <c r="DO651" s="576"/>
      <c r="DP651" s="914"/>
      <c r="DQ651" s="914"/>
      <c r="DR651" s="914"/>
      <c r="DS651" s="914"/>
      <c r="DT651" s="576"/>
      <c r="DU651" s="914"/>
      <c r="DV651" s="914"/>
      <c r="DW651" s="914"/>
      <c r="DX651" s="914"/>
      <c r="DY651" s="576"/>
    </row>
    <row r="652" spans="1:129" ht="11.25" hidden="1" customHeight="1" outlineLevel="1" x14ac:dyDescent="0.2">
      <c r="A652" s="471"/>
      <c r="B652" s="1011" t="s">
        <v>970</v>
      </c>
      <c r="I652" s="576"/>
      <c r="N652" s="576"/>
      <c r="S652" s="576"/>
      <c r="X652" s="576"/>
      <c r="AC652" s="576"/>
      <c r="AH652" s="576"/>
      <c r="AM652" s="576"/>
      <c r="AR652" s="576"/>
      <c r="AW652" s="576"/>
      <c r="BB652" s="576"/>
      <c r="BG652" s="576"/>
      <c r="BL652" s="576"/>
      <c r="BQ652" s="576"/>
      <c r="BV652" s="810">
        <f>SUM(BR652:BU652)</f>
        <v>0</v>
      </c>
      <c r="CA652" s="576"/>
      <c r="CF652" s="576"/>
      <c r="CG652" s="914"/>
      <c r="CH652" s="914"/>
      <c r="CI652" s="914"/>
      <c r="CJ652" s="914"/>
      <c r="CK652" s="576"/>
      <c r="CL652" s="914"/>
      <c r="CM652" s="914"/>
      <c r="CN652" s="914"/>
      <c r="CO652" s="914"/>
      <c r="CP652" s="576"/>
      <c r="CQ652" s="914"/>
      <c r="CR652" s="914"/>
      <c r="CS652" s="914"/>
      <c r="CT652" s="914"/>
      <c r="CU652" s="576"/>
      <c r="CV652" s="914"/>
      <c r="CW652" s="914"/>
      <c r="CX652" s="914"/>
      <c r="CY652" s="914"/>
      <c r="CZ652" s="576"/>
      <c r="DA652" s="914"/>
      <c r="DB652" s="914"/>
      <c r="DC652" s="914"/>
      <c r="DD652" s="914"/>
      <c r="DE652" s="576"/>
      <c r="DF652" s="914"/>
      <c r="DG652" s="914"/>
      <c r="DH652" s="914"/>
      <c r="DI652" s="914"/>
      <c r="DJ652" s="576"/>
      <c r="DK652" s="914"/>
      <c r="DL652" s="914"/>
      <c r="DM652" s="914"/>
      <c r="DN652" s="914"/>
      <c r="DO652" s="576"/>
      <c r="DP652" s="914"/>
      <c r="DQ652" s="914"/>
      <c r="DR652" s="914"/>
      <c r="DS652" s="914"/>
      <c r="DT652" s="576"/>
      <c r="DU652" s="914"/>
      <c r="DV652" s="914"/>
      <c r="DW652" s="914"/>
      <c r="DX652" s="914"/>
      <c r="DY652" s="576"/>
    </row>
    <row r="653" spans="1:129" ht="11.25" hidden="1" customHeight="1" outlineLevel="1" x14ac:dyDescent="0.2">
      <c r="A653" s="825"/>
      <c r="B653" s="826"/>
      <c r="C653" s="827"/>
      <c r="D653" s="828"/>
      <c r="E653" s="829"/>
      <c r="F653" s="829"/>
      <c r="G653" s="829"/>
      <c r="H653" s="829"/>
      <c r="I653" s="830"/>
      <c r="J653" s="829"/>
      <c r="K653" s="829"/>
      <c r="L653" s="829"/>
      <c r="M653" s="829"/>
      <c r="N653" s="830"/>
      <c r="O653" s="829"/>
      <c r="P653" s="829"/>
      <c r="Q653" s="829"/>
      <c r="R653" s="829"/>
      <c r="S653" s="830"/>
      <c r="T653" s="829"/>
      <c r="U653" s="829"/>
      <c r="V653" s="829"/>
      <c r="W653" s="829"/>
      <c r="X653" s="830"/>
      <c r="Y653" s="829"/>
      <c r="Z653" s="829"/>
      <c r="AA653" s="829"/>
      <c r="AB653" s="829"/>
      <c r="AC653" s="830"/>
      <c r="AD653" s="829"/>
      <c r="AE653" s="829"/>
      <c r="AF653" s="829"/>
      <c r="AG653" s="829"/>
      <c r="AH653" s="830"/>
      <c r="AI653" s="829"/>
      <c r="AJ653" s="829"/>
      <c r="AK653" s="829"/>
      <c r="AL653" s="829"/>
      <c r="AM653" s="830"/>
      <c r="AN653" s="829"/>
      <c r="AO653" s="829"/>
      <c r="AP653" s="829"/>
      <c r="AQ653" s="829"/>
      <c r="AR653" s="830"/>
      <c r="AS653" s="829"/>
      <c r="AT653" s="829"/>
      <c r="AU653" s="829"/>
      <c r="AV653" s="829"/>
      <c r="AW653" s="830"/>
      <c r="AX653" s="829"/>
      <c r="AY653" s="829"/>
      <c r="AZ653" s="829"/>
      <c r="BA653" s="829"/>
      <c r="BB653" s="830"/>
      <c r="BC653" s="829"/>
      <c r="BD653" s="829"/>
      <c r="BE653" s="829"/>
      <c r="BF653" s="829"/>
      <c r="BG653" s="830"/>
      <c r="BH653" s="829"/>
      <c r="BI653" s="829"/>
      <c r="BJ653" s="829"/>
      <c r="BK653" s="829"/>
      <c r="BL653" s="830"/>
      <c r="BM653" s="829"/>
      <c r="BN653" s="829"/>
      <c r="BO653" s="829"/>
      <c r="BP653" s="829"/>
      <c r="BQ653" s="830"/>
      <c r="BR653" s="829"/>
      <c r="BS653" s="829"/>
      <c r="BT653" s="829"/>
      <c r="BU653" s="829"/>
      <c r="BV653" s="830"/>
      <c r="BW653" s="829"/>
      <c r="BX653" s="829"/>
      <c r="BY653" s="829"/>
      <c r="BZ653" s="829"/>
      <c r="CA653" s="830"/>
      <c r="CB653" s="829"/>
      <c r="CC653" s="829"/>
      <c r="CD653" s="829"/>
      <c r="CE653" s="829"/>
      <c r="CF653" s="830"/>
      <c r="CG653" s="831"/>
      <c r="CH653" s="831"/>
      <c r="CI653" s="831"/>
      <c r="CJ653" s="831"/>
      <c r="CK653" s="830"/>
      <c r="CL653" s="831"/>
      <c r="CM653" s="831"/>
      <c r="CN653" s="831"/>
      <c r="CO653" s="831"/>
      <c r="CP653" s="830"/>
      <c r="CQ653" s="831"/>
      <c r="CR653" s="831"/>
      <c r="CS653" s="831"/>
      <c r="CT653" s="831"/>
      <c r="CU653" s="830"/>
      <c r="CV653" s="831"/>
      <c r="CW653" s="831"/>
      <c r="CX653" s="831"/>
      <c r="CY653" s="831"/>
      <c r="CZ653" s="830"/>
      <c r="DA653" s="831"/>
      <c r="DB653" s="831"/>
      <c r="DC653" s="831"/>
      <c r="DD653" s="831"/>
      <c r="DE653" s="830"/>
      <c r="DF653" s="831"/>
      <c r="DG653" s="831"/>
      <c r="DH653" s="831"/>
      <c r="DI653" s="2816"/>
      <c r="DJ653" s="830"/>
      <c r="DK653" s="831"/>
      <c r="DL653" s="831"/>
      <c r="DM653" s="831"/>
      <c r="DN653" s="831"/>
      <c r="DO653" s="830"/>
      <c r="DP653" s="831"/>
      <c r="DQ653" s="831"/>
      <c r="DR653" s="831"/>
      <c r="DS653" s="831"/>
      <c r="DT653" s="830"/>
      <c r="DU653" s="831"/>
      <c r="DV653" s="831"/>
      <c r="DW653" s="831"/>
      <c r="DX653" s="831"/>
      <c r="DY653" s="830"/>
    </row>
    <row r="654" spans="1:129" ht="11.25" hidden="1" customHeight="1" outlineLevel="1" x14ac:dyDescent="0.2">
      <c r="A654" s="471"/>
      <c r="B654" s="693" t="s">
        <v>972</v>
      </c>
      <c r="C654" s="550"/>
      <c r="D654" s="550"/>
      <c r="E654" s="550"/>
      <c r="F654" s="550"/>
      <c r="G654" s="550"/>
      <c r="H654" s="550"/>
      <c r="I654" s="551"/>
      <c r="J654" s="550"/>
      <c r="K654" s="550"/>
      <c r="L654" s="550"/>
      <c r="M654" s="550"/>
      <c r="N654" s="551"/>
      <c r="O654" s="550"/>
      <c r="P654" s="550"/>
      <c r="Q654" s="550"/>
      <c r="R654" s="550"/>
      <c r="S654" s="551"/>
      <c r="T654" s="550"/>
      <c r="U654" s="550"/>
      <c r="V654" s="550"/>
      <c r="W654" s="550"/>
      <c r="X654" s="551"/>
      <c r="Y654" s="550"/>
      <c r="Z654" s="550"/>
      <c r="AA654" s="550"/>
      <c r="AB654" s="550"/>
      <c r="AC654" s="551"/>
      <c r="AD654" s="550"/>
      <c r="AE654" s="550"/>
      <c r="AF654" s="550"/>
      <c r="AG654" s="550"/>
      <c r="AH654" s="551"/>
      <c r="AI654" s="550"/>
      <c r="AJ654" s="550"/>
      <c r="AK654" s="550"/>
      <c r="AL654" s="550"/>
      <c r="AM654" s="551"/>
      <c r="AN654" s="550"/>
      <c r="AO654" s="550"/>
      <c r="AP654" s="550"/>
      <c r="AQ654" s="550"/>
      <c r="AR654" s="551"/>
      <c r="AS654" s="550"/>
      <c r="AT654" s="550"/>
      <c r="AU654" s="550"/>
      <c r="AV654" s="550"/>
      <c r="AW654" s="551"/>
      <c r="AX654" s="550"/>
      <c r="AY654" s="550"/>
      <c r="AZ654" s="550"/>
      <c r="BA654" s="550"/>
      <c r="BB654" s="551"/>
      <c r="BC654" s="550"/>
      <c r="BD654" s="550"/>
      <c r="BE654" s="550"/>
      <c r="BF654" s="550"/>
      <c r="BG654" s="551"/>
      <c r="BH654" s="550"/>
      <c r="BI654" s="550"/>
      <c r="BJ654" s="550"/>
      <c r="BK654" s="550"/>
      <c r="BL654" s="553">
        <f>BL14-BL645-BL650-BL652</f>
        <v>33938.399999999994</v>
      </c>
      <c r="BM654" s="574">
        <f>BM14-BM645-BM650-BM651-BM652</f>
        <v>10209.299999999999</v>
      </c>
      <c r="BN654" s="574">
        <f>BN14-BN645-BN650-BN651-BN652</f>
        <v>10656.800000000001</v>
      </c>
      <c r="BO654" s="574">
        <f>BO14-BO645-BO650-BO651-BO652</f>
        <v>10563.399999999998</v>
      </c>
      <c r="BP654" s="574">
        <f>BP14-BP645-BP650-BP651-BP652</f>
        <v>11289.300000000001</v>
      </c>
      <c r="BQ654" s="553">
        <f>BQ14-BQ645-BQ650-BQ652</f>
        <v>41474.199999999997</v>
      </c>
      <c r="BR654" s="574">
        <f>BR14-BR645-BR650-BR651-BR652</f>
        <v>11188.7</v>
      </c>
      <c r="BS654" s="574">
        <f>BS14-BS645-BS650-BS651-BS652</f>
        <v>12035.799999999997</v>
      </c>
      <c r="BT654" s="574">
        <f>BT14-BT645-BT650-BT651-BT652</f>
        <v>11894.300000000001</v>
      </c>
      <c r="BU654" s="574">
        <f>BU14-BU645-BU650-BU651-BU652</f>
        <v>12500.815720000001</v>
      </c>
      <c r="BV654" s="553">
        <f>BV14-BV645-BV650-BV652</f>
        <v>51065</v>
      </c>
      <c r="BW654" s="550"/>
      <c r="BX654" s="550"/>
      <c r="BY654" s="550"/>
      <c r="BZ654" s="550"/>
      <c r="CA654" s="553">
        <f>CA14-CA645-CA650-CA652</f>
        <v>47779</v>
      </c>
      <c r="CB654" s="550"/>
      <c r="CC654" s="550"/>
      <c r="CD654" s="550"/>
      <c r="CE654" s="550"/>
      <c r="CF654" s="551">
        <f>CF14-CF645-CF650-CF652</f>
        <v>59274.3</v>
      </c>
      <c r="CG654" s="914"/>
      <c r="CH654" s="914"/>
      <c r="CI654" s="914"/>
      <c r="CJ654" s="914"/>
      <c r="CK654" s="551">
        <f>CK14-CK645-CK650-CK652</f>
        <v>73444</v>
      </c>
      <c r="CL654" s="914"/>
      <c r="CM654" s="914"/>
      <c r="CN654" s="914"/>
      <c r="CO654" s="914"/>
      <c r="CP654" s="551">
        <f>CP14-CP645-CP650-CP652</f>
        <v>76208.399999999994</v>
      </c>
      <c r="CQ654" s="914"/>
      <c r="CR654" s="914"/>
      <c r="CS654" s="914"/>
      <c r="CT654" s="914"/>
      <c r="CU654" s="551">
        <f>CU14-CU645-CU650-CU652</f>
        <v>88439.700000000012</v>
      </c>
      <c r="CV654" s="914"/>
      <c r="CW654" s="914"/>
      <c r="CX654" s="914"/>
      <c r="CY654" s="914"/>
      <c r="CZ654" s="551">
        <f>CZ14-CZ645-CZ650-CZ652</f>
        <v>100362.60173705</v>
      </c>
      <c r="DA654" s="914"/>
      <c r="DB654" s="914"/>
      <c r="DC654" s="914"/>
      <c r="DD654" s="914"/>
      <c r="DE654" s="551">
        <f>DE14-DE645-DE650-DE652</f>
        <v>119963.2</v>
      </c>
      <c r="DF654" s="914"/>
      <c r="DG654" s="914"/>
      <c r="DH654" s="914"/>
      <c r="DI654" s="914"/>
      <c r="DJ654" s="551">
        <f>DJ14-DJ645-DJ650-DJ652</f>
        <v>130596.00030135001</v>
      </c>
      <c r="DK654" s="914"/>
      <c r="DL654" s="914"/>
      <c r="DM654" s="914"/>
      <c r="DN654" s="914"/>
      <c r="DO654" s="551">
        <f ca="1">DO14-DO645-DO650-DO652</f>
        <v>137619.02365837278</v>
      </c>
      <c r="DP654" s="914"/>
      <c r="DQ654" s="914"/>
      <c r="DR654" s="914"/>
      <c r="DS654" s="914"/>
      <c r="DT654" s="551">
        <f ca="1">DT14-DT645-DT650-DT652</f>
        <v>144292.27453455084</v>
      </c>
      <c r="DU654" s="914"/>
      <c r="DV654" s="914"/>
      <c r="DW654" s="914"/>
      <c r="DX654" s="914"/>
      <c r="DY654" s="551">
        <f ca="1">DY14-DY645-DY650-DY652</f>
        <v>150453.44464479323</v>
      </c>
    </row>
    <row r="655" spans="1:129" ht="11.25" hidden="1" customHeight="1" outlineLevel="1" x14ac:dyDescent="0.2">
      <c r="A655" s="473"/>
      <c r="B655" s="765" t="s">
        <v>194</v>
      </c>
      <c r="C655" s="469"/>
      <c r="D655" s="469"/>
      <c r="E655" s="469"/>
      <c r="F655" s="469"/>
      <c r="G655" s="469"/>
      <c r="H655" s="469"/>
      <c r="I655" s="580"/>
      <c r="J655" s="469"/>
      <c r="K655" s="469"/>
      <c r="L655" s="469"/>
      <c r="M655" s="469"/>
      <c r="N655" s="580"/>
      <c r="O655" s="469"/>
      <c r="P655" s="469"/>
      <c r="Q655" s="469"/>
      <c r="R655" s="469"/>
      <c r="S655" s="580"/>
      <c r="T655" s="469"/>
      <c r="U655" s="469"/>
      <c r="V655" s="469"/>
      <c r="W655" s="469"/>
      <c r="X655" s="580"/>
      <c r="Y655" s="469"/>
      <c r="Z655" s="469"/>
      <c r="AA655" s="469"/>
      <c r="AB655" s="469"/>
      <c r="AC655" s="580"/>
      <c r="AD655" s="469"/>
      <c r="AE655" s="469"/>
      <c r="AF655" s="469"/>
      <c r="AG655" s="469"/>
      <c r="AH655" s="580"/>
      <c r="AI655" s="469"/>
      <c r="AJ655" s="469"/>
      <c r="AK655" s="469"/>
      <c r="AL655" s="469"/>
      <c r="AM655" s="580"/>
      <c r="AN655" s="469"/>
      <c r="AO655" s="469"/>
      <c r="AP655" s="469"/>
      <c r="AQ655" s="469"/>
      <c r="AR655" s="580"/>
      <c r="AS655" s="469"/>
      <c r="AT655" s="469"/>
      <c r="AU655" s="469"/>
      <c r="AV655" s="469"/>
      <c r="AW655" s="580"/>
      <c r="AX655" s="469"/>
      <c r="AY655" s="469"/>
      <c r="AZ655" s="469"/>
      <c r="BA655" s="469"/>
      <c r="BB655" s="580"/>
      <c r="BC655" s="469"/>
      <c r="BD655" s="469"/>
      <c r="BE655" s="469"/>
      <c r="BF655" s="469"/>
      <c r="BG655" s="580"/>
      <c r="BH655" s="469"/>
      <c r="BI655" s="469"/>
      <c r="BJ655" s="469"/>
      <c r="BK655" s="469"/>
      <c r="BL655" s="582">
        <f t="shared" ref="BL655:BV655" si="605">BL654/BG14-1</f>
        <v>8.1941592392923912</v>
      </c>
      <c r="BM655" s="581">
        <f t="shared" si="605"/>
        <v>3.8470303375587518</v>
      </c>
      <c r="BN655" s="581">
        <f t="shared" si="605"/>
        <v>9.7308155124549156E-3</v>
      </c>
      <c r="BO655" s="581">
        <f t="shared" si="605"/>
        <v>-9.3035469772853041E-3</v>
      </c>
      <c r="BP655" s="581">
        <f t="shared" si="605"/>
        <v>-2.773997967514652E-2</v>
      </c>
      <c r="BQ655" s="582">
        <f t="shared" si="605"/>
        <v>0.18706637968538931</v>
      </c>
      <c r="BR655" s="581">
        <f t="shared" si="605"/>
        <v>3.9387999665573714E-2</v>
      </c>
      <c r="BS655" s="581">
        <f t="shared" si="605"/>
        <v>0.12940094587493389</v>
      </c>
      <c r="BT655" s="581">
        <f t="shared" si="605"/>
        <v>0.1259916314822882</v>
      </c>
      <c r="BU655" s="581">
        <f t="shared" si="605"/>
        <v>6.0802569520463701E-2</v>
      </c>
      <c r="BV655" s="582">
        <f t="shared" si="605"/>
        <v>0.16668799064182127</v>
      </c>
      <c r="BW655" s="469"/>
      <c r="BX655" s="469"/>
      <c r="BY655" s="469"/>
      <c r="BZ655" s="469"/>
      <c r="CA655" s="582">
        <f>CA654/BV14-1</f>
        <v>-6.4349358660530709E-2</v>
      </c>
      <c r="CB655" s="469"/>
      <c r="CC655" s="469"/>
      <c r="CD655" s="469"/>
      <c r="CE655" s="469"/>
      <c r="CF655" s="580">
        <f>CF654/CA14-1</f>
        <v>0.24059314761715411</v>
      </c>
      <c r="CG655" s="724"/>
      <c r="CH655" s="724"/>
      <c r="CI655" s="724"/>
      <c r="CJ655" s="724"/>
      <c r="CK655" s="580">
        <f>CK654/CF14-1</f>
        <v>0.23905301285717417</v>
      </c>
      <c r="CL655" s="724"/>
      <c r="CM655" s="724"/>
      <c r="CN655" s="724"/>
      <c r="CO655" s="724"/>
      <c r="CP655" s="580">
        <f>CP654/CK14-1</f>
        <v>3.7639562115353131E-2</v>
      </c>
      <c r="CQ655" s="724"/>
      <c r="CR655" s="724"/>
      <c r="CS655" s="724"/>
      <c r="CT655" s="724"/>
      <c r="CU655" s="580">
        <f>CU654/CP14-1</f>
        <v>0.16049805533248329</v>
      </c>
      <c r="CV655" s="724"/>
      <c r="CW655" s="724"/>
      <c r="CX655" s="724"/>
      <c r="CY655" s="724"/>
      <c r="CZ655" s="580">
        <f>CZ654/CU14-1</f>
        <v>0.13481390978316288</v>
      </c>
      <c r="DA655" s="724"/>
      <c r="DB655" s="724"/>
      <c r="DC655" s="724"/>
      <c r="DD655" s="724"/>
      <c r="DE655" s="580">
        <f>DE654/CZ14-1</f>
        <v>0.1952978293080081</v>
      </c>
      <c r="DF655" s="724"/>
      <c r="DG655" s="724"/>
      <c r="DH655" s="724"/>
      <c r="DI655" s="724"/>
      <c r="DJ655" s="580">
        <f>DJ654/DE14-1</f>
        <v>8.8633850225319222E-2</v>
      </c>
      <c r="DK655" s="724"/>
      <c r="DL655" s="724"/>
      <c r="DM655" s="724"/>
      <c r="DN655" s="724"/>
      <c r="DO655" s="580">
        <f ca="1">DO654/DJ14-1</f>
        <v>5.3776710931553451E-2</v>
      </c>
      <c r="DP655" s="724"/>
      <c r="DQ655" s="724"/>
      <c r="DR655" s="724"/>
      <c r="DS655" s="724"/>
      <c r="DT655" s="580">
        <f ca="1">DT654/DO14-1</f>
        <v>4.8490758753992003E-2</v>
      </c>
      <c r="DU655" s="724"/>
      <c r="DV655" s="724"/>
      <c r="DW655" s="724"/>
      <c r="DX655" s="724"/>
      <c r="DY655" s="580">
        <f ca="1">DY654/DT14-1</f>
        <v>4.2699237572605409E-2</v>
      </c>
    </row>
    <row r="656" spans="1:129" ht="6" hidden="1" customHeight="1" outlineLevel="1" x14ac:dyDescent="0.2">
      <c r="A656" s="473"/>
      <c r="B656" s="765"/>
      <c r="C656" s="469"/>
      <c r="D656" s="469"/>
      <c r="E656" s="469"/>
      <c r="F656" s="469"/>
      <c r="G656" s="469"/>
      <c r="H656" s="469"/>
      <c r="I656" s="580"/>
      <c r="J656" s="469"/>
      <c r="K656" s="469"/>
      <c r="L656" s="469"/>
      <c r="M656" s="469"/>
      <c r="N656" s="580"/>
      <c r="O656" s="469"/>
      <c r="P656" s="469"/>
      <c r="Q656" s="469"/>
      <c r="R656" s="469"/>
      <c r="S656" s="580"/>
      <c r="T656" s="469"/>
      <c r="U656" s="469"/>
      <c r="V656" s="469"/>
      <c r="W656" s="469"/>
      <c r="X656" s="580"/>
      <c r="Y656" s="469"/>
      <c r="Z656" s="469"/>
      <c r="AA656" s="469"/>
      <c r="AB656" s="469"/>
      <c r="AC656" s="580"/>
      <c r="AD656" s="469"/>
      <c r="AE656" s="469"/>
      <c r="AF656" s="469"/>
      <c r="AG656" s="469"/>
      <c r="AH656" s="580"/>
      <c r="AI656" s="469"/>
      <c r="AJ656" s="469"/>
      <c r="AK656" s="469"/>
      <c r="AL656" s="469"/>
      <c r="AM656" s="580"/>
      <c r="AN656" s="469"/>
      <c r="AO656" s="469"/>
      <c r="AP656" s="469"/>
      <c r="AQ656" s="469"/>
      <c r="AR656" s="580"/>
      <c r="AS656" s="469"/>
      <c r="AT656" s="469"/>
      <c r="AU656" s="469"/>
      <c r="AV656" s="469"/>
      <c r="AW656" s="580"/>
      <c r="AX656" s="469"/>
      <c r="AY656" s="469"/>
      <c r="AZ656" s="469"/>
      <c r="BA656" s="469"/>
      <c r="BB656" s="580"/>
      <c r="BC656" s="469"/>
      <c r="BD656" s="469"/>
      <c r="BE656" s="469"/>
      <c r="BF656" s="469"/>
      <c r="BG656" s="580"/>
      <c r="BH656" s="469"/>
      <c r="BI656" s="469"/>
      <c r="BJ656" s="469"/>
      <c r="BK656" s="469"/>
      <c r="BL656" s="580"/>
      <c r="BM656" s="469"/>
      <c r="BN656" s="469"/>
      <c r="BO656" s="469"/>
      <c r="BP656" s="469"/>
      <c r="BQ656" s="580"/>
      <c r="BR656" s="469"/>
      <c r="BS656" s="469"/>
      <c r="BT656" s="469"/>
      <c r="BU656" s="469"/>
      <c r="BV656" s="580"/>
      <c r="BW656" s="469"/>
      <c r="BX656" s="469"/>
      <c r="BY656" s="469"/>
      <c r="BZ656" s="469"/>
      <c r="CA656" s="580"/>
      <c r="CB656" s="469"/>
      <c r="CC656" s="469"/>
      <c r="CD656" s="469"/>
      <c r="CE656" s="469"/>
      <c r="CF656" s="580"/>
      <c r="CG656" s="724"/>
      <c r="CH656" s="724"/>
      <c r="CI656" s="724"/>
      <c r="CJ656" s="724"/>
      <c r="CK656" s="580"/>
      <c r="CL656" s="724"/>
      <c r="CM656" s="724"/>
      <c r="CN656" s="724"/>
      <c r="CO656" s="724"/>
      <c r="CP656" s="580"/>
      <c r="CQ656" s="724"/>
      <c r="CR656" s="724"/>
      <c r="CS656" s="724"/>
      <c r="CT656" s="724"/>
      <c r="CU656" s="580"/>
      <c r="CV656" s="724"/>
      <c r="CW656" s="724"/>
      <c r="CX656" s="724"/>
      <c r="CY656" s="724"/>
      <c r="CZ656" s="580"/>
      <c r="DA656" s="724"/>
      <c r="DB656" s="724"/>
      <c r="DC656" s="724"/>
      <c r="DD656" s="724"/>
      <c r="DE656" s="580"/>
      <c r="DF656" s="724"/>
      <c r="DG656" s="724"/>
      <c r="DH656" s="724"/>
      <c r="DI656" s="724"/>
      <c r="DJ656" s="580"/>
      <c r="DK656" s="724"/>
      <c r="DL656" s="724"/>
      <c r="DM656" s="724"/>
      <c r="DN656" s="724"/>
      <c r="DO656" s="580"/>
      <c r="DP656" s="724"/>
      <c r="DQ656" s="724"/>
      <c r="DR656" s="724"/>
      <c r="DS656" s="724"/>
      <c r="DT656" s="580"/>
      <c r="DU656" s="724"/>
      <c r="DV656" s="724"/>
      <c r="DW656" s="724"/>
      <c r="DX656" s="724"/>
      <c r="DY656" s="580"/>
    </row>
    <row r="657" spans="1:129" ht="11.25" hidden="1" customHeight="1" outlineLevel="1" x14ac:dyDescent="0.2">
      <c r="A657" s="473"/>
      <c r="B657" s="1010" t="s">
        <v>973</v>
      </c>
      <c r="C657" s="469"/>
      <c r="D657" s="469"/>
      <c r="E657" s="469"/>
      <c r="F657" s="469"/>
      <c r="G657" s="469"/>
      <c r="H657" s="469"/>
      <c r="I657" s="580"/>
      <c r="J657" s="469"/>
      <c r="K657" s="469"/>
      <c r="L657" s="469"/>
      <c r="M657" s="469"/>
      <c r="N657" s="580"/>
      <c r="O657" s="469"/>
      <c r="P657" s="469"/>
      <c r="Q657" s="469"/>
      <c r="R657" s="469"/>
      <c r="S657" s="580"/>
      <c r="T657" s="469"/>
      <c r="U657" s="469"/>
      <c r="V657" s="469"/>
      <c r="W657" s="469"/>
      <c r="X657" s="580"/>
      <c r="Y657" s="469"/>
      <c r="Z657" s="469"/>
      <c r="AA657" s="469"/>
      <c r="AB657" s="469"/>
      <c r="AC657" s="580"/>
      <c r="AD657" s="469"/>
      <c r="AE657" s="469"/>
      <c r="AF657" s="469"/>
      <c r="AG657" s="469"/>
      <c r="AH657" s="580"/>
      <c r="AI657" s="469"/>
      <c r="AJ657" s="469"/>
      <c r="AK657" s="469"/>
      <c r="AL657" s="469"/>
      <c r="AM657" s="580"/>
      <c r="AN657" s="469"/>
      <c r="AO657" s="469"/>
      <c r="AP657" s="469"/>
      <c r="AQ657" s="469"/>
      <c r="AR657" s="580"/>
      <c r="AS657" s="469"/>
      <c r="AT657" s="469"/>
      <c r="AU657" s="469"/>
      <c r="AV657" s="469"/>
      <c r="AW657" s="580"/>
      <c r="AX657" s="469"/>
      <c r="AY657" s="469"/>
      <c r="AZ657" s="469"/>
      <c r="BA657" s="469"/>
      <c r="BB657" s="580"/>
      <c r="BC657" s="469"/>
      <c r="BD657" s="469"/>
      <c r="BE657" s="469"/>
      <c r="BF657" s="469"/>
      <c r="BG657" s="580"/>
      <c r="BH657" s="469"/>
      <c r="BI657" s="469"/>
      <c r="BJ657" s="469"/>
      <c r="BK657" s="469"/>
      <c r="BL657" s="580"/>
      <c r="BM657" s="469"/>
      <c r="BN657" s="469"/>
      <c r="BO657" s="469"/>
      <c r="BP657" s="469"/>
      <c r="BQ657" s="580"/>
      <c r="BR657" s="601">
        <v>4.2000000000000003E-2</v>
      </c>
      <c r="BS657" s="468"/>
      <c r="BT657" s="601">
        <v>3.7999999999999999E-2</v>
      </c>
      <c r="BU657" s="468"/>
      <c r="BV657" s="580"/>
      <c r="BW657" s="469"/>
      <c r="BX657" s="469"/>
      <c r="BY657" s="469"/>
      <c r="BZ657" s="469"/>
      <c r="CA657" s="580"/>
      <c r="CB657" s="469"/>
      <c r="CC657" s="469"/>
      <c r="CD657" s="469"/>
      <c r="CE657" s="469"/>
      <c r="CF657" s="580"/>
      <c r="CG657" s="724"/>
      <c r="CH657" s="724"/>
      <c r="CI657" s="724"/>
      <c r="CJ657" s="724"/>
      <c r="CK657" s="580"/>
      <c r="CL657" s="724"/>
      <c r="CM657" s="724"/>
      <c r="CN657" s="724"/>
      <c r="CO657" s="724"/>
      <c r="CP657" s="580"/>
      <c r="CQ657" s="724"/>
      <c r="CR657" s="724"/>
      <c r="CS657" s="724"/>
      <c r="CT657" s="724"/>
      <c r="CU657" s="580"/>
      <c r="CV657" s="724"/>
      <c r="CW657" s="724"/>
      <c r="CX657" s="724"/>
      <c r="CY657" s="724"/>
      <c r="CZ657" s="580"/>
      <c r="DA657" s="724"/>
      <c r="DB657" s="724"/>
      <c r="DC657" s="724"/>
      <c r="DD657" s="724"/>
      <c r="DE657" s="580"/>
      <c r="DF657" s="724"/>
      <c r="DG657" s="724"/>
      <c r="DH657" s="724"/>
      <c r="DI657" s="724"/>
      <c r="DJ657" s="580"/>
      <c r="DK657" s="724"/>
      <c r="DL657" s="724"/>
      <c r="DM657" s="724"/>
      <c r="DN657" s="724"/>
      <c r="DO657" s="580"/>
      <c r="DP657" s="724"/>
      <c r="DQ657" s="724"/>
      <c r="DR657" s="724"/>
      <c r="DS657" s="724"/>
      <c r="DT657" s="580"/>
      <c r="DU657" s="724"/>
      <c r="DV657" s="724"/>
      <c r="DW657" s="724"/>
      <c r="DX657" s="724"/>
      <c r="DY657" s="580"/>
    </row>
    <row r="658" spans="1:129" hidden="1" outlineLevel="1" x14ac:dyDescent="0.2">
      <c r="A658" s="473"/>
      <c r="B658" s="765" t="s">
        <v>974</v>
      </c>
      <c r="C658" s="469"/>
      <c r="D658" s="469"/>
      <c r="E658" s="469"/>
      <c r="F658" s="469"/>
      <c r="G658" s="469"/>
      <c r="H658" s="469"/>
      <c r="I658" s="580"/>
      <c r="J658" s="469"/>
      <c r="K658" s="469"/>
      <c r="L658" s="469"/>
      <c r="M658" s="469"/>
      <c r="N658" s="580"/>
      <c r="O658" s="469"/>
      <c r="P658" s="469"/>
      <c r="Q658" s="469"/>
      <c r="R658" s="469"/>
      <c r="S658" s="580"/>
      <c r="T658" s="469"/>
      <c r="U658" s="469"/>
      <c r="V658" s="469"/>
      <c r="W658" s="469"/>
      <c r="X658" s="580"/>
      <c r="Y658" s="469"/>
      <c r="Z658" s="469"/>
      <c r="AA658" s="469"/>
      <c r="AB658" s="469"/>
      <c r="AC658" s="580"/>
      <c r="AD658" s="469"/>
      <c r="AE658" s="469"/>
      <c r="AF658" s="469"/>
      <c r="AG658" s="469"/>
      <c r="AH658" s="580"/>
      <c r="AI658" s="469"/>
      <c r="AJ658" s="469"/>
      <c r="AK658" s="469"/>
      <c r="AL658" s="469"/>
      <c r="AM658" s="580"/>
      <c r="AN658" s="469"/>
      <c r="AO658" s="469"/>
      <c r="AP658" s="469"/>
      <c r="AQ658" s="469"/>
      <c r="AR658" s="580"/>
      <c r="AS658" s="469"/>
      <c r="AT658" s="469"/>
      <c r="AU658" s="469"/>
      <c r="AV658" s="469"/>
      <c r="AW658" s="580"/>
      <c r="AX658" s="469"/>
      <c r="AY658" s="469"/>
      <c r="AZ658" s="469"/>
      <c r="BA658" s="469"/>
      <c r="BB658" s="580"/>
      <c r="BC658" s="469"/>
      <c r="BD658" s="469"/>
      <c r="BE658" s="469"/>
      <c r="BF658" s="469"/>
      <c r="BG658" s="580"/>
      <c r="BH658" s="469"/>
      <c r="BI658" s="469"/>
      <c r="BJ658" s="469"/>
      <c r="BK658" s="469"/>
      <c r="BL658" s="580"/>
      <c r="BM658" s="581">
        <f>BM655+BM657</f>
        <v>3.8470303375587518</v>
      </c>
      <c r="BN658" s="581">
        <f>BN655+BN657</f>
        <v>9.7308155124549156E-3</v>
      </c>
      <c r="BO658" s="581">
        <f>BO655+BO657</f>
        <v>-9.3035469772853041E-3</v>
      </c>
      <c r="BP658" s="581">
        <f>BP655+BP657</f>
        <v>-2.773997967514652E-2</v>
      </c>
      <c r="BQ658" s="580"/>
      <c r="BR658" s="581">
        <f>BR655+BR657</f>
        <v>8.1387999665573724E-2</v>
      </c>
      <c r="BS658" s="581">
        <f>BS655+BS657</f>
        <v>0.12940094587493389</v>
      </c>
      <c r="BT658" s="581">
        <f>BT655+BT657</f>
        <v>0.16399163148228821</v>
      </c>
      <c r="BU658" s="581">
        <f>BU655+BU657</f>
        <v>6.0802569520463701E-2</v>
      </c>
      <c r="BV658" s="580"/>
      <c r="BW658" s="469"/>
      <c r="BX658" s="469"/>
      <c r="BY658" s="469"/>
      <c r="BZ658" s="469"/>
      <c r="CA658" s="580"/>
      <c r="CB658" s="469"/>
      <c r="CC658" s="469"/>
      <c r="CD658" s="469"/>
      <c r="CE658" s="469"/>
      <c r="CF658" s="580"/>
      <c r="CG658" s="724"/>
      <c r="CH658" s="724"/>
      <c r="CI658" s="724"/>
      <c r="CJ658" s="724"/>
      <c r="CK658" s="580"/>
      <c r="CL658" s="724"/>
      <c r="CM658" s="724"/>
      <c r="CN658" s="724"/>
      <c r="CO658" s="724"/>
      <c r="CP658" s="580"/>
      <c r="CQ658" s="724"/>
      <c r="CR658" s="724"/>
      <c r="CS658" s="724"/>
      <c r="CT658" s="724"/>
      <c r="CU658" s="580"/>
      <c r="CV658" s="724"/>
      <c r="CW658" s="724"/>
      <c r="CX658" s="724"/>
      <c r="CY658" s="724"/>
      <c r="CZ658" s="580"/>
      <c r="DA658" s="724"/>
      <c r="DB658" s="724"/>
      <c r="DC658" s="724"/>
      <c r="DD658" s="724"/>
      <c r="DE658" s="580"/>
      <c r="DF658" s="724"/>
      <c r="DG658" s="724"/>
      <c r="DH658" s="724"/>
      <c r="DI658" s="724"/>
      <c r="DJ658" s="580"/>
      <c r="DK658" s="724"/>
      <c r="DL658" s="724"/>
      <c r="DM658" s="724"/>
      <c r="DN658" s="724"/>
      <c r="DO658" s="580"/>
      <c r="DP658" s="724"/>
      <c r="DQ658" s="724"/>
      <c r="DR658" s="724"/>
      <c r="DS658" s="724"/>
      <c r="DT658" s="580"/>
      <c r="DU658" s="724"/>
      <c r="DV658" s="724"/>
      <c r="DW658" s="724"/>
      <c r="DX658" s="724"/>
      <c r="DY658" s="580"/>
    </row>
    <row r="659" spans="1:129" ht="12" hidden="1" outlineLevel="1" thickBot="1" x14ac:dyDescent="0.25">
      <c r="A659" s="526"/>
      <c r="B659" s="757"/>
      <c r="C659" s="758"/>
      <c r="D659" s="758"/>
      <c r="E659" s="760"/>
      <c r="F659" s="760"/>
      <c r="G659" s="760"/>
      <c r="H659" s="760"/>
      <c r="I659" s="759"/>
      <c r="J659" s="760"/>
      <c r="K659" s="760"/>
      <c r="L659" s="760"/>
      <c r="M659" s="760"/>
      <c r="N659" s="759"/>
      <c r="O659" s="760"/>
      <c r="P659" s="760"/>
      <c r="Q659" s="760"/>
      <c r="R659" s="760"/>
      <c r="S659" s="759"/>
      <c r="T659" s="760"/>
      <c r="U659" s="760"/>
      <c r="V659" s="760"/>
      <c r="W659" s="760"/>
      <c r="X659" s="759"/>
      <c r="Y659" s="760"/>
      <c r="Z659" s="760"/>
      <c r="AA659" s="760"/>
      <c r="AB659" s="760"/>
      <c r="AC659" s="759"/>
      <c r="AD659" s="760"/>
      <c r="AE659" s="760"/>
      <c r="AF659" s="760"/>
      <c r="AG659" s="760"/>
      <c r="AH659" s="759"/>
      <c r="AI659" s="760"/>
      <c r="AJ659" s="760"/>
      <c r="AK659" s="760"/>
      <c r="AL659" s="760"/>
      <c r="AM659" s="759"/>
      <c r="AN659" s="760"/>
      <c r="AO659" s="760"/>
      <c r="AP659" s="760"/>
      <c r="AQ659" s="760"/>
      <c r="AR659" s="759"/>
      <c r="AS659" s="760"/>
      <c r="AT659" s="760"/>
      <c r="AU659" s="760"/>
      <c r="AV659" s="760"/>
      <c r="AW659" s="759"/>
      <c r="AX659" s="760"/>
      <c r="AY659" s="760"/>
      <c r="AZ659" s="760"/>
      <c r="BA659" s="760"/>
      <c r="BB659" s="759"/>
      <c r="BC659" s="760"/>
      <c r="BD659" s="760"/>
      <c r="BE659" s="760"/>
      <c r="BF659" s="760"/>
      <c r="BG659" s="759"/>
      <c r="BH659" s="760"/>
      <c r="BI659" s="760"/>
      <c r="BJ659" s="760"/>
      <c r="BK659" s="760"/>
      <c r="BL659" s="1012"/>
      <c r="BM659" s="760"/>
      <c r="BN659" s="760"/>
      <c r="BO659" s="760"/>
      <c r="BP659" s="760"/>
      <c r="BQ659" s="1012"/>
      <c r="BR659" s="760"/>
      <c r="BS659" s="760"/>
      <c r="BT659" s="760"/>
      <c r="BU659" s="760"/>
      <c r="BV659" s="1012"/>
      <c r="BW659" s="760"/>
      <c r="BX659" s="760"/>
      <c r="BY659" s="760"/>
      <c r="BZ659" s="760"/>
      <c r="CA659" s="1012"/>
      <c r="CB659" s="760"/>
      <c r="CC659" s="760"/>
      <c r="CD659" s="760"/>
      <c r="CE659" s="760"/>
      <c r="CF659" s="1012"/>
      <c r="CG659" s="907"/>
      <c r="CH659" s="907"/>
      <c r="CI659" s="907"/>
      <c r="CJ659" s="907"/>
      <c r="CK659" s="1012"/>
      <c r="CL659" s="907"/>
      <c r="CM659" s="907"/>
      <c r="CN659" s="907"/>
      <c r="CO659" s="907"/>
      <c r="CP659" s="1012"/>
      <c r="CQ659" s="907"/>
      <c r="CR659" s="907"/>
      <c r="CS659" s="907"/>
      <c r="CT659" s="907"/>
      <c r="CU659" s="1012"/>
      <c r="CV659" s="907"/>
      <c r="CW659" s="907"/>
      <c r="CX659" s="907"/>
      <c r="CY659" s="907"/>
      <c r="CZ659" s="1012"/>
      <c r="DA659" s="907"/>
      <c r="DB659" s="907"/>
      <c r="DC659" s="907"/>
      <c r="DD659" s="907"/>
      <c r="DE659" s="1012"/>
      <c r="DF659" s="907"/>
      <c r="DG659" s="907"/>
      <c r="DH659" s="907"/>
      <c r="DI659" s="2828"/>
      <c r="DJ659" s="1012"/>
      <c r="DK659" s="907"/>
      <c r="DL659" s="907"/>
      <c r="DM659" s="907"/>
      <c r="DN659" s="907"/>
      <c r="DO659" s="1012"/>
      <c r="DP659" s="907"/>
      <c r="DQ659" s="907"/>
      <c r="DR659" s="907"/>
      <c r="DS659" s="907"/>
      <c r="DT659" s="1012"/>
      <c r="DU659" s="907"/>
      <c r="DV659" s="907"/>
      <c r="DW659" s="907"/>
      <c r="DX659" s="907"/>
      <c r="DY659" s="1012"/>
    </row>
    <row r="660" spans="1:129" hidden="1" outlineLevel="1" x14ac:dyDescent="0.2">
      <c r="DH660" s="2734"/>
      <c r="DI660" s="2795"/>
    </row>
    <row r="661" spans="1:129" collapsed="1" x14ac:dyDescent="0.2">
      <c r="DH661" s="2734"/>
      <c r="DI661" s="2795"/>
    </row>
    <row r="662" spans="1:129" x14ac:dyDescent="0.2">
      <c r="A662" s="1013"/>
      <c r="B662" s="1013"/>
      <c r="C662" s="1013"/>
      <c r="D662" s="1013"/>
      <c r="E662" s="1013"/>
      <c r="F662" s="1013"/>
      <c r="G662" s="1013"/>
      <c r="H662" s="1013"/>
      <c r="I662" s="1013"/>
      <c r="J662" s="1013"/>
      <c r="K662" s="1013"/>
      <c r="L662" s="1013"/>
      <c r="M662" s="1013"/>
      <c r="N662" s="1013"/>
      <c r="O662" s="1013"/>
      <c r="P662" s="1013"/>
      <c r="Q662" s="1013"/>
      <c r="R662" s="1013"/>
      <c r="S662" s="1013"/>
      <c r="T662" s="1013"/>
      <c r="U662" s="1013"/>
      <c r="V662" s="1013"/>
      <c r="W662" s="1013"/>
      <c r="X662" s="1013"/>
      <c r="Y662" s="1013"/>
      <c r="Z662" s="1013"/>
      <c r="AA662" s="1013"/>
      <c r="AB662" s="1013"/>
      <c r="AC662" s="1013"/>
      <c r="AD662" s="1013"/>
      <c r="AE662" s="1013"/>
      <c r="AF662" s="1013"/>
      <c r="AG662" s="1013"/>
      <c r="AH662" s="1013"/>
      <c r="AI662" s="1013"/>
      <c r="AJ662" s="1013"/>
      <c r="AK662" s="1013"/>
      <c r="AL662" s="1013"/>
      <c r="AM662" s="1013"/>
      <c r="AN662" s="1013"/>
      <c r="AO662" s="1013"/>
      <c r="AP662" s="1013"/>
      <c r="AQ662" s="1013"/>
      <c r="AR662" s="1013"/>
      <c r="AS662" s="1013"/>
      <c r="AT662" s="1014"/>
      <c r="AU662" s="1013"/>
      <c r="AV662" s="1013"/>
      <c r="AW662" s="1013"/>
      <c r="AX662" s="1013"/>
      <c r="AY662" s="1013"/>
      <c r="AZ662" s="1013"/>
      <c r="BA662" s="1013"/>
      <c r="BB662" s="1013"/>
      <c r="BC662" s="1013"/>
      <c r="BD662" s="1013"/>
      <c r="BE662" s="1013"/>
      <c r="BF662" s="1013"/>
      <c r="BG662" s="536" t="s">
        <v>254</v>
      </c>
      <c r="BH662" s="536" t="s">
        <v>255</v>
      </c>
      <c r="BI662" s="536" t="s">
        <v>256</v>
      </c>
      <c r="BJ662" s="536" t="s">
        <v>257</v>
      </c>
      <c r="BK662" s="536" t="s">
        <v>258</v>
      </c>
      <c r="BL662" s="536" t="s">
        <v>259</v>
      </c>
      <c r="BM662" s="536" t="s">
        <v>260</v>
      </c>
      <c r="BN662" s="536" t="s">
        <v>261</v>
      </c>
      <c r="BO662" s="536" t="s">
        <v>262</v>
      </c>
      <c r="BP662" s="536" t="s">
        <v>262</v>
      </c>
      <c r="BQ662" s="536" t="s">
        <v>263</v>
      </c>
      <c r="BR662" s="536" t="s">
        <v>264</v>
      </c>
      <c r="BS662" s="536" t="s">
        <v>265</v>
      </c>
      <c r="BT662" s="536" t="s">
        <v>266</v>
      </c>
      <c r="BU662" s="536" t="s">
        <v>267</v>
      </c>
      <c r="BV662" s="536" t="s">
        <v>268</v>
      </c>
      <c r="BW662" s="536" t="s">
        <v>269</v>
      </c>
      <c r="BX662" s="536" t="s">
        <v>270</v>
      </c>
      <c r="BY662" s="536" t="s">
        <v>271</v>
      </c>
      <c r="BZ662" s="536" t="s">
        <v>272</v>
      </c>
      <c r="CA662" s="536" t="s">
        <v>273</v>
      </c>
      <c r="CB662" s="536" t="s">
        <v>274</v>
      </c>
      <c r="CC662" s="536" t="s">
        <v>275</v>
      </c>
      <c r="CD662" s="536" t="s">
        <v>276</v>
      </c>
      <c r="CE662" s="536" t="s">
        <v>277</v>
      </c>
      <c r="CF662" s="536" t="s">
        <v>278</v>
      </c>
      <c r="CG662" s="536" t="s">
        <v>279</v>
      </c>
      <c r="CH662" s="536" t="s">
        <v>280</v>
      </c>
      <c r="CI662" s="536" t="s">
        <v>281</v>
      </c>
      <c r="CJ662" s="536" t="s">
        <v>282</v>
      </c>
      <c r="CK662" s="536" t="s">
        <v>283</v>
      </c>
      <c r="CL662" s="536" t="s">
        <v>284</v>
      </c>
      <c r="CM662" s="536" t="s">
        <v>285</v>
      </c>
      <c r="CN662" s="536" t="s">
        <v>286</v>
      </c>
      <c r="CO662" s="536" t="s">
        <v>287</v>
      </c>
      <c r="CP662" s="536" t="s">
        <v>288</v>
      </c>
      <c r="CQ662" s="17" t="s">
        <v>289</v>
      </c>
      <c r="CR662" s="17" t="s">
        <v>290</v>
      </c>
      <c r="CS662" s="17" t="s">
        <v>291</v>
      </c>
      <c r="CT662" s="17" t="s">
        <v>292</v>
      </c>
      <c r="CU662" s="17" t="s">
        <v>293</v>
      </c>
      <c r="CV662" s="17" t="s">
        <v>294</v>
      </c>
      <c r="CW662" s="17" t="s">
        <v>295</v>
      </c>
      <c r="CX662" s="17" t="s">
        <v>296</v>
      </c>
      <c r="CY662" s="17" t="s">
        <v>297</v>
      </c>
      <c r="CZ662" s="17" t="s">
        <v>298</v>
      </c>
      <c r="DA662" s="17" t="s">
        <v>676</v>
      </c>
      <c r="DB662" s="17" t="s">
        <v>677</v>
      </c>
      <c r="DC662" s="17" t="s">
        <v>678</v>
      </c>
      <c r="DD662" s="17" t="s">
        <v>679</v>
      </c>
      <c r="DE662" s="17" t="s">
        <v>680</v>
      </c>
      <c r="DF662" s="17" t="s">
        <v>1325</v>
      </c>
      <c r="DG662" s="17" t="s">
        <v>1326</v>
      </c>
      <c r="DH662" s="17" t="s">
        <v>1327</v>
      </c>
      <c r="DI662" s="17" t="s">
        <v>1328</v>
      </c>
      <c r="DJ662" s="17" t="s">
        <v>1324</v>
      </c>
      <c r="DK662" s="17" t="s">
        <v>1471</v>
      </c>
      <c r="DL662" s="17" t="s">
        <v>1472</v>
      </c>
      <c r="DM662" s="17" t="s">
        <v>1473</v>
      </c>
      <c r="DN662" s="17" t="s">
        <v>1474</v>
      </c>
      <c r="DO662" s="17" t="s">
        <v>1475</v>
      </c>
      <c r="DP662" s="17" t="s">
        <v>1579</v>
      </c>
      <c r="DQ662" s="17" t="s">
        <v>1580</v>
      </c>
      <c r="DR662" s="17" t="s">
        <v>1581</v>
      </c>
      <c r="DS662" s="17" t="s">
        <v>1582</v>
      </c>
      <c r="DT662" s="17" t="s">
        <v>1583</v>
      </c>
      <c r="DU662" s="17" t="s">
        <v>1638</v>
      </c>
      <c r="DV662" s="17" t="s">
        <v>1639</v>
      </c>
      <c r="DW662" s="17" t="s">
        <v>1640</v>
      </c>
      <c r="DX662" s="17" t="s">
        <v>1641</v>
      </c>
      <c r="DY662" s="17" t="s">
        <v>1642</v>
      </c>
    </row>
  </sheetData>
  <phoneticPr fontId="5" type="noConversion"/>
  <pageMargins left="0.25" right="0.25" top="0.5" bottom="0.5" header="0.25" footer="0.25"/>
  <pageSetup paperSize="5" scale="81" fitToHeight="6" orientation="landscape" r:id="rId1"/>
  <headerFooter alignWithMargins="0"/>
  <rowBreaks count="4" manualBreakCount="4">
    <brk id="71" max="113" man="1"/>
    <brk id="106" max="113" man="1"/>
    <brk id="183" max="113" man="1"/>
    <brk id="238" max="113" man="1"/>
  </rowBreaks>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2:DY452"/>
  <sheetViews>
    <sheetView showGridLines="0" workbookViewId="0">
      <pane xSplit="2" ySplit="6" topLeftCell="DI7" activePane="bottomRight" state="frozen"/>
      <selection pane="topRight" activeCell="C1" sqref="C1"/>
      <selection pane="bottomLeft" activeCell="A6" sqref="A6"/>
      <selection pane="bottomRight" activeCell="DK19" sqref="DK19"/>
    </sheetView>
  </sheetViews>
  <sheetFormatPr defaultColWidth="10.7109375" defaultRowHeight="11.25" outlineLevelRow="1" outlineLevelCol="1" x14ac:dyDescent="0.2"/>
  <cols>
    <col min="1" max="1" width="2" customWidth="1"/>
    <col min="2" max="2" width="44.42578125" customWidth="1"/>
    <col min="3" max="3" width="9.7109375" hidden="1" customWidth="1"/>
    <col min="4" max="14" width="1.85546875" hidden="1" customWidth="1"/>
    <col min="15" max="15" width="0.140625" hidden="1" customWidth="1"/>
    <col min="16" max="17" width="1.85546875" hidden="1" customWidth="1"/>
    <col min="18" max="18" width="0.85546875" hidden="1" customWidth="1"/>
    <col min="19" max="23" width="1.85546875" hidden="1" customWidth="1"/>
    <col min="24" max="42" width="9.7109375" hidden="1" customWidth="1" outlineLevel="1"/>
    <col min="43" max="43" width="12.28515625" hidden="1" customWidth="1" outlineLevel="1" collapsed="1"/>
    <col min="44" max="44" width="12.28515625" hidden="1" customWidth="1" outlineLevel="1"/>
    <col min="45" max="45" width="11.42578125" hidden="1" customWidth="1" outlineLevel="1"/>
    <col min="46" max="46" width="12" hidden="1" customWidth="1" outlineLevel="1"/>
    <col min="47" max="47" width="13" hidden="1" customWidth="1" outlineLevel="1"/>
    <col min="48" max="49" width="12.28515625" hidden="1" customWidth="1" outlineLevel="1"/>
    <col min="50" max="50" width="11.7109375" hidden="1" customWidth="1" outlineLevel="1"/>
    <col min="51" max="51" width="11.28515625" hidden="1" customWidth="1" outlineLevel="1"/>
    <col min="52" max="52" width="11.42578125" hidden="1" customWidth="1" outlineLevel="1"/>
    <col min="53" max="53" width="11.85546875" hidden="1" customWidth="1" outlineLevel="1"/>
    <col min="54" max="54" width="13.140625" hidden="1" customWidth="1" outlineLevel="1"/>
    <col min="55" max="56" width="12.140625" hidden="1" customWidth="1" outlineLevel="1"/>
    <col min="57" max="57" width="11.85546875" hidden="1" customWidth="1" outlineLevel="1"/>
    <col min="58" max="58" width="12.140625" hidden="1" customWidth="1" outlineLevel="1"/>
    <col min="59" max="59" width="11.42578125" hidden="1" customWidth="1" outlineLevel="1"/>
    <col min="60" max="60" width="10.7109375" hidden="1" customWidth="1" outlineLevel="1" collapsed="1"/>
    <col min="61" max="63" width="10.7109375" hidden="1" customWidth="1" outlineLevel="1"/>
    <col min="64" max="64" width="9.28515625" hidden="1" customWidth="1" collapsed="1"/>
    <col min="65" max="68" width="9.28515625" hidden="1" customWidth="1" outlineLevel="1"/>
    <col min="69" max="69" width="9.28515625" hidden="1" customWidth="1" collapsed="1"/>
    <col min="70" max="73" width="9.28515625" hidden="1" customWidth="1" outlineLevel="1"/>
    <col min="74" max="74" width="9.28515625" hidden="1" customWidth="1" collapsed="1"/>
    <col min="75" max="78" width="9.28515625" hidden="1" customWidth="1" outlineLevel="1"/>
    <col min="79" max="79" width="9.28515625" hidden="1" customWidth="1" collapsed="1"/>
    <col min="80" max="83" width="9.28515625" hidden="1" customWidth="1" outlineLevel="1"/>
    <col min="84" max="84" width="9.28515625" hidden="1" customWidth="1" collapsed="1"/>
    <col min="85" max="88" width="9.28515625" hidden="1" customWidth="1" outlineLevel="1"/>
    <col min="89" max="89" width="9.28515625" hidden="1" customWidth="1" collapsed="1"/>
    <col min="90" max="93" width="9.28515625" hidden="1" customWidth="1" outlineLevel="1"/>
    <col min="94" max="94" width="9.28515625" hidden="1" customWidth="1" collapsed="1"/>
    <col min="95" max="98" width="9.28515625" hidden="1" customWidth="1" outlineLevel="1"/>
    <col min="99" max="99" width="9.28515625" hidden="1" customWidth="1" collapsed="1"/>
    <col min="100" max="103" width="9.28515625" hidden="1" customWidth="1" outlineLevel="1"/>
    <col min="104" max="104" width="9.28515625" hidden="1" customWidth="1" collapsed="1"/>
    <col min="105" max="108" width="9.28515625" customWidth="1" outlineLevel="1"/>
    <col min="109" max="109" width="9.28515625" customWidth="1"/>
    <col min="110" max="113" width="9.28515625" customWidth="1" outlineLevel="1"/>
    <col min="114" max="114" width="9.28515625" customWidth="1"/>
    <col min="115" max="118" width="9.28515625" style="2559" customWidth="1" outlineLevel="1"/>
    <col min="119" max="119" width="9.28515625" style="2559" customWidth="1"/>
    <col min="120" max="123" width="9.28515625" style="2682" customWidth="1" outlineLevel="1"/>
    <col min="124" max="124" width="9.28515625" style="2682" customWidth="1"/>
    <col min="125" max="128" width="9.28515625" style="2771" customWidth="1" outlineLevel="1"/>
    <col min="129" max="129" width="9.28515625" style="2771" customWidth="1"/>
  </cols>
  <sheetData>
    <row r="2" spans="1:129" ht="18" x14ac:dyDescent="0.25">
      <c r="A2" s="1123"/>
      <c r="B2" s="1124" t="s">
        <v>533</v>
      </c>
      <c r="C2" s="1125"/>
      <c r="D2" s="1126"/>
      <c r="E2" s="1126"/>
      <c r="F2" s="1126"/>
      <c r="G2" s="1126"/>
      <c r="H2" s="1126"/>
      <c r="I2" s="1126"/>
      <c r="J2" s="1126"/>
      <c r="K2" s="1126"/>
      <c r="L2" s="1126"/>
      <c r="M2" s="1126"/>
      <c r="N2" s="1126"/>
      <c r="O2" s="1126"/>
      <c r="P2" s="1126"/>
      <c r="Q2" s="1126"/>
      <c r="R2" s="1126"/>
      <c r="S2" s="1126"/>
      <c r="T2" s="1126"/>
      <c r="U2" s="1126"/>
      <c r="V2" s="1126"/>
      <c r="W2" s="1126"/>
      <c r="X2" s="1125"/>
      <c r="Y2" s="1127"/>
      <c r="Z2" s="1128"/>
      <c r="AA2" s="1128"/>
      <c r="AB2" s="1129"/>
      <c r="AC2" s="1130"/>
      <c r="AD2" s="1127"/>
      <c r="AE2" s="1128"/>
      <c r="AF2" s="1128"/>
      <c r="AG2" s="1129"/>
      <c r="AH2" s="1128"/>
      <c r="AI2" s="1128"/>
      <c r="AJ2" s="1128"/>
      <c r="AK2" s="1131"/>
      <c r="AL2" s="1131"/>
      <c r="AM2" s="1129"/>
      <c r="AN2" s="1132"/>
      <c r="AO2" s="1133"/>
      <c r="AP2" s="1134"/>
      <c r="AQ2" s="1134"/>
      <c r="AR2" s="1130"/>
      <c r="AS2" s="1132"/>
      <c r="AT2" s="1133"/>
      <c r="AU2" s="1128"/>
      <c r="AV2" s="1128"/>
      <c r="AW2" s="1135"/>
      <c r="AX2" s="1128"/>
      <c r="AY2" s="1128"/>
      <c r="AZ2" s="1128"/>
      <c r="BA2" s="1128"/>
      <c r="BB2" s="1128"/>
      <c r="BC2" s="1128"/>
      <c r="BD2" s="1128"/>
      <c r="BE2" s="1128"/>
      <c r="BF2" s="1128"/>
      <c r="BG2" s="1136"/>
      <c r="BH2" s="1128"/>
      <c r="BI2" s="1128"/>
      <c r="BJ2" s="1128"/>
      <c r="BK2" s="1128"/>
      <c r="BL2" s="1128"/>
      <c r="BM2" s="1128"/>
      <c r="BN2" s="1128"/>
      <c r="BO2" s="1128"/>
      <c r="BP2" s="1128"/>
      <c r="BQ2" s="1128"/>
      <c r="BR2" s="1128"/>
      <c r="BS2" s="1128"/>
      <c r="BT2" s="1128"/>
      <c r="BU2" s="1128"/>
      <c r="BV2" s="1128"/>
      <c r="BW2" s="1128"/>
      <c r="BX2" s="1128"/>
      <c r="BY2" s="1128"/>
      <c r="BZ2" s="1128"/>
      <c r="CA2" s="1128"/>
      <c r="CB2" s="1128"/>
      <c r="CC2" s="1128"/>
      <c r="CD2" s="1128"/>
      <c r="CE2" s="1128"/>
      <c r="CF2" s="1128"/>
      <c r="CG2" s="1128"/>
      <c r="CH2" s="1128"/>
      <c r="CI2" s="1128"/>
      <c r="CJ2" s="1128"/>
      <c r="CK2" s="1130"/>
      <c r="CL2" s="1130"/>
      <c r="CM2" s="1130"/>
      <c r="CN2" s="1130"/>
      <c r="CO2" s="1128"/>
      <c r="CP2" s="1128"/>
      <c r="CQ2" s="1128"/>
      <c r="CR2" s="1128"/>
      <c r="CS2" s="1128"/>
      <c r="CT2" s="1128"/>
      <c r="CU2" s="1128"/>
      <c r="CV2" s="1128"/>
      <c r="CW2" s="1128"/>
      <c r="CX2" s="1128"/>
      <c r="CY2" s="1128"/>
      <c r="CZ2" s="1128"/>
      <c r="DA2" s="1128"/>
      <c r="DB2" s="1128"/>
      <c r="DC2" s="1128"/>
      <c r="DD2" s="1128"/>
      <c r="DE2" s="1128"/>
      <c r="DF2" s="1128"/>
      <c r="DG2" s="1128"/>
      <c r="DH2" s="1128"/>
      <c r="DI2" s="1128"/>
      <c r="DJ2" s="1128"/>
      <c r="DK2" s="1128"/>
      <c r="DL2" s="1128"/>
      <c r="DM2" s="1128"/>
      <c r="DN2" s="1128"/>
      <c r="DO2" s="1128"/>
      <c r="DP2" s="1128"/>
      <c r="DQ2" s="1128"/>
      <c r="DR2" s="1128"/>
      <c r="DS2" s="1128"/>
      <c r="DT2" s="1128"/>
      <c r="DU2" s="1128"/>
      <c r="DV2" s="1128"/>
      <c r="DW2" s="1128"/>
      <c r="DX2" s="1128"/>
      <c r="DY2" s="1128"/>
    </row>
    <row r="3" spans="1:129" x14ac:dyDescent="0.2">
      <c r="A3" s="1123"/>
      <c r="B3" s="1125" t="s">
        <v>1122</v>
      </c>
      <c r="C3" s="1130"/>
      <c r="D3" s="1137"/>
      <c r="E3" s="1137"/>
      <c r="F3" s="1137"/>
      <c r="G3" s="1137"/>
      <c r="H3" s="1137"/>
      <c r="I3" s="1137"/>
      <c r="J3" s="1137"/>
      <c r="K3" s="1137"/>
      <c r="L3" s="1137"/>
      <c r="M3" s="1137"/>
      <c r="N3" s="1137"/>
      <c r="O3" s="1137"/>
      <c r="P3" s="1137"/>
      <c r="Q3" s="1137"/>
      <c r="R3" s="1137"/>
      <c r="S3" s="1137"/>
      <c r="T3" s="1137"/>
      <c r="U3" s="1137"/>
      <c r="V3" s="1137"/>
      <c r="W3" s="1137"/>
      <c r="X3" s="1128"/>
      <c r="Y3" s="1128"/>
      <c r="Z3" s="1138"/>
      <c r="AA3" s="1128"/>
      <c r="AB3" s="1128"/>
      <c r="AC3" s="1128"/>
      <c r="AD3" s="1128"/>
      <c r="AE3" s="1138"/>
      <c r="AF3" s="1128"/>
      <c r="AG3" s="1128"/>
      <c r="AH3" s="1128"/>
      <c r="AI3" s="1129"/>
      <c r="AJ3" s="1127"/>
      <c r="AK3" s="1139"/>
      <c r="AL3" s="1139"/>
      <c r="AM3" s="1130"/>
      <c r="AN3" s="1139"/>
      <c r="AO3" s="1139"/>
      <c r="AP3" s="1139"/>
      <c r="AQ3" s="1139"/>
      <c r="AR3" s="1133"/>
      <c r="AS3" s="1139"/>
      <c r="AT3" s="1139"/>
      <c r="AU3" s="1139"/>
      <c r="AV3" s="1140"/>
      <c r="AW3" s="1140"/>
      <c r="AX3" s="1128"/>
      <c r="AY3" s="1128"/>
      <c r="AZ3" s="1128"/>
      <c r="BA3" s="1136"/>
      <c r="BB3" s="1130"/>
      <c r="BC3" s="1141"/>
      <c r="BD3" s="1142"/>
      <c r="BE3" s="1133"/>
      <c r="BF3" s="1130"/>
      <c r="BG3" s="1143"/>
      <c r="BH3" s="1127"/>
      <c r="BI3" s="1128"/>
      <c r="BJ3" s="1128"/>
      <c r="BK3" s="1128"/>
      <c r="BL3" s="1127"/>
      <c r="BM3" s="1136"/>
      <c r="BN3" s="1128"/>
      <c r="BO3" s="1128"/>
      <c r="BP3" s="1128"/>
      <c r="BQ3" s="1128"/>
      <c r="BR3" s="1136"/>
      <c r="BS3" s="1128"/>
      <c r="BT3" s="1128"/>
      <c r="BU3" s="1128"/>
      <c r="BV3" s="1128"/>
      <c r="BW3" s="1144"/>
      <c r="BX3" s="1128"/>
      <c r="BY3" s="1128"/>
      <c r="BZ3" s="1128"/>
      <c r="CA3" s="1128"/>
      <c r="CB3" s="1128"/>
      <c r="CC3" s="1128"/>
      <c r="CD3" s="1128"/>
      <c r="CE3" s="1128"/>
      <c r="CF3" s="1128"/>
      <c r="CG3" s="1128"/>
      <c r="CH3" s="1128"/>
      <c r="CI3" s="1128"/>
      <c r="CJ3" s="1128"/>
      <c r="CK3" s="1130"/>
      <c r="CL3" s="1130"/>
      <c r="CM3" s="1130"/>
      <c r="CN3" s="1130"/>
      <c r="CO3" s="1128"/>
      <c r="CP3" s="1128"/>
      <c r="CQ3" s="1128"/>
      <c r="CR3" s="1128"/>
      <c r="CS3" s="1128"/>
      <c r="CT3" s="1128"/>
      <c r="CU3" s="1128"/>
      <c r="CV3" s="1128"/>
      <c r="CW3" s="1128"/>
      <c r="CX3" s="1128"/>
      <c r="CY3" s="1128"/>
      <c r="CZ3" s="1128"/>
      <c r="DA3" s="1128"/>
      <c r="DB3" s="1128"/>
      <c r="DC3" s="1128"/>
      <c r="DD3" s="1128"/>
      <c r="DE3" s="1128"/>
      <c r="DF3" s="1128"/>
      <c r="DG3" s="1128"/>
      <c r="DH3" s="1128"/>
      <c r="DI3" s="1128"/>
      <c r="DJ3" s="1128"/>
      <c r="DK3" s="1128"/>
      <c r="DL3" s="1128"/>
      <c r="DM3" s="1128"/>
      <c r="DN3" s="1128"/>
      <c r="DO3" s="1128"/>
      <c r="DP3" s="1128"/>
      <c r="DQ3" s="1128"/>
      <c r="DR3" s="1128"/>
      <c r="DS3" s="1128"/>
      <c r="DT3" s="1128"/>
      <c r="DU3" s="1128"/>
      <c r="DV3" s="1128"/>
      <c r="DW3" s="1128"/>
      <c r="DX3" s="1128"/>
      <c r="DY3" s="1128"/>
    </row>
    <row r="4" spans="1:129" ht="12" outlineLevel="1" thickBot="1" x14ac:dyDescent="0.25">
      <c r="A4" s="1123"/>
      <c r="B4" s="1145"/>
      <c r="C4" s="1145"/>
      <c r="D4" s="1145"/>
      <c r="E4" s="1145"/>
      <c r="F4" s="1145"/>
      <c r="G4" s="1145"/>
      <c r="H4" s="1145"/>
      <c r="I4" s="1145"/>
      <c r="J4" s="1145"/>
      <c r="K4" s="1145"/>
      <c r="L4" s="1145"/>
      <c r="M4" s="1145"/>
      <c r="N4" s="1145"/>
      <c r="O4" s="1145"/>
      <c r="P4" s="1145"/>
      <c r="Q4" s="1145"/>
      <c r="R4" s="1145"/>
      <c r="S4" s="1145"/>
      <c r="T4" s="1145"/>
      <c r="U4" s="1145"/>
      <c r="V4" s="1145"/>
      <c r="W4" s="1145"/>
      <c r="X4" s="1145"/>
      <c r="Y4" s="1146"/>
      <c r="Z4" s="1146"/>
      <c r="AA4" s="1146"/>
      <c r="AB4" s="1146"/>
      <c r="AC4" s="1146"/>
      <c r="AD4" s="1146"/>
      <c r="AE4" s="1146"/>
      <c r="AF4" s="1146"/>
      <c r="AG4" s="1146"/>
      <c r="AH4" s="1146"/>
      <c r="AI4" s="1146"/>
      <c r="AJ4" s="1146"/>
      <c r="AK4" s="1146"/>
      <c r="AL4" s="1146"/>
      <c r="AM4" s="1146"/>
      <c r="AN4" s="1146"/>
      <c r="AO4" s="1146"/>
      <c r="AP4" s="1146"/>
      <c r="AQ4" s="1146"/>
      <c r="AR4" s="1146"/>
      <c r="AS4" s="1146"/>
      <c r="AT4" s="1146"/>
      <c r="AU4" s="1146"/>
      <c r="AV4" s="1146"/>
      <c r="AW4" s="1146"/>
      <c r="AX4" s="1146"/>
      <c r="AY4" s="1146"/>
      <c r="AZ4" s="1146"/>
      <c r="BA4" s="1146"/>
      <c r="BB4" s="1146"/>
      <c r="BC4" s="1146"/>
      <c r="BD4" s="1146"/>
      <c r="BE4" s="1146"/>
      <c r="BF4" s="1146"/>
      <c r="BG4" s="1146"/>
      <c r="BH4" s="1146"/>
      <c r="BI4" s="1146"/>
      <c r="BJ4" s="1146"/>
      <c r="BK4" s="1146"/>
      <c r="BL4" s="1146"/>
      <c r="BM4" s="1146"/>
      <c r="BN4" s="1146"/>
      <c r="BO4" s="1146"/>
      <c r="BP4" s="1146"/>
      <c r="BQ4" s="1146"/>
      <c r="BR4" s="1146"/>
      <c r="BS4" s="1146"/>
      <c r="BT4" s="1146"/>
      <c r="BU4" s="1146"/>
      <c r="BV4" s="1146"/>
      <c r="BW4" s="1146"/>
      <c r="BX4" s="1146"/>
      <c r="BY4" s="1146"/>
      <c r="BZ4" s="1146"/>
      <c r="CA4" s="1146"/>
      <c r="CB4" s="1146"/>
      <c r="CC4" s="1146"/>
      <c r="CD4" s="1146"/>
      <c r="CE4" s="1146"/>
      <c r="CF4" s="1146"/>
      <c r="CG4" s="1146"/>
      <c r="CH4" s="1146"/>
      <c r="CI4" s="1146"/>
      <c r="CJ4" s="1146"/>
      <c r="CK4" s="1146"/>
      <c r="CL4" s="1146"/>
      <c r="CM4" s="1146"/>
      <c r="CN4" s="1146"/>
      <c r="CO4" s="1146"/>
      <c r="CP4" s="1146"/>
      <c r="CQ4" s="1146"/>
      <c r="CR4" s="1146"/>
      <c r="CS4" s="1146"/>
      <c r="CT4" s="1146"/>
      <c r="CU4" s="1146"/>
      <c r="CV4" s="1146"/>
      <c r="CW4" s="1146"/>
      <c r="CX4" s="1146"/>
      <c r="CY4" s="1146"/>
      <c r="CZ4" s="1146"/>
      <c r="DA4" s="1146"/>
      <c r="DB4" s="1146"/>
      <c r="DC4" s="1146"/>
      <c r="DD4" s="1146"/>
      <c r="DE4" s="1146"/>
      <c r="DF4" s="1146"/>
      <c r="DG4" s="1146"/>
      <c r="DH4" s="1146"/>
      <c r="DI4" s="1146"/>
      <c r="DJ4" s="1146"/>
      <c r="DK4" s="1146"/>
      <c r="DL4" s="1146"/>
      <c r="DM4" s="1146"/>
      <c r="DN4" s="1146"/>
      <c r="DO4" s="1146"/>
      <c r="DP4" s="1146"/>
      <c r="DQ4" s="1146"/>
      <c r="DR4" s="1146"/>
      <c r="DS4" s="1146"/>
      <c r="DT4" s="1146"/>
      <c r="DU4" s="1146"/>
      <c r="DV4" s="1146"/>
      <c r="DW4" s="1146"/>
      <c r="DX4" s="1146"/>
      <c r="DY4" s="1146"/>
    </row>
    <row r="5" spans="1:129" ht="12.75" thickBot="1" x14ac:dyDescent="0.25">
      <c r="A5" s="1123"/>
      <c r="B5" s="1147"/>
      <c r="C5" s="1148"/>
      <c r="D5" s="1149"/>
      <c r="E5" s="1149"/>
      <c r="F5" s="1149"/>
      <c r="G5" s="1149"/>
      <c r="H5" s="1149"/>
      <c r="I5" s="1149"/>
      <c r="J5" s="1149"/>
      <c r="K5" s="1149"/>
      <c r="L5" s="1149"/>
      <c r="M5" s="1149"/>
      <c r="N5" s="1149"/>
      <c r="O5" s="1149"/>
      <c r="P5" s="1149"/>
      <c r="Q5" s="1149"/>
      <c r="R5" s="1149"/>
      <c r="S5" s="1149"/>
      <c r="T5" s="1149"/>
      <c r="U5" s="1149"/>
      <c r="V5" s="1149"/>
      <c r="W5" s="1149"/>
      <c r="X5" s="1148"/>
      <c r="Y5" s="1150" t="s">
        <v>58</v>
      </c>
      <c r="Z5" s="1151"/>
      <c r="AA5" s="1151"/>
      <c r="AB5" s="1152"/>
      <c r="AC5" s="1148"/>
      <c r="AD5" s="1150" t="s">
        <v>59</v>
      </c>
      <c r="AE5" s="1151"/>
      <c r="AF5" s="1151"/>
      <c r="AG5" s="1152"/>
      <c r="AH5" s="1148"/>
      <c r="AI5" s="1150" t="s">
        <v>60</v>
      </c>
      <c r="AJ5" s="1151"/>
      <c r="AK5" s="1151"/>
      <c r="AL5" s="1152"/>
      <c r="AM5" s="1148"/>
      <c r="AN5" s="1150" t="s">
        <v>61</v>
      </c>
      <c r="AO5" s="1151"/>
      <c r="AP5" s="1151"/>
      <c r="AQ5" s="1152"/>
      <c r="AR5" s="1148"/>
      <c r="AS5" s="1150" t="s">
        <v>62</v>
      </c>
      <c r="AT5" s="1151"/>
      <c r="AU5" s="1151"/>
      <c r="AV5" s="1152"/>
      <c r="AW5" s="1148"/>
      <c r="AX5" s="1150" t="s">
        <v>63</v>
      </c>
      <c r="AY5" s="1151"/>
      <c r="AZ5" s="1151"/>
      <c r="BA5" s="1151"/>
      <c r="BB5" s="1153"/>
      <c r="BC5" s="1151" t="s">
        <v>64</v>
      </c>
      <c r="BD5" s="1151"/>
      <c r="BE5" s="1151"/>
      <c r="BF5" s="1151"/>
      <c r="BG5" s="1153"/>
      <c r="BH5" s="1151" t="s">
        <v>65</v>
      </c>
      <c r="BI5" s="1151"/>
      <c r="BJ5" s="1151"/>
      <c r="BK5" s="1151"/>
      <c r="BL5" s="1153"/>
      <c r="BM5" s="1151" t="s">
        <v>66</v>
      </c>
      <c r="BN5" s="1151"/>
      <c r="BO5" s="1151"/>
      <c r="BP5" s="1151"/>
      <c r="BQ5" s="1153"/>
      <c r="BR5" s="1151" t="s">
        <v>67</v>
      </c>
      <c r="BS5" s="1151"/>
      <c r="BT5" s="1151"/>
      <c r="BU5" s="1151"/>
      <c r="BV5" s="1153"/>
      <c r="BW5" s="1151" t="s">
        <v>68</v>
      </c>
      <c r="BX5" s="1151"/>
      <c r="BY5" s="1151"/>
      <c r="BZ5" s="1151"/>
      <c r="CA5" s="1153"/>
      <c r="CB5" s="1151" t="s">
        <v>69</v>
      </c>
      <c r="CC5" s="1151"/>
      <c r="CD5" s="1151"/>
      <c r="CE5" s="1151"/>
      <c r="CF5" s="1153"/>
      <c r="CG5" s="1151" t="s">
        <v>70</v>
      </c>
      <c r="CH5" s="1151"/>
      <c r="CI5" s="1151"/>
      <c r="CJ5" s="1151"/>
      <c r="CK5" s="1153"/>
      <c r="CL5" s="1151" t="s">
        <v>71</v>
      </c>
      <c r="CM5" s="1151"/>
      <c r="CN5" s="1151"/>
      <c r="CO5" s="1151"/>
      <c r="CP5" s="1153"/>
      <c r="CQ5" s="1151" t="s">
        <v>72</v>
      </c>
      <c r="CR5" s="1151"/>
      <c r="CS5" s="1151"/>
      <c r="CT5" s="1151"/>
      <c r="CU5" s="1153"/>
      <c r="CV5" s="1151" t="s">
        <v>73</v>
      </c>
      <c r="CW5" s="1151"/>
      <c r="CX5" s="1151"/>
      <c r="CY5" s="1151"/>
      <c r="CZ5" s="1153"/>
      <c r="DA5" s="1151" t="s">
        <v>674</v>
      </c>
      <c r="DB5" s="1151"/>
      <c r="DC5" s="1151"/>
      <c r="DD5" s="1151"/>
      <c r="DE5" s="1153"/>
      <c r="DF5" s="1151" t="s">
        <v>1322</v>
      </c>
      <c r="DG5" s="1151"/>
      <c r="DH5" s="1151"/>
      <c r="DI5" s="1151"/>
      <c r="DJ5" s="1153"/>
      <c r="DK5" s="1151" t="s">
        <v>1458</v>
      </c>
      <c r="DL5" s="1151"/>
      <c r="DM5" s="1151"/>
      <c r="DN5" s="1151"/>
      <c r="DO5" s="1153"/>
      <c r="DP5" s="1151" t="s">
        <v>1458</v>
      </c>
      <c r="DQ5" s="1151"/>
      <c r="DR5" s="1151"/>
      <c r="DS5" s="1151"/>
      <c r="DT5" s="1153"/>
      <c r="DU5" s="1151" t="s">
        <v>1458</v>
      </c>
      <c r="DV5" s="1151"/>
      <c r="DW5" s="1151"/>
      <c r="DX5" s="1151"/>
      <c r="DY5" s="1153"/>
    </row>
    <row r="6" spans="1:129" ht="13.5" thickBot="1" x14ac:dyDescent="0.25">
      <c r="A6" s="1123"/>
      <c r="B6" s="1154" t="s">
        <v>74</v>
      </c>
      <c r="C6" s="1155"/>
      <c r="D6" s="1156"/>
      <c r="E6" s="1156"/>
      <c r="F6" s="1156"/>
      <c r="G6" s="1156"/>
      <c r="H6" s="1156"/>
      <c r="I6" s="1156"/>
      <c r="J6" s="1156"/>
      <c r="K6" s="1156"/>
      <c r="L6" s="1156"/>
      <c r="M6" s="1156"/>
      <c r="N6" s="1156"/>
      <c r="O6" s="1156"/>
      <c r="P6" s="1156"/>
      <c r="Q6" s="1156"/>
      <c r="R6" s="1156"/>
      <c r="S6" s="1156"/>
      <c r="T6" s="1156"/>
      <c r="U6" s="1156"/>
      <c r="V6" s="1156"/>
      <c r="W6" s="1156"/>
      <c r="X6" s="1157" t="str">
        <f>IS!BV6</f>
        <v>2009A</v>
      </c>
      <c r="Y6" s="1158" t="str">
        <f>IS!BW6</f>
        <v>1QA</v>
      </c>
      <c r="Z6" s="1158" t="str">
        <f>IS!BX6</f>
        <v>2QA</v>
      </c>
      <c r="AA6" s="1158" t="str">
        <f>IS!BY6</f>
        <v>3QA</v>
      </c>
      <c r="AB6" s="1158" t="str">
        <f>IS!BZ6</f>
        <v>4QA</v>
      </c>
      <c r="AC6" s="1159" t="str">
        <f>IS!CA6</f>
        <v>2010A</v>
      </c>
      <c r="AD6" s="1158" t="str">
        <f>IS!CB6</f>
        <v>1QA</v>
      </c>
      <c r="AE6" s="1158" t="str">
        <f>IS!CC6</f>
        <v>2QA</v>
      </c>
      <c r="AF6" s="1158" t="str">
        <f>IS!CD6</f>
        <v>3QA</v>
      </c>
      <c r="AG6" s="1158" t="str">
        <f>IS!CE6</f>
        <v>4QA</v>
      </c>
      <c r="AH6" s="1159" t="str">
        <f>IS!CF6</f>
        <v>2011A</v>
      </c>
      <c r="AI6" s="1158" t="str">
        <f>IS!CG6</f>
        <v>1QA</v>
      </c>
      <c r="AJ6" s="1158" t="str">
        <f>IS!CH6</f>
        <v>2QA</v>
      </c>
      <c r="AK6" s="1158" t="str">
        <f>IS!CI6</f>
        <v>3QA</v>
      </c>
      <c r="AL6" s="1158" t="str">
        <f>IS!CJ6</f>
        <v>4QA</v>
      </c>
      <c r="AM6" s="1159" t="str">
        <f>IS!CK6</f>
        <v>2012A</v>
      </c>
      <c r="AN6" s="1158" t="str">
        <f>IS!CL6</f>
        <v>1QA</v>
      </c>
      <c r="AO6" s="1158" t="str">
        <f>IS!CM6</f>
        <v>2QA</v>
      </c>
      <c r="AP6" s="1158" t="str">
        <f>IS!CN6</f>
        <v>3QA</v>
      </c>
      <c r="AQ6" s="1160" t="str">
        <f>IS!CO6</f>
        <v>4QA</v>
      </c>
      <c r="AR6" s="1157" t="str">
        <f>IS!CP6</f>
        <v>2013A</v>
      </c>
      <c r="AS6" s="1158" t="str">
        <f>IS!CQ6</f>
        <v>1QA</v>
      </c>
      <c r="AT6" s="1158" t="str">
        <f>IS!CR6</f>
        <v>2QA</v>
      </c>
      <c r="AU6" s="1158" t="str">
        <f>IS!CS6</f>
        <v>3QA</v>
      </c>
      <c r="AV6" s="1158" t="str">
        <f>IS!CT6</f>
        <v>4QA</v>
      </c>
      <c r="AW6" s="1159" t="str">
        <f>IS!CU6</f>
        <v>2014A</v>
      </c>
      <c r="AX6" s="1158" t="str">
        <f>IS!CV6</f>
        <v>1QA</v>
      </c>
      <c r="AY6" s="1158" t="str">
        <f>IS!CW6</f>
        <v>2QA</v>
      </c>
      <c r="AZ6" s="1158" t="str">
        <f>IS!CX6</f>
        <v>3QA</v>
      </c>
      <c r="BA6" s="1158" t="str">
        <f>IS!CY6</f>
        <v>4QA</v>
      </c>
      <c r="BB6" s="1159" t="str">
        <f>IS!CZ6</f>
        <v>2015A</v>
      </c>
      <c r="BC6" s="1161" t="s">
        <v>149</v>
      </c>
      <c r="BD6" s="1161" t="s">
        <v>150</v>
      </c>
      <c r="BE6" s="1161" t="s">
        <v>151</v>
      </c>
      <c r="BF6" s="1161" t="s">
        <v>152</v>
      </c>
      <c r="BG6" s="1162" t="s">
        <v>155</v>
      </c>
      <c r="BH6" s="1161" t="s">
        <v>149</v>
      </c>
      <c r="BI6" s="1161" t="s">
        <v>150</v>
      </c>
      <c r="BJ6" s="1161" t="s">
        <v>151</v>
      </c>
      <c r="BK6" s="1161" t="s">
        <v>152</v>
      </c>
      <c r="BL6" s="1162" t="s">
        <v>156</v>
      </c>
      <c r="BM6" s="1161" t="s">
        <v>149</v>
      </c>
      <c r="BN6" s="1161" t="s">
        <v>150</v>
      </c>
      <c r="BO6" s="1161" t="s">
        <v>151</v>
      </c>
      <c r="BP6" s="1161" t="s">
        <v>152</v>
      </c>
      <c r="BQ6" s="1163" t="s">
        <v>157</v>
      </c>
      <c r="BR6" s="1161" t="s">
        <v>149</v>
      </c>
      <c r="BS6" s="1161" t="s">
        <v>150</v>
      </c>
      <c r="BT6" s="1161" t="s">
        <v>151</v>
      </c>
      <c r="BU6" s="1161" t="s">
        <v>152</v>
      </c>
      <c r="BV6" s="1163" t="s">
        <v>158</v>
      </c>
      <c r="BW6" s="1161" t="s">
        <v>149</v>
      </c>
      <c r="BX6" s="1161" t="s">
        <v>150</v>
      </c>
      <c r="BY6" s="1161" t="s">
        <v>151</v>
      </c>
      <c r="BZ6" s="1161" t="s">
        <v>152</v>
      </c>
      <c r="CA6" s="1159" t="str">
        <f>IS!CA6</f>
        <v>2010A</v>
      </c>
      <c r="CB6" s="1158" t="str">
        <f>IS!CB6</f>
        <v>1QA</v>
      </c>
      <c r="CC6" s="1158" t="str">
        <f>IS!CC6</f>
        <v>2QA</v>
      </c>
      <c r="CD6" s="1158" t="str">
        <f>IS!CD6</f>
        <v>3QA</v>
      </c>
      <c r="CE6" s="1158" t="str">
        <f>IS!CE6</f>
        <v>4QA</v>
      </c>
      <c r="CF6" s="1159" t="str">
        <f>IS!CF6</f>
        <v>2011A</v>
      </c>
      <c r="CG6" s="1158" t="str">
        <f>IS!CG6</f>
        <v>1QA</v>
      </c>
      <c r="CH6" s="1158" t="str">
        <f>IS!CH6</f>
        <v>2QA</v>
      </c>
      <c r="CI6" s="1158" t="str">
        <f>IS!CI6</f>
        <v>3QA</v>
      </c>
      <c r="CJ6" s="1158" t="str">
        <f>IS!CJ6</f>
        <v>4QA</v>
      </c>
      <c r="CK6" s="1159" t="str">
        <f>IS!CK6</f>
        <v>2012A</v>
      </c>
      <c r="CL6" s="1158" t="str">
        <f>IS!CL6</f>
        <v>1QA</v>
      </c>
      <c r="CM6" s="1158" t="str">
        <f>IS!CM6</f>
        <v>2QA</v>
      </c>
      <c r="CN6" s="1158" t="str">
        <f>IS!CN6</f>
        <v>3QA</v>
      </c>
      <c r="CO6" s="1158" t="str">
        <f>IS!CO6</f>
        <v>4QA</v>
      </c>
      <c r="CP6" s="1159" t="str">
        <f>IS!CP6</f>
        <v>2013A</v>
      </c>
      <c r="CQ6" s="1158" t="str">
        <f>IS!CQ6</f>
        <v>1QA</v>
      </c>
      <c r="CR6" s="1158" t="str">
        <f>IS!CR6</f>
        <v>2QA</v>
      </c>
      <c r="CS6" s="1158" t="str">
        <f>IS!CS6</f>
        <v>3QA</v>
      </c>
      <c r="CT6" s="1158" t="str">
        <f>IS!CT6</f>
        <v>4QA</v>
      </c>
      <c r="CU6" s="1159" t="str">
        <f>IS!CU6</f>
        <v>2014A</v>
      </c>
      <c r="CV6" s="1158" t="str">
        <f>IS!CV6</f>
        <v>1QA</v>
      </c>
      <c r="CW6" s="1158" t="str">
        <f>IS!CW6</f>
        <v>2QA</v>
      </c>
      <c r="CX6" s="1158" t="str">
        <f>IS!CX6</f>
        <v>3QA</v>
      </c>
      <c r="CY6" s="1158" t="str">
        <f>IS!CY6</f>
        <v>4QA</v>
      </c>
      <c r="CZ6" s="1159" t="str">
        <f>IS!CZ6</f>
        <v>2015A</v>
      </c>
      <c r="DA6" s="1158" t="str">
        <f>IS!DA6</f>
        <v>1QA</v>
      </c>
      <c r="DB6" s="1158" t="str">
        <f>IS!DB6</f>
        <v>2QA</v>
      </c>
      <c r="DC6" s="1158" t="str">
        <f>IS!DC6</f>
        <v>3QA</v>
      </c>
      <c r="DD6" s="1158" t="str">
        <f>IS!DD6</f>
        <v>4QA</v>
      </c>
      <c r="DE6" s="1159" t="str">
        <f>IS!DE6</f>
        <v>2016A</v>
      </c>
      <c r="DF6" s="1158" t="str">
        <f>IS!DF6</f>
        <v>1QA</v>
      </c>
      <c r="DG6" s="1158" t="str">
        <f>IS!DG6</f>
        <v>2QA</v>
      </c>
      <c r="DH6" s="1158" t="str">
        <f>IS!DH6</f>
        <v>3QA</v>
      </c>
      <c r="DI6" s="1158" t="str">
        <f>IS!DI6</f>
        <v>4QA</v>
      </c>
      <c r="DJ6" s="1159" t="str">
        <f>IS!DJ6</f>
        <v>2017A</v>
      </c>
      <c r="DK6" s="1158" t="str">
        <f>IS!DK6</f>
        <v>1QE</v>
      </c>
      <c r="DL6" s="1158" t="str">
        <f>IS!DL6</f>
        <v>2QE</v>
      </c>
      <c r="DM6" s="1158" t="str">
        <f>IS!DM6</f>
        <v>3QE</v>
      </c>
      <c r="DN6" s="1158" t="str">
        <f>IS!DN6</f>
        <v>4QE</v>
      </c>
      <c r="DO6" s="1159" t="str">
        <f>IS!DO6</f>
        <v>2018E</v>
      </c>
      <c r="DP6" s="1158" t="str">
        <f>IS!DP6</f>
        <v>1QE</v>
      </c>
      <c r="DQ6" s="1158" t="str">
        <f>IS!DQ6</f>
        <v>2QE</v>
      </c>
      <c r="DR6" s="1158" t="str">
        <f>IS!DR6</f>
        <v>3QE</v>
      </c>
      <c r="DS6" s="1158" t="str">
        <f>IS!DS6</f>
        <v>4QE</v>
      </c>
      <c r="DT6" s="1159" t="str">
        <f>IS!DT6</f>
        <v>2019E</v>
      </c>
      <c r="DU6" s="1158" t="str">
        <f>IS!DU6</f>
        <v>1QE</v>
      </c>
      <c r="DV6" s="1158" t="str">
        <f>IS!DV6</f>
        <v>2QE</v>
      </c>
      <c r="DW6" s="1158" t="str">
        <f>IS!DW6</f>
        <v>3QE</v>
      </c>
      <c r="DX6" s="1158" t="str">
        <f>IS!DX6</f>
        <v>4QE</v>
      </c>
      <c r="DY6" s="1159" t="str">
        <f>IS!DY6</f>
        <v>2020E</v>
      </c>
    </row>
    <row r="7" spans="1:129" ht="12.75" thickBot="1" x14ac:dyDescent="0.25">
      <c r="A7" s="1123"/>
      <c r="B7" s="1164"/>
      <c r="C7" s="1165"/>
      <c r="D7" s="1165"/>
      <c r="E7" s="1165"/>
      <c r="F7" s="1165"/>
      <c r="G7" s="1165"/>
      <c r="H7" s="1165"/>
      <c r="I7" s="1165"/>
      <c r="J7" s="1165"/>
      <c r="K7" s="1165"/>
      <c r="L7" s="1165"/>
      <c r="M7" s="1165"/>
      <c r="N7" s="1165"/>
      <c r="O7" s="1165"/>
      <c r="P7" s="1165"/>
      <c r="Q7" s="1165"/>
      <c r="R7" s="1165"/>
      <c r="S7" s="1165"/>
      <c r="T7" s="1165"/>
      <c r="U7" s="1165"/>
      <c r="V7" s="1165"/>
      <c r="W7" s="1165"/>
      <c r="X7" s="1165"/>
      <c r="Y7" s="1165"/>
      <c r="Z7" s="1165"/>
      <c r="AA7" s="1165"/>
      <c r="AB7" s="1165"/>
      <c r="AC7" s="1165"/>
      <c r="AD7" s="1165"/>
      <c r="AE7" s="1165"/>
      <c r="AF7" s="1165"/>
      <c r="AG7" s="1165"/>
      <c r="AH7" s="1165"/>
      <c r="AI7" s="1165"/>
      <c r="AJ7" s="1165"/>
      <c r="AK7" s="1165"/>
      <c r="AL7" s="1165"/>
      <c r="AM7" s="1165"/>
      <c r="AN7" s="1165"/>
      <c r="AO7" s="1165"/>
      <c r="AP7" s="1165"/>
      <c r="AQ7" s="1165"/>
      <c r="AR7" s="1165"/>
      <c r="AS7" s="1165"/>
      <c r="AT7" s="1165"/>
      <c r="AU7" s="1165"/>
      <c r="AV7" s="1165"/>
      <c r="AW7" s="1165"/>
      <c r="AX7" s="1165"/>
      <c r="AY7" s="1165"/>
      <c r="AZ7" s="1165"/>
      <c r="BA7" s="1165"/>
      <c r="BB7" s="1165"/>
      <c r="BC7" s="1165"/>
      <c r="BD7" s="1165"/>
      <c r="BE7" s="1165"/>
      <c r="BF7" s="1165"/>
      <c r="BG7" s="1165"/>
      <c r="BH7" s="1165"/>
      <c r="BI7" s="1165"/>
      <c r="BJ7" s="1165"/>
      <c r="BK7" s="1165"/>
      <c r="BL7" s="1165"/>
      <c r="BM7" s="1165"/>
      <c r="BN7" s="1165"/>
      <c r="BO7" s="1165"/>
      <c r="BP7" s="1165"/>
      <c r="BQ7" s="1165"/>
      <c r="BR7" s="1165"/>
      <c r="BS7" s="1165"/>
      <c r="BT7" s="1165"/>
      <c r="BU7" s="1165"/>
      <c r="BV7" s="1165"/>
      <c r="BW7" s="1165"/>
      <c r="BX7" s="1165"/>
      <c r="BY7" s="1165"/>
      <c r="BZ7" s="1165"/>
      <c r="CA7" s="1165"/>
      <c r="CB7" s="1165"/>
      <c r="CC7" s="1165"/>
      <c r="CD7" s="1165"/>
      <c r="CE7" s="1165"/>
      <c r="CF7" s="1165"/>
      <c r="CG7" s="1165"/>
      <c r="CH7" s="1165"/>
      <c r="CI7" s="1165"/>
      <c r="CJ7" s="1165"/>
      <c r="CK7" s="1165"/>
      <c r="CL7" s="1165"/>
      <c r="CM7" s="1165"/>
      <c r="CN7" s="1165"/>
      <c r="CO7" s="1165"/>
      <c r="CP7" s="1165"/>
      <c r="CQ7" s="1165"/>
      <c r="CR7" s="1165"/>
      <c r="CS7" s="1165"/>
      <c r="CT7" s="1165"/>
      <c r="CU7" s="1165"/>
      <c r="CV7" s="1165"/>
      <c r="CW7" s="1165"/>
      <c r="CX7" s="1165"/>
      <c r="CY7" s="1165"/>
      <c r="CZ7" s="1156"/>
      <c r="DA7" s="1165"/>
      <c r="DB7" s="1165"/>
      <c r="DC7" s="1165"/>
      <c r="DD7" s="1165"/>
      <c r="DE7" s="1156"/>
      <c r="DF7" s="1165"/>
      <c r="DG7" s="1165"/>
      <c r="DH7" s="1165"/>
      <c r="DI7" s="1165"/>
      <c r="DJ7" s="1156"/>
      <c r="DK7" s="1165"/>
      <c r="DL7" s="1165"/>
      <c r="DM7" s="1165"/>
      <c r="DN7" s="1165"/>
      <c r="DO7" s="1156"/>
      <c r="DP7" s="1165"/>
      <c r="DQ7" s="1165"/>
      <c r="DR7" s="1165"/>
      <c r="DS7" s="1165"/>
      <c r="DT7" s="1156"/>
      <c r="DU7" s="1165"/>
      <c r="DV7" s="1165"/>
      <c r="DW7" s="1165"/>
      <c r="DX7" s="1165"/>
      <c r="DY7" s="1156"/>
    </row>
    <row r="8" spans="1:129" ht="12" thickBot="1" x14ac:dyDescent="0.25">
      <c r="A8" s="1166"/>
      <c r="B8" s="1167" t="s">
        <v>1123</v>
      </c>
      <c r="C8" s="1168"/>
      <c r="D8" s="1169"/>
      <c r="E8" s="1169"/>
      <c r="F8" s="1169"/>
      <c r="G8" s="1169"/>
      <c r="H8" s="1169"/>
      <c r="I8" s="1169"/>
      <c r="J8" s="1169"/>
      <c r="K8" s="1169"/>
      <c r="L8" s="1169"/>
      <c r="M8" s="1169"/>
      <c r="N8" s="1169"/>
      <c r="O8" s="1169"/>
      <c r="P8" s="1169"/>
      <c r="Q8" s="1169"/>
      <c r="R8" s="1169"/>
      <c r="S8" s="1169"/>
      <c r="T8" s="1169"/>
      <c r="U8" s="1169"/>
      <c r="V8" s="1169"/>
      <c r="W8" s="1169"/>
      <c r="X8" s="1168"/>
      <c r="Y8" s="1168"/>
      <c r="Z8" s="1168"/>
      <c r="AA8" s="1168"/>
      <c r="AB8" s="1168"/>
      <c r="AC8" s="1168"/>
      <c r="AD8" s="1168"/>
      <c r="AE8" s="1168"/>
      <c r="AF8" s="1168"/>
      <c r="AG8" s="1168"/>
      <c r="AH8" s="1168"/>
      <c r="AI8" s="1168"/>
      <c r="AJ8" s="1168"/>
      <c r="AK8" s="1168"/>
      <c r="AL8" s="1168"/>
      <c r="AM8" s="1168"/>
      <c r="AN8" s="1168"/>
      <c r="AO8" s="1168"/>
      <c r="AP8" s="1168"/>
      <c r="AQ8" s="1168"/>
      <c r="AR8" s="1168"/>
      <c r="AS8" s="1168"/>
      <c r="AT8" s="1168"/>
      <c r="AU8" s="1168"/>
      <c r="AV8" s="1168"/>
      <c r="AW8" s="1168"/>
      <c r="AX8" s="1168"/>
      <c r="AY8" s="1168"/>
      <c r="AZ8" s="1168"/>
      <c r="BA8" s="1168"/>
      <c r="BB8" s="1168"/>
      <c r="BC8" s="1168"/>
      <c r="BD8" s="1168"/>
      <c r="BE8" s="1168"/>
      <c r="BF8" s="1168"/>
      <c r="BG8" s="1168"/>
      <c r="BH8" s="1168"/>
      <c r="BI8" s="1168"/>
      <c r="BJ8" s="1168"/>
      <c r="BK8" s="1168"/>
      <c r="BL8" s="1170"/>
      <c r="BM8" s="1168"/>
      <c r="BN8" s="1168"/>
      <c r="BO8" s="1168"/>
      <c r="BP8" s="1168"/>
      <c r="BQ8" s="1170"/>
      <c r="BR8" s="1168"/>
      <c r="BS8" s="1168"/>
      <c r="BT8" s="1168"/>
      <c r="BU8" s="1168"/>
      <c r="BV8" s="1170"/>
      <c r="BW8" s="1168"/>
      <c r="BX8" s="1168"/>
      <c r="BY8" s="1168"/>
      <c r="BZ8" s="1168"/>
      <c r="CA8" s="1170"/>
      <c r="CB8" s="1168"/>
      <c r="CC8" s="1168"/>
      <c r="CD8" s="1168"/>
      <c r="CE8" s="1168"/>
      <c r="CF8" s="1170"/>
      <c r="CG8" s="1168"/>
      <c r="CH8" s="1168"/>
      <c r="CI8" s="1168"/>
      <c r="CJ8" s="1168"/>
      <c r="CK8" s="1170"/>
      <c r="CL8" s="1168"/>
      <c r="CM8" s="1168"/>
      <c r="CN8" s="1168"/>
      <c r="CO8" s="1168"/>
      <c r="CP8" s="1170"/>
      <c r="CQ8" s="1168"/>
      <c r="CR8" s="1168"/>
      <c r="CS8" s="1168"/>
      <c r="CT8" s="1168"/>
      <c r="CU8" s="1170"/>
      <c r="CV8" s="1168"/>
      <c r="CW8" s="1168"/>
      <c r="CX8" s="1168"/>
      <c r="CY8" s="1168"/>
      <c r="CZ8" s="1171"/>
      <c r="DA8" s="1168"/>
      <c r="DB8" s="1168"/>
      <c r="DC8" s="1168"/>
      <c r="DD8" s="1168"/>
      <c r="DE8" s="1171"/>
      <c r="DF8" s="1168"/>
      <c r="DG8" s="1168"/>
      <c r="DH8" s="1168"/>
      <c r="DI8" s="1168"/>
      <c r="DJ8" s="1171"/>
      <c r="DK8" s="1168"/>
      <c r="DL8" s="1168"/>
      <c r="DM8" s="1168"/>
      <c r="DN8" s="1168"/>
      <c r="DO8" s="1171"/>
      <c r="DP8" s="1168"/>
      <c r="DQ8" s="1168"/>
      <c r="DR8" s="1168"/>
      <c r="DS8" s="1168"/>
      <c r="DT8" s="1171"/>
      <c r="DU8" s="1168"/>
      <c r="DV8" s="1168"/>
      <c r="DW8" s="1168"/>
      <c r="DX8" s="1168"/>
      <c r="DY8" s="1171"/>
    </row>
    <row r="9" spans="1:129" x14ac:dyDescent="0.2">
      <c r="A9" s="1172"/>
      <c r="B9" s="1173" t="s">
        <v>1124</v>
      </c>
      <c r="C9" s="1174"/>
      <c r="D9" s="1174"/>
      <c r="E9" s="1174"/>
      <c r="F9" s="1174"/>
      <c r="G9" s="1174"/>
      <c r="H9" s="1174"/>
      <c r="I9" s="1174"/>
      <c r="J9" s="1174"/>
      <c r="K9" s="1174"/>
      <c r="L9" s="1174"/>
      <c r="M9" s="1174"/>
      <c r="N9" s="1174"/>
      <c r="O9" s="1174"/>
      <c r="P9" s="1174"/>
      <c r="Q9" s="1174"/>
      <c r="R9" s="1174"/>
      <c r="S9" s="1174"/>
      <c r="T9" s="1174"/>
      <c r="U9" s="1174"/>
      <c r="V9" s="1174"/>
      <c r="W9" s="1174"/>
      <c r="X9" s="1175"/>
      <c r="Y9" s="1174"/>
      <c r="Z9" s="1174"/>
      <c r="AA9" s="1174"/>
      <c r="AB9" s="1174"/>
      <c r="AC9" s="1176">
        <v>0.02</v>
      </c>
      <c r="AD9" s="1174"/>
      <c r="AE9" s="1174"/>
      <c r="AF9" s="1174"/>
      <c r="AG9" s="1174"/>
      <c r="AH9" s="1176">
        <v>0.02</v>
      </c>
      <c r="AI9" s="1174"/>
      <c r="AJ9" s="1174"/>
      <c r="AK9" s="1174"/>
      <c r="AL9" s="1174"/>
      <c r="AM9" s="1176">
        <v>0.02</v>
      </c>
      <c r="AN9" s="1174"/>
      <c r="AO9" s="1174"/>
      <c r="AP9" s="1174"/>
      <c r="AQ9" s="1174"/>
      <c r="AR9" s="1176">
        <v>0.02</v>
      </c>
      <c r="AS9" s="1174"/>
      <c r="AT9" s="1174"/>
      <c r="AU9" s="1174"/>
      <c r="AV9" s="1174"/>
      <c r="AW9" s="1176">
        <v>0.02</v>
      </c>
      <c r="AX9" s="1174"/>
      <c r="AY9" s="1174"/>
      <c r="AZ9" s="1174"/>
      <c r="BA9" s="1174"/>
      <c r="BB9" s="1176">
        <v>0.02</v>
      </c>
      <c r="BC9" s="1177">
        <v>0.02</v>
      </c>
      <c r="BD9" s="1177">
        <v>0.02</v>
      </c>
      <c r="BE9" s="1177">
        <v>0.02</v>
      </c>
      <c r="BF9" s="1177">
        <v>0.02</v>
      </c>
      <c r="BG9" s="1175"/>
      <c r="BH9" s="1177">
        <v>0.02</v>
      </c>
      <c r="BI9" s="1177">
        <v>0.02</v>
      </c>
      <c r="BJ9" s="1177">
        <v>0.02</v>
      </c>
      <c r="BK9" s="1177">
        <v>0.02</v>
      </c>
      <c r="BL9" s="1178"/>
      <c r="BM9" s="1177">
        <v>0.02</v>
      </c>
      <c r="BN9" s="1177">
        <v>0.02</v>
      </c>
      <c r="BO9" s="1177">
        <v>0.02</v>
      </c>
      <c r="BP9" s="1177">
        <v>0.02</v>
      </c>
      <c r="BQ9" s="1178"/>
      <c r="BR9" s="1177">
        <v>0.02</v>
      </c>
      <c r="BS9" s="1177">
        <v>0.02</v>
      </c>
      <c r="BT9" s="1177">
        <v>0.02</v>
      </c>
      <c r="BU9" s="1177">
        <v>0.02</v>
      </c>
      <c r="BV9" s="1178"/>
      <c r="BW9" s="1177">
        <v>0.02</v>
      </c>
      <c r="BX9" s="1177">
        <v>0.02</v>
      </c>
      <c r="BY9" s="1177">
        <v>0.02</v>
      </c>
      <c r="BZ9" s="1177">
        <v>0.02</v>
      </c>
      <c r="CA9" s="1178"/>
      <c r="CB9" s="1177">
        <v>0.01</v>
      </c>
      <c r="CC9" s="1177">
        <v>0.01</v>
      </c>
      <c r="CD9" s="1177">
        <v>0.01</v>
      </c>
      <c r="CE9" s="1177">
        <v>1.7500000000000002E-2</v>
      </c>
      <c r="CF9" s="1178"/>
      <c r="CG9" s="1177">
        <v>2.5000000000000001E-3</v>
      </c>
      <c r="CH9" s="1177">
        <v>2.5000000000000001E-3</v>
      </c>
      <c r="CI9" s="1177">
        <v>5.0000000000000001E-3</v>
      </c>
      <c r="CJ9" s="1177">
        <v>5.0000000000000001E-3</v>
      </c>
      <c r="CK9" s="1178"/>
      <c r="CL9" s="1177">
        <v>2.5000000000000001E-3</v>
      </c>
      <c r="CM9" s="1177">
        <v>2.5000000000000001E-3</v>
      </c>
      <c r="CN9" s="1177">
        <v>2.5000000000000001E-3</v>
      </c>
      <c r="CO9" s="1177">
        <v>2.5000000000000001E-3</v>
      </c>
      <c r="CP9" s="1178"/>
      <c r="CQ9" s="1177">
        <v>2.5000000000000001E-3</v>
      </c>
      <c r="CR9" s="1177">
        <v>5.0000000000000001E-4</v>
      </c>
      <c r="CS9" s="1177">
        <v>5.0000000000000001E-4</v>
      </c>
      <c r="CT9" s="1177">
        <v>5.0000000000000001E-4</v>
      </c>
      <c r="CU9" s="1178"/>
      <c r="CV9" s="1177">
        <v>7.4999999999999997E-3</v>
      </c>
      <c r="CW9" s="1177">
        <v>7.4999999999999997E-3</v>
      </c>
      <c r="CX9" s="1177">
        <v>7.4999999999999997E-3</v>
      </c>
      <c r="CY9" s="1177">
        <v>7.4999999999999997E-3</v>
      </c>
      <c r="CZ9" s="1179"/>
      <c r="DA9" s="1177">
        <v>5.0000000000000001E-3</v>
      </c>
      <c r="DB9" s="1177">
        <v>5.0000000000000001E-3</v>
      </c>
      <c r="DC9" s="1177">
        <v>5.0000000000000001E-3</v>
      </c>
      <c r="DD9" s="1177">
        <v>5.0000000000000001E-3</v>
      </c>
      <c r="DE9" s="1179"/>
      <c r="DF9" s="1177">
        <v>7.4999999999999997E-3</v>
      </c>
      <c r="DG9" s="1177">
        <v>7.4999999999999997E-3</v>
      </c>
      <c r="DH9" s="1177">
        <v>7.4999999999999997E-3</v>
      </c>
      <c r="DI9" s="1177">
        <v>7.4999999999999997E-3</v>
      </c>
      <c r="DJ9" s="1179"/>
      <c r="DK9" s="1177">
        <v>7.4999999999999997E-3</v>
      </c>
      <c r="DL9" s="1177">
        <v>7.4999999999999997E-3</v>
      </c>
      <c r="DM9" s="1177">
        <v>7.4999999999999997E-3</v>
      </c>
      <c r="DN9" s="1177">
        <v>7.4999999999999997E-3</v>
      </c>
      <c r="DO9" s="1179"/>
      <c r="DP9" s="1177">
        <v>7.4999999999999997E-3</v>
      </c>
      <c r="DQ9" s="1177">
        <v>7.4999999999999997E-3</v>
      </c>
      <c r="DR9" s="1177">
        <v>7.4999999999999997E-3</v>
      </c>
      <c r="DS9" s="1177">
        <v>7.4999999999999997E-3</v>
      </c>
      <c r="DT9" s="1179"/>
      <c r="DU9" s="1177">
        <v>7.4999999999999997E-3</v>
      </c>
      <c r="DV9" s="1177">
        <v>7.4999999999999997E-3</v>
      </c>
      <c r="DW9" s="1177">
        <v>7.4999999999999997E-3</v>
      </c>
      <c r="DX9" s="1177">
        <v>7.4999999999999997E-3</v>
      </c>
      <c r="DY9" s="1179"/>
    </row>
    <row r="10" spans="1:129" x14ac:dyDescent="0.2">
      <c r="A10" s="1180"/>
      <c r="B10" s="1181" t="s">
        <v>1125</v>
      </c>
      <c r="C10" s="1182"/>
      <c r="D10" s="1182"/>
      <c r="E10" s="1182"/>
      <c r="F10" s="1182"/>
      <c r="G10" s="1182"/>
      <c r="H10" s="1182"/>
      <c r="I10" s="1182"/>
      <c r="J10" s="1182"/>
      <c r="K10" s="1182"/>
      <c r="L10" s="1182"/>
      <c r="M10" s="1182"/>
      <c r="N10" s="1182"/>
      <c r="O10" s="1182"/>
      <c r="P10" s="1182"/>
      <c r="Q10" s="1182"/>
      <c r="R10" s="1182"/>
      <c r="S10" s="1182"/>
      <c r="T10" s="1182"/>
      <c r="U10" s="1182"/>
      <c r="V10" s="1182"/>
      <c r="W10" s="1182"/>
      <c r="X10" s="1183"/>
      <c r="Y10" s="1184"/>
      <c r="Z10" s="1184"/>
      <c r="AA10" s="1184"/>
      <c r="AB10" s="1184"/>
      <c r="AC10" s="1183">
        <f>X11</f>
        <v>230.00000000000006</v>
      </c>
      <c r="AD10" s="1184"/>
      <c r="AE10" s="1184"/>
      <c r="AF10" s="1184"/>
      <c r="AG10" s="1184"/>
      <c r="AH10" s="1183">
        <f>AC11</f>
        <v>337.3</v>
      </c>
      <c r="AI10" s="1184"/>
      <c r="AJ10" s="1184"/>
      <c r="AK10" s="1184"/>
      <c r="AL10" s="1184"/>
      <c r="AM10" s="1183">
        <f>AH11</f>
        <v>236.3</v>
      </c>
      <c r="AN10" s="1184"/>
      <c r="AO10" s="1184"/>
      <c r="AP10" s="1184"/>
      <c r="AQ10" s="1184"/>
      <c r="AR10" s="1183">
        <f>AM11</f>
        <v>700.4</v>
      </c>
      <c r="AS10" s="1184"/>
      <c r="AT10" s="1184"/>
      <c r="AU10" s="1184"/>
      <c r="AV10" s="1184"/>
      <c r="AW10" s="1183">
        <f>AR11</f>
        <v>843.2</v>
      </c>
      <c r="AX10" s="1184"/>
      <c r="AY10" s="1184"/>
      <c r="AZ10" s="1184"/>
      <c r="BA10" s="1184"/>
      <c r="BB10" s="1183">
        <f>AW11</f>
        <v>392.3</v>
      </c>
      <c r="BC10" s="1185">
        <f>BB11</f>
        <v>513.4</v>
      </c>
      <c r="BD10" s="1185">
        <f>BC11</f>
        <v>387.1</v>
      </c>
      <c r="BE10" s="1185">
        <f>BD11</f>
        <v>532.29999999999995</v>
      </c>
      <c r="BF10" s="1185">
        <f>BE11</f>
        <v>394.6</v>
      </c>
      <c r="BG10" s="1183">
        <f>BB11</f>
        <v>513.4</v>
      </c>
      <c r="BH10" s="1185">
        <f>BG11</f>
        <v>530.70000000000005</v>
      </c>
      <c r="BI10" s="1185">
        <f>BH11</f>
        <v>710.7</v>
      </c>
      <c r="BJ10" s="1185">
        <f>BI11</f>
        <v>812.3</v>
      </c>
      <c r="BK10" s="1185">
        <f>BJ11</f>
        <v>727.1</v>
      </c>
      <c r="BL10" s="1186">
        <f>BG11</f>
        <v>530.70000000000005</v>
      </c>
      <c r="BM10" s="1187">
        <f>BL11</f>
        <v>1056.5999999999999</v>
      </c>
      <c r="BN10" s="1187">
        <f>BM11</f>
        <v>818.2</v>
      </c>
      <c r="BO10" s="1187">
        <f>BN11</f>
        <v>615.70000000000005</v>
      </c>
      <c r="BP10" s="1187">
        <f>BO11</f>
        <v>1282.3</v>
      </c>
      <c r="BQ10" s="1186">
        <f>BL11</f>
        <v>1056.5999999999999</v>
      </c>
      <c r="BR10" s="1187">
        <f>BQ11</f>
        <v>1352.4</v>
      </c>
      <c r="BS10" s="1187">
        <f>BR11</f>
        <v>997.4</v>
      </c>
      <c r="BT10" s="1187">
        <f>BS11</f>
        <v>1225.3</v>
      </c>
      <c r="BU10" s="1187">
        <f>BT11</f>
        <v>1130.5999999999999</v>
      </c>
      <c r="BV10" s="1186">
        <f>BQ11</f>
        <v>1352.4</v>
      </c>
      <c r="BW10" s="1187">
        <f>BV11</f>
        <v>1086</v>
      </c>
      <c r="BX10" s="1187">
        <f>BW11</f>
        <v>1047</v>
      </c>
      <c r="BY10" s="1187">
        <f>BX11</f>
        <v>1107.0000000000039</v>
      </c>
      <c r="BZ10" s="1187">
        <f>BY11</f>
        <v>979.00000000000387</v>
      </c>
      <c r="CA10" s="1186">
        <f>BV11</f>
        <v>1086</v>
      </c>
      <c r="CB10" s="1187">
        <f>CA11</f>
        <v>1427.0000000000039</v>
      </c>
      <c r="CC10" s="1187">
        <f>CB11</f>
        <v>2162</v>
      </c>
      <c r="CD10" s="1187">
        <f>CC11</f>
        <v>2228</v>
      </c>
      <c r="CE10" s="1187">
        <f>CD11</f>
        <v>1707</v>
      </c>
      <c r="CF10" s="1186">
        <f>CA11</f>
        <v>1427.0000000000039</v>
      </c>
      <c r="CG10" s="1187">
        <f>CF11</f>
        <v>1413</v>
      </c>
      <c r="CH10" s="1187">
        <f>CG11</f>
        <v>2211</v>
      </c>
      <c r="CI10" s="1187">
        <f>CH11</f>
        <v>1823</v>
      </c>
      <c r="CJ10" s="1187">
        <f>CI11</f>
        <v>1233</v>
      </c>
      <c r="CK10" s="1186">
        <f>CF11</f>
        <v>1413</v>
      </c>
      <c r="CL10" s="1187">
        <f>CK11</f>
        <v>1375</v>
      </c>
      <c r="CM10" s="1187">
        <f>CL11</f>
        <v>1551</v>
      </c>
      <c r="CN10" s="1187">
        <f>CM11</f>
        <v>1174</v>
      </c>
      <c r="CO10" s="1187">
        <f>CN11</f>
        <v>1505</v>
      </c>
      <c r="CP10" s="1186">
        <f>CK11</f>
        <v>1375</v>
      </c>
      <c r="CQ10" s="1187">
        <f>CP11</f>
        <v>4089</v>
      </c>
      <c r="CR10" s="1187">
        <f>CQ11</f>
        <v>2766</v>
      </c>
      <c r="CS10" s="1187">
        <f>CR11</f>
        <v>1612</v>
      </c>
      <c r="CT10" s="1187">
        <f>CS11</f>
        <v>1132</v>
      </c>
      <c r="CU10" s="1186">
        <f>CP11</f>
        <v>4089</v>
      </c>
      <c r="CV10" s="1187">
        <f>CU11</f>
        <v>2481</v>
      </c>
      <c r="CW10" s="1187">
        <f>CV11</f>
        <v>1518</v>
      </c>
      <c r="CX10" s="1187">
        <f>CW11</f>
        <v>1244</v>
      </c>
      <c r="CY10" s="1187">
        <f>CX11</f>
        <v>2890</v>
      </c>
      <c r="CZ10" s="1188">
        <f>CU11</f>
        <v>2481</v>
      </c>
      <c r="DA10" s="1187">
        <f>CZ11</f>
        <v>2459</v>
      </c>
      <c r="DB10" s="1187">
        <f>DA11</f>
        <v>1779</v>
      </c>
      <c r="DC10" s="1187">
        <f>DB11</f>
        <v>1127</v>
      </c>
      <c r="DD10" s="1187">
        <f>DC11</f>
        <v>2189</v>
      </c>
      <c r="DE10" s="1188">
        <f>CZ11</f>
        <v>2459</v>
      </c>
      <c r="DF10" s="1187">
        <f>DE11</f>
        <v>3371</v>
      </c>
      <c r="DG10" s="1187">
        <f>DF11</f>
        <v>2217</v>
      </c>
      <c r="DH10" s="1187">
        <f>DG11</f>
        <v>2094</v>
      </c>
      <c r="DI10" s="1187">
        <f>DH11</f>
        <v>2485</v>
      </c>
      <c r="DJ10" s="1188">
        <f>DE11</f>
        <v>3371</v>
      </c>
      <c r="DK10" s="1187">
        <f>DJ11</f>
        <v>1696</v>
      </c>
      <c r="DL10" s="1187">
        <f>DK11</f>
        <v>810.5092259255498</v>
      </c>
      <c r="DM10" s="1187">
        <f>DL11</f>
        <v>40878.026223948975</v>
      </c>
      <c r="DN10" s="1187">
        <f>DM11</f>
        <v>41921.095182136713</v>
      </c>
      <c r="DO10" s="1188">
        <f>DJ11</f>
        <v>1696</v>
      </c>
      <c r="DP10" s="1187">
        <f>DO11</f>
        <v>43504.361800287457</v>
      </c>
      <c r="DQ10" s="1187">
        <f>DP11</f>
        <v>42456.783048297024</v>
      </c>
      <c r="DR10" s="1187">
        <f>DQ11</f>
        <v>44162.718167120911</v>
      </c>
      <c r="DS10" s="1187">
        <f>DR11</f>
        <v>45095.4610105307</v>
      </c>
      <c r="DT10" s="1188">
        <f>DO11</f>
        <v>43504.361800287457</v>
      </c>
      <c r="DU10" s="1187">
        <f>DT11</f>
        <v>46612.273918986415</v>
      </c>
      <c r="DV10" s="1187">
        <f>DU11</f>
        <v>45752.814731060287</v>
      </c>
      <c r="DW10" s="1187">
        <f>DV11</f>
        <v>47379.681786452558</v>
      </c>
      <c r="DX10" s="1187">
        <f>DW11</f>
        <v>48185.582424283522</v>
      </c>
      <c r="DY10" s="1188">
        <f>DT11</f>
        <v>46612.273918986415</v>
      </c>
    </row>
    <row r="11" spans="1:129" x14ac:dyDescent="0.2">
      <c r="A11" s="1180"/>
      <c r="B11" s="1181" t="s">
        <v>1126</v>
      </c>
      <c r="C11" s="1189"/>
      <c r="D11" s="1189"/>
      <c r="E11" s="1189"/>
      <c r="F11" s="1189"/>
      <c r="G11" s="1189"/>
      <c r="H11" s="1189"/>
      <c r="I11" s="1189"/>
      <c r="J11" s="1189"/>
      <c r="K11" s="1189"/>
      <c r="L11" s="1189"/>
      <c r="M11" s="1189"/>
      <c r="N11" s="1189"/>
      <c r="O11" s="1189"/>
      <c r="P11" s="1189"/>
      <c r="Q11" s="1189"/>
      <c r="R11" s="1189"/>
      <c r="S11" s="1189"/>
      <c r="T11" s="1189"/>
      <c r="U11" s="1189"/>
      <c r="V11" s="1189"/>
      <c r="W11" s="1189"/>
      <c r="X11" s="1183">
        <f>'BS and CFS'!X137</f>
        <v>230.00000000000006</v>
      </c>
      <c r="Y11" s="1184"/>
      <c r="Z11" s="1184"/>
      <c r="AA11" s="1184"/>
      <c r="AB11" s="1184"/>
      <c r="AC11" s="1183">
        <f>'BS and CFS'!AC137</f>
        <v>337.3</v>
      </c>
      <c r="AD11" s="1184"/>
      <c r="AE11" s="1184"/>
      <c r="AF11" s="1184"/>
      <c r="AG11" s="1184"/>
      <c r="AH11" s="1183">
        <f>'BS and CFS'!AH137</f>
        <v>236.3</v>
      </c>
      <c r="AI11" s="1184"/>
      <c r="AJ11" s="1184"/>
      <c r="AK11" s="1184"/>
      <c r="AL11" s="1184"/>
      <c r="AM11" s="1183">
        <f>'BS and CFS'!AM137</f>
        <v>700.4</v>
      </c>
      <c r="AN11" s="1184"/>
      <c r="AO11" s="1184"/>
      <c r="AP11" s="1184"/>
      <c r="AQ11" s="1184"/>
      <c r="AR11" s="1183">
        <f>'BS and CFS'!AR137</f>
        <v>843.2</v>
      </c>
      <c r="AS11" s="1184"/>
      <c r="AT11" s="1184"/>
      <c r="AU11" s="1184"/>
      <c r="AV11" s="1184"/>
      <c r="AW11" s="1183">
        <f>'BS and CFS'!AW137</f>
        <v>392.3</v>
      </c>
      <c r="AX11" s="1184"/>
      <c r="AY11" s="1184"/>
      <c r="AZ11" s="1184"/>
      <c r="BA11" s="1184"/>
      <c r="BB11" s="1183">
        <f>'BS and CFS'!BB137</f>
        <v>513.4</v>
      </c>
      <c r="BC11" s="1185">
        <f>'BS and CFS'!BC137</f>
        <v>387.1</v>
      </c>
      <c r="BD11" s="1185">
        <f>'BS and CFS'!BD137</f>
        <v>532.29999999999995</v>
      </c>
      <c r="BE11" s="1185">
        <f>'BS and CFS'!BE137</f>
        <v>394.6</v>
      </c>
      <c r="BF11" s="1185">
        <f>'BS and CFS'!BF137</f>
        <v>530.70000000000005</v>
      </c>
      <c r="BG11" s="1183">
        <f>'BS and CFS'!BG137</f>
        <v>530.70000000000005</v>
      </c>
      <c r="BH11" s="1185">
        <f>'BS and CFS'!BH137</f>
        <v>710.7</v>
      </c>
      <c r="BI11" s="1185">
        <f>'BS and CFS'!BI137</f>
        <v>812.3</v>
      </c>
      <c r="BJ11" s="1185">
        <f>'BS and CFS'!BJ137</f>
        <v>727.1</v>
      </c>
      <c r="BK11" s="1185">
        <f>'BS and CFS'!BK137</f>
        <v>1056.5999999999999</v>
      </c>
      <c r="BL11" s="1186">
        <f>'BS and CFS'!BL137</f>
        <v>1056.5999999999999</v>
      </c>
      <c r="BM11" s="1187">
        <f>'BS and CFS'!BM137</f>
        <v>818.2</v>
      </c>
      <c r="BN11" s="1187">
        <f>'BS and CFS'!BN137</f>
        <v>615.70000000000005</v>
      </c>
      <c r="BO11" s="1187">
        <f>'BS and CFS'!BO137</f>
        <v>1282.3</v>
      </c>
      <c r="BP11" s="1187">
        <f>'BS and CFS'!BP137</f>
        <v>1352.4</v>
      </c>
      <c r="BQ11" s="1186">
        <f>'BS and CFS'!BQ137</f>
        <v>1352.4</v>
      </c>
      <c r="BR11" s="1187">
        <f>'BS and CFS'!BR137</f>
        <v>997.4</v>
      </c>
      <c r="BS11" s="1187">
        <f>'BS and CFS'!BS137</f>
        <v>1225.3</v>
      </c>
      <c r="BT11" s="1187">
        <f>'BS and CFS'!BT137</f>
        <v>1130.5999999999999</v>
      </c>
      <c r="BU11" s="1187">
        <f>'BS and CFS'!BU137</f>
        <v>1086</v>
      </c>
      <c r="BV11" s="1186">
        <f>'BS and CFS'!BV137</f>
        <v>1086</v>
      </c>
      <c r="BW11" s="1187">
        <f>'BS and CFS'!BW137</f>
        <v>1047</v>
      </c>
      <c r="BX11" s="1187">
        <f>'BS and CFS'!BX137</f>
        <v>1107.0000000000039</v>
      </c>
      <c r="BY11" s="1187">
        <f>'BS and CFS'!BY137</f>
        <v>979.00000000000387</v>
      </c>
      <c r="BZ11" s="1187">
        <f>'BS and CFS'!BZ137</f>
        <v>1427.0000000000039</v>
      </c>
      <c r="CA11" s="1186">
        <f>'BS and CFS'!CA137</f>
        <v>1427.0000000000039</v>
      </c>
      <c r="CB11" s="1187">
        <f>'BS and CFS'!CB137</f>
        <v>2162</v>
      </c>
      <c r="CC11" s="1187">
        <f>'BS and CFS'!CC137</f>
        <v>2228</v>
      </c>
      <c r="CD11" s="1187">
        <f>'BS and CFS'!CD137</f>
        <v>1707</v>
      </c>
      <c r="CE11" s="1187">
        <f>'BS and CFS'!CE137</f>
        <v>1413</v>
      </c>
      <c r="CF11" s="1186">
        <f>'BS and CFS'!CF137</f>
        <v>1413</v>
      </c>
      <c r="CG11" s="1187">
        <f>'BS and CFS'!CG137</f>
        <v>2211</v>
      </c>
      <c r="CH11" s="1187">
        <f>'BS and CFS'!CH137</f>
        <v>1823</v>
      </c>
      <c r="CI11" s="1187">
        <f>'BS and CFS'!CI137</f>
        <v>1233</v>
      </c>
      <c r="CJ11" s="1187">
        <f>'BS and CFS'!CJ137</f>
        <v>1375</v>
      </c>
      <c r="CK11" s="1186">
        <f>'BS and CFS'!CK137</f>
        <v>1375</v>
      </c>
      <c r="CL11" s="1187">
        <f>'BS and CFS'!CL137</f>
        <v>1551</v>
      </c>
      <c r="CM11" s="1187">
        <f>'BS and CFS'!CM137</f>
        <v>1174</v>
      </c>
      <c r="CN11" s="1187">
        <f>'BS and CFS'!CN137</f>
        <v>1505</v>
      </c>
      <c r="CO11" s="1187">
        <f>'BS and CFS'!CO137</f>
        <v>4089</v>
      </c>
      <c r="CP11" s="1186">
        <f>'BS and CFS'!CP137</f>
        <v>4089</v>
      </c>
      <c r="CQ11" s="1187">
        <f>'BS and CFS'!CQ137</f>
        <v>2766</v>
      </c>
      <c r="CR11" s="1187">
        <f>'BS and CFS'!CR137</f>
        <v>1612</v>
      </c>
      <c r="CS11" s="1187">
        <f>'BS and CFS'!CS137</f>
        <v>1132</v>
      </c>
      <c r="CT11" s="1187">
        <f>'BS and CFS'!CT137</f>
        <v>2481</v>
      </c>
      <c r="CU11" s="1186">
        <f>'BS and CFS'!CU137</f>
        <v>2481</v>
      </c>
      <c r="CV11" s="1187">
        <f>'BS and CFS'!CV137</f>
        <v>1518</v>
      </c>
      <c r="CW11" s="1187">
        <f>'BS and CFS'!CW137</f>
        <v>1244</v>
      </c>
      <c r="CX11" s="1187">
        <f>'BS and CFS'!CX137</f>
        <v>2890</v>
      </c>
      <c r="CY11" s="1187">
        <f>'BS and CFS'!CY137</f>
        <v>2459</v>
      </c>
      <c r="CZ11" s="1188">
        <f>'BS and CFS'!CZ137</f>
        <v>2459</v>
      </c>
      <c r="DA11" s="1187">
        <f>'BS and CFS'!DA137</f>
        <v>1779</v>
      </c>
      <c r="DB11" s="1187">
        <f>'BS and CFS'!DB137</f>
        <v>1127</v>
      </c>
      <c r="DC11" s="1187">
        <f>'BS and CFS'!DC137</f>
        <v>2189</v>
      </c>
      <c r="DD11" s="1187">
        <f>'BS and CFS'!DD137</f>
        <v>3371</v>
      </c>
      <c r="DE11" s="1188">
        <f>'BS and CFS'!DE137</f>
        <v>3371</v>
      </c>
      <c r="DF11" s="1187">
        <f>'BS and CFS'!DF137</f>
        <v>2217</v>
      </c>
      <c r="DG11" s="1187">
        <f>'BS and CFS'!DG137</f>
        <v>2094</v>
      </c>
      <c r="DH11" s="1187">
        <f>'BS and CFS'!DH137</f>
        <v>2485</v>
      </c>
      <c r="DI11" s="1187">
        <f>'BS and CFS'!DI137</f>
        <v>1696</v>
      </c>
      <c r="DJ11" s="1188">
        <f>'BS and CFS'!DJ137</f>
        <v>1696</v>
      </c>
      <c r="DK11" s="1187">
        <f>'BS and CFS'!DK137</f>
        <v>810.5092259255498</v>
      </c>
      <c r="DL11" s="1187">
        <f>'BS and CFS'!DL137</f>
        <v>40878.026223948975</v>
      </c>
      <c r="DM11" s="1187">
        <f>'BS and CFS'!DM137</f>
        <v>41921.095182136713</v>
      </c>
      <c r="DN11" s="1187">
        <f>'BS and CFS'!DN137</f>
        <v>43504.361800287457</v>
      </c>
      <c r="DO11" s="1188">
        <f>'BS and CFS'!DO137</f>
        <v>43504.361800287457</v>
      </c>
      <c r="DP11" s="1187">
        <f>'BS and CFS'!DP137</f>
        <v>42456.783048297024</v>
      </c>
      <c r="DQ11" s="1187">
        <f>'BS and CFS'!DQ137</f>
        <v>44162.718167120911</v>
      </c>
      <c r="DR11" s="1187">
        <f>'BS and CFS'!DR137</f>
        <v>45095.4610105307</v>
      </c>
      <c r="DS11" s="1187">
        <f>'BS and CFS'!DS137</f>
        <v>46612.273918986415</v>
      </c>
      <c r="DT11" s="1188">
        <f>'BS and CFS'!DT137</f>
        <v>46612.273918986415</v>
      </c>
      <c r="DU11" s="1187">
        <f>'BS and CFS'!DU137</f>
        <v>45752.814731060287</v>
      </c>
      <c r="DV11" s="1187">
        <f>'BS and CFS'!DV137</f>
        <v>47379.681786452558</v>
      </c>
      <c r="DW11" s="1187">
        <f>'BS and CFS'!DW137</f>
        <v>48185.582424283522</v>
      </c>
      <c r="DX11" s="1187">
        <f>'BS and CFS'!DX137</f>
        <v>49614.545641356119</v>
      </c>
      <c r="DY11" s="1188">
        <f>'BS and CFS'!DY137</f>
        <v>49614.545641356119</v>
      </c>
    </row>
    <row r="12" spans="1:129" x14ac:dyDescent="0.2">
      <c r="A12" s="1180"/>
      <c r="B12" s="1190"/>
      <c r="C12" s="1191"/>
      <c r="D12" s="1191"/>
      <c r="E12" s="1191"/>
      <c r="F12" s="1191"/>
      <c r="G12" s="1191"/>
      <c r="H12" s="1191"/>
      <c r="I12" s="1191"/>
      <c r="J12" s="1191"/>
      <c r="K12" s="1191"/>
      <c r="L12" s="1191"/>
      <c r="M12" s="1191"/>
      <c r="N12" s="1191"/>
      <c r="O12" s="1191"/>
      <c r="P12" s="1191"/>
      <c r="Q12" s="1191"/>
      <c r="R12" s="1191"/>
      <c r="S12" s="1191"/>
      <c r="T12" s="1191"/>
      <c r="U12" s="1191"/>
      <c r="V12" s="1191"/>
      <c r="W12" s="1191"/>
      <c r="X12" s="1192"/>
      <c r="Y12" s="1193"/>
      <c r="Z12" s="1193"/>
      <c r="AA12" s="1193"/>
      <c r="AB12" s="1193"/>
      <c r="AC12" s="1192"/>
      <c r="AD12" s="1193"/>
      <c r="AE12" s="1193"/>
      <c r="AF12" s="1193"/>
      <c r="AG12" s="1193"/>
      <c r="AH12" s="1192"/>
      <c r="AI12" s="1193"/>
      <c r="AJ12" s="1193"/>
      <c r="AK12" s="1193"/>
      <c r="AL12" s="1193"/>
      <c r="AM12" s="1192"/>
      <c r="AN12" s="1193"/>
      <c r="AO12" s="1193"/>
      <c r="AP12" s="1193"/>
      <c r="AQ12" s="1193"/>
      <c r="AR12" s="1192"/>
      <c r="AS12" s="1193"/>
      <c r="AT12" s="1193"/>
      <c r="AU12" s="1193"/>
      <c r="AV12" s="1193"/>
      <c r="AW12" s="1192"/>
      <c r="AX12" s="1193"/>
      <c r="AY12" s="1193"/>
      <c r="AZ12" s="1193"/>
      <c r="BA12" s="1193"/>
      <c r="BB12" s="1192"/>
      <c r="BC12" s="1193"/>
      <c r="BD12" s="1193"/>
      <c r="BE12" s="1193"/>
      <c r="BF12" s="1193"/>
      <c r="BG12" s="1192"/>
      <c r="BH12" s="1193"/>
      <c r="BI12" s="1193"/>
      <c r="BJ12" s="1193"/>
      <c r="BK12" s="1193"/>
      <c r="BL12" s="1194"/>
      <c r="BM12" s="1195"/>
      <c r="BN12" s="1195"/>
      <c r="BO12" s="1195"/>
      <c r="BP12" s="1195"/>
      <c r="BQ12" s="1194"/>
      <c r="BR12" s="1195"/>
      <c r="BS12" s="1195"/>
      <c r="BT12" s="1195"/>
      <c r="BU12" s="1195"/>
      <c r="BV12" s="1194"/>
      <c r="BW12" s="1195"/>
      <c r="BX12" s="1195"/>
      <c r="BY12" s="1195"/>
      <c r="BZ12" s="1195"/>
      <c r="CA12" s="1194"/>
      <c r="CB12" s="1195"/>
      <c r="CC12" s="1195"/>
      <c r="CD12" s="1195"/>
      <c r="CE12" s="1195"/>
      <c r="CF12" s="1194"/>
      <c r="CG12" s="1195"/>
      <c r="CH12" s="1195"/>
      <c r="CI12" s="1195"/>
      <c r="CJ12" s="1195"/>
      <c r="CK12" s="1194"/>
      <c r="CL12" s="1195"/>
      <c r="CM12" s="1195"/>
      <c r="CN12" s="1195"/>
      <c r="CO12" s="1195"/>
      <c r="CP12" s="1194"/>
      <c r="CQ12" s="1195"/>
      <c r="CR12" s="1195"/>
      <c r="CS12" s="1195"/>
      <c r="CT12" s="1195"/>
      <c r="CU12" s="1194"/>
      <c r="CV12" s="1195"/>
      <c r="CW12" s="1195"/>
      <c r="CX12" s="1195"/>
      <c r="CY12" s="1195"/>
      <c r="CZ12" s="1196"/>
      <c r="DA12" s="1195"/>
      <c r="DB12" s="1195"/>
      <c r="DC12" s="1195"/>
      <c r="DD12" s="1195"/>
      <c r="DE12" s="1196"/>
      <c r="DF12" s="1195"/>
      <c r="DG12" s="1195"/>
      <c r="DH12" s="1195"/>
      <c r="DI12" s="1195"/>
      <c r="DJ12" s="1196"/>
      <c r="DK12" s="1195"/>
      <c r="DL12" s="1195"/>
      <c r="DM12" s="1195"/>
      <c r="DN12" s="1195"/>
      <c r="DO12" s="1196"/>
      <c r="DP12" s="1195"/>
      <c r="DQ12" s="1195"/>
      <c r="DR12" s="1195"/>
      <c r="DS12" s="1195"/>
      <c r="DT12" s="1196"/>
      <c r="DU12" s="1195"/>
      <c r="DV12" s="1195"/>
      <c r="DW12" s="1195"/>
      <c r="DX12" s="1195"/>
      <c r="DY12" s="1196"/>
    </row>
    <row r="13" spans="1:129" x14ac:dyDescent="0.2">
      <c r="A13" s="1197"/>
      <c r="B13" s="1181" t="s">
        <v>1127</v>
      </c>
      <c r="C13" s="1191"/>
      <c r="D13" s="1191"/>
      <c r="E13" s="1191"/>
      <c r="F13" s="1191"/>
      <c r="G13" s="1191"/>
      <c r="H13" s="1191"/>
      <c r="I13" s="1191"/>
      <c r="J13" s="1191"/>
      <c r="K13" s="1191"/>
      <c r="L13" s="1191"/>
      <c r="M13" s="1191"/>
      <c r="N13" s="1191"/>
      <c r="O13" s="1191"/>
      <c r="P13" s="1191"/>
      <c r="Q13" s="1191"/>
      <c r="R13" s="1191"/>
      <c r="S13" s="1191"/>
      <c r="T13" s="1191"/>
      <c r="U13" s="1191"/>
      <c r="V13" s="1191"/>
      <c r="W13" s="1191"/>
      <c r="X13" s="1183"/>
      <c r="Y13" s="1184"/>
      <c r="Z13" s="1184"/>
      <c r="AA13" s="1184"/>
      <c r="AB13" s="1184"/>
      <c r="AC13" s="1183">
        <f>(AVERAGE(AC10,AC11)*(AC9))</f>
        <v>5.6730000000000009</v>
      </c>
      <c r="AD13" s="1184"/>
      <c r="AE13" s="1184"/>
      <c r="AF13" s="1184"/>
      <c r="AG13" s="1184"/>
      <c r="AH13" s="1183">
        <f>(AVERAGE(AH10,AH11)*(AH9))</f>
        <v>5.7360000000000007</v>
      </c>
      <c r="AI13" s="1184"/>
      <c r="AJ13" s="1184"/>
      <c r="AK13" s="1184"/>
      <c r="AL13" s="1184"/>
      <c r="AM13" s="1183">
        <f>(AVERAGE(AM10,AM11)*(AM9))</f>
        <v>9.3670000000000009</v>
      </c>
      <c r="AN13" s="1184"/>
      <c r="AO13" s="1184"/>
      <c r="AP13" s="1184"/>
      <c r="AQ13" s="1184"/>
      <c r="AR13" s="1183">
        <f>(AVERAGE(AR10,AR11)*(AR9))</f>
        <v>15.436</v>
      </c>
      <c r="AS13" s="1184"/>
      <c r="AT13" s="1184"/>
      <c r="AU13" s="1184"/>
      <c r="AV13" s="1184"/>
      <c r="AW13" s="1183">
        <f>(AVERAGE(AW10,AW11)*(AW9))</f>
        <v>12.355</v>
      </c>
      <c r="AX13" s="1184"/>
      <c r="AY13" s="1184"/>
      <c r="AZ13" s="1184"/>
      <c r="BA13" s="1184"/>
      <c r="BB13" s="1183">
        <f>(AVERAGE(BB10,BB11)*(BB9))</f>
        <v>9.0570000000000004</v>
      </c>
      <c r="BC13" s="1185">
        <f>(AVERAGE(BC10,BC11)*(BC9/4))</f>
        <v>2.2512500000000002</v>
      </c>
      <c r="BD13" s="1185">
        <f>(AVERAGE(BD10,BD11)*(BD9/4))</f>
        <v>2.2985000000000002</v>
      </c>
      <c r="BE13" s="1185">
        <f>(AVERAGE(BE10,BE11)*(BE9/4))</f>
        <v>2.31725</v>
      </c>
      <c r="BF13" s="1185">
        <f>(AVERAGE(BF10,BF11)*(BF9/4))</f>
        <v>2.31325</v>
      </c>
      <c r="BG13" s="1183">
        <f>SUM(BC13:BF13)</f>
        <v>9.1802500000000009</v>
      </c>
      <c r="BH13" s="1185">
        <f>(AVERAGE(BH10,BH11)*(BH9/4))</f>
        <v>3.1035000000000004</v>
      </c>
      <c r="BI13" s="1185">
        <f>(AVERAGE(BI10,BI11)*(BI9/4))</f>
        <v>3.8075000000000001</v>
      </c>
      <c r="BJ13" s="1185">
        <f>(AVERAGE(BJ10,BJ11)*(BJ9/4))</f>
        <v>3.8485000000000005</v>
      </c>
      <c r="BK13" s="1185">
        <f>(AVERAGE(BK10,BK11)*(BK9/4))</f>
        <v>4.4592499999999999</v>
      </c>
      <c r="BL13" s="1186">
        <f>SUM(BH13:BK13)</f>
        <v>15.21875</v>
      </c>
      <c r="BM13" s="1187">
        <f>(AVERAGE(BM10,BM11)*(BM9/4))</f>
        <v>4.6870000000000003</v>
      </c>
      <c r="BN13" s="1187">
        <f>(AVERAGE(BN10,BN11)*(BN9/4))</f>
        <v>3.5847500000000001</v>
      </c>
      <c r="BO13" s="1187">
        <f>(AVERAGE(BO10,BO11)*(BO9/4))</f>
        <v>4.7450000000000001</v>
      </c>
      <c r="BP13" s="1187">
        <f>(AVERAGE(BP10,BP11)*(BP9/4))</f>
        <v>6.5867499999999994</v>
      </c>
      <c r="BQ13" s="1186">
        <f>SUM(BM13:BP13)</f>
        <v>19.6035</v>
      </c>
      <c r="BR13" s="1187">
        <f>(AVERAGE(BR10,BR11)*(BR9/4))</f>
        <v>5.8745000000000003</v>
      </c>
      <c r="BS13" s="1187">
        <f>(AVERAGE(BS10,BS11)*(BS9/4))</f>
        <v>5.5567500000000001</v>
      </c>
      <c r="BT13" s="1187">
        <f>(AVERAGE(BT10,BT11)*(BT9/4))</f>
        <v>5.8897499999999994</v>
      </c>
      <c r="BU13" s="1187">
        <f>(AVERAGE(BU10,BU11)*(BU9/4))</f>
        <v>5.5415000000000001</v>
      </c>
      <c r="BV13" s="1186">
        <f>SUM(BR13:BU13)</f>
        <v>22.862499999999997</v>
      </c>
      <c r="BW13" s="1187">
        <f>(AVERAGE(BW10,BW11)*(BW9/4))</f>
        <v>5.3325000000000005</v>
      </c>
      <c r="BX13" s="1187">
        <f>(AVERAGE(BX10,BX11)*(BX9/4))</f>
        <v>5.3850000000000096</v>
      </c>
      <c r="BY13" s="1187">
        <f>(AVERAGE(BY10,BY11)*(BY9/4))</f>
        <v>5.2150000000000194</v>
      </c>
      <c r="BZ13" s="1187">
        <f>(AVERAGE(BZ10,BZ11)*(BZ9/4))</f>
        <v>6.0150000000000192</v>
      </c>
      <c r="CA13" s="1186">
        <f>SUM(BW13:BZ13)</f>
        <v>21.947500000000048</v>
      </c>
      <c r="CB13" s="1187">
        <f>(AVERAGE(CB10,CB11)*(CB9/4))</f>
        <v>4.4862500000000045</v>
      </c>
      <c r="CC13" s="1187">
        <f>(AVERAGE(CC10,CC11)*(CC9/4))</f>
        <v>5.4874999999999998</v>
      </c>
      <c r="CD13" s="1187">
        <f>IF(UPPER(Circularity)="Y",(AVERAGE(CD10,CD11)*(CD9/4)),CC13)</f>
        <v>4.9187500000000002</v>
      </c>
      <c r="CE13" s="1187">
        <f>IF(UPPER(Circularity)="Y",(AVERAGE(CE10,CE11)*(CE9/4)),CD13)</f>
        <v>6.8250000000000011</v>
      </c>
      <c r="CF13" s="1186"/>
      <c r="CG13" s="1187">
        <f>IF(UPPER(Circularity)="Y",(AVERAGE(CG10,CG11)*(CG9/4)),CE13)</f>
        <v>1.1325000000000001</v>
      </c>
      <c r="CH13" s="1187">
        <f>IF(UPPER(Circularity)="Y",(AVERAGE(CH10,CH11)*(CH9/4)),CG13)</f>
        <v>1.2606250000000001</v>
      </c>
      <c r="CI13" s="1187">
        <f>IF(UPPER(Circularity)="Y",(AVERAGE(CI10,CI11)*(CI9/4)),CH13)</f>
        <v>1.9100000000000001</v>
      </c>
      <c r="CJ13" s="1187">
        <f>IF(UPPER(Circularity)="Y",(AVERAGE(CJ10,CJ11)*(CJ9/4)),CI13)</f>
        <v>1.6300000000000001</v>
      </c>
      <c r="CK13" s="1194">
        <f>SUM(CG13:CJ13)</f>
        <v>5.9331250000000004</v>
      </c>
      <c r="CL13" s="1187">
        <f>IF(UPPER(Circularity)="Y",(AVERAGE(CL10,CL11)*(CL9/4)),CJ13)</f>
        <v>0.91437500000000005</v>
      </c>
      <c r="CM13" s="1187">
        <f>IF(UPPER(Circularity)="Y",(AVERAGE(CM10,CM11)*(CM9/4)),CL13)</f>
        <v>0.8515625</v>
      </c>
      <c r="CN13" s="1187">
        <f>IF(UPPER(Circularity)="Y",(AVERAGE(CN10,CN11)*(CN9/4)),CM13)</f>
        <v>0.83718749999999997</v>
      </c>
      <c r="CO13" s="1187">
        <f>IF(UPPER(Circularity)="Y",(AVERAGE(CO10,CO11)*(CO9/4)),CN13)</f>
        <v>1.7481249999999999</v>
      </c>
      <c r="CP13" s="1186"/>
      <c r="CQ13" s="1187">
        <f>IF(UPPER(Circularity)="Y",(AVERAGE(CQ10,CQ11)*(CQ9/4)),CO13)</f>
        <v>2.1421874999999999</v>
      </c>
      <c r="CR13" s="1187">
        <v>0.5</v>
      </c>
      <c r="CS13" s="1187">
        <v>5</v>
      </c>
      <c r="CT13" s="1187">
        <v>7</v>
      </c>
      <c r="CU13" s="1186"/>
      <c r="CV13" s="1187">
        <f>IF(UPPER(Circularity)="Y",(AVERAGE(CV10,CV11)*(CV9/4)),CT13)</f>
        <v>3.7490625</v>
      </c>
      <c r="CW13" s="1187">
        <f>IF(UPPER(Circularity)="Y",(AVERAGE(CW10,CW11)*(CW9/4)),CU13)</f>
        <v>2.589375</v>
      </c>
      <c r="CX13" s="1187">
        <f>IF(UPPER(Circularity)="Y",(AVERAGE(CX10,CX11)*(CX9/4)),CV13)</f>
        <v>3.8756249999999999</v>
      </c>
      <c r="CY13" s="1187">
        <f>IF(UPPER(Circularity)="Y",(AVERAGE(CY10,CY11)*(CY9/4)),CW13)</f>
        <v>5.0146875</v>
      </c>
      <c r="CZ13" s="1188"/>
      <c r="DA13" s="1187">
        <f>IF(UPPER(Circularity)="Y",(AVERAGE(DA10,DA11)*(DA9/4)),CY13)</f>
        <v>2.6487500000000002</v>
      </c>
      <c r="DB13" s="1187">
        <f>IF(UPPER(Circularity)="Y",(AVERAGE(DB10,DB11)*(DB9/4)),DA13)</f>
        <v>1.8162500000000001</v>
      </c>
      <c r="DC13" s="1187">
        <f>IF(UPPER(Circularity)="Y",(AVERAGE(DC10,DC11)*(DC9/4)),DB13)</f>
        <v>2.0725000000000002</v>
      </c>
      <c r="DD13" s="1187">
        <f>IF(UPPER(Circularity)="Y",(AVERAGE(DD10,DD11)*(DD9/4)),DC13)</f>
        <v>3.4750000000000001</v>
      </c>
      <c r="DE13" s="1188"/>
      <c r="DF13" s="1187">
        <f>IF(UPPER(Circularity)="Y",(AVERAGE(DF10,DF11)*(DF9/4)),DD13)</f>
        <v>5.2387499999999996</v>
      </c>
      <c r="DG13" s="1187">
        <f>IF(UPPER(Circularity)="Y",(AVERAGE(DG10,DG11)*(DG9/4)),DF13)</f>
        <v>4.0415624999999995</v>
      </c>
      <c r="DH13" s="1187">
        <f>IF(UPPER(Circularity)="Y",(AVERAGE(DH10,DH11)*(DH9/4)),DG13)</f>
        <v>4.2928125000000001</v>
      </c>
      <c r="DI13" s="1187">
        <f>IF(UPPER(Circularity)="Y",(AVERAGE(DI10,DI11)*(DI9/4)),DH13)</f>
        <v>3.9196874999999998</v>
      </c>
      <c r="DJ13" s="1188"/>
      <c r="DK13" s="1187">
        <f>IF(UPPER(Circularity)="Y",(AVERAGE(DK10,DK11)*(DK9/4)),DI13)</f>
        <v>2.349852399305203</v>
      </c>
      <c r="DL13" s="1187">
        <f>IF(UPPER(Circularity)="Y",(AVERAGE(DL10,DL11)*(DL9/4)),DK13)</f>
        <v>39.083001984257365</v>
      </c>
      <c r="DM13" s="1187">
        <f>IF(UPPER(Circularity)="Y",(AVERAGE(DM10,DM11)*(DM9/4)),DL13)</f>
        <v>77.624176318205329</v>
      </c>
      <c r="DN13" s="1187">
        <f>IF(UPPER(Circularity)="Y",(AVERAGE(DN10,DN11)*(DN9/4)),DM13)</f>
        <v>80.086365921022647</v>
      </c>
      <c r="DO13" s="1188"/>
      <c r="DP13" s="1187">
        <f>IF(UPPER(Circularity)="Y",(AVERAGE(DP10,DP11)*(DP9/4)),DN13)</f>
        <v>80.58857329554796</v>
      </c>
      <c r="DQ13" s="1187">
        <f>IF(UPPER(Circularity)="Y",(AVERAGE(DQ10,DQ11)*(DQ9/4)),DP13)</f>
        <v>81.205782389454299</v>
      </c>
      <c r="DR13" s="1187">
        <f>IF(UPPER(Circularity)="Y",(AVERAGE(DR10,DR11)*(DR9/4)),DQ13)</f>
        <v>83.679542979048392</v>
      </c>
      <c r="DS13" s="1187">
        <f>IF(UPPER(Circularity)="Y",(AVERAGE(DS10,DS11)*(DS9/4)),DR13)</f>
        <v>85.976001496422299</v>
      </c>
      <c r="DT13" s="1188"/>
      <c r="DU13" s="1187">
        <f>IF(UPPER(Circularity)="Y",(AVERAGE(DU10,DU11)*(DU9/4)),DS13)</f>
        <v>86.592270609418776</v>
      </c>
      <c r="DV13" s="1187">
        <f>IF(UPPER(Circularity)="Y",(AVERAGE(DV10,DV11)*(DV9/4)),DU13)</f>
        <v>87.311715485168293</v>
      </c>
      <c r="DW13" s="1187">
        <f>IF(UPPER(Circularity)="Y",(AVERAGE(DW10,DW11)*(DW9/4)),DV13)</f>
        <v>89.592435197565081</v>
      </c>
      <c r="DX13" s="1187">
        <f>IF(UPPER(Circularity)="Y",(AVERAGE(DX10,DX11)*(DX9/4)),DW13)</f>
        <v>91.68762006153716</v>
      </c>
      <c r="DY13" s="1188"/>
    </row>
    <row r="14" spans="1:129" x14ac:dyDescent="0.2">
      <c r="A14" s="1197"/>
      <c r="B14" s="1190" t="s">
        <v>1128</v>
      </c>
      <c r="C14" s="1191"/>
      <c r="D14" s="1191"/>
      <c r="E14" s="1191"/>
      <c r="F14" s="1191"/>
      <c r="G14" s="1191"/>
      <c r="H14" s="1191"/>
      <c r="I14" s="1191"/>
      <c r="J14" s="1191"/>
      <c r="K14" s="1191"/>
      <c r="L14" s="1191"/>
      <c r="M14" s="1191"/>
      <c r="N14" s="1191"/>
      <c r="O14" s="1191"/>
      <c r="P14" s="1191"/>
      <c r="Q14" s="1191"/>
      <c r="R14" s="1191"/>
      <c r="S14" s="1191"/>
      <c r="T14" s="1191"/>
      <c r="U14" s="1191"/>
      <c r="V14" s="1191"/>
      <c r="W14" s="1191"/>
      <c r="X14" s="1183"/>
      <c r="Y14" s="1184"/>
      <c r="Z14" s="1184"/>
      <c r="AA14" s="1184"/>
      <c r="AB14" s="1184"/>
      <c r="AC14" s="1183"/>
      <c r="AD14" s="1184"/>
      <c r="AE14" s="1184"/>
      <c r="AF14" s="1184"/>
      <c r="AG14" s="1184"/>
      <c r="AH14" s="1183"/>
      <c r="AI14" s="1184"/>
      <c r="AJ14" s="1184"/>
      <c r="AK14" s="1184"/>
      <c r="AL14" s="1184"/>
      <c r="AM14" s="1183"/>
      <c r="AN14" s="1184"/>
      <c r="AO14" s="1184"/>
      <c r="AP14" s="1184"/>
      <c r="AQ14" s="1184"/>
      <c r="AR14" s="1183"/>
      <c r="AS14" s="1184"/>
      <c r="AT14" s="1184"/>
      <c r="AU14" s="1184"/>
      <c r="AV14" s="1184"/>
      <c r="AW14" s="1183"/>
      <c r="AX14" s="1184"/>
      <c r="AY14" s="1184"/>
      <c r="AZ14" s="1184"/>
      <c r="BA14" s="1184"/>
      <c r="BB14" s="1183"/>
      <c r="BC14" s="1184"/>
      <c r="BD14" s="1184"/>
      <c r="BE14" s="1184"/>
      <c r="BF14" s="1184"/>
      <c r="BG14" s="1183"/>
      <c r="BH14" s="1184"/>
      <c r="BI14" s="1184"/>
      <c r="BJ14" s="1184"/>
      <c r="BK14" s="1184"/>
      <c r="BL14" s="1186"/>
      <c r="BM14" s="1198"/>
      <c r="BN14" s="1198"/>
      <c r="BO14" s="1198"/>
      <c r="BP14" s="1198"/>
      <c r="BQ14" s="1186"/>
      <c r="BR14" s="1198"/>
      <c r="BS14" s="1198"/>
      <c r="BT14" s="1198"/>
      <c r="BU14" s="1198"/>
      <c r="BV14" s="1186"/>
      <c r="BW14" s="1198"/>
      <c r="BX14" s="1198"/>
      <c r="BY14" s="1198"/>
      <c r="BZ14" s="1198"/>
      <c r="CA14" s="1186"/>
      <c r="CB14" s="1198"/>
      <c r="CC14" s="1198"/>
      <c r="CD14" s="1198"/>
      <c r="CE14" s="1198"/>
      <c r="CF14" s="1194">
        <f>SUM(CB14:CE14)</f>
        <v>0</v>
      </c>
      <c r="CG14" s="1198"/>
      <c r="CH14" s="1198"/>
      <c r="CI14" s="1198"/>
      <c r="CJ14" s="1187">
        <f>IS!CJ19</f>
        <v>0</v>
      </c>
      <c r="CK14" s="1194">
        <f>SUM(CG14:CJ14)</f>
        <v>0</v>
      </c>
      <c r="CL14" s="1187">
        <f>IS!CL19</f>
        <v>0</v>
      </c>
      <c r="CM14" s="1187">
        <f>IS!CM19</f>
        <v>0</v>
      </c>
      <c r="CN14" s="1187">
        <f>IS!CN19</f>
        <v>0</v>
      </c>
      <c r="CO14" s="1187">
        <f>IS!CO19</f>
        <v>0</v>
      </c>
      <c r="CP14" s="1186"/>
      <c r="CQ14" s="1187">
        <f>IS!CQ19</f>
        <v>0</v>
      </c>
      <c r="CR14" s="1187">
        <f>IS!CR19</f>
        <v>0</v>
      </c>
      <c r="CS14" s="1187">
        <f>IS!CS19</f>
        <v>0</v>
      </c>
      <c r="CT14" s="1187">
        <f>IS!CT19</f>
        <v>0</v>
      </c>
      <c r="CU14" s="1186"/>
      <c r="CV14" s="1187">
        <f>IS!CV19</f>
        <v>3.7490625</v>
      </c>
      <c r="CW14" s="1187">
        <f>IS!CW19</f>
        <v>2.589375</v>
      </c>
      <c r="CX14" s="1187">
        <f>IS!CX19</f>
        <v>3.8756249999999999</v>
      </c>
      <c r="CY14" s="1187">
        <f>IS!CY19</f>
        <v>5.0146875</v>
      </c>
      <c r="CZ14" s="1188"/>
      <c r="DA14" s="1187">
        <f>IS!DA19</f>
        <v>5</v>
      </c>
      <c r="DB14" s="1187">
        <f>IS!DB19</f>
        <v>5</v>
      </c>
      <c r="DC14" s="1187">
        <f>IS!DC19</f>
        <v>5</v>
      </c>
      <c r="DD14" s="1187">
        <f>IS!DD19</f>
        <v>5</v>
      </c>
      <c r="DE14" s="1188"/>
      <c r="DF14" s="1187">
        <f>IS!DF19</f>
        <v>6</v>
      </c>
      <c r="DG14" s="1187">
        <f>IS!DG19</f>
        <v>6</v>
      </c>
      <c r="DH14" s="1187">
        <f>IS!DH19</f>
        <v>6</v>
      </c>
      <c r="DI14" s="1187">
        <f>IS!DI19</f>
        <v>6</v>
      </c>
      <c r="DJ14" s="1188"/>
      <c r="DK14" s="1187">
        <f>IS!DK19</f>
        <v>2.349852399305203</v>
      </c>
      <c r="DL14" s="1187">
        <f>IS!DL19</f>
        <v>39.083001984257365</v>
      </c>
      <c r="DM14" s="1187">
        <f>IS!DM19</f>
        <v>77.624176318205329</v>
      </c>
      <c r="DN14" s="1187">
        <f>IS!DN19</f>
        <v>80.086365921022647</v>
      </c>
      <c r="DO14" s="1188"/>
      <c r="DP14" s="1187">
        <f>IS!DP19</f>
        <v>80.58857329554796</v>
      </c>
      <c r="DQ14" s="1187">
        <f>IS!DQ19</f>
        <v>81.205782389454299</v>
      </c>
      <c r="DR14" s="1187">
        <f>IS!DR19</f>
        <v>83.679542979048392</v>
      </c>
      <c r="DS14" s="1187">
        <f>IS!DS19</f>
        <v>85.976001496422299</v>
      </c>
      <c r="DT14" s="1188"/>
      <c r="DU14" s="1187">
        <f>IS!DU19</f>
        <v>86.592270609418776</v>
      </c>
      <c r="DV14" s="1187">
        <f>IS!DV19</f>
        <v>87.311715485168293</v>
      </c>
      <c r="DW14" s="1187">
        <f>IS!DW19</f>
        <v>89.592435197565081</v>
      </c>
      <c r="DX14" s="1187">
        <f>IS!DX19</f>
        <v>91.68762006153716</v>
      </c>
      <c r="DY14" s="1188"/>
    </row>
    <row r="15" spans="1:129" outlineLevel="1" x14ac:dyDescent="0.2">
      <c r="A15" s="1197"/>
      <c r="B15" s="1199" t="s">
        <v>779</v>
      </c>
      <c r="C15" s="1200"/>
      <c r="D15" s="1182"/>
      <c r="E15" s="1182"/>
      <c r="F15" s="1182"/>
      <c r="G15" s="1182"/>
      <c r="H15" s="1182"/>
      <c r="I15" s="1182"/>
      <c r="J15" s="1182"/>
      <c r="K15" s="1182"/>
      <c r="L15" s="1182"/>
      <c r="M15" s="1182"/>
      <c r="N15" s="1182"/>
      <c r="O15" s="1182"/>
      <c r="P15" s="1182"/>
      <c r="Q15" s="1182"/>
      <c r="R15" s="1182"/>
      <c r="S15" s="1182"/>
      <c r="T15" s="1182"/>
      <c r="U15" s="1182"/>
      <c r="V15" s="1182"/>
      <c r="W15" s="1182"/>
      <c r="X15" s="1201"/>
      <c r="Y15" s="1202"/>
      <c r="Z15" s="1202"/>
      <c r="AA15" s="1202"/>
      <c r="AB15" s="1202"/>
      <c r="AC15" s="1201"/>
      <c r="AD15" s="1202"/>
      <c r="AE15" s="1202"/>
      <c r="AF15" s="1202"/>
      <c r="AG15" s="1202"/>
      <c r="AH15" s="1201"/>
      <c r="AI15" s="1202"/>
      <c r="AJ15" s="1202"/>
      <c r="AK15" s="1202"/>
      <c r="AL15" s="1202"/>
      <c r="AM15" s="1201"/>
      <c r="AN15" s="1202"/>
      <c r="AO15" s="1202"/>
      <c r="AP15" s="1202"/>
      <c r="AQ15" s="1202"/>
      <c r="AR15" s="1201"/>
      <c r="AS15" s="1202"/>
      <c r="AT15" s="1202"/>
      <c r="AU15" s="1202"/>
      <c r="AV15" s="1202"/>
      <c r="AW15" s="1201"/>
      <c r="AX15" s="1202"/>
      <c r="AY15" s="1202"/>
      <c r="AZ15" s="1202"/>
      <c r="BA15" s="1202"/>
      <c r="BB15" s="1201"/>
      <c r="BC15" s="1202"/>
      <c r="BD15" s="1202"/>
      <c r="BE15" s="1202"/>
      <c r="BF15" s="1202"/>
      <c r="BG15" s="1201"/>
      <c r="BH15" s="1202"/>
      <c r="BI15" s="1202"/>
      <c r="BJ15" s="1202"/>
      <c r="BK15" s="1202"/>
      <c r="BL15" s="1203"/>
      <c r="BM15" s="1202"/>
      <c r="BN15" s="1202"/>
      <c r="BO15" s="1202"/>
      <c r="BP15" s="1202"/>
      <c r="BQ15" s="1203"/>
      <c r="BR15" s="1202"/>
      <c r="BS15" s="1202"/>
      <c r="BT15" s="1202"/>
      <c r="BU15" s="1202"/>
      <c r="BV15" s="1203"/>
      <c r="BW15" s="1202"/>
      <c r="BX15" s="1202"/>
      <c r="BY15" s="1202"/>
      <c r="BZ15" s="1202"/>
      <c r="CA15" s="1203"/>
      <c r="CB15" s="1202"/>
      <c r="CC15" s="1202"/>
      <c r="CD15" s="1202"/>
      <c r="CE15" s="1204"/>
      <c r="CF15" s="1203"/>
      <c r="CG15" s="1204"/>
      <c r="CH15" s="1205"/>
      <c r="CI15" s="1205"/>
      <c r="CJ15" s="1206">
        <f>CJ14-CJ13</f>
        <v>-1.6300000000000001</v>
      </c>
      <c r="CK15" s="1203"/>
      <c r="CL15" s="1693">
        <f>CL14-CL13</f>
        <v>-0.91437500000000005</v>
      </c>
      <c r="CM15" s="1694">
        <f>CM14-CM13</f>
        <v>-0.8515625</v>
      </c>
      <c r="CN15" s="1694">
        <f>CN14-CN13</f>
        <v>-0.83718749999999997</v>
      </c>
      <c r="CO15" s="1694">
        <f>CO14-CO13</f>
        <v>-1.7481249999999999</v>
      </c>
      <c r="CP15" s="1691"/>
      <c r="CQ15" s="1693">
        <f>CQ14-CQ13</f>
        <v>-2.1421874999999999</v>
      </c>
      <c r="CR15" s="1694">
        <f>CR14-CR13</f>
        <v>-0.5</v>
      </c>
      <c r="CS15" s="1694">
        <f>CS14-CS13</f>
        <v>-5</v>
      </c>
      <c r="CT15" s="1694">
        <f>CT14-CT13</f>
        <v>-7</v>
      </c>
      <c r="CU15" s="1691"/>
      <c r="CV15" s="1693">
        <f>CV14-CV13</f>
        <v>0</v>
      </c>
      <c r="CW15" s="1694">
        <f>CW14-CW13</f>
        <v>0</v>
      </c>
      <c r="CX15" s="1694">
        <f>CX14-CX13</f>
        <v>0</v>
      </c>
      <c r="CY15" s="1694">
        <f>CY14-CY13</f>
        <v>0</v>
      </c>
      <c r="CZ15" s="1692"/>
      <c r="DA15" s="1693">
        <f>DA14-DA13</f>
        <v>2.3512499999999998</v>
      </c>
      <c r="DB15" s="1694">
        <f>DB14-DB13</f>
        <v>3.1837499999999999</v>
      </c>
      <c r="DC15" s="1694">
        <f>DC14-DC13</f>
        <v>2.9274999999999998</v>
      </c>
      <c r="DD15" s="1694">
        <f>DD14-DD13</f>
        <v>1.5249999999999999</v>
      </c>
      <c r="DE15" s="1692"/>
      <c r="DF15" s="1693">
        <f>DF14-DF13</f>
        <v>0.76125000000000043</v>
      </c>
      <c r="DG15" s="1694">
        <f>DG14-DG13</f>
        <v>1.9584375000000005</v>
      </c>
      <c r="DH15" s="1694">
        <f>DH14-DH13</f>
        <v>1.7071874999999999</v>
      </c>
      <c r="DI15" s="1694">
        <f>DI14-DI13</f>
        <v>2.0803125000000002</v>
      </c>
      <c r="DJ15" s="1692"/>
      <c r="DK15" s="1693">
        <f>DK14-DK13</f>
        <v>0</v>
      </c>
      <c r="DL15" s="1694">
        <f>DL14-DL13</f>
        <v>0</v>
      </c>
      <c r="DM15" s="1694">
        <f>DM14-DM13</f>
        <v>0</v>
      </c>
      <c r="DN15" s="1694">
        <f>DN14-DN13</f>
        <v>0</v>
      </c>
      <c r="DO15" s="1692"/>
      <c r="DP15" s="1693">
        <f>DP14-DP13</f>
        <v>0</v>
      </c>
      <c r="DQ15" s="1694">
        <f>DQ14-DQ13</f>
        <v>0</v>
      </c>
      <c r="DR15" s="1694">
        <f>DR14-DR13</f>
        <v>0</v>
      </c>
      <c r="DS15" s="1694">
        <f>DS14-DS13</f>
        <v>0</v>
      </c>
      <c r="DT15" s="1692"/>
      <c r="DU15" s="1693">
        <f>DU14-DU13</f>
        <v>0</v>
      </c>
      <c r="DV15" s="1694">
        <f>DV14-DV13</f>
        <v>0</v>
      </c>
      <c r="DW15" s="1694">
        <f>DW14-DW13</f>
        <v>0</v>
      </c>
      <c r="DX15" s="1694">
        <f>DX14-DX13</f>
        <v>0</v>
      </c>
      <c r="DY15" s="1692"/>
    </row>
    <row r="16" spans="1:129" ht="12" thickBot="1" x14ac:dyDescent="0.25">
      <c r="A16" s="1207"/>
      <c r="B16" s="1208"/>
      <c r="C16" s="1209"/>
      <c r="D16" s="1209"/>
      <c r="E16" s="1209"/>
      <c r="F16" s="1209"/>
      <c r="G16" s="1209"/>
      <c r="H16" s="1209"/>
      <c r="I16" s="1209"/>
      <c r="J16" s="1209"/>
      <c r="K16" s="1209"/>
      <c r="L16" s="1209"/>
      <c r="M16" s="1209"/>
      <c r="N16" s="1209"/>
      <c r="O16" s="1209"/>
      <c r="P16" s="1209"/>
      <c r="Q16" s="1209"/>
      <c r="R16" s="1209"/>
      <c r="S16" s="1209"/>
      <c r="T16" s="1209"/>
      <c r="U16" s="1209"/>
      <c r="V16" s="1209"/>
      <c r="W16" s="1209"/>
      <c r="X16" s="1210"/>
      <c r="Y16" s="1211"/>
      <c r="Z16" s="1211"/>
      <c r="AA16" s="1211"/>
      <c r="AB16" s="1211"/>
      <c r="AC16" s="1210"/>
      <c r="AD16" s="1211"/>
      <c r="AE16" s="1211"/>
      <c r="AF16" s="1211"/>
      <c r="AG16" s="1211"/>
      <c r="AH16" s="1210"/>
      <c r="AI16" s="1211"/>
      <c r="AJ16" s="1211"/>
      <c r="AK16" s="1211"/>
      <c r="AL16" s="1211"/>
      <c r="AM16" s="1210"/>
      <c r="AN16" s="1211"/>
      <c r="AO16" s="1211"/>
      <c r="AP16" s="1211"/>
      <c r="AQ16" s="1211"/>
      <c r="AR16" s="1210"/>
      <c r="AS16" s="1211"/>
      <c r="AT16" s="1211"/>
      <c r="AU16" s="1211"/>
      <c r="AV16" s="1211"/>
      <c r="AW16" s="1210"/>
      <c r="AX16" s="1211"/>
      <c r="AY16" s="1211"/>
      <c r="AZ16" s="1211"/>
      <c r="BA16" s="1211"/>
      <c r="BB16" s="1210"/>
      <c r="BC16" s="1211"/>
      <c r="BD16" s="1211"/>
      <c r="BE16" s="1211"/>
      <c r="BF16" s="1211"/>
      <c r="BG16" s="1210"/>
      <c r="BH16" s="1211"/>
      <c r="BI16" s="1211"/>
      <c r="BJ16" s="1211"/>
      <c r="BK16" s="1211"/>
      <c r="BL16" s="1212"/>
      <c r="BM16" s="1211"/>
      <c r="BN16" s="1211"/>
      <c r="BO16" s="1211"/>
      <c r="BP16" s="1211"/>
      <c r="BQ16" s="1212"/>
      <c r="BR16" s="1211"/>
      <c r="BS16" s="1211"/>
      <c r="BT16" s="1211"/>
      <c r="BU16" s="1211"/>
      <c r="BV16" s="1212"/>
      <c r="BW16" s="1211"/>
      <c r="BX16" s="1211"/>
      <c r="BY16" s="1211"/>
      <c r="BZ16" s="1211"/>
      <c r="CA16" s="1212"/>
      <c r="CB16" s="1211"/>
      <c r="CC16" s="1211"/>
      <c r="CD16" s="1211"/>
      <c r="CE16" s="1211"/>
      <c r="CF16" s="1212"/>
      <c r="CG16" s="1211"/>
      <c r="CH16" s="1211"/>
      <c r="CI16" s="1211"/>
      <c r="CJ16" s="1211"/>
      <c r="CK16" s="1212"/>
      <c r="CL16" s="1211"/>
      <c r="CM16" s="1211"/>
      <c r="CN16" s="1211"/>
      <c r="CO16" s="1211"/>
      <c r="CP16" s="1212"/>
      <c r="CQ16" s="1211"/>
      <c r="CR16" s="1211"/>
      <c r="CS16" s="1211"/>
      <c r="CT16" s="1211"/>
      <c r="CU16" s="1212"/>
      <c r="CV16" s="1211"/>
      <c r="CW16" s="1211"/>
      <c r="CX16" s="1211"/>
      <c r="CY16" s="1211"/>
      <c r="CZ16" s="1213"/>
      <c r="DA16" s="1211"/>
      <c r="DB16" s="1211"/>
      <c r="DC16" s="1211"/>
      <c r="DD16" s="1211"/>
      <c r="DE16" s="1213"/>
      <c r="DF16" s="1211"/>
      <c r="DG16" s="1211"/>
      <c r="DH16" s="1211"/>
      <c r="DI16" s="1211"/>
      <c r="DJ16" s="1213"/>
      <c r="DK16" s="1211"/>
      <c r="DL16" s="1211"/>
      <c r="DM16" s="1211"/>
      <c r="DN16" s="1211"/>
      <c r="DO16" s="1213"/>
      <c r="DP16" s="1211"/>
      <c r="DQ16" s="1211"/>
      <c r="DR16" s="1211"/>
      <c r="DS16" s="1211"/>
      <c r="DT16" s="1213"/>
      <c r="DU16" s="1211"/>
      <c r="DV16" s="1211"/>
      <c r="DW16" s="1211"/>
      <c r="DX16" s="1211"/>
      <c r="DY16" s="1213"/>
    </row>
    <row r="17" spans="1:129" ht="12" thickBot="1" x14ac:dyDescent="0.25">
      <c r="A17" s="1207"/>
      <c r="B17" s="1123"/>
      <c r="C17" s="1214"/>
      <c r="D17" s="1214"/>
      <c r="E17" s="1214"/>
      <c r="F17" s="1214"/>
      <c r="G17" s="1214"/>
      <c r="H17" s="1214"/>
      <c r="I17" s="1214"/>
      <c r="J17" s="1214"/>
      <c r="K17" s="1214"/>
      <c r="L17" s="1214"/>
      <c r="M17" s="1214"/>
      <c r="N17" s="1214"/>
      <c r="O17" s="1214"/>
      <c r="P17" s="1214"/>
      <c r="Q17" s="1214"/>
      <c r="R17" s="1214"/>
      <c r="S17" s="1214"/>
      <c r="T17" s="1214"/>
      <c r="U17" s="1214"/>
      <c r="V17" s="1214"/>
      <c r="W17" s="1214"/>
      <c r="X17" s="1214"/>
      <c r="Y17" s="1214"/>
      <c r="Z17" s="1214"/>
      <c r="AA17" s="1214"/>
      <c r="AB17" s="1214"/>
      <c r="AC17" s="1214"/>
      <c r="AD17" s="1214"/>
      <c r="AE17" s="1214"/>
      <c r="AF17" s="1214"/>
      <c r="AG17" s="1214"/>
      <c r="AH17" s="1214"/>
      <c r="AI17" s="1214"/>
      <c r="AJ17" s="1214"/>
      <c r="AK17" s="1214"/>
      <c r="AL17" s="1214"/>
      <c r="AM17" s="1214"/>
      <c r="AN17" s="1214"/>
      <c r="AO17" s="1214"/>
      <c r="AP17" s="1214"/>
      <c r="AQ17" s="1215"/>
      <c r="AR17" s="1215"/>
      <c r="AS17" s="1215"/>
      <c r="AT17" s="1215"/>
      <c r="AU17" s="1215"/>
      <c r="AV17" s="1216"/>
      <c r="AW17" s="1216"/>
      <c r="AX17" s="1216"/>
      <c r="AY17" s="1216"/>
      <c r="AZ17" s="1216"/>
      <c r="BA17" s="1216"/>
      <c r="BB17" s="1216"/>
      <c r="BC17" s="1216"/>
      <c r="BD17" s="1216"/>
      <c r="BE17" s="1216"/>
      <c r="BF17" s="1216"/>
      <c r="BG17" s="1216"/>
      <c r="BH17" s="1216"/>
      <c r="BI17" s="1216"/>
      <c r="BJ17" s="1216"/>
      <c r="BK17" s="1216"/>
      <c r="BL17" s="1216"/>
      <c r="BM17" s="1216"/>
      <c r="BN17" s="1216"/>
      <c r="BO17" s="1216"/>
      <c r="BP17" s="1216"/>
      <c r="BQ17" s="1216"/>
      <c r="BR17" s="1216"/>
      <c r="BS17" s="1216"/>
      <c r="BT17" s="1216"/>
      <c r="BU17" s="1216"/>
      <c r="BV17" s="1216"/>
      <c r="BW17" s="1216"/>
      <c r="BX17" s="1216"/>
      <c r="BY17" s="1216"/>
      <c r="BZ17" s="1216"/>
      <c r="CA17" s="1216"/>
      <c r="CB17" s="1216"/>
      <c r="CC17" s="1216"/>
      <c r="CD17" s="1216"/>
      <c r="CE17" s="1216"/>
      <c r="CF17" s="1216"/>
      <c r="CG17" s="1216"/>
      <c r="CH17" s="1216"/>
      <c r="CI17" s="1216"/>
      <c r="CJ17" s="1216"/>
      <c r="CK17" s="1216"/>
      <c r="CL17" s="1216"/>
      <c r="CM17" s="1216"/>
      <c r="CN17" s="1216"/>
      <c r="CO17" s="1216"/>
      <c r="CP17" s="1216"/>
      <c r="CQ17" s="1216"/>
      <c r="CR17" s="1216"/>
      <c r="CS17" s="1216"/>
      <c r="CT17" s="1216"/>
      <c r="CU17" s="1216"/>
      <c r="CV17" s="1216"/>
      <c r="CW17" s="1216"/>
      <c r="CX17" s="1216"/>
      <c r="CY17" s="1216"/>
      <c r="CZ17" s="1216"/>
      <c r="DA17" s="1216"/>
      <c r="DB17" s="1216"/>
      <c r="DC17" s="1216"/>
      <c r="DD17" s="1216"/>
      <c r="DE17" s="1216"/>
      <c r="DF17" s="1216"/>
      <c r="DG17" s="1216"/>
      <c r="DH17" s="1216"/>
      <c r="DI17" s="1216"/>
      <c r="DJ17" s="1216"/>
      <c r="DK17" s="1216"/>
      <c r="DL17" s="1216"/>
      <c r="DM17" s="1216"/>
      <c r="DN17" s="1216"/>
      <c r="DO17" s="1216"/>
      <c r="DP17" s="1216"/>
      <c r="DQ17" s="1216"/>
      <c r="DR17" s="1216"/>
      <c r="DS17" s="1216"/>
      <c r="DT17" s="1216"/>
      <c r="DU17" s="1216"/>
      <c r="DV17" s="1216"/>
      <c r="DW17" s="1216"/>
      <c r="DX17" s="1216"/>
      <c r="DY17" s="1216"/>
    </row>
    <row r="18" spans="1:129" ht="12" thickBot="1" x14ac:dyDescent="0.25">
      <c r="A18" s="1123"/>
      <c r="B18" s="1217" t="s">
        <v>1129</v>
      </c>
      <c r="C18" s="1218"/>
      <c r="D18" s="1219"/>
      <c r="E18" s="1219"/>
      <c r="F18" s="1219"/>
      <c r="G18" s="1219"/>
      <c r="H18" s="1219"/>
      <c r="I18" s="1219"/>
      <c r="J18" s="1219"/>
      <c r="K18" s="1219"/>
      <c r="L18" s="1219"/>
      <c r="M18" s="1219"/>
      <c r="N18" s="1219"/>
      <c r="O18" s="1219"/>
      <c r="P18" s="1219"/>
      <c r="Q18" s="1219"/>
      <c r="R18" s="1219"/>
      <c r="S18" s="1219"/>
      <c r="T18" s="1219"/>
      <c r="U18" s="1219"/>
      <c r="V18" s="1219"/>
      <c r="W18" s="1219"/>
      <c r="X18" s="1220"/>
      <c r="Y18" s="1220"/>
      <c r="Z18" s="1220"/>
      <c r="AA18" s="1220"/>
      <c r="AB18" s="1220"/>
      <c r="AC18" s="1220"/>
      <c r="AD18" s="1220"/>
      <c r="AE18" s="1220"/>
      <c r="AF18" s="1220"/>
      <c r="AG18" s="1220"/>
      <c r="AH18" s="1220"/>
      <c r="AI18" s="1220"/>
      <c r="AJ18" s="1220"/>
      <c r="AK18" s="1220"/>
      <c r="AL18" s="1220"/>
      <c r="AM18" s="1220"/>
      <c r="AN18" s="1220"/>
      <c r="AO18" s="1220"/>
      <c r="AP18" s="1220"/>
      <c r="AQ18" s="1220"/>
      <c r="AR18" s="1220"/>
      <c r="AS18" s="1220"/>
      <c r="AT18" s="1220"/>
      <c r="AU18" s="1220"/>
      <c r="AV18" s="1220"/>
      <c r="AW18" s="1220"/>
      <c r="AX18" s="1220"/>
      <c r="AY18" s="1220"/>
      <c r="AZ18" s="1220"/>
      <c r="BA18" s="1220"/>
      <c r="BB18" s="1220"/>
      <c r="BC18" s="1220"/>
      <c r="BD18" s="1220"/>
      <c r="BE18" s="1220"/>
      <c r="BF18" s="1220"/>
      <c r="BG18" s="1220"/>
      <c r="BH18" s="1220"/>
      <c r="BI18" s="1220"/>
      <c r="BJ18" s="1220"/>
      <c r="BK18" s="1220"/>
      <c r="BL18" s="1221"/>
      <c r="BM18" s="1220"/>
      <c r="BN18" s="1220"/>
      <c r="BO18" s="1220"/>
      <c r="BP18" s="1220"/>
      <c r="BQ18" s="1221"/>
      <c r="BR18" s="1220"/>
      <c r="BS18" s="1220"/>
      <c r="BT18" s="1220"/>
      <c r="BU18" s="1220"/>
      <c r="BV18" s="1221"/>
      <c r="BW18" s="1220"/>
      <c r="BX18" s="1220"/>
      <c r="BY18" s="1220"/>
      <c r="BZ18" s="1220"/>
      <c r="CA18" s="1221"/>
      <c r="CB18" s="1220"/>
      <c r="CC18" s="1220"/>
      <c r="CD18" s="1220"/>
      <c r="CE18" s="1220"/>
      <c r="CF18" s="1221"/>
      <c r="CG18" s="1220"/>
      <c r="CH18" s="1220"/>
      <c r="CI18" s="1220"/>
      <c r="CJ18" s="1220"/>
      <c r="CK18" s="1221"/>
      <c r="CL18" s="1220"/>
      <c r="CM18" s="1220"/>
      <c r="CN18" s="1220"/>
      <c r="CO18" s="1220"/>
      <c r="CP18" s="1221"/>
      <c r="CQ18" s="1220"/>
      <c r="CR18" s="1220"/>
      <c r="CS18" s="1220"/>
      <c r="CT18" s="1220"/>
      <c r="CU18" s="1221"/>
      <c r="CV18" s="1220"/>
      <c r="CW18" s="1220"/>
      <c r="CX18" s="1220"/>
      <c r="CY18" s="1220"/>
      <c r="CZ18" s="1222"/>
      <c r="DA18" s="1220"/>
      <c r="DB18" s="1220"/>
      <c r="DC18" s="1220"/>
      <c r="DD18" s="1220"/>
      <c r="DE18" s="1222"/>
      <c r="DF18" s="1220"/>
      <c r="DG18" s="1220"/>
      <c r="DH18" s="1220"/>
      <c r="DI18" s="1220"/>
      <c r="DJ18" s="1222"/>
      <c r="DK18" s="1220"/>
      <c r="DL18" s="1220"/>
      <c r="DM18" s="1220"/>
      <c r="DN18" s="1220"/>
      <c r="DO18" s="1222"/>
      <c r="DP18" s="1220"/>
      <c r="DQ18" s="1220"/>
      <c r="DR18" s="1220"/>
      <c r="DS18" s="1220"/>
      <c r="DT18" s="1222"/>
      <c r="DU18" s="1220"/>
      <c r="DV18" s="1220"/>
      <c r="DW18" s="1220"/>
      <c r="DX18" s="1220"/>
      <c r="DY18" s="1222"/>
    </row>
    <row r="19" spans="1:129" x14ac:dyDescent="0.2">
      <c r="A19" s="1223"/>
      <c r="B19" s="1190" t="s">
        <v>1130</v>
      </c>
      <c r="C19" s="1224"/>
      <c r="D19" s="1224"/>
      <c r="E19" s="1224"/>
      <c r="F19" s="1224"/>
      <c r="G19" s="1224"/>
      <c r="H19" s="1224"/>
      <c r="I19" s="1224"/>
      <c r="J19" s="1224"/>
      <c r="K19" s="1224"/>
      <c r="L19" s="1224"/>
      <c r="M19" s="1224"/>
      <c r="N19" s="1224"/>
      <c r="O19" s="1224"/>
      <c r="P19" s="1224"/>
      <c r="Q19" s="1224"/>
      <c r="R19" s="1224"/>
      <c r="S19" s="1224"/>
      <c r="T19" s="1224"/>
      <c r="U19" s="1224"/>
      <c r="V19" s="1224"/>
      <c r="W19" s="1224"/>
      <c r="X19" s="1225"/>
      <c r="Y19" s="1226"/>
      <c r="Z19" s="1226"/>
      <c r="AA19" s="1226"/>
      <c r="AB19" s="1226"/>
      <c r="AC19" s="1227"/>
      <c r="AD19" s="1226"/>
      <c r="AE19" s="1226"/>
      <c r="AF19" s="1226"/>
      <c r="AG19" s="1226"/>
      <c r="AH19" s="1227"/>
      <c r="AI19" s="1226"/>
      <c r="AJ19" s="1226"/>
      <c r="AK19" s="1226"/>
      <c r="AL19" s="1226"/>
      <c r="AM19" s="1227"/>
      <c r="AN19" s="1226"/>
      <c r="AO19" s="1226"/>
      <c r="AP19" s="1226"/>
      <c r="AQ19" s="1228"/>
      <c r="AR19" s="1227"/>
      <c r="AS19" s="1223"/>
      <c r="AT19" s="1223"/>
      <c r="AU19" s="1223"/>
      <c r="AV19" s="1223"/>
      <c r="AW19" s="1227"/>
      <c r="AX19" s="1223"/>
      <c r="AY19" s="1223"/>
      <c r="AZ19" s="1223"/>
      <c r="BA19" s="1223"/>
      <c r="BB19" s="1227"/>
      <c r="BC19" s="1223"/>
      <c r="BD19" s="1223"/>
      <c r="BE19" s="1223"/>
      <c r="BF19" s="1223"/>
      <c r="BG19" s="1227"/>
      <c r="BH19" s="1223"/>
      <c r="BI19" s="1223"/>
      <c r="BJ19" s="1223"/>
      <c r="BK19" s="1223"/>
      <c r="BL19" s="1194">
        <f>BL81+BL92+BL103+BL114+BL125+BL147+BL158+BL169+BL180+BL202+BL257+BL268+BL279+BL290+BL301+BL312+BL334+BL411+BL422+BL433</f>
        <v>-498.71890000000002</v>
      </c>
      <c r="BM19" s="1229"/>
      <c r="BN19" s="1229"/>
      <c r="BO19" s="1229"/>
      <c r="BP19" s="1229"/>
      <c r="BQ19" s="1194">
        <f>BQ81+BQ92+BQ103+BQ114+BQ125+BQ147+BQ158+BQ169+BQ180+BQ202+BQ257+BQ268+BQ279+BQ290+BQ301+BQ312+BQ334+BQ411+BQ422+BQ433</f>
        <v>-522.52570000000003</v>
      </c>
      <c r="BR19" s="1229"/>
      <c r="BS19" s="1229"/>
      <c r="BT19" s="1229"/>
      <c r="BU19" s="1229"/>
      <c r="BV19" s="1194">
        <f>BV81+BV92+BV103+BV114+BV125+BV147+BV158+BV169+BV180+BV202+BV257+BV268+BV279+BV290+BV301+BV312+BV334+BV411+BV422+BV433</f>
        <v>-547.03</v>
      </c>
      <c r="BW19" s="1229"/>
      <c r="BX19" s="1229"/>
      <c r="BY19" s="1229"/>
      <c r="BZ19" s="1229"/>
      <c r="CA19" s="1194">
        <f>CA81+CA92+CA103+CA114+CA125+CA147+CA158+CA169+CA180+CA202+CA257+CA268+CA279+CA290+CA301+CA312+CA334+CA411+CA422+CA433</f>
        <v>-561.92999999999995</v>
      </c>
      <c r="CB19" s="1229">
        <f>CB81+CB92+CB103+CB114+CB125+CB147+CB158+CB169+CB180+CB202+CB257+CB268+CB279+CB290+CB301+CB312+CB334+CB411+CB422+CB433</f>
        <v>-140.18937499999998</v>
      </c>
      <c r="CC19" s="1229">
        <f>CC81+CC92+CC103+CC114+CC125+CC147+CC158+CC169+CC180+CC202+CC257+CC268+CC279+CC290+CC301+CC312+CC334+CC411+CC422+CC433</f>
        <v>-146.89718749999997</v>
      </c>
      <c r="CD19" s="1229">
        <f>CD81+CD92+CD103+CD114+CD125+CD147+CD158+CD169+CD180+CD202+CD257+CD268+CD279+CD290+CD301+CD312+CD334+CD411+CD422+CD433</f>
        <v>-153.39249999999998</v>
      </c>
      <c r="CE19" s="1229">
        <f>CE81+CE92+CE103+CE114+CE125+CE147+CE158+CE169+CE180+CE202+CE257+CE268+CE279+CE290+CE301+CE312+CE334+CE411+CE422+CE433</f>
        <v>-145.52085500000001</v>
      </c>
      <c r="CF19" s="1194">
        <f>SUM(CB19:CE19)</f>
        <v>-585.99991749999992</v>
      </c>
      <c r="CG19" s="1229">
        <f>CG81+CG92+CG103+CG114+CG125+CG147+CG158+CG169+CG180+CG202+CG257+CG268+CG279+CG290+CG301+CG312+CG334+CG411+CG422+CG433</f>
        <v>-136.36296000000002</v>
      </c>
      <c r="CH19" s="1229">
        <f>CH81+CH92+CH103+CH114+CH125+CH147+CH158+CH169+CH180+CH202+CH257+CH268+CH279+CH290+CH301+CH312+CH334+CH411+CH422+CH433</f>
        <v>-132.28983500000001</v>
      </c>
      <c r="CI19" s="1229">
        <f>CI81+CI92+CI103+CI114+CI125+CI147+CI158+CI169+CI180+CI202+CI257+CI268+CI279+CI290+CI301+CI312+CI334+CI411+CI422+CI433</f>
        <v>-135.49546000000001</v>
      </c>
      <c r="CJ19" s="1229">
        <f>CJ81+CJ92+CJ103+CJ114+CJ125+CJ147+CJ158+CJ169+CJ180+CJ202+CJ257+CJ268+CJ279+CJ290+CJ301+CJ312+CJ334+CJ411+CJ422+CJ433+CJ323</f>
        <v>-132.17069958333335</v>
      </c>
      <c r="CK19" s="1194">
        <f>SUM(CG19:CJ19)</f>
        <v>-536.31895458333338</v>
      </c>
      <c r="CL19" s="1229">
        <f>CL81+CL92+CL103+CL114+CL125+CL147+CL158+CL169+CL180+CL202+CL257+CL268+CL279+CL290+CL301+CL312+CL334+CL411+CL422+CL433+CL323</f>
        <v>-127.5611475</v>
      </c>
      <c r="CM19" s="1229">
        <f>CM81+CM92+CM103+CM114+CM125+CM147+CM158+CM169+CM180+CM202+CM257+CM268+CM279+CM290+CM301+CM312+CM334+CM411+CM422+CM433+CM323</f>
        <v>-131.73614750000002</v>
      </c>
      <c r="CN19" s="1229">
        <f>CN81+CN92+CN103+CN114+CN125+CN147+CN158+CN169+CN180+CN202+CN257+CN268+CN279+CN290+CN301+CN312+CN334+CN411+CN422+CN433+CN323</f>
        <v>-131.73614750000002</v>
      </c>
      <c r="CO19" s="1229">
        <f>CO81+CO92+CO103+CO114+CO125+CO147+CO158+CO169+CO180+CO202+CO257+CO268+CO279+CO290+CO301+CO312+CO334+CO411+CO422+CO433+CO323+CO136+CO191+CO213+CO224</f>
        <v>-140.28823083333336</v>
      </c>
      <c r="CP19" s="1194">
        <f>CP81+CP92+CP103+CP114+CP125+CP147+CP158+CP169+CP180+CP202+CP257+CP268+CP279+CP290+CP301+CP312+CP334+CP411+CP422+CP433+CP323+CP136+CP191+CP213+CP224</f>
        <v>-531.32167333333325</v>
      </c>
      <c r="CQ19" s="1229">
        <f>CQ81+CQ92+CQ103+CQ114+CQ125+CQ147+CQ158+CQ169+CQ180+CQ202+CQ257+CQ268+CQ279+CQ290+CQ301+CQ312+CQ334+CQ411+CQ422+CQ433+CQ323+CQ136+CQ191+CQ213+CQ224</f>
        <v>-157.42364750000002</v>
      </c>
      <c r="CR19" s="1229">
        <f>CR81+CR92+CR103+CR114+CR125+CR147+CR158+CR169+CR180+CR202+CR257+CR268+CR279+CR290+CR301+CR312+CR334+CR411+CR422+CR433+CR323+CR136+CR191+CR213+CR224</f>
        <v>-164.92364750000002</v>
      </c>
      <c r="CS19" s="1229">
        <f>CS81+CS92+CS103+CS114+CS125+CS147+CS158+CS169+CS180+CS202+CS257+CS268+CS279+CS290+CS301+CS312+CS334+CS411+CS422+CS433+CS323+CS136+CS191+CS213+CS224</f>
        <v>-155.69802250000001</v>
      </c>
      <c r="CT19" s="1229">
        <f>CT81+CT92+CT103+CT114+CT125+CT147+CT158+CT169+CT180+CT202+CT257+CT268+CT279+CT290+CT301+CT312+CT334+CT411+CT422+CT433+CT323+CT136+CT191+CT213+CT224+CT235+CT246+CT345+CT356+CT367+CT378+CT389+CT400</f>
        <v>-149.37310499999998</v>
      </c>
      <c r="CU19" s="1194">
        <f>CU81+CU92+CU103+CU114+CU125+CU147+CU158+CU169+CU180+CU202+CU257+CU268+CU279+CU290+CU301+CU312+CU334+CU411+CU422+CU433+CU323+CU136+CU191+CU213+CU224</f>
        <v>-617.15279750000002</v>
      </c>
      <c r="CV19" s="1229">
        <f>CV81+CV92+CV103+CV114+CV125+CV147+CV158+CV169+CV180+CV202+CV257+CV268+CV279+CV290+CV301+CV312+CV334+CV411+CV422+CV433+CV323+CV136+CV191+CV213+CV224+CV235+CV246+CV345+CV356+CV367+CV378+CV389+CV400</f>
        <v>-126.47427249999998</v>
      </c>
      <c r="CW19" s="1229">
        <f>CW81+CW92+CW103+CW114+CW125+CW147+CW158+CW169+CW180+CW202+CW257+CW268+CW279+CW290+CW301+CW312+CW334+CW411+CW422+CW433+CW323+CW136+CW191+CW213+CW224+CW235+CW246+CW345+CW356+CW367+CW378+CW389+CW400</f>
        <v>-124.23989749999998</v>
      </c>
      <c r="CX19" s="1229">
        <f>CX81+CX92+CX103+CX114+CX125+CX147+CX158+CX169+CX180+CX202+CX257+CX268+CX279+CX290+CX301+CX312+CX334+CX411+CX422+CX433+CX323+CX136+CX191+CX213+CX224+CX235+CX246+CX345+CX356+CX367+CX378+CX389+CX400</f>
        <v>-263.34927249999998</v>
      </c>
      <c r="CY19" s="1229">
        <f>CY81+CY92+CY103+CY114+CY125+CY147+CY158+CY169+CY180+CY202+CY257+CY268+CY279+CY290+CY301+CY312+CY334+CY411+CY422+CY433+CY323+CY136+CY191+CY213+CY224+CY235+CY246+CY345+CY356+CY367+CY378+CY389+CY400</f>
        <v>-263.34927249999998</v>
      </c>
      <c r="CZ19" s="1230">
        <f t="shared" ref="CZ19:DJ19" si="0">CZ81+CZ92+CZ103+CZ114+CZ125+CZ147+CZ158+CZ169+CZ180+CZ202+CZ257+CZ268+CZ279+CZ290+CZ301+CZ312+CZ334+CZ411+CZ422+CZ433+CZ323+CZ136+CZ191+CZ213+CZ224+CZ235+CZ246+CZ345+CZ356+CZ367+CZ378+CZ389+CZ400</f>
        <v>-777.41271499999993</v>
      </c>
      <c r="DA19" s="1229">
        <f t="shared" si="0"/>
        <v>-263.34927249999998</v>
      </c>
      <c r="DB19" s="1229">
        <f>DB81+DB92+DB103+DB114+DB125+DB147+DB158+DB169+DB180+DB202+DB257+DB268+DB279+DB290+DB301+DB312+DB334+DB411+DB422+DB433+DB323+DB136+DB191+DB213+DB224+DB235+DB246+DB345+DB356+DB367+DB378+DB389+DB400+DB441</f>
        <v>-278.0345375</v>
      </c>
      <c r="DC19" s="1229">
        <f>DC81+DC92+DC103+DC114+DC125+DC147+DC158+DC169+DC180+DC202+DC257+DC268+DC279+DC290+DC301+DC312+DC334+DC411+DC422+DC433+DC323+DC136+DC191+DC213+DC224+DC235+DC246+DC345+DC356+DC367+DC378+DC389+DC400+DC441</f>
        <v>-271.069075</v>
      </c>
      <c r="DD19" s="1229">
        <f>DD81+DD92+DD103+DD114+DD125+DD147+DD158+DD169+DD180+DD202+DD257+DD268+DD279+DD290+DD301+DD312+DD334+DD411+DD422+DD433+DD323+DD136+DD191+DD213+DD224+DD235+DD246+DD345+DD356+DD367+DD378+DD389+DD400+DD441</f>
        <v>-271.069075</v>
      </c>
      <c r="DE19" s="1230">
        <f t="shared" si="0"/>
        <v>-1001.0718087499999</v>
      </c>
      <c r="DF19" s="1229">
        <f t="shared" si="0"/>
        <v>-253.46803499999999</v>
      </c>
      <c r="DG19" s="1229">
        <f t="shared" si="0"/>
        <v>-252.46803499999999</v>
      </c>
      <c r="DH19" s="1229">
        <f t="shared" si="0"/>
        <v>-252.46803499999999</v>
      </c>
      <c r="DI19" s="1229">
        <f t="shared" si="0"/>
        <v>-252.46803499999999</v>
      </c>
      <c r="DJ19" s="1230">
        <f t="shared" si="0"/>
        <v>-1010.8721399999999</v>
      </c>
      <c r="DK19" s="1229">
        <f t="shared" ref="DK19:DT19" si="1">DK81+DK92+DK103+DK114+DK125+DK147+DK158+DK169+DK180+DK202+DK257+DK268+DK279+DK290+DK301+DK312+DK334+DK411+DK422+DK433+DK323+DK136+DK191+DK213+DK224+DK235+DK246+DK345+DK356+DK367+DK378+DK389+DK400</f>
        <v>-339.46803499999999</v>
      </c>
      <c r="DL19" s="1229">
        <f t="shared" si="1"/>
        <v>-644.44753500000002</v>
      </c>
      <c r="DM19" s="1229">
        <f t="shared" si="1"/>
        <v>-636.68503499999997</v>
      </c>
      <c r="DN19" s="1229">
        <f t="shared" si="1"/>
        <v>-636.68503499999997</v>
      </c>
      <c r="DO19" s="1230">
        <f t="shared" si="1"/>
        <v>-2257.2856400000001</v>
      </c>
      <c r="DP19" s="1229">
        <f t="shared" si="1"/>
        <v>-636.68503499999997</v>
      </c>
      <c r="DQ19" s="1229">
        <f t="shared" si="1"/>
        <v>-628.92253500000004</v>
      </c>
      <c r="DR19" s="1229">
        <f t="shared" si="1"/>
        <v>-621.16003499999999</v>
      </c>
      <c r="DS19" s="1229">
        <f t="shared" si="1"/>
        <v>-621.16003499999999</v>
      </c>
      <c r="DT19" s="1230">
        <f t="shared" si="1"/>
        <v>-2507.9276399999999</v>
      </c>
      <c r="DU19" s="1229">
        <f t="shared" ref="DU19:DY19" si="2">DU81+DU92+DU103+DU114+DU125+DU147+DU158+DU169+DU180+DU202+DU257+DU268+DU279+DU290+DU301+DU312+DU334+DU411+DU422+DU433+DU323+DU136+DU191+DU213+DU224+DU235+DU246+DU345+DU356+DU367+DU378+DU389+DU400</f>
        <v>-621.16003499999999</v>
      </c>
      <c r="DV19" s="1229">
        <f t="shared" si="2"/>
        <v>-613.39753500000006</v>
      </c>
      <c r="DW19" s="1229">
        <f t="shared" si="2"/>
        <v>-605.63503500000002</v>
      </c>
      <c r="DX19" s="1229">
        <f t="shared" si="2"/>
        <v>-605.63503500000002</v>
      </c>
      <c r="DY19" s="1230">
        <f t="shared" si="2"/>
        <v>-2445.82764</v>
      </c>
    </row>
    <row r="20" spans="1:129" x14ac:dyDescent="0.2">
      <c r="A20" s="1223"/>
      <c r="B20" s="1190" t="s">
        <v>1131</v>
      </c>
      <c r="C20" s="1182"/>
      <c r="D20" s="1182"/>
      <c r="E20" s="1182"/>
      <c r="F20" s="1182"/>
      <c r="G20" s="1182"/>
      <c r="H20" s="1182"/>
      <c r="I20" s="1182"/>
      <c r="J20" s="1182"/>
      <c r="K20" s="1182"/>
      <c r="L20" s="1182"/>
      <c r="M20" s="1182"/>
      <c r="N20" s="1182"/>
      <c r="O20" s="1182"/>
      <c r="P20" s="1182"/>
      <c r="Q20" s="1182"/>
      <c r="R20" s="1182"/>
      <c r="S20" s="1182"/>
      <c r="T20" s="1182"/>
      <c r="U20" s="1182"/>
      <c r="V20" s="1182"/>
      <c r="W20" s="1182"/>
      <c r="X20" s="1227"/>
      <c r="Y20" s="1231"/>
      <c r="Z20" s="1231"/>
      <c r="AA20" s="1231"/>
      <c r="AB20" s="1231"/>
      <c r="AC20" s="1227"/>
      <c r="AD20" s="1231"/>
      <c r="AE20" s="1231"/>
      <c r="AF20" s="1231"/>
      <c r="AG20" s="1231"/>
      <c r="AH20" s="1227"/>
      <c r="AI20" s="1231"/>
      <c r="AJ20" s="1231"/>
      <c r="AK20" s="1231"/>
      <c r="AL20" s="1231"/>
      <c r="AM20" s="1227"/>
      <c r="AN20" s="1231"/>
      <c r="AO20" s="1231"/>
      <c r="AP20" s="1231"/>
      <c r="AQ20" s="1231"/>
      <c r="AR20" s="1227"/>
      <c r="AS20" s="1231"/>
      <c r="AT20" s="1231"/>
      <c r="AU20" s="1231"/>
      <c r="AV20" s="1231"/>
      <c r="AW20" s="1227"/>
      <c r="AX20" s="1231"/>
      <c r="AY20" s="1231"/>
      <c r="AZ20" s="1231"/>
      <c r="BA20" s="1231"/>
      <c r="BB20" s="1227"/>
      <c r="BC20" s="1231"/>
      <c r="BD20" s="1231"/>
      <c r="BE20" s="1231"/>
      <c r="BF20" s="1231"/>
      <c r="BG20" s="1227"/>
      <c r="BH20" s="1231"/>
      <c r="BI20" s="1231"/>
      <c r="BJ20" s="1231"/>
      <c r="BK20" s="1231"/>
      <c r="BL20" s="1194">
        <f>-IS!BL20</f>
        <v>-434.6</v>
      </c>
      <c r="BM20" s="1195"/>
      <c r="BN20" s="1195"/>
      <c r="BO20" s="1195"/>
      <c r="BP20" s="1195"/>
      <c r="BQ20" s="1194">
        <f>-IS!BQ20</f>
        <v>-509.5</v>
      </c>
      <c r="BR20" s="1195"/>
      <c r="BS20" s="1195"/>
      <c r="BT20" s="1195"/>
      <c r="BU20" s="1195"/>
      <c r="BV20" s="1194">
        <f>-IS!BV20</f>
        <v>-525</v>
      </c>
      <c r="BW20" s="1195"/>
      <c r="BX20" s="1195"/>
      <c r="BY20" s="1195"/>
      <c r="BZ20" s="1195"/>
      <c r="CA20" s="1194">
        <f>-IS!CA20</f>
        <v>-536</v>
      </c>
      <c r="CB20" s="1229">
        <f>-IS!CB20</f>
        <v>-134</v>
      </c>
      <c r="CC20" s="1229">
        <f>-IS!CC20</f>
        <v>-148</v>
      </c>
      <c r="CD20" s="1229">
        <f>-IS!CD20</f>
        <v>-155</v>
      </c>
      <c r="CE20" s="1229">
        <f>-IS!CE20</f>
        <v>-147.30000000000001</v>
      </c>
      <c r="CF20" s="1194">
        <f>SUM(CB20:CE20)</f>
        <v>-584.29999999999995</v>
      </c>
      <c r="CG20" s="1229">
        <f>-IS!CG20</f>
        <v>-132</v>
      </c>
      <c r="CH20" s="1229">
        <f>-IS!CH20</f>
        <v>-131.5</v>
      </c>
      <c r="CI20" s="1229">
        <f>-IS!CI20</f>
        <v>-133.80000000000001</v>
      </c>
      <c r="CJ20" s="1229">
        <f>-IS!CJ20</f>
        <v>-159</v>
      </c>
      <c r="CK20" s="1194">
        <f>SUM(CG20:CJ20)</f>
        <v>-556.29999999999995</v>
      </c>
      <c r="CL20" s="1229">
        <f>-IS!CL20</f>
        <v>-126</v>
      </c>
      <c r="CM20" s="1229">
        <f>-IS!CM20</f>
        <v>-126</v>
      </c>
      <c r="CN20" s="1229">
        <f>-IS!CN20</f>
        <v>-122</v>
      </c>
      <c r="CO20" s="1229">
        <f>-IS!CO20</f>
        <v>-135.19999999999999</v>
      </c>
      <c r="CP20" s="1194">
        <f>SUM(CL20:CO20)</f>
        <v>-509.2</v>
      </c>
      <c r="CQ20" s="1229">
        <f>-IS!CQ20</f>
        <v>-158.4</v>
      </c>
      <c r="CR20" s="1229">
        <f>-IS!CR20</f>
        <v>-164.92364750000002</v>
      </c>
      <c r="CS20" s="1229">
        <f>-IS!CS20</f>
        <v>-155.69802250000001</v>
      </c>
      <c r="CT20" s="1229">
        <f>-IS!CT20</f>
        <v>-149.37310499999998</v>
      </c>
      <c r="CU20" s="1194">
        <f>SUM(CQ20:CT20)</f>
        <v>-628.39477499999998</v>
      </c>
      <c r="CV20" s="1229">
        <f>-IS!CV20</f>
        <v>-126.47427249999998</v>
      </c>
      <c r="CW20" s="1229">
        <f>-IS!CW20</f>
        <v>-124.23989749999998</v>
      </c>
      <c r="CX20" s="1229">
        <f>-IS!CX20</f>
        <v>-263.34927249999998</v>
      </c>
      <c r="CY20" s="1229">
        <f>-IS!CY20</f>
        <v>-263.34927249999998</v>
      </c>
      <c r="CZ20" s="1194">
        <f>SUM(CV20:CY20)</f>
        <v>-777.41271499999993</v>
      </c>
      <c r="DA20" s="1229">
        <f>-IS!DA20</f>
        <v>-288</v>
      </c>
      <c r="DB20" s="1229">
        <f>-IS!DB20</f>
        <v>-288</v>
      </c>
      <c r="DC20" s="1229">
        <f>-IS!DC20</f>
        <v>-288</v>
      </c>
      <c r="DD20" s="1229">
        <f>-IS!DD20</f>
        <v>-288</v>
      </c>
      <c r="DE20" s="1194">
        <f>SUM(DA20:DD20)</f>
        <v>-1152</v>
      </c>
      <c r="DF20" s="1229">
        <f>-IS!DF20</f>
        <v>-258.3</v>
      </c>
      <c r="DG20" s="1229">
        <f>-IS!DG20</f>
        <v>-252.9</v>
      </c>
      <c r="DH20" s="1229">
        <f>-IS!DH20</f>
        <v>-251.06940599999999</v>
      </c>
      <c r="DI20" s="1229">
        <f>-IS!DI20</f>
        <v>-248.98086699999999</v>
      </c>
      <c r="DJ20" s="1194">
        <f>SUM(DF20:DI20)</f>
        <v>-1011.250273</v>
      </c>
      <c r="DK20" s="1229">
        <f>-IS!DK20</f>
        <v>-339.46803499999999</v>
      </c>
      <c r="DL20" s="1229">
        <f>-IS!DL20</f>
        <v>-644.44753500000002</v>
      </c>
      <c r="DM20" s="1229">
        <f>-IS!DM20</f>
        <v>-636.68503499999997</v>
      </c>
      <c r="DN20" s="1229">
        <f>-IS!DN20</f>
        <v>-636.68503499999997</v>
      </c>
      <c r="DO20" s="1194">
        <f>SUM(DK20:DN20)</f>
        <v>-2257.2856400000001</v>
      </c>
      <c r="DP20" s="1229">
        <f>-IS!DP20</f>
        <v>-636.68503499999997</v>
      </c>
      <c r="DQ20" s="1229">
        <f>-IS!DQ20</f>
        <v>-628.92253500000004</v>
      </c>
      <c r="DR20" s="1229">
        <f>-IS!DR20</f>
        <v>-621.16003499999999</v>
      </c>
      <c r="DS20" s="1229">
        <f>-IS!DS20</f>
        <v>-621.16003499999999</v>
      </c>
      <c r="DT20" s="1194">
        <f>SUM(DP20:DS20)</f>
        <v>-2507.9276399999999</v>
      </c>
      <c r="DU20" s="1229">
        <f>-IS!DU20</f>
        <v>-621.16003499999999</v>
      </c>
      <c r="DV20" s="1229">
        <f>-IS!DV20</f>
        <v>-613.39753500000006</v>
      </c>
      <c r="DW20" s="1229">
        <f>-IS!DW20</f>
        <v>-605.63503500000002</v>
      </c>
      <c r="DX20" s="1229">
        <f>-IS!DX20</f>
        <v>-605.63503500000002</v>
      </c>
      <c r="DY20" s="1194">
        <f>SUM(DU20:DX20)</f>
        <v>-2445.82764</v>
      </c>
    </row>
    <row r="21" spans="1:129" outlineLevel="1" x14ac:dyDescent="0.2">
      <c r="A21" s="1223"/>
      <c r="B21" s="1199" t="s">
        <v>779</v>
      </c>
      <c r="C21" s="1200"/>
      <c r="D21" s="1182"/>
      <c r="E21" s="1182"/>
      <c r="F21" s="1182"/>
      <c r="G21" s="1182"/>
      <c r="H21" s="1182"/>
      <c r="I21" s="1182"/>
      <c r="J21" s="1182"/>
      <c r="K21" s="1182"/>
      <c r="L21" s="1182"/>
      <c r="M21" s="1182"/>
      <c r="N21" s="1182"/>
      <c r="O21" s="1182"/>
      <c r="P21" s="1182"/>
      <c r="Q21" s="1182"/>
      <c r="R21" s="1182"/>
      <c r="S21" s="1182"/>
      <c r="T21" s="1182"/>
      <c r="U21" s="1182"/>
      <c r="V21" s="1182"/>
      <c r="W21" s="1182"/>
      <c r="X21" s="1232"/>
      <c r="Y21" s="1233"/>
      <c r="Z21" s="1233"/>
      <c r="AA21" s="1233"/>
      <c r="AB21" s="1233"/>
      <c r="AC21" s="1232"/>
      <c r="AD21" s="1233"/>
      <c r="AE21" s="1233"/>
      <c r="AF21" s="1233"/>
      <c r="AG21" s="1233"/>
      <c r="AH21" s="1232"/>
      <c r="AI21" s="1233"/>
      <c r="AJ21" s="1233"/>
      <c r="AK21" s="1233"/>
      <c r="AL21" s="1233"/>
      <c r="AM21" s="1232"/>
      <c r="AN21" s="1233"/>
      <c r="AO21" s="1233"/>
      <c r="AP21" s="1233"/>
      <c r="AQ21" s="1233"/>
      <c r="AR21" s="1232"/>
      <c r="AS21" s="1233"/>
      <c r="AT21" s="1233"/>
      <c r="AU21" s="1233"/>
      <c r="AV21" s="1233"/>
      <c r="AW21" s="1232"/>
      <c r="AX21" s="1233"/>
      <c r="AY21" s="1233"/>
      <c r="AZ21" s="1233"/>
      <c r="BA21" s="1233"/>
      <c r="BB21" s="1232"/>
      <c r="BC21" s="1233"/>
      <c r="BD21" s="1233"/>
      <c r="BE21" s="1233"/>
      <c r="BF21" s="1233"/>
      <c r="BG21" s="1232"/>
      <c r="BH21" s="1233"/>
      <c r="BI21" s="1233"/>
      <c r="BJ21" s="1233"/>
      <c r="BK21" s="1233"/>
      <c r="BL21" s="1234"/>
      <c r="BM21" s="1235"/>
      <c r="BN21" s="1235"/>
      <c r="BO21" s="1235"/>
      <c r="BP21" s="1235"/>
      <c r="BQ21" s="1234"/>
      <c r="BR21" s="1235"/>
      <c r="BS21" s="1235"/>
      <c r="BT21" s="1235"/>
      <c r="BU21" s="1235"/>
      <c r="BV21" s="1234"/>
      <c r="BW21" s="1235"/>
      <c r="BX21" s="1235"/>
      <c r="BY21" s="1235"/>
      <c r="BZ21" s="1235"/>
      <c r="CA21" s="1234"/>
      <c r="CB21" s="1235"/>
      <c r="CC21" s="1235"/>
      <c r="CD21" s="1235"/>
      <c r="CE21" s="1235"/>
      <c r="CF21" s="1234"/>
      <c r="CG21" s="1235"/>
      <c r="CH21" s="1235"/>
      <c r="CI21" s="1235"/>
      <c r="CJ21" s="1204">
        <f>CJ20-CJ19</f>
        <v>-26.829300416666655</v>
      </c>
      <c r="CK21" s="1234">
        <f>CK20-CK19</f>
        <v>-19.981045416666575</v>
      </c>
      <c r="CL21" s="1204">
        <f>CL19-CL20</f>
        <v>-1.5611475000000041</v>
      </c>
      <c r="CM21" s="1204">
        <f>CM19-CM20</f>
        <v>-5.7361475000000155</v>
      </c>
      <c r="CN21" s="1204">
        <f>CN20-CN19</f>
        <v>9.7361475000000155</v>
      </c>
      <c r="CO21" s="1204">
        <f>CO20-CO19</f>
        <v>5.0882308333333697</v>
      </c>
      <c r="CP21" s="1234">
        <f>CP20-CP19</f>
        <v>22.121673333333263</v>
      </c>
      <c r="CQ21" s="1204">
        <f>CQ19-CQ20</f>
        <v>0.97635249999999019</v>
      </c>
      <c r="CR21" s="1204">
        <f>CR19-CR20</f>
        <v>0</v>
      </c>
      <c r="CS21" s="1204">
        <f>CS20-CS19</f>
        <v>0</v>
      </c>
      <c r="CT21" s="1204">
        <f>CT20-CT19</f>
        <v>0</v>
      </c>
      <c r="CU21" s="1234">
        <f>CU20-CU19</f>
        <v>-11.241977499999962</v>
      </c>
      <c r="CV21" s="1204">
        <f>CV19-CV20</f>
        <v>0</v>
      </c>
      <c r="CW21" s="1204">
        <f>CW19-CW20</f>
        <v>0</v>
      </c>
      <c r="CX21" s="1204">
        <f>CX20-CX19</f>
        <v>0</v>
      </c>
      <c r="CY21" s="1204">
        <f>CY20-CY19</f>
        <v>0</v>
      </c>
      <c r="CZ21" s="1234">
        <f>CZ20-CZ19</f>
        <v>0</v>
      </c>
      <c r="DA21" s="1204">
        <f>DA19-DA20</f>
        <v>24.650727500000016</v>
      </c>
      <c r="DB21" s="1204">
        <f>DB19-DB20</f>
        <v>9.965462500000001</v>
      </c>
      <c r="DC21" s="1204">
        <f>DC20-DC19</f>
        <v>-16.930925000000002</v>
      </c>
      <c r="DD21" s="1204">
        <f>DD20-DD19</f>
        <v>-16.930925000000002</v>
      </c>
      <c r="DE21" s="1234">
        <f>DE20-DE19</f>
        <v>-150.92819125000005</v>
      </c>
      <c r="DF21" s="1204">
        <f>DF19-DF20</f>
        <v>4.8319650000000252</v>
      </c>
      <c r="DG21" s="1204">
        <f>DG19-DG20</f>
        <v>0.43196500000001947</v>
      </c>
      <c r="DH21" s="1204">
        <f>DH20-DH19</f>
        <v>1.3986289999999997</v>
      </c>
      <c r="DI21" s="1204">
        <f>DI20-DI19</f>
        <v>3.4871679999999969</v>
      </c>
      <c r="DJ21" s="1234">
        <f>DJ20-DJ19</f>
        <v>-0.37813300000004801</v>
      </c>
      <c r="DK21" s="1204">
        <f>DK19-DK20</f>
        <v>0</v>
      </c>
      <c r="DL21" s="1204">
        <f>DL19-DL20</f>
        <v>0</v>
      </c>
      <c r="DM21" s="1204">
        <f>DM20-DM19</f>
        <v>0</v>
      </c>
      <c r="DN21" s="1204">
        <f>DN20-DN19</f>
        <v>0</v>
      </c>
      <c r="DO21" s="1234">
        <f>DO20-DO19</f>
        <v>0</v>
      </c>
      <c r="DP21" s="1204">
        <f>DP19-DP20</f>
        <v>0</v>
      </c>
      <c r="DQ21" s="1204">
        <f>DQ19-DQ20</f>
        <v>0</v>
      </c>
      <c r="DR21" s="1204">
        <f>DR20-DR19</f>
        <v>0</v>
      </c>
      <c r="DS21" s="1204">
        <f>DS20-DS19</f>
        <v>0</v>
      </c>
      <c r="DT21" s="1234">
        <f>DT20-DT19</f>
        <v>0</v>
      </c>
      <c r="DU21" s="1204">
        <f>DU19-DU20</f>
        <v>0</v>
      </c>
      <c r="DV21" s="1204">
        <f>DV19-DV20</f>
        <v>0</v>
      </c>
      <c r="DW21" s="1204">
        <f>DW20-DW19</f>
        <v>0</v>
      </c>
      <c r="DX21" s="1204">
        <f>DX20-DX19</f>
        <v>0</v>
      </c>
      <c r="DY21" s="1234">
        <f>DY20-DY19</f>
        <v>0</v>
      </c>
    </row>
    <row r="22" spans="1:129" ht="12" thickBot="1" x14ac:dyDescent="0.25">
      <c r="A22" s="1123"/>
      <c r="B22" t="s">
        <v>1373</v>
      </c>
      <c r="C22" s="1209"/>
      <c r="D22" s="1209"/>
      <c r="E22" s="1209"/>
      <c r="F22" s="1209"/>
      <c r="G22" s="1209"/>
      <c r="H22" s="1209"/>
      <c r="I22" s="1209"/>
      <c r="J22" s="1209"/>
      <c r="K22" s="1209"/>
      <c r="L22" s="1209"/>
      <c r="M22" s="1209"/>
      <c r="N22" s="1209"/>
      <c r="O22" s="1209"/>
      <c r="P22" s="1209"/>
      <c r="Q22" s="1209"/>
      <c r="R22" s="1209"/>
      <c r="S22" s="1209"/>
      <c r="T22" s="1209"/>
      <c r="U22" s="1209"/>
      <c r="V22" s="1209"/>
      <c r="W22" s="1209"/>
      <c r="X22" s="1236"/>
      <c r="Y22" s="1209"/>
      <c r="Z22" s="1209"/>
      <c r="AA22" s="1209"/>
      <c r="AB22" s="1209"/>
      <c r="AC22" s="1236"/>
      <c r="AD22" s="1209"/>
      <c r="AE22" s="1209"/>
      <c r="AF22" s="1209"/>
      <c r="AG22" s="1209"/>
      <c r="AH22" s="1236"/>
      <c r="AI22" s="1209"/>
      <c r="AJ22" s="1209"/>
      <c r="AK22" s="1209"/>
      <c r="AL22" s="1209"/>
      <c r="AM22" s="1236"/>
      <c r="AN22" s="1209"/>
      <c r="AO22" s="1209"/>
      <c r="AP22" s="1209"/>
      <c r="AQ22" s="1237"/>
      <c r="AR22" s="1236"/>
      <c r="AS22" s="1237"/>
      <c r="AT22" s="1237"/>
      <c r="AU22" s="1237"/>
      <c r="AV22" s="1237"/>
      <c r="AW22" s="1236"/>
      <c r="AX22" s="1237"/>
      <c r="AY22" s="1237"/>
      <c r="AZ22" s="1237"/>
      <c r="BA22" s="1237"/>
      <c r="BB22" s="1236"/>
      <c r="BC22" s="1237"/>
      <c r="BD22" s="1237"/>
      <c r="BE22" s="1237"/>
      <c r="BF22" s="1237"/>
      <c r="BG22" s="1236"/>
      <c r="BH22" s="1237"/>
      <c r="BI22" s="1237"/>
      <c r="BJ22" s="1237"/>
      <c r="BK22" s="1237"/>
      <c r="BL22" s="1238"/>
      <c r="BM22" s="1239"/>
      <c r="BN22" s="1239"/>
      <c r="BO22" s="1239"/>
      <c r="BP22" s="1239"/>
      <c r="BQ22" s="1238"/>
      <c r="BR22" s="1239"/>
      <c r="BS22" s="1239"/>
      <c r="BT22" s="1239"/>
      <c r="BU22" s="1239"/>
      <c r="BV22" s="1238"/>
      <c r="BW22" s="1239"/>
      <c r="BX22" s="1239"/>
      <c r="BY22" s="1239"/>
      <c r="BZ22" s="1239"/>
      <c r="CA22" s="1238"/>
      <c r="CB22" s="1239"/>
      <c r="CC22" s="1239"/>
      <c r="CD22" s="1239"/>
      <c r="CE22" s="1239"/>
      <c r="CF22" s="1238"/>
      <c r="CG22" s="1239"/>
      <c r="CH22" s="1239"/>
      <c r="CI22" s="1239"/>
      <c r="CJ22" s="1239"/>
      <c r="CK22" s="1238"/>
      <c r="CL22" s="1239"/>
      <c r="CM22" s="1239"/>
      <c r="CN22" s="1239"/>
      <c r="CO22" s="1239"/>
      <c r="CP22" s="1238"/>
      <c r="CQ22" s="1239"/>
      <c r="CR22" s="1239"/>
      <c r="CS22" s="1239"/>
      <c r="CT22" s="1239"/>
      <c r="CU22" s="1238"/>
      <c r="CV22" s="1239">
        <f>CV345+CV356+CV367+CV378+CV389+CV400</f>
        <v>0</v>
      </c>
      <c r="CW22" s="1239">
        <f>CW345+CW356+CW367+CW378+CW389+CW400</f>
        <v>0</v>
      </c>
      <c r="CX22" s="1239">
        <f>CX345+CX356+CX367+CX378+CX389+CX400</f>
        <v>-141.34375</v>
      </c>
      <c r="CY22" s="1239">
        <f>CY345+CY356+CY367+CY378+CY389+CY400</f>
        <v>-141.34375</v>
      </c>
      <c r="CZ22" s="1238"/>
      <c r="DA22" s="1239"/>
      <c r="DB22" s="1239"/>
      <c r="DC22" s="1239"/>
      <c r="DD22" s="1239"/>
      <c r="DE22" s="1238"/>
      <c r="DF22" s="1239"/>
      <c r="DG22" s="1239"/>
      <c r="DH22" s="1239"/>
      <c r="DI22" s="1239"/>
      <c r="DJ22" s="1238"/>
      <c r="DK22" s="1239"/>
      <c r="DL22" s="1239"/>
      <c r="DM22" s="1239"/>
      <c r="DN22" s="1239"/>
      <c r="DO22" s="1238"/>
      <c r="DP22" s="1239"/>
      <c r="DQ22" s="1239"/>
      <c r="DR22" s="1239"/>
      <c r="DS22" s="1239"/>
      <c r="DT22" s="1238"/>
      <c r="DU22" s="1239"/>
      <c r="DV22" s="1239"/>
      <c r="DW22" s="1239"/>
      <c r="DX22" s="1239"/>
      <c r="DY22" s="1238"/>
    </row>
    <row r="23" spans="1:129" ht="12" thickBot="1" x14ac:dyDescent="0.25">
      <c r="A23" s="1123"/>
      <c r="B23" s="1240"/>
      <c r="C23" s="1214"/>
      <c r="D23" s="1214"/>
      <c r="E23" s="1214"/>
      <c r="F23" s="1214"/>
      <c r="G23" s="1214"/>
      <c r="H23" s="1214"/>
      <c r="I23" s="1214"/>
      <c r="J23" s="1214"/>
      <c r="K23" s="1214"/>
      <c r="L23" s="1214"/>
      <c r="M23" s="1214"/>
      <c r="N23" s="1214"/>
      <c r="O23" s="1214"/>
      <c r="P23" s="1214"/>
      <c r="Q23" s="1214"/>
      <c r="R23" s="1214"/>
      <c r="S23" s="1214"/>
      <c r="T23" s="1214"/>
      <c r="U23" s="1214"/>
      <c r="V23" s="1214"/>
      <c r="W23" s="1214"/>
      <c r="X23" s="1215"/>
      <c r="Y23" s="1214"/>
      <c r="Z23" s="1214"/>
      <c r="AA23" s="1214"/>
      <c r="AB23" s="1214"/>
      <c r="AC23" s="1215"/>
      <c r="AD23" s="1214"/>
      <c r="AE23" s="1214"/>
      <c r="AF23" s="1214"/>
      <c r="AG23" s="1214"/>
      <c r="AH23" s="1215"/>
      <c r="AI23" s="1214"/>
      <c r="AJ23" s="1214"/>
      <c r="AK23" s="1214"/>
      <c r="AL23" s="1214"/>
      <c r="AM23" s="1215"/>
      <c r="AN23" s="1214"/>
      <c r="AO23" s="1214"/>
      <c r="AP23" s="1214"/>
      <c r="AQ23" s="1215"/>
      <c r="AR23" s="1215"/>
      <c r="AS23" s="1215"/>
      <c r="AT23" s="1215"/>
      <c r="AU23" s="1215"/>
      <c r="AV23" s="1215"/>
      <c r="AW23" s="1215"/>
      <c r="AX23" s="1215"/>
      <c r="AY23" s="1215"/>
      <c r="AZ23" s="1215"/>
      <c r="BA23" s="1215"/>
      <c r="BB23" s="1215"/>
      <c r="BC23" s="1215"/>
      <c r="BD23" s="1215"/>
      <c r="BE23" s="1215"/>
      <c r="BF23" s="1215"/>
      <c r="BG23" s="1215"/>
      <c r="BH23" s="1215"/>
      <c r="BI23" s="1215"/>
      <c r="BJ23" s="1215"/>
      <c r="BK23" s="1215"/>
      <c r="BL23" s="1241"/>
      <c r="BM23" s="1241"/>
      <c r="BN23" s="1241"/>
      <c r="BO23" s="1241"/>
      <c r="BP23" s="1241"/>
      <c r="BQ23" s="1241"/>
      <c r="BR23" s="1241"/>
      <c r="BS23" s="1241"/>
      <c r="BT23" s="1241"/>
      <c r="BU23" s="1241"/>
      <c r="BV23" s="1241"/>
      <c r="BW23" s="1241"/>
      <c r="BX23" s="1241"/>
      <c r="BY23" s="1241"/>
      <c r="BZ23" s="1241"/>
      <c r="CA23" s="1241"/>
      <c r="CB23" s="1241"/>
      <c r="CC23" s="1241"/>
      <c r="CD23" s="1241"/>
      <c r="CE23" s="1241"/>
      <c r="CF23" s="1241"/>
      <c r="CG23" s="1241"/>
      <c r="CH23" s="1241"/>
      <c r="CI23" s="1241"/>
      <c r="CJ23" s="1241"/>
      <c r="CK23" s="1241"/>
      <c r="CL23" s="1241"/>
      <c r="CM23" s="1241"/>
      <c r="CN23" s="1241"/>
      <c r="CO23" s="1241"/>
      <c r="CP23" s="1241"/>
      <c r="CQ23" s="1241"/>
      <c r="CR23" s="1241"/>
      <c r="CS23" s="1241"/>
      <c r="CT23" s="1241"/>
      <c r="CU23" s="1241"/>
      <c r="CV23" s="1241"/>
      <c r="CW23" s="1241"/>
      <c r="CX23" s="1241"/>
      <c r="CY23" s="1241"/>
      <c r="CZ23" s="1241"/>
      <c r="DA23" s="1241"/>
      <c r="DB23" s="1241"/>
      <c r="DC23" s="1241"/>
      <c r="DD23" s="1241"/>
      <c r="DE23" s="1241"/>
      <c r="DF23" s="1241"/>
      <c r="DG23" s="1241"/>
      <c r="DH23" s="1241"/>
      <c r="DI23" s="1241"/>
      <c r="DJ23" s="1241"/>
      <c r="DK23" s="1241"/>
      <c r="DL23" s="1241"/>
      <c r="DM23" s="1241"/>
      <c r="DN23" s="1241"/>
      <c r="DO23" s="1241"/>
      <c r="DP23" s="1241"/>
      <c r="DQ23" s="1241"/>
      <c r="DR23" s="1241"/>
      <c r="DS23" s="1241"/>
      <c r="DT23" s="1241"/>
      <c r="DU23" s="1241"/>
      <c r="DV23" s="1241"/>
      <c r="DW23" s="1241"/>
      <c r="DX23" s="1241"/>
      <c r="DY23" s="1241"/>
    </row>
    <row r="24" spans="1:129" x14ac:dyDescent="0.2">
      <c r="A24" s="1123"/>
      <c r="B24" t="s">
        <v>1363</v>
      </c>
      <c r="BL24" s="1222"/>
      <c r="BQ24" s="1222"/>
      <c r="BV24" s="1222"/>
      <c r="CA24" s="1222"/>
      <c r="CF24" s="1222"/>
      <c r="CK24" s="1222"/>
      <c r="CP24" s="1222"/>
      <c r="CU24" s="1222"/>
      <c r="CZ24" s="1222"/>
      <c r="DE24" s="1222"/>
      <c r="DJ24" s="1222"/>
      <c r="DO24" s="1222"/>
      <c r="DT24" s="1222"/>
      <c r="DY24" s="1222"/>
    </row>
    <row r="25" spans="1:129" s="1611" customFormat="1" x14ac:dyDescent="0.2">
      <c r="A25"/>
      <c r="B25" t="str">
        <f>B73</f>
        <v xml:space="preserve">Commercial paper </v>
      </c>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f>CF79</f>
        <v>750</v>
      </c>
      <c r="CG25">
        <f t="shared" ref="CG25:DJ25" si="3">CG79</f>
        <v>750</v>
      </c>
      <c r="CH25">
        <f t="shared" si="3"/>
        <v>750</v>
      </c>
      <c r="CI25">
        <f t="shared" si="3"/>
        <v>750</v>
      </c>
      <c r="CJ25">
        <f t="shared" si="3"/>
        <v>750</v>
      </c>
      <c r="CK25">
        <f t="shared" si="3"/>
        <v>750</v>
      </c>
      <c r="CL25">
        <f t="shared" si="3"/>
        <v>750</v>
      </c>
      <c r="CM25">
        <f t="shared" si="3"/>
        <v>750</v>
      </c>
      <c r="CN25">
        <f t="shared" si="3"/>
        <v>750</v>
      </c>
      <c r="CO25">
        <f t="shared" si="3"/>
        <v>750</v>
      </c>
      <c r="CP25">
        <f t="shared" si="3"/>
        <v>750</v>
      </c>
      <c r="CQ25">
        <f t="shared" si="3"/>
        <v>750</v>
      </c>
      <c r="CR25">
        <f t="shared" si="3"/>
        <v>750</v>
      </c>
      <c r="CS25">
        <f t="shared" si="3"/>
        <v>750</v>
      </c>
      <c r="CT25">
        <f t="shared" si="3"/>
        <v>685</v>
      </c>
      <c r="CU25">
        <f t="shared" si="3"/>
        <v>685</v>
      </c>
      <c r="CV25">
        <f t="shared" si="3"/>
        <v>685</v>
      </c>
      <c r="CW25">
        <f t="shared" si="3"/>
        <v>685</v>
      </c>
      <c r="CX25">
        <f t="shared" si="3"/>
        <v>685</v>
      </c>
      <c r="CY25">
        <f t="shared" si="3"/>
        <v>685</v>
      </c>
      <c r="CZ25">
        <f t="shared" si="3"/>
        <v>685</v>
      </c>
      <c r="DA25">
        <f t="shared" si="3"/>
        <v>685</v>
      </c>
      <c r="DB25">
        <f t="shared" si="3"/>
        <v>685</v>
      </c>
      <c r="DC25">
        <f t="shared" si="3"/>
        <v>685</v>
      </c>
      <c r="DD25">
        <f t="shared" si="3"/>
        <v>685</v>
      </c>
      <c r="DE25">
        <f t="shared" si="3"/>
        <v>685</v>
      </c>
      <c r="DF25">
        <f t="shared" si="3"/>
        <v>685</v>
      </c>
      <c r="DG25">
        <f t="shared" si="3"/>
        <v>685</v>
      </c>
      <c r="DH25">
        <f t="shared" si="3"/>
        <v>685</v>
      </c>
      <c r="DI25">
        <f t="shared" si="3"/>
        <v>685</v>
      </c>
      <c r="DJ25">
        <f t="shared" si="3"/>
        <v>685</v>
      </c>
      <c r="DK25" s="2559">
        <f t="shared" ref="DK25:DT25" si="4">DK79</f>
        <v>685</v>
      </c>
      <c r="DL25" s="2559">
        <f t="shared" si="4"/>
        <v>685</v>
      </c>
      <c r="DM25" s="2559">
        <f t="shared" si="4"/>
        <v>685</v>
      </c>
      <c r="DN25" s="2559">
        <f t="shared" si="4"/>
        <v>685</v>
      </c>
      <c r="DO25" s="2559">
        <f t="shared" si="4"/>
        <v>685</v>
      </c>
      <c r="DP25" s="2682">
        <f t="shared" si="4"/>
        <v>685</v>
      </c>
      <c r="DQ25" s="2682">
        <f t="shared" si="4"/>
        <v>685</v>
      </c>
      <c r="DR25" s="2682">
        <f t="shared" si="4"/>
        <v>685</v>
      </c>
      <c r="DS25" s="2682">
        <f t="shared" si="4"/>
        <v>685</v>
      </c>
      <c r="DT25" s="2682">
        <f t="shared" si="4"/>
        <v>685</v>
      </c>
      <c r="DU25" s="2771">
        <f t="shared" ref="DU25:DY25" si="5">DU79</f>
        <v>685</v>
      </c>
      <c r="DV25" s="2771">
        <f t="shared" si="5"/>
        <v>685</v>
      </c>
      <c r="DW25" s="2771">
        <f t="shared" si="5"/>
        <v>685</v>
      </c>
      <c r="DX25" s="2771">
        <f t="shared" si="5"/>
        <v>685</v>
      </c>
      <c r="DY25" s="2771">
        <f t="shared" si="5"/>
        <v>685</v>
      </c>
    </row>
    <row r="26" spans="1:129" s="1611" customFormat="1" x14ac:dyDescent="0.2">
      <c r="A26"/>
      <c r="B26" t="str">
        <f>B84</f>
        <v xml:space="preserve">Bridge credit facility </v>
      </c>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f>CF90</f>
        <v>0</v>
      </c>
      <c r="CG26">
        <f t="shared" ref="CG26:DJ26" si="6">CG90</f>
        <v>0</v>
      </c>
      <c r="CH26">
        <f t="shared" si="6"/>
        <v>0</v>
      </c>
      <c r="CI26">
        <f t="shared" si="6"/>
        <v>0</v>
      </c>
      <c r="CJ26">
        <f t="shared" si="6"/>
        <v>0</v>
      </c>
      <c r="CK26">
        <f t="shared" si="6"/>
        <v>0</v>
      </c>
      <c r="CL26">
        <f t="shared" si="6"/>
        <v>0</v>
      </c>
      <c r="CM26">
        <f t="shared" si="6"/>
        <v>0</v>
      </c>
      <c r="CN26">
        <f t="shared" si="6"/>
        <v>0</v>
      </c>
      <c r="CO26">
        <f t="shared" si="6"/>
        <v>0</v>
      </c>
      <c r="CP26">
        <f t="shared" si="6"/>
        <v>0</v>
      </c>
      <c r="CQ26">
        <f t="shared" si="6"/>
        <v>0</v>
      </c>
      <c r="CR26">
        <f t="shared" si="6"/>
        <v>0</v>
      </c>
      <c r="CS26">
        <f t="shared" si="6"/>
        <v>0</v>
      </c>
      <c r="CT26">
        <f t="shared" si="6"/>
        <v>0</v>
      </c>
      <c r="CU26">
        <f t="shared" si="6"/>
        <v>0</v>
      </c>
      <c r="CV26">
        <f t="shared" si="6"/>
        <v>0</v>
      </c>
      <c r="CW26">
        <f t="shared" si="6"/>
        <v>0</v>
      </c>
      <c r="CX26">
        <f t="shared" si="6"/>
        <v>0</v>
      </c>
      <c r="CY26">
        <f t="shared" si="6"/>
        <v>0</v>
      </c>
      <c r="CZ26">
        <f t="shared" si="6"/>
        <v>0</v>
      </c>
      <c r="DA26">
        <f t="shared" si="6"/>
        <v>0</v>
      </c>
      <c r="DB26">
        <f t="shared" si="6"/>
        <v>0</v>
      </c>
      <c r="DC26">
        <f t="shared" si="6"/>
        <v>0</v>
      </c>
      <c r="DD26">
        <f t="shared" si="6"/>
        <v>0</v>
      </c>
      <c r="DE26">
        <f t="shared" si="6"/>
        <v>0</v>
      </c>
      <c r="DF26">
        <f t="shared" si="6"/>
        <v>0</v>
      </c>
      <c r="DG26">
        <f t="shared" si="6"/>
        <v>0</v>
      </c>
      <c r="DH26">
        <f t="shared" si="6"/>
        <v>0</v>
      </c>
      <c r="DI26">
        <f t="shared" si="6"/>
        <v>0</v>
      </c>
      <c r="DJ26">
        <f t="shared" si="6"/>
        <v>0</v>
      </c>
      <c r="DK26" s="2559">
        <f t="shared" ref="DK26:DT26" si="7">DK90</f>
        <v>0</v>
      </c>
      <c r="DL26" s="2559">
        <f t="shared" si="7"/>
        <v>0</v>
      </c>
      <c r="DM26" s="2559">
        <f t="shared" si="7"/>
        <v>0</v>
      </c>
      <c r="DN26" s="2559">
        <f t="shared" si="7"/>
        <v>0</v>
      </c>
      <c r="DO26" s="2559">
        <f t="shared" si="7"/>
        <v>0</v>
      </c>
      <c r="DP26" s="2682">
        <f t="shared" si="7"/>
        <v>0</v>
      </c>
      <c r="DQ26" s="2682">
        <f t="shared" si="7"/>
        <v>0</v>
      </c>
      <c r="DR26" s="2682">
        <f t="shared" si="7"/>
        <v>0</v>
      </c>
      <c r="DS26" s="2682">
        <f t="shared" si="7"/>
        <v>0</v>
      </c>
      <c r="DT26" s="2682">
        <f t="shared" si="7"/>
        <v>0</v>
      </c>
      <c r="DU26" s="2771">
        <f t="shared" ref="DU26:DY26" si="8">DU90</f>
        <v>0</v>
      </c>
      <c r="DV26" s="2771">
        <f t="shared" si="8"/>
        <v>0</v>
      </c>
      <c r="DW26" s="2771">
        <f t="shared" si="8"/>
        <v>0</v>
      </c>
      <c r="DX26" s="2771">
        <f t="shared" si="8"/>
        <v>0</v>
      </c>
      <c r="DY26" s="2771">
        <f t="shared" si="8"/>
        <v>0</v>
      </c>
    </row>
    <row r="27" spans="1:129" x14ac:dyDescent="0.2">
      <c r="A27" s="1123"/>
      <c r="B27" t="str">
        <f>B95</f>
        <v xml:space="preserve">4.0% senior notes due 2009 </v>
      </c>
      <c r="C27" s="1214"/>
      <c r="D27" s="1214"/>
      <c r="E27" s="1214"/>
      <c r="F27" s="1214"/>
      <c r="G27" s="1214"/>
      <c r="H27" s="1214"/>
      <c r="I27" s="1214"/>
      <c r="J27" s="1214"/>
      <c r="K27" s="1214"/>
      <c r="L27" s="1214"/>
      <c r="M27" s="1214"/>
      <c r="N27" s="1214"/>
      <c r="O27" s="1214"/>
      <c r="P27" s="1214"/>
      <c r="Q27" s="1214"/>
      <c r="R27" s="1214"/>
      <c r="S27" s="1214"/>
      <c r="T27" s="1214"/>
      <c r="U27" s="1214"/>
      <c r="V27" s="1214"/>
      <c r="W27" s="1214"/>
      <c r="X27" s="1215"/>
      <c r="Y27" s="1214"/>
      <c r="Z27" s="1214"/>
      <c r="AA27" s="1214"/>
      <c r="AB27" s="1214"/>
      <c r="AC27" s="1215"/>
      <c r="AD27" s="1214"/>
      <c r="AE27" s="1214"/>
      <c r="AF27" s="1214"/>
      <c r="AG27" s="1214"/>
      <c r="AH27" s="1215"/>
      <c r="AI27" s="1214"/>
      <c r="AJ27" s="1214"/>
      <c r="AK27" s="1214"/>
      <c r="AL27" s="1214"/>
      <c r="AM27" s="1215"/>
      <c r="AN27" s="1214"/>
      <c r="AO27" s="1214"/>
      <c r="AP27" s="1214"/>
      <c r="AQ27" s="1215"/>
      <c r="AR27" s="1215"/>
      <c r="AS27" s="1215"/>
      <c r="AT27" s="1215"/>
      <c r="AU27" s="1215"/>
      <c r="AV27" s="1215"/>
      <c r="AW27" s="1215"/>
      <c r="AX27" s="1215"/>
      <c r="AY27" s="1215"/>
      <c r="AZ27" s="1215"/>
      <c r="BA27" s="1215"/>
      <c r="BB27" s="1215"/>
      <c r="BC27" s="1215"/>
      <c r="BD27" s="1215"/>
      <c r="BE27" s="1215"/>
      <c r="BF27" s="1215"/>
      <c r="BG27" s="1215"/>
      <c r="BH27" s="1215"/>
      <c r="BI27" s="1215"/>
      <c r="BJ27" s="1215"/>
      <c r="BK27" s="1215"/>
      <c r="BL27" s="1241"/>
      <c r="BM27" s="1241"/>
      <c r="BN27" s="1241"/>
      <c r="BO27" s="1241"/>
      <c r="BP27" s="1241"/>
      <c r="BQ27" s="1241"/>
      <c r="BR27" s="1241"/>
      <c r="BS27" s="1241"/>
      <c r="BT27" s="1241"/>
      <c r="BU27" s="1241"/>
      <c r="BV27" s="1241"/>
      <c r="BW27" s="1241"/>
      <c r="BX27" s="1241"/>
      <c r="BY27" s="1241"/>
      <c r="BZ27" s="1241"/>
      <c r="CA27" s="1241"/>
      <c r="CB27" s="1241"/>
      <c r="CC27" s="1241"/>
      <c r="CD27" s="1241"/>
      <c r="CE27" s="1241"/>
      <c r="CF27">
        <f>CF101</f>
        <v>0</v>
      </c>
      <c r="CG27">
        <f t="shared" ref="CG27:DJ27" si="9">CG101</f>
        <v>0</v>
      </c>
      <c r="CH27">
        <f t="shared" si="9"/>
        <v>0</v>
      </c>
      <c r="CI27">
        <f t="shared" si="9"/>
        <v>0</v>
      </c>
      <c r="CJ27">
        <f t="shared" si="9"/>
        <v>0</v>
      </c>
      <c r="CK27">
        <f t="shared" si="9"/>
        <v>0</v>
      </c>
      <c r="CL27">
        <f t="shared" si="9"/>
        <v>0</v>
      </c>
      <c r="CM27">
        <f t="shared" si="9"/>
        <v>0</v>
      </c>
      <c r="CN27">
        <f t="shared" si="9"/>
        <v>0</v>
      </c>
      <c r="CO27">
        <f t="shared" si="9"/>
        <v>0</v>
      </c>
      <c r="CP27">
        <f t="shared" si="9"/>
        <v>0</v>
      </c>
      <c r="CQ27">
        <f t="shared" si="9"/>
        <v>0</v>
      </c>
      <c r="CR27">
        <f t="shared" si="9"/>
        <v>0</v>
      </c>
      <c r="CS27">
        <f t="shared" si="9"/>
        <v>0</v>
      </c>
      <c r="CT27">
        <f t="shared" si="9"/>
        <v>0</v>
      </c>
      <c r="CU27">
        <f t="shared" si="9"/>
        <v>0</v>
      </c>
      <c r="CV27">
        <f t="shared" si="9"/>
        <v>0</v>
      </c>
      <c r="CW27">
        <f t="shared" si="9"/>
        <v>0</v>
      </c>
      <c r="CX27">
        <f t="shared" si="9"/>
        <v>0</v>
      </c>
      <c r="CY27">
        <f t="shared" si="9"/>
        <v>0</v>
      </c>
      <c r="CZ27">
        <f t="shared" si="9"/>
        <v>0</v>
      </c>
      <c r="DA27">
        <f t="shared" si="9"/>
        <v>0</v>
      </c>
      <c r="DB27">
        <f t="shared" si="9"/>
        <v>0</v>
      </c>
      <c r="DC27">
        <f t="shared" si="9"/>
        <v>0</v>
      </c>
      <c r="DD27">
        <f t="shared" si="9"/>
        <v>0</v>
      </c>
      <c r="DE27">
        <f t="shared" si="9"/>
        <v>0</v>
      </c>
      <c r="DF27">
        <f t="shared" si="9"/>
        <v>0</v>
      </c>
      <c r="DG27">
        <f t="shared" si="9"/>
        <v>0</v>
      </c>
      <c r="DH27">
        <f t="shared" si="9"/>
        <v>0</v>
      </c>
      <c r="DI27">
        <f t="shared" si="9"/>
        <v>0</v>
      </c>
      <c r="DJ27">
        <f t="shared" si="9"/>
        <v>0</v>
      </c>
      <c r="DK27" s="2559">
        <f t="shared" ref="DK27:DT27" si="10">DK101</f>
        <v>0</v>
      </c>
      <c r="DL27" s="2559">
        <f t="shared" si="10"/>
        <v>0</v>
      </c>
      <c r="DM27" s="2559">
        <f t="shared" si="10"/>
        <v>0</v>
      </c>
      <c r="DN27" s="2559">
        <f t="shared" si="10"/>
        <v>0</v>
      </c>
      <c r="DO27" s="2559">
        <f t="shared" si="10"/>
        <v>0</v>
      </c>
      <c r="DP27" s="2682">
        <f t="shared" si="10"/>
        <v>0</v>
      </c>
      <c r="DQ27" s="2682">
        <f t="shared" si="10"/>
        <v>0</v>
      </c>
      <c r="DR27" s="2682">
        <f t="shared" si="10"/>
        <v>0</v>
      </c>
      <c r="DS27" s="2682">
        <f t="shared" si="10"/>
        <v>0</v>
      </c>
      <c r="DT27" s="2682">
        <f t="shared" si="10"/>
        <v>0</v>
      </c>
      <c r="DU27" s="2771">
        <f t="shared" ref="DU27:DY27" si="11">DU101</f>
        <v>0</v>
      </c>
      <c r="DV27" s="2771">
        <f t="shared" si="11"/>
        <v>0</v>
      </c>
      <c r="DW27" s="2771">
        <f t="shared" si="11"/>
        <v>0</v>
      </c>
      <c r="DX27" s="2771">
        <f t="shared" si="11"/>
        <v>0</v>
      </c>
      <c r="DY27" s="2771">
        <f t="shared" si="11"/>
        <v>0</v>
      </c>
    </row>
    <row r="28" spans="1:129" x14ac:dyDescent="0.2">
      <c r="A28" s="1123"/>
      <c r="B28" t="str">
        <f>B106</f>
        <v>Floating rate notes due 2010</v>
      </c>
      <c r="C28" s="1214"/>
      <c r="D28" s="1214"/>
      <c r="E28" s="1214"/>
      <c r="F28" s="1214"/>
      <c r="G28" s="1214"/>
      <c r="H28" s="1214"/>
      <c r="I28" s="1214"/>
      <c r="J28" s="1214"/>
      <c r="K28" s="1214"/>
      <c r="L28" s="1214"/>
      <c r="M28" s="1214"/>
      <c r="N28" s="1214"/>
      <c r="O28" s="1214"/>
      <c r="P28" s="1214"/>
      <c r="Q28" s="1214"/>
      <c r="R28" s="1214"/>
      <c r="S28" s="1214"/>
      <c r="T28" s="1214"/>
      <c r="U28" s="1214"/>
      <c r="V28" s="1214"/>
      <c r="W28" s="1214"/>
      <c r="X28" s="1215"/>
      <c r="Y28" s="1214"/>
      <c r="Z28" s="1214"/>
      <c r="AA28" s="1214"/>
      <c r="AB28" s="1214"/>
      <c r="AC28" s="1215"/>
      <c r="AD28" s="1214"/>
      <c r="AE28" s="1214"/>
      <c r="AF28" s="1214"/>
      <c r="AG28" s="1214"/>
      <c r="AH28" s="1215"/>
      <c r="AI28" s="1214"/>
      <c r="AJ28" s="1214"/>
      <c r="AK28" s="1214"/>
      <c r="AL28" s="1214"/>
      <c r="AM28" s="1215"/>
      <c r="AN28" s="1214"/>
      <c r="AO28" s="1214"/>
      <c r="AP28" s="1214"/>
      <c r="AQ28" s="1215"/>
      <c r="AR28" s="1215"/>
      <c r="AS28" s="1215"/>
      <c r="AT28" s="1215"/>
      <c r="AU28" s="1215"/>
      <c r="AV28" s="1215"/>
      <c r="AW28" s="1215"/>
      <c r="AX28" s="1215"/>
      <c r="AY28" s="1215"/>
      <c r="AZ28" s="1215"/>
      <c r="BA28" s="1215"/>
      <c r="BB28" s="1215"/>
      <c r="BC28" s="1215"/>
      <c r="BD28" s="1215"/>
      <c r="BE28" s="1215"/>
      <c r="BF28" s="1215"/>
      <c r="BG28" s="1215"/>
      <c r="BH28" s="1215"/>
      <c r="BI28" s="1215"/>
      <c r="BJ28" s="1215"/>
      <c r="BK28" s="1215"/>
      <c r="BL28" s="1241"/>
      <c r="BM28" s="1241"/>
      <c r="BN28" s="1241"/>
      <c r="BO28" s="1241"/>
      <c r="BP28" s="1241"/>
      <c r="BQ28" s="1241"/>
      <c r="BR28" s="1241"/>
      <c r="BS28" s="1241"/>
      <c r="BT28" s="1241"/>
      <c r="BU28" s="1241"/>
      <c r="BV28" s="1241"/>
      <c r="BW28" s="1241"/>
      <c r="BX28" s="1241"/>
      <c r="BY28" s="1241"/>
      <c r="BZ28" s="1241"/>
      <c r="CA28" s="1241"/>
      <c r="CB28" s="1241"/>
      <c r="CC28" s="1241"/>
      <c r="CD28" s="1241"/>
      <c r="CE28" s="1241"/>
      <c r="CF28">
        <f>CF112</f>
        <v>0</v>
      </c>
      <c r="CG28">
        <f t="shared" ref="CG28:DJ28" si="12">CG112</f>
        <v>0</v>
      </c>
      <c r="CH28">
        <f t="shared" si="12"/>
        <v>0</v>
      </c>
      <c r="CI28">
        <f t="shared" si="12"/>
        <v>0</v>
      </c>
      <c r="CJ28">
        <f t="shared" si="12"/>
        <v>0</v>
      </c>
      <c r="CK28">
        <f t="shared" si="12"/>
        <v>0</v>
      </c>
      <c r="CL28">
        <f t="shared" si="12"/>
        <v>0</v>
      </c>
      <c r="CM28">
        <f t="shared" si="12"/>
        <v>0</v>
      </c>
      <c r="CN28">
        <f t="shared" si="12"/>
        <v>0</v>
      </c>
      <c r="CO28">
        <f t="shared" si="12"/>
        <v>0</v>
      </c>
      <c r="CP28">
        <f t="shared" si="12"/>
        <v>0</v>
      </c>
      <c r="CQ28">
        <f t="shared" si="12"/>
        <v>0</v>
      </c>
      <c r="CR28">
        <f t="shared" si="12"/>
        <v>0</v>
      </c>
      <c r="CS28">
        <f t="shared" si="12"/>
        <v>0</v>
      </c>
      <c r="CT28">
        <f t="shared" si="12"/>
        <v>0</v>
      </c>
      <c r="CU28">
        <f t="shared" si="12"/>
        <v>0</v>
      </c>
      <c r="CV28">
        <f t="shared" si="12"/>
        <v>0</v>
      </c>
      <c r="CW28">
        <f t="shared" si="12"/>
        <v>0</v>
      </c>
      <c r="CX28">
        <f t="shared" si="12"/>
        <v>0</v>
      </c>
      <c r="CY28">
        <f t="shared" si="12"/>
        <v>0</v>
      </c>
      <c r="CZ28">
        <f t="shared" si="12"/>
        <v>0</v>
      </c>
      <c r="DA28">
        <f t="shared" si="12"/>
        <v>0</v>
      </c>
      <c r="DB28">
        <f t="shared" si="12"/>
        <v>0</v>
      </c>
      <c r="DC28">
        <f t="shared" si="12"/>
        <v>0</v>
      </c>
      <c r="DD28">
        <f t="shared" si="12"/>
        <v>0</v>
      </c>
      <c r="DE28">
        <f t="shared" si="12"/>
        <v>0</v>
      </c>
      <c r="DF28">
        <f t="shared" si="12"/>
        <v>0</v>
      </c>
      <c r="DG28">
        <f t="shared" si="12"/>
        <v>0</v>
      </c>
      <c r="DH28">
        <f t="shared" si="12"/>
        <v>0</v>
      </c>
      <c r="DI28">
        <f t="shared" si="12"/>
        <v>0</v>
      </c>
      <c r="DJ28">
        <f t="shared" si="12"/>
        <v>0</v>
      </c>
      <c r="DK28" s="2559">
        <f t="shared" ref="DK28:DT28" si="13">DK112</f>
        <v>0</v>
      </c>
      <c r="DL28" s="2559">
        <f t="shared" si="13"/>
        <v>0</v>
      </c>
      <c r="DM28" s="2559">
        <f t="shared" si="13"/>
        <v>0</v>
      </c>
      <c r="DN28" s="2559">
        <f t="shared" si="13"/>
        <v>0</v>
      </c>
      <c r="DO28" s="2559">
        <f t="shared" si="13"/>
        <v>0</v>
      </c>
      <c r="DP28" s="2682">
        <f t="shared" si="13"/>
        <v>0</v>
      </c>
      <c r="DQ28" s="2682">
        <f t="shared" si="13"/>
        <v>0</v>
      </c>
      <c r="DR28" s="2682">
        <f t="shared" si="13"/>
        <v>0</v>
      </c>
      <c r="DS28" s="2682">
        <f t="shared" si="13"/>
        <v>0</v>
      </c>
      <c r="DT28" s="2682">
        <f t="shared" si="13"/>
        <v>0</v>
      </c>
      <c r="DU28" s="2771">
        <f t="shared" ref="DU28:DY28" si="14">DU112</f>
        <v>0</v>
      </c>
      <c r="DV28" s="2771">
        <f t="shared" si="14"/>
        <v>0</v>
      </c>
      <c r="DW28" s="2771">
        <f t="shared" si="14"/>
        <v>0</v>
      </c>
      <c r="DX28" s="2771">
        <f t="shared" si="14"/>
        <v>0</v>
      </c>
      <c r="DY28" s="2771">
        <f t="shared" si="14"/>
        <v>0</v>
      </c>
    </row>
    <row r="29" spans="1:129" x14ac:dyDescent="0.2">
      <c r="A29" s="1123"/>
      <c r="B29" t="str">
        <f>B117</f>
        <v xml:space="preserve">5.75% senior notes due 2041 </v>
      </c>
      <c r="C29" s="1214"/>
      <c r="D29" s="1214"/>
      <c r="E29" s="1214"/>
      <c r="F29" s="1214"/>
      <c r="G29" s="1214"/>
      <c r="H29" s="1214"/>
      <c r="I29" s="1214"/>
      <c r="J29" s="1214"/>
      <c r="K29" s="1214"/>
      <c r="L29" s="1214"/>
      <c r="M29" s="1214"/>
      <c r="N29" s="1214"/>
      <c r="O29" s="1214"/>
      <c r="P29" s="1214"/>
      <c r="Q29" s="1214"/>
      <c r="R29" s="1214"/>
      <c r="S29" s="1214"/>
      <c r="T29" s="1214"/>
      <c r="U29" s="1214"/>
      <c r="V29" s="1214"/>
      <c r="W29" s="1214"/>
      <c r="X29" s="1215"/>
      <c r="Y29" s="1214"/>
      <c r="Z29" s="1214"/>
      <c r="AA29" s="1214"/>
      <c r="AB29" s="1214"/>
      <c r="AC29" s="1215"/>
      <c r="AD29" s="1214"/>
      <c r="AE29" s="1214"/>
      <c r="AF29" s="1214"/>
      <c r="AG29" s="1214"/>
      <c r="AH29" s="1215"/>
      <c r="AI29" s="1214"/>
      <c r="AJ29" s="1214"/>
      <c r="AK29" s="1214"/>
      <c r="AL29" s="1214"/>
      <c r="AM29" s="1215"/>
      <c r="AN29" s="1214"/>
      <c r="AO29" s="1214"/>
      <c r="AP29" s="1214"/>
      <c r="AQ29" s="1215"/>
      <c r="AR29" s="1215"/>
      <c r="AS29" s="1215"/>
      <c r="AT29" s="1215"/>
      <c r="AU29" s="1215"/>
      <c r="AV29" s="1215"/>
      <c r="AW29" s="1215"/>
      <c r="AX29" s="1215"/>
      <c r="AY29" s="1215"/>
      <c r="AZ29" s="1215"/>
      <c r="BA29" s="1215"/>
      <c r="BB29" s="1215"/>
      <c r="BC29" s="1215"/>
      <c r="BD29" s="1215"/>
      <c r="BE29" s="1215"/>
      <c r="BF29" s="1215"/>
      <c r="BG29" s="1215"/>
      <c r="BH29" s="1215"/>
      <c r="BI29" s="1215"/>
      <c r="BJ29" s="1215"/>
      <c r="BK29" s="1215"/>
      <c r="BL29" s="1241"/>
      <c r="BM29" s="1241"/>
      <c r="BN29" s="1241"/>
      <c r="BO29" s="1241"/>
      <c r="BP29" s="1241"/>
      <c r="BQ29" s="1241"/>
      <c r="BR29" s="1241"/>
      <c r="BS29" s="1241"/>
      <c r="BT29" s="1241"/>
      <c r="BU29" s="1241"/>
      <c r="BV29" s="1241"/>
      <c r="BW29" s="1241"/>
      <c r="BX29" s="1241"/>
      <c r="BY29" s="1241"/>
      <c r="BZ29" s="1241"/>
      <c r="CA29" s="1241"/>
      <c r="CB29" s="1241"/>
      <c r="CC29" s="1241"/>
      <c r="CD29" s="1241"/>
      <c r="CE29" s="1241"/>
      <c r="CF29">
        <f>CF123</f>
        <v>950</v>
      </c>
      <c r="CG29">
        <f t="shared" ref="CG29:DJ29" si="15">CG123</f>
        <v>950</v>
      </c>
      <c r="CH29">
        <f t="shared" si="15"/>
        <v>950</v>
      </c>
      <c r="CI29">
        <f t="shared" si="15"/>
        <v>950</v>
      </c>
      <c r="CJ29">
        <f t="shared" si="15"/>
        <v>950</v>
      </c>
      <c r="CK29">
        <f t="shared" si="15"/>
        <v>950</v>
      </c>
      <c r="CL29">
        <f t="shared" si="15"/>
        <v>950</v>
      </c>
      <c r="CM29">
        <f t="shared" si="15"/>
        <v>950</v>
      </c>
      <c r="CN29">
        <f t="shared" si="15"/>
        <v>950</v>
      </c>
      <c r="CO29">
        <f t="shared" si="15"/>
        <v>950</v>
      </c>
      <c r="CP29">
        <f t="shared" si="15"/>
        <v>950</v>
      </c>
      <c r="CQ29">
        <f t="shared" si="15"/>
        <v>950</v>
      </c>
      <c r="CR29">
        <f t="shared" si="15"/>
        <v>950</v>
      </c>
      <c r="CS29">
        <f t="shared" si="15"/>
        <v>491</v>
      </c>
      <c r="CT29">
        <f t="shared" si="15"/>
        <v>491</v>
      </c>
      <c r="CU29">
        <f t="shared" si="15"/>
        <v>491</v>
      </c>
      <c r="CV29">
        <f t="shared" si="15"/>
        <v>491</v>
      </c>
      <c r="CW29">
        <f t="shared" si="15"/>
        <v>491</v>
      </c>
      <c r="CX29">
        <f t="shared" si="15"/>
        <v>491</v>
      </c>
      <c r="CY29">
        <f t="shared" si="15"/>
        <v>491</v>
      </c>
      <c r="CZ29">
        <f t="shared" si="15"/>
        <v>491</v>
      </c>
      <c r="DA29">
        <f t="shared" si="15"/>
        <v>491</v>
      </c>
      <c r="DB29">
        <f t="shared" si="15"/>
        <v>491</v>
      </c>
      <c r="DC29">
        <f t="shared" si="15"/>
        <v>491</v>
      </c>
      <c r="DD29">
        <f t="shared" si="15"/>
        <v>491</v>
      </c>
      <c r="DE29">
        <f t="shared" si="15"/>
        <v>491</v>
      </c>
      <c r="DF29">
        <f t="shared" si="15"/>
        <v>491</v>
      </c>
      <c r="DG29">
        <f t="shared" si="15"/>
        <v>491</v>
      </c>
      <c r="DH29">
        <f t="shared" si="15"/>
        <v>491</v>
      </c>
      <c r="DI29">
        <f t="shared" si="15"/>
        <v>491</v>
      </c>
      <c r="DJ29">
        <f t="shared" si="15"/>
        <v>491</v>
      </c>
      <c r="DK29" s="2559">
        <f t="shared" ref="DK29:DT29" si="16">DK123</f>
        <v>491</v>
      </c>
      <c r="DL29" s="2559">
        <f t="shared" si="16"/>
        <v>491</v>
      </c>
      <c r="DM29" s="2559">
        <f t="shared" si="16"/>
        <v>491</v>
      </c>
      <c r="DN29" s="2559">
        <f t="shared" si="16"/>
        <v>491</v>
      </c>
      <c r="DO29" s="2559">
        <f t="shared" si="16"/>
        <v>491</v>
      </c>
      <c r="DP29" s="2682">
        <f t="shared" si="16"/>
        <v>491</v>
      </c>
      <c r="DQ29" s="2682">
        <f t="shared" si="16"/>
        <v>491</v>
      </c>
      <c r="DR29" s="2682">
        <f t="shared" si="16"/>
        <v>491</v>
      </c>
      <c r="DS29" s="2682">
        <f t="shared" si="16"/>
        <v>491</v>
      </c>
      <c r="DT29" s="2682">
        <f t="shared" si="16"/>
        <v>491</v>
      </c>
      <c r="DU29" s="2771">
        <f t="shared" ref="DU29:DY29" si="17">DU123</f>
        <v>491</v>
      </c>
      <c r="DV29" s="2771">
        <f t="shared" si="17"/>
        <v>491</v>
      </c>
      <c r="DW29" s="2771">
        <f t="shared" si="17"/>
        <v>491</v>
      </c>
      <c r="DX29" s="2771">
        <f t="shared" si="17"/>
        <v>491</v>
      </c>
      <c r="DY29" s="2771">
        <f t="shared" si="17"/>
        <v>491</v>
      </c>
    </row>
    <row r="30" spans="1:129" x14ac:dyDescent="0.2">
      <c r="A30" s="1123"/>
      <c r="B30" t="str">
        <f>B128</f>
        <v>5.30% senior notes due 2043</v>
      </c>
      <c r="C30" s="1214"/>
      <c r="D30" s="1214"/>
      <c r="E30" s="1214"/>
      <c r="F30" s="1214"/>
      <c r="G30" s="1214"/>
      <c r="H30" s="1214"/>
      <c r="I30" s="1214"/>
      <c r="J30" s="1214"/>
      <c r="K30" s="1214"/>
      <c r="L30" s="1214"/>
      <c r="M30" s="1214"/>
      <c r="N30" s="1214"/>
      <c r="O30" s="1214"/>
      <c r="P30" s="1214"/>
      <c r="Q30" s="1214"/>
      <c r="R30" s="1214"/>
      <c r="S30" s="1214"/>
      <c r="T30" s="1214"/>
      <c r="U30" s="1214"/>
      <c r="V30" s="1214"/>
      <c r="W30" s="1214"/>
      <c r="X30" s="1215"/>
      <c r="Y30" s="1214"/>
      <c r="Z30" s="1214"/>
      <c r="AA30" s="1214"/>
      <c r="AB30" s="1214"/>
      <c r="AC30" s="1215"/>
      <c r="AD30" s="1214"/>
      <c r="AE30" s="1214"/>
      <c r="AF30" s="1214"/>
      <c r="AG30" s="1214"/>
      <c r="AH30" s="1215"/>
      <c r="AI30" s="1214"/>
      <c r="AJ30" s="1214"/>
      <c r="AK30" s="1214"/>
      <c r="AL30" s="1214"/>
      <c r="AM30" s="1215"/>
      <c r="AN30" s="1214"/>
      <c r="AO30" s="1214"/>
      <c r="AP30" s="1214"/>
      <c r="AQ30" s="1215"/>
      <c r="AR30" s="1215"/>
      <c r="AS30" s="1215"/>
      <c r="AT30" s="1215"/>
      <c r="AU30" s="1215"/>
      <c r="AV30" s="1215"/>
      <c r="AW30" s="1215"/>
      <c r="AX30" s="1215"/>
      <c r="AY30" s="1215"/>
      <c r="AZ30" s="1215"/>
      <c r="BA30" s="1215"/>
      <c r="BB30" s="1215"/>
      <c r="BC30" s="1215"/>
      <c r="BD30" s="1215"/>
      <c r="BE30" s="1215"/>
      <c r="BF30" s="1215"/>
      <c r="BG30" s="1215"/>
      <c r="BH30" s="1215"/>
      <c r="BI30" s="1215"/>
      <c r="BJ30" s="1215"/>
      <c r="BK30" s="1215"/>
      <c r="BL30" s="1241"/>
      <c r="BM30" s="1241"/>
      <c r="BN30" s="1241"/>
      <c r="BO30" s="1241"/>
      <c r="BP30" s="1241"/>
      <c r="BQ30" s="1241"/>
      <c r="BR30" s="1241"/>
      <c r="BS30" s="1241"/>
      <c r="BT30" s="1241"/>
      <c r="BU30" s="1241"/>
      <c r="BV30" s="1241"/>
      <c r="BW30" s="1241"/>
      <c r="BX30" s="1241"/>
      <c r="BY30" s="1241"/>
      <c r="BZ30" s="1241"/>
      <c r="CA30" s="1241"/>
      <c r="CB30" s="1241"/>
      <c r="CC30" s="1241"/>
      <c r="CD30" s="1241"/>
      <c r="CE30" s="1241"/>
      <c r="CF30">
        <f>CF134</f>
        <v>0</v>
      </c>
      <c r="CG30">
        <f t="shared" ref="CG30:DJ30" si="18">CG134</f>
        <v>0</v>
      </c>
      <c r="CH30">
        <f t="shared" si="18"/>
        <v>0</v>
      </c>
      <c r="CI30">
        <f t="shared" si="18"/>
        <v>0</v>
      </c>
      <c r="CJ30">
        <f t="shared" si="18"/>
        <v>0</v>
      </c>
      <c r="CK30">
        <f t="shared" si="18"/>
        <v>0</v>
      </c>
      <c r="CL30">
        <f t="shared" si="18"/>
        <v>0</v>
      </c>
      <c r="CM30">
        <f t="shared" si="18"/>
        <v>0</v>
      </c>
      <c r="CN30">
        <f t="shared" si="18"/>
        <v>0</v>
      </c>
      <c r="CO30">
        <f t="shared" si="18"/>
        <v>750</v>
      </c>
      <c r="CP30">
        <f t="shared" si="18"/>
        <v>750</v>
      </c>
      <c r="CQ30">
        <f t="shared" si="18"/>
        <v>750</v>
      </c>
      <c r="CR30">
        <f t="shared" si="18"/>
        <v>750</v>
      </c>
      <c r="CS30">
        <f t="shared" si="18"/>
        <v>750</v>
      </c>
      <c r="CT30">
        <f t="shared" si="18"/>
        <v>750</v>
      </c>
      <c r="CU30">
        <f t="shared" si="18"/>
        <v>750</v>
      </c>
      <c r="CV30">
        <f t="shared" si="18"/>
        <v>750</v>
      </c>
      <c r="CW30">
        <f t="shared" si="18"/>
        <v>750</v>
      </c>
      <c r="CX30">
        <f t="shared" si="18"/>
        <v>750</v>
      </c>
      <c r="CY30">
        <f t="shared" si="18"/>
        <v>750</v>
      </c>
      <c r="CZ30">
        <f t="shared" si="18"/>
        <v>750</v>
      </c>
      <c r="DA30">
        <f t="shared" si="18"/>
        <v>750</v>
      </c>
      <c r="DB30">
        <f t="shared" si="18"/>
        <v>750</v>
      </c>
      <c r="DC30">
        <f t="shared" si="18"/>
        <v>750</v>
      </c>
      <c r="DD30">
        <f t="shared" si="18"/>
        <v>750</v>
      </c>
      <c r="DE30">
        <f t="shared" si="18"/>
        <v>750</v>
      </c>
      <c r="DF30">
        <f t="shared" si="18"/>
        <v>750</v>
      </c>
      <c r="DG30">
        <f t="shared" si="18"/>
        <v>750</v>
      </c>
      <c r="DH30">
        <f t="shared" si="18"/>
        <v>750</v>
      </c>
      <c r="DI30">
        <f t="shared" si="18"/>
        <v>750</v>
      </c>
      <c r="DJ30">
        <f t="shared" si="18"/>
        <v>750</v>
      </c>
      <c r="DK30" s="2559">
        <f t="shared" ref="DK30:DT30" si="19">DK134</f>
        <v>750</v>
      </c>
      <c r="DL30" s="2559">
        <f t="shared" si="19"/>
        <v>750</v>
      </c>
      <c r="DM30" s="2559">
        <f t="shared" si="19"/>
        <v>750</v>
      </c>
      <c r="DN30" s="2559">
        <f t="shared" si="19"/>
        <v>750</v>
      </c>
      <c r="DO30" s="2559">
        <f t="shared" si="19"/>
        <v>750</v>
      </c>
      <c r="DP30" s="2682">
        <f t="shared" si="19"/>
        <v>750</v>
      </c>
      <c r="DQ30" s="2682">
        <f t="shared" si="19"/>
        <v>750</v>
      </c>
      <c r="DR30" s="2682">
        <f t="shared" si="19"/>
        <v>750</v>
      </c>
      <c r="DS30" s="2682">
        <f t="shared" si="19"/>
        <v>750</v>
      </c>
      <c r="DT30" s="2682">
        <f t="shared" si="19"/>
        <v>750</v>
      </c>
      <c r="DU30" s="2771">
        <f t="shared" ref="DU30:DY30" si="20">DU134</f>
        <v>750</v>
      </c>
      <c r="DV30" s="2771">
        <f t="shared" si="20"/>
        <v>750</v>
      </c>
      <c r="DW30" s="2771">
        <f t="shared" si="20"/>
        <v>750</v>
      </c>
      <c r="DX30" s="2771">
        <f t="shared" si="20"/>
        <v>750</v>
      </c>
      <c r="DY30" s="2771">
        <f t="shared" si="20"/>
        <v>750</v>
      </c>
    </row>
    <row r="31" spans="1:129" x14ac:dyDescent="0.2">
      <c r="A31" s="1123"/>
      <c r="B31" t="str">
        <f>B139</f>
        <v>Floating rate notes due 2011</v>
      </c>
      <c r="C31" s="1214"/>
      <c r="D31" s="1214"/>
      <c r="E31" s="1214"/>
      <c r="F31" s="1214"/>
      <c r="G31" s="1214"/>
      <c r="H31" s="1214"/>
      <c r="I31" s="1214"/>
      <c r="J31" s="1214"/>
      <c r="K31" s="1214"/>
      <c r="L31" s="1214"/>
      <c r="M31" s="1214"/>
      <c r="N31" s="1214"/>
      <c r="O31" s="1214"/>
      <c r="P31" s="1214"/>
      <c r="Q31" s="1214"/>
      <c r="R31" s="1214"/>
      <c r="S31" s="1214"/>
      <c r="T31" s="1214"/>
      <c r="U31" s="1214"/>
      <c r="V31" s="1214"/>
      <c r="W31" s="1214"/>
      <c r="X31" s="1215"/>
      <c r="Y31" s="1214"/>
      <c r="Z31" s="1214"/>
      <c r="AA31" s="1214"/>
      <c r="AB31" s="1214"/>
      <c r="AC31" s="1215"/>
      <c r="AD31" s="1214"/>
      <c r="AE31" s="1214"/>
      <c r="AF31" s="1214"/>
      <c r="AG31" s="1214"/>
      <c r="AH31" s="1215"/>
      <c r="AI31" s="1214"/>
      <c r="AJ31" s="1214"/>
      <c r="AK31" s="1214"/>
      <c r="AL31" s="1214"/>
      <c r="AM31" s="1215"/>
      <c r="AN31" s="1214"/>
      <c r="AO31" s="1214"/>
      <c r="AP31" s="1214"/>
      <c r="AQ31" s="1215"/>
      <c r="AR31" s="1215"/>
      <c r="AS31" s="1215"/>
      <c r="AT31" s="1215"/>
      <c r="AU31" s="1215"/>
      <c r="AV31" s="1215"/>
      <c r="AW31" s="1215"/>
      <c r="AX31" s="1215"/>
      <c r="AY31" s="1215"/>
      <c r="AZ31" s="1215"/>
      <c r="BA31" s="1215"/>
      <c r="BB31" s="1215"/>
      <c r="BC31" s="1215"/>
      <c r="BD31" s="1215"/>
      <c r="BE31" s="1215"/>
      <c r="BF31" s="1215"/>
      <c r="BG31" s="1215"/>
      <c r="BH31" s="1215"/>
      <c r="BI31" s="1215"/>
      <c r="BJ31" s="1215"/>
      <c r="BK31" s="1215"/>
      <c r="BL31" s="1241"/>
      <c r="BM31" s="1241"/>
      <c r="BN31" s="1241"/>
      <c r="BO31" s="1241"/>
      <c r="BP31" s="1241"/>
      <c r="BQ31" s="1241"/>
      <c r="BR31" s="1241"/>
      <c r="BS31" s="1241"/>
      <c r="BT31" s="1241"/>
      <c r="BU31" s="1241"/>
      <c r="BV31" s="1241"/>
      <c r="BW31" s="1241"/>
      <c r="BX31" s="1241"/>
      <c r="BY31" s="1241"/>
      <c r="BZ31" s="1241"/>
      <c r="CA31" s="1241"/>
      <c r="CB31" s="1241"/>
      <c r="CC31" s="1241"/>
      <c r="CD31" s="1241"/>
      <c r="CE31" s="1241"/>
      <c r="CF31">
        <f>CF145</f>
        <v>0</v>
      </c>
      <c r="CG31">
        <f t="shared" ref="CG31:DJ31" si="21">CG145</f>
        <v>0</v>
      </c>
      <c r="CH31">
        <f t="shared" si="21"/>
        <v>0</v>
      </c>
      <c r="CI31">
        <f t="shared" si="21"/>
        <v>0</v>
      </c>
      <c r="CJ31">
        <f t="shared" si="21"/>
        <v>0</v>
      </c>
      <c r="CK31">
        <f t="shared" si="21"/>
        <v>0</v>
      </c>
      <c r="CL31">
        <f t="shared" si="21"/>
        <v>0</v>
      </c>
      <c r="CM31">
        <f t="shared" si="21"/>
        <v>0</v>
      </c>
      <c r="CN31">
        <f t="shared" si="21"/>
        <v>0</v>
      </c>
      <c r="CO31">
        <f t="shared" si="21"/>
        <v>0</v>
      </c>
      <c r="CP31">
        <f t="shared" si="21"/>
        <v>0</v>
      </c>
      <c r="CQ31">
        <f t="shared" si="21"/>
        <v>0</v>
      </c>
      <c r="CR31">
        <f t="shared" si="21"/>
        <v>0</v>
      </c>
      <c r="CS31">
        <f t="shared" si="21"/>
        <v>0</v>
      </c>
      <c r="CT31">
        <f t="shared" si="21"/>
        <v>0</v>
      </c>
      <c r="CU31">
        <f t="shared" si="21"/>
        <v>0</v>
      </c>
      <c r="CV31">
        <f t="shared" si="21"/>
        <v>0</v>
      </c>
      <c r="CW31">
        <f t="shared" si="21"/>
        <v>0</v>
      </c>
      <c r="CX31">
        <f t="shared" si="21"/>
        <v>0</v>
      </c>
      <c r="CY31">
        <f t="shared" si="21"/>
        <v>0</v>
      </c>
      <c r="CZ31">
        <f t="shared" si="21"/>
        <v>0</v>
      </c>
      <c r="DA31">
        <f t="shared" si="21"/>
        <v>0</v>
      </c>
      <c r="DB31">
        <f t="shared" si="21"/>
        <v>0</v>
      </c>
      <c r="DC31">
        <f t="shared" si="21"/>
        <v>0</v>
      </c>
      <c r="DD31">
        <f t="shared" si="21"/>
        <v>0</v>
      </c>
      <c r="DE31">
        <f t="shared" si="21"/>
        <v>0</v>
      </c>
      <c r="DF31">
        <f t="shared" si="21"/>
        <v>0</v>
      </c>
      <c r="DG31">
        <f t="shared" si="21"/>
        <v>0</v>
      </c>
      <c r="DH31">
        <f t="shared" si="21"/>
        <v>0</v>
      </c>
      <c r="DI31">
        <f t="shared" si="21"/>
        <v>0</v>
      </c>
      <c r="DJ31">
        <f t="shared" si="21"/>
        <v>0</v>
      </c>
      <c r="DK31" s="2559">
        <f t="shared" ref="DK31:DT31" si="22">DK145</f>
        <v>0</v>
      </c>
      <c r="DL31" s="2559">
        <f t="shared" si="22"/>
        <v>0</v>
      </c>
      <c r="DM31" s="2559">
        <f t="shared" si="22"/>
        <v>0</v>
      </c>
      <c r="DN31" s="2559">
        <f t="shared" si="22"/>
        <v>0</v>
      </c>
      <c r="DO31" s="2559">
        <f t="shared" si="22"/>
        <v>0</v>
      </c>
      <c r="DP31" s="2682">
        <f t="shared" si="22"/>
        <v>0</v>
      </c>
      <c r="DQ31" s="2682">
        <f t="shared" si="22"/>
        <v>0</v>
      </c>
      <c r="DR31" s="2682">
        <f t="shared" si="22"/>
        <v>0</v>
      </c>
      <c r="DS31" s="2682">
        <f t="shared" si="22"/>
        <v>0</v>
      </c>
      <c r="DT31" s="2682">
        <f t="shared" si="22"/>
        <v>0</v>
      </c>
      <c r="DU31" s="2771">
        <f t="shared" ref="DU31:DY31" si="23">DU145</f>
        <v>0</v>
      </c>
      <c r="DV31" s="2771">
        <f t="shared" si="23"/>
        <v>0</v>
      </c>
      <c r="DW31" s="2771">
        <f t="shared" si="23"/>
        <v>0</v>
      </c>
      <c r="DX31" s="2771">
        <f t="shared" si="23"/>
        <v>0</v>
      </c>
      <c r="DY31" s="2771">
        <f t="shared" si="23"/>
        <v>0</v>
      </c>
    </row>
    <row r="32" spans="1:129" x14ac:dyDescent="0.2">
      <c r="A32" s="1123"/>
      <c r="B32" t="str">
        <f>B150</f>
        <v xml:space="preserve">4.875% senior notes due 2014 </v>
      </c>
      <c r="C32" s="1214"/>
      <c r="D32" s="1214"/>
      <c r="E32" s="1214"/>
      <c r="F32" s="1214"/>
      <c r="G32" s="1214"/>
      <c r="H32" s="1214"/>
      <c r="I32" s="1214"/>
      <c r="J32" s="1214"/>
      <c r="K32" s="1214"/>
      <c r="L32" s="1214"/>
      <c r="M32" s="1214"/>
      <c r="N32" s="1214"/>
      <c r="O32" s="1214"/>
      <c r="P32" s="1214"/>
      <c r="Q32" s="1214"/>
      <c r="R32" s="1214"/>
      <c r="S32" s="1214"/>
      <c r="T32" s="1214"/>
      <c r="U32" s="1214"/>
      <c r="V32" s="1214"/>
      <c r="W32" s="1214"/>
      <c r="X32" s="1215"/>
      <c r="Y32" s="1214"/>
      <c r="Z32" s="1214"/>
      <c r="AA32" s="1214"/>
      <c r="AB32" s="1214"/>
      <c r="AC32" s="1215"/>
      <c r="AD32" s="1214"/>
      <c r="AE32" s="1214"/>
      <c r="AF32" s="1214"/>
      <c r="AG32" s="1214"/>
      <c r="AH32" s="1215"/>
      <c r="AI32" s="1214"/>
      <c r="AJ32" s="1214"/>
      <c r="AK32" s="1214"/>
      <c r="AL32" s="1214"/>
      <c r="AM32" s="1215"/>
      <c r="AN32" s="1214"/>
      <c r="AO32" s="1214"/>
      <c r="AP32" s="1214"/>
      <c r="AQ32" s="1215"/>
      <c r="AR32" s="1215"/>
      <c r="AS32" s="1215"/>
      <c r="AT32" s="1215"/>
      <c r="AU32" s="1215"/>
      <c r="AV32" s="1215"/>
      <c r="AW32" s="1215"/>
      <c r="AX32" s="1215"/>
      <c r="AY32" s="1215"/>
      <c r="AZ32" s="1215"/>
      <c r="BA32" s="1215"/>
      <c r="BB32" s="1215"/>
      <c r="BC32" s="1215"/>
      <c r="BD32" s="1215"/>
      <c r="BE32" s="1215"/>
      <c r="BF32" s="1215"/>
      <c r="BG32" s="1215"/>
      <c r="BH32" s="1215"/>
      <c r="BI32" s="1215"/>
      <c r="BJ32" s="1215"/>
      <c r="BK32" s="1215"/>
      <c r="BL32" s="1241"/>
      <c r="BM32" s="1241"/>
      <c r="BN32" s="1241"/>
      <c r="BO32" s="1241"/>
      <c r="BP32" s="1241"/>
      <c r="BQ32" s="1241"/>
      <c r="BR32" s="1241"/>
      <c r="BS32" s="1241"/>
      <c r="BT32" s="1241"/>
      <c r="BU32" s="1241"/>
      <c r="BV32" s="1241"/>
      <c r="BW32" s="1241"/>
      <c r="BX32" s="1241"/>
      <c r="BY32" s="1241"/>
      <c r="BZ32" s="1241"/>
      <c r="CA32" s="1241"/>
      <c r="CB32" s="1241"/>
      <c r="CC32" s="1241"/>
      <c r="CD32" s="1241"/>
      <c r="CE32" s="1241"/>
      <c r="CF32">
        <f>CF156</f>
        <v>550</v>
      </c>
      <c r="CG32">
        <f t="shared" ref="CG32:DJ32" si="24">CG156</f>
        <v>550</v>
      </c>
      <c r="CH32">
        <f t="shared" si="24"/>
        <v>0</v>
      </c>
      <c r="CI32">
        <f t="shared" si="24"/>
        <v>0</v>
      </c>
      <c r="CJ32">
        <f t="shared" si="24"/>
        <v>0</v>
      </c>
      <c r="CK32">
        <f t="shared" si="24"/>
        <v>0</v>
      </c>
      <c r="CL32">
        <f t="shared" si="24"/>
        <v>0</v>
      </c>
      <c r="CM32">
        <f t="shared" si="24"/>
        <v>0</v>
      </c>
      <c r="CN32">
        <f t="shared" si="24"/>
        <v>0</v>
      </c>
      <c r="CO32">
        <f t="shared" si="24"/>
        <v>0</v>
      </c>
      <c r="CP32">
        <f t="shared" si="24"/>
        <v>0</v>
      </c>
      <c r="CQ32">
        <f t="shared" si="24"/>
        <v>0</v>
      </c>
      <c r="CR32">
        <f t="shared" si="24"/>
        <v>0</v>
      </c>
      <c r="CS32">
        <f t="shared" si="24"/>
        <v>0</v>
      </c>
      <c r="CT32">
        <f t="shared" si="24"/>
        <v>0</v>
      </c>
      <c r="CU32">
        <f t="shared" si="24"/>
        <v>0</v>
      </c>
      <c r="CV32">
        <f t="shared" si="24"/>
        <v>0</v>
      </c>
      <c r="CW32">
        <f t="shared" si="24"/>
        <v>0</v>
      </c>
      <c r="CX32">
        <f t="shared" si="24"/>
        <v>0</v>
      </c>
      <c r="CY32">
        <f t="shared" si="24"/>
        <v>0</v>
      </c>
      <c r="CZ32">
        <f t="shared" si="24"/>
        <v>0</v>
      </c>
      <c r="DA32">
        <f t="shared" si="24"/>
        <v>0</v>
      </c>
      <c r="DB32">
        <f t="shared" si="24"/>
        <v>0</v>
      </c>
      <c r="DC32">
        <f t="shared" si="24"/>
        <v>0</v>
      </c>
      <c r="DD32">
        <f t="shared" si="24"/>
        <v>0</v>
      </c>
      <c r="DE32">
        <f t="shared" si="24"/>
        <v>0</v>
      </c>
      <c r="DF32">
        <f t="shared" si="24"/>
        <v>0</v>
      </c>
      <c r="DG32">
        <f t="shared" si="24"/>
        <v>0</v>
      </c>
      <c r="DH32">
        <f t="shared" si="24"/>
        <v>0</v>
      </c>
      <c r="DI32">
        <f t="shared" si="24"/>
        <v>0</v>
      </c>
      <c r="DJ32">
        <f t="shared" si="24"/>
        <v>0</v>
      </c>
      <c r="DK32" s="2559">
        <f t="shared" ref="DK32:DT32" si="25">DK156</f>
        <v>0</v>
      </c>
      <c r="DL32" s="2559">
        <f t="shared" si="25"/>
        <v>0</v>
      </c>
      <c r="DM32" s="2559">
        <f t="shared" si="25"/>
        <v>0</v>
      </c>
      <c r="DN32" s="2559">
        <f t="shared" si="25"/>
        <v>0</v>
      </c>
      <c r="DO32" s="2559">
        <f t="shared" si="25"/>
        <v>0</v>
      </c>
      <c r="DP32" s="2682">
        <f t="shared" si="25"/>
        <v>0</v>
      </c>
      <c r="DQ32" s="2682">
        <f t="shared" si="25"/>
        <v>0</v>
      </c>
      <c r="DR32" s="2682">
        <f t="shared" si="25"/>
        <v>0</v>
      </c>
      <c r="DS32" s="2682">
        <f t="shared" si="25"/>
        <v>0</v>
      </c>
      <c r="DT32" s="2682">
        <f t="shared" si="25"/>
        <v>0</v>
      </c>
      <c r="DU32" s="2771">
        <f t="shared" ref="DU32:DY32" si="26">DU156</f>
        <v>0</v>
      </c>
      <c r="DV32" s="2771">
        <f t="shared" si="26"/>
        <v>0</v>
      </c>
      <c r="DW32" s="2771">
        <f t="shared" si="26"/>
        <v>0</v>
      </c>
      <c r="DX32" s="2771">
        <f t="shared" si="26"/>
        <v>0</v>
      </c>
      <c r="DY32" s="2771">
        <f t="shared" si="26"/>
        <v>0</v>
      </c>
    </row>
    <row r="33" spans="1:129" x14ac:dyDescent="0.2">
      <c r="A33" s="1123"/>
      <c r="B33" t="str">
        <f>B161</f>
        <v>3.250% senior notes due 2015</v>
      </c>
      <c r="C33" s="1214"/>
      <c r="D33" s="1214"/>
      <c r="E33" s="1214"/>
      <c r="F33" s="1214"/>
      <c r="G33" s="1214"/>
      <c r="H33" s="1214"/>
      <c r="I33" s="1214"/>
      <c r="J33" s="1214"/>
      <c r="K33" s="1214"/>
      <c r="L33" s="1214"/>
      <c r="M33" s="1214"/>
      <c r="N33" s="1214"/>
      <c r="O33" s="1214"/>
      <c r="P33" s="1214"/>
      <c r="Q33" s="1214"/>
      <c r="R33" s="1214"/>
      <c r="S33" s="1214"/>
      <c r="T33" s="1214"/>
      <c r="U33" s="1214"/>
      <c r="V33" s="1214"/>
      <c r="W33" s="1214"/>
      <c r="X33" s="1215"/>
      <c r="Y33" s="1214"/>
      <c r="Z33" s="1214"/>
      <c r="AA33" s="1214"/>
      <c r="AB33" s="1214"/>
      <c r="AC33" s="1215"/>
      <c r="AD33" s="1214"/>
      <c r="AE33" s="1214"/>
      <c r="AF33" s="1214"/>
      <c r="AG33" s="1214"/>
      <c r="AH33" s="1215"/>
      <c r="AI33" s="1214"/>
      <c r="AJ33" s="1214"/>
      <c r="AK33" s="1214"/>
      <c r="AL33" s="1214"/>
      <c r="AM33" s="1215"/>
      <c r="AN33" s="1214"/>
      <c r="AO33" s="1214"/>
      <c r="AP33" s="1214"/>
      <c r="AQ33" s="1215"/>
      <c r="AR33" s="1215"/>
      <c r="AS33" s="1215"/>
      <c r="AT33" s="1215"/>
      <c r="AU33" s="1215"/>
      <c r="AV33" s="1215"/>
      <c r="AW33" s="1215"/>
      <c r="AX33" s="1215"/>
      <c r="AY33" s="1215"/>
      <c r="AZ33" s="1215"/>
      <c r="BA33" s="1215"/>
      <c r="BB33" s="1215"/>
      <c r="BC33" s="1215"/>
      <c r="BD33" s="1215"/>
      <c r="BE33" s="1215"/>
      <c r="BF33" s="1215"/>
      <c r="BG33" s="1215"/>
      <c r="BH33" s="1215"/>
      <c r="BI33" s="1215"/>
      <c r="BJ33" s="1215"/>
      <c r="BK33" s="1215"/>
      <c r="BL33" s="1241"/>
      <c r="BM33" s="1241"/>
      <c r="BN33" s="1241"/>
      <c r="BO33" s="1241"/>
      <c r="BP33" s="1241"/>
      <c r="BQ33" s="1241"/>
      <c r="BR33" s="1241"/>
      <c r="BS33" s="1241"/>
      <c r="BT33" s="1241"/>
      <c r="BU33" s="1241"/>
      <c r="BV33" s="1241"/>
      <c r="BW33" s="1241"/>
      <c r="BX33" s="1241"/>
      <c r="BY33" s="1241"/>
      <c r="BZ33" s="1241"/>
      <c r="CA33" s="1241"/>
      <c r="CB33" s="1241"/>
      <c r="CC33" s="1241"/>
      <c r="CD33" s="1241"/>
      <c r="CE33" s="1241"/>
      <c r="CF33">
        <f>CF167</f>
        <v>550</v>
      </c>
      <c r="CG33">
        <f t="shared" ref="CG33:DJ33" si="27">CG167</f>
        <v>550</v>
      </c>
      <c r="CH33">
        <f t="shared" si="27"/>
        <v>550</v>
      </c>
      <c r="CI33">
        <f t="shared" si="27"/>
        <v>550</v>
      </c>
      <c r="CJ33">
        <f t="shared" si="27"/>
        <v>550</v>
      </c>
      <c r="CK33">
        <f t="shared" si="27"/>
        <v>550</v>
      </c>
      <c r="CL33">
        <f t="shared" si="27"/>
        <v>550</v>
      </c>
      <c r="CM33">
        <f t="shared" si="27"/>
        <v>550</v>
      </c>
      <c r="CN33">
        <f t="shared" si="27"/>
        <v>550</v>
      </c>
      <c r="CO33">
        <f t="shared" si="27"/>
        <v>550</v>
      </c>
      <c r="CP33">
        <f t="shared" si="27"/>
        <v>550</v>
      </c>
      <c r="CQ33">
        <f t="shared" si="27"/>
        <v>550</v>
      </c>
      <c r="CR33">
        <f t="shared" si="27"/>
        <v>550</v>
      </c>
      <c r="CS33">
        <f t="shared" si="27"/>
        <v>550</v>
      </c>
      <c r="CT33">
        <f t="shared" si="27"/>
        <v>550</v>
      </c>
      <c r="CU33">
        <f t="shared" si="27"/>
        <v>550</v>
      </c>
      <c r="CV33">
        <f t="shared" si="27"/>
        <v>550</v>
      </c>
      <c r="CW33">
        <f t="shared" si="27"/>
        <v>0</v>
      </c>
      <c r="CX33">
        <f t="shared" si="27"/>
        <v>0</v>
      </c>
      <c r="CY33">
        <f t="shared" si="27"/>
        <v>0</v>
      </c>
      <c r="CZ33">
        <f t="shared" si="27"/>
        <v>0</v>
      </c>
      <c r="DA33">
        <f t="shared" si="27"/>
        <v>0</v>
      </c>
      <c r="DB33">
        <f t="shared" si="27"/>
        <v>0</v>
      </c>
      <c r="DC33">
        <f t="shared" si="27"/>
        <v>-550</v>
      </c>
      <c r="DD33">
        <f t="shared" si="27"/>
        <v>-550</v>
      </c>
      <c r="DE33">
        <f t="shared" si="27"/>
        <v>-550</v>
      </c>
      <c r="DF33">
        <f t="shared" si="27"/>
        <v>-550</v>
      </c>
      <c r="DG33">
        <f t="shared" si="27"/>
        <v>-550</v>
      </c>
      <c r="DH33">
        <f t="shared" si="27"/>
        <v>-550</v>
      </c>
      <c r="DI33">
        <f t="shared" si="27"/>
        <v>-550</v>
      </c>
      <c r="DJ33">
        <f t="shared" si="27"/>
        <v>-550</v>
      </c>
      <c r="DK33" s="2559">
        <f t="shared" ref="DK33:DT33" si="28">DK167</f>
        <v>-550</v>
      </c>
      <c r="DL33" s="2559">
        <f t="shared" si="28"/>
        <v>-550</v>
      </c>
      <c r="DM33" s="2559">
        <f t="shared" si="28"/>
        <v>-550</v>
      </c>
      <c r="DN33" s="2559">
        <f t="shared" si="28"/>
        <v>-550</v>
      </c>
      <c r="DO33" s="2559">
        <f t="shared" si="28"/>
        <v>-550</v>
      </c>
      <c r="DP33" s="2682">
        <f t="shared" si="28"/>
        <v>-550</v>
      </c>
      <c r="DQ33" s="2682">
        <f t="shared" si="28"/>
        <v>-550</v>
      </c>
      <c r="DR33" s="2682">
        <f t="shared" si="28"/>
        <v>-550</v>
      </c>
      <c r="DS33" s="2682">
        <f t="shared" si="28"/>
        <v>-550</v>
      </c>
      <c r="DT33" s="2682">
        <f t="shared" si="28"/>
        <v>-550</v>
      </c>
      <c r="DU33" s="2771">
        <f t="shared" ref="DU33:DY33" si="29">DU167</f>
        <v>-550</v>
      </c>
      <c r="DV33" s="2771">
        <f t="shared" si="29"/>
        <v>-550</v>
      </c>
      <c r="DW33" s="2771">
        <f t="shared" si="29"/>
        <v>-550</v>
      </c>
      <c r="DX33" s="2771">
        <f t="shared" si="29"/>
        <v>-550</v>
      </c>
      <c r="DY33" s="2771">
        <f t="shared" si="29"/>
        <v>-550</v>
      </c>
    </row>
    <row r="34" spans="1:129" x14ac:dyDescent="0.2">
      <c r="A34" s="1123"/>
      <c r="B34" t="str">
        <f>B172</f>
        <v xml:space="preserve">6.125% senior notes due 2016 </v>
      </c>
      <c r="C34" s="1214"/>
      <c r="D34" s="1214"/>
      <c r="E34" s="1214"/>
      <c r="F34" s="1214"/>
      <c r="G34" s="1214"/>
      <c r="H34" s="1214"/>
      <c r="I34" s="1214"/>
      <c r="J34" s="1214"/>
      <c r="K34" s="1214"/>
      <c r="L34" s="1214"/>
      <c r="M34" s="1214"/>
      <c r="N34" s="1214"/>
      <c r="O34" s="1214"/>
      <c r="P34" s="1214"/>
      <c r="Q34" s="1214"/>
      <c r="R34" s="1214"/>
      <c r="S34" s="1214"/>
      <c r="T34" s="1214"/>
      <c r="U34" s="1214"/>
      <c r="V34" s="1214"/>
      <c r="W34" s="1214"/>
      <c r="X34" s="1215"/>
      <c r="Y34" s="1214"/>
      <c r="Z34" s="1214"/>
      <c r="AA34" s="1214"/>
      <c r="AB34" s="1214"/>
      <c r="AC34" s="1215"/>
      <c r="AD34" s="1214"/>
      <c r="AE34" s="1214"/>
      <c r="AF34" s="1214"/>
      <c r="AG34" s="1214"/>
      <c r="AH34" s="1215"/>
      <c r="AI34" s="1214"/>
      <c r="AJ34" s="1214"/>
      <c r="AK34" s="1214"/>
      <c r="AL34" s="1214"/>
      <c r="AM34" s="1215"/>
      <c r="AN34" s="1214"/>
      <c r="AO34" s="1214"/>
      <c r="AP34" s="1214"/>
      <c r="AQ34" s="1215"/>
      <c r="AR34" s="1215"/>
      <c r="AS34" s="1215"/>
      <c r="AT34" s="1215"/>
      <c r="AU34" s="1215"/>
      <c r="AV34" s="1215"/>
      <c r="AW34" s="1215"/>
      <c r="AX34" s="1215"/>
      <c r="AY34" s="1215"/>
      <c r="AZ34" s="1215"/>
      <c r="BA34" s="1215"/>
      <c r="BB34" s="1215"/>
      <c r="BC34" s="1215"/>
      <c r="BD34" s="1215"/>
      <c r="BE34" s="1215"/>
      <c r="BF34" s="1215"/>
      <c r="BG34" s="1215"/>
      <c r="BH34" s="1215"/>
      <c r="BI34" s="1215"/>
      <c r="BJ34" s="1215"/>
      <c r="BK34" s="1215"/>
      <c r="BL34" s="1241"/>
      <c r="BM34" s="1241"/>
      <c r="BN34" s="1241"/>
      <c r="BO34" s="1241"/>
      <c r="BP34" s="1241"/>
      <c r="BQ34" s="1241"/>
      <c r="BR34" s="1241"/>
      <c r="BS34" s="1241"/>
      <c r="BT34" s="1241"/>
      <c r="BU34" s="1241"/>
      <c r="BV34" s="1241"/>
      <c r="BW34" s="1241"/>
      <c r="BX34" s="1241"/>
      <c r="BY34" s="1241"/>
      <c r="BZ34" s="1241"/>
      <c r="CA34" s="1827"/>
      <c r="CB34" s="1827"/>
      <c r="CC34" s="1827"/>
      <c r="CD34" s="1827"/>
      <c r="CE34" s="1827"/>
      <c r="CF34">
        <f>CF178</f>
        <v>700</v>
      </c>
      <c r="CG34">
        <f t="shared" ref="CG34:DJ34" si="30">CG178</f>
        <v>700</v>
      </c>
      <c r="CH34">
        <f t="shared" si="30"/>
        <v>700</v>
      </c>
      <c r="CI34">
        <f t="shared" si="30"/>
        <v>700</v>
      </c>
      <c r="CJ34">
        <f t="shared" si="30"/>
        <v>421</v>
      </c>
      <c r="CK34">
        <f t="shared" si="30"/>
        <v>421</v>
      </c>
      <c r="CL34">
        <f t="shared" si="30"/>
        <v>421</v>
      </c>
      <c r="CM34">
        <f t="shared" si="30"/>
        <v>421</v>
      </c>
      <c r="CN34">
        <f t="shared" si="30"/>
        <v>421</v>
      </c>
      <c r="CO34">
        <f t="shared" si="30"/>
        <v>421</v>
      </c>
      <c r="CP34">
        <f t="shared" si="30"/>
        <v>421</v>
      </c>
      <c r="CQ34">
        <f t="shared" si="30"/>
        <v>421</v>
      </c>
      <c r="CR34">
        <f t="shared" si="30"/>
        <v>421</v>
      </c>
      <c r="CS34">
        <f t="shared" si="30"/>
        <v>421</v>
      </c>
      <c r="CT34">
        <f t="shared" si="30"/>
        <v>421</v>
      </c>
      <c r="CU34">
        <f t="shared" si="30"/>
        <v>421</v>
      </c>
      <c r="CV34">
        <f t="shared" si="30"/>
        <v>421</v>
      </c>
      <c r="CW34">
        <f t="shared" si="30"/>
        <v>421</v>
      </c>
      <c r="CX34">
        <f t="shared" si="30"/>
        <v>421</v>
      </c>
      <c r="CY34">
        <f t="shared" si="30"/>
        <v>421</v>
      </c>
      <c r="CZ34">
        <f t="shared" si="30"/>
        <v>421</v>
      </c>
      <c r="DA34">
        <f t="shared" si="30"/>
        <v>421</v>
      </c>
      <c r="DB34">
        <f t="shared" si="30"/>
        <v>421</v>
      </c>
      <c r="DC34">
        <f t="shared" si="30"/>
        <v>0</v>
      </c>
      <c r="DD34">
        <f t="shared" si="30"/>
        <v>0</v>
      </c>
      <c r="DE34">
        <f t="shared" si="30"/>
        <v>0</v>
      </c>
      <c r="DF34">
        <f t="shared" si="30"/>
        <v>0</v>
      </c>
      <c r="DG34">
        <f t="shared" si="30"/>
        <v>0</v>
      </c>
      <c r="DH34">
        <f t="shared" si="30"/>
        <v>0</v>
      </c>
      <c r="DI34">
        <f t="shared" si="30"/>
        <v>0</v>
      </c>
      <c r="DJ34">
        <f t="shared" si="30"/>
        <v>0</v>
      </c>
      <c r="DK34" s="2559">
        <f t="shared" ref="DK34:DT34" si="31">DK178</f>
        <v>0</v>
      </c>
      <c r="DL34" s="2559">
        <f t="shared" si="31"/>
        <v>0</v>
      </c>
      <c r="DM34" s="2559">
        <f t="shared" si="31"/>
        <v>0</v>
      </c>
      <c r="DN34" s="2559">
        <f t="shared" si="31"/>
        <v>0</v>
      </c>
      <c r="DO34" s="2559">
        <f t="shared" si="31"/>
        <v>0</v>
      </c>
      <c r="DP34" s="2682">
        <f t="shared" si="31"/>
        <v>0</v>
      </c>
      <c r="DQ34" s="2682">
        <f t="shared" si="31"/>
        <v>0</v>
      </c>
      <c r="DR34" s="2682">
        <f t="shared" si="31"/>
        <v>0</v>
      </c>
      <c r="DS34" s="2682">
        <f t="shared" si="31"/>
        <v>0</v>
      </c>
      <c r="DT34" s="2682">
        <f t="shared" si="31"/>
        <v>0</v>
      </c>
      <c r="DU34" s="2771">
        <f t="shared" ref="DU34:DY34" si="32">DU178</f>
        <v>0</v>
      </c>
      <c r="DV34" s="2771">
        <f t="shared" si="32"/>
        <v>0</v>
      </c>
      <c r="DW34" s="2771">
        <f t="shared" si="32"/>
        <v>0</v>
      </c>
      <c r="DX34" s="2771">
        <f t="shared" si="32"/>
        <v>0</v>
      </c>
      <c r="DY34" s="2771">
        <f t="shared" si="32"/>
        <v>0</v>
      </c>
    </row>
    <row r="35" spans="1:129" x14ac:dyDescent="0.2">
      <c r="A35" s="1123"/>
      <c r="B35" t="str">
        <f>B183</f>
        <v xml:space="preserve">1.20% senior notes due 2016 </v>
      </c>
      <c r="C35" s="1214"/>
      <c r="D35" s="1214"/>
      <c r="E35" s="1214"/>
      <c r="F35" s="1214"/>
      <c r="G35" s="1214"/>
      <c r="H35" s="1214"/>
      <c r="I35" s="1214"/>
      <c r="J35" s="1214"/>
      <c r="K35" s="1214"/>
      <c r="L35" s="1214"/>
      <c r="M35" s="1214"/>
      <c r="N35" s="1214"/>
      <c r="O35" s="1214"/>
      <c r="P35" s="1214"/>
      <c r="Q35" s="1214"/>
      <c r="R35" s="1214"/>
      <c r="S35" s="1214"/>
      <c r="T35" s="1214"/>
      <c r="U35" s="1214"/>
      <c r="V35" s="1214"/>
      <c r="W35" s="1214"/>
      <c r="X35" s="1215"/>
      <c r="Y35" s="1214"/>
      <c r="Z35" s="1214"/>
      <c r="AA35" s="1214"/>
      <c r="AB35" s="1214"/>
      <c r="AC35" s="1215"/>
      <c r="AD35" s="1214"/>
      <c r="AE35" s="1214"/>
      <c r="AF35" s="1214"/>
      <c r="AG35" s="1214"/>
      <c r="AH35" s="1215"/>
      <c r="AI35" s="1214"/>
      <c r="AJ35" s="1214"/>
      <c r="AK35" s="1214"/>
      <c r="AL35" s="1214"/>
      <c r="AM35" s="1215"/>
      <c r="AN35" s="1214"/>
      <c r="AO35" s="1214"/>
      <c r="AP35" s="1214"/>
      <c r="AQ35" s="1215"/>
      <c r="AR35" s="1215"/>
      <c r="AS35" s="1215"/>
      <c r="AT35" s="1215"/>
      <c r="AU35" s="1215"/>
      <c r="AV35" s="1215"/>
      <c r="AW35" s="1215"/>
      <c r="AX35" s="1215"/>
      <c r="AY35" s="1215"/>
      <c r="AZ35" s="1215"/>
      <c r="BA35" s="1215"/>
      <c r="BB35" s="1215"/>
      <c r="BC35" s="1215"/>
      <c r="BD35" s="1215"/>
      <c r="BE35" s="1215"/>
      <c r="BF35" s="1215"/>
      <c r="BG35" s="1215"/>
      <c r="BH35" s="1215"/>
      <c r="BI35" s="1215"/>
      <c r="BJ35" s="1215"/>
      <c r="BK35" s="1215"/>
      <c r="BL35" s="1241"/>
      <c r="BM35" s="1241"/>
      <c r="BN35" s="1241"/>
      <c r="BO35" s="1241"/>
      <c r="BP35" s="1241"/>
      <c r="BQ35" s="1241"/>
      <c r="BR35" s="1241"/>
      <c r="BS35" s="1241"/>
      <c r="BT35" s="1241"/>
      <c r="BU35" s="1241"/>
      <c r="BV35" s="1241"/>
      <c r="BW35" s="1241"/>
      <c r="BX35" s="1241"/>
      <c r="BY35" s="1241"/>
      <c r="BZ35" s="1241"/>
      <c r="CA35" s="1827"/>
      <c r="CB35" s="1827"/>
      <c r="CC35" s="1827"/>
      <c r="CD35" s="1827"/>
      <c r="CE35" s="1827"/>
      <c r="CF35">
        <f>CF189</f>
        <v>0</v>
      </c>
      <c r="CG35">
        <f t="shared" ref="CG35:DJ35" si="33">CG189</f>
        <v>0</v>
      </c>
      <c r="CH35">
        <f t="shared" si="33"/>
        <v>0</v>
      </c>
      <c r="CI35">
        <f t="shared" si="33"/>
        <v>0</v>
      </c>
      <c r="CJ35">
        <f t="shared" si="33"/>
        <v>0</v>
      </c>
      <c r="CK35">
        <f t="shared" si="33"/>
        <v>0</v>
      </c>
      <c r="CL35">
        <f t="shared" si="33"/>
        <v>0</v>
      </c>
      <c r="CM35">
        <f t="shared" si="33"/>
        <v>0</v>
      </c>
      <c r="CN35">
        <f t="shared" si="33"/>
        <v>0</v>
      </c>
      <c r="CO35">
        <f t="shared" si="33"/>
        <v>750</v>
      </c>
      <c r="CP35">
        <f t="shared" si="33"/>
        <v>750</v>
      </c>
      <c r="CQ35">
        <f t="shared" si="33"/>
        <v>750</v>
      </c>
      <c r="CR35">
        <f t="shared" si="33"/>
        <v>750</v>
      </c>
      <c r="CS35">
        <f t="shared" si="33"/>
        <v>750</v>
      </c>
      <c r="CT35">
        <f t="shared" si="33"/>
        <v>750</v>
      </c>
      <c r="CU35">
        <f t="shared" si="33"/>
        <v>750</v>
      </c>
      <c r="CV35">
        <f t="shared" si="33"/>
        <v>750</v>
      </c>
      <c r="CW35">
        <f t="shared" si="33"/>
        <v>750</v>
      </c>
      <c r="CX35">
        <f t="shared" si="33"/>
        <v>750</v>
      </c>
      <c r="CY35">
        <f t="shared" si="33"/>
        <v>750</v>
      </c>
      <c r="CZ35">
        <f t="shared" si="33"/>
        <v>750</v>
      </c>
      <c r="DA35">
        <f t="shared" si="33"/>
        <v>750</v>
      </c>
      <c r="DB35">
        <f t="shared" si="33"/>
        <v>750</v>
      </c>
      <c r="DC35">
        <f t="shared" si="33"/>
        <v>750</v>
      </c>
      <c r="DD35">
        <f t="shared" si="33"/>
        <v>0</v>
      </c>
      <c r="DE35">
        <f t="shared" si="33"/>
        <v>0</v>
      </c>
      <c r="DF35">
        <f t="shared" si="33"/>
        <v>750</v>
      </c>
      <c r="DG35">
        <f t="shared" si="33"/>
        <v>750</v>
      </c>
      <c r="DH35">
        <f t="shared" si="33"/>
        <v>750</v>
      </c>
      <c r="DI35">
        <f t="shared" si="33"/>
        <v>750</v>
      </c>
      <c r="DJ35">
        <f t="shared" si="33"/>
        <v>0</v>
      </c>
      <c r="DK35" s="2559">
        <f t="shared" ref="DK35:DT35" si="34">DK189</f>
        <v>750</v>
      </c>
      <c r="DL35" s="2559">
        <f t="shared" si="34"/>
        <v>750</v>
      </c>
      <c r="DM35" s="2559">
        <f t="shared" si="34"/>
        <v>750</v>
      </c>
      <c r="DN35" s="2559">
        <f t="shared" si="34"/>
        <v>750</v>
      </c>
      <c r="DO35" s="2559">
        <f t="shared" si="34"/>
        <v>0</v>
      </c>
      <c r="DP35" s="2682">
        <f t="shared" si="34"/>
        <v>750</v>
      </c>
      <c r="DQ35" s="2682">
        <f t="shared" si="34"/>
        <v>750</v>
      </c>
      <c r="DR35" s="2682">
        <f t="shared" si="34"/>
        <v>750</v>
      </c>
      <c r="DS35" s="2682">
        <f t="shared" si="34"/>
        <v>750</v>
      </c>
      <c r="DT35" s="2682">
        <f t="shared" si="34"/>
        <v>0</v>
      </c>
      <c r="DU35" s="2771">
        <f t="shared" ref="DU35:DY35" si="35">DU189</f>
        <v>750</v>
      </c>
      <c r="DV35" s="2771">
        <f t="shared" si="35"/>
        <v>750</v>
      </c>
      <c r="DW35" s="2771">
        <f t="shared" si="35"/>
        <v>750</v>
      </c>
      <c r="DX35" s="2771">
        <f t="shared" si="35"/>
        <v>750</v>
      </c>
      <c r="DY35" s="2771">
        <f t="shared" si="35"/>
        <v>0</v>
      </c>
    </row>
    <row r="36" spans="1:129" x14ac:dyDescent="0.2">
      <c r="A36" s="1123"/>
      <c r="B36" t="str">
        <f>B194</f>
        <v xml:space="preserve">5.75% senior notes due 2017 </v>
      </c>
      <c r="C36" s="1214"/>
      <c r="D36" s="1214"/>
      <c r="E36" s="1214"/>
      <c r="F36" s="1214"/>
      <c r="G36" s="1214"/>
      <c r="H36" s="1214"/>
      <c r="I36" s="1214"/>
      <c r="J36" s="1214"/>
      <c r="K36" s="1214"/>
      <c r="L36" s="1214"/>
      <c r="M36" s="1214"/>
      <c r="N36" s="1214"/>
      <c r="O36" s="1214"/>
      <c r="P36" s="1214"/>
      <c r="Q36" s="1214"/>
      <c r="R36" s="1214"/>
      <c r="S36" s="1214"/>
      <c r="T36" s="1214"/>
      <c r="U36" s="1214"/>
      <c r="V36" s="1214"/>
      <c r="W36" s="1214"/>
      <c r="X36" s="1215"/>
      <c r="Y36" s="1214"/>
      <c r="Z36" s="1214"/>
      <c r="AA36" s="1214"/>
      <c r="AB36" s="1214"/>
      <c r="AC36" s="1215"/>
      <c r="AD36" s="1214"/>
      <c r="AE36" s="1214"/>
      <c r="AF36" s="1214"/>
      <c r="AG36" s="1214"/>
      <c r="AH36" s="1215"/>
      <c r="AI36" s="1214"/>
      <c r="AJ36" s="1214"/>
      <c r="AK36" s="1214"/>
      <c r="AL36" s="1214"/>
      <c r="AM36" s="1215"/>
      <c r="AN36" s="1214"/>
      <c r="AO36" s="1214"/>
      <c r="AP36" s="1214"/>
      <c r="AQ36" s="1215"/>
      <c r="AR36" s="1215"/>
      <c r="AS36" s="1215"/>
      <c r="AT36" s="1215"/>
      <c r="AU36" s="1215"/>
      <c r="AV36" s="1215"/>
      <c r="AW36" s="1215"/>
      <c r="AX36" s="1215"/>
      <c r="AY36" s="1215"/>
      <c r="AZ36" s="1215"/>
      <c r="BA36" s="1215"/>
      <c r="BB36" s="1215"/>
      <c r="BC36" s="1215"/>
      <c r="BD36" s="1215"/>
      <c r="BE36" s="1215"/>
      <c r="BF36" s="1215"/>
      <c r="BG36" s="1215"/>
      <c r="BH36" s="1215"/>
      <c r="BI36" s="1215"/>
      <c r="BJ36" s="1215"/>
      <c r="BK36" s="1215"/>
      <c r="BL36" s="1241"/>
      <c r="BM36" s="1241"/>
      <c r="BN36" s="1241"/>
      <c r="BO36" s="1241"/>
      <c r="BP36" s="1241"/>
      <c r="BQ36" s="1241"/>
      <c r="BR36" s="1241"/>
      <c r="BS36" s="1241"/>
      <c r="BT36" s="1241"/>
      <c r="BU36" s="1241"/>
      <c r="BV36" s="1241"/>
      <c r="BW36" s="1241"/>
      <c r="BX36" s="1241"/>
      <c r="BY36" s="1241"/>
      <c r="BZ36" s="1241"/>
      <c r="CA36" s="1827"/>
      <c r="CB36" s="1827"/>
      <c r="CC36" s="1827"/>
      <c r="CD36" s="1827"/>
      <c r="CE36" s="1827"/>
      <c r="CF36">
        <f>CF200</f>
        <v>1750</v>
      </c>
      <c r="CG36">
        <f t="shared" ref="CG36:DJ36" si="36">CG200</f>
        <v>1750</v>
      </c>
      <c r="CH36">
        <f t="shared" si="36"/>
        <v>1750</v>
      </c>
      <c r="CI36">
        <f t="shared" si="36"/>
        <v>1750</v>
      </c>
      <c r="CJ36">
        <f t="shared" si="36"/>
        <v>1500</v>
      </c>
      <c r="CK36">
        <f t="shared" si="36"/>
        <v>1500</v>
      </c>
      <c r="CL36">
        <f t="shared" si="36"/>
        <v>1500</v>
      </c>
      <c r="CM36">
        <f t="shared" si="36"/>
        <v>1500</v>
      </c>
      <c r="CN36">
        <f t="shared" si="36"/>
        <v>1500</v>
      </c>
      <c r="CO36">
        <f t="shared" si="36"/>
        <v>1310</v>
      </c>
      <c r="CP36">
        <f t="shared" si="36"/>
        <v>1310</v>
      </c>
      <c r="CQ36">
        <f t="shared" si="36"/>
        <v>1310</v>
      </c>
      <c r="CR36">
        <f t="shared" si="36"/>
        <v>1310</v>
      </c>
      <c r="CS36">
        <f t="shared" si="36"/>
        <v>1080</v>
      </c>
      <c r="CT36">
        <f t="shared" si="36"/>
        <v>1080</v>
      </c>
      <c r="CU36">
        <f t="shared" si="36"/>
        <v>1080</v>
      </c>
      <c r="CV36">
        <f t="shared" si="36"/>
        <v>1080</v>
      </c>
      <c r="CW36">
        <f t="shared" si="36"/>
        <v>1080</v>
      </c>
      <c r="CX36">
        <f t="shared" si="36"/>
        <v>1080</v>
      </c>
      <c r="CY36">
        <f t="shared" si="36"/>
        <v>1080</v>
      </c>
      <c r="CZ36">
        <f t="shared" si="36"/>
        <v>1080</v>
      </c>
      <c r="DA36">
        <f t="shared" si="36"/>
        <v>1080</v>
      </c>
      <c r="DB36">
        <f t="shared" si="36"/>
        <v>541.4</v>
      </c>
      <c r="DC36">
        <f t="shared" si="36"/>
        <v>541.4</v>
      </c>
      <c r="DD36">
        <f t="shared" si="36"/>
        <v>541.4</v>
      </c>
      <c r="DE36">
        <f t="shared" si="36"/>
        <v>541.4</v>
      </c>
      <c r="DF36">
        <f t="shared" si="36"/>
        <v>541.4</v>
      </c>
      <c r="DG36">
        <f t="shared" si="36"/>
        <v>541.4</v>
      </c>
      <c r="DH36">
        <f t="shared" si="36"/>
        <v>541.4</v>
      </c>
      <c r="DI36">
        <f t="shared" si="36"/>
        <v>541.4</v>
      </c>
      <c r="DJ36">
        <f t="shared" si="36"/>
        <v>541.4</v>
      </c>
      <c r="DK36" s="2559">
        <f t="shared" ref="DK36:DT36" si="37">DK200</f>
        <v>541.4</v>
      </c>
      <c r="DL36" s="2559">
        <f t="shared" si="37"/>
        <v>-538.6</v>
      </c>
      <c r="DM36" s="2559">
        <f t="shared" si="37"/>
        <v>-538.6</v>
      </c>
      <c r="DN36" s="2559">
        <f t="shared" si="37"/>
        <v>-538.6</v>
      </c>
      <c r="DO36" s="2559">
        <f t="shared" si="37"/>
        <v>-538.6</v>
      </c>
      <c r="DP36" s="2682">
        <f t="shared" si="37"/>
        <v>-538.6</v>
      </c>
      <c r="DQ36" s="2682">
        <f t="shared" si="37"/>
        <v>-1618.6</v>
      </c>
      <c r="DR36" s="2682">
        <f t="shared" si="37"/>
        <v>-1618.6</v>
      </c>
      <c r="DS36" s="2682">
        <f t="shared" si="37"/>
        <v>-1618.6</v>
      </c>
      <c r="DT36" s="2682">
        <f t="shared" si="37"/>
        <v>-1618.6</v>
      </c>
      <c r="DU36" s="2771">
        <f t="shared" ref="DU36:DY36" si="38">DU200</f>
        <v>-1618.6</v>
      </c>
      <c r="DV36" s="2771">
        <f t="shared" si="38"/>
        <v>-2698.6</v>
      </c>
      <c r="DW36" s="2771">
        <f t="shared" si="38"/>
        <v>-2698.6</v>
      </c>
      <c r="DX36" s="2771">
        <f t="shared" si="38"/>
        <v>-2698.6</v>
      </c>
      <c r="DY36" s="2771">
        <f t="shared" si="38"/>
        <v>-2698.6</v>
      </c>
    </row>
    <row r="37" spans="1:129" x14ac:dyDescent="0.2">
      <c r="A37" s="1123"/>
      <c r="B37" t="str">
        <f>B205</f>
        <v xml:space="preserve">2.25% senior notes due 2018 </v>
      </c>
      <c r="C37" s="1214"/>
      <c r="D37" s="1214"/>
      <c r="E37" s="1214"/>
      <c r="F37" s="1214"/>
      <c r="G37" s="1214"/>
      <c r="H37" s="1214"/>
      <c r="I37" s="1214"/>
      <c r="J37" s="1214"/>
      <c r="K37" s="1214"/>
      <c r="L37" s="1214"/>
      <c r="M37" s="1214"/>
      <c r="N37" s="1214"/>
      <c r="O37" s="1214"/>
      <c r="P37" s="1214"/>
      <c r="Q37" s="1214"/>
      <c r="R37" s="1214"/>
      <c r="S37" s="1214"/>
      <c r="T37" s="1214"/>
      <c r="U37" s="1214"/>
      <c r="V37" s="1214"/>
      <c r="W37" s="1214"/>
      <c r="X37" s="1215"/>
      <c r="Y37" s="1214"/>
      <c r="Z37" s="1214"/>
      <c r="AA37" s="1214"/>
      <c r="AB37" s="1214"/>
      <c r="AC37" s="1215"/>
      <c r="AD37" s="1214"/>
      <c r="AE37" s="1214"/>
      <c r="AF37" s="1214"/>
      <c r="AG37" s="1214"/>
      <c r="AH37" s="1215"/>
      <c r="AI37" s="1214"/>
      <c r="AJ37" s="1214"/>
      <c r="AK37" s="1214"/>
      <c r="AL37" s="1214"/>
      <c r="AM37" s="1215"/>
      <c r="AN37" s="1214"/>
      <c r="AO37" s="1214"/>
      <c r="AP37" s="1214"/>
      <c r="AQ37" s="1215"/>
      <c r="AR37" s="1215"/>
      <c r="AS37" s="1215"/>
      <c r="AT37" s="1215"/>
      <c r="AU37" s="1215"/>
      <c r="AV37" s="1215"/>
      <c r="AW37" s="1215"/>
      <c r="AX37" s="1215"/>
      <c r="AY37" s="1215"/>
      <c r="AZ37" s="1215"/>
      <c r="BA37" s="1215"/>
      <c r="BB37" s="1215"/>
      <c r="BC37" s="1215"/>
      <c r="BD37" s="1215"/>
      <c r="BE37" s="1215"/>
      <c r="BF37" s="1215"/>
      <c r="BG37" s="1215"/>
      <c r="BH37" s="1215"/>
      <c r="BI37" s="1215"/>
      <c r="BJ37" s="1215"/>
      <c r="BK37" s="1215"/>
      <c r="BL37" s="1241"/>
      <c r="BM37" s="1241"/>
      <c r="BN37" s="1241"/>
      <c r="BO37" s="1241"/>
      <c r="BP37" s="1241"/>
      <c r="BQ37" s="1241"/>
      <c r="BR37" s="1241"/>
      <c r="BS37" s="1241"/>
      <c r="BT37" s="1241"/>
      <c r="BU37" s="1241"/>
      <c r="BV37" s="1241"/>
      <c r="BW37" s="1241"/>
      <c r="BX37" s="1241"/>
      <c r="BY37" s="1241"/>
      <c r="BZ37" s="1241"/>
      <c r="CA37" s="1827"/>
      <c r="CB37" s="1827"/>
      <c r="CC37" s="1827"/>
      <c r="CD37" s="1827"/>
      <c r="CE37" s="1827"/>
      <c r="CF37">
        <f>CF211</f>
        <v>0</v>
      </c>
      <c r="CG37">
        <f t="shared" ref="CG37:DJ37" si="39">CG211</f>
        <v>0</v>
      </c>
      <c r="CH37">
        <f t="shared" si="39"/>
        <v>0</v>
      </c>
      <c r="CI37">
        <f t="shared" si="39"/>
        <v>0</v>
      </c>
      <c r="CJ37">
        <f t="shared" si="39"/>
        <v>0</v>
      </c>
      <c r="CK37">
        <f t="shared" si="39"/>
        <v>0</v>
      </c>
      <c r="CL37">
        <f t="shared" si="39"/>
        <v>0</v>
      </c>
      <c r="CM37">
        <f t="shared" si="39"/>
        <v>0</v>
      </c>
      <c r="CN37">
        <f t="shared" si="39"/>
        <v>0</v>
      </c>
      <c r="CO37">
        <f t="shared" si="39"/>
        <v>1250</v>
      </c>
      <c r="CP37">
        <f t="shared" si="39"/>
        <v>1250</v>
      </c>
      <c r="CQ37">
        <f t="shared" si="39"/>
        <v>1250</v>
      </c>
      <c r="CR37">
        <f t="shared" si="39"/>
        <v>1250</v>
      </c>
      <c r="CS37">
        <f t="shared" si="39"/>
        <v>1250</v>
      </c>
      <c r="CT37">
        <f t="shared" si="39"/>
        <v>1250</v>
      </c>
      <c r="CU37">
        <f t="shared" si="39"/>
        <v>1250</v>
      </c>
      <c r="CV37">
        <f t="shared" si="39"/>
        <v>1250</v>
      </c>
      <c r="CW37">
        <f t="shared" si="39"/>
        <v>1250</v>
      </c>
      <c r="CX37">
        <f t="shared" si="39"/>
        <v>1250</v>
      </c>
      <c r="CY37">
        <f t="shared" si="39"/>
        <v>1250</v>
      </c>
      <c r="CZ37">
        <f t="shared" si="39"/>
        <v>1250</v>
      </c>
      <c r="DA37">
        <f t="shared" si="39"/>
        <v>1250</v>
      </c>
      <c r="DB37">
        <f t="shared" si="39"/>
        <v>1250</v>
      </c>
      <c r="DC37">
        <f t="shared" si="39"/>
        <v>1250</v>
      </c>
      <c r="DD37">
        <f t="shared" si="39"/>
        <v>1250</v>
      </c>
      <c r="DE37">
        <f t="shared" si="39"/>
        <v>1250</v>
      </c>
      <c r="DF37">
        <f t="shared" si="39"/>
        <v>1250</v>
      </c>
      <c r="DG37">
        <f t="shared" si="39"/>
        <v>1250</v>
      </c>
      <c r="DH37">
        <f t="shared" si="39"/>
        <v>1250</v>
      </c>
      <c r="DI37">
        <f t="shared" si="39"/>
        <v>1250</v>
      </c>
      <c r="DJ37">
        <f t="shared" si="39"/>
        <v>1250</v>
      </c>
      <c r="DK37" s="2559">
        <f t="shared" ref="DK37:DT37" si="40">DK211</f>
        <v>1250</v>
      </c>
      <c r="DL37" s="2559">
        <f t="shared" si="40"/>
        <v>1250</v>
      </c>
      <c r="DM37" s="2559">
        <f t="shared" si="40"/>
        <v>1250</v>
      </c>
      <c r="DN37" s="2559">
        <f t="shared" si="40"/>
        <v>1250</v>
      </c>
      <c r="DO37" s="2559">
        <f t="shared" si="40"/>
        <v>1250</v>
      </c>
      <c r="DP37" s="2682">
        <f t="shared" si="40"/>
        <v>1250</v>
      </c>
      <c r="DQ37" s="2682">
        <f t="shared" si="40"/>
        <v>1250</v>
      </c>
      <c r="DR37" s="2682">
        <f t="shared" si="40"/>
        <v>1250</v>
      </c>
      <c r="DS37" s="2682">
        <f t="shared" si="40"/>
        <v>1250</v>
      </c>
      <c r="DT37" s="2682">
        <f t="shared" si="40"/>
        <v>1250</v>
      </c>
      <c r="DU37" s="2771">
        <f t="shared" ref="DU37:DY37" si="41">DU211</f>
        <v>1250</v>
      </c>
      <c r="DV37" s="2771">
        <f t="shared" si="41"/>
        <v>1250</v>
      </c>
      <c r="DW37" s="2771">
        <f t="shared" si="41"/>
        <v>1250</v>
      </c>
      <c r="DX37" s="2771">
        <f t="shared" si="41"/>
        <v>1250</v>
      </c>
      <c r="DY37" s="2771">
        <f t="shared" si="41"/>
        <v>1250</v>
      </c>
    </row>
    <row r="38" spans="1:129" x14ac:dyDescent="0.2">
      <c r="A38" s="1123"/>
      <c r="B38" t="str">
        <f>B216</f>
        <v xml:space="preserve">4.00% senior notes due 2018 </v>
      </c>
      <c r="C38" s="1214"/>
      <c r="D38" s="1214"/>
      <c r="E38" s="1214"/>
      <c r="F38" s="1214"/>
      <c r="G38" s="1214"/>
      <c r="H38" s="1214"/>
      <c r="I38" s="1214"/>
      <c r="J38" s="1214"/>
      <c r="K38" s="1214"/>
      <c r="L38" s="1214"/>
      <c r="M38" s="1214"/>
      <c r="N38" s="1214"/>
      <c r="O38" s="1214"/>
      <c r="P38" s="1214"/>
      <c r="Q38" s="1214"/>
      <c r="R38" s="1214"/>
      <c r="S38" s="1214"/>
      <c r="T38" s="1214"/>
      <c r="U38" s="1214"/>
      <c r="V38" s="1214"/>
      <c r="W38" s="1214"/>
      <c r="X38" s="1215"/>
      <c r="Y38" s="1214"/>
      <c r="Z38" s="1214"/>
      <c r="AA38" s="1214"/>
      <c r="AB38" s="1214"/>
      <c r="AC38" s="1215"/>
      <c r="AD38" s="1214"/>
      <c r="AE38" s="1214"/>
      <c r="AF38" s="1214"/>
      <c r="AG38" s="1214"/>
      <c r="AH38" s="1215"/>
      <c r="AI38" s="1214"/>
      <c r="AJ38" s="1214"/>
      <c r="AK38" s="1214"/>
      <c r="AL38" s="1214"/>
      <c r="AM38" s="1215"/>
      <c r="AN38" s="1214"/>
      <c r="AO38" s="1214"/>
      <c r="AP38" s="1214"/>
      <c r="AQ38" s="1215"/>
      <c r="AR38" s="1215"/>
      <c r="AS38" s="1215"/>
      <c r="AT38" s="1215"/>
      <c r="AU38" s="1215"/>
      <c r="AV38" s="1215"/>
      <c r="AW38" s="1215"/>
      <c r="AX38" s="1215"/>
      <c r="AY38" s="1215"/>
      <c r="AZ38" s="1215"/>
      <c r="BA38" s="1215"/>
      <c r="BB38" s="1215"/>
      <c r="BC38" s="1215"/>
      <c r="BD38" s="1215"/>
      <c r="BE38" s="1215"/>
      <c r="BF38" s="1215"/>
      <c r="BG38" s="1215"/>
      <c r="BH38" s="1215"/>
      <c r="BI38" s="1215"/>
      <c r="BJ38" s="1215"/>
      <c r="BK38" s="1215"/>
      <c r="BL38" s="1241"/>
      <c r="BM38" s="1241"/>
      <c r="BN38" s="1241"/>
      <c r="BO38" s="1241"/>
      <c r="BP38" s="1241"/>
      <c r="BQ38" s="1241"/>
      <c r="BR38" s="1241"/>
      <c r="BS38" s="1241"/>
      <c r="BT38" s="1241"/>
      <c r="BU38" s="1241"/>
      <c r="BV38" s="1241"/>
      <c r="BW38" s="1241"/>
      <c r="BX38" s="1241"/>
      <c r="BY38" s="1241"/>
      <c r="BZ38" s="1241"/>
      <c r="CA38" s="1827"/>
      <c r="CB38" s="1827"/>
      <c r="CC38" s="1827"/>
      <c r="CD38" s="1827"/>
      <c r="CE38" s="1827"/>
      <c r="CF38">
        <f>CF222</f>
        <v>0</v>
      </c>
      <c r="CG38">
        <f t="shared" ref="CG38:DJ38" si="42">CG222</f>
        <v>0</v>
      </c>
      <c r="CH38">
        <f t="shared" si="42"/>
        <v>0</v>
      </c>
      <c r="CI38">
        <f t="shared" si="42"/>
        <v>0</v>
      </c>
      <c r="CJ38">
        <f t="shared" si="42"/>
        <v>0</v>
      </c>
      <c r="CK38">
        <f t="shared" si="42"/>
        <v>0</v>
      </c>
      <c r="CL38">
        <f t="shared" si="42"/>
        <v>0</v>
      </c>
      <c r="CM38">
        <f t="shared" si="42"/>
        <v>0</v>
      </c>
      <c r="CN38">
        <f t="shared" si="42"/>
        <v>0</v>
      </c>
      <c r="CO38">
        <f t="shared" si="42"/>
        <v>1250</v>
      </c>
      <c r="CP38">
        <f t="shared" si="42"/>
        <v>1250</v>
      </c>
      <c r="CQ38">
        <f t="shared" si="42"/>
        <v>1250</v>
      </c>
      <c r="CR38">
        <f t="shared" si="42"/>
        <v>1250</v>
      </c>
      <c r="CS38">
        <f t="shared" si="42"/>
        <v>1250</v>
      </c>
      <c r="CT38">
        <f t="shared" si="42"/>
        <v>1250</v>
      </c>
      <c r="CU38">
        <f t="shared" si="42"/>
        <v>1250</v>
      </c>
      <c r="CV38">
        <f t="shared" si="42"/>
        <v>1250</v>
      </c>
      <c r="CW38">
        <f t="shared" si="42"/>
        <v>1250</v>
      </c>
      <c r="CX38">
        <f t="shared" si="42"/>
        <v>1250</v>
      </c>
      <c r="CY38">
        <f t="shared" si="42"/>
        <v>1250</v>
      </c>
      <c r="CZ38">
        <f t="shared" si="42"/>
        <v>1250</v>
      </c>
      <c r="DA38">
        <f t="shared" si="42"/>
        <v>1250</v>
      </c>
      <c r="DB38">
        <f t="shared" si="42"/>
        <v>1250</v>
      </c>
      <c r="DC38">
        <f t="shared" si="42"/>
        <v>1250</v>
      </c>
      <c r="DD38">
        <f t="shared" si="42"/>
        <v>1250</v>
      </c>
      <c r="DE38">
        <f t="shared" si="42"/>
        <v>1250</v>
      </c>
      <c r="DF38">
        <f t="shared" si="42"/>
        <v>1250</v>
      </c>
      <c r="DG38">
        <f t="shared" si="42"/>
        <v>1250</v>
      </c>
      <c r="DH38">
        <f t="shared" si="42"/>
        <v>1250</v>
      </c>
      <c r="DI38">
        <f t="shared" si="42"/>
        <v>1250</v>
      </c>
      <c r="DJ38">
        <f t="shared" si="42"/>
        <v>1250</v>
      </c>
      <c r="DK38" s="2559">
        <f t="shared" ref="DK38:DT38" si="43">DK222</f>
        <v>1250</v>
      </c>
      <c r="DL38" s="2559">
        <f t="shared" si="43"/>
        <v>1250</v>
      </c>
      <c r="DM38" s="2559">
        <f t="shared" si="43"/>
        <v>1250</v>
      </c>
      <c r="DN38" s="2559">
        <f t="shared" si="43"/>
        <v>1250</v>
      </c>
      <c r="DO38" s="2559">
        <f t="shared" si="43"/>
        <v>1250</v>
      </c>
      <c r="DP38" s="2682">
        <f t="shared" si="43"/>
        <v>1250</v>
      </c>
      <c r="DQ38" s="2682">
        <f t="shared" si="43"/>
        <v>1250</v>
      </c>
      <c r="DR38" s="2682">
        <f t="shared" si="43"/>
        <v>1250</v>
      </c>
      <c r="DS38" s="2682">
        <f t="shared" si="43"/>
        <v>1250</v>
      </c>
      <c r="DT38" s="2682">
        <f t="shared" si="43"/>
        <v>1250</v>
      </c>
      <c r="DU38" s="2771">
        <f t="shared" ref="DU38:DY38" si="44">DU222</f>
        <v>1250</v>
      </c>
      <c r="DV38" s="2771">
        <f t="shared" si="44"/>
        <v>1250</v>
      </c>
      <c r="DW38" s="2771">
        <f t="shared" si="44"/>
        <v>1250</v>
      </c>
      <c r="DX38" s="2771">
        <f t="shared" si="44"/>
        <v>1250</v>
      </c>
      <c r="DY38" s="2771">
        <f t="shared" si="44"/>
        <v>1250</v>
      </c>
    </row>
    <row r="39" spans="1:129" x14ac:dyDescent="0.2">
      <c r="A39" s="1123"/>
      <c r="B39" t="str">
        <f>B227</f>
        <v xml:space="preserve">2.25% senior notes due 2019 </v>
      </c>
      <c r="C39" s="1214"/>
      <c r="D39" s="1214"/>
      <c r="E39" s="1214"/>
      <c r="F39" s="1214"/>
      <c r="G39" s="1214"/>
      <c r="H39" s="1214"/>
      <c r="I39" s="1214"/>
      <c r="J39" s="1214"/>
      <c r="K39" s="1214"/>
      <c r="L39" s="1214"/>
      <c r="M39" s="1214"/>
      <c r="N39" s="1214"/>
      <c r="O39" s="1214"/>
      <c r="P39" s="1214"/>
      <c r="Q39" s="1214"/>
      <c r="R39" s="1214"/>
      <c r="S39" s="1214"/>
      <c r="T39" s="1214"/>
      <c r="U39" s="1214"/>
      <c r="V39" s="1214"/>
      <c r="W39" s="1214"/>
      <c r="X39" s="1215"/>
      <c r="Y39" s="1214"/>
      <c r="Z39" s="1214"/>
      <c r="AA39" s="1214"/>
      <c r="AB39" s="1214"/>
      <c r="AC39" s="1215"/>
      <c r="AD39" s="1214"/>
      <c r="AE39" s="1214"/>
      <c r="AF39" s="1214"/>
      <c r="AG39" s="1214"/>
      <c r="AH39" s="1215"/>
      <c r="AI39" s="1214"/>
      <c r="AJ39" s="1214"/>
      <c r="AK39" s="1214"/>
      <c r="AL39" s="1214"/>
      <c r="AM39" s="1215"/>
      <c r="AN39" s="1214"/>
      <c r="AO39" s="1214"/>
      <c r="AP39" s="1214"/>
      <c r="AQ39" s="1215"/>
      <c r="AR39" s="1215"/>
      <c r="AS39" s="1215"/>
      <c r="AT39" s="1215"/>
      <c r="AU39" s="1215"/>
      <c r="AV39" s="1215"/>
      <c r="AW39" s="1215"/>
      <c r="AX39" s="1215"/>
      <c r="AY39" s="1215"/>
      <c r="AZ39" s="1215"/>
      <c r="BA39" s="1215"/>
      <c r="BB39" s="1215"/>
      <c r="BC39" s="1215"/>
      <c r="BD39" s="1215"/>
      <c r="BE39" s="1215"/>
      <c r="BF39" s="1215"/>
      <c r="BG39" s="1215"/>
      <c r="BH39" s="1215"/>
      <c r="BI39" s="1215"/>
      <c r="BJ39" s="1215"/>
      <c r="BK39" s="1215"/>
      <c r="BL39" s="1241"/>
      <c r="BM39" s="1241"/>
      <c r="BN39" s="1241"/>
      <c r="BO39" s="1241"/>
      <c r="BP39" s="1241"/>
      <c r="BQ39" s="1241"/>
      <c r="BR39" s="1241"/>
      <c r="BS39" s="1241"/>
      <c r="BT39" s="1241"/>
      <c r="BU39" s="1241"/>
      <c r="BV39" s="1241"/>
      <c r="BW39" s="1241"/>
      <c r="BX39" s="1241"/>
      <c r="BY39" s="1241"/>
      <c r="BZ39" s="1241"/>
      <c r="CA39" s="1827"/>
      <c r="CB39" s="1827"/>
      <c r="CC39" s="1827"/>
      <c r="CD39" s="1827"/>
      <c r="CE39" s="1827"/>
      <c r="CF39">
        <f>CF233</f>
        <v>0</v>
      </c>
      <c r="CG39">
        <f t="shared" ref="CG39:DJ39" si="45">CG233</f>
        <v>0</v>
      </c>
      <c r="CH39">
        <f t="shared" si="45"/>
        <v>0</v>
      </c>
      <c r="CI39">
        <f t="shared" si="45"/>
        <v>0</v>
      </c>
      <c r="CJ39">
        <f t="shared" si="45"/>
        <v>0</v>
      </c>
      <c r="CK39">
        <f t="shared" si="45"/>
        <v>0</v>
      </c>
      <c r="CL39">
        <f t="shared" si="45"/>
        <v>0</v>
      </c>
      <c r="CM39">
        <f t="shared" si="45"/>
        <v>0</v>
      </c>
      <c r="CN39">
        <f t="shared" si="45"/>
        <v>0</v>
      </c>
      <c r="CO39">
        <f t="shared" si="45"/>
        <v>0</v>
      </c>
      <c r="CP39">
        <f t="shared" si="45"/>
        <v>0</v>
      </c>
      <c r="CQ39">
        <f t="shared" si="45"/>
        <v>0</v>
      </c>
      <c r="CR39">
        <f t="shared" si="45"/>
        <v>0</v>
      </c>
      <c r="CS39">
        <f t="shared" si="45"/>
        <v>0</v>
      </c>
      <c r="CT39">
        <f t="shared" si="45"/>
        <v>850</v>
      </c>
      <c r="CU39">
        <f t="shared" si="45"/>
        <v>850</v>
      </c>
      <c r="CV39">
        <f t="shared" si="45"/>
        <v>850</v>
      </c>
      <c r="CW39">
        <f t="shared" si="45"/>
        <v>850</v>
      </c>
      <c r="CX39">
        <f t="shared" si="45"/>
        <v>850</v>
      </c>
      <c r="CY39">
        <f t="shared" si="45"/>
        <v>850</v>
      </c>
      <c r="CZ39">
        <f t="shared" si="45"/>
        <v>850</v>
      </c>
      <c r="DA39">
        <f t="shared" si="45"/>
        <v>850</v>
      </c>
      <c r="DB39">
        <f t="shared" si="45"/>
        <v>850</v>
      </c>
      <c r="DC39">
        <f t="shared" si="45"/>
        <v>850</v>
      </c>
      <c r="DD39">
        <f t="shared" si="45"/>
        <v>850</v>
      </c>
      <c r="DE39">
        <f t="shared" si="45"/>
        <v>850</v>
      </c>
      <c r="DF39">
        <f t="shared" si="45"/>
        <v>850</v>
      </c>
      <c r="DG39">
        <f t="shared" si="45"/>
        <v>850</v>
      </c>
      <c r="DH39">
        <f t="shared" si="45"/>
        <v>850</v>
      </c>
      <c r="DI39">
        <f t="shared" si="45"/>
        <v>850</v>
      </c>
      <c r="DJ39">
        <f t="shared" si="45"/>
        <v>850</v>
      </c>
      <c r="DK39" s="2559">
        <f t="shared" ref="DK39:DT39" si="46">DK233</f>
        <v>850</v>
      </c>
      <c r="DL39" s="2559">
        <f t="shared" si="46"/>
        <v>850</v>
      </c>
      <c r="DM39" s="2559">
        <f t="shared" si="46"/>
        <v>850</v>
      </c>
      <c r="DN39" s="2559">
        <f t="shared" si="46"/>
        <v>850</v>
      </c>
      <c r="DO39" s="2559">
        <f t="shared" si="46"/>
        <v>850</v>
      </c>
      <c r="DP39" s="2682">
        <f t="shared" si="46"/>
        <v>850</v>
      </c>
      <c r="DQ39" s="2682">
        <f t="shared" si="46"/>
        <v>850</v>
      </c>
      <c r="DR39" s="2682">
        <f t="shared" si="46"/>
        <v>850</v>
      </c>
      <c r="DS39" s="2682">
        <f t="shared" si="46"/>
        <v>850</v>
      </c>
      <c r="DT39" s="2682">
        <f t="shared" si="46"/>
        <v>850</v>
      </c>
      <c r="DU39" s="2771">
        <f t="shared" ref="DU39:DY39" si="47">DU233</f>
        <v>850</v>
      </c>
      <c r="DV39" s="2771">
        <f t="shared" si="47"/>
        <v>850</v>
      </c>
      <c r="DW39" s="2771">
        <f t="shared" si="47"/>
        <v>850</v>
      </c>
      <c r="DX39" s="2771">
        <f t="shared" si="47"/>
        <v>850</v>
      </c>
      <c r="DY39" s="2771">
        <f t="shared" si="47"/>
        <v>850</v>
      </c>
    </row>
    <row r="40" spans="1:129" x14ac:dyDescent="0.2">
      <c r="A40" s="1123"/>
      <c r="B40" t="str">
        <f>B238</f>
        <v>3.375% senior notes due 2024</v>
      </c>
      <c r="C40" s="1214"/>
      <c r="D40" s="1214"/>
      <c r="E40" s="1214"/>
      <c r="F40" s="1214"/>
      <c r="G40" s="1214"/>
      <c r="H40" s="1214"/>
      <c r="I40" s="1214"/>
      <c r="J40" s="1214"/>
      <c r="K40" s="1214"/>
      <c r="L40" s="1214"/>
      <c r="M40" s="1214"/>
      <c r="N40" s="1214"/>
      <c r="O40" s="1214"/>
      <c r="P40" s="1214"/>
      <c r="Q40" s="1214"/>
      <c r="R40" s="1214"/>
      <c r="S40" s="1214"/>
      <c r="T40" s="1214"/>
      <c r="U40" s="1214"/>
      <c r="V40" s="1214"/>
      <c r="W40" s="1214"/>
      <c r="X40" s="1215"/>
      <c r="Y40" s="1214"/>
      <c r="Z40" s="1214"/>
      <c r="AA40" s="1214"/>
      <c r="AB40" s="1214"/>
      <c r="AC40" s="1215"/>
      <c r="AD40" s="1214"/>
      <c r="AE40" s="1214"/>
      <c r="AF40" s="1214"/>
      <c r="AG40" s="1214"/>
      <c r="AH40" s="1215"/>
      <c r="AI40" s="1214"/>
      <c r="AJ40" s="1214"/>
      <c r="AK40" s="1214"/>
      <c r="AL40" s="1214"/>
      <c r="AM40" s="1215"/>
      <c r="AN40" s="1214"/>
      <c r="AO40" s="1214"/>
      <c r="AP40" s="1214"/>
      <c r="AQ40" s="1215"/>
      <c r="AR40" s="1215"/>
      <c r="AS40" s="1215"/>
      <c r="AT40" s="1215"/>
      <c r="AU40" s="1215"/>
      <c r="AV40" s="1215"/>
      <c r="AW40" s="1215"/>
      <c r="AX40" s="1215"/>
      <c r="AY40" s="1215"/>
      <c r="AZ40" s="1215"/>
      <c r="BA40" s="1215"/>
      <c r="BB40" s="1215"/>
      <c r="BC40" s="1215"/>
      <c r="BD40" s="1215"/>
      <c r="BE40" s="1215"/>
      <c r="BF40" s="1215"/>
      <c r="BG40" s="1215"/>
      <c r="BH40" s="1215"/>
      <c r="BI40" s="1215"/>
      <c r="BJ40" s="1215"/>
      <c r="BK40" s="1215"/>
      <c r="BL40" s="1241"/>
      <c r="BM40" s="1241"/>
      <c r="BN40" s="1241"/>
      <c r="BO40" s="1241"/>
      <c r="BP40" s="1241"/>
      <c r="BQ40" s="1241"/>
      <c r="BR40" s="1241"/>
      <c r="BS40" s="1241"/>
      <c r="BT40" s="1241"/>
      <c r="BU40" s="1241"/>
      <c r="BV40" s="1241"/>
      <c r="BW40" s="1241"/>
      <c r="BX40" s="1241"/>
      <c r="BY40" s="1241"/>
      <c r="BZ40" s="1241"/>
      <c r="CA40" s="1827"/>
      <c r="CB40" s="1827"/>
      <c r="CC40" s="1827"/>
      <c r="CD40" s="1827"/>
      <c r="CE40" s="1827"/>
      <c r="CF40">
        <f>CF244</f>
        <v>0</v>
      </c>
      <c r="CG40">
        <f t="shared" ref="CG40:DJ40" si="48">CG244</f>
        <v>0</v>
      </c>
      <c r="CH40">
        <f t="shared" si="48"/>
        <v>0</v>
      </c>
      <c r="CI40">
        <f t="shared" si="48"/>
        <v>0</v>
      </c>
      <c r="CJ40">
        <f t="shared" si="48"/>
        <v>0</v>
      </c>
      <c r="CK40">
        <f t="shared" si="48"/>
        <v>0</v>
      </c>
      <c r="CL40">
        <f t="shared" si="48"/>
        <v>0</v>
      </c>
      <c r="CM40">
        <f t="shared" si="48"/>
        <v>0</v>
      </c>
      <c r="CN40">
        <f t="shared" si="48"/>
        <v>0</v>
      </c>
      <c r="CO40">
        <f t="shared" si="48"/>
        <v>0</v>
      </c>
      <c r="CP40">
        <f t="shared" si="48"/>
        <v>0</v>
      </c>
      <c r="CQ40">
        <f t="shared" si="48"/>
        <v>0</v>
      </c>
      <c r="CR40">
        <f t="shared" si="48"/>
        <v>0</v>
      </c>
      <c r="CS40">
        <f t="shared" si="48"/>
        <v>0</v>
      </c>
      <c r="CT40">
        <f t="shared" si="48"/>
        <v>650</v>
      </c>
      <c r="CU40">
        <f t="shared" si="48"/>
        <v>650</v>
      </c>
      <c r="CV40">
        <f t="shared" si="48"/>
        <v>650</v>
      </c>
      <c r="CW40">
        <f t="shared" si="48"/>
        <v>650</v>
      </c>
      <c r="CX40">
        <f t="shared" si="48"/>
        <v>650</v>
      </c>
      <c r="CY40">
        <f t="shared" si="48"/>
        <v>650</v>
      </c>
      <c r="CZ40">
        <f t="shared" si="48"/>
        <v>650</v>
      </c>
      <c r="DA40">
        <f t="shared" si="48"/>
        <v>650</v>
      </c>
      <c r="DB40">
        <f t="shared" si="48"/>
        <v>650</v>
      </c>
      <c r="DC40">
        <f t="shared" si="48"/>
        <v>650</v>
      </c>
      <c r="DD40">
        <f t="shared" si="48"/>
        <v>650</v>
      </c>
      <c r="DE40">
        <f t="shared" si="48"/>
        <v>650</v>
      </c>
      <c r="DF40">
        <f t="shared" si="48"/>
        <v>650</v>
      </c>
      <c r="DG40">
        <f t="shared" si="48"/>
        <v>650</v>
      </c>
      <c r="DH40">
        <f t="shared" si="48"/>
        <v>650</v>
      </c>
      <c r="DI40">
        <f t="shared" si="48"/>
        <v>650</v>
      </c>
      <c r="DJ40">
        <f t="shared" si="48"/>
        <v>650</v>
      </c>
      <c r="DK40" s="2559">
        <f t="shared" ref="DK40:DT40" si="49">DK244</f>
        <v>650</v>
      </c>
      <c r="DL40" s="2559">
        <f t="shared" si="49"/>
        <v>650</v>
      </c>
      <c r="DM40" s="2559">
        <f t="shared" si="49"/>
        <v>650</v>
      </c>
      <c r="DN40" s="2559">
        <f t="shared" si="49"/>
        <v>650</v>
      </c>
      <c r="DO40" s="2559">
        <f t="shared" si="49"/>
        <v>650</v>
      </c>
      <c r="DP40" s="2682">
        <f t="shared" si="49"/>
        <v>650</v>
      </c>
      <c r="DQ40" s="2682">
        <f t="shared" si="49"/>
        <v>650</v>
      </c>
      <c r="DR40" s="2682">
        <f t="shared" si="49"/>
        <v>650</v>
      </c>
      <c r="DS40" s="2682">
        <f t="shared" si="49"/>
        <v>650</v>
      </c>
      <c r="DT40" s="2682">
        <f t="shared" si="49"/>
        <v>650</v>
      </c>
      <c r="DU40" s="2771">
        <f t="shared" ref="DU40:DY40" si="50">DU244</f>
        <v>650</v>
      </c>
      <c r="DV40" s="2771">
        <f t="shared" si="50"/>
        <v>650</v>
      </c>
      <c r="DW40" s="2771">
        <f t="shared" si="50"/>
        <v>650</v>
      </c>
      <c r="DX40" s="2771">
        <f t="shared" si="50"/>
        <v>650</v>
      </c>
      <c r="DY40" s="2771">
        <f t="shared" si="50"/>
        <v>650</v>
      </c>
    </row>
    <row r="41" spans="1:129" x14ac:dyDescent="0.2">
      <c r="A41" s="1123"/>
      <c r="B41" t="str">
        <f>B249</f>
        <v>6.25% senior notes due 2027</v>
      </c>
      <c r="C41" s="1214"/>
      <c r="D41" s="1214"/>
      <c r="E41" s="1214"/>
      <c r="F41" s="1214"/>
      <c r="G41" s="1214"/>
      <c r="H41" s="1214"/>
      <c r="I41" s="1214"/>
      <c r="J41" s="1214"/>
      <c r="K41" s="1214"/>
      <c r="L41" s="1214"/>
      <c r="M41" s="1214"/>
      <c r="N41" s="1214"/>
      <c r="O41" s="1214"/>
      <c r="P41" s="1214"/>
      <c r="Q41" s="1214"/>
      <c r="R41" s="1214"/>
      <c r="S41" s="1214"/>
      <c r="T41" s="1214"/>
      <c r="U41" s="1214"/>
      <c r="V41" s="1214"/>
      <c r="W41" s="1214"/>
      <c r="X41" s="1215"/>
      <c r="Y41" s="1214"/>
      <c r="Z41" s="1214"/>
      <c r="AA41" s="1214"/>
      <c r="AB41" s="1214"/>
      <c r="AC41" s="1215"/>
      <c r="AD41" s="1214"/>
      <c r="AE41" s="1214"/>
      <c r="AF41" s="1214"/>
      <c r="AG41" s="1214"/>
      <c r="AH41" s="1215"/>
      <c r="AI41" s="1214"/>
      <c r="AJ41" s="1214"/>
      <c r="AK41" s="1214"/>
      <c r="AL41" s="1214"/>
      <c r="AM41" s="1215"/>
      <c r="AN41" s="1214"/>
      <c r="AO41" s="1214"/>
      <c r="AP41" s="1214"/>
      <c r="AQ41" s="1215"/>
      <c r="AR41" s="1215"/>
      <c r="AS41" s="1215"/>
      <c r="AT41" s="1215"/>
      <c r="AU41" s="1215"/>
      <c r="AV41" s="1215"/>
      <c r="AW41" s="1215"/>
      <c r="AX41" s="1215"/>
      <c r="AY41" s="1215"/>
      <c r="AZ41" s="1215"/>
      <c r="BA41" s="1215"/>
      <c r="BB41" s="1215"/>
      <c r="BC41" s="1215"/>
      <c r="BD41" s="1215"/>
      <c r="BE41" s="1215"/>
      <c r="BF41" s="1215"/>
      <c r="BG41" s="1215"/>
      <c r="BH41" s="1215"/>
      <c r="BI41" s="1215"/>
      <c r="BJ41" s="1215"/>
      <c r="BK41" s="1215"/>
      <c r="BL41" s="1241"/>
      <c r="BM41" s="1241"/>
      <c r="BN41" s="1241"/>
      <c r="BO41" s="1241"/>
      <c r="BP41" s="1241"/>
      <c r="BQ41" s="1241"/>
      <c r="BR41" s="1241"/>
      <c r="BS41" s="1241"/>
      <c r="BT41" s="1241"/>
      <c r="BU41" s="1241"/>
      <c r="BV41" s="1241"/>
      <c r="BW41" s="1241"/>
      <c r="BX41" s="1241"/>
      <c r="BY41" s="1241"/>
      <c r="BZ41" s="1241"/>
      <c r="CA41" s="1827"/>
      <c r="CB41" s="1827"/>
      <c r="CC41" s="1827"/>
      <c r="CD41" s="1827"/>
      <c r="CE41" s="1827"/>
      <c r="CF41">
        <f>CF255</f>
        <v>1000</v>
      </c>
      <c r="CG41">
        <f t="shared" ref="CG41:DJ41" si="51">CG255</f>
        <v>1000</v>
      </c>
      <c r="CH41">
        <f t="shared" si="51"/>
        <v>1000</v>
      </c>
      <c r="CI41">
        <f t="shared" si="51"/>
        <v>1000</v>
      </c>
      <c r="CJ41">
        <f t="shared" si="51"/>
        <v>1000</v>
      </c>
      <c r="CK41">
        <f t="shared" si="51"/>
        <v>1000</v>
      </c>
      <c r="CL41">
        <f t="shared" si="51"/>
        <v>1000</v>
      </c>
      <c r="CM41">
        <f t="shared" si="51"/>
        <v>1000</v>
      </c>
      <c r="CN41">
        <f t="shared" si="51"/>
        <v>1000</v>
      </c>
      <c r="CO41">
        <f t="shared" si="51"/>
        <v>1000</v>
      </c>
      <c r="CP41">
        <f t="shared" si="51"/>
        <v>1000</v>
      </c>
      <c r="CQ41">
        <f t="shared" si="51"/>
        <v>1000</v>
      </c>
      <c r="CR41">
        <f t="shared" si="51"/>
        <v>1000</v>
      </c>
      <c r="CS41">
        <f t="shared" si="51"/>
        <v>453</v>
      </c>
      <c r="CT41">
        <f t="shared" si="51"/>
        <v>453</v>
      </c>
      <c r="CU41">
        <f t="shared" si="51"/>
        <v>453</v>
      </c>
      <c r="CV41">
        <f t="shared" si="51"/>
        <v>453</v>
      </c>
      <c r="CW41">
        <f t="shared" si="51"/>
        <v>453</v>
      </c>
      <c r="CX41">
        <f t="shared" si="51"/>
        <v>453</v>
      </c>
      <c r="CY41">
        <f t="shared" si="51"/>
        <v>453</v>
      </c>
      <c r="CZ41">
        <f t="shared" si="51"/>
        <v>453</v>
      </c>
      <c r="DA41">
        <f t="shared" si="51"/>
        <v>453</v>
      </c>
      <c r="DB41">
        <f t="shared" si="51"/>
        <v>453</v>
      </c>
      <c r="DC41">
        <f t="shared" si="51"/>
        <v>453</v>
      </c>
      <c r="DD41">
        <f t="shared" si="51"/>
        <v>453</v>
      </c>
      <c r="DE41">
        <f t="shared" si="51"/>
        <v>453</v>
      </c>
      <c r="DF41">
        <f t="shared" si="51"/>
        <v>453</v>
      </c>
      <c r="DG41">
        <f t="shared" si="51"/>
        <v>453</v>
      </c>
      <c r="DH41">
        <f t="shared" si="51"/>
        <v>453</v>
      </c>
      <c r="DI41">
        <f t="shared" si="51"/>
        <v>453</v>
      </c>
      <c r="DJ41">
        <f t="shared" si="51"/>
        <v>453</v>
      </c>
      <c r="DK41" s="2559">
        <f t="shared" ref="DK41:DT41" si="52">DK255</f>
        <v>453</v>
      </c>
      <c r="DL41" s="2559">
        <f t="shared" si="52"/>
        <v>453</v>
      </c>
      <c r="DM41" s="2559">
        <f t="shared" si="52"/>
        <v>453</v>
      </c>
      <c r="DN41" s="2559">
        <f t="shared" si="52"/>
        <v>453</v>
      </c>
      <c r="DO41" s="2559">
        <f t="shared" si="52"/>
        <v>453</v>
      </c>
      <c r="DP41" s="2682">
        <f t="shared" si="52"/>
        <v>453</v>
      </c>
      <c r="DQ41" s="2682">
        <f t="shared" si="52"/>
        <v>453</v>
      </c>
      <c r="DR41" s="2682">
        <f t="shared" si="52"/>
        <v>453</v>
      </c>
      <c r="DS41" s="2682">
        <f t="shared" si="52"/>
        <v>453</v>
      </c>
      <c r="DT41" s="2682">
        <f t="shared" si="52"/>
        <v>453</v>
      </c>
      <c r="DU41" s="2771">
        <f t="shared" ref="DU41:DY41" si="53">DU255</f>
        <v>453</v>
      </c>
      <c r="DV41" s="2771">
        <f t="shared" si="53"/>
        <v>453</v>
      </c>
      <c r="DW41" s="2771">
        <f t="shared" si="53"/>
        <v>453</v>
      </c>
      <c r="DX41" s="2771">
        <f t="shared" si="53"/>
        <v>453</v>
      </c>
      <c r="DY41" s="2771">
        <f t="shared" si="53"/>
        <v>453</v>
      </c>
    </row>
    <row r="42" spans="1:129" x14ac:dyDescent="0.2">
      <c r="A42" s="1123"/>
      <c r="B42" t="str">
        <f>B260</f>
        <v>6.60% senior notes due 2019</v>
      </c>
      <c r="C42" s="1214"/>
      <c r="D42" s="1214"/>
      <c r="E42" s="1214"/>
      <c r="F42" s="1214"/>
      <c r="G42" s="1214"/>
      <c r="H42" s="1214"/>
      <c r="I42" s="1214"/>
      <c r="J42" s="1214"/>
      <c r="K42" s="1214"/>
      <c r="L42" s="1214"/>
      <c r="M42" s="1214"/>
      <c r="N42" s="1214"/>
      <c r="O42" s="1214"/>
      <c r="P42" s="1214"/>
      <c r="Q42" s="1214"/>
      <c r="R42" s="1214"/>
      <c r="S42" s="1214"/>
      <c r="T42" s="1214"/>
      <c r="U42" s="1214"/>
      <c r="V42" s="1214"/>
      <c r="W42" s="1214"/>
      <c r="X42" s="1215"/>
      <c r="Y42" s="1214"/>
      <c r="Z42" s="1214"/>
      <c r="AA42" s="1214"/>
      <c r="AB42" s="1214"/>
      <c r="AC42" s="1215"/>
      <c r="AD42" s="1214"/>
      <c r="AE42" s="1214"/>
      <c r="AF42" s="1214"/>
      <c r="AG42" s="1214"/>
      <c r="AH42" s="1215"/>
      <c r="AI42" s="1214"/>
      <c r="AJ42" s="1214"/>
      <c r="AK42" s="1214"/>
      <c r="AL42" s="1214"/>
      <c r="AM42" s="1215"/>
      <c r="AN42" s="1214"/>
      <c r="AO42" s="1214"/>
      <c r="AP42" s="1214"/>
      <c r="AQ42" s="1215"/>
      <c r="AR42" s="1215"/>
      <c r="AS42" s="1215"/>
      <c r="AT42" s="1215"/>
      <c r="AU42" s="1215"/>
      <c r="AV42" s="1215"/>
      <c r="AW42" s="1215"/>
      <c r="AX42" s="1215"/>
      <c r="AY42" s="1215"/>
      <c r="AZ42" s="1215"/>
      <c r="BA42" s="1215"/>
      <c r="BB42" s="1215"/>
      <c r="BC42" s="1215"/>
      <c r="BD42" s="1215"/>
      <c r="BE42" s="1215"/>
      <c r="BF42" s="1215"/>
      <c r="BG42" s="1215"/>
      <c r="BH42" s="1215"/>
      <c r="BI42" s="1215"/>
      <c r="BJ42" s="1215"/>
      <c r="BK42" s="1215"/>
      <c r="BL42" s="1241"/>
      <c r="BM42" s="1241"/>
      <c r="BN42" s="1241"/>
      <c r="BO42" s="1241"/>
      <c r="BP42" s="1241"/>
      <c r="BQ42" s="1241"/>
      <c r="BR42" s="1241"/>
      <c r="BS42" s="1241"/>
      <c r="BT42" s="1241"/>
      <c r="BU42" s="1241"/>
      <c r="BV42" s="1241"/>
      <c r="BW42" s="1241"/>
      <c r="BX42" s="1241"/>
      <c r="BY42" s="1241"/>
      <c r="BZ42" s="1241"/>
      <c r="CA42" s="1827"/>
      <c r="CB42" s="1827"/>
      <c r="CC42" s="1827"/>
      <c r="CD42" s="1827"/>
      <c r="CE42" s="1827"/>
      <c r="CF42">
        <f>CF266</f>
        <v>1000</v>
      </c>
      <c r="CG42">
        <f t="shared" ref="CG42:DJ42" si="54">CG266</f>
        <v>1000</v>
      </c>
      <c r="CH42">
        <f t="shared" si="54"/>
        <v>1000</v>
      </c>
      <c r="CI42">
        <f t="shared" si="54"/>
        <v>1000</v>
      </c>
      <c r="CJ42">
        <f t="shared" si="54"/>
        <v>394</v>
      </c>
      <c r="CK42">
        <f t="shared" si="54"/>
        <v>394</v>
      </c>
      <c r="CL42">
        <f t="shared" si="54"/>
        <v>394</v>
      </c>
      <c r="CM42">
        <f t="shared" si="54"/>
        <v>394</v>
      </c>
      <c r="CN42">
        <f t="shared" si="54"/>
        <v>394</v>
      </c>
      <c r="CO42">
        <f t="shared" si="54"/>
        <v>394</v>
      </c>
      <c r="CP42">
        <f t="shared" si="54"/>
        <v>394</v>
      </c>
      <c r="CQ42">
        <f t="shared" si="54"/>
        <v>394</v>
      </c>
      <c r="CR42">
        <f t="shared" si="54"/>
        <v>394</v>
      </c>
      <c r="CS42">
        <f t="shared" si="54"/>
        <v>394</v>
      </c>
      <c r="CT42">
        <f t="shared" si="54"/>
        <v>394</v>
      </c>
      <c r="CU42">
        <f t="shared" si="54"/>
        <v>394</v>
      </c>
      <c r="CV42">
        <f t="shared" si="54"/>
        <v>394</v>
      </c>
      <c r="CW42">
        <f t="shared" si="54"/>
        <v>394</v>
      </c>
      <c r="CX42">
        <f t="shared" si="54"/>
        <v>394</v>
      </c>
      <c r="CY42">
        <f t="shared" si="54"/>
        <v>394</v>
      </c>
      <c r="CZ42">
        <f t="shared" si="54"/>
        <v>394</v>
      </c>
      <c r="DA42">
        <f t="shared" si="54"/>
        <v>394</v>
      </c>
      <c r="DB42">
        <f t="shared" si="54"/>
        <v>342.8</v>
      </c>
      <c r="DC42">
        <f t="shared" si="54"/>
        <v>342.8</v>
      </c>
      <c r="DD42">
        <f t="shared" si="54"/>
        <v>342.8</v>
      </c>
      <c r="DE42">
        <f t="shared" si="54"/>
        <v>342.8</v>
      </c>
      <c r="DF42">
        <f t="shared" si="54"/>
        <v>342.8</v>
      </c>
      <c r="DG42">
        <f t="shared" si="54"/>
        <v>342.8</v>
      </c>
      <c r="DH42">
        <f t="shared" si="54"/>
        <v>342.8</v>
      </c>
      <c r="DI42">
        <f t="shared" si="54"/>
        <v>342.8</v>
      </c>
      <c r="DJ42">
        <f t="shared" si="54"/>
        <v>342.8</v>
      </c>
      <c r="DK42" s="2559">
        <f t="shared" ref="DK42:DT42" si="55">DK266</f>
        <v>342.8</v>
      </c>
      <c r="DL42" s="2559">
        <f t="shared" si="55"/>
        <v>342.8</v>
      </c>
      <c r="DM42" s="2559">
        <f t="shared" si="55"/>
        <v>342.8</v>
      </c>
      <c r="DN42" s="2559">
        <f t="shared" si="55"/>
        <v>342.8</v>
      </c>
      <c r="DO42" s="2559">
        <f t="shared" si="55"/>
        <v>342.8</v>
      </c>
      <c r="DP42" s="2682">
        <f t="shared" si="55"/>
        <v>342.8</v>
      </c>
      <c r="DQ42" s="2682">
        <f t="shared" si="55"/>
        <v>342.8</v>
      </c>
      <c r="DR42" s="2682">
        <f t="shared" si="55"/>
        <v>342.8</v>
      </c>
      <c r="DS42" s="2682">
        <f t="shared" si="55"/>
        <v>342.8</v>
      </c>
      <c r="DT42" s="2682">
        <f t="shared" si="55"/>
        <v>342.8</v>
      </c>
      <c r="DU42" s="2771">
        <f t="shared" ref="DU42:DY42" si="56">DU266</f>
        <v>342.8</v>
      </c>
      <c r="DV42" s="2771">
        <f t="shared" si="56"/>
        <v>342.8</v>
      </c>
      <c r="DW42" s="2771">
        <f t="shared" si="56"/>
        <v>342.8</v>
      </c>
      <c r="DX42" s="2771">
        <f t="shared" si="56"/>
        <v>342.8</v>
      </c>
      <c r="DY42" s="2771">
        <f t="shared" si="56"/>
        <v>342.8</v>
      </c>
    </row>
    <row r="43" spans="1:129" x14ac:dyDescent="0.2">
      <c r="A43" s="1123"/>
      <c r="B43" t="str">
        <f>B271</f>
        <v>6.125% note due 2039</v>
      </c>
      <c r="C43" s="1214"/>
      <c r="D43" s="1214"/>
      <c r="E43" s="1214"/>
      <c r="F43" s="1214"/>
      <c r="G43" s="1214"/>
      <c r="H43" s="1214"/>
      <c r="I43" s="1214"/>
      <c r="J43" s="1214"/>
      <c r="K43" s="1214"/>
      <c r="L43" s="1214"/>
      <c r="M43" s="1214"/>
      <c r="N43" s="1214"/>
      <c r="O43" s="1214"/>
      <c r="P43" s="1214"/>
      <c r="Q43" s="1214"/>
      <c r="R43" s="1214"/>
      <c r="S43" s="1214"/>
      <c r="T43" s="1214"/>
      <c r="U43" s="1214"/>
      <c r="V43" s="1214"/>
      <c r="W43" s="1214"/>
      <c r="X43" s="1215"/>
      <c r="Y43" s="1214"/>
      <c r="Z43" s="1214"/>
      <c r="AA43" s="1214"/>
      <c r="AB43" s="1214"/>
      <c r="AC43" s="1215"/>
      <c r="AD43" s="1214"/>
      <c r="AE43" s="1214"/>
      <c r="AF43" s="1214"/>
      <c r="AG43" s="1214"/>
      <c r="AH43" s="1215"/>
      <c r="AI43" s="1214"/>
      <c r="AJ43" s="1214"/>
      <c r="AK43" s="1214"/>
      <c r="AL43" s="1214"/>
      <c r="AM43" s="1215"/>
      <c r="AN43" s="1214"/>
      <c r="AO43" s="1214"/>
      <c r="AP43" s="1214"/>
      <c r="AQ43" s="1215"/>
      <c r="AR43" s="1215"/>
      <c r="AS43" s="1215"/>
      <c r="AT43" s="1215"/>
      <c r="AU43" s="1215"/>
      <c r="AV43" s="1215"/>
      <c r="AW43" s="1215"/>
      <c r="AX43" s="1215"/>
      <c r="AY43" s="1215"/>
      <c r="AZ43" s="1215"/>
      <c r="BA43" s="1215"/>
      <c r="BB43" s="1215"/>
      <c r="BC43" s="1215"/>
      <c r="BD43" s="1215"/>
      <c r="BE43" s="1215"/>
      <c r="BF43" s="1215"/>
      <c r="BG43" s="1215"/>
      <c r="BH43" s="1215"/>
      <c r="BI43" s="1215"/>
      <c r="BJ43" s="1215"/>
      <c r="BK43" s="1215"/>
      <c r="BL43" s="1241"/>
      <c r="BM43" s="1241"/>
      <c r="BN43" s="1241"/>
      <c r="BO43" s="1241"/>
      <c r="BP43" s="1241"/>
      <c r="BQ43" s="1241"/>
      <c r="BR43" s="1241"/>
      <c r="BS43" s="1241"/>
      <c r="BT43" s="1241"/>
      <c r="BU43" s="1241"/>
      <c r="BV43" s="1241"/>
      <c r="BW43" s="1241"/>
      <c r="BX43" s="1241"/>
      <c r="BY43" s="1241"/>
      <c r="BZ43" s="1241"/>
      <c r="CA43" s="1827"/>
      <c r="CB43" s="1827"/>
      <c r="CC43" s="1827"/>
      <c r="CD43" s="1827"/>
      <c r="CE43" s="1827"/>
      <c r="CF43">
        <f>CF277</f>
        <v>1500</v>
      </c>
      <c r="CG43">
        <f t="shared" ref="CG43:DJ43" si="57">CG277</f>
        <v>1500</v>
      </c>
      <c r="CH43">
        <f t="shared" si="57"/>
        <v>1500</v>
      </c>
      <c r="CI43">
        <f t="shared" si="57"/>
        <v>1500</v>
      </c>
      <c r="CJ43">
        <f t="shared" si="57"/>
        <v>1500</v>
      </c>
      <c r="CK43">
        <f t="shared" si="57"/>
        <v>1500</v>
      </c>
      <c r="CL43">
        <f t="shared" si="57"/>
        <v>1500</v>
      </c>
      <c r="CM43">
        <f t="shared" si="57"/>
        <v>1500</v>
      </c>
      <c r="CN43">
        <f t="shared" si="57"/>
        <v>1500</v>
      </c>
      <c r="CO43">
        <f t="shared" si="57"/>
        <v>1500</v>
      </c>
      <c r="CP43">
        <f t="shared" si="57"/>
        <v>1500</v>
      </c>
      <c r="CQ43">
        <f t="shared" si="57"/>
        <v>1500</v>
      </c>
      <c r="CR43">
        <f t="shared" si="57"/>
        <v>1500</v>
      </c>
      <c r="CS43">
        <f t="shared" si="57"/>
        <v>1500</v>
      </c>
      <c r="CT43">
        <f t="shared" si="57"/>
        <v>734</v>
      </c>
      <c r="CU43">
        <f t="shared" si="57"/>
        <v>734</v>
      </c>
      <c r="CV43">
        <f t="shared" si="57"/>
        <v>734</v>
      </c>
      <c r="CW43">
        <f t="shared" si="57"/>
        <v>734</v>
      </c>
      <c r="CX43">
        <f t="shared" si="57"/>
        <v>734</v>
      </c>
      <c r="CY43">
        <f t="shared" si="57"/>
        <v>734</v>
      </c>
      <c r="CZ43">
        <f t="shared" si="57"/>
        <v>734</v>
      </c>
      <c r="DA43">
        <f t="shared" si="57"/>
        <v>734</v>
      </c>
      <c r="DB43">
        <f t="shared" si="57"/>
        <v>734</v>
      </c>
      <c r="DC43">
        <f t="shared" si="57"/>
        <v>734</v>
      </c>
      <c r="DD43">
        <f t="shared" si="57"/>
        <v>734</v>
      </c>
      <c r="DE43">
        <f t="shared" si="57"/>
        <v>734</v>
      </c>
      <c r="DF43">
        <f t="shared" si="57"/>
        <v>734</v>
      </c>
      <c r="DG43">
        <f t="shared" si="57"/>
        <v>734</v>
      </c>
      <c r="DH43">
        <f t="shared" si="57"/>
        <v>734</v>
      </c>
      <c r="DI43">
        <f t="shared" si="57"/>
        <v>734</v>
      </c>
      <c r="DJ43">
        <f t="shared" si="57"/>
        <v>734</v>
      </c>
      <c r="DK43" s="2559">
        <f t="shared" ref="DK43:DT43" si="58">DK277</f>
        <v>734</v>
      </c>
      <c r="DL43" s="2559">
        <f t="shared" si="58"/>
        <v>734</v>
      </c>
      <c r="DM43" s="2559">
        <f t="shared" si="58"/>
        <v>734</v>
      </c>
      <c r="DN43" s="2559">
        <f t="shared" si="58"/>
        <v>734</v>
      </c>
      <c r="DO43" s="2559">
        <f t="shared" si="58"/>
        <v>734</v>
      </c>
      <c r="DP43" s="2682">
        <f t="shared" si="58"/>
        <v>734</v>
      </c>
      <c r="DQ43" s="2682">
        <f t="shared" si="58"/>
        <v>734</v>
      </c>
      <c r="DR43" s="2682">
        <f t="shared" si="58"/>
        <v>734</v>
      </c>
      <c r="DS43" s="2682">
        <f t="shared" si="58"/>
        <v>734</v>
      </c>
      <c r="DT43" s="2682">
        <f t="shared" si="58"/>
        <v>734</v>
      </c>
      <c r="DU43" s="2771">
        <f t="shared" ref="DU43:DY43" si="59">DU277</f>
        <v>734</v>
      </c>
      <c r="DV43" s="2771">
        <f t="shared" si="59"/>
        <v>734</v>
      </c>
      <c r="DW43" s="2771">
        <f t="shared" si="59"/>
        <v>734</v>
      </c>
      <c r="DX43" s="2771">
        <f t="shared" si="59"/>
        <v>734</v>
      </c>
      <c r="DY43" s="2771">
        <f t="shared" si="59"/>
        <v>734</v>
      </c>
    </row>
    <row r="44" spans="1:129" x14ac:dyDescent="0.2">
      <c r="A44" s="1123"/>
      <c r="B44" t="str">
        <f>B282</f>
        <v xml:space="preserve">8.52% ESOP notes due 2008 </v>
      </c>
      <c r="C44" s="1214"/>
      <c r="D44" s="1214"/>
      <c r="E44" s="1214"/>
      <c r="F44" s="1214"/>
      <c r="G44" s="1214"/>
      <c r="H44" s="1214"/>
      <c r="I44" s="1214"/>
      <c r="J44" s="1214"/>
      <c r="K44" s="1214"/>
      <c r="L44" s="1214"/>
      <c r="M44" s="1214"/>
      <c r="N44" s="1214"/>
      <c r="O44" s="1214"/>
      <c r="P44" s="1214"/>
      <c r="Q44" s="1214"/>
      <c r="R44" s="1214"/>
      <c r="S44" s="1214"/>
      <c r="T44" s="1214"/>
      <c r="U44" s="1214"/>
      <c r="V44" s="1214"/>
      <c r="W44" s="1214"/>
      <c r="X44" s="1215"/>
      <c r="Y44" s="1214"/>
      <c r="Z44" s="1214"/>
      <c r="AA44" s="1214"/>
      <c r="AB44" s="1214"/>
      <c r="AC44" s="1215"/>
      <c r="AD44" s="1214"/>
      <c r="AE44" s="1214"/>
      <c r="AF44" s="1214"/>
      <c r="AG44" s="1214"/>
      <c r="AH44" s="1215"/>
      <c r="AI44" s="1214"/>
      <c r="AJ44" s="1214"/>
      <c r="AK44" s="1214"/>
      <c r="AL44" s="1214"/>
      <c r="AM44" s="1215"/>
      <c r="AN44" s="1214"/>
      <c r="AO44" s="1214"/>
      <c r="AP44" s="1214"/>
      <c r="AQ44" s="1215"/>
      <c r="AR44" s="1215"/>
      <c r="AS44" s="1215"/>
      <c r="AT44" s="1215"/>
      <c r="AU44" s="1215"/>
      <c r="AV44" s="1215"/>
      <c r="AW44" s="1215"/>
      <c r="AX44" s="1215"/>
      <c r="AY44" s="1215"/>
      <c r="AZ44" s="1215"/>
      <c r="BA44" s="1215"/>
      <c r="BB44" s="1215"/>
      <c r="BC44" s="1215"/>
      <c r="BD44" s="1215"/>
      <c r="BE44" s="1215"/>
      <c r="BF44" s="1215"/>
      <c r="BG44" s="1215"/>
      <c r="BH44" s="1215"/>
      <c r="BI44" s="1215"/>
      <c r="BJ44" s="1215"/>
      <c r="BK44" s="1215"/>
      <c r="BL44" s="1241"/>
      <c r="BM44" s="1241"/>
      <c r="BN44" s="1241"/>
      <c r="BO44" s="1241"/>
      <c r="BP44" s="1241"/>
      <c r="BQ44" s="1241"/>
      <c r="BR44" s="1241"/>
      <c r="BS44" s="1241"/>
      <c r="BT44" s="1241"/>
      <c r="BU44" s="1241"/>
      <c r="BV44" s="1241"/>
      <c r="BW44" s="1241"/>
      <c r="BX44" s="1241"/>
      <c r="BY44" s="1241"/>
      <c r="BZ44" s="1241"/>
      <c r="CA44" s="1827"/>
      <c r="CB44" s="1827"/>
      <c r="CC44" s="1827"/>
      <c r="CD44" s="1827"/>
      <c r="CE44" s="1827"/>
      <c r="CF44">
        <f>CF288</f>
        <v>0</v>
      </c>
      <c r="CG44">
        <f t="shared" ref="CG44:DJ44" si="60">CG288</f>
        <v>0</v>
      </c>
      <c r="CH44">
        <f t="shared" si="60"/>
        <v>0</v>
      </c>
      <c r="CI44">
        <f t="shared" si="60"/>
        <v>0</v>
      </c>
      <c r="CJ44">
        <f t="shared" si="60"/>
        <v>0</v>
      </c>
      <c r="CK44">
        <f t="shared" si="60"/>
        <v>0</v>
      </c>
      <c r="CL44">
        <f t="shared" si="60"/>
        <v>0</v>
      </c>
      <c r="CM44">
        <f t="shared" si="60"/>
        <v>0</v>
      </c>
      <c r="CN44">
        <f t="shared" si="60"/>
        <v>0</v>
      </c>
      <c r="CO44">
        <f t="shared" si="60"/>
        <v>0</v>
      </c>
      <c r="CP44">
        <f t="shared" si="60"/>
        <v>0</v>
      </c>
      <c r="CQ44">
        <f t="shared" si="60"/>
        <v>0</v>
      </c>
      <c r="CR44">
        <f t="shared" si="60"/>
        <v>0</v>
      </c>
      <c r="CS44">
        <f t="shared" si="60"/>
        <v>0</v>
      </c>
      <c r="CT44">
        <f t="shared" si="60"/>
        <v>0</v>
      </c>
      <c r="CU44">
        <f t="shared" si="60"/>
        <v>0</v>
      </c>
      <c r="CV44">
        <f t="shared" si="60"/>
        <v>0</v>
      </c>
      <c r="CW44">
        <f t="shared" si="60"/>
        <v>0</v>
      </c>
      <c r="CX44">
        <f t="shared" si="60"/>
        <v>0</v>
      </c>
      <c r="CY44">
        <f t="shared" si="60"/>
        <v>0</v>
      </c>
      <c r="CZ44">
        <f t="shared" si="60"/>
        <v>0</v>
      </c>
      <c r="DA44">
        <f t="shared" si="60"/>
        <v>0</v>
      </c>
      <c r="DB44">
        <f t="shared" si="60"/>
        <v>0</v>
      </c>
      <c r="DC44">
        <f t="shared" si="60"/>
        <v>0</v>
      </c>
      <c r="DD44">
        <f t="shared" si="60"/>
        <v>0</v>
      </c>
      <c r="DE44">
        <f t="shared" si="60"/>
        <v>0</v>
      </c>
      <c r="DF44">
        <f t="shared" si="60"/>
        <v>0</v>
      </c>
      <c r="DG44">
        <f t="shared" si="60"/>
        <v>0</v>
      </c>
      <c r="DH44">
        <f t="shared" si="60"/>
        <v>0</v>
      </c>
      <c r="DI44">
        <f t="shared" si="60"/>
        <v>0</v>
      </c>
      <c r="DJ44">
        <f t="shared" si="60"/>
        <v>0</v>
      </c>
      <c r="DK44" s="2559">
        <f t="shared" ref="DK44:DT44" si="61">DK288</f>
        <v>0</v>
      </c>
      <c r="DL44" s="2559">
        <f t="shared" si="61"/>
        <v>0</v>
      </c>
      <c r="DM44" s="2559">
        <f t="shared" si="61"/>
        <v>0</v>
      </c>
      <c r="DN44" s="2559">
        <f t="shared" si="61"/>
        <v>0</v>
      </c>
      <c r="DO44" s="2559">
        <f t="shared" si="61"/>
        <v>0</v>
      </c>
      <c r="DP44" s="2682">
        <f t="shared" si="61"/>
        <v>0</v>
      </c>
      <c r="DQ44" s="2682">
        <f t="shared" si="61"/>
        <v>0</v>
      </c>
      <c r="DR44" s="2682">
        <f t="shared" si="61"/>
        <v>0</v>
      </c>
      <c r="DS44" s="2682">
        <f t="shared" si="61"/>
        <v>0</v>
      </c>
      <c r="DT44" s="2682">
        <f t="shared" si="61"/>
        <v>0</v>
      </c>
      <c r="DU44" s="2771">
        <f t="shared" ref="DU44:DY44" si="62">DU288</f>
        <v>0</v>
      </c>
      <c r="DV44" s="2771">
        <f t="shared" si="62"/>
        <v>0</v>
      </c>
      <c r="DW44" s="2771">
        <f t="shared" si="62"/>
        <v>0</v>
      </c>
      <c r="DX44" s="2771">
        <f t="shared" si="62"/>
        <v>0</v>
      </c>
      <c r="DY44" s="2771">
        <f t="shared" si="62"/>
        <v>0</v>
      </c>
    </row>
    <row r="45" spans="1:129" x14ac:dyDescent="0.2">
      <c r="A45" s="1123"/>
      <c r="B45" t="str">
        <f>B293</f>
        <v>6.302% Enhanced Capital Advantage Preferred Securities</v>
      </c>
      <c r="C45" s="1214"/>
      <c r="D45" s="1214"/>
      <c r="E45" s="1214"/>
      <c r="F45" s="1214"/>
      <c r="G45" s="1214"/>
      <c r="H45" s="1214"/>
      <c r="I45" s="1214"/>
      <c r="J45" s="1214"/>
      <c r="K45" s="1214"/>
      <c r="L45" s="1214"/>
      <c r="M45" s="1214"/>
      <c r="N45" s="1214"/>
      <c r="O45" s="1214"/>
      <c r="P45" s="1214"/>
      <c r="Q45" s="1214"/>
      <c r="R45" s="1214"/>
      <c r="S45" s="1214"/>
      <c r="T45" s="1214"/>
      <c r="U45" s="1214"/>
      <c r="V45" s="1214"/>
      <c r="W45" s="1214"/>
      <c r="X45" s="1215"/>
      <c r="Y45" s="1214"/>
      <c r="Z45" s="1214"/>
      <c r="AA45" s="1214"/>
      <c r="AB45" s="1214"/>
      <c r="AC45" s="1215"/>
      <c r="AD45" s="1214"/>
      <c r="AE45" s="1214"/>
      <c r="AF45" s="1214"/>
      <c r="AG45" s="1214"/>
      <c r="AH45" s="1215"/>
      <c r="AI45" s="1214"/>
      <c r="AJ45" s="1214"/>
      <c r="AK45" s="1214"/>
      <c r="AL45" s="1214"/>
      <c r="AM45" s="1215"/>
      <c r="AN45" s="1214"/>
      <c r="AO45" s="1214"/>
      <c r="AP45" s="1214"/>
      <c r="AQ45" s="1215"/>
      <c r="AR45" s="1215"/>
      <c r="AS45" s="1215"/>
      <c r="AT45" s="1215"/>
      <c r="AU45" s="1215"/>
      <c r="AV45" s="1215"/>
      <c r="AW45" s="1215"/>
      <c r="AX45" s="1215"/>
      <c r="AY45" s="1215"/>
      <c r="AZ45" s="1215"/>
      <c r="BA45" s="1215"/>
      <c r="BB45" s="1215"/>
      <c r="BC45" s="1215"/>
      <c r="BD45" s="1215"/>
      <c r="BE45" s="1215"/>
      <c r="BF45" s="1215"/>
      <c r="BG45" s="1215"/>
      <c r="BH45" s="1215"/>
      <c r="BI45" s="1215"/>
      <c r="BJ45" s="1215"/>
      <c r="BK45" s="1215"/>
      <c r="BL45" s="1241"/>
      <c r="BM45" s="1241"/>
      <c r="BN45" s="1241"/>
      <c r="BO45" s="1241"/>
      <c r="BP45" s="1241"/>
      <c r="BQ45" s="1241"/>
      <c r="BR45" s="1241"/>
      <c r="BS45" s="1241"/>
      <c r="BT45" s="1241"/>
      <c r="BU45" s="1241"/>
      <c r="BV45" s="1241"/>
      <c r="BW45" s="1241"/>
      <c r="BX45" s="1241"/>
      <c r="BY45" s="1241"/>
      <c r="BZ45" s="1241"/>
      <c r="CA45" s="1827"/>
      <c r="CB45" s="1827"/>
      <c r="CC45" s="1827"/>
      <c r="CD45" s="1827"/>
      <c r="CE45" s="1827"/>
      <c r="CF45">
        <f>CF299</f>
        <v>42</v>
      </c>
      <c r="CG45">
        <f t="shared" ref="CG45:DJ45" si="63">CG299</f>
        <v>42</v>
      </c>
      <c r="CH45">
        <f t="shared" si="63"/>
        <v>42</v>
      </c>
      <c r="CI45">
        <f t="shared" si="63"/>
        <v>42</v>
      </c>
      <c r="CJ45">
        <f t="shared" si="63"/>
        <v>42</v>
      </c>
      <c r="CK45">
        <f t="shared" si="63"/>
        <v>42</v>
      </c>
      <c r="CL45">
        <f t="shared" si="63"/>
        <v>42</v>
      </c>
      <c r="CM45">
        <f t="shared" si="63"/>
        <v>42</v>
      </c>
      <c r="CN45">
        <f t="shared" si="63"/>
        <v>42</v>
      </c>
      <c r="CO45">
        <f t="shared" si="63"/>
        <v>42</v>
      </c>
      <c r="CP45">
        <f t="shared" si="63"/>
        <v>42</v>
      </c>
      <c r="CQ45">
        <f t="shared" si="63"/>
        <v>42</v>
      </c>
      <c r="CR45">
        <f t="shared" si="63"/>
        <v>42</v>
      </c>
      <c r="CS45">
        <f t="shared" si="63"/>
        <v>42</v>
      </c>
      <c r="CT45">
        <f t="shared" si="63"/>
        <v>0</v>
      </c>
      <c r="CU45">
        <f t="shared" si="63"/>
        <v>0</v>
      </c>
      <c r="CV45">
        <f t="shared" si="63"/>
        <v>42</v>
      </c>
      <c r="CW45">
        <f t="shared" si="63"/>
        <v>42</v>
      </c>
      <c r="CX45">
        <f t="shared" si="63"/>
        <v>42</v>
      </c>
      <c r="CY45">
        <f t="shared" si="63"/>
        <v>42</v>
      </c>
      <c r="CZ45">
        <f t="shared" si="63"/>
        <v>0</v>
      </c>
      <c r="DA45">
        <f t="shared" si="63"/>
        <v>42</v>
      </c>
      <c r="DB45">
        <f t="shared" si="63"/>
        <v>42</v>
      </c>
      <c r="DC45">
        <f t="shared" si="63"/>
        <v>42</v>
      </c>
      <c r="DD45">
        <f t="shared" si="63"/>
        <v>42</v>
      </c>
      <c r="DE45">
        <f t="shared" si="63"/>
        <v>0</v>
      </c>
      <c r="DF45">
        <f t="shared" si="63"/>
        <v>42</v>
      </c>
      <c r="DG45">
        <f t="shared" si="63"/>
        <v>42</v>
      </c>
      <c r="DH45">
        <f t="shared" si="63"/>
        <v>42</v>
      </c>
      <c r="DI45">
        <f t="shared" si="63"/>
        <v>42</v>
      </c>
      <c r="DJ45">
        <f t="shared" si="63"/>
        <v>0</v>
      </c>
      <c r="DK45" s="2559">
        <f t="shared" ref="DK45:DT45" si="64">DK299</f>
        <v>42</v>
      </c>
      <c r="DL45" s="2559">
        <f t="shared" si="64"/>
        <v>42</v>
      </c>
      <c r="DM45" s="2559">
        <f t="shared" si="64"/>
        <v>42</v>
      </c>
      <c r="DN45" s="2559">
        <f t="shared" si="64"/>
        <v>42</v>
      </c>
      <c r="DO45" s="2559">
        <f t="shared" si="64"/>
        <v>0</v>
      </c>
      <c r="DP45" s="2682">
        <f t="shared" si="64"/>
        <v>42</v>
      </c>
      <c r="DQ45" s="2682">
        <f t="shared" si="64"/>
        <v>42</v>
      </c>
      <c r="DR45" s="2682">
        <f t="shared" si="64"/>
        <v>42</v>
      </c>
      <c r="DS45" s="2682">
        <f t="shared" si="64"/>
        <v>42</v>
      </c>
      <c r="DT45" s="2682">
        <f t="shared" si="64"/>
        <v>0</v>
      </c>
      <c r="DU45" s="2771">
        <f t="shared" ref="DU45:DY45" si="65">DU299</f>
        <v>42</v>
      </c>
      <c r="DV45" s="2771">
        <f t="shared" si="65"/>
        <v>42</v>
      </c>
      <c r="DW45" s="2771">
        <f t="shared" si="65"/>
        <v>42</v>
      </c>
      <c r="DX45" s="2771">
        <f t="shared" si="65"/>
        <v>42</v>
      </c>
      <c r="DY45" s="2771">
        <f t="shared" si="65"/>
        <v>0</v>
      </c>
    </row>
    <row r="46" spans="1:129" x14ac:dyDescent="0.2">
      <c r="A46" s="1123"/>
      <c r="B46" t="str">
        <f>B304</f>
        <v>4.75% senior notes due 2020</v>
      </c>
      <c r="C46" s="1214"/>
      <c r="D46" s="1214"/>
      <c r="E46" s="1214"/>
      <c r="F46" s="1214"/>
      <c r="G46" s="1214"/>
      <c r="H46" s="1214"/>
      <c r="I46" s="1214"/>
      <c r="J46" s="1214"/>
      <c r="K46" s="1214"/>
      <c r="L46" s="1214"/>
      <c r="M46" s="1214"/>
      <c r="N46" s="1214"/>
      <c r="O46" s="1214"/>
      <c r="P46" s="1214"/>
      <c r="Q46" s="1214"/>
      <c r="R46" s="1214"/>
      <c r="S46" s="1214"/>
      <c r="T46" s="1214"/>
      <c r="U46" s="1214"/>
      <c r="V46" s="1214"/>
      <c r="W46" s="1214"/>
      <c r="X46" s="1215"/>
      <c r="Y46" s="1214"/>
      <c r="Z46" s="1214"/>
      <c r="AA46" s="1214"/>
      <c r="AB46" s="1214"/>
      <c r="AC46" s="1215"/>
      <c r="AD46" s="1214"/>
      <c r="AE46" s="1214"/>
      <c r="AF46" s="1214"/>
      <c r="AG46" s="1214"/>
      <c r="AH46" s="1215"/>
      <c r="AI46" s="1214"/>
      <c r="AJ46" s="1214"/>
      <c r="AK46" s="1214"/>
      <c r="AL46" s="1214"/>
      <c r="AM46" s="1215"/>
      <c r="AN46" s="1214"/>
      <c r="AO46" s="1214"/>
      <c r="AP46" s="1214"/>
      <c r="AQ46" s="1215"/>
      <c r="AR46" s="1215"/>
      <c r="AS46" s="1215"/>
      <c r="AT46" s="1215"/>
      <c r="AU46" s="1215"/>
      <c r="AV46" s="1215"/>
      <c r="AW46" s="1215"/>
      <c r="AX46" s="1215"/>
      <c r="AY46" s="1215"/>
      <c r="AZ46" s="1215"/>
      <c r="BA46" s="1215"/>
      <c r="BB46" s="1215"/>
      <c r="BC46" s="1215"/>
      <c r="BD46" s="1215"/>
      <c r="BE46" s="1215"/>
      <c r="BF46" s="1215"/>
      <c r="BG46" s="1215"/>
      <c r="BH46" s="1215"/>
      <c r="BI46" s="1215"/>
      <c r="BJ46" s="1215"/>
      <c r="BK46" s="1215"/>
      <c r="BL46" s="1241"/>
      <c r="BM46" s="1241"/>
      <c r="BN46" s="1241"/>
      <c r="BO46" s="1241"/>
      <c r="BP46" s="1241"/>
      <c r="BQ46" s="1241"/>
      <c r="BR46" s="1241"/>
      <c r="BS46" s="1241"/>
      <c r="BT46" s="1241"/>
      <c r="BU46" s="1241"/>
      <c r="BV46" s="1241"/>
      <c r="BW46" s="1241"/>
      <c r="BX46" s="1241"/>
      <c r="BY46" s="1241"/>
      <c r="BZ46" s="1241"/>
      <c r="CA46" s="1827"/>
      <c r="CB46" s="1827"/>
      <c r="CC46" s="1827"/>
      <c r="CD46" s="1827"/>
      <c r="CE46" s="1827"/>
      <c r="CF46">
        <f>CF310</f>
        <v>450</v>
      </c>
      <c r="CG46">
        <f t="shared" ref="CG46:DJ46" si="66">CG310</f>
        <v>450</v>
      </c>
      <c r="CH46">
        <f t="shared" si="66"/>
        <v>450</v>
      </c>
      <c r="CI46">
        <f t="shared" si="66"/>
        <v>450</v>
      </c>
      <c r="CJ46">
        <f t="shared" si="66"/>
        <v>450</v>
      </c>
      <c r="CK46">
        <f t="shared" si="66"/>
        <v>450</v>
      </c>
      <c r="CL46">
        <f t="shared" si="66"/>
        <v>450</v>
      </c>
      <c r="CM46">
        <f t="shared" si="66"/>
        <v>450</v>
      </c>
      <c r="CN46">
        <f t="shared" si="66"/>
        <v>450</v>
      </c>
      <c r="CO46">
        <f t="shared" si="66"/>
        <v>450</v>
      </c>
      <c r="CP46">
        <f t="shared" si="66"/>
        <v>450</v>
      </c>
      <c r="CQ46">
        <f t="shared" si="66"/>
        <v>450</v>
      </c>
      <c r="CR46">
        <f t="shared" si="66"/>
        <v>450</v>
      </c>
      <c r="CS46">
        <f t="shared" si="66"/>
        <v>450</v>
      </c>
      <c r="CT46">
        <f t="shared" si="66"/>
        <v>450</v>
      </c>
      <c r="CU46">
        <f t="shared" si="66"/>
        <v>450</v>
      </c>
      <c r="CV46">
        <f t="shared" si="66"/>
        <v>450</v>
      </c>
      <c r="CW46">
        <f t="shared" si="66"/>
        <v>450</v>
      </c>
      <c r="CX46">
        <f t="shared" si="66"/>
        <v>450</v>
      </c>
      <c r="CY46">
        <f t="shared" si="66"/>
        <v>450</v>
      </c>
      <c r="CZ46">
        <f t="shared" si="66"/>
        <v>450</v>
      </c>
      <c r="DA46">
        <f t="shared" si="66"/>
        <v>450</v>
      </c>
      <c r="DB46">
        <f t="shared" si="66"/>
        <v>0</v>
      </c>
      <c r="DC46">
        <f t="shared" si="66"/>
        <v>0</v>
      </c>
      <c r="DD46">
        <f t="shared" si="66"/>
        <v>0</v>
      </c>
      <c r="DE46">
        <f t="shared" si="66"/>
        <v>0</v>
      </c>
      <c r="DF46">
        <f t="shared" si="66"/>
        <v>0</v>
      </c>
      <c r="DG46">
        <f t="shared" si="66"/>
        <v>0</v>
      </c>
      <c r="DH46">
        <f t="shared" si="66"/>
        <v>0</v>
      </c>
      <c r="DI46">
        <f t="shared" si="66"/>
        <v>0</v>
      </c>
      <c r="DJ46">
        <f t="shared" si="66"/>
        <v>0</v>
      </c>
      <c r="DK46" s="2559">
        <f t="shared" ref="DK46:DT46" si="67">DK310</f>
        <v>0</v>
      </c>
      <c r="DL46" s="2559">
        <f t="shared" si="67"/>
        <v>0</v>
      </c>
      <c r="DM46" s="2559">
        <f t="shared" si="67"/>
        <v>0</v>
      </c>
      <c r="DN46" s="2559">
        <f t="shared" si="67"/>
        <v>0</v>
      </c>
      <c r="DO46" s="2559">
        <f t="shared" si="67"/>
        <v>0</v>
      </c>
      <c r="DP46" s="2682">
        <f t="shared" si="67"/>
        <v>0</v>
      </c>
      <c r="DQ46" s="2682">
        <f t="shared" si="67"/>
        <v>0</v>
      </c>
      <c r="DR46" s="2682">
        <f t="shared" si="67"/>
        <v>0</v>
      </c>
      <c r="DS46" s="2682">
        <f t="shared" si="67"/>
        <v>0</v>
      </c>
      <c r="DT46" s="2682">
        <f t="shared" si="67"/>
        <v>0</v>
      </c>
      <c r="DU46" s="2771">
        <f t="shared" ref="DU46:DY46" si="68">DU310</f>
        <v>0</v>
      </c>
      <c r="DV46" s="2771">
        <f t="shared" si="68"/>
        <v>0</v>
      </c>
      <c r="DW46" s="2771">
        <f t="shared" si="68"/>
        <v>0</v>
      </c>
      <c r="DX46" s="2771">
        <f t="shared" si="68"/>
        <v>0</v>
      </c>
      <c r="DY46" s="2771">
        <f t="shared" si="68"/>
        <v>0</v>
      </c>
    </row>
    <row r="47" spans="1:129" x14ac:dyDescent="0.2">
      <c r="A47" s="1123"/>
      <c r="B47" t="str">
        <f>B315</f>
        <v>2.75% senior notes due 2022</v>
      </c>
      <c r="C47" s="1214"/>
      <c r="D47" s="1214"/>
      <c r="E47" s="1214"/>
      <c r="F47" s="1214"/>
      <c r="G47" s="1214"/>
      <c r="H47" s="1214"/>
      <c r="I47" s="1214"/>
      <c r="J47" s="1214"/>
      <c r="K47" s="1214"/>
      <c r="L47" s="1214"/>
      <c r="M47" s="1214"/>
      <c r="N47" s="1214"/>
      <c r="O47" s="1214"/>
      <c r="P47" s="1214"/>
      <c r="Q47" s="1214"/>
      <c r="R47" s="1214"/>
      <c r="S47" s="1214"/>
      <c r="T47" s="1214"/>
      <c r="U47" s="1214"/>
      <c r="V47" s="1214"/>
      <c r="W47" s="1214"/>
      <c r="X47" s="1215"/>
      <c r="Y47" s="1214"/>
      <c r="Z47" s="1214"/>
      <c r="AA47" s="1214"/>
      <c r="AB47" s="1214"/>
      <c r="AC47" s="1215"/>
      <c r="AD47" s="1214"/>
      <c r="AE47" s="1214"/>
      <c r="AF47" s="1214"/>
      <c r="AG47" s="1214"/>
      <c r="AH47" s="1215"/>
      <c r="AI47" s="1214"/>
      <c r="AJ47" s="1214"/>
      <c r="AK47" s="1214"/>
      <c r="AL47" s="1214"/>
      <c r="AM47" s="1215"/>
      <c r="AN47" s="1214"/>
      <c r="AO47" s="1214"/>
      <c r="AP47" s="1214"/>
      <c r="AQ47" s="1215"/>
      <c r="AR47" s="1215"/>
      <c r="AS47" s="1215"/>
      <c r="AT47" s="1215"/>
      <c r="AU47" s="1215"/>
      <c r="AV47" s="1215"/>
      <c r="AW47" s="1215"/>
      <c r="AX47" s="1215"/>
      <c r="AY47" s="1215"/>
      <c r="AZ47" s="1215"/>
      <c r="BA47" s="1215"/>
      <c r="BB47" s="1215"/>
      <c r="BC47" s="1215"/>
      <c r="BD47" s="1215"/>
      <c r="BE47" s="1215"/>
      <c r="BF47" s="1215"/>
      <c r="BG47" s="1215"/>
      <c r="BH47" s="1215"/>
      <c r="BI47" s="1215"/>
      <c r="BJ47" s="1215"/>
      <c r="BK47" s="1215"/>
      <c r="BL47" s="1241"/>
      <c r="BM47" s="1241"/>
      <c r="BN47" s="1241"/>
      <c r="BO47" s="1241"/>
      <c r="BP47" s="1241"/>
      <c r="BQ47" s="1241"/>
      <c r="BR47" s="1241"/>
      <c r="BS47" s="1241"/>
      <c r="BT47" s="1241"/>
      <c r="BU47" s="1241"/>
      <c r="BV47" s="1241"/>
      <c r="BW47" s="1241"/>
      <c r="BX47" s="1241"/>
      <c r="BY47" s="1241"/>
      <c r="BZ47" s="1241"/>
      <c r="CA47" s="1827"/>
      <c r="CB47" s="1827"/>
      <c r="CC47" s="1827"/>
      <c r="CD47" s="1827"/>
      <c r="CE47" s="1827"/>
      <c r="CF47">
        <f>CF321</f>
        <v>0</v>
      </c>
      <c r="CG47">
        <f t="shared" ref="CG47:DJ47" si="69">CG321</f>
        <v>0</v>
      </c>
      <c r="CH47">
        <f t="shared" si="69"/>
        <v>0</v>
      </c>
      <c r="CI47">
        <f t="shared" si="69"/>
        <v>0</v>
      </c>
      <c r="CJ47">
        <f t="shared" si="69"/>
        <v>1250</v>
      </c>
      <c r="CK47">
        <f t="shared" si="69"/>
        <v>1250</v>
      </c>
      <c r="CL47">
        <f t="shared" si="69"/>
        <v>1250</v>
      </c>
      <c r="CM47">
        <f t="shared" si="69"/>
        <v>1250</v>
      </c>
      <c r="CN47">
        <f t="shared" si="69"/>
        <v>1250</v>
      </c>
      <c r="CO47">
        <f t="shared" si="69"/>
        <v>1250</v>
      </c>
      <c r="CP47">
        <f t="shared" si="69"/>
        <v>1250</v>
      </c>
      <c r="CQ47">
        <f t="shared" si="69"/>
        <v>1250</v>
      </c>
      <c r="CR47">
        <f t="shared" si="69"/>
        <v>1250</v>
      </c>
      <c r="CS47">
        <f t="shared" si="69"/>
        <v>1250</v>
      </c>
      <c r="CT47">
        <f t="shared" si="69"/>
        <v>1250</v>
      </c>
      <c r="CU47">
        <f t="shared" si="69"/>
        <v>1250</v>
      </c>
      <c r="CV47">
        <f t="shared" si="69"/>
        <v>1250</v>
      </c>
      <c r="CW47">
        <f t="shared" si="69"/>
        <v>1250</v>
      </c>
      <c r="CX47">
        <f t="shared" si="69"/>
        <v>1250</v>
      </c>
      <c r="CY47">
        <f t="shared" si="69"/>
        <v>1250</v>
      </c>
      <c r="CZ47">
        <f t="shared" si="69"/>
        <v>1250</v>
      </c>
      <c r="DA47">
        <f t="shared" si="69"/>
        <v>1250</v>
      </c>
      <c r="DB47">
        <f t="shared" si="69"/>
        <v>1250</v>
      </c>
      <c r="DC47">
        <f t="shared" si="69"/>
        <v>1250</v>
      </c>
      <c r="DD47">
        <f t="shared" si="69"/>
        <v>1250</v>
      </c>
      <c r="DE47">
        <f t="shared" si="69"/>
        <v>1250</v>
      </c>
      <c r="DF47">
        <f t="shared" si="69"/>
        <v>1250</v>
      </c>
      <c r="DG47">
        <f t="shared" si="69"/>
        <v>1250</v>
      </c>
      <c r="DH47">
        <f t="shared" si="69"/>
        <v>1250</v>
      </c>
      <c r="DI47">
        <f t="shared" si="69"/>
        <v>1250</v>
      </c>
      <c r="DJ47">
        <f t="shared" si="69"/>
        <v>1250</v>
      </c>
      <c r="DK47" s="2559">
        <f t="shared" ref="DK47:DT47" si="70">DK321</f>
        <v>1250</v>
      </c>
      <c r="DL47" s="2559">
        <f t="shared" si="70"/>
        <v>1250</v>
      </c>
      <c r="DM47" s="2559">
        <f t="shared" si="70"/>
        <v>1250</v>
      </c>
      <c r="DN47" s="2559">
        <f t="shared" si="70"/>
        <v>1250</v>
      </c>
      <c r="DO47" s="2559">
        <f t="shared" si="70"/>
        <v>1250</v>
      </c>
      <c r="DP47" s="2682">
        <f t="shared" si="70"/>
        <v>1250</v>
      </c>
      <c r="DQ47" s="2682">
        <f t="shared" si="70"/>
        <v>1250</v>
      </c>
      <c r="DR47" s="2682">
        <f t="shared" si="70"/>
        <v>1250</v>
      </c>
      <c r="DS47" s="2682">
        <f t="shared" si="70"/>
        <v>1250</v>
      </c>
      <c r="DT47" s="2682">
        <f t="shared" si="70"/>
        <v>1250</v>
      </c>
      <c r="DU47" s="2771">
        <f t="shared" ref="DU47:DY47" si="71">DU321</f>
        <v>1250</v>
      </c>
      <c r="DV47" s="2771">
        <f t="shared" si="71"/>
        <v>1250</v>
      </c>
      <c r="DW47" s="2771">
        <f t="shared" si="71"/>
        <v>1250</v>
      </c>
      <c r="DX47" s="2771">
        <f t="shared" si="71"/>
        <v>1250</v>
      </c>
      <c r="DY47" s="2771">
        <f t="shared" si="71"/>
        <v>1250</v>
      </c>
    </row>
    <row r="48" spans="1:129" x14ac:dyDescent="0.2">
      <c r="A48" s="1123"/>
      <c r="B48" t="str">
        <f>B326</f>
        <v xml:space="preserve">4.125% unsecured senior notes due 2021 </v>
      </c>
      <c r="C48" s="1214"/>
      <c r="D48" s="1214"/>
      <c r="E48" s="1214"/>
      <c r="F48" s="1214"/>
      <c r="G48" s="1214"/>
      <c r="H48" s="1214"/>
      <c r="I48" s="1214"/>
      <c r="J48" s="1214"/>
      <c r="K48" s="1214"/>
      <c r="L48" s="1214"/>
      <c r="M48" s="1214"/>
      <c r="N48" s="1214"/>
      <c r="O48" s="1214"/>
      <c r="P48" s="1214"/>
      <c r="Q48" s="1214"/>
      <c r="R48" s="1214"/>
      <c r="S48" s="1214"/>
      <c r="T48" s="1214"/>
      <c r="U48" s="1214"/>
      <c r="V48" s="1214"/>
      <c r="W48" s="1214"/>
      <c r="X48" s="1215"/>
      <c r="Y48" s="1214"/>
      <c r="Z48" s="1214"/>
      <c r="AA48" s="1214"/>
      <c r="AB48" s="1214"/>
      <c r="AC48" s="1215"/>
      <c r="AD48" s="1214"/>
      <c r="AE48" s="1214"/>
      <c r="AF48" s="1214"/>
      <c r="AG48" s="1214"/>
      <c r="AH48" s="1215"/>
      <c r="AI48" s="1214"/>
      <c r="AJ48" s="1214"/>
      <c r="AK48" s="1214"/>
      <c r="AL48" s="1214"/>
      <c r="AM48" s="1215"/>
      <c r="AN48" s="1214"/>
      <c r="AO48" s="1214"/>
      <c r="AP48" s="1214"/>
      <c r="AQ48" s="1215"/>
      <c r="AR48" s="1215"/>
      <c r="AS48" s="1215"/>
      <c r="AT48" s="1215"/>
      <c r="AU48" s="1215"/>
      <c r="AV48" s="1215"/>
      <c r="AW48" s="1215"/>
      <c r="AX48" s="1215"/>
      <c r="AY48" s="1215"/>
      <c r="AZ48" s="1215"/>
      <c r="BA48" s="1215"/>
      <c r="BB48" s="1215"/>
      <c r="BC48" s="1215"/>
      <c r="BD48" s="1215"/>
      <c r="BE48" s="1215"/>
      <c r="BF48" s="1215"/>
      <c r="BG48" s="1215"/>
      <c r="BH48" s="1215"/>
      <c r="BI48" s="1215"/>
      <c r="BJ48" s="1215"/>
      <c r="BK48" s="1215"/>
      <c r="BL48" s="1241"/>
      <c r="BM48" s="1241"/>
      <c r="BN48" s="1241"/>
      <c r="BO48" s="1241"/>
      <c r="BP48" s="1241"/>
      <c r="BQ48" s="1241"/>
      <c r="BR48" s="1241"/>
      <c r="BS48" s="1241"/>
      <c r="BT48" s="1241"/>
      <c r="BU48" s="1241"/>
      <c r="BV48" s="1241"/>
      <c r="BW48" s="1241"/>
      <c r="BX48" s="1241"/>
      <c r="BY48" s="1241"/>
      <c r="BZ48" s="1241"/>
      <c r="CA48" s="1827"/>
      <c r="CB48" s="1827"/>
      <c r="CC48" s="1827"/>
      <c r="CD48" s="1827"/>
      <c r="CE48" s="1827"/>
      <c r="CF48">
        <f>CF332</f>
        <v>550</v>
      </c>
      <c r="CG48">
        <f t="shared" ref="CG48:DJ48" si="72">CG332</f>
        <v>550</v>
      </c>
      <c r="CH48">
        <f t="shared" si="72"/>
        <v>550</v>
      </c>
      <c r="CI48">
        <f t="shared" si="72"/>
        <v>550</v>
      </c>
      <c r="CJ48">
        <f t="shared" si="72"/>
        <v>550</v>
      </c>
      <c r="CK48">
        <f t="shared" si="72"/>
        <v>550</v>
      </c>
      <c r="CL48">
        <f t="shared" si="72"/>
        <v>550</v>
      </c>
      <c r="CM48">
        <f t="shared" si="72"/>
        <v>550</v>
      </c>
      <c r="CN48">
        <f t="shared" si="72"/>
        <v>550</v>
      </c>
      <c r="CO48">
        <f t="shared" si="72"/>
        <v>550</v>
      </c>
      <c r="CP48">
        <f t="shared" si="72"/>
        <v>550</v>
      </c>
      <c r="CQ48">
        <f t="shared" si="72"/>
        <v>550</v>
      </c>
      <c r="CR48">
        <f t="shared" si="72"/>
        <v>550</v>
      </c>
      <c r="CS48">
        <f t="shared" si="72"/>
        <v>550</v>
      </c>
      <c r="CT48">
        <f t="shared" si="72"/>
        <v>550</v>
      </c>
      <c r="CU48">
        <f t="shared" si="72"/>
        <v>550</v>
      </c>
      <c r="CV48">
        <f t="shared" si="72"/>
        <v>550</v>
      </c>
      <c r="CW48">
        <f t="shared" si="72"/>
        <v>550</v>
      </c>
      <c r="CX48">
        <f t="shared" si="72"/>
        <v>550</v>
      </c>
      <c r="CY48">
        <f t="shared" si="72"/>
        <v>550</v>
      </c>
      <c r="CZ48">
        <f t="shared" si="72"/>
        <v>550</v>
      </c>
      <c r="DA48">
        <f t="shared" si="72"/>
        <v>550</v>
      </c>
      <c r="DB48">
        <f t="shared" si="72"/>
        <v>550</v>
      </c>
      <c r="DC48">
        <f t="shared" si="72"/>
        <v>550</v>
      </c>
      <c r="DD48">
        <f t="shared" si="72"/>
        <v>550</v>
      </c>
      <c r="DE48">
        <f t="shared" si="72"/>
        <v>550</v>
      </c>
      <c r="DF48">
        <f t="shared" si="72"/>
        <v>550</v>
      </c>
      <c r="DG48">
        <f t="shared" si="72"/>
        <v>550</v>
      </c>
      <c r="DH48">
        <f t="shared" si="72"/>
        <v>550</v>
      </c>
      <c r="DI48">
        <f t="shared" si="72"/>
        <v>550</v>
      </c>
      <c r="DJ48">
        <f t="shared" si="72"/>
        <v>550</v>
      </c>
      <c r="DK48" s="2559">
        <f t="shared" ref="DK48:DT48" si="73">DK332</f>
        <v>550</v>
      </c>
      <c r="DL48" s="2559">
        <f t="shared" si="73"/>
        <v>550</v>
      </c>
      <c r="DM48" s="2559">
        <f t="shared" si="73"/>
        <v>550</v>
      </c>
      <c r="DN48" s="2559">
        <f t="shared" si="73"/>
        <v>550</v>
      </c>
      <c r="DO48" s="2559">
        <f t="shared" si="73"/>
        <v>550</v>
      </c>
      <c r="DP48" s="2682">
        <f t="shared" si="73"/>
        <v>550</v>
      </c>
      <c r="DQ48" s="2682">
        <f t="shared" si="73"/>
        <v>550</v>
      </c>
      <c r="DR48" s="2682">
        <f t="shared" si="73"/>
        <v>550</v>
      </c>
      <c r="DS48" s="2682">
        <f t="shared" si="73"/>
        <v>550</v>
      </c>
      <c r="DT48" s="2682">
        <f t="shared" si="73"/>
        <v>550</v>
      </c>
      <c r="DU48" s="2771">
        <f t="shared" ref="DU48:DY48" si="74">DU332</f>
        <v>550</v>
      </c>
      <c r="DV48" s="2771">
        <f t="shared" si="74"/>
        <v>550</v>
      </c>
      <c r="DW48" s="2771">
        <f t="shared" si="74"/>
        <v>550</v>
      </c>
      <c r="DX48" s="2771">
        <f t="shared" si="74"/>
        <v>550</v>
      </c>
      <c r="DY48" s="2771">
        <f t="shared" si="74"/>
        <v>550</v>
      </c>
    </row>
    <row r="49" spans="1:129" x14ac:dyDescent="0.2">
      <c r="A49" s="1123"/>
      <c r="B49" t="str">
        <f>B337</f>
        <v>1.9% senior notes due 2018</v>
      </c>
      <c r="C49" s="1214"/>
      <c r="D49" s="1214"/>
      <c r="E49" s="1214"/>
      <c r="F49" s="1214"/>
      <c r="G49" s="1214"/>
      <c r="H49" s="1214"/>
      <c r="I49" s="1214"/>
      <c r="J49" s="1214"/>
      <c r="K49" s="1214"/>
      <c r="L49" s="1214"/>
      <c r="M49" s="1214"/>
      <c r="N49" s="1214"/>
      <c r="O49" s="1214"/>
      <c r="P49" s="1214"/>
      <c r="Q49" s="1214"/>
      <c r="R49" s="1214"/>
      <c r="S49" s="1214"/>
      <c r="T49" s="1214"/>
      <c r="U49" s="1214"/>
      <c r="V49" s="1214"/>
      <c r="W49" s="1214"/>
      <c r="X49" s="1215"/>
      <c r="Y49" s="1214"/>
      <c r="Z49" s="1214"/>
      <c r="AA49" s="1214"/>
      <c r="AB49" s="1214"/>
      <c r="AC49" s="1215"/>
      <c r="AD49" s="1214"/>
      <c r="AE49" s="1214"/>
      <c r="AF49" s="1214"/>
      <c r="AG49" s="1214"/>
      <c r="AH49" s="1215"/>
      <c r="AI49" s="1214"/>
      <c r="AJ49" s="1214"/>
      <c r="AK49" s="1214"/>
      <c r="AL49" s="1214"/>
      <c r="AM49" s="1215"/>
      <c r="AN49" s="1214"/>
      <c r="AO49" s="1214"/>
      <c r="AP49" s="1214"/>
      <c r="AQ49" s="1215"/>
      <c r="AR49" s="1215"/>
      <c r="AS49" s="1215"/>
      <c r="AT49" s="1215"/>
      <c r="AU49" s="1215"/>
      <c r="AV49" s="1215"/>
      <c r="AW49" s="1215"/>
      <c r="AX49" s="1215"/>
      <c r="AY49" s="1215"/>
      <c r="AZ49" s="1215"/>
      <c r="BA49" s="1215"/>
      <c r="BB49" s="1215"/>
      <c r="BC49" s="1215"/>
      <c r="BD49" s="1215"/>
      <c r="BE49" s="1215"/>
      <c r="BF49" s="1215"/>
      <c r="BG49" s="1215"/>
      <c r="BH49" s="1215"/>
      <c r="BI49" s="1215"/>
      <c r="BJ49" s="1215"/>
      <c r="BK49" s="1215"/>
      <c r="BL49" s="1241"/>
      <c r="BM49" s="1241"/>
      <c r="BN49" s="1241"/>
      <c r="BO49" s="1241"/>
      <c r="BP49" s="1241"/>
      <c r="BQ49" s="1241"/>
      <c r="BR49" s="1241"/>
      <c r="BS49" s="1241"/>
      <c r="BT49" s="1241"/>
      <c r="BU49" s="1241"/>
      <c r="BV49" s="1241"/>
      <c r="BW49" s="1241"/>
      <c r="BX49" s="1241"/>
      <c r="BY49" s="1241"/>
      <c r="BZ49" s="1241"/>
      <c r="CA49" s="1827"/>
      <c r="CB49" s="1827"/>
      <c r="CC49" s="1827"/>
      <c r="CD49" s="1827"/>
      <c r="CE49" s="1827"/>
      <c r="CF49">
        <f>CF343</f>
        <v>0</v>
      </c>
      <c r="CG49">
        <f t="shared" ref="CG49:DJ49" si="75">CG343</f>
        <v>0</v>
      </c>
      <c r="CH49">
        <f t="shared" si="75"/>
        <v>0</v>
      </c>
      <c r="CI49">
        <f t="shared" si="75"/>
        <v>0</v>
      </c>
      <c r="CJ49">
        <f t="shared" si="75"/>
        <v>0</v>
      </c>
      <c r="CK49">
        <f t="shared" si="75"/>
        <v>0</v>
      </c>
      <c r="CL49">
        <f t="shared" si="75"/>
        <v>0</v>
      </c>
      <c r="CM49">
        <f t="shared" si="75"/>
        <v>0</v>
      </c>
      <c r="CN49">
        <f t="shared" si="75"/>
        <v>0</v>
      </c>
      <c r="CO49">
        <f t="shared" si="75"/>
        <v>0</v>
      </c>
      <c r="CP49">
        <f t="shared" si="75"/>
        <v>0</v>
      </c>
      <c r="CQ49">
        <f t="shared" si="75"/>
        <v>0</v>
      </c>
      <c r="CR49">
        <f t="shared" si="75"/>
        <v>0</v>
      </c>
      <c r="CS49">
        <f t="shared" si="75"/>
        <v>0</v>
      </c>
      <c r="CT49">
        <f t="shared" si="75"/>
        <v>0</v>
      </c>
      <c r="CU49">
        <f t="shared" si="75"/>
        <v>0</v>
      </c>
      <c r="CV49">
        <f t="shared" si="75"/>
        <v>0</v>
      </c>
      <c r="CW49">
        <f t="shared" si="75"/>
        <v>0</v>
      </c>
      <c r="CX49">
        <f t="shared" si="75"/>
        <v>2250</v>
      </c>
      <c r="CY49">
        <f t="shared" si="75"/>
        <v>2250</v>
      </c>
      <c r="CZ49">
        <f t="shared" si="75"/>
        <v>2250</v>
      </c>
      <c r="DA49">
        <f t="shared" si="75"/>
        <v>2250</v>
      </c>
      <c r="DB49">
        <f t="shared" si="75"/>
        <v>2250</v>
      </c>
      <c r="DC49">
        <f t="shared" si="75"/>
        <v>2250</v>
      </c>
      <c r="DD49">
        <f t="shared" si="75"/>
        <v>2250</v>
      </c>
      <c r="DE49">
        <f t="shared" si="75"/>
        <v>2250</v>
      </c>
      <c r="DF49">
        <f t="shared" si="75"/>
        <v>2250</v>
      </c>
      <c r="DG49">
        <f t="shared" si="75"/>
        <v>2250</v>
      </c>
      <c r="DH49">
        <f t="shared" si="75"/>
        <v>2250</v>
      </c>
      <c r="DI49">
        <f t="shared" si="75"/>
        <v>2250</v>
      </c>
      <c r="DJ49">
        <f t="shared" si="75"/>
        <v>2250</v>
      </c>
      <c r="DK49" s="2559">
        <f t="shared" ref="DK49:DT49" si="76">DK343</f>
        <v>2250</v>
      </c>
      <c r="DL49" s="2559">
        <f t="shared" si="76"/>
        <v>2250</v>
      </c>
      <c r="DM49" s="2559">
        <f t="shared" si="76"/>
        <v>2250</v>
      </c>
      <c r="DN49" s="2559">
        <f t="shared" si="76"/>
        <v>2250</v>
      </c>
      <c r="DO49" s="2559">
        <f t="shared" si="76"/>
        <v>2250</v>
      </c>
      <c r="DP49" s="2682">
        <f t="shared" si="76"/>
        <v>2250</v>
      </c>
      <c r="DQ49" s="2682">
        <f t="shared" si="76"/>
        <v>2250</v>
      </c>
      <c r="DR49" s="2682">
        <f t="shared" si="76"/>
        <v>2250</v>
      </c>
      <c r="DS49" s="2682">
        <f t="shared" si="76"/>
        <v>2250</v>
      </c>
      <c r="DT49" s="2682">
        <f t="shared" si="76"/>
        <v>2250</v>
      </c>
      <c r="DU49" s="2771">
        <f t="shared" ref="DU49:DY49" si="77">DU343</f>
        <v>2250</v>
      </c>
      <c r="DV49" s="2771">
        <f t="shared" si="77"/>
        <v>2250</v>
      </c>
      <c r="DW49" s="2771">
        <f t="shared" si="77"/>
        <v>2250</v>
      </c>
      <c r="DX49" s="2771">
        <f t="shared" si="77"/>
        <v>2250</v>
      </c>
      <c r="DY49" s="2771">
        <f t="shared" si="77"/>
        <v>2250</v>
      </c>
    </row>
    <row r="50" spans="1:129" x14ac:dyDescent="0.2">
      <c r="A50" s="1123"/>
      <c r="B50" t="str">
        <f>B348</f>
        <v>2.8% senior notes due 2020</v>
      </c>
      <c r="C50" s="1214"/>
      <c r="D50" s="1214"/>
      <c r="E50" s="1214"/>
      <c r="F50" s="1214"/>
      <c r="G50" s="1214"/>
      <c r="H50" s="1214"/>
      <c r="I50" s="1214"/>
      <c r="J50" s="1214"/>
      <c r="K50" s="1214"/>
      <c r="L50" s="1214"/>
      <c r="M50" s="1214"/>
      <c r="N50" s="1214"/>
      <c r="O50" s="1214"/>
      <c r="P50" s="1214"/>
      <c r="Q50" s="1214"/>
      <c r="R50" s="1214"/>
      <c r="S50" s="1214"/>
      <c r="T50" s="1214"/>
      <c r="U50" s="1214"/>
      <c r="V50" s="1214"/>
      <c r="W50" s="1214"/>
      <c r="X50" s="1215"/>
      <c r="Y50" s="1214"/>
      <c r="Z50" s="1214"/>
      <c r="AA50" s="1214"/>
      <c r="AB50" s="1214"/>
      <c r="AC50" s="1215"/>
      <c r="AD50" s="1214"/>
      <c r="AE50" s="1214"/>
      <c r="AF50" s="1214"/>
      <c r="AG50" s="1214"/>
      <c r="AH50" s="1215"/>
      <c r="AI50" s="1214"/>
      <c r="AJ50" s="1214"/>
      <c r="AK50" s="1214"/>
      <c r="AL50" s="1214"/>
      <c r="AM50" s="1215"/>
      <c r="AN50" s="1214"/>
      <c r="AO50" s="1214"/>
      <c r="AP50" s="1214"/>
      <c r="AQ50" s="1215"/>
      <c r="AR50" s="1215"/>
      <c r="AS50" s="1215"/>
      <c r="AT50" s="1215"/>
      <c r="AU50" s="1215"/>
      <c r="AV50" s="1215"/>
      <c r="AW50" s="1215"/>
      <c r="AX50" s="1215"/>
      <c r="AY50" s="1215"/>
      <c r="AZ50" s="1215"/>
      <c r="BA50" s="1215"/>
      <c r="BB50" s="1215"/>
      <c r="BC50" s="1215"/>
      <c r="BD50" s="1215"/>
      <c r="BE50" s="1215"/>
      <c r="BF50" s="1215"/>
      <c r="BG50" s="1215"/>
      <c r="BH50" s="1215"/>
      <c r="BI50" s="1215"/>
      <c r="BJ50" s="1215"/>
      <c r="BK50" s="1215"/>
      <c r="BL50" s="1241"/>
      <c r="BM50" s="1241"/>
      <c r="BN50" s="1241"/>
      <c r="BO50" s="1241"/>
      <c r="BP50" s="1241"/>
      <c r="BQ50" s="1241"/>
      <c r="BR50" s="1241"/>
      <c r="BS50" s="1241"/>
      <c r="BT50" s="1241"/>
      <c r="BU50" s="1241"/>
      <c r="BV50" s="1241"/>
      <c r="BW50" s="1241"/>
      <c r="BX50" s="1241"/>
      <c r="BY50" s="1241"/>
      <c r="BZ50" s="1241"/>
      <c r="CA50" s="1827"/>
      <c r="CB50" s="1827"/>
      <c r="CC50" s="1827"/>
      <c r="CD50" s="1827"/>
      <c r="CE50" s="1827"/>
      <c r="CF50">
        <f>CF54</f>
        <v>0</v>
      </c>
      <c r="CG50">
        <f t="shared" ref="CG50:CW50" si="78">CG54</f>
        <v>0</v>
      </c>
      <c r="CH50">
        <f t="shared" si="78"/>
        <v>0</v>
      </c>
      <c r="CI50">
        <f t="shared" si="78"/>
        <v>0</v>
      </c>
      <c r="CJ50">
        <f t="shared" si="78"/>
        <v>0</v>
      </c>
      <c r="CK50">
        <f t="shared" si="78"/>
        <v>0</v>
      </c>
      <c r="CL50">
        <f t="shared" si="78"/>
        <v>0</v>
      </c>
      <c r="CM50">
        <f t="shared" si="78"/>
        <v>0</v>
      </c>
      <c r="CN50">
        <f t="shared" si="78"/>
        <v>0</v>
      </c>
      <c r="CO50">
        <f t="shared" si="78"/>
        <v>0</v>
      </c>
      <c r="CP50">
        <f t="shared" si="78"/>
        <v>0</v>
      </c>
      <c r="CQ50">
        <f t="shared" si="78"/>
        <v>0</v>
      </c>
      <c r="CR50">
        <f t="shared" si="78"/>
        <v>0</v>
      </c>
      <c r="CS50">
        <f t="shared" si="78"/>
        <v>0</v>
      </c>
      <c r="CT50">
        <f t="shared" si="78"/>
        <v>0</v>
      </c>
      <c r="CU50">
        <f t="shared" si="78"/>
        <v>0</v>
      </c>
      <c r="CV50">
        <f t="shared" si="78"/>
        <v>0</v>
      </c>
      <c r="CW50">
        <f t="shared" si="78"/>
        <v>0</v>
      </c>
      <c r="CX50">
        <f>CX354</f>
        <v>2750</v>
      </c>
      <c r="CY50">
        <f t="shared" ref="CY50:DJ50" si="79">CY354</f>
        <v>2750</v>
      </c>
      <c r="CZ50">
        <f t="shared" si="79"/>
        <v>2750</v>
      </c>
      <c r="DA50">
        <f t="shared" si="79"/>
        <v>2750</v>
      </c>
      <c r="DB50">
        <f t="shared" si="79"/>
        <v>2750</v>
      </c>
      <c r="DC50">
        <f t="shared" si="79"/>
        <v>2750</v>
      </c>
      <c r="DD50">
        <f t="shared" si="79"/>
        <v>2750</v>
      </c>
      <c r="DE50">
        <f t="shared" si="79"/>
        <v>2750</v>
      </c>
      <c r="DF50">
        <f t="shared" si="79"/>
        <v>2750</v>
      </c>
      <c r="DG50">
        <f t="shared" si="79"/>
        <v>2750</v>
      </c>
      <c r="DH50">
        <f t="shared" si="79"/>
        <v>2750</v>
      </c>
      <c r="DI50">
        <f t="shared" si="79"/>
        <v>2750</v>
      </c>
      <c r="DJ50">
        <f t="shared" si="79"/>
        <v>2750</v>
      </c>
      <c r="DK50" s="2559">
        <f t="shared" ref="DK50:DT50" si="80">DK354</f>
        <v>2750</v>
      </c>
      <c r="DL50" s="2559">
        <f t="shared" si="80"/>
        <v>2750</v>
      </c>
      <c r="DM50" s="2559">
        <f t="shared" si="80"/>
        <v>2750</v>
      </c>
      <c r="DN50" s="2559">
        <f t="shared" si="80"/>
        <v>2750</v>
      </c>
      <c r="DO50" s="2559">
        <f t="shared" si="80"/>
        <v>2750</v>
      </c>
      <c r="DP50" s="2682">
        <f t="shared" si="80"/>
        <v>2750</v>
      </c>
      <c r="DQ50" s="2682">
        <f t="shared" si="80"/>
        <v>2750</v>
      </c>
      <c r="DR50" s="2682">
        <f t="shared" si="80"/>
        <v>2750</v>
      </c>
      <c r="DS50" s="2682">
        <f t="shared" si="80"/>
        <v>2750</v>
      </c>
      <c r="DT50" s="2682">
        <f t="shared" si="80"/>
        <v>2750</v>
      </c>
      <c r="DU50" s="2771">
        <f t="shared" ref="DU50:DY50" si="81">DU354</f>
        <v>2750</v>
      </c>
      <c r="DV50" s="2771">
        <f t="shared" si="81"/>
        <v>2750</v>
      </c>
      <c r="DW50" s="2771">
        <f t="shared" si="81"/>
        <v>2750</v>
      </c>
      <c r="DX50" s="2771">
        <f t="shared" si="81"/>
        <v>2750</v>
      </c>
      <c r="DY50" s="2771">
        <f t="shared" si="81"/>
        <v>2750</v>
      </c>
    </row>
    <row r="51" spans="1:129" x14ac:dyDescent="0.2">
      <c r="A51" s="1123"/>
      <c r="B51" t="str">
        <f>B359</f>
        <v>3.5% senior notes due 2022</v>
      </c>
      <c r="C51" s="1214"/>
      <c r="D51" s="1214"/>
      <c r="E51" s="1214"/>
      <c r="F51" s="1214"/>
      <c r="G51" s="1214"/>
      <c r="H51" s="1214"/>
      <c r="I51" s="1214"/>
      <c r="J51" s="1214"/>
      <c r="K51" s="1214"/>
      <c r="L51" s="1214"/>
      <c r="M51" s="1214"/>
      <c r="N51" s="1214"/>
      <c r="O51" s="1214"/>
      <c r="P51" s="1214"/>
      <c r="Q51" s="1214"/>
      <c r="R51" s="1214"/>
      <c r="S51" s="1214"/>
      <c r="T51" s="1214"/>
      <c r="U51" s="1214"/>
      <c r="V51" s="1214"/>
      <c r="W51" s="1214"/>
      <c r="X51" s="1215"/>
      <c r="Y51" s="1214"/>
      <c r="Z51" s="1214"/>
      <c r="AA51" s="1214"/>
      <c r="AB51" s="1214"/>
      <c r="AC51" s="1215"/>
      <c r="AD51" s="1214"/>
      <c r="AE51" s="1214"/>
      <c r="AF51" s="1214"/>
      <c r="AG51" s="1214"/>
      <c r="AH51" s="1215"/>
      <c r="AI51" s="1214"/>
      <c r="AJ51" s="1214"/>
      <c r="AK51" s="1214"/>
      <c r="AL51" s="1214"/>
      <c r="AM51" s="1215"/>
      <c r="AN51" s="1214"/>
      <c r="AO51" s="1214"/>
      <c r="AP51" s="1214"/>
      <c r="AQ51" s="1215"/>
      <c r="AR51" s="1215"/>
      <c r="AS51" s="1215"/>
      <c r="AT51" s="1215"/>
      <c r="AU51" s="1215"/>
      <c r="AV51" s="1215"/>
      <c r="AW51" s="1215"/>
      <c r="AX51" s="1215"/>
      <c r="AY51" s="1215"/>
      <c r="AZ51" s="1215"/>
      <c r="BA51" s="1215"/>
      <c r="BB51" s="1215"/>
      <c r="BC51" s="1215"/>
      <c r="BD51" s="1215"/>
      <c r="BE51" s="1215"/>
      <c r="BF51" s="1215"/>
      <c r="BG51" s="1215"/>
      <c r="BH51" s="1215"/>
      <c r="BI51" s="1215"/>
      <c r="BJ51" s="1215"/>
      <c r="BK51" s="1215"/>
      <c r="BL51" s="1241"/>
      <c r="BM51" s="1241"/>
      <c r="BN51" s="1241"/>
      <c r="BO51" s="1241"/>
      <c r="BP51" s="1241"/>
      <c r="BQ51" s="1241"/>
      <c r="BR51" s="1241"/>
      <c r="BS51" s="1241"/>
      <c r="BT51" s="1241"/>
      <c r="BU51" s="1241"/>
      <c r="BV51" s="1241"/>
      <c r="BW51" s="1241"/>
      <c r="BX51" s="1241"/>
      <c r="BY51" s="1241"/>
      <c r="BZ51" s="1241"/>
      <c r="CA51" s="1827"/>
      <c r="CB51" s="1827"/>
      <c r="CC51" s="1827"/>
      <c r="CD51" s="1827"/>
      <c r="CE51" s="1827"/>
      <c r="CF51">
        <f>CF365</f>
        <v>0</v>
      </c>
      <c r="CG51">
        <f t="shared" ref="CG51:DJ51" si="82">CG365</f>
        <v>0</v>
      </c>
      <c r="CH51">
        <f t="shared" si="82"/>
        <v>0</v>
      </c>
      <c r="CI51">
        <f t="shared" si="82"/>
        <v>0</v>
      </c>
      <c r="CJ51">
        <f t="shared" si="82"/>
        <v>0</v>
      </c>
      <c r="CK51">
        <f t="shared" si="82"/>
        <v>0</v>
      </c>
      <c r="CL51">
        <f t="shared" si="82"/>
        <v>0</v>
      </c>
      <c r="CM51">
        <f t="shared" si="82"/>
        <v>0</v>
      </c>
      <c r="CN51">
        <f t="shared" si="82"/>
        <v>0</v>
      </c>
      <c r="CO51">
        <f t="shared" si="82"/>
        <v>0</v>
      </c>
      <c r="CP51">
        <f t="shared" si="82"/>
        <v>0</v>
      </c>
      <c r="CQ51">
        <f t="shared" si="82"/>
        <v>0</v>
      </c>
      <c r="CR51">
        <f t="shared" si="82"/>
        <v>0</v>
      </c>
      <c r="CS51">
        <f t="shared" si="82"/>
        <v>0</v>
      </c>
      <c r="CT51">
        <f t="shared" si="82"/>
        <v>0</v>
      </c>
      <c r="CU51">
        <f t="shared" si="82"/>
        <v>0</v>
      </c>
      <c r="CV51">
        <f t="shared" si="82"/>
        <v>0</v>
      </c>
      <c r="CW51">
        <f t="shared" si="82"/>
        <v>0</v>
      </c>
      <c r="CX51">
        <f t="shared" si="82"/>
        <v>1500</v>
      </c>
      <c r="CY51">
        <f t="shared" si="82"/>
        <v>1500</v>
      </c>
      <c r="CZ51">
        <f t="shared" si="82"/>
        <v>1500</v>
      </c>
      <c r="DA51">
        <f t="shared" si="82"/>
        <v>1500</v>
      </c>
      <c r="DB51">
        <f t="shared" si="82"/>
        <v>1500</v>
      </c>
      <c r="DC51">
        <f t="shared" si="82"/>
        <v>1500</v>
      </c>
      <c r="DD51">
        <f t="shared" si="82"/>
        <v>1500</v>
      </c>
      <c r="DE51">
        <f t="shared" si="82"/>
        <v>1500</v>
      </c>
      <c r="DF51">
        <f t="shared" si="82"/>
        <v>1500</v>
      </c>
      <c r="DG51">
        <f t="shared" si="82"/>
        <v>1500</v>
      </c>
      <c r="DH51">
        <f t="shared" si="82"/>
        <v>1500</v>
      </c>
      <c r="DI51">
        <f t="shared" si="82"/>
        <v>1500</v>
      </c>
      <c r="DJ51">
        <f t="shared" si="82"/>
        <v>1500</v>
      </c>
      <c r="DK51" s="2559">
        <f t="shared" ref="DK51:DT51" si="83">DK365</f>
        <v>1500</v>
      </c>
      <c r="DL51" s="2559">
        <f t="shared" si="83"/>
        <v>1500</v>
      </c>
      <c r="DM51" s="2559">
        <f t="shared" si="83"/>
        <v>1500</v>
      </c>
      <c r="DN51" s="2559">
        <f t="shared" si="83"/>
        <v>1500</v>
      </c>
      <c r="DO51" s="2559">
        <f t="shared" si="83"/>
        <v>1500</v>
      </c>
      <c r="DP51" s="2682">
        <f t="shared" si="83"/>
        <v>1500</v>
      </c>
      <c r="DQ51" s="2682">
        <f t="shared" si="83"/>
        <v>1500</v>
      </c>
      <c r="DR51" s="2682">
        <f t="shared" si="83"/>
        <v>1500</v>
      </c>
      <c r="DS51" s="2682">
        <f t="shared" si="83"/>
        <v>1500</v>
      </c>
      <c r="DT51" s="2682">
        <f t="shared" si="83"/>
        <v>1500</v>
      </c>
      <c r="DU51" s="2771">
        <f t="shared" ref="DU51:DY51" si="84">DU365</f>
        <v>1500</v>
      </c>
      <c r="DV51" s="2771">
        <f t="shared" si="84"/>
        <v>1500</v>
      </c>
      <c r="DW51" s="2771">
        <f t="shared" si="84"/>
        <v>1500</v>
      </c>
      <c r="DX51" s="2771">
        <f t="shared" si="84"/>
        <v>1500</v>
      </c>
      <c r="DY51" s="2771">
        <f t="shared" si="84"/>
        <v>1500</v>
      </c>
    </row>
    <row r="52" spans="1:129" x14ac:dyDescent="0.2">
      <c r="A52" s="1123"/>
      <c r="B52" t="str">
        <f>B370</f>
        <v>3.875% senior notes due 2025</v>
      </c>
      <c r="C52" s="1214"/>
      <c r="D52" s="1214"/>
      <c r="E52" s="1214"/>
      <c r="F52" s="1214"/>
      <c r="G52" s="1214"/>
      <c r="H52" s="1214"/>
      <c r="I52" s="1214"/>
      <c r="J52" s="1214"/>
      <c r="K52" s="1214"/>
      <c r="L52" s="1214"/>
      <c r="M52" s="1214"/>
      <c r="N52" s="1214"/>
      <c r="O52" s="1214"/>
      <c r="P52" s="1214"/>
      <c r="Q52" s="1214"/>
      <c r="R52" s="1214"/>
      <c r="S52" s="1214"/>
      <c r="T52" s="1214"/>
      <c r="U52" s="1214"/>
      <c r="V52" s="1214"/>
      <c r="W52" s="1214"/>
      <c r="X52" s="1215"/>
      <c r="Y52" s="1214"/>
      <c r="Z52" s="1214"/>
      <c r="AA52" s="1214"/>
      <c r="AB52" s="1214"/>
      <c r="AC52" s="1215"/>
      <c r="AD52" s="1214"/>
      <c r="AE52" s="1214"/>
      <c r="AF52" s="1214"/>
      <c r="AG52" s="1214"/>
      <c r="AH52" s="1215"/>
      <c r="AI52" s="1214"/>
      <c r="AJ52" s="1214"/>
      <c r="AK52" s="1214"/>
      <c r="AL52" s="1214"/>
      <c r="AM52" s="1215"/>
      <c r="AN52" s="1214"/>
      <c r="AO52" s="1214"/>
      <c r="AP52" s="1214"/>
      <c r="AQ52" s="1215"/>
      <c r="AR52" s="1215"/>
      <c r="AS52" s="1215"/>
      <c r="AT52" s="1215"/>
      <c r="AU52" s="1215"/>
      <c r="AV52" s="1215"/>
      <c r="AW52" s="1215"/>
      <c r="AX52" s="1215"/>
      <c r="AY52" s="1215"/>
      <c r="AZ52" s="1215"/>
      <c r="BA52" s="1215"/>
      <c r="BB52" s="1215"/>
      <c r="BC52" s="1215"/>
      <c r="BD52" s="1215"/>
      <c r="BE52" s="1215"/>
      <c r="BF52" s="1215"/>
      <c r="BG52" s="1215"/>
      <c r="BH52" s="1215"/>
      <c r="BI52" s="1215"/>
      <c r="BJ52" s="1215"/>
      <c r="BK52" s="1215"/>
      <c r="BL52" s="1241"/>
      <c r="BM52" s="1241"/>
      <c r="BN52" s="1241"/>
      <c r="BO52" s="1241"/>
      <c r="BP52" s="1241"/>
      <c r="BQ52" s="1241"/>
      <c r="BR52" s="1241"/>
      <c r="BS52" s="1241"/>
      <c r="BT52" s="1241"/>
      <c r="BU52" s="1241"/>
      <c r="BV52" s="1241"/>
      <c r="BW52" s="1241"/>
      <c r="BX52" s="1241"/>
      <c r="BY52" s="1241"/>
      <c r="BZ52" s="1241"/>
      <c r="CA52" s="1827"/>
      <c r="CB52" s="1827"/>
      <c r="CC52" s="1827"/>
      <c r="CD52" s="1827"/>
      <c r="CE52" s="1827"/>
      <c r="CF52">
        <f>CF376</f>
        <v>0</v>
      </c>
      <c r="CG52">
        <f t="shared" ref="CG52:DJ52" si="85">CG376</f>
        <v>0</v>
      </c>
      <c r="CH52">
        <f t="shared" si="85"/>
        <v>0</v>
      </c>
      <c r="CI52">
        <f t="shared" si="85"/>
        <v>0</v>
      </c>
      <c r="CJ52">
        <f t="shared" si="85"/>
        <v>0</v>
      </c>
      <c r="CK52">
        <f t="shared" si="85"/>
        <v>0</v>
      </c>
      <c r="CL52">
        <f t="shared" si="85"/>
        <v>0</v>
      </c>
      <c r="CM52">
        <f t="shared" si="85"/>
        <v>0</v>
      </c>
      <c r="CN52">
        <f t="shared" si="85"/>
        <v>0</v>
      </c>
      <c r="CO52">
        <f t="shared" si="85"/>
        <v>0</v>
      </c>
      <c r="CP52">
        <f t="shared" si="85"/>
        <v>0</v>
      </c>
      <c r="CQ52">
        <f t="shared" si="85"/>
        <v>0</v>
      </c>
      <c r="CR52">
        <f t="shared" si="85"/>
        <v>0</v>
      </c>
      <c r="CS52">
        <f t="shared" si="85"/>
        <v>0</v>
      </c>
      <c r="CT52">
        <f t="shared" si="85"/>
        <v>0</v>
      </c>
      <c r="CU52">
        <f t="shared" si="85"/>
        <v>0</v>
      </c>
      <c r="CV52">
        <f t="shared" si="85"/>
        <v>0</v>
      </c>
      <c r="CW52">
        <f t="shared" si="85"/>
        <v>0</v>
      </c>
      <c r="CX52">
        <f t="shared" si="85"/>
        <v>3000</v>
      </c>
      <c r="CY52">
        <f t="shared" si="85"/>
        <v>3000</v>
      </c>
      <c r="CZ52">
        <f t="shared" si="85"/>
        <v>3000</v>
      </c>
      <c r="DA52">
        <f t="shared" si="85"/>
        <v>3000</v>
      </c>
      <c r="DB52">
        <f t="shared" si="85"/>
        <v>3000</v>
      </c>
      <c r="DC52">
        <f t="shared" si="85"/>
        <v>3000</v>
      </c>
      <c r="DD52">
        <f t="shared" si="85"/>
        <v>3000</v>
      </c>
      <c r="DE52">
        <f t="shared" si="85"/>
        <v>3000</v>
      </c>
      <c r="DF52">
        <f t="shared" si="85"/>
        <v>3000</v>
      </c>
      <c r="DG52">
        <f t="shared" si="85"/>
        <v>3000</v>
      </c>
      <c r="DH52">
        <f t="shared" si="85"/>
        <v>3000</v>
      </c>
      <c r="DI52">
        <f t="shared" si="85"/>
        <v>3000</v>
      </c>
      <c r="DJ52">
        <f t="shared" si="85"/>
        <v>3000</v>
      </c>
      <c r="DK52" s="2559">
        <f t="shared" ref="DK52:DT52" si="86">DK376</f>
        <v>3000</v>
      </c>
      <c r="DL52" s="2559">
        <f t="shared" si="86"/>
        <v>3000</v>
      </c>
      <c r="DM52" s="2559">
        <f t="shared" si="86"/>
        <v>3000</v>
      </c>
      <c r="DN52" s="2559">
        <f t="shared" si="86"/>
        <v>3000</v>
      </c>
      <c r="DO52" s="2559">
        <f t="shared" si="86"/>
        <v>3000</v>
      </c>
      <c r="DP52" s="2682">
        <f t="shared" si="86"/>
        <v>3000</v>
      </c>
      <c r="DQ52" s="2682">
        <f t="shared" si="86"/>
        <v>3000</v>
      </c>
      <c r="DR52" s="2682">
        <f t="shared" si="86"/>
        <v>3000</v>
      </c>
      <c r="DS52" s="2682">
        <f t="shared" si="86"/>
        <v>3000</v>
      </c>
      <c r="DT52" s="2682">
        <f t="shared" si="86"/>
        <v>3000</v>
      </c>
      <c r="DU52" s="2771">
        <f t="shared" ref="DU52:DY52" si="87">DU376</f>
        <v>3000</v>
      </c>
      <c r="DV52" s="2771">
        <f t="shared" si="87"/>
        <v>3000</v>
      </c>
      <c r="DW52" s="2771">
        <f t="shared" si="87"/>
        <v>3000</v>
      </c>
      <c r="DX52" s="2771">
        <f t="shared" si="87"/>
        <v>3000</v>
      </c>
      <c r="DY52" s="2771">
        <f t="shared" si="87"/>
        <v>3000</v>
      </c>
    </row>
    <row r="53" spans="1:129" x14ac:dyDescent="0.2">
      <c r="A53" s="1123"/>
      <c r="B53" t="str">
        <f>B381</f>
        <v>4.875% senior notes due 2035</v>
      </c>
      <c r="C53" s="1214"/>
      <c r="D53" s="1214"/>
      <c r="E53" s="1214"/>
      <c r="F53" s="1214"/>
      <c r="G53" s="1214"/>
      <c r="H53" s="1214"/>
      <c r="I53" s="1214"/>
      <c r="J53" s="1214"/>
      <c r="K53" s="1214"/>
      <c r="L53" s="1214"/>
      <c r="M53" s="1214"/>
      <c r="N53" s="1214"/>
      <c r="O53" s="1214"/>
      <c r="P53" s="1214"/>
      <c r="Q53" s="1214"/>
      <c r="R53" s="1214"/>
      <c r="S53" s="1214"/>
      <c r="T53" s="1214"/>
      <c r="U53" s="1214"/>
      <c r="V53" s="1214"/>
      <c r="W53" s="1214"/>
      <c r="X53" s="1215"/>
      <c r="Y53" s="1214"/>
      <c r="Z53" s="1214"/>
      <c r="AA53" s="1214"/>
      <c r="AB53" s="1214"/>
      <c r="AC53" s="1215"/>
      <c r="AD53" s="1214"/>
      <c r="AE53" s="1214"/>
      <c r="AF53" s="1214"/>
      <c r="AG53" s="1214"/>
      <c r="AH53" s="1215"/>
      <c r="AI53" s="1214"/>
      <c r="AJ53" s="1214"/>
      <c r="AK53" s="1214"/>
      <c r="AL53" s="1214"/>
      <c r="AM53" s="1215"/>
      <c r="AN53" s="1214"/>
      <c r="AO53" s="1214"/>
      <c r="AP53" s="1214"/>
      <c r="AQ53" s="1215"/>
      <c r="AR53" s="1215"/>
      <c r="AS53" s="1215"/>
      <c r="AT53" s="1215"/>
      <c r="AU53" s="1215"/>
      <c r="AV53" s="1215"/>
      <c r="AW53" s="1215"/>
      <c r="AX53" s="1215"/>
      <c r="AY53" s="1215"/>
      <c r="AZ53" s="1215"/>
      <c r="BA53" s="1215"/>
      <c r="BB53" s="1215"/>
      <c r="BC53" s="1215"/>
      <c r="BD53" s="1215"/>
      <c r="BE53" s="1215"/>
      <c r="BF53" s="1215"/>
      <c r="BG53" s="1215"/>
      <c r="BH53" s="1215"/>
      <c r="BI53" s="1215"/>
      <c r="BJ53" s="1215"/>
      <c r="BK53" s="1215"/>
      <c r="BL53" s="1241"/>
      <c r="BM53" s="1241"/>
      <c r="BN53" s="1241"/>
      <c r="BO53" s="1241"/>
      <c r="BP53" s="1241"/>
      <c r="BQ53" s="1241"/>
      <c r="BR53" s="1241"/>
      <c r="BS53" s="1241"/>
      <c r="BT53" s="1241"/>
      <c r="BU53" s="1241"/>
      <c r="BV53" s="1241"/>
      <c r="BW53" s="1241"/>
      <c r="BX53" s="1241"/>
      <c r="BY53" s="1241"/>
      <c r="BZ53" s="1241"/>
      <c r="CA53" s="1827"/>
      <c r="CB53" s="1827"/>
      <c r="CC53" s="1827"/>
      <c r="CD53" s="1827"/>
      <c r="CE53" s="1827"/>
      <c r="CF53">
        <f>CF387</f>
        <v>0</v>
      </c>
      <c r="CG53">
        <f t="shared" ref="CG53:DJ53" si="88">CG387</f>
        <v>0</v>
      </c>
      <c r="CH53">
        <f t="shared" si="88"/>
        <v>0</v>
      </c>
      <c r="CI53">
        <f t="shared" si="88"/>
        <v>0</v>
      </c>
      <c r="CJ53">
        <f t="shared" si="88"/>
        <v>0</v>
      </c>
      <c r="CK53">
        <f t="shared" si="88"/>
        <v>0</v>
      </c>
      <c r="CL53">
        <f t="shared" si="88"/>
        <v>0</v>
      </c>
      <c r="CM53">
        <f t="shared" si="88"/>
        <v>0</v>
      </c>
      <c r="CN53">
        <f t="shared" si="88"/>
        <v>0</v>
      </c>
      <c r="CO53">
        <f t="shared" si="88"/>
        <v>0</v>
      </c>
      <c r="CP53">
        <f t="shared" si="88"/>
        <v>0</v>
      </c>
      <c r="CQ53">
        <f t="shared" si="88"/>
        <v>0</v>
      </c>
      <c r="CR53">
        <f t="shared" si="88"/>
        <v>0</v>
      </c>
      <c r="CS53">
        <f t="shared" si="88"/>
        <v>0</v>
      </c>
      <c r="CT53">
        <f t="shared" si="88"/>
        <v>0</v>
      </c>
      <c r="CU53">
        <f t="shared" si="88"/>
        <v>0</v>
      </c>
      <c r="CV53">
        <f t="shared" si="88"/>
        <v>0</v>
      </c>
      <c r="CW53">
        <f t="shared" si="88"/>
        <v>0</v>
      </c>
      <c r="CX53">
        <f t="shared" si="88"/>
        <v>2000</v>
      </c>
      <c r="CY53">
        <f t="shared" si="88"/>
        <v>2000</v>
      </c>
      <c r="CZ53">
        <f t="shared" si="88"/>
        <v>2000</v>
      </c>
      <c r="DA53">
        <f t="shared" si="88"/>
        <v>2000</v>
      </c>
      <c r="DB53">
        <f t="shared" si="88"/>
        <v>2000</v>
      </c>
      <c r="DC53">
        <f t="shared" si="88"/>
        <v>2000</v>
      </c>
      <c r="DD53">
        <f t="shared" si="88"/>
        <v>2000</v>
      </c>
      <c r="DE53">
        <f t="shared" si="88"/>
        <v>2000</v>
      </c>
      <c r="DF53">
        <f t="shared" si="88"/>
        <v>2000</v>
      </c>
      <c r="DG53">
        <f t="shared" si="88"/>
        <v>2000</v>
      </c>
      <c r="DH53">
        <f t="shared" si="88"/>
        <v>2000</v>
      </c>
      <c r="DI53">
        <f t="shared" si="88"/>
        <v>2000</v>
      </c>
      <c r="DJ53">
        <f t="shared" si="88"/>
        <v>2000</v>
      </c>
      <c r="DK53" s="2559">
        <f t="shared" ref="DK53:DT53" si="89">DK387</f>
        <v>2000</v>
      </c>
      <c r="DL53" s="2559">
        <f t="shared" si="89"/>
        <v>2000</v>
      </c>
      <c r="DM53" s="2559">
        <f t="shared" si="89"/>
        <v>2000</v>
      </c>
      <c r="DN53" s="2559">
        <f t="shared" si="89"/>
        <v>2000</v>
      </c>
      <c r="DO53" s="2559">
        <f t="shared" si="89"/>
        <v>2000</v>
      </c>
      <c r="DP53" s="2682">
        <f t="shared" si="89"/>
        <v>2000</v>
      </c>
      <c r="DQ53" s="2682">
        <f t="shared" si="89"/>
        <v>2000</v>
      </c>
      <c r="DR53" s="2682">
        <f t="shared" si="89"/>
        <v>2000</v>
      </c>
      <c r="DS53" s="2682">
        <f t="shared" si="89"/>
        <v>2000</v>
      </c>
      <c r="DT53" s="2682">
        <f t="shared" si="89"/>
        <v>2000</v>
      </c>
      <c r="DU53" s="2771">
        <f t="shared" ref="DU53:DY53" si="90">DU387</f>
        <v>2000</v>
      </c>
      <c r="DV53" s="2771">
        <f t="shared" si="90"/>
        <v>2000</v>
      </c>
      <c r="DW53" s="2771">
        <f t="shared" si="90"/>
        <v>2000</v>
      </c>
      <c r="DX53" s="2771">
        <f t="shared" si="90"/>
        <v>2000</v>
      </c>
      <c r="DY53" s="2771">
        <f t="shared" si="90"/>
        <v>2000</v>
      </c>
    </row>
    <row r="54" spans="1:129" x14ac:dyDescent="0.2">
      <c r="A54" s="1123"/>
      <c r="B54" t="str">
        <f>B392</f>
        <v>5.125% senior notes due 2045</v>
      </c>
      <c r="C54" s="1214"/>
      <c r="D54" s="1214"/>
      <c r="E54" s="1214"/>
      <c r="F54" s="1214"/>
      <c r="G54" s="1214"/>
      <c r="H54" s="1214"/>
      <c r="I54" s="1214"/>
      <c r="J54" s="1214"/>
      <c r="K54" s="1214"/>
      <c r="L54" s="1214"/>
      <c r="M54" s="1214"/>
      <c r="N54" s="1214"/>
      <c r="O54" s="1214"/>
      <c r="P54" s="1214"/>
      <c r="Q54" s="1214"/>
      <c r="R54" s="1214"/>
      <c r="S54" s="1214"/>
      <c r="T54" s="1214"/>
      <c r="U54" s="1214"/>
      <c r="V54" s="1214"/>
      <c r="W54" s="1214"/>
      <c r="X54" s="1215"/>
      <c r="Y54" s="1214"/>
      <c r="Z54" s="1214"/>
      <c r="AA54" s="1214"/>
      <c r="AB54" s="1214"/>
      <c r="AC54" s="1215"/>
      <c r="AD54" s="1214"/>
      <c r="AE54" s="1214"/>
      <c r="AF54" s="1214"/>
      <c r="AG54" s="1214"/>
      <c r="AH54" s="1215"/>
      <c r="AI54" s="1214"/>
      <c r="AJ54" s="1214"/>
      <c r="AK54" s="1214"/>
      <c r="AL54" s="1214"/>
      <c r="AM54" s="1215"/>
      <c r="AN54" s="1214"/>
      <c r="AO54" s="1214"/>
      <c r="AP54" s="1214"/>
      <c r="AQ54" s="1215"/>
      <c r="AR54" s="1215"/>
      <c r="AS54" s="1215"/>
      <c r="AT54" s="1215"/>
      <c r="AU54" s="1215"/>
      <c r="AV54" s="1215"/>
      <c r="AW54" s="1215"/>
      <c r="AX54" s="1215"/>
      <c r="AY54" s="1215"/>
      <c r="AZ54" s="1215"/>
      <c r="BA54" s="1215"/>
      <c r="BB54" s="1215"/>
      <c r="BC54" s="1215"/>
      <c r="BD54" s="1215"/>
      <c r="BE54" s="1215"/>
      <c r="BF54" s="1215"/>
      <c r="BG54" s="1215"/>
      <c r="BH54" s="1215"/>
      <c r="BI54" s="1215"/>
      <c r="BJ54" s="1215"/>
      <c r="BK54" s="1215"/>
      <c r="BL54" s="1241"/>
      <c r="BM54" s="1241"/>
      <c r="BN54" s="1241"/>
      <c r="BO54" s="1241"/>
      <c r="BP54" s="1241"/>
      <c r="BQ54" s="1241"/>
      <c r="BR54" s="1241"/>
      <c r="BS54" s="1241"/>
      <c r="BT54" s="1241"/>
      <c r="BU54" s="1241"/>
      <c r="BV54" s="1241"/>
      <c r="BW54" s="1241"/>
      <c r="BX54" s="1241"/>
      <c r="BY54" s="1241"/>
      <c r="BZ54" s="1241"/>
      <c r="CA54" s="1827"/>
      <c r="CB54" s="1827"/>
      <c r="CC54" s="1827"/>
      <c r="CD54" s="1827"/>
      <c r="CE54" s="1827"/>
      <c r="CF54">
        <f>CF398</f>
        <v>0</v>
      </c>
      <c r="CG54">
        <f t="shared" ref="CG54:DJ54" si="91">CG398</f>
        <v>0</v>
      </c>
      <c r="CH54">
        <f t="shared" si="91"/>
        <v>0</v>
      </c>
      <c r="CI54">
        <f t="shared" si="91"/>
        <v>0</v>
      </c>
      <c r="CJ54">
        <f t="shared" si="91"/>
        <v>0</v>
      </c>
      <c r="CK54">
        <f t="shared" si="91"/>
        <v>0</v>
      </c>
      <c r="CL54">
        <f t="shared" si="91"/>
        <v>0</v>
      </c>
      <c r="CM54">
        <f t="shared" si="91"/>
        <v>0</v>
      </c>
      <c r="CN54">
        <f t="shared" si="91"/>
        <v>0</v>
      </c>
      <c r="CO54">
        <f t="shared" si="91"/>
        <v>0</v>
      </c>
      <c r="CP54">
        <f t="shared" si="91"/>
        <v>0</v>
      </c>
      <c r="CQ54">
        <f t="shared" si="91"/>
        <v>0</v>
      </c>
      <c r="CR54">
        <f t="shared" si="91"/>
        <v>0</v>
      </c>
      <c r="CS54">
        <f t="shared" si="91"/>
        <v>0</v>
      </c>
      <c r="CT54">
        <f t="shared" si="91"/>
        <v>0</v>
      </c>
      <c r="CU54">
        <f t="shared" si="91"/>
        <v>0</v>
      </c>
      <c r="CV54">
        <f t="shared" si="91"/>
        <v>0</v>
      </c>
      <c r="CW54">
        <f t="shared" si="91"/>
        <v>0</v>
      </c>
      <c r="CX54">
        <f t="shared" si="91"/>
        <v>3500</v>
      </c>
      <c r="CY54">
        <f t="shared" si="91"/>
        <v>3500</v>
      </c>
      <c r="CZ54">
        <f t="shared" si="91"/>
        <v>3500</v>
      </c>
      <c r="DA54">
        <f t="shared" si="91"/>
        <v>3500</v>
      </c>
      <c r="DB54">
        <f t="shared" si="91"/>
        <v>3500</v>
      </c>
      <c r="DC54">
        <f t="shared" si="91"/>
        <v>3500</v>
      </c>
      <c r="DD54">
        <f t="shared" si="91"/>
        <v>3500</v>
      </c>
      <c r="DE54">
        <f t="shared" si="91"/>
        <v>3500</v>
      </c>
      <c r="DF54">
        <f t="shared" si="91"/>
        <v>3500</v>
      </c>
      <c r="DG54">
        <f t="shared" si="91"/>
        <v>3500</v>
      </c>
      <c r="DH54">
        <f t="shared" si="91"/>
        <v>3500</v>
      </c>
      <c r="DI54">
        <f t="shared" si="91"/>
        <v>3500</v>
      </c>
      <c r="DJ54">
        <f t="shared" si="91"/>
        <v>3500</v>
      </c>
      <c r="DK54" s="2559">
        <f t="shared" ref="DK54:DT54" si="92">DK398</f>
        <v>3500</v>
      </c>
      <c r="DL54" s="2559">
        <f t="shared" si="92"/>
        <v>3500</v>
      </c>
      <c r="DM54" s="2559">
        <f t="shared" si="92"/>
        <v>3500</v>
      </c>
      <c r="DN54" s="2559">
        <f t="shared" si="92"/>
        <v>3500</v>
      </c>
      <c r="DO54" s="2559">
        <f t="shared" si="92"/>
        <v>3500</v>
      </c>
      <c r="DP54" s="2682">
        <f t="shared" si="92"/>
        <v>3500</v>
      </c>
      <c r="DQ54" s="2682">
        <f t="shared" si="92"/>
        <v>3500</v>
      </c>
      <c r="DR54" s="2682">
        <f t="shared" si="92"/>
        <v>3500</v>
      </c>
      <c r="DS54" s="2682">
        <f t="shared" si="92"/>
        <v>3500</v>
      </c>
      <c r="DT54" s="2682">
        <f t="shared" si="92"/>
        <v>3500</v>
      </c>
      <c r="DU54" s="2771">
        <f t="shared" ref="DU54:DY54" si="93">DU398</f>
        <v>3500</v>
      </c>
      <c r="DV54" s="2771">
        <f t="shared" si="93"/>
        <v>3500</v>
      </c>
      <c r="DW54" s="2771">
        <f t="shared" si="93"/>
        <v>3500</v>
      </c>
      <c r="DX54" s="2771">
        <f t="shared" si="93"/>
        <v>3500</v>
      </c>
      <c r="DY54" s="2771">
        <f t="shared" si="93"/>
        <v>3500</v>
      </c>
    </row>
    <row r="55" spans="1:129" x14ac:dyDescent="0.2">
      <c r="A55" s="1123"/>
      <c r="B55" t="str">
        <f>B403</f>
        <v xml:space="preserve">Mortgage notes payable </v>
      </c>
      <c r="C55" s="1214"/>
      <c r="D55" s="1214"/>
      <c r="E55" s="1214"/>
      <c r="F55" s="1214"/>
      <c r="G55" s="1214"/>
      <c r="H55" s="1214"/>
      <c r="I55" s="1214"/>
      <c r="J55" s="1214"/>
      <c r="K55" s="1214"/>
      <c r="L55" s="1214"/>
      <c r="M55" s="1214"/>
      <c r="N55" s="1214"/>
      <c r="O55" s="1214"/>
      <c r="P55" s="1214"/>
      <c r="Q55" s="1214"/>
      <c r="R55" s="1214"/>
      <c r="S55" s="1214"/>
      <c r="T55" s="1214"/>
      <c r="U55" s="1214"/>
      <c r="V55" s="1214"/>
      <c r="W55" s="1214"/>
      <c r="X55" s="1215"/>
      <c r="Y55" s="1214"/>
      <c r="Z55" s="1214"/>
      <c r="AA55" s="1214"/>
      <c r="AB55" s="1214"/>
      <c r="AC55" s="1215"/>
      <c r="AD55" s="1214"/>
      <c r="AE55" s="1214"/>
      <c r="AF55" s="1214"/>
      <c r="AG55" s="1214"/>
      <c r="AH55" s="1215"/>
      <c r="AI55" s="1214"/>
      <c r="AJ55" s="1214"/>
      <c r="AK55" s="1214"/>
      <c r="AL55" s="1214"/>
      <c r="AM55" s="1215"/>
      <c r="AN55" s="1214"/>
      <c r="AO55" s="1214"/>
      <c r="AP55" s="1214"/>
      <c r="AQ55" s="1215"/>
      <c r="AR55" s="1215"/>
      <c r="AS55" s="1215"/>
      <c r="AT55" s="1215"/>
      <c r="AU55" s="1215"/>
      <c r="AV55" s="1215"/>
      <c r="AW55" s="1215"/>
      <c r="AX55" s="1215"/>
      <c r="AY55" s="1215"/>
      <c r="AZ55" s="1215"/>
      <c r="BA55" s="1215"/>
      <c r="BB55" s="1215"/>
      <c r="BC55" s="1215"/>
      <c r="BD55" s="1215"/>
      <c r="BE55" s="1215"/>
      <c r="BF55" s="1215"/>
      <c r="BG55" s="1215"/>
      <c r="BH55" s="1215"/>
      <c r="BI55" s="1215"/>
      <c r="BJ55" s="1215"/>
      <c r="BK55" s="1215"/>
      <c r="BL55" s="1241"/>
      <c r="BM55" s="1241"/>
      <c r="BN55" s="1241"/>
      <c r="BO55" s="1241"/>
      <c r="BP55" s="1241"/>
      <c r="BQ55" s="1241"/>
      <c r="BR55" s="1241"/>
      <c r="BS55" s="1241"/>
      <c r="BT55" s="1241"/>
      <c r="BU55" s="1241"/>
      <c r="BV55" s="1241"/>
      <c r="BW55" s="1241"/>
      <c r="BX55" s="1241"/>
      <c r="BY55" s="1241"/>
      <c r="BZ55" s="1241"/>
      <c r="CA55" s="1827"/>
      <c r="CB55" s="1827"/>
      <c r="CC55" s="1827"/>
      <c r="CD55" s="1827"/>
      <c r="CE55" s="1827"/>
      <c r="CF55">
        <f>CF409</f>
        <v>4</v>
      </c>
      <c r="CG55">
        <f t="shared" ref="CG55:DJ55" si="94">CG409</f>
        <v>4</v>
      </c>
      <c r="CH55">
        <f t="shared" si="94"/>
        <v>4</v>
      </c>
      <c r="CI55">
        <f t="shared" si="94"/>
        <v>4</v>
      </c>
      <c r="CJ55">
        <f t="shared" si="94"/>
        <v>4</v>
      </c>
      <c r="CK55">
        <f t="shared" si="94"/>
        <v>4</v>
      </c>
      <c r="CL55">
        <f t="shared" si="94"/>
        <v>4</v>
      </c>
      <c r="CM55">
        <f t="shared" si="94"/>
        <v>4</v>
      </c>
      <c r="CN55">
        <f t="shared" si="94"/>
        <v>4</v>
      </c>
      <c r="CO55">
        <f t="shared" si="94"/>
        <v>4</v>
      </c>
      <c r="CP55">
        <f t="shared" si="94"/>
        <v>4</v>
      </c>
      <c r="CQ55">
        <f t="shared" si="94"/>
        <v>4</v>
      </c>
      <c r="CR55">
        <f t="shared" si="94"/>
        <v>4</v>
      </c>
      <c r="CS55">
        <f t="shared" si="94"/>
        <v>4</v>
      </c>
      <c r="CT55">
        <f t="shared" si="94"/>
        <v>4</v>
      </c>
      <c r="CU55">
        <f t="shared" si="94"/>
        <v>4</v>
      </c>
      <c r="CV55">
        <f t="shared" si="94"/>
        <v>4</v>
      </c>
      <c r="CW55">
        <f t="shared" si="94"/>
        <v>4</v>
      </c>
      <c r="CX55">
        <f t="shared" si="94"/>
        <v>4</v>
      </c>
      <c r="CY55">
        <f t="shared" si="94"/>
        <v>4</v>
      </c>
      <c r="CZ55">
        <f t="shared" si="94"/>
        <v>4</v>
      </c>
      <c r="DA55">
        <f t="shared" si="94"/>
        <v>4</v>
      </c>
      <c r="DB55">
        <f t="shared" si="94"/>
        <v>4</v>
      </c>
      <c r="DC55">
        <f t="shared" si="94"/>
        <v>4</v>
      </c>
      <c r="DD55">
        <f t="shared" si="94"/>
        <v>4</v>
      </c>
      <c r="DE55">
        <f t="shared" si="94"/>
        <v>4</v>
      </c>
      <c r="DF55">
        <f t="shared" si="94"/>
        <v>4</v>
      </c>
      <c r="DG55">
        <f t="shared" si="94"/>
        <v>4</v>
      </c>
      <c r="DH55">
        <f t="shared" si="94"/>
        <v>4</v>
      </c>
      <c r="DI55">
        <f t="shared" si="94"/>
        <v>4</v>
      </c>
      <c r="DJ55">
        <f t="shared" si="94"/>
        <v>4</v>
      </c>
      <c r="DK55" s="2559">
        <f t="shared" ref="DK55:DT55" si="95">DK409</f>
        <v>4</v>
      </c>
      <c r="DL55" s="2559">
        <f t="shared" si="95"/>
        <v>4</v>
      </c>
      <c r="DM55" s="2559">
        <f t="shared" si="95"/>
        <v>4</v>
      </c>
      <c r="DN55" s="2559">
        <f t="shared" si="95"/>
        <v>4</v>
      </c>
      <c r="DO55" s="2559">
        <f t="shared" si="95"/>
        <v>4</v>
      </c>
      <c r="DP55" s="2682">
        <f t="shared" si="95"/>
        <v>4</v>
      </c>
      <c r="DQ55" s="2682">
        <f t="shared" si="95"/>
        <v>4</v>
      </c>
      <c r="DR55" s="2682">
        <f t="shared" si="95"/>
        <v>4</v>
      </c>
      <c r="DS55" s="2682">
        <f t="shared" si="95"/>
        <v>4</v>
      </c>
      <c r="DT55" s="2682">
        <f t="shared" si="95"/>
        <v>4</v>
      </c>
      <c r="DU55" s="2771">
        <f t="shared" ref="DU55:DY55" si="96">DU409</f>
        <v>4</v>
      </c>
      <c r="DV55" s="2771">
        <f t="shared" si="96"/>
        <v>4</v>
      </c>
      <c r="DW55" s="2771">
        <f t="shared" si="96"/>
        <v>4</v>
      </c>
      <c r="DX55" s="2771">
        <f t="shared" si="96"/>
        <v>4</v>
      </c>
      <c r="DY55" s="2771">
        <f t="shared" si="96"/>
        <v>4</v>
      </c>
    </row>
    <row r="56" spans="1:129" x14ac:dyDescent="0.2">
      <c r="A56" s="1123"/>
      <c r="B56" t="str">
        <f>B414</f>
        <v xml:space="preserve">Capital lease obligations </v>
      </c>
      <c r="C56" s="1214"/>
      <c r="D56" s="1214"/>
      <c r="E56" s="1214"/>
      <c r="F56" s="1214"/>
      <c r="G56" s="1214"/>
      <c r="H56" s="1214"/>
      <c r="I56" s="1214"/>
      <c r="J56" s="1214"/>
      <c r="K56" s="1214"/>
      <c r="L56" s="1214"/>
      <c r="M56" s="1214"/>
      <c r="N56" s="1214"/>
      <c r="O56" s="1214"/>
      <c r="P56" s="1214"/>
      <c r="Q56" s="1214"/>
      <c r="R56" s="1214"/>
      <c r="S56" s="1214"/>
      <c r="T56" s="1214"/>
      <c r="U56" s="1214"/>
      <c r="V56" s="1214"/>
      <c r="W56" s="1214"/>
      <c r="X56" s="1215"/>
      <c r="Y56" s="1214"/>
      <c r="Z56" s="1214"/>
      <c r="AA56" s="1214"/>
      <c r="AB56" s="1214"/>
      <c r="AC56" s="1215"/>
      <c r="AD56" s="1214"/>
      <c r="AE56" s="1214"/>
      <c r="AF56" s="1214"/>
      <c r="AG56" s="1214"/>
      <c r="AH56" s="1215"/>
      <c r="AI56" s="1214"/>
      <c r="AJ56" s="1214"/>
      <c r="AK56" s="1214"/>
      <c r="AL56" s="1214"/>
      <c r="AM56" s="1215"/>
      <c r="AN56" s="1214"/>
      <c r="AO56" s="1214"/>
      <c r="AP56" s="1214"/>
      <c r="AQ56" s="1215"/>
      <c r="AR56" s="1215"/>
      <c r="AS56" s="1215"/>
      <c r="AT56" s="1215"/>
      <c r="AU56" s="1215"/>
      <c r="AV56" s="1215"/>
      <c r="AW56" s="1215"/>
      <c r="AX56" s="1215"/>
      <c r="AY56" s="1215"/>
      <c r="AZ56" s="1215"/>
      <c r="BA56" s="1215"/>
      <c r="BB56" s="1215"/>
      <c r="BC56" s="1215"/>
      <c r="BD56" s="1215"/>
      <c r="BE56" s="1215"/>
      <c r="BF56" s="1215"/>
      <c r="BG56" s="1215"/>
      <c r="BH56" s="1215"/>
      <c r="BI56" s="1215"/>
      <c r="BJ56" s="1215"/>
      <c r="BK56" s="1215"/>
      <c r="BL56" s="1241"/>
      <c r="BM56" s="1241"/>
      <c r="BN56" s="1241"/>
      <c r="BO56" s="1241"/>
      <c r="BP56" s="1241"/>
      <c r="BQ56" s="1241"/>
      <c r="BR56" s="1241"/>
      <c r="BS56" s="1241"/>
      <c r="BT56" s="1241"/>
      <c r="BU56" s="1241"/>
      <c r="BV56" s="1241"/>
      <c r="BW56" s="1241"/>
      <c r="BX56" s="1241"/>
      <c r="BY56" s="1241"/>
      <c r="BZ56" s="1241"/>
      <c r="CA56" s="1827"/>
      <c r="CB56" s="1827"/>
      <c r="CC56" s="1827"/>
      <c r="CD56" s="1827"/>
      <c r="CE56" s="1827"/>
      <c r="CF56">
        <f>CF420</f>
        <v>168</v>
      </c>
      <c r="CG56">
        <f t="shared" ref="CG56:DJ56" si="97">CG420</f>
        <v>168</v>
      </c>
      <c r="CH56">
        <f t="shared" si="97"/>
        <v>167</v>
      </c>
      <c r="CI56">
        <f t="shared" si="97"/>
        <v>167</v>
      </c>
      <c r="CJ56">
        <f t="shared" si="97"/>
        <v>167</v>
      </c>
      <c r="CK56">
        <f t="shared" si="97"/>
        <v>167</v>
      </c>
      <c r="CL56">
        <f t="shared" si="97"/>
        <v>167</v>
      </c>
      <c r="CM56">
        <f t="shared" si="97"/>
        <v>167</v>
      </c>
      <c r="CN56">
        <f t="shared" si="97"/>
        <v>167</v>
      </c>
      <c r="CO56">
        <f t="shared" si="97"/>
        <v>390</v>
      </c>
      <c r="CP56">
        <f t="shared" si="97"/>
        <v>390</v>
      </c>
      <c r="CQ56">
        <f t="shared" si="97"/>
        <v>390</v>
      </c>
      <c r="CR56">
        <f t="shared" si="97"/>
        <v>390</v>
      </c>
      <c r="CS56">
        <f t="shared" si="97"/>
        <v>390</v>
      </c>
      <c r="CT56">
        <f t="shared" si="97"/>
        <v>391</v>
      </c>
      <c r="CU56">
        <f t="shared" si="97"/>
        <v>391</v>
      </c>
      <c r="CV56">
        <f t="shared" si="97"/>
        <v>390</v>
      </c>
      <c r="CW56">
        <f t="shared" si="97"/>
        <v>390</v>
      </c>
      <c r="CX56">
        <f t="shared" si="97"/>
        <v>390</v>
      </c>
      <c r="CY56">
        <f t="shared" si="97"/>
        <v>390</v>
      </c>
      <c r="CZ56">
        <f t="shared" si="97"/>
        <v>391</v>
      </c>
      <c r="DA56">
        <f t="shared" si="97"/>
        <v>390</v>
      </c>
      <c r="DB56">
        <f t="shared" si="97"/>
        <v>390</v>
      </c>
      <c r="DC56">
        <f t="shared" si="97"/>
        <v>390</v>
      </c>
      <c r="DD56">
        <f t="shared" si="97"/>
        <v>390</v>
      </c>
      <c r="DE56">
        <f t="shared" si="97"/>
        <v>391</v>
      </c>
      <c r="DF56">
        <f t="shared" si="97"/>
        <v>390</v>
      </c>
      <c r="DG56">
        <f t="shared" si="97"/>
        <v>390</v>
      </c>
      <c r="DH56">
        <f t="shared" si="97"/>
        <v>390</v>
      </c>
      <c r="DI56">
        <f t="shared" si="97"/>
        <v>390</v>
      </c>
      <c r="DJ56">
        <f t="shared" si="97"/>
        <v>391</v>
      </c>
      <c r="DK56" s="2559">
        <f t="shared" ref="DK56:DT56" si="98">DK420</f>
        <v>390</v>
      </c>
      <c r="DL56" s="2559">
        <f t="shared" si="98"/>
        <v>390</v>
      </c>
      <c r="DM56" s="2559">
        <f t="shared" si="98"/>
        <v>390</v>
      </c>
      <c r="DN56" s="2559">
        <f t="shared" si="98"/>
        <v>390</v>
      </c>
      <c r="DO56" s="2559">
        <f t="shared" si="98"/>
        <v>391</v>
      </c>
      <c r="DP56" s="2682">
        <f t="shared" si="98"/>
        <v>390</v>
      </c>
      <c r="DQ56" s="2682">
        <f t="shared" si="98"/>
        <v>390</v>
      </c>
      <c r="DR56" s="2682">
        <f t="shared" si="98"/>
        <v>390</v>
      </c>
      <c r="DS56" s="2682">
        <f t="shared" si="98"/>
        <v>390</v>
      </c>
      <c r="DT56" s="2682">
        <f t="shared" si="98"/>
        <v>391</v>
      </c>
      <c r="DU56" s="2771">
        <f t="shared" ref="DU56:DY56" si="99">DU420</f>
        <v>390</v>
      </c>
      <c r="DV56" s="2771">
        <f t="shared" si="99"/>
        <v>390</v>
      </c>
      <c r="DW56" s="2771">
        <f t="shared" si="99"/>
        <v>390</v>
      </c>
      <c r="DX56" s="2771">
        <f t="shared" si="99"/>
        <v>390</v>
      </c>
      <c r="DY56" s="2771">
        <f t="shared" si="99"/>
        <v>391</v>
      </c>
    </row>
    <row r="57" spans="1:129" x14ac:dyDescent="0.2">
      <c r="A57" s="1123"/>
      <c r="B57" t="str">
        <f>B425</f>
        <v>Others</v>
      </c>
      <c r="C57" s="1214"/>
      <c r="D57" s="1214"/>
      <c r="E57" s="1214"/>
      <c r="F57" s="1214"/>
      <c r="G57" s="1214"/>
      <c r="H57" s="1214"/>
      <c r="I57" s="1214"/>
      <c r="J57" s="1214"/>
      <c r="K57" s="1214"/>
      <c r="L57" s="1214"/>
      <c r="M57" s="1214"/>
      <c r="N57" s="1214"/>
      <c r="O57" s="1214"/>
      <c r="P57" s="1214"/>
      <c r="Q57" s="1214"/>
      <c r="R57" s="1214"/>
      <c r="S57" s="1214"/>
      <c r="T57" s="1214"/>
      <c r="U57" s="1214"/>
      <c r="V57" s="1214"/>
      <c r="W57" s="1214"/>
      <c r="X57" s="1215"/>
      <c r="Y57" s="1214"/>
      <c r="Z57" s="1214"/>
      <c r="AA57" s="1214"/>
      <c r="AB57" s="1214"/>
      <c r="AC57" s="1215"/>
      <c r="AD57" s="1214"/>
      <c r="AE57" s="1214"/>
      <c r="AF57" s="1214"/>
      <c r="AG57" s="1214"/>
      <c r="AH57" s="1215"/>
      <c r="AI57" s="1214"/>
      <c r="AJ57" s="1214"/>
      <c r="AK57" s="1214"/>
      <c r="AL57" s="1214"/>
      <c r="AM57" s="1215"/>
      <c r="AN57" s="1214"/>
      <c r="AO57" s="1214"/>
      <c r="AP57" s="1214"/>
      <c r="AQ57" s="1215"/>
      <c r="AR57" s="1215"/>
      <c r="AS57" s="1215"/>
      <c r="AT57" s="1215"/>
      <c r="AU57" s="1215"/>
      <c r="AV57" s="1215"/>
      <c r="AW57" s="1215"/>
      <c r="AX57" s="1215"/>
      <c r="AY57" s="1215"/>
      <c r="AZ57" s="1215"/>
      <c r="BA57" s="1215"/>
      <c r="BB57" s="1215"/>
      <c r="BC57" s="1215"/>
      <c r="BD57" s="1215"/>
      <c r="BE57" s="1215"/>
      <c r="BF57" s="1215"/>
      <c r="BG57" s="1215"/>
      <c r="BH57" s="1215"/>
      <c r="BI57" s="1215"/>
      <c r="BJ57" s="1215"/>
      <c r="BK57" s="1215"/>
      <c r="BL57" s="1241"/>
      <c r="BM57" s="1241"/>
      <c r="BN57" s="1241"/>
      <c r="BO57" s="1241"/>
      <c r="BP57" s="1241"/>
      <c r="BQ57" s="1241"/>
      <c r="BR57" s="1241"/>
      <c r="BS57" s="1241"/>
      <c r="BT57" s="1241"/>
      <c r="BU57" s="1241"/>
      <c r="BV57" s="1241"/>
      <c r="BW57" s="1241"/>
      <c r="BX57" s="1241"/>
      <c r="BY57" s="1241"/>
      <c r="BZ57" s="1241"/>
      <c r="CA57" s="1827"/>
      <c r="CB57" s="1827"/>
      <c r="CC57" s="1827"/>
      <c r="CD57" s="1827"/>
      <c r="CE57" s="1827"/>
      <c r="CF57">
        <f>CF431</f>
        <v>50</v>
      </c>
      <c r="CG57">
        <f t="shared" ref="CG57:DJ57" si="100">CG431</f>
        <v>-753</v>
      </c>
      <c r="CH57">
        <f t="shared" si="100"/>
        <v>0</v>
      </c>
      <c r="CI57">
        <f t="shared" si="100"/>
        <v>627</v>
      </c>
      <c r="CJ57">
        <f t="shared" si="100"/>
        <v>627</v>
      </c>
      <c r="CK57">
        <f t="shared" si="100"/>
        <v>627</v>
      </c>
      <c r="CL57">
        <f t="shared" si="100"/>
        <v>627</v>
      </c>
      <c r="CM57">
        <f t="shared" si="100"/>
        <v>627</v>
      </c>
      <c r="CN57">
        <f t="shared" si="100"/>
        <v>627</v>
      </c>
      <c r="CO57">
        <f t="shared" si="100"/>
        <v>87</v>
      </c>
      <c r="CP57">
        <f t="shared" si="100"/>
        <v>87</v>
      </c>
      <c r="CQ57">
        <f t="shared" si="100"/>
        <v>87</v>
      </c>
      <c r="CR57">
        <f t="shared" si="100"/>
        <v>87</v>
      </c>
      <c r="CS57">
        <f t="shared" si="100"/>
        <v>87</v>
      </c>
      <c r="CT57">
        <f t="shared" si="100"/>
        <v>4</v>
      </c>
      <c r="CU57">
        <f t="shared" si="100"/>
        <v>4</v>
      </c>
      <c r="CV57">
        <f t="shared" si="100"/>
        <v>4</v>
      </c>
      <c r="CW57">
        <f t="shared" si="100"/>
        <v>4</v>
      </c>
      <c r="CX57">
        <f t="shared" si="100"/>
        <v>4</v>
      </c>
      <c r="CY57">
        <f t="shared" si="100"/>
        <v>4</v>
      </c>
      <c r="CZ57">
        <f t="shared" si="100"/>
        <v>4</v>
      </c>
      <c r="DA57">
        <f t="shared" si="100"/>
        <v>4</v>
      </c>
      <c r="DB57">
        <f t="shared" si="100"/>
        <v>4</v>
      </c>
      <c r="DC57">
        <f t="shared" si="100"/>
        <v>4</v>
      </c>
      <c r="DD57">
        <f t="shared" si="100"/>
        <v>4</v>
      </c>
      <c r="DE57">
        <f t="shared" si="100"/>
        <v>4</v>
      </c>
      <c r="DF57">
        <f t="shared" si="100"/>
        <v>4</v>
      </c>
      <c r="DG57">
        <f t="shared" si="100"/>
        <v>4</v>
      </c>
      <c r="DH57">
        <f t="shared" si="100"/>
        <v>4</v>
      </c>
      <c r="DI57">
        <f t="shared" si="100"/>
        <v>4</v>
      </c>
      <c r="DJ57">
        <f t="shared" si="100"/>
        <v>4</v>
      </c>
      <c r="DK57" s="2559">
        <f t="shared" ref="DK57:DT57" si="101">DK431</f>
        <v>4</v>
      </c>
      <c r="DL57" s="2559">
        <f t="shared" si="101"/>
        <v>39404</v>
      </c>
      <c r="DM57" s="2559">
        <f t="shared" si="101"/>
        <v>39404</v>
      </c>
      <c r="DN57" s="2559">
        <f t="shared" si="101"/>
        <v>39404</v>
      </c>
      <c r="DO57" s="2559">
        <f t="shared" si="101"/>
        <v>39404</v>
      </c>
      <c r="DP57" s="2682">
        <f t="shared" si="101"/>
        <v>39404</v>
      </c>
      <c r="DQ57" s="2682">
        <f t="shared" si="101"/>
        <v>39404</v>
      </c>
      <c r="DR57" s="2682">
        <f t="shared" si="101"/>
        <v>39404</v>
      </c>
      <c r="DS57" s="2682">
        <f t="shared" si="101"/>
        <v>39404</v>
      </c>
      <c r="DT57" s="2682">
        <f t="shared" si="101"/>
        <v>39404</v>
      </c>
      <c r="DU57" s="2771">
        <f t="shared" ref="DU57:DY57" si="102">DU431</f>
        <v>39404</v>
      </c>
      <c r="DV57" s="2771">
        <f t="shared" si="102"/>
        <v>39404</v>
      </c>
      <c r="DW57" s="2771">
        <f t="shared" si="102"/>
        <v>39404</v>
      </c>
      <c r="DX57" s="2771">
        <f t="shared" si="102"/>
        <v>39404</v>
      </c>
      <c r="DY57" s="2771">
        <f t="shared" si="102"/>
        <v>39404</v>
      </c>
    </row>
    <row r="58" spans="1:129" x14ac:dyDescent="0.2">
      <c r="A58" s="1123"/>
      <c r="B58" t="s">
        <v>251</v>
      </c>
      <c r="CF58">
        <f>SUM(CF25:CF57)</f>
        <v>10014</v>
      </c>
      <c r="CG58">
        <f t="shared" ref="CG58:DJ58" si="103">SUM(CG25:CG57)</f>
        <v>9211</v>
      </c>
      <c r="CH58">
        <f t="shared" si="103"/>
        <v>9413</v>
      </c>
      <c r="CI58">
        <f t="shared" si="103"/>
        <v>10040</v>
      </c>
      <c r="CJ58">
        <f t="shared" si="103"/>
        <v>10155</v>
      </c>
      <c r="CK58">
        <f t="shared" si="103"/>
        <v>10155</v>
      </c>
      <c r="CL58">
        <f t="shared" si="103"/>
        <v>10155</v>
      </c>
      <c r="CM58">
        <f t="shared" si="103"/>
        <v>10155</v>
      </c>
      <c r="CN58">
        <f t="shared" si="103"/>
        <v>10155</v>
      </c>
      <c r="CO58">
        <f t="shared" si="103"/>
        <v>13648</v>
      </c>
      <c r="CP58">
        <f t="shared" si="103"/>
        <v>13648</v>
      </c>
      <c r="CQ58">
        <f t="shared" si="103"/>
        <v>13648</v>
      </c>
      <c r="CR58">
        <f t="shared" si="103"/>
        <v>13648</v>
      </c>
      <c r="CS58">
        <f t="shared" si="103"/>
        <v>12412</v>
      </c>
      <c r="CT58">
        <f t="shared" si="103"/>
        <v>12957</v>
      </c>
      <c r="CU58">
        <f t="shared" si="103"/>
        <v>12957</v>
      </c>
      <c r="CV58">
        <f t="shared" si="103"/>
        <v>12998</v>
      </c>
      <c r="CW58">
        <f t="shared" si="103"/>
        <v>12448</v>
      </c>
      <c r="CX58">
        <f t="shared" si="103"/>
        <v>27448</v>
      </c>
      <c r="CY58">
        <f t="shared" si="103"/>
        <v>27448</v>
      </c>
      <c r="CZ58">
        <f t="shared" si="103"/>
        <v>27407</v>
      </c>
      <c r="DA58">
        <f t="shared" si="103"/>
        <v>27448</v>
      </c>
      <c r="DB58">
        <f t="shared" si="103"/>
        <v>26408.199999999997</v>
      </c>
      <c r="DC58">
        <f t="shared" si="103"/>
        <v>25437.200000000001</v>
      </c>
      <c r="DD58">
        <f t="shared" si="103"/>
        <v>24687.200000000001</v>
      </c>
      <c r="DE58">
        <f t="shared" si="103"/>
        <v>24646.2</v>
      </c>
      <c r="DF58">
        <f t="shared" si="103"/>
        <v>25437.200000000001</v>
      </c>
      <c r="DG58">
        <f t="shared" si="103"/>
        <v>25437.200000000001</v>
      </c>
      <c r="DH58">
        <f t="shared" si="103"/>
        <v>25437.200000000001</v>
      </c>
      <c r="DI58">
        <f t="shared" si="103"/>
        <v>25437.200000000001</v>
      </c>
      <c r="DJ58">
        <f t="shared" si="103"/>
        <v>24646.2</v>
      </c>
      <c r="DK58" s="2559">
        <f t="shared" ref="DK58:DT58" si="104">SUM(DK25:DK57)</f>
        <v>25437.200000000001</v>
      </c>
      <c r="DL58" s="2559">
        <f t="shared" si="104"/>
        <v>63757.2</v>
      </c>
      <c r="DM58" s="2559">
        <f t="shared" si="104"/>
        <v>63757.2</v>
      </c>
      <c r="DN58" s="2559">
        <f t="shared" si="104"/>
        <v>63757.2</v>
      </c>
      <c r="DO58" s="2559">
        <f t="shared" si="104"/>
        <v>62966.2</v>
      </c>
      <c r="DP58" s="2682">
        <f t="shared" si="104"/>
        <v>63757.2</v>
      </c>
      <c r="DQ58" s="2682">
        <f t="shared" si="104"/>
        <v>62677.2</v>
      </c>
      <c r="DR58" s="2682">
        <f t="shared" si="104"/>
        <v>62677.2</v>
      </c>
      <c r="DS58" s="2682">
        <f t="shared" si="104"/>
        <v>62677.2</v>
      </c>
      <c r="DT58" s="2682">
        <f t="shared" si="104"/>
        <v>61886.2</v>
      </c>
      <c r="DU58" s="2771">
        <f t="shared" ref="DU58:DY58" si="105">SUM(DU25:DU57)</f>
        <v>62677.2</v>
      </c>
      <c r="DV58" s="2771">
        <f t="shared" si="105"/>
        <v>61597.2</v>
      </c>
      <c r="DW58" s="2771">
        <f t="shared" si="105"/>
        <v>61597.2</v>
      </c>
      <c r="DX58" s="2771">
        <f t="shared" si="105"/>
        <v>61597.2</v>
      </c>
      <c r="DY58" s="2771">
        <f t="shared" si="105"/>
        <v>60806.2</v>
      </c>
    </row>
    <row r="59" spans="1:129" x14ac:dyDescent="0.2">
      <c r="A59" s="1123"/>
      <c r="B59" t="s">
        <v>779</v>
      </c>
      <c r="C59" s="1214"/>
      <c r="D59" s="1214"/>
      <c r="E59" s="1214"/>
      <c r="F59" s="1214"/>
      <c r="G59" s="1214"/>
      <c r="H59" s="1214"/>
      <c r="I59" s="1214"/>
      <c r="J59" s="1214"/>
      <c r="K59" s="1214"/>
      <c r="L59" s="1214"/>
      <c r="M59" s="1214"/>
      <c r="N59" s="1214"/>
      <c r="O59" s="1214"/>
      <c r="P59" s="1214"/>
      <c r="Q59" s="1214"/>
      <c r="R59" s="1214"/>
      <c r="S59" s="1214"/>
      <c r="T59" s="1214"/>
      <c r="U59" s="1214"/>
      <c r="V59" s="1214"/>
      <c r="W59" s="1214"/>
      <c r="Y59" s="1214"/>
      <c r="Z59" s="1214"/>
      <c r="AA59" s="1214"/>
      <c r="AB59" s="1214"/>
      <c r="AD59" s="1214"/>
      <c r="AE59" s="1214"/>
      <c r="AF59" s="1214"/>
      <c r="AG59" s="1214"/>
      <c r="AI59" s="1214"/>
      <c r="AJ59" s="1214"/>
      <c r="AK59" s="1214"/>
      <c r="AL59" s="1214"/>
      <c r="AN59" s="1214"/>
      <c r="AO59" s="1214"/>
      <c r="AP59" s="1214"/>
      <c r="CF59">
        <f>CF58-CF62</f>
        <v>0</v>
      </c>
      <c r="CG59">
        <f t="shared" ref="CG59:DJ59" si="106">CG58-CG62</f>
        <v>0</v>
      </c>
      <c r="CH59">
        <f t="shared" si="106"/>
        <v>0</v>
      </c>
      <c r="CI59">
        <f t="shared" si="106"/>
        <v>0</v>
      </c>
      <c r="CJ59">
        <f t="shared" si="106"/>
        <v>0</v>
      </c>
      <c r="CK59">
        <f t="shared" si="106"/>
        <v>0</v>
      </c>
      <c r="CL59">
        <f t="shared" si="106"/>
        <v>0</v>
      </c>
      <c r="CM59">
        <f t="shared" si="106"/>
        <v>0</v>
      </c>
      <c r="CN59">
        <f t="shared" si="106"/>
        <v>0</v>
      </c>
      <c r="CO59">
        <f t="shared" si="106"/>
        <v>0</v>
      </c>
      <c r="CP59">
        <f t="shared" si="106"/>
        <v>0</v>
      </c>
      <c r="CQ59">
        <f t="shared" si="106"/>
        <v>0</v>
      </c>
      <c r="CR59">
        <f t="shared" si="106"/>
        <v>0</v>
      </c>
      <c r="CS59">
        <f t="shared" si="106"/>
        <v>0</v>
      </c>
      <c r="CT59">
        <f t="shared" si="106"/>
        <v>0</v>
      </c>
      <c r="CU59">
        <f t="shared" si="106"/>
        <v>0</v>
      </c>
      <c r="CV59">
        <f t="shared" si="106"/>
        <v>0</v>
      </c>
      <c r="CW59">
        <f t="shared" si="106"/>
        <v>0</v>
      </c>
      <c r="CX59">
        <f t="shared" si="106"/>
        <v>0</v>
      </c>
      <c r="CY59">
        <f t="shared" si="106"/>
        <v>0</v>
      </c>
      <c r="CZ59">
        <f t="shared" si="106"/>
        <v>0</v>
      </c>
      <c r="DA59">
        <f t="shared" si="106"/>
        <v>0</v>
      </c>
      <c r="DB59">
        <f t="shared" si="106"/>
        <v>0</v>
      </c>
      <c r="DC59">
        <f t="shared" si="106"/>
        <v>0</v>
      </c>
      <c r="DD59">
        <f t="shared" si="106"/>
        <v>0</v>
      </c>
      <c r="DE59">
        <f t="shared" si="106"/>
        <v>0</v>
      </c>
      <c r="DF59">
        <f t="shared" si="106"/>
        <v>0</v>
      </c>
      <c r="DG59">
        <f t="shared" si="106"/>
        <v>0</v>
      </c>
      <c r="DH59">
        <f t="shared" si="106"/>
        <v>0</v>
      </c>
      <c r="DI59">
        <f t="shared" si="106"/>
        <v>0</v>
      </c>
      <c r="DJ59">
        <f t="shared" si="106"/>
        <v>0</v>
      </c>
      <c r="DK59" s="2559">
        <f t="shared" ref="DK59:DT59" si="107">DK58-DK62</f>
        <v>0</v>
      </c>
      <c r="DL59" s="2559">
        <f t="shared" si="107"/>
        <v>0</v>
      </c>
      <c r="DM59" s="2559">
        <f t="shared" si="107"/>
        <v>0</v>
      </c>
      <c r="DN59" s="2559">
        <f t="shared" si="107"/>
        <v>0</v>
      </c>
      <c r="DO59" s="2559">
        <f t="shared" si="107"/>
        <v>0</v>
      </c>
      <c r="DP59" s="2682">
        <f t="shared" si="107"/>
        <v>0</v>
      </c>
      <c r="DQ59" s="2682">
        <f t="shared" si="107"/>
        <v>0</v>
      </c>
      <c r="DR59" s="2682">
        <f t="shared" si="107"/>
        <v>0</v>
      </c>
      <c r="DS59" s="2682">
        <f t="shared" si="107"/>
        <v>0</v>
      </c>
      <c r="DT59" s="2682">
        <f t="shared" si="107"/>
        <v>0</v>
      </c>
      <c r="DU59" s="2771">
        <f t="shared" ref="DU59:DY59" si="108">DU58-DU62</f>
        <v>0</v>
      </c>
      <c r="DV59" s="2771">
        <f t="shared" si="108"/>
        <v>0</v>
      </c>
      <c r="DW59" s="2771">
        <f t="shared" si="108"/>
        <v>0</v>
      </c>
      <c r="DX59" s="2771">
        <f t="shared" si="108"/>
        <v>0</v>
      </c>
      <c r="DY59" s="2771">
        <f t="shared" si="108"/>
        <v>0</v>
      </c>
    </row>
    <row r="60" spans="1:129" ht="12" thickBot="1" x14ac:dyDescent="0.25">
      <c r="A60" s="1240"/>
      <c r="B60" s="1240"/>
      <c r="C60" s="1214"/>
      <c r="D60" s="1214"/>
      <c r="E60" s="1214"/>
      <c r="F60" s="1214"/>
      <c r="G60" s="1214"/>
      <c r="H60" s="1214"/>
      <c r="I60" s="1214"/>
      <c r="J60" s="1214"/>
      <c r="K60" s="1214"/>
      <c r="L60" s="1214"/>
      <c r="M60" s="1214"/>
      <c r="N60" s="1214"/>
      <c r="O60" s="1214"/>
      <c r="P60" s="1214"/>
      <c r="Q60" s="1214"/>
      <c r="R60" s="1214"/>
      <c r="S60" s="1214"/>
      <c r="T60" s="1214"/>
      <c r="U60" s="1214"/>
      <c r="V60" s="1214"/>
      <c r="W60" s="1214"/>
      <c r="X60" s="1214"/>
      <c r="Y60" s="1214"/>
      <c r="Z60" s="1214"/>
      <c r="AA60" s="1214"/>
      <c r="AB60" s="1214"/>
      <c r="AC60" s="1214"/>
      <c r="AD60" s="1214"/>
      <c r="AE60" s="1214"/>
      <c r="AF60" s="1214"/>
      <c r="AG60" s="1214"/>
      <c r="AH60" s="1214"/>
      <c r="AI60" s="1214"/>
      <c r="AJ60" s="1214"/>
      <c r="AK60" s="1214"/>
      <c r="AL60" s="1214"/>
      <c r="AM60" s="1214"/>
      <c r="AN60" s="1214"/>
      <c r="AO60" s="1214"/>
      <c r="AP60" s="1214"/>
      <c r="AQ60" s="1215"/>
      <c r="AR60" s="1215"/>
      <c r="AS60" s="1215"/>
      <c r="AT60" s="1215"/>
      <c r="AU60" s="1215"/>
      <c r="AV60" s="1215"/>
      <c r="AW60" s="1215"/>
      <c r="AX60" s="1215"/>
      <c r="AY60" s="1215"/>
      <c r="AZ60" s="1215"/>
      <c r="BA60" s="1215"/>
      <c r="BB60" s="1215"/>
      <c r="BC60" s="1215"/>
      <c r="BD60" s="1215"/>
      <c r="BE60" s="1215"/>
      <c r="BF60" s="1215"/>
      <c r="BG60" s="1215"/>
      <c r="BH60" s="1215"/>
      <c r="BI60" s="1215"/>
      <c r="BJ60" s="1215"/>
      <c r="BK60" s="1215"/>
      <c r="BL60" s="1241"/>
      <c r="BM60" s="1241"/>
      <c r="BN60" s="1241"/>
      <c r="BO60" s="1241"/>
      <c r="BP60" s="1241"/>
      <c r="BQ60" s="1241"/>
      <c r="BR60" s="1241"/>
      <c r="BS60" s="1241"/>
      <c r="BT60" s="1241"/>
      <c r="BU60" s="1241"/>
      <c r="BV60" s="1241"/>
      <c r="BW60" s="1241"/>
      <c r="BX60" s="1241"/>
      <c r="BY60" s="1241"/>
      <c r="BZ60" s="1241"/>
      <c r="CA60" s="1241"/>
      <c r="CB60" s="1241"/>
      <c r="CC60" s="1241"/>
      <c r="CD60" s="1241"/>
      <c r="CE60" s="1241"/>
      <c r="CF60" s="1241"/>
      <c r="CG60" s="1241"/>
      <c r="CH60" s="1241"/>
      <c r="CI60" s="1241"/>
      <c r="CJ60" s="1241"/>
      <c r="CK60" s="1241"/>
      <c r="CL60" s="1241"/>
      <c r="CM60" s="1241"/>
      <c r="CN60" s="1241"/>
      <c r="CO60" s="1241"/>
      <c r="CP60" s="1241"/>
      <c r="CQ60" s="1241"/>
      <c r="CR60" s="1241"/>
      <c r="CS60" s="1241"/>
      <c r="CT60" s="1241"/>
      <c r="CU60" s="1241"/>
      <c r="CV60" s="1241"/>
      <c r="CW60" s="1241"/>
      <c r="CX60" s="1241"/>
      <c r="CY60" s="1241"/>
      <c r="CZ60" s="1241"/>
      <c r="DA60" s="1241"/>
      <c r="DB60" s="1241"/>
      <c r="DC60" s="1241"/>
      <c r="DD60" s="1241"/>
      <c r="DE60" s="1241"/>
      <c r="DF60" s="1241"/>
      <c r="DG60" s="1241"/>
      <c r="DH60" s="1241"/>
      <c r="DI60" s="1241"/>
      <c r="DJ60" s="1241"/>
      <c r="DK60" s="1241"/>
      <c r="DL60" s="1241"/>
      <c r="DM60" s="1241"/>
      <c r="DN60" s="1241"/>
      <c r="DO60" s="1241"/>
      <c r="DP60" s="1241"/>
      <c r="DQ60" s="1241"/>
      <c r="DR60" s="1241"/>
      <c r="DS60" s="1241"/>
      <c r="DT60" s="1241"/>
      <c r="DU60" s="1241"/>
      <c r="DV60" s="1241"/>
      <c r="DW60" s="1241"/>
      <c r="DX60" s="1241"/>
      <c r="DY60" s="1241"/>
    </row>
    <row r="61" spans="1:129" ht="12" thickBot="1" x14ac:dyDescent="0.25">
      <c r="A61" s="1123"/>
      <c r="B61" s="1242" t="s">
        <v>1132</v>
      </c>
      <c r="C61" s="1243"/>
      <c r="D61" s="1244"/>
      <c r="E61" s="1244"/>
      <c r="F61" s="1244"/>
      <c r="G61" s="1244"/>
      <c r="H61" s="1244"/>
      <c r="I61" s="1244"/>
      <c r="J61" s="1244"/>
      <c r="K61" s="1244"/>
      <c r="L61" s="1244"/>
      <c r="M61" s="1244"/>
      <c r="N61" s="1244"/>
      <c r="O61" s="1244"/>
      <c r="P61" s="1244"/>
      <c r="Q61" s="1244"/>
      <c r="R61" s="1244"/>
      <c r="S61" s="1244"/>
      <c r="T61" s="1244"/>
      <c r="U61" s="1244"/>
      <c r="V61" s="1244"/>
      <c r="W61" s="1244"/>
      <c r="X61" s="1243"/>
      <c r="Y61" s="1243"/>
      <c r="Z61" s="1243"/>
      <c r="AA61" s="1243"/>
      <c r="AB61" s="1243"/>
      <c r="AC61" s="1243"/>
      <c r="AD61" s="1243"/>
      <c r="AE61" s="1243"/>
      <c r="AF61" s="1243"/>
      <c r="AG61" s="1243"/>
      <c r="AH61" s="1243"/>
      <c r="AI61" s="1243"/>
      <c r="AJ61" s="1243"/>
      <c r="AK61" s="1243"/>
      <c r="AL61" s="1243"/>
      <c r="AM61" s="1243"/>
      <c r="AN61" s="1243"/>
      <c r="AO61" s="1243"/>
      <c r="AP61" s="1243"/>
      <c r="AQ61" s="1245"/>
      <c r="AR61" s="1245"/>
      <c r="AS61" s="1245"/>
      <c r="AT61" s="1245"/>
      <c r="AU61" s="1245"/>
      <c r="AV61" s="1245"/>
      <c r="AW61" s="1245"/>
      <c r="AX61" s="1245"/>
      <c r="AY61" s="1245"/>
      <c r="AZ61" s="1245"/>
      <c r="BA61" s="1245"/>
      <c r="BB61" s="1245"/>
      <c r="BC61" s="1245"/>
      <c r="BD61" s="1245"/>
      <c r="BE61" s="1245"/>
      <c r="BF61" s="1245"/>
      <c r="BG61" s="1245"/>
      <c r="BH61" s="1245"/>
      <c r="BI61" s="1245"/>
      <c r="BJ61" s="1245"/>
      <c r="BK61" s="1245"/>
      <c r="BL61" s="1246"/>
      <c r="BM61" s="1247"/>
      <c r="BN61" s="1247"/>
      <c r="BO61" s="1247"/>
      <c r="BP61" s="1247"/>
      <c r="BQ61" s="1246"/>
      <c r="BR61" s="1247"/>
      <c r="BS61" s="1247"/>
      <c r="BT61" s="1247"/>
      <c r="BU61" s="1247"/>
      <c r="BV61" s="1248"/>
      <c r="BW61" s="1247"/>
      <c r="BX61" s="1247"/>
      <c r="BY61" s="1247"/>
      <c r="BZ61" s="1247"/>
      <c r="CA61" s="1246"/>
      <c r="CB61" s="1247"/>
      <c r="CC61" s="1247"/>
      <c r="CD61" s="1247"/>
      <c r="CE61" s="1247"/>
      <c r="CF61" s="1246"/>
      <c r="CG61" s="1247"/>
      <c r="CH61" s="1247"/>
      <c r="CI61" s="1247"/>
      <c r="CJ61" s="1247"/>
      <c r="CK61" s="1246"/>
      <c r="CL61" s="1247"/>
      <c r="CM61" s="1247"/>
      <c r="CN61" s="1247"/>
      <c r="CO61" s="1247"/>
      <c r="CP61" s="1246"/>
      <c r="CQ61" s="1247"/>
      <c r="CR61" s="1247"/>
      <c r="CS61" s="1247"/>
      <c r="CT61" s="1247"/>
      <c r="CU61" s="1246"/>
      <c r="CV61" s="1247"/>
      <c r="CW61" s="1247"/>
      <c r="CX61" s="1247"/>
      <c r="CY61" s="1247"/>
      <c r="CZ61" s="1246"/>
      <c r="DA61" s="1247"/>
      <c r="DB61" s="1247"/>
      <c r="DC61" s="1247"/>
      <c r="DD61" s="1247"/>
      <c r="DE61" s="1246"/>
      <c r="DF61" s="1247"/>
      <c r="DG61" s="1247"/>
      <c r="DH61" s="1247"/>
      <c r="DI61" s="1247"/>
      <c r="DJ61" s="1246"/>
      <c r="DK61" s="1247"/>
      <c r="DL61" s="1247"/>
      <c r="DM61" s="1247"/>
      <c r="DN61" s="1247"/>
      <c r="DO61" s="1246"/>
      <c r="DP61" s="1247"/>
      <c r="DQ61" s="1247"/>
      <c r="DR61" s="1247"/>
      <c r="DS61" s="1247"/>
      <c r="DT61" s="1246"/>
      <c r="DU61" s="1247"/>
      <c r="DV61" s="1247"/>
      <c r="DW61" s="1247"/>
      <c r="DX61" s="1247"/>
      <c r="DY61" s="1246"/>
    </row>
    <row r="62" spans="1:129" x14ac:dyDescent="0.2">
      <c r="A62" s="1223"/>
      <c r="B62" s="1190" t="s">
        <v>1133</v>
      </c>
      <c r="C62" s="1224"/>
      <c r="D62" s="1224"/>
      <c r="E62" s="1224"/>
      <c r="F62" s="1224"/>
      <c r="G62" s="1224"/>
      <c r="H62" s="1224"/>
      <c r="I62" s="1224"/>
      <c r="J62" s="1224"/>
      <c r="K62" s="1224"/>
      <c r="L62" s="1224"/>
      <c r="M62" s="1224"/>
      <c r="N62" s="1224"/>
      <c r="O62" s="1224"/>
      <c r="P62" s="1224"/>
      <c r="Q62" s="1224"/>
      <c r="R62" s="1224"/>
      <c r="S62" s="1224"/>
      <c r="T62" s="1224"/>
      <c r="U62" s="1224"/>
      <c r="V62" s="1224"/>
      <c r="W62" s="1224"/>
      <c r="X62" s="1227"/>
      <c r="Y62" s="1223"/>
      <c r="Z62" s="1223"/>
      <c r="AA62" s="1223"/>
      <c r="AB62" s="1223"/>
      <c r="AC62" s="1227"/>
      <c r="AD62" s="1223"/>
      <c r="AE62" s="1223"/>
      <c r="AF62" s="1223"/>
      <c r="AG62" s="1223"/>
      <c r="AH62" s="1227"/>
      <c r="AI62" s="1223"/>
      <c r="AJ62" s="1223"/>
      <c r="AK62" s="1223"/>
      <c r="AL62" s="1223"/>
      <c r="AM62" s="1227"/>
      <c r="AN62" s="1229"/>
      <c r="AO62" s="1229"/>
      <c r="AP62" s="1229"/>
      <c r="AQ62" s="1229"/>
      <c r="AR62" s="1194"/>
      <c r="AS62" s="1229"/>
      <c r="AT62" s="1229"/>
      <c r="AU62" s="1229"/>
      <c r="AV62" s="1229"/>
      <c r="AW62" s="1194"/>
      <c r="AX62" s="1229"/>
      <c r="AY62" s="1229"/>
      <c r="AZ62" s="1229"/>
      <c r="BA62" s="1229"/>
      <c r="BB62" s="1194"/>
      <c r="BC62" s="1229"/>
      <c r="BD62" s="1229"/>
      <c r="BE62" s="1229"/>
      <c r="BF62" s="1229"/>
      <c r="BG62" s="1194"/>
      <c r="BH62" s="1229"/>
      <c r="BI62" s="1229"/>
      <c r="BJ62" s="1229"/>
      <c r="BK62" s="1229"/>
      <c r="BL62" s="1194">
        <f>BL79+BL90+BL101+BL112+BL123+BL145+BL156+BL167+BL178+BL200+BL255+BL266+BL277+BL288+BL299+BL310+BL332+BL409+BL420+BL431</f>
        <v>10481.9</v>
      </c>
      <c r="BM62" s="1229"/>
      <c r="BN62" s="1229"/>
      <c r="BO62" s="1229"/>
      <c r="BP62" s="1229"/>
      <c r="BQ62" s="1194">
        <f>BQ79+BQ90+BQ101+BQ112+BQ123+BQ145+BQ156+BQ167+BQ178+BQ200+BQ255+BQ266+BQ277+BQ288+BQ299+BQ310+BQ332+BQ409+BQ420+BQ431</f>
        <v>11754.6</v>
      </c>
      <c r="BR62" s="1229"/>
      <c r="BS62" s="1229"/>
      <c r="BT62" s="1229"/>
      <c r="BU62" s="1229"/>
      <c r="BV62" s="1249">
        <f>BV79+BV90+BV101+BV112+BV123+BV145+BV156+BV167+BV178+BV200+BV255+BV266+BV277+BV288+BV299+BV310+BV332+BV409+BV420+BV431</f>
        <v>11175</v>
      </c>
      <c r="BW62" s="1229"/>
      <c r="BX62" s="1229"/>
      <c r="BY62" s="1229"/>
      <c r="BZ62" s="1229"/>
      <c r="CA62" s="1194">
        <f t="shared" ref="CA62:CI62" si="109">CA79+CA90+CA101+CA112+CA123+CA145+CA156+CA167+CA178+CA200+CA255+CA266+CA277+CA288+CA299+CA310+CA332+CA409+CA420+CA431</f>
        <v>10057</v>
      </c>
      <c r="CB62" s="1229">
        <f t="shared" si="109"/>
        <v>9775</v>
      </c>
      <c r="CC62" s="1229">
        <f t="shared" si="109"/>
        <v>11084</v>
      </c>
      <c r="CD62" s="1229">
        <f t="shared" si="109"/>
        <v>10768</v>
      </c>
      <c r="CE62" s="1229">
        <f t="shared" si="109"/>
        <v>10014</v>
      </c>
      <c r="CF62" s="1194">
        <f t="shared" si="109"/>
        <v>10014</v>
      </c>
      <c r="CG62" s="1229">
        <f t="shared" si="109"/>
        <v>9211</v>
      </c>
      <c r="CH62" s="1229">
        <f t="shared" si="109"/>
        <v>9413</v>
      </c>
      <c r="CI62" s="1229">
        <f t="shared" si="109"/>
        <v>10040</v>
      </c>
      <c r="CJ62" s="1229">
        <f>CJ79+CJ90+CJ101+CJ112+CJ123+CJ145+CJ156+CJ167+CJ178+CJ200+CJ255+CJ266+CJ277+CJ288+CJ299+CJ310+CJ332+CJ409+CJ420+CJ431+CJ319</f>
        <v>10155</v>
      </c>
      <c r="CK62" s="1194">
        <f>CK79+CK90+CK101+CK112+CK123+CK145+CK156+CK167+CK178+CK200+CK255+CK266+CK277+CK288+CK299+CK310+CK332+CK409+CK420+CK431+CK319</f>
        <v>10155</v>
      </c>
      <c r="CL62" s="1229">
        <f>CL79+CL90+CL101+CL112+CL123+CL145+CL156+CL167+CL178+CL200+CL255+CL266+CL277+CL288+CL299+CL310+CL332+CL409+CL420+CL431+CL319</f>
        <v>10155</v>
      </c>
      <c r="CM62" s="1229">
        <f>CM79+CM90+CM101+CM112+CM123+CM145+CM156+CM167+CM178+CM200+CM255+CM266+CM277+CM288+CM299+CM310+CM332+CM409+CM420+CM431+CM319</f>
        <v>10155</v>
      </c>
      <c r="CN62" s="1229">
        <f>CN79+CN90+CN101+CN112+CN123+CN145+CN156+CN167+CN178+CN200+CN255+CN266+CN277+CN288+CN299+CN310+CN332+CN409+CN420+CN431+CN319</f>
        <v>10155</v>
      </c>
      <c r="CO62" s="1229">
        <f>CO79+CO90+CO101+CO112+CO123+CO145+CO156+CO167+CO178+CO200+CO255+CO266+CO277+CO288+CO299+CO310+CO332+CO409+CO420+CO431+CO319+CO134+CO189+CO222+CO211</f>
        <v>13648</v>
      </c>
      <c r="CP62" s="1194">
        <f>CP79+CP90+CP101+CP112+CP123+CP145+CP156+CP167+CP178+CP200+CP255+CP266+CP277+CP288+CP299+CP310+CP332+CP409+CP420+CP431+CP319+CP134+CP189+CP222+CP211</f>
        <v>13648</v>
      </c>
      <c r="CQ62" s="1229">
        <f>CQ79+CQ90+CQ101+CQ112+CQ123+CQ145+CQ156+CQ167+CQ178+CQ200+CQ255+CQ266+CQ277+CQ288+CQ299+CQ310+CQ332+CQ409+CQ420+CQ431+CQ319+CQ134+CQ189+CQ222+CQ211</f>
        <v>13648</v>
      </c>
      <c r="CR62" s="1229">
        <f>CR79+CR90+CR101+CR112+CR123+CR145+CR156+CR167+CR178+CR200+CR255+CR266+CR277+CR288+CR299+CR310+CR332+CR409+CR420+CR431+CR319+CR134+CR189+CR222+CR211</f>
        <v>13648</v>
      </c>
      <c r="CS62" s="1229">
        <f>CS79+CS90+CS101+CS112+CS123+CS145+CS156+CS167+CS178+CS200+CS255+CS266+CS277+CS288+CS299+CS310+CS332+CS409+CS420+CS431+CS319+CS134+CS189+CS222+CS211+CS233+CS244</f>
        <v>12412</v>
      </c>
      <c r="CT62" s="1229">
        <f>CT79+CT90+CT101+CT112+CT123+CT145+CT156+CT167+CT178+CT200+CT255+CT266+CT277+CT288+CT299+CT310+CT332+CT409+CT420+CT431+CT319+CT134+CT189+CT222+CT211+CT233+CT244</f>
        <v>12957</v>
      </c>
      <c r="CU62" s="1194">
        <f>CU79+CU90+CU101+CU112+CU123+CU145+CU156+CU167+CU178+CU200+CU255+CU266+CU277+CU288+CU299+CU310+CU332+CU409+CU420+CU431+CU319+CU134+CU189+CU222+CU211+CU233+CU244</f>
        <v>12957</v>
      </c>
      <c r="CV62" s="1229">
        <f>CV79+CV90+CV101+CV112+CV123+CV145+CV156+CV167+CV178+CV200+CV255+CV266+CV277+CV288+CV299+CV310+CV332+CV409+CV420+CV431+CV319+CV134+CV189+CV222+CV211+CV233+CV244</f>
        <v>12998</v>
      </c>
      <c r="CW62" s="1229">
        <f>CW79+CW90+CW101+CW112+CW123+CW145+CW156+CW167+CW178+CW200+CW255+CW266+CW277+CW288+CW299+CW310+CW332+CW409+CW420+CW431+CW319+CW134+CW189+CW222+CW211+CW233+CW244</f>
        <v>12448</v>
      </c>
      <c r="CX62" s="1229">
        <f>CX79+CX90+CX101+CX112+CX123+CX145+CX156+CX167+CX178+CX200+CX255+CX266+CX277+CX288+CX299+CX310+CX332+CX409+CX420+CX431+CX319+CX134+CX189+CX222+CX211+CX233+CX244+CX343+CX354+CX365+CX376+CX387+CX398</f>
        <v>27448</v>
      </c>
      <c r="CY62" s="1229">
        <f t="shared" ref="CY62:DJ62" si="110">CY79+CY90+CY101+CY112+CY123+CY145+CY156+CY167+CY178+CY200+CY255+CY266+CY277+CY288+CY299+CY310+CY332+CY409+CY420+CY431+CY319+CY134+CY189+CY222+CY211+CY233+CY244+CY343+CY354+CY365+CY376+CY387+CY398</f>
        <v>27448</v>
      </c>
      <c r="CZ62" s="1230">
        <f t="shared" si="110"/>
        <v>27407</v>
      </c>
      <c r="DA62" s="1229">
        <f t="shared" si="110"/>
        <v>27448</v>
      </c>
      <c r="DB62" s="1229">
        <f t="shared" si="110"/>
        <v>26408.2</v>
      </c>
      <c r="DC62" s="1229">
        <f t="shared" si="110"/>
        <v>25437.200000000001</v>
      </c>
      <c r="DD62" s="1229">
        <f t="shared" si="110"/>
        <v>24687.200000000001</v>
      </c>
      <c r="DE62" s="1230">
        <f t="shared" si="110"/>
        <v>24646.2</v>
      </c>
      <c r="DF62" s="1229">
        <f t="shared" si="110"/>
        <v>25437.200000000001</v>
      </c>
      <c r="DG62" s="1229">
        <f t="shared" si="110"/>
        <v>25437.200000000001</v>
      </c>
      <c r="DH62" s="1229">
        <f t="shared" si="110"/>
        <v>25437.200000000001</v>
      </c>
      <c r="DI62" s="1229">
        <f t="shared" si="110"/>
        <v>25437.200000000001</v>
      </c>
      <c r="DJ62" s="1230">
        <f t="shared" si="110"/>
        <v>24646.2</v>
      </c>
      <c r="DK62" s="1229">
        <f t="shared" ref="DK62:DT62" si="111">DK79+DK90+DK101+DK112+DK123+DK145+DK156+DK167+DK178+DK200+DK255+DK266+DK277+DK288+DK299+DK310+DK332+DK409+DK420+DK431+DK319+DK134+DK189+DK222+DK211+DK233+DK244+DK343+DK354+DK365+DK376+DK387+DK398</f>
        <v>25437.200000000001</v>
      </c>
      <c r="DL62" s="1229">
        <f t="shared" si="111"/>
        <v>63757.2</v>
      </c>
      <c r="DM62" s="1229">
        <f t="shared" si="111"/>
        <v>63757.2</v>
      </c>
      <c r="DN62" s="1229">
        <f t="shared" si="111"/>
        <v>63757.2</v>
      </c>
      <c r="DO62" s="1230">
        <f t="shared" si="111"/>
        <v>62966.2</v>
      </c>
      <c r="DP62" s="1229">
        <f t="shared" si="111"/>
        <v>63757.2</v>
      </c>
      <c r="DQ62" s="1229">
        <f t="shared" si="111"/>
        <v>62677.2</v>
      </c>
      <c r="DR62" s="1229">
        <f t="shared" si="111"/>
        <v>62677.2</v>
      </c>
      <c r="DS62" s="1229">
        <f t="shared" si="111"/>
        <v>62677.2</v>
      </c>
      <c r="DT62" s="1230">
        <f t="shared" si="111"/>
        <v>61886.2</v>
      </c>
      <c r="DU62" s="1229">
        <f t="shared" ref="DU62:DY62" si="112">DU79+DU90+DU101+DU112+DU123+DU145+DU156+DU167+DU178+DU200+DU255+DU266+DU277+DU288+DU299+DU310+DU332+DU409+DU420+DU431+DU319+DU134+DU189+DU222+DU211+DU233+DU244+DU343+DU354+DU365+DU376+DU387+DU398</f>
        <v>62677.2</v>
      </c>
      <c r="DV62" s="1229">
        <f t="shared" si="112"/>
        <v>61597.2</v>
      </c>
      <c r="DW62" s="1229">
        <f t="shared" si="112"/>
        <v>61597.2</v>
      </c>
      <c r="DX62" s="1229">
        <f t="shared" si="112"/>
        <v>61597.2</v>
      </c>
      <c r="DY62" s="1230">
        <f t="shared" si="112"/>
        <v>60806.2</v>
      </c>
    </row>
    <row r="63" spans="1:129" x14ac:dyDescent="0.2">
      <c r="A63" s="1223"/>
      <c r="B63" s="1190" t="s">
        <v>1134</v>
      </c>
      <c r="C63" s="1182"/>
      <c r="D63" s="1182"/>
      <c r="E63" s="1182"/>
      <c r="F63" s="1182"/>
      <c r="G63" s="1182"/>
      <c r="H63" s="1182"/>
      <c r="I63" s="1182"/>
      <c r="J63" s="1182"/>
      <c r="K63" s="1182"/>
      <c r="L63" s="1182"/>
      <c r="M63" s="1182"/>
      <c r="N63" s="1182"/>
      <c r="O63" s="1182"/>
      <c r="P63" s="1182"/>
      <c r="Q63" s="1182"/>
      <c r="R63" s="1182"/>
      <c r="S63" s="1182"/>
      <c r="T63" s="1182"/>
      <c r="U63" s="1182"/>
      <c r="V63" s="1182"/>
      <c r="W63" s="1182"/>
      <c r="X63" s="1227"/>
      <c r="Y63" s="1231"/>
      <c r="Z63" s="1231"/>
      <c r="AA63" s="1231"/>
      <c r="AB63" s="1231"/>
      <c r="AC63" s="1227"/>
      <c r="AD63" s="1231"/>
      <c r="AE63" s="1231"/>
      <c r="AF63" s="1231"/>
      <c r="AG63" s="1231"/>
      <c r="AH63" s="1227"/>
      <c r="AI63" s="1231"/>
      <c r="AJ63" s="1231"/>
      <c r="AK63" s="1231"/>
      <c r="AL63" s="1231"/>
      <c r="AM63" s="1227"/>
      <c r="AN63" s="1229">
        <f>'BS and CFS'!AN158+'BS and CFS'!AN159</f>
        <v>0</v>
      </c>
      <c r="AO63" s="1229">
        <f>'BS and CFS'!AO158+'BS and CFS'!AO159</f>
        <v>0</v>
      </c>
      <c r="AP63" s="1229">
        <f>'BS and CFS'!AP158+'BS and CFS'!AP159</f>
        <v>0</v>
      </c>
      <c r="AQ63" s="1229">
        <f>'BS and CFS'!AQ158+'BS and CFS'!AQ159</f>
        <v>0</v>
      </c>
      <c r="AR63" s="1194">
        <f>'BS and CFS'!AR158+'BS and CFS'!AR159</f>
        <v>323.2</v>
      </c>
      <c r="AS63" s="1229">
        <f>'BS and CFS'!AS158+'BS and CFS'!AS159</f>
        <v>0</v>
      </c>
      <c r="AT63" s="1229">
        <f>'BS and CFS'!AT158+'BS and CFS'!AT159</f>
        <v>0</v>
      </c>
      <c r="AU63" s="1229">
        <f>'BS and CFS'!AU158+'BS and CFS'!AU159</f>
        <v>0</v>
      </c>
      <c r="AV63" s="1229">
        <f>'BS and CFS'!AV158+'BS and CFS'!AV159</f>
        <v>0</v>
      </c>
      <c r="AW63" s="1194">
        <f>'BS and CFS'!AW158+'BS and CFS'!AW159</f>
        <v>916.2</v>
      </c>
      <c r="AX63" s="1229">
        <f>'BS and CFS'!AX158+'BS and CFS'!AX159</f>
        <v>0</v>
      </c>
      <c r="AY63" s="1229">
        <f>'BS and CFS'!AY158+'BS and CFS'!AY159</f>
        <v>0</v>
      </c>
      <c r="AZ63" s="1229">
        <f>'BS and CFS'!AZ158+'BS and CFS'!AZ159</f>
        <v>0</v>
      </c>
      <c r="BA63" s="1229">
        <f>'BS and CFS'!BA158+'BS and CFS'!BA159</f>
        <v>0</v>
      </c>
      <c r="BB63" s="1194">
        <f>'BS and CFS'!BB158+'BS and CFS'!BB159</f>
        <v>595</v>
      </c>
      <c r="BC63" s="1229">
        <f>'BS and CFS'!BC158+'BS and CFS'!BC159</f>
        <v>553</v>
      </c>
      <c r="BD63" s="1229">
        <f>'BS and CFS'!BD158+'BS and CFS'!BD159</f>
        <v>4509.3</v>
      </c>
      <c r="BE63" s="1229">
        <f>'BS and CFS'!BE158+'BS and CFS'!BE159</f>
        <v>3206.6</v>
      </c>
      <c r="BF63" s="1229">
        <f>'BS and CFS'!BF158+'BS and CFS'!BF159</f>
        <v>2187</v>
      </c>
      <c r="BG63" s="1194">
        <f>'BS and CFS'!BG158+'BS and CFS'!BG159</f>
        <v>2187</v>
      </c>
      <c r="BH63" s="1229">
        <f>'BS and CFS'!BH158+'BS and CFS'!BH159</f>
        <v>3915.4</v>
      </c>
      <c r="BI63" s="1229">
        <f>'BS and CFS'!BI158+'BS and CFS'!BI159</f>
        <v>1000.5</v>
      </c>
      <c r="BJ63" s="1229">
        <f>'BS and CFS'!BJ158+'BS and CFS'!BJ159</f>
        <v>765.2</v>
      </c>
      <c r="BK63" s="1229">
        <f>'BS and CFS'!BK158+'BS and CFS'!BK159</f>
        <v>2132.1999999999998</v>
      </c>
      <c r="BL63" s="1194">
        <f>'BS and CFS'!BL158+'BS and CFS'!BL159</f>
        <v>2132.1999999999998</v>
      </c>
      <c r="BM63" s="1229">
        <f>'BS and CFS'!BM158+'BS and CFS'!BM159</f>
        <v>1389.2</v>
      </c>
      <c r="BN63" s="1229">
        <f>'BS and CFS'!BN158+'BS and CFS'!BN159</f>
        <v>1027.3</v>
      </c>
      <c r="BO63" s="1229">
        <f>'BS and CFS'!BO158+'BS and CFS'!BO159</f>
        <v>1679.4</v>
      </c>
      <c r="BP63" s="1229">
        <f>'BS and CFS'!BP158+'BS and CFS'!BP159</f>
        <v>3697.3999999999996</v>
      </c>
      <c r="BQ63" s="1194">
        <f>'BS and CFS'!BQ158+'BS and CFS'!BQ159</f>
        <v>3697.3999999999996</v>
      </c>
      <c r="BR63" s="1229">
        <f>'BS and CFS'!BR158+'BS and CFS'!BR159</f>
        <v>2071.3000000000002</v>
      </c>
      <c r="BS63" s="1229">
        <f>'BS and CFS'!BS158+'BS and CFS'!BS159</f>
        <v>3731.6</v>
      </c>
      <c r="BT63" s="1229">
        <f>'BS and CFS'!BT158+'BS and CFS'!BT159</f>
        <v>3203.9</v>
      </c>
      <c r="BU63" s="1229">
        <f>'BS and CFS'!BU158+'BS and CFS'!BU159</f>
        <v>2419</v>
      </c>
      <c r="BV63" s="1194">
        <f>'BS and CFS'!BV158+'BS and CFS'!BV159</f>
        <v>2419</v>
      </c>
      <c r="BW63" s="1229">
        <f>'BS and CFS'!BW158+'BS and CFS'!BW159</f>
        <v>2919</v>
      </c>
      <c r="BX63" s="1229">
        <f>'BS and CFS'!BX158+'BS and CFS'!BX159</f>
        <v>2507</v>
      </c>
      <c r="BY63" s="1229">
        <f>'BS and CFS'!BY158+'BS and CFS'!BY159</f>
        <v>2488</v>
      </c>
      <c r="BZ63" s="1229">
        <f>'BS and CFS'!BZ158+'BS and CFS'!BZ159</f>
        <v>1405</v>
      </c>
      <c r="CA63" s="1194">
        <f>'BS and CFS'!CA158+'BS and CFS'!CA159</f>
        <v>1405</v>
      </c>
      <c r="CB63" s="1229">
        <f>'BS and CFS'!CB158+'BS and CFS'!CB159</f>
        <v>1106</v>
      </c>
      <c r="CC63" s="1229">
        <f>'BS and CFS'!CC158+'BS and CFS'!CC159</f>
        <v>916</v>
      </c>
      <c r="CD63" s="1229">
        <f>'BS and CFS'!CD158+'BS and CFS'!CD159</f>
        <v>601</v>
      </c>
      <c r="CE63" s="1229">
        <f>'BS and CFS'!CE158+'BS and CFS'!CE159</f>
        <v>806</v>
      </c>
      <c r="CF63" s="1194">
        <f>'BS and CFS'!CF158+'BS and CFS'!CF159</f>
        <v>806</v>
      </c>
      <c r="CG63" s="1229">
        <f>'BS and CFS'!CG158+'BS and CFS'!CG159</f>
        <v>5</v>
      </c>
      <c r="CH63" s="1229">
        <f>'BS and CFS'!CH158+'BS and CFS'!CH159</f>
        <v>205</v>
      </c>
      <c r="CI63" s="1229">
        <f>'BS and CFS'!CI158+'BS and CFS'!CI159</f>
        <v>830</v>
      </c>
      <c r="CJ63" s="1229">
        <f>'BS and CFS'!CJ158+'BS and CFS'!CJ159</f>
        <v>695</v>
      </c>
      <c r="CK63" s="1194">
        <f>'BS and CFS'!CK158+'BS and CFS'!CK159</f>
        <v>695</v>
      </c>
      <c r="CL63" s="1229">
        <f>'BS and CFS'!CL158+'BS and CFS'!CL159</f>
        <v>312</v>
      </c>
      <c r="CM63" s="1229">
        <f>'BS and CFS'!CM158+'BS and CFS'!CM159</f>
        <v>18</v>
      </c>
      <c r="CN63" s="1229">
        <f>'BS and CFS'!CN158+'BS and CFS'!CN159</f>
        <v>1386</v>
      </c>
      <c r="CO63" s="1229">
        <f>'BS and CFS'!CO158+'BS and CFS'!CO159</f>
        <v>561</v>
      </c>
      <c r="CP63" s="1194">
        <f>'BS and CFS'!CP158+'BS and CFS'!CP159</f>
        <v>561</v>
      </c>
      <c r="CQ63" s="1229">
        <f>'BS and CFS'!CQ158+'BS and CFS'!CQ159</f>
        <v>565</v>
      </c>
      <c r="CR63" s="1229">
        <f>'BS and CFS'!CR158+'BS and CFS'!CR159</f>
        <v>1119</v>
      </c>
      <c r="CS63" s="1229">
        <f>'BS and CFS'!CS158+'BS and CFS'!CS159</f>
        <v>1347</v>
      </c>
      <c r="CT63" s="1229">
        <f>'BS and CFS'!CT158+'BS and CFS'!CT159</f>
        <v>1260</v>
      </c>
      <c r="CU63" s="1194">
        <f>'BS and CFS'!CU158+'BS and CFS'!CU159</f>
        <v>1260</v>
      </c>
      <c r="CV63" s="1229">
        <f>'BS and CFS'!CV158+'BS and CFS'!CV159</f>
        <v>1073</v>
      </c>
      <c r="CW63" s="1229">
        <f>'BS and CFS'!CW158+'BS and CFS'!CW159</f>
        <v>1512</v>
      </c>
      <c r="CX63" s="1229">
        <f>'BS and CFS'!CX158+'BS and CFS'!CX159</f>
        <v>451</v>
      </c>
      <c r="CY63" s="1229">
        <f>'BS and CFS'!CY158+'BS and CFS'!CY159</f>
        <v>1197</v>
      </c>
      <c r="CZ63" s="1194">
        <f>'BS and CFS'!CZ158+'BS and CFS'!CZ159</f>
        <v>1197</v>
      </c>
      <c r="DA63" s="1229">
        <f>'BS and CFS'!DA158+'BS and CFS'!DA159</f>
        <v>1202</v>
      </c>
      <c r="DB63" s="1229">
        <f>'BS and CFS'!DB158+'BS and CFS'!DB159</f>
        <v>3036</v>
      </c>
      <c r="DC63" s="1229">
        <f>'BS and CFS'!DC158+'BS and CFS'!DC159</f>
        <v>1123</v>
      </c>
      <c r="DD63" s="1229">
        <f>'BS and CFS'!DD158+'BS and CFS'!DD159</f>
        <v>1916</v>
      </c>
      <c r="DE63" s="1194">
        <f>'BS and CFS'!DE158+'BS and CFS'!DE159</f>
        <v>1916</v>
      </c>
      <c r="DF63" s="1229">
        <f>'BS and CFS'!DF158+'BS and CFS'!DF159</f>
        <v>1811</v>
      </c>
      <c r="DG63" s="1229">
        <f>'BS and CFS'!DG158+'BS and CFS'!DG159</f>
        <v>1142</v>
      </c>
      <c r="DH63" s="1229">
        <f>'BS and CFS'!DH158+'BS and CFS'!DH159</f>
        <v>2403</v>
      </c>
      <c r="DI63" s="1229">
        <f>'BS and CFS'!DI158+'BS and CFS'!DI159</f>
        <v>4821</v>
      </c>
      <c r="DJ63" s="1194">
        <f>'BS and CFS'!DJ158+'BS and CFS'!DJ159</f>
        <v>4821</v>
      </c>
      <c r="DK63" s="1229">
        <f>'BS and CFS'!DK158+'BS and CFS'!DK159</f>
        <v>4821</v>
      </c>
      <c r="DL63" s="1229">
        <f>'BS and CFS'!DL158+'BS and CFS'!DL159</f>
        <v>4821</v>
      </c>
      <c r="DM63" s="1229">
        <f>'BS and CFS'!DM158+'BS and CFS'!DM159</f>
        <v>4821</v>
      </c>
      <c r="DN63" s="1229">
        <f>'BS and CFS'!DN158+'BS and CFS'!DN159</f>
        <v>4821</v>
      </c>
      <c r="DO63" s="1194">
        <f>'BS and CFS'!DO158+'BS and CFS'!DO159</f>
        <v>4821</v>
      </c>
      <c r="DP63" s="1229">
        <f>'BS and CFS'!DP158+'BS and CFS'!DP159</f>
        <v>4821</v>
      </c>
      <c r="DQ63" s="1229">
        <f>'BS and CFS'!DQ158+'BS and CFS'!DQ159</f>
        <v>4821</v>
      </c>
      <c r="DR63" s="1229">
        <f>'BS and CFS'!DR158+'BS and CFS'!DR159</f>
        <v>4821</v>
      </c>
      <c r="DS63" s="1229">
        <f>'BS and CFS'!DS158+'BS and CFS'!DS159</f>
        <v>4821</v>
      </c>
      <c r="DT63" s="1194">
        <f>'BS and CFS'!DT158+'BS and CFS'!DT159</f>
        <v>4821</v>
      </c>
      <c r="DU63" s="1229">
        <f>'BS and CFS'!DU158+'BS and CFS'!DU159</f>
        <v>4821</v>
      </c>
      <c r="DV63" s="1229">
        <f>'BS and CFS'!DV158+'BS and CFS'!DV159</f>
        <v>4821</v>
      </c>
      <c r="DW63" s="1229">
        <f>'BS and CFS'!DW158+'BS and CFS'!DW159</f>
        <v>4821</v>
      </c>
      <c r="DX63" s="1229">
        <f>'BS and CFS'!DX158+'BS and CFS'!DX159</f>
        <v>4821</v>
      </c>
      <c r="DY63" s="1194">
        <f>'BS and CFS'!DY158+'BS and CFS'!DY159</f>
        <v>4821</v>
      </c>
    </row>
    <row r="64" spans="1:129" x14ac:dyDescent="0.2">
      <c r="A64" s="1223"/>
      <c r="B64" s="1190" t="s">
        <v>1135</v>
      </c>
      <c r="C64" s="1182"/>
      <c r="D64" s="1182"/>
      <c r="E64" s="1182"/>
      <c r="F64" s="1182"/>
      <c r="G64" s="1182"/>
      <c r="H64" s="1182"/>
      <c r="I64" s="1182"/>
      <c r="J64" s="1182"/>
      <c r="K64" s="1182"/>
      <c r="L64" s="1182"/>
      <c r="M64" s="1182"/>
      <c r="N64" s="1182"/>
      <c r="O64" s="1182"/>
      <c r="P64" s="1182"/>
      <c r="Q64" s="1182"/>
      <c r="R64" s="1182"/>
      <c r="S64" s="1182"/>
      <c r="T64" s="1182"/>
      <c r="U64" s="1182"/>
      <c r="V64" s="1182"/>
      <c r="W64" s="1182"/>
      <c r="X64" s="1227"/>
      <c r="Y64" s="1231"/>
      <c r="Z64" s="1231"/>
      <c r="AA64" s="1231"/>
      <c r="AB64" s="1231"/>
      <c r="AC64" s="1227"/>
      <c r="AD64" s="1231"/>
      <c r="AE64" s="1231"/>
      <c r="AF64" s="1231"/>
      <c r="AG64" s="1231"/>
      <c r="AH64" s="1227"/>
      <c r="AI64" s="1231"/>
      <c r="AJ64" s="1231"/>
      <c r="AK64" s="1231"/>
      <c r="AL64" s="1231"/>
      <c r="AM64" s="1227"/>
      <c r="AN64" s="1195"/>
      <c r="AO64" s="1195"/>
      <c r="AP64" s="1195"/>
      <c r="AQ64" s="1195"/>
      <c r="AR64" s="1194"/>
      <c r="AS64" s="1195"/>
      <c r="AT64" s="1195"/>
      <c r="AU64" s="1195"/>
      <c r="AV64" s="1195"/>
      <c r="AW64" s="1194"/>
      <c r="AX64" s="1195"/>
      <c r="AY64" s="1195"/>
      <c r="AZ64" s="1195"/>
      <c r="BA64" s="1195"/>
      <c r="BB64" s="1194"/>
      <c r="BC64" s="1195"/>
      <c r="BD64" s="1195"/>
      <c r="BE64" s="1195"/>
      <c r="BF64" s="1195"/>
      <c r="BG64" s="1194"/>
      <c r="BH64" s="1195"/>
      <c r="BI64" s="1195"/>
      <c r="BJ64" s="1195"/>
      <c r="BK64" s="1195"/>
      <c r="BL64" s="1194">
        <f>BL62-BL63</f>
        <v>8349.7000000000007</v>
      </c>
      <c r="BM64" s="1195"/>
      <c r="BN64" s="1195"/>
      <c r="BO64" s="1195"/>
      <c r="BP64" s="1195"/>
      <c r="BQ64" s="1194">
        <f>BQ62-BQ63</f>
        <v>8057.2000000000007</v>
      </c>
      <c r="BR64" s="1195"/>
      <c r="BS64" s="1195"/>
      <c r="BT64" s="1195"/>
      <c r="BU64" s="1195"/>
      <c r="BV64" s="1194">
        <f>BV62-BV63</f>
        <v>8756</v>
      </c>
      <c r="BW64" s="1195"/>
      <c r="BX64" s="1195"/>
      <c r="BY64" s="1195"/>
      <c r="BZ64" s="1195"/>
      <c r="CA64" s="1194">
        <f t="shared" ref="CA64:CZ64" si="113">CA62-CA63</f>
        <v>8652</v>
      </c>
      <c r="CB64" s="1229">
        <f t="shared" si="113"/>
        <v>8669</v>
      </c>
      <c r="CC64" s="1229">
        <f t="shared" si="113"/>
        <v>10168</v>
      </c>
      <c r="CD64" s="1229">
        <f t="shared" si="113"/>
        <v>10167</v>
      </c>
      <c r="CE64" s="1229">
        <f t="shared" si="113"/>
        <v>9208</v>
      </c>
      <c r="CF64" s="1194">
        <f t="shared" si="113"/>
        <v>9208</v>
      </c>
      <c r="CG64" s="1229">
        <f t="shared" si="113"/>
        <v>9206</v>
      </c>
      <c r="CH64" s="1229">
        <f t="shared" si="113"/>
        <v>9208</v>
      </c>
      <c r="CI64" s="1229">
        <f t="shared" si="113"/>
        <v>9210</v>
      </c>
      <c r="CJ64" s="1229">
        <f t="shared" si="113"/>
        <v>9460</v>
      </c>
      <c r="CK64" s="1194">
        <f t="shared" si="113"/>
        <v>9460</v>
      </c>
      <c r="CL64" s="1229">
        <f t="shared" si="113"/>
        <v>9843</v>
      </c>
      <c r="CM64" s="1229">
        <f t="shared" si="113"/>
        <v>10137</v>
      </c>
      <c r="CN64" s="1229">
        <f t="shared" si="113"/>
        <v>8769</v>
      </c>
      <c r="CO64" s="1229">
        <f t="shared" si="113"/>
        <v>13087</v>
      </c>
      <c r="CP64" s="1194">
        <f t="shared" si="113"/>
        <v>13087</v>
      </c>
      <c r="CQ64" s="1229">
        <f t="shared" si="113"/>
        <v>13083</v>
      </c>
      <c r="CR64" s="1229">
        <f t="shared" si="113"/>
        <v>12529</v>
      </c>
      <c r="CS64" s="1229">
        <f t="shared" si="113"/>
        <v>11065</v>
      </c>
      <c r="CT64" s="1229">
        <f t="shared" si="113"/>
        <v>11697</v>
      </c>
      <c r="CU64" s="1194">
        <f t="shared" si="113"/>
        <v>11697</v>
      </c>
      <c r="CV64" s="1229">
        <f t="shared" si="113"/>
        <v>11925</v>
      </c>
      <c r="CW64" s="1229">
        <f t="shared" si="113"/>
        <v>10936</v>
      </c>
      <c r="CX64" s="1229">
        <f t="shared" si="113"/>
        <v>26997</v>
      </c>
      <c r="CY64" s="1229">
        <f t="shared" si="113"/>
        <v>26251</v>
      </c>
      <c r="CZ64" s="1194">
        <f t="shared" si="113"/>
        <v>26210</v>
      </c>
      <c r="DA64" s="1229">
        <f t="shared" ref="DA64:DJ64" si="114">DA62-DA63</f>
        <v>26246</v>
      </c>
      <c r="DB64" s="1229">
        <f t="shared" si="114"/>
        <v>23372.2</v>
      </c>
      <c r="DC64" s="1229">
        <f t="shared" si="114"/>
        <v>24314.2</v>
      </c>
      <c r="DD64" s="1229">
        <f t="shared" si="114"/>
        <v>22771.200000000001</v>
      </c>
      <c r="DE64" s="1194">
        <f t="shared" si="114"/>
        <v>22730.2</v>
      </c>
      <c r="DF64" s="1229">
        <f t="shared" si="114"/>
        <v>23626.2</v>
      </c>
      <c r="DG64" s="1229">
        <f t="shared" si="114"/>
        <v>24295.200000000001</v>
      </c>
      <c r="DH64" s="1229">
        <f t="shared" si="114"/>
        <v>23034.2</v>
      </c>
      <c r="DI64" s="1229">
        <f t="shared" si="114"/>
        <v>20616.2</v>
      </c>
      <c r="DJ64" s="1194">
        <f t="shared" si="114"/>
        <v>19825.2</v>
      </c>
      <c r="DK64" s="1229">
        <f t="shared" ref="DK64:DT64" si="115">DK62-DK63</f>
        <v>20616.2</v>
      </c>
      <c r="DL64" s="1229">
        <f t="shared" si="115"/>
        <v>58936.2</v>
      </c>
      <c r="DM64" s="1229">
        <f t="shared" si="115"/>
        <v>58936.2</v>
      </c>
      <c r="DN64" s="1229">
        <f t="shared" si="115"/>
        <v>58936.2</v>
      </c>
      <c r="DO64" s="1194">
        <f t="shared" si="115"/>
        <v>58145.2</v>
      </c>
      <c r="DP64" s="1229">
        <f t="shared" si="115"/>
        <v>58936.2</v>
      </c>
      <c r="DQ64" s="1229">
        <f t="shared" si="115"/>
        <v>57856.2</v>
      </c>
      <c r="DR64" s="1229">
        <f t="shared" si="115"/>
        <v>57856.2</v>
      </c>
      <c r="DS64" s="1229">
        <f t="shared" si="115"/>
        <v>57856.2</v>
      </c>
      <c r="DT64" s="1194">
        <f t="shared" si="115"/>
        <v>57065.2</v>
      </c>
      <c r="DU64" s="1229">
        <f t="shared" ref="DU64:DY64" si="116">DU62-DU63</f>
        <v>57856.2</v>
      </c>
      <c r="DV64" s="1229">
        <f t="shared" si="116"/>
        <v>56776.2</v>
      </c>
      <c r="DW64" s="1229">
        <f t="shared" si="116"/>
        <v>56776.2</v>
      </c>
      <c r="DX64" s="1229">
        <f t="shared" si="116"/>
        <v>56776.2</v>
      </c>
      <c r="DY64" s="1194">
        <f t="shared" si="116"/>
        <v>55985.2</v>
      </c>
    </row>
    <row r="65" spans="1:129" ht="12" thickBot="1" x14ac:dyDescent="0.25">
      <c r="A65" s="1223"/>
      <c r="B65" s="1250" t="s">
        <v>1136</v>
      </c>
      <c r="C65" s="1251"/>
      <c r="D65" s="1251"/>
      <c r="E65" s="1251"/>
      <c r="F65" s="1251"/>
      <c r="G65" s="1251"/>
      <c r="H65" s="1251"/>
      <c r="I65" s="1251"/>
      <c r="J65" s="1251"/>
      <c r="K65" s="1251"/>
      <c r="L65" s="1251"/>
      <c r="M65" s="1251"/>
      <c r="N65" s="1251"/>
      <c r="O65" s="1251"/>
      <c r="P65" s="1251"/>
      <c r="Q65" s="1251"/>
      <c r="R65" s="1251"/>
      <c r="S65" s="1251"/>
      <c r="T65" s="1251"/>
      <c r="U65" s="1251"/>
      <c r="V65" s="1251"/>
      <c r="W65" s="1251"/>
      <c r="X65" s="1252"/>
      <c r="Y65" s="1253"/>
      <c r="Z65" s="1253"/>
      <c r="AA65" s="1253"/>
      <c r="AB65" s="1253"/>
      <c r="AC65" s="1252"/>
      <c r="AD65" s="1253"/>
      <c r="AE65" s="1253"/>
      <c r="AF65" s="1253"/>
      <c r="AG65" s="1253"/>
      <c r="AH65" s="1252"/>
      <c r="AI65" s="1253"/>
      <c r="AJ65" s="1253"/>
      <c r="AK65" s="1253"/>
      <c r="AL65" s="1253"/>
      <c r="AM65" s="1252"/>
      <c r="AN65" s="1254">
        <f>'BS and CFS'!AN162</f>
        <v>0</v>
      </c>
      <c r="AO65" s="1254">
        <f>'BS and CFS'!AO162</f>
        <v>0</v>
      </c>
      <c r="AP65" s="1254">
        <f>'BS and CFS'!AP162</f>
        <v>0</v>
      </c>
      <c r="AQ65" s="1254">
        <f>'BS and CFS'!AQ162</f>
        <v>0</v>
      </c>
      <c r="AR65" s="1255">
        <f>'BS and CFS'!AR162</f>
        <v>753.1</v>
      </c>
      <c r="AS65" s="1254">
        <f>'BS and CFS'!AS162</f>
        <v>0</v>
      </c>
      <c r="AT65" s="1254">
        <f>'BS and CFS'!AT162</f>
        <v>0</v>
      </c>
      <c r="AU65" s="1254">
        <f>'BS and CFS'!AU162</f>
        <v>0</v>
      </c>
      <c r="AV65" s="1254">
        <f>'BS and CFS'!AV162</f>
        <v>0</v>
      </c>
      <c r="AW65" s="1255">
        <f>'BS and CFS'!AW162</f>
        <v>1925.9</v>
      </c>
      <c r="AX65" s="1254">
        <f>'BS and CFS'!AX162</f>
        <v>0</v>
      </c>
      <c r="AY65" s="1254">
        <f>'BS and CFS'!AY162</f>
        <v>0</v>
      </c>
      <c r="AZ65" s="1254">
        <f>'BS and CFS'!AZ162</f>
        <v>0</v>
      </c>
      <c r="BA65" s="1254">
        <f>'BS and CFS'!BA162</f>
        <v>0</v>
      </c>
      <c r="BB65" s="1255">
        <f>'BS and CFS'!BB162</f>
        <v>1594.1</v>
      </c>
      <c r="BC65" s="1254">
        <f>'BS and CFS'!BC162</f>
        <v>1592.2</v>
      </c>
      <c r="BD65" s="1254">
        <f>'BS and CFS'!BD162</f>
        <v>1780.2</v>
      </c>
      <c r="BE65" s="1254">
        <f>'BS and CFS'!BE162</f>
        <v>3279.9</v>
      </c>
      <c r="BF65" s="1254">
        <f>'BS and CFS'!BF162</f>
        <v>2870.4</v>
      </c>
      <c r="BG65" s="1255">
        <f>'BS and CFS'!BG162</f>
        <v>2870.4</v>
      </c>
      <c r="BH65" s="1254">
        <f>'BS and CFS'!BH162</f>
        <v>2895.4</v>
      </c>
      <c r="BI65" s="1254">
        <f>'BS and CFS'!BI162</f>
        <v>8395.6</v>
      </c>
      <c r="BJ65" s="1254">
        <f>'BS and CFS'!BJ162</f>
        <v>8395</v>
      </c>
      <c r="BK65" s="1254">
        <f>'BS and CFS'!BK162</f>
        <v>8349.7000000000007</v>
      </c>
      <c r="BL65" s="1255">
        <f>'BS and CFS'!BL162</f>
        <v>8349.7000000000007</v>
      </c>
      <c r="BM65" s="1254">
        <f>'BS and CFS'!BM162</f>
        <v>8349</v>
      </c>
      <c r="BN65" s="1254">
        <f>'BS and CFS'!BN162</f>
        <v>8348.2999999999993</v>
      </c>
      <c r="BO65" s="1254">
        <f>'BS and CFS'!BO162</f>
        <v>8047.5</v>
      </c>
      <c r="BP65" s="1254">
        <f>'BS and CFS'!BP162</f>
        <v>8057.2</v>
      </c>
      <c r="BQ65" s="1255">
        <f>'BS and CFS'!BQ162</f>
        <v>8057.2</v>
      </c>
      <c r="BR65" s="1254">
        <f>'BS and CFS'!BR162</f>
        <v>9056.2999999999993</v>
      </c>
      <c r="BS65" s="1254">
        <f>'BS and CFS'!BS162</f>
        <v>7305.2</v>
      </c>
      <c r="BT65" s="1254">
        <f>'BS and CFS'!BT162</f>
        <v>8756.2000000000007</v>
      </c>
      <c r="BU65" s="1254">
        <f>'BS and CFS'!BU162</f>
        <v>8756</v>
      </c>
      <c r="BV65" s="1255">
        <f>'BS and CFS'!BV162</f>
        <v>8756</v>
      </c>
      <c r="BW65" s="1254">
        <f>'BS and CFS'!BW162</f>
        <v>8454</v>
      </c>
      <c r="BX65" s="1254">
        <f>'BS and CFS'!BX162</f>
        <v>9454</v>
      </c>
      <c r="BY65" s="1254">
        <f>'BS and CFS'!BY162</f>
        <v>8653</v>
      </c>
      <c r="BZ65" s="1254">
        <f>'BS and CFS'!BZ162</f>
        <v>8652</v>
      </c>
      <c r="CA65" s="1255">
        <f>'BS and CFS'!CA162</f>
        <v>8652</v>
      </c>
      <c r="CB65" s="1254">
        <f>'BS and CFS'!CB162</f>
        <v>8669</v>
      </c>
      <c r="CC65" s="1254">
        <f>'BS and CFS'!CC162</f>
        <v>10168</v>
      </c>
      <c r="CD65" s="1254">
        <f>'BS and CFS'!CD162</f>
        <v>10167</v>
      </c>
      <c r="CE65" s="1254">
        <f>'BS and CFS'!CE162</f>
        <v>9208</v>
      </c>
      <c r="CF65" s="1255">
        <f>'BS and CFS'!CF162</f>
        <v>9208</v>
      </c>
      <c r="CG65" s="1254">
        <f>'BS and CFS'!CG162</f>
        <v>9206</v>
      </c>
      <c r="CH65" s="1254">
        <f>'BS and CFS'!CH162</f>
        <v>9208</v>
      </c>
      <c r="CI65" s="1254">
        <f>'BS and CFS'!CI162</f>
        <v>9210</v>
      </c>
      <c r="CJ65" s="1254">
        <f>'BS and CFS'!CJ162</f>
        <v>9133</v>
      </c>
      <c r="CK65" s="1255">
        <f>'BS and CFS'!CK162</f>
        <v>9133</v>
      </c>
      <c r="CL65" s="1254">
        <f>'BS and CFS'!CL162</f>
        <v>9352</v>
      </c>
      <c r="CM65" s="1254">
        <f>'BS and CFS'!CM162</f>
        <v>9358</v>
      </c>
      <c r="CN65" s="1254">
        <f>'BS and CFS'!CN162</f>
        <v>8819</v>
      </c>
      <c r="CO65" s="1254">
        <f>'BS and CFS'!CO162</f>
        <v>12841</v>
      </c>
      <c r="CP65" s="1255">
        <f>'BS and CFS'!CP162</f>
        <v>12841</v>
      </c>
      <c r="CQ65" s="1254">
        <f>'BS and CFS'!CQ162</f>
        <v>12845</v>
      </c>
      <c r="CR65" s="1254">
        <f>'BS and CFS'!CR162</f>
        <v>12252</v>
      </c>
      <c r="CS65" s="1254">
        <f>'BS and CFS'!CS162</f>
        <v>11709</v>
      </c>
      <c r="CT65" s="1254">
        <f>'BS and CFS'!CT162</f>
        <v>11695</v>
      </c>
      <c r="CU65" s="1255">
        <f>'BS and CFS'!CU162</f>
        <v>11695</v>
      </c>
      <c r="CV65" s="1254">
        <f>'BS and CFS'!CV162</f>
        <v>11689</v>
      </c>
      <c r="CW65" s="1254">
        <f>'BS and CFS'!CW162</f>
        <v>11633</v>
      </c>
      <c r="CX65" s="1254">
        <f>'BS and CFS'!CX162</f>
        <v>26771</v>
      </c>
      <c r="CY65" s="1254">
        <f>'BS and CFS'!CY162</f>
        <v>26267</v>
      </c>
      <c r="CZ65" s="1255">
        <f>'BS and CFS'!CZ162</f>
        <v>26267</v>
      </c>
      <c r="DA65" s="1254">
        <f>'BS and CFS'!DA162</f>
        <v>26267</v>
      </c>
      <c r="DB65" s="1254">
        <f>'BS and CFS'!DB162</f>
        <v>25600</v>
      </c>
      <c r="DC65" s="1254">
        <f>'BS and CFS'!DC162</f>
        <v>25610</v>
      </c>
      <c r="DD65" s="1254">
        <f>'BS and CFS'!DD162</f>
        <v>25615</v>
      </c>
      <c r="DE65" s="1255">
        <f>'BS and CFS'!DE162</f>
        <v>25615</v>
      </c>
      <c r="DF65" s="1254">
        <f>'BS and CFS'!DF162</f>
        <v>25622</v>
      </c>
      <c r="DG65" s="1254">
        <f>'BS and CFS'!DG162</f>
        <v>25622</v>
      </c>
      <c r="DH65" s="1254">
        <f>'BS and CFS'!DH162</f>
        <v>23386</v>
      </c>
      <c r="DI65" s="1254">
        <f>'BS and CFS'!DI162</f>
        <v>22181</v>
      </c>
      <c r="DJ65" s="1255">
        <f>'BS and CFS'!DJ162</f>
        <v>22181</v>
      </c>
      <c r="DK65" s="1254">
        <f>'BS and CFS'!DK162</f>
        <v>22181</v>
      </c>
      <c r="DL65" s="1254">
        <f>'BS and CFS'!DL162</f>
        <v>60501</v>
      </c>
      <c r="DM65" s="1254">
        <f>'BS and CFS'!DM162</f>
        <v>60501</v>
      </c>
      <c r="DN65" s="1254">
        <f>'BS and CFS'!DN162</f>
        <v>60501</v>
      </c>
      <c r="DO65" s="1255">
        <f>'BS and CFS'!DO162</f>
        <v>60501</v>
      </c>
      <c r="DP65" s="1254">
        <f>'BS and CFS'!DP162</f>
        <v>60501</v>
      </c>
      <c r="DQ65" s="1254">
        <f>'BS and CFS'!DQ162</f>
        <v>60501</v>
      </c>
      <c r="DR65" s="1254">
        <f>'BS and CFS'!DR162</f>
        <v>60501</v>
      </c>
      <c r="DS65" s="1254">
        <f>'BS and CFS'!DS162</f>
        <v>60501</v>
      </c>
      <c r="DT65" s="1255">
        <f>'BS and CFS'!DT162</f>
        <v>60501</v>
      </c>
      <c r="DU65" s="1254">
        <f>'BS and CFS'!DU162</f>
        <v>60501</v>
      </c>
      <c r="DV65" s="1254">
        <f>'BS and CFS'!DV162</f>
        <v>60501</v>
      </c>
      <c r="DW65" s="1254">
        <f>'BS and CFS'!DW162</f>
        <v>60501</v>
      </c>
      <c r="DX65" s="1254">
        <f>'BS and CFS'!DX162</f>
        <v>60501</v>
      </c>
      <c r="DY65" s="1255">
        <f>'BS and CFS'!DY162</f>
        <v>60501</v>
      </c>
    </row>
    <row r="66" spans="1:129" ht="12" outlineLevel="1" thickBot="1" x14ac:dyDescent="0.25">
      <c r="A66" s="1223"/>
      <c r="B66" s="1256" t="s">
        <v>779</v>
      </c>
      <c r="C66" s="1257"/>
      <c r="D66" s="1251"/>
      <c r="E66" s="1251"/>
      <c r="F66" s="1251"/>
      <c r="G66" s="1251"/>
      <c r="H66" s="1251"/>
      <c r="I66" s="1251"/>
      <c r="J66" s="1251"/>
      <c r="K66" s="1251"/>
      <c r="L66" s="1251"/>
      <c r="M66" s="1251"/>
      <c r="N66" s="1251"/>
      <c r="O66" s="1251"/>
      <c r="P66" s="1251"/>
      <c r="Q66" s="1251"/>
      <c r="R66" s="1251"/>
      <c r="S66" s="1251"/>
      <c r="T66" s="1251"/>
      <c r="U66" s="1251"/>
      <c r="V66" s="1251"/>
      <c r="W66" s="1251"/>
      <c r="X66" s="1258"/>
      <c r="Y66" s="1259"/>
      <c r="Z66" s="1259"/>
      <c r="AA66" s="1259"/>
      <c r="AB66" s="1260"/>
      <c r="AC66" s="1258"/>
      <c r="AD66" s="1259"/>
      <c r="AE66" s="1259"/>
      <c r="AF66" s="1259"/>
      <c r="AG66" s="1259"/>
      <c r="AH66" s="1258"/>
      <c r="AI66" s="1259"/>
      <c r="AJ66" s="1259"/>
      <c r="AK66" s="1259"/>
      <c r="AL66" s="1259"/>
      <c r="AM66" s="1258"/>
      <c r="AN66" s="1259"/>
      <c r="AO66" s="1259"/>
      <c r="AP66" s="1259"/>
      <c r="AQ66" s="1261"/>
      <c r="AR66" s="1258"/>
      <c r="AS66" s="1261"/>
      <c r="AT66" s="1262"/>
      <c r="AU66" s="1262"/>
      <c r="AV66" s="1262"/>
      <c r="AW66" s="1263"/>
      <c r="AX66" s="1262"/>
      <c r="AY66" s="1262"/>
      <c r="AZ66" s="1262"/>
      <c r="BA66" s="1262"/>
      <c r="BB66" s="1263"/>
      <c r="BC66" s="1262"/>
      <c r="BD66" s="1262"/>
      <c r="BE66" s="1262"/>
      <c r="BF66" s="1262"/>
      <c r="BG66" s="1263"/>
      <c r="BH66" s="1262"/>
      <c r="BI66" s="1262"/>
      <c r="BJ66" s="1262"/>
      <c r="BK66" s="1262"/>
      <c r="BL66" s="1263">
        <f>BL65-BL64</f>
        <v>0</v>
      </c>
      <c r="BM66" s="1262"/>
      <c r="BN66" s="1262"/>
      <c r="BO66" s="1262"/>
      <c r="BP66" s="1262"/>
      <c r="BQ66" s="1263">
        <f>BQ65-BQ64</f>
        <v>0</v>
      </c>
      <c r="BR66" s="1262"/>
      <c r="BS66" s="1262"/>
      <c r="BT66" s="1262"/>
      <c r="BU66" s="1262"/>
      <c r="BV66" s="1263">
        <f>BV65-BV64</f>
        <v>0</v>
      </c>
      <c r="BW66" s="1262"/>
      <c r="BX66" s="1262"/>
      <c r="BY66" s="1262"/>
      <c r="BZ66" s="1262"/>
      <c r="CA66" s="1263">
        <f t="shared" ref="CA66:CZ66" si="117">CA65-CA64</f>
        <v>0</v>
      </c>
      <c r="CB66" s="1262">
        <f t="shared" si="117"/>
        <v>0</v>
      </c>
      <c r="CC66" s="1262">
        <f t="shared" si="117"/>
        <v>0</v>
      </c>
      <c r="CD66" s="1262">
        <f t="shared" si="117"/>
        <v>0</v>
      </c>
      <c r="CE66" s="1262">
        <f t="shared" si="117"/>
        <v>0</v>
      </c>
      <c r="CF66" s="1263">
        <f t="shared" si="117"/>
        <v>0</v>
      </c>
      <c r="CG66" s="1262">
        <f t="shared" si="117"/>
        <v>0</v>
      </c>
      <c r="CH66" s="1262">
        <f t="shared" si="117"/>
        <v>0</v>
      </c>
      <c r="CI66" s="1262">
        <f t="shared" si="117"/>
        <v>0</v>
      </c>
      <c r="CJ66" s="1262">
        <f t="shared" si="117"/>
        <v>-327</v>
      </c>
      <c r="CK66" s="1263">
        <f t="shared" si="117"/>
        <v>-327</v>
      </c>
      <c r="CL66" s="1262">
        <f t="shared" si="117"/>
        <v>-491</v>
      </c>
      <c r="CM66" s="1262">
        <f t="shared" si="117"/>
        <v>-779</v>
      </c>
      <c r="CN66" s="1262">
        <f t="shared" si="117"/>
        <v>50</v>
      </c>
      <c r="CO66" s="1262">
        <f t="shared" si="117"/>
        <v>-246</v>
      </c>
      <c r="CP66" s="1263">
        <f t="shared" si="117"/>
        <v>-246</v>
      </c>
      <c r="CQ66" s="1262">
        <f t="shared" si="117"/>
        <v>-238</v>
      </c>
      <c r="CR66" s="1262">
        <f t="shared" si="117"/>
        <v>-277</v>
      </c>
      <c r="CS66" s="1262">
        <f t="shared" si="117"/>
        <v>644</v>
      </c>
      <c r="CT66" s="1262">
        <f t="shared" si="117"/>
        <v>-2</v>
      </c>
      <c r="CU66" s="1263">
        <f t="shared" si="117"/>
        <v>-2</v>
      </c>
      <c r="CV66" s="1262">
        <f t="shared" si="117"/>
        <v>-236</v>
      </c>
      <c r="CW66" s="1262">
        <f t="shared" si="117"/>
        <v>697</v>
      </c>
      <c r="CX66" s="1262">
        <f t="shared" si="117"/>
        <v>-226</v>
      </c>
      <c r="CY66" s="1262">
        <f t="shared" si="117"/>
        <v>16</v>
      </c>
      <c r="CZ66" s="1264">
        <f t="shared" si="117"/>
        <v>57</v>
      </c>
      <c r="DA66" s="1262">
        <f t="shared" ref="DA66:DJ66" si="118">DA65-DA64</f>
        <v>21</v>
      </c>
      <c r="DB66" s="1262">
        <f t="shared" si="118"/>
        <v>2227.7999999999993</v>
      </c>
      <c r="DC66" s="1262">
        <f t="shared" si="118"/>
        <v>1295.7999999999993</v>
      </c>
      <c r="DD66" s="1262">
        <f t="shared" si="118"/>
        <v>2843.7999999999993</v>
      </c>
      <c r="DE66" s="1264">
        <f t="shared" si="118"/>
        <v>2884.7999999999993</v>
      </c>
      <c r="DF66" s="1262">
        <f t="shared" si="118"/>
        <v>1995.7999999999993</v>
      </c>
      <c r="DG66" s="1262">
        <f t="shared" si="118"/>
        <v>1326.7999999999993</v>
      </c>
      <c r="DH66" s="1262">
        <f t="shared" si="118"/>
        <v>351.79999999999927</v>
      </c>
      <c r="DI66" s="1262">
        <f t="shared" si="118"/>
        <v>1564.7999999999993</v>
      </c>
      <c r="DJ66" s="1264">
        <f t="shared" si="118"/>
        <v>2355.7999999999993</v>
      </c>
      <c r="DK66" s="1262">
        <f t="shared" ref="DK66:DT66" si="119">DK65-DK64</f>
        <v>1564.7999999999993</v>
      </c>
      <c r="DL66" s="1262">
        <f t="shared" si="119"/>
        <v>1564.8000000000029</v>
      </c>
      <c r="DM66" s="1262">
        <f t="shared" si="119"/>
        <v>1564.8000000000029</v>
      </c>
      <c r="DN66" s="1262">
        <f t="shared" si="119"/>
        <v>1564.8000000000029</v>
      </c>
      <c r="DO66" s="1264">
        <f t="shared" si="119"/>
        <v>2355.8000000000029</v>
      </c>
      <c r="DP66" s="1262">
        <f t="shared" si="119"/>
        <v>1564.8000000000029</v>
      </c>
      <c r="DQ66" s="1262">
        <f t="shared" si="119"/>
        <v>2644.8000000000029</v>
      </c>
      <c r="DR66" s="1262">
        <f t="shared" si="119"/>
        <v>2644.8000000000029</v>
      </c>
      <c r="DS66" s="1262">
        <f t="shared" si="119"/>
        <v>2644.8000000000029</v>
      </c>
      <c r="DT66" s="1264">
        <f t="shared" si="119"/>
        <v>3435.8000000000029</v>
      </c>
      <c r="DU66" s="1262">
        <f t="shared" ref="DU66:DY66" si="120">DU65-DU64</f>
        <v>2644.8000000000029</v>
      </c>
      <c r="DV66" s="1262">
        <f t="shared" si="120"/>
        <v>3724.8000000000029</v>
      </c>
      <c r="DW66" s="1262">
        <f t="shared" si="120"/>
        <v>3724.8000000000029</v>
      </c>
      <c r="DX66" s="1262">
        <f t="shared" si="120"/>
        <v>3724.8000000000029</v>
      </c>
      <c r="DY66" s="1264">
        <f t="shared" si="120"/>
        <v>4515.8000000000029</v>
      </c>
    </row>
    <row r="67" spans="1:129" outlineLevel="1" x14ac:dyDescent="0.2">
      <c r="A67" s="1223"/>
      <c r="B67" s="1265" t="s">
        <v>1137</v>
      </c>
      <c r="C67" s="1200" t="e">
        <f>C62/IS!C15</f>
        <v>#DIV/0!</v>
      </c>
      <c r="D67" s="1224" t="e">
        <f>D62/IS!D15</f>
        <v>#DIV/0!</v>
      </c>
      <c r="E67" s="1224">
        <f>E62/IS!E15</f>
        <v>0</v>
      </c>
      <c r="F67" s="1224">
        <f>F62/IS!F15</f>
        <v>0</v>
      </c>
      <c r="G67" s="1224">
        <f>G62/IS!G15</f>
        <v>0</v>
      </c>
      <c r="H67" s="1224">
        <f>H62/IS!H15</f>
        <v>0</v>
      </c>
      <c r="I67" s="1224">
        <f>I62/IS!I15</f>
        <v>0</v>
      </c>
      <c r="J67" s="1224">
        <f>J62/IS!J15</f>
        <v>0</v>
      </c>
      <c r="K67" s="1224">
        <f>K62/IS!K15</f>
        <v>0</v>
      </c>
      <c r="L67" s="1224">
        <f>L62/IS!L15</f>
        <v>0</v>
      </c>
      <c r="M67" s="1224">
        <f>M62/IS!M15</f>
        <v>0</v>
      </c>
      <c r="N67" s="1224">
        <f>N62/IS!N15</f>
        <v>0</v>
      </c>
      <c r="O67" s="1224">
        <f>O62/IS!O15</f>
        <v>0</v>
      </c>
      <c r="P67" s="1224">
        <f>P62/IS!P15</f>
        <v>0</v>
      </c>
      <c r="Q67" s="1224">
        <f>Q62/IS!Q15</f>
        <v>0</v>
      </c>
      <c r="R67" s="1224">
        <f>R62/IS!R15</f>
        <v>0</v>
      </c>
      <c r="S67" s="1224">
        <f>S62/IS!S15</f>
        <v>0</v>
      </c>
      <c r="T67" s="1224">
        <f>T62/IS!T15</f>
        <v>0</v>
      </c>
      <c r="U67" s="1224">
        <f>U62/IS!U15</f>
        <v>0</v>
      </c>
      <c r="V67" s="1224">
        <f>V62/IS!V15</f>
        <v>0</v>
      </c>
      <c r="W67" s="1224">
        <f>W62/IS!W15</f>
        <v>0</v>
      </c>
      <c r="X67" s="1266">
        <f>(X63+X65)/IS!X15</f>
        <v>0</v>
      </c>
      <c r="Y67" s="1265">
        <f>(Y63+Y65)/IS!Y15/4</f>
        <v>0</v>
      </c>
      <c r="Z67" s="1265">
        <f>(Z63+Z65)/IS!Z15/4</f>
        <v>0</v>
      </c>
      <c r="AA67" s="1265">
        <f>(AA63+AA65)/IS!AA15/4</f>
        <v>0</v>
      </c>
      <c r="AB67" s="1265">
        <f>(AB63+AB65)/IS!AB15/4</f>
        <v>0</v>
      </c>
      <c r="AC67" s="1266">
        <f>(AC63+AC65)/IS!AC15</f>
        <v>0</v>
      </c>
      <c r="AD67" s="1265">
        <f>(AD63+AD65)/IS!AD15/4</f>
        <v>0</v>
      </c>
      <c r="AE67" s="1265">
        <f>(AE63+AE65)/IS!AE15/4</f>
        <v>0</v>
      </c>
      <c r="AF67" s="1265">
        <f>(AF63+AF65)/IS!AF15/4</f>
        <v>0</v>
      </c>
      <c r="AG67" s="1265">
        <f>(AG63+AG65)/IS!AG15/4</f>
        <v>0</v>
      </c>
      <c r="AH67" s="1266">
        <f>(AH63+AH65)/IS!AH15</f>
        <v>0</v>
      </c>
      <c r="AI67" s="1265">
        <f>(AI63+AI65)/IS!AI15/4</f>
        <v>0</v>
      </c>
      <c r="AJ67" s="1265">
        <f>(AJ63+AJ65)/IS!AJ15/4</f>
        <v>0</v>
      </c>
      <c r="AK67" s="1265">
        <f>(AK63+AK65)/IS!AK15/4</f>
        <v>0</v>
      </c>
      <c r="AL67" s="1265">
        <f>(AL63+AL65)/IS!AL15/4</f>
        <v>0</v>
      </c>
      <c r="AM67" s="1266">
        <f>(AM63+AM65)/IS!AM15</f>
        <v>0</v>
      </c>
      <c r="AN67" s="1265">
        <f>(AN63+AN65)/IS!AN15/4</f>
        <v>0</v>
      </c>
      <c r="AO67" s="1265">
        <f>(AO63+AO65)/IS!AO15/4</f>
        <v>0</v>
      </c>
      <c r="AP67" s="1265">
        <f>(AP63+AP65)/IS!AP15/4</f>
        <v>0</v>
      </c>
      <c r="AQ67" s="1265">
        <f>(AQ63+AQ65)/IS!AQ15/4</f>
        <v>0</v>
      </c>
      <c r="AR67" s="1266">
        <f>(AR63+AR65)/IS!AR15</f>
        <v>0.60969806831699858</v>
      </c>
      <c r="AS67" s="1265">
        <f>(AS63+AS65)/IS!AS15/4</f>
        <v>0</v>
      </c>
      <c r="AT67" s="1265">
        <f>(AT63+AT65)/IS!AT15/4</f>
        <v>0</v>
      </c>
      <c r="AU67" s="1265">
        <f>(AU63+AU65)/IS!AU15/4</f>
        <v>0</v>
      </c>
      <c r="AV67" s="1265">
        <f>(AV63+AV65)/IS!AV15/4</f>
        <v>0</v>
      </c>
      <c r="AW67" s="1265">
        <f>(AW63+AW65)/IS!AW15</f>
        <v>1.4563668972585193</v>
      </c>
      <c r="AX67" s="1265">
        <f>(AX63+AX65)/IS!AX15/4</f>
        <v>0</v>
      </c>
      <c r="AY67" s="1265">
        <f>(AY63+AY65)/IS!AY15/4</f>
        <v>0</v>
      </c>
      <c r="AZ67" s="1265">
        <f>(AZ63+AZ65)/IS!AZ15/4</f>
        <v>0</v>
      </c>
      <c r="BA67" s="1265">
        <f>(BA63+BA65)/IS!BA15/4</f>
        <v>0</v>
      </c>
      <c r="BB67" s="1265">
        <f>(BB63+BB65)/IS!BB15</f>
        <v>0.83918577014490359</v>
      </c>
      <c r="BC67" s="1265">
        <f>(BC63+BC65)/IS!BC15/4</f>
        <v>0.74839519955344691</v>
      </c>
      <c r="BD67" s="1265">
        <f>(BD63+BD65)/IS!BD15/4</f>
        <v>2.0130265010882105</v>
      </c>
      <c r="BE67" s="1265">
        <f>(BE63+BE65)/IS!BE15/4</f>
        <v>2.2150320994399646</v>
      </c>
      <c r="BF67" s="1265">
        <f>(BF63+BF65)/IS!BF15/4</f>
        <v>1.3271229138238698</v>
      </c>
      <c r="BG67" s="1265">
        <f>(BG63+BG65)/IS!BG15</f>
        <v>1.6749685367953895</v>
      </c>
      <c r="BH67" s="1265">
        <f>(BH63+BH65)/IS!BH15/4</f>
        <v>1.801417689377909</v>
      </c>
      <c r="BI67" s="1265">
        <f>(BI63+BI65)/IS!BI15/4</f>
        <v>1.4519872666584217</v>
      </c>
      <c r="BJ67" s="1265">
        <f>(BJ63+BJ65)/IS!BJ15/4</f>
        <v>1.4560338250254317</v>
      </c>
      <c r="BK67" s="1265">
        <f>(BK63+BK65)/IS!BK15/4</f>
        <v>1.4957049086758001</v>
      </c>
      <c r="BL67" s="1265">
        <f>(BL63+BL65)/IS!BL15</f>
        <v>1.7802442296914018</v>
      </c>
      <c r="BM67" s="1265">
        <f>(BM63+BM65)/IS!BM15/4</f>
        <v>1.4583383251467597</v>
      </c>
      <c r="BN67" s="1265">
        <f>(BN63+BN65)/IS!BN15/4</f>
        <v>1.3108327274760885</v>
      </c>
      <c r="BO67" s="1265">
        <f>(BO63+BO65)/IS!BO15/4</f>
        <v>1.3683670024196735</v>
      </c>
      <c r="BP67" s="1265">
        <f>(BP63+BP65)/IS!BP15/4</f>
        <v>1.408883881484321</v>
      </c>
      <c r="BQ67" s="1265">
        <f>(BQ63+BQ65)/IS!BQ15</f>
        <v>1.6057319272170933</v>
      </c>
      <c r="BR67" s="1265">
        <f>(BR63+BR65)/IS!BR15/4</f>
        <v>1.6070128819825542</v>
      </c>
      <c r="BS67" s="1265">
        <f>(BS63+BS65)/IS!BS15/4</f>
        <v>1.392058927400234</v>
      </c>
      <c r="BT67" s="1265">
        <f>(BT63+BT65)/IS!BT15/4</f>
        <v>1.6021996570571211</v>
      </c>
      <c r="BU67" s="1265">
        <f>(BU63+BU65)/IS!BU15/4</f>
        <v>1.2428266381956485</v>
      </c>
      <c r="BV67" s="1265">
        <f>(BV63+BV65)/IS!BV15</f>
        <v>1.4276953738837168</v>
      </c>
      <c r="BW67" s="1265">
        <f>(BW63+BW65)/IS!BW15/4</f>
        <v>1.6081730769230769</v>
      </c>
      <c r="BX67" s="1265">
        <f>(BX63+BX65)/IS!BX15/4</f>
        <v>1.5999197431781702</v>
      </c>
      <c r="BY67" s="1265">
        <f>(BY63+BY65)/IS!BY15/4</f>
        <v>1.5022923408845739</v>
      </c>
      <c r="BZ67" s="1265">
        <f>(BZ63+BZ65)/IS!BZ15/4</f>
        <v>1.1732384507699487</v>
      </c>
      <c r="CA67" s="1265">
        <f>(CA63+CA65)/IS!CA15</f>
        <v>1.3173958606235263</v>
      </c>
      <c r="CB67" s="1265">
        <f>CB62/IS!CB15/4</f>
        <v>1.4502967359050445</v>
      </c>
      <c r="CC67" s="1265">
        <f>CC62/IS!CC15/4</f>
        <v>1.4731525784157362</v>
      </c>
      <c r="CD67" s="1265">
        <f>CD62/IS!CD15/4</f>
        <v>1.352084379708689</v>
      </c>
      <c r="CE67" s="1265">
        <f>CE62/IS!CE15/4</f>
        <v>1.0640513430805842</v>
      </c>
      <c r="CF67" s="1265">
        <f>CF62/IS!CF15</f>
        <v>1.2660244253963446</v>
      </c>
      <c r="CG67" s="1265">
        <f>CG62/IS!CG15/4</f>
        <v>1.2603995621237001</v>
      </c>
      <c r="CH67" s="1265">
        <f>CH62/IS!CH15/4</f>
        <v>1.1003179501566369</v>
      </c>
      <c r="CI67" s="1265">
        <f>CI62/IS!CI15/4</f>
        <v>1.1125516660572019</v>
      </c>
      <c r="CJ67" s="1265">
        <f>CJ62/IS!CJ15/4</f>
        <v>0.92027041722550484</v>
      </c>
      <c r="CK67" s="1265">
        <f>CK62/IS!CK15</f>
        <v>1.1307865118493146</v>
      </c>
      <c r="CL67" s="1265">
        <f>CL62/IS!CL15/4</f>
        <v>1.1534529759200363</v>
      </c>
      <c r="CM67" s="1265">
        <f>CM62/IS!CM15/4</f>
        <v>1.0500682466807298</v>
      </c>
      <c r="CN67" s="1265">
        <f>CN62/IS!CN15/4</f>
        <v>0.99515895104072705</v>
      </c>
      <c r="CO67" s="1265">
        <f>CO62/IS!CO15/4</f>
        <v>1.2758955949442816</v>
      </c>
      <c r="CP67" s="1265">
        <f>CP62/IS!CP15</f>
        <v>1.386428281186509</v>
      </c>
      <c r="CQ67" s="1265">
        <f>CQ62/IS!CQ15/4</f>
        <v>1.3636545301946374</v>
      </c>
      <c r="CR67" s="1265">
        <f>CR62/IS!CR15/4</f>
        <v>1.2661421997921907</v>
      </c>
      <c r="CS67" s="1265">
        <f>CS62/IS!CS15/4</f>
        <v>1.1395938154173861</v>
      </c>
      <c r="CT67" s="1265">
        <f>CT62/IS!CT15/4</f>
        <v>1.1529221241457845</v>
      </c>
      <c r="CU67" s="1265">
        <f>CU62/IS!CU15</f>
        <v>1.2076164557197979</v>
      </c>
      <c r="CV67" s="1265">
        <f>CV62/IS!CV15/4</f>
        <v>1.239084842707338</v>
      </c>
      <c r="CW67" s="1265">
        <f>CW62/IS!CW15/4</f>
        <v>1.1318421531187506</v>
      </c>
      <c r="CX67" s="1265">
        <f>CX62/IS!CX15/4</f>
        <v>2.2947760433998154</v>
      </c>
      <c r="CY67" s="1265">
        <f>CY62/IS!CY15/4</f>
        <v>1.9821458241694001</v>
      </c>
      <c r="CZ67" s="1265">
        <f>CZ62/IS!CZ15</f>
        <v>2.3178784642205348</v>
      </c>
      <c r="DA67" s="1265">
        <f>DA62/IS!DA15/4</f>
        <v>2.4083108131821862</v>
      </c>
      <c r="DB67" s="1265">
        <f>DB62/IS!DB15/4</f>
        <v>2.1702278031622897</v>
      </c>
      <c r="DC67" s="1265">
        <f>DC62/IS!DC15/4</f>
        <v>1.8239258876842783</v>
      </c>
      <c r="DD67" s="1265">
        <f>DD62/IS!DD15/4</f>
        <v>1.6931771419165464</v>
      </c>
      <c r="DE67" s="1265">
        <f>DE62/IS!DE15</f>
        <v>1.8924987138238982</v>
      </c>
      <c r="DF67" s="1265">
        <f>DF62/IS!DF15/4</f>
        <v>2.421760158421876</v>
      </c>
      <c r="DG67" s="1265">
        <f>DG62/IS!DG15/4</f>
        <v>2.1999787461046765</v>
      </c>
      <c r="DH67" s="1265">
        <f>DH62/IS!DH15/4</f>
        <v>2.0348172101381725</v>
      </c>
      <c r="DI67" s="1265">
        <f>DI62/IS!DI15/4</f>
        <v>1.6632765884495517</v>
      </c>
      <c r="DJ67" s="1265">
        <f>DJ62/IS!DJ15</f>
        <v>1.9772132814053061</v>
      </c>
      <c r="DK67" s="1265">
        <f ca="1">DK62/IS!DK15/4</f>
        <v>2.3333864618645404</v>
      </c>
      <c r="DL67" s="1265">
        <f ca="1">DL62/IS!DL15/4</f>
        <v>5.3219235984405149</v>
      </c>
      <c r="DM67" s="1265">
        <f ca="1">DM62/IS!DM15/4</f>
        <v>5.0688190043451087</v>
      </c>
      <c r="DN67" s="1265">
        <f ca="1">DN62/IS!DN15/4</f>
        <v>4.3958410535059302</v>
      </c>
      <c r="DO67" s="1265">
        <f ca="1">DO62/IS!DO15</f>
        <v>5.0409446399622917</v>
      </c>
      <c r="DP67" s="1265">
        <f ca="1">DP62/IS!DP15/4</f>
        <v>5.6749613708984983</v>
      </c>
      <c r="DQ67" s="1265">
        <f ca="1">DQ62/IS!DQ15/4</f>
        <v>5.1159950722091958</v>
      </c>
      <c r="DR67" s="1265">
        <f ca="1">DR62/IS!DR15/4</f>
        <v>4.8593036770994713</v>
      </c>
      <c r="DS67" s="1265">
        <f ca="1">DS62/IS!DS15/4</f>
        <v>4.2215191656819497</v>
      </c>
      <c r="DT67" s="1265">
        <f ca="1">DT62/IS!DT15</f>
        <v>4.8318854497369657</v>
      </c>
      <c r="DU67" s="1265">
        <f ca="1">DU62/IS!DU15/4</f>
        <v>5.4130004991978007</v>
      </c>
      <c r="DV67" s="1265">
        <f ca="1">DV62/IS!DV15/4</f>
        <v>4.8623845754697639</v>
      </c>
      <c r="DW67" s="1265">
        <f ca="1">DW62/IS!DW15/4</f>
        <v>4.6068424239730819</v>
      </c>
      <c r="DX67" s="1265">
        <f ca="1">DX62/IS!DX15/4</f>
        <v>4.0149916877264609</v>
      </c>
      <c r="DY67" s="1265">
        <f ca="1">DY62/IS!DY15</f>
        <v>4.5926371680074816</v>
      </c>
    </row>
    <row r="68" spans="1:129" x14ac:dyDescent="0.2">
      <c r="A68" s="1240"/>
      <c r="B68" s="1240"/>
      <c r="C68" s="1214"/>
      <c r="D68" s="1214"/>
      <c r="E68" s="1214"/>
      <c r="F68" s="1214"/>
      <c r="G68" s="1214"/>
      <c r="H68" s="1214"/>
      <c r="I68" s="1214"/>
      <c r="J68" s="1214"/>
      <c r="K68" s="1214"/>
      <c r="L68" s="1214"/>
      <c r="M68" s="1214"/>
      <c r="N68" s="1214"/>
      <c r="O68" s="1214"/>
      <c r="P68" s="1214"/>
      <c r="Q68" s="1214"/>
      <c r="R68" s="1214"/>
      <c r="S68" s="1214"/>
      <c r="T68" s="1214"/>
      <c r="U68" s="1214"/>
      <c r="V68" s="1214"/>
      <c r="W68" s="1214"/>
      <c r="X68" s="1214"/>
      <c r="Y68" s="1214"/>
      <c r="Z68" s="1214"/>
      <c r="AA68" s="1214"/>
      <c r="AB68" s="1214"/>
      <c r="AC68" s="1214"/>
      <c r="AD68" s="1214"/>
      <c r="AE68" s="1214"/>
      <c r="AF68" s="1214"/>
      <c r="AG68" s="1214"/>
      <c r="AH68" s="1214"/>
      <c r="AI68" s="1214"/>
      <c r="AJ68" s="1214"/>
      <c r="AK68" s="1214"/>
      <c r="AL68" s="1214"/>
      <c r="AM68" s="1214"/>
      <c r="AN68" s="1214"/>
      <c r="AO68" s="1214"/>
      <c r="AP68" s="1214"/>
      <c r="AQ68" s="1215"/>
      <c r="AR68" s="1215"/>
      <c r="AS68" s="1215"/>
      <c r="AT68" s="1215"/>
      <c r="AU68" s="1215"/>
      <c r="AV68" s="1215"/>
      <c r="AW68" s="1215"/>
      <c r="AX68" s="1215"/>
      <c r="AY68" s="1215"/>
      <c r="AZ68" s="1215"/>
      <c r="BA68" s="1215"/>
      <c r="BB68" s="1215"/>
      <c r="BC68" s="1215"/>
      <c r="BD68" s="1215"/>
      <c r="BE68" s="1215"/>
      <c r="BF68" s="1215"/>
      <c r="BG68" s="1215"/>
      <c r="BH68" s="1215"/>
      <c r="BI68" s="1215"/>
      <c r="BJ68" s="1215"/>
      <c r="BK68" s="1215"/>
      <c r="BL68" s="1215"/>
      <c r="BM68" s="1215"/>
      <c r="BN68" s="1215"/>
      <c r="BO68" s="1215"/>
      <c r="BP68" s="1215"/>
      <c r="BQ68" s="1215"/>
      <c r="BR68" s="1215"/>
      <c r="BS68" s="1215"/>
      <c r="BT68" s="1215"/>
      <c r="BU68" s="1215"/>
      <c r="BV68" s="1215"/>
      <c r="BW68" s="1215"/>
      <c r="BX68" s="1215"/>
      <c r="BY68" s="1215"/>
      <c r="BZ68" s="1215"/>
      <c r="CA68" s="1215"/>
      <c r="CB68" s="1215"/>
      <c r="CC68" s="1215"/>
      <c r="CD68" s="1215"/>
      <c r="CE68" s="1215"/>
      <c r="CF68" s="1215"/>
      <c r="CG68" s="1215"/>
      <c r="CH68" s="1215"/>
      <c r="CI68" s="1215"/>
      <c r="CJ68" s="1215"/>
      <c r="CK68" s="1215"/>
      <c r="CL68" s="1215"/>
      <c r="CM68" s="1215"/>
      <c r="CN68" s="1215"/>
      <c r="CO68" s="1215"/>
      <c r="CP68" s="1215"/>
      <c r="CQ68" s="1215"/>
      <c r="CR68" s="1215"/>
      <c r="CS68" s="1215"/>
      <c r="CT68" s="1215"/>
      <c r="CU68" s="1215"/>
      <c r="CV68" s="1215"/>
      <c r="CW68" s="1215"/>
      <c r="CX68" s="1215"/>
      <c r="CY68" s="1215"/>
      <c r="CZ68" s="1215"/>
      <c r="DA68" s="1215"/>
      <c r="DB68" s="1215"/>
      <c r="DC68" s="1215"/>
      <c r="DD68" s="1215"/>
      <c r="DE68" s="1215"/>
      <c r="DF68" s="1215"/>
      <c r="DG68" s="1215"/>
      <c r="DH68" s="1215"/>
      <c r="DI68" s="1215"/>
      <c r="DJ68" s="1215"/>
      <c r="DK68" s="1215"/>
      <c r="DL68" s="1215"/>
      <c r="DM68" s="1215"/>
      <c r="DN68" s="1215"/>
      <c r="DO68" s="1215"/>
      <c r="DP68" s="1215"/>
      <c r="DQ68" s="1215"/>
      <c r="DR68" s="1215"/>
      <c r="DS68" s="1215"/>
      <c r="DT68" s="1215"/>
      <c r="DU68" s="1215"/>
      <c r="DV68" s="1215"/>
      <c r="DW68" s="1215"/>
      <c r="DX68" s="1215"/>
      <c r="DY68" s="1215"/>
    </row>
    <row r="69" spans="1:129" ht="12" thickBot="1" x14ac:dyDescent="0.25">
      <c r="A69" s="1240"/>
      <c r="B69" s="1240"/>
      <c r="C69" s="1240"/>
      <c r="D69" s="1240"/>
      <c r="E69" s="1240"/>
      <c r="F69" s="1240"/>
      <c r="G69" s="1240"/>
      <c r="H69" s="1240"/>
      <c r="I69" s="1240"/>
      <c r="J69" s="1240"/>
      <c r="K69" s="1240"/>
      <c r="L69" s="1240"/>
      <c r="M69" s="1240"/>
      <c r="N69" s="1240"/>
      <c r="O69" s="1240"/>
      <c r="P69" s="1240"/>
      <c r="Q69" s="1240"/>
      <c r="R69" s="1240"/>
      <c r="S69" s="1240"/>
      <c r="T69" s="1240"/>
      <c r="U69" s="1240"/>
      <c r="V69" s="1240"/>
      <c r="W69" s="1240"/>
      <c r="X69" s="1240"/>
      <c r="Y69" s="1240"/>
      <c r="Z69" s="1240"/>
      <c r="AA69" s="1240"/>
      <c r="AB69" s="1240"/>
      <c r="AC69" s="1240"/>
      <c r="AD69" s="1240"/>
      <c r="AE69" s="1240"/>
      <c r="AF69" s="1240"/>
      <c r="AG69" s="1240"/>
      <c r="AH69" s="1240"/>
      <c r="AI69" s="1240"/>
      <c r="AJ69" s="1240"/>
      <c r="AK69" s="1240"/>
      <c r="AL69" s="1240"/>
      <c r="AM69" s="1240"/>
      <c r="AN69" s="1240"/>
      <c r="AO69" s="1240"/>
      <c r="AP69" s="1240"/>
      <c r="AQ69" s="1240"/>
      <c r="AR69" s="1240"/>
      <c r="AS69" s="1240"/>
      <c r="AT69" s="1240"/>
      <c r="AU69" s="1240"/>
      <c r="AV69" s="1240"/>
      <c r="AW69" s="1240"/>
      <c r="AX69" s="1240"/>
      <c r="AY69" s="1240"/>
      <c r="AZ69" s="1240"/>
      <c r="BA69" s="1240"/>
      <c r="BB69" s="1240"/>
      <c r="BC69" s="1240"/>
      <c r="BD69" s="1240"/>
      <c r="BE69" s="1240"/>
      <c r="BF69" s="1240"/>
      <c r="BG69" s="1240"/>
      <c r="BH69" s="1240"/>
      <c r="BI69" s="1240"/>
      <c r="BJ69" s="1240"/>
      <c r="BK69" s="1240"/>
      <c r="BL69" s="1240"/>
      <c r="BM69" s="1240"/>
      <c r="BN69" s="1240"/>
      <c r="BO69" s="1240"/>
      <c r="BP69" s="1240"/>
      <c r="BQ69" s="1240"/>
      <c r="BR69" s="1240"/>
      <c r="BS69" s="1240"/>
      <c r="BT69" s="1240"/>
      <c r="BU69" s="1240"/>
      <c r="BV69" s="1240"/>
      <c r="BW69" s="1240"/>
      <c r="BX69" s="1240"/>
      <c r="BY69" s="1240"/>
      <c r="BZ69" s="1240"/>
      <c r="CA69" s="1240"/>
      <c r="CB69" s="1240"/>
      <c r="CC69" s="1240"/>
      <c r="CD69" s="1240"/>
      <c r="CE69" s="1240"/>
      <c r="CF69" s="1240"/>
      <c r="CG69" s="1240"/>
      <c r="CH69" s="1240"/>
      <c r="CI69" s="1240"/>
      <c r="CJ69" s="1240"/>
      <c r="CK69" s="1240"/>
      <c r="CL69" s="1240"/>
      <c r="CM69" s="1240"/>
      <c r="CN69" s="1240"/>
      <c r="CO69" s="1240"/>
      <c r="CP69" s="1240"/>
      <c r="CQ69" s="1240"/>
      <c r="CR69" s="1240"/>
      <c r="CS69" s="1240"/>
      <c r="CT69" s="1240"/>
      <c r="CU69" s="1240"/>
      <c r="CV69" s="1240"/>
      <c r="CW69" s="1240"/>
      <c r="CX69" s="1240"/>
      <c r="CY69" s="1240"/>
      <c r="CZ69" s="1240"/>
      <c r="DA69" s="1240"/>
      <c r="DB69" s="1240"/>
      <c r="DC69" s="1240"/>
      <c r="DD69" s="1240"/>
      <c r="DE69" s="1240"/>
      <c r="DF69" s="1240"/>
      <c r="DG69" s="1240"/>
      <c r="DH69" s="1240"/>
      <c r="DI69" s="1240"/>
      <c r="DJ69" s="1240"/>
      <c r="DK69" s="1240"/>
      <c r="DL69" s="1240"/>
      <c r="DM69" s="1240"/>
      <c r="DN69" s="1240"/>
      <c r="DO69" s="1240"/>
      <c r="DP69" s="1240"/>
      <c r="DQ69" s="1240"/>
      <c r="DR69" s="1240"/>
      <c r="DS69" s="1240"/>
      <c r="DT69" s="1240"/>
      <c r="DU69" s="1240"/>
      <c r="DV69" s="1240"/>
      <c r="DW69" s="1240"/>
      <c r="DX69" s="1240"/>
      <c r="DY69" s="1240"/>
    </row>
    <row r="70" spans="1:129" ht="13.5" thickBot="1" x14ac:dyDescent="0.25">
      <c r="A70" s="1207"/>
      <c r="B70" s="1267" t="s">
        <v>1138</v>
      </c>
      <c r="C70" s="1243"/>
      <c r="D70" s="1244"/>
      <c r="E70" s="1244"/>
      <c r="F70" s="1244"/>
      <c r="G70" s="1244"/>
      <c r="H70" s="1244"/>
      <c r="I70" s="1244"/>
      <c r="J70" s="1244"/>
      <c r="K70" s="1244"/>
      <c r="L70" s="1244"/>
      <c r="M70" s="1244"/>
      <c r="N70" s="1244"/>
      <c r="O70" s="1244"/>
      <c r="P70" s="1244"/>
      <c r="Q70" s="1244"/>
      <c r="R70" s="1244"/>
      <c r="S70" s="1244"/>
      <c r="T70" s="1244"/>
      <c r="U70" s="1244"/>
      <c r="V70" s="1244"/>
      <c r="W70" s="1244"/>
      <c r="X70" s="1243"/>
      <c r="Y70" s="1243"/>
      <c r="Z70" s="1243"/>
      <c r="AA70" s="1243"/>
      <c r="AB70" s="1243"/>
      <c r="AC70" s="1243"/>
      <c r="AD70" s="1243"/>
      <c r="AE70" s="1243"/>
      <c r="AF70" s="1243"/>
      <c r="AG70" s="1243"/>
      <c r="AH70" s="1243"/>
      <c r="AI70" s="1243"/>
      <c r="AJ70" s="1243"/>
      <c r="AK70" s="1243"/>
      <c r="AL70" s="1243"/>
      <c r="AM70" s="1243"/>
      <c r="AN70" s="1243"/>
      <c r="AO70" s="1243"/>
      <c r="AP70" s="1243"/>
      <c r="AQ70" s="1245"/>
      <c r="AR70" s="1245"/>
      <c r="AS70" s="1245"/>
      <c r="AT70" s="1245"/>
      <c r="AU70" s="1245"/>
      <c r="AV70" s="1268"/>
      <c r="AW70" s="1268"/>
      <c r="AX70" s="1268"/>
      <c r="AY70" s="1268"/>
      <c r="AZ70" s="1268"/>
      <c r="BA70" s="1268"/>
      <c r="BB70" s="1268"/>
      <c r="BC70" s="1268"/>
      <c r="BD70" s="1268"/>
      <c r="BE70" s="1268"/>
      <c r="BF70" s="1268"/>
      <c r="BG70" s="1268"/>
      <c r="BH70" s="1268"/>
      <c r="BI70" s="1268"/>
      <c r="BJ70" s="1268"/>
      <c r="BK70" s="1268"/>
      <c r="BL70" s="1269"/>
      <c r="BM70" s="1268"/>
      <c r="BN70" s="1268"/>
      <c r="BO70" s="1268"/>
      <c r="BP70" s="1268"/>
      <c r="BQ70" s="1269"/>
      <c r="BR70" s="1268"/>
      <c r="BS70" s="1268"/>
      <c r="BT70" s="1268"/>
      <c r="BU70" s="1268"/>
      <c r="BV70" s="1269"/>
      <c r="BW70" s="1268"/>
      <c r="BX70" s="1268"/>
      <c r="BY70" s="1268"/>
      <c r="BZ70" s="1268"/>
      <c r="CA70" s="1269"/>
      <c r="CB70" s="1268"/>
      <c r="CC70" s="1268"/>
      <c r="CD70" s="1268"/>
      <c r="CE70" s="1268"/>
      <c r="CF70" s="1269"/>
      <c r="CG70" s="1268"/>
      <c r="CH70" s="1268"/>
      <c r="CI70" s="1268"/>
      <c r="CJ70" s="1268"/>
      <c r="CK70" s="1269"/>
      <c r="CL70" s="1268"/>
      <c r="CM70" s="1268"/>
      <c r="CN70" s="1268"/>
      <c r="CO70" s="1268"/>
      <c r="CP70" s="1269"/>
      <c r="CQ70" s="1268"/>
      <c r="CR70" s="1268"/>
      <c r="CS70" s="1268"/>
      <c r="CT70" s="1268"/>
      <c r="CU70" s="1269"/>
      <c r="CV70" s="1268"/>
      <c r="CW70" s="1268"/>
      <c r="CX70" s="1268"/>
      <c r="CY70" s="1268"/>
      <c r="CZ70" s="1269"/>
      <c r="DA70" s="1268"/>
      <c r="DB70" s="1268"/>
      <c r="DC70" s="1268"/>
      <c r="DD70" s="1268"/>
      <c r="DE70" s="1269"/>
      <c r="DF70" s="1268"/>
      <c r="DG70" s="1268"/>
      <c r="DH70" s="1268"/>
      <c r="DI70" s="1268"/>
      <c r="DJ70" s="1269"/>
      <c r="DK70" s="1268"/>
      <c r="DL70" s="1268"/>
      <c r="DM70" s="1268"/>
      <c r="DN70" s="1268"/>
      <c r="DO70" s="1269"/>
      <c r="DP70" s="1268"/>
      <c r="DQ70" s="1268"/>
      <c r="DR70" s="1268"/>
      <c r="DS70" s="1268"/>
      <c r="DT70" s="1269"/>
      <c r="DU70" s="1268"/>
      <c r="DV70" s="1268"/>
      <c r="DW70" s="1268"/>
      <c r="DX70" s="1268"/>
      <c r="DY70" s="1269"/>
    </row>
    <row r="71" spans="1:129" ht="12" outlineLevel="1" thickBot="1" x14ac:dyDescent="0.25">
      <c r="A71" s="1123"/>
      <c r="B71" s="1270" t="s">
        <v>1139</v>
      </c>
      <c r="C71" s="1271"/>
      <c r="D71" s="1271"/>
      <c r="E71" s="1271"/>
      <c r="F71" s="1271"/>
      <c r="G71" s="1271"/>
      <c r="H71" s="1271"/>
      <c r="I71" s="1271"/>
      <c r="J71" s="1271"/>
      <c r="K71" s="1271"/>
      <c r="L71" s="1271"/>
      <c r="M71" s="1271"/>
      <c r="N71" s="1271"/>
      <c r="O71" s="1271"/>
      <c r="P71" s="1271"/>
      <c r="Q71" s="1271"/>
      <c r="R71" s="1271"/>
      <c r="S71" s="1271"/>
      <c r="T71" s="1271"/>
      <c r="U71" s="1271"/>
      <c r="V71" s="1271"/>
      <c r="W71" s="1271"/>
      <c r="X71" s="1272"/>
      <c r="Y71" s="1273"/>
      <c r="Z71" s="1273"/>
      <c r="AA71" s="1273"/>
      <c r="AB71" s="1273"/>
      <c r="AC71" s="1272"/>
      <c r="AD71" s="1273"/>
      <c r="AE71" s="1273"/>
      <c r="AF71" s="1273"/>
      <c r="AG71" s="1273"/>
      <c r="AH71" s="1274"/>
      <c r="AI71" s="1273"/>
      <c r="AJ71" s="1273"/>
      <c r="AK71" s="1273"/>
      <c r="AL71" s="1273"/>
      <c r="AM71" s="1274"/>
      <c r="AN71" s="1273"/>
      <c r="AO71" s="1273"/>
      <c r="AP71" s="1273"/>
      <c r="AQ71" s="1273"/>
      <c r="AR71" s="1274"/>
      <c r="AS71" s="1273"/>
      <c r="AT71" s="1273"/>
      <c r="AU71" s="1273"/>
      <c r="AV71" s="1273"/>
      <c r="AW71" s="1274"/>
      <c r="AX71" s="1273"/>
      <c r="AY71" s="1273"/>
      <c r="AZ71" s="1273"/>
      <c r="BA71" s="1273"/>
      <c r="BB71" s="1274"/>
      <c r="BC71" s="1273">
        <v>4.1799999999999997E-2</v>
      </c>
      <c r="BD71" s="1273">
        <f>BC71</f>
        <v>4.1799999999999997E-2</v>
      </c>
      <c r="BE71" s="1273">
        <f>BD71</f>
        <v>4.1799999999999997E-2</v>
      </c>
      <c r="BF71" s="1273">
        <f>BE71</f>
        <v>4.1799999999999997E-2</v>
      </c>
      <c r="BG71" s="1274"/>
      <c r="BH71" s="1273">
        <v>4.2500000000000003E-2</v>
      </c>
      <c r="BI71" s="1273">
        <f>BH71</f>
        <v>4.2500000000000003E-2</v>
      </c>
      <c r="BJ71" s="1273">
        <v>5.5E-2</v>
      </c>
      <c r="BK71" s="1273">
        <v>0.05</v>
      </c>
      <c r="BL71" s="1275"/>
      <c r="BM71" s="1273">
        <v>3.5000000000000003E-2</v>
      </c>
      <c r="BN71" s="1273">
        <v>3.5000000000000003E-2</v>
      </c>
      <c r="BO71" s="1273">
        <v>3.15E-2</v>
      </c>
      <c r="BP71" s="1273">
        <v>4.0524999999999999E-2</v>
      </c>
      <c r="BQ71" s="1275"/>
      <c r="BR71" s="1273">
        <v>1.18438E-2</v>
      </c>
      <c r="BS71" s="1273">
        <v>1.01625E-2</v>
      </c>
      <c r="BT71" s="1273">
        <v>2.0505130769230769E-2</v>
      </c>
      <c r="BU71" s="1273">
        <v>5.1864510489510575E-3</v>
      </c>
      <c r="BV71" s="1275"/>
      <c r="BW71" s="1273">
        <v>1.0157903199999976E-2</v>
      </c>
      <c r="BX71" s="1273">
        <v>9.699645794392522E-3</v>
      </c>
      <c r="BY71" s="1273">
        <v>0.01</v>
      </c>
      <c r="BZ71" s="1273">
        <v>1.1461479591836727E-2</v>
      </c>
      <c r="CA71" s="1275"/>
      <c r="CB71" s="1276">
        <f>BZ71</f>
        <v>1.1461479591836727E-2</v>
      </c>
      <c r="CC71" s="1276">
        <f>2.19%-0.5%</f>
        <v>1.6899999999999998E-2</v>
      </c>
      <c r="CD71" s="1276">
        <f>CC71</f>
        <v>1.6899999999999998E-2</v>
      </c>
      <c r="CE71" s="1276">
        <f>CD71</f>
        <v>1.6899999999999998E-2</v>
      </c>
      <c r="CF71" s="1275"/>
      <c r="CG71" s="1273">
        <v>0.02</v>
      </c>
      <c r="CH71" s="1273">
        <v>0.02</v>
      </c>
      <c r="CI71" s="1273">
        <v>0.02</v>
      </c>
      <c r="CJ71" s="1273">
        <v>0.02</v>
      </c>
      <c r="CK71" s="1277"/>
      <c r="CL71" s="1278">
        <v>0.02</v>
      </c>
      <c r="CM71" s="1278">
        <v>0.02</v>
      </c>
      <c r="CN71" s="1278">
        <v>0.02</v>
      </c>
      <c r="CO71" s="1278">
        <v>0.02</v>
      </c>
      <c r="CP71" s="1277"/>
      <c r="CQ71" s="1278">
        <v>2.7358E-2</v>
      </c>
      <c r="CR71" s="1278">
        <v>2.9090000000000001E-2</v>
      </c>
      <c r="CS71" s="1278">
        <v>3.0956999999999998E-2</v>
      </c>
      <c r="CT71" s="1278">
        <v>3.2627000000000003E-2</v>
      </c>
      <c r="CU71" s="1277"/>
      <c r="CV71" s="1278">
        <v>3.4243999999999997E-2</v>
      </c>
      <c r="CW71" s="1278">
        <v>3.5829E-2</v>
      </c>
      <c r="CX71" s="1278">
        <v>3.5659999999999997E-2</v>
      </c>
      <c r="CY71" s="1278">
        <v>3.7031000000000001E-2</v>
      </c>
      <c r="CZ71" s="1277"/>
      <c r="DA71" s="1278">
        <v>3.4243999999999997E-2</v>
      </c>
      <c r="DB71" s="1278">
        <v>3.5829E-2</v>
      </c>
      <c r="DC71" s="1278">
        <v>3.5659999999999997E-2</v>
      </c>
      <c r="DD71" s="1278">
        <v>3.7031000000000001E-2</v>
      </c>
      <c r="DE71" s="1277"/>
      <c r="DF71" s="1278">
        <v>3.4243999999999997E-2</v>
      </c>
      <c r="DG71" s="1278">
        <v>3.5829E-2</v>
      </c>
      <c r="DH71" s="1278">
        <v>3.5659999999999997E-2</v>
      </c>
      <c r="DI71" s="1278">
        <v>3.7031000000000001E-2</v>
      </c>
      <c r="DJ71" s="1277"/>
      <c r="DK71" s="1278">
        <v>3.4243999999999997E-2</v>
      </c>
      <c r="DL71" s="1278">
        <v>3.5829E-2</v>
      </c>
      <c r="DM71" s="1278">
        <v>3.5659999999999997E-2</v>
      </c>
      <c r="DN71" s="1278">
        <v>3.7031000000000001E-2</v>
      </c>
      <c r="DO71" s="1277"/>
      <c r="DP71" s="1278">
        <v>3.4243999999999997E-2</v>
      </c>
      <c r="DQ71" s="1278">
        <v>3.5829E-2</v>
      </c>
      <c r="DR71" s="1278">
        <v>3.5659999999999997E-2</v>
      </c>
      <c r="DS71" s="1278">
        <v>3.7031000000000001E-2</v>
      </c>
      <c r="DT71" s="1277"/>
      <c r="DU71" s="1278">
        <v>3.4243999999999997E-2</v>
      </c>
      <c r="DV71" s="1278">
        <v>3.5829E-2</v>
      </c>
      <c r="DW71" s="1278">
        <v>3.5659999999999997E-2</v>
      </c>
      <c r="DX71" s="1278">
        <v>3.7031000000000001E-2</v>
      </c>
      <c r="DY71" s="1277"/>
    </row>
    <row r="72" spans="1:129" ht="12" outlineLevel="1" thickBot="1" x14ac:dyDescent="0.25">
      <c r="A72" s="1123"/>
      <c r="B72" s="1279"/>
      <c r="C72" s="1280"/>
      <c r="D72" s="1280"/>
      <c r="E72" s="1280"/>
      <c r="F72" s="1280"/>
      <c r="G72" s="1280"/>
      <c r="H72" s="1280"/>
      <c r="I72" s="1280"/>
      <c r="J72" s="1280"/>
      <c r="K72" s="1280"/>
      <c r="L72" s="1280"/>
      <c r="M72" s="1280"/>
      <c r="N72" s="1280"/>
      <c r="O72" s="1280"/>
      <c r="P72" s="1280"/>
      <c r="Q72" s="1280"/>
      <c r="R72" s="1280"/>
      <c r="S72" s="1280"/>
      <c r="T72" s="1280"/>
      <c r="U72" s="1280"/>
      <c r="V72" s="1280"/>
      <c r="W72" s="1280"/>
      <c r="X72" s="1280"/>
      <c r="Y72" s="1280"/>
      <c r="Z72" s="1280"/>
      <c r="AA72" s="1280"/>
      <c r="AB72" s="1280"/>
      <c r="AC72" s="1280"/>
      <c r="AD72" s="1280"/>
      <c r="AE72" s="1280"/>
      <c r="AF72" s="1280"/>
      <c r="AG72" s="1280"/>
      <c r="AH72" s="1280"/>
      <c r="AI72" s="1280"/>
      <c r="AJ72" s="1280"/>
      <c r="AK72" s="1280"/>
      <c r="AL72" s="1280"/>
      <c r="AM72" s="1280"/>
      <c r="AN72" s="1280"/>
      <c r="AO72" s="1280"/>
      <c r="AP72" s="1280"/>
      <c r="AQ72" s="1281"/>
      <c r="AR72" s="1281"/>
      <c r="AS72" s="1281"/>
      <c r="AT72" s="1281"/>
      <c r="AU72" s="1281"/>
      <c r="AV72" s="1281"/>
      <c r="AW72" s="1281"/>
      <c r="AX72" s="1281"/>
      <c r="AY72" s="1281"/>
      <c r="AZ72" s="1281"/>
      <c r="BA72" s="1281"/>
      <c r="BB72" s="1281"/>
      <c r="BC72" s="1281"/>
      <c r="BD72" s="1281"/>
      <c r="BE72" s="1281"/>
      <c r="BF72" s="1281"/>
      <c r="BG72" s="1281"/>
      <c r="BH72" s="1281"/>
      <c r="BI72" s="1281"/>
      <c r="BJ72" s="1281"/>
      <c r="BK72" s="1281"/>
      <c r="BL72" s="1281"/>
      <c r="BM72" s="1281"/>
      <c r="BN72" s="1281"/>
      <c r="BO72" s="1281"/>
      <c r="BP72" s="1281"/>
      <c r="BQ72" s="1281"/>
      <c r="BR72" s="1281"/>
      <c r="BS72" s="1281"/>
      <c r="BT72" s="1281"/>
      <c r="BU72" s="1281"/>
      <c r="BV72" s="1281"/>
      <c r="BW72" s="1281"/>
      <c r="BX72" s="1281"/>
      <c r="BY72" s="1281"/>
      <c r="BZ72" s="1281"/>
      <c r="CA72" s="1281"/>
      <c r="CB72" s="1281"/>
      <c r="CC72" s="1281"/>
      <c r="CD72" s="1281"/>
      <c r="CE72" s="1281"/>
      <c r="CF72" s="1281"/>
      <c r="CG72" s="1281"/>
      <c r="CH72" s="1281"/>
      <c r="CI72" s="1281"/>
      <c r="CJ72" s="1281"/>
      <c r="CK72" s="1281"/>
      <c r="CL72" s="1281"/>
      <c r="CM72" s="1281"/>
      <c r="CN72" s="1281"/>
      <c r="CO72" s="1281"/>
      <c r="CP72" s="1281"/>
      <c r="CQ72" s="1281"/>
      <c r="CR72" s="1281"/>
      <c r="CS72" s="1281"/>
      <c r="CT72" s="1281"/>
      <c r="CU72" s="1281"/>
      <c r="CV72" s="1281"/>
      <c r="CW72" s="1281"/>
      <c r="CX72" s="1281"/>
      <c r="CY72" s="1281"/>
      <c r="CZ72" s="1281"/>
      <c r="DA72" s="1281"/>
      <c r="DB72" s="1281"/>
      <c r="DC72" s="1281"/>
      <c r="DD72" s="1281"/>
      <c r="DE72" s="1281"/>
      <c r="DF72" s="1281"/>
      <c r="DG72" s="1281"/>
      <c r="DH72" s="1281"/>
      <c r="DI72" s="1281"/>
      <c r="DJ72" s="1281"/>
      <c r="DK72" s="1281"/>
      <c r="DL72" s="1281"/>
      <c r="DM72" s="1281"/>
      <c r="DN72" s="1281"/>
      <c r="DO72" s="1281"/>
      <c r="DP72" s="1281"/>
      <c r="DQ72" s="1281"/>
      <c r="DR72" s="1281"/>
      <c r="DS72" s="1281"/>
      <c r="DT72" s="1281"/>
      <c r="DU72" s="1281"/>
      <c r="DV72" s="1281"/>
      <c r="DW72" s="1281"/>
      <c r="DX72" s="1281"/>
      <c r="DY72" s="1281"/>
    </row>
    <row r="73" spans="1:129" ht="12" thickBot="1" x14ac:dyDescent="0.25">
      <c r="A73" s="1123"/>
      <c r="B73" s="1282" t="s">
        <v>1140</v>
      </c>
      <c r="C73" s="1283"/>
      <c r="D73" s="1284"/>
      <c r="E73" s="1284"/>
      <c r="F73" s="1284"/>
      <c r="G73" s="1284"/>
      <c r="H73" s="1284"/>
      <c r="I73" s="1284"/>
      <c r="J73" s="1284"/>
      <c r="K73" s="1284"/>
      <c r="L73" s="1284"/>
      <c r="M73" s="1284"/>
      <c r="N73" s="1284"/>
      <c r="O73" s="1284"/>
      <c r="P73" s="1284"/>
      <c r="Q73" s="1284"/>
      <c r="R73" s="1284"/>
      <c r="S73" s="1284"/>
      <c r="T73" s="1284"/>
      <c r="U73" s="1284"/>
      <c r="V73" s="1284"/>
      <c r="W73" s="1284"/>
      <c r="X73" s="1283"/>
      <c r="Y73" s="1283"/>
      <c r="Z73" s="1283"/>
      <c r="AA73" s="1283"/>
      <c r="AB73" s="1283"/>
      <c r="AC73" s="1283"/>
      <c r="AD73" s="1283"/>
      <c r="AE73" s="1283"/>
      <c r="AF73" s="1283"/>
      <c r="AG73" s="1283"/>
      <c r="AH73" s="1283"/>
      <c r="AI73" s="1283"/>
      <c r="AJ73" s="1283"/>
      <c r="AK73" s="1283"/>
      <c r="AL73" s="1283"/>
      <c r="AM73" s="1283"/>
      <c r="AN73" s="1283"/>
      <c r="AO73" s="1283"/>
      <c r="AP73" s="1283"/>
      <c r="AQ73" s="1285"/>
      <c r="AR73" s="1285"/>
      <c r="AS73" s="1285"/>
      <c r="AT73" s="1285"/>
      <c r="AU73" s="1285"/>
      <c r="AV73" s="1285"/>
      <c r="AW73" s="1285"/>
      <c r="AX73" s="1285"/>
      <c r="AY73" s="1285"/>
      <c r="AZ73" s="1285"/>
      <c r="BA73" s="1285"/>
      <c r="BB73" s="1285"/>
      <c r="BC73" s="1285"/>
      <c r="BD73" s="1285"/>
      <c r="BE73" s="1285"/>
      <c r="BF73" s="1285"/>
      <c r="BG73" s="1285"/>
      <c r="BH73" s="1285"/>
      <c r="BI73" s="1285"/>
      <c r="BJ73" s="1285"/>
      <c r="BK73" s="1285"/>
      <c r="BL73" s="1286"/>
      <c r="BM73" s="1285"/>
      <c r="BN73" s="1285"/>
      <c r="BO73" s="1285"/>
      <c r="BP73" s="1285"/>
      <c r="BQ73" s="1286"/>
      <c r="BR73" s="1285"/>
      <c r="BS73" s="1285"/>
      <c r="BT73" s="1285"/>
      <c r="BU73" s="1285"/>
      <c r="BV73" s="1286"/>
      <c r="BW73" s="1285"/>
      <c r="BX73" s="1285"/>
      <c r="BY73" s="1285"/>
      <c r="BZ73" s="1285"/>
      <c r="CA73" s="1286"/>
      <c r="CB73" s="1285"/>
      <c r="CC73" s="1285"/>
      <c r="CD73" s="1285"/>
      <c r="CE73" s="1285"/>
      <c r="CF73" s="1286"/>
      <c r="CG73" s="1285"/>
      <c r="CH73" s="1285"/>
      <c r="CI73" s="1285"/>
      <c r="CJ73" s="1285"/>
      <c r="CK73" s="1286"/>
      <c r="CL73" s="1285"/>
      <c r="CM73" s="1285"/>
      <c r="CN73" s="1285"/>
      <c r="CO73" s="1285"/>
      <c r="CP73" s="1286"/>
      <c r="CQ73" s="1285"/>
      <c r="CR73" s="1285"/>
      <c r="CS73" s="1285"/>
      <c r="CT73" s="1285"/>
      <c r="CU73" s="1286"/>
      <c r="CV73" s="1285"/>
      <c r="CW73" s="1285"/>
      <c r="CX73" s="1285"/>
      <c r="CY73" s="1285"/>
      <c r="CZ73" s="1286"/>
      <c r="DA73" s="1285"/>
      <c r="DB73" s="1285"/>
      <c r="DC73" s="1285"/>
      <c r="DD73" s="1285"/>
      <c r="DE73" s="1286"/>
      <c r="DF73" s="1285"/>
      <c r="DG73" s="1285"/>
      <c r="DH73" s="1285"/>
      <c r="DI73" s="1285"/>
      <c r="DJ73" s="1286"/>
      <c r="DK73" s="1285"/>
      <c r="DL73" s="1285"/>
      <c r="DM73" s="1285"/>
      <c r="DN73" s="1285"/>
      <c r="DO73" s="1286"/>
      <c r="DP73" s="1285"/>
      <c r="DQ73" s="1285"/>
      <c r="DR73" s="1285"/>
      <c r="DS73" s="1285"/>
      <c r="DT73" s="1286"/>
      <c r="DU73" s="1285"/>
      <c r="DV73" s="1285"/>
      <c r="DW73" s="1285"/>
      <c r="DX73" s="1285"/>
      <c r="DY73" s="1286"/>
    </row>
    <row r="74" spans="1:129" x14ac:dyDescent="0.2">
      <c r="A74" s="532"/>
      <c r="B74" s="1287" t="s">
        <v>1149</v>
      </c>
      <c r="C74" s="650"/>
      <c r="D74" s="650"/>
      <c r="E74" s="650"/>
      <c r="F74" s="650"/>
      <c r="G74" s="650"/>
      <c r="H74" s="650"/>
      <c r="I74" s="650"/>
      <c r="J74" s="650"/>
      <c r="K74" s="650"/>
      <c r="L74" s="650"/>
      <c r="M74" s="650"/>
      <c r="N74" s="650"/>
      <c r="O74" s="650"/>
      <c r="P74" s="650"/>
      <c r="Q74" s="650"/>
      <c r="R74" s="650"/>
      <c r="S74" s="650"/>
      <c r="T74" s="650"/>
      <c r="U74" s="650"/>
      <c r="V74" s="650"/>
      <c r="W74" s="650"/>
      <c r="X74" s="1288"/>
      <c r="Y74" s="650"/>
      <c r="Z74" s="650"/>
      <c r="AA74" s="650"/>
      <c r="AB74" s="650"/>
      <c r="AC74" s="1288"/>
      <c r="AD74" s="650"/>
      <c r="AE74" s="650"/>
      <c r="AF74" s="650"/>
      <c r="AG74" s="650"/>
      <c r="AH74" s="1288"/>
      <c r="AI74" s="650"/>
      <c r="AJ74" s="650"/>
      <c r="AK74" s="650"/>
      <c r="AL74" s="650"/>
      <c r="AM74" s="1288"/>
      <c r="AN74" s="650"/>
      <c r="AO74" s="650"/>
      <c r="AP74" s="650"/>
      <c r="AQ74" s="650"/>
      <c r="AR74" s="1288"/>
      <c r="AS74" s="650"/>
      <c r="AT74" s="650"/>
      <c r="AU74" s="650"/>
      <c r="AV74" s="650"/>
      <c r="AW74" s="1288"/>
      <c r="AX74" s="650"/>
      <c r="AY74" s="650"/>
      <c r="AZ74" s="650"/>
      <c r="BA74" s="650"/>
      <c r="BB74" s="1288"/>
      <c r="BC74" s="650"/>
      <c r="BD74" s="650"/>
      <c r="BE74" s="650"/>
      <c r="BF74" s="650"/>
      <c r="BG74" s="1288"/>
      <c r="BH74" s="650"/>
      <c r="BI74" s="650"/>
      <c r="BJ74" s="650"/>
      <c r="BK74" s="650"/>
      <c r="BL74" s="583"/>
      <c r="BM74" s="650"/>
      <c r="BN74" s="650"/>
      <c r="BO74" s="650"/>
      <c r="BP74" s="650"/>
      <c r="BQ74" s="583"/>
      <c r="BR74" s="650"/>
      <c r="BS74" s="650"/>
      <c r="BT74" s="650"/>
      <c r="BU74" s="650"/>
      <c r="BV74" s="583"/>
      <c r="BW74" s="650"/>
      <c r="BX74" s="650"/>
      <c r="BY74" s="650"/>
      <c r="BZ74" s="650"/>
      <c r="CA74" s="583"/>
      <c r="CB74" s="650"/>
      <c r="CC74" s="650"/>
      <c r="CD74" s="650"/>
      <c r="CE74" s="650"/>
      <c r="CF74" s="583"/>
      <c r="CG74" s="650"/>
      <c r="CH74" s="650"/>
      <c r="CI74" s="650"/>
      <c r="CJ74" s="650"/>
      <c r="CK74" s="583"/>
      <c r="CL74" s="650"/>
      <c r="CM74" s="650"/>
      <c r="CN74" s="650"/>
      <c r="CO74" s="650"/>
      <c r="CP74" s="583"/>
      <c r="CQ74" s="650"/>
      <c r="CR74" s="650"/>
      <c r="CS74" s="650"/>
      <c r="CT74" s="650"/>
      <c r="CU74" s="583"/>
      <c r="CV74" s="650"/>
      <c r="CW74" s="650"/>
      <c r="CX74" s="650"/>
      <c r="CY74" s="650"/>
      <c r="CZ74" s="583"/>
      <c r="DA74" s="650"/>
      <c r="DB74" s="650"/>
      <c r="DC74" s="650"/>
      <c r="DD74" s="650"/>
      <c r="DE74" s="583"/>
      <c r="DF74" s="650"/>
      <c r="DG74" s="650"/>
      <c r="DH74" s="650"/>
      <c r="DI74" s="650"/>
      <c r="DJ74" s="583"/>
      <c r="DK74" s="650"/>
      <c r="DL74" s="650"/>
      <c r="DM74" s="650"/>
      <c r="DN74" s="650"/>
      <c r="DO74" s="583"/>
      <c r="DP74" s="650"/>
      <c r="DQ74" s="650"/>
      <c r="DR74" s="650"/>
      <c r="DS74" s="650"/>
      <c r="DT74" s="583"/>
      <c r="DU74" s="650"/>
      <c r="DV74" s="650"/>
      <c r="DW74" s="650"/>
      <c r="DX74" s="650"/>
      <c r="DY74" s="583"/>
    </row>
    <row r="75" spans="1:129" x14ac:dyDescent="0.2">
      <c r="A75" s="532"/>
      <c r="B75" s="1287" t="s">
        <v>1150</v>
      </c>
      <c r="C75" s="650"/>
      <c r="D75" s="650"/>
      <c r="E75" s="650"/>
      <c r="F75" s="650"/>
      <c r="G75" s="650"/>
      <c r="H75" s="650"/>
      <c r="I75" s="650"/>
      <c r="J75" s="650"/>
      <c r="K75" s="650"/>
      <c r="L75" s="650"/>
      <c r="M75" s="650"/>
      <c r="N75" s="650"/>
      <c r="O75" s="650"/>
      <c r="P75" s="650"/>
      <c r="Q75" s="650"/>
      <c r="R75" s="650"/>
      <c r="S75" s="650"/>
      <c r="T75" s="650"/>
      <c r="U75" s="650"/>
      <c r="V75" s="650"/>
      <c r="W75" s="650"/>
      <c r="X75" s="1288"/>
      <c r="Y75" s="650"/>
      <c r="Z75" s="650"/>
      <c r="AA75" s="650"/>
      <c r="AB75" s="650"/>
      <c r="AC75" s="1288"/>
      <c r="AD75" s="650"/>
      <c r="AE75" s="650"/>
      <c r="AF75" s="650"/>
      <c r="AG75" s="650"/>
      <c r="AH75" s="1288"/>
      <c r="AI75" s="650"/>
      <c r="AJ75" s="650"/>
      <c r="AK75" s="650"/>
      <c r="AL75" s="650"/>
      <c r="AM75" s="1288"/>
      <c r="AN75" s="650"/>
      <c r="AO75" s="650"/>
      <c r="AP75" s="650"/>
      <c r="AQ75" s="650"/>
      <c r="AR75" s="1288"/>
      <c r="AS75" s="650"/>
      <c r="AT75" s="650"/>
      <c r="AU75" s="650"/>
      <c r="AV75" s="650"/>
      <c r="AW75" s="1288"/>
      <c r="AX75" s="650"/>
      <c r="AY75" s="650"/>
      <c r="AZ75" s="650"/>
      <c r="BA75" s="650"/>
      <c r="BB75" s="1288"/>
      <c r="BC75" s="650"/>
      <c r="BD75" s="650"/>
      <c r="BE75" s="650"/>
      <c r="BF75" s="650"/>
      <c r="BG75" s="1289"/>
      <c r="BH75" s="650"/>
      <c r="BI75" s="650"/>
      <c r="BJ75" s="650"/>
      <c r="BK75" s="650"/>
      <c r="BL75" s="1290">
        <v>0.05</v>
      </c>
      <c r="BM75" s="1291"/>
      <c r="BN75" s="1291"/>
      <c r="BO75" s="1291"/>
      <c r="BP75" s="1291"/>
      <c r="BQ75" s="1290">
        <v>0.05</v>
      </c>
      <c r="BR75" s="1291"/>
      <c r="BS75" s="1291"/>
      <c r="BT75" s="1291"/>
      <c r="BU75" s="1291"/>
      <c r="BV75" s="1290">
        <v>0.05</v>
      </c>
      <c r="BW75" s="1291"/>
      <c r="BX75" s="1291"/>
      <c r="BY75" s="1291"/>
      <c r="BZ75" s="1291"/>
      <c r="CA75" s="1290">
        <v>0.05</v>
      </c>
      <c r="CB75" s="1292">
        <v>0.05</v>
      </c>
      <c r="CC75" s="1292">
        <v>0.05</v>
      </c>
      <c r="CD75" s="1292">
        <f>CC75</f>
        <v>0.05</v>
      </c>
      <c r="CE75" s="1292">
        <f>CD75</f>
        <v>0.05</v>
      </c>
      <c r="CF75" s="1290"/>
      <c r="CG75" s="1292">
        <f>CE75</f>
        <v>0.05</v>
      </c>
      <c r="CH75" s="1292">
        <f>CG75</f>
        <v>0.05</v>
      </c>
      <c r="CI75" s="1292">
        <v>5.2499999999999998E-2</v>
      </c>
      <c r="CJ75" s="1292">
        <f>CI75</f>
        <v>5.2499999999999998E-2</v>
      </c>
      <c r="CK75" s="1290"/>
      <c r="CL75" s="1292">
        <v>4.4999999999999998E-2</v>
      </c>
      <c r="CM75" s="1292">
        <v>4.4999999999999998E-2</v>
      </c>
      <c r="CN75" s="1292">
        <v>4.4999999999999998E-2</v>
      </c>
      <c r="CO75" s="1292">
        <v>0.06</v>
      </c>
      <c r="CP75" s="1290"/>
      <c r="CQ75" s="1292">
        <f>CO75</f>
        <v>0.06</v>
      </c>
      <c r="CR75" s="1292">
        <v>0.1</v>
      </c>
      <c r="CS75" s="1292">
        <v>0.1</v>
      </c>
      <c r="CT75" s="1292">
        <v>0.1</v>
      </c>
      <c r="CU75" s="1290"/>
      <c r="CV75" s="1292">
        <v>5.4999999999999997E-3</v>
      </c>
      <c r="CW75" s="1292">
        <f>CV75</f>
        <v>5.4999999999999997E-3</v>
      </c>
      <c r="CX75" s="1292">
        <f>CW75</f>
        <v>5.4999999999999997E-3</v>
      </c>
      <c r="CY75" s="1292">
        <f>CX75</f>
        <v>5.4999999999999997E-3</v>
      </c>
      <c r="CZ75" s="1290"/>
      <c r="DA75" s="1292">
        <f>CY75</f>
        <v>5.4999999999999997E-3</v>
      </c>
      <c r="DB75" s="1292">
        <f>DA75</f>
        <v>5.4999999999999997E-3</v>
      </c>
      <c r="DC75" s="1292">
        <f>DB75</f>
        <v>5.4999999999999997E-3</v>
      </c>
      <c r="DD75" s="1292">
        <f>DC75</f>
        <v>5.4999999999999997E-3</v>
      </c>
      <c r="DE75" s="1290"/>
      <c r="DF75" s="1292">
        <f>DD75</f>
        <v>5.4999999999999997E-3</v>
      </c>
      <c r="DG75" s="1292">
        <f>DF75</f>
        <v>5.4999999999999997E-3</v>
      </c>
      <c r="DH75" s="1292">
        <f>DG75</f>
        <v>5.4999999999999997E-3</v>
      </c>
      <c r="DI75" s="1292">
        <f>DH75</f>
        <v>5.4999999999999997E-3</v>
      </c>
      <c r="DJ75" s="1290"/>
      <c r="DK75" s="1292">
        <f>DI75</f>
        <v>5.4999999999999997E-3</v>
      </c>
      <c r="DL75" s="1292">
        <f>DK75</f>
        <v>5.4999999999999997E-3</v>
      </c>
      <c r="DM75" s="1292">
        <f>DL75</f>
        <v>5.4999999999999997E-3</v>
      </c>
      <c r="DN75" s="1292">
        <f>DM75</f>
        <v>5.4999999999999997E-3</v>
      </c>
      <c r="DO75" s="1290"/>
      <c r="DP75" s="1292">
        <f>DN75</f>
        <v>5.4999999999999997E-3</v>
      </c>
      <c r="DQ75" s="1292">
        <f>DP75</f>
        <v>5.4999999999999997E-3</v>
      </c>
      <c r="DR75" s="1292">
        <f>DQ75</f>
        <v>5.4999999999999997E-3</v>
      </c>
      <c r="DS75" s="1292">
        <f>DR75</f>
        <v>5.4999999999999997E-3</v>
      </c>
      <c r="DT75" s="1290"/>
      <c r="DU75" s="1292">
        <f>DS75</f>
        <v>5.4999999999999997E-3</v>
      </c>
      <c r="DV75" s="1292">
        <f>DU75</f>
        <v>5.4999999999999997E-3</v>
      </c>
      <c r="DW75" s="1292">
        <f>DV75</f>
        <v>5.4999999999999997E-3</v>
      </c>
      <c r="DX75" s="1292">
        <f>DW75</f>
        <v>5.4999999999999997E-3</v>
      </c>
      <c r="DY75" s="1290"/>
    </row>
    <row r="76" spans="1:129" x14ac:dyDescent="0.2">
      <c r="A76" s="1223"/>
      <c r="B76" s="1190" t="s">
        <v>1151</v>
      </c>
      <c r="C76" s="1293"/>
      <c r="D76" s="1293"/>
      <c r="E76" s="1293"/>
      <c r="F76" s="1293"/>
      <c r="G76" s="1293"/>
      <c r="H76" s="1293"/>
      <c r="I76" s="1293"/>
      <c r="J76" s="1293"/>
      <c r="K76" s="1293"/>
      <c r="L76" s="1293"/>
      <c r="M76" s="1293"/>
      <c r="N76" s="1293"/>
      <c r="O76" s="1293"/>
      <c r="P76" s="1293"/>
      <c r="Q76" s="1293"/>
      <c r="R76" s="1293"/>
      <c r="S76" s="1293"/>
      <c r="T76" s="1293"/>
      <c r="U76" s="1293"/>
      <c r="V76" s="1293"/>
      <c r="W76" s="1293"/>
      <c r="X76" s="1227"/>
      <c r="Y76" s="1231"/>
      <c r="Z76" s="1231"/>
      <c r="AA76" s="1231"/>
      <c r="AB76" s="1294"/>
      <c r="AC76" s="1227"/>
      <c r="AD76" s="1231"/>
      <c r="AE76" s="1231"/>
      <c r="AF76" s="1231"/>
      <c r="AG76" s="1294"/>
      <c r="AH76" s="1227"/>
      <c r="AI76" s="1231"/>
      <c r="AJ76" s="1231"/>
      <c r="AK76" s="1231"/>
      <c r="AL76" s="1294"/>
      <c r="AM76" s="1227"/>
      <c r="AN76" s="1231"/>
      <c r="AO76" s="1231"/>
      <c r="AP76" s="1231"/>
      <c r="AQ76" s="1294"/>
      <c r="AR76" s="1227"/>
      <c r="AS76" s="1231"/>
      <c r="AT76" s="1231"/>
      <c r="AU76" s="1231"/>
      <c r="AV76" s="1294"/>
      <c r="AW76" s="1227"/>
      <c r="AX76" s="1231"/>
      <c r="AY76" s="1231"/>
      <c r="AZ76" s="1231"/>
      <c r="BA76" s="1231"/>
      <c r="BB76" s="1227"/>
      <c r="BC76" s="1231"/>
      <c r="BD76" s="1231"/>
      <c r="BE76" s="1231"/>
      <c r="BF76" s="1231"/>
      <c r="BG76" s="1227"/>
      <c r="BH76" s="1231"/>
      <c r="BI76" s="1231"/>
      <c r="BJ76" s="1231"/>
      <c r="BK76" s="1231"/>
      <c r="BL76" s="1194"/>
      <c r="BM76" s="1195"/>
      <c r="BN76" s="1195"/>
      <c r="BO76" s="1195"/>
      <c r="BP76" s="1195"/>
      <c r="BQ76" s="1194"/>
      <c r="BR76" s="1195"/>
      <c r="BS76" s="1195"/>
      <c r="BT76" s="1195"/>
      <c r="BU76" s="1195"/>
      <c r="BV76" s="1194"/>
      <c r="BW76" s="1195"/>
      <c r="BX76" s="1195"/>
      <c r="BY76" s="1195"/>
      <c r="BZ76" s="1195"/>
      <c r="CA76" s="1194"/>
      <c r="CB76" s="1195"/>
      <c r="CC76" s="1195"/>
      <c r="CD76" s="1195"/>
      <c r="CE76" s="1195"/>
      <c r="CF76" s="1194"/>
      <c r="CG76" s="1195"/>
      <c r="CH76" s="1195"/>
      <c r="CI76" s="1195"/>
      <c r="CJ76" s="1195"/>
      <c r="CK76" s="1194"/>
      <c r="CL76" s="1195"/>
      <c r="CM76" s="1195"/>
      <c r="CN76" s="1195"/>
      <c r="CO76" s="1195"/>
      <c r="CP76" s="1194"/>
      <c r="CQ76" s="1195"/>
      <c r="CR76" s="1195"/>
      <c r="CS76" s="1195"/>
      <c r="CT76" s="1195"/>
      <c r="CU76" s="1194"/>
      <c r="CV76" s="1195"/>
      <c r="CW76" s="1195"/>
      <c r="CX76" s="1195"/>
      <c r="CY76" s="1195"/>
      <c r="CZ76" s="1194"/>
      <c r="DA76" s="1195"/>
      <c r="DB76" s="1195"/>
      <c r="DC76" s="1195"/>
      <c r="DD76" s="1195"/>
      <c r="DE76" s="1194"/>
      <c r="DF76" s="1195"/>
      <c r="DG76" s="1195"/>
      <c r="DH76" s="1195"/>
      <c r="DI76" s="1195"/>
      <c r="DJ76" s="1194"/>
      <c r="DK76" s="1195"/>
      <c r="DL76" s="1195"/>
      <c r="DM76" s="1195"/>
      <c r="DN76" s="1195"/>
      <c r="DO76" s="1194"/>
      <c r="DP76" s="1195"/>
      <c r="DQ76" s="1195"/>
      <c r="DR76" s="1195"/>
      <c r="DS76" s="1195"/>
      <c r="DT76" s="1194"/>
      <c r="DU76" s="1195"/>
      <c r="DV76" s="1195"/>
      <c r="DW76" s="1195"/>
      <c r="DX76" s="1195"/>
      <c r="DY76" s="1194"/>
    </row>
    <row r="77" spans="1:129" x14ac:dyDescent="0.2">
      <c r="A77" s="1223"/>
      <c r="B77" s="1190" t="s">
        <v>1152</v>
      </c>
      <c r="C77" s="1231"/>
      <c r="D77" s="1231"/>
      <c r="E77" s="1231"/>
      <c r="F77" s="1231"/>
      <c r="G77" s="1231"/>
      <c r="H77" s="1231"/>
      <c r="I77" s="1231"/>
      <c r="J77" s="1231"/>
      <c r="K77" s="1231"/>
      <c r="L77" s="1231"/>
      <c r="M77" s="1231"/>
      <c r="N77" s="1231"/>
      <c r="O77" s="1231"/>
      <c r="P77" s="1231"/>
      <c r="Q77" s="1231"/>
      <c r="R77" s="1231"/>
      <c r="S77" s="1231"/>
      <c r="T77" s="1231"/>
      <c r="U77" s="1231"/>
      <c r="V77" s="1231"/>
      <c r="W77" s="1231"/>
      <c r="X77" s="1227"/>
      <c r="Y77" s="1231"/>
      <c r="Z77" s="1231"/>
      <c r="AA77" s="1231"/>
      <c r="AB77" s="1231"/>
      <c r="AC77" s="1227"/>
      <c r="AD77" s="1231"/>
      <c r="AE77" s="1231"/>
      <c r="AF77" s="1231"/>
      <c r="AG77" s="1231"/>
      <c r="AH77" s="1227"/>
      <c r="AI77" s="1231"/>
      <c r="AJ77" s="1231"/>
      <c r="AK77" s="1231"/>
      <c r="AL77" s="1231"/>
      <c r="AM77" s="1227"/>
      <c r="AN77" s="1231"/>
      <c r="AO77" s="1231"/>
      <c r="AP77" s="1231"/>
      <c r="AQ77" s="1231"/>
      <c r="AR77" s="1227"/>
      <c r="AS77" s="1231"/>
      <c r="AT77" s="1231"/>
      <c r="AU77" s="1231"/>
      <c r="AV77" s="1231"/>
      <c r="AW77" s="1227"/>
      <c r="AX77" s="1231"/>
      <c r="AY77" s="1231"/>
      <c r="AZ77" s="1231"/>
      <c r="BA77" s="1231"/>
      <c r="BB77" s="1227"/>
      <c r="BC77" s="1231"/>
      <c r="BD77" s="1231"/>
      <c r="BE77" s="1231"/>
      <c r="BF77" s="1231"/>
      <c r="BG77" s="1227"/>
      <c r="BH77" s="1231"/>
      <c r="BI77" s="1231"/>
      <c r="BJ77" s="1231"/>
      <c r="BK77" s="1231"/>
      <c r="BL77" s="1194"/>
      <c r="BM77" s="1195"/>
      <c r="BN77" s="1195"/>
      <c r="BO77" s="1195"/>
      <c r="BP77" s="1195"/>
      <c r="BQ77" s="1194">
        <f>BL79</f>
        <v>2085</v>
      </c>
      <c r="BR77" s="1195"/>
      <c r="BS77" s="1195"/>
      <c r="BT77" s="1195"/>
      <c r="BU77" s="1195"/>
      <c r="BV77" s="1194">
        <f>BQ79</f>
        <v>2544.1</v>
      </c>
      <c r="BW77" s="1195"/>
      <c r="BX77" s="1195"/>
      <c r="BY77" s="1195"/>
      <c r="BZ77" s="1195"/>
      <c r="CA77" s="1194">
        <f>BV79</f>
        <v>315</v>
      </c>
      <c r="CB77" s="1229">
        <f>CA79</f>
        <v>300</v>
      </c>
      <c r="CC77" s="1229">
        <f>+CB79</f>
        <v>300</v>
      </c>
      <c r="CD77" s="1229">
        <f>+CC79</f>
        <v>300</v>
      </c>
      <c r="CE77" s="1229">
        <f>+CD79</f>
        <v>0</v>
      </c>
      <c r="CF77" s="1194">
        <f>CA79</f>
        <v>300</v>
      </c>
      <c r="CG77" s="1229">
        <f>CE79</f>
        <v>750</v>
      </c>
      <c r="CH77" s="1229">
        <f>+CG79</f>
        <v>750</v>
      </c>
      <c r="CI77" s="1229">
        <f>+CH79</f>
        <v>750</v>
      </c>
      <c r="CJ77" s="1229">
        <f>+CI79</f>
        <v>750</v>
      </c>
      <c r="CK77" s="1194">
        <f>CF79</f>
        <v>750</v>
      </c>
      <c r="CL77" s="1229">
        <f>CJ79</f>
        <v>750</v>
      </c>
      <c r="CM77" s="1229">
        <f>+CL79</f>
        <v>750</v>
      </c>
      <c r="CN77" s="1229">
        <f>+CM79</f>
        <v>750</v>
      </c>
      <c r="CO77" s="1229">
        <f>+CN79</f>
        <v>750</v>
      </c>
      <c r="CP77" s="1194">
        <f>CK79</f>
        <v>750</v>
      </c>
      <c r="CQ77" s="1229">
        <f>CO79</f>
        <v>750</v>
      </c>
      <c r="CR77" s="1229">
        <f>+CQ79</f>
        <v>750</v>
      </c>
      <c r="CS77" s="1229">
        <f>+CR79</f>
        <v>750</v>
      </c>
      <c r="CT77" s="1229">
        <f>+CS79</f>
        <v>750</v>
      </c>
      <c r="CU77" s="1194">
        <f>CP79</f>
        <v>750</v>
      </c>
      <c r="CV77" s="1229">
        <f>CT79</f>
        <v>685</v>
      </c>
      <c r="CW77" s="1229">
        <f>+CV79</f>
        <v>685</v>
      </c>
      <c r="CX77" s="1229">
        <f>+CW79</f>
        <v>685</v>
      </c>
      <c r="CY77" s="1229">
        <f>+CX79</f>
        <v>685</v>
      </c>
      <c r="CZ77" s="1194">
        <f>CU79</f>
        <v>685</v>
      </c>
      <c r="DA77" s="1229">
        <f>CY79</f>
        <v>685</v>
      </c>
      <c r="DB77" s="1229">
        <f>+DA79</f>
        <v>685</v>
      </c>
      <c r="DC77" s="1229">
        <f>+DB79</f>
        <v>685</v>
      </c>
      <c r="DD77" s="1229">
        <f>+DC79</f>
        <v>685</v>
      </c>
      <c r="DE77" s="1194">
        <f>CZ79</f>
        <v>685</v>
      </c>
      <c r="DF77" s="1229">
        <f>DD79</f>
        <v>685</v>
      </c>
      <c r="DG77" s="1229">
        <f>+DF79</f>
        <v>685</v>
      </c>
      <c r="DH77" s="1229">
        <f>+DG79</f>
        <v>685</v>
      </c>
      <c r="DI77" s="1229">
        <f>+DH79</f>
        <v>685</v>
      </c>
      <c r="DJ77" s="1194">
        <f>DE79</f>
        <v>685</v>
      </c>
      <c r="DK77" s="1229">
        <f>DI79</f>
        <v>685</v>
      </c>
      <c r="DL77" s="1229">
        <f>+DK79</f>
        <v>685</v>
      </c>
      <c r="DM77" s="1229">
        <f>+DL79</f>
        <v>685</v>
      </c>
      <c r="DN77" s="1229">
        <f>+DM79</f>
        <v>685</v>
      </c>
      <c r="DO77" s="1194">
        <f>DJ79</f>
        <v>685</v>
      </c>
      <c r="DP77" s="1229">
        <f>DN79</f>
        <v>685</v>
      </c>
      <c r="DQ77" s="1229">
        <f>+DP79</f>
        <v>685</v>
      </c>
      <c r="DR77" s="1229">
        <f>+DQ79</f>
        <v>685</v>
      </c>
      <c r="DS77" s="1229">
        <f>+DR79</f>
        <v>685</v>
      </c>
      <c r="DT77" s="1194">
        <f>DO79</f>
        <v>685</v>
      </c>
      <c r="DU77" s="1229">
        <f>DS79</f>
        <v>685</v>
      </c>
      <c r="DV77" s="1229">
        <f>+DU79</f>
        <v>685</v>
      </c>
      <c r="DW77" s="1229">
        <f>+DV79</f>
        <v>685</v>
      </c>
      <c r="DX77" s="1229">
        <f>+DW79</f>
        <v>685</v>
      </c>
      <c r="DY77" s="1194">
        <f>DT79</f>
        <v>685</v>
      </c>
    </row>
    <row r="78" spans="1:129" x14ac:dyDescent="0.2">
      <c r="A78" s="1295"/>
      <c r="B78" s="1190" t="s">
        <v>1153</v>
      </c>
      <c r="C78" s="1182"/>
      <c r="D78" s="1182"/>
      <c r="E78" s="1182"/>
      <c r="F78" s="1182"/>
      <c r="G78" s="1182"/>
      <c r="H78" s="1182"/>
      <c r="I78" s="1182"/>
      <c r="J78" s="1182"/>
      <c r="K78" s="1182"/>
      <c r="L78" s="1182"/>
      <c r="M78" s="1182"/>
      <c r="N78" s="1182"/>
      <c r="O78" s="1182"/>
      <c r="P78" s="1182"/>
      <c r="Q78" s="1182"/>
      <c r="R78" s="1182"/>
      <c r="S78" s="1182"/>
      <c r="T78" s="1182"/>
      <c r="U78" s="1182"/>
      <c r="V78" s="1182"/>
      <c r="W78" s="1182"/>
      <c r="X78" s="1296"/>
      <c r="Y78" s="1297"/>
      <c r="Z78" s="1297"/>
      <c r="AA78" s="1297"/>
      <c r="AB78" s="1297"/>
      <c r="AC78" s="1296"/>
      <c r="AD78" s="1297"/>
      <c r="AE78" s="1297"/>
      <c r="AF78" s="1297"/>
      <c r="AG78" s="1297"/>
      <c r="AH78" s="1296"/>
      <c r="AI78" s="1297"/>
      <c r="AJ78" s="1297"/>
      <c r="AK78" s="1297"/>
      <c r="AL78" s="1297"/>
      <c r="AM78" s="1296"/>
      <c r="AN78" s="1297"/>
      <c r="AO78" s="1297"/>
      <c r="AP78" s="1297"/>
      <c r="AQ78" s="1297"/>
      <c r="AR78" s="1296"/>
      <c r="AS78" s="1297"/>
      <c r="AT78" s="1297"/>
      <c r="AU78" s="1297"/>
      <c r="AV78" s="1297"/>
      <c r="AW78" s="1296"/>
      <c r="AX78" s="1298"/>
      <c r="AY78" s="1299"/>
      <c r="AZ78" s="1299"/>
      <c r="BA78" s="1298"/>
      <c r="BB78" s="1300"/>
      <c r="BC78" s="1298"/>
      <c r="BD78" s="1298"/>
      <c r="BE78" s="1298"/>
      <c r="BF78" s="1298"/>
      <c r="BG78" s="1296"/>
      <c r="BH78" s="1298"/>
      <c r="BI78" s="1298"/>
      <c r="BJ78" s="1298"/>
      <c r="BK78" s="1298"/>
      <c r="BL78" s="1301"/>
      <c r="BM78" s="1302"/>
      <c r="BN78" s="1302"/>
      <c r="BO78" s="1302"/>
      <c r="BP78" s="1302"/>
      <c r="BQ78" s="1301">
        <f>BQ79-BQ77</f>
        <v>459.09999999999991</v>
      </c>
      <c r="BR78" s="1302"/>
      <c r="BS78" s="1302"/>
      <c r="BT78" s="1302"/>
      <c r="BU78" s="1302"/>
      <c r="BV78" s="1301">
        <f>BV79-BV77</f>
        <v>-2229.1</v>
      </c>
      <c r="BW78" s="1302"/>
      <c r="BX78" s="1302"/>
      <c r="BY78" s="1302"/>
      <c r="BZ78" s="1302"/>
      <c r="CA78" s="1301">
        <f>CA79-CA77</f>
        <v>-15</v>
      </c>
      <c r="CB78" s="1303">
        <f>CB79-CB77</f>
        <v>0</v>
      </c>
      <c r="CC78" s="1303">
        <v>0</v>
      </c>
      <c r="CD78" s="1302">
        <v>-300</v>
      </c>
      <c r="CE78" s="1302">
        <v>750</v>
      </c>
      <c r="CF78" s="1301">
        <f>+SUM(CB78:CE78)</f>
        <v>450</v>
      </c>
      <c r="CG78" s="1302">
        <v>0</v>
      </c>
      <c r="CH78" s="1302">
        <v>0</v>
      </c>
      <c r="CI78" s="1302">
        <v>0</v>
      </c>
      <c r="CJ78" s="1302">
        <v>0</v>
      </c>
      <c r="CK78" s="1301">
        <f>+SUM(CG78:CJ78)</f>
        <v>0</v>
      </c>
      <c r="CL78" s="1302">
        <v>0</v>
      </c>
      <c r="CM78" s="1302">
        <v>0</v>
      </c>
      <c r="CN78" s="1302">
        <v>0</v>
      </c>
      <c r="CO78" s="1302">
        <v>0</v>
      </c>
      <c r="CP78" s="1301">
        <f>+SUM(CL78:CO78)</f>
        <v>0</v>
      </c>
      <c r="CQ78" s="1302">
        <v>0</v>
      </c>
      <c r="CR78" s="1302">
        <v>0</v>
      </c>
      <c r="CS78" s="1302">
        <v>0</v>
      </c>
      <c r="CT78" s="1302">
        <v>-65</v>
      </c>
      <c r="CU78" s="1301">
        <f>+SUM(CQ78:CT78)</f>
        <v>-65</v>
      </c>
      <c r="CV78" s="1302">
        <v>0</v>
      </c>
      <c r="CW78" s="1302">
        <v>0</v>
      </c>
      <c r="CX78" s="1302">
        <v>0</v>
      </c>
      <c r="CY78" s="1302">
        <v>0</v>
      </c>
      <c r="CZ78" s="1301">
        <f>+SUM(CV78:CY78)</f>
        <v>0</v>
      </c>
      <c r="DA78" s="1302">
        <v>0</v>
      </c>
      <c r="DB78" s="1302">
        <v>0</v>
      </c>
      <c r="DC78" s="1302">
        <v>0</v>
      </c>
      <c r="DD78" s="1302">
        <v>0</v>
      </c>
      <c r="DE78" s="1301">
        <f>+SUM(DA78:DD78)</f>
        <v>0</v>
      </c>
      <c r="DF78" s="1302">
        <v>0</v>
      </c>
      <c r="DG78" s="1302">
        <v>0</v>
      </c>
      <c r="DH78" s="1302">
        <v>0</v>
      </c>
      <c r="DI78" s="1302">
        <v>0</v>
      </c>
      <c r="DJ78" s="1301">
        <f>+SUM(DF78:DI78)</f>
        <v>0</v>
      </c>
      <c r="DK78" s="1302">
        <v>0</v>
      </c>
      <c r="DL78" s="1302">
        <v>0</v>
      </c>
      <c r="DM78" s="1302">
        <v>0</v>
      </c>
      <c r="DN78" s="1302">
        <v>0</v>
      </c>
      <c r="DO78" s="1301">
        <f>+SUM(DK78:DN78)</f>
        <v>0</v>
      </c>
      <c r="DP78" s="1302">
        <v>0</v>
      </c>
      <c r="DQ78" s="1302">
        <v>0</v>
      </c>
      <c r="DR78" s="1302">
        <v>0</v>
      </c>
      <c r="DS78" s="1302">
        <v>0</v>
      </c>
      <c r="DT78" s="1301">
        <f>+SUM(DP78:DS78)</f>
        <v>0</v>
      </c>
      <c r="DU78" s="1302">
        <v>0</v>
      </c>
      <c r="DV78" s="1302">
        <v>0</v>
      </c>
      <c r="DW78" s="1302">
        <v>0</v>
      </c>
      <c r="DX78" s="1302">
        <v>0</v>
      </c>
      <c r="DY78" s="1301">
        <f>+SUM(DU78:DX78)</f>
        <v>0</v>
      </c>
    </row>
    <row r="79" spans="1:129" x14ac:dyDescent="0.2">
      <c r="A79" s="1295"/>
      <c r="B79" s="1190" t="s">
        <v>1154</v>
      </c>
      <c r="C79" s="1182"/>
      <c r="D79" s="1182"/>
      <c r="E79" s="1182"/>
      <c r="F79" s="1182"/>
      <c r="G79" s="1182"/>
      <c r="H79" s="1182"/>
      <c r="I79" s="1182"/>
      <c r="J79" s="1182"/>
      <c r="K79" s="1182"/>
      <c r="L79" s="1182"/>
      <c r="M79" s="1182"/>
      <c r="N79" s="1182"/>
      <c r="O79" s="1182"/>
      <c r="P79" s="1182"/>
      <c r="Q79" s="1182"/>
      <c r="R79" s="1182"/>
      <c r="S79" s="1182"/>
      <c r="T79" s="1182"/>
      <c r="U79" s="1182"/>
      <c r="V79" s="1182"/>
      <c r="W79" s="1182"/>
      <c r="X79" s="1304"/>
      <c r="Y79" s="1305"/>
      <c r="Z79" s="1305"/>
      <c r="AA79" s="1305"/>
      <c r="AB79" s="1305"/>
      <c r="AC79" s="1304"/>
      <c r="AD79" s="1305"/>
      <c r="AE79" s="1305"/>
      <c r="AF79" s="1305"/>
      <c r="AG79" s="1305"/>
      <c r="AH79" s="1304"/>
      <c r="AI79" s="1305"/>
      <c r="AJ79" s="1305"/>
      <c r="AK79" s="1305"/>
      <c r="AL79" s="1305"/>
      <c r="AM79" s="1304"/>
      <c r="AN79" s="1305"/>
      <c r="AO79" s="1305"/>
      <c r="AP79" s="1305"/>
      <c r="AQ79" s="1305"/>
      <c r="AR79" s="1304"/>
      <c r="AS79" s="1305"/>
      <c r="AT79" s="1305"/>
      <c r="AU79" s="1305"/>
      <c r="AV79" s="1305"/>
      <c r="AW79" s="1304"/>
      <c r="AX79" s="1305"/>
      <c r="AY79" s="1305"/>
      <c r="AZ79" s="1305"/>
      <c r="BA79" s="1305"/>
      <c r="BB79" s="1304"/>
      <c r="BC79" s="1305"/>
      <c r="BD79" s="1305"/>
      <c r="BE79" s="1305"/>
      <c r="BF79" s="1305"/>
      <c r="BG79" s="1306"/>
      <c r="BH79" s="1305"/>
      <c r="BI79" s="1305"/>
      <c r="BJ79" s="1305"/>
      <c r="BK79" s="1305"/>
      <c r="BL79" s="1307">
        <v>2085</v>
      </c>
      <c r="BM79" s="1198"/>
      <c r="BN79" s="1198"/>
      <c r="BO79" s="1198"/>
      <c r="BP79" s="1198"/>
      <c r="BQ79" s="1307">
        <v>2544.1</v>
      </c>
      <c r="BR79" s="1198"/>
      <c r="BS79" s="1198"/>
      <c r="BT79" s="1198"/>
      <c r="BU79" s="1198"/>
      <c r="BV79" s="1307">
        <v>315</v>
      </c>
      <c r="BW79" s="1198"/>
      <c r="BX79" s="1198"/>
      <c r="BY79" s="1198"/>
      <c r="BZ79" s="1198"/>
      <c r="CA79" s="1307">
        <v>300</v>
      </c>
      <c r="CB79" s="1187">
        <f>CA79</f>
        <v>300</v>
      </c>
      <c r="CC79" s="1187">
        <f>CB79</f>
        <v>300</v>
      </c>
      <c r="CD79" s="1187">
        <f t="shared" ref="CD79:CZ79" si="121">CD77+CD78</f>
        <v>0</v>
      </c>
      <c r="CE79" s="1187">
        <f t="shared" si="121"/>
        <v>750</v>
      </c>
      <c r="CF79" s="1186">
        <f t="shared" si="121"/>
        <v>750</v>
      </c>
      <c r="CG79" s="1187">
        <f t="shared" si="121"/>
        <v>750</v>
      </c>
      <c r="CH79" s="1187">
        <f t="shared" si="121"/>
        <v>750</v>
      </c>
      <c r="CI79" s="1187">
        <f t="shared" si="121"/>
        <v>750</v>
      </c>
      <c r="CJ79" s="1187">
        <f t="shared" si="121"/>
        <v>750</v>
      </c>
      <c r="CK79" s="1186">
        <f t="shared" si="121"/>
        <v>750</v>
      </c>
      <c r="CL79" s="1187">
        <f t="shared" si="121"/>
        <v>750</v>
      </c>
      <c r="CM79" s="1187">
        <f t="shared" si="121"/>
        <v>750</v>
      </c>
      <c r="CN79" s="1187">
        <f t="shared" si="121"/>
        <v>750</v>
      </c>
      <c r="CO79" s="1187">
        <f t="shared" si="121"/>
        <v>750</v>
      </c>
      <c r="CP79" s="1186">
        <f t="shared" si="121"/>
        <v>750</v>
      </c>
      <c r="CQ79" s="1187">
        <f t="shared" si="121"/>
        <v>750</v>
      </c>
      <c r="CR79" s="1187">
        <f t="shared" si="121"/>
        <v>750</v>
      </c>
      <c r="CS79" s="1187">
        <f t="shared" si="121"/>
        <v>750</v>
      </c>
      <c r="CT79" s="1187">
        <f t="shared" si="121"/>
        <v>685</v>
      </c>
      <c r="CU79" s="1186">
        <f t="shared" si="121"/>
        <v>685</v>
      </c>
      <c r="CV79" s="1187">
        <f t="shared" si="121"/>
        <v>685</v>
      </c>
      <c r="CW79" s="1187">
        <f t="shared" si="121"/>
        <v>685</v>
      </c>
      <c r="CX79" s="1187">
        <f t="shared" si="121"/>
        <v>685</v>
      </c>
      <c r="CY79" s="1187">
        <f t="shared" si="121"/>
        <v>685</v>
      </c>
      <c r="CZ79" s="1186">
        <f t="shared" si="121"/>
        <v>685</v>
      </c>
      <c r="DA79" s="1187">
        <f t="shared" ref="DA79:DJ79" si="122">DA77+DA78</f>
        <v>685</v>
      </c>
      <c r="DB79" s="1187">
        <f t="shared" si="122"/>
        <v>685</v>
      </c>
      <c r="DC79" s="1187">
        <f t="shared" si="122"/>
        <v>685</v>
      </c>
      <c r="DD79" s="1187">
        <f t="shared" si="122"/>
        <v>685</v>
      </c>
      <c r="DE79" s="1186">
        <f t="shared" si="122"/>
        <v>685</v>
      </c>
      <c r="DF79" s="1187">
        <f t="shared" si="122"/>
        <v>685</v>
      </c>
      <c r="DG79" s="1187">
        <f t="shared" si="122"/>
        <v>685</v>
      </c>
      <c r="DH79" s="1187">
        <f t="shared" si="122"/>
        <v>685</v>
      </c>
      <c r="DI79" s="1187">
        <f t="shared" si="122"/>
        <v>685</v>
      </c>
      <c r="DJ79" s="1186">
        <f t="shared" si="122"/>
        <v>685</v>
      </c>
      <c r="DK79" s="1187">
        <f t="shared" ref="DK79:DT79" si="123">DK77+DK78</f>
        <v>685</v>
      </c>
      <c r="DL79" s="1187">
        <f t="shared" si="123"/>
        <v>685</v>
      </c>
      <c r="DM79" s="1187">
        <f t="shared" si="123"/>
        <v>685</v>
      </c>
      <c r="DN79" s="1187">
        <f t="shared" si="123"/>
        <v>685</v>
      </c>
      <c r="DO79" s="1186">
        <f t="shared" si="123"/>
        <v>685</v>
      </c>
      <c r="DP79" s="1187">
        <f t="shared" si="123"/>
        <v>685</v>
      </c>
      <c r="DQ79" s="1187">
        <f t="shared" si="123"/>
        <v>685</v>
      </c>
      <c r="DR79" s="1187">
        <f t="shared" si="123"/>
        <v>685</v>
      </c>
      <c r="DS79" s="1187">
        <f t="shared" si="123"/>
        <v>685</v>
      </c>
      <c r="DT79" s="1186">
        <f t="shared" si="123"/>
        <v>685</v>
      </c>
      <c r="DU79" s="1187">
        <f t="shared" ref="DU79:DY79" si="124">DU77+DU78</f>
        <v>685</v>
      </c>
      <c r="DV79" s="1187">
        <f t="shared" si="124"/>
        <v>685</v>
      </c>
      <c r="DW79" s="1187">
        <f t="shared" si="124"/>
        <v>685</v>
      </c>
      <c r="DX79" s="1187">
        <f t="shared" si="124"/>
        <v>685</v>
      </c>
      <c r="DY79" s="1186">
        <f t="shared" si="124"/>
        <v>685</v>
      </c>
    </row>
    <row r="80" spans="1:129" x14ac:dyDescent="0.2">
      <c r="A80" s="1223"/>
      <c r="B80" s="1190" t="s">
        <v>1155</v>
      </c>
      <c r="C80" s="1182"/>
      <c r="D80" s="1182"/>
      <c r="E80" s="1182"/>
      <c r="F80" s="1182"/>
      <c r="G80" s="1182"/>
      <c r="H80" s="1182"/>
      <c r="I80" s="1182"/>
      <c r="J80" s="1182"/>
      <c r="K80" s="1182"/>
      <c r="L80" s="1182"/>
      <c r="M80" s="1182"/>
      <c r="N80" s="1182"/>
      <c r="O80" s="1182"/>
      <c r="P80" s="1182"/>
      <c r="Q80" s="1182"/>
      <c r="R80" s="1182"/>
      <c r="S80" s="1182"/>
      <c r="T80" s="1182"/>
      <c r="U80" s="1182"/>
      <c r="V80" s="1182"/>
      <c r="W80" s="1182"/>
      <c r="X80" s="1227"/>
      <c r="Y80" s="1231"/>
      <c r="Z80" s="1231"/>
      <c r="AA80" s="1231"/>
      <c r="AB80" s="1231"/>
      <c r="AC80" s="1227"/>
      <c r="AD80" s="1231"/>
      <c r="AE80" s="1231"/>
      <c r="AF80" s="1231"/>
      <c r="AG80" s="1231"/>
      <c r="AH80" s="1227"/>
      <c r="AI80" s="1231"/>
      <c r="AJ80" s="1231"/>
      <c r="AK80" s="1231"/>
      <c r="AL80" s="1231"/>
      <c r="AM80" s="1227"/>
      <c r="AN80" s="1231"/>
      <c r="AO80" s="1231"/>
      <c r="AP80" s="1231"/>
      <c r="AQ80" s="1231"/>
      <c r="AR80" s="1227"/>
      <c r="AS80" s="1231"/>
      <c r="AT80" s="1231"/>
      <c r="AU80" s="1231"/>
      <c r="AV80" s="1231"/>
      <c r="AW80" s="1227"/>
      <c r="AX80" s="1231"/>
      <c r="AY80" s="1231"/>
      <c r="AZ80" s="1231"/>
      <c r="BA80" s="1231"/>
      <c r="BB80" s="1227"/>
      <c r="BC80" s="1231"/>
      <c r="BD80" s="1231"/>
      <c r="BE80" s="1231"/>
      <c r="BF80" s="1231"/>
      <c r="BG80" s="1227"/>
      <c r="BH80" s="1231"/>
      <c r="BI80" s="1231"/>
      <c r="BJ80" s="1231"/>
      <c r="BK80" s="1231"/>
      <c r="BL80" s="1194"/>
      <c r="BM80" s="1195"/>
      <c r="BN80" s="1195"/>
      <c r="BO80" s="1195"/>
      <c r="BP80" s="1195"/>
      <c r="BQ80" s="1194"/>
      <c r="BR80" s="1195"/>
      <c r="BS80" s="1195"/>
      <c r="BT80" s="1195"/>
      <c r="BU80" s="1195"/>
      <c r="BV80" s="1194"/>
      <c r="BW80" s="1195"/>
      <c r="BX80" s="1195"/>
      <c r="BY80" s="1195"/>
      <c r="BZ80" s="1195"/>
      <c r="CA80" s="1194"/>
      <c r="CB80" s="1195"/>
      <c r="CC80" s="1195"/>
      <c r="CD80" s="1195"/>
      <c r="CE80" s="1195"/>
      <c r="CF80" s="1194"/>
      <c r="CG80" s="1195"/>
      <c r="CH80" s="1195"/>
      <c r="CI80" s="1195"/>
      <c r="CJ80" s="1195"/>
      <c r="CK80" s="1194"/>
      <c r="CL80" s="1195"/>
      <c r="CM80" s="1195"/>
      <c r="CN80" s="1195"/>
      <c r="CO80" s="1195"/>
      <c r="CP80" s="1194"/>
      <c r="CQ80" s="1195"/>
      <c r="CR80" s="1195"/>
      <c r="CS80" s="1195"/>
      <c r="CT80" s="1195"/>
      <c r="CU80" s="1194"/>
      <c r="CV80" s="1195"/>
      <c r="CW80" s="1195"/>
      <c r="CX80" s="1195"/>
      <c r="CY80" s="1195"/>
      <c r="CZ80" s="1194"/>
      <c r="DA80" s="1195"/>
      <c r="DB80" s="1195"/>
      <c r="DC80" s="1195"/>
      <c r="DD80" s="1195"/>
      <c r="DE80" s="1194"/>
      <c r="DF80" s="1195"/>
      <c r="DG80" s="1195"/>
      <c r="DH80" s="1195"/>
      <c r="DI80" s="1195"/>
      <c r="DJ80" s="1194"/>
      <c r="DK80" s="1195"/>
      <c r="DL80" s="1195"/>
      <c r="DM80" s="1195"/>
      <c r="DN80" s="1195"/>
      <c r="DO80" s="1194"/>
      <c r="DP80" s="1195"/>
      <c r="DQ80" s="1195"/>
      <c r="DR80" s="1195"/>
      <c r="DS80" s="1195"/>
      <c r="DT80" s="1194"/>
      <c r="DU80" s="1195"/>
      <c r="DV80" s="1195"/>
      <c r="DW80" s="1195"/>
      <c r="DX80" s="1195"/>
      <c r="DY80" s="1194"/>
    </row>
    <row r="81" spans="1:129" x14ac:dyDescent="0.2">
      <c r="A81" s="1223"/>
      <c r="B81" s="1190" t="s">
        <v>1156</v>
      </c>
      <c r="C81" s="1182"/>
      <c r="D81" s="1182"/>
      <c r="E81" s="1182"/>
      <c r="F81" s="1182"/>
      <c r="G81" s="1182"/>
      <c r="H81" s="1182"/>
      <c r="I81" s="1182"/>
      <c r="J81" s="1182"/>
      <c r="K81" s="1182"/>
      <c r="L81" s="1182"/>
      <c r="M81" s="1182"/>
      <c r="N81" s="1182"/>
      <c r="O81" s="1182"/>
      <c r="P81" s="1182"/>
      <c r="Q81" s="1182"/>
      <c r="R81" s="1182"/>
      <c r="S81" s="1182"/>
      <c r="T81" s="1182"/>
      <c r="U81" s="1182"/>
      <c r="V81" s="1182"/>
      <c r="W81" s="1182"/>
      <c r="X81" s="1227"/>
      <c r="Y81" s="1231"/>
      <c r="Z81" s="1231"/>
      <c r="AA81" s="1231"/>
      <c r="AB81" s="1231"/>
      <c r="AC81" s="1227"/>
      <c r="AD81" s="1231"/>
      <c r="AE81" s="1231"/>
      <c r="AF81" s="1231"/>
      <c r="AG81" s="1231"/>
      <c r="AH81" s="1227"/>
      <c r="AI81" s="1231"/>
      <c r="AJ81" s="1231"/>
      <c r="AK81" s="1231"/>
      <c r="AL81" s="1231"/>
      <c r="AM81" s="1227"/>
      <c r="AN81" s="1231"/>
      <c r="AO81" s="1231"/>
      <c r="AP81" s="1231"/>
      <c r="AQ81" s="1231"/>
      <c r="AR81" s="1227"/>
      <c r="AS81" s="1231"/>
      <c r="AT81" s="1231"/>
      <c r="AU81" s="1231"/>
      <c r="AV81" s="1231"/>
      <c r="AW81" s="1227"/>
      <c r="AX81" s="1231"/>
      <c r="AY81" s="1231"/>
      <c r="AZ81" s="1231"/>
      <c r="BA81" s="1231"/>
      <c r="BB81" s="1227"/>
      <c r="BC81" s="1231"/>
      <c r="BD81" s="1231"/>
      <c r="BE81" s="1231"/>
      <c r="BF81" s="1231"/>
      <c r="BG81" s="1227"/>
      <c r="BH81" s="1231"/>
      <c r="BI81" s="1231"/>
      <c r="BJ81" s="1231"/>
      <c r="BK81" s="1231"/>
      <c r="BL81" s="1194">
        <f>-(AVERAGE(BL77,BL79))*(BL$75)</f>
        <v>-104.25</v>
      </c>
      <c r="BM81" s="1195"/>
      <c r="BN81" s="1195"/>
      <c r="BO81" s="1195"/>
      <c r="BP81" s="1195"/>
      <c r="BQ81" s="1194">
        <f>-(AVERAGE(BQ77,BQ79))*(BQ$75)</f>
        <v>-115.72750000000002</v>
      </c>
      <c r="BR81" s="1195"/>
      <c r="BS81" s="1195"/>
      <c r="BT81" s="1195"/>
      <c r="BU81" s="1195"/>
      <c r="BV81" s="1194">
        <f>-(AVERAGE(BV77,BV79))*(BV$75)</f>
        <v>-71.477500000000006</v>
      </c>
      <c r="BW81" s="1195"/>
      <c r="BX81" s="1195"/>
      <c r="BY81" s="1195"/>
      <c r="BZ81" s="1195"/>
      <c r="CA81" s="1194">
        <f>-(AVERAGE(CA77,CA79))*(CA$75)</f>
        <v>-15.375</v>
      </c>
      <c r="CB81" s="1229">
        <f>-(AVERAGE(CB77,CB79))*(CB$75/4)</f>
        <v>-3.75</v>
      </c>
      <c r="CC81" s="1229">
        <f>-(AVERAGE(CC77,CC79))*(CC$75/4)</f>
        <v>-3.75</v>
      </c>
      <c r="CD81" s="1229">
        <f>-(AVERAGE(CD77,CD79))*(CD$75/4)</f>
        <v>-1.875</v>
      </c>
      <c r="CE81" s="1229">
        <f>-(AVERAGE(CE77,CE79))*(CE$75/4)</f>
        <v>-4.6875</v>
      </c>
      <c r="CF81" s="1194">
        <f>SUM(CB81:CE81)</f>
        <v>-14.0625</v>
      </c>
      <c r="CG81" s="1229">
        <f>-(AVERAGE(CG77,CG79))*(CG$75/4)</f>
        <v>-9.375</v>
      </c>
      <c r="CH81" s="1229">
        <f>-(AVERAGE(CH77,CH79))*(CH$75/4)</f>
        <v>-9.375</v>
      </c>
      <c r="CI81" s="1229">
        <f>-(AVERAGE(CI77,CI79))*(CI$75/4)</f>
        <v>-9.84375</v>
      </c>
      <c r="CJ81" s="1229">
        <f>-(AVERAGE(CJ77,CJ79))*(CJ$75/4)</f>
        <v>-9.84375</v>
      </c>
      <c r="CK81" s="1194">
        <f>SUM(CG81:CJ81)</f>
        <v>-38.4375</v>
      </c>
      <c r="CL81" s="1229">
        <f>-(AVERAGE(CL77,CL79))*(CL$75/4)</f>
        <v>-8.4375</v>
      </c>
      <c r="CM81" s="1229">
        <f>-(AVERAGE(CM77,CM79))*(CM$75/4)</f>
        <v>-8.4375</v>
      </c>
      <c r="CN81" s="1229">
        <f>-(AVERAGE(CN77,CN79))*(CN$75/4)</f>
        <v>-8.4375</v>
      </c>
      <c r="CO81" s="1229">
        <f>-(AVERAGE(CO77,CO79))*(CO$75/4)</f>
        <v>-11.25</v>
      </c>
      <c r="CP81" s="1194">
        <f>SUM(CL81:CO81)</f>
        <v>-36.5625</v>
      </c>
      <c r="CQ81" s="1229">
        <f>-(AVERAGE(CQ77,CQ79))*(CQ$75/4)</f>
        <v>-11.25</v>
      </c>
      <c r="CR81" s="1229">
        <f>-(AVERAGE(CR77,CR79))*(CR$75/4)</f>
        <v>-18.75</v>
      </c>
      <c r="CS81" s="1229">
        <f>-(AVERAGE(CS77,CS79))*(CS$75/4)</f>
        <v>-18.75</v>
      </c>
      <c r="CT81" s="1229">
        <f>-(AVERAGE(CT77,CT79))*(CT$75/4)</f>
        <v>-17.9375</v>
      </c>
      <c r="CU81" s="1194">
        <f>SUM(CQ81:CT81)</f>
        <v>-66.6875</v>
      </c>
      <c r="CV81" s="1229">
        <f>-(AVERAGE(CV77,CV79))*(CV$75/4)</f>
        <v>-0.94187499999999991</v>
      </c>
      <c r="CW81" s="1229">
        <f>-(AVERAGE(CW77,CW79))*(CW$75/4)</f>
        <v>-0.94187499999999991</v>
      </c>
      <c r="CX81" s="1229">
        <f>-(AVERAGE(CX77,CX79))*(CX$75/4)</f>
        <v>-0.94187499999999991</v>
      </c>
      <c r="CY81" s="1229">
        <f>-(AVERAGE(CY77,CY79))*(CY$75/4)</f>
        <v>-0.94187499999999991</v>
      </c>
      <c r="CZ81" s="1194">
        <f>SUM(CV81:CY81)</f>
        <v>-3.7674999999999996</v>
      </c>
      <c r="DA81" s="1229">
        <f>-(AVERAGE(DA77,DA79))*(DA$75/4)</f>
        <v>-0.94187499999999991</v>
      </c>
      <c r="DB81" s="1229">
        <f>-(AVERAGE(DB77,DB79))*(DB$75/4)</f>
        <v>-0.94187499999999991</v>
      </c>
      <c r="DC81" s="1229">
        <f>-(AVERAGE(DC77,DC79))*(DC$75/4)</f>
        <v>-0.94187499999999991</v>
      </c>
      <c r="DD81" s="1229">
        <f>-(AVERAGE(DD77,DD79))*(DD$75/4)</f>
        <v>-0.94187499999999991</v>
      </c>
      <c r="DE81" s="1194">
        <f>SUM(DA81:DD81)</f>
        <v>-3.7674999999999996</v>
      </c>
      <c r="DF81" s="1229">
        <f>-(AVERAGE(DF77,DF79))*(DF$75/4)</f>
        <v>-0.94187499999999991</v>
      </c>
      <c r="DG81" s="1229">
        <f>-(AVERAGE(DG77,DG79))*(DG$75/4)</f>
        <v>-0.94187499999999991</v>
      </c>
      <c r="DH81" s="1229">
        <f>-(AVERAGE(DH77,DH79))*(DH$75/4)</f>
        <v>-0.94187499999999991</v>
      </c>
      <c r="DI81" s="1229">
        <f>-(AVERAGE(DI77,DI79))*(DI$75/4)</f>
        <v>-0.94187499999999991</v>
      </c>
      <c r="DJ81" s="1194">
        <f>SUM(DF81:DI81)</f>
        <v>-3.7674999999999996</v>
      </c>
      <c r="DK81" s="1229">
        <f>-(AVERAGE(DK77,DK79))*(DK$75/4)</f>
        <v>-0.94187499999999991</v>
      </c>
      <c r="DL81" s="1229">
        <f>-(AVERAGE(DL77,DL79))*(DL$75/4)</f>
        <v>-0.94187499999999991</v>
      </c>
      <c r="DM81" s="1229">
        <f>-(AVERAGE(DM77,DM79))*(DM$75/4)</f>
        <v>-0.94187499999999991</v>
      </c>
      <c r="DN81" s="1229">
        <f>-(AVERAGE(DN77,DN79))*(DN$75/4)</f>
        <v>-0.94187499999999991</v>
      </c>
      <c r="DO81" s="1194">
        <f>SUM(DK81:DN81)</f>
        <v>-3.7674999999999996</v>
      </c>
      <c r="DP81" s="1229">
        <f>-(AVERAGE(DP77,DP79))*(DP$75/4)</f>
        <v>-0.94187499999999991</v>
      </c>
      <c r="DQ81" s="1229">
        <f>-(AVERAGE(DQ77,DQ79))*(DQ$75/4)</f>
        <v>-0.94187499999999991</v>
      </c>
      <c r="DR81" s="1229">
        <f>-(AVERAGE(DR77,DR79))*(DR$75/4)</f>
        <v>-0.94187499999999991</v>
      </c>
      <c r="DS81" s="1229">
        <f>-(AVERAGE(DS77,DS79))*(DS$75/4)</f>
        <v>-0.94187499999999991</v>
      </c>
      <c r="DT81" s="1194">
        <f>SUM(DP81:DS81)</f>
        <v>-3.7674999999999996</v>
      </c>
      <c r="DU81" s="1229">
        <f>-(AVERAGE(DU77,DU79))*(DU$75/4)</f>
        <v>-0.94187499999999991</v>
      </c>
      <c r="DV81" s="1229">
        <f>-(AVERAGE(DV77,DV79))*(DV$75/4)</f>
        <v>-0.94187499999999991</v>
      </c>
      <c r="DW81" s="1229">
        <f>-(AVERAGE(DW77,DW79))*(DW$75/4)</f>
        <v>-0.94187499999999991</v>
      </c>
      <c r="DX81" s="1229">
        <f>-(AVERAGE(DX77,DX79))*(DX$75/4)</f>
        <v>-0.94187499999999991</v>
      </c>
      <c r="DY81" s="1194">
        <f>SUM(DU81:DX81)</f>
        <v>-3.7674999999999996</v>
      </c>
    </row>
    <row r="82" spans="1:129" ht="12" thickBot="1" x14ac:dyDescent="0.25">
      <c r="A82" s="1223"/>
      <c r="B82" s="1250" t="s">
        <v>1157</v>
      </c>
      <c r="C82" s="1251"/>
      <c r="D82" s="1251"/>
      <c r="E82" s="1251"/>
      <c r="F82" s="1251"/>
      <c r="G82" s="1251"/>
      <c r="H82" s="1251"/>
      <c r="I82" s="1251"/>
      <c r="J82" s="1251"/>
      <c r="K82" s="1251"/>
      <c r="L82" s="1251"/>
      <c r="M82" s="1251"/>
      <c r="N82" s="1251"/>
      <c r="O82" s="1251"/>
      <c r="P82" s="1251"/>
      <c r="Q82" s="1251"/>
      <c r="R82" s="1251"/>
      <c r="S82" s="1251"/>
      <c r="T82" s="1251"/>
      <c r="U82" s="1251"/>
      <c r="V82" s="1251"/>
      <c r="W82" s="1251"/>
      <c r="X82" s="1252"/>
      <c r="Y82" s="1251"/>
      <c r="Z82" s="1251"/>
      <c r="AA82" s="1251"/>
      <c r="AB82" s="1251"/>
      <c r="AC82" s="1252"/>
      <c r="AD82" s="1251"/>
      <c r="AE82" s="1251"/>
      <c r="AF82" s="1251"/>
      <c r="AG82" s="1251"/>
      <c r="AH82" s="1252"/>
      <c r="AI82" s="1251"/>
      <c r="AJ82" s="1251"/>
      <c r="AK82" s="1251"/>
      <c r="AL82" s="1251"/>
      <c r="AM82" s="1252"/>
      <c r="AN82" s="1251"/>
      <c r="AO82" s="1251"/>
      <c r="AP82" s="1251"/>
      <c r="AQ82" s="1253"/>
      <c r="AR82" s="1252"/>
      <c r="AS82" s="1253"/>
      <c r="AT82" s="1253"/>
      <c r="AU82" s="1253"/>
      <c r="AV82" s="1253"/>
      <c r="AW82" s="1252"/>
      <c r="AX82" s="1253"/>
      <c r="AY82" s="1253"/>
      <c r="AZ82" s="1253"/>
      <c r="BA82" s="1253"/>
      <c r="BB82" s="1252"/>
      <c r="BC82" s="1253"/>
      <c r="BD82" s="1253"/>
      <c r="BE82" s="1253"/>
      <c r="BF82" s="1253"/>
      <c r="BG82" s="1252"/>
      <c r="BH82" s="1253"/>
      <c r="BI82" s="1253"/>
      <c r="BJ82" s="1253"/>
      <c r="BK82" s="1253"/>
      <c r="BL82" s="1255"/>
      <c r="BM82" s="1254"/>
      <c r="BN82" s="1254"/>
      <c r="BO82" s="1254"/>
      <c r="BP82" s="1254"/>
      <c r="BQ82" s="1255"/>
      <c r="BR82" s="1254"/>
      <c r="BS82" s="1254"/>
      <c r="BT82" s="1254"/>
      <c r="BU82" s="1254"/>
      <c r="BV82" s="1255"/>
      <c r="BW82" s="1254"/>
      <c r="BX82" s="1254"/>
      <c r="BY82" s="1254"/>
      <c r="BZ82" s="1254"/>
      <c r="CA82" s="1255"/>
      <c r="CB82" s="1254">
        <f>-CB74*CB80/4</f>
        <v>0</v>
      </c>
      <c r="CC82" s="1254">
        <f>-CC74*CC80/4</f>
        <v>0</v>
      </c>
      <c r="CD82" s="1254">
        <f>-CD74*CD80/4</f>
        <v>0</v>
      </c>
      <c r="CE82" s="1254">
        <f>-CE74*CE80/4</f>
        <v>0</v>
      </c>
      <c r="CF82" s="1255"/>
      <c r="CG82" s="1254">
        <f>-CG74*CG80/4</f>
        <v>0</v>
      </c>
      <c r="CH82" s="1254">
        <f>-CH74*CH80/4</f>
        <v>0</v>
      </c>
      <c r="CI82" s="1254">
        <f>-CI74*CI80/4</f>
        <v>0</v>
      </c>
      <c r="CJ82" s="1254">
        <f>-CJ74*CJ80/4</f>
        <v>0</v>
      </c>
      <c r="CK82" s="1255"/>
      <c r="CL82" s="1254">
        <f>-CL74*CL80/4</f>
        <v>0</v>
      </c>
      <c r="CM82" s="1254">
        <f>-CM74*CM80/4</f>
        <v>0</v>
      </c>
      <c r="CN82" s="1254">
        <f>-CN74*CN80/4</f>
        <v>0</v>
      </c>
      <c r="CO82" s="1254">
        <f>-CO74*CO80/4</f>
        <v>0</v>
      </c>
      <c r="CP82" s="1255"/>
      <c r="CQ82" s="1254">
        <f>-CQ74*CQ80/4</f>
        <v>0</v>
      </c>
      <c r="CR82" s="1254">
        <f>-CR74*CR80/4</f>
        <v>0</v>
      </c>
      <c r="CS82" s="1254">
        <f>-CS74*CS80/4</f>
        <v>0</v>
      </c>
      <c r="CT82" s="1254">
        <f>-CT74*CT80/4</f>
        <v>0</v>
      </c>
      <c r="CU82" s="1255"/>
      <c r="CV82" s="1254">
        <f>-CV74*CV80/4</f>
        <v>0</v>
      </c>
      <c r="CW82" s="1254">
        <f>-CW74*CW80/4</f>
        <v>0</v>
      </c>
      <c r="CX82" s="1254">
        <f>-CX74*CX80/4</f>
        <v>0</v>
      </c>
      <c r="CY82" s="1254">
        <f>-CY74*CY80/4</f>
        <v>0</v>
      </c>
      <c r="CZ82" s="1255"/>
      <c r="DA82" s="1254">
        <f>-DA74*DA80/4</f>
        <v>0</v>
      </c>
      <c r="DB82" s="1254">
        <f>-DB74*DB80/4</f>
        <v>0</v>
      </c>
      <c r="DC82" s="1254">
        <f>-DC74*DC80/4</f>
        <v>0</v>
      </c>
      <c r="DD82" s="1254">
        <f>-DD74*DD80/4</f>
        <v>0</v>
      </c>
      <c r="DE82" s="1255"/>
      <c r="DF82" s="1254">
        <f>-DF74*DF80/4</f>
        <v>0</v>
      </c>
      <c r="DG82" s="1254">
        <f>-DG74*DG80/4</f>
        <v>0</v>
      </c>
      <c r="DH82" s="1254">
        <f>-DH74*DH80/4</f>
        <v>0</v>
      </c>
      <c r="DI82" s="1254">
        <f>-DI74*DI80/4</f>
        <v>0</v>
      </c>
      <c r="DJ82" s="1255"/>
      <c r="DK82" s="1254">
        <f>-DK74*DK80/4</f>
        <v>0</v>
      </c>
      <c r="DL82" s="1254">
        <f>-DL74*DL80/4</f>
        <v>0</v>
      </c>
      <c r="DM82" s="1254">
        <f>-DM74*DM80/4</f>
        <v>0</v>
      </c>
      <c r="DN82" s="1254">
        <f>-DN74*DN80/4</f>
        <v>0</v>
      </c>
      <c r="DO82" s="1255"/>
      <c r="DP82" s="1254">
        <f>-DP74*DP80/4</f>
        <v>0</v>
      </c>
      <c r="DQ82" s="1254">
        <f>-DQ74*DQ80/4</f>
        <v>0</v>
      </c>
      <c r="DR82" s="1254">
        <f>-DR74*DR80/4</f>
        <v>0</v>
      </c>
      <c r="DS82" s="1254">
        <f>-DS74*DS80/4</f>
        <v>0</v>
      </c>
      <c r="DT82" s="1255"/>
      <c r="DU82" s="1254">
        <f>-DU74*DU80/4</f>
        <v>0</v>
      </c>
      <c r="DV82" s="1254">
        <f>-DV74*DV80/4</f>
        <v>0</v>
      </c>
      <c r="DW82" s="1254">
        <f>-DW74*DW80/4</f>
        <v>0</v>
      </c>
      <c r="DX82" s="1254">
        <f>-DX74*DX80/4</f>
        <v>0</v>
      </c>
      <c r="DY82" s="1255"/>
    </row>
    <row r="83" spans="1:129" ht="12" thickBot="1" x14ac:dyDescent="0.25">
      <c r="A83" s="1240"/>
      <c r="B83" s="1240"/>
      <c r="C83" s="1214"/>
      <c r="D83" s="1214"/>
      <c r="E83" s="1214"/>
      <c r="F83" s="1214"/>
      <c r="G83" s="1214"/>
      <c r="H83" s="1214"/>
      <c r="I83" s="1214"/>
      <c r="J83" s="1214"/>
      <c r="K83" s="1214"/>
      <c r="L83" s="1214"/>
      <c r="M83" s="1214"/>
      <c r="N83" s="1214"/>
      <c r="O83" s="1214"/>
      <c r="P83" s="1214"/>
      <c r="Q83" s="1214"/>
      <c r="R83" s="1214"/>
      <c r="S83" s="1214"/>
      <c r="T83" s="1214"/>
      <c r="U83" s="1214"/>
      <c r="V83" s="1214"/>
      <c r="W83" s="1214"/>
      <c r="X83" s="1214"/>
      <c r="Y83" s="1214"/>
      <c r="Z83" s="1214"/>
      <c r="AA83" s="1214"/>
      <c r="AB83" s="1214"/>
      <c r="AC83" s="1214"/>
      <c r="AD83" s="1214"/>
      <c r="AE83" s="1214"/>
      <c r="AF83" s="1214"/>
      <c r="AG83" s="1214"/>
      <c r="AH83" s="1214"/>
      <c r="AI83" s="1214"/>
      <c r="AJ83" s="1214"/>
      <c r="AK83" s="1214"/>
      <c r="AL83" s="1214"/>
      <c r="AM83" s="1214"/>
      <c r="AN83" s="1214"/>
      <c r="AO83" s="1214"/>
      <c r="AP83" s="1214"/>
      <c r="AQ83" s="1215"/>
      <c r="AR83" s="1215"/>
      <c r="AS83" s="1215"/>
      <c r="AT83" s="1215"/>
      <c r="AU83" s="1215"/>
      <c r="AV83" s="1240"/>
      <c r="AW83" s="1240"/>
      <c r="AX83" s="1240"/>
      <c r="AY83" s="1240"/>
      <c r="AZ83" s="1240"/>
      <c r="BA83" s="1240"/>
      <c r="BB83" s="1240"/>
      <c r="BC83" s="1240"/>
      <c r="BD83" s="1240"/>
      <c r="BE83" s="1240"/>
      <c r="BF83" s="1240"/>
      <c r="BG83" s="1240"/>
      <c r="BH83" s="1240"/>
      <c r="BI83" s="1240"/>
      <c r="BJ83" s="1240"/>
      <c r="BK83" s="1240"/>
      <c r="BL83" s="1308"/>
      <c r="BM83" s="1308"/>
      <c r="BN83" s="1308"/>
      <c r="BO83" s="1308"/>
      <c r="BP83" s="1308"/>
      <c r="BQ83" s="1308"/>
      <c r="BR83" s="1308"/>
      <c r="BS83" s="1308"/>
      <c r="BT83" s="1308"/>
      <c r="BU83" s="1308"/>
      <c r="BV83" s="1308"/>
      <c r="BW83" s="1308"/>
      <c r="BX83" s="1308"/>
      <c r="BY83" s="1308"/>
      <c r="BZ83" s="1308"/>
      <c r="CA83" s="1308"/>
      <c r="CB83" s="1308"/>
      <c r="CC83" s="1308"/>
      <c r="CD83" s="1308"/>
      <c r="CE83" s="1308"/>
      <c r="CF83" s="1308"/>
      <c r="CG83" s="1308"/>
      <c r="CH83" s="1308"/>
      <c r="CI83" s="1308"/>
      <c r="CJ83" s="1308"/>
      <c r="CK83" s="1308"/>
      <c r="CL83" s="1308"/>
      <c r="CM83" s="1308"/>
      <c r="CN83" s="1308"/>
      <c r="CO83" s="1308"/>
      <c r="CP83" s="1308"/>
      <c r="CQ83" s="1308"/>
      <c r="CR83" s="1308"/>
      <c r="CS83" s="1308"/>
      <c r="CT83" s="1308"/>
      <c r="CU83" s="1308"/>
      <c r="CV83" s="1308"/>
      <c r="CW83" s="1308"/>
      <c r="CX83" s="1308"/>
      <c r="CY83" s="1308"/>
      <c r="CZ83" s="1308"/>
      <c r="DA83" s="1308"/>
      <c r="DB83" s="1308"/>
      <c r="DC83" s="1308"/>
      <c r="DD83" s="1308"/>
      <c r="DE83" s="1308"/>
      <c r="DF83" s="1308"/>
      <c r="DG83" s="1308"/>
      <c r="DH83" s="1308"/>
      <c r="DI83" s="1308"/>
      <c r="DJ83" s="1308"/>
      <c r="DK83" s="1308"/>
      <c r="DL83" s="1308"/>
      <c r="DM83" s="1308"/>
      <c r="DN83" s="1308"/>
      <c r="DO83" s="1308"/>
      <c r="DP83" s="1308"/>
      <c r="DQ83" s="1308"/>
      <c r="DR83" s="1308"/>
      <c r="DS83" s="1308"/>
      <c r="DT83" s="1308"/>
      <c r="DU83" s="1308"/>
      <c r="DV83" s="1308"/>
      <c r="DW83" s="1308"/>
      <c r="DX83" s="1308"/>
      <c r="DY83" s="1308"/>
    </row>
    <row r="84" spans="1:129" ht="12" thickBot="1" x14ac:dyDescent="0.25">
      <c r="A84" s="1123"/>
      <c r="B84" s="1282" t="s">
        <v>1158</v>
      </c>
      <c r="C84" s="1309"/>
      <c r="D84" s="1310"/>
      <c r="E84" s="1310"/>
      <c r="F84" s="1310"/>
      <c r="G84" s="1310"/>
      <c r="H84" s="1310"/>
      <c r="I84" s="1310"/>
      <c r="J84" s="1310"/>
      <c r="K84" s="1310"/>
      <c r="L84" s="1310"/>
      <c r="M84" s="1310"/>
      <c r="N84" s="1310"/>
      <c r="O84" s="1310"/>
      <c r="P84" s="1310"/>
      <c r="Q84" s="1310"/>
      <c r="R84" s="1310"/>
      <c r="S84" s="1310"/>
      <c r="T84" s="1310"/>
      <c r="U84" s="1310"/>
      <c r="V84" s="1310"/>
      <c r="W84" s="1310"/>
      <c r="X84" s="1309"/>
      <c r="Y84" s="1309"/>
      <c r="Z84" s="1309"/>
      <c r="AA84" s="1309"/>
      <c r="AB84" s="1309"/>
      <c r="AC84" s="1309"/>
      <c r="AD84" s="1309"/>
      <c r="AE84" s="1309"/>
      <c r="AF84" s="1309"/>
      <c r="AG84" s="1309"/>
      <c r="AH84" s="1309"/>
      <c r="AI84" s="1309"/>
      <c r="AJ84" s="1309"/>
      <c r="AK84" s="1309"/>
      <c r="AL84" s="1309"/>
      <c r="AM84" s="1309"/>
      <c r="AN84" s="1309"/>
      <c r="AO84" s="1309"/>
      <c r="AP84" s="1309"/>
      <c r="AQ84" s="1311"/>
      <c r="AR84" s="1311"/>
      <c r="AS84" s="1311"/>
      <c r="AT84" s="1311"/>
      <c r="AU84" s="1311"/>
      <c r="AV84" s="1312"/>
      <c r="AW84" s="1312"/>
      <c r="AX84" s="1312"/>
      <c r="AY84" s="1312"/>
      <c r="AZ84" s="1312"/>
      <c r="BA84" s="1312"/>
      <c r="BB84" s="1312"/>
      <c r="BC84" s="1312"/>
      <c r="BD84" s="1312"/>
      <c r="BE84" s="1312"/>
      <c r="BF84" s="1312"/>
      <c r="BG84" s="1312"/>
      <c r="BH84" s="1312"/>
      <c r="BI84" s="1312"/>
      <c r="BJ84" s="1312"/>
      <c r="BK84" s="1312"/>
      <c r="BL84" s="1313"/>
      <c r="BM84" s="1314"/>
      <c r="BN84" s="1314"/>
      <c r="BO84" s="1314"/>
      <c r="BP84" s="1314"/>
      <c r="BQ84" s="1313"/>
      <c r="BR84" s="1314"/>
      <c r="BS84" s="1314"/>
      <c r="BT84" s="1314"/>
      <c r="BU84" s="1314"/>
      <c r="BV84" s="1313"/>
      <c r="BW84" s="1314"/>
      <c r="BX84" s="1314"/>
      <c r="BY84" s="1314"/>
      <c r="BZ84" s="1314"/>
      <c r="CA84" s="1313"/>
      <c r="CB84" s="1314"/>
      <c r="CC84" s="1314"/>
      <c r="CD84" s="1314"/>
      <c r="CE84" s="1314"/>
      <c r="CF84" s="1313"/>
      <c r="CG84" s="1314"/>
      <c r="CH84" s="1314"/>
      <c r="CI84" s="1314"/>
      <c r="CJ84" s="1314"/>
      <c r="CK84" s="1313"/>
      <c r="CL84" s="1314"/>
      <c r="CM84" s="1314"/>
      <c r="CN84" s="1314"/>
      <c r="CO84" s="1314"/>
      <c r="CP84" s="1313"/>
      <c r="CQ84" s="1314"/>
      <c r="CR84" s="1314"/>
      <c r="CS84" s="1314"/>
      <c r="CT84" s="1314"/>
      <c r="CU84" s="1313"/>
      <c r="CV84" s="1314"/>
      <c r="CW84" s="1314"/>
      <c r="CX84" s="1314"/>
      <c r="CY84" s="1314"/>
      <c r="CZ84" s="1313"/>
      <c r="DA84" s="1314"/>
      <c r="DB84" s="1314"/>
      <c r="DC84" s="1314"/>
      <c r="DD84" s="1314"/>
      <c r="DE84" s="1313"/>
      <c r="DF84" s="1314"/>
      <c r="DG84" s="1314"/>
      <c r="DH84" s="1314"/>
      <c r="DI84" s="1314"/>
      <c r="DJ84" s="1313"/>
      <c r="DK84" s="1314"/>
      <c r="DL84" s="1314"/>
      <c r="DM84" s="1314"/>
      <c r="DN84" s="1314"/>
      <c r="DO84" s="1313"/>
      <c r="DP84" s="1314"/>
      <c r="DQ84" s="1314"/>
      <c r="DR84" s="1314"/>
      <c r="DS84" s="1314"/>
      <c r="DT84" s="1313"/>
      <c r="DU84" s="1314"/>
      <c r="DV84" s="1314"/>
      <c r="DW84" s="1314"/>
      <c r="DX84" s="1314"/>
      <c r="DY84" s="1313"/>
    </row>
    <row r="85" spans="1:129" x14ac:dyDescent="0.2">
      <c r="A85" s="532"/>
      <c r="B85" s="1287" t="s">
        <v>1149</v>
      </c>
      <c r="C85" s="650"/>
      <c r="D85" s="650"/>
      <c r="E85" s="650"/>
      <c r="F85" s="650"/>
      <c r="G85" s="650"/>
      <c r="H85" s="650"/>
      <c r="I85" s="650"/>
      <c r="J85" s="650"/>
      <c r="K85" s="650"/>
      <c r="L85" s="650"/>
      <c r="M85" s="650"/>
      <c r="N85" s="650"/>
      <c r="O85" s="650"/>
      <c r="P85" s="650"/>
      <c r="Q85" s="650"/>
      <c r="R85" s="650"/>
      <c r="S85" s="650"/>
      <c r="T85" s="650"/>
      <c r="U85" s="650"/>
      <c r="V85" s="650"/>
      <c r="W85" s="650"/>
      <c r="X85" s="1288"/>
      <c r="Y85" s="650"/>
      <c r="Z85" s="650"/>
      <c r="AA85" s="650"/>
      <c r="AB85" s="650"/>
      <c r="AC85" s="1288"/>
      <c r="AD85" s="650"/>
      <c r="AE85" s="650"/>
      <c r="AF85" s="650"/>
      <c r="AG85" s="650"/>
      <c r="AH85" s="1288"/>
      <c r="AI85" s="650"/>
      <c r="AJ85" s="650"/>
      <c r="AK85" s="650"/>
      <c r="AL85" s="650"/>
      <c r="AM85" s="1288"/>
      <c r="AN85" s="650"/>
      <c r="AO85" s="650"/>
      <c r="AP85" s="650"/>
      <c r="AQ85" s="650"/>
      <c r="AR85" s="1288"/>
      <c r="AS85" s="650"/>
      <c r="AT85" s="650"/>
      <c r="AU85" s="650"/>
      <c r="AV85" s="650"/>
      <c r="AW85" s="1288"/>
      <c r="AX85" s="650"/>
      <c r="AY85" s="650"/>
      <c r="AZ85" s="650"/>
      <c r="BA85" s="650"/>
      <c r="BB85" s="1288"/>
      <c r="BC85" s="650"/>
      <c r="BD85" s="650"/>
      <c r="BE85" s="650"/>
      <c r="BF85" s="650"/>
      <c r="BG85" s="1288"/>
      <c r="BH85" s="650"/>
      <c r="BI85" s="650"/>
      <c r="BJ85" s="650"/>
      <c r="BK85" s="650"/>
      <c r="BL85" s="1315"/>
      <c r="BM85" s="1291"/>
      <c r="BN85" s="1291"/>
      <c r="BO85" s="1291"/>
      <c r="BP85" s="1291"/>
      <c r="BQ85" s="1315"/>
      <c r="BR85" s="1291"/>
      <c r="BS85" s="1291"/>
      <c r="BT85" s="1291"/>
      <c r="BU85" s="1291"/>
      <c r="BV85" s="1315"/>
      <c r="BW85" s="1291"/>
      <c r="BX85" s="1291"/>
      <c r="BY85" s="1291"/>
      <c r="BZ85" s="1291"/>
      <c r="CA85" s="1315"/>
      <c r="CB85" s="1291"/>
      <c r="CC85" s="1291"/>
      <c r="CD85" s="1291"/>
      <c r="CE85" s="1291"/>
      <c r="CF85" s="1315"/>
      <c r="CG85" s="1291"/>
      <c r="CH85" s="1291"/>
      <c r="CI85" s="1291"/>
      <c r="CJ85" s="1291"/>
      <c r="CK85" s="1315"/>
      <c r="CL85" s="1291"/>
      <c r="CM85" s="1291"/>
      <c r="CN85" s="1291"/>
      <c r="CO85" s="1291"/>
      <c r="CP85" s="1315"/>
      <c r="CQ85" s="1291"/>
      <c r="CR85" s="1291"/>
      <c r="CS85" s="1291"/>
      <c r="CT85" s="1291"/>
      <c r="CU85" s="1315"/>
      <c r="CV85" s="1291"/>
      <c r="CW85" s="1291"/>
      <c r="CX85" s="1291"/>
      <c r="CY85" s="1291"/>
      <c r="CZ85" s="1315"/>
      <c r="DA85" s="1291"/>
      <c r="DB85" s="1291"/>
      <c r="DC85" s="1291"/>
      <c r="DD85" s="1291"/>
      <c r="DE85" s="1315"/>
      <c r="DF85" s="1291"/>
      <c r="DG85" s="1291"/>
      <c r="DH85" s="1291"/>
      <c r="DI85" s="1291"/>
      <c r="DJ85" s="1315"/>
      <c r="DK85" s="1291"/>
      <c r="DL85" s="1291"/>
      <c r="DM85" s="1291"/>
      <c r="DN85" s="1291"/>
      <c r="DO85" s="1315"/>
      <c r="DP85" s="1291"/>
      <c r="DQ85" s="1291"/>
      <c r="DR85" s="1291"/>
      <c r="DS85" s="1291"/>
      <c r="DT85" s="1315"/>
      <c r="DU85" s="1291"/>
      <c r="DV85" s="1291"/>
      <c r="DW85" s="1291"/>
      <c r="DX85" s="1291"/>
      <c r="DY85" s="1315"/>
    </row>
    <row r="86" spans="1:129" x14ac:dyDescent="0.2">
      <c r="A86" s="532"/>
      <c r="B86" s="1287" t="s">
        <v>1150</v>
      </c>
      <c r="C86" s="650"/>
      <c r="D86" s="650"/>
      <c r="E86" s="650"/>
      <c r="F86" s="650"/>
      <c r="G86" s="650"/>
      <c r="H86" s="650"/>
      <c r="I86" s="650"/>
      <c r="J86" s="650"/>
      <c r="K86" s="650"/>
      <c r="L86" s="650"/>
      <c r="M86" s="650"/>
      <c r="N86" s="650"/>
      <c r="O86" s="650"/>
      <c r="P86" s="650"/>
      <c r="Q86" s="650"/>
      <c r="R86" s="650"/>
      <c r="S86" s="650"/>
      <c r="T86" s="650"/>
      <c r="U86" s="650"/>
      <c r="V86" s="650"/>
      <c r="W86" s="650"/>
      <c r="X86" s="1288"/>
      <c r="Y86" s="650"/>
      <c r="Z86" s="650"/>
      <c r="AA86" s="650"/>
      <c r="AB86" s="650"/>
      <c r="AC86" s="1288"/>
      <c r="AD86" s="650"/>
      <c r="AE86" s="650"/>
      <c r="AF86" s="650"/>
      <c r="AG86" s="650"/>
      <c r="AH86" s="1288"/>
      <c r="AI86" s="650"/>
      <c r="AJ86" s="650"/>
      <c r="AK86" s="650"/>
      <c r="AL86" s="650"/>
      <c r="AM86" s="1288"/>
      <c r="AN86" s="650"/>
      <c r="AO86" s="650"/>
      <c r="AP86" s="650"/>
      <c r="AQ86" s="650"/>
      <c r="AR86" s="1288"/>
      <c r="AS86" s="650"/>
      <c r="AT86" s="650"/>
      <c r="AU86" s="650"/>
      <c r="AV86" s="650"/>
      <c r="AW86" s="1288"/>
      <c r="AX86" s="650"/>
      <c r="AY86" s="650"/>
      <c r="AZ86" s="650"/>
      <c r="BA86" s="650"/>
      <c r="BB86" s="1288"/>
      <c r="BC86" s="650"/>
      <c r="BD86" s="650"/>
      <c r="BE86" s="650"/>
      <c r="BF86" s="650"/>
      <c r="BG86" s="1289"/>
      <c r="BH86" s="650"/>
      <c r="BI86" s="650"/>
      <c r="BJ86" s="650"/>
      <c r="BK86" s="650"/>
      <c r="BL86" s="1290"/>
      <c r="BM86" s="1291"/>
      <c r="BN86" s="1291"/>
      <c r="BO86" s="1291"/>
      <c r="BP86" s="1291"/>
      <c r="BQ86" s="1290">
        <v>0.05</v>
      </c>
      <c r="BR86" s="1291"/>
      <c r="BS86" s="1291"/>
      <c r="BT86" s="1291"/>
      <c r="BU86" s="1291"/>
      <c r="BV86" s="1290">
        <v>0.05</v>
      </c>
      <c r="BW86" s="1291"/>
      <c r="BX86" s="1291"/>
      <c r="BY86" s="1291"/>
      <c r="BZ86" s="1291"/>
      <c r="CA86" s="1290">
        <v>0.05</v>
      </c>
      <c r="CB86" s="1292">
        <v>0.05</v>
      </c>
      <c r="CC86" s="1292">
        <v>0.05</v>
      </c>
      <c r="CD86" s="1292">
        <f>CC86</f>
        <v>0.05</v>
      </c>
      <c r="CE86" s="1292">
        <f>CD86</f>
        <v>0.05</v>
      </c>
      <c r="CF86" s="1290"/>
      <c r="CG86" s="1292">
        <f>CE86</f>
        <v>0.05</v>
      </c>
      <c r="CH86" s="1292">
        <f>CG86</f>
        <v>0.05</v>
      </c>
      <c r="CI86" s="1292">
        <f>CH86</f>
        <v>0.05</v>
      </c>
      <c r="CJ86" s="1292">
        <f>CI86</f>
        <v>0.05</v>
      </c>
      <c r="CK86" s="1290"/>
      <c r="CL86" s="1292">
        <f>CJ86</f>
        <v>0.05</v>
      </c>
      <c r="CM86" s="1292">
        <f>CL86</f>
        <v>0.05</v>
      </c>
      <c r="CN86" s="1292">
        <f>CM86</f>
        <v>0.05</v>
      </c>
      <c r="CO86" s="1292">
        <f>CN86</f>
        <v>0.05</v>
      </c>
      <c r="CP86" s="1290"/>
      <c r="CQ86" s="1292">
        <f>CO86</f>
        <v>0.05</v>
      </c>
      <c r="CR86" s="1292">
        <f>CQ86</f>
        <v>0.05</v>
      </c>
      <c r="CS86" s="1292">
        <f>CR86</f>
        <v>0.05</v>
      </c>
      <c r="CT86" s="1292">
        <f>CS86</f>
        <v>0.05</v>
      </c>
      <c r="CU86" s="1290"/>
      <c r="CV86" s="1292">
        <f>CT86</f>
        <v>0.05</v>
      </c>
      <c r="CW86" s="1292">
        <f>CV86</f>
        <v>0.05</v>
      </c>
      <c r="CX86" s="1292">
        <f>CW86</f>
        <v>0.05</v>
      </c>
      <c r="CY86" s="1292">
        <f>CX86</f>
        <v>0.05</v>
      </c>
      <c r="CZ86" s="1290"/>
      <c r="DA86" s="1292">
        <f>CY86</f>
        <v>0.05</v>
      </c>
      <c r="DB86" s="1292">
        <f>DA86</f>
        <v>0.05</v>
      </c>
      <c r="DC86" s="1292">
        <f>DB86</f>
        <v>0.05</v>
      </c>
      <c r="DD86" s="1292">
        <f>DC86</f>
        <v>0.05</v>
      </c>
      <c r="DE86" s="1290"/>
      <c r="DF86" s="1292">
        <f>DD86</f>
        <v>0.05</v>
      </c>
      <c r="DG86" s="1292">
        <f>DF86</f>
        <v>0.05</v>
      </c>
      <c r="DH86" s="1292">
        <f>DG86</f>
        <v>0.05</v>
      </c>
      <c r="DI86" s="1292">
        <f>DH86</f>
        <v>0.05</v>
      </c>
      <c r="DJ86" s="1290"/>
      <c r="DK86" s="1292">
        <f>DI86</f>
        <v>0.05</v>
      </c>
      <c r="DL86" s="1292">
        <f>DK86</f>
        <v>0.05</v>
      </c>
      <c r="DM86" s="1292">
        <f>DL86</f>
        <v>0.05</v>
      </c>
      <c r="DN86" s="1292">
        <f>DM86</f>
        <v>0.05</v>
      </c>
      <c r="DO86" s="1290"/>
      <c r="DP86" s="1292">
        <f>DN86</f>
        <v>0.05</v>
      </c>
      <c r="DQ86" s="1292">
        <f>DP86</f>
        <v>0.05</v>
      </c>
      <c r="DR86" s="1292">
        <f>DQ86</f>
        <v>0.05</v>
      </c>
      <c r="DS86" s="1292">
        <f>DR86</f>
        <v>0.05</v>
      </c>
      <c r="DT86" s="1290"/>
      <c r="DU86" s="1292">
        <f>DS86</f>
        <v>0.05</v>
      </c>
      <c r="DV86" s="1292">
        <f>DU86</f>
        <v>0.05</v>
      </c>
      <c r="DW86" s="1292">
        <f>DV86</f>
        <v>0.05</v>
      </c>
      <c r="DX86" s="1292">
        <f>DW86</f>
        <v>0.05</v>
      </c>
      <c r="DY86" s="1290"/>
    </row>
    <row r="87" spans="1:129" x14ac:dyDescent="0.2">
      <c r="A87" s="1223"/>
      <c r="B87" s="1190" t="s">
        <v>1151</v>
      </c>
      <c r="C87" s="1293"/>
      <c r="D87" s="1293"/>
      <c r="E87" s="1293"/>
      <c r="F87" s="1293"/>
      <c r="G87" s="1293"/>
      <c r="H87" s="1293"/>
      <c r="I87" s="1293"/>
      <c r="J87" s="1293"/>
      <c r="K87" s="1293"/>
      <c r="L87" s="1293"/>
      <c r="M87" s="1293"/>
      <c r="N87" s="1293"/>
      <c r="O87" s="1293"/>
      <c r="P87" s="1293"/>
      <c r="Q87" s="1293"/>
      <c r="R87" s="1293"/>
      <c r="S87" s="1293"/>
      <c r="T87" s="1293"/>
      <c r="U87" s="1293"/>
      <c r="V87" s="1293"/>
      <c r="W87" s="1293"/>
      <c r="X87" s="1227"/>
      <c r="Y87" s="1231"/>
      <c r="Z87" s="1231"/>
      <c r="AA87" s="1231"/>
      <c r="AB87" s="1294"/>
      <c r="AC87" s="1227"/>
      <c r="AD87" s="1231"/>
      <c r="AE87" s="1231"/>
      <c r="AF87" s="1231"/>
      <c r="AG87" s="1294"/>
      <c r="AH87" s="1227"/>
      <c r="AI87" s="1231"/>
      <c r="AJ87" s="1231"/>
      <c r="AK87" s="1231"/>
      <c r="AL87" s="1294"/>
      <c r="AM87" s="1227"/>
      <c r="AN87" s="1231"/>
      <c r="AO87" s="1231"/>
      <c r="AP87" s="1231"/>
      <c r="AQ87" s="1294"/>
      <c r="AR87" s="1227"/>
      <c r="AS87" s="1231"/>
      <c r="AT87" s="1231"/>
      <c r="AU87" s="1231"/>
      <c r="AV87" s="1294"/>
      <c r="AW87" s="1227"/>
      <c r="AX87" s="1231"/>
      <c r="AY87" s="1231"/>
      <c r="AZ87" s="1231"/>
      <c r="BA87" s="1231"/>
      <c r="BB87" s="1227"/>
      <c r="BC87" s="1231"/>
      <c r="BD87" s="1231"/>
      <c r="BE87" s="1231"/>
      <c r="BF87" s="1231"/>
      <c r="BG87" s="1227"/>
      <c r="BH87" s="1231"/>
      <c r="BI87" s="1231"/>
      <c r="BJ87" s="1231"/>
      <c r="BK87" s="1231"/>
      <c r="BL87" s="1194"/>
      <c r="BM87" s="1195"/>
      <c r="BN87" s="1195"/>
      <c r="BO87" s="1195"/>
      <c r="BP87" s="1195"/>
      <c r="BQ87" s="1194"/>
      <c r="BR87" s="1195"/>
      <c r="BS87" s="1195"/>
      <c r="BT87" s="1195"/>
      <c r="BU87" s="1195"/>
      <c r="BV87" s="1194"/>
      <c r="BW87" s="1195"/>
      <c r="BX87" s="1195"/>
      <c r="BY87" s="1195"/>
      <c r="BZ87" s="1195"/>
      <c r="CA87" s="1194"/>
      <c r="CB87" s="1195"/>
      <c r="CC87" s="1195"/>
      <c r="CD87" s="1195"/>
      <c r="CE87" s="1195"/>
      <c r="CF87" s="1194"/>
      <c r="CG87" s="1195"/>
      <c r="CH87" s="1195"/>
      <c r="CI87" s="1195"/>
      <c r="CJ87" s="1195"/>
      <c r="CK87" s="1194"/>
      <c r="CL87" s="1195"/>
      <c r="CM87" s="1195"/>
      <c r="CN87" s="1195"/>
      <c r="CO87" s="1195"/>
      <c r="CP87" s="1194"/>
      <c r="CQ87" s="1195"/>
      <c r="CR87" s="1195"/>
      <c r="CS87" s="1195"/>
      <c r="CT87" s="1195"/>
      <c r="CU87" s="1194"/>
      <c r="CV87" s="1195"/>
      <c r="CW87" s="1195"/>
      <c r="CX87" s="1195"/>
      <c r="CY87" s="1195"/>
      <c r="CZ87" s="1194"/>
      <c r="DA87" s="1195"/>
      <c r="DB87" s="1195"/>
      <c r="DC87" s="1195"/>
      <c r="DD87" s="1195"/>
      <c r="DE87" s="1194"/>
      <c r="DF87" s="1195"/>
      <c r="DG87" s="1195"/>
      <c r="DH87" s="1195"/>
      <c r="DI87" s="1195"/>
      <c r="DJ87" s="1194"/>
      <c r="DK87" s="1195"/>
      <c r="DL87" s="1195"/>
      <c r="DM87" s="1195"/>
      <c r="DN87" s="1195"/>
      <c r="DO87" s="1194"/>
      <c r="DP87" s="1195"/>
      <c r="DQ87" s="1195"/>
      <c r="DR87" s="1195"/>
      <c r="DS87" s="1195"/>
      <c r="DT87" s="1194"/>
      <c r="DU87" s="1195"/>
      <c r="DV87" s="1195"/>
      <c r="DW87" s="1195"/>
      <c r="DX87" s="1195"/>
      <c r="DY87" s="1194"/>
    </row>
    <row r="88" spans="1:129" x14ac:dyDescent="0.2">
      <c r="A88" s="1223"/>
      <c r="B88" s="1190" t="s">
        <v>1152</v>
      </c>
      <c r="C88" s="1231"/>
      <c r="D88" s="1231"/>
      <c r="E88" s="1231"/>
      <c r="F88" s="1231"/>
      <c r="G88" s="1231"/>
      <c r="H88" s="1231"/>
      <c r="I88" s="1231"/>
      <c r="J88" s="1231"/>
      <c r="K88" s="1231"/>
      <c r="L88" s="1231"/>
      <c r="M88" s="1231"/>
      <c r="N88" s="1231"/>
      <c r="O88" s="1231"/>
      <c r="P88" s="1231"/>
      <c r="Q88" s="1231"/>
      <c r="R88" s="1231"/>
      <c r="S88" s="1231"/>
      <c r="T88" s="1231"/>
      <c r="U88" s="1231"/>
      <c r="V88" s="1231"/>
      <c r="W88" s="1231"/>
      <c r="X88" s="1227"/>
      <c r="Y88" s="1231"/>
      <c r="Z88" s="1231"/>
      <c r="AA88" s="1231"/>
      <c r="AB88" s="1231"/>
      <c r="AC88" s="1227"/>
      <c r="AD88" s="1231"/>
      <c r="AE88" s="1231"/>
      <c r="AF88" s="1231"/>
      <c r="AG88" s="1231"/>
      <c r="AH88" s="1227"/>
      <c r="AI88" s="1231"/>
      <c r="AJ88" s="1231"/>
      <c r="AK88" s="1231"/>
      <c r="AL88" s="1231"/>
      <c r="AM88" s="1227"/>
      <c r="AN88" s="1231"/>
      <c r="AO88" s="1231"/>
      <c r="AP88" s="1231"/>
      <c r="AQ88" s="1231"/>
      <c r="AR88" s="1227"/>
      <c r="AS88" s="1231"/>
      <c r="AT88" s="1231"/>
      <c r="AU88" s="1231"/>
      <c r="AV88" s="1231"/>
      <c r="AW88" s="1227"/>
      <c r="AX88" s="1231"/>
      <c r="AY88" s="1231"/>
      <c r="AZ88" s="1231"/>
      <c r="BA88" s="1231"/>
      <c r="BB88" s="1227"/>
      <c r="BC88" s="1231"/>
      <c r="BD88" s="1231"/>
      <c r="BE88" s="1231"/>
      <c r="BF88" s="1231"/>
      <c r="BG88" s="1227"/>
      <c r="BH88" s="1231"/>
      <c r="BI88" s="1231"/>
      <c r="BJ88" s="1231"/>
      <c r="BK88" s="1231"/>
      <c r="BL88" s="1194"/>
      <c r="BM88" s="1195"/>
      <c r="BN88" s="1195"/>
      <c r="BO88" s="1195"/>
      <c r="BP88" s="1195"/>
      <c r="BQ88" s="1194">
        <f>BL90</f>
        <v>0</v>
      </c>
      <c r="BR88" s="1195"/>
      <c r="BS88" s="1195"/>
      <c r="BT88" s="1195"/>
      <c r="BU88" s="1195"/>
      <c r="BV88" s="1194">
        <f>BQ90</f>
        <v>500</v>
      </c>
      <c r="BW88" s="1195"/>
      <c r="BX88" s="1195"/>
      <c r="BY88" s="1195"/>
      <c r="BZ88" s="1195"/>
      <c r="CA88" s="1194">
        <f>BV90</f>
        <v>0</v>
      </c>
      <c r="CB88" s="1229">
        <f>CA90</f>
        <v>0</v>
      </c>
      <c r="CC88" s="1229">
        <f>+CB90</f>
        <v>0</v>
      </c>
      <c r="CD88" s="1229">
        <f>+CC90</f>
        <v>0</v>
      </c>
      <c r="CE88" s="1229">
        <f>+CD90</f>
        <v>0</v>
      </c>
      <c r="CF88" s="1194">
        <f>CA90</f>
        <v>0</v>
      </c>
      <c r="CG88" s="1229">
        <f>+CE90</f>
        <v>0</v>
      </c>
      <c r="CH88" s="1229">
        <f>+CG90</f>
        <v>0</v>
      </c>
      <c r="CI88" s="1229">
        <f>+CH90</f>
        <v>0</v>
      </c>
      <c r="CJ88" s="1229">
        <f>+CI90</f>
        <v>0</v>
      </c>
      <c r="CK88" s="1194">
        <f>CF90</f>
        <v>0</v>
      </c>
      <c r="CL88" s="1229">
        <f>+CJ90</f>
        <v>0</v>
      </c>
      <c r="CM88" s="1229">
        <f>+CL90</f>
        <v>0</v>
      </c>
      <c r="CN88" s="1229">
        <f>+CM90</f>
        <v>0</v>
      </c>
      <c r="CO88" s="1229">
        <f>+CN90</f>
        <v>0</v>
      </c>
      <c r="CP88" s="1194">
        <f>CK90</f>
        <v>0</v>
      </c>
      <c r="CQ88" s="1229">
        <f>+CO88</f>
        <v>0</v>
      </c>
      <c r="CR88" s="1229">
        <f>+CQ90</f>
        <v>0</v>
      </c>
      <c r="CS88" s="1229">
        <f>+CR90</f>
        <v>0</v>
      </c>
      <c r="CT88" s="1229">
        <f>+CS90</f>
        <v>0</v>
      </c>
      <c r="CU88" s="1194">
        <f>CP90</f>
        <v>0</v>
      </c>
      <c r="CV88" s="1229">
        <f>+CT88</f>
        <v>0</v>
      </c>
      <c r="CW88" s="1229">
        <f>+CV90</f>
        <v>0</v>
      </c>
      <c r="CX88" s="1229">
        <f>+CW90</f>
        <v>0</v>
      </c>
      <c r="CY88" s="1229">
        <f>+CX90</f>
        <v>0</v>
      </c>
      <c r="CZ88" s="1194">
        <f>CU90</f>
        <v>0</v>
      </c>
      <c r="DA88" s="1229">
        <f>+CY88</f>
        <v>0</v>
      </c>
      <c r="DB88" s="1229">
        <f>+DA90</f>
        <v>0</v>
      </c>
      <c r="DC88" s="1229">
        <f>+DB90</f>
        <v>0</v>
      </c>
      <c r="DD88" s="1229">
        <f>+DC90</f>
        <v>0</v>
      </c>
      <c r="DE88" s="1194">
        <f>CZ90</f>
        <v>0</v>
      </c>
      <c r="DF88" s="1229">
        <f>+DD88</f>
        <v>0</v>
      </c>
      <c r="DG88" s="1229">
        <f>+DF90</f>
        <v>0</v>
      </c>
      <c r="DH88" s="1229">
        <f>+DG90</f>
        <v>0</v>
      </c>
      <c r="DI88" s="1229">
        <f>+DH90</f>
        <v>0</v>
      </c>
      <c r="DJ88" s="1194">
        <f>DE90</f>
        <v>0</v>
      </c>
      <c r="DK88" s="1229">
        <f>+DI88</f>
        <v>0</v>
      </c>
      <c r="DL88" s="1229">
        <f>+DK90</f>
        <v>0</v>
      </c>
      <c r="DM88" s="1229">
        <f>+DL90</f>
        <v>0</v>
      </c>
      <c r="DN88" s="1229">
        <f>+DM90</f>
        <v>0</v>
      </c>
      <c r="DO88" s="1194">
        <f>DJ90</f>
        <v>0</v>
      </c>
      <c r="DP88" s="1229">
        <f>+DN88</f>
        <v>0</v>
      </c>
      <c r="DQ88" s="1229">
        <f>+DP90</f>
        <v>0</v>
      </c>
      <c r="DR88" s="1229">
        <f>+DQ90</f>
        <v>0</v>
      </c>
      <c r="DS88" s="1229">
        <f>+DR90</f>
        <v>0</v>
      </c>
      <c r="DT88" s="1194">
        <f>DO90</f>
        <v>0</v>
      </c>
      <c r="DU88" s="1229">
        <f>+DS88</f>
        <v>0</v>
      </c>
      <c r="DV88" s="1229">
        <f>+DU90</f>
        <v>0</v>
      </c>
      <c r="DW88" s="1229">
        <f>+DV90</f>
        <v>0</v>
      </c>
      <c r="DX88" s="1229">
        <f>+DW90</f>
        <v>0</v>
      </c>
      <c r="DY88" s="1194">
        <f>DT90</f>
        <v>0</v>
      </c>
    </row>
    <row r="89" spans="1:129" x14ac:dyDescent="0.2">
      <c r="A89" s="1295"/>
      <c r="B89" s="1190" t="s">
        <v>1153</v>
      </c>
      <c r="C89" s="1182"/>
      <c r="D89" s="1182"/>
      <c r="E89" s="1182"/>
      <c r="F89" s="1182"/>
      <c r="G89" s="1182"/>
      <c r="H89" s="1182"/>
      <c r="I89" s="1182"/>
      <c r="J89" s="1182"/>
      <c r="K89" s="1182"/>
      <c r="L89" s="1182"/>
      <c r="M89" s="1182"/>
      <c r="N89" s="1182"/>
      <c r="O89" s="1182"/>
      <c r="P89" s="1182"/>
      <c r="Q89" s="1182"/>
      <c r="R89" s="1182"/>
      <c r="S89" s="1182"/>
      <c r="T89" s="1182"/>
      <c r="U89" s="1182"/>
      <c r="V89" s="1182"/>
      <c r="W89" s="1182"/>
      <c r="X89" s="1296"/>
      <c r="Y89" s="1297"/>
      <c r="Z89" s="1297"/>
      <c r="AA89" s="1297"/>
      <c r="AB89" s="1297"/>
      <c r="AC89" s="1296"/>
      <c r="AD89" s="1297"/>
      <c r="AE89" s="1297"/>
      <c r="AF89" s="1297"/>
      <c r="AG89" s="1297"/>
      <c r="AH89" s="1296"/>
      <c r="AI89" s="1297"/>
      <c r="AJ89" s="1297"/>
      <c r="AK89" s="1297"/>
      <c r="AL89" s="1297"/>
      <c r="AM89" s="1296"/>
      <c r="AN89" s="1297"/>
      <c r="AO89" s="1297"/>
      <c r="AP89" s="1297"/>
      <c r="AQ89" s="1297"/>
      <c r="AR89" s="1296"/>
      <c r="AS89" s="1297"/>
      <c r="AT89" s="1297"/>
      <c r="AU89" s="1297"/>
      <c r="AV89" s="1297"/>
      <c r="AW89" s="1296"/>
      <c r="AX89" s="1298"/>
      <c r="AY89" s="1299"/>
      <c r="AZ89" s="1299"/>
      <c r="BA89" s="1298"/>
      <c r="BB89" s="1300"/>
      <c r="BC89" s="1298"/>
      <c r="BD89" s="1298"/>
      <c r="BE89" s="1298"/>
      <c r="BF89" s="1298"/>
      <c r="BG89" s="1296"/>
      <c r="BH89" s="1298"/>
      <c r="BI89" s="1298"/>
      <c r="BJ89" s="1298"/>
      <c r="BK89" s="1298"/>
      <c r="BL89" s="1301"/>
      <c r="BM89" s="1302"/>
      <c r="BN89" s="1302"/>
      <c r="BO89" s="1302"/>
      <c r="BP89" s="1302"/>
      <c r="BQ89" s="1301">
        <f>BQ90-BQ88</f>
        <v>500</v>
      </c>
      <c r="BR89" s="1302"/>
      <c r="BS89" s="1302"/>
      <c r="BT89" s="1302"/>
      <c r="BU89" s="1302"/>
      <c r="BV89" s="1301">
        <f>BV90-BV88</f>
        <v>-500</v>
      </c>
      <c r="BW89" s="1302"/>
      <c r="BX89" s="1302"/>
      <c r="BY89" s="1302"/>
      <c r="BZ89" s="1302"/>
      <c r="CA89" s="1301">
        <f>CA90-CA88</f>
        <v>0</v>
      </c>
      <c r="CB89" s="1303">
        <f>CB90-CB88</f>
        <v>0</v>
      </c>
      <c r="CC89" s="1303">
        <f>CC90-CC88</f>
        <v>0</v>
      </c>
      <c r="CD89" s="1302">
        <v>0</v>
      </c>
      <c r="CE89" s="1302">
        <v>0</v>
      </c>
      <c r="CF89" s="1301">
        <f>+SUM(CB89:CE89)</f>
        <v>0</v>
      </c>
      <c r="CG89" s="1302">
        <v>0</v>
      </c>
      <c r="CH89" s="1302">
        <v>0</v>
      </c>
      <c r="CI89" s="1302">
        <v>0</v>
      </c>
      <c r="CJ89" s="1302">
        <v>0</v>
      </c>
      <c r="CK89" s="1301">
        <f>+SUM(CG89:CJ89)</f>
        <v>0</v>
      </c>
      <c r="CL89" s="1302">
        <v>0</v>
      </c>
      <c r="CM89" s="1302">
        <v>0</v>
      </c>
      <c r="CN89" s="1302">
        <v>0</v>
      </c>
      <c r="CO89" s="1302">
        <v>0</v>
      </c>
      <c r="CP89" s="1301">
        <f>+SUM(CL89:CO89)</f>
        <v>0</v>
      </c>
      <c r="CQ89" s="1302">
        <v>0</v>
      </c>
      <c r="CR89" s="1302">
        <v>0</v>
      </c>
      <c r="CS89" s="1302">
        <v>0</v>
      </c>
      <c r="CT89" s="1302">
        <v>0</v>
      </c>
      <c r="CU89" s="1301">
        <f>+SUM(CQ89:CT89)</f>
        <v>0</v>
      </c>
      <c r="CV89" s="1302">
        <v>0</v>
      </c>
      <c r="CW89" s="1302">
        <v>0</v>
      </c>
      <c r="CX89" s="1302">
        <v>0</v>
      </c>
      <c r="CY89" s="1302">
        <v>0</v>
      </c>
      <c r="CZ89" s="1301">
        <f>+SUM(CV89:CY89)</f>
        <v>0</v>
      </c>
      <c r="DA89" s="1302">
        <v>0</v>
      </c>
      <c r="DB89" s="1302">
        <v>0</v>
      </c>
      <c r="DC89" s="1302">
        <v>0</v>
      </c>
      <c r="DD89" s="1302">
        <v>0</v>
      </c>
      <c r="DE89" s="1301">
        <f>+SUM(DA89:DD89)</f>
        <v>0</v>
      </c>
      <c r="DF89" s="1302">
        <v>0</v>
      </c>
      <c r="DG89" s="1302">
        <v>0</v>
      </c>
      <c r="DH89" s="1302">
        <v>0</v>
      </c>
      <c r="DI89" s="1302">
        <v>0</v>
      </c>
      <c r="DJ89" s="1301">
        <f>+SUM(DF89:DI89)</f>
        <v>0</v>
      </c>
      <c r="DK89" s="1302">
        <v>0</v>
      </c>
      <c r="DL89" s="1302">
        <v>0</v>
      </c>
      <c r="DM89" s="1302">
        <v>0</v>
      </c>
      <c r="DN89" s="1302">
        <v>0</v>
      </c>
      <c r="DO89" s="1301">
        <f>+SUM(DK89:DN89)</f>
        <v>0</v>
      </c>
      <c r="DP89" s="1302">
        <v>0</v>
      </c>
      <c r="DQ89" s="1302">
        <v>0</v>
      </c>
      <c r="DR89" s="1302">
        <v>0</v>
      </c>
      <c r="DS89" s="1302">
        <v>0</v>
      </c>
      <c r="DT89" s="1301">
        <f>+SUM(DP89:DS89)</f>
        <v>0</v>
      </c>
      <c r="DU89" s="1302">
        <v>0</v>
      </c>
      <c r="DV89" s="1302">
        <v>0</v>
      </c>
      <c r="DW89" s="1302">
        <v>0</v>
      </c>
      <c r="DX89" s="1302">
        <v>0</v>
      </c>
      <c r="DY89" s="1301">
        <f>+SUM(DU89:DX89)</f>
        <v>0</v>
      </c>
    </row>
    <row r="90" spans="1:129" x14ac:dyDescent="0.2">
      <c r="A90" s="1295"/>
      <c r="B90" s="1190" t="s">
        <v>1154</v>
      </c>
      <c r="C90" s="1182"/>
      <c r="D90" s="1182"/>
      <c r="E90" s="1182"/>
      <c r="F90" s="1182"/>
      <c r="G90" s="1182"/>
      <c r="H90" s="1182"/>
      <c r="I90" s="1182"/>
      <c r="J90" s="1182"/>
      <c r="K90" s="1182"/>
      <c r="L90" s="1182"/>
      <c r="M90" s="1182"/>
      <c r="N90" s="1182"/>
      <c r="O90" s="1182"/>
      <c r="P90" s="1182"/>
      <c r="Q90" s="1182"/>
      <c r="R90" s="1182"/>
      <c r="S90" s="1182"/>
      <c r="T90" s="1182"/>
      <c r="U90" s="1182"/>
      <c r="V90" s="1182"/>
      <c r="W90" s="1182"/>
      <c r="X90" s="1304"/>
      <c r="Y90" s="1305"/>
      <c r="Z90" s="1305"/>
      <c r="AA90" s="1305"/>
      <c r="AB90" s="1305"/>
      <c r="AC90" s="1304"/>
      <c r="AD90" s="1305"/>
      <c r="AE90" s="1305"/>
      <c r="AF90" s="1305"/>
      <c r="AG90" s="1305"/>
      <c r="AH90" s="1304"/>
      <c r="AI90" s="1305"/>
      <c r="AJ90" s="1305"/>
      <c r="AK90" s="1305"/>
      <c r="AL90" s="1305"/>
      <c r="AM90" s="1304"/>
      <c r="AN90" s="1305"/>
      <c r="AO90" s="1305"/>
      <c r="AP90" s="1305"/>
      <c r="AQ90" s="1305"/>
      <c r="AR90" s="1304"/>
      <c r="AS90" s="1305"/>
      <c r="AT90" s="1305"/>
      <c r="AU90" s="1305"/>
      <c r="AV90" s="1305"/>
      <c r="AW90" s="1304"/>
      <c r="AX90" s="1305"/>
      <c r="AY90" s="1305"/>
      <c r="AZ90" s="1305"/>
      <c r="BA90" s="1305"/>
      <c r="BB90" s="1304"/>
      <c r="BC90" s="1305"/>
      <c r="BD90" s="1305"/>
      <c r="BE90" s="1305"/>
      <c r="BF90" s="1305"/>
      <c r="BG90" s="1306"/>
      <c r="BH90" s="1305"/>
      <c r="BI90" s="1305"/>
      <c r="BJ90" s="1305"/>
      <c r="BK90" s="1305"/>
      <c r="BL90" s="1307">
        <v>0</v>
      </c>
      <c r="BM90" s="1198"/>
      <c r="BN90" s="1198"/>
      <c r="BO90" s="1198"/>
      <c r="BP90" s="1198"/>
      <c r="BQ90" s="1307">
        <v>500</v>
      </c>
      <c r="BR90" s="1198"/>
      <c r="BS90" s="1198"/>
      <c r="BT90" s="1198"/>
      <c r="BU90" s="1198"/>
      <c r="BV90" s="1307">
        <v>0</v>
      </c>
      <c r="BW90" s="1198"/>
      <c r="BX90" s="1198"/>
      <c r="BY90" s="1198"/>
      <c r="BZ90" s="1198"/>
      <c r="CA90" s="1307">
        <v>0</v>
      </c>
      <c r="CB90" s="1187">
        <f>CA90</f>
        <v>0</v>
      </c>
      <c r="CC90" s="1187">
        <f>CB90</f>
        <v>0</v>
      </c>
      <c r="CD90" s="1187">
        <f t="shared" ref="CD90:CZ90" si="125">CD88+CD89</f>
        <v>0</v>
      </c>
      <c r="CE90" s="1187">
        <f t="shared" si="125"/>
        <v>0</v>
      </c>
      <c r="CF90" s="1186">
        <f t="shared" si="125"/>
        <v>0</v>
      </c>
      <c r="CG90" s="1187">
        <f t="shared" si="125"/>
        <v>0</v>
      </c>
      <c r="CH90" s="1187">
        <f t="shared" si="125"/>
        <v>0</v>
      </c>
      <c r="CI90" s="1187">
        <f t="shared" si="125"/>
        <v>0</v>
      </c>
      <c r="CJ90" s="1187">
        <f t="shared" si="125"/>
        <v>0</v>
      </c>
      <c r="CK90" s="1186">
        <f t="shared" si="125"/>
        <v>0</v>
      </c>
      <c r="CL90" s="1187">
        <f t="shared" si="125"/>
        <v>0</v>
      </c>
      <c r="CM90" s="1187">
        <f t="shared" si="125"/>
        <v>0</v>
      </c>
      <c r="CN90" s="1187">
        <f t="shared" si="125"/>
        <v>0</v>
      </c>
      <c r="CO90" s="1187">
        <f t="shared" si="125"/>
        <v>0</v>
      </c>
      <c r="CP90" s="1186">
        <f t="shared" si="125"/>
        <v>0</v>
      </c>
      <c r="CQ90" s="1187">
        <f t="shared" si="125"/>
        <v>0</v>
      </c>
      <c r="CR90" s="1187">
        <f t="shared" si="125"/>
        <v>0</v>
      </c>
      <c r="CS90" s="1187">
        <f t="shared" si="125"/>
        <v>0</v>
      </c>
      <c r="CT90" s="1187">
        <f t="shared" si="125"/>
        <v>0</v>
      </c>
      <c r="CU90" s="1186">
        <f t="shared" si="125"/>
        <v>0</v>
      </c>
      <c r="CV90" s="1187">
        <f t="shared" si="125"/>
        <v>0</v>
      </c>
      <c r="CW90" s="1187">
        <f t="shared" si="125"/>
        <v>0</v>
      </c>
      <c r="CX90" s="1187">
        <f t="shared" si="125"/>
        <v>0</v>
      </c>
      <c r="CY90" s="1187">
        <f t="shared" si="125"/>
        <v>0</v>
      </c>
      <c r="CZ90" s="1186">
        <f t="shared" si="125"/>
        <v>0</v>
      </c>
      <c r="DA90" s="1187">
        <f t="shared" ref="DA90:DJ90" si="126">DA88+DA89</f>
        <v>0</v>
      </c>
      <c r="DB90" s="1187">
        <f t="shared" si="126"/>
        <v>0</v>
      </c>
      <c r="DC90" s="1187">
        <f t="shared" si="126"/>
        <v>0</v>
      </c>
      <c r="DD90" s="1187">
        <f t="shared" si="126"/>
        <v>0</v>
      </c>
      <c r="DE90" s="1186">
        <f t="shared" si="126"/>
        <v>0</v>
      </c>
      <c r="DF90" s="1187">
        <f t="shared" si="126"/>
        <v>0</v>
      </c>
      <c r="DG90" s="1187">
        <f t="shared" si="126"/>
        <v>0</v>
      </c>
      <c r="DH90" s="1187">
        <f t="shared" si="126"/>
        <v>0</v>
      </c>
      <c r="DI90" s="1187">
        <f t="shared" si="126"/>
        <v>0</v>
      </c>
      <c r="DJ90" s="1186">
        <f t="shared" si="126"/>
        <v>0</v>
      </c>
      <c r="DK90" s="1187">
        <f t="shared" ref="DK90:DT90" si="127">DK88+DK89</f>
        <v>0</v>
      </c>
      <c r="DL90" s="1187">
        <f t="shared" si="127"/>
        <v>0</v>
      </c>
      <c r="DM90" s="1187">
        <f t="shared" si="127"/>
        <v>0</v>
      </c>
      <c r="DN90" s="1187">
        <f t="shared" si="127"/>
        <v>0</v>
      </c>
      <c r="DO90" s="1186">
        <f t="shared" si="127"/>
        <v>0</v>
      </c>
      <c r="DP90" s="1187">
        <f t="shared" si="127"/>
        <v>0</v>
      </c>
      <c r="DQ90" s="1187">
        <f t="shared" si="127"/>
        <v>0</v>
      </c>
      <c r="DR90" s="1187">
        <f t="shared" si="127"/>
        <v>0</v>
      </c>
      <c r="DS90" s="1187">
        <f t="shared" si="127"/>
        <v>0</v>
      </c>
      <c r="DT90" s="1186">
        <f t="shared" si="127"/>
        <v>0</v>
      </c>
      <c r="DU90" s="1187">
        <f t="shared" ref="DU90:DY90" si="128">DU88+DU89</f>
        <v>0</v>
      </c>
      <c r="DV90" s="1187">
        <f t="shared" si="128"/>
        <v>0</v>
      </c>
      <c r="DW90" s="1187">
        <f t="shared" si="128"/>
        <v>0</v>
      </c>
      <c r="DX90" s="1187">
        <f t="shared" si="128"/>
        <v>0</v>
      </c>
      <c r="DY90" s="1186">
        <f t="shared" si="128"/>
        <v>0</v>
      </c>
    </row>
    <row r="91" spans="1:129" x14ac:dyDescent="0.2">
      <c r="A91" s="1223"/>
      <c r="B91" s="1190" t="s">
        <v>1155</v>
      </c>
      <c r="C91" s="1182"/>
      <c r="D91" s="1182"/>
      <c r="E91" s="1182"/>
      <c r="F91" s="1182"/>
      <c r="G91" s="1182"/>
      <c r="H91" s="1182"/>
      <c r="I91" s="1182"/>
      <c r="J91" s="1182"/>
      <c r="K91" s="1182"/>
      <c r="L91" s="1182"/>
      <c r="M91" s="1182"/>
      <c r="N91" s="1182"/>
      <c r="O91" s="1182"/>
      <c r="P91" s="1182"/>
      <c r="Q91" s="1182"/>
      <c r="R91" s="1182"/>
      <c r="S91" s="1182"/>
      <c r="T91" s="1182"/>
      <c r="U91" s="1182"/>
      <c r="V91" s="1182"/>
      <c r="W91" s="1182"/>
      <c r="X91" s="1227"/>
      <c r="Y91" s="1231"/>
      <c r="Z91" s="1231"/>
      <c r="AA91" s="1231"/>
      <c r="AB91" s="1231"/>
      <c r="AC91" s="1227"/>
      <c r="AD91" s="1231"/>
      <c r="AE91" s="1231"/>
      <c r="AF91" s="1231"/>
      <c r="AG91" s="1231"/>
      <c r="AH91" s="1227"/>
      <c r="AI91" s="1231"/>
      <c r="AJ91" s="1231"/>
      <c r="AK91" s="1231"/>
      <c r="AL91" s="1231"/>
      <c r="AM91" s="1227"/>
      <c r="AN91" s="1231"/>
      <c r="AO91" s="1231"/>
      <c r="AP91" s="1231"/>
      <c r="AQ91" s="1231"/>
      <c r="AR91" s="1227"/>
      <c r="AS91" s="1231"/>
      <c r="AT91" s="1231"/>
      <c r="AU91" s="1231"/>
      <c r="AV91" s="1231"/>
      <c r="AW91" s="1227"/>
      <c r="AX91" s="1231"/>
      <c r="AY91" s="1231"/>
      <c r="AZ91" s="1231"/>
      <c r="BA91" s="1231"/>
      <c r="BB91" s="1227"/>
      <c r="BC91" s="1231"/>
      <c r="BD91" s="1231"/>
      <c r="BE91" s="1231"/>
      <c r="BF91" s="1231"/>
      <c r="BG91" s="1227"/>
      <c r="BH91" s="1231"/>
      <c r="BI91" s="1231"/>
      <c r="BJ91" s="1231"/>
      <c r="BK91" s="1231"/>
      <c r="BL91" s="1194"/>
      <c r="BM91" s="1195"/>
      <c r="BN91" s="1195"/>
      <c r="BO91" s="1195"/>
      <c r="BP91" s="1195"/>
      <c r="BQ91" s="1194"/>
      <c r="BR91" s="1195"/>
      <c r="BS91" s="1195"/>
      <c r="BT91" s="1195"/>
      <c r="BU91" s="1195"/>
      <c r="BV91" s="1194"/>
      <c r="BW91" s="1195"/>
      <c r="BX91" s="1195"/>
      <c r="BY91" s="1195"/>
      <c r="BZ91" s="1195"/>
      <c r="CA91" s="1194"/>
      <c r="CB91" s="1195"/>
      <c r="CC91" s="1195"/>
      <c r="CD91" s="1195"/>
      <c r="CE91" s="1195"/>
      <c r="CF91" s="1194"/>
      <c r="CG91" s="1195"/>
      <c r="CH91" s="1195"/>
      <c r="CI91" s="1195"/>
      <c r="CJ91" s="1195"/>
      <c r="CK91" s="1194"/>
      <c r="CL91" s="1195"/>
      <c r="CM91" s="1195"/>
      <c r="CN91" s="1195"/>
      <c r="CO91" s="1195"/>
      <c r="CP91" s="1194"/>
      <c r="CQ91" s="1195"/>
      <c r="CR91" s="1195"/>
      <c r="CS91" s="1195"/>
      <c r="CT91" s="1195"/>
      <c r="CU91" s="1194"/>
      <c r="CV91" s="1195"/>
      <c r="CW91" s="1195"/>
      <c r="CX91" s="1195"/>
      <c r="CY91" s="1195"/>
      <c r="CZ91" s="1194"/>
      <c r="DA91" s="1195"/>
      <c r="DB91" s="1195"/>
      <c r="DC91" s="1195"/>
      <c r="DD91" s="1195"/>
      <c r="DE91" s="1194"/>
      <c r="DF91" s="1195"/>
      <c r="DG91" s="1195"/>
      <c r="DH91" s="1195"/>
      <c r="DI91" s="1195"/>
      <c r="DJ91" s="1194"/>
      <c r="DK91" s="1195"/>
      <c r="DL91" s="1195"/>
      <c r="DM91" s="1195"/>
      <c r="DN91" s="1195"/>
      <c r="DO91" s="1194"/>
      <c r="DP91" s="1195"/>
      <c r="DQ91" s="1195"/>
      <c r="DR91" s="1195"/>
      <c r="DS91" s="1195"/>
      <c r="DT91" s="1194"/>
      <c r="DU91" s="1195"/>
      <c r="DV91" s="1195"/>
      <c r="DW91" s="1195"/>
      <c r="DX91" s="1195"/>
      <c r="DY91" s="1194"/>
    </row>
    <row r="92" spans="1:129" x14ac:dyDescent="0.2">
      <c r="A92" s="1223"/>
      <c r="B92" s="1190" t="s">
        <v>1156</v>
      </c>
      <c r="C92" s="1182"/>
      <c r="D92" s="1182"/>
      <c r="E92" s="1182"/>
      <c r="F92" s="1182"/>
      <c r="G92" s="1182"/>
      <c r="H92" s="1182"/>
      <c r="I92" s="1182"/>
      <c r="J92" s="1182"/>
      <c r="K92" s="1182"/>
      <c r="L92" s="1182"/>
      <c r="M92" s="1182"/>
      <c r="N92" s="1182"/>
      <c r="O92" s="1182"/>
      <c r="P92" s="1182"/>
      <c r="Q92" s="1182"/>
      <c r="R92" s="1182"/>
      <c r="S92" s="1182"/>
      <c r="T92" s="1182"/>
      <c r="U92" s="1182"/>
      <c r="V92" s="1182"/>
      <c r="W92" s="1182"/>
      <c r="X92" s="1227"/>
      <c r="Y92" s="1231"/>
      <c r="Z92" s="1231"/>
      <c r="AA92" s="1231"/>
      <c r="AB92" s="1231"/>
      <c r="AC92" s="1227"/>
      <c r="AD92" s="1231"/>
      <c r="AE92" s="1231"/>
      <c r="AF92" s="1231"/>
      <c r="AG92" s="1231"/>
      <c r="AH92" s="1227"/>
      <c r="AI92" s="1231"/>
      <c r="AJ92" s="1231"/>
      <c r="AK92" s="1231"/>
      <c r="AL92" s="1231"/>
      <c r="AM92" s="1227"/>
      <c r="AN92" s="1231"/>
      <c r="AO92" s="1231"/>
      <c r="AP92" s="1231"/>
      <c r="AQ92" s="1231"/>
      <c r="AR92" s="1227"/>
      <c r="AS92" s="1231"/>
      <c r="AT92" s="1231"/>
      <c r="AU92" s="1231"/>
      <c r="AV92" s="1231"/>
      <c r="AW92" s="1227"/>
      <c r="AX92" s="1231"/>
      <c r="AY92" s="1231"/>
      <c r="AZ92" s="1231"/>
      <c r="BA92" s="1231"/>
      <c r="BB92" s="1227"/>
      <c r="BC92" s="1231"/>
      <c r="BD92" s="1231"/>
      <c r="BE92" s="1231"/>
      <c r="BF92" s="1231"/>
      <c r="BG92" s="1227"/>
      <c r="BH92" s="1231"/>
      <c r="BI92" s="1231"/>
      <c r="BJ92" s="1231"/>
      <c r="BK92" s="1231"/>
      <c r="BL92" s="1194"/>
      <c r="BM92" s="1195"/>
      <c r="BN92" s="1195"/>
      <c r="BO92" s="1195"/>
      <c r="BP92" s="1195"/>
      <c r="BQ92" s="1194">
        <f>-(AVERAGE(BQ88,BQ90))*(BQ$75)</f>
        <v>-12.5</v>
      </c>
      <c r="BR92" s="1195"/>
      <c r="BS92" s="1195"/>
      <c r="BT92" s="1195"/>
      <c r="BU92" s="1195"/>
      <c r="BV92" s="1194">
        <f>-(AVERAGE(BV88,BV90))*(BV$75)</f>
        <v>-12.5</v>
      </c>
      <c r="BW92" s="1195"/>
      <c r="BX92" s="1195"/>
      <c r="BY92" s="1195"/>
      <c r="BZ92" s="1195"/>
      <c r="CA92" s="1194">
        <f>-(AVERAGE(CA88,CA90))*(CA$75)</f>
        <v>0</v>
      </c>
      <c r="CB92" s="1229">
        <f>-(AVERAGE(CB90,CB88))*(CB86/4)</f>
        <v>0</v>
      </c>
      <c r="CC92" s="1229">
        <f>-(AVERAGE(CC90,CC88))*(CC86/4)</f>
        <v>0</v>
      </c>
      <c r="CD92" s="1229">
        <f>-(AVERAGE(CD90,CD88))*(CD86/4)</f>
        <v>0</v>
      </c>
      <c r="CE92" s="1229">
        <f>-(AVERAGE(CE90,CE88))*(CE86/4)</f>
        <v>0</v>
      </c>
      <c r="CF92" s="1194">
        <f>SUM(CB92:CE92)</f>
        <v>0</v>
      </c>
      <c r="CG92" s="1229">
        <f>-(AVERAGE(CG90,CG88))*(CG86/4)</f>
        <v>0</v>
      </c>
      <c r="CH92" s="1229">
        <f>-(AVERAGE(CH90,CH88))*(CH86/4)</f>
        <v>0</v>
      </c>
      <c r="CI92" s="1229">
        <f>-(AVERAGE(CI90,CI88))*(CI86/4)</f>
        <v>0</v>
      </c>
      <c r="CJ92" s="1229">
        <f>-(AVERAGE(CJ90,CJ88))*(CJ86/4)</f>
        <v>0</v>
      </c>
      <c r="CK92" s="1194">
        <f>SUM(CG92:CJ92)</f>
        <v>0</v>
      </c>
      <c r="CL92" s="1229">
        <f>-(AVERAGE(CL90,CL88))*(CL86/4)</f>
        <v>0</v>
      </c>
      <c r="CM92" s="1229">
        <f>-(AVERAGE(CM90,CM88))*(CM86/4)</f>
        <v>0</v>
      </c>
      <c r="CN92" s="1229">
        <f>-(AVERAGE(CN90,CN88))*(CN86/4)</f>
        <v>0</v>
      </c>
      <c r="CO92" s="1229">
        <f>-(AVERAGE(CO90,CO88))*(CO86/4)</f>
        <v>0</v>
      </c>
      <c r="CP92" s="1194">
        <f>SUM(CL92:CO92)</f>
        <v>0</v>
      </c>
      <c r="CQ92" s="1229">
        <f>-(AVERAGE(CQ90,CQ88))*(CQ86/4)</f>
        <v>0</v>
      </c>
      <c r="CR92" s="1229">
        <f>-(AVERAGE(CR90,CR88))*(CR86/4)</f>
        <v>0</v>
      </c>
      <c r="CS92" s="1229">
        <f>-(AVERAGE(CS90,CS88))*(CS86/4)</f>
        <v>0</v>
      </c>
      <c r="CT92" s="1229">
        <f>-(AVERAGE(CT90,CT88))*(CT86/4)</f>
        <v>0</v>
      </c>
      <c r="CU92" s="1194">
        <f>SUM(CQ92:CT92)</f>
        <v>0</v>
      </c>
      <c r="CV92" s="1229">
        <f>-(AVERAGE(CV90,CV88))*(CV86/4)</f>
        <v>0</v>
      </c>
      <c r="CW92" s="1229">
        <f>-(AVERAGE(CW90,CW88))*(CW86/4)</f>
        <v>0</v>
      </c>
      <c r="CX92" s="1229">
        <f>-(AVERAGE(CX90,CX88))*(CX86/4)</f>
        <v>0</v>
      </c>
      <c r="CY92" s="1229">
        <f>-(AVERAGE(CY90,CY88))*(CY86/4)</f>
        <v>0</v>
      </c>
      <c r="CZ92" s="1194">
        <f>SUM(CV92:CY92)</f>
        <v>0</v>
      </c>
      <c r="DA92" s="1229">
        <f>-(AVERAGE(DA90,DA88))*(DA86/4)</f>
        <v>0</v>
      </c>
      <c r="DB92" s="1229">
        <f>-(AVERAGE(DB90,DB88))*(DB86/4)</f>
        <v>0</v>
      </c>
      <c r="DC92" s="1229">
        <f>-(AVERAGE(DC90,DC88))*(DC86/4)</f>
        <v>0</v>
      </c>
      <c r="DD92" s="1229">
        <f>-(AVERAGE(DD90,DD88))*(DD86/4)</f>
        <v>0</v>
      </c>
      <c r="DE92" s="1194">
        <f>SUM(DA92:DD92)</f>
        <v>0</v>
      </c>
      <c r="DF92" s="1229">
        <f>-(AVERAGE(DF90,DF88))*(DF86/4)</f>
        <v>0</v>
      </c>
      <c r="DG92" s="1229">
        <f>-(AVERAGE(DG90,DG88))*(DG86/4)</f>
        <v>0</v>
      </c>
      <c r="DH92" s="1229">
        <f>-(AVERAGE(DH90,DH88))*(DH86/4)</f>
        <v>0</v>
      </c>
      <c r="DI92" s="1229">
        <f>-(AVERAGE(DI90,DI88))*(DI86/4)</f>
        <v>0</v>
      </c>
      <c r="DJ92" s="1194">
        <f>SUM(DF92:DI92)</f>
        <v>0</v>
      </c>
      <c r="DK92" s="1229">
        <f>-(AVERAGE(DK90,DK88))*(DK86/4)</f>
        <v>0</v>
      </c>
      <c r="DL92" s="1229">
        <f>-(AVERAGE(DL90,DL88))*(DL86/4)</f>
        <v>0</v>
      </c>
      <c r="DM92" s="1229">
        <f>-(AVERAGE(DM90,DM88))*(DM86/4)</f>
        <v>0</v>
      </c>
      <c r="DN92" s="1229">
        <f>-(AVERAGE(DN90,DN88))*(DN86/4)</f>
        <v>0</v>
      </c>
      <c r="DO92" s="1194">
        <f>SUM(DK92:DN92)</f>
        <v>0</v>
      </c>
      <c r="DP92" s="1229">
        <f>-(AVERAGE(DP90,DP88))*(DP86/4)</f>
        <v>0</v>
      </c>
      <c r="DQ92" s="1229">
        <f>-(AVERAGE(DQ90,DQ88))*(DQ86/4)</f>
        <v>0</v>
      </c>
      <c r="DR92" s="1229">
        <f>-(AVERAGE(DR90,DR88))*(DR86/4)</f>
        <v>0</v>
      </c>
      <c r="DS92" s="1229">
        <f>-(AVERAGE(DS90,DS88))*(DS86/4)</f>
        <v>0</v>
      </c>
      <c r="DT92" s="1194">
        <f>SUM(DP92:DS92)</f>
        <v>0</v>
      </c>
      <c r="DU92" s="1229">
        <f>-(AVERAGE(DU90,DU88))*(DU86/4)</f>
        <v>0</v>
      </c>
      <c r="DV92" s="1229">
        <f>-(AVERAGE(DV90,DV88))*(DV86/4)</f>
        <v>0</v>
      </c>
      <c r="DW92" s="1229">
        <f>-(AVERAGE(DW90,DW88))*(DW86/4)</f>
        <v>0</v>
      </c>
      <c r="DX92" s="1229">
        <f>-(AVERAGE(DX90,DX88))*(DX86/4)</f>
        <v>0</v>
      </c>
      <c r="DY92" s="1194">
        <f>SUM(DU92:DX92)</f>
        <v>0</v>
      </c>
    </row>
    <row r="93" spans="1:129" ht="12" thickBot="1" x14ac:dyDescent="0.25">
      <c r="A93" s="1223"/>
      <c r="B93" s="1250" t="s">
        <v>1157</v>
      </c>
      <c r="C93" s="1251"/>
      <c r="D93" s="1251"/>
      <c r="E93" s="1251"/>
      <c r="F93" s="1251"/>
      <c r="G93" s="1251"/>
      <c r="H93" s="1251"/>
      <c r="I93" s="1251"/>
      <c r="J93" s="1251"/>
      <c r="K93" s="1251"/>
      <c r="L93" s="1251"/>
      <c r="M93" s="1251"/>
      <c r="N93" s="1251"/>
      <c r="O93" s="1251"/>
      <c r="P93" s="1251"/>
      <c r="Q93" s="1251"/>
      <c r="R93" s="1251"/>
      <c r="S93" s="1251"/>
      <c r="T93" s="1251"/>
      <c r="U93" s="1251"/>
      <c r="V93" s="1251"/>
      <c r="W93" s="1251"/>
      <c r="X93" s="1252"/>
      <c r="Y93" s="1251"/>
      <c r="Z93" s="1251"/>
      <c r="AA93" s="1251"/>
      <c r="AB93" s="1251"/>
      <c r="AC93" s="1252"/>
      <c r="AD93" s="1251"/>
      <c r="AE93" s="1251"/>
      <c r="AF93" s="1251"/>
      <c r="AG93" s="1251"/>
      <c r="AH93" s="1252"/>
      <c r="AI93" s="1251"/>
      <c r="AJ93" s="1251"/>
      <c r="AK93" s="1251"/>
      <c r="AL93" s="1251"/>
      <c r="AM93" s="1252"/>
      <c r="AN93" s="1251"/>
      <c r="AO93" s="1251"/>
      <c r="AP93" s="1251"/>
      <c r="AQ93" s="1253"/>
      <c r="AR93" s="1252"/>
      <c r="AS93" s="1253"/>
      <c r="AT93" s="1253"/>
      <c r="AU93" s="1253"/>
      <c r="AV93" s="1253"/>
      <c r="AW93" s="1252"/>
      <c r="AX93" s="1253"/>
      <c r="AY93" s="1253"/>
      <c r="AZ93" s="1253"/>
      <c r="BA93" s="1253"/>
      <c r="BB93" s="1252"/>
      <c r="BC93" s="1253"/>
      <c r="BD93" s="1253"/>
      <c r="BE93" s="1253"/>
      <c r="BF93" s="1253"/>
      <c r="BG93" s="1252"/>
      <c r="BH93" s="1253"/>
      <c r="BI93" s="1253"/>
      <c r="BJ93" s="1253"/>
      <c r="BK93" s="1253"/>
      <c r="BL93" s="1255"/>
      <c r="BM93" s="1254"/>
      <c r="BN93" s="1254"/>
      <c r="BO93" s="1254"/>
      <c r="BP93" s="1254"/>
      <c r="BQ93" s="1255"/>
      <c r="BR93" s="1254"/>
      <c r="BS93" s="1254"/>
      <c r="BT93" s="1254"/>
      <c r="BU93" s="1254"/>
      <c r="BV93" s="1255"/>
      <c r="BW93" s="1254"/>
      <c r="BX93" s="1254"/>
      <c r="BY93" s="1254"/>
      <c r="BZ93" s="1254"/>
      <c r="CA93" s="1255"/>
      <c r="CB93" s="1254">
        <f>-CB85*CB91/4</f>
        <v>0</v>
      </c>
      <c r="CC93" s="1254">
        <f>-CC85*CC91/4</f>
        <v>0</v>
      </c>
      <c r="CD93" s="1254">
        <f>-CD85*CD91/4</f>
        <v>0</v>
      </c>
      <c r="CE93" s="1254">
        <f>-CE85*CE91/4</f>
        <v>0</v>
      </c>
      <c r="CF93" s="1255"/>
      <c r="CG93" s="1254">
        <f>-CG85*CG91/4</f>
        <v>0</v>
      </c>
      <c r="CH93" s="1254">
        <f>-CH85*CH91/4</f>
        <v>0</v>
      </c>
      <c r="CI93" s="1254">
        <f>-CI85*CI91/4</f>
        <v>0</v>
      </c>
      <c r="CJ93" s="1254">
        <f>-CJ85*CJ91/4</f>
        <v>0</v>
      </c>
      <c r="CK93" s="1255"/>
      <c r="CL93" s="1254">
        <f>-CL85*CL91/4</f>
        <v>0</v>
      </c>
      <c r="CM93" s="1254">
        <f>-CM85*CM91/4</f>
        <v>0</v>
      </c>
      <c r="CN93" s="1254">
        <f>-CN85*CN91/4</f>
        <v>0</v>
      </c>
      <c r="CO93" s="1254">
        <f>-CO85*CO91/4</f>
        <v>0</v>
      </c>
      <c r="CP93" s="1255"/>
      <c r="CQ93" s="1254">
        <f>-CQ85*CQ91/4</f>
        <v>0</v>
      </c>
      <c r="CR93" s="1254">
        <f>-CR85*CR91/4</f>
        <v>0</v>
      </c>
      <c r="CS93" s="1254">
        <f>-CS85*CS91/4</f>
        <v>0</v>
      </c>
      <c r="CT93" s="1254">
        <f>-CT85*CT91/4</f>
        <v>0</v>
      </c>
      <c r="CU93" s="1255"/>
      <c r="CV93" s="1254">
        <f>-CV85*CV91/4</f>
        <v>0</v>
      </c>
      <c r="CW93" s="1254">
        <f>-CW85*CW91/4</f>
        <v>0</v>
      </c>
      <c r="CX93" s="1254">
        <f>-CX85*CX91/4</f>
        <v>0</v>
      </c>
      <c r="CY93" s="1254">
        <f>-CY85*CY91/4</f>
        <v>0</v>
      </c>
      <c r="CZ93" s="1255"/>
      <c r="DA93" s="1254">
        <f>-DA85*DA91/4</f>
        <v>0</v>
      </c>
      <c r="DB93" s="1254">
        <f>-DB85*DB91/4</f>
        <v>0</v>
      </c>
      <c r="DC93" s="1254">
        <f>-DC85*DC91/4</f>
        <v>0</v>
      </c>
      <c r="DD93" s="1254">
        <f>-DD85*DD91/4</f>
        <v>0</v>
      </c>
      <c r="DE93" s="1255"/>
      <c r="DF93" s="1254">
        <f>-DF85*DF91/4</f>
        <v>0</v>
      </c>
      <c r="DG93" s="1254">
        <f>-DG85*DG91/4</f>
        <v>0</v>
      </c>
      <c r="DH93" s="1254">
        <f>-DH85*DH91/4</f>
        <v>0</v>
      </c>
      <c r="DI93" s="1254">
        <f>-DI85*DI91/4</f>
        <v>0</v>
      </c>
      <c r="DJ93" s="1255"/>
      <c r="DK93" s="1254">
        <f>-DK85*DK91/4</f>
        <v>0</v>
      </c>
      <c r="DL93" s="1254">
        <f>-DL85*DL91/4</f>
        <v>0</v>
      </c>
      <c r="DM93" s="1254">
        <f>-DM85*DM91/4</f>
        <v>0</v>
      </c>
      <c r="DN93" s="1254">
        <f>-DN85*DN91/4</f>
        <v>0</v>
      </c>
      <c r="DO93" s="1255"/>
      <c r="DP93" s="1254">
        <f>-DP85*DP91/4</f>
        <v>0</v>
      </c>
      <c r="DQ93" s="1254">
        <f>-DQ85*DQ91/4</f>
        <v>0</v>
      </c>
      <c r="DR93" s="1254">
        <f>-DR85*DR91/4</f>
        <v>0</v>
      </c>
      <c r="DS93" s="1254">
        <f>-DS85*DS91/4</f>
        <v>0</v>
      </c>
      <c r="DT93" s="1255"/>
      <c r="DU93" s="1254">
        <f>-DU85*DU91/4</f>
        <v>0</v>
      </c>
      <c r="DV93" s="1254">
        <f>-DV85*DV91/4</f>
        <v>0</v>
      </c>
      <c r="DW93" s="1254">
        <f>-DW85*DW91/4</f>
        <v>0</v>
      </c>
      <c r="DX93" s="1254">
        <f>-DX85*DX91/4</f>
        <v>0</v>
      </c>
      <c r="DY93" s="1255"/>
    </row>
    <row r="94" spans="1:129" ht="12" thickBot="1" x14ac:dyDescent="0.25">
      <c r="A94" s="1123"/>
      <c r="B94" s="1316"/>
      <c r="C94" s="1214"/>
      <c r="D94" s="1214"/>
      <c r="E94" s="1214"/>
      <c r="F94" s="1214"/>
      <c r="G94" s="1214"/>
      <c r="H94" s="1214"/>
      <c r="I94" s="1214"/>
      <c r="J94" s="1214"/>
      <c r="K94" s="1214"/>
      <c r="L94" s="1214"/>
      <c r="M94" s="1214"/>
      <c r="N94" s="1214"/>
      <c r="O94" s="1214"/>
      <c r="P94" s="1214"/>
      <c r="Q94" s="1214"/>
      <c r="R94" s="1214"/>
      <c r="S94" s="1214"/>
      <c r="T94" s="1214"/>
      <c r="U94" s="1214"/>
      <c r="V94" s="1214"/>
      <c r="W94" s="1214"/>
      <c r="X94" s="1214"/>
      <c r="Y94" s="1214"/>
      <c r="Z94" s="1214"/>
      <c r="AA94" s="1214"/>
      <c r="AB94" s="1214"/>
      <c r="AC94" s="1214"/>
      <c r="AD94" s="1214"/>
      <c r="AE94" s="1214"/>
      <c r="AF94" s="1214"/>
      <c r="AG94" s="1214"/>
      <c r="AH94" s="1214"/>
      <c r="AI94" s="1214"/>
      <c r="AJ94" s="1214"/>
      <c r="AK94" s="1214"/>
      <c r="AL94" s="1214"/>
      <c r="AM94" s="1214"/>
      <c r="AN94" s="1214"/>
      <c r="AO94" s="1214"/>
      <c r="AP94" s="1214"/>
      <c r="AQ94" s="1215"/>
      <c r="AR94" s="1215"/>
      <c r="AS94" s="1215"/>
      <c r="AT94" s="1240"/>
      <c r="AU94" s="1240"/>
      <c r="AV94" s="1240"/>
      <c r="AW94" s="1215"/>
      <c r="AX94" s="1215"/>
      <c r="AY94" s="1215"/>
      <c r="AZ94" s="1215"/>
      <c r="BA94" s="1215"/>
      <c r="BB94" s="1215"/>
      <c r="BC94" s="1215"/>
      <c r="BD94" s="1215"/>
      <c r="BE94" s="1215"/>
      <c r="BF94" s="1215"/>
      <c r="BG94" s="1215"/>
      <c r="BH94" s="1215"/>
      <c r="BI94" s="1215"/>
      <c r="BJ94" s="1215"/>
      <c r="BK94" s="1215"/>
      <c r="BL94" s="1241"/>
      <c r="BM94" s="1241"/>
      <c r="BN94" s="1241"/>
      <c r="BO94" s="1241"/>
      <c r="BP94" s="1241"/>
      <c r="BQ94" s="1241"/>
      <c r="BR94" s="1241"/>
      <c r="BS94" s="1241"/>
      <c r="BT94" s="1241"/>
      <c r="BU94" s="1241"/>
      <c r="BV94" s="1241"/>
      <c r="BW94" s="1241"/>
      <c r="BX94" s="1241"/>
      <c r="BY94" s="1241"/>
      <c r="BZ94" s="1241"/>
      <c r="CA94" s="1241"/>
      <c r="CB94" s="1241"/>
      <c r="CC94" s="1241"/>
      <c r="CD94" s="1241"/>
      <c r="CE94" s="1241"/>
      <c r="CF94" s="1241"/>
      <c r="CG94" s="1241"/>
      <c r="CH94" s="1241"/>
      <c r="CI94" s="1241"/>
      <c r="CJ94" s="1241"/>
      <c r="CK94" s="1241"/>
      <c r="CL94" s="1241"/>
      <c r="CM94" s="1241"/>
      <c r="CN94" s="1241"/>
      <c r="CO94" s="1241"/>
      <c r="CP94" s="1241"/>
      <c r="CQ94" s="1241"/>
      <c r="CR94" s="1241"/>
      <c r="CS94" s="1241"/>
      <c r="CT94" s="1241"/>
      <c r="CU94" s="1241"/>
      <c r="CV94" s="1241"/>
      <c r="CW94" s="1241"/>
      <c r="CX94" s="1241"/>
      <c r="CY94" s="1241"/>
      <c r="CZ94" s="1241"/>
      <c r="DA94" s="1241"/>
      <c r="DB94" s="1241"/>
      <c r="DC94" s="1241"/>
      <c r="DD94" s="1241"/>
      <c r="DE94" s="1241"/>
      <c r="DF94" s="1241"/>
      <c r="DG94" s="1241"/>
      <c r="DH94" s="1241"/>
      <c r="DI94" s="1241"/>
      <c r="DJ94" s="1241"/>
      <c r="DK94" s="1241"/>
      <c r="DL94" s="1241"/>
      <c r="DM94" s="1241"/>
      <c r="DN94" s="1241"/>
      <c r="DO94" s="1241"/>
      <c r="DP94" s="1241"/>
      <c r="DQ94" s="1241"/>
      <c r="DR94" s="1241"/>
      <c r="DS94" s="1241"/>
      <c r="DT94" s="1241"/>
      <c r="DU94" s="1241"/>
      <c r="DV94" s="1241"/>
      <c r="DW94" s="1241"/>
      <c r="DX94" s="1241"/>
      <c r="DY94" s="1241"/>
    </row>
    <row r="95" spans="1:129" ht="12" thickBot="1" x14ac:dyDescent="0.25">
      <c r="A95" s="1123"/>
      <c r="B95" s="1282" t="s">
        <v>1159</v>
      </c>
      <c r="C95" s="1309"/>
      <c r="D95" s="1310"/>
      <c r="E95" s="1310"/>
      <c r="F95" s="1310"/>
      <c r="G95" s="1310"/>
      <c r="H95" s="1310"/>
      <c r="I95" s="1310"/>
      <c r="J95" s="1310"/>
      <c r="K95" s="1310"/>
      <c r="L95" s="1310"/>
      <c r="M95" s="1310"/>
      <c r="N95" s="1310"/>
      <c r="O95" s="1310"/>
      <c r="P95" s="1310"/>
      <c r="Q95" s="1310"/>
      <c r="R95" s="1310"/>
      <c r="S95" s="1310"/>
      <c r="T95" s="1310"/>
      <c r="U95" s="1310"/>
      <c r="V95" s="1310"/>
      <c r="W95" s="1310"/>
      <c r="X95" s="1309"/>
      <c r="Y95" s="1309"/>
      <c r="Z95" s="1309"/>
      <c r="AA95" s="1309"/>
      <c r="AB95" s="1309"/>
      <c r="AC95" s="1309"/>
      <c r="AD95" s="1309"/>
      <c r="AE95" s="1309"/>
      <c r="AF95" s="1309"/>
      <c r="AG95" s="1309"/>
      <c r="AH95" s="1309"/>
      <c r="AI95" s="1309"/>
      <c r="AJ95" s="1309"/>
      <c r="AK95" s="1309"/>
      <c r="AL95" s="1309"/>
      <c r="AM95" s="1309"/>
      <c r="AN95" s="1309"/>
      <c r="AO95" s="1309"/>
      <c r="AP95" s="1309"/>
      <c r="AQ95" s="1311"/>
      <c r="AR95" s="1311"/>
      <c r="AS95" s="1311"/>
      <c r="AT95" s="1311"/>
      <c r="AU95" s="1311"/>
      <c r="AV95" s="1312"/>
      <c r="AW95" s="1312"/>
      <c r="AX95" s="1312"/>
      <c r="AY95" s="1312"/>
      <c r="AZ95" s="1312"/>
      <c r="BA95" s="1312"/>
      <c r="BB95" s="1312"/>
      <c r="BC95" s="1312"/>
      <c r="BD95" s="1312"/>
      <c r="BE95" s="1312"/>
      <c r="BF95" s="1312"/>
      <c r="BG95" s="1312"/>
      <c r="BH95" s="1312"/>
      <c r="BI95" s="1312"/>
      <c r="BJ95" s="1312"/>
      <c r="BK95" s="1312"/>
      <c r="BL95" s="1313"/>
      <c r="BM95" s="1314"/>
      <c r="BN95" s="1314"/>
      <c r="BO95" s="1314"/>
      <c r="BP95" s="1314"/>
      <c r="BQ95" s="1313"/>
      <c r="BR95" s="1314"/>
      <c r="BS95" s="1314"/>
      <c r="BT95" s="1314"/>
      <c r="BU95" s="1314"/>
      <c r="BV95" s="1313"/>
      <c r="BW95" s="1314"/>
      <c r="BX95" s="1314"/>
      <c r="BY95" s="1314"/>
      <c r="BZ95" s="1314"/>
      <c r="CA95" s="1313"/>
      <c r="CB95" s="1314"/>
      <c r="CC95" s="1314"/>
      <c r="CD95" s="1314"/>
      <c r="CE95" s="1314"/>
      <c r="CF95" s="1313"/>
      <c r="CG95" s="1314"/>
      <c r="CH95" s="1314"/>
      <c r="CI95" s="1314"/>
      <c r="CJ95" s="1314"/>
      <c r="CK95" s="1313"/>
      <c r="CL95" s="1314"/>
      <c r="CM95" s="1314"/>
      <c r="CN95" s="1314"/>
      <c r="CO95" s="1314"/>
      <c r="CP95" s="1313"/>
      <c r="CQ95" s="1314"/>
      <c r="CR95" s="1314"/>
      <c r="CS95" s="1314"/>
      <c r="CT95" s="1314"/>
      <c r="CU95" s="1313"/>
      <c r="CV95" s="1314"/>
      <c r="CW95" s="1314"/>
      <c r="CX95" s="1314"/>
      <c r="CY95" s="1314"/>
      <c r="CZ95" s="1313"/>
      <c r="DA95" s="1314"/>
      <c r="DB95" s="1314"/>
      <c r="DC95" s="1314"/>
      <c r="DD95" s="1314"/>
      <c r="DE95" s="1313"/>
      <c r="DF95" s="1314"/>
      <c r="DG95" s="1314"/>
      <c r="DH95" s="1314"/>
      <c r="DI95" s="1314"/>
      <c r="DJ95" s="1313"/>
      <c r="DK95" s="1314"/>
      <c r="DL95" s="1314"/>
      <c r="DM95" s="1314"/>
      <c r="DN95" s="1314"/>
      <c r="DO95" s="1313"/>
      <c r="DP95" s="1314"/>
      <c r="DQ95" s="1314"/>
      <c r="DR95" s="1314"/>
      <c r="DS95" s="1314"/>
      <c r="DT95" s="1313"/>
      <c r="DU95" s="1314"/>
      <c r="DV95" s="1314"/>
      <c r="DW95" s="1314"/>
      <c r="DX95" s="1314"/>
      <c r="DY95" s="1313"/>
    </row>
    <row r="96" spans="1:129" x14ac:dyDescent="0.2">
      <c r="A96" s="532"/>
      <c r="B96" s="1287" t="s">
        <v>1149</v>
      </c>
      <c r="C96" s="650"/>
      <c r="D96" s="650"/>
      <c r="E96" s="650"/>
      <c r="F96" s="650"/>
      <c r="G96" s="650"/>
      <c r="H96" s="650"/>
      <c r="I96" s="650"/>
      <c r="J96" s="650"/>
      <c r="K96" s="650"/>
      <c r="L96" s="650"/>
      <c r="M96" s="650"/>
      <c r="N96" s="650"/>
      <c r="O96" s="650"/>
      <c r="P96" s="650"/>
      <c r="Q96" s="650"/>
      <c r="R96" s="650"/>
      <c r="S96" s="650"/>
      <c r="T96" s="650"/>
      <c r="U96" s="650"/>
      <c r="V96" s="650"/>
      <c r="W96" s="650"/>
      <c r="X96" s="1288"/>
      <c r="Y96" s="650"/>
      <c r="Z96" s="650"/>
      <c r="AA96" s="650"/>
      <c r="AB96" s="650"/>
      <c r="AC96" s="1288"/>
      <c r="AD96" s="650"/>
      <c r="AE96" s="650"/>
      <c r="AF96" s="650"/>
      <c r="AG96" s="650"/>
      <c r="AH96" s="1288"/>
      <c r="AI96" s="650"/>
      <c r="AJ96" s="650"/>
      <c r="AK96" s="650"/>
      <c r="AL96" s="650"/>
      <c r="AM96" s="1288"/>
      <c r="AN96" s="650"/>
      <c r="AO96" s="650"/>
      <c r="AP96" s="650"/>
      <c r="AQ96" s="650"/>
      <c r="AR96" s="1288"/>
      <c r="AS96" s="650"/>
      <c r="AT96" s="650"/>
      <c r="AU96" s="650"/>
      <c r="AV96" s="650"/>
      <c r="AW96" s="1288"/>
      <c r="AX96" s="650"/>
      <c r="AY96" s="650"/>
      <c r="AZ96" s="650"/>
      <c r="BA96" s="650"/>
      <c r="BB96" s="1288"/>
      <c r="BC96" s="650"/>
      <c r="BD96" s="650"/>
      <c r="BE96" s="650"/>
      <c r="BF96" s="650"/>
      <c r="BG96" s="1288"/>
      <c r="BH96" s="650"/>
      <c r="BI96" s="650"/>
      <c r="BJ96" s="650"/>
      <c r="BK96" s="650"/>
      <c r="BL96" s="1315"/>
      <c r="BM96" s="1291"/>
      <c r="BN96" s="1291"/>
      <c r="BO96" s="1291"/>
      <c r="BP96" s="1291"/>
      <c r="BQ96" s="1315"/>
      <c r="BR96" s="1291"/>
      <c r="BS96" s="1291"/>
      <c r="BT96" s="1291"/>
      <c r="BU96" s="1291"/>
      <c r="BV96" s="1315"/>
      <c r="BW96" s="1291"/>
      <c r="BX96" s="1291"/>
      <c r="BY96" s="1291"/>
      <c r="BZ96" s="1291"/>
      <c r="CA96" s="1315"/>
      <c r="CB96" s="1291"/>
      <c r="CC96" s="1291"/>
      <c r="CD96" s="1291"/>
      <c r="CE96" s="1291"/>
      <c r="CF96" s="1315"/>
      <c r="CG96" s="1291"/>
      <c r="CH96" s="1291"/>
      <c r="CI96" s="1291"/>
      <c r="CJ96" s="1291"/>
      <c r="CK96" s="1315"/>
      <c r="CL96" s="1291"/>
      <c r="CM96" s="1291"/>
      <c r="CN96" s="1291"/>
      <c r="CO96" s="1291"/>
      <c r="CP96" s="1315"/>
      <c r="CQ96" s="1291"/>
      <c r="CR96" s="1291"/>
      <c r="CS96" s="1291"/>
      <c r="CT96" s="1291"/>
      <c r="CU96" s="1315"/>
      <c r="CV96" s="1291"/>
      <c r="CW96" s="1291"/>
      <c r="CX96" s="1291"/>
      <c r="CY96" s="1291"/>
      <c r="CZ96" s="1315"/>
      <c r="DA96" s="1291"/>
      <c r="DB96" s="1291"/>
      <c r="DC96" s="1291"/>
      <c r="DD96" s="1291"/>
      <c r="DE96" s="1315"/>
      <c r="DF96" s="1291"/>
      <c r="DG96" s="1291"/>
      <c r="DH96" s="1291"/>
      <c r="DI96" s="1291"/>
      <c r="DJ96" s="1315"/>
      <c r="DK96" s="1291"/>
      <c r="DL96" s="1291"/>
      <c r="DM96" s="1291"/>
      <c r="DN96" s="1291"/>
      <c r="DO96" s="1315"/>
      <c r="DP96" s="1291"/>
      <c r="DQ96" s="1291"/>
      <c r="DR96" s="1291"/>
      <c r="DS96" s="1291"/>
      <c r="DT96" s="1315"/>
      <c r="DU96" s="1291"/>
      <c r="DV96" s="1291"/>
      <c r="DW96" s="1291"/>
      <c r="DX96" s="1291"/>
      <c r="DY96" s="1315"/>
    </row>
    <row r="97" spans="1:129" x14ac:dyDescent="0.2">
      <c r="A97" s="532"/>
      <c r="B97" s="1287" t="s">
        <v>1150</v>
      </c>
      <c r="C97" s="650"/>
      <c r="D97" s="650"/>
      <c r="E97" s="650"/>
      <c r="F97" s="650"/>
      <c r="G97" s="650"/>
      <c r="H97" s="650"/>
      <c r="I97" s="650"/>
      <c r="J97" s="650"/>
      <c r="K97" s="650"/>
      <c r="L97" s="650"/>
      <c r="M97" s="650"/>
      <c r="N97" s="650"/>
      <c r="O97" s="650"/>
      <c r="P97" s="650"/>
      <c r="Q97" s="650"/>
      <c r="R97" s="650"/>
      <c r="S97" s="650"/>
      <c r="T97" s="650"/>
      <c r="U97" s="650"/>
      <c r="V97" s="650"/>
      <c r="W97" s="650"/>
      <c r="X97" s="1288"/>
      <c r="Y97" s="650"/>
      <c r="Z97" s="650"/>
      <c r="AA97" s="650"/>
      <c r="AB97" s="650"/>
      <c r="AC97" s="1288"/>
      <c r="AD97" s="650"/>
      <c r="AE97" s="650"/>
      <c r="AF97" s="650"/>
      <c r="AG97" s="650"/>
      <c r="AH97" s="1288"/>
      <c r="AI97" s="650"/>
      <c r="AJ97" s="650"/>
      <c r="AK97" s="650"/>
      <c r="AL97" s="650"/>
      <c r="AM97" s="1288"/>
      <c r="AN97" s="650"/>
      <c r="AO97" s="650"/>
      <c r="AP97" s="650"/>
      <c r="AQ97" s="650"/>
      <c r="AR97" s="1288"/>
      <c r="AS97" s="650"/>
      <c r="AT97" s="650"/>
      <c r="AU97" s="650"/>
      <c r="AV97" s="650"/>
      <c r="AW97" s="1288"/>
      <c r="AX97" s="650"/>
      <c r="AY97" s="650"/>
      <c r="AZ97" s="650"/>
      <c r="BA97" s="650"/>
      <c r="BB97" s="1288"/>
      <c r="BC97" s="650"/>
      <c r="BD97" s="650"/>
      <c r="BE97" s="650"/>
      <c r="BF97" s="650"/>
      <c r="BG97" s="1289"/>
      <c r="BH97" s="650"/>
      <c r="BI97" s="650"/>
      <c r="BJ97" s="650"/>
      <c r="BK97" s="650"/>
      <c r="BL97" s="1290">
        <v>0.04</v>
      </c>
      <c r="BM97" s="1291"/>
      <c r="BN97" s="1291"/>
      <c r="BO97" s="1291"/>
      <c r="BP97" s="1291"/>
      <c r="BQ97" s="1290">
        <v>0.04</v>
      </c>
      <c r="BR97" s="1291"/>
      <c r="BS97" s="1291"/>
      <c r="BT97" s="1291"/>
      <c r="BU97" s="1291"/>
      <c r="BV97" s="1290">
        <v>0.04</v>
      </c>
      <c r="BW97" s="1291"/>
      <c r="BX97" s="1291"/>
      <c r="BY97" s="1291"/>
      <c r="BZ97" s="1291"/>
      <c r="CA97" s="1290">
        <v>0.04</v>
      </c>
      <c r="CB97" s="1292">
        <v>0.04</v>
      </c>
      <c r="CC97" s="1292">
        <v>0.04</v>
      </c>
      <c r="CD97" s="1292">
        <v>0.04</v>
      </c>
      <c r="CE97" s="1292">
        <v>0.04</v>
      </c>
      <c r="CF97" s="1290"/>
      <c r="CG97" s="1292">
        <f>CE97</f>
        <v>0.04</v>
      </c>
      <c r="CH97" s="1292">
        <f>CG97</f>
        <v>0.04</v>
      </c>
      <c r="CI97" s="1292">
        <f>CH97</f>
        <v>0.04</v>
      </c>
      <c r="CJ97" s="1292">
        <f>CI97</f>
        <v>0.04</v>
      </c>
      <c r="CK97" s="1290"/>
      <c r="CL97" s="1292">
        <f>CJ97</f>
        <v>0.04</v>
      </c>
      <c r="CM97" s="1292">
        <f>CL97</f>
        <v>0.04</v>
      </c>
      <c r="CN97" s="1292">
        <f>CM97</f>
        <v>0.04</v>
      </c>
      <c r="CO97" s="1292">
        <f>CN97</f>
        <v>0.04</v>
      </c>
      <c r="CP97" s="1290"/>
      <c r="CQ97" s="1292">
        <f>CO97</f>
        <v>0.04</v>
      </c>
      <c r="CR97" s="1292">
        <f>CQ97</f>
        <v>0.04</v>
      </c>
      <c r="CS97" s="1292">
        <f>CR97</f>
        <v>0.04</v>
      </c>
      <c r="CT97" s="1292">
        <f>CS97</f>
        <v>0.04</v>
      </c>
      <c r="CU97" s="1290"/>
      <c r="CV97" s="1292">
        <f>CT97</f>
        <v>0.04</v>
      </c>
      <c r="CW97" s="1292">
        <f>CV97</f>
        <v>0.04</v>
      </c>
      <c r="CX97" s="1292">
        <f>CW97</f>
        <v>0.04</v>
      </c>
      <c r="CY97" s="1292">
        <f>CX97</f>
        <v>0.04</v>
      </c>
      <c r="CZ97" s="1290"/>
      <c r="DA97" s="1292">
        <f>CY97</f>
        <v>0.04</v>
      </c>
      <c r="DB97" s="1292">
        <f>DA97</f>
        <v>0.04</v>
      </c>
      <c r="DC97" s="1292">
        <f>DB97</f>
        <v>0.04</v>
      </c>
      <c r="DD97" s="1292">
        <f>DC97</f>
        <v>0.04</v>
      </c>
      <c r="DE97" s="1290"/>
      <c r="DF97" s="1292">
        <f>DD97</f>
        <v>0.04</v>
      </c>
      <c r="DG97" s="1292">
        <f>DF97</f>
        <v>0.04</v>
      </c>
      <c r="DH97" s="1292">
        <f>DG97</f>
        <v>0.04</v>
      </c>
      <c r="DI97" s="1292">
        <f>DH97</f>
        <v>0.04</v>
      </c>
      <c r="DJ97" s="1290"/>
      <c r="DK97" s="1292">
        <f>DI97</f>
        <v>0.04</v>
      </c>
      <c r="DL97" s="1292">
        <f>DK97</f>
        <v>0.04</v>
      </c>
      <c r="DM97" s="1292">
        <f>DL97</f>
        <v>0.04</v>
      </c>
      <c r="DN97" s="1292">
        <f>DM97</f>
        <v>0.04</v>
      </c>
      <c r="DO97" s="1290"/>
      <c r="DP97" s="1292">
        <f>DN97</f>
        <v>0.04</v>
      </c>
      <c r="DQ97" s="1292">
        <f>DP97</f>
        <v>0.04</v>
      </c>
      <c r="DR97" s="1292">
        <f>DQ97</f>
        <v>0.04</v>
      </c>
      <c r="DS97" s="1292">
        <f>DR97</f>
        <v>0.04</v>
      </c>
      <c r="DT97" s="1290"/>
      <c r="DU97" s="1292">
        <f>DS97</f>
        <v>0.04</v>
      </c>
      <c r="DV97" s="1292">
        <f>DU97</f>
        <v>0.04</v>
      </c>
      <c r="DW97" s="1292">
        <f>DV97</f>
        <v>0.04</v>
      </c>
      <c r="DX97" s="1292">
        <f>DW97</f>
        <v>0.04</v>
      </c>
      <c r="DY97" s="1290"/>
    </row>
    <row r="98" spans="1:129" x14ac:dyDescent="0.2">
      <c r="A98" s="1223"/>
      <c r="B98" s="1190" t="s">
        <v>1151</v>
      </c>
      <c r="C98" s="1293"/>
      <c r="D98" s="1293"/>
      <c r="E98" s="1293"/>
      <c r="F98" s="1293"/>
      <c r="G98" s="1293"/>
      <c r="H98" s="1293"/>
      <c r="I98" s="1293"/>
      <c r="J98" s="1293"/>
      <c r="K98" s="1293"/>
      <c r="L98" s="1293"/>
      <c r="M98" s="1293"/>
      <c r="N98" s="1293"/>
      <c r="O98" s="1293"/>
      <c r="P98" s="1293"/>
      <c r="Q98" s="1293"/>
      <c r="R98" s="1293"/>
      <c r="S98" s="1293"/>
      <c r="T98" s="1293"/>
      <c r="U98" s="1293"/>
      <c r="V98" s="1293"/>
      <c r="W98" s="1293"/>
      <c r="X98" s="1227"/>
      <c r="Y98" s="1231"/>
      <c r="Z98" s="1231"/>
      <c r="AA98" s="1231"/>
      <c r="AB98" s="1294"/>
      <c r="AC98" s="1227"/>
      <c r="AD98" s="1231"/>
      <c r="AE98" s="1231"/>
      <c r="AF98" s="1231"/>
      <c r="AG98" s="1294"/>
      <c r="AH98" s="1227"/>
      <c r="AI98" s="1231"/>
      <c r="AJ98" s="1231"/>
      <c r="AK98" s="1231"/>
      <c r="AL98" s="1294"/>
      <c r="AM98" s="1227"/>
      <c r="AN98" s="1231"/>
      <c r="AO98" s="1231"/>
      <c r="AP98" s="1231"/>
      <c r="AQ98" s="1294"/>
      <c r="AR98" s="1227"/>
      <c r="AS98" s="1231"/>
      <c r="AT98" s="1231"/>
      <c r="AU98" s="1231"/>
      <c r="AV98" s="1294"/>
      <c r="AW98" s="1227"/>
      <c r="AX98" s="1231"/>
      <c r="AY98" s="1231"/>
      <c r="AZ98" s="1231"/>
      <c r="BA98" s="1231"/>
      <c r="BB98" s="1227"/>
      <c r="BC98" s="1231"/>
      <c r="BD98" s="1231"/>
      <c r="BE98" s="1231"/>
      <c r="BF98" s="1231"/>
      <c r="BG98" s="1227"/>
      <c r="BH98" s="1231"/>
      <c r="BI98" s="1231"/>
      <c r="BJ98" s="1231"/>
      <c r="BK98" s="1231"/>
      <c r="BL98" s="1194"/>
      <c r="BM98" s="1195"/>
      <c r="BN98" s="1195"/>
      <c r="BO98" s="1195"/>
      <c r="BP98" s="1195"/>
      <c r="BQ98" s="1194"/>
      <c r="BR98" s="1195"/>
      <c r="BS98" s="1195"/>
      <c r="BT98" s="1195"/>
      <c r="BU98" s="1195"/>
      <c r="BV98" s="1194"/>
      <c r="BW98" s="1195"/>
      <c r="BX98" s="1195"/>
      <c r="BY98" s="1195"/>
      <c r="BZ98" s="1195"/>
      <c r="CA98" s="1194"/>
      <c r="CB98" s="1195"/>
      <c r="CC98" s="1195"/>
      <c r="CD98" s="1195"/>
      <c r="CE98" s="1195"/>
      <c r="CF98" s="1194"/>
      <c r="CG98" s="1195"/>
      <c r="CH98" s="1195"/>
      <c r="CI98" s="1195"/>
      <c r="CJ98" s="1195"/>
      <c r="CK98" s="1194"/>
      <c r="CL98" s="1195"/>
      <c r="CM98" s="1195"/>
      <c r="CN98" s="1195"/>
      <c r="CO98" s="1195"/>
      <c r="CP98" s="1194"/>
      <c r="CQ98" s="1195"/>
      <c r="CR98" s="1195"/>
      <c r="CS98" s="1195"/>
      <c r="CT98" s="1195"/>
      <c r="CU98" s="1194"/>
      <c r="CV98" s="1195"/>
      <c r="CW98" s="1195"/>
      <c r="CX98" s="1195"/>
      <c r="CY98" s="1195"/>
      <c r="CZ98" s="1194"/>
      <c r="DA98" s="1195"/>
      <c r="DB98" s="1195"/>
      <c r="DC98" s="1195"/>
      <c r="DD98" s="1195"/>
      <c r="DE98" s="1194"/>
      <c r="DF98" s="1195"/>
      <c r="DG98" s="1195"/>
      <c r="DH98" s="1195"/>
      <c r="DI98" s="1195"/>
      <c r="DJ98" s="1194"/>
      <c r="DK98" s="1195"/>
      <c r="DL98" s="1195"/>
      <c r="DM98" s="1195"/>
      <c r="DN98" s="1195"/>
      <c r="DO98" s="1194"/>
      <c r="DP98" s="1195"/>
      <c r="DQ98" s="1195"/>
      <c r="DR98" s="1195"/>
      <c r="DS98" s="1195"/>
      <c r="DT98" s="1194"/>
      <c r="DU98" s="1195"/>
      <c r="DV98" s="1195"/>
      <c r="DW98" s="1195"/>
      <c r="DX98" s="1195"/>
      <c r="DY98" s="1194"/>
    </row>
    <row r="99" spans="1:129" x14ac:dyDescent="0.2">
      <c r="A99" s="1223"/>
      <c r="B99" s="1190" t="s">
        <v>1152</v>
      </c>
      <c r="C99" s="1231"/>
      <c r="D99" s="1231"/>
      <c r="E99" s="1231"/>
      <c r="F99" s="1231"/>
      <c r="G99" s="1231"/>
      <c r="H99" s="1231"/>
      <c r="I99" s="1231"/>
      <c r="J99" s="1231"/>
      <c r="K99" s="1231"/>
      <c r="L99" s="1231"/>
      <c r="M99" s="1231"/>
      <c r="N99" s="1231"/>
      <c r="O99" s="1231"/>
      <c r="P99" s="1231"/>
      <c r="Q99" s="1231"/>
      <c r="R99" s="1231"/>
      <c r="S99" s="1231"/>
      <c r="T99" s="1231"/>
      <c r="U99" s="1231"/>
      <c r="V99" s="1231"/>
      <c r="W99" s="1231"/>
      <c r="X99" s="1227"/>
      <c r="Y99" s="1231"/>
      <c r="Z99" s="1231"/>
      <c r="AA99" s="1231"/>
      <c r="AB99" s="1231"/>
      <c r="AC99" s="1227"/>
      <c r="AD99" s="1231"/>
      <c r="AE99" s="1231"/>
      <c r="AF99" s="1231"/>
      <c r="AG99" s="1231"/>
      <c r="AH99" s="1227"/>
      <c r="AI99" s="1231"/>
      <c r="AJ99" s="1231"/>
      <c r="AK99" s="1231"/>
      <c r="AL99" s="1231"/>
      <c r="AM99" s="1227"/>
      <c r="AN99" s="1231"/>
      <c r="AO99" s="1231"/>
      <c r="AP99" s="1231"/>
      <c r="AQ99" s="1231"/>
      <c r="AR99" s="1227"/>
      <c r="AS99" s="1231"/>
      <c r="AT99" s="1231"/>
      <c r="AU99" s="1231"/>
      <c r="AV99" s="1231"/>
      <c r="AW99" s="1227"/>
      <c r="AX99" s="1231"/>
      <c r="AY99" s="1231"/>
      <c r="AZ99" s="1231"/>
      <c r="BA99" s="1231"/>
      <c r="BB99" s="1227"/>
      <c r="BC99" s="1231"/>
      <c r="BD99" s="1231"/>
      <c r="BE99" s="1231"/>
      <c r="BF99" s="1231"/>
      <c r="BG99" s="1227"/>
      <c r="BH99" s="1231"/>
      <c r="BI99" s="1231"/>
      <c r="BJ99" s="1231"/>
      <c r="BK99" s="1231"/>
      <c r="BL99" s="1194"/>
      <c r="BM99" s="1195"/>
      <c r="BN99" s="1195"/>
      <c r="BO99" s="1195"/>
      <c r="BP99" s="1195"/>
      <c r="BQ99" s="1194">
        <f>BL101</f>
        <v>650</v>
      </c>
      <c r="BR99" s="1195"/>
      <c r="BS99" s="1195"/>
      <c r="BT99" s="1195"/>
      <c r="BU99" s="1195"/>
      <c r="BV99" s="1194">
        <f>BQ101</f>
        <v>650</v>
      </c>
      <c r="BW99" s="1195"/>
      <c r="BX99" s="1195"/>
      <c r="BY99" s="1195"/>
      <c r="BZ99" s="1195"/>
      <c r="CA99" s="1194">
        <f>BV101</f>
        <v>0</v>
      </c>
      <c r="CB99" s="1229">
        <f>CA101</f>
        <v>0</v>
      </c>
      <c r="CC99" s="1229">
        <f>+CB101</f>
        <v>0</v>
      </c>
      <c r="CD99" s="1229">
        <f>+CC101</f>
        <v>0</v>
      </c>
      <c r="CE99" s="1229">
        <f>+CD101</f>
        <v>0</v>
      </c>
      <c r="CF99" s="1194">
        <f>CA101</f>
        <v>0</v>
      </c>
      <c r="CG99" s="1229">
        <f>+CE101</f>
        <v>0</v>
      </c>
      <c r="CH99" s="1229">
        <f>+CG101</f>
        <v>0</v>
      </c>
      <c r="CI99" s="1229">
        <f>+CH101</f>
        <v>0</v>
      </c>
      <c r="CJ99" s="1229">
        <f>+CI101</f>
        <v>0</v>
      </c>
      <c r="CK99" s="1194">
        <f>CF101</f>
        <v>0</v>
      </c>
      <c r="CL99" s="1229">
        <f>+CJ101</f>
        <v>0</v>
      </c>
      <c r="CM99" s="1229">
        <f>+CL101</f>
        <v>0</v>
      </c>
      <c r="CN99" s="1229">
        <f>+CM101</f>
        <v>0</v>
      </c>
      <c r="CO99" s="1229">
        <f>+CN101</f>
        <v>0</v>
      </c>
      <c r="CP99" s="1194">
        <f>CK101</f>
        <v>0</v>
      </c>
      <c r="CQ99" s="1229">
        <f>+CO99</f>
        <v>0</v>
      </c>
      <c r="CR99" s="1229">
        <f>+CQ101</f>
        <v>0</v>
      </c>
      <c r="CS99" s="1229">
        <f>+CR101</f>
        <v>0</v>
      </c>
      <c r="CT99" s="1229">
        <f>+CS101</f>
        <v>0</v>
      </c>
      <c r="CU99" s="1194">
        <f>CP101</f>
        <v>0</v>
      </c>
      <c r="CV99" s="1229">
        <f>+CT99</f>
        <v>0</v>
      </c>
      <c r="CW99" s="1229">
        <f>+CV101</f>
        <v>0</v>
      </c>
      <c r="CX99" s="1229">
        <f>+CW101</f>
        <v>0</v>
      </c>
      <c r="CY99" s="1229">
        <f>+CX101</f>
        <v>0</v>
      </c>
      <c r="CZ99" s="1194">
        <f>CU101</f>
        <v>0</v>
      </c>
      <c r="DA99" s="1229">
        <f>+CY99</f>
        <v>0</v>
      </c>
      <c r="DB99" s="1229">
        <f>+DA101</f>
        <v>0</v>
      </c>
      <c r="DC99" s="1229">
        <f>+DB101</f>
        <v>0</v>
      </c>
      <c r="DD99" s="1229">
        <f>+DC101</f>
        <v>0</v>
      </c>
      <c r="DE99" s="1194">
        <f>CZ101</f>
        <v>0</v>
      </c>
      <c r="DF99" s="1229">
        <f>+DD99</f>
        <v>0</v>
      </c>
      <c r="DG99" s="1229">
        <f>+DF101</f>
        <v>0</v>
      </c>
      <c r="DH99" s="1229">
        <f>+DG101</f>
        <v>0</v>
      </c>
      <c r="DI99" s="1229">
        <f>+DH101</f>
        <v>0</v>
      </c>
      <c r="DJ99" s="1194">
        <f>DE101</f>
        <v>0</v>
      </c>
      <c r="DK99" s="1229">
        <f>+DI99</f>
        <v>0</v>
      </c>
      <c r="DL99" s="1229">
        <f>+DK101</f>
        <v>0</v>
      </c>
      <c r="DM99" s="1229">
        <f>+DL101</f>
        <v>0</v>
      </c>
      <c r="DN99" s="1229">
        <f>+DM101</f>
        <v>0</v>
      </c>
      <c r="DO99" s="1194">
        <f>DJ101</f>
        <v>0</v>
      </c>
      <c r="DP99" s="1229">
        <f>+DN99</f>
        <v>0</v>
      </c>
      <c r="DQ99" s="1229">
        <f>+DP101</f>
        <v>0</v>
      </c>
      <c r="DR99" s="1229">
        <f>+DQ101</f>
        <v>0</v>
      </c>
      <c r="DS99" s="1229">
        <f>+DR101</f>
        <v>0</v>
      </c>
      <c r="DT99" s="1194">
        <f>DO101</f>
        <v>0</v>
      </c>
      <c r="DU99" s="1229">
        <f>+DS99</f>
        <v>0</v>
      </c>
      <c r="DV99" s="1229">
        <f>+DU101</f>
        <v>0</v>
      </c>
      <c r="DW99" s="1229">
        <f>+DV101</f>
        <v>0</v>
      </c>
      <c r="DX99" s="1229">
        <f>+DW101</f>
        <v>0</v>
      </c>
      <c r="DY99" s="1194">
        <f>DT101</f>
        <v>0</v>
      </c>
    </row>
    <row r="100" spans="1:129" x14ac:dyDescent="0.2">
      <c r="A100" s="1295"/>
      <c r="B100" s="1190" t="s">
        <v>1153</v>
      </c>
      <c r="C100" s="1182"/>
      <c r="D100" s="1182"/>
      <c r="E100" s="1182"/>
      <c r="F100" s="1182"/>
      <c r="G100" s="1182"/>
      <c r="H100" s="1182"/>
      <c r="I100" s="1182"/>
      <c r="J100" s="1182"/>
      <c r="K100" s="1182"/>
      <c r="L100" s="1182"/>
      <c r="M100" s="1182"/>
      <c r="N100" s="1182"/>
      <c r="O100" s="1182"/>
      <c r="P100" s="1182"/>
      <c r="Q100" s="1182"/>
      <c r="R100" s="1182"/>
      <c r="S100" s="1182"/>
      <c r="T100" s="1182"/>
      <c r="U100" s="1182"/>
      <c r="V100" s="1182"/>
      <c r="W100" s="1182"/>
      <c r="X100" s="1296"/>
      <c r="Y100" s="1297"/>
      <c r="Z100" s="1297"/>
      <c r="AA100" s="1297"/>
      <c r="AB100" s="1297"/>
      <c r="AC100" s="1296"/>
      <c r="AD100" s="1297"/>
      <c r="AE100" s="1297"/>
      <c r="AF100" s="1297"/>
      <c r="AG100" s="1297"/>
      <c r="AH100" s="1296"/>
      <c r="AI100" s="1297"/>
      <c r="AJ100" s="1297"/>
      <c r="AK100" s="1297"/>
      <c r="AL100" s="1297"/>
      <c r="AM100" s="1296"/>
      <c r="AN100" s="1297"/>
      <c r="AO100" s="1297"/>
      <c r="AP100" s="1297"/>
      <c r="AQ100" s="1297"/>
      <c r="AR100" s="1296"/>
      <c r="AS100" s="1297"/>
      <c r="AT100" s="1297"/>
      <c r="AU100" s="1297"/>
      <c r="AV100" s="1297"/>
      <c r="AW100" s="1296"/>
      <c r="AX100" s="1298"/>
      <c r="AY100" s="1299"/>
      <c r="AZ100" s="1299"/>
      <c r="BA100" s="1298"/>
      <c r="BB100" s="1300"/>
      <c r="BC100" s="1298"/>
      <c r="BD100" s="1298"/>
      <c r="BE100" s="1298"/>
      <c r="BF100" s="1298"/>
      <c r="BG100" s="1296"/>
      <c r="BH100" s="1298"/>
      <c r="BI100" s="1298"/>
      <c r="BJ100" s="1298"/>
      <c r="BK100" s="1298"/>
      <c r="BL100" s="1301"/>
      <c r="BM100" s="1302"/>
      <c r="BN100" s="1302"/>
      <c r="BO100" s="1302"/>
      <c r="BP100" s="1302"/>
      <c r="BQ100" s="1301">
        <f>BQ101-BQ99</f>
        <v>0</v>
      </c>
      <c r="BR100" s="1302"/>
      <c r="BS100" s="1302"/>
      <c r="BT100" s="1302"/>
      <c r="BU100" s="1302"/>
      <c r="BV100" s="1301">
        <f>BV101-BV99</f>
        <v>-650</v>
      </c>
      <c r="BW100" s="1302"/>
      <c r="BX100" s="1302"/>
      <c r="BY100" s="1302"/>
      <c r="BZ100" s="1302"/>
      <c r="CA100" s="1301">
        <f>CA101-CA99</f>
        <v>0</v>
      </c>
      <c r="CB100" s="1303">
        <f>CB101-CB99</f>
        <v>0</v>
      </c>
      <c r="CC100" s="1303">
        <f>CC101-CC99</f>
        <v>0</v>
      </c>
      <c r="CD100" s="1302">
        <v>0</v>
      </c>
      <c r="CE100" s="1302">
        <v>0</v>
      </c>
      <c r="CF100" s="1301">
        <f>+SUM(CB100:CE100)</f>
        <v>0</v>
      </c>
      <c r="CG100" s="1302">
        <v>0</v>
      </c>
      <c r="CH100" s="1302">
        <v>0</v>
      </c>
      <c r="CI100" s="1302">
        <v>0</v>
      </c>
      <c r="CJ100" s="1302">
        <v>0</v>
      </c>
      <c r="CK100" s="1301">
        <f>+SUM(CG100:CJ100)</f>
        <v>0</v>
      </c>
      <c r="CL100" s="1302">
        <v>0</v>
      </c>
      <c r="CM100" s="1302">
        <v>0</v>
      </c>
      <c r="CN100" s="1302">
        <v>0</v>
      </c>
      <c r="CO100" s="1302">
        <v>0</v>
      </c>
      <c r="CP100" s="1301">
        <f>+SUM(CL100:CO100)</f>
        <v>0</v>
      </c>
      <c r="CQ100" s="1302">
        <v>0</v>
      </c>
      <c r="CR100" s="1302">
        <v>0</v>
      </c>
      <c r="CS100" s="1302">
        <v>0</v>
      </c>
      <c r="CT100" s="1302">
        <v>0</v>
      </c>
      <c r="CU100" s="1301">
        <f>+SUM(CQ100:CT100)</f>
        <v>0</v>
      </c>
      <c r="CV100" s="1302">
        <v>0</v>
      </c>
      <c r="CW100" s="1302">
        <v>0</v>
      </c>
      <c r="CX100" s="1302">
        <v>0</v>
      </c>
      <c r="CY100" s="1302">
        <v>0</v>
      </c>
      <c r="CZ100" s="1301">
        <f>+SUM(CV100:CY100)</f>
        <v>0</v>
      </c>
      <c r="DA100" s="1302">
        <v>0</v>
      </c>
      <c r="DB100" s="1302">
        <v>0</v>
      </c>
      <c r="DC100" s="1302">
        <v>0</v>
      </c>
      <c r="DD100" s="1302">
        <v>0</v>
      </c>
      <c r="DE100" s="1301">
        <f>+SUM(DA100:DD100)</f>
        <v>0</v>
      </c>
      <c r="DF100" s="1302">
        <v>0</v>
      </c>
      <c r="DG100" s="1302">
        <v>0</v>
      </c>
      <c r="DH100" s="1302">
        <v>0</v>
      </c>
      <c r="DI100" s="1302">
        <v>0</v>
      </c>
      <c r="DJ100" s="1301">
        <f>+SUM(DF100:DI100)</f>
        <v>0</v>
      </c>
      <c r="DK100" s="1302">
        <v>0</v>
      </c>
      <c r="DL100" s="1302">
        <v>0</v>
      </c>
      <c r="DM100" s="1302">
        <v>0</v>
      </c>
      <c r="DN100" s="1302">
        <v>0</v>
      </c>
      <c r="DO100" s="1301">
        <f>+SUM(DK100:DN100)</f>
        <v>0</v>
      </c>
      <c r="DP100" s="1302">
        <v>0</v>
      </c>
      <c r="DQ100" s="1302">
        <v>0</v>
      </c>
      <c r="DR100" s="1302">
        <v>0</v>
      </c>
      <c r="DS100" s="1302">
        <v>0</v>
      </c>
      <c r="DT100" s="1301">
        <f>+SUM(DP100:DS100)</f>
        <v>0</v>
      </c>
      <c r="DU100" s="1302">
        <v>0</v>
      </c>
      <c r="DV100" s="1302">
        <v>0</v>
      </c>
      <c r="DW100" s="1302">
        <v>0</v>
      </c>
      <c r="DX100" s="1302">
        <v>0</v>
      </c>
      <c r="DY100" s="1301">
        <f>+SUM(DU100:DX100)</f>
        <v>0</v>
      </c>
    </row>
    <row r="101" spans="1:129" x14ac:dyDescent="0.2">
      <c r="A101" s="1295"/>
      <c r="B101" s="1190" t="s">
        <v>1154</v>
      </c>
      <c r="C101" s="1182"/>
      <c r="D101" s="1182"/>
      <c r="E101" s="1182"/>
      <c r="F101" s="1182"/>
      <c r="G101" s="1182"/>
      <c r="H101" s="1182"/>
      <c r="I101" s="1182"/>
      <c r="J101" s="1182"/>
      <c r="K101" s="1182"/>
      <c r="L101" s="1182"/>
      <c r="M101" s="1182"/>
      <c r="N101" s="1182"/>
      <c r="O101" s="1182"/>
      <c r="P101" s="1182"/>
      <c r="Q101" s="1182"/>
      <c r="R101" s="1182"/>
      <c r="S101" s="1182"/>
      <c r="T101" s="1182"/>
      <c r="U101" s="1182"/>
      <c r="V101" s="1182"/>
      <c r="W101" s="1182"/>
      <c r="X101" s="1304"/>
      <c r="Y101" s="1305"/>
      <c r="Z101" s="1305"/>
      <c r="AA101" s="1305"/>
      <c r="AB101" s="1305"/>
      <c r="AC101" s="1304"/>
      <c r="AD101" s="1305"/>
      <c r="AE101" s="1305"/>
      <c r="AF101" s="1305"/>
      <c r="AG101" s="1305"/>
      <c r="AH101" s="1304"/>
      <c r="AI101" s="1305"/>
      <c r="AJ101" s="1305"/>
      <c r="AK101" s="1305"/>
      <c r="AL101" s="1305"/>
      <c r="AM101" s="1304"/>
      <c r="AN101" s="1305"/>
      <c r="AO101" s="1305"/>
      <c r="AP101" s="1305"/>
      <c r="AQ101" s="1305"/>
      <c r="AR101" s="1304"/>
      <c r="AS101" s="1305"/>
      <c r="AT101" s="1305"/>
      <c r="AU101" s="1305"/>
      <c r="AV101" s="1305"/>
      <c r="AW101" s="1304"/>
      <c r="AX101" s="1305"/>
      <c r="AY101" s="1305"/>
      <c r="AZ101" s="1305"/>
      <c r="BA101" s="1305"/>
      <c r="BB101" s="1304"/>
      <c r="BC101" s="1305"/>
      <c r="BD101" s="1305"/>
      <c r="BE101" s="1305"/>
      <c r="BF101" s="1305"/>
      <c r="BG101" s="1306"/>
      <c r="BH101" s="1305"/>
      <c r="BI101" s="1305"/>
      <c r="BJ101" s="1305"/>
      <c r="BK101" s="1305"/>
      <c r="BL101" s="1307">
        <v>650</v>
      </c>
      <c r="BM101" s="1198"/>
      <c r="BN101" s="1198"/>
      <c r="BO101" s="1198"/>
      <c r="BP101" s="1198"/>
      <c r="BQ101" s="1307">
        <v>650</v>
      </c>
      <c r="BR101" s="1198"/>
      <c r="BS101" s="1198"/>
      <c r="BT101" s="1198"/>
      <c r="BU101" s="1198"/>
      <c r="BV101" s="1307">
        <v>0</v>
      </c>
      <c r="BW101" s="1198"/>
      <c r="BX101" s="1198"/>
      <c r="BY101" s="1198"/>
      <c r="BZ101" s="1198"/>
      <c r="CA101" s="1307">
        <v>0</v>
      </c>
      <c r="CB101" s="1187">
        <f>CA101</f>
        <v>0</v>
      </c>
      <c r="CC101" s="1187">
        <f>CB101</f>
        <v>0</v>
      </c>
      <c r="CD101" s="1187">
        <f t="shared" ref="CD101:CZ101" si="129">CD99+CD100</f>
        <v>0</v>
      </c>
      <c r="CE101" s="1187">
        <f t="shared" si="129"/>
        <v>0</v>
      </c>
      <c r="CF101" s="1186">
        <f t="shared" si="129"/>
        <v>0</v>
      </c>
      <c r="CG101" s="1187">
        <f t="shared" si="129"/>
        <v>0</v>
      </c>
      <c r="CH101" s="1187">
        <f t="shared" si="129"/>
        <v>0</v>
      </c>
      <c r="CI101" s="1187">
        <f t="shared" si="129"/>
        <v>0</v>
      </c>
      <c r="CJ101" s="1187">
        <f t="shared" si="129"/>
        <v>0</v>
      </c>
      <c r="CK101" s="1186">
        <f t="shared" si="129"/>
        <v>0</v>
      </c>
      <c r="CL101" s="1187">
        <f t="shared" si="129"/>
        <v>0</v>
      </c>
      <c r="CM101" s="1187">
        <f t="shared" si="129"/>
        <v>0</v>
      </c>
      <c r="CN101" s="1187">
        <f t="shared" si="129"/>
        <v>0</v>
      </c>
      <c r="CO101" s="1187">
        <f t="shared" si="129"/>
        <v>0</v>
      </c>
      <c r="CP101" s="1186">
        <f t="shared" si="129"/>
        <v>0</v>
      </c>
      <c r="CQ101" s="1187">
        <f t="shared" si="129"/>
        <v>0</v>
      </c>
      <c r="CR101" s="1187">
        <f t="shared" si="129"/>
        <v>0</v>
      </c>
      <c r="CS101" s="1187">
        <f t="shared" si="129"/>
        <v>0</v>
      </c>
      <c r="CT101" s="1187">
        <f t="shared" si="129"/>
        <v>0</v>
      </c>
      <c r="CU101" s="1186">
        <f t="shared" si="129"/>
        <v>0</v>
      </c>
      <c r="CV101" s="1187">
        <f t="shared" si="129"/>
        <v>0</v>
      </c>
      <c r="CW101" s="1187">
        <f t="shared" si="129"/>
        <v>0</v>
      </c>
      <c r="CX101" s="1187">
        <f t="shared" si="129"/>
        <v>0</v>
      </c>
      <c r="CY101" s="1187">
        <f t="shared" si="129"/>
        <v>0</v>
      </c>
      <c r="CZ101" s="1186">
        <f t="shared" si="129"/>
        <v>0</v>
      </c>
      <c r="DA101" s="1187">
        <f t="shared" ref="DA101:DJ101" si="130">DA99+DA100</f>
        <v>0</v>
      </c>
      <c r="DB101" s="1187">
        <f t="shared" si="130"/>
        <v>0</v>
      </c>
      <c r="DC101" s="1187">
        <f t="shared" si="130"/>
        <v>0</v>
      </c>
      <c r="DD101" s="1187">
        <f t="shared" si="130"/>
        <v>0</v>
      </c>
      <c r="DE101" s="1186">
        <f t="shared" si="130"/>
        <v>0</v>
      </c>
      <c r="DF101" s="1187">
        <f t="shared" si="130"/>
        <v>0</v>
      </c>
      <c r="DG101" s="1187">
        <f t="shared" si="130"/>
        <v>0</v>
      </c>
      <c r="DH101" s="1187">
        <f t="shared" si="130"/>
        <v>0</v>
      </c>
      <c r="DI101" s="1187">
        <f t="shared" si="130"/>
        <v>0</v>
      </c>
      <c r="DJ101" s="1186">
        <f t="shared" si="130"/>
        <v>0</v>
      </c>
      <c r="DK101" s="1187">
        <f t="shared" ref="DK101:DT101" si="131">DK99+DK100</f>
        <v>0</v>
      </c>
      <c r="DL101" s="1187">
        <f t="shared" si="131"/>
        <v>0</v>
      </c>
      <c r="DM101" s="1187">
        <f t="shared" si="131"/>
        <v>0</v>
      </c>
      <c r="DN101" s="1187">
        <f t="shared" si="131"/>
        <v>0</v>
      </c>
      <c r="DO101" s="1186">
        <f t="shared" si="131"/>
        <v>0</v>
      </c>
      <c r="DP101" s="1187">
        <f t="shared" si="131"/>
        <v>0</v>
      </c>
      <c r="DQ101" s="1187">
        <f t="shared" si="131"/>
        <v>0</v>
      </c>
      <c r="DR101" s="1187">
        <f t="shared" si="131"/>
        <v>0</v>
      </c>
      <c r="DS101" s="1187">
        <f t="shared" si="131"/>
        <v>0</v>
      </c>
      <c r="DT101" s="1186">
        <f t="shared" si="131"/>
        <v>0</v>
      </c>
      <c r="DU101" s="1187">
        <f t="shared" ref="DU101:DY101" si="132">DU99+DU100</f>
        <v>0</v>
      </c>
      <c r="DV101" s="1187">
        <f t="shared" si="132"/>
        <v>0</v>
      </c>
      <c r="DW101" s="1187">
        <f t="shared" si="132"/>
        <v>0</v>
      </c>
      <c r="DX101" s="1187">
        <f t="shared" si="132"/>
        <v>0</v>
      </c>
      <c r="DY101" s="1186">
        <f t="shared" si="132"/>
        <v>0</v>
      </c>
    </row>
    <row r="102" spans="1:129" x14ac:dyDescent="0.2">
      <c r="A102" s="1223"/>
      <c r="B102" s="1190" t="s">
        <v>1155</v>
      </c>
      <c r="C102" s="1182"/>
      <c r="D102" s="1182"/>
      <c r="E102" s="1182"/>
      <c r="F102" s="1182"/>
      <c r="G102" s="1182"/>
      <c r="H102" s="1182"/>
      <c r="I102" s="1182"/>
      <c r="J102" s="1182"/>
      <c r="K102" s="1182"/>
      <c r="L102" s="1182"/>
      <c r="M102" s="1182"/>
      <c r="N102" s="1182"/>
      <c r="O102" s="1182"/>
      <c r="P102" s="1182"/>
      <c r="Q102" s="1182"/>
      <c r="R102" s="1182"/>
      <c r="S102" s="1182"/>
      <c r="T102" s="1182"/>
      <c r="U102" s="1182"/>
      <c r="V102" s="1182"/>
      <c r="W102" s="1182"/>
      <c r="X102" s="1227"/>
      <c r="Y102" s="1231"/>
      <c r="Z102" s="1231"/>
      <c r="AA102" s="1231"/>
      <c r="AB102" s="1231"/>
      <c r="AC102" s="1227"/>
      <c r="AD102" s="1231"/>
      <c r="AE102" s="1231"/>
      <c r="AF102" s="1231"/>
      <c r="AG102" s="1231"/>
      <c r="AH102" s="1227"/>
      <c r="AI102" s="1231"/>
      <c r="AJ102" s="1231"/>
      <c r="AK102" s="1231"/>
      <c r="AL102" s="1231"/>
      <c r="AM102" s="1227"/>
      <c r="AN102" s="1231"/>
      <c r="AO102" s="1231"/>
      <c r="AP102" s="1231"/>
      <c r="AQ102" s="1231"/>
      <c r="AR102" s="1227"/>
      <c r="AS102" s="1231"/>
      <c r="AT102" s="1231"/>
      <c r="AU102" s="1231"/>
      <c r="AV102" s="1231"/>
      <c r="AW102" s="1227"/>
      <c r="AX102" s="1231"/>
      <c r="AY102" s="1231"/>
      <c r="AZ102" s="1231"/>
      <c r="BA102" s="1231"/>
      <c r="BB102" s="1227"/>
      <c r="BC102" s="1231"/>
      <c r="BD102" s="1231"/>
      <c r="BE102" s="1231"/>
      <c r="BF102" s="1231"/>
      <c r="BG102" s="1227"/>
      <c r="BH102" s="1231"/>
      <c r="BI102" s="1231"/>
      <c r="BJ102" s="1231"/>
      <c r="BK102" s="1231"/>
      <c r="BL102" s="1194"/>
      <c r="BM102" s="1195"/>
      <c r="BN102" s="1195"/>
      <c r="BO102" s="1195"/>
      <c r="BP102" s="1195"/>
      <c r="BQ102" s="1194"/>
      <c r="BR102" s="1195"/>
      <c r="BS102" s="1195"/>
      <c r="BT102" s="1195"/>
      <c r="BU102" s="1195"/>
      <c r="BV102" s="1194"/>
      <c r="BW102" s="1195"/>
      <c r="BX102" s="1195"/>
      <c r="BY102" s="1195"/>
      <c r="BZ102" s="1195"/>
      <c r="CA102" s="1194"/>
      <c r="CB102" s="1195"/>
      <c r="CC102" s="1195"/>
      <c r="CD102" s="1195"/>
      <c r="CE102" s="1195"/>
      <c r="CF102" s="1194"/>
      <c r="CG102" s="1195"/>
      <c r="CH102" s="1195"/>
      <c r="CI102" s="1195"/>
      <c r="CJ102" s="1195"/>
      <c r="CK102" s="1194"/>
      <c r="CL102" s="1195"/>
      <c r="CM102" s="1195"/>
      <c r="CN102" s="1195"/>
      <c r="CO102" s="1195"/>
      <c r="CP102" s="1194"/>
      <c r="CQ102" s="1195"/>
      <c r="CR102" s="1195"/>
      <c r="CS102" s="1195"/>
      <c r="CT102" s="1195"/>
      <c r="CU102" s="1194"/>
      <c r="CV102" s="1195"/>
      <c r="CW102" s="1195"/>
      <c r="CX102" s="1195"/>
      <c r="CY102" s="1195"/>
      <c r="CZ102" s="1194"/>
      <c r="DA102" s="1195"/>
      <c r="DB102" s="1195"/>
      <c r="DC102" s="1195"/>
      <c r="DD102" s="1195"/>
      <c r="DE102" s="1194"/>
      <c r="DF102" s="1195"/>
      <c r="DG102" s="1195"/>
      <c r="DH102" s="1195"/>
      <c r="DI102" s="1195"/>
      <c r="DJ102" s="1194"/>
      <c r="DK102" s="1195"/>
      <c r="DL102" s="1195"/>
      <c r="DM102" s="1195"/>
      <c r="DN102" s="1195"/>
      <c r="DO102" s="1194"/>
      <c r="DP102" s="1195"/>
      <c r="DQ102" s="1195"/>
      <c r="DR102" s="1195"/>
      <c r="DS102" s="1195"/>
      <c r="DT102" s="1194"/>
      <c r="DU102" s="1195"/>
      <c r="DV102" s="1195"/>
      <c r="DW102" s="1195"/>
      <c r="DX102" s="1195"/>
      <c r="DY102" s="1194"/>
    </row>
    <row r="103" spans="1:129" x14ac:dyDescent="0.2">
      <c r="A103" s="1223"/>
      <c r="B103" s="1190" t="s">
        <v>1156</v>
      </c>
      <c r="C103" s="1182"/>
      <c r="D103" s="1182"/>
      <c r="E103" s="1182"/>
      <c r="F103" s="1182"/>
      <c r="G103" s="1182"/>
      <c r="H103" s="1182"/>
      <c r="I103" s="1182"/>
      <c r="J103" s="1182"/>
      <c r="K103" s="1182"/>
      <c r="L103" s="1182"/>
      <c r="M103" s="1182"/>
      <c r="N103" s="1182"/>
      <c r="O103" s="1182"/>
      <c r="P103" s="1182"/>
      <c r="Q103" s="1182"/>
      <c r="R103" s="1182"/>
      <c r="S103" s="1182"/>
      <c r="T103" s="1182"/>
      <c r="U103" s="1182"/>
      <c r="V103" s="1182"/>
      <c r="W103" s="1182"/>
      <c r="X103" s="1227"/>
      <c r="Y103" s="1231"/>
      <c r="Z103" s="1231"/>
      <c r="AA103" s="1231"/>
      <c r="AB103" s="1231"/>
      <c r="AC103" s="1227"/>
      <c r="AD103" s="1231"/>
      <c r="AE103" s="1231"/>
      <c r="AF103" s="1231"/>
      <c r="AG103" s="1231"/>
      <c r="AH103" s="1227"/>
      <c r="AI103" s="1231"/>
      <c r="AJ103" s="1231"/>
      <c r="AK103" s="1231"/>
      <c r="AL103" s="1231"/>
      <c r="AM103" s="1227"/>
      <c r="AN103" s="1231"/>
      <c r="AO103" s="1231"/>
      <c r="AP103" s="1231"/>
      <c r="AQ103" s="1231"/>
      <c r="AR103" s="1227"/>
      <c r="AS103" s="1231"/>
      <c r="AT103" s="1231"/>
      <c r="AU103" s="1231"/>
      <c r="AV103" s="1231"/>
      <c r="AW103" s="1227"/>
      <c r="AX103" s="1231"/>
      <c r="AY103" s="1231"/>
      <c r="AZ103" s="1231"/>
      <c r="BA103" s="1231"/>
      <c r="BB103" s="1227"/>
      <c r="BC103" s="1231"/>
      <c r="BD103" s="1231"/>
      <c r="BE103" s="1231"/>
      <c r="BF103" s="1231"/>
      <c r="BG103" s="1227"/>
      <c r="BH103" s="1231"/>
      <c r="BI103" s="1231"/>
      <c r="BJ103" s="1231"/>
      <c r="BK103" s="1231"/>
      <c r="BL103" s="1194">
        <f>-(AVERAGE(BL99,BL101))*(BL$97)</f>
        <v>-26</v>
      </c>
      <c r="BM103" s="1195"/>
      <c r="BN103" s="1195"/>
      <c r="BO103" s="1195"/>
      <c r="BP103" s="1195"/>
      <c r="BQ103" s="1194">
        <f>-(AVERAGE(BQ99,BQ101))*(BQ$97)</f>
        <v>-26</v>
      </c>
      <c r="BR103" s="1195"/>
      <c r="BS103" s="1195"/>
      <c r="BT103" s="1195"/>
      <c r="BU103" s="1195"/>
      <c r="BV103" s="1194">
        <f>-(AVERAGE(BV99,BV101))*(BV$97)</f>
        <v>-13</v>
      </c>
      <c r="BW103" s="1195"/>
      <c r="BX103" s="1195"/>
      <c r="BY103" s="1195"/>
      <c r="BZ103" s="1195"/>
      <c r="CA103" s="1194">
        <f>-(AVERAGE(CA99,CA101))*(CA$97)</f>
        <v>0</v>
      </c>
      <c r="CB103" s="1229">
        <f>-(AVERAGE(CB101,CB99))*(CB97/4)</f>
        <v>0</v>
      </c>
      <c r="CC103" s="1229">
        <f>-(AVERAGE(CC101,CC99))*(CC97/4)</f>
        <v>0</v>
      </c>
      <c r="CD103" s="1229">
        <f>-(AVERAGE(CD101,CD99))*(CD97/4)</f>
        <v>0</v>
      </c>
      <c r="CE103" s="1229">
        <f>-(AVERAGE(CE101,CE99))*(CE97/4)</f>
        <v>0</v>
      </c>
      <c r="CF103" s="1194">
        <f>SUM(CB103:CE103)</f>
        <v>0</v>
      </c>
      <c r="CG103" s="1229">
        <f>-(AVERAGE(CG101,CG99))*(CG97/4)</f>
        <v>0</v>
      </c>
      <c r="CH103" s="1229">
        <f>-(AVERAGE(CH101,CH99))*(CH97/4)</f>
        <v>0</v>
      </c>
      <c r="CI103" s="1229">
        <f>-(AVERAGE(CI101,CI99))*(CI97/4)</f>
        <v>0</v>
      </c>
      <c r="CJ103" s="1229">
        <f>-(AVERAGE(CJ101,CJ99))*(CJ97/4)</f>
        <v>0</v>
      </c>
      <c r="CK103" s="1194">
        <f>SUM(CG103:CJ103)</f>
        <v>0</v>
      </c>
      <c r="CL103" s="1229">
        <f>-(AVERAGE(CL101,CL99))*(CL97/4)</f>
        <v>0</v>
      </c>
      <c r="CM103" s="1229">
        <f>-(AVERAGE(CM101,CM99))*(CM97/4)</f>
        <v>0</v>
      </c>
      <c r="CN103" s="1229">
        <f>-(AVERAGE(CN101,CN99))*(CN97/4)</f>
        <v>0</v>
      </c>
      <c r="CO103" s="1229">
        <f>-(AVERAGE(CO101,CO99))*(CO97/4)</f>
        <v>0</v>
      </c>
      <c r="CP103" s="1194">
        <f>SUM(CL103:CO103)</f>
        <v>0</v>
      </c>
      <c r="CQ103" s="1229">
        <f>-(AVERAGE(CQ101,CQ99))*(CQ97/4)</f>
        <v>0</v>
      </c>
      <c r="CR103" s="1229">
        <f>-(AVERAGE(CR101,CR99))*(CR97/4)</f>
        <v>0</v>
      </c>
      <c r="CS103" s="1229">
        <f>-(AVERAGE(CS101,CS99))*(CS97/4)</f>
        <v>0</v>
      </c>
      <c r="CT103" s="1229">
        <f>-(AVERAGE(CT101,CT99))*(CT97/4)</f>
        <v>0</v>
      </c>
      <c r="CU103" s="1194">
        <f>SUM(CQ103:CT103)</f>
        <v>0</v>
      </c>
      <c r="CV103" s="1229">
        <f>-(AVERAGE(CV101,CV99))*(CV97/4)</f>
        <v>0</v>
      </c>
      <c r="CW103" s="1229">
        <f>-(AVERAGE(CW101,CW99))*(CW97/4)</f>
        <v>0</v>
      </c>
      <c r="CX103" s="1229">
        <f>-(AVERAGE(CX101,CX99))*(CX97/4)</f>
        <v>0</v>
      </c>
      <c r="CY103" s="1229">
        <f>-(AVERAGE(CY101,CY99))*(CY97/4)</f>
        <v>0</v>
      </c>
      <c r="CZ103" s="1194">
        <f>SUM(CV103:CY103)</f>
        <v>0</v>
      </c>
      <c r="DA103" s="1229">
        <f>-(AVERAGE(DA101,DA99))*(DA97/4)</f>
        <v>0</v>
      </c>
      <c r="DB103" s="1229">
        <f>-(AVERAGE(DB101,DB99))*(DB97/4)</f>
        <v>0</v>
      </c>
      <c r="DC103" s="1229">
        <f>-(AVERAGE(DC101,DC99))*(DC97/4)</f>
        <v>0</v>
      </c>
      <c r="DD103" s="1229">
        <f>-(AVERAGE(DD101,DD99))*(DD97/4)</f>
        <v>0</v>
      </c>
      <c r="DE103" s="1194">
        <f>SUM(DA103:DD103)</f>
        <v>0</v>
      </c>
      <c r="DF103" s="1229">
        <f>-(AVERAGE(DF101,DF99))*(DF97/4)</f>
        <v>0</v>
      </c>
      <c r="DG103" s="1229">
        <f>-(AVERAGE(DG101,DG99))*(DG97/4)</f>
        <v>0</v>
      </c>
      <c r="DH103" s="1229">
        <f>-(AVERAGE(DH101,DH99))*(DH97/4)</f>
        <v>0</v>
      </c>
      <c r="DI103" s="1229">
        <f>-(AVERAGE(DI101,DI99))*(DI97/4)</f>
        <v>0</v>
      </c>
      <c r="DJ103" s="1194">
        <f>SUM(DF103:DI103)</f>
        <v>0</v>
      </c>
      <c r="DK103" s="1229">
        <f>-(AVERAGE(DK101,DK99))*(DK97/4)</f>
        <v>0</v>
      </c>
      <c r="DL103" s="1229">
        <f>-(AVERAGE(DL101,DL99))*(DL97/4)</f>
        <v>0</v>
      </c>
      <c r="DM103" s="1229">
        <f>-(AVERAGE(DM101,DM99))*(DM97/4)</f>
        <v>0</v>
      </c>
      <c r="DN103" s="1229">
        <f>-(AVERAGE(DN101,DN99))*(DN97/4)</f>
        <v>0</v>
      </c>
      <c r="DO103" s="1194">
        <f>SUM(DK103:DN103)</f>
        <v>0</v>
      </c>
      <c r="DP103" s="1229">
        <f>-(AVERAGE(DP101,DP99))*(DP97/4)</f>
        <v>0</v>
      </c>
      <c r="DQ103" s="1229">
        <f>-(AVERAGE(DQ101,DQ99))*(DQ97/4)</f>
        <v>0</v>
      </c>
      <c r="DR103" s="1229">
        <f>-(AVERAGE(DR101,DR99))*(DR97/4)</f>
        <v>0</v>
      </c>
      <c r="DS103" s="1229">
        <f>-(AVERAGE(DS101,DS99))*(DS97/4)</f>
        <v>0</v>
      </c>
      <c r="DT103" s="1194">
        <f>SUM(DP103:DS103)</f>
        <v>0</v>
      </c>
      <c r="DU103" s="1229">
        <f>-(AVERAGE(DU101,DU99))*(DU97/4)</f>
        <v>0</v>
      </c>
      <c r="DV103" s="1229">
        <f>-(AVERAGE(DV101,DV99))*(DV97/4)</f>
        <v>0</v>
      </c>
      <c r="DW103" s="1229">
        <f>-(AVERAGE(DW101,DW99))*(DW97/4)</f>
        <v>0</v>
      </c>
      <c r="DX103" s="1229">
        <f>-(AVERAGE(DX101,DX99))*(DX97/4)</f>
        <v>0</v>
      </c>
      <c r="DY103" s="1194">
        <f>SUM(DU103:DX103)</f>
        <v>0</v>
      </c>
    </row>
    <row r="104" spans="1:129" ht="12" thickBot="1" x14ac:dyDescent="0.25">
      <c r="A104" s="1223"/>
      <c r="B104" s="1250" t="s">
        <v>1157</v>
      </c>
      <c r="C104" s="1251"/>
      <c r="D104" s="1251"/>
      <c r="E104" s="1251"/>
      <c r="F104" s="1251"/>
      <c r="G104" s="1251"/>
      <c r="H104" s="1251"/>
      <c r="I104" s="1251"/>
      <c r="J104" s="1251"/>
      <c r="K104" s="1251"/>
      <c r="L104" s="1251"/>
      <c r="M104" s="1251"/>
      <c r="N104" s="1251"/>
      <c r="O104" s="1251"/>
      <c r="P104" s="1251"/>
      <c r="Q104" s="1251"/>
      <c r="R104" s="1251"/>
      <c r="S104" s="1251"/>
      <c r="T104" s="1251"/>
      <c r="U104" s="1251"/>
      <c r="V104" s="1251"/>
      <c r="W104" s="1251"/>
      <c r="X104" s="1252"/>
      <c r="Y104" s="1251"/>
      <c r="Z104" s="1251"/>
      <c r="AA104" s="1251"/>
      <c r="AB104" s="1251"/>
      <c r="AC104" s="1252"/>
      <c r="AD104" s="1251"/>
      <c r="AE104" s="1251"/>
      <c r="AF104" s="1251"/>
      <c r="AG104" s="1251"/>
      <c r="AH104" s="1252"/>
      <c r="AI104" s="1251"/>
      <c r="AJ104" s="1251"/>
      <c r="AK104" s="1251"/>
      <c r="AL104" s="1251"/>
      <c r="AM104" s="1252"/>
      <c r="AN104" s="1251"/>
      <c r="AO104" s="1251"/>
      <c r="AP104" s="1251"/>
      <c r="AQ104" s="1253"/>
      <c r="AR104" s="1252"/>
      <c r="AS104" s="1253"/>
      <c r="AT104" s="1253"/>
      <c r="AU104" s="1253"/>
      <c r="AV104" s="1253"/>
      <c r="AW104" s="1252"/>
      <c r="AX104" s="1253"/>
      <c r="AY104" s="1253"/>
      <c r="AZ104" s="1253"/>
      <c r="BA104" s="1253"/>
      <c r="BB104" s="1252"/>
      <c r="BC104" s="1253"/>
      <c r="BD104" s="1253"/>
      <c r="BE104" s="1253"/>
      <c r="BF104" s="1253"/>
      <c r="BG104" s="1252"/>
      <c r="BH104" s="1253"/>
      <c r="BI104" s="1253"/>
      <c r="BJ104" s="1253"/>
      <c r="BK104" s="1253"/>
      <c r="BL104" s="1255"/>
      <c r="BM104" s="1254"/>
      <c r="BN104" s="1254"/>
      <c r="BO104" s="1254"/>
      <c r="BP104" s="1254"/>
      <c r="BQ104" s="1255"/>
      <c r="BR104" s="1254"/>
      <c r="BS104" s="1254"/>
      <c r="BT104" s="1254"/>
      <c r="BU104" s="1254"/>
      <c r="BV104" s="1255"/>
      <c r="BW104" s="1254"/>
      <c r="BX104" s="1254"/>
      <c r="BY104" s="1254"/>
      <c r="BZ104" s="1254"/>
      <c r="CA104" s="1255"/>
      <c r="CB104" s="1254">
        <f>-CB96*CB102/4</f>
        <v>0</v>
      </c>
      <c r="CC104" s="1254">
        <f>-CC96*CC102/4</f>
        <v>0</v>
      </c>
      <c r="CD104" s="1254">
        <f>-CD96*CD102/4</f>
        <v>0</v>
      </c>
      <c r="CE104" s="1254">
        <f>-CE96*CE102/4</f>
        <v>0</v>
      </c>
      <c r="CF104" s="1255"/>
      <c r="CG104" s="1254">
        <f>-CG96*CG102/4</f>
        <v>0</v>
      </c>
      <c r="CH104" s="1254">
        <f>-CH96*CH102/4</f>
        <v>0</v>
      </c>
      <c r="CI104" s="1254">
        <f>-CI96*CI102/4</f>
        <v>0</v>
      </c>
      <c r="CJ104" s="1254">
        <f>-CJ96*CJ102/4</f>
        <v>0</v>
      </c>
      <c r="CK104" s="1255"/>
      <c r="CL104" s="1254">
        <f>-CL96*CL102/4</f>
        <v>0</v>
      </c>
      <c r="CM104" s="1254">
        <f>-CM96*CM102/4</f>
        <v>0</v>
      </c>
      <c r="CN104" s="1254">
        <f>-CN96*CN102/4</f>
        <v>0</v>
      </c>
      <c r="CO104" s="1254">
        <f>-CO96*CO102/4</f>
        <v>0</v>
      </c>
      <c r="CP104" s="1255"/>
      <c r="CQ104" s="1254">
        <f>-CQ96*CQ102/4</f>
        <v>0</v>
      </c>
      <c r="CR104" s="1254">
        <f>-CR96*CR102/4</f>
        <v>0</v>
      </c>
      <c r="CS104" s="1254">
        <f>-CS96*CS102/4</f>
        <v>0</v>
      </c>
      <c r="CT104" s="1254">
        <f>-CT96*CT102/4</f>
        <v>0</v>
      </c>
      <c r="CU104" s="1255"/>
      <c r="CV104" s="1254">
        <f>-CV96*CV102/4</f>
        <v>0</v>
      </c>
      <c r="CW104" s="1254">
        <f>-CW96*CW102/4</f>
        <v>0</v>
      </c>
      <c r="CX104" s="1254">
        <f>-CX96*CX102/4</f>
        <v>0</v>
      </c>
      <c r="CY104" s="1254">
        <f>-CY96*CY102/4</f>
        <v>0</v>
      </c>
      <c r="CZ104" s="1255"/>
      <c r="DA104" s="1254">
        <f>-DA96*DA102/4</f>
        <v>0</v>
      </c>
      <c r="DB104" s="1254">
        <f>-DB96*DB102/4</f>
        <v>0</v>
      </c>
      <c r="DC104" s="1254">
        <f>-DC96*DC102/4</f>
        <v>0</v>
      </c>
      <c r="DD104" s="1254">
        <f>-DD96*DD102/4</f>
        <v>0</v>
      </c>
      <c r="DE104" s="1255"/>
      <c r="DF104" s="1254">
        <f>-DF96*DF102/4</f>
        <v>0</v>
      </c>
      <c r="DG104" s="1254">
        <f>-DG96*DG102/4</f>
        <v>0</v>
      </c>
      <c r="DH104" s="1254">
        <f>-DH96*DH102/4</f>
        <v>0</v>
      </c>
      <c r="DI104" s="1254">
        <f>-DI96*DI102/4</f>
        <v>0</v>
      </c>
      <c r="DJ104" s="1255"/>
      <c r="DK104" s="1254">
        <f>-DK96*DK102/4</f>
        <v>0</v>
      </c>
      <c r="DL104" s="1254">
        <f>-DL96*DL102/4</f>
        <v>0</v>
      </c>
      <c r="DM104" s="1254">
        <f>-DM96*DM102/4</f>
        <v>0</v>
      </c>
      <c r="DN104" s="1254">
        <f>-DN96*DN102/4</f>
        <v>0</v>
      </c>
      <c r="DO104" s="1255"/>
      <c r="DP104" s="1254">
        <f>-DP96*DP102/4</f>
        <v>0</v>
      </c>
      <c r="DQ104" s="1254">
        <f>-DQ96*DQ102/4</f>
        <v>0</v>
      </c>
      <c r="DR104" s="1254">
        <f>-DR96*DR102/4</f>
        <v>0</v>
      </c>
      <c r="DS104" s="1254">
        <f>-DS96*DS102/4</f>
        <v>0</v>
      </c>
      <c r="DT104" s="1255"/>
      <c r="DU104" s="1254">
        <f>-DU96*DU102/4</f>
        <v>0</v>
      </c>
      <c r="DV104" s="1254">
        <f>-DV96*DV102/4</f>
        <v>0</v>
      </c>
      <c r="DW104" s="1254">
        <f>-DW96*DW102/4</f>
        <v>0</v>
      </c>
      <c r="DX104" s="1254">
        <f>-DX96*DX102/4</f>
        <v>0</v>
      </c>
      <c r="DY104" s="1255"/>
    </row>
    <row r="105" spans="1:129" ht="12" thickBot="1" x14ac:dyDescent="0.25">
      <c r="A105" s="1123"/>
      <c r="B105" s="1317"/>
      <c r="C105" s="1209"/>
      <c r="D105" s="1209"/>
      <c r="E105" s="1209"/>
      <c r="F105" s="1209"/>
      <c r="G105" s="1209"/>
      <c r="H105" s="1209"/>
      <c r="I105" s="1209"/>
      <c r="J105" s="1209"/>
      <c r="K105" s="1209"/>
      <c r="L105" s="1209"/>
      <c r="M105" s="1209"/>
      <c r="N105" s="1209"/>
      <c r="O105" s="1209"/>
      <c r="P105" s="1209"/>
      <c r="Q105" s="1209"/>
      <c r="R105" s="1209"/>
      <c r="S105" s="1209"/>
      <c r="T105" s="1209"/>
      <c r="U105" s="1209"/>
      <c r="V105" s="1209"/>
      <c r="W105" s="1209"/>
      <c r="X105" s="1237"/>
      <c r="Y105" s="1237"/>
      <c r="Z105" s="1237"/>
      <c r="AA105" s="1237"/>
      <c r="AB105" s="1237"/>
      <c r="AC105" s="1237"/>
      <c r="AD105" s="1237"/>
      <c r="AE105" s="1237"/>
      <c r="AF105" s="1237"/>
      <c r="AG105" s="1237"/>
      <c r="AH105" s="1237"/>
      <c r="AI105" s="1237"/>
      <c r="AJ105" s="1237"/>
      <c r="AK105" s="1237"/>
      <c r="AL105" s="1237"/>
      <c r="AM105" s="1237"/>
      <c r="AN105" s="1237"/>
      <c r="AO105" s="1237"/>
      <c r="AP105" s="1237"/>
      <c r="AQ105" s="1237"/>
      <c r="AR105" s="1237"/>
      <c r="AS105" s="1237"/>
      <c r="AT105" s="1237"/>
      <c r="AU105" s="1237"/>
      <c r="AV105" s="1237"/>
      <c r="AW105" s="1237"/>
      <c r="AX105" s="1237"/>
      <c r="AY105" s="1237"/>
      <c r="AZ105" s="1237"/>
      <c r="BA105" s="1237"/>
      <c r="BB105" s="1237"/>
      <c r="BC105" s="1237"/>
      <c r="BD105" s="1237"/>
      <c r="BE105" s="1237"/>
      <c r="BF105" s="1237"/>
      <c r="BG105" s="1237"/>
      <c r="BH105" s="1237"/>
      <c r="BI105" s="1237"/>
      <c r="BJ105" s="1237"/>
      <c r="BK105" s="1237"/>
      <c r="BL105" s="1239"/>
      <c r="BM105" s="1239"/>
      <c r="BN105" s="1239"/>
      <c r="BO105" s="1239"/>
      <c r="BP105" s="1239"/>
      <c r="BQ105" s="1239"/>
      <c r="BR105" s="1239"/>
      <c r="BS105" s="1239"/>
      <c r="BT105" s="1239"/>
      <c r="BU105" s="1239"/>
      <c r="BV105" s="1239"/>
      <c r="BW105" s="1239"/>
      <c r="BX105" s="1239"/>
      <c r="BY105" s="1239"/>
      <c r="BZ105" s="1239"/>
      <c r="CA105" s="1239"/>
      <c r="CB105" s="1239"/>
      <c r="CC105" s="1239"/>
      <c r="CD105" s="1239"/>
      <c r="CE105" s="1239"/>
      <c r="CF105" s="1239"/>
      <c r="CG105" s="1239"/>
      <c r="CH105" s="1239"/>
      <c r="CI105" s="1239"/>
      <c r="CJ105" s="1239"/>
      <c r="CK105" s="1239"/>
      <c r="CL105" s="1239"/>
      <c r="CM105" s="1239"/>
      <c r="CN105" s="1239"/>
      <c r="CO105" s="1239"/>
      <c r="CP105" s="1239"/>
      <c r="CQ105" s="1239"/>
      <c r="CR105" s="1239"/>
      <c r="CS105" s="1239"/>
      <c r="CT105" s="1239"/>
      <c r="CU105" s="1239"/>
      <c r="CV105" s="1239"/>
      <c r="CW105" s="1239"/>
      <c r="CX105" s="1239"/>
      <c r="CY105" s="1239"/>
      <c r="CZ105" s="1239"/>
      <c r="DA105" s="1239"/>
      <c r="DB105" s="1239"/>
      <c r="DC105" s="1239"/>
      <c r="DD105" s="1239"/>
      <c r="DE105" s="1239"/>
      <c r="DF105" s="1239"/>
      <c r="DG105" s="1239"/>
      <c r="DH105" s="1239"/>
      <c r="DI105" s="1239"/>
      <c r="DJ105" s="1239"/>
      <c r="DK105" s="1239"/>
      <c r="DL105" s="1239"/>
      <c r="DM105" s="1239"/>
      <c r="DN105" s="1239"/>
      <c r="DO105" s="1239"/>
      <c r="DP105" s="1239"/>
      <c r="DQ105" s="1239"/>
      <c r="DR105" s="1239"/>
      <c r="DS105" s="1239"/>
      <c r="DT105" s="1239"/>
      <c r="DU105" s="1239"/>
      <c r="DV105" s="1239"/>
      <c r="DW105" s="1239"/>
      <c r="DX105" s="1239"/>
      <c r="DY105" s="1239"/>
    </row>
    <row r="106" spans="1:129" ht="12" thickBot="1" x14ac:dyDescent="0.25">
      <c r="A106" s="1123"/>
      <c r="B106" s="1318" t="s">
        <v>1160</v>
      </c>
      <c r="C106" s="1319"/>
      <c r="D106" s="1209"/>
      <c r="E106" s="1209"/>
      <c r="F106" s="1209"/>
      <c r="G106" s="1209"/>
      <c r="H106" s="1209"/>
      <c r="I106" s="1209"/>
      <c r="J106" s="1209"/>
      <c r="K106" s="1209"/>
      <c r="L106" s="1209"/>
      <c r="M106" s="1209"/>
      <c r="N106" s="1209"/>
      <c r="O106" s="1209"/>
      <c r="P106" s="1209"/>
      <c r="Q106" s="1209"/>
      <c r="R106" s="1209"/>
      <c r="S106" s="1209"/>
      <c r="T106" s="1209"/>
      <c r="U106" s="1209"/>
      <c r="V106" s="1209"/>
      <c r="W106" s="1209"/>
      <c r="X106" s="1319"/>
      <c r="Y106" s="1319"/>
      <c r="Z106" s="1319"/>
      <c r="AA106" s="1319"/>
      <c r="AB106" s="1319"/>
      <c r="AC106" s="1319"/>
      <c r="AD106" s="1319"/>
      <c r="AE106" s="1319"/>
      <c r="AF106" s="1319"/>
      <c r="AG106" s="1319"/>
      <c r="AH106" s="1319"/>
      <c r="AI106" s="1319"/>
      <c r="AJ106" s="1319"/>
      <c r="AK106" s="1319"/>
      <c r="AL106" s="1319"/>
      <c r="AM106" s="1319"/>
      <c r="AN106" s="1319"/>
      <c r="AO106" s="1319"/>
      <c r="AP106" s="1319"/>
      <c r="AQ106" s="1320"/>
      <c r="AR106" s="1320"/>
      <c r="AS106" s="1320"/>
      <c r="AT106" s="1321"/>
      <c r="AU106" s="1321"/>
      <c r="AV106" s="1321"/>
      <c r="AW106" s="1320"/>
      <c r="AX106" s="1320"/>
      <c r="AY106" s="1320"/>
      <c r="AZ106" s="1320"/>
      <c r="BA106" s="1320"/>
      <c r="BB106" s="1320"/>
      <c r="BC106" s="1320"/>
      <c r="BD106" s="1320"/>
      <c r="BE106" s="1320"/>
      <c r="BF106" s="1320"/>
      <c r="BG106" s="1320"/>
      <c r="BH106" s="1320"/>
      <c r="BI106" s="1320"/>
      <c r="BJ106" s="1320"/>
      <c r="BK106" s="1320"/>
      <c r="BL106" s="1322"/>
      <c r="BM106" s="1323"/>
      <c r="BN106" s="1323"/>
      <c r="BO106" s="1323"/>
      <c r="BP106" s="1323"/>
      <c r="BQ106" s="1322"/>
      <c r="BR106" s="1323"/>
      <c r="BS106" s="1323"/>
      <c r="BT106" s="1323"/>
      <c r="BU106" s="1323"/>
      <c r="BV106" s="1322"/>
      <c r="BW106" s="1323"/>
      <c r="BX106" s="1323"/>
      <c r="BY106" s="1323"/>
      <c r="BZ106" s="1323"/>
      <c r="CA106" s="1322"/>
      <c r="CB106" s="1323"/>
      <c r="CC106" s="1323"/>
      <c r="CD106" s="1323"/>
      <c r="CE106" s="1323"/>
      <c r="CF106" s="1322"/>
      <c r="CG106" s="1323"/>
      <c r="CH106" s="1323"/>
      <c r="CI106" s="1323"/>
      <c r="CJ106" s="1323"/>
      <c r="CK106" s="1322"/>
      <c r="CL106" s="1323"/>
      <c r="CM106" s="1323"/>
      <c r="CN106" s="1323"/>
      <c r="CO106" s="1323"/>
      <c r="CP106" s="1322"/>
      <c r="CQ106" s="1323"/>
      <c r="CR106" s="1323"/>
      <c r="CS106" s="1323"/>
      <c r="CT106" s="1323"/>
      <c r="CU106" s="1322"/>
      <c r="CV106" s="1323"/>
      <c r="CW106" s="1323"/>
      <c r="CX106" s="1323"/>
      <c r="CY106" s="1323"/>
      <c r="CZ106" s="1322"/>
      <c r="DA106" s="1323"/>
      <c r="DB106" s="1323"/>
      <c r="DC106" s="1323"/>
      <c r="DD106" s="1323"/>
      <c r="DE106" s="1322"/>
      <c r="DF106" s="1323"/>
      <c r="DG106" s="1323"/>
      <c r="DH106" s="1323"/>
      <c r="DI106" s="1323"/>
      <c r="DJ106" s="1322"/>
      <c r="DK106" s="1323"/>
      <c r="DL106" s="1323"/>
      <c r="DM106" s="1323"/>
      <c r="DN106" s="1323"/>
      <c r="DO106" s="1322"/>
      <c r="DP106" s="1323"/>
      <c r="DQ106" s="1323"/>
      <c r="DR106" s="1323"/>
      <c r="DS106" s="1323"/>
      <c r="DT106" s="1322"/>
      <c r="DU106" s="1323"/>
      <c r="DV106" s="1323"/>
      <c r="DW106" s="1323"/>
      <c r="DX106" s="1323"/>
      <c r="DY106" s="1322"/>
    </row>
    <row r="107" spans="1:129" x14ac:dyDescent="0.2">
      <c r="A107" s="532"/>
      <c r="B107" s="1287" t="s">
        <v>1149</v>
      </c>
      <c r="C107" s="650"/>
      <c r="D107" s="650"/>
      <c r="E107" s="650"/>
      <c r="F107" s="650"/>
      <c r="G107" s="650"/>
      <c r="H107" s="650"/>
      <c r="I107" s="650"/>
      <c r="J107" s="650"/>
      <c r="K107" s="650"/>
      <c r="L107" s="650"/>
      <c r="M107" s="650"/>
      <c r="N107" s="650"/>
      <c r="O107" s="650"/>
      <c r="P107" s="650"/>
      <c r="Q107" s="650"/>
      <c r="R107" s="650"/>
      <c r="S107" s="650"/>
      <c r="T107" s="650"/>
      <c r="U107" s="650"/>
      <c r="V107" s="650"/>
      <c r="W107" s="650"/>
      <c r="X107" s="1288"/>
      <c r="Y107" s="650"/>
      <c r="Z107" s="650"/>
      <c r="AA107" s="650"/>
      <c r="AB107" s="650"/>
      <c r="AC107" s="1288"/>
      <c r="AD107" s="650"/>
      <c r="AE107" s="650"/>
      <c r="AF107" s="650"/>
      <c r="AG107" s="650"/>
      <c r="AH107" s="1288"/>
      <c r="AI107" s="650"/>
      <c r="AJ107" s="650"/>
      <c r="AK107" s="650"/>
      <c r="AL107" s="650"/>
      <c r="AM107" s="1288"/>
      <c r="AN107" s="650"/>
      <c r="AO107" s="650"/>
      <c r="AP107" s="650"/>
      <c r="AQ107" s="650"/>
      <c r="AR107" s="1288"/>
      <c r="AS107" s="650"/>
      <c r="AT107" s="650"/>
      <c r="AU107" s="650"/>
      <c r="AV107" s="650"/>
      <c r="AW107" s="1288"/>
      <c r="AX107" s="650"/>
      <c r="AY107" s="650"/>
      <c r="AZ107" s="650"/>
      <c r="BA107" s="650"/>
      <c r="BB107" s="1288"/>
      <c r="BC107" s="650"/>
      <c r="BD107" s="650"/>
      <c r="BE107" s="650"/>
      <c r="BF107" s="650"/>
      <c r="BG107" s="1288"/>
      <c r="BH107" s="650"/>
      <c r="BI107" s="650"/>
      <c r="BJ107" s="650"/>
      <c r="BK107" s="650"/>
      <c r="BL107" s="1315"/>
      <c r="BM107" s="1291"/>
      <c r="BN107" s="1291"/>
      <c r="BO107" s="1291"/>
      <c r="BP107" s="1291"/>
      <c r="BQ107" s="1315"/>
      <c r="BR107" s="1291"/>
      <c r="BS107" s="1291"/>
      <c r="BT107" s="1291"/>
      <c r="BU107" s="1291"/>
      <c r="BV107" s="1315"/>
      <c r="BW107" s="1291"/>
      <c r="BX107" s="1291"/>
      <c r="BY107" s="1291"/>
      <c r="BZ107" s="1291"/>
      <c r="CA107" s="1315"/>
      <c r="CB107" s="1291"/>
      <c r="CC107" s="1291"/>
      <c r="CD107" s="1291"/>
      <c r="CE107" s="1291"/>
      <c r="CF107" s="1315"/>
      <c r="CG107" s="1291"/>
      <c r="CH107" s="1291"/>
      <c r="CI107" s="1291"/>
      <c r="CJ107" s="1291"/>
      <c r="CK107" s="1315"/>
      <c r="CL107" s="1291"/>
      <c r="CM107" s="1291"/>
      <c r="CN107" s="1291"/>
      <c r="CO107" s="1291"/>
      <c r="CP107" s="1315"/>
      <c r="CQ107" s="1291"/>
      <c r="CR107" s="1291"/>
      <c r="CS107" s="1291"/>
      <c r="CT107" s="1291"/>
      <c r="CU107" s="1315"/>
      <c r="CV107" s="1291"/>
      <c r="CW107" s="1291"/>
      <c r="CX107" s="1291"/>
      <c r="CY107" s="1291"/>
      <c r="CZ107" s="1315"/>
      <c r="DA107" s="1291"/>
      <c r="DB107" s="1291"/>
      <c r="DC107" s="1291"/>
      <c r="DD107" s="1291"/>
      <c r="DE107" s="1315"/>
      <c r="DF107" s="1291"/>
      <c r="DG107" s="1291"/>
      <c r="DH107" s="1291"/>
      <c r="DI107" s="1291"/>
      <c r="DJ107" s="1315"/>
      <c r="DK107" s="1291"/>
      <c r="DL107" s="1291"/>
      <c r="DM107" s="1291"/>
      <c r="DN107" s="1291"/>
      <c r="DO107" s="1315"/>
      <c r="DP107" s="1291"/>
      <c r="DQ107" s="1291"/>
      <c r="DR107" s="1291"/>
      <c r="DS107" s="1291"/>
      <c r="DT107" s="1315"/>
      <c r="DU107" s="1291"/>
      <c r="DV107" s="1291"/>
      <c r="DW107" s="1291"/>
      <c r="DX107" s="1291"/>
      <c r="DY107" s="1315"/>
    </row>
    <row r="108" spans="1:129" x14ac:dyDescent="0.2">
      <c r="A108" s="532"/>
      <c r="B108" s="1287" t="s">
        <v>1150</v>
      </c>
      <c r="C108" s="650"/>
      <c r="D108" s="650"/>
      <c r="E108" s="650"/>
      <c r="F108" s="650"/>
      <c r="G108" s="650"/>
      <c r="H108" s="650"/>
      <c r="I108" s="650"/>
      <c r="J108" s="650"/>
      <c r="K108" s="650"/>
      <c r="L108" s="650"/>
      <c r="M108" s="650"/>
      <c r="N108" s="650"/>
      <c r="O108" s="650"/>
      <c r="P108" s="650"/>
      <c r="Q108" s="650"/>
      <c r="R108" s="650"/>
      <c r="S108" s="650"/>
      <c r="T108" s="650"/>
      <c r="U108" s="650"/>
      <c r="V108" s="650"/>
      <c r="W108" s="650"/>
      <c r="X108" s="1288"/>
      <c r="Y108" s="650"/>
      <c r="Z108" s="650"/>
      <c r="AA108" s="650"/>
      <c r="AB108" s="650"/>
      <c r="AC108" s="1288"/>
      <c r="AD108" s="650"/>
      <c r="AE108" s="650"/>
      <c r="AF108" s="650"/>
      <c r="AG108" s="650"/>
      <c r="AH108" s="1288"/>
      <c r="AI108" s="650"/>
      <c r="AJ108" s="650"/>
      <c r="AK108" s="650"/>
      <c r="AL108" s="650"/>
      <c r="AM108" s="1288"/>
      <c r="AN108" s="650"/>
      <c r="AO108" s="650"/>
      <c r="AP108" s="650"/>
      <c r="AQ108" s="650"/>
      <c r="AR108" s="1288"/>
      <c r="AS108" s="650"/>
      <c r="AT108" s="650"/>
      <c r="AU108" s="650"/>
      <c r="AV108" s="650"/>
      <c r="AW108" s="1288"/>
      <c r="AX108" s="650"/>
      <c r="AY108" s="650"/>
      <c r="AZ108" s="650"/>
      <c r="BA108" s="650"/>
      <c r="BB108" s="1288"/>
      <c r="BC108" s="650"/>
      <c r="BD108" s="650"/>
      <c r="BE108" s="650"/>
      <c r="BF108" s="650"/>
      <c r="BG108" s="1289"/>
      <c r="BH108" s="650"/>
      <c r="BI108" s="650"/>
      <c r="BJ108" s="650"/>
      <c r="BK108" s="650"/>
      <c r="BL108" s="1290">
        <v>8.6999999999999994E-3</v>
      </c>
      <c r="BM108" s="1291"/>
      <c r="BN108" s="1291"/>
      <c r="BO108" s="1291"/>
      <c r="BP108" s="1291"/>
      <c r="BQ108" s="1290">
        <v>8.6999999999999994E-3</v>
      </c>
      <c r="BR108" s="1291"/>
      <c r="BS108" s="1291"/>
      <c r="BT108" s="1291"/>
      <c r="BU108" s="1291"/>
      <c r="BV108" s="1290">
        <v>8.6999999999999994E-3</v>
      </c>
      <c r="BW108" s="1291"/>
      <c r="BX108" s="1291"/>
      <c r="BY108" s="1291"/>
      <c r="BZ108" s="1291"/>
      <c r="CA108" s="1290">
        <v>8.6999999999999994E-3</v>
      </c>
      <c r="CB108" s="1292">
        <v>8.6999999999999994E-3</v>
      </c>
      <c r="CC108" s="1292">
        <v>8.6999999999999994E-3</v>
      </c>
      <c r="CD108" s="1292">
        <v>8.6999999999999994E-3</v>
      </c>
      <c r="CE108" s="1292">
        <v>8.6999999999999994E-3</v>
      </c>
      <c r="CF108" s="1290"/>
      <c r="CG108" s="1292">
        <f>CE108</f>
        <v>8.6999999999999994E-3</v>
      </c>
      <c r="CH108" s="1292">
        <f>CG108</f>
        <v>8.6999999999999994E-3</v>
      </c>
      <c r="CI108" s="1292">
        <f>CH108</f>
        <v>8.6999999999999994E-3</v>
      </c>
      <c r="CJ108" s="1292">
        <f>CI108</f>
        <v>8.6999999999999994E-3</v>
      </c>
      <c r="CK108" s="1290"/>
      <c r="CL108" s="1292">
        <f>CJ108</f>
        <v>8.6999999999999994E-3</v>
      </c>
      <c r="CM108" s="1292">
        <f>CL108</f>
        <v>8.6999999999999994E-3</v>
      </c>
      <c r="CN108" s="1292">
        <f>CM108</f>
        <v>8.6999999999999994E-3</v>
      </c>
      <c r="CO108" s="1292">
        <f>CN108</f>
        <v>8.6999999999999994E-3</v>
      </c>
      <c r="CP108" s="1290"/>
      <c r="CQ108" s="1292">
        <f>CO108</f>
        <v>8.6999999999999994E-3</v>
      </c>
      <c r="CR108" s="1292">
        <f>CQ108</f>
        <v>8.6999999999999994E-3</v>
      </c>
      <c r="CS108" s="1292">
        <f>CR108</f>
        <v>8.6999999999999994E-3</v>
      </c>
      <c r="CT108" s="1292">
        <f>CS108</f>
        <v>8.6999999999999994E-3</v>
      </c>
      <c r="CU108" s="1290"/>
      <c r="CV108" s="1292">
        <f>CT108</f>
        <v>8.6999999999999994E-3</v>
      </c>
      <c r="CW108" s="1292">
        <f>CV108</f>
        <v>8.6999999999999994E-3</v>
      </c>
      <c r="CX108" s="1292">
        <f>CW108</f>
        <v>8.6999999999999994E-3</v>
      </c>
      <c r="CY108" s="1292">
        <f>CX108</f>
        <v>8.6999999999999994E-3</v>
      </c>
      <c r="CZ108" s="1290"/>
      <c r="DA108" s="1292">
        <f>CY108</f>
        <v>8.6999999999999994E-3</v>
      </c>
      <c r="DB108" s="1292">
        <f>DA108</f>
        <v>8.6999999999999994E-3</v>
      </c>
      <c r="DC108" s="1292">
        <f>DB108</f>
        <v>8.6999999999999994E-3</v>
      </c>
      <c r="DD108" s="1292">
        <f>DC108</f>
        <v>8.6999999999999994E-3</v>
      </c>
      <c r="DE108" s="1290"/>
      <c r="DF108" s="1292">
        <f>DD108</f>
        <v>8.6999999999999994E-3</v>
      </c>
      <c r="DG108" s="1292">
        <f>DF108</f>
        <v>8.6999999999999994E-3</v>
      </c>
      <c r="DH108" s="1292">
        <f>DG108</f>
        <v>8.6999999999999994E-3</v>
      </c>
      <c r="DI108" s="1292">
        <f>DH108</f>
        <v>8.6999999999999994E-3</v>
      </c>
      <c r="DJ108" s="1290"/>
      <c r="DK108" s="1292">
        <f>DI108</f>
        <v>8.6999999999999994E-3</v>
      </c>
      <c r="DL108" s="1292">
        <f>DK108</f>
        <v>8.6999999999999994E-3</v>
      </c>
      <c r="DM108" s="1292">
        <f>DL108</f>
        <v>8.6999999999999994E-3</v>
      </c>
      <c r="DN108" s="1292">
        <f>DM108</f>
        <v>8.6999999999999994E-3</v>
      </c>
      <c r="DO108" s="1290"/>
      <c r="DP108" s="1292">
        <f>DN108</f>
        <v>8.6999999999999994E-3</v>
      </c>
      <c r="DQ108" s="1292">
        <f>DP108</f>
        <v>8.6999999999999994E-3</v>
      </c>
      <c r="DR108" s="1292">
        <f>DQ108</f>
        <v>8.6999999999999994E-3</v>
      </c>
      <c r="DS108" s="1292">
        <f>DR108</f>
        <v>8.6999999999999994E-3</v>
      </c>
      <c r="DT108" s="1290"/>
      <c r="DU108" s="1292">
        <f>DS108</f>
        <v>8.6999999999999994E-3</v>
      </c>
      <c r="DV108" s="1292">
        <f>DU108</f>
        <v>8.6999999999999994E-3</v>
      </c>
      <c r="DW108" s="1292">
        <f>DV108</f>
        <v>8.6999999999999994E-3</v>
      </c>
      <c r="DX108" s="1292">
        <f>DW108</f>
        <v>8.6999999999999994E-3</v>
      </c>
      <c r="DY108" s="1290"/>
    </row>
    <row r="109" spans="1:129" x14ac:dyDescent="0.2">
      <c r="A109" s="1223"/>
      <c r="B109" s="1190" t="s">
        <v>1151</v>
      </c>
      <c r="C109" s="1293"/>
      <c r="D109" s="1293"/>
      <c r="E109" s="1293"/>
      <c r="F109" s="1293"/>
      <c r="G109" s="1293"/>
      <c r="H109" s="1293"/>
      <c r="I109" s="1293"/>
      <c r="J109" s="1293"/>
      <c r="K109" s="1293"/>
      <c r="L109" s="1293"/>
      <c r="M109" s="1293"/>
      <c r="N109" s="1293"/>
      <c r="O109" s="1293"/>
      <c r="P109" s="1293"/>
      <c r="Q109" s="1293"/>
      <c r="R109" s="1293"/>
      <c r="S109" s="1293"/>
      <c r="T109" s="1293"/>
      <c r="U109" s="1293"/>
      <c r="V109" s="1293"/>
      <c r="W109" s="1293"/>
      <c r="X109" s="1227"/>
      <c r="Y109" s="1231"/>
      <c r="Z109" s="1231"/>
      <c r="AA109" s="1231"/>
      <c r="AB109" s="1294"/>
      <c r="AC109" s="1227"/>
      <c r="AD109" s="1231"/>
      <c r="AE109" s="1231"/>
      <c r="AF109" s="1231"/>
      <c r="AG109" s="1294"/>
      <c r="AH109" s="1227"/>
      <c r="AI109" s="1231"/>
      <c r="AJ109" s="1231"/>
      <c r="AK109" s="1231"/>
      <c r="AL109" s="1294"/>
      <c r="AM109" s="1227"/>
      <c r="AN109" s="1231"/>
      <c r="AO109" s="1231"/>
      <c r="AP109" s="1231"/>
      <c r="AQ109" s="1294"/>
      <c r="AR109" s="1227"/>
      <c r="AS109" s="1231"/>
      <c r="AT109" s="1231"/>
      <c r="AU109" s="1231"/>
      <c r="AV109" s="1294"/>
      <c r="AW109" s="1227"/>
      <c r="AX109" s="1231"/>
      <c r="AY109" s="1231"/>
      <c r="AZ109" s="1231"/>
      <c r="BA109" s="1231"/>
      <c r="BB109" s="1227"/>
      <c r="BC109" s="1231"/>
      <c r="BD109" s="1231"/>
      <c r="BE109" s="1231"/>
      <c r="BF109" s="1231"/>
      <c r="BG109" s="1227"/>
      <c r="BH109" s="1231"/>
      <c r="BI109" s="1231"/>
      <c r="BJ109" s="1231"/>
      <c r="BK109" s="1231"/>
      <c r="BL109" s="1194"/>
      <c r="BM109" s="1195"/>
      <c r="BN109" s="1195"/>
      <c r="BO109" s="1195"/>
      <c r="BP109" s="1195"/>
      <c r="BQ109" s="1194"/>
      <c r="BR109" s="1195"/>
      <c r="BS109" s="1195"/>
      <c r="BT109" s="1195"/>
      <c r="BU109" s="1195"/>
      <c r="BV109" s="1194"/>
      <c r="BW109" s="1195"/>
      <c r="BX109" s="1195"/>
      <c r="BY109" s="1195"/>
      <c r="BZ109" s="1195"/>
      <c r="CA109" s="1194"/>
      <c r="CB109" s="1195"/>
      <c r="CC109" s="1195"/>
      <c r="CD109" s="1195"/>
      <c r="CE109" s="1195"/>
      <c r="CF109" s="1194"/>
      <c r="CG109" s="1195"/>
      <c r="CH109" s="1195"/>
      <c r="CI109" s="1195"/>
      <c r="CJ109" s="1195"/>
      <c r="CK109" s="1194"/>
      <c r="CL109" s="1195"/>
      <c r="CM109" s="1195"/>
      <c r="CN109" s="1195"/>
      <c r="CO109" s="1195"/>
      <c r="CP109" s="1194"/>
      <c r="CQ109" s="1195"/>
      <c r="CR109" s="1195"/>
      <c r="CS109" s="1195"/>
      <c r="CT109" s="1195"/>
      <c r="CU109" s="1194"/>
      <c r="CV109" s="1195"/>
      <c r="CW109" s="1195"/>
      <c r="CX109" s="1195"/>
      <c r="CY109" s="1195"/>
      <c r="CZ109" s="1194"/>
      <c r="DA109" s="1195"/>
      <c r="DB109" s="1195"/>
      <c r="DC109" s="1195"/>
      <c r="DD109" s="1195"/>
      <c r="DE109" s="1194"/>
      <c r="DF109" s="1195"/>
      <c r="DG109" s="1195"/>
      <c r="DH109" s="1195"/>
      <c r="DI109" s="1195"/>
      <c r="DJ109" s="1194"/>
      <c r="DK109" s="1195"/>
      <c r="DL109" s="1195"/>
      <c r="DM109" s="1195"/>
      <c r="DN109" s="1195"/>
      <c r="DO109" s="1194"/>
      <c r="DP109" s="1195"/>
      <c r="DQ109" s="1195"/>
      <c r="DR109" s="1195"/>
      <c r="DS109" s="1195"/>
      <c r="DT109" s="1194"/>
      <c r="DU109" s="1195"/>
      <c r="DV109" s="1195"/>
      <c r="DW109" s="1195"/>
      <c r="DX109" s="1195"/>
      <c r="DY109" s="1194"/>
    </row>
    <row r="110" spans="1:129" x14ac:dyDescent="0.2">
      <c r="A110" s="1223"/>
      <c r="B110" s="1190" t="s">
        <v>1152</v>
      </c>
      <c r="C110" s="1231"/>
      <c r="D110" s="1231"/>
      <c r="E110" s="1231"/>
      <c r="F110" s="1231"/>
      <c r="G110" s="1231"/>
      <c r="H110" s="1231"/>
      <c r="I110" s="1231"/>
      <c r="J110" s="1231"/>
      <c r="K110" s="1231"/>
      <c r="L110" s="1231"/>
      <c r="M110" s="1231"/>
      <c r="N110" s="1231"/>
      <c r="O110" s="1231"/>
      <c r="P110" s="1231"/>
      <c r="Q110" s="1231"/>
      <c r="R110" s="1231"/>
      <c r="S110" s="1231"/>
      <c r="T110" s="1231"/>
      <c r="U110" s="1231"/>
      <c r="V110" s="1231"/>
      <c r="W110" s="1231"/>
      <c r="X110" s="1227"/>
      <c r="Y110" s="1231"/>
      <c r="Z110" s="1231"/>
      <c r="AA110" s="1231"/>
      <c r="AB110" s="1231"/>
      <c r="AC110" s="1227"/>
      <c r="AD110" s="1231"/>
      <c r="AE110" s="1231"/>
      <c r="AF110" s="1231"/>
      <c r="AG110" s="1231"/>
      <c r="AH110" s="1227"/>
      <c r="AI110" s="1231"/>
      <c r="AJ110" s="1231"/>
      <c r="AK110" s="1231"/>
      <c r="AL110" s="1231"/>
      <c r="AM110" s="1227"/>
      <c r="AN110" s="1231"/>
      <c r="AO110" s="1231"/>
      <c r="AP110" s="1231"/>
      <c r="AQ110" s="1231"/>
      <c r="AR110" s="1227"/>
      <c r="AS110" s="1231"/>
      <c r="AT110" s="1231"/>
      <c r="AU110" s="1231"/>
      <c r="AV110" s="1231"/>
      <c r="AW110" s="1227"/>
      <c r="AX110" s="1231"/>
      <c r="AY110" s="1231"/>
      <c r="AZ110" s="1231"/>
      <c r="BA110" s="1231"/>
      <c r="BB110" s="1227"/>
      <c r="BC110" s="1231"/>
      <c r="BD110" s="1231"/>
      <c r="BE110" s="1231"/>
      <c r="BF110" s="1231"/>
      <c r="BG110" s="1227"/>
      <c r="BH110" s="1231"/>
      <c r="BI110" s="1231"/>
      <c r="BJ110" s="1231"/>
      <c r="BK110" s="1231"/>
      <c r="BL110" s="1194"/>
      <c r="BM110" s="1195"/>
      <c r="BN110" s="1195"/>
      <c r="BO110" s="1195"/>
      <c r="BP110" s="1195"/>
      <c r="BQ110" s="1194">
        <f>BL112</f>
        <v>1750</v>
      </c>
      <c r="BR110" s="1195"/>
      <c r="BS110" s="1195"/>
      <c r="BT110" s="1195"/>
      <c r="BU110" s="1195"/>
      <c r="BV110" s="1194">
        <f>BQ112</f>
        <v>2100</v>
      </c>
      <c r="BW110" s="1195"/>
      <c r="BX110" s="1195"/>
      <c r="BY110" s="1195"/>
      <c r="BZ110" s="1195"/>
      <c r="CA110" s="1194">
        <f>BV112</f>
        <v>2100</v>
      </c>
      <c r="CB110" s="1229">
        <f>CA112</f>
        <v>0</v>
      </c>
      <c r="CC110" s="1229">
        <f>+CB112</f>
        <v>0</v>
      </c>
      <c r="CD110" s="1229">
        <f>+CC112</f>
        <v>0</v>
      </c>
      <c r="CE110" s="1229">
        <f>+CD112</f>
        <v>0</v>
      </c>
      <c r="CF110" s="1194">
        <f>CA112</f>
        <v>0</v>
      </c>
      <c r="CG110" s="1229">
        <f>+CE112</f>
        <v>0</v>
      </c>
      <c r="CH110" s="1229">
        <f>+CG112</f>
        <v>0</v>
      </c>
      <c r="CI110" s="1229">
        <f>+CH112</f>
        <v>0</v>
      </c>
      <c r="CJ110" s="1229">
        <f>+CI112</f>
        <v>0</v>
      </c>
      <c r="CK110" s="1194">
        <f>CF112</f>
        <v>0</v>
      </c>
      <c r="CL110" s="1229">
        <f>+CJ112</f>
        <v>0</v>
      </c>
      <c r="CM110" s="1229">
        <f>+CL112</f>
        <v>0</v>
      </c>
      <c r="CN110" s="1229">
        <f>+CM112</f>
        <v>0</v>
      </c>
      <c r="CO110" s="1229">
        <f>+CN112</f>
        <v>0</v>
      </c>
      <c r="CP110" s="1194">
        <f>CK112</f>
        <v>0</v>
      </c>
      <c r="CQ110" s="1229">
        <f>+CO110</f>
        <v>0</v>
      </c>
      <c r="CR110" s="1229">
        <f>+CQ112</f>
        <v>0</v>
      </c>
      <c r="CS110" s="1229">
        <f>+CR112</f>
        <v>0</v>
      </c>
      <c r="CT110" s="1229">
        <f>+CS112</f>
        <v>0</v>
      </c>
      <c r="CU110" s="1194">
        <f>CP112</f>
        <v>0</v>
      </c>
      <c r="CV110" s="1229">
        <f>+CT110</f>
        <v>0</v>
      </c>
      <c r="CW110" s="1229">
        <f>+CV112</f>
        <v>0</v>
      </c>
      <c r="CX110" s="1229">
        <f>+CW112</f>
        <v>0</v>
      </c>
      <c r="CY110" s="1229">
        <f>+CX112</f>
        <v>0</v>
      </c>
      <c r="CZ110" s="1194">
        <f>CU112</f>
        <v>0</v>
      </c>
      <c r="DA110" s="1229">
        <f>+CY110</f>
        <v>0</v>
      </c>
      <c r="DB110" s="1229">
        <f>+DA112</f>
        <v>0</v>
      </c>
      <c r="DC110" s="1229">
        <f>+DB112</f>
        <v>0</v>
      </c>
      <c r="DD110" s="1229">
        <f>+DC112</f>
        <v>0</v>
      </c>
      <c r="DE110" s="1194">
        <f>CZ112</f>
        <v>0</v>
      </c>
      <c r="DF110" s="1229">
        <f>+DD110</f>
        <v>0</v>
      </c>
      <c r="DG110" s="1229">
        <f>+DF112</f>
        <v>0</v>
      </c>
      <c r="DH110" s="1229">
        <f>+DG112</f>
        <v>0</v>
      </c>
      <c r="DI110" s="1229">
        <f>+DH112</f>
        <v>0</v>
      </c>
      <c r="DJ110" s="1194">
        <f>DE112</f>
        <v>0</v>
      </c>
      <c r="DK110" s="1229">
        <f>+DI110</f>
        <v>0</v>
      </c>
      <c r="DL110" s="1229">
        <f>+DK112</f>
        <v>0</v>
      </c>
      <c r="DM110" s="1229">
        <f>+DL112</f>
        <v>0</v>
      </c>
      <c r="DN110" s="1229">
        <f>+DM112</f>
        <v>0</v>
      </c>
      <c r="DO110" s="1194">
        <f>DJ112</f>
        <v>0</v>
      </c>
      <c r="DP110" s="1229">
        <f>+DN110</f>
        <v>0</v>
      </c>
      <c r="DQ110" s="1229">
        <f>+DP112</f>
        <v>0</v>
      </c>
      <c r="DR110" s="1229">
        <f>+DQ112</f>
        <v>0</v>
      </c>
      <c r="DS110" s="1229">
        <f>+DR112</f>
        <v>0</v>
      </c>
      <c r="DT110" s="1194">
        <f>DO112</f>
        <v>0</v>
      </c>
      <c r="DU110" s="1229">
        <f>+DS110</f>
        <v>0</v>
      </c>
      <c r="DV110" s="1229">
        <f>+DU112</f>
        <v>0</v>
      </c>
      <c r="DW110" s="1229">
        <f>+DV112</f>
        <v>0</v>
      </c>
      <c r="DX110" s="1229">
        <f>+DW112</f>
        <v>0</v>
      </c>
      <c r="DY110" s="1194">
        <f>DT112</f>
        <v>0</v>
      </c>
    </row>
    <row r="111" spans="1:129" x14ac:dyDescent="0.2">
      <c r="A111" s="1295"/>
      <c r="B111" s="1190" t="s">
        <v>1153</v>
      </c>
      <c r="C111" s="1182"/>
      <c r="D111" s="1182"/>
      <c r="E111" s="1182"/>
      <c r="F111" s="1182"/>
      <c r="G111" s="1182"/>
      <c r="H111" s="1182"/>
      <c r="I111" s="1182"/>
      <c r="J111" s="1182"/>
      <c r="K111" s="1182"/>
      <c r="L111" s="1182"/>
      <c r="M111" s="1182"/>
      <c r="N111" s="1182"/>
      <c r="O111" s="1182"/>
      <c r="P111" s="1182"/>
      <c r="Q111" s="1182"/>
      <c r="R111" s="1182"/>
      <c r="S111" s="1182"/>
      <c r="T111" s="1182"/>
      <c r="U111" s="1182"/>
      <c r="V111" s="1182"/>
      <c r="W111" s="1182"/>
      <c r="X111" s="1296"/>
      <c r="Y111" s="1297"/>
      <c r="Z111" s="1297"/>
      <c r="AA111" s="1297"/>
      <c r="AB111" s="1297"/>
      <c r="AC111" s="1296"/>
      <c r="AD111" s="1297"/>
      <c r="AE111" s="1297"/>
      <c r="AF111" s="1297"/>
      <c r="AG111" s="1297"/>
      <c r="AH111" s="1296"/>
      <c r="AI111" s="1297"/>
      <c r="AJ111" s="1297"/>
      <c r="AK111" s="1297"/>
      <c r="AL111" s="1297"/>
      <c r="AM111" s="1296"/>
      <c r="AN111" s="1297"/>
      <c r="AO111" s="1297"/>
      <c r="AP111" s="1297"/>
      <c r="AQ111" s="1297"/>
      <c r="AR111" s="1296"/>
      <c r="AS111" s="1297"/>
      <c r="AT111" s="1297"/>
      <c r="AU111" s="1297"/>
      <c r="AV111" s="1297"/>
      <c r="AW111" s="1296"/>
      <c r="AX111" s="1298"/>
      <c r="AY111" s="1299"/>
      <c r="AZ111" s="1299"/>
      <c r="BA111" s="1298"/>
      <c r="BB111" s="1300"/>
      <c r="BC111" s="1298"/>
      <c r="BD111" s="1298"/>
      <c r="BE111" s="1298"/>
      <c r="BF111" s="1298"/>
      <c r="BG111" s="1296"/>
      <c r="BH111" s="1298"/>
      <c r="BI111" s="1298"/>
      <c r="BJ111" s="1298"/>
      <c r="BK111" s="1298"/>
      <c r="BL111" s="1301"/>
      <c r="BM111" s="1302"/>
      <c r="BN111" s="1302"/>
      <c r="BO111" s="1302"/>
      <c r="BP111" s="1302"/>
      <c r="BQ111" s="1301">
        <f>BQ112-BQ110</f>
        <v>350</v>
      </c>
      <c r="BR111" s="1302"/>
      <c r="BS111" s="1302"/>
      <c r="BT111" s="1302"/>
      <c r="BU111" s="1302"/>
      <c r="BV111" s="1301">
        <f>BV112-BV110</f>
        <v>0</v>
      </c>
      <c r="BW111" s="1302"/>
      <c r="BX111" s="1302"/>
      <c r="BY111" s="1302"/>
      <c r="BZ111" s="1302"/>
      <c r="CA111" s="1301">
        <f>CA112-CA110</f>
        <v>-2100</v>
      </c>
      <c r="CB111" s="1303">
        <f>CB112-CB110</f>
        <v>0</v>
      </c>
      <c r="CC111" s="1303">
        <f>CC112-CC110</f>
        <v>0</v>
      </c>
      <c r="CD111" s="1302">
        <v>0</v>
      </c>
      <c r="CE111" s="1302">
        <v>0</v>
      </c>
      <c r="CF111" s="1301">
        <f>+SUM(CB111:CE111)</f>
        <v>0</v>
      </c>
      <c r="CG111" s="1302">
        <v>0</v>
      </c>
      <c r="CH111" s="1302">
        <v>0</v>
      </c>
      <c r="CI111" s="1302">
        <v>0</v>
      </c>
      <c r="CJ111" s="1302">
        <v>0</v>
      </c>
      <c r="CK111" s="1301">
        <f>+SUM(CG111:CJ111)</f>
        <v>0</v>
      </c>
      <c r="CL111" s="1302">
        <v>0</v>
      </c>
      <c r="CM111" s="1302">
        <v>0</v>
      </c>
      <c r="CN111" s="1302">
        <v>0</v>
      </c>
      <c r="CO111" s="1302">
        <v>0</v>
      </c>
      <c r="CP111" s="1301">
        <f>+SUM(CL111:CO111)</f>
        <v>0</v>
      </c>
      <c r="CQ111" s="1302">
        <v>0</v>
      </c>
      <c r="CR111" s="1302">
        <v>0</v>
      </c>
      <c r="CS111" s="1302">
        <v>0</v>
      </c>
      <c r="CT111" s="1302">
        <v>0</v>
      </c>
      <c r="CU111" s="1301">
        <f>+SUM(CQ111:CT111)</f>
        <v>0</v>
      </c>
      <c r="CV111" s="1302">
        <v>0</v>
      </c>
      <c r="CW111" s="1302">
        <v>0</v>
      </c>
      <c r="CX111" s="1302">
        <v>0</v>
      </c>
      <c r="CY111" s="1302">
        <v>0</v>
      </c>
      <c r="CZ111" s="1301">
        <f>+SUM(CV111:CY111)</f>
        <v>0</v>
      </c>
      <c r="DA111" s="1302">
        <v>0</v>
      </c>
      <c r="DB111" s="1302">
        <v>0</v>
      </c>
      <c r="DC111" s="1302">
        <v>0</v>
      </c>
      <c r="DD111" s="1302">
        <v>0</v>
      </c>
      <c r="DE111" s="1301">
        <f>+SUM(DA111:DD111)</f>
        <v>0</v>
      </c>
      <c r="DF111" s="1302">
        <v>0</v>
      </c>
      <c r="DG111" s="1302">
        <v>0</v>
      </c>
      <c r="DH111" s="1302">
        <v>0</v>
      </c>
      <c r="DI111" s="1302">
        <v>0</v>
      </c>
      <c r="DJ111" s="1301">
        <f>+SUM(DF111:DI111)</f>
        <v>0</v>
      </c>
      <c r="DK111" s="1302">
        <v>0</v>
      </c>
      <c r="DL111" s="1302">
        <v>0</v>
      </c>
      <c r="DM111" s="1302">
        <v>0</v>
      </c>
      <c r="DN111" s="1302">
        <v>0</v>
      </c>
      <c r="DO111" s="1301">
        <f>+SUM(DK111:DN111)</f>
        <v>0</v>
      </c>
      <c r="DP111" s="1302">
        <v>0</v>
      </c>
      <c r="DQ111" s="1302">
        <v>0</v>
      </c>
      <c r="DR111" s="1302">
        <v>0</v>
      </c>
      <c r="DS111" s="1302">
        <v>0</v>
      </c>
      <c r="DT111" s="1301">
        <f>+SUM(DP111:DS111)</f>
        <v>0</v>
      </c>
      <c r="DU111" s="1302">
        <v>0</v>
      </c>
      <c r="DV111" s="1302">
        <v>0</v>
      </c>
      <c r="DW111" s="1302">
        <v>0</v>
      </c>
      <c r="DX111" s="1302">
        <v>0</v>
      </c>
      <c r="DY111" s="1301">
        <f>+SUM(DU111:DX111)</f>
        <v>0</v>
      </c>
    </row>
    <row r="112" spans="1:129" x14ac:dyDescent="0.2">
      <c r="A112" s="1295"/>
      <c r="B112" s="1190" t="s">
        <v>1154</v>
      </c>
      <c r="C112" s="1182"/>
      <c r="D112" s="1182"/>
      <c r="E112" s="1182"/>
      <c r="F112" s="1182"/>
      <c r="G112" s="1182"/>
      <c r="H112" s="1182"/>
      <c r="I112" s="1182"/>
      <c r="J112" s="1182"/>
      <c r="K112" s="1182"/>
      <c r="L112" s="1182"/>
      <c r="M112" s="1182"/>
      <c r="N112" s="1182"/>
      <c r="O112" s="1182"/>
      <c r="P112" s="1182"/>
      <c r="Q112" s="1182"/>
      <c r="R112" s="1182"/>
      <c r="S112" s="1182"/>
      <c r="T112" s="1182"/>
      <c r="U112" s="1182"/>
      <c r="V112" s="1182"/>
      <c r="W112" s="1182"/>
      <c r="X112" s="1304"/>
      <c r="Y112" s="1305"/>
      <c r="Z112" s="1305"/>
      <c r="AA112" s="1305"/>
      <c r="AB112" s="1305"/>
      <c r="AC112" s="1304"/>
      <c r="AD112" s="1305"/>
      <c r="AE112" s="1305"/>
      <c r="AF112" s="1305"/>
      <c r="AG112" s="1305"/>
      <c r="AH112" s="1304"/>
      <c r="AI112" s="1305"/>
      <c r="AJ112" s="1305"/>
      <c r="AK112" s="1305"/>
      <c r="AL112" s="1305"/>
      <c r="AM112" s="1304"/>
      <c r="AN112" s="1305"/>
      <c r="AO112" s="1305"/>
      <c r="AP112" s="1305"/>
      <c r="AQ112" s="1305"/>
      <c r="AR112" s="1304"/>
      <c r="AS112" s="1305"/>
      <c r="AT112" s="1305"/>
      <c r="AU112" s="1305"/>
      <c r="AV112" s="1305"/>
      <c r="AW112" s="1304"/>
      <c r="AX112" s="1305"/>
      <c r="AY112" s="1305"/>
      <c r="AZ112" s="1305"/>
      <c r="BA112" s="1305"/>
      <c r="BB112" s="1304"/>
      <c r="BC112" s="1305"/>
      <c r="BD112" s="1305"/>
      <c r="BE112" s="1305"/>
      <c r="BF112" s="1305"/>
      <c r="BG112" s="1306"/>
      <c r="BH112" s="1305"/>
      <c r="BI112" s="1305"/>
      <c r="BJ112" s="1305"/>
      <c r="BK112" s="1305"/>
      <c r="BL112" s="1307">
        <f>1750</f>
        <v>1750</v>
      </c>
      <c r="BM112" s="1198"/>
      <c r="BN112" s="1198"/>
      <c r="BO112" s="1198"/>
      <c r="BP112" s="1198"/>
      <c r="BQ112" s="1307">
        <f>1750+350</f>
        <v>2100</v>
      </c>
      <c r="BR112" s="1198"/>
      <c r="BS112" s="1198"/>
      <c r="BT112" s="1198"/>
      <c r="BU112" s="1198"/>
      <c r="BV112" s="1307">
        <f>1750+350</f>
        <v>2100</v>
      </c>
      <c r="BW112" s="1198"/>
      <c r="BX112" s="1198"/>
      <c r="BY112" s="1198"/>
      <c r="BZ112" s="1198"/>
      <c r="CA112" s="1307">
        <v>0</v>
      </c>
      <c r="CB112" s="1187">
        <f>CA112</f>
        <v>0</v>
      </c>
      <c r="CC112" s="1187">
        <f>CB112</f>
        <v>0</v>
      </c>
      <c r="CD112" s="1187">
        <f t="shared" ref="CD112:CZ112" si="133">CD110+CD111</f>
        <v>0</v>
      </c>
      <c r="CE112" s="1187">
        <f t="shared" si="133"/>
        <v>0</v>
      </c>
      <c r="CF112" s="1186">
        <f t="shared" si="133"/>
        <v>0</v>
      </c>
      <c r="CG112" s="1187">
        <f t="shared" si="133"/>
        <v>0</v>
      </c>
      <c r="CH112" s="1187">
        <f t="shared" si="133"/>
        <v>0</v>
      </c>
      <c r="CI112" s="1187">
        <f t="shared" si="133"/>
        <v>0</v>
      </c>
      <c r="CJ112" s="1187">
        <f t="shared" si="133"/>
        <v>0</v>
      </c>
      <c r="CK112" s="1186">
        <f t="shared" si="133"/>
        <v>0</v>
      </c>
      <c r="CL112" s="1187">
        <f t="shared" si="133"/>
        <v>0</v>
      </c>
      <c r="CM112" s="1187">
        <f t="shared" si="133"/>
        <v>0</v>
      </c>
      <c r="CN112" s="1187">
        <f t="shared" si="133"/>
        <v>0</v>
      </c>
      <c r="CO112" s="1187">
        <f t="shared" si="133"/>
        <v>0</v>
      </c>
      <c r="CP112" s="1186">
        <f t="shared" si="133"/>
        <v>0</v>
      </c>
      <c r="CQ112" s="1187">
        <f t="shared" si="133"/>
        <v>0</v>
      </c>
      <c r="CR112" s="1187">
        <f t="shared" si="133"/>
        <v>0</v>
      </c>
      <c r="CS112" s="1187">
        <f t="shared" si="133"/>
        <v>0</v>
      </c>
      <c r="CT112" s="1187">
        <f t="shared" si="133"/>
        <v>0</v>
      </c>
      <c r="CU112" s="1186">
        <f t="shared" si="133"/>
        <v>0</v>
      </c>
      <c r="CV112" s="1187">
        <f t="shared" si="133"/>
        <v>0</v>
      </c>
      <c r="CW112" s="1187">
        <f t="shared" si="133"/>
        <v>0</v>
      </c>
      <c r="CX112" s="1187">
        <f t="shared" si="133"/>
        <v>0</v>
      </c>
      <c r="CY112" s="1187">
        <f t="shared" si="133"/>
        <v>0</v>
      </c>
      <c r="CZ112" s="1186">
        <f t="shared" si="133"/>
        <v>0</v>
      </c>
      <c r="DA112" s="1187">
        <f t="shared" ref="DA112:DJ112" si="134">DA110+DA111</f>
        <v>0</v>
      </c>
      <c r="DB112" s="1187">
        <f t="shared" si="134"/>
        <v>0</v>
      </c>
      <c r="DC112" s="1187">
        <f t="shared" si="134"/>
        <v>0</v>
      </c>
      <c r="DD112" s="1187">
        <f t="shared" si="134"/>
        <v>0</v>
      </c>
      <c r="DE112" s="1186">
        <f t="shared" si="134"/>
        <v>0</v>
      </c>
      <c r="DF112" s="1187">
        <f t="shared" si="134"/>
        <v>0</v>
      </c>
      <c r="DG112" s="1187">
        <f t="shared" si="134"/>
        <v>0</v>
      </c>
      <c r="DH112" s="1187">
        <f t="shared" si="134"/>
        <v>0</v>
      </c>
      <c r="DI112" s="1187">
        <f t="shared" si="134"/>
        <v>0</v>
      </c>
      <c r="DJ112" s="1186">
        <f t="shared" si="134"/>
        <v>0</v>
      </c>
      <c r="DK112" s="1187">
        <f t="shared" ref="DK112:DT112" si="135">DK110+DK111</f>
        <v>0</v>
      </c>
      <c r="DL112" s="1187">
        <f t="shared" si="135"/>
        <v>0</v>
      </c>
      <c r="DM112" s="1187">
        <f t="shared" si="135"/>
        <v>0</v>
      </c>
      <c r="DN112" s="1187">
        <f t="shared" si="135"/>
        <v>0</v>
      </c>
      <c r="DO112" s="1186">
        <f t="shared" si="135"/>
        <v>0</v>
      </c>
      <c r="DP112" s="1187">
        <f t="shared" si="135"/>
        <v>0</v>
      </c>
      <c r="DQ112" s="1187">
        <f t="shared" si="135"/>
        <v>0</v>
      </c>
      <c r="DR112" s="1187">
        <f t="shared" si="135"/>
        <v>0</v>
      </c>
      <c r="DS112" s="1187">
        <f t="shared" si="135"/>
        <v>0</v>
      </c>
      <c r="DT112" s="1186">
        <f t="shared" si="135"/>
        <v>0</v>
      </c>
      <c r="DU112" s="1187">
        <f t="shared" ref="DU112:DY112" si="136">DU110+DU111</f>
        <v>0</v>
      </c>
      <c r="DV112" s="1187">
        <f t="shared" si="136"/>
        <v>0</v>
      </c>
      <c r="DW112" s="1187">
        <f t="shared" si="136"/>
        <v>0</v>
      </c>
      <c r="DX112" s="1187">
        <f t="shared" si="136"/>
        <v>0</v>
      </c>
      <c r="DY112" s="1186">
        <f t="shared" si="136"/>
        <v>0</v>
      </c>
    </row>
    <row r="113" spans="1:129" x14ac:dyDescent="0.2">
      <c r="A113" s="1223"/>
      <c r="B113" s="1190" t="s">
        <v>1155</v>
      </c>
      <c r="C113" s="1182"/>
      <c r="D113" s="1182"/>
      <c r="E113" s="1182"/>
      <c r="F113" s="1182"/>
      <c r="G113" s="1182"/>
      <c r="H113" s="1182"/>
      <c r="I113" s="1182"/>
      <c r="J113" s="1182"/>
      <c r="K113" s="1182"/>
      <c r="L113" s="1182"/>
      <c r="M113" s="1182"/>
      <c r="N113" s="1182"/>
      <c r="O113" s="1182"/>
      <c r="P113" s="1182"/>
      <c r="Q113" s="1182"/>
      <c r="R113" s="1182"/>
      <c r="S113" s="1182"/>
      <c r="T113" s="1182"/>
      <c r="U113" s="1182"/>
      <c r="V113" s="1182"/>
      <c r="W113" s="1182"/>
      <c r="X113" s="1227"/>
      <c r="Y113" s="1231"/>
      <c r="Z113" s="1231"/>
      <c r="AA113" s="1231"/>
      <c r="AB113" s="1231"/>
      <c r="AC113" s="1227"/>
      <c r="AD113" s="1231"/>
      <c r="AE113" s="1231"/>
      <c r="AF113" s="1231"/>
      <c r="AG113" s="1231"/>
      <c r="AH113" s="1227"/>
      <c r="AI113" s="1231"/>
      <c r="AJ113" s="1231"/>
      <c r="AK113" s="1231"/>
      <c r="AL113" s="1231"/>
      <c r="AM113" s="1227"/>
      <c r="AN113" s="1231"/>
      <c r="AO113" s="1231"/>
      <c r="AP113" s="1231"/>
      <c r="AQ113" s="1231"/>
      <c r="AR113" s="1227"/>
      <c r="AS113" s="1231"/>
      <c r="AT113" s="1231"/>
      <c r="AU113" s="1231"/>
      <c r="AV113" s="1231"/>
      <c r="AW113" s="1227"/>
      <c r="AX113" s="1231"/>
      <c r="AY113" s="1231"/>
      <c r="AZ113" s="1231"/>
      <c r="BA113" s="1231"/>
      <c r="BB113" s="1227"/>
      <c r="BC113" s="1231"/>
      <c r="BD113" s="1231"/>
      <c r="BE113" s="1231"/>
      <c r="BF113" s="1231"/>
      <c r="BG113" s="1227"/>
      <c r="BH113" s="1231"/>
      <c r="BI113" s="1231"/>
      <c r="BJ113" s="1231"/>
      <c r="BK113" s="1231"/>
      <c r="BL113" s="1194"/>
      <c r="BM113" s="1195"/>
      <c r="BN113" s="1195"/>
      <c r="BO113" s="1195"/>
      <c r="BP113" s="1195"/>
      <c r="BQ113" s="1194"/>
      <c r="BR113" s="1195"/>
      <c r="BS113" s="1195"/>
      <c r="BT113" s="1195"/>
      <c r="BU113" s="1195"/>
      <c r="BV113" s="1194"/>
      <c r="BW113" s="1195"/>
      <c r="BX113" s="1195"/>
      <c r="BY113" s="1195"/>
      <c r="BZ113" s="1195"/>
      <c r="CA113" s="1194"/>
      <c r="CB113" s="1195"/>
      <c r="CC113" s="1195"/>
      <c r="CD113" s="1195"/>
      <c r="CE113" s="1195"/>
      <c r="CF113" s="1194"/>
      <c r="CG113" s="1195"/>
      <c r="CH113" s="1195"/>
      <c r="CI113" s="1195"/>
      <c r="CJ113" s="1195"/>
      <c r="CK113" s="1194"/>
      <c r="CL113" s="1195"/>
      <c r="CM113" s="1195"/>
      <c r="CN113" s="1195"/>
      <c r="CO113" s="1195"/>
      <c r="CP113" s="1194"/>
      <c r="CQ113" s="1195"/>
      <c r="CR113" s="1195"/>
      <c r="CS113" s="1195"/>
      <c r="CT113" s="1195"/>
      <c r="CU113" s="1194"/>
      <c r="CV113" s="1195"/>
      <c r="CW113" s="1195"/>
      <c r="CX113" s="1195"/>
      <c r="CY113" s="1195"/>
      <c r="CZ113" s="1194"/>
      <c r="DA113" s="1195"/>
      <c r="DB113" s="1195"/>
      <c r="DC113" s="1195"/>
      <c r="DD113" s="1195"/>
      <c r="DE113" s="1194"/>
      <c r="DF113" s="1195"/>
      <c r="DG113" s="1195"/>
      <c r="DH113" s="1195"/>
      <c r="DI113" s="1195"/>
      <c r="DJ113" s="1194"/>
      <c r="DK113" s="1195"/>
      <c r="DL113" s="1195"/>
      <c r="DM113" s="1195"/>
      <c r="DN113" s="1195"/>
      <c r="DO113" s="1194"/>
      <c r="DP113" s="1195"/>
      <c r="DQ113" s="1195"/>
      <c r="DR113" s="1195"/>
      <c r="DS113" s="1195"/>
      <c r="DT113" s="1194"/>
      <c r="DU113" s="1195"/>
      <c r="DV113" s="1195"/>
      <c r="DW113" s="1195"/>
      <c r="DX113" s="1195"/>
      <c r="DY113" s="1194"/>
    </row>
    <row r="114" spans="1:129" x14ac:dyDescent="0.2">
      <c r="A114" s="1223"/>
      <c r="B114" s="1190" t="s">
        <v>1156</v>
      </c>
      <c r="C114" s="1182"/>
      <c r="D114" s="1182"/>
      <c r="E114" s="1182"/>
      <c r="F114" s="1182"/>
      <c r="G114" s="1182"/>
      <c r="H114" s="1182"/>
      <c r="I114" s="1182"/>
      <c r="J114" s="1182"/>
      <c r="K114" s="1182"/>
      <c r="L114" s="1182"/>
      <c r="M114" s="1182"/>
      <c r="N114" s="1182"/>
      <c r="O114" s="1182"/>
      <c r="P114" s="1182"/>
      <c r="Q114" s="1182"/>
      <c r="R114" s="1182"/>
      <c r="S114" s="1182"/>
      <c r="T114" s="1182"/>
      <c r="U114" s="1182"/>
      <c r="V114" s="1182"/>
      <c r="W114" s="1182"/>
      <c r="X114" s="1227"/>
      <c r="Y114" s="1231"/>
      <c r="Z114" s="1231"/>
      <c r="AA114" s="1231"/>
      <c r="AB114" s="1231"/>
      <c r="AC114" s="1227"/>
      <c r="AD114" s="1231"/>
      <c r="AE114" s="1231"/>
      <c r="AF114" s="1231"/>
      <c r="AG114" s="1231"/>
      <c r="AH114" s="1227"/>
      <c r="AI114" s="1231"/>
      <c r="AJ114" s="1231"/>
      <c r="AK114" s="1231"/>
      <c r="AL114" s="1231"/>
      <c r="AM114" s="1227"/>
      <c r="AN114" s="1231"/>
      <c r="AO114" s="1231"/>
      <c r="AP114" s="1231"/>
      <c r="AQ114" s="1231"/>
      <c r="AR114" s="1227"/>
      <c r="AS114" s="1231"/>
      <c r="AT114" s="1231"/>
      <c r="AU114" s="1231"/>
      <c r="AV114" s="1231"/>
      <c r="AW114" s="1227"/>
      <c r="AX114" s="1231"/>
      <c r="AY114" s="1231"/>
      <c r="AZ114" s="1231"/>
      <c r="BA114" s="1231"/>
      <c r="BB114" s="1227"/>
      <c r="BC114" s="1231"/>
      <c r="BD114" s="1231"/>
      <c r="BE114" s="1231"/>
      <c r="BF114" s="1231"/>
      <c r="BG114" s="1227"/>
      <c r="BH114" s="1231"/>
      <c r="BI114" s="1231"/>
      <c r="BJ114" s="1231"/>
      <c r="BK114" s="1231"/>
      <c r="BL114" s="1194">
        <f>-(AVERAGE(BL110,BL112))*(BL$108)</f>
        <v>-15.225</v>
      </c>
      <c r="BM114" s="1195"/>
      <c r="BN114" s="1195"/>
      <c r="BO114" s="1195"/>
      <c r="BP114" s="1195"/>
      <c r="BQ114" s="1194">
        <f>-(AVERAGE(BQ110,BQ112))*(BQ$108)</f>
        <v>-16.747499999999999</v>
      </c>
      <c r="BR114" s="1195"/>
      <c r="BS114" s="1195"/>
      <c r="BT114" s="1195"/>
      <c r="BU114" s="1195"/>
      <c r="BV114" s="1194">
        <f>-(AVERAGE(BV110,BV112))*(BV$108)</f>
        <v>-18.27</v>
      </c>
      <c r="BW114" s="1195"/>
      <c r="BX114" s="1195"/>
      <c r="BY114" s="1195"/>
      <c r="BZ114" s="1195"/>
      <c r="CA114" s="1194">
        <f>-(AVERAGE(CA110,CA112))*(CA$108)</f>
        <v>-9.1349999999999998</v>
      </c>
      <c r="CB114" s="1229">
        <f>-(AVERAGE(CB112,CB110))*(CB108/4)</f>
        <v>0</v>
      </c>
      <c r="CC114" s="1229">
        <f>-(AVERAGE(CC112,CC110))*(CC108/4)</f>
        <v>0</v>
      </c>
      <c r="CD114" s="1229">
        <f>-(AVERAGE(CD112,CD110))*(CD108/4)</f>
        <v>0</v>
      </c>
      <c r="CE114" s="1229">
        <f>-(AVERAGE(CE112,CE110))*(CE108/4)</f>
        <v>0</v>
      </c>
      <c r="CF114" s="1194">
        <f>SUM(CB114:CE114)</f>
        <v>0</v>
      </c>
      <c r="CG114" s="1229">
        <f>-(AVERAGE(CG112,CG110))*(CG108/4)</f>
        <v>0</v>
      </c>
      <c r="CH114" s="1229">
        <f>-(AVERAGE(CH112,CH110))*(CH108/4)</f>
        <v>0</v>
      </c>
      <c r="CI114" s="1229">
        <f>-(AVERAGE(CI112,CI110))*(CI108/4)</f>
        <v>0</v>
      </c>
      <c r="CJ114" s="1229">
        <f>-(AVERAGE(CJ112,CJ110))*(CJ108/4)</f>
        <v>0</v>
      </c>
      <c r="CK114" s="1194">
        <f>SUM(CG114:CJ114)</f>
        <v>0</v>
      </c>
      <c r="CL114" s="1229">
        <f>-(AVERAGE(CL112,CL110))*(CL108/4)</f>
        <v>0</v>
      </c>
      <c r="CM114" s="1229">
        <f>-(AVERAGE(CM112,CM110))*(CM108/4)</f>
        <v>0</v>
      </c>
      <c r="CN114" s="1229">
        <f>-(AVERAGE(CN112,CN110))*(CN108/4)</f>
        <v>0</v>
      </c>
      <c r="CO114" s="1229">
        <f>-(AVERAGE(CO112,CO110))*(CO108/4)</f>
        <v>0</v>
      </c>
      <c r="CP114" s="1194">
        <f>SUM(CL114:CO114)</f>
        <v>0</v>
      </c>
      <c r="CQ114" s="1229">
        <f>-(AVERAGE(CQ112,CQ110))*(CQ108/4)</f>
        <v>0</v>
      </c>
      <c r="CR114" s="1229">
        <f>-(AVERAGE(CR112,CR110))*(CR108/4)</f>
        <v>0</v>
      </c>
      <c r="CS114" s="1229">
        <f>-(AVERAGE(CS112,CS110))*(CS108/4)</f>
        <v>0</v>
      </c>
      <c r="CT114" s="1229">
        <f>-(AVERAGE(CT112,CT110))*(CT108/4)</f>
        <v>0</v>
      </c>
      <c r="CU114" s="1194">
        <f>SUM(CQ114:CT114)</f>
        <v>0</v>
      </c>
      <c r="CV114" s="1229">
        <f>-(AVERAGE(CV112,CV110))*(CV108/4)</f>
        <v>0</v>
      </c>
      <c r="CW114" s="1229">
        <f>-(AVERAGE(CW112,CW110))*(CW108/4)</f>
        <v>0</v>
      </c>
      <c r="CX114" s="1229">
        <f>-(AVERAGE(CX112,CX110))*(CX108/4)</f>
        <v>0</v>
      </c>
      <c r="CY114" s="1229">
        <f>-(AVERAGE(CY112,CY110))*(CY108/4)</f>
        <v>0</v>
      </c>
      <c r="CZ114" s="1194">
        <f>SUM(CV114:CY114)</f>
        <v>0</v>
      </c>
      <c r="DA114" s="1229">
        <f>-(AVERAGE(DA112,DA110))*(DA108/4)</f>
        <v>0</v>
      </c>
      <c r="DB114" s="1229">
        <f>-(AVERAGE(DB112,DB110))*(DB108/4)</f>
        <v>0</v>
      </c>
      <c r="DC114" s="1229">
        <f>-(AVERAGE(DC112,DC110))*(DC108/4)</f>
        <v>0</v>
      </c>
      <c r="DD114" s="1229">
        <f>-(AVERAGE(DD112,DD110))*(DD108/4)</f>
        <v>0</v>
      </c>
      <c r="DE114" s="1194">
        <f>SUM(DA114:DD114)</f>
        <v>0</v>
      </c>
      <c r="DF114" s="1229">
        <f>-(AVERAGE(DF112,DF110))*(DF108/4)</f>
        <v>0</v>
      </c>
      <c r="DG114" s="1229">
        <f>-(AVERAGE(DG112,DG110))*(DG108/4)</f>
        <v>0</v>
      </c>
      <c r="DH114" s="1229">
        <f>-(AVERAGE(DH112,DH110))*(DH108/4)</f>
        <v>0</v>
      </c>
      <c r="DI114" s="1229">
        <f>-(AVERAGE(DI112,DI110))*(DI108/4)</f>
        <v>0</v>
      </c>
      <c r="DJ114" s="1194">
        <f>SUM(DF114:DI114)</f>
        <v>0</v>
      </c>
      <c r="DK114" s="1229">
        <f>-(AVERAGE(DK112,DK110))*(DK108/4)</f>
        <v>0</v>
      </c>
      <c r="DL114" s="1229">
        <f>-(AVERAGE(DL112,DL110))*(DL108/4)</f>
        <v>0</v>
      </c>
      <c r="DM114" s="1229">
        <f>-(AVERAGE(DM112,DM110))*(DM108/4)</f>
        <v>0</v>
      </c>
      <c r="DN114" s="1229">
        <f>-(AVERAGE(DN112,DN110))*(DN108/4)</f>
        <v>0</v>
      </c>
      <c r="DO114" s="1194">
        <f>SUM(DK114:DN114)</f>
        <v>0</v>
      </c>
      <c r="DP114" s="1229">
        <f>-(AVERAGE(DP112,DP110))*(DP108/4)</f>
        <v>0</v>
      </c>
      <c r="DQ114" s="1229">
        <f>-(AVERAGE(DQ112,DQ110))*(DQ108/4)</f>
        <v>0</v>
      </c>
      <c r="DR114" s="1229">
        <f>-(AVERAGE(DR112,DR110))*(DR108/4)</f>
        <v>0</v>
      </c>
      <c r="DS114" s="1229">
        <f>-(AVERAGE(DS112,DS110))*(DS108/4)</f>
        <v>0</v>
      </c>
      <c r="DT114" s="1194">
        <f>SUM(DP114:DS114)</f>
        <v>0</v>
      </c>
      <c r="DU114" s="1229">
        <f>-(AVERAGE(DU112,DU110))*(DU108/4)</f>
        <v>0</v>
      </c>
      <c r="DV114" s="1229">
        <f>-(AVERAGE(DV112,DV110))*(DV108/4)</f>
        <v>0</v>
      </c>
      <c r="DW114" s="1229">
        <f>-(AVERAGE(DW112,DW110))*(DW108/4)</f>
        <v>0</v>
      </c>
      <c r="DX114" s="1229">
        <f>-(AVERAGE(DX112,DX110))*(DX108/4)</f>
        <v>0</v>
      </c>
      <c r="DY114" s="1194">
        <f>SUM(DU114:DX114)</f>
        <v>0</v>
      </c>
    </row>
    <row r="115" spans="1:129" ht="12" thickBot="1" x14ac:dyDescent="0.25">
      <c r="A115" s="1223"/>
      <c r="B115" s="1250" t="s">
        <v>1157</v>
      </c>
      <c r="C115" s="1251"/>
      <c r="D115" s="1251"/>
      <c r="E115" s="1251"/>
      <c r="F115" s="1251"/>
      <c r="G115" s="1251"/>
      <c r="H115" s="1251"/>
      <c r="I115" s="1251"/>
      <c r="J115" s="1251"/>
      <c r="K115" s="1251"/>
      <c r="L115" s="1251"/>
      <c r="M115" s="1251"/>
      <c r="N115" s="1251"/>
      <c r="O115" s="1251"/>
      <c r="P115" s="1251"/>
      <c r="Q115" s="1251"/>
      <c r="R115" s="1251"/>
      <c r="S115" s="1251"/>
      <c r="T115" s="1251"/>
      <c r="U115" s="1251"/>
      <c r="V115" s="1251"/>
      <c r="W115" s="1251"/>
      <c r="X115" s="1252"/>
      <c r="Y115" s="1251"/>
      <c r="Z115" s="1251"/>
      <c r="AA115" s="1251"/>
      <c r="AB115" s="1251"/>
      <c r="AC115" s="1252"/>
      <c r="AD115" s="1251"/>
      <c r="AE115" s="1251"/>
      <c r="AF115" s="1251"/>
      <c r="AG115" s="1251"/>
      <c r="AH115" s="1252"/>
      <c r="AI115" s="1251"/>
      <c r="AJ115" s="1251"/>
      <c r="AK115" s="1251"/>
      <c r="AL115" s="1251"/>
      <c r="AM115" s="1252"/>
      <c r="AN115" s="1251"/>
      <c r="AO115" s="1251"/>
      <c r="AP115" s="1251"/>
      <c r="AQ115" s="1253"/>
      <c r="AR115" s="1252"/>
      <c r="AS115" s="1253"/>
      <c r="AT115" s="1253"/>
      <c r="AU115" s="1253"/>
      <c r="AV115" s="1253"/>
      <c r="AW115" s="1252"/>
      <c r="AX115" s="1253"/>
      <c r="AY115" s="1253"/>
      <c r="AZ115" s="1253"/>
      <c r="BA115" s="1253"/>
      <c r="BB115" s="1252"/>
      <c r="BC115" s="1253"/>
      <c r="BD115" s="1253"/>
      <c r="BE115" s="1253"/>
      <c r="BF115" s="1253"/>
      <c r="BG115" s="1252"/>
      <c r="BH115" s="1253"/>
      <c r="BI115" s="1253"/>
      <c r="BJ115" s="1253"/>
      <c r="BK115" s="1253"/>
      <c r="BL115" s="1255"/>
      <c r="BM115" s="1254"/>
      <c r="BN115" s="1254"/>
      <c r="BO115" s="1254"/>
      <c r="BP115" s="1254"/>
      <c r="BQ115" s="1255"/>
      <c r="BR115" s="1254"/>
      <c r="BS115" s="1254"/>
      <c r="BT115" s="1254"/>
      <c r="BU115" s="1254"/>
      <c r="BV115" s="1255"/>
      <c r="BW115" s="1254"/>
      <c r="BX115" s="1254"/>
      <c r="BY115" s="1254"/>
      <c r="BZ115" s="1254"/>
      <c r="CA115" s="1255"/>
      <c r="CB115" s="1254">
        <f>-CB107*CB113/4</f>
        <v>0</v>
      </c>
      <c r="CC115" s="1254">
        <f>-CC107*CC113/4</f>
        <v>0</v>
      </c>
      <c r="CD115" s="1254">
        <f>-CD107*CD113/4</f>
        <v>0</v>
      </c>
      <c r="CE115" s="1254">
        <f>-CE107*CE113/4</f>
        <v>0</v>
      </c>
      <c r="CF115" s="1255"/>
      <c r="CG115" s="1254">
        <f>-CG107*CG113/4</f>
        <v>0</v>
      </c>
      <c r="CH115" s="1254">
        <f>-CH107*CH113/4</f>
        <v>0</v>
      </c>
      <c r="CI115" s="1254">
        <f>-CI107*CI113/4</f>
        <v>0</v>
      </c>
      <c r="CJ115" s="1254">
        <f>-CJ107*CJ113/4</f>
        <v>0</v>
      </c>
      <c r="CK115" s="1255"/>
      <c r="CL115" s="1254">
        <f>-CL107*CL113/4</f>
        <v>0</v>
      </c>
      <c r="CM115" s="1254">
        <f>-CM107*CM113/4</f>
        <v>0</v>
      </c>
      <c r="CN115" s="1254">
        <f>-CN107*CN113/4</f>
        <v>0</v>
      </c>
      <c r="CO115" s="1254">
        <f>-CO107*CO113/4</f>
        <v>0</v>
      </c>
      <c r="CP115" s="1255"/>
      <c r="CQ115" s="1254">
        <f>-CQ107*CQ113/4</f>
        <v>0</v>
      </c>
      <c r="CR115" s="1254">
        <f>-CR107*CR113/4</f>
        <v>0</v>
      </c>
      <c r="CS115" s="1254">
        <f>-CS107*CS113/4</f>
        <v>0</v>
      </c>
      <c r="CT115" s="1254">
        <f>-CT107*CT113/4</f>
        <v>0</v>
      </c>
      <c r="CU115" s="1255"/>
      <c r="CV115" s="1254">
        <f>-CV107*CV113/4</f>
        <v>0</v>
      </c>
      <c r="CW115" s="1254">
        <f>-CW107*CW113/4</f>
        <v>0</v>
      </c>
      <c r="CX115" s="1254">
        <f>-CX107*CX113/4</f>
        <v>0</v>
      </c>
      <c r="CY115" s="1254">
        <f>-CY107*CY113/4</f>
        <v>0</v>
      </c>
      <c r="CZ115" s="1255"/>
      <c r="DA115" s="1254">
        <f>-DA107*DA113/4</f>
        <v>0</v>
      </c>
      <c r="DB115" s="1254">
        <f>-DB107*DB113/4</f>
        <v>0</v>
      </c>
      <c r="DC115" s="1254">
        <f>-DC107*DC113/4</f>
        <v>0</v>
      </c>
      <c r="DD115" s="1254">
        <f>-DD107*DD113/4</f>
        <v>0</v>
      </c>
      <c r="DE115" s="1255"/>
      <c r="DF115" s="1254">
        <f>-DF107*DF113/4</f>
        <v>0</v>
      </c>
      <c r="DG115" s="1254">
        <f>-DG107*DG113/4</f>
        <v>0</v>
      </c>
      <c r="DH115" s="1254">
        <f>-DH107*DH113/4</f>
        <v>0</v>
      </c>
      <c r="DI115" s="1254">
        <f>-DI107*DI113/4</f>
        <v>0</v>
      </c>
      <c r="DJ115" s="1255"/>
      <c r="DK115" s="1254">
        <f>-DK107*DK113/4</f>
        <v>0</v>
      </c>
      <c r="DL115" s="1254">
        <f>-DL107*DL113/4</f>
        <v>0</v>
      </c>
      <c r="DM115" s="1254">
        <f>-DM107*DM113/4</f>
        <v>0</v>
      </c>
      <c r="DN115" s="1254">
        <f>-DN107*DN113/4</f>
        <v>0</v>
      </c>
      <c r="DO115" s="1255"/>
      <c r="DP115" s="1254">
        <f>-DP107*DP113/4</f>
        <v>0</v>
      </c>
      <c r="DQ115" s="1254">
        <f>-DQ107*DQ113/4</f>
        <v>0</v>
      </c>
      <c r="DR115" s="1254">
        <f>-DR107*DR113/4</f>
        <v>0</v>
      </c>
      <c r="DS115" s="1254">
        <f>-DS107*DS113/4</f>
        <v>0</v>
      </c>
      <c r="DT115" s="1255"/>
      <c r="DU115" s="1254">
        <f>-DU107*DU113/4</f>
        <v>0</v>
      </c>
      <c r="DV115" s="1254">
        <f>-DV107*DV113/4</f>
        <v>0</v>
      </c>
      <c r="DW115" s="1254">
        <f>-DW107*DW113/4</f>
        <v>0</v>
      </c>
      <c r="DX115" s="1254">
        <f>-DX107*DX113/4</f>
        <v>0</v>
      </c>
      <c r="DY115" s="1255"/>
    </row>
    <row r="116" spans="1:129" ht="12" thickBot="1" x14ac:dyDescent="0.25">
      <c r="A116" s="1123"/>
      <c r="B116" s="1317"/>
      <c r="C116" s="1209"/>
      <c r="D116" s="1209"/>
      <c r="E116" s="1209"/>
      <c r="F116" s="1209"/>
      <c r="G116" s="1209"/>
      <c r="H116" s="1209"/>
      <c r="I116" s="1209"/>
      <c r="J116" s="1209"/>
      <c r="K116" s="1209"/>
      <c r="L116" s="1209"/>
      <c r="M116" s="1209"/>
      <c r="N116" s="1209"/>
      <c r="O116" s="1209"/>
      <c r="P116" s="1209"/>
      <c r="Q116" s="1209"/>
      <c r="R116" s="1209"/>
      <c r="S116" s="1209"/>
      <c r="T116" s="1209"/>
      <c r="U116" s="1209"/>
      <c r="V116" s="1209"/>
      <c r="W116" s="1209"/>
      <c r="X116" s="1237"/>
      <c r="Y116" s="1237"/>
      <c r="Z116" s="1237"/>
      <c r="AA116" s="1237"/>
      <c r="AB116" s="1237"/>
      <c r="AC116" s="1237"/>
      <c r="AD116" s="1237"/>
      <c r="AE116" s="1237"/>
      <c r="AF116" s="1237"/>
      <c r="AG116" s="1237"/>
      <c r="AH116" s="1237"/>
      <c r="AI116" s="1237"/>
      <c r="AJ116" s="1237"/>
      <c r="AK116" s="1237"/>
      <c r="AL116" s="1237"/>
      <c r="AM116" s="1237"/>
      <c r="AN116" s="1237"/>
      <c r="AO116" s="1237"/>
      <c r="AP116" s="1237"/>
      <c r="AQ116" s="1237"/>
      <c r="AR116" s="1237"/>
      <c r="AS116" s="1237"/>
      <c r="AT116" s="1237"/>
      <c r="AU116" s="1237"/>
      <c r="AV116" s="1237"/>
      <c r="AW116" s="1237"/>
      <c r="AX116" s="1237"/>
      <c r="AY116" s="1237"/>
      <c r="AZ116" s="1237"/>
      <c r="BA116" s="1237"/>
      <c r="BB116" s="1237"/>
      <c r="BC116" s="1237"/>
      <c r="BD116" s="1237"/>
      <c r="BE116" s="1237"/>
      <c r="BF116" s="1237"/>
      <c r="BG116" s="1237"/>
      <c r="BH116" s="1237"/>
      <c r="BI116" s="1237"/>
      <c r="BJ116" s="1237"/>
      <c r="BK116" s="1237"/>
      <c r="BL116" s="1239"/>
      <c r="BM116" s="1239"/>
      <c r="BN116" s="1239"/>
      <c r="BO116" s="1239"/>
      <c r="BP116" s="1239"/>
      <c r="BQ116" s="1239"/>
      <c r="BR116" s="1239"/>
      <c r="BS116" s="1239"/>
      <c r="BT116" s="1239"/>
      <c r="BU116" s="1239"/>
      <c r="BV116" s="1239"/>
      <c r="BW116" s="1239"/>
      <c r="BX116" s="1239"/>
      <c r="BY116" s="1239"/>
      <c r="BZ116" s="1239"/>
      <c r="CA116" s="1239"/>
      <c r="CB116" s="1239"/>
      <c r="CC116" s="1239"/>
      <c r="CD116" s="1239"/>
      <c r="CE116" s="1239"/>
      <c r="CF116" s="1239"/>
      <c r="CG116" s="1239"/>
      <c r="CH116" s="1239"/>
      <c r="CI116" s="1239"/>
      <c r="CJ116" s="1239"/>
      <c r="CK116" s="1239"/>
      <c r="CL116" s="1239"/>
      <c r="CM116" s="1239"/>
      <c r="CN116" s="1239"/>
      <c r="CO116" s="1239"/>
      <c r="CP116" s="1239"/>
      <c r="CQ116" s="1239"/>
      <c r="CR116" s="1239"/>
      <c r="CS116" s="1239"/>
      <c r="CT116" s="1239"/>
      <c r="CU116" s="1239"/>
      <c r="CV116" s="1239"/>
      <c r="CW116" s="1239"/>
      <c r="CX116" s="1239"/>
      <c r="CY116" s="1239"/>
      <c r="CZ116" s="1239"/>
      <c r="DA116" s="1239"/>
      <c r="DB116" s="1239"/>
      <c r="DC116" s="1239"/>
      <c r="DD116" s="1239"/>
      <c r="DE116" s="1239"/>
      <c r="DF116" s="1239"/>
      <c r="DG116" s="1239"/>
      <c r="DH116" s="1239"/>
      <c r="DI116" s="1239"/>
      <c r="DJ116" s="1239"/>
      <c r="DK116" s="1239"/>
      <c r="DL116" s="1239"/>
      <c r="DM116" s="1239"/>
      <c r="DN116" s="1239"/>
      <c r="DO116" s="1239"/>
      <c r="DP116" s="1239"/>
      <c r="DQ116" s="1239"/>
      <c r="DR116" s="1239"/>
      <c r="DS116" s="1239"/>
      <c r="DT116" s="1239"/>
      <c r="DU116" s="1239"/>
      <c r="DV116" s="1239"/>
      <c r="DW116" s="1239"/>
      <c r="DX116" s="1239"/>
      <c r="DY116" s="1239"/>
    </row>
    <row r="117" spans="1:129" ht="12" thickBot="1" x14ac:dyDescent="0.25">
      <c r="A117" s="1123"/>
      <c r="B117" s="1318" t="s">
        <v>1161</v>
      </c>
      <c r="C117" s="1319"/>
      <c r="D117" s="1209"/>
      <c r="E117" s="1209"/>
      <c r="F117" s="1209"/>
      <c r="G117" s="1209"/>
      <c r="H117" s="1209"/>
      <c r="I117" s="1209"/>
      <c r="J117" s="1209"/>
      <c r="K117" s="1209"/>
      <c r="L117" s="1209"/>
      <c r="M117" s="1209"/>
      <c r="N117" s="1209"/>
      <c r="O117" s="1209"/>
      <c r="P117" s="1209"/>
      <c r="Q117" s="1209"/>
      <c r="R117" s="1209"/>
      <c r="S117" s="1209"/>
      <c r="T117" s="1209"/>
      <c r="U117" s="1209"/>
      <c r="V117" s="1209"/>
      <c r="W117" s="1209"/>
      <c r="X117" s="1319"/>
      <c r="Y117" s="1319"/>
      <c r="Z117" s="1319"/>
      <c r="AA117" s="1319"/>
      <c r="AB117" s="1319"/>
      <c r="AC117" s="1319"/>
      <c r="AD117" s="1319"/>
      <c r="AE117" s="1319"/>
      <c r="AF117" s="1319"/>
      <c r="AG117" s="1319"/>
      <c r="AH117" s="1319"/>
      <c r="AI117" s="1319"/>
      <c r="AJ117" s="1319"/>
      <c r="AK117" s="1319"/>
      <c r="AL117" s="1319"/>
      <c r="AM117" s="1319"/>
      <c r="AN117" s="1319"/>
      <c r="AO117" s="1319"/>
      <c r="AP117" s="1319"/>
      <c r="AQ117" s="1320"/>
      <c r="AR117" s="1320"/>
      <c r="AS117" s="1320"/>
      <c r="AT117" s="1321"/>
      <c r="AU117" s="1321"/>
      <c r="AV117" s="1321"/>
      <c r="AW117" s="1320"/>
      <c r="AX117" s="1320"/>
      <c r="AY117" s="1320"/>
      <c r="AZ117" s="1320"/>
      <c r="BA117" s="1320"/>
      <c r="BB117" s="1320"/>
      <c r="BC117" s="1320"/>
      <c r="BD117" s="1320"/>
      <c r="BE117" s="1320"/>
      <c r="BF117" s="1320"/>
      <c r="BG117" s="1320"/>
      <c r="BH117" s="1320"/>
      <c r="BI117" s="1320"/>
      <c r="BJ117" s="1320"/>
      <c r="BK117" s="1320"/>
      <c r="BL117" s="1322"/>
      <c r="BM117" s="1323"/>
      <c r="BN117" s="1323"/>
      <c r="BO117" s="1323"/>
      <c r="BP117" s="1323"/>
      <c r="BQ117" s="1322"/>
      <c r="BR117" s="1323"/>
      <c r="BS117" s="1323"/>
      <c r="BT117" s="1323"/>
      <c r="BU117" s="1323"/>
      <c r="BV117" s="1322"/>
      <c r="BW117" s="1323"/>
      <c r="BX117" s="1323"/>
      <c r="BY117" s="1323"/>
      <c r="BZ117" s="1323"/>
      <c r="CA117" s="1322"/>
      <c r="CB117" s="1323"/>
      <c r="CC117" s="1323"/>
      <c r="CD117" s="1323"/>
      <c r="CE117" s="1323"/>
      <c r="CF117" s="1322"/>
      <c r="CG117" s="1323"/>
      <c r="CH117" s="1323"/>
      <c r="CI117" s="1323"/>
      <c r="CJ117" s="1323"/>
      <c r="CK117" s="1322"/>
      <c r="CL117" s="1323"/>
      <c r="CM117" s="1323"/>
      <c r="CN117" s="1323"/>
      <c r="CO117" s="1323"/>
      <c r="CP117" s="1322"/>
      <c r="CQ117" s="1323"/>
      <c r="CR117" s="1323"/>
      <c r="CS117" s="1323"/>
      <c r="CT117" s="1323"/>
      <c r="CU117" s="1322"/>
      <c r="CV117" s="1323"/>
      <c r="CW117" s="1323"/>
      <c r="CX117" s="1323"/>
      <c r="CY117" s="1323"/>
      <c r="CZ117" s="1322"/>
      <c r="DA117" s="1323"/>
      <c r="DB117" s="1323"/>
      <c r="DC117" s="1323"/>
      <c r="DD117" s="1323"/>
      <c r="DE117" s="1322"/>
      <c r="DF117" s="1323"/>
      <c r="DG117" s="1323"/>
      <c r="DH117" s="1323"/>
      <c r="DI117" s="1323"/>
      <c r="DJ117" s="1322"/>
      <c r="DK117" s="1323"/>
      <c r="DL117" s="1323"/>
      <c r="DM117" s="1323"/>
      <c r="DN117" s="1323"/>
      <c r="DO117" s="1322"/>
      <c r="DP117" s="1323"/>
      <c r="DQ117" s="1323"/>
      <c r="DR117" s="1323"/>
      <c r="DS117" s="1323"/>
      <c r="DT117" s="1322"/>
      <c r="DU117" s="1323"/>
      <c r="DV117" s="1323"/>
      <c r="DW117" s="1323"/>
      <c r="DX117" s="1323"/>
      <c r="DY117" s="1322"/>
    </row>
    <row r="118" spans="1:129" x14ac:dyDescent="0.2">
      <c r="A118" s="532"/>
      <c r="B118" s="1287" t="s">
        <v>1149</v>
      </c>
      <c r="C118" s="650"/>
      <c r="D118" s="650"/>
      <c r="E118" s="650"/>
      <c r="F118" s="650"/>
      <c r="G118" s="650"/>
      <c r="H118" s="650"/>
      <c r="I118" s="650"/>
      <c r="J118" s="650"/>
      <c r="K118" s="650"/>
      <c r="L118" s="650"/>
      <c r="M118" s="650"/>
      <c r="N118" s="650"/>
      <c r="O118" s="650"/>
      <c r="P118" s="650"/>
      <c r="Q118" s="650"/>
      <c r="R118" s="650"/>
      <c r="S118" s="650"/>
      <c r="T118" s="650"/>
      <c r="U118" s="650"/>
      <c r="V118" s="650"/>
      <c r="W118" s="650"/>
      <c r="X118" s="1288"/>
      <c r="Y118" s="650"/>
      <c r="Z118" s="650"/>
      <c r="AA118" s="650"/>
      <c r="AB118" s="650"/>
      <c r="AC118" s="1288"/>
      <c r="AD118" s="650"/>
      <c r="AE118" s="650"/>
      <c r="AF118" s="650"/>
      <c r="AG118" s="650"/>
      <c r="AH118" s="1288"/>
      <c r="AI118" s="650"/>
      <c r="AJ118" s="650"/>
      <c r="AK118" s="650"/>
      <c r="AL118" s="650"/>
      <c r="AM118" s="1288"/>
      <c r="AN118" s="650"/>
      <c r="AO118" s="650"/>
      <c r="AP118" s="650"/>
      <c r="AQ118" s="650"/>
      <c r="AR118" s="1288"/>
      <c r="AS118" s="650"/>
      <c r="AT118" s="650"/>
      <c r="AU118" s="650"/>
      <c r="AV118" s="650"/>
      <c r="AW118" s="1288"/>
      <c r="AX118" s="650"/>
      <c r="AY118" s="650"/>
      <c r="AZ118" s="650"/>
      <c r="BA118" s="650"/>
      <c r="BB118" s="1288"/>
      <c r="BC118" s="650"/>
      <c r="BD118" s="650"/>
      <c r="BE118" s="650"/>
      <c r="BF118" s="650"/>
      <c r="BG118" s="1288"/>
      <c r="BH118" s="650"/>
      <c r="BI118" s="650"/>
      <c r="BJ118" s="650"/>
      <c r="BK118" s="650"/>
      <c r="BL118" s="1315"/>
      <c r="BM118" s="1291"/>
      <c r="BN118" s="1291"/>
      <c r="BO118" s="1291"/>
      <c r="BP118" s="1291"/>
      <c r="BQ118" s="1315"/>
      <c r="BR118" s="1291"/>
      <c r="BS118" s="1291"/>
      <c r="BT118" s="1291"/>
      <c r="BU118" s="1291"/>
      <c r="BV118" s="1315"/>
      <c r="BW118" s="1291"/>
      <c r="BX118" s="1291"/>
      <c r="BY118" s="1291"/>
      <c r="BZ118" s="1291"/>
      <c r="CA118" s="1315"/>
      <c r="CB118" s="1291"/>
      <c r="CC118" s="1291"/>
      <c r="CD118" s="1291"/>
      <c r="CE118" s="1291"/>
      <c r="CF118" s="1315"/>
      <c r="CG118" s="1291"/>
      <c r="CH118" s="1291"/>
      <c r="CI118" s="1291"/>
      <c r="CJ118" s="1291"/>
      <c r="CK118" s="1315"/>
      <c r="CL118" s="1291"/>
      <c r="CM118" s="1291"/>
      <c r="CN118" s="1291"/>
      <c r="CO118" s="1291"/>
      <c r="CP118" s="1315"/>
      <c r="CQ118" s="1291"/>
      <c r="CR118" s="1291"/>
      <c r="CS118" s="1291"/>
      <c r="CT118" s="1291"/>
      <c r="CU118" s="1315"/>
      <c r="CV118" s="1291"/>
      <c r="CW118" s="1291"/>
      <c r="CX118" s="1291"/>
      <c r="CY118" s="1291"/>
      <c r="CZ118" s="1315"/>
      <c r="DA118" s="1291"/>
      <c r="DB118" s="1291"/>
      <c r="DC118" s="1291"/>
      <c r="DD118" s="1291"/>
      <c r="DE118" s="1315"/>
      <c r="DF118" s="1291"/>
      <c r="DG118" s="1291"/>
      <c r="DH118" s="1291"/>
      <c r="DI118" s="1291"/>
      <c r="DJ118" s="1315"/>
      <c r="DK118" s="1291"/>
      <c r="DL118" s="1291"/>
      <c r="DM118" s="1291"/>
      <c r="DN118" s="1291"/>
      <c r="DO118" s="1315"/>
      <c r="DP118" s="1291"/>
      <c r="DQ118" s="1291"/>
      <c r="DR118" s="1291"/>
      <c r="DS118" s="1291"/>
      <c r="DT118" s="1315"/>
      <c r="DU118" s="1291"/>
      <c r="DV118" s="1291"/>
      <c r="DW118" s="1291"/>
      <c r="DX118" s="1291"/>
      <c r="DY118" s="1315"/>
    </row>
    <row r="119" spans="1:129" x14ac:dyDescent="0.2">
      <c r="A119" s="532"/>
      <c r="B119" s="1287" t="s">
        <v>1150</v>
      </c>
      <c r="C119" s="650"/>
      <c r="D119" s="650"/>
      <c r="E119" s="650"/>
      <c r="F119" s="650"/>
      <c r="G119" s="650"/>
      <c r="H119" s="650"/>
      <c r="I119" s="650"/>
      <c r="J119" s="650"/>
      <c r="K119" s="650"/>
      <c r="L119" s="650"/>
      <c r="M119" s="650"/>
      <c r="N119" s="650"/>
      <c r="O119" s="650"/>
      <c r="P119" s="650"/>
      <c r="Q119" s="650"/>
      <c r="R119" s="650"/>
      <c r="S119" s="650"/>
      <c r="T119" s="650"/>
      <c r="U119" s="650"/>
      <c r="V119" s="650"/>
      <c r="W119" s="650"/>
      <c r="X119" s="1288"/>
      <c r="Y119" s="650"/>
      <c r="Z119" s="650"/>
      <c r="AA119" s="650"/>
      <c r="AB119" s="650"/>
      <c r="AC119" s="1288"/>
      <c r="AD119" s="650"/>
      <c r="AE119" s="650"/>
      <c r="AF119" s="650"/>
      <c r="AG119" s="650"/>
      <c r="AH119" s="1288"/>
      <c r="AI119" s="650"/>
      <c r="AJ119" s="650"/>
      <c r="AK119" s="650"/>
      <c r="AL119" s="650"/>
      <c r="AM119" s="1288"/>
      <c r="AN119" s="650"/>
      <c r="AO119" s="650"/>
      <c r="AP119" s="650"/>
      <c r="AQ119" s="650"/>
      <c r="AR119" s="1288"/>
      <c r="AS119" s="650"/>
      <c r="AT119" s="650"/>
      <c r="AU119" s="650"/>
      <c r="AV119" s="650"/>
      <c r="AW119" s="1288"/>
      <c r="AX119" s="650"/>
      <c r="AY119" s="650"/>
      <c r="AZ119" s="650"/>
      <c r="BA119" s="650"/>
      <c r="BB119" s="1288"/>
      <c r="BC119" s="650"/>
      <c r="BD119" s="650"/>
      <c r="BE119" s="650"/>
      <c r="BF119" s="650"/>
      <c r="BG119" s="1289"/>
      <c r="BH119" s="650"/>
      <c r="BI119" s="650"/>
      <c r="BJ119" s="650"/>
      <c r="BK119" s="650"/>
      <c r="BL119" s="1290">
        <v>5.7500000000000002E-2</v>
      </c>
      <c r="BM119" s="1291"/>
      <c r="BN119" s="1291"/>
      <c r="BO119" s="1291"/>
      <c r="BP119" s="1291"/>
      <c r="BQ119" s="1290">
        <v>5.7500000000000002E-2</v>
      </c>
      <c r="BR119" s="1291"/>
      <c r="BS119" s="1291"/>
      <c r="BT119" s="1291"/>
      <c r="BU119" s="1291"/>
      <c r="BV119" s="1290">
        <v>5.7500000000000002E-2</v>
      </c>
      <c r="BW119" s="1291"/>
      <c r="BX119" s="1291"/>
      <c r="BY119" s="1291"/>
      <c r="BZ119" s="1291"/>
      <c r="CA119" s="1290">
        <v>5.7500000000000002E-2</v>
      </c>
      <c r="CB119" s="1292">
        <v>5.7500000000000002E-2</v>
      </c>
      <c r="CC119" s="1292">
        <v>5.7500000000000002E-2</v>
      </c>
      <c r="CD119" s="1292">
        <v>5.7500000000000002E-2</v>
      </c>
      <c r="CE119" s="1292">
        <v>5.7500000000000002E-2</v>
      </c>
      <c r="CF119" s="1290"/>
      <c r="CG119" s="1292">
        <f>CE119</f>
        <v>5.7500000000000002E-2</v>
      </c>
      <c r="CH119" s="1292">
        <f>CG119</f>
        <v>5.7500000000000002E-2</v>
      </c>
      <c r="CI119" s="1292">
        <f>CH119</f>
        <v>5.7500000000000002E-2</v>
      </c>
      <c r="CJ119" s="1292">
        <f>CI119</f>
        <v>5.7500000000000002E-2</v>
      </c>
      <c r="CK119" s="1290"/>
      <c r="CL119" s="1292">
        <f>CJ119</f>
        <v>5.7500000000000002E-2</v>
      </c>
      <c r="CM119" s="1292">
        <f>CL119</f>
        <v>5.7500000000000002E-2</v>
      </c>
      <c r="CN119" s="1292">
        <f>CM119</f>
        <v>5.7500000000000002E-2</v>
      </c>
      <c r="CO119" s="1292">
        <f>CN119</f>
        <v>5.7500000000000002E-2</v>
      </c>
      <c r="CP119" s="1290"/>
      <c r="CQ119" s="1292">
        <f>CO119</f>
        <v>5.7500000000000002E-2</v>
      </c>
      <c r="CR119" s="1292">
        <f>CQ119</f>
        <v>5.7500000000000002E-2</v>
      </c>
      <c r="CS119" s="1292">
        <f>CR119</f>
        <v>5.7500000000000002E-2</v>
      </c>
      <c r="CT119" s="1292">
        <f>CS119</f>
        <v>5.7500000000000002E-2</v>
      </c>
      <c r="CU119" s="1290"/>
      <c r="CV119" s="1292">
        <f>CT119</f>
        <v>5.7500000000000002E-2</v>
      </c>
      <c r="CW119" s="1292">
        <f>CV119</f>
        <v>5.7500000000000002E-2</v>
      </c>
      <c r="CX119" s="1292">
        <f>CW119</f>
        <v>5.7500000000000002E-2</v>
      </c>
      <c r="CY119" s="1292">
        <f>CX119</f>
        <v>5.7500000000000002E-2</v>
      </c>
      <c r="CZ119" s="1290"/>
      <c r="DA119" s="1292">
        <f>CY119</f>
        <v>5.7500000000000002E-2</v>
      </c>
      <c r="DB119" s="1292">
        <f>DA119</f>
        <v>5.7500000000000002E-2</v>
      </c>
      <c r="DC119" s="1292">
        <f>DB119</f>
        <v>5.7500000000000002E-2</v>
      </c>
      <c r="DD119" s="1292">
        <f>DC119</f>
        <v>5.7500000000000002E-2</v>
      </c>
      <c r="DE119" s="1290"/>
      <c r="DF119" s="1292">
        <f>DD119</f>
        <v>5.7500000000000002E-2</v>
      </c>
      <c r="DG119" s="1292">
        <f>DF119</f>
        <v>5.7500000000000002E-2</v>
      </c>
      <c r="DH119" s="1292">
        <f>DG119</f>
        <v>5.7500000000000002E-2</v>
      </c>
      <c r="DI119" s="1292">
        <f>DH119</f>
        <v>5.7500000000000002E-2</v>
      </c>
      <c r="DJ119" s="1290"/>
      <c r="DK119" s="1292">
        <f>DI119</f>
        <v>5.7500000000000002E-2</v>
      </c>
      <c r="DL119" s="1292">
        <f>DK119</f>
        <v>5.7500000000000002E-2</v>
      </c>
      <c r="DM119" s="1292">
        <f>DL119</f>
        <v>5.7500000000000002E-2</v>
      </c>
      <c r="DN119" s="1292">
        <f>DM119</f>
        <v>5.7500000000000002E-2</v>
      </c>
      <c r="DO119" s="1290"/>
      <c r="DP119" s="1292">
        <f>DN119</f>
        <v>5.7500000000000002E-2</v>
      </c>
      <c r="DQ119" s="1292">
        <f>DP119</f>
        <v>5.7500000000000002E-2</v>
      </c>
      <c r="DR119" s="1292">
        <f>DQ119</f>
        <v>5.7500000000000002E-2</v>
      </c>
      <c r="DS119" s="1292">
        <f>DR119</f>
        <v>5.7500000000000002E-2</v>
      </c>
      <c r="DT119" s="1290"/>
      <c r="DU119" s="1292">
        <f>DS119</f>
        <v>5.7500000000000002E-2</v>
      </c>
      <c r="DV119" s="1292">
        <f>DU119</f>
        <v>5.7500000000000002E-2</v>
      </c>
      <c r="DW119" s="1292">
        <f>DV119</f>
        <v>5.7500000000000002E-2</v>
      </c>
      <c r="DX119" s="1292">
        <f>DW119</f>
        <v>5.7500000000000002E-2</v>
      </c>
      <c r="DY119" s="1290"/>
    </row>
    <row r="120" spans="1:129" x14ac:dyDescent="0.2">
      <c r="A120" s="1223"/>
      <c r="B120" s="1190" t="s">
        <v>1151</v>
      </c>
      <c r="C120" s="1293"/>
      <c r="D120" s="1293"/>
      <c r="E120" s="1293"/>
      <c r="F120" s="1293"/>
      <c r="G120" s="1293"/>
      <c r="H120" s="1293"/>
      <c r="I120" s="1293"/>
      <c r="J120" s="1293"/>
      <c r="K120" s="1293"/>
      <c r="L120" s="1293"/>
      <c r="M120" s="1293"/>
      <c r="N120" s="1293"/>
      <c r="O120" s="1293"/>
      <c r="P120" s="1293"/>
      <c r="Q120" s="1293"/>
      <c r="R120" s="1293"/>
      <c r="S120" s="1293"/>
      <c r="T120" s="1293"/>
      <c r="U120" s="1293"/>
      <c r="V120" s="1293"/>
      <c r="W120" s="1293"/>
      <c r="X120" s="1227"/>
      <c r="Y120" s="1231"/>
      <c r="Z120" s="1231"/>
      <c r="AA120" s="1231"/>
      <c r="AB120" s="1294"/>
      <c r="AC120" s="1227"/>
      <c r="AD120" s="1231"/>
      <c r="AE120" s="1231"/>
      <c r="AF120" s="1231"/>
      <c r="AG120" s="1294"/>
      <c r="AH120" s="1227"/>
      <c r="AI120" s="1231"/>
      <c r="AJ120" s="1231"/>
      <c r="AK120" s="1231"/>
      <c r="AL120" s="1294"/>
      <c r="AM120" s="1227"/>
      <c r="AN120" s="1231"/>
      <c r="AO120" s="1231"/>
      <c r="AP120" s="1231"/>
      <c r="AQ120" s="1294"/>
      <c r="AR120" s="1227"/>
      <c r="AS120" s="1231"/>
      <c r="AT120" s="1231"/>
      <c r="AU120" s="1231"/>
      <c r="AV120" s="1294"/>
      <c r="AW120" s="1227"/>
      <c r="AX120" s="1231"/>
      <c r="AY120" s="1231"/>
      <c r="AZ120" s="1231"/>
      <c r="BA120" s="1231"/>
      <c r="BB120" s="1227"/>
      <c r="BC120" s="1231"/>
      <c r="BD120" s="1231"/>
      <c r="BE120" s="1231"/>
      <c r="BF120" s="1231"/>
      <c r="BG120" s="1227"/>
      <c r="BH120" s="1231"/>
      <c r="BI120" s="1231"/>
      <c r="BJ120" s="1231"/>
      <c r="BK120" s="1231"/>
      <c r="BL120" s="1194"/>
      <c r="BM120" s="1195"/>
      <c r="BN120" s="1195"/>
      <c r="BO120" s="1195"/>
      <c r="BP120" s="1195"/>
      <c r="BQ120" s="1194"/>
      <c r="BR120" s="1195"/>
      <c r="BS120" s="1195"/>
      <c r="BT120" s="1195"/>
      <c r="BU120" s="1195"/>
      <c r="BV120" s="1194"/>
      <c r="BW120" s="1195"/>
      <c r="BX120" s="1195"/>
      <c r="BY120" s="1195"/>
      <c r="BZ120" s="1195"/>
      <c r="CA120" s="1194"/>
      <c r="CB120" s="1195"/>
      <c r="CC120" s="1195"/>
      <c r="CD120" s="1195"/>
      <c r="CE120" s="1195"/>
      <c r="CF120" s="1194"/>
      <c r="CG120" s="1195"/>
      <c r="CH120" s="1195"/>
      <c r="CI120" s="1195"/>
      <c r="CJ120" s="1195"/>
      <c r="CK120" s="1194"/>
      <c r="CL120" s="1195"/>
      <c r="CM120" s="1195"/>
      <c r="CN120" s="1195"/>
      <c r="CO120" s="1195"/>
      <c r="CP120" s="1194"/>
      <c r="CQ120" s="1195"/>
      <c r="CR120" s="1195"/>
      <c r="CS120" s="1195"/>
      <c r="CT120" s="1195"/>
      <c r="CU120" s="1194"/>
      <c r="CV120" s="1195"/>
      <c r="CW120" s="1195"/>
      <c r="CX120" s="1195"/>
      <c r="CY120" s="1195"/>
      <c r="CZ120" s="1194"/>
      <c r="DA120" s="1195"/>
      <c r="DB120" s="1195"/>
      <c r="DC120" s="1195"/>
      <c r="DD120" s="1195"/>
      <c r="DE120" s="1194"/>
      <c r="DF120" s="1195"/>
      <c r="DG120" s="1195"/>
      <c r="DH120" s="1195"/>
      <c r="DI120" s="1195"/>
      <c r="DJ120" s="1194"/>
      <c r="DK120" s="1195"/>
      <c r="DL120" s="1195"/>
      <c r="DM120" s="1195"/>
      <c r="DN120" s="1195"/>
      <c r="DO120" s="1194"/>
      <c r="DP120" s="1195"/>
      <c r="DQ120" s="1195"/>
      <c r="DR120" s="1195"/>
      <c r="DS120" s="1195"/>
      <c r="DT120" s="1194"/>
      <c r="DU120" s="1195"/>
      <c r="DV120" s="1195"/>
      <c r="DW120" s="1195"/>
      <c r="DX120" s="1195"/>
      <c r="DY120" s="1194"/>
    </row>
    <row r="121" spans="1:129" x14ac:dyDescent="0.2">
      <c r="A121" s="1223"/>
      <c r="B121" s="1190" t="s">
        <v>1152</v>
      </c>
      <c r="C121" s="1231"/>
      <c r="D121" s="1231"/>
      <c r="E121" s="1231"/>
      <c r="F121" s="1231"/>
      <c r="G121" s="1231"/>
      <c r="H121" s="1231"/>
      <c r="I121" s="1231"/>
      <c r="J121" s="1231"/>
      <c r="K121" s="1231"/>
      <c r="L121" s="1231"/>
      <c r="M121" s="1231"/>
      <c r="N121" s="1231"/>
      <c r="O121" s="1231"/>
      <c r="P121" s="1231"/>
      <c r="Q121" s="1231"/>
      <c r="R121" s="1231"/>
      <c r="S121" s="1231"/>
      <c r="T121" s="1231"/>
      <c r="U121" s="1231"/>
      <c r="V121" s="1231"/>
      <c r="W121" s="1231"/>
      <c r="X121" s="1227"/>
      <c r="Y121" s="1231"/>
      <c r="Z121" s="1231"/>
      <c r="AA121" s="1231"/>
      <c r="AB121" s="1231"/>
      <c r="AC121" s="1227"/>
      <c r="AD121" s="1231"/>
      <c r="AE121" s="1231"/>
      <c r="AF121" s="1231"/>
      <c r="AG121" s="1231"/>
      <c r="AH121" s="1227"/>
      <c r="AI121" s="1231"/>
      <c r="AJ121" s="1231"/>
      <c r="AK121" s="1231"/>
      <c r="AL121" s="1231"/>
      <c r="AM121" s="1227"/>
      <c r="AN121" s="1231"/>
      <c r="AO121" s="1231"/>
      <c r="AP121" s="1231"/>
      <c r="AQ121" s="1231"/>
      <c r="AR121" s="1227"/>
      <c r="AS121" s="1231"/>
      <c r="AT121" s="1231"/>
      <c r="AU121" s="1231"/>
      <c r="AV121" s="1231"/>
      <c r="AW121" s="1227"/>
      <c r="AX121" s="1231"/>
      <c r="AY121" s="1231"/>
      <c r="AZ121" s="1231"/>
      <c r="BA121" s="1231"/>
      <c r="BB121" s="1227"/>
      <c r="BC121" s="1231"/>
      <c r="BD121" s="1231"/>
      <c r="BE121" s="1231"/>
      <c r="BF121" s="1231"/>
      <c r="BG121" s="1227"/>
      <c r="BH121" s="1231"/>
      <c r="BI121" s="1231"/>
      <c r="BJ121" s="1231"/>
      <c r="BK121" s="1231"/>
      <c r="BL121" s="1194"/>
      <c r="BM121" s="1195"/>
      <c r="BN121" s="1195"/>
      <c r="BO121" s="1195"/>
      <c r="BP121" s="1195"/>
      <c r="BQ121" s="1194">
        <f>BL123</f>
        <v>800</v>
      </c>
      <c r="BR121" s="1195"/>
      <c r="BS121" s="1195"/>
      <c r="BT121" s="1195"/>
      <c r="BU121" s="1195"/>
      <c r="BV121" s="1194">
        <f>BQ123</f>
        <v>800</v>
      </c>
      <c r="BW121" s="1195"/>
      <c r="BX121" s="1195"/>
      <c r="BY121" s="1195"/>
      <c r="BZ121" s="1195"/>
      <c r="CA121" s="1194">
        <f>BV123</f>
        <v>800</v>
      </c>
      <c r="CB121" s="1229">
        <f>CA123</f>
        <v>800</v>
      </c>
      <c r="CC121" s="1229">
        <f>+CB123</f>
        <v>800</v>
      </c>
      <c r="CD121" s="1229">
        <f>+CC123</f>
        <v>1750</v>
      </c>
      <c r="CE121" s="1229">
        <f>+CD123</f>
        <v>1750</v>
      </c>
      <c r="CF121" s="1194">
        <f>CA123</f>
        <v>800</v>
      </c>
      <c r="CG121" s="1229">
        <f>+CE123</f>
        <v>950</v>
      </c>
      <c r="CH121" s="1229">
        <f>+CG123</f>
        <v>950</v>
      </c>
      <c r="CI121" s="1229">
        <f>+CH123</f>
        <v>950</v>
      </c>
      <c r="CJ121" s="1229">
        <f>+CI123</f>
        <v>950</v>
      </c>
      <c r="CK121" s="1194">
        <f>CF123</f>
        <v>950</v>
      </c>
      <c r="CL121" s="1229">
        <f>+CJ123</f>
        <v>950</v>
      </c>
      <c r="CM121" s="1229">
        <f>+CL123</f>
        <v>950</v>
      </c>
      <c r="CN121" s="1229">
        <f>+CM123</f>
        <v>950</v>
      </c>
      <c r="CO121" s="1229">
        <f>+CN123</f>
        <v>950</v>
      </c>
      <c r="CP121" s="1194">
        <f>CK123</f>
        <v>950</v>
      </c>
      <c r="CQ121" s="1229">
        <f>+CO121</f>
        <v>950</v>
      </c>
      <c r="CR121" s="1229">
        <f>+CQ123</f>
        <v>950</v>
      </c>
      <c r="CS121" s="1229">
        <f>+CR123</f>
        <v>950</v>
      </c>
      <c r="CT121" s="1229">
        <f>+CS123</f>
        <v>491</v>
      </c>
      <c r="CU121" s="1194">
        <f>CP123</f>
        <v>950</v>
      </c>
      <c r="CV121" s="1229">
        <f>+CT121</f>
        <v>491</v>
      </c>
      <c r="CW121" s="1229">
        <f>+CV123</f>
        <v>491</v>
      </c>
      <c r="CX121" s="1229">
        <f>+CW123</f>
        <v>491</v>
      </c>
      <c r="CY121" s="1229">
        <f>+CX123</f>
        <v>491</v>
      </c>
      <c r="CZ121" s="1194">
        <f>CU123</f>
        <v>491</v>
      </c>
      <c r="DA121" s="1229">
        <f>+CY121</f>
        <v>491</v>
      </c>
      <c r="DB121" s="1229">
        <f>+DA123</f>
        <v>491</v>
      </c>
      <c r="DC121" s="1229">
        <f>+DB123</f>
        <v>491</v>
      </c>
      <c r="DD121" s="1229">
        <f>+DC123</f>
        <v>491</v>
      </c>
      <c r="DE121" s="1194">
        <f>CZ123</f>
        <v>491</v>
      </c>
      <c r="DF121" s="1229">
        <f>+DD121</f>
        <v>491</v>
      </c>
      <c r="DG121" s="1229">
        <f>+DF123</f>
        <v>491</v>
      </c>
      <c r="DH121" s="1229">
        <f>+DG123</f>
        <v>491</v>
      </c>
      <c r="DI121" s="1229">
        <f>+DH123</f>
        <v>491</v>
      </c>
      <c r="DJ121" s="1194">
        <f>DE123</f>
        <v>491</v>
      </c>
      <c r="DK121" s="1229">
        <f>+DI121</f>
        <v>491</v>
      </c>
      <c r="DL121" s="1229">
        <f>+DK123</f>
        <v>491</v>
      </c>
      <c r="DM121" s="1229">
        <f>+DL123</f>
        <v>491</v>
      </c>
      <c r="DN121" s="1229">
        <f>+DM123</f>
        <v>491</v>
      </c>
      <c r="DO121" s="1194">
        <f>DJ123</f>
        <v>491</v>
      </c>
      <c r="DP121" s="1229">
        <f>+DN121</f>
        <v>491</v>
      </c>
      <c r="DQ121" s="1229">
        <f>+DP123</f>
        <v>491</v>
      </c>
      <c r="DR121" s="1229">
        <f>+DQ123</f>
        <v>491</v>
      </c>
      <c r="DS121" s="1229">
        <f>+DR123</f>
        <v>491</v>
      </c>
      <c r="DT121" s="1194">
        <f>DO123</f>
        <v>491</v>
      </c>
      <c r="DU121" s="1229">
        <f>+DS121</f>
        <v>491</v>
      </c>
      <c r="DV121" s="1229">
        <f>+DU123</f>
        <v>491</v>
      </c>
      <c r="DW121" s="1229">
        <f>+DV123</f>
        <v>491</v>
      </c>
      <c r="DX121" s="1229">
        <f>+DW123</f>
        <v>491</v>
      </c>
      <c r="DY121" s="1194">
        <f>DT123</f>
        <v>491</v>
      </c>
    </row>
    <row r="122" spans="1:129" x14ac:dyDescent="0.2">
      <c r="A122" s="1295"/>
      <c r="B122" s="1190" t="s">
        <v>1153</v>
      </c>
      <c r="C122" s="1182"/>
      <c r="D122" s="1182"/>
      <c r="E122" s="1182"/>
      <c r="F122" s="1182"/>
      <c r="G122" s="1182"/>
      <c r="H122" s="1182"/>
      <c r="I122" s="1182"/>
      <c r="J122" s="1182"/>
      <c r="K122" s="1182"/>
      <c r="L122" s="1182"/>
      <c r="M122" s="1182"/>
      <c r="N122" s="1182"/>
      <c r="O122" s="1182"/>
      <c r="P122" s="1182"/>
      <c r="Q122" s="1182"/>
      <c r="R122" s="1182"/>
      <c r="S122" s="1182"/>
      <c r="T122" s="1182"/>
      <c r="U122" s="1182"/>
      <c r="V122" s="1182"/>
      <c r="W122" s="1182"/>
      <c r="X122" s="1296"/>
      <c r="Y122" s="1297"/>
      <c r="Z122" s="1297"/>
      <c r="AA122" s="1297"/>
      <c r="AB122" s="1297"/>
      <c r="AC122" s="1296"/>
      <c r="AD122" s="1297"/>
      <c r="AE122" s="1297"/>
      <c r="AF122" s="1297"/>
      <c r="AG122" s="1297"/>
      <c r="AH122" s="1296"/>
      <c r="AI122" s="1297"/>
      <c r="AJ122" s="1297"/>
      <c r="AK122" s="1297"/>
      <c r="AL122" s="1297"/>
      <c r="AM122" s="1296"/>
      <c r="AN122" s="1297"/>
      <c r="AO122" s="1297"/>
      <c r="AP122" s="1297"/>
      <c r="AQ122" s="1297"/>
      <c r="AR122" s="1296"/>
      <c r="AS122" s="1297"/>
      <c r="AT122" s="1297"/>
      <c r="AU122" s="1297"/>
      <c r="AV122" s="1297"/>
      <c r="AW122" s="1296"/>
      <c r="AX122" s="1298"/>
      <c r="AY122" s="1299"/>
      <c r="AZ122" s="1299"/>
      <c r="BA122" s="1298"/>
      <c r="BB122" s="1300"/>
      <c r="BC122" s="1298"/>
      <c r="BD122" s="1298"/>
      <c r="BE122" s="1298"/>
      <c r="BF122" s="1298"/>
      <c r="BG122" s="1296"/>
      <c r="BH122" s="1298"/>
      <c r="BI122" s="1298"/>
      <c r="BJ122" s="1298"/>
      <c r="BK122" s="1298"/>
      <c r="BL122" s="1301"/>
      <c r="BM122" s="1302"/>
      <c r="BN122" s="1302"/>
      <c r="BO122" s="1302"/>
      <c r="BP122" s="1302"/>
      <c r="BQ122" s="1301">
        <f>BQ123-BQ121</f>
        <v>0</v>
      </c>
      <c r="BR122" s="1302"/>
      <c r="BS122" s="1302"/>
      <c r="BT122" s="1302"/>
      <c r="BU122" s="1302"/>
      <c r="BV122" s="1301">
        <f>BV123-BV121</f>
        <v>0</v>
      </c>
      <c r="BW122" s="1302"/>
      <c r="BX122" s="1302"/>
      <c r="BY122" s="1302"/>
      <c r="BZ122" s="1302"/>
      <c r="CA122" s="1301">
        <f>CA123-CA121</f>
        <v>0</v>
      </c>
      <c r="CB122" s="1303">
        <f>CB123-CB121</f>
        <v>0</v>
      </c>
      <c r="CC122" s="1303">
        <f>CC123-CC121</f>
        <v>950</v>
      </c>
      <c r="CD122" s="1302">
        <v>0</v>
      </c>
      <c r="CE122" s="1302">
        <v>-800</v>
      </c>
      <c r="CF122" s="1301">
        <f>+SUM(CB122:CE122)</f>
        <v>150</v>
      </c>
      <c r="CG122" s="1302">
        <v>0</v>
      </c>
      <c r="CH122" s="1302">
        <v>0</v>
      </c>
      <c r="CI122" s="1302">
        <v>0</v>
      </c>
      <c r="CJ122" s="1302">
        <v>0</v>
      </c>
      <c r="CK122" s="1301">
        <f>+SUM(CG122:CJ122)</f>
        <v>0</v>
      </c>
      <c r="CL122" s="1302">
        <v>0</v>
      </c>
      <c r="CM122" s="1302">
        <v>0</v>
      </c>
      <c r="CN122" s="1302">
        <v>0</v>
      </c>
      <c r="CO122" s="1302">
        <v>0</v>
      </c>
      <c r="CP122" s="1301">
        <f>+SUM(CL122:CO122)</f>
        <v>0</v>
      </c>
      <c r="CQ122" s="1302">
        <v>0</v>
      </c>
      <c r="CR122" s="1302">
        <v>0</v>
      </c>
      <c r="CS122" s="1302">
        <v>-459</v>
      </c>
      <c r="CT122" s="1302">
        <v>0</v>
      </c>
      <c r="CU122" s="1301">
        <f>+SUM(CQ122:CT122)</f>
        <v>-459</v>
      </c>
      <c r="CV122" s="1302">
        <v>0</v>
      </c>
      <c r="CW122" s="1302">
        <v>0</v>
      </c>
      <c r="CX122" s="1302">
        <v>0</v>
      </c>
      <c r="CY122" s="1302">
        <v>0</v>
      </c>
      <c r="CZ122" s="1301">
        <f>+SUM(CV122:CY122)</f>
        <v>0</v>
      </c>
      <c r="DA122" s="1302">
        <v>0</v>
      </c>
      <c r="DB122" s="1302">
        <v>0</v>
      </c>
      <c r="DC122" s="1302">
        <v>0</v>
      </c>
      <c r="DD122" s="1302">
        <v>0</v>
      </c>
      <c r="DE122" s="1301">
        <f>+SUM(DA122:DD122)</f>
        <v>0</v>
      </c>
      <c r="DF122" s="1302">
        <v>0</v>
      </c>
      <c r="DG122" s="1302">
        <v>0</v>
      </c>
      <c r="DH122" s="1302">
        <v>0</v>
      </c>
      <c r="DI122" s="1302">
        <v>0</v>
      </c>
      <c r="DJ122" s="1301">
        <f>+SUM(DF122:DI122)</f>
        <v>0</v>
      </c>
      <c r="DK122" s="1302">
        <v>0</v>
      </c>
      <c r="DL122" s="1302">
        <v>0</v>
      </c>
      <c r="DM122" s="1302">
        <v>0</v>
      </c>
      <c r="DN122" s="1302">
        <v>0</v>
      </c>
      <c r="DO122" s="1301">
        <f>+SUM(DK122:DN122)</f>
        <v>0</v>
      </c>
      <c r="DP122" s="1302">
        <v>0</v>
      </c>
      <c r="DQ122" s="1302">
        <v>0</v>
      </c>
      <c r="DR122" s="1302">
        <v>0</v>
      </c>
      <c r="DS122" s="1302">
        <v>0</v>
      </c>
      <c r="DT122" s="1301">
        <f>+SUM(DP122:DS122)</f>
        <v>0</v>
      </c>
      <c r="DU122" s="1302">
        <v>0</v>
      </c>
      <c r="DV122" s="1302">
        <v>0</v>
      </c>
      <c r="DW122" s="1302">
        <v>0</v>
      </c>
      <c r="DX122" s="1302">
        <v>0</v>
      </c>
      <c r="DY122" s="1301">
        <f>+SUM(DU122:DX122)</f>
        <v>0</v>
      </c>
    </row>
    <row r="123" spans="1:129" x14ac:dyDescent="0.2">
      <c r="A123" s="1295"/>
      <c r="B123" s="1190" t="s">
        <v>1154</v>
      </c>
      <c r="C123" s="1182"/>
      <c r="D123" s="1182"/>
      <c r="E123" s="1182"/>
      <c r="F123" s="1182"/>
      <c r="G123" s="1182"/>
      <c r="H123" s="1182"/>
      <c r="I123" s="1182"/>
      <c r="J123" s="1182"/>
      <c r="K123" s="1182"/>
      <c r="L123" s="1182"/>
      <c r="M123" s="1182"/>
      <c r="N123" s="1182"/>
      <c r="O123" s="1182"/>
      <c r="P123" s="1182"/>
      <c r="Q123" s="1182"/>
      <c r="R123" s="1182"/>
      <c r="S123" s="1182"/>
      <c r="T123" s="1182"/>
      <c r="U123" s="1182"/>
      <c r="V123" s="1182"/>
      <c r="W123" s="1182"/>
      <c r="X123" s="1304"/>
      <c r="Y123" s="1305"/>
      <c r="Z123" s="1305"/>
      <c r="AA123" s="1305"/>
      <c r="AB123" s="1305"/>
      <c r="AC123" s="1304"/>
      <c r="AD123" s="1305"/>
      <c r="AE123" s="1305"/>
      <c r="AF123" s="1305"/>
      <c r="AG123" s="1305"/>
      <c r="AH123" s="1304"/>
      <c r="AI123" s="1305"/>
      <c r="AJ123" s="1305"/>
      <c r="AK123" s="1305"/>
      <c r="AL123" s="1305"/>
      <c r="AM123" s="1304"/>
      <c r="AN123" s="1305"/>
      <c r="AO123" s="1305"/>
      <c r="AP123" s="1305"/>
      <c r="AQ123" s="1305"/>
      <c r="AR123" s="1304"/>
      <c r="AS123" s="1305"/>
      <c r="AT123" s="1305"/>
      <c r="AU123" s="1305"/>
      <c r="AV123" s="1305"/>
      <c r="AW123" s="1304"/>
      <c r="AX123" s="1305"/>
      <c r="AY123" s="1305"/>
      <c r="AZ123" s="1305"/>
      <c r="BA123" s="1305"/>
      <c r="BB123" s="1304"/>
      <c r="BC123" s="1305"/>
      <c r="BD123" s="1305"/>
      <c r="BE123" s="1305"/>
      <c r="BF123" s="1305"/>
      <c r="BG123" s="1306"/>
      <c r="BH123" s="1305"/>
      <c r="BI123" s="1305"/>
      <c r="BJ123" s="1305"/>
      <c r="BK123" s="1305"/>
      <c r="BL123" s="1307">
        <v>800</v>
      </c>
      <c r="BM123" s="1198"/>
      <c r="BN123" s="1198"/>
      <c r="BO123" s="1198"/>
      <c r="BP123" s="1198"/>
      <c r="BQ123" s="1307">
        <v>800</v>
      </c>
      <c r="BR123" s="1198"/>
      <c r="BS123" s="1198"/>
      <c r="BT123" s="1198"/>
      <c r="BU123" s="1198"/>
      <c r="BV123" s="1307">
        <v>800</v>
      </c>
      <c r="BW123" s="1198"/>
      <c r="BX123" s="1198"/>
      <c r="BY123" s="1198"/>
      <c r="BZ123" s="1198"/>
      <c r="CA123" s="1307">
        <v>800</v>
      </c>
      <c r="CB123" s="1187">
        <f>CA123</f>
        <v>800</v>
      </c>
      <c r="CC123" s="1324">
        <f>CB123+950</f>
        <v>1750</v>
      </c>
      <c r="CD123" s="1187">
        <f t="shared" ref="CD123:CZ123" si="137">CD121+CD122</f>
        <v>1750</v>
      </c>
      <c r="CE123" s="1187">
        <f t="shared" si="137"/>
        <v>950</v>
      </c>
      <c r="CF123" s="1186">
        <f t="shared" si="137"/>
        <v>950</v>
      </c>
      <c r="CG123" s="1187">
        <f t="shared" si="137"/>
        <v>950</v>
      </c>
      <c r="CH123" s="1187">
        <f t="shared" si="137"/>
        <v>950</v>
      </c>
      <c r="CI123" s="1187">
        <f t="shared" si="137"/>
        <v>950</v>
      </c>
      <c r="CJ123" s="1187">
        <f t="shared" si="137"/>
        <v>950</v>
      </c>
      <c r="CK123" s="1186">
        <f t="shared" si="137"/>
        <v>950</v>
      </c>
      <c r="CL123" s="1187">
        <f t="shared" si="137"/>
        <v>950</v>
      </c>
      <c r="CM123" s="1187">
        <f t="shared" si="137"/>
        <v>950</v>
      </c>
      <c r="CN123" s="1187">
        <f t="shared" si="137"/>
        <v>950</v>
      </c>
      <c r="CO123" s="1187">
        <f t="shared" si="137"/>
        <v>950</v>
      </c>
      <c r="CP123" s="1186">
        <f t="shared" si="137"/>
        <v>950</v>
      </c>
      <c r="CQ123" s="1187">
        <f t="shared" si="137"/>
        <v>950</v>
      </c>
      <c r="CR123" s="1187">
        <f t="shared" si="137"/>
        <v>950</v>
      </c>
      <c r="CS123" s="1187">
        <f t="shared" si="137"/>
        <v>491</v>
      </c>
      <c r="CT123" s="1187">
        <f t="shared" si="137"/>
        <v>491</v>
      </c>
      <c r="CU123" s="1186">
        <f t="shared" si="137"/>
        <v>491</v>
      </c>
      <c r="CV123" s="1187">
        <f t="shared" si="137"/>
        <v>491</v>
      </c>
      <c r="CW123" s="1187">
        <f t="shared" si="137"/>
        <v>491</v>
      </c>
      <c r="CX123" s="1187">
        <f t="shared" si="137"/>
        <v>491</v>
      </c>
      <c r="CY123" s="1187">
        <f t="shared" si="137"/>
        <v>491</v>
      </c>
      <c r="CZ123" s="1186">
        <f t="shared" si="137"/>
        <v>491</v>
      </c>
      <c r="DA123" s="1187">
        <f t="shared" ref="DA123:DJ123" si="138">DA121+DA122</f>
        <v>491</v>
      </c>
      <c r="DB123" s="1187">
        <f t="shared" si="138"/>
        <v>491</v>
      </c>
      <c r="DC123" s="1187">
        <f t="shared" si="138"/>
        <v>491</v>
      </c>
      <c r="DD123" s="1187">
        <f t="shared" si="138"/>
        <v>491</v>
      </c>
      <c r="DE123" s="1186">
        <f t="shared" si="138"/>
        <v>491</v>
      </c>
      <c r="DF123" s="1187">
        <f t="shared" si="138"/>
        <v>491</v>
      </c>
      <c r="DG123" s="1187">
        <f t="shared" si="138"/>
        <v>491</v>
      </c>
      <c r="DH123" s="1187">
        <f t="shared" si="138"/>
        <v>491</v>
      </c>
      <c r="DI123" s="1187">
        <f t="shared" si="138"/>
        <v>491</v>
      </c>
      <c r="DJ123" s="1186">
        <f t="shared" si="138"/>
        <v>491</v>
      </c>
      <c r="DK123" s="1187">
        <f t="shared" ref="DK123:DT123" si="139">DK121+DK122</f>
        <v>491</v>
      </c>
      <c r="DL123" s="1187">
        <f t="shared" si="139"/>
        <v>491</v>
      </c>
      <c r="DM123" s="1187">
        <f t="shared" si="139"/>
        <v>491</v>
      </c>
      <c r="DN123" s="1187">
        <f t="shared" si="139"/>
        <v>491</v>
      </c>
      <c r="DO123" s="1186">
        <f t="shared" si="139"/>
        <v>491</v>
      </c>
      <c r="DP123" s="1187">
        <f t="shared" si="139"/>
        <v>491</v>
      </c>
      <c r="DQ123" s="1187">
        <f t="shared" si="139"/>
        <v>491</v>
      </c>
      <c r="DR123" s="1187">
        <f t="shared" si="139"/>
        <v>491</v>
      </c>
      <c r="DS123" s="1187">
        <f t="shared" si="139"/>
        <v>491</v>
      </c>
      <c r="DT123" s="1186">
        <f t="shared" si="139"/>
        <v>491</v>
      </c>
      <c r="DU123" s="1187">
        <f t="shared" ref="DU123:DY123" si="140">DU121+DU122</f>
        <v>491</v>
      </c>
      <c r="DV123" s="1187">
        <f t="shared" si="140"/>
        <v>491</v>
      </c>
      <c r="DW123" s="1187">
        <f t="shared" si="140"/>
        <v>491</v>
      </c>
      <c r="DX123" s="1187">
        <f t="shared" si="140"/>
        <v>491</v>
      </c>
      <c r="DY123" s="1186">
        <f t="shared" si="140"/>
        <v>491</v>
      </c>
    </row>
    <row r="124" spans="1:129" x14ac:dyDescent="0.2">
      <c r="A124" s="1223"/>
      <c r="B124" s="1190" t="s">
        <v>1155</v>
      </c>
      <c r="C124" s="1182"/>
      <c r="D124" s="1182"/>
      <c r="E124" s="1182"/>
      <c r="F124" s="1182"/>
      <c r="G124" s="1182"/>
      <c r="H124" s="1182"/>
      <c r="I124" s="1182"/>
      <c r="J124" s="1182"/>
      <c r="K124" s="1182"/>
      <c r="L124" s="1182"/>
      <c r="M124" s="1182"/>
      <c r="N124" s="1182"/>
      <c r="O124" s="1182"/>
      <c r="P124" s="1182"/>
      <c r="Q124" s="1182"/>
      <c r="R124" s="1182"/>
      <c r="S124" s="1182"/>
      <c r="T124" s="1182"/>
      <c r="U124" s="1182"/>
      <c r="V124" s="1182"/>
      <c r="W124" s="1182"/>
      <c r="X124" s="1227"/>
      <c r="Y124" s="1231"/>
      <c r="Z124" s="1231"/>
      <c r="AA124" s="1231"/>
      <c r="AB124" s="1231"/>
      <c r="AC124" s="1227"/>
      <c r="AD124" s="1231"/>
      <c r="AE124" s="1231"/>
      <c r="AF124" s="1231"/>
      <c r="AG124" s="1231"/>
      <c r="AH124" s="1227"/>
      <c r="AI124" s="1231"/>
      <c r="AJ124" s="1231"/>
      <c r="AK124" s="1231"/>
      <c r="AL124" s="1231"/>
      <c r="AM124" s="1227"/>
      <c r="AN124" s="1231"/>
      <c r="AO124" s="1231"/>
      <c r="AP124" s="1231"/>
      <c r="AQ124" s="1231"/>
      <c r="AR124" s="1227"/>
      <c r="AS124" s="1231"/>
      <c r="AT124" s="1231"/>
      <c r="AU124" s="1231"/>
      <c r="AV124" s="1231"/>
      <c r="AW124" s="1227"/>
      <c r="AX124" s="1231"/>
      <c r="AY124" s="1231"/>
      <c r="AZ124" s="1231"/>
      <c r="BA124" s="1231"/>
      <c r="BB124" s="1227"/>
      <c r="BC124" s="1231"/>
      <c r="BD124" s="1231"/>
      <c r="BE124" s="1231"/>
      <c r="BF124" s="1231"/>
      <c r="BG124" s="1227"/>
      <c r="BH124" s="1231"/>
      <c r="BI124" s="1231"/>
      <c r="BJ124" s="1231"/>
      <c r="BK124" s="1231"/>
      <c r="BL124" s="1194"/>
      <c r="BM124" s="1195"/>
      <c r="BN124" s="1195"/>
      <c r="BO124" s="1195"/>
      <c r="BP124" s="1195"/>
      <c r="BQ124" s="1194"/>
      <c r="BR124" s="1195"/>
      <c r="BS124" s="1195"/>
      <c r="BT124" s="1195"/>
      <c r="BU124" s="1195"/>
      <c r="BV124" s="1194"/>
      <c r="BW124" s="1195"/>
      <c r="BX124" s="1195"/>
      <c r="BY124" s="1195"/>
      <c r="BZ124" s="1195"/>
      <c r="CA124" s="1194"/>
      <c r="CB124" s="1195"/>
      <c r="CC124" s="1195"/>
      <c r="CD124" s="1195"/>
      <c r="CE124" s="1195"/>
      <c r="CF124" s="1194"/>
      <c r="CG124" s="1195"/>
      <c r="CH124" s="1195"/>
      <c r="CI124" s="1195"/>
      <c r="CJ124" s="1195"/>
      <c r="CK124" s="1194"/>
      <c r="CL124" s="1195"/>
      <c r="CM124" s="1195"/>
      <c r="CN124" s="1195"/>
      <c r="CO124" s="1195"/>
      <c r="CP124" s="1194"/>
      <c r="CQ124" s="1195"/>
      <c r="CR124" s="1195"/>
      <c r="CS124" s="1195"/>
      <c r="CT124" s="1195"/>
      <c r="CU124" s="1194"/>
      <c r="CV124" s="1195"/>
      <c r="CW124" s="1195"/>
      <c r="CX124" s="1195"/>
      <c r="CY124" s="1195"/>
      <c r="CZ124" s="1194"/>
      <c r="DA124" s="1195"/>
      <c r="DB124" s="1195"/>
      <c r="DC124" s="1195"/>
      <c r="DD124" s="1195"/>
      <c r="DE124" s="1194"/>
      <c r="DF124" s="1195"/>
      <c r="DG124" s="1195"/>
      <c r="DH124" s="1195"/>
      <c r="DI124" s="1195"/>
      <c r="DJ124" s="1194"/>
      <c r="DK124" s="1195"/>
      <c r="DL124" s="1195"/>
      <c r="DM124" s="1195"/>
      <c r="DN124" s="1195"/>
      <c r="DO124" s="1194"/>
      <c r="DP124" s="1195"/>
      <c r="DQ124" s="1195"/>
      <c r="DR124" s="1195"/>
      <c r="DS124" s="1195"/>
      <c r="DT124" s="1194"/>
      <c r="DU124" s="1195"/>
      <c r="DV124" s="1195"/>
      <c r="DW124" s="1195"/>
      <c r="DX124" s="1195"/>
      <c r="DY124" s="1194"/>
    </row>
    <row r="125" spans="1:129" x14ac:dyDescent="0.2">
      <c r="A125" s="1223"/>
      <c r="B125" s="1190" t="s">
        <v>1156</v>
      </c>
      <c r="C125" s="1182"/>
      <c r="D125" s="1182"/>
      <c r="E125" s="1182"/>
      <c r="F125" s="1182"/>
      <c r="G125" s="1182"/>
      <c r="H125" s="1182"/>
      <c r="I125" s="1182"/>
      <c r="J125" s="1182"/>
      <c r="K125" s="1182"/>
      <c r="L125" s="1182"/>
      <c r="M125" s="1182"/>
      <c r="N125" s="1182"/>
      <c r="O125" s="1182"/>
      <c r="P125" s="1182"/>
      <c r="Q125" s="1182"/>
      <c r="R125" s="1182"/>
      <c r="S125" s="1182"/>
      <c r="T125" s="1182"/>
      <c r="U125" s="1182"/>
      <c r="V125" s="1182"/>
      <c r="W125" s="1182"/>
      <c r="X125" s="1227"/>
      <c r="Y125" s="1231"/>
      <c r="Z125" s="1231"/>
      <c r="AA125" s="1231"/>
      <c r="AB125" s="1231"/>
      <c r="AC125" s="1227"/>
      <c r="AD125" s="1231"/>
      <c r="AE125" s="1231"/>
      <c r="AF125" s="1231"/>
      <c r="AG125" s="1231"/>
      <c r="AH125" s="1227"/>
      <c r="AI125" s="1231"/>
      <c r="AJ125" s="1231"/>
      <c r="AK125" s="1231"/>
      <c r="AL125" s="1231"/>
      <c r="AM125" s="1227"/>
      <c r="AN125" s="1231"/>
      <c r="AO125" s="1231"/>
      <c r="AP125" s="1231"/>
      <c r="AQ125" s="1231"/>
      <c r="AR125" s="1227"/>
      <c r="AS125" s="1231"/>
      <c r="AT125" s="1231"/>
      <c r="AU125" s="1231"/>
      <c r="AV125" s="1231"/>
      <c r="AW125" s="1227"/>
      <c r="AX125" s="1231"/>
      <c r="AY125" s="1231"/>
      <c r="AZ125" s="1231"/>
      <c r="BA125" s="1231"/>
      <c r="BB125" s="1227"/>
      <c r="BC125" s="1231"/>
      <c r="BD125" s="1231"/>
      <c r="BE125" s="1231"/>
      <c r="BF125" s="1231"/>
      <c r="BG125" s="1227"/>
      <c r="BH125" s="1231"/>
      <c r="BI125" s="1231"/>
      <c r="BJ125" s="1231"/>
      <c r="BK125" s="1231"/>
      <c r="BL125" s="1194">
        <f>-(AVERAGE(BL121,BL123))*(BL$119)</f>
        <v>-46</v>
      </c>
      <c r="BM125" s="1195"/>
      <c r="BN125" s="1195"/>
      <c r="BO125" s="1195"/>
      <c r="BP125" s="1195"/>
      <c r="BQ125" s="1194">
        <f>-(AVERAGE(BQ121,BQ123))*(BQ$119)</f>
        <v>-46</v>
      </c>
      <c r="BR125" s="1195"/>
      <c r="BS125" s="1195"/>
      <c r="BT125" s="1195"/>
      <c r="BU125" s="1195"/>
      <c r="BV125" s="1194">
        <f>-(AVERAGE(BV121,BV123))*(BV$119)</f>
        <v>-46</v>
      </c>
      <c r="BW125" s="1195"/>
      <c r="BX125" s="1195"/>
      <c r="BY125" s="1195"/>
      <c r="BZ125" s="1195"/>
      <c r="CA125" s="1194">
        <f>-(AVERAGE(CA121,CA123))*(CA$119)</f>
        <v>-46</v>
      </c>
      <c r="CB125" s="1229">
        <f>-(AVERAGE(CB123,CB121))*(CB119/4)</f>
        <v>-11.5</v>
      </c>
      <c r="CC125" s="1229">
        <f>-(AVERAGE(CC123,CC121))*(CC119/4)</f>
        <v>-18.328125</v>
      </c>
      <c r="CD125" s="1229">
        <f>-(AVERAGE(CD123,CD121))*(CD119/4)</f>
        <v>-25.15625</v>
      </c>
      <c r="CE125" s="1229">
        <f>-(AVERAGE(CE123,CE121))*(CE119/4)</f>
        <v>-19.40625</v>
      </c>
      <c r="CF125" s="1194">
        <f>SUM(CB125:CE125)</f>
        <v>-74.390625</v>
      </c>
      <c r="CG125" s="1229">
        <f>-(AVERAGE(CG123,CG121))*(CG119/4)</f>
        <v>-13.65625</v>
      </c>
      <c r="CH125" s="1229">
        <f>-(AVERAGE(CH123,CH121))*(CH119/4)</f>
        <v>-13.65625</v>
      </c>
      <c r="CI125" s="1229">
        <f>-(AVERAGE(CI123,CI121))*(CI119/4)</f>
        <v>-13.65625</v>
      </c>
      <c r="CJ125" s="1229">
        <f>-(AVERAGE(CJ123,CJ121))*(CJ119/4)</f>
        <v>-13.65625</v>
      </c>
      <c r="CK125" s="1194">
        <f>SUM(CG125:CJ125)</f>
        <v>-54.625</v>
      </c>
      <c r="CL125" s="1229">
        <f>-(AVERAGE(CL123,CL121))*(CL119/4)</f>
        <v>-13.65625</v>
      </c>
      <c r="CM125" s="1229">
        <f>-(AVERAGE(CM123,CM121))*(CM119/4)</f>
        <v>-13.65625</v>
      </c>
      <c r="CN125" s="1229">
        <f>-(AVERAGE(CN123,CN121))*(CN119/4)</f>
        <v>-13.65625</v>
      </c>
      <c r="CO125" s="1229">
        <f>-(AVERAGE(CO123,CO121))*(CO119/4)</f>
        <v>-13.65625</v>
      </c>
      <c r="CP125" s="1194">
        <f>SUM(CL125:CO125)</f>
        <v>-54.625</v>
      </c>
      <c r="CQ125" s="1229">
        <f>-(AVERAGE(CQ123,CQ121))*(CQ119/4)</f>
        <v>-13.65625</v>
      </c>
      <c r="CR125" s="1229">
        <f>-(AVERAGE(CR123,CR121))*(CR119/4)</f>
        <v>-13.65625</v>
      </c>
      <c r="CS125" s="1229">
        <f>-(AVERAGE(CS123,CS121))*(CS119/4)</f>
        <v>-10.3571875</v>
      </c>
      <c r="CT125" s="1229">
        <f>-(AVERAGE(CT123,CT121))*(CT119/4)</f>
        <v>-7.0581250000000004</v>
      </c>
      <c r="CU125" s="1194">
        <f>SUM(CQ125:CT125)</f>
        <v>-44.727812499999999</v>
      </c>
      <c r="CV125" s="1229">
        <f>-(AVERAGE(CV123,CV121))*(CV119/4)</f>
        <v>-7.0581250000000004</v>
      </c>
      <c r="CW125" s="1229">
        <f>-(AVERAGE(CW123,CW121))*(CW119/4)</f>
        <v>-7.0581250000000004</v>
      </c>
      <c r="CX125" s="1229">
        <f>-(AVERAGE(CX123,CX121))*(CX119/4)</f>
        <v>-7.0581250000000004</v>
      </c>
      <c r="CY125" s="1229">
        <f>-(AVERAGE(CY123,CY121))*(CY119/4)</f>
        <v>-7.0581250000000004</v>
      </c>
      <c r="CZ125" s="1194">
        <f>SUM(CV125:CY125)</f>
        <v>-28.232500000000002</v>
      </c>
      <c r="DA125" s="1229">
        <f>-(AVERAGE(DA123,DA121))*(DA119/4)</f>
        <v>-7.0581250000000004</v>
      </c>
      <c r="DB125" s="1229">
        <f>-(AVERAGE(DB123,DB121))*(DB119/4)</f>
        <v>-7.0581250000000004</v>
      </c>
      <c r="DC125" s="1229">
        <f>-(AVERAGE(DC123,DC121))*(DC119/4)</f>
        <v>-7.0581250000000004</v>
      </c>
      <c r="DD125" s="1229">
        <f>-(AVERAGE(DD123,DD121))*(DD119/4)</f>
        <v>-7.0581250000000004</v>
      </c>
      <c r="DE125" s="1194">
        <f>SUM(DA125:DD125)</f>
        <v>-28.232500000000002</v>
      </c>
      <c r="DF125" s="1229">
        <f>-(AVERAGE(DF123,DF121))*(DF119/4)</f>
        <v>-7.0581250000000004</v>
      </c>
      <c r="DG125" s="1229">
        <f>-(AVERAGE(DG123,DG121))*(DG119/4)</f>
        <v>-7.0581250000000004</v>
      </c>
      <c r="DH125" s="1229">
        <f>-(AVERAGE(DH123,DH121))*(DH119/4)</f>
        <v>-7.0581250000000004</v>
      </c>
      <c r="DI125" s="1229">
        <f>-(AVERAGE(DI123,DI121))*(DI119/4)</f>
        <v>-7.0581250000000004</v>
      </c>
      <c r="DJ125" s="1194">
        <f>SUM(DF125:DI125)</f>
        <v>-28.232500000000002</v>
      </c>
      <c r="DK125" s="1229">
        <f>-(AVERAGE(DK123,DK121))*(DK119/4)</f>
        <v>-7.0581250000000004</v>
      </c>
      <c r="DL125" s="1229">
        <f>-(AVERAGE(DL123,DL121))*(DL119/4)</f>
        <v>-7.0581250000000004</v>
      </c>
      <c r="DM125" s="1229">
        <f>-(AVERAGE(DM123,DM121))*(DM119/4)</f>
        <v>-7.0581250000000004</v>
      </c>
      <c r="DN125" s="1229">
        <f>-(AVERAGE(DN123,DN121))*(DN119/4)</f>
        <v>-7.0581250000000004</v>
      </c>
      <c r="DO125" s="1194">
        <f>SUM(DK125:DN125)</f>
        <v>-28.232500000000002</v>
      </c>
      <c r="DP125" s="1229">
        <f>-(AVERAGE(DP123,DP121))*(DP119/4)</f>
        <v>-7.0581250000000004</v>
      </c>
      <c r="DQ125" s="1229">
        <f>-(AVERAGE(DQ123,DQ121))*(DQ119/4)</f>
        <v>-7.0581250000000004</v>
      </c>
      <c r="DR125" s="1229">
        <f>-(AVERAGE(DR123,DR121))*(DR119/4)</f>
        <v>-7.0581250000000004</v>
      </c>
      <c r="DS125" s="1229">
        <f>-(AVERAGE(DS123,DS121))*(DS119/4)</f>
        <v>-7.0581250000000004</v>
      </c>
      <c r="DT125" s="1194">
        <f>SUM(DP125:DS125)</f>
        <v>-28.232500000000002</v>
      </c>
      <c r="DU125" s="1229">
        <f>-(AVERAGE(DU123,DU121))*(DU119/4)</f>
        <v>-7.0581250000000004</v>
      </c>
      <c r="DV125" s="1229">
        <f>-(AVERAGE(DV123,DV121))*(DV119/4)</f>
        <v>-7.0581250000000004</v>
      </c>
      <c r="DW125" s="1229">
        <f>-(AVERAGE(DW123,DW121))*(DW119/4)</f>
        <v>-7.0581250000000004</v>
      </c>
      <c r="DX125" s="1229">
        <f>-(AVERAGE(DX123,DX121))*(DX119/4)</f>
        <v>-7.0581250000000004</v>
      </c>
      <c r="DY125" s="1194">
        <f>SUM(DU125:DX125)</f>
        <v>-28.232500000000002</v>
      </c>
    </row>
    <row r="126" spans="1:129" ht="12" thickBot="1" x14ac:dyDescent="0.25">
      <c r="A126" s="1223"/>
      <c r="B126" s="1250" t="s">
        <v>1157</v>
      </c>
      <c r="C126" s="1251"/>
      <c r="D126" s="1251"/>
      <c r="E126" s="1251"/>
      <c r="F126" s="1251"/>
      <c r="G126" s="1251"/>
      <c r="H126" s="1251"/>
      <c r="I126" s="1251"/>
      <c r="J126" s="1251"/>
      <c r="K126" s="1251"/>
      <c r="L126" s="1251"/>
      <c r="M126" s="1251"/>
      <c r="N126" s="1251"/>
      <c r="O126" s="1251"/>
      <c r="P126" s="1251"/>
      <c r="Q126" s="1251"/>
      <c r="R126" s="1251"/>
      <c r="S126" s="1251"/>
      <c r="T126" s="1251"/>
      <c r="U126" s="1251"/>
      <c r="V126" s="1251"/>
      <c r="W126" s="1251"/>
      <c r="X126" s="1252"/>
      <c r="Y126" s="1251"/>
      <c r="Z126" s="1251"/>
      <c r="AA126" s="1251"/>
      <c r="AB126" s="1251"/>
      <c r="AC126" s="1252"/>
      <c r="AD126" s="1251"/>
      <c r="AE126" s="1251"/>
      <c r="AF126" s="1251"/>
      <c r="AG126" s="1251"/>
      <c r="AH126" s="1252"/>
      <c r="AI126" s="1251"/>
      <c r="AJ126" s="1251"/>
      <c r="AK126" s="1251"/>
      <c r="AL126" s="1251"/>
      <c r="AM126" s="1252"/>
      <c r="AN126" s="1251"/>
      <c r="AO126" s="1251"/>
      <c r="AP126" s="1251"/>
      <c r="AQ126" s="1253"/>
      <c r="AR126" s="1252"/>
      <c r="AS126" s="1253"/>
      <c r="AT126" s="1253"/>
      <c r="AU126" s="1253"/>
      <c r="AV126" s="1253"/>
      <c r="AW126" s="1252"/>
      <c r="AX126" s="1253"/>
      <c r="AY126" s="1253"/>
      <c r="AZ126" s="1253"/>
      <c r="BA126" s="1253"/>
      <c r="BB126" s="1252"/>
      <c r="BC126" s="1253"/>
      <c r="BD126" s="1253"/>
      <c r="BE126" s="1253"/>
      <c r="BF126" s="1253"/>
      <c r="BG126" s="1252"/>
      <c r="BH126" s="1253"/>
      <c r="BI126" s="1253"/>
      <c r="BJ126" s="1253"/>
      <c r="BK126" s="1253"/>
      <c r="BL126" s="1255"/>
      <c r="BM126" s="1254"/>
      <c r="BN126" s="1254"/>
      <c r="BO126" s="1254"/>
      <c r="BP126" s="1254"/>
      <c r="BQ126" s="1255"/>
      <c r="BR126" s="1254"/>
      <c r="BS126" s="1254"/>
      <c r="BT126" s="1254"/>
      <c r="BU126" s="1254"/>
      <c r="BV126" s="1255"/>
      <c r="BW126" s="1254"/>
      <c r="BX126" s="1254"/>
      <c r="BY126" s="1254"/>
      <c r="BZ126" s="1254"/>
      <c r="CA126" s="1255"/>
      <c r="CB126" s="1254">
        <f>-CB118*CB124/4</f>
        <v>0</v>
      </c>
      <c r="CC126" s="1254">
        <f>-CC118*CC124/4</f>
        <v>0</v>
      </c>
      <c r="CD126" s="1254">
        <f>-CD118*CD124/4</f>
        <v>0</v>
      </c>
      <c r="CE126" s="1254">
        <f>-CE118*CE124/4</f>
        <v>0</v>
      </c>
      <c r="CF126" s="1255"/>
      <c r="CG126" s="1254">
        <f>-CG118*CG124/4</f>
        <v>0</v>
      </c>
      <c r="CH126" s="1254">
        <f>-CH118*CH124/4</f>
        <v>0</v>
      </c>
      <c r="CI126" s="1254">
        <f>-CI118*CI124/4</f>
        <v>0</v>
      </c>
      <c r="CJ126" s="1254">
        <f>-CJ118*CJ124/4</f>
        <v>0</v>
      </c>
      <c r="CK126" s="1255"/>
      <c r="CL126" s="1254">
        <f>-CL118*CL124/4</f>
        <v>0</v>
      </c>
      <c r="CM126" s="1254">
        <f>-CM118*CM124/4</f>
        <v>0</v>
      </c>
      <c r="CN126" s="1254">
        <f>-CN118*CN124/4</f>
        <v>0</v>
      </c>
      <c r="CO126" s="1254">
        <f>-CO118*CO124/4</f>
        <v>0</v>
      </c>
      <c r="CP126" s="1255"/>
      <c r="CQ126" s="1254">
        <f>-CQ118*CQ124/4</f>
        <v>0</v>
      </c>
      <c r="CR126" s="1254">
        <f>-CR118*CR124/4</f>
        <v>0</v>
      </c>
      <c r="CS126" s="1254">
        <f>-CS118*CS124/4</f>
        <v>0</v>
      </c>
      <c r="CT126" s="1254">
        <f>-CT118*CT124/4</f>
        <v>0</v>
      </c>
      <c r="CU126" s="1255"/>
      <c r="CV126" s="1254">
        <f>-CV118*CV124/4</f>
        <v>0</v>
      </c>
      <c r="CW126" s="1254">
        <f>-CW118*CW124/4</f>
        <v>0</v>
      </c>
      <c r="CX126" s="1254">
        <f>-CX118*CX124/4</f>
        <v>0</v>
      </c>
      <c r="CY126" s="1254">
        <f>-CY118*CY124/4</f>
        <v>0</v>
      </c>
      <c r="CZ126" s="1255"/>
      <c r="DA126" s="1254">
        <f>-DA118*DA124/4</f>
        <v>0</v>
      </c>
      <c r="DB126" s="1254">
        <f>-DB118*DB124/4</f>
        <v>0</v>
      </c>
      <c r="DC126" s="1254">
        <f>-DC118*DC124/4</f>
        <v>0</v>
      </c>
      <c r="DD126" s="1254">
        <f>-DD118*DD124/4</f>
        <v>0</v>
      </c>
      <c r="DE126" s="1255"/>
      <c r="DF126" s="1254">
        <f>-DF118*DF124/4</f>
        <v>0</v>
      </c>
      <c r="DG126" s="1254">
        <f>-DG118*DG124/4</f>
        <v>0</v>
      </c>
      <c r="DH126" s="1254">
        <f>-DH118*DH124/4</f>
        <v>0</v>
      </c>
      <c r="DI126" s="1254">
        <f>-DI118*DI124/4</f>
        <v>0</v>
      </c>
      <c r="DJ126" s="1255"/>
      <c r="DK126" s="1254">
        <f>-DK118*DK124/4</f>
        <v>0</v>
      </c>
      <c r="DL126" s="1254">
        <f>-DL118*DL124/4</f>
        <v>0</v>
      </c>
      <c r="DM126" s="1254">
        <f>-DM118*DM124/4</f>
        <v>0</v>
      </c>
      <c r="DN126" s="1254">
        <f>-DN118*DN124/4</f>
        <v>0</v>
      </c>
      <c r="DO126" s="1255"/>
      <c r="DP126" s="1254">
        <f>-DP118*DP124/4</f>
        <v>0</v>
      </c>
      <c r="DQ126" s="1254">
        <f>-DQ118*DQ124/4</f>
        <v>0</v>
      </c>
      <c r="DR126" s="1254">
        <f>-DR118*DR124/4</f>
        <v>0</v>
      </c>
      <c r="DS126" s="1254">
        <f>-DS118*DS124/4</f>
        <v>0</v>
      </c>
      <c r="DT126" s="1255"/>
      <c r="DU126" s="1254">
        <f>-DU118*DU124/4</f>
        <v>0</v>
      </c>
      <c r="DV126" s="1254">
        <f>-DV118*DV124/4</f>
        <v>0</v>
      </c>
      <c r="DW126" s="1254">
        <f>-DW118*DW124/4</f>
        <v>0</v>
      </c>
      <c r="DX126" s="1254">
        <f>-DX118*DX124/4</f>
        <v>0</v>
      </c>
      <c r="DY126" s="1255"/>
    </row>
    <row r="127" spans="1:129" ht="12" thickBot="1" x14ac:dyDescent="0.25">
      <c r="A127" s="1240"/>
      <c r="B127" s="1240"/>
      <c r="C127" s="1214"/>
      <c r="D127" s="1214"/>
      <c r="E127" s="1214"/>
      <c r="F127" s="1214"/>
      <c r="G127" s="1214"/>
      <c r="H127" s="1214"/>
      <c r="I127" s="1214"/>
      <c r="J127" s="1214"/>
      <c r="K127" s="1214"/>
      <c r="L127" s="1214"/>
      <c r="M127" s="1214"/>
      <c r="N127" s="1214"/>
      <c r="O127" s="1214"/>
      <c r="P127" s="1214"/>
      <c r="Q127" s="1214"/>
      <c r="R127" s="1214"/>
      <c r="S127" s="1214"/>
      <c r="T127" s="1214"/>
      <c r="U127" s="1214"/>
      <c r="V127" s="1214"/>
      <c r="W127" s="1214"/>
      <c r="X127" s="1214"/>
      <c r="Y127" s="1214"/>
      <c r="Z127" s="1214"/>
      <c r="AA127" s="1214"/>
      <c r="AB127" s="1214"/>
      <c r="AC127" s="1214"/>
      <c r="AD127" s="1214"/>
      <c r="AE127" s="1214"/>
      <c r="AF127" s="1214"/>
      <c r="AG127" s="1214"/>
      <c r="AH127" s="1214"/>
      <c r="AI127" s="1214"/>
      <c r="AJ127" s="1214"/>
      <c r="AK127" s="1214"/>
      <c r="AL127" s="1214"/>
      <c r="AM127" s="1214"/>
      <c r="AN127" s="1214"/>
      <c r="AO127" s="1214"/>
      <c r="AP127" s="1214"/>
      <c r="AQ127" s="1215"/>
      <c r="AR127" s="1215"/>
      <c r="AS127" s="1215"/>
      <c r="AT127" s="1215"/>
      <c r="AU127" s="1215"/>
      <c r="AV127" s="1215"/>
      <c r="AW127" s="1338"/>
      <c r="AX127" s="1215"/>
      <c r="AY127" s="1215"/>
      <c r="AZ127" s="1215"/>
      <c r="BA127" s="1215"/>
      <c r="BB127" s="1338"/>
      <c r="BC127" s="1215"/>
      <c r="BD127" s="1215"/>
      <c r="BE127" s="1215"/>
      <c r="BF127" s="1215"/>
      <c r="BG127" s="1338"/>
      <c r="BH127" s="1215"/>
      <c r="BI127" s="1215"/>
      <c r="BJ127" s="1215"/>
      <c r="BK127" s="1215"/>
      <c r="BL127" s="1338"/>
      <c r="BM127" s="1215"/>
      <c r="BN127" s="1215"/>
      <c r="BO127" s="1215"/>
      <c r="BP127" s="1215"/>
      <c r="BQ127" s="1338"/>
      <c r="BR127" s="1215"/>
      <c r="BS127" s="1215"/>
      <c r="BT127" s="1215"/>
      <c r="BU127" s="1215"/>
      <c r="BV127" s="1338"/>
      <c r="BW127" s="1215"/>
      <c r="BX127" s="1215"/>
      <c r="BY127" s="1215"/>
      <c r="BZ127" s="1215"/>
      <c r="CA127" s="1338"/>
      <c r="CB127" s="1215"/>
      <c r="CC127" s="1215"/>
      <c r="CD127" s="1215"/>
      <c r="CE127" s="1215"/>
      <c r="CF127" s="1338"/>
      <c r="CG127" s="1215"/>
      <c r="CH127" s="1215"/>
      <c r="CI127" s="1215"/>
      <c r="CJ127" s="1215"/>
      <c r="CK127" s="1338"/>
      <c r="CL127" s="1215"/>
      <c r="CM127" s="1215"/>
      <c r="CN127" s="1215"/>
      <c r="CO127" s="1215"/>
      <c r="CP127" s="1338"/>
      <c r="CQ127" s="1215"/>
      <c r="CR127" s="1215"/>
      <c r="CS127" s="1215"/>
      <c r="CT127" s="1215"/>
      <c r="CU127" s="1338"/>
      <c r="CV127" s="1215"/>
      <c r="CW127" s="1215"/>
      <c r="CX127" s="1215"/>
      <c r="CY127" s="1215"/>
      <c r="CZ127" s="1338"/>
      <c r="DA127" s="1215"/>
      <c r="DB127" s="1215"/>
      <c r="DC127" s="1215"/>
      <c r="DD127" s="1215"/>
      <c r="DE127" s="1338"/>
      <c r="DF127" s="1215"/>
      <c r="DG127" s="1215"/>
      <c r="DH127" s="1215"/>
      <c r="DI127" s="1215"/>
      <c r="DJ127" s="1338"/>
      <c r="DK127" s="1215"/>
      <c r="DL127" s="1215"/>
      <c r="DM127" s="1215"/>
      <c r="DN127" s="1215"/>
      <c r="DO127" s="1338"/>
      <c r="DP127" s="1215"/>
      <c r="DQ127" s="1215"/>
      <c r="DR127" s="1215"/>
      <c r="DS127" s="1215"/>
      <c r="DT127" s="1338"/>
      <c r="DU127" s="1215"/>
      <c r="DV127" s="1215"/>
      <c r="DW127" s="1215"/>
      <c r="DX127" s="1215"/>
      <c r="DY127" s="1338"/>
    </row>
    <row r="128" spans="1:129" ht="12" thickBot="1" x14ac:dyDescent="0.25">
      <c r="A128" s="1123"/>
      <c r="B128" s="1282" t="s">
        <v>1143</v>
      </c>
      <c r="C128" s="1328"/>
      <c r="D128" s="1329"/>
      <c r="E128" s="1329"/>
      <c r="F128" s="1329"/>
      <c r="G128" s="1329"/>
      <c r="H128" s="1329"/>
      <c r="I128" s="1329"/>
      <c r="J128" s="1329"/>
      <c r="K128" s="1329"/>
      <c r="L128" s="1329"/>
      <c r="M128" s="1329"/>
      <c r="N128" s="1329"/>
      <c r="O128" s="1329"/>
      <c r="P128" s="1329"/>
      <c r="Q128" s="1329"/>
      <c r="R128" s="1329"/>
      <c r="S128" s="1329"/>
      <c r="T128" s="1329"/>
      <c r="U128" s="1329"/>
      <c r="V128" s="1329"/>
      <c r="W128" s="1329"/>
      <c r="X128" s="1328"/>
      <c r="Y128" s="1328"/>
      <c r="Z128" s="1328"/>
      <c r="AA128" s="1328"/>
      <c r="AB128" s="1328"/>
      <c r="AC128" s="1328"/>
      <c r="AD128" s="1328"/>
      <c r="AE128" s="1328"/>
      <c r="AF128" s="1328"/>
      <c r="AG128" s="1328"/>
      <c r="AH128" s="1328"/>
      <c r="AI128" s="1328"/>
      <c r="AJ128" s="1328"/>
      <c r="AK128" s="1328"/>
      <c r="AL128" s="1328"/>
      <c r="AM128" s="1328"/>
      <c r="AN128" s="1328"/>
      <c r="AO128" s="1328"/>
      <c r="AP128" s="1328"/>
      <c r="AQ128" s="1330"/>
      <c r="AR128" s="1330"/>
      <c r="AS128" s="1330"/>
      <c r="AT128" s="1331"/>
      <c r="AU128" s="1331"/>
      <c r="AV128" s="1331"/>
      <c r="AW128" s="1330"/>
      <c r="AX128" s="1330"/>
      <c r="AY128" s="1330"/>
      <c r="AZ128" s="1330"/>
      <c r="BA128" s="1330"/>
      <c r="BB128" s="1330"/>
      <c r="BC128" s="1330"/>
      <c r="BD128" s="1330"/>
      <c r="BE128" s="1330"/>
      <c r="BF128" s="1330"/>
      <c r="BG128" s="1330"/>
      <c r="BH128" s="1330"/>
      <c r="BI128" s="1330"/>
      <c r="BJ128" s="1330"/>
      <c r="BK128" s="1330"/>
      <c r="BL128" s="1332"/>
      <c r="BM128" s="1330"/>
      <c r="BN128" s="1330"/>
      <c r="BO128" s="1330"/>
      <c r="BP128" s="1330"/>
      <c r="BQ128" s="1332"/>
      <c r="BR128" s="1330"/>
      <c r="BS128" s="1330"/>
      <c r="BT128" s="1330"/>
      <c r="BU128" s="1330"/>
      <c r="BV128" s="1332"/>
      <c r="BW128" s="1330"/>
      <c r="BX128" s="1330"/>
      <c r="BY128" s="1330"/>
      <c r="BZ128" s="1330"/>
      <c r="CA128" s="1332"/>
      <c r="CB128" s="1330"/>
      <c r="CC128" s="1330"/>
      <c r="CD128" s="1330"/>
      <c r="CE128" s="1330"/>
      <c r="CF128" s="1332"/>
      <c r="CG128" s="1330"/>
      <c r="CH128" s="1330"/>
      <c r="CI128" s="1330"/>
      <c r="CJ128" s="1330"/>
      <c r="CK128" s="1332"/>
      <c r="CL128" s="1330"/>
      <c r="CM128" s="1330"/>
      <c r="CN128" s="1330"/>
      <c r="CO128" s="1330"/>
      <c r="CP128" s="1332"/>
      <c r="CQ128" s="1330"/>
      <c r="CR128" s="1330"/>
      <c r="CS128" s="1330"/>
      <c r="CT128" s="1330"/>
      <c r="CU128" s="1332"/>
      <c r="CV128" s="1330"/>
      <c r="CW128" s="1330"/>
      <c r="CX128" s="1330"/>
      <c r="CY128" s="1330"/>
      <c r="CZ128" s="1332"/>
      <c r="DA128" s="1330"/>
      <c r="DB128" s="1330"/>
      <c r="DC128" s="1330"/>
      <c r="DD128" s="1330"/>
      <c r="DE128" s="1332"/>
      <c r="DF128" s="1330"/>
      <c r="DG128" s="1330"/>
      <c r="DH128" s="1330"/>
      <c r="DI128" s="1330"/>
      <c r="DJ128" s="1332"/>
      <c r="DK128" s="1330"/>
      <c r="DL128" s="1330"/>
      <c r="DM128" s="1330"/>
      <c r="DN128" s="1330"/>
      <c r="DO128" s="1332"/>
      <c r="DP128" s="1330"/>
      <c r="DQ128" s="1330"/>
      <c r="DR128" s="1330"/>
      <c r="DS128" s="1330"/>
      <c r="DT128" s="1332"/>
      <c r="DU128" s="1330"/>
      <c r="DV128" s="1330"/>
      <c r="DW128" s="1330"/>
      <c r="DX128" s="1330"/>
      <c r="DY128" s="1332"/>
    </row>
    <row r="129" spans="1:129" x14ac:dyDescent="0.2">
      <c r="A129" s="532"/>
      <c r="B129" s="1287" t="s">
        <v>1149</v>
      </c>
      <c r="C129" s="650"/>
      <c r="D129" s="650"/>
      <c r="E129" s="650"/>
      <c r="F129" s="650"/>
      <c r="G129" s="650"/>
      <c r="H129" s="650"/>
      <c r="I129" s="650"/>
      <c r="J129" s="650"/>
      <c r="K129" s="650"/>
      <c r="L129" s="650"/>
      <c r="M129" s="650"/>
      <c r="N129" s="650"/>
      <c r="O129" s="650"/>
      <c r="P129" s="650"/>
      <c r="Q129" s="650"/>
      <c r="R129" s="650"/>
      <c r="S129" s="650"/>
      <c r="T129" s="650"/>
      <c r="U129" s="650"/>
      <c r="V129" s="650"/>
      <c r="W129" s="650"/>
      <c r="X129" s="1288"/>
      <c r="Y129" s="650"/>
      <c r="Z129" s="650"/>
      <c r="AA129" s="650"/>
      <c r="AB129" s="650"/>
      <c r="AC129" s="1288"/>
      <c r="AD129" s="650"/>
      <c r="AE129" s="650"/>
      <c r="AF129" s="650"/>
      <c r="AG129" s="650"/>
      <c r="AH129" s="1288"/>
      <c r="AI129" s="650"/>
      <c r="AJ129" s="650"/>
      <c r="AK129" s="650"/>
      <c r="AL129" s="650"/>
      <c r="AM129" s="1288"/>
      <c r="AN129" s="650"/>
      <c r="AO129" s="650"/>
      <c r="AP129" s="650"/>
      <c r="AQ129" s="650"/>
      <c r="AR129" s="1288"/>
      <c r="AS129" s="650"/>
      <c r="AT129" s="650"/>
      <c r="AU129" s="650"/>
      <c r="AV129" s="650"/>
      <c r="AW129" s="1288"/>
      <c r="AX129" s="650"/>
      <c r="AY129" s="650"/>
      <c r="AZ129" s="650"/>
      <c r="BA129" s="650"/>
      <c r="BB129" s="1288"/>
      <c r="BC129" s="650"/>
      <c r="BD129" s="650"/>
      <c r="BE129" s="650"/>
      <c r="BF129" s="650"/>
      <c r="BG129" s="1288"/>
      <c r="BH129" s="650"/>
      <c r="BI129" s="650"/>
      <c r="BJ129" s="650"/>
      <c r="BK129" s="650"/>
      <c r="BL129" s="583"/>
      <c r="BM129" s="650"/>
      <c r="BN129" s="650"/>
      <c r="BO129" s="650"/>
      <c r="BP129" s="650"/>
      <c r="BQ129" s="583"/>
      <c r="BR129" s="650"/>
      <c r="BS129" s="650"/>
      <c r="BT129" s="650"/>
      <c r="BU129" s="650"/>
      <c r="BV129" s="583"/>
      <c r="BW129" s="650"/>
      <c r="BX129" s="650"/>
      <c r="BY129" s="650"/>
      <c r="BZ129" s="650"/>
      <c r="CA129" s="583"/>
      <c r="CB129" s="650"/>
      <c r="CC129" s="650"/>
      <c r="CD129" s="650"/>
      <c r="CE129" s="650"/>
      <c r="CF129" s="583"/>
      <c r="CG129" s="650"/>
      <c r="CH129" s="650"/>
      <c r="CI129" s="650"/>
      <c r="CJ129" s="650"/>
      <c r="CK129" s="583"/>
      <c r="CL129" s="650"/>
      <c r="CM129" s="650"/>
      <c r="CN129" s="650"/>
      <c r="CO129" s="650"/>
      <c r="CP129" s="583"/>
      <c r="CQ129" s="650"/>
      <c r="CR129" s="650"/>
      <c r="CS129" s="650"/>
      <c r="CT129" s="650"/>
      <c r="CU129" s="583"/>
      <c r="CV129" s="650"/>
      <c r="CW129" s="650"/>
      <c r="CX129" s="650"/>
      <c r="CY129" s="650"/>
      <c r="CZ129" s="583"/>
      <c r="DA129" s="650"/>
      <c r="DB129" s="650"/>
      <c r="DC129" s="650"/>
      <c r="DD129" s="650"/>
      <c r="DE129" s="583"/>
      <c r="DF129" s="650"/>
      <c r="DG129" s="650"/>
      <c r="DH129" s="650"/>
      <c r="DI129" s="650"/>
      <c r="DJ129" s="583"/>
      <c r="DK129" s="650"/>
      <c r="DL129" s="650"/>
      <c r="DM129" s="650"/>
      <c r="DN129" s="650"/>
      <c r="DO129" s="583"/>
      <c r="DP129" s="650"/>
      <c r="DQ129" s="650"/>
      <c r="DR129" s="650"/>
      <c r="DS129" s="650"/>
      <c r="DT129" s="583"/>
      <c r="DU129" s="650"/>
      <c r="DV129" s="650"/>
      <c r="DW129" s="650"/>
      <c r="DX129" s="650"/>
      <c r="DY129" s="583"/>
    </row>
    <row r="130" spans="1:129" x14ac:dyDescent="0.2">
      <c r="A130" s="532"/>
      <c r="B130" s="1287" t="s">
        <v>1150</v>
      </c>
      <c r="C130" s="650"/>
      <c r="D130" s="650"/>
      <c r="E130" s="650"/>
      <c r="F130" s="650"/>
      <c r="G130" s="650"/>
      <c r="H130" s="650"/>
      <c r="I130" s="650"/>
      <c r="J130" s="650"/>
      <c r="K130" s="650"/>
      <c r="L130" s="650"/>
      <c r="M130" s="650"/>
      <c r="N130" s="650"/>
      <c r="O130" s="650"/>
      <c r="P130" s="650"/>
      <c r="Q130" s="650"/>
      <c r="R130" s="650"/>
      <c r="S130" s="650"/>
      <c r="T130" s="650"/>
      <c r="U130" s="650"/>
      <c r="V130" s="650"/>
      <c r="W130" s="650"/>
      <c r="X130" s="1288"/>
      <c r="Y130" s="650"/>
      <c r="Z130" s="650"/>
      <c r="AA130" s="650"/>
      <c r="AB130" s="650"/>
      <c r="AC130" s="1288"/>
      <c r="AD130" s="650"/>
      <c r="AE130" s="650"/>
      <c r="AF130" s="650"/>
      <c r="AG130" s="650"/>
      <c r="AH130" s="1288"/>
      <c r="AI130" s="650"/>
      <c r="AJ130" s="650"/>
      <c r="AK130" s="650"/>
      <c r="AL130" s="650"/>
      <c r="AM130" s="1288"/>
      <c r="AN130" s="650"/>
      <c r="AO130" s="650"/>
      <c r="AP130" s="650"/>
      <c r="AQ130" s="650"/>
      <c r="AR130" s="1288"/>
      <c r="AS130" s="650"/>
      <c r="AT130" s="650"/>
      <c r="AU130" s="650"/>
      <c r="AV130" s="650"/>
      <c r="AW130" s="1288"/>
      <c r="AX130" s="650"/>
      <c r="AY130" s="650"/>
      <c r="AZ130" s="650"/>
      <c r="BA130" s="650"/>
      <c r="BB130" s="1288"/>
      <c r="BC130" s="650"/>
      <c r="BD130" s="650"/>
      <c r="BE130" s="650"/>
      <c r="BF130" s="650"/>
      <c r="BG130" s="1289"/>
      <c r="BH130" s="650"/>
      <c r="BI130" s="650"/>
      <c r="BJ130" s="650"/>
      <c r="BK130" s="650"/>
      <c r="BL130" s="1333">
        <v>6.1249999999999999E-2</v>
      </c>
      <c r="BM130" s="650"/>
      <c r="BN130" s="650"/>
      <c r="BO130" s="650"/>
      <c r="BP130" s="650"/>
      <c r="BQ130" s="1333">
        <v>6.1249999999999999E-2</v>
      </c>
      <c r="BR130" s="650"/>
      <c r="BS130" s="650"/>
      <c r="BT130" s="650"/>
      <c r="BU130" s="650"/>
      <c r="BV130" s="1333">
        <v>6.1249999999999999E-2</v>
      </c>
      <c r="BW130" s="650"/>
      <c r="BX130" s="650"/>
      <c r="BY130" s="650"/>
      <c r="BZ130" s="650"/>
      <c r="CA130" s="1333"/>
      <c r="CB130" s="1334">
        <v>6.1249999999999999E-2</v>
      </c>
      <c r="CC130" s="1334">
        <v>6.1249999999999999E-2</v>
      </c>
      <c r="CD130" s="1334">
        <v>6.1249999999999999E-2</v>
      </c>
      <c r="CE130" s="1334">
        <v>6.1249999999999999E-2</v>
      </c>
      <c r="CF130" s="1333"/>
      <c r="CG130" s="1334"/>
      <c r="CH130" s="1334"/>
      <c r="CI130" s="1334"/>
      <c r="CJ130" s="1334"/>
      <c r="CK130" s="1333"/>
      <c r="CL130" s="1334"/>
      <c r="CM130" s="1334"/>
      <c r="CN130" s="1334"/>
      <c r="CO130" s="1334">
        <v>5.2999999999999999E-2</v>
      </c>
      <c r="CP130" s="1333"/>
      <c r="CQ130" s="1334">
        <f>CO130</f>
        <v>5.2999999999999999E-2</v>
      </c>
      <c r="CR130" s="1334">
        <f>CQ130</f>
        <v>5.2999999999999999E-2</v>
      </c>
      <c r="CS130" s="1334">
        <f>CR130</f>
        <v>5.2999999999999999E-2</v>
      </c>
      <c r="CT130" s="1334">
        <f>CS130</f>
        <v>5.2999999999999999E-2</v>
      </c>
      <c r="CU130" s="1333"/>
      <c r="CV130" s="1334">
        <f>CT130</f>
        <v>5.2999999999999999E-2</v>
      </c>
      <c r="CW130" s="1334">
        <f>CV130</f>
        <v>5.2999999999999999E-2</v>
      </c>
      <c r="CX130" s="1334">
        <f>CW130</f>
        <v>5.2999999999999999E-2</v>
      </c>
      <c r="CY130" s="1334">
        <f>CX130</f>
        <v>5.2999999999999999E-2</v>
      </c>
      <c r="CZ130" s="1333"/>
      <c r="DA130" s="1334">
        <f>CY130</f>
        <v>5.2999999999999999E-2</v>
      </c>
      <c r="DB130" s="1334">
        <f>DA130</f>
        <v>5.2999999999999999E-2</v>
      </c>
      <c r="DC130" s="1334">
        <f>DB130</f>
        <v>5.2999999999999999E-2</v>
      </c>
      <c r="DD130" s="1334">
        <f>DC130</f>
        <v>5.2999999999999999E-2</v>
      </c>
      <c r="DE130" s="1333"/>
      <c r="DF130" s="1334">
        <f>DD130</f>
        <v>5.2999999999999999E-2</v>
      </c>
      <c r="DG130" s="1334">
        <f>DF130</f>
        <v>5.2999999999999999E-2</v>
      </c>
      <c r="DH130" s="1334">
        <f>DG130</f>
        <v>5.2999999999999999E-2</v>
      </c>
      <c r="DI130" s="1334">
        <f>DH130</f>
        <v>5.2999999999999999E-2</v>
      </c>
      <c r="DJ130" s="1333"/>
      <c r="DK130" s="1334">
        <f>DI130</f>
        <v>5.2999999999999999E-2</v>
      </c>
      <c r="DL130" s="1334">
        <f>DK130</f>
        <v>5.2999999999999999E-2</v>
      </c>
      <c r="DM130" s="1334">
        <f>DL130</f>
        <v>5.2999999999999999E-2</v>
      </c>
      <c r="DN130" s="1334">
        <f>DM130</f>
        <v>5.2999999999999999E-2</v>
      </c>
      <c r="DO130" s="1333"/>
      <c r="DP130" s="1334">
        <f>DN130</f>
        <v>5.2999999999999999E-2</v>
      </c>
      <c r="DQ130" s="1334">
        <f>DP130</f>
        <v>5.2999999999999999E-2</v>
      </c>
      <c r="DR130" s="1334">
        <f>DQ130</f>
        <v>5.2999999999999999E-2</v>
      </c>
      <c r="DS130" s="1334">
        <f>DR130</f>
        <v>5.2999999999999999E-2</v>
      </c>
      <c r="DT130" s="1333"/>
      <c r="DU130" s="1334">
        <f>DS130</f>
        <v>5.2999999999999999E-2</v>
      </c>
      <c r="DV130" s="1334">
        <f>DU130</f>
        <v>5.2999999999999999E-2</v>
      </c>
      <c r="DW130" s="1334">
        <f>DV130</f>
        <v>5.2999999999999999E-2</v>
      </c>
      <c r="DX130" s="1334">
        <f>DW130</f>
        <v>5.2999999999999999E-2</v>
      </c>
      <c r="DY130" s="1333"/>
    </row>
    <row r="131" spans="1:129" x14ac:dyDescent="0.2">
      <c r="A131" s="1223"/>
      <c r="B131" s="1190" t="s">
        <v>1151</v>
      </c>
      <c r="C131" s="1293"/>
      <c r="D131" s="1293"/>
      <c r="E131" s="1293"/>
      <c r="F131" s="1293"/>
      <c r="G131" s="1293"/>
      <c r="H131" s="1293"/>
      <c r="I131" s="1293"/>
      <c r="J131" s="1293"/>
      <c r="K131" s="1293"/>
      <c r="L131" s="1293"/>
      <c r="M131" s="1293"/>
      <c r="N131" s="1293"/>
      <c r="O131" s="1293"/>
      <c r="P131" s="1293"/>
      <c r="Q131" s="1293"/>
      <c r="R131" s="1293"/>
      <c r="S131" s="1293"/>
      <c r="T131" s="1293"/>
      <c r="U131" s="1293"/>
      <c r="V131" s="1293"/>
      <c r="W131" s="1293"/>
      <c r="X131" s="1227"/>
      <c r="Y131" s="1231"/>
      <c r="Z131" s="1231"/>
      <c r="AA131" s="1231"/>
      <c r="AB131" s="1294"/>
      <c r="AC131" s="1227"/>
      <c r="AD131" s="1231"/>
      <c r="AE131" s="1231"/>
      <c r="AF131" s="1231"/>
      <c r="AG131" s="1294"/>
      <c r="AH131" s="1227"/>
      <c r="AI131" s="1231"/>
      <c r="AJ131" s="1231"/>
      <c r="AK131" s="1231"/>
      <c r="AL131" s="1294"/>
      <c r="AM131" s="1227"/>
      <c r="AN131" s="1231"/>
      <c r="AO131" s="1231"/>
      <c r="AP131" s="1231"/>
      <c r="AQ131" s="1294"/>
      <c r="AR131" s="1227"/>
      <c r="AS131" s="1231"/>
      <c r="AT131" s="1231"/>
      <c r="AU131" s="1231"/>
      <c r="AV131" s="1294"/>
      <c r="AW131" s="1227"/>
      <c r="AX131" s="1231"/>
      <c r="AY131" s="1231"/>
      <c r="AZ131" s="1231"/>
      <c r="BA131" s="1231"/>
      <c r="BB131" s="1227"/>
      <c r="BC131" s="1231"/>
      <c r="BD131" s="1231"/>
      <c r="BE131" s="1231"/>
      <c r="BF131" s="1231"/>
      <c r="BG131" s="1227"/>
      <c r="BH131" s="1231"/>
      <c r="BI131" s="1231"/>
      <c r="BJ131" s="1231"/>
      <c r="BK131" s="1231"/>
      <c r="BL131" s="1326"/>
      <c r="BM131" s="1231"/>
      <c r="BN131" s="1231"/>
      <c r="BO131" s="1231"/>
      <c r="BP131" s="1231"/>
      <c r="BQ131" s="1326"/>
      <c r="BR131" s="1231"/>
      <c r="BS131" s="1231"/>
      <c r="BT131" s="1231"/>
      <c r="BU131" s="1231"/>
      <c r="BV131" s="1326"/>
      <c r="BW131" s="1231"/>
      <c r="BX131" s="1231"/>
      <c r="BY131" s="1231"/>
      <c r="BZ131" s="1231"/>
      <c r="CA131" s="1326"/>
      <c r="CB131" s="1231"/>
      <c r="CC131" s="1231"/>
      <c r="CD131" s="1231"/>
      <c r="CE131" s="1231"/>
      <c r="CF131" s="1326"/>
      <c r="CG131" s="1231"/>
      <c r="CH131" s="1231"/>
      <c r="CI131" s="1231"/>
      <c r="CJ131" s="1231"/>
      <c r="CK131" s="1326"/>
      <c r="CL131" s="1231"/>
      <c r="CM131" s="1231"/>
      <c r="CN131" s="1231"/>
      <c r="CO131" s="1231"/>
      <c r="CP131" s="1326"/>
      <c r="CQ131" s="1231"/>
      <c r="CR131" s="1231"/>
      <c r="CS131" s="1231"/>
      <c r="CT131" s="1231"/>
      <c r="CU131" s="1326"/>
      <c r="CV131" s="1231"/>
      <c r="CW131" s="1231"/>
      <c r="CX131" s="1231"/>
      <c r="CY131" s="1231"/>
      <c r="CZ131" s="1326"/>
      <c r="DA131" s="1231"/>
      <c r="DB131" s="1231"/>
      <c r="DC131" s="1231"/>
      <c r="DD131" s="1231"/>
      <c r="DE131" s="1326"/>
      <c r="DF131" s="1231"/>
      <c r="DG131" s="1231"/>
      <c r="DH131" s="1231"/>
      <c r="DI131" s="1231"/>
      <c r="DJ131" s="1326"/>
      <c r="DK131" s="1231"/>
      <c r="DL131" s="1231"/>
      <c r="DM131" s="1231"/>
      <c r="DN131" s="1231"/>
      <c r="DO131" s="1326"/>
      <c r="DP131" s="1231"/>
      <c r="DQ131" s="1231"/>
      <c r="DR131" s="1231"/>
      <c r="DS131" s="1231"/>
      <c r="DT131" s="1326"/>
      <c r="DU131" s="1231"/>
      <c r="DV131" s="1231"/>
      <c r="DW131" s="1231"/>
      <c r="DX131" s="1231"/>
      <c r="DY131" s="1326"/>
    </row>
    <row r="132" spans="1:129" x14ac:dyDescent="0.2">
      <c r="A132" s="1223"/>
      <c r="B132" s="1190" t="s">
        <v>1152</v>
      </c>
      <c r="C132" s="1231"/>
      <c r="D132" s="1231"/>
      <c r="E132" s="1231"/>
      <c r="F132" s="1231"/>
      <c r="G132" s="1231"/>
      <c r="H132" s="1231"/>
      <c r="I132" s="1231"/>
      <c r="J132" s="1231"/>
      <c r="K132" s="1231"/>
      <c r="L132" s="1231"/>
      <c r="M132" s="1231"/>
      <c r="N132" s="1231"/>
      <c r="O132" s="1231"/>
      <c r="P132" s="1231"/>
      <c r="Q132" s="1231"/>
      <c r="R132" s="1231"/>
      <c r="S132" s="1231"/>
      <c r="T132" s="1231"/>
      <c r="U132" s="1231"/>
      <c r="V132" s="1231"/>
      <c r="W132" s="1231"/>
      <c r="X132" s="1227"/>
      <c r="Y132" s="1231"/>
      <c r="Z132" s="1231"/>
      <c r="AA132" s="1231"/>
      <c r="AB132" s="1231"/>
      <c r="AC132" s="1227"/>
      <c r="AD132" s="1231"/>
      <c r="AE132" s="1231"/>
      <c r="AF132" s="1231"/>
      <c r="AG132" s="1231"/>
      <c r="AH132" s="1227"/>
      <c r="AI132" s="1231"/>
      <c r="AJ132" s="1231"/>
      <c r="AK132" s="1231"/>
      <c r="AL132" s="1231"/>
      <c r="AM132" s="1227"/>
      <c r="AN132" s="1231"/>
      <c r="AO132" s="1231"/>
      <c r="AP132" s="1231"/>
      <c r="AQ132" s="1231"/>
      <c r="AR132" s="1227"/>
      <c r="AS132" s="1231"/>
      <c r="AT132" s="1231"/>
      <c r="AU132" s="1231"/>
      <c r="AV132" s="1231"/>
      <c r="AW132" s="1227"/>
      <c r="AX132" s="1231"/>
      <c r="AY132" s="1231"/>
      <c r="AZ132" s="1231"/>
      <c r="BA132" s="1231"/>
      <c r="BB132" s="1227"/>
      <c r="BC132" s="1231"/>
      <c r="BD132" s="1231"/>
      <c r="BE132" s="1231"/>
      <c r="BF132" s="1231"/>
      <c r="BG132" s="1227"/>
      <c r="BH132" s="1231"/>
      <c r="BI132" s="1231"/>
      <c r="BJ132" s="1231"/>
      <c r="BK132" s="1231"/>
      <c r="BL132" s="1326"/>
      <c r="BM132" s="1231"/>
      <c r="BN132" s="1231"/>
      <c r="BO132" s="1231"/>
      <c r="BP132" s="1231"/>
      <c r="BQ132" s="1326">
        <f>BL134</f>
        <v>700</v>
      </c>
      <c r="BR132" s="1231"/>
      <c r="BS132" s="1231"/>
      <c r="BT132" s="1231"/>
      <c r="BU132" s="1231"/>
      <c r="BV132" s="1326">
        <f>BQ134</f>
        <v>700</v>
      </c>
      <c r="BW132" s="1231"/>
      <c r="BX132" s="1231"/>
      <c r="BY132" s="1231"/>
      <c r="BZ132" s="1231"/>
      <c r="CA132" s="1326"/>
      <c r="CB132" s="1223">
        <f>CA134</f>
        <v>0</v>
      </c>
      <c r="CC132" s="1223">
        <f>+CB134</f>
        <v>0</v>
      </c>
      <c r="CD132" s="1223">
        <f>+CC134</f>
        <v>0</v>
      </c>
      <c r="CE132" s="1223">
        <f>+CD134</f>
        <v>0</v>
      </c>
      <c r="CF132" s="1326"/>
      <c r="CG132" s="1223"/>
      <c r="CH132" s="1223"/>
      <c r="CI132" s="1223"/>
      <c r="CJ132" s="1223"/>
      <c r="CK132" s="1326"/>
      <c r="CL132" s="1223"/>
      <c r="CM132" s="1223"/>
      <c r="CN132" s="1223"/>
      <c r="CO132" s="1223">
        <v>0</v>
      </c>
      <c r="CP132" s="1326">
        <f>CK134</f>
        <v>0</v>
      </c>
      <c r="CQ132" s="1223">
        <f>CO134</f>
        <v>750</v>
      </c>
      <c r="CR132" s="1223">
        <f>+CQ134</f>
        <v>750</v>
      </c>
      <c r="CS132" s="1223">
        <f>+CR134</f>
        <v>750</v>
      </c>
      <c r="CT132" s="1223">
        <f>+CS134</f>
        <v>750</v>
      </c>
      <c r="CU132" s="1326">
        <f>CP134</f>
        <v>750</v>
      </c>
      <c r="CV132" s="1223">
        <f>+CT132</f>
        <v>750</v>
      </c>
      <c r="CW132" s="1223">
        <f>+CV134</f>
        <v>750</v>
      </c>
      <c r="CX132" s="1223">
        <f>+CW134</f>
        <v>750</v>
      </c>
      <c r="CY132" s="1223">
        <f>+CX134</f>
        <v>750</v>
      </c>
      <c r="CZ132" s="1326">
        <f>CU134</f>
        <v>750</v>
      </c>
      <c r="DA132" s="1223">
        <f>+CY132</f>
        <v>750</v>
      </c>
      <c r="DB132" s="1223">
        <f>+DA134</f>
        <v>750</v>
      </c>
      <c r="DC132" s="1223">
        <f>+DB134</f>
        <v>750</v>
      </c>
      <c r="DD132" s="1223">
        <f>+DC134</f>
        <v>750</v>
      </c>
      <c r="DE132" s="1326">
        <f>CZ134</f>
        <v>750</v>
      </c>
      <c r="DF132" s="1223">
        <f>+DD132</f>
        <v>750</v>
      </c>
      <c r="DG132" s="1223">
        <f>+DF134</f>
        <v>750</v>
      </c>
      <c r="DH132" s="1223">
        <f>+DG134</f>
        <v>750</v>
      </c>
      <c r="DI132" s="1223">
        <f>+DH134</f>
        <v>750</v>
      </c>
      <c r="DJ132" s="1326">
        <f>DE134</f>
        <v>750</v>
      </c>
      <c r="DK132" s="1223">
        <f>+DI132</f>
        <v>750</v>
      </c>
      <c r="DL132" s="1223">
        <f>+DK134</f>
        <v>750</v>
      </c>
      <c r="DM132" s="1223">
        <f>+DL134</f>
        <v>750</v>
      </c>
      <c r="DN132" s="1223">
        <f>+DM134</f>
        <v>750</v>
      </c>
      <c r="DO132" s="1326">
        <f>DJ134</f>
        <v>750</v>
      </c>
      <c r="DP132" s="1223">
        <f>+DN132</f>
        <v>750</v>
      </c>
      <c r="DQ132" s="1223">
        <f>+DP134</f>
        <v>750</v>
      </c>
      <c r="DR132" s="1223">
        <f>+DQ134</f>
        <v>750</v>
      </c>
      <c r="DS132" s="1223">
        <f>+DR134</f>
        <v>750</v>
      </c>
      <c r="DT132" s="1326">
        <f>DO134</f>
        <v>750</v>
      </c>
      <c r="DU132" s="1223">
        <f>+DS132</f>
        <v>750</v>
      </c>
      <c r="DV132" s="1223">
        <f>+DU134</f>
        <v>750</v>
      </c>
      <c r="DW132" s="1223">
        <f>+DV134</f>
        <v>750</v>
      </c>
      <c r="DX132" s="1223">
        <f>+DW134</f>
        <v>750</v>
      </c>
      <c r="DY132" s="1326">
        <f>DT134</f>
        <v>750</v>
      </c>
    </row>
    <row r="133" spans="1:129" x14ac:dyDescent="0.2">
      <c r="A133" s="1295"/>
      <c r="B133" s="1190" t="s">
        <v>1153</v>
      </c>
      <c r="C133" s="1182"/>
      <c r="D133" s="1182"/>
      <c r="E133" s="1182"/>
      <c r="F133" s="1182"/>
      <c r="G133" s="1182"/>
      <c r="H133" s="1182"/>
      <c r="I133" s="1182"/>
      <c r="J133" s="1182"/>
      <c r="K133" s="1182"/>
      <c r="L133" s="1182"/>
      <c r="M133" s="1182"/>
      <c r="N133" s="1182"/>
      <c r="O133" s="1182"/>
      <c r="P133" s="1182"/>
      <c r="Q133" s="1182"/>
      <c r="R133" s="1182"/>
      <c r="S133" s="1182"/>
      <c r="T133" s="1182"/>
      <c r="U133" s="1182"/>
      <c r="V133" s="1182"/>
      <c r="W133" s="1182"/>
      <c r="X133" s="1296"/>
      <c r="Y133" s="1297"/>
      <c r="Z133" s="1297"/>
      <c r="AA133" s="1297"/>
      <c r="AB133" s="1297"/>
      <c r="AC133" s="1296"/>
      <c r="AD133" s="1297"/>
      <c r="AE133" s="1297"/>
      <c r="AF133" s="1297"/>
      <c r="AG133" s="1297"/>
      <c r="AH133" s="1296"/>
      <c r="AI133" s="1297"/>
      <c r="AJ133" s="1297"/>
      <c r="AK133" s="1297"/>
      <c r="AL133" s="1297"/>
      <c r="AM133" s="1296"/>
      <c r="AN133" s="1297"/>
      <c r="AO133" s="1297"/>
      <c r="AP133" s="1297"/>
      <c r="AQ133" s="1297"/>
      <c r="AR133" s="1296"/>
      <c r="AS133" s="1297"/>
      <c r="AT133" s="1297"/>
      <c r="AU133" s="1297"/>
      <c r="AV133" s="1297"/>
      <c r="AW133" s="1296"/>
      <c r="AX133" s="1298"/>
      <c r="AY133" s="1299"/>
      <c r="AZ133" s="1299"/>
      <c r="BA133" s="1298"/>
      <c r="BB133" s="1300"/>
      <c r="BC133" s="1298"/>
      <c r="BD133" s="1298"/>
      <c r="BE133" s="1298"/>
      <c r="BF133" s="1298"/>
      <c r="BG133" s="1296"/>
      <c r="BH133" s="1298"/>
      <c r="BI133" s="1298"/>
      <c r="BJ133" s="1298"/>
      <c r="BK133" s="1298"/>
      <c r="BL133" s="1335"/>
      <c r="BM133" s="1298"/>
      <c r="BN133" s="1298"/>
      <c r="BO133" s="1298"/>
      <c r="BP133" s="1298"/>
      <c r="BQ133" s="1335">
        <f>BQ134-BQ132</f>
        <v>0</v>
      </c>
      <c r="BR133" s="1298"/>
      <c r="BS133" s="1298"/>
      <c r="BT133" s="1298"/>
      <c r="BU133" s="1298"/>
      <c r="BV133" s="1335">
        <f>BV134-BV132</f>
        <v>0</v>
      </c>
      <c r="BW133" s="1298"/>
      <c r="BX133" s="1298"/>
      <c r="BY133" s="1298"/>
      <c r="BZ133" s="1298"/>
      <c r="CA133" s="1335"/>
      <c r="CB133" s="1336">
        <f>CB134-CB132</f>
        <v>0</v>
      </c>
      <c r="CC133" s="1336">
        <f>CC134-CC132</f>
        <v>0</v>
      </c>
      <c r="CD133" s="1298">
        <v>0</v>
      </c>
      <c r="CE133" s="1298">
        <v>0</v>
      </c>
      <c r="CF133" s="1335"/>
      <c r="CG133" s="1298"/>
      <c r="CH133" s="1298"/>
      <c r="CI133" s="1298"/>
      <c r="CJ133" s="1298"/>
      <c r="CK133" s="1335"/>
      <c r="CL133" s="1298"/>
      <c r="CM133" s="1298"/>
      <c r="CN133" s="1298"/>
      <c r="CO133" s="1298">
        <v>750</v>
      </c>
      <c r="CP133" s="1335">
        <f>+SUM(CL133:CO133)</f>
        <v>750</v>
      </c>
      <c r="CQ133" s="1298">
        <v>0</v>
      </c>
      <c r="CR133" s="1298">
        <v>0</v>
      </c>
      <c r="CS133" s="1298">
        <v>0</v>
      </c>
      <c r="CT133" s="1298">
        <v>0</v>
      </c>
      <c r="CU133" s="1335">
        <f>+SUM(CQ133:CT133)</f>
        <v>0</v>
      </c>
      <c r="CV133" s="1298">
        <v>0</v>
      </c>
      <c r="CW133" s="1298">
        <v>0</v>
      </c>
      <c r="CX133" s="1298">
        <v>0</v>
      </c>
      <c r="CY133" s="1298">
        <v>0</v>
      </c>
      <c r="CZ133" s="1335">
        <f>+SUM(CV133:CY133)</f>
        <v>0</v>
      </c>
      <c r="DA133" s="1298">
        <v>0</v>
      </c>
      <c r="DB133" s="1298">
        <v>0</v>
      </c>
      <c r="DC133" s="1298">
        <v>0</v>
      </c>
      <c r="DD133" s="1298">
        <v>0</v>
      </c>
      <c r="DE133" s="1335">
        <f>+SUM(DA133:DD133)</f>
        <v>0</v>
      </c>
      <c r="DF133" s="1298">
        <v>0</v>
      </c>
      <c r="DG133" s="1298">
        <v>0</v>
      </c>
      <c r="DH133" s="1298">
        <v>0</v>
      </c>
      <c r="DI133" s="1298">
        <v>0</v>
      </c>
      <c r="DJ133" s="1335">
        <f>+SUM(DF133:DI133)</f>
        <v>0</v>
      </c>
      <c r="DK133" s="1298">
        <v>0</v>
      </c>
      <c r="DL133" s="1298">
        <v>0</v>
      </c>
      <c r="DM133" s="1298">
        <v>0</v>
      </c>
      <c r="DN133" s="1298">
        <v>0</v>
      </c>
      <c r="DO133" s="1335">
        <f>+SUM(DK133:DN133)</f>
        <v>0</v>
      </c>
      <c r="DP133" s="1298">
        <v>0</v>
      </c>
      <c r="DQ133" s="1298">
        <v>0</v>
      </c>
      <c r="DR133" s="1298">
        <v>0</v>
      </c>
      <c r="DS133" s="1298">
        <v>0</v>
      </c>
      <c r="DT133" s="1335">
        <f>+SUM(DP133:DS133)</f>
        <v>0</v>
      </c>
      <c r="DU133" s="1298">
        <v>0</v>
      </c>
      <c r="DV133" s="1298">
        <v>0</v>
      </c>
      <c r="DW133" s="1298">
        <v>0</v>
      </c>
      <c r="DX133" s="1298">
        <v>0</v>
      </c>
      <c r="DY133" s="1335">
        <f>+SUM(DU133:DX133)</f>
        <v>0</v>
      </c>
    </row>
    <row r="134" spans="1:129" x14ac:dyDescent="0.2">
      <c r="A134" s="1295"/>
      <c r="B134" s="1190" t="s">
        <v>1154</v>
      </c>
      <c r="C134" s="1182"/>
      <c r="D134" s="1182"/>
      <c r="E134" s="1182"/>
      <c r="F134" s="1182"/>
      <c r="G134" s="1182"/>
      <c r="H134" s="1182"/>
      <c r="I134" s="1182"/>
      <c r="J134" s="1182"/>
      <c r="K134" s="1182"/>
      <c r="L134" s="1182"/>
      <c r="M134" s="1182"/>
      <c r="N134" s="1182"/>
      <c r="O134" s="1182"/>
      <c r="P134" s="1182"/>
      <c r="Q134" s="1182"/>
      <c r="R134" s="1182"/>
      <c r="S134" s="1182"/>
      <c r="T134" s="1182"/>
      <c r="U134" s="1182"/>
      <c r="V134" s="1182"/>
      <c r="W134" s="1182"/>
      <c r="X134" s="1304"/>
      <c r="Y134" s="1305"/>
      <c r="Z134" s="1305"/>
      <c r="AA134" s="1305"/>
      <c r="AB134" s="1305"/>
      <c r="AC134" s="1304"/>
      <c r="AD134" s="1305"/>
      <c r="AE134" s="1305"/>
      <c r="AF134" s="1305"/>
      <c r="AG134" s="1305"/>
      <c r="AH134" s="1304"/>
      <c r="AI134" s="1305"/>
      <c r="AJ134" s="1305"/>
      <c r="AK134" s="1305"/>
      <c r="AL134" s="1305"/>
      <c r="AM134" s="1304"/>
      <c r="AN134" s="1305"/>
      <c r="AO134" s="1305"/>
      <c r="AP134" s="1305"/>
      <c r="AQ134" s="1305"/>
      <c r="AR134" s="1304"/>
      <c r="AS134" s="1305"/>
      <c r="AT134" s="1305"/>
      <c r="AU134" s="1305"/>
      <c r="AV134" s="1305"/>
      <c r="AW134" s="1304"/>
      <c r="AX134" s="1305"/>
      <c r="AY134" s="1305"/>
      <c r="AZ134" s="1305"/>
      <c r="BA134" s="1305"/>
      <c r="BB134" s="1304"/>
      <c r="BC134" s="1305"/>
      <c r="BD134" s="1305"/>
      <c r="BE134" s="1305"/>
      <c r="BF134" s="1305"/>
      <c r="BG134" s="1306"/>
      <c r="BH134" s="1305"/>
      <c r="BI134" s="1305"/>
      <c r="BJ134" s="1305"/>
      <c r="BK134" s="1305"/>
      <c r="BL134" s="1337">
        <v>700</v>
      </c>
      <c r="BM134" s="1305"/>
      <c r="BN134" s="1305"/>
      <c r="BO134" s="1305"/>
      <c r="BP134" s="1305"/>
      <c r="BQ134" s="1337">
        <v>700</v>
      </c>
      <c r="BR134" s="1305"/>
      <c r="BS134" s="1305"/>
      <c r="BT134" s="1305"/>
      <c r="BU134" s="1305"/>
      <c r="BV134" s="1337">
        <v>700</v>
      </c>
      <c r="BW134" s="1305"/>
      <c r="BX134" s="1305"/>
      <c r="BY134" s="1305"/>
      <c r="BZ134" s="1305"/>
      <c r="CA134" s="1337"/>
      <c r="CB134" s="1295">
        <f>CA134</f>
        <v>0</v>
      </c>
      <c r="CC134" s="1226">
        <f>CB134</f>
        <v>0</v>
      </c>
      <c r="CD134" s="1295">
        <f>CD132+CD133</f>
        <v>0</v>
      </c>
      <c r="CE134" s="1295">
        <f>CE132+CE133</f>
        <v>0</v>
      </c>
      <c r="CF134" s="1325"/>
      <c r="CG134" s="1295"/>
      <c r="CH134" s="1295"/>
      <c r="CI134" s="1295"/>
      <c r="CJ134" s="1295"/>
      <c r="CK134" s="1325"/>
      <c r="CL134" s="1295"/>
      <c r="CM134" s="1295"/>
      <c r="CN134" s="1295"/>
      <c r="CO134" s="1295">
        <f t="shared" ref="CO134:CZ134" si="141">CO132+CO133</f>
        <v>750</v>
      </c>
      <c r="CP134" s="1325">
        <f t="shared" si="141"/>
        <v>750</v>
      </c>
      <c r="CQ134" s="1295">
        <f t="shared" si="141"/>
        <v>750</v>
      </c>
      <c r="CR134" s="1295">
        <f t="shared" si="141"/>
        <v>750</v>
      </c>
      <c r="CS134" s="1295">
        <f t="shared" si="141"/>
        <v>750</v>
      </c>
      <c r="CT134" s="1295">
        <f t="shared" si="141"/>
        <v>750</v>
      </c>
      <c r="CU134" s="1325">
        <f t="shared" si="141"/>
        <v>750</v>
      </c>
      <c r="CV134" s="1295">
        <f t="shared" si="141"/>
        <v>750</v>
      </c>
      <c r="CW134" s="1295">
        <f t="shared" si="141"/>
        <v>750</v>
      </c>
      <c r="CX134" s="1295">
        <f t="shared" si="141"/>
        <v>750</v>
      </c>
      <c r="CY134" s="1295">
        <f t="shared" si="141"/>
        <v>750</v>
      </c>
      <c r="CZ134" s="1325">
        <f t="shared" si="141"/>
        <v>750</v>
      </c>
      <c r="DA134" s="1295">
        <f t="shared" ref="DA134:DJ134" si="142">DA132+DA133</f>
        <v>750</v>
      </c>
      <c r="DB134" s="1295">
        <f t="shared" si="142"/>
        <v>750</v>
      </c>
      <c r="DC134" s="1295">
        <f t="shared" si="142"/>
        <v>750</v>
      </c>
      <c r="DD134" s="1295">
        <f t="shared" si="142"/>
        <v>750</v>
      </c>
      <c r="DE134" s="1325">
        <f t="shared" si="142"/>
        <v>750</v>
      </c>
      <c r="DF134" s="1295">
        <f t="shared" si="142"/>
        <v>750</v>
      </c>
      <c r="DG134" s="1295">
        <f t="shared" si="142"/>
        <v>750</v>
      </c>
      <c r="DH134" s="1295">
        <f t="shared" si="142"/>
        <v>750</v>
      </c>
      <c r="DI134" s="1295">
        <f t="shared" si="142"/>
        <v>750</v>
      </c>
      <c r="DJ134" s="1325">
        <f t="shared" si="142"/>
        <v>750</v>
      </c>
      <c r="DK134" s="1295">
        <f t="shared" ref="DK134:DT134" si="143">DK132+DK133</f>
        <v>750</v>
      </c>
      <c r="DL134" s="1295">
        <f t="shared" si="143"/>
        <v>750</v>
      </c>
      <c r="DM134" s="1295">
        <f t="shared" si="143"/>
        <v>750</v>
      </c>
      <c r="DN134" s="1295">
        <f t="shared" si="143"/>
        <v>750</v>
      </c>
      <c r="DO134" s="1325">
        <f t="shared" si="143"/>
        <v>750</v>
      </c>
      <c r="DP134" s="1295">
        <f t="shared" si="143"/>
        <v>750</v>
      </c>
      <c r="DQ134" s="1295">
        <f t="shared" si="143"/>
        <v>750</v>
      </c>
      <c r="DR134" s="1295">
        <f t="shared" si="143"/>
        <v>750</v>
      </c>
      <c r="DS134" s="1295">
        <f t="shared" si="143"/>
        <v>750</v>
      </c>
      <c r="DT134" s="1325">
        <f t="shared" si="143"/>
        <v>750</v>
      </c>
      <c r="DU134" s="1295">
        <f t="shared" ref="DU134:DY134" si="144">DU132+DU133</f>
        <v>750</v>
      </c>
      <c r="DV134" s="1295">
        <f t="shared" si="144"/>
        <v>750</v>
      </c>
      <c r="DW134" s="1295">
        <f t="shared" si="144"/>
        <v>750</v>
      </c>
      <c r="DX134" s="1295">
        <f t="shared" si="144"/>
        <v>750</v>
      </c>
      <c r="DY134" s="1325">
        <f t="shared" si="144"/>
        <v>750</v>
      </c>
    </row>
    <row r="135" spans="1:129" x14ac:dyDescent="0.2">
      <c r="A135" s="1223"/>
      <c r="B135" s="1190" t="s">
        <v>1155</v>
      </c>
      <c r="C135" s="1182"/>
      <c r="D135" s="1182"/>
      <c r="E135" s="1182"/>
      <c r="F135" s="1182"/>
      <c r="G135" s="1182"/>
      <c r="H135" s="1182"/>
      <c r="I135" s="1182"/>
      <c r="J135" s="1182"/>
      <c r="K135" s="1182"/>
      <c r="L135" s="1182"/>
      <c r="M135" s="1182"/>
      <c r="N135" s="1182"/>
      <c r="O135" s="1182"/>
      <c r="P135" s="1182"/>
      <c r="Q135" s="1182"/>
      <c r="R135" s="1182"/>
      <c r="S135" s="1182"/>
      <c r="T135" s="1182"/>
      <c r="U135" s="1182"/>
      <c r="V135" s="1182"/>
      <c r="W135" s="1182"/>
      <c r="X135" s="1227"/>
      <c r="Y135" s="1231"/>
      <c r="Z135" s="1231"/>
      <c r="AA135" s="1231"/>
      <c r="AB135" s="1231"/>
      <c r="AC135" s="1227"/>
      <c r="AD135" s="1231"/>
      <c r="AE135" s="1231"/>
      <c r="AF135" s="1231"/>
      <c r="AG135" s="1231"/>
      <c r="AH135" s="1227"/>
      <c r="AI135" s="1231"/>
      <c r="AJ135" s="1231"/>
      <c r="AK135" s="1231"/>
      <c r="AL135" s="1231"/>
      <c r="AM135" s="1227"/>
      <c r="AN135" s="1231"/>
      <c r="AO135" s="1231"/>
      <c r="AP135" s="1231"/>
      <c r="AQ135" s="1231"/>
      <c r="AR135" s="1227"/>
      <c r="AS135" s="1231"/>
      <c r="AT135" s="1231"/>
      <c r="AU135" s="1231"/>
      <c r="AV135" s="1231"/>
      <c r="AW135" s="1227"/>
      <c r="AX135" s="1231"/>
      <c r="AY135" s="1231"/>
      <c r="AZ135" s="1231"/>
      <c r="BA135" s="1231"/>
      <c r="BB135" s="1227"/>
      <c r="BC135" s="1231"/>
      <c r="BD135" s="1231"/>
      <c r="BE135" s="1231"/>
      <c r="BF135" s="1231"/>
      <c r="BG135" s="1227"/>
      <c r="BH135" s="1231"/>
      <c r="BI135" s="1231"/>
      <c r="BJ135" s="1231"/>
      <c r="BK135" s="1231"/>
      <c r="BL135" s="1326"/>
      <c r="BM135" s="1231"/>
      <c r="BN135" s="1231"/>
      <c r="BO135" s="1231"/>
      <c r="BP135" s="1231"/>
      <c r="BQ135" s="1326"/>
      <c r="BR135" s="1231"/>
      <c r="BS135" s="1231"/>
      <c r="BT135" s="1231"/>
      <c r="BU135" s="1231"/>
      <c r="BV135" s="1326"/>
      <c r="BW135" s="1231"/>
      <c r="BX135" s="1231"/>
      <c r="BY135" s="1231"/>
      <c r="BZ135" s="1231"/>
      <c r="CA135" s="1326"/>
      <c r="CB135" s="1231"/>
      <c r="CC135" s="1231"/>
      <c r="CD135" s="1231"/>
      <c r="CE135" s="1231"/>
      <c r="CF135" s="1326"/>
      <c r="CG135" s="1231"/>
      <c r="CH135" s="1231"/>
      <c r="CI135" s="1231"/>
      <c r="CJ135" s="1231"/>
      <c r="CK135" s="1326"/>
      <c r="CL135" s="1231"/>
      <c r="CM135" s="1231"/>
      <c r="CN135" s="1231"/>
      <c r="CO135" s="1231"/>
      <c r="CP135" s="1326"/>
      <c r="CQ135" s="1231"/>
      <c r="CR135" s="1231"/>
      <c r="CS135" s="1231"/>
      <c r="CT135" s="1231"/>
      <c r="CU135" s="1326"/>
      <c r="CV135" s="1231"/>
      <c r="CW135" s="1231"/>
      <c r="CX135" s="1231"/>
      <c r="CY135" s="1231"/>
      <c r="CZ135" s="1326"/>
      <c r="DA135" s="1231"/>
      <c r="DB135" s="1231"/>
      <c r="DC135" s="1231"/>
      <c r="DD135" s="1231"/>
      <c r="DE135" s="1326"/>
      <c r="DF135" s="1231"/>
      <c r="DG135" s="1231"/>
      <c r="DH135" s="1231"/>
      <c r="DI135" s="1231"/>
      <c r="DJ135" s="1326"/>
      <c r="DK135" s="1231"/>
      <c r="DL135" s="1231"/>
      <c r="DM135" s="1231"/>
      <c r="DN135" s="1231"/>
      <c r="DO135" s="1326"/>
      <c r="DP135" s="1231"/>
      <c r="DQ135" s="1231"/>
      <c r="DR135" s="1231"/>
      <c r="DS135" s="1231"/>
      <c r="DT135" s="1326"/>
      <c r="DU135" s="1231"/>
      <c r="DV135" s="1231"/>
      <c r="DW135" s="1231"/>
      <c r="DX135" s="1231"/>
      <c r="DY135" s="1326"/>
    </row>
    <row r="136" spans="1:129" x14ac:dyDescent="0.2">
      <c r="A136" s="1223"/>
      <c r="B136" s="1190" t="s">
        <v>1156</v>
      </c>
      <c r="C136" s="1182"/>
      <c r="D136" s="1182"/>
      <c r="E136" s="1182"/>
      <c r="F136" s="1182"/>
      <c r="G136" s="1182"/>
      <c r="H136" s="1182"/>
      <c r="I136" s="1182"/>
      <c r="J136" s="1182"/>
      <c r="K136" s="1182"/>
      <c r="L136" s="1182"/>
      <c r="M136" s="1182"/>
      <c r="N136" s="1182"/>
      <c r="O136" s="1182"/>
      <c r="P136" s="1182"/>
      <c r="Q136" s="1182"/>
      <c r="R136" s="1182"/>
      <c r="S136" s="1182"/>
      <c r="T136" s="1182"/>
      <c r="U136" s="1182"/>
      <c r="V136" s="1182"/>
      <c r="W136" s="1182"/>
      <c r="X136" s="1227"/>
      <c r="Y136" s="1231"/>
      <c r="Z136" s="1231"/>
      <c r="AA136" s="1231"/>
      <c r="AB136" s="1231"/>
      <c r="AC136" s="1227"/>
      <c r="AD136" s="1231"/>
      <c r="AE136" s="1231"/>
      <c r="AF136" s="1231"/>
      <c r="AG136" s="1231"/>
      <c r="AH136" s="1227"/>
      <c r="AI136" s="1231"/>
      <c r="AJ136" s="1231"/>
      <c r="AK136" s="1231"/>
      <c r="AL136" s="1231"/>
      <c r="AM136" s="1227"/>
      <c r="AN136" s="1231"/>
      <c r="AO136" s="1231"/>
      <c r="AP136" s="1231"/>
      <c r="AQ136" s="1231"/>
      <c r="AR136" s="1227"/>
      <c r="AS136" s="1231"/>
      <c r="AT136" s="1231"/>
      <c r="AU136" s="1231"/>
      <c r="AV136" s="1231"/>
      <c r="AW136" s="1227"/>
      <c r="AX136" s="1231"/>
      <c r="AY136" s="1231"/>
      <c r="AZ136" s="1231"/>
      <c r="BA136" s="1231"/>
      <c r="BB136" s="1227"/>
      <c r="BC136" s="1231"/>
      <c r="BD136" s="1231"/>
      <c r="BE136" s="1231"/>
      <c r="BF136" s="1231"/>
      <c r="BG136" s="1227"/>
      <c r="BH136" s="1231"/>
      <c r="BI136" s="1231"/>
      <c r="BJ136" s="1231"/>
      <c r="BK136" s="1231"/>
      <c r="BL136" s="1326">
        <f>-(AVERAGE(BL132,BL134))*(BL130)</f>
        <v>-42.875</v>
      </c>
      <c r="BM136" s="1231"/>
      <c r="BN136" s="1231"/>
      <c r="BO136" s="1231"/>
      <c r="BP136" s="1231"/>
      <c r="BQ136" s="1326">
        <f>-(AVERAGE(BQ132,BQ134))*(BQ130)</f>
        <v>-42.875</v>
      </c>
      <c r="BR136" s="1231"/>
      <c r="BS136" s="1231"/>
      <c r="BT136" s="1231"/>
      <c r="BU136" s="1231"/>
      <c r="BV136" s="1326">
        <f>-(AVERAGE(BV132,BV134))*(BV130)</f>
        <v>-42.875</v>
      </c>
      <c r="BW136" s="1231"/>
      <c r="BX136" s="1231"/>
      <c r="BY136" s="1231"/>
      <c r="BZ136" s="1231"/>
      <c r="CA136" s="1326"/>
      <c r="CB136" s="1223">
        <f>-(AVERAGE(CB134,CB132))*(CB130/4)</f>
        <v>0</v>
      </c>
      <c r="CC136" s="1223">
        <f>-(AVERAGE(CC134,CC132))*(CC130/4)</f>
        <v>0</v>
      </c>
      <c r="CD136" s="1223">
        <f>-(AVERAGE(CD134,CD132))*(CD130/4)</f>
        <v>0</v>
      </c>
      <c r="CE136" s="1223">
        <f>-(AVERAGE(CE134,CE132))*(CE130/4)</f>
        <v>0</v>
      </c>
      <c r="CF136" s="1326"/>
      <c r="CG136" s="1223"/>
      <c r="CH136" s="1223"/>
      <c r="CI136" s="1223"/>
      <c r="CJ136" s="1223"/>
      <c r="CK136" s="1326"/>
      <c r="CL136" s="1223"/>
      <c r="CM136" s="1223"/>
      <c r="CN136" s="1223"/>
      <c r="CO136" s="1223">
        <f>-(AVERAGE(CO134,CO132))*(CO130/4)*1/3</f>
        <v>-1.65625</v>
      </c>
      <c r="CP136" s="1326">
        <f>SUM(CL136:CO136)</f>
        <v>-1.65625</v>
      </c>
      <c r="CQ136" s="1223">
        <f>-(AVERAGE(CQ134,CQ132))*(CQ130/4)</f>
        <v>-9.9375</v>
      </c>
      <c r="CR136" s="1223">
        <f>-(AVERAGE(CR134,CR132))*(CR130/4)</f>
        <v>-9.9375</v>
      </c>
      <c r="CS136" s="1223">
        <f>-(AVERAGE(CS134,CS132))*(CS130/4)</f>
        <v>-9.9375</v>
      </c>
      <c r="CT136" s="1223">
        <f>-(AVERAGE(CT134,CT132))*(CT130/4)</f>
        <v>-9.9375</v>
      </c>
      <c r="CU136" s="1326">
        <f>SUM(CQ136:CT136)</f>
        <v>-39.75</v>
      </c>
      <c r="CV136" s="1223">
        <f>-(AVERAGE(CV134,CV132))*(CV130/4)</f>
        <v>-9.9375</v>
      </c>
      <c r="CW136" s="1223">
        <f>-(AVERAGE(CW134,CW132))*(CW130/4)</f>
        <v>-9.9375</v>
      </c>
      <c r="CX136" s="1223">
        <f>-(AVERAGE(CX134,CX132))*(CX130/4)</f>
        <v>-9.9375</v>
      </c>
      <c r="CY136" s="1223">
        <f>-(AVERAGE(CY134,CY132))*(CY130/4)</f>
        <v>-9.9375</v>
      </c>
      <c r="CZ136" s="1326">
        <f>SUM(CV136:CY136)</f>
        <v>-39.75</v>
      </c>
      <c r="DA136" s="1223">
        <f>-(AVERAGE(DA134,DA132))*(DA130/4)</f>
        <v>-9.9375</v>
      </c>
      <c r="DB136" s="1223">
        <f>-(AVERAGE(DB134,DB132))*(DB130/4)</f>
        <v>-9.9375</v>
      </c>
      <c r="DC136" s="1223">
        <f>-(AVERAGE(DC134,DC132))*(DC130/4)</f>
        <v>-9.9375</v>
      </c>
      <c r="DD136" s="1223">
        <f>-(AVERAGE(DD134,DD132))*(DD130/4)</f>
        <v>-9.9375</v>
      </c>
      <c r="DE136" s="1326">
        <f>SUM(DA136:DD136)</f>
        <v>-39.75</v>
      </c>
      <c r="DF136" s="1223">
        <f>-(AVERAGE(DF134,DF132))*(DF130/4)</f>
        <v>-9.9375</v>
      </c>
      <c r="DG136" s="1223">
        <f>-(AVERAGE(DG134,DG132))*(DG130/4)</f>
        <v>-9.9375</v>
      </c>
      <c r="DH136" s="1223">
        <f>-(AVERAGE(DH134,DH132))*(DH130/4)</f>
        <v>-9.9375</v>
      </c>
      <c r="DI136" s="1223">
        <f>-(AVERAGE(DI134,DI132))*(DI130/4)</f>
        <v>-9.9375</v>
      </c>
      <c r="DJ136" s="1326">
        <f>SUM(DF136:DI136)</f>
        <v>-39.75</v>
      </c>
      <c r="DK136" s="1223">
        <f>-(AVERAGE(DK134,DK132))*(DK130/4)</f>
        <v>-9.9375</v>
      </c>
      <c r="DL136" s="1223">
        <f>-(AVERAGE(DL134,DL132))*(DL130/4)</f>
        <v>-9.9375</v>
      </c>
      <c r="DM136" s="1223">
        <f>-(AVERAGE(DM134,DM132))*(DM130/4)</f>
        <v>-9.9375</v>
      </c>
      <c r="DN136" s="1223">
        <f>-(AVERAGE(DN134,DN132))*(DN130/4)</f>
        <v>-9.9375</v>
      </c>
      <c r="DO136" s="1326">
        <f>SUM(DK136:DN136)</f>
        <v>-39.75</v>
      </c>
      <c r="DP136" s="1223">
        <f>-(AVERAGE(DP134,DP132))*(DP130/4)</f>
        <v>-9.9375</v>
      </c>
      <c r="DQ136" s="1223">
        <f>-(AVERAGE(DQ134,DQ132))*(DQ130/4)</f>
        <v>-9.9375</v>
      </c>
      <c r="DR136" s="1223">
        <f>-(AVERAGE(DR134,DR132))*(DR130/4)</f>
        <v>-9.9375</v>
      </c>
      <c r="DS136" s="1223">
        <f>-(AVERAGE(DS134,DS132))*(DS130/4)</f>
        <v>-9.9375</v>
      </c>
      <c r="DT136" s="1326">
        <f>SUM(DP136:DS136)</f>
        <v>-39.75</v>
      </c>
      <c r="DU136" s="1223">
        <f>-(AVERAGE(DU134,DU132))*(DU130/4)</f>
        <v>-9.9375</v>
      </c>
      <c r="DV136" s="1223">
        <f>-(AVERAGE(DV134,DV132))*(DV130/4)</f>
        <v>-9.9375</v>
      </c>
      <c r="DW136" s="1223">
        <f>-(AVERAGE(DW134,DW132))*(DW130/4)</f>
        <v>-9.9375</v>
      </c>
      <c r="DX136" s="1223">
        <f>-(AVERAGE(DX134,DX132))*(DX130/4)</f>
        <v>-9.9375</v>
      </c>
      <c r="DY136" s="1326">
        <f>SUM(DU136:DX136)</f>
        <v>-39.75</v>
      </c>
    </row>
    <row r="137" spans="1:129" ht="12" thickBot="1" x14ac:dyDescent="0.25">
      <c r="A137" s="1223"/>
      <c r="B137" s="1250" t="s">
        <v>1157</v>
      </c>
      <c r="C137" s="1251"/>
      <c r="D137" s="1251"/>
      <c r="E137" s="1251"/>
      <c r="F137" s="1251"/>
      <c r="G137" s="1251"/>
      <c r="H137" s="1251"/>
      <c r="I137" s="1251"/>
      <c r="J137" s="1251"/>
      <c r="K137" s="1251"/>
      <c r="L137" s="1251"/>
      <c r="M137" s="1251"/>
      <c r="N137" s="1251"/>
      <c r="O137" s="1251"/>
      <c r="P137" s="1251"/>
      <c r="Q137" s="1251"/>
      <c r="R137" s="1251"/>
      <c r="S137" s="1251"/>
      <c r="T137" s="1251"/>
      <c r="U137" s="1251"/>
      <c r="V137" s="1251"/>
      <c r="W137" s="1251"/>
      <c r="X137" s="1252"/>
      <c r="Y137" s="1251"/>
      <c r="Z137" s="1251"/>
      <c r="AA137" s="1251"/>
      <c r="AB137" s="1251"/>
      <c r="AC137" s="1252"/>
      <c r="AD137" s="1251"/>
      <c r="AE137" s="1251"/>
      <c r="AF137" s="1251"/>
      <c r="AG137" s="1251"/>
      <c r="AH137" s="1252"/>
      <c r="AI137" s="1251"/>
      <c r="AJ137" s="1251"/>
      <c r="AK137" s="1251"/>
      <c r="AL137" s="1251"/>
      <c r="AM137" s="1252"/>
      <c r="AN137" s="1251"/>
      <c r="AO137" s="1251"/>
      <c r="AP137" s="1251"/>
      <c r="AQ137" s="1253"/>
      <c r="AR137" s="1252"/>
      <c r="AS137" s="1253"/>
      <c r="AT137" s="1253"/>
      <c r="AU137" s="1253"/>
      <c r="AV137" s="1253"/>
      <c r="AW137" s="1252"/>
      <c r="AX137" s="1253"/>
      <c r="AY137" s="1253"/>
      <c r="AZ137" s="1253"/>
      <c r="BA137" s="1253"/>
      <c r="BB137" s="1252"/>
      <c r="BC137" s="1253"/>
      <c r="BD137" s="1253"/>
      <c r="BE137" s="1253"/>
      <c r="BF137" s="1253"/>
      <c r="BG137" s="1252"/>
      <c r="BH137" s="1253"/>
      <c r="BI137" s="1253"/>
      <c r="BJ137" s="1253"/>
      <c r="BK137" s="1253"/>
      <c r="BL137" s="1327"/>
      <c r="BM137" s="1253"/>
      <c r="BN137" s="1253"/>
      <c r="BO137" s="1253"/>
      <c r="BP137" s="1253"/>
      <c r="BQ137" s="1327"/>
      <c r="BR137" s="1253"/>
      <c r="BS137" s="1253"/>
      <c r="BT137" s="1253"/>
      <c r="BU137" s="1253"/>
      <c r="BV137" s="1327"/>
      <c r="BW137" s="1253"/>
      <c r="BX137" s="1253"/>
      <c r="BY137" s="1253"/>
      <c r="BZ137" s="1253"/>
      <c r="CA137" s="1327"/>
      <c r="CB137" s="1253">
        <f>-CB129*CB135/4</f>
        <v>0</v>
      </c>
      <c r="CC137" s="1253">
        <f>-CC129*CC135/4</f>
        <v>0</v>
      </c>
      <c r="CD137" s="1253">
        <f>-CD129*CD135/4</f>
        <v>0</v>
      </c>
      <c r="CE137" s="1253">
        <f>-CE129*CE135/4</f>
        <v>0</v>
      </c>
      <c r="CF137" s="1327"/>
      <c r="CG137" s="1253"/>
      <c r="CH137" s="1253"/>
      <c r="CI137" s="1253"/>
      <c r="CJ137" s="1253"/>
      <c r="CK137" s="1327"/>
      <c r="CL137" s="1253"/>
      <c r="CM137" s="1253"/>
      <c r="CN137" s="1253"/>
      <c r="CO137" s="1253">
        <f>-CO129*CO135/4</f>
        <v>0</v>
      </c>
      <c r="CP137" s="1327"/>
      <c r="CQ137" s="1253">
        <f>-CQ129*CQ135/4</f>
        <v>0</v>
      </c>
      <c r="CR137" s="1253">
        <f>-CR129*CR135/4</f>
        <v>0</v>
      </c>
      <c r="CS137" s="1253">
        <f>-CS129*CS135/4</f>
        <v>0</v>
      </c>
      <c r="CT137" s="1253">
        <f>-CT129*CT135/4</f>
        <v>0</v>
      </c>
      <c r="CU137" s="1327"/>
      <c r="CV137" s="1253">
        <f>-CV129*CV135/4</f>
        <v>0</v>
      </c>
      <c r="CW137" s="1253">
        <f>-CW129*CW135/4</f>
        <v>0</v>
      </c>
      <c r="CX137" s="1253">
        <f>-CX129*CX135/4</f>
        <v>0</v>
      </c>
      <c r="CY137" s="1253">
        <f>-CY129*CY135/4</f>
        <v>0</v>
      </c>
      <c r="CZ137" s="1327"/>
      <c r="DA137" s="1253">
        <f>-DA129*DA135/4</f>
        <v>0</v>
      </c>
      <c r="DB137" s="1253">
        <f>-DB129*DB135/4</f>
        <v>0</v>
      </c>
      <c r="DC137" s="1253">
        <f>-DC129*DC135/4</f>
        <v>0</v>
      </c>
      <c r="DD137" s="1253">
        <f>-DD129*DD135/4</f>
        <v>0</v>
      </c>
      <c r="DE137" s="1327"/>
      <c r="DF137" s="1253">
        <f>-DF129*DF135/4</f>
        <v>0</v>
      </c>
      <c r="DG137" s="1253">
        <f>-DG129*DG135/4</f>
        <v>0</v>
      </c>
      <c r="DH137" s="1253">
        <f>-DH129*DH135/4</f>
        <v>0</v>
      </c>
      <c r="DI137" s="1253">
        <f>-DI129*DI135/4</f>
        <v>0</v>
      </c>
      <c r="DJ137" s="1327"/>
      <c r="DK137" s="1253">
        <f>-DK129*DK135/4</f>
        <v>0</v>
      </c>
      <c r="DL137" s="1253">
        <f>-DL129*DL135/4</f>
        <v>0</v>
      </c>
      <c r="DM137" s="1253">
        <f>-DM129*DM135/4</f>
        <v>0</v>
      </c>
      <c r="DN137" s="1253">
        <f>-DN129*DN135/4</f>
        <v>0</v>
      </c>
      <c r="DO137" s="1327"/>
      <c r="DP137" s="1253">
        <f>-DP129*DP135/4</f>
        <v>0</v>
      </c>
      <c r="DQ137" s="1253">
        <f>-DQ129*DQ135/4</f>
        <v>0</v>
      </c>
      <c r="DR137" s="1253">
        <f>-DR129*DR135/4</f>
        <v>0</v>
      </c>
      <c r="DS137" s="1253">
        <f>-DS129*DS135/4</f>
        <v>0</v>
      </c>
      <c r="DT137" s="1327"/>
      <c r="DU137" s="1253">
        <f>-DU129*DU135/4</f>
        <v>0</v>
      </c>
      <c r="DV137" s="1253">
        <f>-DV129*DV135/4</f>
        <v>0</v>
      </c>
      <c r="DW137" s="1253">
        <f>-DW129*DW135/4</f>
        <v>0</v>
      </c>
      <c r="DX137" s="1253">
        <f>-DX129*DX135/4</f>
        <v>0</v>
      </c>
      <c r="DY137" s="1327"/>
    </row>
    <row r="138" spans="1:129" ht="12" thickBot="1" x14ac:dyDescent="0.25">
      <c r="A138" s="1240"/>
      <c r="B138" s="1240"/>
      <c r="C138" s="1214"/>
      <c r="D138" s="1214"/>
      <c r="E138" s="1214"/>
      <c r="F138" s="1214"/>
      <c r="G138" s="1214"/>
      <c r="H138" s="1214"/>
      <c r="I138" s="1214"/>
      <c r="J138" s="1214"/>
      <c r="K138" s="1214"/>
      <c r="L138" s="1214"/>
      <c r="M138" s="1214"/>
      <c r="N138" s="1214"/>
      <c r="O138" s="1214"/>
      <c r="P138" s="1214"/>
      <c r="Q138" s="1214"/>
      <c r="R138" s="1214"/>
      <c r="S138" s="1214"/>
      <c r="T138" s="1214"/>
      <c r="U138" s="1214"/>
      <c r="V138" s="1214"/>
      <c r="W138" s="1214"/>
      <c r="X138" s="1214"/>
      <c r="Y138" s="1214"/>
      <c r="Z138" s="1214"/>
      <c r="AA138" s="1214"/>
      <c r="AB138" s="1214"/>
      <c r="AC138" s="1214"/>
      <c r="AD138" s="1214"/>
      <c r="AE138" s="1214"/>
      <c r="AF138" s="1214"/>
      <c r="AG138" s="1214"/>
      <c r="AH138" s="1214"/>
      <c r="AI138" s="1214"/>
      <c r="AJ138" s="1214"/>
      <c r="AK138" s="1214"/>
      <c r="AL138" s="1214"/>
      <c r="AM138" s="1214"/>
      <c r="AN138" s="1214"/>
      <c r="AO138" s="1214"/>
      <c r="AP138" s="1214"/>
      <c r="AQ138" s="1215"/>
      <c r="AR138" s="1215"/>
      <c r="AS138" s="1215"/>
      <c r="AT138" s="1215"/>
      <c r="AU138" s="1215"/>
      <c r="AV138" s="1215"/>
      <c r="AW138" s="1338"/>
      <c r="AX138" s="1215"/>
      <c r="AY138" s="1215"/>
      <c r="AZ138" s="1215"/>
      <c r="BA138" s="1215"/>
      <c r="BB138" s="1338"/>
      <c r="BC138" s="1215"/>
      <c r="BD138" s="1215"/>
      <c r="BE138" s="1215"/>
      <c r="BF138" s="1215"/>
      <c r="BG138" s="1338"/>
      <c r="BH138" s="1215"/>
      <c r="BI138" s="1215"/>
      <c r="BJ138" s="1215"/>
      <c r="BK138" s="1215"/>
      <c r="BL138" s="1338"/>
      <c r="BM138" s="1215"/>
      <c r="BN138" s="1215"/>
      <c r="BO138" s="1215"/>
      <c r="BP138" s="1215"/>
      <c r="BQ138" s="1338"/>
      <c r="BR138" s="1215"/>
      <c r="BS138" s="1215"/>
      <c r="BT138" s="1215"/>
      <c r="BU138" s="1215"/>
      <c r="BV138" s="1338"/>
      <c r="BW138" s="1215"/>
      <c r="BX138" s="1215"/>
      <c r="BY138" s="1215"/>
      <c r="BZ138" s="1215"/>
      <c r="CA138" s="1338"/>
      <c r="CB138" s="1215"/>
      <c r="CC138" s="1215"/>
      <c r="CD138" s="1215"/>
      <c r="CE138" s="1215"/>
      <c r="CF138" s="1338"/>
      <c r="CG138" s="1215"/>
      <c r="CH138" s="1215"/>
      <c r="CI138" s="1215"/>
      <c r="CJ138" s="1215"/>
      <c r="CK138" s="1338"/>
      <c r="CL138" s="1215"/>
      <c r="CM138" s="1215"/>
      <c r="CN138" s="1215"/>
      <c r="CO138" s="1215"/>
      <c r="CP138" s="1338"/>
      <c r="CQ138" s="1215"/>
      <c r="CR138" s="1215"/>
      <c r="CS138" s="1215"/>
      <c r="CT138" s="1215"/>
      <c r="CU138" s="1338"/>
      <c r="CV138" s="1215"/>
      <c r="CW138" s="1215"/>
      <c r="CX138" s="1215"/>
      <c r="CY138" s="1215"/>
      <c r="CZ138" s="1338"/>
      <c r="DA138" s="1215"/>
      <c r="DB138" s="1215"/>
      <c r="DC138" s="1215"/>
      <c r="DD138" s="1215"/>
      <c r="DE138" s="1338"/>
      <c r="DF138" s="1215"/>
      <c r="DG138" s="1215"/>
      <c r="DH138" s="1215"/>
      <c r="DI138" s="1215"/>
      <c r="DJ138" s="1338"/>
      <c r="DK138" s="1215"/>
      <c r="DL138" s="1215"/>
      <c r="DM138" s="1215"/>
      <c r="DN138" s="1215"/>
      <c r="DO138" s="1338"/>
      <c r="DP138" s="1215"/>
      <c r="DQ138" s="1215"/>
      <c r="DR138" s="1215"/>
      <c r="DS138" s="1215"/>
      <c r="DT138" s="1338"/>
      <c r="DU138" s="1215"/>
      <c r="DV138" s="1215"/>
      <c r="DW138" s="1215"/>
      <c r="DX138" s="1215"/>
      <c r="DY138" s="1338"/>
    </row>
    <row r="139" spans="1:129" ht="12" thickBot="1" x14ac:dyDescent="0.25">
      <c r="A139" s="1123"/>
      <c r="B139" s="1282" t="s">
        <v>1162</v>
      </c>
      <c r="C139" s="1328"/>
      <c r="D139" s="1329"/>
      <c r="E139" s="1329"/>
      <c r="F139" s="1329"/>
      <c r="G139" s="1329"/>
      <c r="H139" s="1329"/>
      <c r="I139" s="1329"/>
      <c r="J139" s="1329"/>
      <c r="K139" s="1329"/>
      <c r="L139" s="1329"/>
      <c r="M139" s="1329"/>
      <c r="N139" s="1329"/>
      <c r="O139" s="1329"/>
      <c r="P139" s="1329"/>
      <c r="Q139" s="1329"/>
      <c r="R139" s="1329"/>
      <c r="S139" s="1329"/>
      <c r="T139" s="1329"/>
      <c r="U139" s="1329"/>
      <c r="V139" s="1329"/>
      <c r="W139" s="1329"/>
      <c r="X139" s="1328"/>
      <c r="Y139" s="1328"/>
      <c r="Z139" s="1328"/>
      <c r="AA139" s="1328"/>
      <c r="AB139" s="1328"/>
      <c r="AC139" s="1328"/>
      <c r="AD139" s="1328"/>
      <c r="AE139" s="1328"/>
      <c r="AF139" s="1328"/>
      <c r="AG139" s="1328"/>
      <c r="AH139" s="1328"/>
      <c r="AI139" s="1328"/>
      <c r="AJ139" s="1328"/>
      <c r="AK139" s="1328"/>
      <c r="AL139" s="1328"/>
      <c r="AM139" s="1328"/>
      <c r="AN139" s="1328"/>
      <c r="AO139" s="1328"/>
      <c r="AP139" s="1328"/>
      <c r="AQ139" s="1330"/>
      <c r="AR139" s="1330"/>
      <c r="AS139" s="1330"/>
      <c r="AT139" s="1331"/>
      <c r="AU139" s="1331"/>
      <c r="AV139" s="1331"/>
      <c r="AW139" s="1330"/>
      <c r="AX139" s="1330"/>
      <c r="AY139" s="1330"/>
      <c r="AZ139" s="1330"/>
      <c r="BA139" s="1330"/>
      <c r="BB139" s="1330"/>
      <c r="BC139" s="1330"/>
      <c r="BD139" s="1330"/>
      <c r="BE139" s="1330"/>
      <c r="BF139" s="1330"/>
      <c r="BG139" s="1330"/>
      <c r="BH139" s="1330"/>
      <c r="BI139" s="1330"/>
      <c r="BJ139" s="1330"/>
      <c r="BK139" s="1330"/>
    </row>
    <row r="140" spans="1:129" x14ac:dyDescent="0.2">
      <c r="A140" s="532"/>
      <c r="B140" s="1287" t="s">
        <v>1149</v>
      </c>
      <c r="C140" s="650"/>
      <c r="D140" s="650"/>
      <c r="E140" s="650"/>
      <c r="F140" s="650"/>
      <c r="G140" s="650"/>
      <c r="H140" s="650"/>
      <c r="I140" s="650"/>
      <c r="J140" s="650"/>
      <c r="K140" s="650"/>
      <c r="L140" s="650"/>
      <c r="M140" s="650"/>
      <c r="N140" s="650"/>
      <c r="O140" s="650"/>
      <c r="P140" s="650"/>
      <c r="Q140" s="650"/>
      <c r="R140" s="650"/>
      <c r="S140" s="650"/>
      <c r="T140" s="650"/>
      <c r="U140" s="650"/>
      <c r="V140" s="650"/>
      <c r="W140" s="650"/>
      <c r="X140" s="1288"/>
      <c r="Y140" s="650"/>
      <c r="Z140" s="650"/>
      <c r="AA140" s="650"/>
      <c r="AB140" s="650"/>
      <c r="AC140" s="1288"/>
      <c r="AD140" s="650"/>
      <c r="AE140" s="650"/>
      <c r="AF140" s="650"/>
      <c r="AG140" s="650"/>
      <c r="AH140" s="1288"/>
      <c r="AI140" s="650"/>
      <c r="AJ140" s="650"/>
      <c r="AK140" s="650"/>
      <c r="AL140" s="650"/>
      <c r="AM140" s="1288"/>
      <c r="AN140" s="650"/>
      <c r="AO140" s="650"/>
      <c r="AP140" s="650"/>
      <c r="AQ140" s="650"/>
      <c r="AR140" s="1288"/>
      <c r="AS140" s="650"/>
      <c r="AT140" s="650"/>
      <c r="AU140" s="650"/>
      <c r="AV140" s="650"/>
      <c r="AW140" s="1288"/>
      <c r="AX140" s="650"/>
      <c r="AY140" s="650"/>
      <c r="AZ140" s="650"/>
      <c r="BA140" s="650"/>
      <c r="BB140" s="1288"/>
      <c r="BC140" s="650"/>
      <c r="BD140" s="650"/>
      <c r="BE140" s="650"/>
      <c r="BF140" s="650"/>
      <c r="BG140" s="1288"/>
      <c r="BH140" s="650"/>
      <c r="BI140" s="650"/>
      <c r="BJ140" s="650"/>
      <c r="BK140" s="650"/>
      <c r="BL140" s="1315"/>
      <c r="BM140" s="1291"/>
      <c r="BN140" s="1291"/>
      <c r="BO140" s="1291"/>
      <c r="BP140" s="1291"/>
      <c r="BQ140" s="1315"/>
      <c r="BR140" s="1291"/>
      <c r="BS140" s="1291"/>
      <c r="BT140" s="1291"/>
      <c r="BU140" s="1291"/>
      <c r="BV140" s="1315"/>
      <c r="BW140" s="1291"/>
      <c r="BX140" s="1291"/>
      <c r="BY140" s="1291"/>
      <c r="BZ140" s="1291"/>
      <c r="CA140" s="1315"/>
      <c r="CB140" s="1291"/>
      <c r="CC140" s="1291"/>
      <c r="CD140" s="1291"/>
      <c r="CE140" s="1291"/>
      <c r="CF140" s="1315"/>
      <c r="CG140" s="1291"/>
      <c r="CH140" s="1291"/>
      <c r="CI140" s="1291"/>
      <c r="CJ140" s="1291"/>
      <c r="CK140" s="1315"/>
      <c r="CL140" s="1291"/>
      <c r="CM140" s="1291"/>
      <c r="CN140" s="1291"/>
      <c r="CO140" s="1291"/>
      <c r="CP140" s="1315"/>
      <c r="CQ140" s="1291"/>
      <c r="CR140" s="1291"/>
      <c r="CS140" s="1291"/>
      <c r="CT140" s="1291"/>
      <c r="CU140" s="1315"/>
      <c r="CV140" s="1291"/>
      <c r="CW140" s="1291"/>
      <c r="CX140" s="1291"/>
      <c r="CY140" s="1291"/>
      <c r="CZ140" s="1315"/>
      <c r="DA140" s="1291"/>
      <c r="DB140" s="1291"/>
      <c r="DC140" s="1291"/>
      <c r="DD140" s="1291"/>
      <c r="DE140" s="1315"/>
      <c r="DF140" s="1291"/>
      <c r="DG140" s="1291"/>
      <c r="DH140" s="1291"/>
      <c r="DI140" s="1291"/>
      <c r="DJ140" s="1315"/>
      <c r="DK140" s="1291"/>
      <c r="DL140" s="1291"/>
      <c r="DM140" s="1291"/>
      <c r="DN140" s="1291"/>
      <c r="DO140" s="1315"/>
      <c r="DP140" s="1291"/>
      <c r="DQ140" s="1291"/>
      <c r="DR140" s="1291"/>
      <c r="DS140" s="1291"/>
      <c r="DT140" s="1315"/>
      <c r="DU140" s="1291"/>
      <c r="DV140" s="1291"/>
      <c r="DW140" s="1291"/>
      <c r="DX140" s="1291"/>
      <c r="DY140" s="1315"/>
    </row>
    <row r="141" spans="1:129" x14ac:dyDescent="0.2">
      <c r="A141" s="532"/>
      <c r="B141" s="1287" t="s">
        <v>1150</v>
      </c>
      <c r="C141" s="650"/>
      <c r="D141" s="650"/>
      <c r="E141" s="650"/>
      <c r="F141" s="650"/>
      <c r="G141" s="650"/>
      <c r="H141" s="650"/>
      <c r="I141" s="650"/>
      <c r="J141" s="650"/>
      <c r="K141" s="650"/>
      <c r="L141" s="650"/>
      <c r="M141" s="650"/>
      <c r="N141" s="650"/>
      <c r="O141" s="650"/>
      <c r="P141" s="650"/>
      <c r="Q141" s="650"/>
      <c r="R141" s="650"/>
      <c r="S141" s="650"/>
      <c r="T141" s="650"/>
      <c r="U141" s="650"/>
      <c r="V141" s="650"/>
      <c r="W141" s="650"/>
      <c r="X141" s="1288"/>
      <c r="Y141" s="650"/>
      <c r="Z141" s="650"/>
      <c r="AA141" s="650"/>
      <c r="AB141" s="650"/>
      <c r="AC141" s="1288"/>
      <c r="AD141" s="650"/>
      <c r="AE141" s="650"/>
      <c r="AF141" s="650"/>
      <c r="AG141" s="650"/>
      <c r="AH141" s="1288"/>
      <c r="AI141" s="650"/>
      <c r="AJ141" s="650"/>
      <c r="AK141" s="650"/>
      <c r="AL141" s="650"/>
      <c r="AM141" s="1288"/>
      <c r="AN141" s="650"/>
      <c r="AO141" s="650"/>
      <c r="AP141" s="650"/>
      <c r="AQ141" s="650"/>
      <c r="AR141" s="1288"/>
      <c r="AS141" s="650"/>
      <c r="AT141" s="650"/>
      <c r="AU141" s="650"/>
      <c r="AV141" s="650"/>
      <c r="AW141" s="1288"/>
      <c r="AX141" s="650"/>
      <c r="AY141" s="650"/>
      <c r="AZ141" s="650"/>
      <c r="BA141" s="650"/>
      <c r="BB141" s="1288"/>
      <c r="BC141" s="650"/>
      <c r="BD141" s="650"/>
      <c r="BE141" s="650"/>
      <c r="BF141" s="650"/>
      <c r="BG141" s="1289"/>
      <c r="BH141" s="650"/>
      <c r="BI141" s="650"/>
      <c r="BJ141" s="650"/>
      <c r="BK141" s="650"/>
      <c r="BL141" s="1290"/>
      <c r="BM141" s="1291"/>
      <c r="BN141" s="1291"/>
      <c r="BO141" s="1291"/>
      <c r="BP141" s="1291"/>
      <c r="BQ141" s="1290"/>
      <c r="BR141" s="1291"/>
      <c r="BS141" s="1291"/>
      <c r="BT141" s="1291"/>
      <c r="BU141" s="1291"/>
      <c r="BV141" s="1290">
        <v>0.02</v>
      </c>
      <c r="BW141" s="1291"/>
      <c r="BX141" s="1291"/>
      <c r="BY141" s="1291"/>
      <c r="BZ141" s="1291"/>
      <c r="CA141" s="1290">
        <v>0.02</v>
      </c>
      <c r="CB141" s="1292">
        <v>0.02</v>
      </c>
      <c r="CC141" s="1292">
        <v>0.02</v>
      </c>
      <c r="CD141" s="1292">
        <v>0.02</v>
      </c>
      <c r="CE141" s="1292">
        <v>0.02</v>
      </c>
      <c r="CF141" s="1290"/>
      <c r="CG141" s="1292">
        <v>1.4999999999999999E-2</v>
      </c>
      <c r="CH141" s="1292">
        <v>1.4999999999999999E-2</v>
      </c>
      <c r="CI141" s="1292">
        <v>1.4999999999999999E-2</v>
      </c>
      <c r="CJ141" s="1292">
        <v>1.4999999999999999E-2</v>
      </c>
      <c r="CK141" s="1290"/>
      <c r="CL141" s="1292">
        <f>CJ141</f>
        <v>1.4999999999999999E-2</v>
      </c>
      <c r="CM141" s="1292">
        <f>CL141</f>
        <v>1.4999999999999999E-2</v>
      </c>
      <c r="CN141" s="1292">
        <f>CM141</f>
        <v>1.4999999999999999E-2</v>
      </c>
      <c r="CO141" s="1292">
        <f>CN141</f>
        <v>1.4999999999999999E-2</v>
      </c>
      <c r="CP141" s="1290"/>
      <c r="CQ141" s="1292">
        <f>CO141</f>
        <v>1.4999999999999999E-2</v>
      </c>
      <c r="CR141" s="1292">
        <f>CQ141</f>
        <v>1.4999999999999999E-2</v>
      </c>
      <c r="CS141" s="1292">
        <f>CR141</f>
        <v>1.4999999999999999E-2</v>
      </c>
      <c r="CT141" s="1292">
        <f>CS141</f>
        <v>1.4999999999999999E-2</v>
      </c>
      <c r="CU141" s="1290"/>
      <c r="CV141" s="1292">
        <f>CT141</f>
        <v>1.4999999999999999E-2</v>
      </c>
      <c r="CW141" s="1292">
        <f>CV141</f>
        <v>1.4999999999999999E-2</v>
      </c>
      <c r="CX141" s="1292">
        <f>CW141</f>
        <v>1.4999999999999999E-2</v>
      </c>
      <c r="CY141" s="1292">
        <f>CX141</f>
        <v>1.4999999999999999E-2</v>
      </c>
      <c r="CZ141" s="1290"/>
      <c r="DA141" s="1292">
        <f>CY141</f>
        <v>1.4999999999999999E-2</v>
      </c>
      <c r="DB141" s="1292">
        <f>DA141</f>
        <v>1.4999999999999999E-2</v>
      </c>
      <c r="DC141" s="1292">
        <f>DB141</f>
        <v>1.4999999999999999E-2</v>
      </c>
      <c r="DD141" s="1292">
        <f>DC141</f>
        <v>1.4999999999999999E-2</v>
      </c>
      <c r="DE141" s="1290"/>
      <c r="DF141" s="1292">
        <f>DD141</f>
        <v>1.4999999999999999E-2</v>
      </c>
      <c r="DG141" s="1292">
        <f>DF141</f>
        <v>1.4999999999999999E-2</v>
      </c>
      <c r="DH141" s="1292">
        <f>DG141</f>
        <v>1.4999999999999999E-2</v>
      </c>
      <c r="DI141" s="1292">
        <f>DH141</f>
        <v>1.4999999999999999E-2</v>
      </c>
      <c r="DJ141" s="1290"/>
      <c r="DK141" s="1292">
        <f>DI141</f>
        <v>1.4999999999999999E-2</v>
      </c>
      <c r="DL141" s="1292">
        <f>DK141</f>
        <v>1.4999999999999999E-2</v>
      </c>
      <c r="DM141" s="1292">
        <f>DL141</f>
        <v>1.4999999999999999E-2</v>
      </c>
      <c r="DN141" s="1292">
        <f>DM141</f>
        <v>1.4999999999999999E-2</v>
      </c>
      <c r="DO141" s="1290"/>
      <c r="DP141" s="1292">
        <f>DN141</f>
        <v>1.4999999999999999E-2</v>
      </c>
      <c r="DQ141" s="1292">
        <f>DP141</f>
        <v>1.4999999999999999E-2</v>
      </c>
      <c r="DR141" s="1292">
        <f>DQ141</f>
        <v>1.4999999999999999E-2</v>
      </c>
      <c r="DS141" s="1292">
        <f>DR141</f>
        <v>1.4999999999999999E-2</v>
      </c>
      <c r="DT141" s="1290"/>
      <c r="DU141" s="1292">
        <f>DS141</f>
        <v>1.4999999999999999E-2</v>
      </c>
      <c r="DV141" s="1292">
        <f>DU141</f>
        <v>1.4999999999999999E-2</v>
      </c>
      <c r="DW141" s="1292">
        <f>DV141</f>
        <v>1.4999999999999999E-2</v>
      </c>
      <c r="DX141" s="1292">
        <f>DW141</f>
        <v>1.4999999999999999E-2</v>
      </c>
      <c r="DY141" s="1290"/>
    </row>
    <row r="142" spans="1:129" x14ac:dyDescent="0.2">
      <c r="A142" s="1223"/>
      <c r="B142" s="1190" t="s">
        <v>1151</v>
      </c>
      <c r="C142" s="1293"/>
      <c r="D142" s="1293"/>
      <c r="E142" s="1293"/>
      <c r="F142" s="1293"/>
      <c r="G142" s="1293"/>
      <c r="H142" s="1293"/>
      <c r="I142" s="1293"/>
      <c r="J142" s="1293"/>
      <c r="K142" s="1293"/>
      <c r="L142" s="1293"/>
      <c r="M142" s="1293"/>
      <c r="N142" s="1293"/>
      <c r="O142" s="1293"/>
      <c r="P142" s="1293"/>
      <c r="Q142" s="1293"/>
      <c r="R142" s="1293"/>
      <c r="S142" s="1293"/>
      <c r="T142" s="1293"/>
      <c r="U142" s="1293"/>
      <c r="V142" s="1293"/>
      <c r="W142" s="1293"/>
      <c r="X142" s="1227"/>
      <c r="Y142" s="1231"/>
      <c r="Z142" s="1231"/>
      <c r="AA142" s="1231"/>
      <c r="AB142" s="1294"/>
      <c r="AC142" s="1227"/>
      <c r="AD142" s="1231"/>
      <c r="AE142" s="1231"/>
      <c r="AF142" s="1231"/>
      <c r="AG142" s="1294"/>
      <c r="AH142" s="1227"/>
      <c r="AI142" s="1231"/>
      <c r="AJ142" s="1231"/>
      <c r="AK142" s="1231"/>
      <c r="AL142" s="1294"/>
      <c r="AM142" s="1227"/>
      <c r="AN142" s="1231"/>
      <c r="AO142" s="1231"/>
      <c r="AP142" s="1231"/>
      <c r="AQ142" s="1294"/>
      <c r="AR142" s="1227"/>
      <c r="AS142" s="1231"/>
      <c r="AT142" s="1231"/>
      <c r="AU142" s="1231"/>
      <c r="AV142" s="1294"/>
      <c r="AW142" s="1227"/>
      <c r="AX142" s="1231"/>
      <c r="AY142" s="1231"/>
      <c r="AZ142" s="1231"/>
      <c r="BA142" s="1231"/>
      <c r="BB142" s="1227"/>
      <c r="BC142" s="1231"/>
      <c r="BD142" s="1231"/>
      <c r="BE142" s="1231"/>
      <c r="BF142" s="1231"/>
      <c r="BG142" s="1227"/>
      <c r="BH142" s="1231"/>
      <c r="BI142" s="1231"/>
      <c r="BJ142" s="1231"/>
      <c r="BK142" s="1231"/>
      <c r="BL142" s="1194"/>
      <c r="BM142" s="1195"/>
      <c r="BN142" s="1195"/>
      <c r="BO142" s="1195"/>
      <c r="BP142" s="1195"/>
      <c r="BQ142" s="1194"/>
      <c r="BR142" s="1195"/>
      <c r="BS142" s="1195"/>
      <c r="BT142" s="1195"/>
      <c r="BU142" s="1195"/>
      <c r="BV142" s="1194"/>
      <c r="BW142" s="1195"/>
      <c r="BX142" s="1195"/>
      <c r="BY142" s="1195"/>
      <c r="BZ142" s="1195"/>
      <c r="CA142" s="1194"/>
      <c r="CB142" s="1195"/>
      <c r="CC142" s="1195"/>
      <c r="CD142" s="1195"/>
      <c r="CE142" s="1195"/>
      <c r="CF142" s="1194"/>
      <c r="CG142" s="1195"/>
      <c r="CH142" s="1195"/>
      <c r="CI142" s="1195"/>
      <c r="CJ142" s="1195"/>
      <c r="CK142" s="1194"/>
      <c r="CL142" s="1195"/>
      <c r="CM142" s="1195"/>
      <c r="CN142" s="1195"/>
      <c r="CO142" s="1195"/>
      <c r="CP142" s="1194"/>
      <c r="CQ142" s="1195"/>
      <c r="CR142" s="1195"/>
      <c r="CS142" s="1195"/>
      <c r="CT142" s="1195"/>
      <c r="CU142" s="1194"/>
      <c r="CV142" s="1195"/>
      <c r="CW142" s="1195"/>
      <c r="CX142" s="1195"/>
      <c r="CY142" s="1195"/>
      <c r="CZ142" s="1194"/>
      <c r="DA142" s="1195"/>
      <c r="DB142" s="1195"/>
      <c r="DC142" s="1195"/>
      <c r="DD142" s="1195"/>
      <c r="DE142" s="1194"/>
      <c r="DF142" s="1195"/>
      <c r="DG142" s="1195"/>
      <c r="DH142" s="1195"/>
      <c r="DI142" s="1195"/>
      <c r="DJ142" s="1194"/>
      <c r="DK142" s="1195"/>
      <c r="DL142" s="1195"/>
      <c r="DM142" s="1195"/>
      <c r="DN142" s="1195"/>
      <c r="DO142" s="1194"/>
      <c r="DP142" s="1195"/>
      <c r="DQ142" s="1195"/>
      <c r="DR142" s="1195"/>
      <c r="DS142" s="1195"/>
      <c r="DT142" s="1194"/>
      <c r="DU142" s="1195"/>
      <c r="DV142" s="1195"/>
      <c r="DW142" s="1195"/>
      <c r="DX142" s="1195"/>
      <c r="DY142" s="1194"/>
    </row>
    <row r="143" spans="1:129" x14ac:dyDescent="0.2">
      <c r="A143" s="1223"/>
      <c r="B143" s="1190" t="s">
        <v>1152</v>
      </c>
      <c r="C143" s="1231"/>
      <c r="D143" s="1231"/>
      <c r="E143" s="1231"/>
      <c r="F143" s="1231"/>
      <c r="G143" s="1231"/>
      <c r="H143" s="1231"/>
      <c r="I143" s="1231"/>
      <c r="J143" s="1231"/>
      <c r="K143" s="1231"/>
      <c r="L143" s="1231"/>
      <c r="M143" s="1231"/>
      <c r="N143" s="1231"/>
      <c r="O143" s="1231"/>
      <c r="P143" s="1231"/>
      <c r="Q143" s="1231"/>
      <c r="R143" s="1231"/>
      <c r="S143" s="1231"/>
      <c r="T143" s="1231"/>
      <c r="U143" s="1231"/>
      <c r="V143" s="1231"/>
      <c r="W143" s="1231"/>
      <c r="X143" s="1227"/>
      <c r="Y143" s="1231"/>
      <c r="Z143" s="1231"/>
      <c r="AA143" s="1231"/>
      <c r="AB143" s="1231"/>
      <c r="AC143" s="1227"/>
      <c r="AD143" s="1231"/>
      <c r="AE143" s="1231"/>
      <c r="AF143" s="1231"/>
      <c r="AG143" s="1231"/>
      <c r="AH143" s="1227"/>
      <c r="AI143" s="1231"/>
      <c r="AJ143" s="1231"/>
      <c r="AK143" s="1231"/>
      <c r="AL143" s="1231"/>
      <c r="AM143" s="1227"/>
      <c r="AN143" s="1231"/>
      <c r="AO143" s="1231"/>
      <c r="AP143" s="1231"/>
      <c r="AQ143" s="1231"/>
      <c r="AR143" s="1227"/>
      <c r="AS143" s="1231"/>
      <c r="AT143" s="1231"/>
      <c r="AU143" s="1231"/>
      <c r="AV143" s="1231"/>
      <c r="AW143" s="1227"/>
      <c r="AX143" s="1231"/>
      <c r="AY143" s="1231"/>
      <c r="AZ143" s="1231"/>
      <c r="BA143" s="1231"/>
      <c r="BB143" s="1227"/>
      <c r="BC143" s="1231"/>
      <c r="BD143" s="1231"/>
      <c r="BE143" s="1231"/>
      <c r="BF143" s="1231"/>
      <c r="BG143" s="1227"/>
      <c r="BH143" s="1231"/>
      <c r="BI143" s="1231"/>
      <c r="BJ143" s="1231"/>
      <c r="BK143" s="1231"/>
      <c r="BL143" s="1194"/>
      <c r="BM143" s="1195"/>
      <c r="BN143" s="1195"/>
      <c r="BO143" s="1195"/>
      <c r="BP143" s="1195"/>
      <c r="BQ143" s="1194"/>
      <c r="BR143" s="1195"/>
      <c r="BS143" s="1195"/>
      <c r="BT143" s="1195"/>
      <c r="BU143" s="1195"/>
      <c r="BV143" s="1194">
        <f>BQ145</f>
        <v>0</v>
      </c>
      <c r="BW143" s="1195"/>
      <c r="BX143" s="1195"/>
      <c r="BY143" s="1195"/>
      <c r="BZ143" s="1195"/>
      <c r="CA143" s="1194">
        <f>BV145</f>
        <v>300</v>
      </c>
      <c r="CB143" s="1229">
        <f>CA145</f>
        <v>300</v>
      </c>
      <c r="CC143" s="1229">
        <f>+CB145</f>
        <v>300</v>
      </c>
      <c r="CD143" s="1229">
        <f>+CC145</f>
        <v>300</v>
      </c>
      <c r="CE143" s="1229">
        <f>+CD145</f>
        <v>300</v>
      </c>
      <c r="CF143" s="1194">
        <f>CA145</f>
        <v>300</v>
      </c>
      <c r="CG143" s="1229">
        <f>+CE145</f>
        <v>0</v>
      </c>
      <c r="CH143" s="1229">
        <f>+CG145</f>
        <v>0</v>
      </c>
      <c r="CI143" s="1229">
        <f>+CH145</f>
        <v>0</v>
      </c>
      <c r="CJ143" s="1229">
        <f>+CI145</f>
        <v>0</v>
      </c>
      <c r="CK143" s="1194">
        <f>CF145</f>
        <v>0</v>
      </c>
      <c r="CL143" s="1229">
        <f>+CJ145</f>
        <v>0</v>
      </c>
      <c r="CM143" s="1229">
        <f>+CL145</f>
        <v>0</v>
      </c>
      <c r="CN143" s="1229">
        <f>+CM145</f>
        <v>0</v>
      </c>
      <c r="CO143" s="1229">
        <f>+CN145</f>
        <v>0</v>
      </c>
      <c r="CP143" s="1194">
        <f>CK145</f>
        <v>0</v>
      </c>
      <c r="CQ143" s="1229">
        <f>+CO143</f>
        <v>0</v>
      </c>
      <c r="CR143" s="1229">
        <f>+CQ145</f>
        <v>0</v>
      </c>
      <c r="CS143" s="1229">
        <f>+CR145</f>
        <v>0</v>
      </c>
      <c r="CT143" s="1229">
        <f>+CS145</f>
        <v>0</v>
      </c>
      <c r="CU143" s="1194">
        <f>CP145</f>
        <v>0</v>
      </c>
      <c r="CV143" s="1229">
        <f>+CT143</f>
        <v>0</v>
      </c>
      <c r="CW143" s="1229">
        <f>+CV145</f>
        <v>0</v>
      </c>
      <c r="CX143" s="1229">
        <f>+CW145</f>
        <v>0</v>
      </c>
      <c r="CY143" s="1229">
        <f>+CX145</f>
        <v>0</v>
      </c>
      <c r="CZ143" s="1194">
        <f>CU145</f>
        <v>0</v>
      </c>
      <c r="DA143" s="1229">
        <f>+CY143</f>
        <v>0</v>
      </c>
      <c r="DB143" s="1229">
        <f>+DA145</f>
        <v>0</v>
      </c>
      <c r="DC143" s="1229">
        <f>+DB145</f>
        <v>0</v>
      </c>
      <c r="DD143" s="1229">
        <f>+DC145</f>
        <v>0</v>
      </c>
      <c r="DE143" s="1194">
        <f>CZ145</f>
        <v>0</v>
      </c>
      <c r="DF143" s="1229">
        <f>+DD143</f>
        <v>0</v>
      </c>
      <c r="DG143" s="1229">
        <f>+DF145</f>
        <v>0</v>
      </c>
      <c r="DH143" s="1229">
        <f>+DG145</f>
        <v>0</v>
      </c>
      <c r="DI143" s="1229">
        <f>+DH145</f>
        <v>0</v>
      </c>
      <c r="DJ143" s="1194">
        <f>DE145</f>
        <v>0</v>
      </c>
      <c r="DK143" s="1229">
        <f>+DI143</f>
        <v>0</v>
      </c>
      <c r="DL143" s="1229">
        <f>+DK145</f>
        <v>0</v>
      </c>
      <c r="DM143" s="1229">
        <f>+DL145</f>
        <v>0</v>
      </c>
      <c r="DN143" s="1229">
        <f>+DM145</f>
        <v>0</v>
      </c>
      <c r="DO143" s="1194">
        <f>DJ145</f>
        <v>0</v>
      </c>
      <c r="DP143" s="1229">
        <f>+DN143</f>
        <v>0</v>
      </c>
      <c r="DQ143" s="1229">
        <f>+DP145</f>
        <v>0</v>
      </c>
      <c r="DR143" s="1229">
        <f>+DQ145</f>
        <v>0</v>
      </c>
      <c r="DS143" s="1229">
        <f>+DR145</f>
        <v>0</v>
      </c>
      <c r="DT143" s="1194">
        <f>DO145</f>
        <v>0</v>
      </c>
      <c r="DU143" s="1229">
        <f>+DS143</f>
        <v>0</v>
      </c>
      <c r="DV143" s="1229">
        <f>+DU145</f>
        <v>0</v>
      </c>
      <c r="DW143" s="1229">
        <f>+DV145</f>
        <v>0</v>
      </c>
      <c r="DX143" s="1229">
        <f>+DW145</f>
        <v>0</v>
      </c>
      <c r="DY143" s="1194">
        <f>DT145</f>
        <v>0</v>
      </c>
    </row>
    <row r="144" spans="1:129" x14ac:dyDescent="0.2">
      <c r="A144" s="1295"/>
      <c r="B144" s="1190" t="s">
        <v>1153</v>
      </c>
      <c r="C144" s="1182"/>
      <c r="D144" s="1182"/>
      <c r="E144" s="1182"/>
      <c r="F144" s="1182"/>
      <c r="G144" s="1182"/>
      <c r="H144" s="1182"/>
      <c r="I144" s="1182"/>
      <c r="J144" s="1182"/>
      <c r="K144" s="1182"/>
      <c r="L144" s="1182"/>
      <c r="M144" s="1182"/>
      <c r="N144" s="1182"/>
      <c r="O144" s="1182"/>
      <c r="P144" s="1182"/>
      <c r="Q144" s="1182"/>
      <c r="R144" s="1182"/>
      <c r="S144" s="1182"/>
      <c r="T144" s="1182"/>
      <c r="U144" s="1182"/>
      <c r="V144" s="1182"/>
      <c r="W144" s="1182"/>
      <c r="X144" s="1296"/>
      <c r="Y144" s="1297"/>
      <c r="Z144" s="1297"/>
      <c r="AA144" s="1297"/>
      <c r="AB144" s="1297"/>
      <c r="AC144" s="1296"/>
      <c r="AD144" s="1297"/>
      <c r="AE144" s="1297"/>
      <c r="AF144" s="1297"/>
      <c r="AG144" s="1297"/>
      <c r="AH144" s="1296"/>
      <c r="AI144" s="1297"/>
      <c r="AJ144" s="1297"/>
      <c r="AK144" s="1297"/>
      <c r="AL144" s="1297"/>
      <c r="AM144" s="1296"/>
      <c r="AN144" s="1297"/>
      <c r="AO144" s="1297"/>
      <c r="AP144" s="1297"/>
      <c r="AQ144" s="1297"/>
      <c r="AR144" s="1296"/>
      <c r="AS144" s="1297"/>
      <c r="AT144" s="1297"/>
      <c r="AU144" s="1297"/>
      <c r="AV144" s="1297"/>
      <c r="AW144" s="1296"/>
      <c r="AX144" s="1298"/>
      <c r="AY144" s="1299"/>
      <c r="AZ144" s="1299"/>
      <c r="BA144" s="1298"/>
      <c r="BB144" s="1300"/>
      <c r="BC144" s="1298"/>
      <c r="BD144" s="1298"/>
      <c r="BE144" s="1298"/>
      <c r="BF144" s="1298"/>
      <c r="BG144" s="1296"/>
      <c r="BH144" s="1298"/>
      <c r="BI144" s="1298"/>
      <c r="BJ144" s="1298"/>
      <c r="BK144" s="1298"/>
      <c r="BL144" s="1301"/>
      <c r="BM144" s="1302"/>
      <c r="BN144" s="1302"/>
      <c r="BO144" s="1302"/>
      <c r="BP144" s="1302"/>
      <c r="BQ144" s="1301"/>
      <c r="BR144" s="1302"/>
      <c r="BS144" s="1302"/>
      <c r="BT144" s="1302"/>
      <c r="BU144" s="1302"/>
      <c r="BV144" s="1301">
        <f>BV145-BV143</f>
        <v>300</v>
      </c>
      <c r="BW144" s="1302"/>
      <c r="BX144" s="1302"/>
      <c r="BY144" s="1302"/>
      <c r="BZ144" s="1302"/>
      <c r="CA144" s="1301">
        <f>CA145-CA143</f>
        <v>0</v>
      </c>
      <c r="CB144" s="1303">
        <f>CB145-CB143</f>
        <v>0</v>
      </c>
      <c r="CC144" s="1303">
        <f>CC145-CC143</f>
        <v>0</v>
      </c>
      <c r="CD144" s="1302">
        <v>0</v>
      </c>
      <c r="CE144" s="1302">
        <v>-300</v>
      </c>
      <c r="CF144" s="1301">
        <f>+SUM(CB144:CE144)</f>
        <v>-300</v>
      </c>
      <c r="CG144" s="1302">
        <v>0</v>
      </c>
      <c r="CH144" s="1302">
        <v>0</v>
      </c>
      <c r="CI144" s="1302">
        <v>0</v>
      </c>
      <c r="CJ144" s="1302">
        <v>0</v>
      </c>
      <c r="CK144" s="1301">
        <f>+SUM(CG144:CJ144)</f>
        <v>0</v>
      </c>
      <c r="CL144" s="1302">
        <v>0</v>
      </c>
      <c r="CM144" s="1302">
        <v>0</v>
      </c>
      <c r="CN144" s="1302">
        <v>0</v>
      </c>
      <c r="CO144" s="1302">
        <v>0</v>
      </c>
      <c r="CP144" s="1301">
        <f>+SUM(CL144:CO144)</f>
        <v>0</v>
      </c>
      <c r="CQ144" s="1302">
        <v>0</v>
      </c>
      <c r="CR144" s="1302">
        <v>0</v>
      </c>
      <c r="CS144" s="1302">
        <v>0</v>
      </c>
      <c r="CT144" s="1302">
        <v>0</v>
      </c>
      <c r="CU144" s="1301">
        <f>+SUM(CQ144:CT144)</f>
        <v>0</v>
      </c>
      <c r="CV144" s="1302">
        <v>0</v>
      </c>
      <c r="CW144" s="1302">
        <v>0</v>
      </c>
      <c r="CX144" s="1302">
        <v>0</v>
      </c>
      <c r="CY144" s="1302">
        <v>0</v>
      </c>
      <c r="CZ144" s="1301">
        <f>+SUM(CV144:CY144)</f>
        <v>0</v>
      </c>
      <c r="DA144" s="1302">
        <v>0</v>
      </c>
      <c r="DB144" s="1302">
        <v>0</v>
      </c>
      <c r="DC144" s="1302">
        <v>0</v>
      </c>
      <c r="DD144" s="1302">
        <v>0</v>
      </c>
      <c r="DE144" s="1301">
        <f>+SUM(DA144:DD144)</f>
        <v>0</v>
      </c>
      <c r="DF144" s="1302">
        <v>0</v>
      </c>
      <c r="DG144" s="1302">
        <v>0</v>
      </c>
      <c r="DH144" s="1302">
        <v>0</v>
      </c>
      <c r="DI144" s="1302">
        <v>0</v>
      </c>
      <c r="DJ144" s="1301">
        <f>+SUM(DF144:DI144)</f>
        <v>0</v>
      </c>
      <c r="DK144" s="1302">
        <v>0</v>
      </c>
      <c r="DL144" s="1302">
        <v>0</v>
      </c>
      <c r="DM144" s="1302">
        <v>0</v>
      </c>
      <c r="DN144" s="1302">
        <v>0</v>
      </c>
      <c r="DO144" s="1301">
        <f>+SUM(DK144:DN144)</f>
        <v>0</v>
      </c>
      <c r="DP144" s="1302">
        <v>0</v>
      </c>
      <c r="DQ144" s="1302">
        <v>0</v>
      </c>
      <c r="DR144" s="1302">
        <v>0</v>
      </c>
      <c r="DS144" s="1302">
        <v>0</v>
      </c>
      <c r="DT144" s="1301">
        <f>+SUM(DP144:DS144)</f>
        <v>0</v>
      </c>
      <c r="DU144" s="1302">
        <v>0</v>
      </c>
      <c r="DV144" s="1302">
        <v>0</v>
      </c>
      <c r="DW144" s="1302">
        <v>0</v>
      </c>
      <c r="DX144" s="1302">
        <v>0</v>
      </c>
      <c r="DY144" s="1301">
        <f>+SUM(DU144:DX144)</f>
        <v>0</v>
      </c>
    </row>
    <row r="145" spans="1:129" x14ac:dyDescent="0.2">
      <c r="A145" s="1295"/>
      <c r="B145" s="1190" t="s">
        <v>1154</v>
      </c>
      <c r="C145" s="1182"/>
      <c r="D145" s="1182"/>
      <c r="E145" s="1182"/>
      <c r="F145" s="1182"/>
      <c r="G145" s="1182"/>
      <c r="H145" s="1182"/>
      <c r="I145" s="1182"/>
      <c r="J145" s="1182"/>
      <c r="K145" s="1182"/>
      <c r="L145" s="1182"/>
      <c r="M145" s="1182"/>
      <c r="N145" s="1182"/>
      <c r="O145" s="1182"/>
      <c r="P145" s="1182"/>
      <c r="Q145" s="1182"/>
      <c r="R145" s="1182"/>
      <c r="S145" s="1182"/>
      <c r="T145" s="1182"/>
      <c r="U145" s="1182"/>
      <c r="V145" s="1182"/>
      <c r="W145" s="1182"/>
      <c r="X145" s="1304"/>
      <c r="Y145" s="1305"/>
      <c r="Z145" s="1305"/>
      <c r="AA145" s="1305"/>
      <c r="AB145" s="1305"/>
      <c r="AC145" s="1304"/>
      <c r="AD145" s="1305"/>
      <c r="AE145" s="1305"/>
      <c r="AF145" s="1305"/>
      <c r="AG145" s="1305"/>
      <c r="AH145" s="1304"/>
      <c r="AI145" s="1305"/>
      <c r="AJ145" s="1305"/>
      <c r="AK145" s="1305"/>
      <c r="AL145" s="1305"/>
      <c r="AM145" s="1304"/>
      <c r="AN145" s="1305"/>
      <c r="AO145" s="1305"/>
      <c r="AP145" s="1305"/>
      <c r="AQ145" s="1305"/>
      <c r="AR145" s="1304"/>
      <c r="AS145" s="1305"/>
      <c r="AT145" s="1305"/>
      <c r="AU145" s="1305"/>
      <c r="AV145" s="1305"/>
      <c r="AW145" s="1304"/>
      <c r="AX145" s="1305"/>
      <c r="AY145" s="1305"/>
      <c r="AZ145" s="1305"/>
      <c r="BA145" s="1305"/>
      <c r="BB145" s="1304"/>
      <c r="BC145" s="1305"/>
      <c r="BD145" s="1305"/>
      <c r="BE145" s="1305"/>
      <c r="BF145" s="1305"/>
      <c r="BG145" s="1306"/>
      <c r="BH145" s="1305"/>
      <c r="BI145" s="1305"/>
      <c r="BJ145" s="1305"/>
      <c r="BK145" s="1305"/>
      <c r="BL145" s="1307"/>
      <c r="BM145" s="1198"/>
      <c r="BN145" s="1198"/>
      <c r="BO145" s="1198"/>
      <c r="BP145" s="1198"/>
      <c r="BQ145" s="1307"/>
      <c r="BR145" s="1198"/>
      <c r="BS145" s="1198"/>
      <c r="BT145" s="1198"/>
      <c r="BU145" s="1198"/>
      <c r="BV145" s="1307">
        <v>300</v>
      </c>
      <c r="BW145" s="1198"/>
      <c r="BX145" s="1198"/>
      <c r="BY145" s="1198"/>
      <c r="BZ145" s="1198"/>
      <c r="CA145" s="1307">
        <v>300</v>
      </c>
      <c r="CB145" s="1187">
        <f>CA145</f>
        <v>300</v>
      </c>
      <c r="CC145" s="1226">
        <f>CB145</f>
        <v>300</v>
      </c>
      <c r="CD145" s="1295">
        <f t="shared" ref="CD145:CZ145" si="145">CD143+CD144</f>
        <v>300</v>
      </c>
      <c r="CE145" s="1295">
        <f t="shared" si="145"/>
        <v>0</v>
      </c>
      <c r="CF145" s="1325">
        <f t="shared" si="145"/>
        <v>0</v>
      </c>
      <c r="CG145" s="1295">
        <f t="shared" si="145"/>
        <v>0</v>
      </c>
      <c r="CH145" s="1295">
        <f t="shared" si="145"/>
        <v>0</v>
      </c>
      <c r="CI145" s="1295">
        <f t="shared" si="145"/>
        <v>0</v>
      </c>
      <c r="CJ145" s="1295">
        <f t="shared" si="145"/>
        <v>0</v>
      </c>
      <c r="CK145" s="1325">
        <f t="shared" si="145"/>
        <v>0</v>
      </c>
      <c r="CL145" s="1295">
        <f t="shared" si="145"/>
        <v>0</v>
      </c>
      <c r="CM145" s="1295">
        <f t="shared" si="145"/>
        <v>0</v>
      </c>
      <c r="CN145" s="1295">
        <f t="shared" si="145"/>
        <v>0</v>
      </c>
      <c r="CO145" s="1295">
        <f t="shared" si="145"/>
        <v>0</v>
      </c>
      <c r="CP145" s="1325">
        <f t="shared" si="145"/>
        <v>0</v>
      </c>
      <c r="CQ145" s="1295">
        <f t="shared" si="145"/>
        <v>0</v>
      </c>
      <c r="CR145" s="1295">
        <f t="shared" si="145"/>
        <v>0</v>
      </c>
      <c r="CS145" s="1295">
        <f t="shared" si="145"/>
        <v>0</v>
      </c>
      <c r="CT145" s="1295">
        <f t="shared" si="145"/>
        <v>0</v>
      </c>
      <c r="CU145" s="1325">
        <f t="shared" si="145"/>
        <v>0</v>
      </c>
      <c r="CV145" s="1295">
        <f t="shared" si="145"/>
        <v>0</v>
      </c>
      <c r="CW145" s="1295">
        <f t="shared" si="145"/>
        <v>0</v>
      </c>
      <c r="CX145" s="1295">
        <f t="shared" si="145"/>
        <v>0</v>
      </c>
      <c r="CY145" s="1295">
        <f t="shared" si="145"/>
        <v>0</v>
      </c>
      <c r="CZ145" s="1325">
        <f t="shared" si="145"/>
        <v>0</v>
      </c>
      <c r="DA145" s="1295">
        <f t="shared" ref="DA145:DJ145" si="146">DA143+DA144</f>
        <v>0</v>
      </c>
      <c r="DB145" s="1295">
        <f t="shared" si="146"/>
        <v>0</v>
      </c>
      <c r="DC145" s="1295">
        <f t="shared" si="146"/>
        <v>0</v>
      </c>
      <c r="DD145" s="1295">
        <f t="shared" si="146"/>
        <v>0</v>
      </c>
      <c r="DE145" s="1325">
        <f t="shared" si="146"/>
        <v>0</v>
      </c>
      <c r="DF145" s="1295">
        <f t="shared" si="146"/>
        <v>0</v>
      </c>
      <c r="DG145" s="1295">
        <f t="shared" si="146"/>
        <v>0</v>
      </c>
      <c r="DH145" s="1295">
        <f t="shared" si="146"/>
        <v>0</v>
      </c>
      <c r="DI145" s="1295">
        <f t="shared" si="146"/>
        <v>0</v>
      </c>
      <c r="DJ145" s="1325">
        <f t="shared" si="146"/>
        <v>0</v>
      </c>
      <c r="DK145" s="1295">
        <f t="shared" ref="DK145:DT145" si="147">DK143+DK144</f>
        <v>0</v>
      </c>
      <c r="DL145" s="1295">
        <f t="shared" si="147"/>
        <v>0</v>
      </c>
      <c r="DM145" s="1295">
        <f t="shared" si="147"/>
        <v>0</v>
      </c>
      <c r="DN145" s="1295">
        <f t="shared" si="147"/>
        <v>0</v>
      </c>
      <c r="DO145" s="1325">
        <f t="shared" si="147"/>
        <v>0</v>
      </c>
      <c r="DP145" s="1295">
        <f t="shared" si="147"/>
        <v>0</v>
      </c>
      <c r="DQ145" s="1295">
        <f t="shared" si="147"/>
        <v>0</v>
      </c>
      <c r="DR145" s="1295">
        <f t="shared" si="147"/>
        <v>0</v>
      </c>
      <c r="DS145" s="1295">
        <f t="shared" si="147"/>
        <v>0</v>
      </c>
      <c r="DT145" s="1325">
        <f t="shared" si="147"/>
        <v>0</v>
      </c>
      <c r="DU145" s="1295">
        <f t="shared" ref="DU145:DY145" si="148">DU143+DU144</f>
        <v>0</v>
      </c>
      <c r="DV145" s="1295">
        <f t="shared" si="148"/>
        <v>0</v>
      </c>
      <c r="DW145" s="1295">
        <f t="shared" si="148"/>
        <v>0</v>
      </c>
      <c r="DX145" s="1295">
        <f t="shared" si="148"/>
        <v>0</v>
      </c>
      <c r="DY145" s="1325">
        <f t="shared" si="148"/>
        <v>0</v>
      </c>
    </row>
    <row r="146" spans="1:129" x14ac:dyDescent="0.2">
      <c r="A146" s="1223"/>
      <c r="B146" s="1190" t="s">
        <v>1155</v>
      </c>
      <c r="C146" s="1182"/>
      <c r="D146" s="1182"/>
      <c r="E146" s="1182"/>
      <c r="F146" s="1182"/>
      <c r="G146" s="1182"/>
      <c r="H146" s="1182"/>
      <c r="I146" s="1182"/>
      <c r="J146" s="1182"/>
      <c r="K146" s="1182"/>
      <c r="L146" s="1182"/>
      <c r="M146" s="1182"/>
      <c r="N146" s="1182"/>
      <c r="O146" s="1182"/>
      <c r="P146" s="1182"/>
      <c r="Q146" s="1182"/>
      <c r="R146" s="1182"/>
      <c r="S146" s="1182"/>
      <c r="T146" s="1182"/>
      <c r="U146" s="1182"/>
      <c r="V146" s="1182"/>
      <c r="W146" s="1182"/>
      <c r="X146" s="1227"/>
      <c r="Y146" s="1231"/>
      <c r="Z146" s="1231"/>
      <c r="AA146" s="1231"/>
      <c r="AB146" s="1231"/>
      <c r="AC146" s="1227"/>
      <c r="AD146" s="1231"/>
      <c r="AE146" s="1231"/>
      <c r="AF146" s="1231"/>
      <c r="AG146" s="1231"/>
      <c r="AH146" s="1227"/>
      <c r="AI146" s="1231"/>
      <c r="AJ146" s="1231"/>
      <c r="AK146" s="1231"/>
      <c r="AL146" s="1231"/>
      <c r="AM146" s="1227"/>
      <c r="AN146" s="1231"/>
      <c r="AO146" s="1231"/>
      <c r="AP146" s="1231"/>
      <c r="AQ146" s="1231"/>
      <c r="AR146" s="1227"/>
      <c r="AS146" s="1231"/>
      <c r="AT146" s="1231"/>
      <c r="AU146" s="1231"/>
      <c r="AV146" s="1231"/>
      <c r="AW146" s="1227"/>
      <c r="AX146" s="1231"/>
      <c r="AY146" s="1231"/>
      <c r="AZ146" s="1231"/>
      <c r="BA146" s="1231"/>
      <c r="BB146" s="1227"/>
      <c r="BC146" s="1231"/>
      <c r="BD146" s="1231"/>
      <c r="BE146" s="1231"/>
      <c r="BF146" s="1231"/>
      <c r="BG146" s="1227"/>
      <c r="BH146" s="1231"/>
      <c r="BI146" s="1231"/>
      <c r="BJ146" s="1231"/>
      <c r="BK146" s="1231"/>
      <c r="BL146" s="1326"/>
      <c r="BM146" s="1231"/>
      <c r="BN146" s="1231"/>
      <c r="BO146" s="1231"/>
      <c r="BP146" s="1231"/>
      <c r="BQ146" s="1326"/>
      <c r="BR146" s="1231"/>
      <c r="BS146" s="1231"/>
      <c r="BT146" s="1231"/>
      <c r="BU146" s="1231"/>
      <c r="BV146" s="1326"/>
      <c r="BW146" s="1231"/>
      <c r="BX146" s="1231"/>
      <c r="BY146" s="1231"/>
      <c r="BZ146" s="1231"/>
      <c r="CA146" s="1326"/>
      <c r="CB146" s="1231"/>
      <c r="CC146" s="1231"/>
      <c r="CD146" s="1231"/>
      <c r="CE146" s="1231"/>
      <c r="CF146" s="1326"/>
      <c r="CG146" s="1231"/>
      <c r="CH146" s="1231"/>
      <c r="CI146" s="1231"/>
      <c r="CJ146" s="1231"/>
      <c r="CK146" s="1326"/>
      <c r="CL146" s="1231"/>
      <c r="CM146" s="1231"/>
      <c r="CN146" s="1231"/>
      <c r="CO146" s="1231"/>
      <c r="CP146" s="1326"/>
      <c r="CQ146" s="1231"/>
      <c r="CR146" s="1231"/>
      <c r="CS146" s="1231"/>
      <c r="CT146" s="1231"/>
      <c r="CU146" s="1326"/>
      <c r="CV146" s="1231"/>
      <c r="CW146" s="1231"/>
      <c r="CX146" s="1231"/>
      <c r="CY146" s="1231"/>
      <c r="CZ146" s="1326"/>
      <c r="DA146" s="1231"/>
      <c r="DB146" s="1231"/>
      <c r="DC146" s="1231"/>
      <c r="DD146" s="1231"/>
      <c r="DE146" s="1326"/>
      <c r="DF146" s="1231"/>
      <c r="DG146" s="1231"/>
      <c r="DH146" s="1231"/>
      <c r="DI146" s="1231"/>
      <c r="DJ146" s="1326"/>
      <c r="DK146" s="1231"/>
      <c r="DL146" s="1231"/>
      <c r="DM146" s="1231"/>
      <c r="DN146" s="1231"/>
      <c r="DO146" s="1326"/>
      <c r="DP146" s="1231"/>
      <c r="DQ146" s="1231"/>
      <c r="DR146" s="1231"/>
      <c r="DS146" s="1231"/>
      <c r="DT146" s="1326"/>
      <c r="DU146" s="1231"/>
      <c r="DV146" s="1231"/>
      <c r="DW146" s="1231"/>
      <c r="DX146" s="1231"/>
      <c r="DY146" s="1326"/>
    </row>
    <row r="147" spans="1:129" x14ac:dyDescent="0.2">
      <c r="A147" s="1223"/>
      <c r="B147" s="1190" t="s">
        <v>1156</v>
      </c>
      <c r="C147" s="1182"/>
      <c r="D147" s="1182"/>
      <c r="E147" s="1182"/>
      <c r="F147" s="1182"/>
      <c r="G147" s="1182"/>
      <c r="H147" s="1182"/>
      <c r="I147" s="1182"/>
      <c r="J147" s="1182"/>
      <c r="K147" s="1182"/>
      <c r="L147" s="1182"/>
      <c r="M147" s="1182"/>
      <c r="N147" s="1182"/>
      <c r="O147" s="1182"/>
      <c r="P147" s="1182"/>
      <c r="Q147" s="1182"/>
      <c r="R147" s="1182"/>
      <c r="S147" s="1182"/>
      <c r="T147" s="1182"/>
      <c r="U147" s="1182"/>
      <c r="V147" s="1182"/>
      <c r="W147" s="1182"/>
      <c r="X147" s="1227"/>
      <c r="Y147" s="1231"/>
      <c r="Z147" s="1231"/>
      <c r="AA147" s="1231"/>
      <c r="AB147" s="1231"/>
      <c r="AC147" s="1227"/>
      <c r="AD147" s="1231"/>
      <c r="AE147" s="1231"/>
      <c r="AF147" s="1231"/>
      <c r="AG147" s="1231"/>
      <c r="AH147" s="1227"/>
      <c r="AI147" s="1231"/>
      <c r="AJ147" s="1231"/>
      <c r="AK147" s="1231"/>
      <c r="AL147" s="1231"/>
      <c r="AM147" s="1227"/>
      <c r="AN147" s="1231"/>
      <c r="AO147" s="1231"/>
      <c r="AP147" s="1231"/>
      <c r="AQ147" s="1231"/>
      <c r="AR147" s="1227"/>
      <c r="AS147" s="1231"/>
      <c r="AT147" s="1231"/>
      <c r="AU147" s="1231"/>
      <c r="AV147" s="1231"/>
      <c r="AW147" s="1227"/>
      <c r="AX147" s="1231"/>
      <c r="AY147" s="1231"/>
      <c r="AZ147" s="1231"/>
      <c r="BA147" s="1231"/>
      <c r="BB147" s="1227"/>
      <c r="BC147" s="1231"/>
      <c r="BD147" s="1231"/>
      <c r="BE147" s="1231"/>
      <c r="BF147" s="1231"/>
      <c r="BG147" s="1227"/>
      <c r="BH147" s="1231"/>
      <c r="BI147" s="1231"/>
      <c r="BJ147" s="1231"/>
      <c r="BK147" s="1231"/>
      <c r="BL147" s="1326"/>
      <c r="BM147" s="1231"/>
      <c r="BN147" s="1231"/>
      <c r="BO147" s="1231"/>
      <c r="BP147" s="1231"/>
      <c r="BQ147" s="1326"/>
      <c r="BR147" s="1231"/>
      <c r="BS147" s="1231"/>
      <c r="BT147" s="1231"/>
      <c r="BU147" s="1231"/>
      <c r="BV147" s="1326">
        <f>-(AVERAGE(BV143,BV145))*(BV$141)</f>
        <v>-3</v>
      </c>
      <c r="BW147" s="1231"/>
      <c r="BX147" s="1231"/>
      <c r="BY147" s="1231"/>
      <c r="BZ147" s="1231"/>
      <c r="CA147" s="1326">
        <f>-(AVERAGE(CA143,CA145))*(CA$141)</f>
        <v>-6</v>
      </c>
      <c r="CB147" s="1223">
        <f>-(AVERAGE(CB145,CB143))*(CB141/4)</f>
        <v>-1.5</v>
      </c>
      <c r="CC147" s="1223">
        <f>-(AVERAGE(CC145,CC143))*(CC141/4)</f>
        <v>-1.5</v>
      </c>
      <c r="CD147" s="1223">
        <f>-(AVERAGE(CD145,CD143))*(CD141/4)</f>
        <v>-1.5</v>
      </c>
      <c r="CE147" s="1223">
        <f>-(AVERAGE(CE145,CE143))*(CE141/4)</f>
        <v>-0.75</v>
      </c>
      <c r="CF147" s="1326">
        <f>SUM(CB147:CE147)</f>
        <v>-5.25</v>
      </c>
      <c r="CG147" s="1223">
        <f>-(AVERAGE(CG145,CG143))*(CG141/4)</f>
        <v>0</v>
      </c>
      <c r="CH147" s="1223">
        <f>-(AVERAGE(CH145,CH143))*(CH141/4)</f>
        <v>0</v>
      </c>
      <c r="CI147" s="1223">
        <f>-(AVERAGE(CI145,CI143))*(CI141/4)</f>
        <v>0</v>
      </c>
      <c r="CJ147" s="1223">
        <f>-(AVERAGE(CJ145,CJ143))*(CJ141/4)</f>
        <v>0</v>
      </c>
      <c r="CK147" s="1326">
        <f>SUM(CG147:CJ147)</f>
        <v>0</v>
      </c>
      <c r="CL147" s="1223">
        <f>-(AVERAGE(CL145,CL143))*(CL141/4)</f>
        <v>0</v>
      </c>
      <c r="CM147" s="1223">
        <f>-(AVERAGE(CM145,CM143))*(CM141/4)</f>
        <v>0</v>
      </c>
      <c r="CN147" s="1223">
        <f>-(AVERAGE(CN145,CN143))*(CN141/4)</f>
        <v>0</v>
      </c>
      <c r="CO147" s="1223">
        <f>-(AVERAGE(CO145,CO143))*(CO141/4)</f>
        <v>0</v>
      </c>
      <c r="CP147" s="1326">
        <f>SUM(CL147:CO147)</f>
        <v>0</v>
      </c>
      <c r="CQ147" s="1223">
        <f>-(AVERAGE(CQ145,CQ143))*(CQ141/4)</f>
        <v>0</v>
      </c>
      <c r="CR147" s="1223">
        <f>-(AVERAGE(CR145,CR143))*(CR141/4)</f>
        <v>0</v>
      </c>
      <c r="CS147" s="1223">
        <f>-(AVERAGE(CS145,CS143))*(CS141/4)</f>
        <v>0</v>
      </c>
      <c r="CT147" s="1223">
        <f>-(AVERAGE(CT145,CT143))*(CT141/4)</f>
        <v>0</v>
      </c>
      <c r="CU147" s="1326">
        <f>SUM(CQ147:CT147)</f>
        <v>0</v>
      </c>
      <c r="CV147" s="1223">
        <f>-(AVERAGE(CV145,CV143))*(CV141/4)</f>
        <v>0</v>
      </c>
      <c r="CW147" s="1223">
        <f>-(AVERAGE(CW145,CW143))*(CW141/4)</f>
        <v>0</v>
      </c>
      <c r="CX147" s="1223">
        <f>-(AVERAGE(CX145,CX143))*(CX141/4)</f>
        <v>0</v>
      </c>
      <c r="CY147" s="1223">
        <f>-(AVERAGE(CY145,CY143))*(CY141/4)</f>
        <v>0</v>
      </c>
      <c r="CZ147" s="1326">
        <f>SUM(CV147:CY147)</f>
        <v>0</v>
      </c>
      <c r="DA147" s="1223">
        <f>-(AVERAGE(DA145,DA143))*(DA141/4)</f>
        <v>0</v>
      </c>
      <c r="DB147" s="1223">
        <f>-(AVERAGE(DB145,DB143))*(DB141/4)</f>
        <v>0</v>
      </c>
      <c r="DC147" s="1223">
        <f>-(AVERAGE(DC145,DC143))*(DC141/4)</f>
        <v>0</v>
      </c>
      <c r="DD147" s="1223">
        <f>-(AVERAGE(DD145,DD143))*(DD141/4)</f>
        <v>0</v>
      </c>
      <c r="DE147" s="1326">
        <f>SUM(DA147:DD147)</f>
        <v>0</v>
      </c>
      <c r="DF147" s="1223">
        <f>-(AVERAGE(DF145,DF143))*(DF141/4)</f>
        <v>0</v>
      </c>
      <c r="DG147" s="1223">
        <f>-(AVERAGE(DG145,DG143))*(DG141/4)</f>
        <v>0</v>
      </c>
      <c r="DH147" s="1223">
        <f>-(AVERAGE(DH145,DH143))*(DH141/4)</f>
        <v>0</v>
      </c>
      <c r="DI147" s="1223">
        <f>-(AVERAGE(DI145,DI143))*(DI141/4)</f>
        <v>0</v>
      </c>
      <c r="DJ147" s="1326">
        <f>SUM(DF147:DI147)</f>
        <v>0</v>
      </c>
      <c r="DK147" s="1223">
        <f>-(AVERAGE(DK145,DK143))*(DK141/4)</f>
        <v>0</v>
      </c>
      <c r="DL147" s="1223">
        <f>-(AVERAGE(DL145,DL143))*(DL141/4)</f>
        <v>0</v>
      </c>
      <c r="DM147" s="1223">
        <f>-(AVERAGE(DM145,DM143))*(DM141/4)</f>
        <v>0</v>
      </c>
      <c r="DN147" s="1223">
        <f>-(AVERAGE(DN145,DN143))*(DN141/4)</f>
        <v>0</v>
      </c>
      <c r="DO147" s="1326">
        <f>SUM(DK147:DN147)</f>
        <v>0</v>
      </c>
      <c r="DP147" s="1223">
        <f>-(AVERAGE(DP145,DP143))*(DP141/4)</f>
        <v>0</v>
      </c>
      <c r="DQ147" s="1223">
        <f>-(AVERAGE(DQ145,DQ143))*(DQ141/4)</f>
        <v>0</v>
      </c>
      <c r="DR147" s="1223">
        <f>-(AVERAGE(DR145,DR143))*(DR141/4)</f>
        <v>0</v>
      </c>
      <c r="DS147" s="1223">
        <f>-(AVERAGE(DS145,DS143))*(DS141/4)</f>
        <v>0</v>
      </c>
      <c r="DT147" s="1326">
        <f>SUM(DP147:DS147)</f>
        <v>0</v>
      </c>
      <c r="DU147" s="1223">
        <f>-(AVERAGE(DU145,DU143))*(DU141/4)</f>
        <v>0</v>
      </c>
      <c r="DV147" s="1223">
        <f>-(AVERAGE(DV145,DV143))*(DV141/4)</f>
        <v>0</v>
      </c>
      <c r="DW147" s="1223">
        <f>-(AVERAGE(DW145,DW143))*(DW141/4)</f>
        <v>0</v>
      </c>
      <c r="DX147" s="1223">
        <f>-(AVERAGE(DX145,DX143))*(DX141/4)</f>
        <v>0</v>
      </c>
      <c r="DY147" s="1326">
        <f>SUM(DU147:DX147)</f>
        <v>0</v>
      </c>
    </row>
    <row r="148" spans="1:129" ht="12" thickBot="1" x14ac:dyDescent="0.25">
      <c r="A148" s="1223"/>
      <c r="B148" s="1250" t="s">
        <v>1157</v>
      </c>
      <c r="C148" s="1251"/>
      <c r="D148" s="1251"/>
      <c r="E148" s="1251"/>
      <c r="F148" s="1251"/>
      <c r="G148" s="1251"/>
      <c r="H148" s="1251"/>
      <c r="I148" s="1251"/>
      <c r="J148" s="1251"/>
      <c r="K148" s="1251"/>
      <c r="L148" s="1251"/>
      <c r="M148" s="1251"/>
      <c r="N148" s="1251"/>
      <c r="O148" s="1251"/>
      <c r="P148" s="1251"/>
      <c r="Q148" s="1251"/>
      <c r="R148" s="1251"/>
      <c r="S148" s="1251"/>
      <c r="T148" s="1251"/>
      <c r="U148" s="1251"/>
      <c r="V148" s="1251"/>
      <c r="W148" s="1251"/>
      <c r="X148" s="1252"/>
      <c r="Y148" s="1251"/>
      <c r="Z148" s="1251"/>
      <c r="AA148" s="1251"/>
      <c r="AB148" s="1251"/>
      <c r="AC148" s="1252"/>
      <c r="AD148" s="1251"/>
      <c r="AE148" s="1251"/>
      <c r="AF148" s="1251"/>
      <c r="AG148" s="1251"/>
      <c r="AH148" s="1252"/>
      <c r="AI148" s="1251"/>
      <c r="AJ148" s="1251"/>
      <c r="AK148" s="1251"/>
      <c r="AL148" s="1251"/>
      <c r="AM148" s="1252"/>
      <c r="AN148" s="1251"/>
      <c r="AO148" s="1251"/>
      <c r="AP148" s="1251"/>
      <c r="AQ148" s="1253"/>
      <c r="AR148" s="1252"/>
      <c r="AS148" s="1253"/>
      <c r="AT148" s="1253"/>
      <c r="AU148" s="1253"/>
      <c r="AV148" s="1253"/>
      <c r="AW148" s="1252"/>
      <c r="AX148" s="1253"/>
      <c r="AY148" s="1253"/>
      <c r="AZ148" s="1253"/>
      <c r="BA148" s="1253"/>
      <c r="BB148" s="1252"/>
      <c r="BC148" s="1253"/>
      <c r="BD148" s="1253"/>
      <c r="BE148" s="1253"/>
      <c r="BF148" s="1253"/>
      <c r="BG148" s="1252"/>
      <c r="BH148" s="1253"/>
      <c r="BI148" s="1253"/>
      <c r="BJ148" s="1253"/>
      <c r="BK148" s="1253"/>
      <c r="BL148" s="1327"/>
      <c r="BM148" s="1253"/>
      <c r="BN148" s="1253"/>
      <c r="BO148" s="1253"/>
      <c r="BP148" s="1253"/>
      <c r="BQ148" s="1327"/>
      <c r="BR148" s="1253"/>
      <c r="BS148" s="1253"/>
      <c r="BT148" s="1253"/>
      <c r="BU148" s="1253"/>
      <c r="BV148" s="1327"/>
      <c r="BW148" s="1253"/>
      <c r="BX148" s="1253"/>
      <c r="BY148" s="1253"/>
      <c r="BZ148" s="1253"/>
      <c r="CA148" s="1327"/>
      <c r="CB148" s="1253">
        <f>-CB140*CB146/4</f>
        <v>0</v>
      </c>
      <c r="CC148" s="1253">
        <f>-CC140*CC146/4</f>
        <v>0</v>
      </c>
      <c r="CD148" s="1253">
        <f>-CD140*CD146/4</f>
        <v>0</v>
      </c>
      <c r="CE148" s="1253">
        <f>-CE140*CE146/4</f>
        <v>0</v>
      </c>
      <c r="CF148" s="1327"/>
      <c r="CG148" s="1253">
        <f>-CG140*CG146/4</f>
        <v>0</v>
      </c>
      <c r="CH148" s="1253">
        <f>-CH140*CH146/4</f>
        <v>0</v>
      </c>
      <c r="CI148" s="1253">
        <f>-CI140*CI146/4</f>
        <v>0</v>
      </c>
      <c r="CJ148" s="1253">
        <f>-CJ140*CJ146/4</f>
        <v>0</v>
      </c>
      <c r="CK148" s="1327"/>
      <c r="CL148" s="1253">
        <f>-CL140*CL146/4</f>
        <v>0</v>
      </c>
      <c r="CM148" s="1253">
        <f>-CM140*CM146/4</f>
        <v>0</v>
      </c>
      <c r="CN148" s="1253">
        <f>-CN140*CN146/4</f>
        <v>0</v>
      </c>
      <c r="CO148" s="1253">
        <f>-CO140*CO146/4</f>
        <v>0</v>
      </c>
      <c r="CP148" s="1327"/>
      <c r="CQ148" s="1253">
        <f>-CQ140*CQ146/4</f>
        <v>0</v>
      </c>
      <c r="CR148" s="1253">
        <f>-CR140*CR146/4</f>
        <v>0</v>
      </c>
      <c r="CS148" s="1253">
        <f>-CS140*CS146/4</f>
        <v>0</v>
      </c>
      <c r="CT148" s="1253">
        <f>-CT140*CT146/4</f>
        <v>0</v>
      </c>
      <c r="CU148" s="1327"/>
      <c r="CV148" s="1253">
        <f>-CV140*CV146/4</f>
        <v>0</v>
      </c>
      <c r="CW148" s="1253">
        <f>-CW140*CW146/4</f>
        <v>0</v>
      </c>
      <c r="CX148" s="1253">
        <f>-CX140*CX146/4</f>
        <v>0</v>
      </c>
      <c r="CY148" s="1253">
        <f>-CY140*CY146/4</f>
        <v>0</v>
      </c>
      <c r="CZ148" s="1327"/>
      <c r="DA148" s="1253">
        <f>-DA140*DA146/4</f>
        <v>0</v>
      </c>
      <c r="DB148" s="1253">
        <f>-DB140*DB146/4</f>
        <v>0</v>
      </c>
      <c r="DC148" s="1253">
        <f>-DC140*DC146/4</f>
        <v>0</v>
      </c>
      <c r="DD148" s="1253">
        <f>-DD140*DD146/4</f>
        <v>0</v>
      </c>
      <c r="DE148" s="1327"/>
      <c r="DF148" s="1253">
        <f>-DF140*DF146/4</f>
        <v>0</v>
      </c>
      <c r="DG148" s="1253">
        <f>-DG140*DG146/4</f>
        <v>0</v>
      </c>
      <c r="DH148" s="1253">
        <f>-DH140*DH146/4</f>
        <v>0</v>
      </c>
      <c r="DI148" s="1253">
        <f>-DI140*DI146/4</f>
        <v>0</v>
      </c>
      <c r="DJ148" s="1327"/>
      <c r="DK148" s="1253">
        <f>-DK140*DK146/4</f>
        <v>0</v>
      </c>
      <c r="DL148" s="1253">
        <f>-DL140*DL146/4</f>
        <v>0</v>
      </c>
      <c r="DM148" s="1253">
        <f>-DM140*DM146/4</f>
        <v>0</v>
      </c>
      <c r="DN148" s="1253">
        <f>-DN140*DN146/4</f>
        <v>0</v>
      </c>
      <c r="DO148" s="1327"/>
      <c r="DP148" s="1253">
        <f>-DP140*DP146/4</f>
        <v>0</v>
      </c>
      <c r="DQ148" s="1253">
        <f>-DQ140*DQ146/4</f>
        <v>0</v>
      </c>
      <c r="DR148" s="1253">
        <f>-DR140*DR146/4</f>
        <v>0</v>
      </c>
      <c r="DS148" s="1253">
        <f>-DS140*DS146/4</f>
        <v>0</v>
      </c>
      <c r="DT148" s="1327"/>
      <c r="DU148" s="1253">
        <f>-DU140*DU146/4</f>
        <v>0</v>
      </c>
      <c r="DV148" s="1253">
        <f>-DV140*DV146/4</f>
        <v>0</v>
      </c>
      <c r="DW148" s="1253">
        <f>-DW140*DW146/4</f>
        <v>0</v>
      </c>
      <c r="DX148" s="1253">
        <f>-DX140*DX146/4</f>
        <v>0</v>
      </c>
      <c r="DY148" s="1327"/>
    </row>
    <row r="149" spans="1:129" ht="12" thickBot="1" x14ac:dyDescent="0.25">
      <c r="A149" s="1240"/>
      <c r="B149" s="1240"/>
      <c r="C149" s="1214"/>
      <c r="D149" s="1214"/>
      <c r="E149" s="1214"/>
      <c r="F149" s="1214"/>
      <c r="G149" s="1214"/>
      <c r="H149" s="1214"/>
      <c r="I149" s="1214"/>
      <c r="J149" s="1214"/>
      <c r="K149" s="1214"/>
      <c r="L149" s="1214"/>
      <c r="M149" s="1214"/>
      <c r="N149" s="1214"/>
      <c r="O149" s="1214"/>
      <c r="P149" s="1214"/>
      <c r="Q149" s="1214"/>
      <c r="R149" s="1214"/>
      <c r="S149" s="1214"/>
      <c r="T149" s="1214"/>
      <c r="U149" s="1214"/>
      <c r="V149" s="1214"/>
      <c r="W149" s="1214"/>
      <c r="X149" s="1215"/>
      <c r="Y149" s="1215"/>
      <c r="Z149" s="1215"/>
      <c r="AA149" s="1215"/>
      <c r="AB149" s="1215"/>
      <c r="AC149" s="1215"/>
      <c r="AD149" s="1215"/>
      <c r="AE149" s="1215"/>
      <c r="AF149" s="1215"/>
      <c r="AG149" s="1215"/>
      <c r="AH149" s="1215"/>
      <c r="AI149" s="1215"/>
      <c r="AJ149" s="1215"/>
      <c r="AK149" s="1215"/>
      <c r="AL149" s="1215"/>
      <c r="AM149" s="1215"/>
      <c r="AN149" s="1215"/>
      <c r="AO149" s="1215"/>
      <c r="AP149" s="1215"/>
      <c r="AQ149" s="1215"/>
      <c r="AR149" s="1215"/>
      <c r="AS149" s="1215"/>
      <c r="AT149" s="1215"/>
      <c r="AU149" s="1215"/>
      <c r="AV149" s="1215"/>
      <c r="AW149" s="1215"/>
      <c r="AX149" s="1215"/>
      <c r="AY149" s="1215"/>
      <c r="AZ149" s="1215"/>
      <c r="BA149" s="1215"/>
      <c r="BB149" s="1215"/>
      <c r="BC149" s="1215"/>
      <c r="BD149" s="1215"/>
      <c r="BE149" s="1215"/>
      <c r="BF149" s="1215"/>
      <c r="BG149" s="1215"/>
      <c r="BH149" s="1215"/>
      <c r="BI149" s="1215"/>
      <c r="BJ149" s="1215"/>
      <c r="BK149" s="1215"/>
      <c r="BL149" s="1215"/>
      <c r="BM149" s="1215"/>
      <c r="BN149" s="1215"/>
      <c r="BO149" s="1215"/>
      <c r="BP149" s="1215"/>
      <c r="BQ149" s="1215"/>
      <c r="BR149" s="1215"/>
      <c r="BS149" s="1215"/>
      <c r="BT149" s="1215"/>
      <c r="BU149" s="1215"/>
      <c r="BV149" s="1215"/>
      <c r="BW149" s="1215"/>
      <c r="BX149" s="1215"/>
      <c r="BY149" s="1215"/>
      <c r="BZ149" s="1215"/>
      <c r="CA149" s="1215"/>
      <c r="CB149" s="1215"/>
      <c r="CC149" s="1215"/>
      <c r="CD149" s="1215"/>
      <c r="CE149" s="1215"/>
      <c r="CF149" s="1215"/>
      <c r="CG149" s="1215"/>
      <c r="CH149" s="1215"/>
      <c r="CI149" s="1215"/>
      <c r="CJ149" s="1215"/>
      <c r="CK149" s="1215"/>
      <c r="CL149" s="1215"/>
      <c r="CM149" s="1215"/>
      <c r="CN149" s="1215"/>
      <c r="CO149" s="1215"/>
      <c r="CP149" s="1215"/>
      <c r="CQ149" s="1215"/>
      <c r="CR149" s="1215"/>
      <c r="CS149" s="1215"/>
      <c r="CT149" s="1215"/>
      <c r="CU149" s="1215"/>
      <c r="CV149" s="1215"/>
      <c r="CW149" s="1215"/>
      <c r="CX149" s="1215"/>
      <c r="CY149" s="1215"/>
      <c r="CZ149" s="1215"/>
      <c r="DA149" s="1215"/>
      <c r="DB149" s="1215"/>
      <c r="DC149" s="1215"/>
      <c r="DD149" s="1215"/>
      <c r="DE149" s="1215"/>
      <c r="DF149" s="1215"/>
      <c r="DG149" s="1215"/>
      <c r="DH149" s="1215"/>
      <c r="DI149" s="1215"/>
      <c r="DJ149" s="1215"/>
      <c r="DK149" s="1215"/>
      <c r="DL149" s="1215"/>
      <c r="DM149" s="1215"/>
      <c r="DN149" s="1215"/>
      <c r="DO149" s="1215"/>
      <c r="DP149" s="1215"/>
      <c r="DQ149" s="1215"/>
      <c r="DR149" s="1215"/>
      <c r="DS149" s="1215"/>
      <c r="DT149" s="1215"/>
      <c r="DU149" s="1215"/>
      <c r="DV149" s="1215"/>
      <c r="DW149" s="1215"/>
      <c r="DX149" s="1215"/>
      <c r="DY149" s="1215"/>
    </row>
    <row r="150" spans="1:129" ht="12" thickBot="1" x14ac:dyDescent="0.25">
      <c r="A150" s="1123"/>
      <c r="B150" s="1282" t="s">
        <v>1163</v>
      </c>
      <c r="C150" s="1328"/>
      <c r="D150" s="1329"/>
      <c r="E150" s="1329"/>
      <c r="F150" s="1329"/>
      <c r="G150" s="1329"/>
      <c r="H150" s="1329"/>
      <c r="I150" s="1329"/>
      <c r="J150" s="1329"/>
      <c r="K150" s="1329"/>
      <c r="L150" s="1329"/>
      <c r="M150" s="1329"/>
      <c r="N150" s="1329"/>
      <c r="O150" s="1329"/>
      <c r="P150" s="1329"/>
      <c r="Q150" s="1329"/>
      <c r="R150" s="1329"/>
      <c r="S150" s="1329"/>
      <c r="T150" s="1329"/>
      <c r="U150" s="1329"/>
      <c r="V150" s="1329"/>
      <c r="W150" s="1329"/>
      <c r="X150" s="1328"/>
      <c r="Y150" s="1328"/>
      <c r="Z150" s="1328"/>
      <c r="AA150" s="1328"/>
      <c r="AB150" s="1328"/>
      <c r="AC150" s="1328"/>
      <c r="AD150" s="1328"/>
      <c r="AE150" s="1328"/>
      <c r="AF150" s="1328"/>
      <c r="AG150" s="1328"/>
      <c r="AH150" s="1328"/>
      <c r="AI150" s="1328"/>
      <c r="AJ150" s="1328"/>
      <c r="AK150" s="1328"/>
      <c r="AL150" s="1328"/>
      <c r="AM150" s="1328"/>
      <c r="AN150" s="1328"/>
      <c r="AO150" s="1328"/>
      <c r="AP150" s="1328"/>
      <c r="AQ150" s="1330"/>
      <c r="AR150" s="1330"/>
      <c r="AS150" s="1330"/>
      <c r="AT150" s="1331"/>
      <c r="AU150" s="1331"/>
      <c r="AV150" s="1331"/>
      <c r="AW150" s="1330"/>
      <c r="AX150" s="1330"/>
      <c r="AY150" s="1330"/>
      <c r="AZ150" s="1330"/>
      <c r="BA150" s="1330"/>
      <c r="BB150" s="1330"/>
      <c r="BC150" s="1330"/>
      <c r="BD150" s="1330"/>
      <c r="BE150" s="1330"/>
      <c r="BF150" s="1330"/>
      <c r="BG150" s="1330"/>
      <c r="BH150" s="1330"/>
      <c r="BI150" s="1330"/>
      <c r="BJ150" s="1330"/>
      <c r="BK150" s="1330"/>
      <c r="BL150" s="1332"/>
      <c r="BM150" s="1330"/>
      <c r="BN150" s="1330"/>
      <c r="BO150" s="1330"/>
      <c r="BP150" s="1330"/>
      <c r="BQ150" s="1332"/>
      <c r="BR150" s="1330"/>
      <c r="BS150" s="1330"/>
      <c r="BT150" s="1330"/>
      <c r="BU150" s="1330"/>
      <c r="BV150" s="1332"/>
      <c r="BW150" s="1330"/>
      <c r="BX150" s="1330"/>
      <c r="BY150" s="1330"/>
      <c r="BZ150" s="1330"/>
      <c r="CA150" s="1332"/>
      <c r="CB150" s="1330"/>
      <c r="CC150" s="1330"/>
      <c r="CD150" s="1330"/>
      <c r="CE150" s="1330"/>
      <c r="CF150" s="1332"/>
      <c r="CG150" s="1330"/>
      <c r="CH150" s="1330"/>
      <c r="CI150" s="1330"/>
      <c r="CJ150" s="1330"/>
      <c r="CK150" s="1332"/>
      <c r="CL150" s="1330"/>
      <c r="CM150" s="1330"/>
      <c r="CN150" s="1330"/>
      <c r="CO150" s="1330"/>
      <c r="CP150" s="1332"/>
      <c r="CQ150" s="1330"/>
      <c r="CR150" s="1330"/>
      <c r="CS150" s="1330"/>
      <c r="CT150" s="1330"/>
      <c r="CU150" s="1332"/>
      <c r="CV150" s="1330"/>
      <c r="CW150" s="1330"/>
      <c r="CX150" s="1330"/>
      <c r="CY150" s="1330"/>
      <c r="CZ150" s="1332"/>
      <c r="DA150" s="1330"/>
      <c r="DB150" s="1330"/>
      <c r="DC150" s="1330"/>
      <c r="DD150" s="1330"/>
      <c r="DE150" s="1332"/>
      <c r="DF150" s="1330"/>
      <c r="DG150" s="1330"/>
      <c r="DH150" s="1330"/>
      <c r="DI150" s="1330"/>
      <c r="DJ150" s="1332"/>
      <c r="DK150" s="1330"/>
      <c r="DL150" s="1330"/>
      <c r="DM150" s="1330"/>
      <c r="DN150" s="1330"/>
      <c r="DO150" s="1332"/>
      <c r="DP150" s="1330"/>
      <c r="DQ150" s="1330"/>
      <c r="DR150" s="1330"/>
      <c r="DS150" s="1330"/>
      <c r="DT150" s="1332"/>
      <c r="DU150" s="1330"/>
      <c r="DV150" s="1330"/>
      <c r="DW150" s="1330"/>
      <c r="DX150" s="1330"/>
      <c r="DY150" s="1332"/>
    </row>
    <row r="151" spans="1:129" x14ac:dyDescent="0.2">
      <c r="A151" s="532"/>
      <c r="B151" s="1287" t="s">
        <v>1149</v>
      </c>
      <c r="C151" s="650"/>
      <c r="D151" s="650"/>
      <c r="E151" s="650"/>
      <c r="F151" s="650"/>
      <c r="G151" s="650"/>
      <c r="H151" s="650"/>
      <c r="I151" s="650"/>
      <c r="J151" s="650"/>
      <c r="K151" s="650"/>
      <c r="L151" s="650"/>
      <c r="M151" s="650"/>
      <c r="N151" s="650"/>
      <c r="O151" s="650"/>
      <c r="P151" s="650"/>
      <c r="Q151" s="650"/>
      <c r="R151" s="650"/>
      <c r="S151" s="650"/>
      <c r="T151" s="650"/>
      <c r="U151" s="650"/>
      <c r="V151" s="650"/>
      <c r="W151" s="650"/>
      <c r="X151" s="1288"/>
      <c r="Y151" s="650"/>
      <c r="Z151" s="650"/>
      <c r="AA151" s="650"/>
      <c r="AB151" s="650"/>
      <c r="AC151" s="1288"/>
      <c r="AD151" s="650"/>
      <c r="AE151" s="650"/>
      <c r="AF151" s="650"/>
      <c r="AG151" s="650"/>
      <c r="AH151" s="1288"/>
      <c r="AI151" s="650"/>
      <c r="AJ151" s="650"/>
      <c r="AK151" s="650"/>
      <c r="AL151" s="650"/>
      <c r="AM151" s="1288"/>
      <c r="AN151" s="650"/>
      <c r="AO151" s="650"/>
      <c r="AP151" s="650"/>
      <c r="AQ151" s="650"/>
      <c r="AR151" s="1288"/>
      <c r="AS151" s="650"/>
      <c r="AT151" s="650"/>
      <c r="AU151" s="650"/>
      <c r="AV151" s="650"/>
      <c r="AW151" s="1288"/>
      <c r="AX151" s="650"/>
      <c r="AY151" s="650"/>
      <c r="AZ151" s="650"/>
      <c r="BA151" s="650"/>
      <c r="BB151" s="1288"/>
      <c r="BC151" s="650"/>
      <c r="BD151" s="650"/>
      <c r="BE151" s="650"/>
      <c r="BF151" s="650"/>
      <c r="BG151" s="1288"/>
      <c r="BH151" s="650"/>
      <c r="BI151" s="650"/>
      <c r="BJ151" s="650"/>
      <c r="BK151" s="650"/>
      <c r="BL151" s="583"/>
      <c r="BM151" s="650"/>
      <c r="BN151" s="650"/>
      <c r="BO151" s="650"/>
      <c r="BP151" s="650"/>
      <c r="BQ151" s="583"/>
      <c r="BR151" s="650"/>
      <c r="BS151" s="650"/>
      <c r="BT151" s="650"/>
      <c r="BU151" s="650"/>
      <c r="BV151" s="583"/>
      <c r="BW151" s="650"/>
      <c r="BX151" s="650"/>
      <c r="BY151" s="650"/>
      <c r="BZ151" s="650"/>
      <c r="CA151" s="583"/>
      <c r="CB151" s="650"/>
      <c r="CC151" s="650"/>
      <c r="CD151" s="650"/>
      <c r="CE151" s="650"/>
      <c r="CF151" s="583"/>
      <c r="CG151" s="650"/>
      <c r="CH151" s="650"/>
      <c r="CI151" s="650"/>
      <c r="CJ151" s="650"/>
      <c r="CK151" s="583"/>
      <c r="CL151" s="650"/>
      <c r="CM151" s="650"/>
      <c r="CN151" s="650"/>
      <c r="CO151" s="650"/>
      <c r="CP151" s="583"/>
      <c r="CQ151" s="650"/>
      <c r="CR151" s="650"/>
      <c r="CS151" s="650"/>
      <c r="CT151" s="650"/>
      <c r="CU151" s="583"/>
      <c r="CV151" s="650"/>
      <c r="CW151" s="650"/>
      <c r="CX151" s="650"/>
      <c r="CY151" s="650"/>
      <c r="CZ151" s="583"/>
      <c r="DA151" s="650"/>
      <c r="DB151" s="650"/>
      <c r="DC151" s="650"/>
      <c r="DD151" s="650"/>
      <c r="DE151" s="583"/>
      <c r="DF151" s="650"/>
      <c r="DG151" s="650"/>
      <c r="DH151" s="650"/>
      <c r="DI151" s="650"/>
      <c r="DJ151" s="583"/>
      <c r="DK151" s="650"/>
      <c r="DL151" s="650"/>
      <c r="DM151" s="650"/>
      <c r="DN151" s="650"/>
      <c r="DO151" s="583"/>
      <c r="DP151" s="650"/>
      <c r="DQ151" s="650"/>
      <c r="DR151" s="650"/>
      <c r="DS151" s="650"/>
      <c r="DT151" s="583"/>
      <c r="DU151" s="650"/>
      <c r="DV151" s="650"/>
      <c r="DW151" s="650"/>
      <c r="DX151" s="650"/>
      <c r="DY151" s="583"/>
    </row>
    <row r="152" spans="1:129" x14ac:dyDescent="0.2">
      <c r="A152" s="532"/>
      <c r="B152" s="1287" t="s">
        <v>1150</v>
      </c>
      <c r="C152" s="650"/>
      <c r="D152" s="650"/>
      <c r="E152" s="650"/>
      <c r="F152" s="650"/>
      <c r="G152" s="650"/>
      <c r="H152" s="650"/>
      <c r="I152" s="650"/>
      <c r="J152" s="650"/>
      <c r="K152" s="650"/>
      <c r="L152" s="650"/>
      <c r="M152" s="650"/>
      <c r="N152" s="650"/>
      <c r="O152" s="650"/>
      <c r="P152" s="650"/>
      <c r="Q152" s="650"/>
      <c r="R152" s="650"/>
      <c r="S152" s="650"/>
      <c r="T152" s="650"/>
      <c r="U152" s="650"/>
      <c r="V152" s="650"/>
      <c r="W152" s="650"/>
      <c r="X152" s="1288"/>
      <c r="Y152" s="650"/>
      <c r="Z152" s="650"/>
      <c r="AA152" s="650"/>
      <c r="AB152" s="650"/>
      <c r="AC152" s="1288"/>
      <c r="AD152" s="650"/>
      <c r="AE152" s="650"/>
      <c r="AF152" s="650"/>
      <c r="AG152" s="650"/>
      <c r="AH152" s="1288"/>
      <c r="AI152" s="650"/>
      <c r="AJ152" s="650"/>
      <c r="AK152" s="650"/>
      <c r="AL152" s="650"/>
      <c r="AM152" s="1288"/>
      <c r="AN152" s="650"/>
      <c r="AO152" s="650"/>
      <c r="AP152" s="650"/>
      <c r="AQ152" s="650"/>
      <c r="AR152" s="1288"/>
      <c r="AS152" s="650"/>
      <c r="AT152" s="650"/>
      <c r="AU152" s="650"/>
      <c r="AV152" s="650"/>
      <c r="AW152" s="1288"/>
      <c r="AX152" s="650"/>
      <c r="AY152" s="650"/>
      <c r="AZ152" s="650"/>
      <c r="BA152" s="650"/>
      <c r="BB152" s="1288"/>
      <c r="BC152" s="650"/>
      <c r="BD152" s="650"/>
      <c r="BE152" s="650"/>
      <c r="BF152" s="650"/>
      <c r="BG152" s="1289"/>
      <c r="BH152" s="650"/>
      <c r="BI152" s="650"/>
      <c r="BJ152" s="650"/>
      <c r="BK152" s="650"/>
      <c r="BL152" s="1333">
        <v>4.8750000000000002E-2</v>
      </c>
      <c r="BM152" s="650"/>
      <c r="BN152" s="650"/>
      <c r="BO152" s="650"/>
      <c r="BP152" s="650"/>
      <c r="BQ152" s="1333">
        <v>4.8750000000000002E-2</v>
      </c>
      <c r="BR152" s="650"/>
      <c r="BS152" s="650"/>
      <c r="BT152" s="650"/>
      <c r="BU152" s="650"/>
      <c r="BV152" s="1333">
        <v>4.8750000000000002E-2</v>
      </c>
      <c r="BW152" s="650"/>
      <c r="BX152" s="650"/>
      <c r="BY152" s="650"/>
      <c r="BZ152" s="650"/>
      <c r="CA152" s="1333">
        <v>4.8750000000000002E-2</v>
      </c>
      <c r="CB152" s="1334">
        <v>4.8750000000000002E-2</v>
      </c>
      <c r="CC152" s="1334">
        <v>4.8750000000000002E-2</v>
      </c>
      <c r="CD152" s="1334">
        <v>4.8750000000000002E-2</v>
      </c>
      <c r="CE152" s="1334">
        <v>4.8750000000000002E-2</v>
      </c>
      <c r="CF152" s="1333"/>
      <c r="CG152" s="1334">
        <f>CE152</f>
        <v>4.8750000000000002E-2</v>
      </c>
      <c r="CH152" s="1334">
        <f>CG152</f>
        <v>4.8750000000000002E-2</v>
      </c>
      <c r="CI152" s="1334">
        <f>CH152</f>
        <v>4.8750000000000002E-2</v>
      </c>
      <c r="CJ152" s="1334">
        <f>CI152</f>
        <v>4.8750000000000002E-2</v>
      </c>
      <c r="CK152" s="1333"/>
      <c r="CL152" s="1334">
        <f>CJ152</f>
        <v>4.8750000000000002E-2</v>
      </c>
      <c r="CM152" s="1334">
        <f>CL152</f>
        <v>4.8750000000000002E-2</v>
      </c>
      <c r="CN152" s="1334">
        <f>CM152</f>
        <v>4.8750000000000002E-2</v>
      </c>
      <c r="CO152" s="1334">
        <f>CN152</f>
        <v>4.8750000000000002E-2</v>
      </c>
      <c r="CP152" s="1333"/>
      <c r="CQ152" s="1334">
        <f>CO152</f>
        <v>4.8750000000000002E-2</v>
      </c>
      <c r="CR152" s="1334">
        <f>CQ152</f>
        <v>4.8750000000000002E-2</v>
      </c>
      <c r="CS152" s="1334">
        <f>CR152</f>
        <v>4.8750000000000002E-2</v>
      </c>
      <c r="CT152" s="1334">
        <f>CS152</f>
        <v>4.8750000000000002E-2</v>
      </c>
      <c r="CU152" s="1333"/>
      <c r="CV152" s="1334">
        <f>CT152</f>
        <v>4.8750000000000002E-2</v>
      </c>
      <c r="CW152" s="1334">
        <f>CV152</f>
        <v>4.8750000000000002E-2</v>
      </c>
      <c r="CX152" s="1334">
        <f>CW152</f>
        <v>4.8750000000000002E-2</v>
      </c>
      <c r="CY152" s="1334">
        <f>CX152</f>
        <v>4.8750000000000002E-2</v>
      </c>
      <c r="CZ152" s="1333"/>
      <c r="DA152" s="1334">
        <f>CY152</f>
        <v>4.8750000000000002E-2</v>
      </c>
      <c r="DB152" s="1334">
        <f>DA152</f>
        <v>4.8750000000000002E-2</v>
      </c>
      <c r="DC152" s="1334">
        <f>DB152</f>
        <v>4.8750000000000002E-2</v>
      </c>
      <c r="DD152" s="1334">
        <f>DC152</f>
        <v>4.8750000000000002E-2</v>
      </c>
      <c r="DE152" s="1333"/>
      <c r="DF152" s="1334">
        <f>DD152</f>
        <v>4.8750000000000002E-2</v>
      </c>
      <c r="DG152" s="1334">
        <f>DF152</f>
        <v>4.8750000000000002E-2</v>
      </c>
      <c r="DH152" s="1334">
        <f>DG152</f>
        <v>4.8750000000000002E-2</v>
      </c>
      <c r="DI152" s="1334">
        <f>DH152</f>
        <v>4.8750000000000002E-2</v>
      </c>
      <c r="DJ152" s="1333"/>
      <c r="DK152" s="1334">
        <f>DI152</f>
        <v>4.8750000000000002E-2</v>
      </c>
      <c r="DL152" s="1334">
        <f>DK152</f>
        <v>4.8750000000000002E-2</v>
      </c>
      <c r="DM152" s="1334">
        <f>DL152</f>
        <v>4.8750000000000002E-2</v>
      </c>
      <c r="DN152" s="1334">
        <f>DM152</f>
        <v>4.8750000000000002E-2</v>
      </c>
      <c r="DO152" s="1333"/>
      <c r="DP152" s="1334">
        <f>DN152</f>
        <v>4.8750000000000002E-2</v>
      </c>
      <c r="DQ152" s="1334">
        <f>DP152</f>
        <v>4.8750000000000002E-2</v>
      </c>
      <c r="DR152" s="1334">
        <f>DQ152</f>
        <v>4.8750000000000002E-2</v>
      </c>
      <c r="DS152" s="1334">
        <f>DR152</f>
        <v>4.8750000000000002E-2</v>
      </c>
      <c r="DT152" s="1333"/>
      <c r="DU152" s="1334">
        <f>DS152</f>
        <v>4.8750000000000002E-2</v>
      </c>
      <c r="DV152" s="1334">
        <f>DU152</f>
        <v>4.8750000000000002E-2</v>
      </c>
      <c r="DW152" s="1334">
        <f>DV152</f>
        <v>4.8750000000000002E-2</v>
      </c>
      <c r="DX152" s="1334">
        <f>DW152</f>
        <v>4.8750000000000002E-2</v>
      </c>
      <c r="DY152" s="1333"/>
    </row>
    <row r="153" spans="1:129" x14ac:dyDescent="0.2">
      <c r="A153" s="1223"/>
      <c r="B153" s="1190" t="s">
        <v>1151</v>
      </c>
      <c r="C153" s="1293"/>
      <c r="D153" s="1293"/>
      <c r="E153" s="1293"/>
      <c r="F153" s="1293"/>
      <c r="G153" s="1293"/>
      <c r="H153" s="1293"/>
      <c r="I153" s="1293"/>
      <c r="J153" s="1293"/>
      <c r="K153" s="1293"/>
      <c r="L153" s="1293"/>
      <c r="M153" s="1293"/>
      <c r="N153" s="1293"/>
      <c r="O153" s="1293"/>
      <c r="P153" s="1293"/>
      <c r="Q153" s="1293"/>
      <c r="R153" s="1293"/>
      <c r="S153" s="1293"/>
      <c r="T153" s="1293"/>
      <c r="U153" s="1293"/>
      <c r="V153" s="1293"/>
      <c r="W153" s="1293"/>
      <c r="X153" s="1227"/>
      <c r="Y153" s="1231"/>
      <c r="Z153" s="1231"/>
      <c r="AA153" s="1231"/>
      <c r="AB153" s="1294"/>
      <c r="AC153" s="1227"/>
      <c r="AD153" s="1231"/>
      <c r="AE153" s="1231"/>
      <c r="AF153" s="1231"/>
      <c r="AG153" s="1294"/>
      <c r="AH153" s="1227"/>
      <c r="AI153" s="1231"/>
      <c r="AJ153" s="1231"/>
      <c r="AK153" s="1231"/>
      <c r="AL153" s="1294"/>
      <c r="AM153" s="1227"/>
      <c r="AN153" s="1231"/>
      <c r="AO153" s="1231"/>
      <c r="AP153" s="1231"/>
      <c r="AQ153" s="1294"/>
      <c r="AR153" s="1227"/>
      <c r="AS153" s="1231"/>
      <c r="AT153" s="1231"/>
      <c r="AU153" s="1231"/>
      <c r="AV153" s="1294"/>
      <c r="AW153" s="1227"/>
      <c r="AX153" s="1231"/>
      <c r="AY153" s="1231"/>
      <c r="AZ153" s="1231"/>
      <c r="BA153" s="1231"/>
      <c r="BB153" s="1227"/>
      <c r="BC153" s="1231"/>
      <c r="BD153" s="1231"/>
      <c r="BE153" s="1231"/>
      <c r="BF153" s="1231"/>
      <c r="BG153" s="1227"/>
      <c r="BH153" s="1231"/>
      <c r="BI153" s="1231"/>
      <c r="BJ153" s="1231"/>
      <c r="BK153" s="1231"/>
      <c r="BL153" s="1326"/>
      <c r="BM153" s="1231"/>
      <c r="BN153" s="1231"/>
      <c r="BO153" s="1231"/>
      <c r="BP153" s="1231"/>
      <c r="BQ153" s="1326"/>
      <c r="BR153" s="1231"/>
      <c r="BS153" s="1231"/>
      <c r="BT153" s="1231"/>
      <c r="BU153" s="1231"/>
      <c r="BV153" s="1326"/>
      <c r="BW153" s="1231"/>
      <c r="BX153" s="1231"/>
      <c r="BY153" s="1231"/>
      <c r="BZ153" s="1231"/>
      <c r="CA153" s="1326"/>
      <c r="CB153" s="1231"/>
      <c r="CC153" s="1231"/>
      <c r="CD153" s="1231"/>
      <c r="CE153" s="1231"/>
      <c r="CF153" s="1326"/>
      <c r="CG153" s="1231"/>
      <c r="CH153" s="1231"/>
      <c r="CI153" s="1231"/>
      <c r="CJ153" s="1231"/>
      <c r="CK153" s="1326"/>
      <c r="CL153" s="1231"/>
      <c r="CM153" s="1231"/>
      <c r="CN153" s="1231"/>
      <c r="CO153" s="1231"/>
      <c r="CP153" s="1326"/>
      <c r="CQ153" s="1231"/>
      <c r="CR153" s="1231"/>
      <c r="CS153" s="1231"/>
      <c r="CT153" s="1231"/>
      <c r="CU153" s="1326"/>
      <c r="CV153" s="1231"/>
      <c r="CW153" s="1231"/>
      <c r="CX153" s="1231"/>
      <c r="CY153" s="1231"/>
      <c r="CZ153" s="1326"/>
      <c r="DA153" s="1231"/>
      <c r="DB153" s="1231"/>
      <c r="DC153" s="1231"/>
      <c r="DD153" s="1231"/>
      <c r="DE153" s="1326"/>
      <c r="DF153" s="1231"/>
      <c r="DG153" s="1231"/>
      <c r="DH153" s="1231"/>
      <c r="DI153" s="1231"/>
      <c r="DJ153" s="1326"/>
      <c r="DK153" s="1231"/>
      <c r="DL153" s="1231"/>
      <c r="DM153" s="1231"/>
      <c r="DN153" s="1231"/>
      <c r="DO153" s="1326"/>
      <c r="DP153" s="1231"/>
      <c r="DQ153" s="1231"/>
      <c r="DR153" s="1231"/>
      <c r="DS153" s="1231"/>
      <c r="DT153" s="1326"/>
      <c r="DU153" s="1231"/>
      <c r="DV153" s="1231"/>
      <c r="DW153" s="1231"/>
      <c r="DX153" s="1231"/>
      <c r="DY153" s="1326"/>
    </row>
    <row r="154" spans="1:129" x14ac:dyDescent="0.2">
      <c r="A154" s="1223"/>
      <c r="B154" s="1190" t="s">
        <v>1152</v>
      </c>
      <c r="C154" s="1231"/>
      <c r="D154" s="1231"/>
      <c r="E154" s="1231"/>
      <c r="F154" s="1231"/>
      <c r="G154" s="1231"/>
      <c r="H154" s="1231"/>
      <c r="I154" s="1231"/>
      <c r="J154" s="1231"/>
      <c r="K154" s="1231"/>
      <c r="L154" s="1231"/>
      <c r="M154" s="1231"/>
      <c r="N154" s="1231"/>
      <c r="O154" s="1231"/>
      <c r="P154" s="1231"/>
      <c r="Q154" s="1231"/>
      <c r="R154" s="1231"/>
      <c r="S154" s="1231"/>
      <c r="T154" s="1231"/>
      <c r="U154" s="1231"/>
      <c r="V154" s="1231"/>
      <c r="W154" s="1231"/>
      <c r="X154" s="1227"/>
      <c r="Y154" s="1231"/>
      <c r="Z154" s="1231"/>
      <c r="AA154" s="1231"/>
      <c r="AB154" s="1231"/>
      <c r="AC154" s="1227"/>
      <c r="AD154" s="1231"/>
      <c r="AE154" s="1231"/>
      <c r="AF154" s="1231"/>
      <c r="AG154" s="1231"/>
      <c r="AH154" s="1227"/>
      <c r="AI154" s="1231"/>
      <c r="AJ154" s="1231"/>
      <c r="AK154" s="1231"/>
      <c r="AL154" s="1231"/>
      <c r="AM154" s="1227"/>
      <c r="AN154" s="1231"/>
      <c r="AO154" s="1231"/>
      <c r="AP154" s="1231"/>
      <c r="AQ154" s="1231"/>
      <c r="AR154" s="1227"/>
      <c r="AS154" s="1231"/>
      <c r="AT154" s="1231"/>
      <c r="AU154" s="1231"/>
      <c r="AV154" s="1231"/>
      <c r="AW154" s="1227"/>
      <c r="AX154" s="1231"/>
      <c r="AY154" s="1231"/>
      <c r="AZ154" s="1231"/>
      <c r="BA154" s="1231"/>
      <c r="BB154" s="1227"/>
      <c r="BC154" s="1231"/>
      <c r="BD154" s="1231"/>
      <c r="BE154" s="1231"/>
      <c r="BF154" s="1231"/>
      <c r="BG154" s="1227"/>
      <c r="BH154" s="1231"/>
      <c r="BI154" s="1231"/>
      <c r="BJ154" s="1231"/>
      <c r="BK154" s="1231"/>
      <c r="BL154" s="1326"/>
      <c r="BM154" s="1231"/>
      <c r="BN154" s="1231"/>
      <c r="BO154" s="1231"/>
      <c r="BP154" s="1231"/>
      <c r="BQ154" s="1326">
        <f>BL156</f>
        <v>550</v>
      </c>
      <c r="BR154" s="1231"/>
      <c r="BS154" s="1231"/>
      <c r="BT154" s="1231"/>
      <c r="BU154" s="1231"/>
      <c r="BV154" s="1326">
        <f>BQ156</f>
        <v>550</v>
      </c>
      <c r="BW154" s="1231"/>
      <c r="BX154" s="1231"/>
      <c r="BY154" s="1231"/>
      <c r="BZ154" s="1231"/>
      <c r="CA154" s="1326">
        <f>BV156</f>
        <v>550</v>
      </c>
      <c r="CB154" s="1223">
        <f>CA156</f>
        <v>550</v>
      </c>
      <c r="CC154" s="1223">
        <f>+CB156</f>
        <v>550</v>
      </c>
      <c r="CD154" s="1223">
        <f>+CC156</f>
        <v>550</v>
      </c>
      <c r="CE154" s="1223">
        <f>+CD156</f>
        <v>550</v>
      </c>
      <c r="CF154" s="1326">
        <f>CA156</f>
        <v>550</v>
      </c>
      <c r="CG154" s="1223">
        <f>+CE156</f>
        <v>550</v>
      </c>
      <c r="CH154" s="1223">
        <f>+CG156</f>
        <v>550</v>
      </c>
      <c r="CI154" s="1223">
        <f>+CH156</f>
        <v>0</v>
      </c>
      <c r="CJ154" s="1223">
        <f>+CI156</f>
        <v>0</v>
      </c>
      <c r="CK154" s="1326">
        <f>CF156</f>
        <v>550</v>
      </c>
      <c r="CL154" s="1223">
        <f>+CJ156</f>
        <v>0</v>
      </c>
      <c r="CM154" s="1223">
        <f>+CL156</f>
        <v>0</v>
      </c>
      <c r="CN154" s="1223">
        <f>+CM156</f>
        <v>0</v>
      </c>
      <c r="CO154" s="1223">
        <f>+CN156</f>
        <v>0</v>
      </c>
      <c r="CP154" s="1326">
        <f>CK156</f>
        <v>0</v>
      </c>
      <c r="CQ154" s="1223">
        <f>+CO154</f>
        <v>0</v>
      </c>
      <c r="CR154" s="1223">
        <f>+CQ156</f>
        <v>0</v>
      </c>
      <c r="CS154" s="1223">
        <f>+CR156</f>
        <v>0</v>
      </c>
      <c r="CT154" s="1223">
        <f>+CS156</f>
        <v>0</v>
      </c>
      <c r="CU154" s="1326">
        <f>CP156</f>
        <v>0</v>
      </c>
      <c r="CV154" s="1223">
        <f>+CT154</f>
        <v>0</v>
      </c>
      <c r="CW154" s="1223">
        <f>+CV156</f>
        <v>0</v>
      </c>
      <c r="CX154" s="1223">
        <f>+CW156</f>
        <v>0</v>
      </c>
      <c r="CY154" s="1223">
        <f>+CX156</f>
        <v>0</v>
      </c>
      <c r="CZ154" s="1326">
        <f>CU156</f>
        <v>0</v>
      </c>
      <c r="DA154" s="1223">
        <f>+CY154</f>
        <v>0</v>
      </c>
      <c r="DB154" s="1223">
        <f>+DA156</f>
        <v>0</v>
      </c>
      <c r="DC154" s="1223">
        <f>+DB156</f>
        <v>0</v>
      </c>
      <c r="DD154" s="1223">
        <f>+DC156</f>
        <v>0</v>
      </c>
      <c r="DE154" s="1326">
        <f>CZ156</f>
        <v>0</v>
      </c>
      <c r="DF154" s="1223">
        <f>+DD154</f>
        <v>0</v>
      </c>
      <c r="DG154" s="1223">
        <f>+DF156</f>
        <v>0</v>
      </c>
      <c r="DH154" s="1223">
        <f>+DG156</f>
        <v>0</v>
      </c>
      <c r="DI154" s="1223">
        <f>+DH156</f>
        <v>0</v>
      </c>
      <c r="DJ154" s="1326">
        <f>DE156</f>
        <v>0</v>
      </c>
      <c r="DK154" s="1223">
        <f>+DI154</f>
        <v>0</v>
      </c>
      <c r="DL154" s="1223">
        <f>+DK156</f>
        <v>0</v>
      </c>
      <c r="DM154" s="1223">
        <f>+DL156</f>
        <v>0</v>
      </c>
      <c r="DN154" s="1223">
        <f>+DM156</f>
        <v>0</v>
      </c>
      <c r="DO154" s="1326">
        <f>DJ156</f>
        <v>0</v>
      </c>
      <c r="DP154" s="1223">
        <f>+DN154</f>
        <v>0</v>
      </c>
      <c r="DQ154" s="1223">
        <f>+DP156</f>
        <v>0</v>
      </c>
      <c r="DR154" s="1223">
        <f>+DQ156</f>
        <v>0</v>
      </c>
      <c r="DS154" s="1223">
        <f>+DR156</f>
        <v>0</v>
      </c>
      <c r="DT154" s="1326">
        <f>DO156</f>
        <v>0</v>
      </c>
      <c r="DU154" s="1223">
        <f>+DS154</f>
        <v>0</v>
      </c>
      <c r="DV154" s="1223">
        <f>+DU156</f>
        <v>0</v>
      </c>
      <c r="DW154" s="1223">
        <f>+DV156</f>
        <v>0</v>
      </c>
      <c r="DX154" s="1223">
        <f>+DW156</f>
        <v>0</v>
      </c>
      <c r="DY154" s="1326">
        <f>DT156</f>
        <v>0</v>
      </c>
    </row>
    <row r="155" spans="1:129" x14ac:dyDescent="0.2">
      <c r="A155" s="1295"/>
      <c r="B155" s="1190" t="s">
        <v>1153</v>
      </c>
      <c r="C155" s="1182"/>
      <c r="D155" s="1182"/>
      <c r="E155" s="1182"/>
      <c r="F155" s="1182"/>
      <c r="G155" s="1182"/>
      <c r="H155" s="1182"/>
      <c r="I155" s="1182"/>
      <c r="J155" s="1182"/>
      <c r="K155" s="1182"/>
      <c r="L155" s="1182"/>
      <c r="M155" s="1182"/>
      <c r="N155" s="1182"/>
      <c r="O155" s="1182"/>
      <c r="P155" s="1182"/>
      <c r="Q155" s="1182"/>
      <c r="R155" s="1182"/>
      <c r="S155" s="1182"/>
      <c r="T155" s="1182"/>
      <c r="U155" s="1182"/>
      <c r="V155" s="1182"/>
      <c r="W155" s="1182"/>
      <c r="X155" s="1296"/>
      <c r="Y155" s="1297"/>
      <c r="Z155" s="1297"/>
      <c r="AA155" s="1297"/>
      <c r="AB155" s="1297"/>
      <c r="AC155" s="1296"/>
      <c r="AD155" s="1297"/>
      <c r="AE155" s="1297"/>
      <c r="AF155" s="1297"/>
      <c r="AG155" s="1297"/>
      <c r="AH155" s="1296"/>
      <c r="AI155" s="1297"/>
      <c r="AJ155" s="1297"/>
      <c r="AK155" s="1297"/>
      <c r="AL155" s="1297"/>
      <c r="AM155" s="1296"/>
      <c r="AN155" s="1297"/>
      <c r="AO155" s="1297"/>
      <c r="AP155" s="1297"/>
      <c r="AQ155" s="1297"/>
      <c r="AR155" s="1296"/>
      <c r="AS155" s="1297"/>
      <c r="AT155" s="1297"/>
      <c r="AU155" s="1297"/>
      <c r="AV155" s="1297"/>
      <c r="AW155" s="1296"/>
      <c r="AX155" s="1298"/>
      <c r="AY155" s="1299"/>
      <c r="AZ155" s="1299"/>
      <c r="BA155" s="1298"/>
      <c r="BB155" s="1300"/>
      <c r="BC155" s="1298"/>
      <c r="BD155" s="1298"/>
      <c r="BE155" s="1298"/>
      <c r="BF155" s="1298"/>
      <c r="BG155" s="1296"/>
      <c r="BH155" s="1298"/>
      <c r="BI155" s="1298"/>
      <c r="BJ155" s="1298"/>
      <c r="BK155" s="1298"/>
      <c r="BL155" s="1335"/>
      <c r="BM155" s="1298"/>
      <c r="BN155" s="1298"/>
      <c r="BO155" s="1298"/>
      <c r="BP155" s="1298"/>
      <c r="BQ155" s="1335">
        <f>BQ156-BQ154</f>
        <v>0</v>
      </c>
      <c r="BR155" s="1298"/>
      <c r="BS155" s="1298"/>
      <c r="BT155" s="1298"/>
      <c r="BU155" s="1298"/>
      <c r="BV155" s="1335">
        <f>BV156-BV154</f>
        <v>0</v>
      </c>
      <c r="BW155" s="1298"/>
      <c r="BX155" s="1298"/>
      <c r="BY155" s="1298"/>
      <c r="BZ155" s="1298"/>
      <c r="CA155" s="1335">
        <f>CA156-CA154</f>
        <v>0</v>
      </c>
      <c r="CB155" s="1336">
        <f>CB156-CB154</f>
        <v>0</v>
      </c>
      <c r="CC155" s="1336">
        <f>CC156-CC154</f>
        <v>0</v>
      </c>
      <c r="CD155" s="1298">
        <v>0</v>
      </c>
      <c r="CE155" s="1298">
        <v>0</v>
      </c>
      <c r="CF155" s="1335">
        <f>+SUM(CB155:CE155)</f>
        <v>0</v>
      </c>
      <c r="CG155" s="1298">
        <v>0</v>
      </c>
      <c r="CH155" s="1298">
        <v>-550</v>
      </c>
      <c r="CI155" s="1298">
        <v>0</v>
      </c>
      <c r="CJ155" s="1298">
        <v>0</v>
      </c>
      <c r="CK155" s="1335">
        <f>+SUM(CG155:CJ155)</f>
        <v>-550</v>
      </c>
      <c r="CL155" s="1298">
        <v>0</v>
      </c>
      <c r="CM155" s="1298">
        <v>0</v>
      </c>
      <c r="CN155" s="1298">
        <v>0</v>
      </c>
      <c r="CO155" s="1298">
        <v>0</v>
      </c>
      <c r="CP155" s="1335">
        <f>+SUM(CL155:CO155)</f>
        <v>0</v>
      </c>
      <c r="CQ155" s="1298">
        <v>0</v>
      </c>
      <c r="CR155" s="1298">
        <v>0</v>
      </c>
      <c r="CS155" s="1298">
        <v>0</v>
      </c>
      <c r="CT155" s="1298">
        <v>0</v>
      </c>
      <c r="CU155" s="1335">
        <f>+SUM(CQ155:CT155)</f>
        <v>0</v>
      </c>
      <c r="CV155" s="1298">
        <v>0</v>
      </c>
      <c r="CW155" s="1298">
        <v>0</v>
      </c>
      <c r="CX155" s="1298">
        <v>0</v>
      </c>
      <c r="CY155" s="1298">
        <v>0</v>
      </c>
      <c r="CZ155" s="1335">
        <f>+SUM(CV155:CY155)</f>
        <v>0</v>
      </c>
      <c r="DA155" s="1298">
        <v>0</v>
      </c>
      <c r="DB155" s="1298">
        <v>0</v>
      </c>
      <c r="DC155" s="1298">
        <v>0</v>
      </c>
      <c r="DD155" s="1298">
        <v>0</v>
      </c>
      <c r="DE155" s="1335">
        <f>+SUM(DA155:DD155)</f>
        <v>0</v>
      </c>
      <c r="DF155" s="1298">
        <v>0</v>
      </c>
      <c r="DG155" s="1298">
        <v>0</v>
      </c>
      <c r="DH155" s="1298">
        <v>0</v>
      </c>
      <c r="DI155" s="1298">
        <v>0</v>
      </c>
      <c r="DJ155" s="1335">
        <f>+SUM(DF155:DI155)</f>
        <v>0</v>
      </c>
      <c r="DK155" s="1298">
        <v>0</v>
      </c>
      <c r="DL155" s="1298">
        <v>0</v>
      </c>
      <c r="DM155" s="1298">
        <v>0</v>
      </c>
      <c r="DN155" s="1298">
        <v>0</v>
      </c>
      <c r="DO155" s="1335">
        <f>+SUM(DK155:DN155)</f>
        <v>0</v>
      </c>
      <c r="DP155" s="1298">
        <v>0</v>
      </c>
      <c r="DQ155" s="1298">
        <v>0</v>
      </c>
      <c r="DR155" s="1298">
        <v>0</v>
      </c>
      <c r="DS155" s="1298">
        <v>0</v>
      </c>
      <c r="DT155" s="1335">
        <f>+SUM(DP155:DS155)</f>
        <v>0</v>
      </c>
      <c r="DU155" s="1298">
        <v>0</v>
      </c>
      <c r="DV155" s="1298">
        <v>0</v>
      </c>
      <c r="DW155" s="1298">
        <v>0</v>
      </c>
      <c r="DX155" s="1298">
        <v>0</v>
      </c>
      <c r="DY155" s="1335">
        <f>+SUM(DU155:DX155)</f>
        <v>0</v>
      </c>
    </row>
    <row r="156" spans="1:129" x14ac:dyDescent="0.2">
      <c r="A156" s="1295"/>
      <c r="B156" s="1190" t="s">
        <v>1154</v>
      </c>
      <c r="C156" s="1182"/>
      <c r="D156" s="1182"/>
      <c r="E156" s="1182"/>
      <c r="F156" s="1182"/>
      <c r="G156" s="1182"/>
      <c r="H156" s="1182"/>
      <c r="I156" s="1182"/>
      <c r="J156" s="1182"/>
      <c r="K156" s="1182"/>
      <c r="L156" s="1182"/>
      <c r="M156" s="1182"/>
      <c r="N156" s="1182"/>
      <c r="O156" s="1182"/>
      <c r="P156" s="1182"/>
      <c r="Q156" s="1182"/>
      <c r="R156" s="1182"/>
      <c r="S156" s="1182"/>
      <c r="T156" s="1182"/>
      <c r="U156" s="1182"/>
      <c r="V156" s="1182"/>
      <c r="W156" s="1182"/>
      <c r="X156" s="1304"/>
      <c r="Y156" s="1305"/>
      <c r="Z156" s="1305"/>
      <c r="AA156" s="1305"/>
      <c r="AB156" s="1305"/>
      <c r="AC156" s="1304"/>
      <c r="AD156" s="1305"/>
      <c r="AE156" s="1305"/>
      <c r="AF156" s="1305"/>
      <c r="AG156" s="1305"/>
      <c r="AH156" s="1304"/>
      <c r="AI156" s="1305"/>
      <c r="AJ156" s="1305"/>
      <c r="AK156" s="1305"/>
      <c r="AL156" s="1305"/>
      <c r="AM156" s="1304"/>
      <c r="AN156" s="1305"/>
      <c r="AO156" s="1305"/>
      <c r="AP156" s="1305"/>
      <c r="AQ156" s="1305"/>
      <c r="AR156" s="1304"/>
      <c r="AS156" s="1305"/>
      <c r="AT156" s="1305"/>
      <c r="AU156" s="1305"/>
      <c r="AV156" s="1305"/>
      <c r="AW156" s="1304"/>
      <c r="AX156" s="1305"/>
      <c r="AY156" s="1305"/>
      <c r="AZ156" s="1305"/>
      <c r="BA156" s="1305"/>
      <c r="BB156" s="1304"/>
      <c r="BC156" s="1305"/>
      <c r="BD156" s="1305"/>
      <c r="BE156" s="1305"/>
      <c r="BF156" s="1305"/>
      <c r="BG156" s="1306"/>
      <c r="BH156" s="1305"/>
      <c r="BI156" s="1305"/>
      <c r="BJ156" s="1305"/>
      <c r="BK156" s="1305"/>
      <c r="BL156" s="1337">
        <v>550</v>
      </c>
      <c r="BM156" s="1305"/>
      <c r="BN156" s="1305"/>
      <c r="BO156" s="1305"/>
      <c r="BP156" s="1305"/>
      <c r="BQ156" s="1337">
        <v>550</v>
      </c>
      <c r="BR156" s="1305"/>
      <c r="BS156" s="1305"/>
      <c r="BT156" s="1305"/>
      <c r="BU156" s="1305"/>
      <c r="BV156" s="1337">
        <v>550</v>
      </c>
      <c r="BW156" s="1305"/>
      <c r="BX156" s="1305"/>
      <c r="BY156" s="1305"/>
      <c r="BZ156" s="1305"/>
      <c r="CA156" s="1337">
        <v>550</v>
      </c>
      <c r="CB156" s="1295">
        <f>CA156</f>
        <v>550</v>
      </c>
      <c r="CC156" s="1226">
        <f>CB156</f>
        <v>550</v>
      </c>
      <c r="CD156" s="1295">
        <f t="shared" ref="CD156:CZ156" si="149">CD154+CD155</f>
        <v>550</v>
      </c>
      <c r="CE156" s="1295">
        <f t="shared" si="149"/>
        <v>550</v>
      </c>
      <c r="CF156" s="1325">
        <f t="shared" si="149"/>
        <v>550</v>
      </c>
      <c r="CG156" s="1295">
        <f t="shared" si="149"/>
        <v>550</v>
      </c>
      <c r="CH156" s="1295">
        <f t="shared" si="149"/>
        <v>0</v>
      </c>
      <c r="CI156" s="1295">
        <f t="shared" si="149"/>
        <v>0</v>
      </c>
      <c r="CJ156" s="1295">
        <f t="shared" si="149"/>
        <v>0</v>
      </c>
      <c r="CK156" s="1325">
        <f t="shared" si="149"/>
        <v>0</v>
      </c>
      <c r="CL156" s="1295">
        <f t="shared" si="149"/>
        <v>0</v>
      </c>
      <c r="CM156" s="1295">
        <f t="shared" si="149"/>
        <v>0</v>
      </c>
      <c r="CN156" s="1295">
        <f t="shared" si="149"/>
        <v>0</v>
      </c>
      <c r="CO156" s="1295">
        <f t="shared" si="149"/>
        <v>0</v>
      </c>
      <c r="CP156" s="1325">
        <f t="shared" si="149"/>
        <v>0</v>
      </c>
      <c r="CQ156" s="1295">
        <f t="shared" si="149"/>
        <v>0</v>
      </c>
      <c r="CR156" s="1295">
        <f t="shared" si="149"/>
        <v>0</v>
      </c>
      <c r="CS156" s="1295">
        <f t="shared" si="149"/>
        <v>0</v>
      </c>
      <c r="CT156" s="1295">
        <f t="shared" si="149"/>
        <v>0</v>
      </c>
      <c r="CU156" s="1325">
        <f t="shared" si="149"/>
        <v>0</v>
      </c>
      <c r="CV156" s="1295">
        <f t="shared" si="149"/>
        <v>0</v>
      </c>
      <c r="CW156" s="1295">
        <f t="shared" si="149"/>
        <v>0</v>
      </c>
      <c r="CX156" s="1295">
        <f t="shared" si="149"/>
        <v>0</v>
      </c>
      <c r="CY156" s="1295">
        <f t="shared" si="149"/>
        <v>0</v>
      </c>
      <c r="CZ156" s="1325">
        <f t="shared" si="149"/>
        <v>0</v>
      </c>
      <c r="DA156" s="1295">
        <f t="shared" ref="DA156:DJ156" si="150">DA154+DA155</f>
        <v>0</v>
      </c>
      <c r="DB156" s="1295">
        <f t="shared" si="150"/>
        <v>0</v>
      </c>
      <c r="DC156" s="1295">
        <f t="shared" si="150"/>
        <v>0</v>
      </c>
      <c r="DD156" s="1295">
        <f t="shared" si="150"/>
        <v>0</v>
      </c>
      <c r="DE156" s="1325">
        <f t="shared" si="150"/>
        <v>0</v>
      </c>
      <c r="DF156" s="1295">
        <f t="shared" si="150"/>
        <v>0</v>
      </c>
      <c r="DG156" s="1295">
        <f t="shared" si="150"/>
        <v>0</v>
      </c>
      <c r="DH156" s="1295">
        <f t="shared" si="150"/>
        <v>0</v>
      </c>
      <c r="DI156" s="1295">
        <f t="shared" si="150"/>
        <v>0</v>
      </c>
      <c r="DJ156" s="1325">
        <f t="shared" si="150"/>
        <v>0</v>
      </c>
      <c r="DK156" s="1295">
        <f t="shared" ref="DK156:DT156" si="151">DK154+DK155</f>
        <v>0</v>
      </c>
      <c r="DL156" s="1295">
        <f t="shared" si="151"/>
        <v>0</v>
      </c>
      <c r="DM156" s="1295">
        <f t="shared" si="151"/>
        <v>0</v>
      </c>
      <c r="DN156" s="1295">
        <f t="shared" si="151"/>
        <v>0</v>
      </c>
      <c r="DO156" s="1325">
        <f t="shared" si="151"/>
        <v>0</v>
      </c>
      <c r="DP156" s="1295">
        <f t="shared" si="151"/>
        <v>0</v>
      </c>
      <c r="DQ156" s="1295">
        <f t="shared" si="151"/>
        <v>0</v>
      </c>
      <c r="DR156" s="1295">
        <f t="shared" si="151"/>
        <v>0</v>
      </c>
      <c r="DS156" s="1295">
        <f t="shared" si="151"/>
        <v>0</v>
      </c>
      <c r="DT156" s="1325">
        <f t="shared" si="151"/>
        <v>0</v>
      </c>
      <c r="DU156" s="1295">
        <f t="shared" ref="DU156:DY156" si="152">DU154+DU155</f>
        <v>0</v>
      </c>
      <c r="DV156" s="1295">
        <f t="shared" si="152"/>
        <v>0</v>
      </c>
      <c r="DW156" s="1295">
        <f t="shared" si="152"/>
        <v>0</v>
      </c>
      <c r="DX156" s="1295">
        <f t="shared" si="152"/>
        <v>0</v>
      </c>
      <c r="DY156" s="1325">
        <f t="shared" si="152"/>
        <v>0</v>
      </c>
    </row>
    <row r="157" spans="1:129" x14ac:dyDescent="0.2">
      <c r="A157" s="1223"/>
      <c r="B157" s="1190" t="s">
        <v>1155</v>
      </c>
      <c r="C157" s="1182"/>
      <c r="D157" s="1182"/>
      <c r="E157" s="1182"/>
      <c r="F157" s="1182"/>
      <c r="G157" s="1182"/>
      <c r="H157" s="1182"/>
      <c r="I157" s="1182"/>
      <c r="J157" s="1182"/>
      <c r="K157" s="1182"/>
      <c r="L157" s="1182"/>
      <c r="M157" s="1182"/>
      <c r="N157" s="1182"/>
      <c r="O157" s="1182"/>
      <c r="P157" s="1182"/>
      <c r="Q157" s="1182"/>
      <c r="R157" s="1182"/>
      <c r="S157" s="1182"/>
      <c r="T157" s="1182"/>
      <c r="U157" s="1182"/>
      <c r="V157" s="1182"/>
      <c r="W157" s="1182"/>
      <c r="X157" s="1227"/>
      <c r="Y157" s="1231"/>
      <c r="Z157" s="1231"/>
      <c r="AA157" s="1231"/>
      <c r="AB157" s="1231"/>
      <c r="AC157" s="1227"/>
      <c r="AD157" s="1231"/>
      <c r="AE157" s="1231"/>
      <c r="AF157" s="1231"/>
      <c r="AG157" s="1231"/>
      <c r="AH157" s="1227"/>
      <c r="AI157" s="1231"/>
      <c r="AJ157" s="1231"/>
      <c r="AK157" s="1231"/>
      <c r="AL157" s="1231"/>
      <c r="AM157" s="1227"/>
      <c r="AN157" s="1231"/>
      <c r="AO157" s="1231"/>
      <c r="AP157" s="1231"/>
      <c r="AQ157" s="1231"/>
      <c r="AR157" s="1227"/>
      <c r="AS157" s="1231"/>
      <c r="AT157" s="1231"/>
      <c r="AU157" s="1231"/>
      <c r="AV157" s="1231"/>
      <c r="AW157" s="1227"/>
      <c r="AX157" s="1231"/>
      <c r="AY157" s="1231"/>
      <c r="AZ157" s="1231"/>
      <c r="BA157" s="1231"/>
      <c r="BB157" s="1227"/>
      <c r="BC157" s="1231"/>
      <c r="BD157" s="1231"/>
      <c r="BE157" s="1231"/>
      <c r="BF157" s="1231"/>
      <c r="BG157" s="1227"/>
      <c r="BH157" s="1231"/>
      <c r="BI157" s="1231"/>
      <c r="BJ157" s="1231"/>
      <c r="BK157" s="1231"/>
      <c r="BL157" s="1326"/>
      <c r="BM157" s="1231"/>
      <c r="BN157" s="1231"/>
      <c r="BO157" s="1231"/>
      <c r="BP157" s="1231"/>
      <c r="BQ157" s="1326"/>
      <c r="BR157" s="1231"/>
      <c r="BS157" s="1231"/>
      <c r="BT157" s="1231"/>
      <c r="BU157" s="1231"/>
      <c r="BV157" s="1326"/>
      <c r="BW157" s="1231"/>
      <c r="BX157" s="1231"/>
      <c r="BY157" s="1231"/>
      <c r="BZ157" s="1231"/>
      <c r="CA157" s="1326"/>
      <c r="CB157" s="1231"/>
      <c r="CC157" s="1231"/>
      <c r="CD157" s="1231"/>
      <c r="CE157" s="1231"/>
      <c r="CF157" s="1326"/>
      <c r="CG157" s="1231"/>
      <c r="CH157" s="1231"/>
      <c r="CI157" s="1231"/>
      <c r="CJ157" s="1231"/>
      <c r="CK157" s="1326"/>
      <c r="CL157" s="1231"/>
      <c r="CM157" s="1231"/>
      <c r="CN157" s="1231"/>
      <c r="CO157" s="1231"/>
      <c r="CP157" s="1326"/>
      <c r="CQ157" s="1231"/>
      <c r="CR157" s="1231"/>
      <c r="CS157" s="1231"/>
      <c r="CT157" s="1231"/>
      <c r="CU157" s="1326"/>
      <c r="CV157" s="1231"/>
      <c r="CW157" s="1231"/>
      <c r="CX157" s="1231"/>
      <c r="CY157" s="1231"/>
      <c r="CZ157" s="1326"/>
      <c r="DA157" s="1231"/>
      <c r="DB157" s="1231"/>
      <c r="DC157" s="1231"/>
      <c r="DD157" s="1231"/>
      <c r="DE157" s="1326"/>
      <c r="DF157" s="1231"/>
      <c r="DG157" s="1231"/>
      <c r="DH157" s="1231"/>
      <c r="DI157" s="1231"/>
      <c r="DJ157" s="1326"/>
      <c r="DK157" s="1231"/>
      <c r="DL157" s="1231"/>
      <c r="DM157" s="1231"/>
      <c r="DN157" s="1231"/>
      <c r="DO157" s="1326"/>
      <c r="DP157" s="1231"/>
      <c r="DQ157" s="1231"/>
      <c r="DR157" s="1231"/>
      <c r="DS157" s="1231"/>
      <c r="DT157" s="1326"/>
      <c r="DU157" s="1231"/>
      <c r="DV157" s="1231"/>
      <c r="DW157" s="1231"/>
      <c r="DX157" s="1231"/>
      <c r="DY157" s="1326"/>
    </row>
    <row r="158" spans="1:129" x14ac:dyDescent="0.2">
      <c r="A158" s="1223"/>
      <c r="B158" s="1190" t="s">
        <v>1156</v>
      </c>
      <c r="C158" s="1182"/>
      <c r="D158" s="1182"/>
      <c r="E158" s="1182"/>
      <c r="F158" s="1182"/>
      <c r="G158" s="1182"/>
      <c r="H158" s="1182"/>
      <c r="I158" s="1182"/>
      <c r="J158" s="1182"/>
      <c r="K158" s="1182"/>
      <c r="L158" s="1182"/>
      <c r="M158" s="1182"/>
      <c r="N158" s="1182"/>
      <c r="O158" s="1182"/>
      <c r="P158" s="1182"/>
      <c r="Q158" s="1182"/>
      <c r="R158" s="1182"/>
      <c r="S158" s="1182"/>
      <c r="T158" s="1182"/>
      <c r="U158" s="1182"/>
      <c r="V158" s="1182"/>
      <c r="W158" s="1182"/>
      <c r="X158" s="1227"/>
      <c r="Y158" s="1231"/>
      <c r="Z158" s="1231"/>
      <c r="AA158" s="1231"/>
      <c r="AB158" s="1231"/>
      <c r="AC158" s="1227"/>
      <c r="AD158" s="1231"/>
      <c r="AE158" s="1231"/>
      <c r="AF158" s="1231"/>
      <c r="AG158" s="1231"/>
      <c r="AH158" s="1227"/>
      <c r="AI158" s="1231"/>
      <c r="AJ158" s="1231"/>
      <c r="AK158" s="1231"/>
      <c r="AL158" s="1231"/>
      <c r="AM158" s="1227"/>
      <c r="AN158" s="1231"/>
      <c r="AO158" s="1231"/>
      <c r="AP158" s="1231"/>
      <c r="AQ158" s="1231"/>
      <c r="AR158" s="1227"/>
      <c r="AS158" s="1231"/>
      <c r="AT158" s="1231"/>
      <c r="AU158" s="1231"/>
      <c r="AV158" s="1231"/>
      <c r="AW158" s="1227"/>
      <c r="AX158" s="1231"/>
      <c r="AY158" s="1231"/>
      <c r="AZ158" s="1231"/>
      <c r="BA158" s="1231"/>
      <c r="BB158" s="1227"/>
      <c r="BC158" s="1231"/>
      <c r="BD158" s="1231"/>
      <c r="BE158" s="1231"/>
      <c r="BF158" s="1231"/>
      <c r="BG158" s="1227"/>
      <c r="BH158" s="1231"/>
      <c r="BI158" s="1231"/>
      <c r="BJ158" s="1231"/>
      <c r="BK158" s="1231"/>
      <c r="BL158" s="1326">
        <f>-(AVERAGE(BL154,BL156))*(BL$152)</f>
        <v>-26.8125</v>
      </c>
      <c r="BM158" s="1231"/>
      <c r="BN158" s="1231"/>
      <c r="BO158" s="1231"/>
      <c r="BP158" s="1231"/>
      <c r="BQ158" s="1326">
        <f>-(AVERAGE(BQ154,BQ156))*(BQ$152)</f>
        <v>-26.8125</v>
      </c>
      <c r="BR158" s="1231"/>
      <c r="BS158" s="1231"/>
      <c r="BT158" s="1231"/>
      <c r="BU158" s="1231"/>
      <c r="BV158" s="1326">
        <f>-(AVERAGE(BV154,BV156))*(BV$152)</f>
        <v>-26.8125</v>
      </c>
      <c r="BW158" s="1231"/>
      <c r="BX158" s="1231"/>
      <c r="BY158" s="1231"/>
      <c r="BZ158" s="1231"/>
      <c r="CA158" s="1326">
        <f>-(AVERAGE(CA154,CA156))*(CA$152)</f>
        <v>-26.8125</v>
      </c>
      <c r="CB158" s="1223">
        <f>-(AVERAGE(CB156,CB154))*(CB152/4)</f>
        <v>-6.703125</v>
      </c>
      <c r="CC158" s="1223">
        <f>-(AVERAGE(CC156,CC154))*(CC152/4)</f>
        <v>-6.703125</v>
      </c>
      <c r="CD158" s="1223">
        <f>-(AVERAGE(CD156,CD154))*(CD152/4)</f>
        <v>-6.703125</v>
      </c>
      <c r="CE158" s="1223">
        <f>-(AVERAGE(CE156,CE154))*(CE152/4)</f>
        <v>-6.703125</v>
      </c>
      <c r="CF158" s="1326">
        <f>SUM(CB158:CE158)</f>
        <v>-26.8125</v>
      </c>
      <c r="CG158" s="1223">
        <f>-(AVERAGE(CG156,CG154))*(CG152/4)</f>
        <v>-6.703125</v>
      </c>
      <c r="CH158" s="1223">
        <f>-(AVERAGE(CH156,CH156))*(CH152/4)</f>
        <v>0</v>
      </c>
      <c r="CI158" s="1223">
        <f>-(AVERAGE(CI156,CI154))*(CI152/4)</f>
        <v>0</v>
      </c>
      <c r="CJ158" s="1223">
        <f>-(AVERAGE(CJ156,CJ154))*(CJ152/4)</f>
        <v>0</v>
      </c>
      <c r="CK158" s="1326">
        <f>SUM(CG158:CJ158)</f>
        <v>-6.703125</v>
      </c>
      <c r="CL158" s="1223">
        <f>-(AVERAGE(CL156,CL154))*(CL152/4)</f>
        <v>0</v>
      </c>
      <c r="CM158" s="1223">
        <f>-(AVERAGE(CM156,CM154))*(CM152/4)</f>
        <v>0</v>
      </c>
      <c r="CN158" s="1223">
        <f>-(AVERAGE(CN156,CN154))*(CN152/4)</f>
        <v>0</v>
      </c>
      <c r="CO158" s="1223">
        <f>-(AVERAGE(CO156,CO154))*(CO152/4)</f>
        <v>0</v>
      </c>
      <c r="CP158" s="1326">
        <f>SUM(CL158:CO158)</f>
        <v>0</v>
      </c>
      <c r="CQ158" s="1223">
        <f>-(AVERAGE(CQ156,CQ154))*(CQ152/4)</f>
        <v>0</v>
      </c>
      <c r="CR158" s="1223">
        <f>-(AVERAGE(CR156,CR154))*(CR152/4)</f>
        <v>0</v>
      </c>
      <c r="CS158" s="1223">
        <f>-(AVERAGE(CS156,CS154))*(CS152/4)</f>
        <v>0</v>
      </c>
      <c r="CT158" s="1223">
        <f>-(AVERAGE(CT156,CT154))*(CT152/4)</f>
        <v>0</v>
      </c>
      <c r="CU158" s="1326">
        <f>SUM(CQ158:CT158)</f>
        <v>0</v>
      </c>
      <c r="CV158" s="1223">
        <f>-(AVERAGE(CV156,CV154))*(CV152/4)</f>
        <v>0</v>
      </c>
      <c r="CW158" s="1223">
        <f>-(AVERAGE(CW156,CW154))*(CW152/4)</f>
        <v>0</v>
      </c>
      <c r="CX158" s="1223">
        <f>-(AVERAGE(CX156,CX154))*(CX152/4)</f>
        <v>0</v>
      </c>
      <c r="CY158" s="1223">
        <f>-(AVERAGE(CY156,CY154))*(CY152/4)</f>
        <v>0</v>
      </c>
      <c r="CZ158" s="1326">
        <f>SUM(CV158:CY158)</f>
        <v>0</v>
      </c>
      <c r="DA158" s="1223">
        <f>-(AVERAGE(DA156,DA154))*(DA152/4)</f>
        <v>0</v>
      </c>
      <c r="DB158" s="1223">
        <f>-(AVERAGE(DB156,DB154))*(DB152/4)</f>
        <v>0</v>
      </c>
      <c r="DC158" s="1223">
        <f>-(AVERAGE(DC156,DC154))*(DC152/4)</f>
        <v>0</v>
      </c>
      <c r="DD158" s="1223">
        <f>-(AVERAGE(DD156,DD154))*(DD152/4)</f>
        <v>0</v>
      </c>
      <c r="DE158" s="1326">
        <f>SUM(DA158:DD158)</f>
        <v>0</v>
      </c>
      <c r="DF158" s="1223">
        <f>-(AVERAGE(DF156,DF154))*(DF152/4)</f>
        <v>0</v>
      </c>
      <c r="DG158" s="1223">
        <f>-(AVERAGE(DG156,DG154))*(DG152/4)</f>
        <v>0</v>
      </c>
      <c r="DH158" s="1223">
        <f>-(AVERAGE(DH156,DH154))*(DH152/4)</f>
        <v>0</v>
      </c>
      <c r="DI158" s="1223">
        <f>-(AVERAGE(DI156,DI154))*(DI152/4)</f>
        <v>0</v>
      </c>
      <c r="DJ158" s="1326">
        <f>SUM(DF158:DI158)</f>
        <v>0</v>
      </c>
      <c r="DK158" s="1223">
        <f>-(AVERAGE(DK156,DK154))*(DK152/4)</f>
        <v>0</v>
      </c>
      <c r="DL158" s="1223">
        <f>-(AVERAGE(DL156,DL154))*(DL152/4)</f>
        <v>0</v>
      </c>
      <c r="DM158" s="1223">
        <f>-(AVERAGE(DM156,DM154))*(DM152/4)</f>
        <v>0</v>
      </c>
      <c r="DN158" s="1223">
        <f>-(AVERAGE(DN156,DN154))*(DN152/4)</f>
        <v>0</v>
      </c>
      <c r="DO158" s="1326">
        <f>SUM(DK158:DN158)</f>
        <v>0</v>
      </c>
      <c r="DP158" s="1223">
        <f>-(AVERAGE(DP156,DP154))*(DP152/4)</f>
        <v>0</v>
      </c>
      <c r="DQ158" s="1223">
        <f>-(AVERAGE(DQ156,DQ154))*(DQ152/4)</f>
        <v>0</v>
      </c>
      <c r="DR158" s="1223">
        <f>-(AVERAGE(DR156,DR154))*(DR152/4)</f>
        <v>0</v>
      </c>
      <c r="DS158" s="1223">
        <f>-(AVERAGE(DS156,DS154))*(DS152/4)</f>
        <v>0</v>
      </c>
      <c r="DT158" s="1326">
        <f>SUM(DP158:DS158)</f>
        <v>0</v>
      </c>
      <c r="DU158" s="1223">
        <f>-(AVERAGE(DU156,DU154))*(DU152/4)</f>
        <v>0</v>
      </c>
      <c r="DV158" s="1223">
        <f>-(AVERAGE(DV156,DV154))*(DV152/4)</f>
        <v>0</v>
      </c>
      <c r="DW158" s="1223">
        <f>-(AVERAGE(DW156,DW154))*(DW152/4)</f>
        <v>0</v>
      </c>
      <c r="DX158" s="1223">
        <f>-(AVERAGE(DX156,DX154))*(DX152/4)</f>
        <v>0</v>
      </c>
      <c r="DY158" s="1326">
        <f>SUM(DU158:DX158)</f>
        <v>0</v>
      </c>
    </row>
    <row r="159" spans="1:129" ht="12" thickBot="1" x14ac:dyDescent="0.25">
      <c r="A159" s="1223"/>
      <c r="B159" s="1250" t="s">
        <v>1157</v>
      </c>
      <c r="C159" s="1251"/>
      <c r="D159" s="1251"/>
      <c r="E159" s="1251"/>
      <c r="F159" s="1251"/>
      <c r="G159" s="1251"/>
      <c r="H159" s="1251"/>
      <c r="I159" s="1251"/>
      <c r="J159" s="1251"/>
      <c r="K159" s="1251"/>
      <c r="L159" s="1251"/>
      <c r="M159" s="1251"/>
      <c r="N159" s="1251"/>
      <c r="O159" s="1251"/>
      <c r="P159" s="1251"/>
      <c r="Q159" s="1251"/>
      <c r="R159" s="1251"/>
      <c r="S159" s="1251"/>
      <c r="T159" s="1251"/>
      <c r="U159" s="1251"/>
      <c r="V159" s="1251"/>
      <c r="W159" s="1251"/>
      <c r="X159" s="1252"/>
      <c r="Y159" s="1251"/>
      <c r="Z159" s="1251"/>
      <c r="AA159" s="1251"/>
      <c r="AB159" s="1251"/>
      <c r="AC159" s="1252"/>
      <c r="AD159" s="1251"/>
      <c r="AE159" s="1251"/>
      <c r="AF159" s="1251"/>
      <c r="AG159" s="1251"/>
      <c r="AH159" s="1252"/>
      <c r="AI159" s="1251"/>
      <c r="AJ159" s="1251"/>
      <c r="AK159" s="1251"/>
      <c r="AL159" s="1251"/>
      <c r="AM159" s="1252"/>
      <c r="AN159" s="1251"/>
      <c r="AO159" s="1251"/>
      <c r="AP159" s="1251"/>
      <c r="AQ159" s="1253"/>
      <c r="AR159" s="1252"/>
      <c r="AS159" s="1253"/>
      <c r="AT159" s="1253"/>
      <c r="AU159" s="1253"/>
      <c r="AV159" s="1253"/>
      <c r="AW159" s="1252"/>
      <c r="AX159" s="1253"/>
      <c r="AY159" s="1253"/>
      <c r="AZ159" s="1253"/>
      <c r="BA159" s="1253"/>
      <c r="BB159" s="1252"/>
      <c r="BC159" s="1253"/>
      <c r="BD159" s="1253"/>
      <c r="BE159" s="1253"/>
      <c r="BF159" s="1253"/>
      <c r="BG159" s="1252"/>
      <c r="BH159" s="1253"/>
      <c r="BI159" s="1253"/>
      <c r="BJ159" s="1253"/>
      <c r="BK159" s="1253"/>
      <c r="BL159" s="1327"/>
      <c r="BM159" s="1253"/>
      <c r="BN159" s="1253"/>
      <c r="BO159" s="1253"/>
      <c r="BP159" s="1253"/>
      <c r="BQ159" s="1327"/>
      <c r="BR159" s="1253"/>
      <c r="BS159" s="1253"/>
      <c r="BT159" s="1253"/>
      <c r="BU159" s="1253"/>
      <c r="BV159" s="1327"/>
      <c r="BW159" s="1253"/>
      <c r="BX159" s="1253"/>
      <c r="BY159" s="1253"/>
      <c r="BZ159" s="1253"/>
      <c r="CA159" s="1327"/>
      <c r="CB159" s="1253">
        <f>-CB151*CB157/4</f>
        <v>0</v>
      </c>
      <c r="CC159" s="1253">
        <f>-CC151*CC157/4</f>
        <v>0</v>
      </c>
      <c r="CD159" s="1253">
        <f>-CD151*CD157/4</f>
        <v>0</v>
      </c>
      <c r="CE159" s="1253">
        <f>-CE151*CE157/4</f>
        <v>0</v>
      </c>
      <c r="CF159" s="1327"/>
      <c r="CG159" s="1253">
        <f>-CG151*CG157/4</f>
        <v>0</v>
      </c>
      <c r="CH159" s="1253">
        <f>-CH151*CH157/4</f>
        <v>0</v>
      </c>
      <c r="CI159" s="1253">
        <f>-CI151*CI157/4</f>
        <v>0</v>
      </c>
      <c r="CJ159" s="1253">
        <f>-CJ151*CJ157/4</f>
        <v>0</v>
      </c>
      <c r="CK159" s="1327"/>
      <c r="CL159" s="1253">
        <f>-CL151*CL157/4</f>
        <v>0</v>
      </c>
      <c r="CM159" s="1253">
        <f>-CM151*CM157/4</f>
        <v>0</v>
      </c>
      <c r="CN159" s="1253">
        <f>-CN151*CN157/4</f>
        <v>0</v>
      </c>
      <c r="CO159" s="1253">
        <f>-CO151*CO157/4</f>
        <v>0</v>
      </c>
      <c r="CP159" s="1327"/>
      <c r="CQ159" s="1253">
        <f>-CQ151*CQ157/4</f>
        <v>0</v>
      </c>
      <c r="CR159" s="1253">
        <f>-CR151*CR157/4</f>
        <v>0</v>
      </c>
      <c r="CS159" s="1253">
        <f>-CS151*CS157/4</f>
        <v>0</v>
      </c>
      <c r="CT159" s="1253">
        <f>-CT151*CT157/4</f>
        <v>0</v>
      </c>
      <c r="CU159" s="1327"/>
      <c r="CV159" s="1253">
        <f>-CV151*CV157/4</f>
        <v>0</v>
      </c>
      <c r="CW159" s="1253">
        <f>-CW151*CW157/4</f>
        <v>0</v>
      </c>
      <c r="CX159" s="1253">
        <f>-CX151*CX157/4</f>
        <v>0</v>
      </c>
      <c r="CY159" s="1253">
        <f>-CY151*CY157/4</f>
        <v>0</v>
      </c>
      <c r="CZ159" s="1327"/>
      <c r="DA159" s="1253">
        <f>-DA151*DA157/4</f>
        <v>0</v>
      </c>
      <c r="DB159" s="1253">
        <f>-DB151*DB157/4</f>
        <v>0</v>
      </c>
      <c r="DC159" s="1253">
        <f>-DC151*DC157/4</f>
        <v>0</v>
      </c>
      <c r="DD159" s="1253">
        <f>-DD151*DD157/4</f>
        <v>0</v>
      </c>
      <c r="DE159" s="1327"/>
      <c r="DF159" s="1253">
        <f>-DF151*DF157/4</f>
        <v>0</v>
      </c>
      <c r="DG159" s="1253">
        <f>-DG151*DG157/4</f>
        <v>0</v>
      </c>
      <c r="DH159" s="1253">
        <f>-DH151*DH157/4</f>
        <v>0</v>
      </c>
      <c r="DI159" s="1253">
        <f>-DI151*DI157/4</f>
        <v>0</v>
      </c>
      <c r="DJ159" s="1327"/>
      <c r="DK159" s="1253">
        <f>-DK151*DK157/4</f>
        <v>0</v>
      </c>
      <c r="DL159" s="1253">
        <f>-DL151*DL157/4</f>
        <v>0</v>
      </c>
      <c r="DM159" s="1253">
        <f>-DM151*DM157/4</f>
        <v>0</v>
      </c>
      <c r="DN159" s="1253">
        <f>-DN151*DN157/4</f>
        <v>0</v>
      </c>
      <c r="DO159" s="1327"/>
      <c r="DP159" s="1253">
        <f>-DP151*DP157/4</f>
        <v>0</v>
      </c>
      <c r="DQ159" s="1253">
        <f>-DQ151*DQ157/4</f>
        <v>0</v>
      </c>
      <c r="DR159" s="1253">
        <f>-DR151*DR157/4</f>
        <v>0</v>
      </c>
      <c r="DS159" s="1253">
        <f>-DS151*DS157/4</f>
        <v>0</v>
      </c>
      <c r="DT159" s="1327"/>
      <c r="DU159" s="1253">
        <f>-DU151*DU157/4</f>
        <v>0</v>
      </c>
      <c r="DV159" s="1253">
        <f>-DV151*DV157/4</f>
        <v>0</v>
      </c>
      <c r="DW159" s="1253">
        <f>-DW151*DW157/4</f>
        <v>0</v>
      </c>
      <c r="DX159" s="1253">
        <f>-DX151*DX157/4</f>
        <v>0</v>
      </c>
      <c r="DY159" s="1327"/>
    </row>
    <row r="160" spans="1:129" ht="12" thickBot="1" x14ac:dyDescent="0.25">
      <c r="A160" s="1240"/>
      <c r="B160" s="1240"/>
      <c r="C160" s="1214"/>
      <c r="D160" s="1214"/>
      <c r="E160" s="1214"/>
      <c r="F160" s="1214"/>
      <c r="G160" s="1214"/>
      <c r="H160" s="1214"/>
      <c r="I160" s="1214"/>
      <c r="J160" s="1214"/>
      <c r="K160" s="1214"/>
      <c r="L160" s="1214"/>
      <c r="M160" s="1214"/>
      <c r="N160" s="1214"/>
      <c r="O160" s="1214"/>
      <c r="P160" s="1214"/>
      <c r="Q160" s="1214"/>
      <c r="R160" s="1214"/>
      <c r="S160" s="1214"/>
      <c r="T160" s="1214"/>
      <c r="U160" s="1214"/>
      <c r="V160" s="1214"/>
      <c r="W160" s="1214"/>
      <c r="X160" s="1215"/>
      <c r="Y160" s="1215"/>
      <c r="Z160" s="1215"/>
      <c r="AA160" s="1215"/>
      <c r="AB160" s="1215"/>
      <c r="AC160" s="1215"/>
      <c r="AD160" s="1215"/>
      <c r="AE160" s="1215"/>
      <c r="AF160" s="1215"/>
      <c r="AG160" s="1215"/>
      <c r="AH160" s="1215"/>
      <c r="AI160" s="1215"/>
      <c r="AJ160" s="1215"/>
      <c r="AK160" s="1215"/>
      <c r="AL160" s="1215"/>
      <c r="AM160" s="1215"/>
      <c r="AN160" s="1215"/>
      <c r="AO160" s="1215"/>
      <c r="AP160" s="1215"/>
      <c r="AQ160" s="1215"/>
      <c r="AR160" s="1215"/>
      <c r="AS160" s="1215"/>
      <c r="AT160" s="1215"/>
      <c r="AU160" s="1215"/>
      <c r="AV160" s="1215"/>
      <c r="AW160" s="1215"/>
      <c r="AX160" s="1215"/>
      <c r="AY160" s="1215"/>
      <c r="AZ160" s="1215"/>
      <c r="BA160" s="1215"/>
      <c r="BB160" s="1215"/>
      <c r="BC160" s="1215"/>
      <c r="BD160" s="1215"/>
      <c r="BE160" s="1215"/>
      <c r="BF160" s="1215"/>
      <c r="BG160" s="1215"/>
      <c r="BH160" s="1215"/>
      <c r="BI160" s="1215"/>
      <c r="BJ160" s="1215"/>
      <c r="BK160" s="1215"/>
      <c r="BL160" s="1215"/>
      <c r="BM160" s="1215"/>
      <c r="BN160" s="1215"/>
      <c r="BO160" s="1215"/>
      <c r="BP160" s="1215"/>
      <c r="BQ160" s="1215"/>
      <c r="BR160" s="1215"/>
      <c r="BS160" s="1215"/>
      <c r="BT160" s="1215"/>
      <c r="BU160" s="1215"/>
      <c r="BV160" s="1215"/>
      <c r="BW160" s="1215"/>
      <c r="BX160" s="1215"/>
      <c r="BY160" s="1215"/>
      <c r="BZ160" s="1215"/>
      <c r="CA160" s="1215"/>
      <c r="CB160" s="1215"/>
      <c r="CC160" s="1215"/>
      <c r="CD160" s="1215"/>
      <c r="CE160" s="1215"/>
      <c r="CF160" s="1215"/>
      <c r="CG160" s="1215"/>
      <c r="CH160" s="1215"/>
      <c r="CI160" s="1215"/>
      <c r="CJ160" s="1215"/>
      <c r="CK160" s="1215"/>
      <c r="CL160" s="1215"/>
      <c r="CM160" s="1215"/>
      <c r="CN160" s="1215"/>
      <c r="CO160" s="1215"/>
      <c r="CP160" s="1215"/>
      <c r="CQ160" s="1215"/>
      <c r="CR160" s="1215"/>
      <c r="CS160" s="1215"/>
      <c r="CT160" s="1215"/>
      <c r="CU160" s="1215"/>
      <c r="CV160" s="1215"/>
      <c r="CW160" s="1215"/>
      <c r="CX160" s="1215"/>
      <c r="CY160" s="1215"/>
      <c r="CZ160" s="1215"/>
      <c r="DA160" s="1215"/>
      <c r="DB160" s="1215"/>
      <c r="DC160" s="1215"/>
      <c r="DD160" s="1215"/>
      <c r="DE160" s="1215"/>
      <c r="DF160" s="1215"/>
      <c r="DG160" s="1215"/>
      <c r="DH160" s="1215"/>
      <c r="DI160" s="1215"/>
      <c r="DJ160" s="1215"/>
      <c r="DK160" s="1215"/>
      <c r="DL160" s="1215"/>
      <c r="DM160" s="1215"/>
      <c r="DN160" s="1215"/>
      <c r="DO160" s="1215"/>
      <c r="DP160" s="1215"/>
      <c r="DQ160" s="1215"/>
      <c r="DR160" s="1215"/>
      <c r="DS160" s="1215"/>
      <c r="DT160" s="1215"/>
      <c r="DU160" s="1215"/>
      <c r="DV160" s="1215"/>
      <c r="DW160" s="1215"/>
      <c r="DX160" s="1215"/>
      <c r="DY160" s="1215"/>
    </row>
    <row r="161" spans="1:129" ht="12" thickBot="1" x14ac:dyDescent="0.25">
      <c r="A161" s="1123"/>
      <c r="B161" s="1282" t="s">
        <v>1164</v>
      </c>
      <c r="C161" s="1328"/>
      <c r="D161" s="1329"/>
      <c r="E161" s="1329"/>
      <c r="F161" s="1329"/>
      <c r="G161" s="1329"/>
      <c r="H161" s="1329"/>
      <c r="I161" s="1329"/>
      <c r="J161" s="1329"/>
      <c r="K161" s="1329"/>
      <c r="L161" s="1329"/>
      <c r="M161" s="1329"/>
      <c r="N161" s="1329"/>
      <c r="O161" s="1329"/>
      <c r="P161" s="1329"/>
      <c r="Q161" s="1329"/>
      <c r="R161" s="1329"/>
      <c r="S161" s="1329"/>
      <c r="T161" s="1329"/>
      <c r="U161" s="1329"/>
      <c r="V161" s="1329"/>
      <c r="W161" s="1329"/>
      <c r="X161" s="1328"/>
      <c r="Y161" s="1328"/>
      <c r="Z161" s="1328"/>
      <c r="AA161" s="1328"/>
      <c r="AB161" s="1328"/>
      <c r="AC161" s="1328"/>
      <c r="AD161" s="1328"/>
      <c r="AE161" s="1328"/>
      <c r="AF161" s="1328"/>
      <c r="AG161" s="1328"/>
      <c r="AH161" s="1328"/>
      <c r="AI161" s="1328"/>
      <c r="AJ161" s="1328"/>
      <c r="AK161" s="1328"/>
      <c r="AL161" s="1328"/>
      <c r="AM161" s="1328"/>
      <c r="AN161" s="1328"/>
      <c r="AO161" s="1328"/>
      <c r="AP161" s="1328"/>
      <c r="AQ161" s="1330"/>
      <c r="AR161" s="1330"/>
      <c r="AS161" s="1330"/>
      <c r="AT161" s="1331"/>
      <c r="AU161" s="1331"/>
      <c r="AV161" s="1331"/>
      <c r="AW161" s="1330"/>
      <c r="AX161" s="1330"/>
      <c r="AY161" s="1330"/>
      <c r="AZ161" s="1330"/>
      <c r="BA161" s="1330"/>
      <c r="BB161" s="1330"/>
      <c r="BC161" s="1330"/>
      <c r="BD161" s="1330"/>
      <c r="BE161" s="1330"/>
      <c r="BF161" s="1330"/>
      <c r="BG161" s="1330"/>
      <c r="BH161" s="1330"/>
      <c r="BI161" s="1330"/>
      <c r="BJ161" s="1330"/>
      <c r="BK161" s="1330"/>
      <c r="BL161" s="1332"/>
      <c r="BM161" s="1330"/>
      <c r="BN161" s="1330"/>
      <c r="BO161" s="1330"/>
      <c r="BP161" s="1330"/>
      <c r="BQ161" s="1332"/>
      <c r="BR161" s="1330"/>
      <c r="BS161" s="1330"/>
      <c r="BT161" s="1330"/>
      <c r="BU161" s="1330"/>
      <c r="BV161" s="1332"/>
      <c r="BW161" s="1330"/>
      <c r="BX161" s="1330"/>
      <c r="BY161" s="1330"/>
      <c r="BZ161" s="1330"/>
      <c r="CA161" s="1332"/>
      <c r="CB161" s="1330"/>
      <c r="CC161" s="1330"/>
      <c r="CD161" s="1330"/>
      <c r="CE161" s="1330"/>
      <c r="CF161" s="1332"/>
      <c r="CG161" s="1330"/>
      <c r="CH161" s="1330"/>
      <c r="CI161" s="1330"/>
      <c r="CJ161" s="1330"/>
      <c r="CK161" s="1332"/>
      <c r="CL161" s="1330"/>
      <c r="CM161" s="1330"/>
      <c r="CN161" s="1330"/>
      <c r="CO161" s="1330"/>
      <c r="CP161" s="1332"/>
      <c r="CQ161" s="1330"/>
      <c r="CR161" s="1330"/>
      <c r="CS161" s="1330"/>
      <c r="CT161" s="1330"/>
      <c r="CU161" s="1332"/>
      <c r="CV161" s="1330"/>
      <c r="CW161" s="1330"/>
      <c r="CX161" s="1330"/>
      <c r="CY161" s="1330"/>
      <c r="CZ161" s="1332"/>
      <c r="DA161" s="1330"/>
      <c r="DB161" s="1330"/>
      <c r="DC161" s="1330"/>
      <c r="DD161" s="1330"/>
      <c r="DE161" s="1332"/>
      <c r="DF161" s="1330"/>
      <c r="DG161" s="1330"/>
      <c r="DH161" s="1330"/>
      <c r="DI161" s="1330"/>
      <c r="DJ161" s="1332"/>
      <c r="DK161" s="1330"/>
      <c r="DL161" s="1330"/>
      <c r="DM161" s="1330"/>
      <c r="DN161" s="1330"/>
      <c r="DO161" s="1332"/>
      <c r="DP161" s="1330"/>
      <c r="DQ161" s="1330"/>
      <c r="DR161" s="1330"/>
      <c r="DS161" s="1330"/>
      <c r="DT161" s="1332"/>
      <c r="DU161" s="1330"/>
      <c r="DV161" s="1330"/>
      <c r="DW161" s="1330"/>
      <c r="DX161" s="1330"/>
      <c r="DY161" s="1332"/>
    </row>
    <row r="162" spans="1:129" x14ac:dyDescent="0.2">
      <c r="A162" s="532"/>
      <c r="B162" s="1287" t="s">
        <v>1149</v>
      </c>
      <c r="C162" s="650"/>
      <c r="D162" s="650"/>
      <c r="E162" s="650"/>
      <c r="F162" s="650"/>
      <c r="G162" s="650"/>
      <c r="H162" s="650"/>
      <c r="I162" s="650"/>
      <c r="J162" s="650"/>
      <c r="K162" s="650"/>
      <c r="L162" s="650"/>
      <c r="M162" s="650"/>
      <c r="N162" s="650"/>
      <c r="O162" s="650"/>
      <c r="P162" s="650"/>
      <c r="Q162" s="650"/>
      <c r="R162" s="650"/>
      <c r="S162" s="650"/>
      <c r="T162" s="650"/>
      <c r="U162" s="650"/>
      <c r="V162" s="650"/>
      <c r="W162" s="650"/>
      <c r="X162" s="1288"/>
      <c r="Y162" s="650"/>
      <c r="Z162" s="650"/>
      <c r="AA162" s="650"/>
      <c r="AB162" s="650"/>
      <c r="AC162" s="1288"/>
      <c r="AD162" s="650"/>
      <c r="AE162" s="650"/>
      <c r="AF162" s="650"/>
      <c r="AG162" s="650"/>
      <c r="AH162" s="1288"/>
      <c r="AI162" s="650"/>
      <c r="AJ162" s="650"/>
      <c r="AK162" s="650"/>
      <c r="AL162" s="650"/>
      <c r="AM162" s="1288"/>
      <c r="AN162" s="650"/>
      <c r="AO162" s="650"/>
      <c r="AP162" s="650"/>
      <c r="AQ162" s="650"/>
      <c r="AR162" s="1288"/>
      <c r="AS162" s="650"/>
      <c r="AT162" s="650"/>
      <c r="AU162" s="650"/>
      <c r="AV162" s="650"/>
      <c r="AW162" s="1288"/>
      <c r="AX162" s="650"/>
      <c r="AY162" s="650"/>
      <c r="AZ162" s="650"/>
      <c r="BA162" s="650"/>
      <c r="BB162" s="1288"/>
      <c r="BC162" s="650"/>
      <c r="BD162" s="650"/>
      <c r="BE162" s="650"/>
      <c r="BF162" s="650"/>
      <c r="BG162" s="1288"/>
      <c r="BH162" s="650"/>
      <c r="BI162" s="650"/>
      <c r="BJ162" s="650"/>
      <c r="BK162" s="650"/>
      <c r="BL162" s="583"/>
      <c r="BM162" s="650"/>
      <c r="BN162" s="650"/>
      <c r="BO162" s="650"/>
      <c r="BP162" s="650"/>
      <c r="BQ162" s="583"/>
      <c r="BR162" s="650"/>
      <c r="BS162" s="650"/>
      <c r="BT162" s="650"/>
      <c r="BU162" s="650"/>
      <c r="BV162" s="583"/>
      <c r="BW162" s="650"/>
      <c r="BX162" s="650"/>
      <c r="BY162" s="650"/>
      <c r="BZ162" s="650"/>
      <c r="CA162" s="583"/>
      <c r="CB162" s="650"/>
      <c r="CC162" s="650"/>
      <c r="CD162" s="650"/>
      <c r="CE162" s="650"/>
      <c r="CF162" s="583"/>
      <c r="CG162" s="650"/>
      <c r="CH162" s="650"/>
      <c r="CI162" s="650"/>
      <c r="CJ162" s="650"/>
      <c r="CK162" s="583"/>
      <c r="CL162" s="650"/>
      <c r="CM162" s="650"/>
      <c r="CN162" s="650"/>
      <c r="CO162" s="650"/>
      <c r="CP162" s="583"/>
      <c r="CQ162" s="650"/>
      <c r="CR162" s="650"/>
      <c r="CS162" s="650"/>
      <c r="CT162" s="650"/>
      <c r="CU162" s="583"/>
      <c r="CV162" s="650"/>
      <c r="CW162" s="650"/>
      <c r="CX162" s="650"/>
      <c r="CY162" s="650"/>
      <c r="CZ162" s="583"/>
      <c r="DA162" s="650"/>
      <c r="DB162" s="650"/>
      <c r="DC162" s="650"/>
      <c r="DD162" s="650"/>
      <c r="DE162" s="583"/>
      <c r="DF162" s="650"/>
      <c r="DG162" s="650"/>
      <c r="DH162" s="650"/>
      <c r="DI162" s="650"/>
      <c r="DJ162" s="583"/>
      <c r="DK162" s="650"/>
      <c r="DL162" s="650"/>
      <c r="DM162" s="650"/>
      <c r="DN162" s="650"/>
      <c r="DO162" s="583"/>
      <c r="DP162" s="650"/>
      <c r="DQ162" s="650"/>
      <c r="DR162" s="650"/>
      <c r="DS162" s="650"/>
      <c r="DT162" s="583"/>
      <c r="DU162" s="650"/>
      <c r="DV162" s="650"/>
      <c r="DW162" s="650"/>
      <c r="DX162" s="650"/>
      <c r="DY162" s="583"/>
    </row>
    <row r="163" spans="1:129" x14ac:dyDescent="0.2">
      <c r="A163" s="532"/>
      <c r="B163" s="1287" t="s">
        <v>1150</v>
      </c>
      <c r="C163" s="650"/>
      <c r="D163" s="650"/>
      <c r="E163" s="650"/>
      <c r="F163" s="650"/>
      <c r="G163" s="650"/>
      <c r="H163" s="650"/>
      <c r="I163" s="650"/>
      <c r="J163" s="650"/>
      <c r="K163" s="650"/>
      <c r="L163" s="650"/>
      <c r="M163" s="650"/>
      <c r="N163" s="650"/>
      <c r="O163" s="650"/>
      <c r="P163" s="650"/>
      <c r="Q163" s="650"/>
      <c r="R163" s="650"/>
      <c r="S163" s="650"/>
      <c r="T163" s="650"/>
      <c r="U163" s="650"/>
      <c r="V163" s="650"/>
      <c r="W163" s="650"/>
      <c r="X163" s="1288"/>
      <c r="Y163" s="650"/>
      <c r="Z163" s="650"/>
      <c r="AA163" s="650"/>
      <c r="AB163" s="650"/>
      <c r="AC163" s="1288"/>
      <c r="AD163" s="650"/>
      <c r="AE163" s="650"/>
      <c r="AF163" s="650"/>
      <c r="AG163" s="650"/>
      <c r="AH163" s="1288"/>
      <c r="AI163" s="650"/>
      <c r="AJ163" s="650"/>
      <c r="AK163" s="650"/>
      <c r="AL163" s="650"/>
      <c r="AM163" s="1288"/>
      <c r="AN163" s="650"/>
      <c r="AO163" s="650"/>
      <c r="AP163" s="650"/>
      <c r="AQ163" s="650"/>
      <c r="AR163" s="1288"/>
      <c r="AS163" s="650"/>
      <c r="AT163" s="650"/>
      <c r="AU163" s="650"/>
      <c r="AV163" s="650"/>
      <c r="AW163" s="1288"/>
      <c r="AX163" s="650"/>
      <c r="AY163" s="650"/>
      <c r="AZ163" s="650"/>
      <c r="BA163" s="650"/>
      <c r="BB163" s="1288"/>
      <c r="BC163" s="650"/>
      <c r="BD163" s="650"/>
      <c r="BE163" s="650"/>
      <c r="BF163" s="650"/>
      <c r="BG163" s="1289"/>
      <c r="BH163" s="650"/>
      <c r="BI163" s="650"/>
      <c r="BJ163" s="650"/>
      <c r="BK163" s="650"/>
      <c r="BL163" s="1333"/>
      <c r="BM163" s="650"/>
      <c r="BN163" s="650"/>
      <c r="BO163" s="650"/>
      <c r="BP163" s="650"/>
      <c r="BQ163" s="1333"/>
      <c r="BR163" s="650"/>
      <c r="BS163" s="650"/>
      <c r="BT163" s="650"/>
      <c r="BU163" s="650"/>
      <c r="BV163" s="1333"/>
      <c r="BW163" s="650"/>
      <c r="BX163" s="650"/>
      <c r="BY163" s="650"/>
      <c r="BZ163" s="650"/>
      <c r="CA163" s="1333">
        <v>3.2500000000000001E-2</v>
      </c>
      <c r="CB163" s="1334">
        <v>3.2500000000000001E-2</v>
      </c>
      <c r="CC163" s="1334">
        <v>3.2500000000000001E-2</v>
      </c>
      <c r="CD163" s="1334">
        <v>3.2500000000000001E-2</v>
      </c>
      <c r="CE163" s="1334">
        <v>3.2500000000000001E-2</v>
      </c>
      <c r="CF163" s="1333"/>
      <c r="CG163" s="1334">
        <f>CE163</f>
        <v>3.2500000000000001E-2</v>
      </c>
      <c r="CH163" s="1334">
        <f>CG163</f>
        <v>3.2500000000000001E-2</v>
      </c>
      <c r="CI163" s="1334">
        <f>CH163</f>
        <v>3.2500000000000001E-2</v>
      </c>
      <c r="CJ163" s="1334">
        <f>CI163</f>
        <v>3.2500000000000001E-2</v>
      </c>
      <c r="CK163" s="1333"/>
      <c r="CL163" s="1334">
        <f>CJ163</f>
        <v>3.2500000000000001E-2</v>
      </c>
      <c r="CM163" s="1334">
        <f>CL163</f>
        <v>3.2500000000000001E-2</v>
      </c>
      <c r="CN163" s="1334">
        <f>CM163</f>
        <v>3.2500000000000001E-2</v>
      </c>
      <c r="CO163" s="1334">
        <f>CN163</f>
        <v>3.2500000000000001E-2</v>
      </c>
      <c r="CP163" s="1333"/>
      <c r="CQ163" s="1334">
        <f>CO163</f>
        <v>3.2500000000000001E-2</v>
      </c>
      <c r="CR163" s="1334">
        <f>CQ163</f>
        <v>3.2500000000000001E-2</v>
      </c>
      <c r="CS163" s="1334">
        <f>CR163</f>
        <v>3.2500000000000001E-2</v>
      </c>
      <c r="CT163" s="1334">
        <f>CS163</f>
        <v>3.2500000000000001E-2</v>
      </c>
      <c r="CU163" s="1333"/>
      <c r="CV163" s="1334">
        <f>CT163</f>
        <v>3.2500000000000001E-2</v>
      </c>
      <c r="CW163" s="1334">
        <f>CV163</f>
        <v>3.2500000000000001E-2</v>
      </c>
      <c r="CX163" s="1334">
        <f>CW163</f>
        <v>3.2500000000000001E-2</v>
      </c>
      <c r="CY163" s="1334">
        <f>CX163</f>
        <v>3.2500000000000001E-2</v>
      </c>
      <c r="CZ163" s="1333"/>
      <c r="DA163" s="1334">
        <f>CY163</f>
        <v>3.2500000000000001E-2</v>
      </c>
      <c r="DB163" s="1334">
        <f>DA163</f>
        <v>3.2500000000000001E-2</v>
      </c>
      <c r="DC163" s="1334">
        <f>DB163</f>
        <v>3.2500000000000001E-2</v>
      </c>
      <c r="DD163" s="1334">
        <f>DC163</f>
        <v>3.2500000000000001E-2</v>
      </c>
      <c r="DE163" s="1333"/>
      <c r="DF163" s="1334">
        <f>DD163</f>
        <v>3.2500000000000001E-2</v>
      </c>
      <c r="DG163" s="1334">
        <f>DF163</f>
        <v>3.2500000000000001E-2</v>
      </c>
      <c r="DH163" s="1334">
        <f>DG163</f>
        <v>3.2500000000000001E-2</v>
      </c>
      <c r="DI163" s="1334">
        <f>DH163</f>
        <v>3.2500000000000001E-2</v>
      </c>
      <c r="DJ163" s="1333"/>
      <c r="DK163" s="1334">
        <f>DI163</f>
        <v>3.2500000000000001E-2</v>
      </c>
      <c r="DL163" s="1334">
        <f>DK163</f>
        <v>3.2500000000000001E-2</v>
      </c>
      <c r="DM163" s="1334">
        <f>DL163</f>
        <v>3.2500000000000001E-2</v>
      </c>
      <c r="DN163" s="1334">
        <f>DM163</f>
        <v>3.2500000000000001E-2</v>
      </c>
      <c r="DO163" s="1333"/>
      <c r="DP163" s="1334">
        <f>DN163</f>
        <v>3.2500000000000001E-2</v>
      </c>
      <c r="DQ163" s="1334">
        <f>DP163</f>
        <v>3.2500000000000001E-2</v>
      </c>
      <c r="DR163" s="1334">
        <f>DQ163</f>
        <v>3.2500000000000001E-2</v>
      </c>
      <c r="DS163" s="1334">
        <f>DR163</f>
        <v>3.2500000000000001E-2</v>
      </c>
      <c r="DT163" s="1333"/>
      <c r="DU163" s="1334">
        <f>DS163</f>
        <v>3.2500000000000001E-2</v>
      </c>
      <c r="DV163" s="1334">
        <f>DU163</f>
        <v>3.2500000000000001E-2</v>
      </c>
      <c r="DW163" s="1334">
        <f>DV163</f>
        <v>3.2500000000000001E-2</v>
      </c>
      <c r="DX163" s="1334">
        <f>DW163</f>
        <v>3.2500000000000001E-2</v>
      </c>
      <c r="DY163" s="1333"/>
    </row>
    <row r="164" spans="1:129" x14ac:dyDescent="0.2">
      <c r="A164" s="1223"/>
      <c r="B164" s="1190" t="s">
        <v>1151</v>
      </c>
      <c r="C164" s="1293"/>
      <c r="D164" s="1293"/>
      <c r="E164" s="1293"/>
      <c r="F164" s="1293"/>
      <c r="G164" s="1293"/>
      <c r="H164" s="1293"/>
      <c r="I164" s="1293"/>
      <c r="J164" s="1293"/>
      <c r="K164" s="1293"/>
      <c r="L164" s="1293"/>
      <c r="M164" s="1293"/>
      <c r="N164" s="1293"/>
      <c r="O164" s="1293"/>
      <c r="P164" s="1293"/>
      <c r="Q164" s="1293"/>
      <c r="R164" s="1293"/>
      <c r="S164" s="1293"/>
      <c r="T164" s="1293"/>
      <c r="U164" s="1293"/>
      <c r="V164" s="1293"/>
      <c r="W164" s="1293"/>
      <c r="X164" s="1227"/>
      <c r="Y164" s="1231"/>
      <c r="Z164" s="1231"/>
      <c r="AA164" s="1231"/>
      <c r="AB164" s="1294"/>
      <c r="AC164" s="1227"/>
      <c r="AD164" s="1231"/>
      <c r="AE164" s="1231"/>
      <c r="AF164" s="1231"/>
      <c r="AG164" s="1294"/>
      <c r="AH164" s="1227"/>
      <c r="AI164" s="1231"/>
      <c r="AJ164" s="1231"/>
      <c r="AK164" s="1231"/>
      <c r="AL164" s="1294"/>
      <c r="AM164" s="1227"/>
      <c r="AN164" s="1231"/>
      <c r="AO164" s="1231"/>
      <c r="AP164" s="1231"/>
      <c r="AQ164" s="1294"/>
      <c r="AR164" s="1227"/>
      <c r="AS164" s="1231"/>
      <c r="AT164" s="1231"/>
      <c r="AU164" s="1231"/>
      <c r="AV164" s="1294"/>
      <c r="AW164" s="1227"/>
      <c r="AX164" s="1231"/>
      <c r="AY164" s="1231"/>
      <c r="AZ164" s="1231"/>
      <c r="BA164" s="1231"/>
      <c r="BB164" s="1227"/>
      <c r="BC164" s="1231"/>
      <c r="BD164" s="1231"/>
      <c r="BE164" s="1231"/>
      <c r="BF164" s="1231"/>
      <c r="BG164" s="1227"/>
      <c r="BH164" s="1231"/>
      <c r="BI164" s="1231"/>
      <c r="BJ164" s="1231"/>
      <c r="BK164" s="1231"/>
      <c r="BL164" s="1326"/>
      <c r="BM164" s="1231"/>
      <c r="BN164" s="1231"/>
      <c r="BO164" s="1231"/>
      <c r="BP164" s="1231"/>
      <c r="BQ164" s="1326"/>
      <c r="BR164" s="1231"/>
      <c r="BS164" s="1231"/>
      <c r="BT164" s="1231"/>
      <c r="BU164" s="1231"/>
      <c r="BV164" s="1326"/>
      <c r="BW164" s="1231"/>
      <c r="BX164" s="1231"/>
      <c r="BY164" s="1231"/>
      <c r="BZ164" s="1231"/>
      <c r="CA164" s="1326"/>
      <c r="CB164" s="1231"/>
      <c r="CC164" s="1231"/>
      <c r="CD164" s="1231"/>
      <c r="CE164" s="1231"/>
      <c r="CF164" s="1326"/>
      <c r="CG164" s="1231"/>
      <c r="CH164" s="1231"/>
      <c r="CI164" s="1231"/>
      <c r="CJ164" s="1231"/>
      <c r="CK164" s="1326"/>
      <c r="CL164" s="1231"/>
      <c r="CM164" s="1231"/>
      <c r="CN164" s="1231"/>
      <c r="CO164" s="1231"/>
      <c r="CP164" s="1326"/>
      <c r="CQ164" s="1231"/>
      <c r="CR164" s="1231"/>
      <c r="CS164" s="1231"/>
      <c r="CT164" s="1231"/>
      <c r="CU164" s="1326"/>
      <c r="CV164" s="1231"/>
      <c r="CW164" s="1231"/>
      <c r="CX164" s="1231"/>
      <c r="CY164" s="1231"/>
      <c r="CZ164" s="1326"/>
      <c r="DA164" s="1231"/>
      <c r="DB164" s="1231"/>
      <c r="DC164" s="1231"/>
      <c r="DD164" s="1231"/>
      <c r="DE164" s="1326"/>
      <c r="DF164" s="1231"/>
      <c r="DG164" s="1231"/>
      <c r="DH164" s="1231"/>
      <c r="DI164" s="1231"/>
      <c r="DJ164" s="1326"/>
      <c r="DK164" s="1231"/>
      <c r="DL164" s="1231"/>
      <c r="DM164" s="1231"/>
      <c r="DN164" s="1231"/>
      <c r="DO164" s="1326"/>
      <c r="DP164" s="1231"/>
      <c r="DQ164" s="1231"/>
      <c r="DR164" s="1231"/>
      <c r="DS164" s="1231"/>
      <c r="DT164" s="1326"/>
      <c r="DU164" s="1231"/>
      <c r="DV164" s="1231"/>
      <c r="DW164" s="1231"/>
      <c r="DX164" s="1231"/>
      <c r="DY164" s="1326"/>
    </row>
    <row r="165" spans="1:129" x14ac:dyDescent="0.2">
      <c r="A165" s="1223"/>
      <c r="B165" s="1190" t="s">
        <v>1152</v>
      </c>
      <c r="C165" s="1231"/>
      <c r="D165" s="1231"/>
      <c r="E165" s="1231"/>
      <c r="F165" s="1231"/>
      <c r="G165" s="1231"/>
      <c r="H165" s="1231"/>
      <c r="I165" s="1231"/>
      <c r="J165" s="1231"/>
      <c r="K165" s="1231"/>
      <c r="L165" s="1231"/>
      <c r="M165" s="1231"/>
      <c r="N165" s="1231"/>
      <c r="O165" s="1231"/>
      <c r="P165" s="1231"/>
      <c r="Q165" s="1231"/>
      <c r="R165" s="1231"/>
      <c r="S165" s="1231"/>
      <c r="T165" s="1231"/>
      <c r="U165" s="1231"/>
      <c r="V165" s="1231"/>
      <c r="W165" s="1231"/>
      <c r="X165" s="1227"/>
      <c r="Y165" s="1231"/>
      <c r="Z165" s="1231"/>
      <c r="AA165" s="1231"/>
      <c r="AB165" s="1231"/>
      <c r="AC165" s="1227"/>
      <c r="AD165" s="1231"/>
      <c r="AE165" s="1231"/>
      <c r="AF165" s="1231"/>
      <c r="AG165" s="1231"/>
      <c r="AH165" s="1227"/>
      <c r="AI165" s="1231"/>
      <c r="AJ165" s="1231"/>
      <c r="AK165" s="1231"/>
      <c r="AL165" s="1231"/>
      <c r="AM165" s="1227"/>
      <c r="AN165" s="1231"/>
      <c r="AO165" s="1231"/>
      <c r="AP165" s="1231"/>
      <c r="AQ165" s="1231"/>
      <c r="AR165" s="1227"/>
      <c r="AS165" s="1231"/>
      <c r="AT165" s="1231"/>
      <c r="AU165" s="1231"/>
      <c r="AV165" s="1231"/>
      <c r="AW165" s="1227"/>
      <c r="AX165" s="1231"/>
      <c r="AY165" s="1231"/>
      <c r="AZ165" s="1231"/>
      <c r="BA165" s="1231"/>
      <c r="BB165" s="1227"/>
      <c r="BC165" s="1231"/>
      <c r="BD165" s="1231"/>
      <c r="BE165" s="1231"/>
      <c r="BF165" s="1231"/>
      <c r="BG165" s="1227"/>
      <c r="BH165" s="1231"/>
      <c r="BI165" s="1231"/>
      <c r="BJ165" s="1231"/>
      <c r="BK165" s="1231"/>
      <c r="BL165" s="1326"/>
      <c r="BM165" s="1231"/>
      <c r="BN165" s="1231"/>
      <c r="BO165" s="1231"/>
      <c r="BP165" s="1231"/>
      <c r="BQ165" s="1326"/>
      <c r="BR165" s="1231"/>
      <c r="BS165" s="1231"/>
      <c r="BT165" s="1231"/>
      <c r="BU165" s="1231"/>
      <c r="BV165" s="1326"/>
      <c r="BW165" s="1231"/>
      <c r="BX165" s="1231"/>
      <c r="BY165" s="1231"/>
      <c r="BZ165" s="1231"/>
      <c r="CA165" s="1326">
        <f>BV167</f>
        <v>0</v>
      </c>
      <c r="CB165" s="1223">
        <f>CA167</f>
        <v>550</v>
      </c>
      <c r="CC165" s="1223">
        <f>+CB167</f>
        <v>550</v>
      </c>
      <c r="CD165" s="1223">
        <f>+CC167</f>
        <v>550</v>
      </c>
      <c r="CE165" s="1223">
        <f>+CD167</f>
        <v>550</v>
      </c>
      <c r="CF165" s="1326">
        <f>CA167</f>
        <v>550</v>
      </c>
      <c r="CG165" s="1223">
        <f>+CE167</f>
        <v>550</v>
      </c>
      <c r="CH165" s="1223">
        <f>+CG167</f>
        <v>550</v>
      </c>
      <c r="CI165" s="1223">
        <f>+CH167</f>
        <v>550</v>
      </c>
      <c r="CJ165" s="1223">
        <f>+CI167</f>
        <v>550</v>
      </c>
      <c r="CK165" s="1326">
        <f>CF167</f>
        <v>550</v>
      </c>
      <c r="CL165" s="1223">
        <f>+CJ167</f>
        <v>550</v>
      </c>
      <c r="CM165" s="1223">
        <f>+CL167</f>
        <v>550</v>
      </c>
      <c r="CN165" s="1223">
        <f>+CM167</f>
        <v>550</v>
      </c>
      <c r="CO165" s="1223">
        <f>+CN167</f>
        <v>550</v>
      </c>
      <c r="CP165" s="1326">
        <f>CK167</f>
        <v>550</v>
      </c>
      <c r="CQ165" s="1223">
        <f>+CO165</f>
        <v>550</v>
      </c>
      <c r="CR165" s="1223">
        <f>+CQ167</f>
        <v>550</v>
      </c>
      <c r="CS165" s="1223">
        <f>+CR167</f>
        <v>550</v>
      </c>
      <c r="CT165" s="1223">
        <f>+CS167</f>
        <v>550</v>
      </c>
      <c r="CU165" s="1326">
        <f>CP167</f>
        <v>550</v>
      </c>
      <c r="CV165" s="1223">
        <f>+CT165</f>
        <v>550</v>
      </c>
      <c r="CW165" s="1223">
        <f>+CV167</f>
        <v>550</v>
      </c>
      <c r="CX165" s="1223">
        <f>+CW167</f>
        <v>0</v>
      </c>
      <c r="CY165" s="1223">
        <f>+CX167</f>
        <v>0</v>
      </c>
      <c r="CZ165" s="1326">
        <f>CU167</f>
        <v>550</v>
      </c>
      <c r="DA165" s="1223">
        <f>+CY165</f>
        <v>0</v>
      </c>
      <c r="DB165" s="1223">
        <f>+DA167</f>
        <v>0</v>
      </c>
      <c r="DC165" s="1223">
        <f>+DB167</f>
        <v>0</v>
      </c>
      <c r="DD165" s="1223">
        <f>+DC167</f>
        <v>-550</v>
      </c>
      <c r="DE165" s="1326">
        <f>CZ167</f>
        <v>0</v>
      </c>
      <c r="DF165" s="1223">
        <f>+DD165</f>
        <v>-550</v>
      </c>
      <c r="DG165" s="1223">
        <f>+DF167</f>
        <v>-550</v>
      </c>
      <c r="DH165" s="1223">
        <f>+DG167</f>
        <v>-550</v>
      </c>
      <c r="DI165" s="1223">
        <f>+DH167</f>
        <v>-550</v>
      </c>
      <c r="DJ165" s="1326">
        <f>DE167</f>
        <v>-550</v>
      </c>
      <c r="DK165" s="1223">
        <f>+DI165</f>
        <v>-550</v>
      </c>
      <c r="DL165" s="1223">
        <f>+DK167</f>
        <v>-550</v>
      </c>
      <c r="DM165" s="1223">
        <f>+DL167</f>
        <v>-550</v>
      </c>
      <c r="DN165" s="1223">
        <f>+DM167</f>
        <v>-550</v>
      </c>
      <c r="DO165" s="1326">
        <f>DJ167</f>
        <v>-550</v>
      </c>
      <c r="DP165" s="1223">
        <f>+DN165</f>
        <v>-550</v>
      </c>
      <c r="DQ165" s="1223">
        <f>+DP167</f>
        <v>-550</v>
      </c>
      <c r="DR165" s="1223">
        <f>+DQ167</f>
        <v>-550</v>
      </c>
      <c r="DS165" s="1223">
        <f>+DR167</f>
        <v>-550</v>
      </c>
      <c r="DT165" s="1326">
        <f>DO167</f>
        <v>-550</v>
      </c>
      <c r="DU165" s="1223">
        <f>+DS165</f>
        <v>-550</v>
      </c>
      <c r="DV165" s="1223">
        <f>+DU167</f>
        <v>-550</v>
      </c>
      <c r="DW165" s="1223">
        <f>+DV167</f>
        <v>-550</v>
      </c>
      <c r="DX165" s="1223">
        <f>+DW167</f>
        <v>-550</v>
      </c>
      <c r="DY165" s="1326">
        <f>DT167</f>
        <v>-550</v>
      </c>
    </row>
    <row r="166" spans="1:129" x14ac:dyDescent="0.2">
      <c r="A166" s="1295"/>
      <c r="B166" s="1190" t="s">
        <v>1153</v>
      </c>
      <c r="C166" s="1182"/>
      <c r="D166" s="1182"/>
      <c r="E166" s="1182"/>
      <c r="F166" s="1182"/>
      <c r="G166" s="1182"/>
      <c r="H166" s="1182"/>
      <c r="I166" s="1182"/>
      <c r="J166" s="1182"/>
      <c r="K166" s="1182"/>
      <c r="L166" s="1182"/>
      <c r="M166" s="1182"/>
      <c r="N166" s="1182"/>
      <c r="O166" s="1182"/>
      <c r="P166" s="1182"/>
      <c r="Q166" s="1182"/>
      <c r="R166" s="1182"/>
      <c r="S166" s="1182"/>
      <c r="T166" s="1182"/>
      <c r="U166" s="1182"/>
      <c r="V166" s="1182"/>
      <c r="W166" s="1182"/>
      <c r="X166" s="1296"/>
      <c r="Y166" s="1297"/>
      <c r="Z166" s="1297"/>
      <c r="AA166" s="1297"/>
      <c r="AB166" s="1297"/>
      <c r="AC166" s="1296"/>
      <c r="AD166" s="1297"/>
      <c r="AE166" s="1297"/>
      <c r="AF166" s="1297"/>
      <c r="AG166" s="1297"/>
      <c r="AH166" s="1296"/>
      <c r="AI166" s="1297"/>
      <c r="AJ166" s="1297"/>
      <c r="AK166" s="1297"/>
      <c r="AL166" s="1297"/>
      <c r="AM166" s="1296"/>
      <c r="AN166" s="1297"/>
      <c r="AO166" s="1297"/>
      <c r="AP166" s="1297"/>
      <c r="AQ166" s="1297"/>
      <c r="AR166" s="1296"/>
      <c r="AS166" s="1297"/>
      <c r="AT166" s="1297"/>
      <c r="AU166" s="1297"/>
      <c r="AV166" s="1297"/>
      <c r="AW166" s="1296"/>
      <c r="AX166" s="1298"/>
      <c r="AY166" s="1299"/>
      <c r="AZ166" s="1299"/>
      <c r="BA166" s="1298"/>
      <c r="BB166" s="1300"/>
      <c r="BC166" s="1298"/>
      <c r="BD166" s="1298"/>
      <c r="BE166" s="1298"/>
      <c r="BF166" s="1298"/>
      <c r="BG166" s="1296"/>
      <c r="BH166" s="1298"/>
      <c r="BI166" s="1298"/>
      <c r="BJ166" s="1298"/>
      <c r="BK166" s="1298"/>
      <c r="BL166" s="1335"/>
      <c r="BM166" s="1298"/>
      <c r="BN166" s="1298"/>
      <c r="BO166" s="1298"/>
      <c r="BP166" s="1298"/>
      <c r="BQ166" s="1335"/>
      <c r="BR166" s="1298"/>
      <c r="BS166" s="1298"/>
      <c r="BT166" s="1298"/>
      <c r="BU166" s="1298"/>
      <c r="BV166" s="1335"/>
      <c r="BW166" s="1298"/>
      <c r="BX166" s="1298"/>
      <c r="BY166" s="1298"/>
      <c r="BZ166" s="1298"/>
      <c r="CA166" s="1335">
        <f>CA167-CA165</f>
        <v>550</v>
      </c>
      <c r="CB166" s="1336">
        <f>CB167-CB165</f>
        <v>0</v>
      </c>
      <c r="CC166" s="1336">
        <f>CC167-CC165</f>
        <v>0</v>
      </c>
      <c r="CD166" s="1298">
        <v>0</v>
      </c>
      <c r="CE166" s="1298">
        <v>0</v>
      </c>
      <c r="CF166" s="1335">
        <f>+SUM(CB166:CE166)</f>
        <v>0</v>
      </c>
      <c r="CG166" s="1298">
        <v>0</v>
      </c>
      <c r="CH166" s="1298">
        <v>0</v>
      </c>
      <c r="CI166" s="1298">
        <v>0</v>
      </c>
      <c r="CJ166" s="1298">
        <v>0</v>
      </c>
      <c r="CK166" s="1335">
        <f>+SUM(CG166:CJ166)</f>
        <v>0</v>
      </c>
      <c r="CL166" s="1298">
        <v>0</v>
      </c>
      <c r="CM166" s="1298">
        <v>0</v>
      </c>
      <c r="CN166" s="1298">
        <v>0</v>
      </c>
      <c r="CO166" s="1298">
        <v>0</v>
      </c>
      <c r="CP166" s="1335">
        <f>+SUM(CL166:CO166)</f>
        <v>0</v>
      </c>
      <c r="CQ166" s="1298">
        <v>0</v>
      </c>
      <c r="CR166" s="1298">
        <v>0</v>
      </c>
      <c r="CS166" s="1298">
        <v>0</v>
      </c>
      <c r="CT166" s="1298">
        <v>0</v>
      </c>
      <c r="CU166" s="1335">
        <f>+SUM(CQ166:CT166)</f>
        <v>0</v>
      </c>
      <c r="CV166" s="1298">
        <v>0</v>
      </c>
      <c r="CW166" s="1298">
        <v>-550</v>
      </c>
      <c r="CX166" s="1298">
        <v>0</v>
      </c>
      <c r="CY166" s="1298">
        <v>0</v>
      </c>
      <c r="CZ166" s="1335">
        <f>+SUM(CV166:CY166)</f>
        <v>-550</v>
      </c>
      <c r="DA166" s="1298">
        <v>0</v>
      </c>
      <c r="DB166" s="1298">
        <v>0</v>
      </c>
      <c r="DC166" s="1298">
        <v>-550</v>
      </c>
      <c r="DD166" s="1298">
        <v>0</v>
      </c>
      <c r="DE166" s="1335">
        <f>+SUM(DA166:DD166)</f>
        <v>-550</v>
      </c>
      <c r="DF166" s="1298">
        <v>0</v>
      </c>
      <c r="DG166" s="1298">
        <v>0</v>
      </c>
      <c r="DH166" s="1298">
        <v>0</v>
      </c>
      <c r="DI166" s="1298">
        <v>0</v>
      </c>
      <c r="DJ166" s="1335">
        <f>+SUM(DF166:DI166)</f>
        <v>0</v>
      </c>
      <c r="DK166" s="1298">
        <v>0</v>
      </c>
      <c r="DL166" s="1298">
        <v>0</v>
      </c>
      <c r="DM166" s="1298">
        <v>0</v>
      </c>
      <c r="DN166" s="1298">
        <v>0</v>
      </c>
      <c r="DO166" s="1335">
        <f>+SUM(DK166:DN166)</f>
        <v>0</v>
      </c>
      <c r="DP166" s="1298">
        <v>0</v>
      </c>
      <c r="DQ166" s="1298">
        <v>0</v>
      </c>
      <c r="DR166" s="1298">
        <v>0</v>
      </c>
      <c r="DS166" s="1298">
        <v>0</v>
      </c>
      <c r="DT166" s="1335">
        <f>+SUM(DP166:DS166)</f>
        <v>0</v>
      </c>
      <c r="DU166" s="1298">
        <v>0</v>
      </c>
      <c r="DV166" s="1298">
        <v>0</v>
      </c>
      <c r="DW166" s="1298">
        <v>0</v>
      </c>
      <c r="DX166" s="1298">
        <v>0</v>
      </c>
      <c r="DY166" s="1335">
        <f>+SUM(DU166:DX166)</f>
        <v>0</v>
      </c>
    </row>
    <row r="167" spans="1:129" x14ac:dyDescent="0.2">
      <c r="A167" s="1295"/>
      <c r="B167" s="1190" t="s">
        <v>1154</v>
      </c>
      <c r="C167" s="1182"/>
      <c r="D167" s="1182"/>
      <c r="E167" s="1182"/>
      <c r="F167" s="1182"/>
      <c r="G167" s="1182"/>
      <c r="H167" s="1182"/>
      <c r="I167" s="1182"/>
      <c r="J167" s="1182"/>
      <c r="K167" s="1182"/>
      <c r="L167" s="1182"/>
      <c r="M167" s="1182"/>
      <c r="N167" s="1182"/>
      <c r="O167" s="1182"/>
      <c r="P167" s="1182"/>
      <c r="Q167" s="1182"/>
      <c r="R167" s="1182"/>
      <c r="S167" s="1182"/>
      <c r="T167" s="1182"/>
      <c r="U167" s="1182"/>
      <c r="V167" s="1182"/>
      <c r="W167" s="1182"/>
      <c r="X167" s="1304"/>
      <c r="Y167" s="1305"/>
      <c r="Z167" s="1305"/>
      <c r="AA167" s="1305"/>
      <c r="AB167" s="1305"/>
      <c r="AC167" s="1304"/>
      <c r="AD167" s="1305"/>
      <c r="AE167" s="1305"/>
      <c r="AF167" s="1305"/>
      <c r="AG167" s="1305"/>
      <c r="AH167" s="1304"/>
      <c r="AI167" s="1305"/>
      <c r="AJ167" s="1305"/>
      <c r="AK167" s="1305"/>
      <c r="AL167" s="1305"/>
      <c r="AM167" s="1304"/>
      <c r="AN167" s="1305"/>
      <c r="AO167" s="1305"/>
      <c r="AP167" s="1305"/>
      <c r="AQ167" s="1305"/>
      <c r="AR167" s="1304"/>
      <c r="AS167" s="1305"/>
      <c r="AT167" s="1305"/>
      <c r="AU167" s="1305"/>
      <c r="AV167" s="1305"/>
      <c r="AW167" s="1304"/>
      <c r="AX167" s="1305"/>
      <c r="AY167" s="1305"/>
      <c r="AZ167" s="1305"/>
      <c r="BA167" s="1305"/>
      <c r="BB167" s="1304"/>
      <c r="BC167" s="1305"/>
      <c r="BD167" s="1305"/>
      <c r="BE167" s="1305"/>
      <c r="BF167" s="1305"/>
      <c r="BG167" s="1306"/>
      <c r="BH167" s="1305"/>
      <c r="BI167" s="1305"/>
      <c r="BJ167" s="1305"/>
      <c r="BK167" s="1305"/>
      <c r="BL167" s="1337"/>
      <c r="BM167" s="1305"/>
      <c r="BN167" s="1305"/>
      <c r="BO167" s="1305"/>
      <c r="BP167" s="1305"/>
      <c r="BQ167" s="1337"/>
      <c r="BR167" s="1305"/>
      <c r="BS167" s="1305"/>
      <c r="BT167" s="1305"/>
      <c r="BU167" s="1305"/>
      <c r="BV167" s="1337"/>
      <c r="BW167" s="1305"/>
      <c r="BX167" s="1305"/>
      <c r="BY167" s="1305"/>
      <c r="BZ167" s="1305"/>
      <c r="CA167" s="1337">
        <v>550</v>
      </c>
      <c r="CB167" s="1295">
        <f>CA167</f>
        <v>550</v>
      </c>
      <c r="CC167" s="1226">
        <f>CB167</f>
        <v>550</v>
      </c>
      <c r="CD167" s="1295">
        <f t="shared" ref="CD167:CZ167" si="153">CD165+CD166</f>
        <v>550</v>
      </c>
      <c r="CE167" s="1295">
        <f t="shared" si="153"/>
        <v>550</v>
      </c>
      <c r="CF167" s="1325">
        <f t="shared" si="153"/>
        <v>550</v>
      </c>
      <c r="CG167" s="1295">
        <f t="shared" si="153"/>
        <v>550</v>
      </c>
      <c r="CH167" s="1295">
        <f t="shared" si="153"/>
        <v>550</v>
      </c>
      <c r="CI167" s="1295">
        <f t="shared" si="153"/>
        <v>550</v>
      </c>
      <c r="CJ167" s="1295">
        <f t="shared" si="153"/>
        <v>550</v>
      </c>
      <c r="CK167" s="1325">
        <f t="shared" si="153"/>
        <v>550</v>
      </c>
      <c r="CL167" s="1295">
        <f t="shared" si="153"/>
        <v>550</v>
      </c>
      <c r="CM167" s="1295">
        <f t="shared" si="153"/>
        <v>550</v>
      </c>
      <c r="CN167" s="1295">
        <f t="shared" si="153"/>
        <v>550</v>
      </c>
      <c r="CO167" s="1295">
        <f t="shared" si="153"/>
        <v>550</v>
      </c>
      <c r="CP167" s="1325">
        <f t="shared" si="153"/>
        <v>550</v>
      </c>
      <c r="CQ167" s="1295">
        <f t="shared" si="153"/>
        <v>550</v>
      </c>
      <c r="CR167" s="1295">
        <f t="shared" si="153"/>
        <v>550</v>
      </c>
      <c r="CS167" s="1295">
        <f t="shared" si="153"/>
        <v>550</v>
      </c>
      <c r="CT167" s="1295">
        <f t="shared" si="153"/>
        <v>550</v>
      </c>
      <c r="CU167" s="1325">
        <f t="shared" si="153"/>
        <v>550</v>
      </c>
      <c r="CV167" s="1295">
        <f t="shared" si="153"/>
        <v>550</v>
      </c>
      <c r="CW167" s="1295">
        <f t="shared" si="153"/>
        <v>0</v>
      </c>
      <c r="CX167" s="1295">
        <f t="shared" si="153"/>
        <v>0</v>
      </c>
      <c r="CY167" s="1295">
        <f t="shared" si="153"/>
        <v>0</v>
      </c>
      <c r="CZ167" s="1325">
        <f t="shared" si="153"/>
        <v>0</v>
      </c>
      <c r="DA167" s="1295">
        <f t="shared" ref="DA167:DJ167" si="154">DA165+DA166</f>
        <v>0</v>
      </c>
      <c r="DB167" s="1295">
        <f t="shared" si="154"/>
        <v>0</v>
      </c>
      <c r="DC167" s="1295">
        <f t="shared" si="154"/>
        <v>-550</v>
      </c>
      <c r="DD167" s="1295">
        <f t="shared" si="154"/>
        <v>-550</v>
      </c>
      <c r="DE167" s="1325">
        <f t="shared" si="154"/>
        <v>-550</v>
      </c>
      <c r="DF167" s="1295">
        <f t="shared" si="154"/>
        <v>-550</v>
      </c>
      <c r="DG167" s="1295">
        <f t="shared" si="154"/>
        <v>-550</v>
      </c>
      <c r="DH167" s="1295">
        <f t="shared" si="154"/>
        <v>-550</v>
      </c>
      <c r="DI167" s="1295">
        <f t="shared" si="154"/>
        <v>-550</v>
      </c>
      <c r="DJ167" s="1325">
        <f t="shared" si="154"/>
        <v>-550</v>
      </c>
      <c r="DK167" s="1295">
        <f t="shared" ref="DK167:DT167" si="155">DK165+DK166</f>
        <v>-550</v>
      </c>
      <c r="DL167" s="1295">
        <f t="shared" si="155"/>
        <v>-550</v>
      </c>
      <c r="DM167" s="1295">
        <f t="shared" si="155"/>
        <v>-550</v>
      </c>
      <c r="DN167" s="1295">
        <f t="shared" si="155"/>
        <v>-550</v>
      </c>
      <c r="DO167" s="1325">
        <f t="shared" si="155"/>
        <v>-550</v>
      </c>
      <c r="DP167" s="1295">
        <f t="shared" si="155"/>
        <v>-550</v>
      </c>
      <c r="DQ167" s="1295">
        <f t="shared" si="155"/>
        <v>-550</v>
      </c>
      <c r="DR167" s="1295">
        <f t="shared" si="155"/>
        <v>-550</v>
      </c>
      <c r="DS167" s="1295">
        <f t="shared" si="155"/>
        <v>-550</v>
      </c>
      <c r="DT167" s="1325">
        <f t="shared" si="155"/>
        <v>-550</v>
      </c>
      <c r="DU167" s="1295">
        <f t="shared" ref="DU167:DY167" si="156">DU165+DU166</f>
        <v>-550</v>
      </c>
      <c r="DV167" s="1295">
        <f t="shared" si="156"/>
        <v>-550</v>
      </c>
      <c r="DW167" s="1295">
        <f t="shared" si="156"/>
        <v>-550</v>
      </c>
      <c r="DX167" s="1295">
        <f t="shared" si="156"/>
        <v>-550</v>
      </c>
      <c r="DY167" s="1325">
        <f t="shared" si="156"/>
        <v>-550</v>
      </c>
    </row>
    <row r="168" spans="1:129" x14ac:dyDescent="0.2">
      <c r="A168" s="1223"/>
      <c r="B168" s="1190" t="s">
        <v>1155</v>
      </c>
      <c r="C168" s="1182"/>
      <c r="D168" s="1182"/>
      <c r="E168" s="1182"/>
      <c r="F168" s="1182"/>
      <c r="G168" s="1182"/>
      <c r="H168" s="1182"/>
      <c r="I168" s="1182"/>
      <c r="J168" s="1182"/>
      <c r="K168" s="1182"/>
      <c r="L168" s="1182"/>
      <c r="M168" s="1182"/>
      <c r="N168" s="1182"/>
      <c r="O168" s="1182"/>
      <c r="P168" s="1182"/>
      <c r="Q168" s="1182"/>
      <c r="R168" s="1182"/>
      <c r="S168" s="1182"/>
      <c r="T168" s="1182"/>
      <c r="U168" s="1182"/>
      <c r="V168" s="1182"/>
      <c r="W168" s="1182"/>
      <c r="X168" s="1227"/>
      <c r="Y168" s="1231"/>
      <c r="Z168" s="1231"/>
      <c r="AA168" s="1231"/>
      <c r="AB168" s="1231"/>
      <c r="AC168" s="1227"/>
      <c r="AD168" s="1231"/>
      <c r="AE168" s="1231"/>
      <c r="AF168" s="1231"/>
      <c r="AG168" s="1231"/>
      <c r="AH168" s="1227"/>
      <c r="AI168" s="1231"/>
      <c r="AJ168" s="1231"/>
      <c r="AK168" s="1231"/>
      <c r="AL168" s="1231"/>
      <c r="AM168" s="1227"/>
      <c r="AN168" s="1231"/>
      <c r="AO168" s="1231"/>
      <c r="AP168" s="1231"/>
      <c r="AQ168" s="1231"/>
      <c r="AR168" s="1227"/>
      <c r="AS168" s="1231"/>
      <c r="AT168" s="1231"/>
      <c r="AU168" s="1231"/>
      <c r="AV168" s="1231"/>
      <c r="AW168" s="1227"/>
      <c r="AX168" s="1231"/>
      <c r="AY168" s="1231"/>
      <c r="AZ168" s="1231"/>
      <c r="BA168" s="1231"/>
      <c r="BB168" s="1227"/>
      <c r="BC168" s="1231"/>
      <c r="BD168" s="1231"/>
      <c r="BE168" s="1231"/>
      <c r="BF168" s="1231"/>
      <c r="BG168" s="1227"/>
      <c r="BH168" s="1231"/>
      <c r="BI168" s="1231"/>
      <c r="BJ168" s="1231"/>
      <c r="BK168" s="1231"/>
      <c r="BL168" s="1326"/>
      <c r="BM168" s="1231"/>
      <c r="BN168" s="1231"/>
      <c r="BO168" s="1231"/>
      <c r="BP168" s="1231"/>
      <c r="BQ168" s="1326"/>
      <c r="BR168" s="1231"/>
      <c r="BS168" s="1231"/>
      <c r="BT168" s="1231"/>
      <c r="BU168" s="1231"/>
      <c r="BV168" s="1326"/>
      <c r="BW168" s="1231"/>
      <c r="BX168" s="1231"/>
      <c r="BY168" s="1231"/>
      <c r="BZ168" s="1231"/>
      <c r="CA168" s="1326"/>
      <c r="CB168" s="1231"/>
      <c r="CC168" s="1231"/>
      <c r="CD168" s="1231"/>
      <c r="CE168" s="1231"/>
      <c r="CF168" s="1326"/>
      <c r="CG168" s="1231"/>
      <c r="CH168" s="1231"/>
      <c r="CI168" s="1231"/>
      <c r="CJ168" s="1231"/>
      <c r="CK168" s="1326"/>
      <c r="CL168" s="1231"/>
      <c r="CM168" s="1231"/>
      <c r="CN168" s="1231"/>
      <c r="CO168" s="1231"/>
      <c r="CP168" s="1326"/>
      <c r="CQ168" s="1231"/>
      <c r="CR168" s="1231"/>
      <c r="CS168" s="1231"/>
      <c r="CT168" s="1231"/>
      <c r="CU168" s="1326"/>
      <c r="CV168" s="1231"/>
      <c r="CW168" s="1231"/>
      <c r="CX168" s="1231"/>
      <c r="CY168" s="1231"/>
      <c r="CZ168" s="1326"/>
      <c r="DA168" s="1231"/>
      <c r="DB168" s="1231"/>
      <c r="DC168" s="1231"/>
      <c r="DD168" s="1231"/>
      <c r="DE168" s="1326"/>
      <c r="DF168" s="1231"/>
      <c r="DG168" s="1231"/>
      <c r="DH168" s="1231"/>
      <c r="DI168" s="1231"/>
      <c r="DJ168" s="1326"/>
      <c r="DK168" s="1231"/>
      <c r="DL168" s="1231"/>
      <c r="DM168" s="1231"/>
      <c r="DN168" s="1231"/>
      <c r="DO168" s="1326"/>
      <c r="DP168" s="1231"/>
      <c r="DQ168" s="1231"/>
      <c r="DR168" s="1231"/>
      <c r="DS168" s="1231"/>
      <c r="DT168" s="1326"/>
      <c r="DU168" s="1231"/>
      <c r="DV168" s="1231"/>
      <c r="DW168" s="1231"/>
      <c r="DX168" s="1231"/>
      <c r="DY168" s="1326"/>
    </row>
    <row r="169" spans="1:129" x14ac:dyDescent="0.2">
      <c r="A169" s="1223"/>
      <c r="B169" s="1190" t="s">
        <v>1156</v>
      </c>
      <c r="C169" s="1182"/>
      <c r="D169" s="1182"/>
      <c r="E169" s="1182"/>
      <c r="F169" s="1182"/>
      <c r="G169" s="1182"/>
      <c r="H169" s="1182"/>
      <c r="I169" s="1182"/>
      <c r="J169" s="1182"/>
      <c r="K169" s="1182"/>
      <c r="L169" s="1182"/>
      <c r="M169" s="1182"/>
      <c r="N169" s="1182"/>
      <c r="O169" s="1182"/>
      <c r="P169" s="1182"/>
      <c r="Q169" s="1182"/>
      <c r="R169" s="1182"/>
      <c r="S169" s="1182"/>
      <c r="T169" s="1182"/>
      <c r="U169" s="1182"/>
      <c r="V169" s="1182"/>
      <c r="W169" s="1182"/>
      <c r="X169" s="1227"/>
      <c r="Y169" s="1231"/>
      <c r="Z169" s="1231"/>
      <c r="AA169" s="1231"/>
      <c r="AB169" s="1231"/>
      <c r="AC169" s="1227"/>
      <c r="AD169" s="1231"/>
      <c r="AE169" s="1231"/>
      <c r="AF169" s="1231"/>
      <c r="AG169" s="1231"/>
      <c r="AH169" s="1227"/>
      <c r="AI169" s="1231"/>
      <c r="AJ169" s="1231"/>
      <c r="AK169" s="1231"/>
      <c r="AL169" s="1231"/>
      <c r="AM169" s="1227"/>
      <c r="AN169" s="1231"/>
      <c r="AO169" s="1231"/>
      <c r="AP169" s="1231"/>
      <c r="AQ169" s="1231"/>
      <c r="AR169" s="1227"/>
      <c r="AS169" s="1231"/>
      <c r="AT169" s="1231"/>
      <c r="AU169" s="1231"/>
      <c r="AV169" s="1231"/>
      <c r="AW169" s="1227"/>
      <c r="AX169" s="1231"/>
      <c r="AY169" s="1231"/>
      <c r="AZ169" s="1231"/>
      <c r="BA169" s="1231"/>
      <c r="BB169" s="1227"/>
      <c r="BC169" s="1231"/>
      <c r="BD169" s="1231"/>
      <c r="BE169" s="1231"/>
      <c r="BF169" s="1231"/>
      <c r="BG169" s="1227"/>
      <c r="BH169" s="1231"/>
      <c r="BI169" s="1231"/>
      <c r="BJ169" s="1231"/>
      <c r="BK169" s="1231"/>
      <c r="BL169" s="1326"/>
      <c r="BM169" s="1231"/>
      <c r="BN169" s="1231"/>
      <c r="BO169" s="1231"/>
      <c r="BP169" s="1231"/>
      <c r="BQ169" s="1326"/>
      <c r="BR169" s="1231"/>
      <c r="BS169" s="1231"/>
      <c r="BT169" s="1231"/>
      <c r="BU169" s="1231"/>
      <c r="BV169" s="1326"/>
      <c r="BW169" s="1231"/>
      <c r="BX169" s="1231"/>
      <c r="BY169" s="1231"/>
      <c r="BZ169" s="1231"/>
      <c r="CA169" s="1326">
        <f>-(AVERAGE(CA165,CA167))*(CA$163)</f>
        <v>-8.9375</v>
      </c>
      <c r="CB169" s="1223">
        <f>-(AVERAGE(CB167,CB165))*(CB163/4)</f>
        <v>-4.46875</v>
      </c>
      <c r="CC169" s="1223">
        <f>-(AVERAGE(CC167,CC165))*(CC163/4)</f>
        <v>-4.46875</v>
      </c>
      <c r="CD169" s="1223">
        <f>-(AVERAGE(CD167,CD165))*(CD163/4)</f>
        <v>-4.46875</v>
      </c>
      <c r="CE169" s="1223">
        <f>-(AVERAGE(CE167,CE165))*(CE163/4)</f>
        <v>-4.46875</v>
      </c>
      <c r="CF169" s="1326">
        <f>SUM(CB169:CE169)</f>
        <v>-17.875</v>
      </c>
      <c r="CG169" s="1223">
        <f>-(AVERAGE(CG167,CG165))*(CG163/4)</f>
        <v>-4.46875</v>
      </c>
      <c r="CH169" s="1223">
        <f>-(AVERAGE(CH167,CH165))*(CH163/4)</f>
        <v>-4.46875</v>
      </c>
      <c r="CI169" s="1223">
        <f>-(AVERAGE(CI167,CI165))*(CI163/4)</f>
        <v>-4.46875</v>
      </c>
      <c r="CJ169" s="1223">
        <f>-(AVERAGE(CJ167,CJ165))*(CJ163/4)</f>
        <v>-4.46875</v>
      </c>
      <c r="CK169" s="1326">
        <f>SUM(CG169:CJ169)</f>
        <v>-17.875</v>
      </c>
      <c r="CL169" s="1223">
        <f>-(AVERAGE(CL167,CL165))*(CL163/4)</f>
        <v>-4.46875</v>
      </c>
      <c r="CM169" s="1223">
        <f>-(AVERAGE(CM167,CM165))*(CM163/4)</f>
        <v>-4.46875</v>
      </c>
      <c r="CN169" s="1223">
        <f>-(AVERAGE(CN167,CN165))*(CN163/4)</f>
        <v>-4.46875</v>
      </c>
      <c r="CO169" s="1223">
        <f>-(AVERAGE(CO167,CO165))*(CO163/4)</f>
        <v>-4.46875</v>
      </c>
      <c r="CP169" s="1326">
        <f>SUM(CL169:CO169)</f>
        <v>-17.875</v>
      </c>
      <c r="CQ169" s="1223">
        <f>-(AVERAGE(CQ167,CQ165))*(CQ163/4)</f>
        <v>-4.46875</v>
      </c>
      <c r="CR169" s="1223">
        <f>-(AVERAGE(CR167,CR165))*(CR163/4)</f>
        <v>-4.46875</v>
      </c>
      <c r="CS169" s="1223">
        <f>-(AVERAGE(CS167,CS165))*(CS163/4)</f>
        <v>-4.46875</v>
      </c>
      <c r="CT169" s="1223">
        <f>-(AVERAGE(CT167,CT165))*(CT163/4)</f>
        <v>-4.46875</v>
      </c>
      <c r="CU169" s="1326">
        <f>SUM(CQ169:CT169)</f>
        <v>-17.875</v>
      </c>
      <c r="CV169" s="1223">
        <f>-(AVERAGE(CV167,CV165))*(CV163/4)</f>
        <v>-4.46875</v>
      </c>
      <c r="CW169" s="1223">
        <f>-(AVERAGE(CW167,CW165))*(CW163/4)</f>
        <v>-2.234375</v>
      </c>
      <c r="CX169" s="1223">
        <f>-(AVERAGE(CX167,CX165))*(CX163/4)</f>
        <v>0</v>
      </c>
      <c r="CY169" s="1223">
        <f>-(AVERAGE(CY167,CY165))*(CY163/4)</f>
        <v>0</v>
      </c>
      <c r="CZ169" s="1326">
        <f>SUM(CV169:CY169)</f>
        <v>-6.703125</v>
      </c>
      <c r="DA169" s="1223">
        <f>-(AVERAGE(DA167,DA165))*(DA163/4)</f>
        <v>0</v>
      </c>
      <c r="DB169" s="1223">
        <f>-(AVERAGE(DB167,DB165))*(DB163/4)</f>
        <v>0</v>
      </c>
      <c r="DC169" s="1223">
        <f>-(AVERAGE(DC167,DC165))*(DC163/4)</f>
        <v>2.234375</v>
      </c>
      <c r="DD169" s="1223">
        <f>-(AVERAGE(DD167,DD165))*(DD163/4)</f>
        <v>4.46875</v>
      </c>
      <c r="DE169" s="1326">
        <f>SUM(DA169:DD169)</f>
        <v>6.703125</v>
      </c>
      <c r="DF169" s="1223">
        <f>-(AVERAGE(DF167,DF165))*(DF163/4)</f>
        <v>4.46875</v>
      </c>
      <c r="DG169" s="1223">
        <f>-(AVERAGE(DG167,DG165))*(DG163/4)</f>
        <v>4.46875</v>
      </c>
      <c r="DH169" s="1223">
        <f>-(AVERAGE(DH167,DH165))*(DH163/4)</f>
        <v>4.46875</v>
      </c>
      <c r="DI169" s="1223">
        <f>-(AVERAGE(DI167,DI165))*(DI163/4)</f>
        <v>4.46875</v>
      </c>
      <c r="DJ169" s="1326">
        <f>SUM(DF169:DI169)</f>
        <v>17.875</v>
      </c>
      <c r="DK169" s="1223">
        <f>-(AVERAGE(DK167,DK165))*(DK163/4)</f>
        <v>4.46875</v>
      </c>
      <c r="DL169" s="1223">
        <f>-(AVERAGE(DL167,DL165))*(DL163/4)</f>
        <v>4.46875</v>
      </c>
      <c r="DM169" s="1223">
        <f>-(AVERAGE(DM167,DM165))*(DM163/4)</f>
        <v>4.46875</v>
      </c>
      <c r="DN169" s="1223">
        <f>-(AVERAGE(DN167,DN165))*(DN163/4)</f>
        <v>4.46875</v>
      </c>
      <c r="DO169" s="1326">
        <f>SUM(DK169:DN169)</f>
        <v>17.875</v>
      </c>
      <c r="DP169" s="1223">
        <f>-(AVERAGE(DP167,DP165))*(DP163/4)</f>
        <v>4.46875</v>
      </c>
      <c r="DQ169" s="1223">
        <f>-(AVERAGE(DQ167,DQ165))*(DQ163/4)</f>
        <v>4.46875</v>
      </c>
      <c r="DR169" s="1223">
        <f>-(AVERAGE(DR167,DR165))*(DR163/4)</f>
        <v>4.46875</v>
      </c>
      <c r="DS169" s="1223">
        <f>-(AVERAGE(DS167,DS165))*(DS163/4)</f>
        <v>4.46875</v>
      </c>
      <c r="DT169" s="1326">
        <f>SUM(DP169:DS169)</f>
        <v>17.875</v>
      </c>
      <c r="DU169" s="1223">
        <f>-(AVERAGE(DU167,DU165))*(DU163/4)</f>
        <v>4.46875</v>
      </c>
      <c r="DV169" s="1223">
        <f>-(AVERAGE(DV167,DV165))*(DV163/4)</f>
        <v>4.46875</v>
      </c>
      <c r="DW169" s="1223">
        <f>-(AVERAGE(DW167,DW165))*(DW163/4)</f>
        <v>4.46875</v>
      </c>
      <c r="DX169" s="1223">
        <f>-(AVERAGE(DX167,DX165))*(DX163/4)</f>
        <v>4.46875</v>
      </c>
      <c r="DY169" s="1326">
        <f>SUM(DU169:DX169)</f>
        <v>17.875</v>
      </c>
    </row>
    <row r="170" spans="1:129" ht="12" thickBot="1" x14ac:dyDescent="0.25">
      <c r="A170" s="1223"/>
      <c r="B170" s="1250" t="s">
        <v>1157</v>
      </c>
      <c r="C170" s="1251"/>
      <c r="D170" s="1251"/>
      <c r="E170" s="1251"/>
      <c r="F170" s="1251"/>
      <c r="G170" s="1251"/>
      <c r="H170" s="1251"/>
      <c r="I170" s="1251"/>
      <c r="J170" s="1251"/>
      <c r="K170" s="1251"/>
      <c r="L170" s="1251"/>
      <c r="M170" s="1251"/>
      <c r="N170" s="1251"/>
      <c r="O170" s="1251"/>
      <c r="P170" s="1251"/>
      <c r="Q170" s="1251"/>
      <c r="R170" s="1251"/>
      <c r="S170" s="1251"/>
      <c r="T170" s="1251"/>
      <c r="U170" s="1251"/>
      <c r="V170" s="1251"/>
      <c r="W170" s="1251"/>
      <c r="X170" s="1252"/>
      <c r="Y170" s="1251"/>
      <c r="Z170" s="1251"/>
      <c r="AA170" s="1251"/>
      <c r="AB170" s="1251"/>
      <c r="AC170" s="1252"/>
      <c r="AD170" s="1251"/>
      <c r="AE170" s="1251"/>
      <c r="AF170" s="1251"/>
      <c r="AG170" s="1251"/>
      <c r="AH170" s="1252"/>
      <c r="AI170" s="1251"/>
      <c r="AJ170" s="1251"/>
      <c r="AK170" s="1251"/>
      <c r="AL170" s="1251"/>
      <c r="AM170" s="1252"/>
      <c r="AN170" s="1251"/>
      <c r="AO170" s="1251"/>
      <c r="AP170" s="1251"/>
      <c r="AQ170" s="1253"/>
      <c r="AR170" s="1252"/>
      <c r="AS170" s="1253"/>
      <c r="AT170" s="1253"/>
      <c r="AU170" s="1253"/>
      <c r="AV170" s="1253"/>
      <c r="AW170" s="1252"/>
      <c r="AX170" s="1253"/>
      <c r="AY170" s="1253"/>
      <c r="AZ170" s="1253"/>
      <c r="BA170" s="1253"/>
      <c r="BB170" s="1252"/>
      <c r="BC170" s="1253"/>
      <c r="BD170" s="1253"/>
      <c r="BE170" s="1253"/>
      <c r="BF170" s="1253"/>
      <c r="BG170" s="1252"/>
      <c r="BH170" s="1253"/>
      <c r="BI170" s="1253"/>
      <c r="BJ170" s="1253"/>
      <c r="BK170" s="1253"/>
      <c r="BL170" s="1327"/>
      <c r="BM170" s="1253"/>
      <c r="BN170" s="1253"/>
      <c r="BO170" s="1253"/>
      <c r="BP170" s="1253"/>
      <c r="BQ170" s="1327"/>
      <c r="BR170" s="1253"/>
      <c r="BS170" s="1253"/>
      <c r="BT170" s="1253"/>
      <c r="BU170" s="1253"/>
      <c r="BV170" s="1327"/>
      <c r="BW170" s="1253"/>
      <c r="BX170" s="1253"/>
      <c r="BY170" s="1253"/>
      <c r="BZ170" s="1253"/>
      <c r="CA170" s="1327"/>
      <c r="CB170" s="1253">
        <f>-CB162*CB168/4</f>
        <v>0</v>
      </c>
      <c r="CC170" s="1253">
        <f>-CC162*CC168/4</f>
        <v>0</v>
      </c>
      <c r="CD170" s="1253">
        <f>-CD162*CD168/4</f>
        <v>0</v>
      </c>
      <c r="CE170" s="1253">
        <f>-CE162*CE168/4</f>
        <v>0</v>
      </c>
      <c r="CF170" s="1327"/>
      <c r="CG170" s="1253">
        <f>-CG162*CG168/4</f>
        <v>0</v>
      </c>
      <c r="CH170" s="1253">
        <f>-CH162*CH168/4</f>
        <v>0</v>
      </c>
      <c r="CI170" s="1253">
        <f>-CI162*CI168/4</f>
        <v>0</v>
      </c>
      <c r="CJ170" s="1253">
        <f>-CJ162*CJ168/4</f>
        <v>0</v>
      </c>
      <c r="CK170" s="1327"/>
      <c r="CL170" s="1253">
        <f>-CL162*CL168/4</f>
        <v>0</v>
      </c>
      <c r="CM170" s="1253">
        <f>-CM162*CM168/4</f>
        <v>0</v>
      </c>
      <c r="CN170" s="1253">
        <f>-CN162*CN168/4</f>
        <v>0</v>
      </c>
      <c r="CO170" s="1253">
        <f>-CO162*CO168/4</f>
        <v>0</v>
      </c>
      <c r="CP170" s="1327"/>
      <c r="CQ170" s="1253">
        <f>-CQ162*CQ168/4</f>
        <v>0</v>
      </c>
      <c r="CR170" s="1253">
        <f>-CR162*CR168/4</f>
        <v>0</v>
      </c>
      <c r="CS170" s="1253">
        <f>-CS162*CS168/4</f>
        <v>0</v>
      </c>
      <c r="CT170" s="1253">
        <f>-CT162*CT168/4</f>
        <v>0</v>
      </c>
      <c r="CU170" s="1327"/>
      <c r="CV170" s="1253">
        <f>-CV162*CV168/4</f>
        <v>0</v>
      </c>
      <c r="CW170" s="1253">
        <f>-CW162*CW168/4</f>
        <v>0</v>
      </c>
      <c r="CX170" s="1253">
        <f>-CX162*CX168/4</f>
        <v>0</v>
      </c>
      <c r="CY170" s="1253">
        <f>-CY162*CY168/4</f>
        <v>0</v>
      </c>
      <c r="CZ170" s="1327"/>
      <c r="DA170" s="1253">
        <f>-DA162*DA168/4</f>
        <v>0</v>
      </c>
      <c r="DB170" s="1253">
        <f>-DB162*DB168/4</f>
        <v>0</v>
      </c>
      <c r="DC170" s="1253">
        <f>-DC162*DC168/4</f>
        <v>0</v>
      </c>
      <c r="DD170" s="1253">
        <f>-DD162*DD168/4</f>
        <v>0</v>
      </c>
      <c r="DE170" s="1327"/>
      <c r="DF170" s="1253">
        <f>-DF162*DF168/4</f>
        <v>0</v>
      </c>
      <c r="DG170" s="1253">
        <f>-DG162*DG168/4</f>
        <v>0</v>
      </c>
      <c r="DH170" s="1253">
        <f>-DH162*DH168/4</f>
        <v>0</v>
      </c>
      <c r="DI170" s="1253">
        <f>-DI162*DI168/4</f>
        <v>0</v>
      </c>
      <c r="DJ170" s="1327"/>
      <c r="DK170" s="1253">
        <f>-DK162*DK168/4</f>
        <v>0</v>
      </c>
      <c r="DL170" s="1253">
        <f>-DL162*DL168/4</f>
        <v>0</v>
      </c>
      <c r="DM170" s="1253">
        <f>-DM162*DM168/4</f>
        <v>0</v>
      </c>
      <c r="DN170" s="1253">
        <f>-DN162*DN168/4</f>
        <v>0</v>
      </c>
      <c r="DO170" s="1327"/>
      <c r="DP170" s="1253">
        <f>-DP162*DP168/4</f>
        <v>0</v>
      </c>
      <c r="DQ170" s="1253">
        <f>-DQ162*DQ168/4</f>
        <v>0</v>
      </c>
      <c r="DR170" s="1253">
        <f>-DR162*DR168/4</f>
        <v>0</v>
      </c>
      <c r="DS170" s="1253">
        <f>-DS162*DS168/4</f>
        <v>0</v>
      </c>
      <c r="DT170" s="1327"/>
      <c r="DU170" s="1253">
        <f>-DU162*DU168/4</f>
        <v>0</v>
      </c>
      <c r="DV170" s="1253">
        <f>-DV162*DV168/4</f>
        <v>0</v>
      </c>
      <c r="DW170" s="1253">
        <f>-DW162*DW168/4</f>
        <v>0</v>
      </c>
      <c r="DX170" s="1253">
        <f>-DX162*DX168/4</f>
        <v>0</v>
      </c>
      <c r="DY170" s="1327"/>
    </row>
    <row r="171" spans="1:129" ht="15" customHeight="1" thickBot="1" x14ac:dyDescent="0.25">
      <c r="A171" s="1240"/>
      <c r="B171" s="1240"/>
      <c r="C171" s="1214"/>
      <c r="D171" s="1214"/>
      <c r="E171" s="1214"/>
      <c r="F171" s="1214"/>
      <c r="G171" s="1214"/>
      <c r="H171" s="1214"/>
      <c r="I171" s="1214"/>
      <c r="J171" s="1214"/>
      <c r="K171" s="1214"/>
      <c r="L171" s="1214"/>
      <c r="M171" s="1214"/>
      <c r="N171" s="1214"/>
      <c r="O171" s="1214"/>
      <c r="P171" s="1214"/>
      <c r="Q171" s="1214"/>
      <c r="R171" s="1214"/>
      <c r="S171" s="1214"/>
      <c r="T171" s="1214"/>
      <c r="U171" s="1214"/>
      <c r="V171" s="1214"/>
      <c r="W171" s="1214"/>
      <c r="X171" s="1215"/>
      <c r="Y171" s="1215"/>
      <c r="Z171" s="1215"/>
      <c r="AA171" s="1215"/>
      <c r="AB171" s="1215"/>
      <c r="AC171" s="1215"/>
      <c r="AD171" s="1215"/>
      <c r="AE171" s="1215"/>
      <c r="AF171" s="1215"/>
      <c r="AG171" s="1215"/>
      <c r="AH171" s="1215"/>
      <c r="AI171" s="1215"/>
      <c r="AJ171" s="1215"/>
      <c r="AK171" s="1215"/>
      <c r="AL171" s="1215"/>
      <c r="AM171" s="1215"/>
      <c r="AN171" s="1215"/>
      <c r="AO171" s="1215"/>
      <c r="AP171" s="1215"/>
      <c r="AQ171" s="1215"/>
      <c r="AR171" s="1215"/>
      <c r="AS171" s="1215"/>
      <c r="AT171" s="1215"/>
      <c r="AU171" s="1215"/>
      <c r="AV171" s="1215"/>
      <c r="AW171" s="1215"/>
      <c r="AX171" s="1215"/>
      <c r="AY171" s="1215"/>
      <c r="AZ171" s="1215"/>
      <c r="BA171" s="1215"/>
      <c r="BB171" s="1215"/>
      <c r="BC171" s="1215"/>
      <c r="BD171" s="1215"/>
      <c r="BE171" s="1215"/>
      <c r="BF171" s="1215"/>
      <c r="BG171" s="1215"/>
      <c r="BH171" s="1215"/>
      <c r="BI171" s="1215"/>
      <c r="BJ171" s="1215"/>
      <c r="BK171" s="1215"/>
      <c r="BL171" s="1215"/>
      <c r="BM171" s="1215"/>
      <c r="BN171" s="1215"/>
      <c r="BO171" s="1215"/>
      <c r="BP171" s="1215"/>
      <c r="BQ171" s="1215"/>
      <c r="BR171" s="1215"/>
      <c r="BS171" s="1215"/>
      <c r="BT171" s="1215"/>
      <c r="BU171" s="1215"/>
      <c r="BV171" s="1215"/>
      <c r="BW171" s="1215"/>
      <c r="BX171" s="1215"/>
      <c r="BY171" s="1215"/>
      <c r="BZ171" s="1215"/>
      <c r="CA171" s="1215"/>
      <c r="CB171" s="1215"/>
      <c r="CC171" s="1215"/>
      <c r="CD171" s="1215"/>
      <c r="CE171" s="1215"/>
      <c r="CF171" s="1215"/>
      <c r="CG171" s="1215"/>
      <c r="CH171" s="1215"/>
      <c r="CI171" s="1215"/>
      <c r="CJ171" s="1215"/>
      <c r="CK171" s="1215"/>
      <c r="CL171" s="1215"/>
      <c r="CM171" s="1215"/>
      <c r="CN171" s="1215"/>
      <c r="CO171" s="1215"/>
      <c r="CP171" s="1215"/>
      <c r="CQ171" s="1215"/>
      <c r="CR171" s="1215"/>
      <c r="CS171" s="1215"/>
      <c r="CT171" s="1215"/>
      <c r="CU171" s="1215"/>
      <c r="CV171" s="1215"/>
      <c r="CW171" s="1215"/>
      <c r="CX171" s="1215"/>
      <c r="CY171" s="1215"/>
      <c r="CZ171" s="1215"/>
      <c r="DA171" s="1215"/>
      <c r="DB171" s="1215"/>
      <c r="DC171" s="1215"/>
      <c r="DD171" s="1215"/>
      <c r="DE171" s="1215"/>
      <c r="DF171" s="1215"/>
      <c r="DG171" s="1215"/>
      <c r="DH171" s="1215"/>
      <c r="DI171" s="1215"/>
      <c r="DJ171" s="1215"/>
      <c r="DK171" s="1215"/>
      <c r="DL171" s="1215"/>
      <c r="DM171" s="1215"/>
      <c r="DN171" s="1215"/>
      <c r="DO171" s="1215"/>
      <c r="DP171" s="1215"/>
      <c r="DQ171" s="1215"/>
      <c r="DR171" s="1215"/>
      <c r="DS171" s="1215"/>
      <c r="DT171" s="1215"/>
      <c r="DU171" s="1215"/>
      <c r="DV171" s="1215"/>
      <c r="DW171" s="1215"/>
      <c r="DX171" s="1215"/>
      <c r="DY171" s="1215"/>
    </row>
    <row r="172" spans="1:129" ht="12" thickBot="1" x14ac:dyDescent="0.25">
      <c r="A172" s="1123"/>
      <c r="B172" s="1282" t="s">
        <v>1165</v>
      </c>
      <c r="C172" s="1328"/>
      <c r="D172" s="1329"/>
      <c r="E172" s="1329"/>
      <c r="F172" s="1329"/>
      <c r="G172" s="1329"/>
      <c r="H172" s="1329"/>
      <c r="I172" s="1329"/>
      <c r="J172" s="1329"/>
      <c r="K172" s="1329"/>
      <c r="L172" s="1329"/>
      <c r="M172" s="1329"/>
      <c r="N172" s="1329"/>
      <c r="O172" s="1329"/>
      <c r="P172" s="1329"/>
      <c r="Q172" s="1329"/>
      <c r="R172" s="1329"/>
      <c r="S172" s="1329"/>
      <c r="T172" s="1329"/>
      <c r="U172" s="1329"/>
      <c r="V172" s="1329"/>
      <c r="W172" s="1329"/>
      <c r="X172" s="1328"/>
      <c r="Y172" s="1328"/>
      <c r="Z172" s="1328"/>
      <c r="AA172" s="1328"/>
      <c r="AB172" s="1328"/>
      <c r="AC172" s="1328"/>
      <c r="AD172" s="1328"/>
      <c r="AE172" s="1328"/>
      <c r="AF172" s="1328"/>
      <c r="AG172" s="1328"/>
      <c r="AH172" s="1328"/>
      <c r="AI172" s="1328"/>
      <c r="AJ172" s="1328"/>
      <c r="AK172" s="1328"/>
      <c r="AL172" s="1328"/>
      <c r="AM172" s="1328"/>
      <c r="AN172" s="1328"/>
      <c r="AO172" s="1328"/>
      <c r="AP172" s="1328"/>
      <c r="AQ172" s="1330"/>
      <c r="AR172" s="1330"/>
      <c r="AS172" s="1330"/>
      <c r="AT172" s="1331"/>
      <c r="AU172" s="1331"/>
      <c r="AV172" s="1331"/>
      <c r="AW172" s="1330"/>
      <c r="AX172" s="1330"/>
      <c r="AY172" s="1330"/>
      <c r="AZ172" s="1330"/>
      <c r="BA172" s="1330"/>
      <c r="BB172" s="1330"/>
      <c r="BC172" s="1330"/>
      <c r="BD172" s="1330"/>
      <c r="BE172" s="1330"/>
      <c r="BF172" s="1330"/>
      <c r="BG172" s="1330"/>
      <c r="BH172" s="1330"/>
      <c r="BI172" s="1330"/>
      <c r="BJ172" s="1330"/>
      <c r="BK172" s="1330"/>
      <c r="BL172" s="1332"/>
      <c r="BM172" s="1330"/>
      <c r="BN172" s="1330"/>
      <c r="BO172" s="1330"/>
      <c r="BP172" s="1330"/>
      <c r="BQ172" s="1332"/>
      <c r="BR172" s="1330"/>
      <c r="BS172" s="1330"/>
      <c r="BT172" s="1330"/>
      <c r="BU172" s="1330"/>
      <c r="BV172" s="1332"/>
      <c r="BW172" s="1330"/>
      <c r="BX172" s="1330"/>
      <c r="BY172" s="1330"/>
      <c r="BZ172" s="1330"/>
      <c r="CA172" s="1332"/>
      <c r="CB172" s="1330"/>
      <c r="CC172" s="1330"/>
      <c r="CD172" s="1330"/>
      <c r="CE172" s="1330"/>
      <c r="CF172" s="1332"/>
      <c r="CG172" s="1330"/>
      <c r="CH172" s="1330"/>
      <c r="CI172" s="1330"/>
      <c r="CJ172" s="1330"/>
      <c r="CK172" s="1332"/>
      <c r="CL172" s="1330"/>
      <c r="CM172" s="1330"/>
      <c r="CN172" s="1330"/>
      <c r="CO172" s="1330"/>
      <c r="CP172" s="1332"/>
      <c r="CQ172" s="1330"/>
      <c r="CR172" s="1330"/>
      <c r="CS172" s="1330"/>
      <c r="CT172" s="1330"/>
      <c r="CU172" s="1332"/>
      <c r="CV172" s="1330"/>
      <c r="CW172" s="1330"/>
      <c r="CX172" s="1330"/>
      <c r="CY172" s="1330"/>
      <c r="CZ172" s="1332"/>
      <c r="DA172" s="1330"/>
      <c r="DB172" s="1330"/>
      <c r="DC172" s="1330"/>
      <c r="DD172" s="1330"/>
      <c r="DE172" s="1332"/>
      <c r="DF172" s="1330"/>
      <c r="DG172" s="1330"/>
      <c r="DH172" s="1330"/>
      <c r="DI172" s="1330"/>
      <c r="DJ172" s="1332"/>
      <c r="DK172" s="1330"/>
      <c r="DL172" s="1330"/>
      <c r="DM172" s="1330"/>
      <c r="DN172" s="1330"/>
      <c r="DO172" s="1332"/>
      <c r="DP172" s="1330"/>
      <c r="DQ172" s="1330"/>
      <c r="DR172" s="1330"/>
      <c r="DS172" s="1330"/>
      <c r="DT172" s="1332"/>
      <c r="DU172" s="1330"/>
      <c r="DV172" s="1330"/>
      <c r="DW172" s="1330"/>
      <c r="DX172" s="1330"/>
      <c r="DY172" s="1332"/>
    </row>
    <row r="173" spans="1:129" x14ac:dyDescent="0.2">
      <c r="A173" s="532"/>
      <c r="B173" s="1287" t="s">
        <v>1149</v>
      </c>
      <c r="C173" s="650"/>
      <c r="D173" s="650"/>
      <c r="E173" s="650"/>
      <c r="F173" s="650"/>
      <c r="G173" s="650"/>
      <c r="H173" s="650"/>
      <c r="I173" s="650"/>
      <c r="J173" s="650"/>
      <c r="K173" s="650"/>
      <c r="L173" s="650"/>
      <c r="M173" s="650"/>
      <c r="N173" s="650"/>
      <c r="O173" s="650"/>
      <c r="P173" s="650"/>
      <c r="Q173" s="650"/>
      <c r="R173" s="650"/>
      <c r="S173" s="650"/>
      <c r="T173" s="650"/>
      <c r="U173" s="650"/>
      <c r="V173" s="650"/>
      <c r="W173" s="650"/>
      <c r="X173" s="1288"/>
      <c r="Y173" s="650"/>
      <c r="Z173" s="650"/>
      <c r="AA173" s="650"/>
      <c r="AB173" s="650"/>
      <c r="AC173" s="1288"/>
      <c r="AD173" s="650"/>
      <c r="AE173" s="650"/>
      <c r="AF173" s="650"/>
      <c r="AG173" s="650"/>
      <c r="AH173" s="1288"/>
      <c r="AI173" s="650"/>
      <c r="AJ173" s="650"/>
      <c r="AK173" s="650"/>
      <c r="AL173" s="650"/>
      <c r="AM173" s="1288"/>
      <c r="AN173" s="650"/>
      <c r="AO173" s="650"/>
      <c r="AP173" s="650"/>
      <c r="AQ173" s="650"/>
      <c r="AR173" s="1288"/>
      <c r="AS173" s="650"/>
      <c r="AT173" s="650"/>
      <c r="AU173" s="650"/>
      <c r="AV173" s="650"/>
      <c r="AW173" s="1288"/>
      <c r="AX173" s="650"/>
      <c r="AY173" s="650"/>
      <c r="AZ173" s="650"/>
      <c r="BA173" s="650"/>
      <c r="BB173" s="1288"/>
      <c r="BC173" s="650"/>
      <c r="BD173" s="650"/>
      <c r="BE173" s="650"/>
      <c r="BF173" s="650"/>
      <c r="BG173" s="1288"/>
      <c r="BH173" s="650"/>
      <c r="BI173" s="650"/>
      <c r="BJ173" s="650"/>
      <c r="BK173" s="650"/>
      <c r="BL173" s="583"/>
      <c r="BM173" s="650"/>
      <c r="BN173" s="650"/>
      <c r="BO173" s="650"/>
      <c r="BP173" s="650"/>
      <c r="BQ173" s="583"/>
      <c r="BR173" s="650"/>
      <c r="BS173" s="650"/>
      <c r="BT173" s="650"/>
      <c r="BU173" s="650"/>
      <c r="BV173" s="583"/>
      <c r="BW173" s="650"/>
      <c r="BX173" s="650"/>
      <c r="BY173" s="650"/>
      <c r="BZ173" s="650"/>
      <c r="CA173" s="583"/>
      <c r="CB173" s="650"/>
      <c r="CC173" s="650"/>
      <c r="CD173" s="650"/>
      <c r="CE173" s="650"/>
      <c r="CF173" s="583"/>
      <c r="CG173" s="650"/>
      <c r="CH173" s="650"/>
      <c r="CI173" s="650"/>
      <c r="CJ173" s="650"/>
      <c r="CK173" s="583"/>
      <c r="CL173" s="650"/>
      <c r="CM173" s="650"/>
      <c r="CN173" s="650"/>
      <c r="CO173" s="650"/>
      <c r="CP173" s="583"/>
      <c r="CQ173" s="650"/>
      <c r="CR173" s="650"/>
      <c r="CS173" s="650"/>
      <c r="CT173" s="650"/>
      <c r="CU173" s="583"/>
      <c r="CV173" s="650"/>
      <c r="CW173" s="650"/>
      <c r="CX173" s="650"/>
      <c r="CY173" s="650"/>
      <c r="CZ173" s="583"/>
      <c r="DA173" s="650"/>
      <c r="DB173" s="650"/>
      <c r="DC173" s="650"/>
      <c r="DD173" s="650"/>
      <c r="DE173" s="583"/>
      <c r="DF173" s="650"/>
      <c r="DG173" s="650"/>
      <c r="DH173" s="650"/>
      <c r="DI173" s="650"/>
      <c r="DJ173" s="583"/>
      <c r="DK173" s="650"/>
      <c r="DL173" s="650"/>
      <c r="DM173" s="650"/>
      <c r="DN173" s="650"/>
      <c r="DO173" s="583"/>
      <c r="DP173" s="650"/>
      <c r="DQ173" s="650"/>
      <c r="DR173" s="650"/>
      <c r="DS173" s="650"/>
      <c r="DT173" s="583"/>
      <c r="DU173" s="650"/>
      <c r="DV173" s="650"/>
      <c r="DW173" s="650"/>
      <c r="DX173" s="650"/>
      <c r="DY173" s="583"/>
    </row>
    <row r="174" spans="1:129" x14ac:dyDescent="0.2">
      <c r="A174" s="532"/>
      <c r="B174" s="1287" t="s">
        <v>1150</v>
      </c>
      <c r="C174" s="650"/>
      <c r="D174" s="650"/>
      <c r="E174" s="650"/>
      <c r="F174" s="650"/>
      <c r="G174" s="650"/>
      <c r="H174" s="650"/>
      <c r="I174" s="650"/>
      <c r="J174" s="650"/>
      <c r="K174" s="650"/>
      <c r="L174" s="650"/>
      <c r="M174" s="650"/>
      <c r="N174" s="650"/>
      <c r="O174" s="650"/>
      <c r="P174" s="650"/>
      <c r="Q174" s="650"/>
      <c r="R174" s="650"/>
      <c r="S174" s="650"/>
      <c r="T174" s="650"/>
      <c r="U174" s="650"/>
      <c r="V174" s="650"/>
      <c r="W174" s="650"/>
      <c r="X174" s="1288"/>
      <c r="Y174" s="650"/>
      <c r="Z174" s="650"/>
      <c r="AA174" s="650"/>
      <c r="AB174" s="650"/>
      <c r="AC174" s="1288"/>
      <c r="AD174" s="650"/>
      <c r="AE174" s="650"/>
      <c r="AF174" s="650"/>
      <c r="AG174" s="650"/>
      <c r="AH174" s="1288"/>
      <c r="AI174" s="650"/>
      <c r="AJ174" s="650"/>
      <c r="AK174" s="650"/>
      <c r="AL174" s="650"/>
      <c r="AM174" s="1288"/>
      <c r="AN174" s="650"/>
      <c r="AO174" s="650"/>
      <c r="AP174" s="650"/>
      <c r="AQ174" s="650"/>
      <c r="AR174" s="1288"/>
      <c r="AS174" s="650"/>
      <c r="AT174" s="650"/>
      <c r="AU174" s="650"/>
      <c r="AV174" s="650"/>
      <c r="AW174" s="1288"/>
      <c r="AX174" s="650"/>
      <c r="AY174" s="650"/>
      <c r="AZ174" s="650"/>
      <c r="BA174" s="650"/>
      <c r="BB174" s="1288"/>
      <c r="BC174" s="650"/>
      <c r="BD174" s="650"/>
      <c r="BE174" s="650"/>
      <c r="BF174" s="650"/>
      <c r="BG174" s="1289"/>
      <c r="BH174" s="650"/>
      <c r="BI174" s="650"/>
      <c r="BJ174" s="650"/>
      <c r="BK174" s="650"/>
      <c r="BL174" s="1333">
        <v>6.1249999999999999E-2</v>
      </c>
      <c r="BM174" s="650"/>
      <c r="BN174" s="650"/>
      <c r="BO174" s="650"/>
      <c r="BP174" s="650"/>
      <c r="BQ174" s="1333">
        <v>6.1249999999999999E-2</v>
      </c>
      <c r="BR174" s="650"/>
      <c r="BS174" s="650"/>
      <c r="BT174" s="650"/>
      <c r="BU174" s="650"/>
      <c r="BV174" s="1333">
        <v>6.1249999999999999E-2</v>
      </c>
      <c r="BW174" s="650"/>
      <c r="BX174" s="650"/>
      <c r="BY174" s="650"/>
      <c r="BZ174" s="650"/>
      <c r="CA174" s="1333">
        <v>6.1249999999999999E-2</v>
      </c>
      <c r="CB174" s="1334">
        <v>6.1249999999999999E-2</v>
      </c>
      <c r="CC174" s="1334">
        <v>6.1249999999999999E-2</v>
      </c>
      <c r="CD174" s="1334">
        <v>6.1249999999999999E-2</v>
      </c>
      <c r="CE174" s="1334">
        <v>6.1249999999999999E-2</v>
      </c>
      <c r="CF174" s="1333"/>
      <c r="CG174" s="1334">
        <f>CE174</f>
        <v>6.1249999999999999E-2</v>
      </c>
      <c r="CH174" s="1334">
        <f>CG174</f>
        <v>6.1249999999999999E-2</v>
      </c>
      <c r="CI174" s="1334">
        <f>CH174</f>
        <v>6.1249999999999999E-2</v>
      </c>
      <c r="CJ174" s="1334">
        <f>CI174</f>
        <v>6.1249999999999999E-2</v>
      </c>
      <c r="CK174" s="1333"/>
      <c r="CL174" s="1334">
        <f>CJ174</f>
        <v>6.1249999999999999E-2</v>
      </c>
      <c r="CM174" s="1334">
        <f>CL174</f>
        <v>6.1249999999999999E-2</v>
      </c>
      <c r="CN174" s="1334">
        <f>CM174</f>
        <v>6.1249999999999999E-2</v>
      </c>
      <c r="CO174" s="1334">
        <f>CN174</f>
        <v>6.1249999999999999E-2</v>
      </c>
      <c r="CP174" s="1333"/>
      <c r="CQ174" s="1334">
        <f>CO174</f>
        <v>6.1249999999999999E-2</v>
      </c>
      <c r="CR174" s="1334">
        <f>CQ174</f>
        <v>6.1249999999999999E-2</v>
      </c>
      <c r="CS174" s="1334">
        <f>CR174</f>
        <v>6.1249999999999999E-2</v>
      </c>
      <c r="CT174" s="1334">
        <f>CS174</f>
        <v>6.1249999999999999E-2</v>
      </c>
      <c r="CU174" s="1333"/>
      <c r="CV174" s="1334">
        <f>CT174</f>
        <v>6.1249999999999999E-2</v>
      </c>
      <c r="CW174" s="1334">
        <f>CV174</f>
        <v>6.1249999999999999E-2</v>
      </c>
      <c r="CX174" s="1334">
        <f>CW174</f>
        <v>6.1249999999999999E-2</v>
      </c>
      <c r="CY174" s="1334">
        <f>CX174</f>
        <v>6.1249999999999999E-2</v>
      </c>
      <c r="CZ174" s="1333"/>
      <c r="DA174" s="1334">
        <f>CY174</f>
        <v>6.1249999999999999E-2</v>
      </c>
      <c r="DB174" s="1334">
        <f>DA174</f>
        <v>6.1249999999999999E-2</v>
      </c>
      <c r="DC174" s="1334">
        <f>DB174</f>
        <v>6.1249999999999999E-2</v>
      </c>
      <c r="DD174" s="1334">
        <f>DC174</f>
        <v>6.1249999999999999E-2</v>
      </c>
      <c r="DE174" s="1333"/>
      <c r="DF174" s="1334">
        <f>DD174</f>
        <v>6.1249999999999999E-2</v>
      </c>
      <c r="DG174" s="1334">
        <f>DF174</f>
        <v>6.1249999999999999E-2</v>
      </c>
      <c r="DH174" s="1334">
        <f>DG174</f>
        <v>6.1249999999999999E-2</v>
      </c>
      <c r="DI174" s="1334">
        <f>DH174</f>
        <v>6.1249999999999999E-2</v>
      </c>
      <c r="DJ174" s="1333"/>
      <c r="DK174" s="1334">
        <f>DI174</f>
        <v>6.1249999999999999E-2</v>
      </c>
      <c r="DL174" s="1334">
        <f>DK174</f>
        <v>6.1249999999999999E-2</v>
      </c>
      <c r="DM174" s="1334">
        <f>DL174</f>
        <v>6.1249999999999999E-2</v>
      </c>
      <c r="DN174" s="1334">
        <f>DM174</f>
        <v>6.1249999999999999E-2</v>
      </c>
      <c r="DO174" s="1333"/>
      <c r="DP174" s="1334">
        <f>DN174</f>
        <v>6.1249999999999999E-2</v>
      </c>
      <c r="DQ174" s="1334">
        <f>DP174</f>
        <v>6.1249999999999999E-2</v>
      </c>
      <c r="DR174" s="1334">
        <f>DQ174</f>
        <v>6.1249999999999999E-2</v>
      </c>
      <c r="DS174" s="1334">
        <f>DR174</f>
        <v>6.1249999999999999E-2</v>
      </c>
      <c r="DT174" s="1333"/>
      <c r="DU174" s="1334">
        <f>DS174</f>
        <v>6.1249999999999999E-2</v>
      </c>
      <c r="DV174" s="1334">
        <f>DU174</f>
        <v>6.1249999999999999E-2</v>
      </c>
      <c r="DW174" s="1334">
        <f>DV174</f>
        <v>6.1249999999999999E-2</v>
      </c>
      <c r="DX174" s="1334">
        <f>DW174</f>
        <v>6.1249999999999999E-2</v>
      </c>
      <c r="DY174" s="1333"/>
    </row>
    <row r="175" spans="1:129" x14ac:dyDescent="0.2">
      <c r="A175" s="1223"/>
      <c r="B175" s="1190" t="s">
        <v>1151</v>
      </c>
      <c r="C175" s="1293"/>
      <c r="D175" s="1293"/>
      <c r="E175" s="1293"/>
      <c r="F175" s="1293"/>
      <c r="G175" s="1293"/>
      <c r="H175" s="1293"/>
      <c r="I175" s="1293"/>
      <c r="J175" s="1293"/>
      <c r="K175" s="1293"/>
      <c r="L175" s="1293"/>
      <c r="M175" s="1293"/>
      <c r="N175" s="1293"/>
      <c r="O175" s="1293"/>
      <c r="P175" s="1293"/>
      <c r="Q175" s="1293"/>
      <c r="R175" s="1293"/>
      <c r="S175" s="1293"/>
      <c r="T175" s="1293"/>
      <c r="U175" s="1293"/>
      <c r="V175" s="1293"/>
      <c r="W175" s="1293"/>
      <c r="X175" s="1227"/>
      <c r="Y175" s="1231"/>
      <c r="Z175" s="1231"/>
      <c r="AA175" s="1231"/>
      <c r="AB175" s="1294"/>
      <c r="AC175" s="1227"/>
      <c r="AD175" s="1231"/>
      <c r="AE175" s="1231"/>
      <c r="AF175" s="1231"/>
      <c r="AG175" s="1294"/>
      <c r="AH175" s="1227"/>
      <c r="AI175" s="1231"/>
      <c r="AJ175" s="1231"/>
      <c r="AK175" s="1231"/>
      <c r="AL175" s="1294"/>
      <c r="AM175" s="1227"/>
      <c r="AN175" s="1231"/>
      <c r="AO175" s="1231"/>
      <c r="AP175" s="1231"/>
      <c r="AQ175" s="1294"/>
      <c r="AR175" s="1227"/>
      <c r="AS175" s="1231"/>
      <c r="AT175" s="1231"/>
      <c r="AU175" s="1231"/>
      <c r="AV175" s="1294"/>
      <c r="AW175" s="1227"/>
      <c r="AX175" s="1231"/>
      <c r="AY175" s="1231"/>
      <c r="AZ175" s="1231"/>
      <c r="BA175" s="1231"/>
      <c r="BB175" s="1227"/>
      <c r="BC175" s="1231"/>
      <c r="BD175" s="1231"/>
      <c r="BE175" s="1231"/>
      <c r="BF175" s="1231"/>
      <c r="BG175" s="1227"/>
      <c r="BH175" s="1231"/>
      <c r="BI175" s="1231"/>
      <c r="BJ175" s="1231"/>
      <c r="BK175" s="1231"/>
      <c r="BL175" s="1326"/>
      <c r="BM175" s="1231"/>
      <c r="BN175" s="1231"/>
      <c r="BO175" s="1231"/>
      <c r="BP175" s="1231"/>
      <c r="BQ175" s="1326"/>
      <c r="BR175" s="1231"/>
      <c r="BS175" s="1231"/>
      <c r="BT175" s="1231"/>
      <c r="BU175" s="1231"/>
      <c r="BV175" s="1326"/>
      <c r="BW175" s="1231"/>
      <c r="BX175" s="1231"/>
      <c r="BY175" s="1231"/>
      <c r="BZ175" s="1231"/>
      <c r="CA175" s="1326"/>
      <c r="CB175" s="1231"/>
      <c r="CC175" s="1231"/>
      <c r="CD175" s="1231"/>
      <c r="CE175" s="1231"/>
      <c r="CF175" s="1326"/>
      <c r="CG175" s="1231"/>
      <c r="CH175" s="1231"/>
      <c r="CI175" s="1231"/>
      <c r="CJ175" s="1231"/>
      <c r="CK175" s="1326"/>
      <c r="CL175" s="1231"/>
      <c r="CM175" s="1231"/>
      <c r="CN175" s="1231"/>
      <c r="CO175" s="1231"/>
      <c r="CP175" s="1326"/>
      <c r="CQ175" s="1231"/>
      <c r="CR175" s="1231"/>
      <c r="CS175" s="1231"/>
      <c r="CT175" s="1231"/>
      <c r="CU175" s="1326"/>
      <c r="CV175" s="1231"/>
      <c r="CW175" s="1231"/>
      <c r="CX175" s="1231"/>
      <c r="CY175" s="1231"/>
      <c r="CZ175" s="1326"/>
      <c r="DA175" s="1231"/>
      <c r="DB175" s="1231"/>
      <c r="DC175" s="1231"/>
      <c r="DD175" s="1231"/>
      <c r="DE175" s="1326"/>
      <c r="DF175" s="1231"/>
      <c r="DG175" s="1231"/>
      <c r="DH175" s="1231"/>
      <c r="DI175" s="1231"/>
      <c r="DJ175" s="1326"/>
      <c r="DK175" s="1231"/>
      <c r="DL175" s="1231"/>
      <c r="DM175" s="1231"/>
      <c r="DN175" s="1231"/>
      <c r="DO175" s="1326"/>
      <c r="DP175" s="1231"/>
      <c r="DQ175" s="1231"/>
      <c r="DR175" s="1231"/>
      <c r="DS175" s="1231"/>
      <c r="DT175" s="1326"/>
      <c r="DU175" s="1231"/>
      <c r="DV175" s="1231"/>
      <c r="DW175" s="1231"/>
      <c r="DX175" s="1231"/>
      <c r="DY175" s="1326"/>
    </row>
    <row r="176" spans="1:129" x14ac:dyDescent="0.2">
      <c r="A176" s="1223"/>
      <c r="B176" s="1190" t="s">
        <v>1152</v>
      </c>
      <c r="C176" s="1231"/>
      <c r="D176" s="1231"/>
      <c r="E176" s="1231"/>
      <c r="F176" s="1231"/>
      <c r="G176" s="1231"/>
      <c r="H176" s="1231"/>
      <c r="I176" s="1231"/>
      <c r="J176" s="1231"/>
      <c r="K176" s="1231"/>
      <c r="L176" s="1231"/>
      <c r="M176" s="1231"/>
      <c r="N176" s="1231"/>
      <c r="O176" s="1231"/>
      <c r="P176" s="1231"/>
      <c r="Q176" s="1231"/>
      <c r="R176" s="1231"/>
      <c r="S176" s="1231"/>
      <c r="T176" s="1231"/>
      <c r="U176" s="1231"/>
      <c r="V176" s="1231"/>
      <c r="W176" s="1231"/>
      <c r="X176" s="1227"/>
      <c r="Y176" s="1231"/>
      <c r="Z176" s="1231"/>
      <c r="AA176" s="1231"/>
      <c r="AB176" s="1231"/>
      <c r="AC176" s="1227"/>
      <c r="AD176" s="1231"/>
      <c r="AE176" s="1231"/>
      <c r="AF176" s="1231"/>
      <c r="AG176" s="1231"/>
      <c r="AH176" s="1227"/>
      <c r="AI176" s="1231"/>
      <c r="AJ176" s="1231"/>
      <c r="AK176" s="1231"/>
      <c r="AL176" s="1231"/>
      <c r="AM176" s="1227"/>
      <c r="AN176" s="1231"/>
      <c r="AO176" s="1231"/>
      <c r="AP176" s="1231"/>
      <c r="AQ176" s="1231"/>
      <c r="AR176" s="1227"/>
      <c r="AS176" s="1231"/>
      <c r="AT176" s="1231"/>
      <c r="AU176" s="1231"/>
      <c r="AV176" s="1231"/>
      <c r="AW176" s="1227"/>
      <c r="AX176" s="1231"/>
      <c r="AY176" s="1231"/>
      <c r="AZ176" s="1231"/>
      <c r="BA176" s="1231"/>
      <c r="BB176" s="1227"/>
      <c r="BC176" s="1231"/>
      <c r="BD176" s="1231"/>
      <c r="BE176" s="1231"/>
      <c r="BF176" s="1231"/>
      <c r="BG176" s="1227"/>
      <c r="BH176" s="1231"/>
      <c r="BI176" s="1231"/>
      <c r="BJ176" s="1231"/>
      <c r="BK176" s="1231"/>
      <c r="BL176" s="1326"/>
      <c r="BM176" s="1231"/>
      <c r="BN176" s="1231"/>
      <c r="BO176" s="1231"/>
      <c r="BP176" s="1231"/>
      <c r="BQ176" s="1326">
        <f>BL178</f>
        <v>700</v>
      </c>
      <c r="BR176" s="1231"/>
      <c r="BS176" s="1231"/>
      <c r="BT176" s="1231"/>
      <c r="BU176" s="1231"/>
      <c r="BV176" s="1326">
        <f>BQ178</f>
        <v>700</v>
      </c>
      <c r="BW176" s="1231"/>
      <c r="BX176" s="1231"/>
      <c r="BY176" s="1231"/>
      <c r="BZ176" s="1231"/>
      <c r="CA176" s="1326">
        <f>BV178</f>
        <v>700</v>
      </c>
      <c r="CB176" s="1223">
        <f>CA178</f>
        <v>700</v>
      </c>
      <c r="CC176" s="1223">
        <f>+CB178</f>
        <v>700</v>
      </c>
      <c r="CD176" s="1223">
        <f>+CC178</f>
        <v>700</v>
      </c>
      <c r="CE176" s="1223">
        <f>+CD178</f>
        <v>700</v>
      </c>
      <c r="CF176" s="1326">
        <f>CA178</f>
        <v>700</v>
      </c>
      <c r="CG176" s="1223">
        <f>+CE178</f>
        <v>700</v>
      </c>
      <c r="CH176" s="1223">
        <f>+CG178</f>
        <v>700</v>
      </c>
      <c r="CI176" s="1223">
        <f>+CH178</f>
        <v>700</v>
      </c>
      <c r="CJ176" s="1223">
        <f>+CI178</f>
        <v>700</v>
      </c>
      <c r="CK176" s="1326">
        <f>CF178</f>
        <v>700</v>
      </c>
      <c r="CL176" s="1223">
        <f>+CJ178</f>
        <v>421</v>
      </c>
      <c r="CM176" s="1223">
        <f>+CL178</f>
        <v>421</v>
      </c>
      <c r="CN176" s="1223">
        <f>+CM178</f>
        <v>421</v>
      </c>
      <c r="CO176" s="1223">
        <f>+CN178</f>
        <v>421</v>
      </c>
      <c r="CP176" s="1326">
        <f>CK178</f>
        <v>421</v>
      </c>
      <c r="CQ176" s="1223">
        <f>+CO176</f>
        <v>421</v>
      </c>
      <c r="CR176" s="1223">
        <f>+CQ178</f>
        <v>421</v>
      </c>
      <c r="CS176" s="1223">
        <f>+CR178</f>
        <v>421</v>
      </c>
      <c r="CT176" s="1223">
        <f>+CS178</f>
        <v>421</v>
      </c>
      <c r="CU176" s="1326">
        <f>CP178</f>
        <v>421</v>
      </c>
      <c r="CV176" s="1223">
        <f>+CT176</f>
        <v>421</v>
      </c>
      <c r="CW176" s="1223">
        <f>+CV178</f>
        <v>421</v>
      </c>
      <c r="CX176" s="1223">
        <f>+CW178</f>
        <v>421</v>
      </c>
      <c r="CY176" s="1223">
        <f>+CX178</f>
        <v>421</v>
      </c>
      <c r="CZ176" s="1326">
        <f>CU178</f>
        <v>421</v>
      </c>
      <c r="DA176" s="1223">
        <f>+CY176</f>
        <v>421</v>
      </c>
      <c r="DB176" s="1223">
        <f>+DA178</f>
        <v>421</v>
      </c>
      <c r="DC176" s="1223">
        <f>+DB178</f>
        <v>421</v>
      </c>
      <c r="DD176" s="1223">
        <f>+DC178</f>
        <v>0</v>
      </c>
      <c r="DE176" s="1326">
        <f>CZ178</f>
        <v>421</v>
      </c>
      <c r="DF176" s="1223">
        <f>+DD176</f>
        <v>0</v>
      </c>
      <c r="DG176" s="1223">
        <f>+DF178</f>
        <v>0</v>
      </c>
      <c r="DH176" s="1223">
        <f>+DG178</f>
        <v>0</v>
      </c>
      <c r="DI176" s="1223">
        <f>+DH178</f>
        <v>0</v>
      </c>
      <c r="DJ176" s="1326">
        <f>DE178</f>
        <v>0</v>
      </c>
      <c r="DK176" s="1223">
        <f>+DI176</f>
        <v>0</v>
      </c>
      <c r="DL176" s="1223">
        <f>+DK178</f>
        <v>0</v>
      </c>
      <c r="DM176" s="1223">
        <f>+DL178</f>
        <v>0</v>
      </c>
      <c r="DN176" s="1223">
        <f>+DM178</f>
        <v>0</v>
      </c>
      <c r="DO176" s="1326">
        <f>DJ178</f>
        <v>0</v>
      </c>
      <c r="DP176" s="1223">
        <f>+DN176</f>
        <v>0</v>
      </c>
      <c r="DQ176" s="1223">
        <f>+DP178</f>
        <v>0</v>
      </c>
      <c r="DR176" s="1223">
        <f>+DQ178</f>
        <v>0</v>
      </c>
      <c r="DS176" s="1223">
        <f>+DR178</f>
        <v>0</v>
      </c>
      <c r="DT176" s="1326">
        <f>DO178</f>
        <v>0</v>
      </c>
      <c r="DU176" s="1223">
        <f>+DS176</f>
        <v>0</v>
      </c>
      <c r="DV176" s="1223">
        <f>+DU178</f>
        <v>0</v>
      </c>
      <c r="DW176" s="1223">
        <f>+DV178</f>
        <v>0</v>
      </c>
      <c r="DX176" s="1223">
        <f>+DW178</f>
        <v>0</v>
      </c>
      <c r="DY176" s="1326">
        <f>DT178</f>
        <v>0</v>
      </c>
    </row>
    <row r="177" spans="1:129" x14ac:dyDescent="0.2">
      <c r="A177" s="1295"/>
      <c r="B177" s="1190" t="s">
        <v>1153</v>
      </c>
      <c r="C177" s="1182"/>
      <c r="D177" s="1182"/>
      <c r="E177" s="1182"/>
      <c r="F177" s="1182"/>
      <c r="G177" s="1182"/>
      <c r="H177" s="1182"/>
      <c r="I177" s="1182"/>
      <c r="J177" s="1182"/>
      <c r="K177" s="1182"/>
      <c r="L177" s="1182"/>
      <c r="M177" s="1182"/>
      <c r="N177" s="1182"/>
      <c r="O177" s="1182"/>
      <c r="P177" s="1182"/>
      <c r="Q177" s="1182"/>
      <c r="R177" s="1182"/>
      <c r="S177" s="1182"/>
      <c r="T177" s="1182"/>
      <c r="U177" s="1182"/>
      <c r="V177" s="1182"/>
      <c r="W177" s="1182"/>
      <c r="X177" s="1296"/>
      <c r="Y177" s="1297"/>
      <c r="Z177" s="1297"/>
      <c r="AA177" s="1297"/>
      <c r="AB177" s="1297"/>
      <c r="AC177" s="1296"/>
      <c r="AD177" s="1297"/>
      <c r="AE177" s="1297"/>
      <c r="AF177" s="1297"/>
      <c r="AG177" s="1297"/>
      <c r="AH177" s="1296"/>
      <c r="AI177" s="1297"/>
      <c r="AJ177" s="1297"/>
      <c r="AK177" s="1297"/>
      <c r="AL177" s="1297"/>
      <c r="AM177" s="1296"/>
      <c r="AN177" s="1297"/>
      <c r="AO177" s="1297"/>
      <c r="AP177" s="1297"/>
      <c r="AQ177" s="1297"/>
      <c r="AR177" s="1296"/>
      <c r="AS177" s="1297"/>
      <c r="AT177" s="1297"/>
      <c r="AU177" s="1297"/>
      <c r="AV177" s="1297"/>
      <c r="AW177" s="1296"/>
      <c r="AX177" s="1298"/>
      <c r="AY177" s="1299"/>
      <c r="AZ177" s="1299"/>
      <c r="BA177" s="1298"/>
      <c r="BB177" s="1300"/>
      <c r="BC177" s="1298"/>
      <c r="BD177" s="1298"/>
      <c r="BE177" s="1298"/>
      <c r="BF177" s="1298"/>
      <c r="BG177" s="1296"/>
      <c r="BH177" s="1298"/>
      <c r="BI177" s="1298"/>
      <c r="BJ177" s="1298"/>
      <c r="BK177" s="1298"/>
      <c r="BL177" s="1335"/>
      <c r="BM177" s="1298"/>
      <c r="BN177" s="1298"/>
      <c r="BO177" s="1298"/>
      <c r="BP177" s="1298"/>
      <c r="BQ177" s="1335">
        <f>BQ178-BQ176</f>
        <v>0</v>
      </c>
      <c r="BR177" s="1298"/>
      <c r="BS177" s="1298"/>
      <c r="BT177" s="1298"/>
      <c r="BU177" s="1298"/>
      <c r="BV177" s="1335">
        <f>BV178-BV176</f>
        <v>0</v>
      </c>
      <c r="BW177" s="1298"/>
      <c r="BX177" s="1298"/>
      <c r="BY177" s="1298"/>
      <c r="BZ177" s="1298"/>
      <c r="CA177" s="1335">
        <f>CA178-CA176</f>
        <v>0</v>
      </c>
      <c r="CB177" s="1336">
        <f>CB178-CB176</f>
        <v>0</v>
      </c>
      <c r="CC177" s="1336">
        <f>CC178-CC176</f>
        <v>0</v>
      </c>
      <c r="CD177" s="1298">
        <v>0</v>
      </c>
      <c r="CE177" s="1298">
        <v>0</v>
      </c>
      <c r="CF177" s="1335">
        <f>+SUM(CB177:CE177)</f>
        <v>0</v>
      </c>
      <c r="CG177" s="1298">
        <v>0</v>
      </c>
      <c r="CH177" s="1298">
        <v>0</v>
      </c>
      <c r="CI177" s="1298">
        <v>0</v>
      </c>
      <c r="CJ177" s="1298">
        <v>-279</v>
      </c>
      <c r="CK177" s="1335">
        <f>+SUM(CG177:CJ177)</f>
        <v>-279</v>
      </c>
      <c r="CL177" s="1298">
        <v>0</v>
      </c>
      <c r="CM177" s="1298">
        <v>0</v>
      </c>
      <c r="CN177" s="1298">
        <v>0</v>
      </c>
      <c r="CO177" s="1298">
        <v>0</v>
      </c>
      <c r="CP177" s="1335">
        <f>+SUM(CL177:CO177)</f>
        <v>0</v>
      </c>
      <c r="CQ177" s="1298">
        <v>0</v>
      </c>
      <c r="CR177" s="1298">
        <v>0</v>
      </c>
      <c r="CS177" s="1298">
        <v>0</v>
      </c>
      <c r="CT177" s="1298">
        <v>0</v>
      </c>
      <c r="CU177" s="1335">
        <f>+SUM(CQ177:CT177)</f>
        <v>0</v>
      </c>
      <c r="CV177" s="1298">
        <v>0</v>
      </c>
      <c r="CW177" s="1298">
        <v>0</v>
      </c>
      <c r="CX177" s="1298">
        <v>0</v>
      </c>
      <c r="CY177" s="1298">
        <v>0</v>
      </c>
      <c r="CZ177" s="1335">
        <f>+SUM(CV177:CY177)</f>
        <v>0</v>
      </c>
      <c r="DA177" s="1298">
        <v>0</v>
      </c>
      <c r="DB177" s="1298">
        <v>0</v>
      </c>
      <c r="DC177" s="1298">
        <v>-421</v>
      </c>
      <c r="DD177" s="1298">
        <v>0</v>
      </c>
      <c r="DE177" s="1335">
        <f>+SUM(DA177:DD177)</f>
        <v>-421</v>
      </c>
      <c r="DF177" s="1298">
        <v>0</v>
      </c>
      <c r="DG177" s="1298">
        <v>0</v>
      </c>
      <c r="DH177" s="1298">
        <v>0</v>
      </c>
      <c r="DI177" s="1298">
        <v>0</v>
      </c>
      <c r="DJ177" s="1335">
        <f>+SUM(DF177:DI177)</f>
        <v>0</v>
      </c>
      <c r="DK177" s="1298">
        <v>0</v>
      </c>
      <c r="DL177" s="1298">
        <v>0</v>
      </c>
      <c r="DM177" s="1298">
        <v>0</v>
      </c>
      <c r="DN177" s="1298">
        <v>0</v>
      </c>
      <c r="DO177" s="1335">
        <f>+SUM(DK177:DN177)</f>
        <v>0</v>
      </c>
      <c r="DP177" s="1298">
        <v>0</v>
      </c>
      <c r="DQ177" s="1298">
        <v>0</v>
      </c>
      <c r="DR177" s="1298">
        <v>0</v>
      </c>
      <c r="DS177" s="1298">
        <v>0</v>
      </c>
      <c r="DT177" s="1335">
        <f>+SUM(DP177:DS177)</f>
        <v>0</v>
      </c>
      <c r="DU177" s="1298">
        <v>0</v>
      </c>
      <c r="DV177" s="1298">
        <v>0</v>
      </c>
      <c r="DW177" s="1298">
        <v>0</v>
      </c>
      <c r="DX177" s="1298">
        <v>0</v>
      </c>
      <c r="DY177" s="1335">
        <f>+SUM(DU177:DX177)</f>
        <v>0</v>
      </c>
    </row>
    <row r="178" spans="1:129" x14ac:dyDescent="0.2">
      <c r="A178" s="1295"/>
      <c r="B178" s="1190" t="s">
        <v>1154</v>
      </c>
      <c r="C178" s="1182"/>
      <c r="D178" s="1182"/>
      <c r="E178" s="1182"/>
      <c r="F178" s="1182"/>
      <c r="G178" s="1182"/>
      <c r="H178" s="1182"/>
      <c r="I178" s="1182"/>
      <c r="J178" s="1182"/>
      <c r="K178" s="1182"/>
      <c r="L178" s="1182"/>
      <c r="M178" s="1182"/>
      <c r="N178" s="1182"/>
      <c r="O178" s="1182"/>
      <c r="P178" s="1182"/>
      <c r="Q178" s="1182"/>
      <c r="R178" s="1182"/>
      <c r="S178" s="1182"/>
      <c r="T178" s="1182"/>
      <c r="U178" s="1182"/>
      <c r="V178" s="1182"/>
      <c r="W178" s="1182"/>
      <c r="X178" s="1304"/>
      <c r="Y178" s="1305"/>
      <c r="Z178" s="1305"/>
      <c r="AA178" s="1305"/>
      <c r="AB178" s="1305"/>
      <c r="AC178" s="1304"/>
      <c r="AD178" s="1305"/>
      <c r="AE178" s="1305"/>
      <c r="AF178" s="1305"/>
      <c r="AG178" s="1305"/>
      <c r="AH178" s="1304"/>
      <c r="AI178" s="1305"/>
      <c r="AJ178" s="1305"/>
      <c r="AK178" s="1305"/>
      <c r="AL178" s="1305"/>
      <c r="AM178" s="1304"/>
      <c r="AN178" s="1305"/>
      <c r="AO178" s="1305"/>
      <c r="AP178" s="1305"/>
      <c r="AQ178" s="1305"/>
      <c r="AR178" s="1304"/>
      <c r="AS178" s="1305"/>
      <c r="AT178" s="1305"/>
      <c r="AU178" s="1305"/>
      <c r="AV178" s="1305"/>
      <c r="AW178" s="1304"/>
      <c r="AX178" s="1305"/>
      <c r="AY178" s="1305"/>
      <c r="AZ178" s="1305"/>
      <c r="BA178" s="1305"/>
      <c r="BB178" s="1304"/>
      <c r="BC178" s="1305"/>
      <c r="BD178" s="1305"/>
      <c r="BE178" s="1305"/>
      <c r="BF178" s="1305"/>
      <c r="BG178" s="1306"/>
      <c r="BH178" s="1305"/>
      <c r="BI178" s="1305"/>
      <c r="BJ178" s="1305"/>
      <c r="BK178" s="1305"/>
      <c r="BL178" s="1337">
        <v>700</v>
      </c>
      <c r="BM178" s="1305"/>
      <c r="BN178" s="1305"/>
      <c r="BO178" s="1305"/>
      <c r="BP178" s="1305"/>
      <c r="BQ178" s="1337">
        <v>700</v>
      </c>
      <c r="BR178" s="1305"/>
      <c r="BS178" s="1305"/>
      <c r="BT178" s="1305"/>
      <c r="BU178" s="1305"/>
      <c r="BV178" s="1337">
        <v>700</v>
      </c>
      <c r="BW178" s="1305"/>
      <c r="BX178" s="1305"/>
      <c r="BY178" s="1305"/>
      <c r="BZ178" s="1305"/>
      <c r="CA178" s="1337">
        <v>700</v>
      </c>
      <c r="CB178" s="1295">
        <f>CA178</f>
        <v>700</v>
      </c>
      <c r="CC178" s="1226">
        <f>CB178</f>
        <v>700</v>
      </c>
      <c r="CD178" s="1295">
        <f t="shared" ref="CD178:CZ178" si="157">CD176+CD177</f>
        <v>700</v>
      </c>
      <c r="CE178" s="1295">
        <f t="shared" si="157"/>
        <v>700</v>
      </c>
      <c r="CF178" s="1325">
        <f t="shared" si="157"/>
        <v>700</v>
      </c>
      <c r="CG178" s="1295">
        <f t="shared" si="157"/>
        <v>700</v>
      </c>
      <c r="CH178" s="1295">
        <f t="shared" si="157"/>
        <v>700</v>
      </c>
      <c r="CI178" s="1295">
        <f t="shared" si="157"/>
        <v>700</v>
      </c>
      <c r="CJ178" s="1295">
        <f t="shared" si="157"/>
        <v>421</v>
      </c>
      <c r="CK178" s="1325">
        <f t="shared" si="157"/>
        <v>421</v>
      </c>
      <c r="CL178" s="1295">
        <f t="shared" si="157"/>
        <v>421</v>
      </c>
      <c r="CM178" s="1295">
        <f t="shared" si="157"/>
        <v>421</v>
      </c>
      <c r="CN178" s="1295">
        <f t="shared" si="157"/>
        <v>421</v>
      </c>
      <c r="CO178" s="1295">
        <f t="shared" si="157"/>
        <v>421</v>
      </c>
      <c r="CP178" s="1325">
        <f t="shared" si="157"/>
        <v>421</v>
      </c>
      <c r="CQ178" s="1295">
        <f t="shared" si="157"/>
        <v>421</v>
      </c>
      <c r="CR178" s="1295">
        <f t="shared" si="157"/>
        <v>421</v>
      </c>
      <c r="CS178" s="1295">
        <f t="shared" si="157"/>
        <v>421</v>
      </c>
      <c r="CT178" s="1295">
        <f t="shared" si="157"/>
        <v>421</v>
      </c>
      <c r="CU178" s="1325">
        <f t="shared" si="157"/>
        <v>421</v>
      </c>
      <c r="CV178" s="1295">
        <f t="shared" si="157"/>
        <v>421</v>
      </c>
      <c r="CW178" s="1295">
        <f t="shared" si="157"/>
        <v>421</v>
      </c>
      <c r="CX178" s="1295">
        <f t="shared" si="157"/>
        <v>421</v>
      </c>
      <c r="CY178" s="1295">
        <f t="shared" si="157"/>
        <v>421</v>
      </c>
      <c r="CZ178" s="1325">
        <f t="shared" si="157"/>
        <v>421</v>
      </c>
      <c r="DA178" s="1295">
        <f t="shared" ref="DA178:DJ178" si="158">DA176+DA177</f>
        <v>421</v>
      </c>
      <c r="DB178" s="1295">
        <f t="shared" si="158"/>
        <v>421</v>
      </c>
      <c r="DC178" s="1295">
        <f t="shared" si="158"/>
        <v>0</v>
      </c>
      <c r="DD178" s="1295">
        <f t="shared" si="158"/>
        <v>0</v>
      </c>
      <c r="DE178" s="1325">
        <f t="shared" si="158"/>
        <v>0</v>
      </c>
      <c r="DF178" s="1295">
        <f t="shared" si="158"/>
        <v>0</v>
      </c>
      <c r="DG178" s="1295">
        <f t="shared" si="158"/>
        <v>0</v>
      </c>
      <c r="DH178" s="1295">
        <f t="shared" si="158"/>
        <v>0</v>
      </c>
      <c r="DI178" s="1295">
        <f t="shared" si="158"/>
        <v>0</v>
      </c>
      <c r="DJ178" s="1325">
        <f t="shared" si="158"/>
        <v>0</v>
      </c>
      <c r="DK178" s="1295">
        <f t="shared" ref="DK178:DT178" si="159">DK176+DK177</f>
        <v>0</v>
      </c>
      <c r="DL178" s="1295">
        <f t="shared" si="159"/>
        <v>0</v>
      </c>
      <c r="DM178" s="1295">
        <f t="shared" si="159"/>
        <v>0</v>
      </c>
      <c r="DN178" s="1295">
        <f t="shared" si="159"/>
        <v>0</v>
      </c>
      <c r="DO178" s="1325">
        <f t="shared" si="159"/>
        <v>0</v>
      </c>
      <c r="DP178" s="1295">
        <f t="shared" si="159"/>
        <v>0</v>
      </c>
      <c r="DQ178" s="1295">
        <f t="shared" si="159"/>
        <v>0</v>
      </c>
      <c r="DR178" s="1295">
        <f t="shared" si="159"/>
        <v>0</v>
      </c>
      <c r="DS178" s="1295">
        <f t="shared" si="159"/>
        <v>0</v>
      </c>
      <c r="DT178" s="1325">
        <f t="shared" si="159"/>
        <v>0</v>
      </c>
      <c r="DU178" s="1295">
        <f t="shared" ref="DU178:DY178" si="160">DU176+DU177</f>
        <v>0</v>
      </c>
      <c r="DV178" s="1295">
        <f t="shared" si="160"/>
        <v>0</v>
      </c>
      <c r="DW178" s="1295">
        <f t="shared" si="160"/>
        <v>0</v>
      </c>
      <c r="DX178" s="1295">
        <f t="shared" si="160"/>
        <v>0</v>
      </c>
      <c r="DY178" s="1325">
        <f t="shared" si="160"/>
        <v>0</v>
      </c>
    </row>
    <row r="179" spans="1:129" x14ac:dyDescent="0.2">
      <c r="A179" s="1223"/>
      <c r="B179" s="1190" t="s">
        <v>1155</v>
      </c>
      <c r="C179" s="1182"/>
      <c r="D179" s="1182"/>
      <c r="E179" s="1182"/>
      <c r="F179" s="1182"/>
      <c r="G179" s="1182"/>
      <c r="H179" s="1182"/>
      <c r="I179" s="1182"/>
      <c r="J179" s="1182"/>
      <c r="K179" s="1182"/>
      <c r="L179" s="1182"/>
      <c r="M179" s="1182"/>
      <c r="N179" s="1182"/>
      <c r="O179" s="1182"/>
      <c r="P179" s="1182"/>
      <c r="Q179" s="1182"/>
      <c r="R179" s="1182"/>
      <c r="S179" s="1182"/>
      <c r="T179" s="1182"/>
      <c r="U179" s="1182"/>
      <c r="V179" s="1182"/>
      <c r="W179" s="1182"/>
      <c r="X179" s="1227"/>
      <c r="Y179" s="1231"/>
      <c r="Z179" s="1231"/>
      <c r="AA179" s="1231"/>
      <c r="AB179" s="1231"/>
      <c r="AC179" s="1227"/>
      <c r="AD179" s="1231"/>
      <c r="AE179" s="1231"/>
      <c r="AF179" s="1231"/>
      <c r="AG179" s="1231"/>
      <c r="AH179" s="1227"/>
      <c r="AI179" s="1231"/>
      <c r="AJ179" s="1231"/>
      <c r="AK179" s="1231"/>
      <c r="AL179" s="1231"/>
      <c r="AM179" s="1227"/>
      <c r="AN179" s="1231"/>
      <c r="AO179" s="1231"/>
      <c r="AP179" s="1231"/>
      <c r="AQ179" s="1231"/>
      <c r="AR179" s="1227"/>
      <c r="AS179" s="1231"/>
      <c r="AT179" s="1231"/>
      <c r="AU179" s="1231"/>
      <c r="AV179" s="1231"/>
      <c r="AW179" s="1227"/>
      <c r="AX179" s="1231"/>
      <c r="AY179" s="1231"/>
      <c r="AZ179" s="1231"/>
      <c r="BA179" s="1231"/>
      <c r="BB179" s="1227"/>
      <c r="BC179" s="1231"/>
      <c r="BD179" s="1231"/>
      <c r="BE179" s="1231"/>
      <c r="BF179" s="1231"/>
      <c r="BG179" s="1227"/>
      <c r="BH179" s="1231"/>
      <c r="BI179" s="1231"/>
      <c r="BJ179" s="1231"/>
      <c r="BK179" s="1231"/>
      <c r="BL179" s="1326"/>
      <c r="BM179" s="1231"/>
      <c r="BN179" s="1231"/>
      <c r="BO179" s="1231"/>
      <c r="BP179" s="1231"/>
      <c r="BQ179" s="1326"/>
      <c r="BR179" s="1231"/>
      <c r="BS179" s="1231"/>
      <c r="BT179" s="1231"/>
      <c r="BU179" s="1231"/>
      <c r="BV179" s="1326"/>
      <c r="BW179" s="1231"/>
      <c r="BX179" s="1231"/>
      <c r="BY179" s="1231"/>
      <c r="BZ179" s="1231"/>
      <c r="CA179" s="1326"/>
      <c r="CB179" s="1231"/>
      <c r="CC179" s="1231"/>
      <c r="CD179" s="1231"/>
      <c r="CE179" s="1231"/>
      <c r="CF179" s="1326"/>
      <c r="CG179" s="1231"/>
      <c r="CH179" s="1231"/>
      <c r="CI179" s="1231"/>
      <c r="CJ179" s="1231"/>
      <c r="CK179" s="1326"/>
      <c r="CL179" s="1231"/>
      <c r="CM179" s="1231"/>
      <c r="CN179" s="1231"/>
      <c r="CO179" s="1231"/>
      <c r="CP179" s="1326"/>
      <c r="CQ179" s="1231"/>
      <c r="CR179" s="1231"/>
      <c r="CS179" s="1231"/>
      <c r="CT179" s="1231"/>
      <c r="CU179" s="1326"/>
      <c r="CV179" s="1231"/>
      <c r="CW179" s="1231"/>
      <c r="CX179" s="1231"/>
      <c r="CY179" s="1231"/>
      <c r="CZ179" s="1326"/>
      <c r="DA179" s="1231"/>
      <c r="DB179" s="1231"/>
      <c r="DC179" s="1231"/>
      <c r="DD179" s="1231"/>
      <c r="DE179" s="1326"/>
      <c r="DF179" s="1231"/>
      <c r="DG179" s="1231"/>
      <c r="DH179" s="1231"/>
      <c r="DI179" s="1231"/>
      <c r="DJ179" s="1326"/>
      <c r="DK179" s="1231"/>
      <c r="DL179" s="1231"/>
      <c r="DM179" s="1231"/>
      <c r="DN179" s="1231"/>
      <c r="DO179" s="1326"/>
      <c r="DP179" s="1231"/>
      <c r="DQ179" s="1231"/>
      <c r="DR179" s="1231"/>
      <c r="DS179" s="1231"/>
      <c r="DT179" s="1326"/>
      <c r="DU179" s="1231"/>
      <c r="DV179" s="1231"/>
      <c r="DW179" s="1231"/>
      <c r="DX179" s="1231"/>
      <c r="DY179" s="1326"/>
    </row>
    <row r="180" spans="1:129" x14ac:dyDescent="0.2">
      <c r="A180" s="1223"/>
      <c r="B180" s="1190" t="s">
        <v>1156</v>
      </c>
      <c r="C180" s="1182"/>
      <c r="D180" s="1182"/>
      <c r="E180" s="1182"/>
      <c r="F180" s="1182"/>
      <c r="G180" s="1182"/>
      <c r="H180" s="1182"/>
      <c r="I180" s="1182"/>
      <c r="J180" s="1182"/>
      <c r="K180" s="1182"/>
      <c r="L180" s="1182"/>
      <c r="M180" s="1182"/>
      <c r="N180" s="1182"/>
      <c r="O180" s="1182"/>
      <c r="P180" s="1182"/>
      <c r="Q180" s="1182"/>
      <c r="R180" s="1182"/>
      <c r="S180" s="1182"/>
      <c r="T180" s="1182"/>
      <c r="U180" s="1182"/>
      <c r="V180" s="1182"/>
      <c r="W180" s="1182"/>
      <c r="X180" s="1227"/>
      <c r="Y180" s="1231"/>
      <c r="Z180" s="1231"/>
      <c r="AA180" s="1231"/>
      <c r="AB180" s="1231"/>
      <c r="AC180" s="1227"/>
      <c r="AD180" s="1231"/>
      <c r="AE180" s="1231"/>
      <c r="AF180" s="1231"/>
      <c r="AG180" s="1231"/>
      <c r="AH180" s="1227"/>
      <c r="AI180" s="1231"/>
      <c r="AJ180" s="1231"/>
      <c r="AK180" s="1231"/>
      <c r="AL180" s="1231"/>
      <c r="AM180" s="1227"/>
      <c r="AN180" s="1231"/>
      <c r="AO180" s="1231"/>
      <c r="AP180" s="1231"/>
      <c r="AQ180" s="1231"/>
      <c r="AR180" s="1227"/>
      <c r="AS180" s="1231"/>
      <c r="AT180" s="1231"/>
      <c r="AU180" s="1231"/>
      <c r="AV180" s="1231"/>
      <c r="AW180" s="1227"/>
      <c r="AX180" s="1231"/>
      <c r="AY180" s="1231"/>
      <c r="AZ180" s="1231"/>
      <c r="BA180" s="1231"/>
      <c r="BB180" s="1227"/>
      <c r="BC180" s="1231"/>
      <c r="BD180" s="1231"/>
      <c r="BE180" s="1231"/>
      <c r="BF180" s="1231"/>
      <c r="BG180" s="1227"/>
      <c r="BH180" s="1231"/>
      <c r="BI180" s="1231"/>
      <c r="BJ180" s="1231"/>
      <c r="BK180" s="1231"/>
      <c r="BL180" s="1326">
        <f>-(AVERAGE(BL176,BL178))*(BL174)</f>
        <v>-42.875</v>
      </c>
      <c r="BM180" s="1231"/>
      <c r="BN180" s="1231"/>
      <c r="BO180" s="1231"/>
      <c r="BP180" s="1231"/>
      <c r="BQ180" s="1326">
        <f>-(AVERAGE(BQ176,BQ178))*(BQ174)</f>
        <v>-42.875</v>
      </c>
      <c r="BR180" s="1231"/>
      <c r="BS180" s="1231"/>
      <c r="BT180" s="1231"/>
      <c r="BU180" s="1231"/>
      <c r="BV180" s="1326">
        <f>-(AVERAGE(BV176,BV178))*(BV174)</f>
        <v>-42.875</v>
      </c>
      <c r="BW180" s="1231"/>
      <c r="BX180" s="1231"/>
      <c r="BY180" s="1231"/>
      <c r="BZ180" s="1231"/>
      <c r="CA180" s="1326">
        <f>-(AVERAGE(CA176,CA178))*(CA174)</f>
        <v>-42.875</v>
      </c>
      <c r="CB180" s="1223">
        <f>-(AVERAGE(CB178,CB176))*(CB174/4)</f>
        <v>-10.71875</v>
      </c>
      <c r="CC180" s="1223">
        <f>-(AVERAGE(CC178,CC176))*(CC174/4)</f>
        <v>-10.71875</v>
      </c>
      <c r="CD180" s="1223">
        <f>-(AVERAGE(CD178,CD176))*(CD174/4)</f>
        <v>-10.71875</v>
      </c>
      <c r="CE180" s="1223">
        <f>-(AVERAGE(CE178,CE176))*(CE174/4)</f>
        <v>-10.71875</v>
      </c>
      <c r="CF180" s="1326">
        <f>SUM(CB180:CE180)</f>
        <v>-42.875</v>
      </c>
      <c r="CG180" s="1223">
        <f>-(AVERAGE(CG178,CG176))*(CG174/4)</f>
        <v>-10.71875</v>
      </c>
      <c r="CH180" s="1223">
        <f>-(AVERAGE(CH178,CH176))*(CH174/4)</f>
        <v>-10.71875</v>
      </c>
      <c r="CI180" s="1223">
        <f>-(AVERAGE(CI178,CI176))*(CI174/4)</f>
        <v>-10.71875</v>
      </c>
      <c r="CJ180" s="1223">
        <f>-(AVERAGE(CJ178,CJ176))*(CJ174/4)</f>
        <v>-8.5826562499999994</v>
      </c>
      <c r="CK180" s="1326">
        <f>SUM(CG180:CJ180)</f>
        <v>-40.738906249999999</v>
      </c>
      <c r="CL180" s="1223">
        <f>-(AVERAGE(CL178,CL176))*(CL174/4)</f>
        <v>-6.4465624999999998</v>
      </c>
      <c r="CM180" s="1223">
        <f>-(AVERAGE(CM178,CM176))*(CM174/4)</f>
        <v>-6.4465624999999998</v>
      </c>
      <c r="CN180" s="1223">
        <f>-(AVERAGE(CN178,CN176))*(CN174/4)</f>
        <v>-6.4465624999999998</v>
      </c>
      <c r="CO180" s="1223">
        <f>-(AVERAGE(CO178,CO176))*(CO174/4)</f>
        <v>-6.4465624999999998</v>
      </c>
      <c r="CP180" s="1326">
        <f>SUM(CL180:CO180)</f>
        <v>-25.786249999999999</v>
      </c>
      <c r="CQ180" s="1223">
        <f>-(AVERAGE(CQ178,CQ176))*(CQ174/4)</f>
        <v>-6.4465624999999998</v>
      </c>
      <c r="CR180" s="1223">
        <f>-(AVERAGE(CR178,CR176))*(CR174/4)</f>
        <v>-6.4465624999999998</v>
      </c>
      <c r="CS180" s="1223">
        <f>-(AVERAGE(CS178,CS176))*(CS174/4)</f>
        <v>-6.4465624999999998</v>
      </c>
      <c r="CT180" s="1223">
        <f>-(AVERAGE(CT178,CT176))*(CT174/4)</f>
        <v>-6.4465624999999998</v>
      </c>
      <c r="CU180" s="1326">
        <f>SUM(CQ180:CT180)</f>
        <v>-25.786249999999999</v>
      </c>
      <c r="CV180" s="1223">
        <f>-(AVERAGE(CV178,CV176))*(CV174/4)</f>
        <v>-6.4465624999999998</v>
      </c>
      <c r="CW180" s="1223">
        <f>-(AVERAGE(CW178,CW176))*(CW174/4)</f>
        <v>-6.4465624999999998</v>
      </c>
      <c r="CX180" s="1223">
        <f>-(AVERAGE(CX178,CX176))*(CX174/4)</f>
        <v>-6.4465624999999998</v>
      </c>
      <c r="CY180" s="1223">
        <f>-(AVERAGE(CY178,CY176))*(CY174/4)</f>
        <v>-6.4465624999999998</v>
      </c>
      <c r="CZ180" s="1326">
        <f>SUM(CV180:CY180)</f>
        <v>-25.786249999999999</v>
      </c>
      <c r="DA180" s="1223">
        <f>-(AVERAGE(DA178,DA176))*(DA174/4)</f>
        <v>-6.4465624999999998</v>
      </c>
      <c r="DB180" s="1223">
        <f>-(AVERAGE(DB178,DB176))*(DB174/4)</f>
        <v>-6.4465624999999998</v>
      </c>
      <c r="DC180" s="1223">
        <f>-(AVERAGE(DC178,DC176))*(DC174/4)</f>
        <v>-3.2232812499999999</v>
      </c>
      <c r="DD180" s="1223">
        <f>-(AVERAGE(DD178,DD176))*(DD174/4)</f>
        <v>0</v>
      </c>
      <c r="DE180" s="1326">
        <f>SUM(DA180:DD180)</f>
        <v>-16.116406250000001</v>
      </c>
      <c r="DF180" s="1223">
        <f>-(AVERAGE(DF178,DF176))*(DF174/4)</f>
        <v>0</v>
      </c>
      <c r="DG180" s="1223">
        <f>-(AVERAGE(DG178,DG176))*(DG174/4)</f>
        <v>0</v>
      </c>
      <c r="DH180" s="1223">
        <f>-(AVERAGE(DH178,DH176))*(DH174/4)</f>
        <v>0</v>
      </c>
      <c r="DI180" s="1223">
        <f>-(AVERAGE(DI178,DI176))*(DI174/4)</f>
        <v>0</v>
      </c>
      <c r="DJ180" s="1326">
        <f>SUM(DF180:DI180)</f>
        <v>0</v>
      </c>
      <c r="DK180" s="1223">
        <f>-(AVERAGE(DK178,DK176))*(DK174/4)</f>
        <v>0</v>
      </c>
      <c r="DL180" s="1223">
        <f>-(AVERAGE(DL178,DL176))*(DL174/4)</f>
        <v>0</v>
      </c>
      <c r="DM180" s="1223">
        <f>-(AVERAGE(DM178,DM176))*(DM174/4)</f>
        <v>0</v>
      </c>
      <c r="DN180" s="1223">
        <f>-(AVERAGE(DN178,DN176))*(DN174/4)</f>
        <v>0</v>
      </c>
      <c r="DO180" s="1326">
        <f>SUM(DK180:DN180)</f>
        <v>0</v>
      </c>
      <c r="DP180" s="1223">
        <f>-(AVERAGE(DP178,DP176))*(DP174/4)</f>
        <v>0</v>
      </c>
      <c r="DQ180" s="1223">
        <f>-(AVERAGE(DQ178,DQ176))*(DQ174/4)</f>
        <v>0</v>
      </c>
      <c r="DR180" s="1223">
        <f>-(AVERAGE(DR178,DR176))*(DR174/4)</f>
        <v>0</v>
      </c>
      <c r="DS180" s="1223">
        <f>-(AVERAGE(DS178,DS176))*(DS174/4)</f>
        <v>0</v>
      </c>
      <c r="DT180" s="1326">
        <f>SUM(DP180:DS180)</f>
        <v>0</v>
      </c>
      <c r="DU180" s="1223">
        <f>-(AVERAGE(DU178,DU176))*(DU174/4)</f>
        <v>0</v>
      </c>
      <c r="DV180" s="1223">
        <f>-(AVERAGE(DV178,DV176))*(DV174/4)</f>
        <v>0</v>
      </c>
      <c r="DW180" s="1223">
        <f>-(AVERAGE(DW178,DW176))*(DW174/4)</f>
        <v>0</v>
      </c>
      <c r="DX180" s="1223">
        <f>-(AVERAGE(DX178,DX176))*(DX174/4)</f>
        <v>0</v>
      </c>
      <c r="DY180" s="1326">
        <f>SUM(DU180:DX180)</f>
        <v>0</v>
      </c>
    </row>
    <row r="181" spans="1:129" ht="12" thickBot="1" x14ac:dyDescent="0.25">
      <c r="A181" s="1223"/>
      <c r="B181" s="1250" t="s">
        <v>1157</v>
      </c>
      <c r="C181" s="1251"/>
      <c r="D181" s="1251"/>
      <c r="E181" s="1251"/>
      <c r="F181" s="1251"/>
      <c r="G181" s="1251"/>
      <c r="H181" s="1251"/>
      <c r="I181" s="1251"/>
      <c r="J181" s="1251"/>
      <c r="K181" s="1251"/>
      <c r="L181" s="1251"/>
      <c r="M181" s="1251"/>
      <c r="N181" s="1251"/>
      <c r="O181" s="1251"/>
      <c r="P181" s="1251"/>
      <c r="Q181" s="1251"/>
      <c r="R181" s="1251"/>
      <c r="S181" s="1251"/>
      <c r="T181" s="1251"/>
      <c r="U181" s="1251"/>
      <c r="V181" s="1251"/>
      <c r="W181" s="1251"/>
      <c r="X181" s="1252"/>
      <c r="Y181" s="1251"/>
      <c r="Z181" s="1251"/>
      <c r="AA181" s="1251"/>
      <c r="AB181" s="1251"/>
      <c r="AC181" s="1252"/>
      <c r="AD181" s="1251"/>
      <c r="AE181" s="1251"/>
      <c r="AF181" s="1251"/>
      <c r="AG181" s="1251"/>
      <c r="AH181" s="1252"/>
      <c r="AI181" s="1251"/>
      <c r="AJ181" s="1251"/>
      <c r="AK181" s="1251"/>
      <c r="AL181" s="1251"/>
      <c r="AM181" s="1252"/>
      <c r="AN181" s="1251"/>
      <c r="AO181" s="1251"/>
      <c r="AP181" s="1251"/>
      <c r="AQ181" s="1253"/>
      <c r="AR181" s="1252"/>
      <c r="AS181" s="1253"/>
      <c r="AT181" s="1253"/>
      <c r="AU181" s="1253"/>
      <c r="AV181" s="1253"/>
      <c r="AW181" s="1252"/>
      <c r="AX181" s="1253"/>
      <c r="AY181" s="1253"/>
      <c r="AZ181" s="1253"/>
      <c r="BA181" s="1253"/>
      <c r="BB181" s="1252"/>
      <c r="BC181" s="1253"/>
      <c r="BD181" s="1253"/>
      <c r="BE181" s="1253"/>
      <c r="BF181" s="1253"/>
      <c r="BG181" s="1252"/>
      <c r="BH181" s="1253"/>
      <c r="BI181" s="1253"/>
      <c r="BJ181" s="1253"/>
      <c r="BK181" s="1253"/>
      <c r="BL181" s="1327"/>
      <c r="BM181" s="1253"/>
      <c r="BN181" s="1253"/>
      <c r="BO181" s="1253"/>
      <c r="BP181" s="1253"/>
      <c r="BQ181" s="1327"/>
      <c r="BR181" s="1253"/>
      <c r="BS181" s="1253"/>
      <c r="BT181" s="1253"/>
      <c r="BU181" s="1253"/>
      <c r="BV181" s="1327"/>
      <c r="BW181" s="1253"/>
      <c r="BX181" s="1253"/>
      <c r="BY181" s="1253"/>
      <c r="BZ181" s="1253"/>
      <c r="CA181" s="1327"/>
      <c r="CB181" s="1253">
        <f>-CB173*CB179/4</f>
        <v>0</v>
      </c>
      <c r="CC181" s="1253">
        <f>-CC173*CC179/4</f>
        <v>0</v>
      </c>
      <c r="CD181" s="1253">
        <f>-CD173*CD179/4</f>
        <v>0</v>
      </c>
      <c r="CE181" s="1253">
        <f>-CE173*CE179/4</f>
        <v>0</v>
      </c>
      <c r="CF181" s="1327"/>
      <c r="CG181" s="1253">
        <f>-CG173*CG179/4</f>
        <v>0</v>
      </c>
      <c r="CH181" s="1253">
        <f>-CH173*CH179/4</f>
        <v>0</v>
      </c>
      <c r="CI181" s="1253">
        <f>-CI173*CI179/4</f>
        <v>0</v>
      </c>
      <c r="CJ181" s="1253">
        <f>-CJ173*CJ179/4</f>
        <v>0</v>
      </c>
      <c r="CK181" s="1327"/>
      <c r="CL181" s="1253">
        <f>-CL173*CL179/4</f>
        <v>0</v>
      </c>
      <c r="CM181" s="1253">
        <f>-CM173*CM179/4</f>
        <v>0</v>
      </c>
      <c r="CN181" s="1253">
        <f>-CN173*CN179/4</f>
        <v>0</v>
      </c>
      <c r="CO181" s="1253">
        <f>-CO173*CO179/4</f>
        <v>0</v>
      </c>
      <c r="CP181" s="1327"/>
      <c r="CQ181" s="1253">
        <f>-CQ173*CQ179/4</f>
        <v>0</v>
      </c>
      <c r="CR181" s="1253">
        <f>-CR173*CR179/4</f>
        <v>0</v>
      </c>
      <c r="CS181" s="1253">
        <f>-CS173*CS179/4</f>
        <v>0</v>
      </c>
      <c r="CT181" s="1253">
        <f>-CT173*CT179/4</f>
        <v>0</v>
      </c>
      <c r="CU181" s="1327"/>
      <c r="CV181" s="1253">
        <f>-CV173*CV179/4</f>
        <v>0</v>
      </c>
      <c r="CW181" s="1253">
        <f>-CW173*CW179/4</f>
        <v>0</v>
      </c>
      <c r="CX181" s="1253">
        <f>-CX173*CX179/4</f>
        <v>0</v>
      </c>
      <c r="CY181" s="1253">
        <f>-CY173*CY179/4</f>
        <v>0</v>
      </c>
      <c r="CZ181" s="1327"/>
      <c r="DA181" s="1253">
        <f>-DA173*DA179/4</f>
        <v>0</v>
      </c>
      <c r="DB181" s="1253">
        <f>-DB173*DB179/4</f>
        <v>0</v>
      </c>
      <c r="DC181" s="1253">
        <f>-DC173*DC179/4</f>
        <v>0</v>
      </c>
      <c r="DD181" s="1253">
        <f>-DD173*DD179/4</f>
        <v>0</v>
      </c>
      <c r="DE181" s="1327"/>
      <c r="DF181" s="1253">
        <f>-DF173*DF179/4</f>
        <v>0</v>
      </c>
      <c r="DG181" s="1253">
        <f>-DG173*DG179/4</f>
        <v>0</v>
      </c>
      <c r="DH181" s="1253">
        <f>-DH173*DH179/4</f>
        <v>0</v>
      </c>
      <c r="DI181" s="1253">
        <f>-DI173*DI179/4</f>
        <v>0</v>
      </c>
      <c r="DJ181" s="1327"/>
      <c r="DK181" s="1253">
        <f>-DK173*DK179/4</f>
        <v>0</v>
      </c>
      <c r="DL181" s="1253">
        <f>-DL173*DL179/4</f>
        <v>0</v>
      </c>
      <c r="DM181" s="1253">
        <f>-DM173*DM179/4</f>
        <v>0</v>
      </c>
      <c r="DN181" s="1253">
        <f>-DN173*DN179/4</f>
        <v>0</v>
      </c>
      <c r="DO181" s="1327"/>
      <c r="DP181" s="1253">
        <f>-DP173*DP179/4</f>
        <v>0</v>
      </c>
      <c r="DQ181" s="1253">
        <f>-DQ173*DQ179/4</f>
        <v>0</v>
      </c>
      <c r="DR181" s="1253">
        <f>-DR173*DR179/4</f>
        <v>0</v>
      </c>
      <c r="DS181" s="1253">
        <f>-DS173*DS179/4</f>
        <v>0</v>
      </c>
      <c r="DT181" s="1327"/>
      <c r="DU181" s="1253">
        <f>-DU173*DU179/4</f>
        <v>0</v>
      </c>
      <c r="DV181" s="1253">
        <f>-DV173*DV179/4</f>
        <v>0</v>
      </c>
      <c r="DW181" s="1253">
        <f>-DW173*DW179/4</f>
        <v>0</v>
      </c>
      <c r="DX181" s="1253">
        <f>-DX173*DX179/4</f>
        <v>0</v>
      </c>
      <c r="DY181" s="1327"/>
    </row>
    <row r="182" spans="1:129" ht="12" thickBot="1" x14ac:dyDescent="0.25">
      <c r="A182" s="1240"/>
      <c r="B182" s="1240"/>
      <c r="C182" s="1214"/>
      <c r="D182" s="1214"/>
      <c r="E182" s="1214"/>
      <c r="F182" s="1214"/>
      <c r="G182" s="1214"/>
      <c r="H182" s="1214"/>
      <c r="I182" s="1214"/>
      <c r="J182" s="1214"/>
      <c r="K182" s="1214"/>
      <c r="L182" s="1214"/>
      <c r="M182" s="1214"/>
      <c r="N182" s="1214"/>
      <c r="O182" s="1214"/>
      <c r="P182" s="1214"/>
      <c r="Q182" s="1214"/>
      <c r="R182" s="1214"/>
      <c r="S182" s="1214"/>
      <c r="T182" s="1214"/>
      <c r="U182" s="1214"/>
      <c r="V182" s="1214"/>
      <c r="W182" s="1214"/>
      <c r="X182" s="1214"/>
      <c r="Y182" s="1214"/>
      <c r="Z182" s="1214"/>
      <c r="AA182" s="1214"/>
      <c r="AB182" s="1214"/>
      <c r="AC182" s="1214"/>
      <c r="AD182" s="1214"/>
      <c r="AE182" s="1214"/>
      <c r="AF182" s="1214"/>
      <c r="AG182" s="1214"/>
      <c r="AH182" s="1214"/>
      <c r="AI182" s="1214"/>
      <c r="AJ182" s="1214"/>
      <c r="AK182" s="1214"/>
      <c r="AL182" s="1214"/>
      <c r="AM182" s="1214"/>
      <c r="AN182" s="1214"/>
      <c r="AO182" s="1214"/>
      <c r="AP182" s="1214"/>
      <c r="AQ182" s="1215"/>
      <c r="AR182" s="1215"/>
      <c r="AS182" s="1215"/>
      <c r="AT182" s="1215"/>
      <c r="AU182" s="1215"/>
      <c r="AV182" s="1215"/>
      <c r="AW182" s="1338"/>
      <c r="AX182" s="1215"/>
      <c r="AY182" s="1215"/>
      <c r="AZ182" s="1215"/>
      <c r="BA182" s="1215"/>
      <c r="BB182" s="1338"/>
      <c r="BC182" s="1215"/>
      <c r="BD182" s="1215"/>
      <c r="BE182" s="1215"/>
      <c r="BF182" s="1215"/>
      <c r="BG182" s="1338"/>
      <c r="BH182" s="1215"/>
      <c r="BI182" s="1215"/>
      <c r="BJ182" s="1215"/>
      <c r="BK182" s="1215"/>
      <c r="BL182" s="1338"/>
      <c r="BM182" s="1215"/>
      <c r="BN182" s="1215"/>
      <c r="BO182" s="1215"/>
      <c r="BP182" s="1215"/>
      <c r="BQ182" s="1338"/>
      <c r="BR182" s="1215"/>
      <c r="BS182" s="1215"/>
      <c r="BT182" s="1215"/>
      <c r="BU182" s="1215"/>
      <c r="BV182" s="1338"/>
      <c r="BW182" s="1215"/>
      <c r="BX182" s="1215"/>
      <c r="BY182" s="1215"/>
      <c r="BZ182" s="1215"/>
      <c r="CA182" s="1338"/>
      <c r="CB182" s="1215"/>
      <c r="CC182" s="1215"/>
      <c r="CD182" s="1215"/>
      <c r="CE182" s="1215"/>
      <c r="CF182" s="1338"/>
      <c r="CG182" s="1215"/>
      <c r="CH182" s="1215"/>
      <c r="CI182" s="1215"/>
      <c r="CJ182" s="1215"/>
      <c r="CK182" s="1338"/>
      <c r="CL182" s="1215"/>
      <c r="CM182" s="1215"/>
      <c r="CN182" s="1215"/>
      <c r="CO182" s="1215"/>
      <c r="CP182" s="1338"/>
      <c r="CQ182" s="1215"/>
      <c r="CR182" s="1215"/>
      <c r="CS182" s="1215"/>
      <c r="CT182" s="1215"/>
      <c r="CU182" s="1338"/>
      <c r="CV182" s="1215"/>
      <c r="CW182" s="1215"/>
      <c r="CX182" s="1215"/>
      <c r="CY182" s="1215"/>
      <c r="CZ182" s="1338"/>
      <c r="DA182" s="1215"/>
      <c r="DB182" s="1215"/>
      <c r="DC182" s="1215"/>
      <c r="DD182" s="1215"/>
      <c r="DE182" s="1338"/>
      <c r="DF182" s="1215"/>
      <c r="DG182" s="1215"/>
      <c r="DH182" s="1215"/>
      <c r="DI182" s="1215"/>
      <c r="DJ182" s="1338"/>
      <c r="DK182" s="1215"/>
      <c r="DL182" s="1215"/>
      <c r="DM182" s="1215"/>
      <c r="DN182" s="1215"/>
      <c r="DO182" s="1338"/>
      <c r="DP182" s="1215"/>
      <c r="DQ182" s="1215"/>
      <c r="DR182" s="1215"/>
      <c r="DS182" s="1215"/>
      <c r="DT182" s="1338"/>
      <c r="DU182" s="1215"/>
      <c r="DV182" s="1215"/>
      <c r="DW182" s="1215"/>
      <c r="DX182" s="1215"/>
      <c r="DY182" s="1338"/>
    </row>
    <row r="183" spans="1:129" ht="12" thickBot="1" x14ac:dyDescent="0.25">
      <c r="A183" s="1123"/>
      <c r="B183" s="1282" t="s">
        <v>1141</v>
      </c>
      <c r="C183" s="1328"/>
      <c r="D183" s="1329"/>
      <c r="E183" s="1329"/>
      <c r="F183" s="1329"/>
      <c r="G183" s="1329"/>
      <c r="H183" s="1329"/>
      <c r="I183" s="1329"/>
      <c r="J183" s="1329"/>
      <c r="K183" s="1329"/>
      <c r="L183" s="1329"/>
      <c r="M183" s="1329"/>
      <c r="N183" s="1329"/>
      <c r="O183" s="1329"/>
      <c r="P183" s="1329"/>
      <c r="Q183" s="1329"/>
      <c r="R183" s="1329"/>
      <c r="S183" s="1329"/>
      <c r="T183" s="1329"/>
      <c r="U183" s="1329"/>
      <c r="V183" s="1329"/>
      <c r="W183" s="1329"/>
      <c r="X183" s="1328"/>
      <c r="Y183" s="1328"/>
      <c r="Z183" s="1328"/>
      <c r="AA183" s="1328"/>
      <c r="AB183" s="1328"/>
      <c r="AC183" s="1328"/>
      <c r="AD183" s="1328"/>
      <c r="AE183" s="1328"/>
      <c r="AF183" s="1328"/>
      <c r="AG183" s="1328"/>
      <c r="AH183" s="1328"/>
      <c r="AI183" s="1328"/>
      <c r="AJ183" s="1328"/>
      <c r="AK183" s="1328"/>
      <c r="AL183" s="1328"/>
      <c r="AM183" s="1328"/>
      <c r="AN183" s="1328"/>
      <c r="AO183" s="1328"/>
      <c r="AP183" s="1328"/>
      <c r="AQ183" s="1330"/>
      <c r="AR183" s="1330"/>
      <c r="AS183" s="1330"/>
      <c r="AT183" s="1331"/>
      <c r="AU183" s="1331"/>
      <c r="AV183" s="1331"/>
      <c r="AW183" s="1330"/>
      <c r="AX183" s="1330"/>
      <c r="AY183" s="1330"/>
      <c r="AZ183" s="1330"/>
      <c r="BA183" s="1330"/>
      <c r="BB183" s="1330"/>
      <c r="BC183" s="1330"/>
      <c r="BD183" s="1330"/>
      <c r="BE183" s="1330"/>
      <c r="BF183" s="1330"/>
      <c r="BG183" s="1330"/>
      <c r="BH183" s="1330"/>
      <c r="BI183" s="1330"/>
      <c r="BJ183" s="1330"/>
      <c r="BK183" s="1330"/>
      <c r="BL183" s="1332"/>
      <c r="BM183" s="1330"/>
      <c r="BN183" s="1330"/>
      <c r="BO183" s="1330"/>
      <c r="BP183" s="1330"/>
      <c r="BQ183" s="1332"/>
      <c r="BR183" s="1330"/>
      <c r="BS183" s="1330"/>
      <c r="BT183" s="1330"/>
      <c r="BU183" s="1330"/>
      <c r="BV183" s="1332"/>
      <c r="BW183" s="1330"/>
      <c r="BX183" s="1330"/>
      <c r="BY183" s="1330"/>
      <c r="BZ183" s="1330"/>
      <c r="CA183" s="1332"/>
      <c r="CB183" s="1330"/>
      <c r="CC183" s="1330"/>
      <c r="CD183" s="1330"/>
      <c r="CE183" s="1330"/>
      <c r="CF183" s="1332"/>
      <c r="CG183" s="1330"/>
      <c r="CH183" s="1330"/>
      <c r="CI183" s="1330"/>
      <c r="CJ183" s="1330"/>
      <c r="CK183" s="1332"/>
      <c r="CL183" s="1330"/>
      <c r="CM183" s="1330"/>
      <c r="CN183" s="1330"/>
      <c r="CO183" s="1330"/>
      <c r="CP183" s="1332"/>
      <c r="CQ183" s="1330"/>
      <c r="CR183" s="1330"/>
      <c r="CS183" s="1330"/>
      <c r="CT183" s="1330"/>
      <c r="CU183" s="1332"/>
      <c r="CV183" s="1330"/>
      <c r="CW183" s="1330"/>
      <c r="CX183" s="1330"/>
      <c r="CY183" s="1330"/>
      <c r="CZ183" s="1332"/>
      <c r="DA183" s="1330"/>
      <c r="DB183" s="1330"/>
      <c r="DC183" s="1330"/>
      <c r="DD183" s="1330"/>
      <c r="DE183" s="1332"/>
      <c r="DF183" s="1330"/>
      <c r="DG183" s="1330"/>
      <c r="DH183" s="1330"/>
      <c r="DI183" s="1330"/>
      <c r="DJ183" s="1332"/>
      <c r="DK183" s="1330"/>
      <c r="DL183" s="1330"/>
      <c r="DM183" s="1330"/>
      <c r="DN183" s="1330"/>
      <c r="DO183" s="1332"/>
      <c r="DP183" s="1330"/>
      <c r="DQ183" s="1330"/>
      <c r="DR183" s="1330"/>
      <c r="DS183" s="1330"/>
      <c r="DT183" s="1332"/>
      <c r="DU183" s="1330"/>
      <c r="DV183" s="1330"/>
      <c r="DW183" s="1330"/>
      <c r="DX183" s="1330"/>
      <c r="DY183" s="1332"/>
    </row>
    <row r="184" spans="1:129" x14ac:dyDescent="0.2">
      <c r="A184" s="532"/>
      <c r="B184" s="1287" t="s">
        <v>1149</v>
      </c>
      <c r="C184" s="650"/>
      <c r="D184" s="650"/>
      <c r="E184" s="650"/>
      <c r="F184" s="650"/>
      <c r="G184" s="650"/>
      <c r="H184" s="650"/>
      <c r="I184" s="650"/>
      <c r="J184" s="650"/>
      <c r="K184" s="650"/>
      <c r="L184" s="650"/>
      <c r="M184" s="650"/>
      <c r="N184" s="650"/>
      <c r="O184" s="650"/>
      <c r="P184" s="650"/>
      <c r="Q184" s="650"/>
      <c r="R184" s="650"/>
      <c r="S184" s="650"/>
      <c r="T184" s="650"/>
      <c r="U184" s="650"/>
      <c r="V184" s="650"/>
      <c r="W184" s="650"/>
      <c r="X184" s="1288"/>
      <c r="Y184" s="650"/>
      <c r="Z184" s="650"/>
      <c r="AA184" s="650"/>
      <c r="AB184" s="650"/>
      <c r="AC184" s="1288"/>
      <c r="AD184" s="650"/>
      <c r="AE184" s="650"/>
      <c r="AF184" s="650"/>
      <c r="AG184" s="650"/>
      <c r="AH184" s="1288"/>
      <c r="AI184" s="650"/>
      <c r="AJ184" s="650"/>
      <c r="AK184" s="650"/>
      <c r="AL184" s="650"/>
      <c r="AM184" s="1288"/>
      <c r="AN184" s="650"/>
      <c r="AO184" s="650"/>
      <c r="AP184" s="650"/>
      <c r="AQ184" s="650"/>
      <c r="AR184" s="1288"/>
      <c r="AS184" s="650"/>
      <c r="AT184" s="650"/>
      <c r="AU184" s="650"/>
      <c r="AV184" s="650"/>
      <c r="AW184" s="1288"/>
      <c r="AX184" s="650"/>
      <c r="AY184" s="650"/>
      <c r="AZ184" s="650"/>
      <c r="BA184" s="650"/>
      <c r="BB184" s="1288"/>
      <c r="BC184" s="650"/>
      <c r="BD184" s="650"/>
      <c r="BE184" s="650"/>
      <c r="BF184" s="650"/>
      <c r="BG184" s="1288"/>
      <c r="BH184" s="650"/>
      <c r="BI184" s="650"/>
      <c r="BJ184" s="650"/>
      <c r="BK184" s="650"/>
      <c r="BL184" s="583"/>
      <c r="BM184" s="650"/>
      <c r="BN184" s="650"/>
      <c r="BO184" s="650"/>
      <c r="BP184" s="650"/>
      <c r="BQ184" s="583"/>
      <c r="BR184" s="650"/>
      <c r="BS184" s="650"/>
      <c r="BT184" s="650"/>
      <c r="BU184" s="650"/>
      <c r="BV184" s="583"/>
      <c r="BW184" s="650"/>
      <c r="BX184" s="650"/>
      <c r="BY184" s="650"/>
      <c r="BZ184" s="650"/>
      <c r="CA184" s="583"/>
      <c r="CB184" s="650"/>
      <c r="CC184" s="650"/>
      <c r="CD184" s="650"/>
      <c r="CE184" s="650"/>
      <c r="CF184" s="583"/>
      <c r="CG184" s="650"/>
      <c r="CH184" s="650"/>
      <c r="CI184" s="650"/>
      <c r="CJ184" s="650"/>
      <c r="CK184" s="583"/>
      <c r="CL184" s="650"/>
      <c r="CM184" s="650"/>
      <c r="CN184" s="650"/>
      <c r="CO184" s="650"/>
      <c r="CP184" s="583"/>
      <c r="CQ184" s="650"/>
      <c r="CR184" s="650"/>
      <c r="CS184" s="650"/>
      <c r="CT184" s="650"/>
      <c r="CU184" s="583"/>
      <c r="CV184" s="650"/>
      <c r="CW184" s="650"/>
      <c r="CX184" s="650"/>
      <c r="CY184" s="650"/>
      <c r="CZ184" s="583"/>
      <c r="DA184" s="650"/>
      <c r="DB184" s="650"/>
      <c r="DC184" s="650"/>
      <c r="DD184" s="650"/>
      <c r="DE184" s="583"/>
      <c r="DF184" s="650"/>
      <c r="DG184" s="650"/>
      <c r="DH184" s="650"/>
      <c r="DI184" s="650"/>
      <c r="DJ184" s="583"/>
      <c r="DK184" s="650"/>
      <c r="DL184" s="650"/>
      <c r="DM184" s="650"/>
      <c r="DN184" s="650"/>
      <c r="DO184" s="583"/>
      <c r="DP184" s="650"/>
      <c r="DQ184" s="650"/>
      <c r="DR184" s="650"/>
      <c r="DS184" s="650"/>
      <c r="DT184" s="583"/>
      <c r="DU184" s="650"/>
      <c r="DV184" s="650"/>
      <c r="DW184" s="650"/>
      <c r="DX184" s="650"/>
      <c r="DY184" s="583"/>
    </row>
    <row r="185" spans="1:129" x14ac:dyDescent="0.2">
      <c r="A185" s="532"/>
      <c r="B185" s="1287" t="s">
        <v>1150</v>
      </c>
      <c r="C185" s="650"/>
      <c r="D185" s="650"/>
      <c r="E185" s="650"/>
      <c r="F185" s="650"/>
      <c r="G185" s="650"/>
      <c r="H185" s="650"/>
      <c r="I185" s="650"/>
      <c r="J185" s="650"/>
      <c r="K185" s="650"/>
      <c r="L185" s="650"/>
      <c r="M185" s="650"/>
      <c r="N185" s="650"/>
      <c r="O185" s="650"/>
      <c r="P185" s="650"/>
      <c r="Q185" s="650"/>
      <c r="R185" s="650"/>
      <c r="S185" s="650"/>
      <c r="T185" s="650"/>
      <c r="U185" s="650"/>
      <c r="V185" s="650"/>
      <c r="W185" s="650"/>
      <c r="X185" s="1288"/>
      <c r="Y185" s="650"/>
      <c r="Z185" s="650"/>
      <c r="AA185" s="650"/>
      <c r="AB185" s="650"/>
      <c r="AC185" s="1288"/>
      <c r="AD185" s="650"/>
      <c r="AE185" s="650"/>
      <c r="AF185" s="650"/>
      <c r="AG185" s="650"/>
      <c r="AH185" s="1288"/>
      <c r="AI185" s="650"/>
      <c r="AJ185" s="650"/>
      <c r="AK185" s="650"/>
      <c r="AL185" s="650"/>
      <c r="AM185" s="1288"/>
      <c r="AN185" s="650"/>
      <c r="AO185" s="650"/>
      <c r="AP185" s="650"/>
      <c r="AQ185" s="650"/>
      <c r="AR185" s="1288"/>
      <c r="AS185" s="650"/>
      <c r="AT185" s="650"/>
      <c r="AU185" s="650"/>
      <c r="AV185" s="650"/>
      <c r="AW185" s="1288"/>
      <c r="AX185" s="650"/>
      <c r="AY185" s="650"/>
      <c r="AZ185" s="650"/>
      <c r="BA185" s="650"/>
      <c r="BB185" s="1288"/>
      <c r="BC185" s="650"/>
      <c r="BD185" s="650"/>
      <c r="BE185" s="650"/>
      <c r="BF185" s="650"/>
      <c r="BG185" s="1289"/>
      <c r="BH185" s="650"/>
      <c r="BI185" s="650"/>
      <c r="BJ185" s="650"/>
      <c r="BK185" s="650"/>
      <c r="BL185" s="1333">
        <v>6.1249999999999999E-2</v>
      </c>
      <c r="BM185" s="650"/>
      <c r="BN185" s="650"/>
      <c r="BO185" s="650"/>
      <c r="BP185" s="650"/>
      <c r="BQ185" s="1333">
        <v>6.1249999999999999E-2</v>
      </c>
      <c r="BR185" s="650"/>
      <c r="BS185" s="650"/>
      <c r="BT185" s="650"/>
      <c r="BU185" s="650"/>
      <c r="BV185" s="1333">
        <v>6.1249999999999999E-2</v>
      </c>
      <c r="BW185" s="650"/>
      <c r="BX185" s="650"/>
      <c r="BY185" s="650"/>
      <c r="BZ185" s="650"/>
      <c r="CA185" s="1333"/>
      <c r="CB185" s="1334">
        <v>6.1249999999999999E-2</v>
      </c>
      <c r="CC185" s="1334">
        <v>6.1249999999999999E-2</v>
      </c>
      <c r="CD185" s="1334">
        <v>6.1249999999999999E-2</v>
      </c>
      <c r="CE185" s="1334">
        <v>6.1249999999999999E-2</v>
      </c>
      <c r="CF185" s="1333"/>
      <c r="CG185" s="1334"/>
      <c r="CH185" s="1334"/>
      <c r="CI185" s="1334"/>
      <c r="CJ185" s="1334"/>
      <c r="CK185" s="1333"/>
      <c r="CL185" s="1334"/>
      <c r="CM185" s="1334"/>
      <c r="CN185" s="1334"/>
      <c r="CO185" s="1334">
        <v>1.2E-2</v>
      </c>
      <c r="CP185" s="1333"/>
      <c r="CQ185" s="1334">
        <f>CO185</f>
        <v>1.2E-2</v>
      </c>
      <c r="CR185" s="1334">
        <f>CQ185</f>
        <v>1.2E-2</v>
      </c>
      <c r="CS185" s="1334">
        <f>CR185</f>
        <v>1.2E-2</v>
      </c>
      <c r="CT185" s="1334">
        <f>CS185</f>
        <v>1.2E-2</v>
      </c>
      <c r="CU185" s="1333"/>
      <c r="CV185" s="1334">
        <f>CT185</f>
        <v>1.2E-2</v>
      </c>
      <c r="CW185" s="1334">
        <f>CV185</f>
        <v>1.2E-2</v>
      </c>
      <c r="CX185" s="1334">
        <f>CW185</f>
        <v>1.2E-2</v>
      </c>
      <c r="CY185" s="1334">
        <f>CX185</f>
        <v>1.2E-2</v>
      </c>
      <c r="CZ185" s="1333"/>
      <c r="DA185" s="1334">
        <f>CY185</f>
        <v>1.2E-2</v>
      </c>
      <c r="DB185" s="1334">
        <f>DA185</f>
        <v>1.2E-2</v>
      </c>
      <c r="DC185" s="1334">
        <f>DB185</f>
        <v>1.2E-2</v>
      </c>
      <c r="DD185" s="1334">
        <f>DC185</f>
        <v>1.2E-2</v>
      </c>
      <c r="DE185" s="1333"/>
      <c r="DF185" s="1334">
        <f>DD185</f>
        <v>1.2E-2</v>
      </c>
      <c r="DG185" s="1334">
        <f>DF185</f>
        <v>1.2E-2</v>
      </c>
      <c r="DH185" s="1334">
        <f>DG185</f>
        <v>1.2E-2</v>
      </c>
      <c r="DI185" s="1334">
        <f>DH185</f>
        <v>1.2E-2</v>
      </c>
      <c r="DJ185" s="1333"/>
      <c r="DK185" s="1334">
        <f>DI185</f>
        <v>1.2E-2</v>
      </c>
      <c r="DL185" s="1334">
        <f>DK185</f>
        <v>1.2E-2</v>
      </c>
      <c r="DM185" s="1334">
        <f>DL185</f>
        <v>1.2E-2</v>
      </c>
      <c r="DN185" s="1334">
        <f>DM185</f>
        <v>1.2E-2</v>
      </c>
      <c r="DO185" s="1333"/>
      <c r="DP185" s="1334">
        <f>DN185</f>
        <v>1.2E-2</v>
      </c>
      <c r="DQ185" s="1334">
        <f>DP185</f>
        <v>1.2E-2</v>
      </c>
      <c r="DR185" s="1334">
        <f>DQ185</f>
        <v>1.2E-2</v>
      </c>
      <c r="DS185" s="1334">
        <f>DR185</f>
        <v>1.2E-2</v>
      </c>
      <c r="DT185" s="1333"/>
      <c r="DU185" s="1334">
        <f>DS185</f>
        <v>1.2E-2</v>
      </c>
      <c r="DV185" s="1334">
        <f>DU185</f>
        <v>1.2E-2</v>
      </c>
      <c r="DW185" s="1334">
        <f>DV185</f>
        <v>1.2E-2</v>
      </c>
      <c r="DX185" s="1334">
        <f>DW185</f>
        <v>1.2E-2</v>
      </c>
      <c r="DY185" s="1333"/>
    </row>
    <row r="186" spans="1:129" x14ac:dyDescent="0.2">
      <c r="A186" s="1223"/>
      <c r="B186" s="1190" t="s">
        <v>1151</v>
      </c>
      <c r="C186" s="1293"/>
      <c r="D186" s="1293"/>
      <c r="E186" s="1293"/>
      <c r="F186" s="1293"/>
      <c r="G186" s="1293"/>
      <c r="H186" s="1293"/>
      <c r="I186" s="1293"/>
      <c r="J186" s="1293"/>
      <c r="K186" s="1293"/>
      <c r="L186" s="1293"/>
      <c r="M186" s="1293"/>
      <c r="N186" s="1293"/>
      <c r="O186" s="1293"/>
      <c r="P186" s="1293"/>
      <c r="Q186" s="1293"/>
      <c r="R186" s="1293"/>
      <c r="S186" s="1293"/>
      <c r="T186" s="1293"/>
      <c r="U186" s="1293"/>
      <c r="V186" s="1293"/>
      <c r="W186" s="1293"/>
      <c r="X186" s="1227"/>
      <c r="Y186" s="1231"/>
      <c r="Z186" s="1231"/>
      <c r="AA186" s="1231"/>
      <c r="AB186" s="1294"/>
      <c r="AC186" s="1227"/>
      <c r="AD186" s="1231"/>
      <c r="AE186" s="1231"/>
      <c r="AF186" s="1231"/>
      <c r="AG186" s="1294"/>
      <c r="AH186" s="1227"/>
      <c r="AI186" s="1231"/>
      <c r="AJ186" s="1231"/>
      <c r="AK186" s="1231"/>
      <c r="AL186" s="1294"/>
      <c r="AM186" s="1227"/>
      <c r="AN186" s="1231"/>
      <c r="AO186" s="1231"/>
      <c r="AP186" s="1231"/>
      <c r="AQ186" s="1294"/>
      <c r="AR186" s="1227"/>
      <c r="AS186" s="1231"/>
      <c r="AT186" s="1231"/>
      <c r="AU186" s="1231"/>
      <c r="AV186" s="1294"/>
      <c r="AW186" s="1227"/>
      <c r="AX186" s="1231"/>
      <c r="AY186" s="1231"/>
      <c r="AZ186" s="1231"/>
      <c r="BA186" s="1231"/>
      <c r="BB186" s="1227"/>
      <c r="BC186" s="1231"/>
      <c r="BD186" s="1231"/>
      <c r="BE186" s="1231"/>
      <c r="BF186" s="1231"/>
      <c r="BG186" s="1227"/>
      <c r="BH186" s="1231"/>
      <c r="BI186" s="1231"/>
      <c r="BJ186" s="1231"/>
      <c r="BK186" s="1231"/>
      <c r="BL186" s="1326"/>
      <c r="BM186" s="1231"/>
      <c r="BN186" s="1231"/>
      <c r="BO186" s="1231"/>
      <c r="BP186" s="1231"/>
      <c r="BQ186" s="1326"/>
      <c r="BR186" s="1231"/>
      <c r="BS186" s="1231"/>
      <c r="BT186" s="1231"/>
      <c r="BU186" s="1231"/>
      <c r="BV186" s="1326"/>
      <c r="BW186" s="1231"/>
      <c r="BX186" s="1231"/>
      <c r="BY186" s="1231"/>
      <c r="BZ186" s="1231"/>
      <c r="CA186" s="1326"/>
      <c r="CB186" s="1231"/>
      <c r="CC186" s="1231"/>
      <c r="CD186" s="1231"/>
      <c r="CE186" s="1231"/>
      <c r="CF186" s="1326"/>
      <c r="CG186" s="1231"/>
      <c r="CH186" s="1231"/>
      <c r="CI186" s="1231"/>
      <c r="CJ186" s="1231"/>
      <c r="CK186" s="1326"/>
      <c r="CL186" s="1231"/>
      <c r="CM186" s="1231"/>
      <c r="CN186" s="1231"/>
      <c r="CO186" s="1231"/>
      <c r="CP186" s="1326"/>
      <c r="CQ186" s="1231"/>
      <c r="CR186" s="1231"/>
      <c r="CS186" s="1231"/>
      <c r="CT186" s="1231"/>
      <c r="CU186" s="1326"/>
      <c r="CV186" s="1231"/>
      <c r="CW186" s="1231"/>
      <c r="CX186" s="1231"/>
      <c r="CY186" s="1231"/>
      <c r="CZ186" s="1326"/>
      <c r="DA186" s="1231"/>
      <c r="DB186" s="1231"/>
      <c r="DC186" s="1231"/>
      <c r="DD186" s="1231"/>
      <c r="DE186" s="1326"/>
      <c r="DF186" s="1231"/>
      <c r="DG186" s="1231"/>
      <c r="DH186" s="1231"/>
      <c r="DI186" s="1231"/>
      <c r="DJ186" s="1326"/>
      <c r="DK186" s="1231"/>
      <c r="DL186" s="1231"/>
      <c r="DM186" s="1231"/>
      <c r="DN186" s="1231"/>
      <c r="DO186" s="1326"/>
      <c r="DP186" s="1231"/>
      <c r="DQ186" s="1231"/>
      <c r="DR186" s="1231"/>
      <c r="DS186" s="1231"/>
      <c r="DT186" s="1326"/>
      <c r="DU186" s="1231"/>
      <c r="DV186" s="1231"/>
      <c r="DW186" s="1231"/>
      <c r="DX186" s="1231"/>
      <c r="DY186" s="1326"/>
    </row>
    <row r="187" spans="1:129" x14ac:dyDescent="0.2">
      <c r="A187" s="1223"/>
      <c r="B187" s="1190" t="s">
        <v>1152</v>
      </c>
      <c r="C187" s="1231"/>
      <c r="D187" s="1231"/>
      <c r="E187" s="1231"/>
      <c r="F187" s="1231"/>
      <c r="G187" s="1231"/>
      <c r="H187" s="1231"/>
      <c r="I187" s="1231"/>
      <c r="J187" s="1231"/>
      <c r="K187" s="1231"/>
      <c r="L187" s="1231"/>
      <c r="M187" s="1231"/>
      <c r="N187" s="1231"/>
      <c r="O187" s="1231"/>
      <c r="P187" s="1231"/>
      <c r="Q187" s="1231"/>
      <c r="R187" s="1231"/>
      <c r="S187" s="1231"/>
      <c r="T187" s="1231"/>
      <c r="U187" s="1231"/>
      <c r="V187" s="1231"/>
      <c r="W187" s="1231"/>
      <c r="X187" s="1227"/>
      <c r="Y187" s="1231"/>
      <c r="Z187" s="1231"/>
      <c r="AA187" s="1231"/>
      <c r="AB187" s="1231"/>
      <c r="AC187" s="1227"/>
      <c r="AD187" s="1231"/>
      <c r="AE187" s="1231"/>
      <c r="AF187" s="1231"/>
      <c r="AG187" s="1231"/>
      <c r="AH187" s="1227"/>
      <c r="AI187" s="1231"/>
      <c r="AJ187" s="1231"/>
      <c r="AK187" s="1231"/>
      <c r="AL187" s="1231"/>
      <c r="AM187" s="1227"/>
      <c r="AN187" s="1231"/>
      <c r="AO187" s="1231"/>
      <c r="AP187" s="1231"/>
      <c r="AQ187" s="1231"/>
      <c r="AR187" s="1227"/>
      <c r="AS187" s="1231"/>
      <c r="AT187" s="1231"/>
      <c r="AU187" s="1231"/>
      <c r="AV187" s="1231"/>
      <c r="AW187" s="1227"/>
      <c r="AX187" s="1231"/>
      <c r="AY187" s="1231"/>
      <c r="AZ187" s="1231"/>
      <c r="BA187" s="1231"/>
      <c r="BB187" s="1227"/>
      <c r="BC187" s="1231"/>
      <c r="BD187" s="1231"/>
      <c r="BE187" s="1231"/>
      <c r="BF187" s="1231"/>
      <c r="BG187" s="1227"/>
      <c r="BH187" s="1231"/>
      <c r="BI187" s="1231"/>
      <c r="BJ187" s="1231"/>
      <c r="BK187" s="1231"/>
      <c r="BL187" s="1326"/>
      <c r="BM187" s="1231"/>
      <c r="BN187" s="1231"/>
      <c r="BO187" s="1231"/>
      <c r="BP187" s="1231"/>
      <c r="BQ187" s="1326">
        <f>BL189</f>
        <v>700</v>
      </c>
      <c r="BR187" s="1231"/>
      <c r="BS187" s="1231"/>
      <c r="BT187" s="1231"/>
      <c r="BU187" s="1231"/>
      <c r="BV187" s="1326">
        <f>BQ189</f>
        <v>700</v>
      </c>
      <c r="BW187" s="1231"/>
      <c r="BX187" s="1231"/>
      <c r="BY187" s="1231"/>
      <c r="BZ187" s="1231"/>
      <c r="CA187" s="1326"/>
      <c r="CB187" s="1223">
        <f>CA189</f>
        <v>0</v>
      </c>
      <c r="CC187" s="1223">
        <f>+CB189</f>
        <v>0</v>
      </c>
      <c r="CD187" s="1223">
        <f>+CC189</f>
        <v>0</v>
      </c>
      <c r="CE187" s="1223">
        <f>+CD189</f>
        <v>0</v>
      </c>
      <c r="CF187" s="1326"/>
      <c r="CG187" s="1223"/>
      <c r="CH187" s="1223"/>
      <c r="CI187" s="1223"/>
      <c r="CJ187" s="1223"/>
      <c r="CK187" s="1326"/>
      <c r="CL187" s="1223"/>
      <c r="CM187" s="1223"/>
      <c r="CN187" s="1223"/>
      <c r="CO187" s="1223">
        <v>0</v>
      </c>
      <c r="CP187" s="1326">
        <f>CK189</f>
        <v>0</v>
      </c>
      <c r="CQ187" s="1223">
        <f>CO189</f>
        <v>750</v>
      </c>
      <c r="CR187" s="1223">
        <f>+CQ189</f>
        <v>750</v>
      </c>
      <c r="CS187" s="1223">
        <f>+CR189</f>
        <v>750</v>
      </c>
      <c r="CT187" s="1223">
        <f>+CS189</f>
        <v>750</v>
      </c>
      <c r="CU187" s="1326">
        <f>CP189</f>
        <v>750</v>
      </c>
      <c r="CV187" s="1223">
        <f>+CT187</f>
        <v>750</v>
      </c>
      <c r="CW187" s="1223">
        <f>+CV189</f>
        <v>750</v>
      </c>
      <c r="CX187" s="1223">
        <f>+CW189</f>
        <v>750</v>
      </c>
      <c r="CY187" s="1223">
        <f>+CX189</f>
        <v>750</v>
      </c>
      <c r="CZ187" s="1326">
        <f>CU189</f>
        <v>750</v>
      </c>
      <c r="DA187" s="1223">
        <f>+CY187</f>
        <v>750</v>
      </c>
      <c r="DB187" s="1223">
        <f>+DA189</f>
        <v>750</v>
      </c>
      <c r="DC187" s="1223">
        <f>+DB189</f>
        <v>750</v>
      </c>
      <c r="DD187" s="1223">
        <f>+DC189</f>
        <v>750</v>
      </c>
      <c r="DE187" s="1326">
        <f>CZ189</f>
        <v>750</v>
      </c>
      <c r="DF187" s="1223">
        <f>+DD187</f>
        <v>750</v>
      </c>
      <c r="DG187" s="1223">
        <f>+DF189</f>
        <v>750</v>
      </c>
      <c r="DH187" s="1223">
        <f>+DG189</f>
        <v>750</v>
      </c>
      <c r="DI187" s="1223">
        <f>+DH189</f>
        <v>750</v>
      </c>
      <c r="DJ187" s="1326">
        <f>DE189</f>
        <v>0</v>
      </c>
      <c r="DK187" s="1223">
        <f>+DI187</f>
        <v>750</v>
      </c>
      <c r="DL187" s="1223">
        <f>+DK189</f>
        <v>750</v>
      </c>
      <c r="DM187" s="1223">
        <f>+DL189</f>
        <v>750</v>
      </c>
      <c r="DN187" s="1223">
        <f>+DM189</f>
        <v>750</v>
      </c>
      <c r="DO187" s="1326">
        <f>DJ189</f>
        <v>0</v>
      </c>
      <c r="DP187" s="1223">
        <f>+DN187</f>
        <v>750</v>
      </c>
      <c r="DQ187" s="1223">
        <f>+DP189</f>
        <v>750</v>
      </c>
      <c r="DR187" s="1223">
        <f>+DQ189</f>
        <v>750</v>
      </c>
      <c r="DS187" s="1223">
        <f>+DR189</f>
        <v>750</v>
      </c>
      <c r="DT187" s="1326">
        <f>DO189</f>
        <v>0</v>
      </c>
      <c r="DU187" s="1223">
        <f>+DS187</f>
        <v>750</v>
      </c>
      <c r="DV187" s="1223">
        <f>+DU189</f>
        <v>750</v>
      </c>
      <c r="DW187" s="1223">
        <f>+DV189</f>
        <v>750</v>
      </c>
      <c r="DX187" s="1223">
        <f>+DW189</f>
        <v>750</v>
      </c>
      <c r="DY187" s="1326">
        <f>DT189</f>
        <v>0</v>
      </c>
    </row>
    <row r="188" spans="1:129" x14ac:dyDescent="0.2">
      <c r="A188" s="1295"/>
      <c r="B188" s="1190" t="s">
        <v>1153</v>
      </c>
      <c r="C188" s="1182"/>
      <c r="D188" s="1182"/>
      <c r="E188" s="1182"/>
      <c r="F188" s="1182"/>
      <c r="G188" s="1182"/>
      <c r="H188" s="1182"/>
      <c r="I188" s="1182"/>
      <c r="J188" s="1182"/>
      <c r="K188" s="1182"/>
      <c r="L188" s="1182"/>
      <c r="M188" s="1182"/>
      <c r="N188" s="1182"/>
      <c r="O188" s="1182"/>
      <c r="P188" s="1182"/>
      <c r="Q188" s="1182"/>
      <c r="R188" s="1182"/>
      <c r="S188" s="1182"/>
      <c r="T188" s="1182"/>
      <c r="U188" s="1182"/>
      <c r="V188" s="1182"/>
      <c r="W188" s="1182"/>
      <c r="X188" s="1296"/>
      <c r="Y188" s="1297"/>
      <c r="Z188" s="1297"/>
      <c r="AA188" s="1297"/>
      <c r="AB188" s="1297"/>
      <c r="AC188" s="1296"/>
      <c r="AD188" s="1297"/>
      <c r="AE188" s="1297"/>
      <c r="AF188" s="1297"/>
      <c r="AG188" s="1297"/>
      <c r="AH188" s="1296"/>
      <c r="AI188" s="1297"/>
      <c r="AJ188" s="1297"/>
      <c r="AK188" s="1297"/>
      <c r="AL188" s="1297"/>
      <c r="AM188" s="1296"/>
      <c r="AN188" s="1297"/>
      <c r="AO188" s="1297"/>
      <c r="AP188" s="1297"/>
      <c r="AQ188" s="1297"/>
      <c r="AR188" s="1296"/>
      <c r="AS188" s="1297"/>
      <c r="AT188" s="1297"/>
      <c r="AU188" s="1297"/>
      <c r="AV188" s="1297"/>
      <c r="AW188" s="1296"/>
      <c r="AX188" s="1298"/>
      <c r="AY188" s="1299"/>
      <c r="AZ188" s="1299"/>
      <c r="BA188" s="1298"/>
      <c r="BB188" s="1300"/>
      <c r="BC188" s="1298"/>
      <c r="BD188" s="1298"/>
      <c r="BE188" s="1298"/>
      <c r="BF188" s="1298"/>
      <c r="BG188" s="1296"/>
      <c r="BH188" s="1298"/>
      <c r="BI188" s="1298"/>
      <c r="BJ188" s="1298"/>
      <c r="BK188" s="1298"/>
      <c r="BL188" s="1335"/>
      <c r="BM188" s="1298"/>
      <c r="BN188" s="1298"/>
      <c r="BO188" s="1298"/>
      <c r="BP188" s="1298"/>
      <c r="BQ188" s="1335">
        <f>BQ189-BQ187</f>
        <v>0</v>
      </c>
      <c r="BR188" s="1298"/>
      <c r="BS188" s="1298"/>
      <c r="BT188" s="1298"/>
      <c r="BU188" s="1298"/>
      <c r="BV188" s="1335">
        <f>BV189-BV187</f>
        <v>0</v>
      </c>
      <c r="BW188" s="1298"/>
      <c r="BX188" s="1298"/>
      <c r="BY188" s="1298"/>
      <c r="BZ188" s="1298"/>
      <c r="CA188" s="1335"/>
      <c r="CB188" s="1336">
        <f>CB189-CB187</f>
        <v>0</v>
      </c>
      <c r="CC188" s="1336">
        <f>CC189-CC187</f>
        <v>0</v>
      </c>
      <c r="CD188" s="1298">
        <v>0</v>
      </c>
      <c r="CE188" s="1298">
        <v>0</v>
      </c>
      <c r="CF188" s="1335"/>
      <c r="CG188" s="1298"/>
      <c r="CH188" s="1298"/>
      <c r="CI188" s="1298"/>
      <c r="CJ188" s="1298"/>
      <c r="CK188" s="1335"/>
      <c r="CL188" s="1298"/>
      <c r="CM188" s="1298"/>
      <c r="CN188" s="1298"/>
      <c r="CO188" s="1298">
        <v>750</v>
      </c>
      <c r="CP188" s="1335">
        <f>+SUM(CL188:CO188)</f>
        <v>750</v>
      </c>
      <c r="CQ188" s="1298">
        <v>0</v>
      </c>
      <c r="CR188" s="1298">
        <v>0</v>
      </c>
      <c r="CS188" s="1298">
        <v>0</v>
      </c>
      <c r="CT188" s="1298">
        <v>0</v>
      </c>
      <c r="CU188" s="1335">
        <f>+SUM(CQ188:CT188)</f>
        <v>0</v>
      </c>
      <c r="CV188" s="1298">
        <v>0</v>
      </c>
      <c r="CW188" s="1298">
        <v>0</v>
      </c>
      <c r="CX188" s="1298">
        <v>0</v>
      </c>
      <c r="CY188" s="1298">
        <v>0</v>
      </c>
      <c r="CZ188" s="1335">
        <f>+SUM(CV188:CY188)</f>
        <v>0</v>
      </c>
      <c r="DA188" s="1298">
        <v>0</v>
      </c>
      <c r="DB188" s="1298">
        <v>0</v>
      </c>
      <c r="DC188" s="1298">
        <v>0</v>
      </c>
      <c r="DD188" s="1298">
        <v>-750</v>
      </c>
      <c r="DE188" s="1335">
        <f>+SUM(DA188:DD188)</f>
        <v>-750</v>
      </c>
      <c r="DF188" s="1298">
        <v>0</v>
      </c>
      <c r="DG188" s="1298">
        <v>0</v>
      </c>
      <c r="DH188" s="1298">
        <v>0</v>
      </c>
      <c r="DI188" s="1298">
        <v>0</v>
      </c>
      <c r="DJ188" s="1335">
        <f>+SUM(DF188:DI188)</f>
        <v>0</v>
      </c>
      <c r="DK188" s="1298">
        <v>0</v>
      </c>
      <c r="DL188" s="1298">
        <v>0</v>
      </c>
      <c r="DM188" s="1298">
        <v>0</v>
      </c>
      <c r="DN188" s="1298">
        <v>0</v>
      </c>
      <c r="DO188" s="1335">
        <f>+SUM(DK188:DN188)</f>
        <v>0</v>
      </c>
      <c r="DP188" s="1298">
        <v>0</v>
      </c>
      <c r="DQ188" s="1298">
        <v>0</v>
      </c>
      <c r="DR188" s="1298">
        <v>0</v>
      </c>
      <c r="DS188" s="1298">
        <v>0</v>
      </c>
      <c r="DT188" s="1335">
        <f>+SUM(DP188:DS188)</f>
        <v>0</v>
      </c>
      <c r="DU188" s="1298">
        <v>0</v>
      </c>
      <c r="DV188" s="1298">
        <v>0</v>
      </c>
      <c r="DW188" s="1298">
        <v>0</v>
      </c>
      <c r="DX188" s="1298">
        <v>0</v>
      </c>
      <c r="DY188" s="1335">
        <f>+SUM(DU188:DX188)</f>
        <v>0</v>
      </c>
    </row>
    <row r="189" spans="1:129" x14ac:dyDescent="0.2">
      <c r="A189" s="1295"/>
      <c r="B189" s="1190" t="s">
        <v>1154</v>
      </c>
      <c r="C189" s="1182"/>
      <c r="D189" s="1182"/>
      <c r="E189" s="1182"/>
      <c r="F189" s="1182"/>
      <c r="G189" s="1182"/>
      <c r="H189" s="1182"/>
      <c r="I189" s="1182"/>
      <c r="J189" s="1182"/>
      <c r="K189" s="1182"/>
      <c r="L189" s="1182"/>
      <c r="M189" s="1182"/>
      <c r="N189" s="1182"/>
      <c r="O189" s="1182"/>
      <c r="P189" s="1182"/>
      <c r="Q189" s="1182"/>
      <c r="R189" s="1182"/>
      <c r="S189" s="1182"/>
      <c r="T189" s="1182"/>
      <c r="U189" s="1182"/>
      <c r="V189" s="1182"/>
      <c r="W189" s="1182"/>
      <c r="X189" s="1304"/>
      <c r="Y189" s="1305"/>
      <c r="Z189" s="1305"/>
      <c r="AA189" s="1305"/>
      <c r="AB189" s="1305"/>
      <c r="AC189" s="1304"/>
      <c r="AD189" s="1305"/>
      <c r="AE189" s="1305"/>
      <c r="AF189" s="1305"/>
      <c r="AG189" s="1305"/>
      <c r="AH189" s="1304"/>
      <c r="AI189" s="1305"/>
      <c r="AJ189" s="1305"/>
      <c r="AK189" s="1305"/>
      <c r="AL189" s="1305"/>
      <c r="AM189" s="1304"/>
      <c r="AN189" s="1305"/>
      <c r="AO189" s="1305"/>
      <c r="AP189" s="1305"/>
      <c r="AQ189" s="1305"/>
      <c r="AR189" s="1304"/>
      <c r="AS189" s="1305"/>
      <c r="AT189" s="1305"/>
      <c r="AU189" s="1305"/>
      <c r="AV189" s="1305"/>
      <c r="AW189" s="1304"/>
      <c r="AX189" s="1305"/>
      <c r="AY189" s="1305"/>
      <c r="AZ189" s="1305"/>
      <c r="BA189" s="1305"/>
      <c r="BB189" s="1304"/>
      <c r="BC189" s="1305"/>
      <c r="BD189" s="1305"/>
      <c r="BE189" s="1305"/>
      <c r="BF189" s="1305"/>
      <c r="BG189" s="1306"/>
      <c r="BH189" s="1305"/>
      <c r="BI189" s="1305"/>
      <c r="BJ189" s="1305"/>
      <c r="BK189" s="1305"/>
      <c r="BL189" s="1337">
        <v>700</v>
      </c>
      <c r="BM189" s="1305"/>
      <c r="BN189" s="1305"/>
      <c r="BO189" s="1305"/>
      <c r="BP189" s="1305"/>
      <c r="BQ189" s="1337">
        <v>700</v>
      </c>
      <c r="BR189" s="1305"/>
      <c r="BS189" s="1305"/>
      <c r="BT189" s="1305"/>
      <c r="BU189" s="1305"/>
      <c r="BV189" s="1337">
        <v>700</v>
      </c>
      <c r="BW189" s="1305"/>
      <c r="BX189" s="1305"/>
      <c r="BY189" s="1305"/>
      <c r="BZ189" s="1305"/>
      <c r="CA189" s="1337"/>
      <c r="CB189" s="1295">
        <f>CA189</f>
        <v>0</v>
      </c>
      <c r="CC189" s="1226">
        <f>CB189</f>
        <v>0</v>
      </c>
      <c r="CD189" s="1295">
        <f>CD187+CD188</f>
        <v>0</v>
      </c>
      <c r="CE189" s="1295">
        <f>CE187+CE188</f>
        <v>0</v>
      </c>
      <c r="CF189" s="1325"/>
      <c r="CG189" s="1295"/>
      <c r="CH189" s="1295"/>
      <c r="CI189" s="1295"/>
      <c r="CJ189" s="1295"/>
      <c r="CK189" s="1325"/>
      <c r="CL189" s="1295"/>
      <c r="CM189" s="1295"/>
      <c r="CN189" s="1295"/>
      <c r="CO189" s="1295">
        <f t="shared" ref="CO189:CZ189" si="161">CO187+CO188</f>
        <v>750</v>
      </c>
      <c r="CP189" s="1325">
        <f t="shared" si="161"/>
        <v>750</v>
      </c>
      <c r="CQ189" s="1295">
        <f t="shared" si="161"/>
        <v>750</v>
      </c>
      <c r="CR189" s="1295">
        <f t="shared" si="161"/>
        <v>750</v>
      </c>
      <c r="CS189" s="1295">
        <f t="shared" si="161"/>
        <v>750</v>
      </c>
      <c r="CT189" s="1295">
        <f t="shared" si="161"/>
        <v>750</v>
      </c>
      <c r="CU189" s="1325">
        <f t="shared" si="161"/>
        <v>750</v>
      </c>
      <c r="CV189" s="1295">
        <f t="shared" si="161"/>
        <v>750</v>
      </c>
      <c r="CW189" s="1295">
        <f t="shared" si="161"/>
        <v>750</v>
      </c>
      <c r="CX189" s="1295">
        <f t="shared" si="161"/>
        <v>750</v>
      </c>
      <c r="CY189" s="1295">
        <f t="shared" si="161"/>
        <v>750</v>
      </c>
      <c r="CZ189" s="1325">
        <f t="shared" si="161"/>
        <v>750</v>
      </c>
      <c r="DA189" s="1295">
        <f t="shared" ref="DA189:DJ189" si="162">DA187+DA188</f>
        <v>750</v>
      </c>
      <c r="DB189" s="1295">
        <f t="shared" si="162"/>
        <v>750</v>
      </c>
      <c r="DC189" s="1295">
        <f t="shared" si="162"/>
        <v>750</v>
      </c>
      <c r="DD189" s="1295">
        <f t="shared" si="162"/>
        <v>0</v>
      </c>
      <c r="DE189" s="1325">
        <f t="shared" si="162"/>
        <v>0</v>
      </c>
      <c r="DF189" s="1295">
        <f t="shared" si="162"/>
        <v>750</v>
      </c>
      <c r="DG189" s="1295">
        <f t="shared" si="162"/>
        <v>750</v>
      </c>
      <c r="DH189" s="1295">
        <f t="shared" si="162"/>
        <v>750</v>
      </c>
      <c r="DI189" s="1295">
        <f t="shared" si="162"/>
        <v>750</v>
      </c>
      <c r="DJ189" s="1325">
        <f t="shared" si="162"/>
        <v>0</v>
      </c>
      <c r="DK189" s="1295">
        <f t="shared" ref="DK189:DT189" si="163">DK187+DK188</f>
        <v>750</v>
      </c>
      <c r="DL189" s="1295">
        <f t="shared" si="163"/>
        <v>750</v>
      </c>
      <c r="DM189" s="1295">
        <f t="shared" si="163"/>
        <v>750</v>
      </c>
      <c r="DN189" s="1295">
        <f t="shared" si="163"/>
        <v>750</v>
      </c>
      <c r="DO189" s="1325">
        <f t="shared" si="163"/>
        <v>0</v>
      </c>
      <c r="DP189" s="1295">
        <f t="shared" si="163"/>
        <v>750</v>
      </c>
      <c r="DQ189" s="1295">
        <f t="shared" si="163"/>
        <v>750</v>
      </c>
      <c r="DR189" s="1295">
        <f t="shared" si="163"/>
        <v>750</v>
      </c>
      <c r="DS189" s="1295">
        <f t="shared" si="163"/>
        <v>750</v>
      </c>
      <c r="DT189" s="1325">
        <f t="shared" si="163"/>
        <v>0</v>
      </c>
      <c r="DU189" s="1295">
        <f t="shared" ref="DU189:DY189" si="164">DU187+DU188</f>
        <v>750</v>
      </c>
      <c r="DV189" s="1295">
        <f t="shared" si="164"/>
        <v>750</v>
      </c>
      <c r="DW189" s="1295">
        <f t="shared" si="164"/>
        <v>750</v>
      </c>
      <c r="DX189" s="1295">
        <f t="shared" si="164"/>
        <v>750</v>
      </c>
      <c r="DY189" s="1325">
        <f t="shared" si="164"/>
        <v>0</v>
      </c>
    </row>
    <row r="190" spans="1:129" x14ac:dyDescent="0.2">
      <c r="A190" s="1223"/>
      <c r="B190" s="1190" t="s">
        <v>1155</v>
      </c>
      <c r="C190" s="1182"/>
      <c r="D190" s="1182"/>
      <c r="E190" s="1182"/>
      <c r="F190" s="1182"/>
      <c r="G190" s="1182"/>
      <c r="H190" s="1182"/>
      <c r="I190" s="1182"/>
      <c r="J190" s="1182"/>
      <c r="K190" s="1182"/>
      <c r="L190" s="1182"/>
      <c r="M190" s="1182"/>
      <c r="N190" s="1182"/>
      <c r="O190" s="1182"/>
      <c r="P190" s="1182"/>
      <c r="Q190" s="1182"/>
      <c r="R190" s="1182"/>
      <c r="S190" s="1182"/>
      <c r="T190" s="1182"/>
      <c r="U190" s="1182"/>
      <c r="V190" s="1182"/>
      <c r="W190" s="1182"/>
      <c r="X190" s="1227"/>
      <c r="Y190" s="1231"/>
      <c r="Z190" s="1231"/>
      <c r="AA190" s="1231"/>
      <c r="AB190" s="1231"/>
      <c r="AC190" s="1227"/>
      <c r="AD190" s="1231"/>
      <c r="AE190" s="1231"/>
      <c r="AF190" s="1231"/>
      <c r="AG190" s="1231"/>
      <c r="AH190" s="1227"/>
      <c r="AI190" s="1231"/>
      <c r="AJ190" s="1231"/>
      <c r="AK190" s="1231"/>
      <c r="AL190" s="1231"/>
      <c r="AM190" s="1227"/>
      <c r="AN190" s="1231"/>
      <c r="AO190" s="1231"/>
      <c r="AP190" s="1231"/>
      <c r="AQ190" s="1231"/>
      <c r="AR190" s="1227"/>
      <c r="AS190" s="1231"/>
      <c r="AT190" s="1231"/>
      <c r="AU190" s="1231"/>
      <c r="AV190" s="1231"/>
      <c r="AW190" s="1227"/>
      <c r="AX190" s="1231"/>
      <c r="AY190" s="1231"/>
      <c r="AZ190" s="1231"/>
      <c r="BA190" s="1231"/>
      <c r="BB190" s="1227"/>
      <c r="BC190" s="1231"/>
      <c r="BD190" s="1231"/>
      <c r="BE190" s="1231"/>
      <c r="BF190" s="1231"/>
      <c r="BG190" s="1227"/>
      <c r="BH190" s="1231"/>
      <c r="BI190" s="1231"/>
      <c r="BJ190" s="1231"/>
      <c r="BK190" s="1231"/>
      <c r="BL190" s="1326"/>
      <c r="BM190" s="1231"/>
      <c r="BN190" s="1231"/>
      <c r="BO190" s="1231"/>
      <c r="BP190" s="1231"/>
      <c r="BQ190" s="1326"/>
      <c r="BR190" s="1231"/>
      <c r="BS190" s="1231"/>
      <c r="BT190" s="1231"/>
      <c r="BU190" s="1231"/>
      <c r="BV190" s="1326"/>
      <c r="BW190" s="1231"/>
      <c r="BX190" s="1231"/>
      <c r="BY190" s="1231"/>
      <c r="BZ190" s="1231"/>
      <c r="CA190" s="1326"/>
      <c r="CB190" s="1231"/>
      <c r="CC190" s="1231"/>
      <c r="CD190" s="1231"/>
      <c r="CE190" s="1231"/>
      <c r="CF190" s="1326"/>
      <c r="CG190" s="1231"/>
      <c r="CH190" s="1231"/>
      <c r="CI190" s="1231"/>
      <c r="CJ190" s="1231"/>
      <c r="CK190" s="1326"/>
      <c r="CL190" s="1231"/>
      <c r="CM190" s="1231"/>
      <c r="CN190" s="1231"/>
      <c r="CO190" s="1231"/>
      <c r="CP190" s="1326"/>
      <c r="CQ190" s="1231"/>
      <c r="CR190" s="1231"/>
      <c r="CS190" s="1231"/>
      <c r="CT190" s="1231"/>
      <c r="CU190" s="1326"/>
      <c r="CV190" s="1231"/>
      <c r="CW190" s="1231"/>
      <c r="CX190" s="1231"/>
      <c r="CY190" s="1231"/>
      <c r="CZ190" s="1326"/>
      <c r="DA190" s="1231"/>
      <c r="DB190" s="1231"/>
      <c r="DC190" s="1231"/>
      <c r="DD190" s="1231"/>
      <c r="DE190" s="1326"/>
      <c r="DF190" s="1231"/>
      <c r="DG190" s="1231"/>
      <c r="DH190" s="1231"/>
      <c r="DI190" s="1231"/>
      <c r="DJ190" s="1326"/>
      <c r="DK190" s="1231"/>
      <c r="DL190" s="1231"/>
      <c r="DM190" s="1231"/>
      <c r="DN190" s="1231"/>
      <c r="DO190" s="1326"/>
      <c r="DP190" s="1231"/>
      <c r="DQ190" s="1231"/>
      <c r="DR190" s="1231"/>
      <c r="DS190" s="1231"/>
      <c r="DT190" s="1326"/>
      <c r="DU190" s="1231"/>
      <c r="DV190" s="1231"/>
      <c r="DW190" s="1231"/>
      <c r="DX190" s="1231"/>
      <c r="DY190" s="1326"/>
    </row>
    <row r="191" spans="1:129" x14ac:dyDescent="0.2">
      <c r="A191" s="1223"/>
      <c r="B191" s="1190" t="s">
        <v>1156</v>
      </c>
      <c r="C191" s="1182"/>
      <c r="D191" s="1182"/>
      <c r="E191" s="1182"/>
      <c r="F191" s="1182"/>
      <c r="G191" s="1182"/>
      <c r="H191" s="1182"/>
      <c r="I191" s="1182"/>
      <c r="J191" s="1182"/>
      <c r="K191" s="1182"/>
      <c r="L191" s="1182"/>
      <c r="M191" s="1182"/>
      <c r="N191" s="1182"/>
      <c r="O191" s="1182"/>
      <c r="P191" s="1182"/>
      <c r="Q191" s="1182"/>
      <c r="R191" s="1182"/>
      <c r="S191" s="1182"/>
      <c r="T191" s="1182"/>
      <c r="U191" s="1182"/>
      <c r="V191" s="1182"/>
      <c r="W191" s="1182"/>
      <c r="X191" s="1227"/>
      <c r="Y191" s="1231"/>
      <c r="Z191" s="1231"/>
      <c r="AA191" s="1231"/>
      <c r="AB191" s="1231"/>
      <c r="AC191" s="1227"/>
      <c r="AD191" s="1231"/>
      <c r="AE191" s="1231"/>
      <c r="AF191" s="1231"/>
      <c r="AG191" s="1231"/>
      <c r="AH191" s="1227"/>
      <c r="AI191" s="1231"/>
      <c r="AJ191" s="1231"/>
      <c r="AK191" s="1231"/>
      <c r="AL191" s="1231"/>
      <c r="AM191" s="1227"/>
      <c r="AN191" s="1231"/>
      <c r="AO191" s="1231"/>
      <c r="AP191" s="1231"/>
      <c r="AQ191" s="1231"/>
      <c r="AR191" s="1227"/>
      <c r="AS191" s="1231"/>
      <c r="AT191" s="1231"/>
      <c r="AU191" s="1231"/>
      <c r="AV191" s="1231"/>
      <c r="AW191" s="1227"/>
      <c r="AX191" s="1231"/>
      <c r="AY191" s="1231"/>
      <c r="AZ191" s="1231"/>
      <c r="BA191" s="1231"/>
      <c r="BB191" s="1227"/>
      <c r="BC191" s="1231"/>
      <c r="BD191" s="1231"/>
      <c r="BE191" s="1231"/>
      <c r="BF191" s="1231"/>
      <c r="BG191" s="1227"/>
      <c r="BH191" s="1231"/>
      <c r="BI191" s="1231"/>
      <c r="BJ191" s="1231"/>
      <c r="BK191" s="1231"/>
      <c r="BL191" s="1326">
        <f>-(AVERAGE(BL187,BL189))*(BL185)</f>
        <v>-42.875</v>
      </c>
      <c r="BM191" s="1231"/>
      <c r="BN191" s="1231"/>
      <c r="BO191" s="1231"/>
      <c r="BP191" s="1231"/>
      <c r="BQ191" s="1326">
        <f>-(AVERAGE(BQ187,BQ189))*(BQ185)</f>
        <v>-42.875</v>
      </c>
      <c r="BR191" s="1231"/>
      <c r="BS191" s="1231"/>
      <c r="BT191" s="1231"/>
      <c r="BU191" s="1231"/>
      <c r="BV191" s="1326">
        <f>-(AVERAGE(BV187,BV189))*(BV185)</f>
        <v>-42.875</v>
      </c>
      <c r="BW191" s="1231"/>
      <c r="BX191" s="1231"/>
      <c r="BY191" s="1231"/>
      <c r="BZ191" s="1231"/>
      <c r="CA191" s="1326"/>
      <c r="CB191" s="1223">
        <f>-(AVERAGE(CB189,CB187))*(CB185/4)</f>
        <v>0</v>
      </c>
      <c r="CC191" s="1223">
        <f>-(AVERAGE(CC189,CC187))*(CC185/4)</f>
        <v>0</v>
      </c>
      <c r="CD191" s="1223">
        <f>-(AVERAGE(CD189,CD187))*(CD185/4)</f>
        <v>0</v>
      </c>
      <c r="CE191" s="1223">
        <f>-(AVERAGE(CE189,CE187))*(CE185/4)</f>
        <v>0</v>
      </c>
      <c r="CF191" s="1326"/>
      <c r="CG191" s="1223"/>
      <c r="CH191" s="1223"/>
      <c r="CI191" s="1223"/>
      <c r="CJ191" s="1223"/>
      <c r="CK191" s="1326"/>
      <c r="CL191" s="1223"/>
      <c r="CM191" s="1223"/>
      <c r="CN191" s="1223"/>
      <c r="CO191" s="1223">
        <f>-(AVERAGE(CO189,CO187))*(CO185/4)*1/3</f>
        <v>-0.375</v>
      </c>
      <c r="CP191" s="1326">
        <f>SUM(CL191:CO191)</f>
        <v>-0.375</v>
      </c>
      <c r="CQ191" s="1223">
        <f>-(AVERAGE(CQ189,CQ187))*(CQ185/4)</f>
        <v>-2.25</v>
      </c>
      <c r="CR191" s="1223">
        <f>-(AVERAGE(CR189,CR187))*(CR185/4)</f>
        <v>-2.25</v>
      </c>
      <c r="CS191" s="1223">
        <f>-(AVERAGE(CS189,CS187))*(CS185/4)</f>
        <v>-2.25</v>
      </c>
      <c r="CT191" s="1223">
        <f>-(AVERAGE(CT189,CT187))*(CT185/4)</f>
        <v>-2.25</v>
      </c>
      <c r="CU191" s="1326">
        <f>SUM(CQ191:CT191)</f>
        <v>-9</v>
      </c>
      <c r="CV191" s="1223">
        <f>-(AVERAGE(CV189,CV187))*(CV185/4)</f>
        <v>-2.25</v>
      </c>
      <c r="CW191" s="1223">
        <f>-(AVERAGE(CW189,CW187))*(CW185/4)</f>
        <v>-2.25</v>
      </c>
      <c r="CX191" s="1223">
        <f>-(AVERAGE(CX189,CX187))*(CX185/4)</f>
        <v>-2.25</v>
      </c>
      <c r="CY191" s="1223">
        <f>-(AVERAGE(CY189,CY187))*(CY185/4)</f>
        <v>-2.25</v>
      </c>
      <c r="CZ191" s="1326">
        <f>SUM(CV191:CY191)</f>
        <v>-9</v>
      </c>
      <c r="DA191" s="1223">
        <f>-(AVERAGE(DA189,DA187))*(DA185/4)</f>
        <v>-2.25</v>
      </c>
      <c r="DB191" s="1223">
        <f>-(AVERAGE(DB189,DB187))*(DB185/4)</f>
        <v>-2.25</v>
      </c>
      <c r="DC191" s="1223">
        <f>-(AVERAGE(DC189,DC187))*(DC185/4)</f>
        <v>-2.25</v>
      </c>
      <c r="DD191" s="1223">
        <f>-(AVERAGE(DD189,DD187))*(DD185/4)</f>
        <v>-1.125</v>
      </c>
      <c r="DE191" s="1326">
        <f>SUM(DA191:DD191)</f>
        <v>-7.875</v>
      </c>
      <c r="DF191" s="1223">
        <f>-(AVERAGE(DF189,DF187))*(DF185/4)</f>
        <v>-2.25</v>
      </c>
      <c r="DG191" s="1223">
        <f>-(AVERAGE(DG189,DG187))*(DG185/4)</f>
        <v>-2.25</v>
      </c>
      <c r="DH191" s="1223">
        <f>-(AVERAGE(DH189,DH187))*(DH185/4)</f>
        <v>-2.25</v>
      </c>
      <c r="DI191" s="1223">
        <f>-(AVERAGE(DI189,DI187))*(DI185/4)</f>
        <v>-2.25</v>
      </c>
      <c r="DJ191" s="1326">
        <f>SUM(DF191:DI191)</f>
        <v>-9</v>
      </c>
      <c r="DK191" s="1223">
        <f>-(AVERAGE(DK189,DK187))*(DK185/4)</f>
        <v>-2.25</v>
      </c>
      <c r="DL191" s="1223">
        <f>-(AVERAGE(DL189,DL187))*(DL185/4)</f>
        <v>-2.25</v>
      </c>
      <c r="DM191" s="1223">
        <f>-(AVERAGE(DM189,DM187))*(DM185/4)</f>
        <v>-2.25</v>
      </c>
      <c r="DN191" s="1223">
        <f>-(AVERAGE(DN189,DN187))*(DN185/4)</f>
        <v>-2.25</v>
      </c>
      <c r="DO191" s="1326">
        <f>SUM(DK191:DN191)</f>
        <v>-9</v>
      </c>
      <c r="DP191" s="1223">
        <f>-(AVERAGE(DP189,DP187))*(DP185/4)</f>
        <v>-2.25</v>
      </c>
      <c r="DQ191" s="1223">
        <f>-(AVERAGE(DQ189,DQ187))*(DQ185/4)</f>
        <v>-2.25</v>
      </c>
      <c r="DR191" s="1223">
        <f>-(AVERAGE(DR189,DR187))*(DR185/4)</f>
        <v>-2.25</v>
      </c>
      <c r="DS191" s="1223">
        <f>-(AVERAGE(DS189,DS187))*(DS185/4)</f>
        <v>-2.25</v>
      </c>
      <c r="DT191" s="1326">
        <f>SUM(DP191:DS191)</f>
        <v>-9</v>
      </c>
      <c r="DU191" s="1223">
        <f>-(AVERAGE(DU189,DU187))*(DU185/4)</f>
        <v>-2.25</v>
      </c>
      <c r="DV191" s="1223">
        <f>-(AVERAGE(DV189,DV187))*(DV185/4)</f>
        <v>-2.25</v>
      </c>
      <c r="DW191" s="1223">
        <f>-(AVERAGE(DW189,DW187))*(DW185/4)</f>
        <v>-2.25</v>
      </c>
      <c r="DX191" s="1223">
        <f>-(AVERAGE(DX189,DX187))*(DX185/4)</f>
        <v>-2.25</v>
      </c>
      <c r="DY191" s="1326">
        <f>SUM(DU191:DX191)</f>
        <v>-9</v>
      </c>
    </row>
    <row r="192" spans="1:129" ht="12" thickBot="1" x14ac:dyDescent="0.25">
      <c r="A192" s="1223"/>
      <c r="B192" s="1250" t="s">
        <v>1157</v>
      </c>
      <c r="C192" s="1251"/>
      <c r="D192" s="1251"/>
      <c r="E192" s="1251"/>
      <c r="F192" s="1251"/>
      <c r="G192" s="1251"/>
      <c r="H192" s="1251"/>
      <c r="I192" s="1251"/>
      <c r="J192" s="1251"/>
      <c r="K192" s="1251"/>
      <c r="L192" s="1251"/>
      <c r="M192" s="1251"/>
      <c r="N192" s="1251"/>
      <c r="O192" s="1251"/>
      <c r="P192" s="1251"/>
      <c r="Q192" s="1251"/>
      <c r="R192" s="1251"/>
      <c r="S192" s="1251"/>
      <c r="T192" s="1251"/>
      <c r="U192" s="1251"/>
      <c r="V192" s="1251"/>
      <c r="W192" s="1251"/>
      <c r="X192" s="1252"/>
      <c r="Y192" s="1251"/>
      <c r="Z192" s="1251"/>
      <c r="AA192" s="1251"/>
      <c r="AB192" s="1251"/>
      <c r="AC192" s="1252"/>
      <c r="AD192" s="1251"/>
      <c r="AE192" s="1251"/>
      <c r="AF192" s="1251"/>
      <c r="AG192" s="1251"/>
      <c r="AH192" s="1252"/>
      <c r="AI192" s="1251"/>
      <c r="AJ192" s="1251"/>
      <c r="AK192" s="1251"/>
      <c r="AL192" s="1251"/>
      <c r="AM192" s="1252"/>
      <c r="AN192" s="1251"/>
      <c r="AO192" s="1251"/>
      <c r="AP192" s="1251"/>
      <c r="AQ192" s="1253"/>
      <c r="AR192" s="1252"/>
      <c r="AS192" s="1253"/>
      <c r="AT192" s="1253"/>
      <c r="AU192" s="1253"/>
      <c r="AV192" s="1253"/>
      <c r="AW192" s="1252"/>
      <c r="AX192" s="1253"/>
      <c r="AY192" s="1253"/>
      <c r="AZ192" s="1253"/>
      <c r="BA192" s="1253"/>
      <c r="BB192" s="1252"/>
      <c r="BC192" s="1253"/>
      <c r="BD192" s="1253"/>
      <c r="BE192" s="1253"/>
      <c r="BF192" s="1253"/>
      <c r="BG192" s="1252"/>
      <c r="BH192" s="1253"/>
      <c r="BI192" s="1253"/>
      <c r="BJ192" s="1253"/>
      <c r="BK192" s="1253"/>
      <c r="BL192" s="1327"/>
      <c r="BM192" s="1253"/>
      <c r="BN192" s="1253"/>
      <c r="BO192" s="1253"/>
      <c r="BP192" s="1253"/>
      <c r="BQ192" s="1327"/>
      <c r="BR192" s="1253"/>
      <c r="BS192" s="1253"/>
      <c r="BT192" s="1253"/>
      <c r="BU192" s="1253"/>
      <c r="BV192" s="1327"/>
      <c r="BW192" s="1253"/>
      <c r="BX192" s="1253"/>
      <c r="BY192" s="1253"/>
      <c r="BZ192" s="1253"/>
      <c r="CA192" s="1327"/>
      <c r="CB192" s="1253">
        <f>-CB184*CB190/4</f>
        <v>0</v>
      </c>
      <c r="CC192" s="1253">
        <f>-CC184*CC190/4</f>
        <v>0</v>
      </c>
      <c r="CD192" s="1253">
        <f>-CD184*CD190/4</f>
        <v>0</v>
      </c>
      <c r="CE192" s="1253">
        <f>-CE184*CE190/4</f>
        <v>0</v>
      </c>
      <c r="CF192" s="1327"/>
      <c r="CG192" s="1253"/>
      <c r="CH192" s="1253"/>
      <c r="CI192" s="1253"/>
      <c r="CJ192" s="1253"/>
      <c r="CK192" s="1327"/>
      <c r="CL192" s="1253"/>
      <c r="CM192" s="1253"/>
      <c r="CN192" s="1253"/>
      <c r="CO192" s="1253">
        <f>-CO184*CO190/4</f>
        <v>0</v>
      </c>
      <c r="CP192" s="1327"/>
      <c r="CQ192" s="1253">
        <f>-CQ184*CQ190/4</f>
        <v>0</v>
      </c>
      <c r="CR192" s="1253">
        <f>-CR184*CR190/4</f>
        <v>0</v>
      </c>
      <c r="CS192" s="1253">
        <f>-CS184*CS190/4</f>
        <v>0</v>
      </c>
      <c r="CT192" s="1253">
        <f>-CT184*CT190/4</f>
        <v>0</v>
      </c>
      <c r="CU192" s="1327"/>
      <c r="CV192" s="1253">
        <f>-CV184*CV190/4</f>
        <v>0</v>
      </c>
      <c r="CW192" s="1253">
        <f>-CW184*CW190/4</f>
        <v>0</v>
      </c>
      <c r="CX192" s="1253">
        <f>-CX184*CX190/4</f>
        <v>0</v>
      </c>
      <c r="CY192" s="1253">
        <f>-CY184*CY190/4</f>
        <v>0</v>
      </c>
      <c r="CZ192" s="1327"/>
      <c r="DA192" s="1253">
        <f>-DA184*DA190/4</f>
        <v>0</v>
      </c>
      <c r="DB192" s="1253">
        <f>-DB184*DB190/4</f>
        <v>0</v>
      </c>
      <c r="DC192" s="1253">
        <f>-DC184*DC190/4</f>
        <v>0</v>
      </c>
      <c r="DD192" s="1253">
        <f>-DD184*DD190/4</f>
        <v>0</v>
      </c>
      <c r="DE192" s="1327"/>
      <c r="DF192" s="1253">
        <f>-DF184*DF190/4</f>
        <v>0</v>
      </c>
      <c r="DG192" s="1253">
        <f>-DG184*DG190/4</f>
        <v>0</v>
      </c>
      <c r="DH192" s="1253">
        <f>-DH184*DH190/4</f>
        <v>0</v>
      </c>
      <c r="DI192" s="1253">
        <f>-DI184*DI190/4</f>
        <v>0</v>
      </c>
      <c r="DJ192" s="1327"/>
      <c r="DK192" s="1253">
        <f>-DK184*DK190/4</f>
        <v>0</v>
      </c>
      <c r="DL192" s="1253">
        <f>-DL184*DL190/4</f>
        <v>0</v>
      </c>
      <c r="DM192" s="1253">
        <f>-DM184*DM190/4</f>
        <v>0</v>
      </c>
      <c r="DN192" s="1253">
        <f>-DN184*DN190/4</f>
        <v>0</v>
      </c>
      <c r="DO192" s="1327"/>
      <c r="DP192" s="1253">
        <f>-DP184*DP190/4</f>
        <v>0</v>
      </c>
      <c r="DQ192" s="1253">
        <f>-DQ184*DQ190/4</f>
        <v>0</v>
      </c>
      <c r="DR192" s="1253">
        <f>-DR184*DR190/4</f>
        <v>0</v>
      </c>
      <c r="DS192" s="1253">
        <f>-DS184*DS190/4</f>
        <v>0</v>
      </c>
      <c r="DT192" s="1327"/>
      <c r="DU192" s="1253">
        <f>-DU184*DU190/4</f>
        <v>0</v>
      </c>
      <c r="DV192" s="1253">
        <f>-DV184*DV190/4</f>
        <v>0</v>
      </c>
      <c r="DW192" s="1253">
        <f>-DW184*DW190/4</f>
        <v>0</v>
      </c>
      <c r="DX192" s="1253">
        <f>-DX184*DX190/4</f>
        <v>0</v>
      </c>
      <c r="DY192" s="1327"/>
    </row>
    <row r="193" spans="1:129" ht="12" thickBot="1" x14ac:dyDescent="0.25">
      <c r="A193" s="1240"/>
      <c r="B193" s="1240"/>
      <c r="C193" s="1214"/>
      <c r="D193" s="1214"/>
      <c r="E193" s="1214"/>
      <c r="F193" s="1214"/>
      <c r="G193" s="1214"/>
      <c r="H193" s="1214"/>
      <c r="I193" s="1214"/>
      <c r="J193" s="1214"/>
      <c r="K193" s="1214"/>
      <c r="L193" s="1214"/>
      <c r="M193" s="1214"/>
      <c r="N193" s="1214"/>
      <c r="O193" s="1214"/>
      <c r="P193" s="1214"/>
      <c r="Q193" s="1214"/>
      <c r="R193" s="1214"/>
      <c r="S193" s="1214"/>
      <c r="T193" s="1214"/>
      <c r="U193" s="1214"/>
      <c r="V193" s="1214"/>
      <c r="W193" s="1214"/>
      <c r="X193" s="1214"/>
      <c r="Y193" s="1214"/>
      <c r="Z193" s="1214"/>
      <c r="AA193" s="1214"/>
      <c r="AB193" s="1214"/>
      <c r="AC193" s="1214"/>
      <c r="AD193" s="1214"/>
      <c r="AE193" s="1214"/>
      <c r="AF193" s="1214"/>
      <c r="AG193" s="1214"/>
      <c r="AH193" s="1214"/>
      <c r="AI193" s="1214"/>
      <c r="AJ193" s="1214"/>
      <c r="AK193" s="1214"/>
      <c r="AL193" s="1214"/>
      <c r="AM193" s="1214"/>
      <c r="AN193" s="1214"/>
      <c r="AO193" s="1214"/>
      <c r="AP193" s="1214"/>
      <c r="AQ193" s="1215"/>
      <c r="AR193" s="1215"/>
      <c r="AS193" s="1215"/>
      <c r="AT193" s="1215"/>
      <c r="AU193" s="1215"/>
      <c r="AV193" s="1215"/>
      <c r="AW193" s="1338"/>
      <c r="AX193" s="1215"/>
      <c r="AY193" s="1215"/>
      <c r="AZ193" s="1215"/>
      <c r="BA193" s="1215"/>
      <c r="BB193" s="1338"/>
      <c r="BC193" s="1215"/>
      <c r="BD193" s="1215"/>
      <c r="BE193" s="1215"/>
      <c r="BF193" s="1215"/>
      <c r="BG193" s="1338"/>
      <c r="BH193" s="1215"/>
      <c r="BI193" s="1215"/>
      <c r="BJ193" s="1215"/>
      <c r="BK193" s="1215"/>
      <c r="BL193" s="1338"/>
      <c r="BM193" s="1215"/>
      <c r="BN193" s="1215"/>
      <c r="BO193" s="1215"/>
      <c r="BP193" s="1215"/>
      <c r="BQ193" s="1338"/>
      <c r="BR193" s="1215"/>
      <c r="BS193" s="1215"/>
      <c r="BT193" s="1215"/>
      <c r="BU193" s="1215"/>
      <c r="BV193" s="1338"/>
      <c r="BW193" s="1215"/>
      <c r="BX193" s="1215"/>
      <c r="BY193" s="1215"/>
      <c r="BZ193" s="1215"/>
      <c r="CA193" s="1338"/>
      <c r="CB193" s="1215"/>
      <c r="CC193" s="1215"/>
      <c r="CD193" s="1215"/>
      <c r="CE193" s="1215"/>
      <c r="CF193" s="1338"/>
      <c r="CG193" s="1215"/>
      <c r="CH193" s="1215"/>
      <c r="CI193" s="1215"/>
      <c r="CJ193" s="1215"/>
      <c r="CK193" s="1338"/>
      <c r="CL193" s="1215"/>
      <c r="CM193" s="1215"/>
      <c r="CN193" s="1215"/>
      <c r="CO193" s="1215"/>
      <c r="CP193" s="1338"/>
      <c r="CQ193" s="1215"/>
      <c r="CR193" s="1215"/>
      <c r="CS193" s="1215"/>
      <c r="CT193" s="1215"/>
      <c r="CU193" s="1338"/>
      <c r="CV193" s="1215"/>
      <c r="CW193" s="1215"/>
      <c r="CX193" s="1215"/>
      <c r="CY193" s="1215"/>
      <c r="CZ193" s="1338"/>
      <c r="DA193" s="1215"/>
      <c r="DB193" s="1215"/>
      <c r="DC193" s="1215"/>
      <c r="DD193" s="1215"/>
      <c r="DE193" s="1338"/>
      <c r="DF193" s="1215"/>
      <c r="DG193" s="1215"/>
      <c r="DH193" s="1215"/>
      <c r="DI193" s="1215"/>
      <c r="DJ193" s="1338"/>
      <c r="DK193" s="1215"/>
      <c r="DL193" s="1215"/>
      <c r="DM193" s="1215"/>
      <c r="DN193" s="1215"/>
      <c r="DO193" s="1338"/>
      <c r="DP193" s="1215"/>
      <c r="DQ193" s="1215"/>
      <c r="DR193" s="1215"/>
      <c r="DS193" s="1215"/>
      <c r="DT193" s="1338"/>
      <c r="DU193" s="1215"/>
      <c r="DV193" s="1215"/>
      <c r="DW193" s="1215"/>
      <c r="DX193" s="1215"/>
      <c r="DY193" s="1338"/>
    </row>
    <row r="194" spans="1:129" ht="12" thickBot="1" x14ac:dyDescent="0.25">
      <c r="A194" s="1123"/>
      <c r="B194" s="1282" t="s">
        <v>1166</v>
      </c>
      <c r="C194" s="1328"/>
      <c r="D194" s="1329"/>
      <c r="E194" s="1329"/>
      <c r="F194" s="1329"/>
      <c r="G194" s="1329"/>
      <c r="H194" s="1329"/>
      <c r="I194" s="1329"/>
      <c r="J194" s="1329"/>
      <c r="K194" s="1329"/>
      <c r="L194" s="1329"/>
      <c r="M194" s="1329"/>
      <c r="N194" s="1329"/>
      <c r="O194" s="1329"/>
      <c r="P194" s="1329"/>
      <c r="Q194" s="1329"/>
      <c r="R194" s="1329"/>
      <c r="S194" s="1329"/>
      <c r="T194" s="1329"/>
      <c r="U194" s="1329"/>
      <c r="V194" s="1329"/>
      <c r="W194" s="1329"/>
      <c r="X194" s="1328"/>
      <c r="Y194" s="1328"/>
      <c r="Z194" s="1328"/>
      <c r="AA194" s="1328"/>
      <c r="AB194" s="1328"/>
      <c r="AC194" s="1328"/>
      <c r="AD194" s="1328"/>
      <c r="AE194" s="1328"/>
      <c r="AF194" s="1328"/>
      <c r="AG194" s="1328"/>
      <c r="AH194" s="1328"/>
      <c r="AI194" s="1328"/>
      <c r="AJ194" s="1328"/>
      <c r="AK194" s="1328"/>
      <c r="AL194" s="1328"/>
      <c r="AM194" s="1328"/>
      <c r="AN194" s="1328"/>
      <c r="AO194" s="1328"/>
      <c r="AP194" s="1328"/>
      <c r="AQ194" s="1330"/>
      <c r="AR194" s="1330"/>
      <c r="AS194" s="1330"/>
      <c r="AT194" s="1331"/>
      <c r="AU194" s="1331"/>
      <c r="AV194" s="1331"/>
      <c r="AW194" s="1330"/>
      <c r="AX194" s="1330"/>
      <c r="AY194" s="1330"/>
      <c r="AZ194" s="1330"/>
      <c r="BA194" s="1330"/>
      <c r="BB194" s="1330"/>
      <c r="BC194" s="1330"/>
      <c r="BD194" s="1330"/>
      <c r="BE194" s="1330"/>
      <c r="BF194" s="1330"/>
      <c r="BG194" s="1330"/>
      <c r="BH194" s="1330"/>
      <c r="BI194" s="1330"/>
      <c r="BJ194" s="1330"/>
      <c r="BK194" s="1330"/>
      <c r="BL194" s="1332"/>
      <c r="BM194" s="1330"/>
      <c r="BN194" s="1330"/>
      <c r="BO194" s="1330"/>
      <c r="BP194" s="1330"/>
      <c r="BQ194" s="1332"/>
      <c r="BR194" s="1330"/>
      <c r="BS194" s="1330"/>
      <c r="BT194" s="1330"/>
      <c r="BU194" s="1330"/>
      <c r="BV194" s="1332"/>
      <c r="BW194" s="1330"/>
      <c r="BX194" s="1330"/>
      <c r="BY194" s="1330"/>
      <c r="BZ194" s="1330"/>
      <c r="CA194" s="1332"/>
      <c r="CB194" s="1330"/>
      <c r="CC194" s="1330"/>
      <c r="CD194" s="1330"/>
      <c r="CE194" s="1330"/>
      <c r="CF194" s="1332"/>
      <c r="CG194" s="1330"/>
      <c r="CH194" s="1330"/>
      <c r="CI194" s="1330"/>
      <c r="CJ194" s="1330"/>
      <c r="CK194" s="1332"/>
      <c r="CL194" s="1330"/>
      <c r="CM194" s="1330"/>
      <c r="CN194" s="1330"/>
      <c r="CO194" s="1330"/>
      <c r="CP194" s="1332"/>
      <c r="CQ194" s="1330"/>
      <c r="CR194" s="1330"/>
      <c r="CS194" s="1330"/>
      <c r="CT194" s="1330"/>
      <c r="CU194" s="1332"/>
      <c r="CV194" s="1330"/>
      <c r="CW194" s="1330"/>
      <c r="CX194" s="1330"/>
      <c r="CY194" s="1330"/>
      <c r="CZ194" s="1332"/>
      <c r="DA194" s="1330"/>
      <c r="DB194" s="1330"/>
      <c r="DC194" s="1330"/>
      <c r="DD194" s="1330"/>
      <c r="DE194" s="1332"/>
      <c r="DF194" s="1330"/>
      <c r="DG194" s="1330"/>
      <c r="DH194" s="1330"/>
      <c r="DI194" s="1330"/>
      <c r="DJ194" s="1332"/>
      <c r="DK194" s="1330"/>
      <c r="DL194" s="1330"/>
      <c r="DM194" s="1330"/>
      <c r="DN194" s="1330"/>
      <c r="DO194" s="1332"/>
      <c r="DP194" s="1330"/>
      <c r="DQ194" s="1330"/>
      <c r="DR194" s="1330"/>
      <c r="DS194" s="1330"/>
      <c r="DT194" s="1332"/>
      <c r="DU194" s="1330"/>
      <c r="DV194" s="1330"/>
      <c r="DW194" s="1330"/>
      <c r="DX194" s="1330"/>
      <c r="DY194" s="1332"/>
    </row>
    <row r="195" spans="1:129" x14ac:dyDescent="0.2">
      <c r="A195" s="532"/>
      <c r="B195" s="1287" t="s">
        <v>1149</v>
      </c>
      <c r="C195" s="650"/>
      <c r="D195" s="650"/>
      <c r="E195" s="650"/>
      <c r="F195" s="650"/>
      <c r="G195" s="650"/>
      <c r="H195" s="650"/>
      <c r="I195" s="650"/>
      <c r="J195" s="650"/>
      <c r="K195" s="650"/>
      <c r="L195" s="650"/>
      <c r="M195" s="650"/>
      <c r="N195" s="650"/>
      <c r="O195" s="650"/>
      <c r="P195" s="650"/>
      <c r="Q195" s="650"/>
      <c r="R195" s="650"/>
      <c r="S195" s="650"/>
      <c r="T195" s="650"/>
      <c r="U195" s="650"/>
      <c r="V195" s="650"/>
      <c r="W195" s="650"/>
      <c r="X195" s="1288"/>
      <c r="Y195" s="650"/>
      <c r="Z195" s="650"/>
      <c r="AA195" s="650"/>
      <c r="AB195" s="650"/>
      <c r="AC195" s="1288"/>
      <c r="AD195" s="650"/>
      <c r="AE195" s="650"/>
      <c r="AF195" s="650"/>
      <c r="AG195" s="650"/>
      <c r="AH195" s="1288"/>
      <c r="AI195" s="650"/>
      <c r="AJ195" s="650"/>
      <c r="AK195" s="650"/>
      <c r="AL195" s="650"/>
      <c r="AM195" s="1288"/>
      <c r="AN195" s="650"/>
      <c r="AO195" s="650"/>
      <c r="AP195" s="650"/>
      <c r="AQ195" s="650"/>
      <c r="AR195" s="1288"/>
      <c r="AS195" s="650"/>
      <c r="AT195" s="650"/>
      <c r="AU195" s="650"/>
      <c r="AV195" s="650"/>
      <c r="AW195" s="1288"/>
      <c r="AX195" s="650"/>
      <c r="AY195" s="650"/>
      <c r="AZ195" s="650"/>
      <c r="BA195" s="650"/>
      <c r="BB195" s="1288"/>
      <c r="BC195" s="650"/>
      <c r="BD195" s="650"/>
      <c r="BE195" s="650"/>
      <c r="BF195" s="650"/>
      <c r="BG195" s="1288"/>
      <c r="BH195" s="650"/>
      <c r="BI195" s="650"/>
      <c r="BJ195" s="650"/>
      <c r="BK195" s="650"/>
      <c r="BL195" s="583"/>
      <c r="BM195" s="650"/>
      <c r="BN195" s="650"/>
      <c r="BO195" s="650"/>
      <c r="BP195" s="650"/>
      <c r="BQ195" s="583"/>
      <c r="BR195" s="650"/>
      <c r="BS195" s="650"/>
      <c r="BT195" s="650"/>
      <c r="BU195" s="650"/>
      <c r="BV195" s="583"/>
      <c r="BW195" s="650"/>
      <c r="BX195" s="650"/>
      <c r="BY195" s="650"/>
      <c r="BZ195" s="650"/>
      <c r="CA195" s="583"/>
      <c r="CB195" s="650"/>
      <c r="CC195" s="650"/>
      <c r="CD195" s="650"/>
      <c r="CE195" s="650"/>
      <c r="CF195" s="583"/>
      <c r="CG195" s="650"/>
      <c r="CH195" s="650"/>
      <c r="CI195" s="650"/>
      <c r="CJ195" s="650"/>
      <c r="CK195" s="583"/>
      <c r="CL195" s="650"/>
      <c r="CM195" s="650"/>
      <c r="CN195" s="650"/>
      <c r="CO195" s="650"/>
      <c r="CP195" s="583"/>
      <c r="CQ195" s="650"/>
      <c r="CR195" s="650"/>
      <c r="CS195" s="650"/>
      <c r="CT195" s="650"/>
      <c r="CU195" s="583"/>
      <c r="CV195" s="650"/>
      <c r="CW195" s="650"/>
      <c r="CX195" s="650"/>
      <c r="CY195" s="650"/>
      <c r="CZ195" s="583"/>
      <c r="DA195" s="650"/>
      <c r="DB195" s="650"/>
      <c r="DC195" s="650"/>
      <c r="DD195" s="650"/>
      <c r="DE195" s="583"/>
      <c r="DF195" s="650"/>
      <c r="DG195" s="650"/>
      <c r="DH195" s="650"/>
      <c r="DI195" s="650"/>
      <c r="DJ195" s="583"/>
      <c r="DK195" s="650"/>
      <c r="DL195" s="650"/>
      <c r="DM195" s="650"/>
      <c r="DN195" s="650"/>
      <c r="DO195" s="583"/>
      <c r="DP195" s="650"/>
      <c r="DQ195" s="650"/>
      <c r="DR195" s="650"/>
      <c r="DS195" s="650"/>
      <c r="DT195" s="583"/>
      <c r="DU195" s="650"/>
      <c r="DV195" s="650"/>
      <c r="DW195" s="650"/>
      <c r="DX195" s="650"/>
      <c r="DY195" s="583"/>
    </row>
    <row r="196" spans="1:129" x14ac:dyDescent="0.2">
      <c r="A196" s="532"/>
      <c r="B196" s="1287" t="s">
        <v>1150</v>
      </c>
      <c r="C196" s="650"/>
      <c r="D196" s="650"/>
      <c r="E196" s="650"/>
      <c r="F196" s="650"/>
      <c r="G196" s="650"/>
      <c r="H196" s="650"/>
      <c r="I196" s="650"/>
      <c r="J196" s="650"/>
      <c r="K196" s="650"/>
      <c r="L196" s="650"/>
      <c r="M196" s="650"/>
      <c r="N196" s="650"/>
      <c r="O196" s="650"/>
      <c r="P196" s="650"/>
      <c r="Q196" s="650"/>
      <c r="R196" s="650"/>
      <c r="S196" s="650"/>
      <c r="T196" s="650"/>
      <c r="U196" s="650"/>
      <c r="V196" s="650"/>
      <c r="W196" s="650"/>
      <c r="X196" s="1288"/>
      <c r="Y196" s="650"/>
      <c r="Z196" s="650"/>
      <c r="AA196" s="650"/>
      <c r="AB196" s="650"/>
      <c r="AC196" s="1288"/>
      <c r="AD196" s="650"/>
      <c r="AE196" s="650"/>
      <c r="AF196" s="650"/>
      <c r="AG196" s="650"/>
      <c r="AH196" s="1288"/>
      <c r="AI196" s="650"/>
      <c r="AJ196" s="650"/>
      <c r="AK196" s="650"/>
      <c r="AL196" s="650"/>
      <c r="AM196" s="1288"/>
      <c r="AN196" s="650"/>
      <c r="AO196" s="650"/>
      <c r="AP196" s="650"/>
      <c r="AQ196" s="650"/>
      <c r="AR196" s="1288"/>
      <c r="AS196" s="650"/>
      <c r="AT196" s="650"/>
      <c r="AU196" s="650"/>
      <c r="AV196" s="650"/>
      <c r="AW196" s="1288"/>
      <c r="AX196" s="650"/>
      <c r="AY196" s="650"/>
      <c r="AZ196" s="650"/>
      <c r="BA196" s="650"/>
      <c r="BB196" s="1288"/>
      <c r="BC196" s="650"/>
      <c r="BD196" s="650"/>
      <c r="BE196" s="650"/>
      <c r="BF196" s="650"/>
      <c r="BG196" s="1289"/>
      <c r="BH196" s="650"/>
      <c r="BI196" s="650"/>
      <c r="BJ196" s="650"/>
      <c r="BK196" s="650"/>
      <c r="BL196" s="1333">
        <v>5.7500000000000002E-2</v>
      </c>
      <c r="BM196" s="650"/>
      <c r="BN196" s="650"/>
      <c r="BO196" s="650"/>
      <c r="BP196" s="650"/>
      <c r="BQ196" s="1333">
        <v>5.7500000000000002E-2</v>
      </c>
      <c r="BR196" s="650"/>
      <c r="BS196" s="650"/>
      <c r="BT196" s="650"/>
      <c r="BU196" s="650"/>
      <c r="BV196" s="1333">
        <v>5.7500000000000002E-2</v>
      </c>
      <c r="BW196" s="650"/>
      <c r="BX196" s="650"/>
      <c r="BY196" s="650"/>
      <c r="BZ196" s="650"/>
      <c r="CA196" s="1333">
        <v>5.7500000000000002E-2</v>
      </c>
      <c r="CB196" s="1334">
        <v>5.7500000000000002E-2</v>
      </c>
      <c r="CC196" s="1334">
        <v>5.7500000000000002E-2</v>
      </c>
      <c r="CD196" s="1334">
        <v>5.7500000000000002E-2</v>
      </c>
      <c r="CE196" s="1334">
        <v>5.7500000000000002E-2</v>
      </c>
      <c r="CF196" s="1333"/>
      <c r="CG196" s="1334">
        <f>CE196</f>
        <v>5.7500000000000002E-2</v>
      </c>
      <c r="CH196" s="1334">
        <f>CG196</f>
        <v>5.7500000000000002E-2</v>
      </c>
      <c r="CI196" s="1334">
        <f>CH196</f>
        <v>5.7500000000000002E-2</v>
      </c>
      <c r="CJ196" s="1334">
        <f>CI196</f>
        <v>5.7500000000000002E-2</v>
      </c>
      <c r="CK196" s="1333"/>
      <c r="CL196" s="1334">
        <f>CJ196</f>
        <v>5.7500000000000002E-2</v>
      </c>
      <c r="CM196" s="1334">
        <f>CL196</f>
        <v>5.7500000000000002E-2</v>
      </c>
      <c r="CN196" s="1334">
        <f>CM196</f>
        <v>5.7500000000000002E-2</v>
      </c>
      <c r="CO196" s="1334">
        <f>CN196</f>
        <v>5.7500000000000002E-2</v>
      </c>
      <c r="CP196" s="1333"/>
      <c r="CQ196" s="1334">
        <f>CO196</f>
        <v>5.7500000000000002E-2</v>
      </c>
      <c r="CR196" s="1334">
        <f>CQ196</f>
        <v>5.7500000000000002E-2</v>
      </c>
      <c r="CS196" s="1334">
        <f>CR196</f>
        <v>5.7500000000000002E-2</v>
      </c>
      <c r="CT196" s="1334">
        <f>CS196</f>
        <v>5.7500000000000002E-2</v>
      </c>
      <c r="CU196" s="1333"/>
      <c r="CV196" s="1334">
        <f>CT196</f>
        <v>5.7500000000000002E-2</v>
      </c>
      <c r="CW196" s="1334">
        <f>CV196</f>
        <v>5.7500000000000002E-2</v>
      </c>
      <c r="CX196" s="1334">
        <f>CW196</f>
        <v>5.7500000000000002E-2</v>
      </c>
      <c r="CY196" s="1334">
        <f>CX196</f>
        <v>5.7500000000000002E-2</v>
      </c>
      <c r="CZ196" s="1333"/>
      <c r="DA196" s="1334">
        <f>CY196</f>
        <v>5.7500000000000002E-2</v>
      </c>
      <c r="DB196" s="1334">
        <f>DA196</f>
        <v>5.7500000000000002E-2</v>
      </c>
      <c r="DC196" s="1334">
        <f>DB196</f>
        <v>5.7500000000000002E-2</v>
      </c>
      <c r="DD196" s="1334">
        <f>DC196</f>
        <v>5.7500000000000002E-2</v>
      </c>
      <c r="DE196" s="1333"/>
      <c r="DF196" s="1334">
        <f>DD196</f>
        <v>5.7500000000000002E-2</v>
      </c>
      <c r="DG196" s="1334">
        <f>DF196</f>
        <v>5.7500000000000002E-2</v>
      </c>
      <c r="DH196" s="1334">
        <f>DG196</f>
        <v>5.7500000000000002E-2</v>
      </c>
      <c r="DI196" s="1334">
        <f>DH196</f>
        <v>5.7500000000000002E-2</v>
      </c>
      <c r="DJ196" s="1333"/>
      <c r="DK196" s="1334">
        <f>DI196</f>
        <v>5.7500000000000002E-2</v>
      </c>
      <c r="DL196" s="1334">
        <f>DK196</f>
        <v>5.7500000000000002E-2</v>
      </c>
      <c r="DM196" s="1334">
        <f>DL196</f>
        <v>5.7500000000000002E-2</v>
      </c>
      <c r="DN196" s="1334">
        <f>DM196</f>
        <v>5.7500000000000002E-2</v>
      </c>
      <c r="DO196" s="1333"/>
      <c r="DP196" s="1334">
        <f>DN196</f>
        <v>5.7500000000000002E-2</v>
      </c>
      <c r="DQ196" s="1334">
        <f>DP196</f>
        <v>5.7500000000000002E-2</v>
      </c>
      <c r="DR196" s="1334">
        <f>DQ196</f>
        <v>5.7500000000000002E-2</v>
      </c>
      <c r="DS196" s="1334">
        <f>DR196</f>
        <v>5.7500000000000002E-2</v>
      </c>
      <c r="DT196" s="1333"/>
      <c r="DU196" s="1334">
        <f>DS196</f>
        <v>5.7500000000000002E-2</v>
      </c>
      <c r="DV196" s="1334">
        <f>DU196</f>
        <v>5.7500000000000002E-2</v>
      </c>
      <c r="DW196" s="1334">
        <f>DV196</f>
        <v>5.7500000000000002E-2</v>
      </c>
      <c r="DX196" s="1334">
        <f>DW196</f>
        <v>5.7500000000000002E-2</v>
      </c>
      <c r="DY196" s="1333"/>
    </row>
    <row r="197" spans="1:129" x14ac:dyDescent="0.2">
      <c r="A197" s="1223"/>
      <c r="B197" s="1190" t="s">
        <v>1151</v>
      </c>
      <c r="C197" s="1293"/>
      <c r="D197" s="1293"/>
      <c r="E197" s="1293"/>
      <c r="F197" s="1293"/>
      <c r="G197" s="1293"/>
      <c r="H197" s="1293"/>
      <c r="I197" s="1293"/>
      <c r="J197" s="1293"/>
      <c r="K197" s="1293"/>
      <c r="L197" s="1293"/>
      <c r="M197" s="1293"/>
      <c r="N197" s="1293"/>
      <c r="O197" s="1293"/>
      <c r="P197" s="1293"/>
      <c r="Q197" s="1293"/>
      <c r="R197" s="1293"/>
      <c r="S197" s="1293"/>
      <c r="T197" s="1293"/>
      <c r="U197" s="1293"/>
      <c r="V197" s="1293"/>
      <c r="W197" s="1293"/>
      <c r="X197" s="1227"/>
      <c r="Y197" s="1231"/>
      <c r="Z197" s="1231"/>
      <c r="AA197" s="1231"/>
      <c r="AB197" s="1294"/>
      <c r="AC197" s="1227"/>
      <c r="AD197" s="1231"/>
      <c r="AE197" s="1231"/>
      <c r="AF197" s="1231"/>
      <c r="AG197" s="1294"/>
      <c r="AH197" s="1227"/>
      <c r="AI197" s="1231"/>
      <c r="AJ197" s="1231"/>
      <c r="AK197" s="1231"/>
      <c r="AL197" s="1294"/>
      <c r="AM197" s="1227"/>
      <c r="AN197" s="1231"/>
      <c r="AO197" s="1231"/>
      <c r="AP197" s="1231"/>
      <c r="AQ197" s="1294"/>
      <c r="AR197" s="1227"/>
      <c r="AS197" s="1231"/>
      <c r="AT197" s="1231"/>
      <c r="AU197" s="1231"/>
      <c r="AV197" s="1294"/>
      <c r="AW197" s="1227"/>
      <c r="AX197" s="1231"/>
      <c r="AY197" s="1231"/>
      <c r="AZ197" s="1231"/>
      <c r="BA197" s="1231"/>
      <c r="BB197" s="1227"/>
      <c r="BC197" s="1231"/>
      <c r="BD197" s="1231"/>
      <c r="BE197" s="1231"/>
      <c r="BF197" s="1231"/>
      <c r="BG197" s="1227"/>
      <c r="BH197" s="1231"/>
      <c r="BI197" s="1231"/>
      <c r="BJ197" s="1231"/>
      <c r="BK197" s="1231"/>
      <c r="BL197" s="1326"/>
      <c r="BM197" s="1231"/>
      <c r="BN197" s="1231"/>
      <c r="BO197" s="1231"/>
      <c r="BP197" s="1231"/>
      <c r="BQ197" s="1326"/>
      <c r="BR197" s="1231"/>
      <c r="BS197" s="1231"/>
      <c r="BT197" s="1231"/>
      <c r="BU197" s="1231"/>
      <c r="BV197" s="1326"/>
      <c r="BW197" s="1231"/>
      <c r="BX197" s="1231"/>
      <c r="BY197" s="1231"/>
      <c r="BZ197" s="1231"/>
      <c r="CA197" s="1326"/>
      <c r="CB197" s="1231"/>
      <c r="CC197" s="1231"/>
      <c r="CD197" s="1231"/>
      <c r="CE197" s="1231"/>
      <c r="CF197" s="1326"/>
      <c r="CG197" s="1231"/>
      <c r="CH197" s="1231"/>
      <c r="CI197" s="1231"/>
      <c r="CJ197" s="1231"/>
      <c r="CK197" s="1326"/>
      <c r="CL197" s="1231"/>
      <c r="CM197" s="1231"/>
      <c r="CN197" s="1231"/>
      <c r="CO197" s="1231"/>
      <c r="CP197" s="1326"/>
      <c r="CQ197" s="1231"/>
      <c r="CR197" s="1231"/>
      <c r="CS197" s="1231"/>
      <c r="CT197" s="1231"/>
      <c r="CU197" s="1326"/>
      <c r="CV197" s="1231"/>
      <c r="CW197" s="1231"/>
      <c r="CX197" s="1231"/>
      <c r="CY197" s="1231"/>
      <c r="CZ197" s="1326"/>
      <c r="DA197" s="1231"/>
      <c r="DB197" s="1231"/>
      <c r="DC197" s="1231"/>
      <c r="DD197" s="1231"/>
      <c r="DE197" s="1326"/>
      <c r="DF197" s="1231"/>
      <c r="DG197" s="1231"/>
      <c r="DH197" s="1231"/>
      <c r="DI197" s="1231"/>
      <c r="DJ197" s="1326"/>
      <c r="DK197" s="1231"/>
      <c r="DL197" s="1231"/>
      <c r="DM197" s="1231"/>
      <c r="DN197" s="1231"/>
      <c r="DO197" s="1326"/>
      <c r="DP197" s="1231"/>
      <c r="DQ197" s="1231"/>
      <c r="DR197" s="1231"/>
      <c r="DS197" s="1231"/>
      <c r="DT197" s="1326"/>
      <c r="DU197" s="1231"/>
      <c r="DV197" s="1231"/>
      <c r="DW197" s="1231"/>
      <c r="DX197" s="1231"/>
      <c r="DY197" s="1326"/>
    </row>
    <row r="198" spans="1:129" x14ac:dyDescent="0.2">
      <c r="A198" s="1223"/>
      <c r="B198" s="1190" t="s">
        <v>1152</v>
      </c>
      <c r="C198" s="1231"/>
      <c r="D198" s="1231"/>
      <c r="E198" s="1231"/>
      <c r="F198" s="1231"/>
      <c r="G198" s="1231"/>
      <c r="H198" s="1231"/>
      <c r="I198" s="1231"/>
      <c r="J198" s="1231"/>
      <c r="K198" s="1231"/>
      <c r="L198" s="1231"/>
      <c r="M198" s="1231"/>
      <c r="N198" s="1231"/>
      <c r="O198" s="1231"/>
      <c r="P198" s="1231"/>
      <c r="Q198" s="1231"/>
      <c r="R198" s="1231"/>
      <c r="S198" s="1231"/>
      <c r="T198" s="1231"/>
      <c r="U198" s="1231"/>
      <c r="V198" s="1231"/>
      <c r="W198" s="1231"/>
      <c r="X198" s="1227"/>
      <c r="Y198" s="1231"/>
      <c r="Z198" s="1231"/>
      <c r="AA198" s="1231"/>
      <c r="AB198" s="1231"/>
      <c r="AC198" s="1227"/>
      <c r="AD198" s="1231"/>
      <c r="AE198" s="1231"/>
      <c r="AF198" s="1231"/>
      <c r="AG198" s="1231"/>
      <c r="AH198" s="1227"/>
      <c r="AI198" s="1231"/>
      <c r="AJ198" s="1231"/>
      <c r="AK198" s="1231"/>
      <c r="AL198" s="1231"/>
      <c r="AM198" s="1227"/>
      <c r="AN198" s="1231"/>
      <c r="AO198" s="1231"/>
      <c r="AP198" s="1231"/>
      <c r="AQ198" s="1231"/>
      <c r="AR198" s="1227"/>
      <c r="AS198" s="1231"/>
      <c r="AT198" s="1231"/>
      <c r="AU198" s="1231"/>
      <c r="AV198" s="1231"/>
      <c r="AW198" s="1227"/>
      <c r="AX198" s="1231"/>
      <c r="AY198" s="1231"/>
      <c r="AZ198" s="1231"/>
      <c r="BA198" s="1231"/>
      <c r="BB198" s="1227"/>
      <c r="BC198" s="1231"/>
      <c r="BD198" s="1231"/>
      <c r="BE198" s="1231"/>
      <c r="BF198" s="1231"/>
      <c r="BG198" s="1227"/>
      <c r="BH198" s="1231"/>
      <c r="BI198" s="1231"/>
      <c r="BJ198" s="1231"/>
      <c r="BK198" s="1231"/>
      <c r="BL198" s="1326"/>
      <c r="BM198" s="1231"/>
      <c r="BN198" s="1231"/>
      <c r="BO198" s="1231"/>
      <c r="BP198" s="1231"/>
      <c r="BQ198" s="1326">
        <f>BL200</f>
        <v>1750</v>
      </c>
      <c r="BR198" s="1231"/>
      <c r="BS198" s="1231"/>
      <c r="BT198" s="1231"/>
      <c r="BU198" s="1231"/>
      <c r="BV198" s="1326">
        <f>BQ200</f>
        <v>1750</v>
      </c>
      <c r="BW198" s="1231"/>
      <c r="BX198" s="1231"/>
      <c r="BY198" s="1231"/>
      <c r="BZ198" s="1231"/>
      <c r="CA198" s="1326">
        <f>BV200</f>
        <v>1750</v>
      </c>
      <c r="CB198" s="1223">
        <f>CA200</f>
        <v>1750</v>
      </c>
      <c r="CC198" s="1223">
        <f>+CB200</f>
        <v>1750</v>
      </c>
      <c r="CD198" s="1223">
        <f>+CC200</f>
        <v>1750</v>
      </c>
      <c r="CE198" s="1223">
        <f>+CD200</f>
        <v>1750</v>
      </c>
      <c r="CF198" s="1326">
        <f>CA200</f>
        <v>1750</v>
      </c>
      <c r="CG198" s="1223">
        <f>+CE200</f>
        <v>1750</v>
      </c>
      <c r="CH198" s="1223">
        <f>+CG200</f>
        <v>1750</v>
      </c>
      <c r="CI198" s="1223">
        <f>+CH200</f>
        <v>1750</v>
      </c>
      <c r="CJ198" s="1223">
        <f>+CI200</f>
        <v>1750</v>
      </c>
      <c r="CK198" s="1326">
        <f>CF200</f>
        <v>1750</v>
      </c>
      <c r="CL198" s="1223">
        <f>+CJ200</f>
        <v>1500</v>
      </c>
      <c r="CM198" s="1223">
        <f>+CL200</f>
        <v>1500</v>
      </c>
      <c r="CN198" s="1223">
        <f>+CM200</f>
        <v>1500</v>
      </c>
      <c r="CO198" s="1223">
        <f>+CN200</f>
        <v>1500</v>
      </c>
      <c r="CP198" s="1326">
        <f>CK200</f>
        <v>1500</v>
      </c>
      <c r="CQ198" s="1223">
        <f>+CO200</f>
        <v>1310</v>
      </c>
      <c r="CR198" s="1223">
        <f>+CQ200</f>
        <v>1310</v>
      </c>
      <c r="CS198" s="1223">
        <f>+CR200</f>
        <v>1310</v>
      </c>
      <c r="CT198" s="1223">
        <f>+CS200</f>
        <v>1080</v>
      </c>
      <c r="CU198" s="1326">
        <f>CP200</f>
        <v>1310</v>
      </c>
      <c r="CV198" s="1223">
        <f>+CT198</f>
        <v>1080</v>
      </c>
      <c r="CW198" s="1223">
        <f>+CV200</f>
        <v>1080</v>
      </c>
      <c r="CX198" s="1223">
        <f>+CW200</f>
        <v>1080</v>
      </c>
      <c r="CY198" s="1223">
        <f>+CX200</f>
        <v>1080</v>
      </c>
      <c r="CZ198" s="1326">
        <f>CU200</f>
        <v>1080</v>
      </c>
      <c r="DA198" s="1223">
        <f>+CY198</f>
        <v>1080</v>
      </c>
      <c r="DB198" s="1223">
        <f>+DA200</f>
        <v>1080</v>
      </c>
      <c r="DC198" s="1223">
        <f>+DB200</f>
        <v>541.4</v>
      </c>
      <c r="DD198" s="1223">
        <f>+DC200</f>
        <v>541.4</v>
      </c>
      <c r="DE198" s="1326">
        <f>CZ200</f>
        <v>1080</v>
      </c>
      <c r="DF198" s="1223">
        <f>+DD198</f>
        <v>541.4</v>
      </c>
      <c r="DG198" s="1223">
        <f>+DF200</f>
        <v>541.4</v>
      </c>
      <c r="DH198" s="1223">
        <f>+DG200</f>
        <v>541.4</v>
      </c>
      <c r="DI198" s="1223">
        <f>+DH200</f>
        <v>541.4</v>
      </c>
      <c r="DJ198" s="1326">
        <f>DE200</f>
        <v>541.4</v>
      </c>
      <c r="DK198" s="1223">
        <f>+DI198</f>
        <v>541.4</v>
      </c>
      <c r="DL198" s="1223">
        <f>+DK200</f>
        <v>541.4</v>
      </c>
      <c r="DM198" s="1223">
        <f>+DL200</f>
        <v>-538.6</v>
      </c>
      <c r="DN198" s="1223">
        <f>+DM200</f>
        <v>-538.6</v>
      </c>
      <c r="DO198" s="1326">
        <f>DJ200</f>
        <v>541.4</v>
      </c>
      <c r="DP198" s="1223">
        <f>+DN198</f>
        <v>-538.6</v>
      </c>
      <c r="DQ198" s="1223">
        <f>+DP200</f>
        <v>-538.6</v>
      </c>
      <c r="DR198" s="1223">
        <f>+DQ200</f>
        <v>-1618.6</v>
      </c>
      <c r="DS198" s="1223">
        <f>+DR200</f>
        <v>-1618.6</v>
      </c>
      <c r="DT198" s="1326">
        <f>DO200</f>
        <v>-538.6</v>
      </c>
      <c r="DU198" s="1223">
        <f>+DS198</f>
        <v>-1618.6</v>
      </c>
      <c r="DV198" s="1223">
        <f>+DU200</f>
        <v>-1618.6</v>
      </c>
      <c r="DW198" s="1223">
        <f>+DV200</f>
        <v>-2698.6</v>
      </c>
      <c r="DX198" s="1223">
        <f>+DW200</f>
        <v>-2698.6</v>
      </c>
      <c r="DY198" s="1326">
        <f>DT200</f>
        <v>-1618.6</v>
      </c>
    </row>
    <row r="199" spans="1:129" x14ac:dyDescent="0.2">
      <c r="A199" s="1295"/>
      <c r="B199" s="1190" t="s">
        <v>1153</v>
      </c>
      <c r="C199" s="1182"/>
      <c r="D199" s="1182"/>
      <c r="E199" s="1182"/>
      <c r="F199" s="1182"/>
      <c r="G199" s="1182"/>
      <c r="H199" s="1182"/>
      <c r="I199" s="1182"/>
      <c r="J199" s="1182"/>
      <c r="K199" s="1182"/>
      <c r="L199" s="1182"/>
      <c r="M199" s="1182"/>
      <c r="N199" s="1182"/>
      <c r="O199" s="1182"/>
      <c r="P199" s="1182"/>
      <c r="Q199" s="1182"/>
      <c r="R199" s="1182"/>
      <c r="S199" s="1182"/>
      <c r="T199" s="1182"/>
      <c r="U199" s="1182"/>
      <c r="V199" s="1182"/>
      <c r="W199" s="1182"/>
      <c r="X199" s="1296"/>
      <c r="Y199" s="1297"/>
      <c r="Z199" s="1297"/>
      <c r="AA199" s="1297"/>
      <c r="AB199" s="1297"/>
      <c r="AC199" s="1296"/>
      <c r="AD199" s="1297"/>
      <c r="AE199" s="1297"/>
      <c r="AF199" s="1297"/>
      <c r="AG199" s="1297"/>
      <c r="AH199" s="1296"/>
      <c r="AI199" s="1297"/>
      <c r="AJ199" s="1297"/>
      <c r="AK199" s="1297"/>
      <c r="AL199" s="1297"/>
      <c r="AM199" s="1296"/>
      <c r="AN199" s="1297"/>
      <c r="AO199" s="1297"/>
      <c r="AP199" s="1297"/>
      <c r="AQ199" s="1297"/>
      <c r="AR199" s="1296"/>
      <c r="AS199" s="1297"/>
      <c r="AT199" s="1297"/>
      <c r="AU199" s="1297"/>
      <c r="AV199" s="1297"/>
      <c r="AW199" s="1296"/>
      <c r="AX199" s="1298"/>
      <c r="AY199" s="1299"/>
      <c r="AZ199" s="1299"/>
      <c r="BA199" s="1298"/>
      <c r="BB199" s="1300"/>
      <c r="BC199" s="1298"/>
      <c r="BD199" s="1298"/>
      <c r="BE199" s="1298"/>
      <c r="BF199" s="1298"/>
      <c r="BG199" s="1296"/>
      <c r="BH199" s="1298"/>
      <c r="BI199" s="1298"/>
      <c r="BJ199" s="1298"/>
      <c r="BK199" s="1298"/>
      <c r="BL199" s="1335"/>
      <c r="BM199" s="1298"/>
      <c r="BN199" s="1298"/>
      <c r="BO199" s="1298"/>
      <c r="BP199" s="1298"/>
      <c r="BQ199" s="1335">
        <f>BQ200-BQ198</f>
        <v>0</v>
      </c>
      <c r="BR199" s="1298"/>
      <c r="BS199" s="1298"/>
      <c r="BT199" s="1298"/>
      <c r="BU199" s="1298"/>
      <c r="BV199" s="1335">
        <f>BV200-BV198</f>
        <v>0</v>
      </c>
      <c r="BW199" s="1298"/>
      <c r="BX199" s="1298"/>
      <c r="BY199" s="1298"/>
      <c r="BZ199" s="1298"/>
      <c r="CA199" s="1335">
        <f>CA200-CA198</f>
        <v>0</v>
      </c>
      <c r="CB199" s="1336">
        <f>CB200-CB198</f>
        <v>0</v>
      </c>
      <c r="CC199" s="1336">
        <f>CC200-CC198</f>
        <v>0</v>
      </c>
      <c r="CD199" s="1298">
        <v>0</v>
      </c>
      <c r="CE199" s="1298">
        <v>0</v>
      </c>
      <c r="CF199" s="1335">
        <f>+SUM(CB199:CE199)</f>
        <v>0</v>
      </c>
      <c r="CG199" s="1298">
        <v>0</v>
      </c>
      <c r="CH199" s="1298">
        <v>0</v>
      </c>
      <c r="CI199" s="1298">
        <v>0</v>
      </c>
      <c r="CJ199" s="1298">
        <f>-250</f>
        <v>-250</v>
      </c>
      <c r="CK199" s="1335">
        <f>+SUM(CG199:CJ199)</f>
        <v>-250</v>
      </c>
      <c r="CL199" s="1298">
        <v>0</v>
      </c>
      <c r="CM199" s="1298">
        <v>0</v>
      </c>
      <c r="CN199" s="1298">
        <v>0</v>
      </c>
      <c r="CO199" s="1298">
        <v>-190</v>
      </c>
      <c r="CP199" s="1335">
        <f>+SUM(CL199:CO199)</f>
        <v>-190</v>
      </c>
      <c r="CQ199" s="1298">
        <v>0</v>
      </c>
      <c r="CR199" s="1298">
        <v>0</v>
      </c>
      <c r="CS199" s="1298">
        <v>-230</v>
      </c>
      <c r="CT199" s="1298">
        <v>0</v>
      </c>
      <c r="CU199" s="1335">
        <f>+SUM(CQ199:CT199)</f>
        <v>-230</v>
      </c>
      <c r="CV199" s="1298">
        <v>0</v>
      </c>
      <c r="CW199" s="1298">
        <v>0</v>
      </c>
      <c r="CX199" s="1298">
        <v>0</v>
      </c>
      <c r="CY199" s="1298">
        <v>0</v>
      </c>
      <c r="CZ199" s="1335">
        <f>+SUM(CV199:CY199)</f>
        <v>0</v>
      </c>
      <c r="DA199" s="1298">
        <v>0</v>
      </c>
      <c r="DB199" s="1298">
        <v>-538.6</v>
      </c>
      <c r="DC199" s="1298">
        <v>0</v>
      </c>
      <c r="DD199" s="1298">
        <v>0</v>
      </c>
      <c r="DE199" s="1335">
        <f>+SUM(DA199:DD199)</f>
        <v>-538.6</v>
      </c>
      <c r="DF199" s="1298">
        <v>0</v>
      </c>
      <c r="DG199" s="1298"/>
      <c r="DH199" s="1298">
        <v>0</v>
      </c>
      <c r="DI199" s="1298">
        <v>0</v>
      </c>
      <c r="DJ199" s="1335">
        <f>+SUM(DF199:DI199)</f>
        <v>0</v>
      </c>
      <c r="DK199" s="1298">
        <v>0</v>
      </c>
      <c r="DL199" s="1298">
        <v>-1080</v>
      </c>
      <c r="DM199" s="1298">
        <v>0</v>
      </c>
      <c r="DN199" s="1298">
        <v>0</v>
      </c>
      <c r="DO199" s="1335">
        <f>+SUM(DK199:DN199)</f>
        <v>-1080</v>
      </c>
      <c r="DP199" s="1298">
        <v>0</v>
      </c>
      <c r="DQ199" s="1298">
        <v>-1080</v>
      </c>
      <c r="DR199" s="1298">
        <v>0</v>
      </c>
      <c r="DS199" s="1298">
        <v>0</v>
      </c>
      <c r="DT199" s="1335">
        <f>+SUM(DP199:DS199)</f>
        <v>-1080</v>
      </c>
      <c r="DU199" s="1298">
        <v>0</v>
      </c>
      <c r="DV199" s="1298">
        <v>-1080</v>
      </c>
      <c r="DW199" s="1298">
        <v>0</v>
      </c>
      <c r="DX199" s="1298">
        <v>0</v>
      </c>
      <c r="DY199" s="1335">
        <f>+SUM(DU199:DX199)</f>
        <v>-1080</v>
      </c>
    </row>
    <row r="200" spans="1:129" x14ac:dyDescent="0.2">
      <c r="A200" s="1295"/>
      <c r="B200" s="1190" t="s">
        <v>1154</v>
      </c>
      <c r="C200" s="1182"/>
      <c r="D200" s="1182"/>
      <c r="E200" s="1182"/>
      <c r="F200" s="1182"/>
      <c r="G200" s="1182"/>
      <c r="H200" s="1182"/>
      <c r="I200" s="1182"/>
      <c r="J200" s="1182"/>
      <c r="K200" s="1182"/>
      <c r="L200" s="1182"/>
      <c r="M200" s="1182"/>
      <c r="N200" s="1182"/>
      <c r="O200" s="1182"/>
      <c r="P200" s="1182"/>
      <c r="Q200" s="1182"/>
      <c r="R200" s="1182"/>
      <c r="S200" s="1182"/>
      <c r="T200" s="1182"/>
      <c r="U200" s="1182"/>
      <c r="V200" s="1182"/>
      <c r="W200" s="1182"/>
      <c r="X200" s="1304"/>
      <c r="Y200" s="1305"/>
      <c r="Z200" s="1305"/>
      <c r="AA200" s="1305"/>
      <c r="AB200" s="1305"/>
      <c r="AC200" s="1304"/>
      <c r="AD200" s="1305"/>
      <c r="AE200" s="1305"/>
      <c r="AF200" s="1305"/>
      <c r="AG200" s="1305"/>
      <c r="AH200" s="1304"/>
      <c r="AI200" s="1305"/>
      <c r="AJ200" s="1305"/>
      <c r="AK200" s="1305"/>
      <c r="AL200" s="1305"/>
      <c r="AM200" s="1304"/>
      <c r="AN200" s="1305"/>
      <c r="AO200" s="1305"/>
      <c r="AP200" s="1305"/>
      <c r="AQ200" s="1305"/>
      <c r="AR200" s="1304"/>
      <c r="AS200" s="1305"/>
      <c r="AT200" s="1305"/>
      <c r="AU200" s="1305"/>
      <c r="AV200" s="1305"/>
      <c r="AW200" s="1304"/>
      <c r="AX200" s="1305"/>
      <c r="AY200" s="1305"/>
      <c r="AZ200" s="1305"/>
      <c r="BA200" s="1305"/>
      <c r="BB200" s="1304"/>
      <c r="BC200" s="1305"/>
      <c r="BD200" s="1305"/>
      <c r="BE200" s="1305"/>
      <c r="BF200" s="1305"/>
      <c r="BG200" s="1306"/>
      <c r="BH200" s="1305"/>
      <c r="BI200" s="1305"/>
      <c r="BJ200" s="1305"/>
      <c r="BK200" s="1305"/>
      <c r="BL200" s="1337">
        <v>1750</v>
      </c>
      <c r="BM200" s="1305"/>
      <c r="BN200" s="1305"/>
      <c r="BO200" s="1305"/>
      <c r="BP200" s="1305"/>
      <c r="BQ200" s="1337">
        <v>1750</v>
      </c>
      <c r="BR200" s="1305"/>
      <c r="BS200" s="1305"/>
      <c r="BT200" s="1305"/>
      <c r="BU200" s="1305"/>
      <c r="BV200" s="1337">
        <v>1750</v>
      </c>
      <c r="BW200" s="1305"/>
      <c r="BX200" s="1305"/>
      <c r="BY200" s="1305"/>
      <c r="BZ200" s="1305"/>
      <c r="CA200" s="1337">
        <v>1750</v>
      </c>
      <c r="CB200" s="1295">
        <f>CA200</f>
        <v>1750</v>
      </c>
      <c r="CC200" s="1226">
        <f>CB200</f>
        <v>1750</v>
      </c>
      <c r="CD200" s="1295">
        <f t="shared" ref="CD200:CZ200" si="165">CD198+CD199</f>
        <v>1750</v>
      </c>
      <c r="CE200" s="1295">
        <f t="shared" si="165"/>
        <v>1750</v>
      </c>
      <c r="CF200" s="1325">
        <f t="shared" si="165"/>
        <v>1750</v>
      </c>
      <c r="CG200" s="1295">
        <f t="shared" si="165"/>
        <v>1750</v>
      </c>
      <c r="CH200" s="1295">
        <f t="shared" si="165"/>
        <v>1750</v>
      </c>
      <c r="CI200" s="1295">
        <f t="shared" si="165"/>
        <v>1750</v>
      </c>
      <c r="CJ200" s="1295">
        <f t="shared" si="165"/>
        <v>1500</v>
      </c>
      <c r="CK200" s="1325">
        <f t="shared" si="165"/>
        <v>1500</v>
      </c>
      <c r="CL200" s="1295">
        <f t="shared" si="165"/>
        <v>1500</v>
      </c>
      <c r="CM200" s="1295">
        <f t="shared" si="165"/>
        <v>1500</v>
      </c>
      <c r="CN200" s="1295">
        <f t="shared" si="165"/>
        <v>1500</v>
      </c>
      <c r="CO200" s="1295">
        <f t="shared" si="165"/>
        <v>1310</v>
      </c>
      <c r="CP200" s="1325">
        <f t="shared" si="165"/>
        <v>1310</v>
      </c>
      <c r="CQ200" s="1295">
        <f t="shared" si="165"/>
        <v>1310</v>
      </c>
      <c r="CR200" s="1295">
        <f t="shared" si="165"/>
        <v>1310</v>
      </c>
      <c r="CS200" s="1295">
        <f t="shared" si="165"/>
        <v>1080</v>
      </c>
      <c r="CT200" s="1295">
        <f t="shared" si="165"/>
        <v>1080</v>
      </c>
      <c r="CU200" s="1325">
        <f t="shared" si="165"/>
        <v>1080</v>
      </c>
      <c r="CV200" s="1295">
        <f t="shared" si="165"/>
        <v>1080</v>
      </c>
      <c r="CW200" s="1295">
        <f t="shared" si="165"/>
        <v>1080</v>
      </c>
      <c r="CX200" s="1295">
        <f t="shared" si="165"/>
        <v>1080</v>
      </c>
      <c r="CY200" s="1295">
        <f t="shared" si="165"/>
        <v>1080</v>
      </c>
      <c r="CZ200" s="1325">
        <f t="shared" si="165"/>
        <v>1080</v>
      </c>
      <c r="DA200" s="1295">
        <f t="shared" ref="DA200:DJ200" si="166">DA198+DA199</f>
        <v>1080</v>
      </c>
      <c r="DB200" s="1295">
        <f t="shared" si="166"/>
        <v>541.4</v>
      </c>
      <c r="DC200" s="1295">
        <f t="shared" si="166"/>
        <v>541.4</v>
      </c>
      <c r="DD200" s="1295">
        <f t="shared" si="166"/>
        <v>541.4</v>
      </c>
      <c r="DE200" s="1325">
        <f t="shared" si="166"/>
        <v>541.4</v>
      </c>
      <c r="DF200" s="1295">
        <f t="shared" si="166"/>
        <v>541.4</v>
      </c>
      <c r="DG200" s="1295">
        <f t="shared" si="166"/>
        <v>541.4</v>
      </c>
      <c r="DH200" s="1295">
        <f t="shared" si="166"/>
        <v>541.4</v>
      </c>
      <c r="DI200" s="1295">
        <f t="shared" si="166"/>
        <v>541.4</v>
      </c>
      <c r="DJ200" s="1325">
        <f t="shared" si="166"/>
        <v>541.4</v>
      </c>
      <c r="DK200" s="1295">
        <f t="shared" ref="DK200:DT200" si="167">DK198+DK199</f>
        <v>541.4</v>
      </c>
      <c r="DL200" s="1295">
        <f t="shared" si="167"/>
        <v>-538.6</v>
      </c>
      <c r="DM200" s="1295">
        <f t="shared" si="167"/>
        <v>-538.6</v>
      </c>
      <c r="DN200" s="1295">
        <f t="shared" si="167"/>
        <v>-538.6</v>
      </c>
      <c r="DO200" s="1325">
        <f t="shared" si="167"/>
        <v>-538.6</v>
      </c>
      <c r="DP200" s="1295">
        <f t="shared" si="167"/>
        <v>-538.6</v>
      </c>
      <c r="DQ200" s="1295">
        <f t="shared" si="167"/>
        <v>-1618.6</v>
      </c>
      <c r="DR200" s="1295">
        <f t="shared" si="167"/>
        <v>-1618.6</v>
      </c>
      <c r="DS200" s="1295">
        <f t="shared" si="167"/>
        <v>-1618.6</v>
      </c>
      <c r="DT200" s="1325">
        <f t="shared" si="167"/>
        <v>-1618.6</v>
      </c>
      <c r="DU200" s="1295">
        <f t="shared" ref="DU200:DY200" si="168">DU198+DU199</f>
        <v>-1618.6</v>
      </c>
      <c r="DV200" s="1295">
        <f t="shared" si="168"/>
        <v>-2698.6</v>
      </c>
      <c r="DW200" s="1295">
        <f t="shared" si="168"/>
        <v>-2698.6</v>
      </c>
      <c r="DX200" s="1295">
        <f t="shared" si="168"/>
        <v>-2698.6</v>
      </c>
      <c r="DY200" s="1325">
        <f t="shared" si="168"/>
        <v>-2698.6</v>
      </c>
    </row>
    <row r="201" spans="1:129" x14ac:dyDescent="0.2">
      <c r="A201" s="1223"/>
      <c r="B201" s="1190" t="s">
        <v>1155</v>
      </c>
      <c r="C201" s="1182"/>
      <c r="D201" s="1182"/>
      <c r="E201" s="1182"/>
      <c r="F201" s="1182"/>
      <c r="G201" s="1182"/>
      <c r="H201" s="1182"/>
      <c r="I201" s="1182"/>
      <c r="J201" s="1182"/>
      <c r="K201" s="1182"/>
      <c r="L201" s="1182"/>
      <c r="M201" s="1182"/>
      <c r="N201" s="1182"/>
      <c r="O201" s="1182"/>
      <c r="P201" s="1182"/>
      <c r="Q201" s="1182"/>
      <c r="R201" s="1182"/>
      <c r="S201" s="1182"/>
      <c r="T201" s="1182"/>
      <c r="U201" s="1182"/>
      <c r="V201" s="1182"/>
      <c r="W201" s="1182"/>
      <c r="X201" s="1227"/>
      <c r="Y201" s="1231"/>
      <c r="Z201" s="1231"/>
      <c r="AA201" s="1231"/>
      <c r="AB201" s="1231"/>
      <c r="AC201" s="1227"/>
      <c r="AD201" s="1231"/>
      <c r="AE201" s="1231"/>
      <c r="AF201" s="1231"/>
      <c r="AG201" s="1231"/>
      <c r="AH201" s="1227"/>
      <c r="AI201" s="1231"/>
      <c r="AJ201" s="1231"/>
      <c r="AK201" s="1231"/>
      <c r="AL201" s="1231"/>
      <c r="AM201" s="1227"/>
      <c r="AN201" s="1231"/>
      <c r="AO201" s="1231"/>
      <c r="AP201" s="1231"/>
      <c r="AQ201" s="1231"/>
      <c r="AR201" s="1227"/>
      <c r="AS201" s="1231"/>
      <c r="AT201" s="1231"/>
      <c r="AU201" s="1231"/>
      <c r="AV201" s="1231"/>
      <c r="AW201" s="1227"/>
      <c r="AX201" s="1231"/>
      <c r="AY201" s="1231"/>
      <c r="AZ201" s="1231"/>
      <c r="BA201" s="1231"/>
      <c r="BB201" s="1227"/>
      <c r="BC201" s="1231"/>
      <c r="BD201" s="1231"/>
      <c r="BE201" s="1231"/>
      <c r="BF201" s="1231"/>
      <c r="BG201" s="1227"/>
      <c r="BH201" s="1231"/>
      <c r="BI201" s="1231"/>
      <c r="BJ201" s="1231"/>
      <c r="BK201" s="1231"/>
      <c r="BL201" s="1326"/>
      <c r="BM201" s="1231"/>
      <c r="BN201" s="1231"/>
      <c r="BO201" s="1231"/>
      <c r="BP201" s="1231"/>
      <c r="BQ201" s="1326"/>
      <c r="BR201" s="1231"/>
      <c r="BS201" s="1231"/>
      <c r="BT201" s="1231"/>
      <c r="BU201" s="1231"/>
      <c r="BV201" s="1326"/>
      <c r="BW201" s="1231"/>
      <c r="BX201" s="1231"/>
      <c r="BY201" s="1231"/>
      <c r="BZ201" s="1231"/>
      <c r="CA201" s="1326"/>
      <c r="CB201" s="1231"/>
      <c r="CC201" s="1231"/>
      <c r="CD201" s="1231"/>
      <c r="CE201" s="1231"/>
      <c r="CF201" s="1326"/>
      <c r="CG201" s="1231"/>
      <c r="CH201" s="1231"/>
      <c r="CI201" s="1231"/>
      <c r="CJ201" s="1231"/>
      <c r="CK201" s="1326"/>
      <c r="CL201" s="1231"/>
      <c r="CM201" s="1231"/>
      <c r="CN201" s="1231"/>
      <c r="CO201" s="1231"/>
      <c r="CP201" s="1326"/>
      <c r="CQ201" s="1231"/>
      <c r="CR201" s="1231"/>
      <c r="CS201" s="1231"/>
      <c r="CT201" s="1231"/>
      <c r="CU201" s="1326"/>
      <c r="CV201" s="1231"/>
      <c r="CW201" s="1231"/>
      <c r="CX201" s="1231"/>
      <c r="CY201" s="1231"/>
      <c r="CZ201" s="1326"/>
      <c r="DA201" s="1231"/>
      <c r="DB201" s="1231"/>
      <c r="DC201" s="1231"/>
      <c r="DD201" s="1231"/>
      <c r="DE201" s="1326"/>
      <c r="DF201" s="1231"/>
      <c r="DG201" s="1231"/>
      <c r="DH201" s="1231"/>
      <c r="DI201" s="1231"/>
      <c r="DJ201" s="1326"/>
      <c r="DK201" s="1231"/>
      <c r="DL201" s="1231"/>
      <c r="DM201" s="1231"/>
      <c r="DN201" s="1231"/>
      <c r="DO201" s="1326"/>
      <c r="DP201" s="1231"/>
      <c r="DQ201" s="1231"/>
      <c r="DR201" s="1231"/>
      <c r="DS201" s="1231"/>
      <c r="DT201" s="1326"/>
      <c r="DU201" s="1231"/>
      <c r="DV201" s="1231"/>
      <c r="DW201" s="1231"/>
      <c r="DX201" s="1231"/>
      <c r="DY201" s="1326"/>
    </row>
    <row r="202" spans="1:129" x14ac:dyDescent="0.2">
      <c r="A202" s="1223"/>
      <c r="B202" s="1190" t="s">
        <v>1156</v>
      </c>
      <c r="C202" s="1182"/>
      <c r="D202" s="1182"/>
      <c r="E202" s="1182"/>
      <c r="F202" s="1182"/>
      <c r="G202" s="1182"/>
      <c r="H202" s="1182"/>
      <c r="I202" s="1182"/>
      <c r="J202" s="1182"/>
      <c r="K202" s="1182"/>
      <c r="L202" s="1182"/>
      <c r="M202" s="1182"/>
      <c r="N202" s="1182"/>
      <c r="O202" s="1182"/>
      <c r="P202" s="1182"/>
      <c r="Q202" s="1182"/>
      <c r="R202" s="1182"/>
      <c r="S202" s="1182"/>
      <c r="T202" s="1182"/>
      <c r="U202" s="1182"/>
      <c r="V202" s="1182"/>
      <c r="W202" s="1182"/>
      <c r="X202" s="1227"/>
      <c r="Y202" s="1231"/>
      <c r="Z202" s="1231"/>
      <c r="AA202" s="1231"/>
      <c r="AB202" s="1231"/>
      <c r="AC202" s="1227"/>
      <c r="AD202" s="1231"/>
      <c r="AE202" s="1231"/>
      <c r="AF202" s="1231"/>
      <c r="AG202" s="1231"/>
      <c r="AH202" s="1227"/>
      <c r="AI202" s="1231"/>
      <c r="AJ202" s="1231"/>
      <c r="AK202" s="1231"/>
      <c r="AL202" s="1231"/>
      <c r="AM202" s="1227"/>
      <c r="AN202" s="1231"/>
      <c r="AO202" s="1231"/>
      <c r="AP202" s="1231"/>
      <c r="AQ202" s="1231"/>
      <c r="AR202" s="1227"/>
      <c r="AS202" s="1231"/>
      <c r="AT202" s="1231"/>
      <c r="AU202" s="1231"/>
      <c r="AV202" s="1231"/>
      <c r="AW202" s="1227"/>
      <c r="AX202" s="1231"/>
      <c r="AY202" s="1231"/>
      <c r="AZ202" s="1231"/>
      <c r="BA202" s="1231"/>
      <c r="BB202" s="1227"/>
      <c r="BC202" s="1231"/>
      <c r="BD202" s="1231"/>
      <c r="BE202" s="1231"/>
      <c r="BF202" s="1231"/>
      <c r="BG202" s="1227"/>
      <c r="BH202" s="1231"/>
      <c r="BI202" s="1231"/>
      <c r="BJ202" s="1231"/>
      <c r="BK202" s="1231"/>
      <c r="BL202" s="1326">
        <f>-(AVERAGE(BL198,BL200))*(BL196)</f>
        <v>-100.625</v>
      </c>
      <c r="BM202" s="1231"/>
      <c r="BN202" s="1231"/>
      <c r="BO202" s="1231"/>
      <c r="BP202" s="1231"/>
      <c r="BQ202" s="1326">
        <f>-(AVERAGE(BQ198,BQ200))*(BQ196)</f>
        <v>-100.625</v>
      </c>
      <c r="BR202" s="1231"/>
      <c r="BS202" s="1231"/>
      <c r="BT202" s="1231"/>
      <c r="BU202" s="1231"/>
      <c r="BV202" s="1326">
        <f>-(AVERAGE(BV198,BV200))*(BV196)</f>
        <v>-100.625</v>
      </c>
      <c r="BW202" s="1231"/>
      <c r="BX202" s="1231"/>
      <c r="BY202" s="1231"/>
      <c r="BZ202" s="1231"/>
      <c r="CA202" s="1326">
        <f>-(AVERAGE(CA198,CA200))*(CA196)</f>
        <v>-100.625</v>
      </c>
      <c r="CB202" s="1223">
        <f>-(AVERAGE(CB200,CB198))*(CB196/4)</f>
        <v>-25.15625</v>
      </c>
      <c r="CC202" s="1223">
        <f>-(AVERAGE(CC200,CC198))*(CC196/4)</f>
        <v>-25.15625</v>
      </c>
      <c r="CD202" s="1223">
        <f>-(AVERAGE(CD200,CD198))*(CD196/4)</f>
        <v>-25.15625</v>
      </c>
      <c r="CE202" s="1223">
        <f>-(AVERAGE(CE200,CE198))*(CE196/4)</f>
        <v>-25.15625</v>
      </c>
      <c r="CF202" s="1326">
        <f>SUM(CB202:CE202)</f>
        <v>-100.625</v>
      </c>
      <c r="CG202" s="1223">
        <f>-(AVERAGE(CG200,CG198))*(CG196/4)</f>
        <v>-25.15625</v>
      </c>
      <c r="CH202" s="1223">
        <f>-(AVERAGE(CH200,CH198))*(CH196/4)</f>
        <v>-25.15625</v>
      </c>
      <c r="CI202" s="1223">
        <f>-(AVERAGE(CI200,CI198))*(CI196/4)</f>
        <v>-25.15625</v>
      </c>
      <c r="CJ202" s="1223">
        <f>-(AVERAGE(CJ200,CJ198))*(CJ196/4)</f>
        <v>-23.359375</v>
      </c>
      <c r="CK202" s="1326">
        <f>SUM(CG202:CJ202)</f>
        <v>-98.828125</v>
      </c>
      <c r="CL202" s="1223">
        <f>-(AVERAGE(CL200,CL198))*(CL196/4)</f>
        <v>-21.5625</v>
      </c>
      <c r="CM202" s="1223">
        <f>-(AVERAGE(CM200,CM198))*(CM196/4)</f>
        <v>-21.5625</v>
      </c>
      <c r="CN202" s="1223">
        <f>-(AVERAGE(CN200,CN198))*(CN196/4)</f>
        <v>-21.5625</v>
      </c>
      <c r="CO202" s="1223">
        <f>-(AVERAGE(CO200,CO198))*(CO196/4)</f>
        <v>-20.196875000000002</v>
      </c>
      <c r="CP202" s="1326">
        <f>SUM(CL202:CO202)</f>
        <v>-84.884375000000006</v>
      </c>
      <c r="CQ202" s="1223">
        <f>-(AVERAGE(CQ200,CQ198))*(CQ196/4)</f>
        <v>-18.831250000000001</v>
      </c>
      <c r="CR202" s="1223">
        <f>-(AVERAGE(CR200,CR198))*(CR196/4)</f>
        <v>-18.831250000000001</v>
      </c>
      <c r="CS202" s="1223">
        <f>-(AVERAGE(CS200,CS198))*(CS196/4)</f>
        <v>-17.178125000000001</v>
      </c>
      <c r="CT202" s="1223">
        <f>-(AVERAGE(CT200,CT198))*(CT196/4)</f>
        <v>-15.525</v>
      </c>
      <c r="CU202" s="1326">
        <f>SUM(CQ202:CT202)</f>
        <v>-70.365625000000009</v>
      </c>
      <c r="CV202" s="1223">
        <f>-(AVERAGE(CV200,CV198))*(CV196/4)</f>
        <v>-15.525</v>
      </c>
      <c r="CW202" s="1223">
        <f>-(AVERAGE(CW200,CW198))*(CW196/4)</f>
        <v>-15.525</v>
      </c>
      <c r="CX202" s="1223">
        <f>-(AVERAGE(CX200,CX198))*(CX196/4)</f>
        <v>-15.525</v>
      </c>
      <c r="CY202" s="1223">
        <f>-(AVERAGE(CY200,CY198))*(CY196/4)</f>
        <v>-15.525</v>
      </c>
      <c r="CZ202" s="1326">
        <f>SUM(CV202:CY202)</f>
        <v>-62.1</v>
      </c>
      <c r="DA202" s="1223">
        <f>-(AVERAGE(DA200,DA198))*(DA196/4)</f>
        <v>-15.525</v>
      </c>
      <c r="DB202" s="1223">
        <f>-(AVERAGE(DB200,DB198))*(DB196/4)</f>
        <v>-11.653812500000001</v>
      </c>
      <c r="DC202" s="1223">
        <f>-(AVERAGE(DC200,DC198))*(DC196/4)</f>
        <v>-7.7826250000000003</v>
      </c>
      <c r="DD202" s="1223">
        <f>-(AVERAGE(DD200,DD198))*(DD196/4)</f>
        <v>-7.7826250000000003</v>
      </c>
      <c r="DE202" s="1326">
        <f>SUM(DA202:DD202)</f>
        <v>-42.744062500000005</v>
      </c>
      <c r="DF202" s="1223">
        <f>-(AVERAGE(DF200,DF198))*(DF196/4)</f>
        <v>-7.7826250000000003</v>
      </c>
      <c r="DG202" s="1223">
        <f>-(AVERAGE(DG200,DG198))*(DG196/4)</f>
        <v>-7.7826250000000003</v>
      </c>
      <c r="DH202" s="1223">
        <f>-(AVERAGE(DH200,DH198))*(DH196/4)</f>
        <v>-7.7826250000000003</v>
      </c>
      <c r="DI202" s="1223">
        <f>-(AVERAGE(DI200,DI198))*(DI196/4)</f>
        <v>-7.7826250000000003</v>
      </c>
      <c r="DJ202" s="1326">
        <f>SUM(DF202:DI202)</f>
        <v>-31.130500000000001</v>
      </c>
      <c r="DK202" s="1223">
        <f>-(AVERAGE(DK200,DK198))*(DK196/4)</f>
        <v>-7.7826250000000003</v>
      </c>
      <c r="DL202" s="1223">
        <f>-(AVERAGE(DL200,DL198))*(DL196/4)</f>
        <v>-2.0124999999999674E-2</v>
      </c>
      <c r="DM202" s="1223">
        <f>-(AVERAGE(DM200,DM198))*(DM196/4)</f>
        <v>7.7423750000000009</v>
      </c>
      <c r="DN202" s="1223">
        <f>-(AVERAGE(DN200,DN198))*(DN196/4)</f>
        <v>7.7423750000000009</v>
      </c>
      <c r="DO202" s="1326">
        <f>SUM(DK202:DN202)</f>
        <v>7.6820000000000022</v>
      </c>
      <c r="DP202" s="1223">
        <f>-(AVERAGE(DP200,DP198))*(DP196/4)</f>
        <v>7.7423750000000009</v>
      </c>
      <c r="DQ202" s="1223">
        <f>-(AVERAGE(DQ200,DQ198))*(DQ196/4)</f>
        <v>15.504875</v>
      </c>
      <c r="DR202" s="1223">
        <f>-(AVERAGE(DR200,DR198))*(DR196/4)</f>
        <v>23.267375000000001</v>
      </c>
      <c r="DS202" s="1223">
        <f>-(AVERAGE(DS200,DS198))*(DS196/4)</f>
        <v>23.267375000000001</v>
      </c>
      <c r="DT202" s="1326">
        <f>SUM(DP202:DS202)</f>
        <v>69.782000000000011</v>
      </c>
      <c r="DU202" s="1223">
        <f>-(AVERAGE(DU200,DU198))*(DU196/4)</f>
        <v>23.267375000000001</v>
      </c>
      <c r="DV202" s="1223">
        <f>-(AVERAGE(DV200,DV198))*(DV196/4)</f>
        <v>31.029875000000001</v>
      </c>
      <c r="DW202" s="1223">
        <f>-(AVERAGE(DW200,DW198))*(DW196/4)</f>
        <v>38.792375</v>
      </c>
      <c r="DX202" s="1223">
        <f>-(AVERAGE(DX200,DX198))*(DX196/4)</f>
        <v>38.792375</v>
      </c>
      <c r="DY202" s="1326">
        <f>SUM(DU202:DX202)</f>
        <v>131.88200000000001</v>
      </c>
    </row>
    <row r="203" spans="1:129" ht="12" thickBot="1" x14ac:dyDescent="0.25">
      <c r="A203" s="1223"/>
      <c r="B203" s="1250" t="s">
        <v>1157</v>
      </c>
      <c r="C203" s="1251"/>
      <c r="D203" s="1251"/>
      <c r="E203" s="1251"/>
      <c r="F203" s="1251"/>
      <c r="G203" s="1251"/>
      <c r="H203" s="1251"/>
      <c r="I203" s="1251"/>
      <c r="J203" s="1251"/>
      <c r="K203" s="1251"/>
      <c r="L203" s="1251"/>
      <c r="M203" s="1251"/>
      <c r="N203" s="1251"/>
      <c r="O203" s="1251"/>
      <c r="P203" s="1251"/>
      <c r="Q203" s="1251"/>
      <c r="R203" s="1251"/>
      <c r="S203" s="1251"/>
      <c r="T203" s="1251"/>
      <c r="U203" s="1251"/>
      <c r="V203" s="1251"/>
      <c r="W203" s="1251"/>
      <c r="X203" s="1252"/>
      <c r="Y203" s="1251"/>
      <c r="Z203" s="1251"/>
      <c r="AA203" s="1251"/>
      <c r="AB203" s="1251"/>
      <c r="AC203" s="1252"/>
      <c r="AD203" s="1251"/>
      <c r="AE203" s="1251"/>
      <c r="AF203" s="1251"/>
      <c r="AG203" s="1251"/>
      <c r="AH203" s="1252"/>
      <c r="AI203" s="1251"/>
      <c r="AJ203" s="1251"/>
      <c r="AK203" s="1251"/>
      <c r="AL203" s="1251"/>
      <c r="AM203" s="1252"/>
      <c r="AN203" s="1251"/>
      <c r="AO203" s="1251"/>
      <c r="AP203" s="1251"/>
      <c r="AQ203" s="1253"/>
      <c r="AR203" s="1252"/>
      <c r="AS203" s="1253"/>
      <c r="AT203" s="1253"/>
      <c r="AU203" s="1253"/>
      <c r="AV203" s="1253"/>
      <c r="AW203" s="1252"/>
      <c r="AX203" s="1253"/>
      <c r="AY203" s="1253"/>
      <c r="AZ203" s="1253"/>
      <c r="BA203" s="1253"/>
      <c r="BB203" s="1252"/>
      <c r="BC203" s="1253"/>
      <c r="BD203" s="1253"/>
      <c r="BE203" s="1253"/>
      <c r="BF203" s="1253"/>
      <c r="BG203" s="1252"/>
      <c r="BH203" s="1253"/>
      <c r="BI203" s="1253"/>
      <c r="BJ203" s="1253"/>
      <c r="BK203" s="1253"/>
      <c r="BL203" s="1327"/>
      <c r="BM203" s="1253"/>
      <c r="BN203" s="1253"/>
      <c r="BO203" s="1253"/>
      <c r="BP203" s="1253"/>
      <c r="BQ203" s="1327"/>
      <c r="BR203" s="1253"/>
      <c r="BS203" s="1253"/>
      <c r="BT203" s="1253"/>
      <c r="BU203" s="1253"/>
      <c r="BV203" s="1327"/>
      <c r="BW203" s="1253"/>
      <c r="BX203" s="1253"/>
      <c r="BY203" s="1253"/>
      <c r="BZ203" s="1253"/>
      <c r="CA203" s="1327"/>
      <c r="CB203" s="1253">
        <f>-CB195*CB201/4</f>
        <v>0</v>
      </c>
      <c r="CC203" s="1253">
        <f>-CC195*CC201/4</f>
        <v>0</v>
      </c>
      <c r="CD203" s="1253">
        <f>-CD195*CD201/4</f>
        <v>0</v>
      </c>
      <c r="CE203" s="1253">
        <f>-CE195*CE201/4</f>
        <v>0</v>
      </c>
      <c r="CF203" s="1327"/>
      <c r="CG203" s="1253">
        <f>-CG195*CG201/4</f>
        <v>0</v>
      </c>
      <c r="CH203" s="1253">
        <f>-CH195*CH201/4</f>
        <v>0</v>
      </c>
      <c r="CI203" s="1253">
        <f>-CI195*CI201/4</f>
        <v>0</v>
      </c>
      <c r="CJ203" s="1253">
        <f>-CJ195*CJ201/4</f>
        <v>0</v>
      </c>
      <c r="CK203" s="1327"/>
      <c r="CL203" s="1253">
        <f>-CL195*CL201/4</f>
        <v>0</v>
      </c>
      <c r="CM203" s="1253">
        <f>-CM195*CM201/4</f>
        <v>0</v>
      </c>
      <c r="CN203" s="1253">
        <f>-CN195*CN201/4</f>
        <v>0</v>
      </c>
      <c r="CO203" s="1253">
        <f>-CO195*CO201/4</f>
        <v>0</v>
      </c>
      <c r="CP203" s="1327"/>
      <c r="CQ203" s="1253">
        <f>-CQ195*CQ201/4</f>
        <v>0</v>
      </c>
      <c r="CR203" s="1253">
        <f>-CR195*CR201/4</f>
        <v>0</v>
      </c>
      <c r="CS203" s="1253">
        <f>-CS195*CS201/4</f>
        <v>0</v>
      </c>
      <c r="CT203" s="1253">
        <f>-CT195*CT201/4</f>
        <v>0</v>
      </c>
      <c r="CU203" s="1327"/>
      <c r="CV203" s="1253">
        <f>-CV195*CV201/4</f>
        <v>0</v>
      </c>
      <c r="CW203" s="1253">
        <f>-CW195*CW201/4</f>
        <v>0</v>
      </c>
      <c r="CX203" s="1253">
        <f>-CX195*CX201/4</f>
        <v>0</v>
      </c>
      <c r="CY203" s="1253">
        <f>-CY195*CY201/4</f>
        <v>0</v>
      </c>
      <c r="CZ203" s="1327"/>
      <c r="DA203" s="1253">
        <f>-DA195*DA201/4</f>
        <v>0</v>
      </c>
      <c r="DB203" s="1253">
        <f>-DB195*DB201/4</f>
        <v>0</v>
      </c>
      <c r="DC203" s="1253">
        <f>-DC195*DC201/4</f>
        <v>0</v>
      </c>
      <c r="DD203" s="1253">
        <f>-DD195*DD201/4</f>
        <v>0</v>
      </c>
      <c r="DE203" s="1327"/>
      <c r="DF203" s="1253">
        <f>-DF195*DF201/4</f>
        <v>0</v>
      </c>
      <c r="DG203" s="1253">
        <f>-DG195*DG201/4</f>
        <v>0</v>
      </c>
      <c r="DH203" s="1253">
        <f>-DH195*DH201/4</f>
        <v>0</v>
      </c>
      <c r="DI203" s="1253">
        <f>-DI195*DI201/4</f>
        <v>0</v>
      </c>
      <c r="DJ203" s="1327"/>
      <c r="DK203" s="1253">
        <f>-DK195*DK201/4</f>
        <v>0</v>
      </c>
      <c r="DL203" s="1253">
        <f>-DL195*DL201/4</f>
        <v>0</v>
      </c>
      <c r="DM203" s="1253">
        <f>-DM195*DM201/4</f>
        <v>0</v>
      </c>
      <c r="DN203" s="1253">
        <f>-DN195*DN201/4</f>
        <v>0</v>
      </c>
      <c r="DO203" s="1327"/>
      <c r="DP203" s="1253">
        <f>-DP195*DP201/4</f>
        <v>0</v>
      </c>
      <c r="DQ203" s="1253">
        <f>-DQ195*DQ201/4</f>
        <v>0</v>
      </c>
      <c r="DR203" s="1253">
        <f>-DR195*DR201/4</f>
        <v>0</v>
      </c>
      <c r="DS203" s="1253">
        <f>-DS195*DS201/4</f>
        <v>0</v>
      </c>
      <c r="DT203" s="1327"/>
      <c r="DU203" s="1253">
        <f>-DU195*DU201/4</f>
        <v>0</v>
      </c>
      <c r="DV203" s="1253">
        <f>-DV195*DV201/4</f>
        <v>0</v>
      </c>
      <c r="DW203" s="1253">
        <f>-DW195*DW201/4</f>
        <v>0</v>
      </c>
      <c r="DX203" s="1253">
        <f>-DX195*DX201/4</f>
        <v>0</v>
      </c>
      <c r="DY203" s="1327"/>
    </row>
    <row r="204" spans="1:129" ht="12" thickBot="1" x14ac:dyDescent="0.25">
      <c r="A204" s="1240"/>
      <c r="B204" s="1240"/>
      <c r="C204" s="1214"/>
      <c r="D204" s="1214"/>
      <c r="E204" s="1214"/>
      <c r="F204" s="1214"/>
      <c r="G204" s="1214"/>
      <c r="H204" s="1214"/>
      <c r="I204" s="1214"/>
      <c r="J204" s="1214"/>
      <c r="K204" s="1214"/>
      <c r="L204" s="1214"/>
      <c r="M204" s="1214"/>
      <c r="N204" s="1214"/>
      <c r="O204" s="1214"/>
      <c r="P204" s="1214"/>
      <c r="Q204" s="1214"/>
      <c r="R204" s="1214"/>
      <c r="S204" s="1214"/>
      <c r="T204" s="1214"/>
      <c r="U204" s="1214"/>
      <c r="V204" s="1214"/>
      <c r="W204" s="1214"/>
      <c r="X204" s="1214"/>
      <c r="Y204" s="1214"/>
      <c r="Z204" s="1214"/>
      <c r="AA204" s="1214"/>
      <c r="AB204" s="1214"/>
      <c r="AC204" s="1214"/>
      <c r="AD204" s="1214"/>
      <c r="AE204" s="1214"/>
      <c r="AF204" s="1214"/>
      <c r="AG204" s="1214"/>
      <c r="AH204" s="1214"/>
      <c r="AI204" s="1214"/>
      <c r="AJ204" s="1214"/>
      <c r="AK204" s="1214"/>
      <c r="AL204" s="1214"/>
      <c r="AM204" s="1214"/>
      <c r="AN204" s="1214"/>
      <c r="AO204" s="1214"/>
      <c r="AP204" s="1214"/>
      <c r="AQ204" s="1215"/>
      <c r="AR204" s="1215"/>
      <c r="AS204" s="1215"/>
      <c r="AT204" s="1215"/>
      <c r="AU204" s="1215"/>
      <c r="AV204" s="1215"/>
      <c r="AW204" s="1338"/>
      <c r="AX204" s="1215"/>
      <c r="AY204" s="1215"/>
      <c r="AZ204" s="1215"/>
      <c r="BA204" s="1215"/>
      <c r="BB204" s="1338"/>
      <c r="BC204" s="1215"/>
      <c r="BD204" s="1215"/>
      <c r="BE204" s="1215"/>
      <c r="BF204" s="1215"/>
      <c r="BG204" s="1338"/>
      <c r="BH204" s="1215"/>
      <c r="BI204" s="1215"/>
      <c r="BJ204" s="1215"/>
      <c r="BK204" s="1215"/>
      <c r="BL204" s="1338"/>
      <c r="BM204" s="1215"/>
      <c r="BN204" s="1215"/>
      <c r="BO204" s="1215"/>
      <c r="BP204" s="1215"/>
      <c r="BQ204" s="1338"/>
      <c r="BR204" s="1215"/>
      <c r="BS204" s="1215"/>
      <c r="BT204" s="1215"/>
      <c r="BU204" s="1215"/>
      <c r="BV204" s="1338"/>
      <c r="BW204" s="1215"/>
      <c r="BX204" s="1215"/>
      <c r="BY204" s="1215"/>
      <c r="BZ204" s="1215"/>
      <c r="CA204" s="1338"/>
      <c r="CB204" s="1215"/>
      <c r="CC204" s="1215"/>
      <c r="CD204" s="1215"/>
      <c r="CE204" s="1215"/>
      <c r="CF204" s="1338"/>
      <c r="CG204" s="1215"/>
      <c r="CH204" s="1215"/>
      <c r="CI204" s="1215"/>
      <c r="CJ204" s="1215"/>
      <c r="CK204" s="1338"/>
      <c r="CL204" s="1215"/>
      <c r="CM204" s="1215"/>
      <c r="CN204" s="1215"/>
      <c r="CO204" s="1215"/>
      <c r="CP204" s="1338"/>
      <c r="CQ204" s="1215"/>
      <c r="CR204" s="1215"/>
      <c r="CS204" s="1215"/>
      <c r="CT204" s="1215"/>
      <c r="CU204" s="1338"/>
      <c r="CV204" s="1215"/>
      <c r="CW204" s="1215"/>
      <c r="CX204" s="1215"/>
      <c r="CY204" s="1215"/>
      <c r="CZ204" s="1338"/>
      <c r="DA204" s="1215"/>
      <c r="DB204" s="1215"/>
      <c r="DC204" s="1215"/>
      <c r="DD204" s="1215"/>
      <c r="DE204" s="1338"/>
      <c r="DF204" s="1215"/>
      <c r="DG204" s="1215"/>
      <c r="DH204" s="1215"/>
      <c r="DI204" s="1215"/>
      <c r="DJ204" s="1338"/>
      <c r="DK204" s="1215"/>
      <c r="DL204" s="1215"/>
      <c r="DM204" s="1215"/>
      <c r="DN204" s="1215"/>
      <c r="DO204" s="1338"/>
      <c r="DP204" s="1215"/>
      <c r="DQ204" s="1215"/>
      <c r="DR204" s="1215"/>
      <c r="DS204" s="1215"/>
      <c r="DT204" s="1338"/>
      <c r="DU204" s="1215"/>
      <c r="DV204" s="1215"/>
      <c r="DW204" s="1215"/>
      <c r="DX204" s="1215"/>
      <c r="DY204" s="1338"/>
    </row>
    <row r="205" spans="1:129" ht="12" thickBot="1" x14ac:dyDescent="0.25">
      <c r="A205" s="1123"/>
      <c r="B205" s="1282" t="s">
        <v>1142</v>
      </c>
      <c r="C205" s="1328"/>
      <c r="D205" s="1329"/>
      <c r="E205" s="1329"/>
      <c r="F205" s="1329"/>
      <c r="G205" s="1329"/>
      <c r="H205" s="1329"/>
      <c r="I205" s="1329"/>
      <c r="J205" s="1329"/>
      <c r="K205" s="1329"/>
      <c r="L205" s="1329"/>
      <c r="M205" s="1329"/>
      <c r="N205" s="1329"/>
      <c r="O205" s="1329"/>
      <c r="P205" s="1329"/>
      <c r="Q205" s="1329"/>
      <c r="R205" s="1329"/>
      <c r="S205" s="1329"/>
      <c r="T205" s="1329"/>
      <c r="U205" s="1329"/>
      <c r="V205" s="1329"/>
      <c r="W205" s="1329"/>
      <c r="X205" s="1328"/>
      <c r="Y205" s="1328"/>
      <c r="Z205" s="1328"/>
      <c r="AA205" s="1328"/>
      <c r="AB205" s="1328"/>
      <c r="AC205" s="1328"/>
      <c r="AD205" s="1328"/>
      <c r="AE205" s="1328"/>
      <c r="AF205" s="1328"/>
      <c r="AG205" s="1328"/>
      <c r="AH205" s="1328"/>
      <c r="AI205" s="1328"/>
      <c r="AJ205" s="1328"/>
      <c r="AK205" s="1328"/>
      <c r="AL205" s="1328"/>
      <c r="AM205" s="1328"/>
      <c r="AN205" s="1328"/>
      <c r="AO205" s="1328"/>
      <c r="AP205" s="1328"/>
      <c r="AQ205" s="1330"/>
      <c r="AR205" s="1330"/>
      <c r="AS205" s="1330"/>
      <c r="AT205" s="1331"/>
      <c r="AU205" s="1331"/>
      <c r="AV205" s="1331"/>
      <c r="AW205" s="1330"/>
      <c r="AX205" s="1330"/>
      <c r="AY205" s="1330"/>
      <c r="AZ205" s="1330"/>
      <c r="BA205" s="1330"/>
      <c r="BB205" s="1330"/>
      <c r="BC205" s="1330"/>
      <c r="BD205" s="1330"/>
      <c r="BE205" s="1330"/>
      <c r="BF205" s="1330"/>
      <c r="BG205" s="1330"/>
      <c r="BH205" s="1330"/>
      <c r="BI205" s="1330"/>
      <c r="BJ205" s="1330"/>
      <c r="BK205" s="1330"/>
      <c r="BL205" s="1332"/>
      <c r="BM205" s="1330"/>
      <c r="BN205" s="1330"/>
      <c r="BO205" s="1330"/>
      <c r="BP205" s="1330"/>
      <c r="BQ205" s="1332"/>
      <c r="BR205" s="1330"/>
      <c r="BS205" s="1330"/>
      <c r="BT205" s="1330"/>
      <c r="BU205" s="1330"/>
      <c r="BV205" s="1332"/>
      <c r="BW205" s="1330"/>
      <c r="BX205" s="1330"/>
      <c r="BY205" s="1330"/>
      <c r="BZ205" s="1330"/>
      <c r="CA205" s="1332"/>
      <c r="CB205" s="1330"/>
      <c r="CC205" s="1330"/>
      <c r="CD205" s="1330"/>
      <c r="CE205" s="1330"/>
      <c r="CF205" s="1332"/>
      <c r="CG205" s="1330"/>
      <c r="CH205" s="1330"/>
      <c r="CI205" s="1330"/>
      <c r="CJ205" s="1330"/>
      <c r="CK205" s="1332"/>
      <c r="CL205" s="1330"/>
      <c r="CM205" s="1330"/>
      <c r="CN205" s="1330"/>
      <c r="CO205" s="1330"/>
      <c r="CP205" s="1332"/>
      <c r="CQ205" s="1330"/>
      <c r="CR205" s="1330"/>
      <c r="CS205" s="1330"/>
      <c r="CT205" s="1330"/>
      <c r="CU205" s="1332"/>
      <c r="CV205" s="1330"/>
      <c r="CW205" s="1330"/>
      <c r="CX205" s="1330"/>
      <c r="CY205" s="1330"/>
      <c r="CZ205" s="1332"/>
      <c r="DA205" s="1330"/>
      <c r="DB205" s="1330"/>
      <c r="DC205" s="1330"/>
      <c r="DD205" s="1330"/>
      <c r="DE205" s="1332"/>
      <c r="DF205" s="1330"/>
      <c r="DG205" s="1330"/>
      <c r="DH205" s="1330"/>
      <c r="DI205" s="1330"/>
      <c r="DJ205" s="1332"/>
      <c r="DK205" s="1330"/>
      <c r="DL205" s="1330"/>
      <c r="DM205" s="1330"/>
      <c r="DN205" s="1330"/>
      <c r="DO205" s="1332"/>
      <c r="DP205" s="1330"/>
      <c r="DQ205" s="1330"/>
      <c r="DR205" s="1330"/>
      <c r="DS205" s="1330"/>
      <c r="DT205" s="1332"/>
      <c r="DU205" s="1330"/>
      <c r="DV205" s="1330"/>
      <c r="DW205" s="1330"/>
      <c r="DX205" s="1330"/>
      <c r="DY205" s="1332"/>
    </row>
    <row r="206" spans="1:129" x14ac:dyDescent="0.2">
      <c r="A206" s="532"/>
      <c r="B206" s="1287" t="s">
        <v>1149</v>
      </c>
      <c r="C206" s="650"/>
      <c r="D206" s="650"/>
      <c r="E206" s="650"/>
      <c r="F206" s="650"/>
      <c r="G206" s="650"/>
      <c r="H206" s="650"/>
      <c r="I206" s="650"/>
      <c r="J206" s="650"/>
      <c r="K206" s="650"/>
      <c r="L206" s="650"/>
      <c r="M206" s="650"/>
      <c r="N206" s="650"/>
      <c r="O206" s="650"/>
      <c r="P206" s="650"/>
      <c r="Q206" s="650"/>
      <c r="R206" s="650"/>
      <c r="S206" s="650"/>
      <c r="T206" s="650"/>
      <c r="U206" s="650"/>
      <c r="V206" s="650"/>
      <c r="W206" s="650"/>
      <c r="X206" s="1288"/>
      <c r="Y206" s="650"/>
      <c r="Z206" s="650"/>
      <c r="AA206" s="650"/>
      <c r="AB206" s="650"/>
      <c r="AC206" s="1288"/>
      <c r="AD206" s="650"/>
      <c r="AE206" s="650"/>
      <c r="AF206" s="650"/>
      <c r="AG206" s="650"/>
      <c r="AH206" s="1288"/>
      <c r="AI206" s="650"/>
      <c r="AJ206" s="650"/>
      <c r="AK206" s="650"/>
      <c r="AL206" s="650"/>
      <c r="AM206" s="1288"/>
      <c r="AN206" s="650"/>
      <c r="AO206" s="650"/>
      <c r="AP206" s="650"/>
      <c r="AQ206" s="650"/>
      <c r="AR206" s="1288"/>
      <c r="AS206" s="650"/>
      <c r="AT206" s="650"/>
      <c r="AU206" s="650"/>
      <c r="AV206" s="650"/>
      <c r="AW206" s="1288"/>
      <c r="AX206" s="650"/>
      <c r="AY206" s="650"/>
      <c r="AZ206" s="650"/>
      <c r="BA206" s="650"/>
      <c r="BB206" s="1288"/>
      <c r="BC206" s="650"/>
      <c r="BD206" s="650"/>
      <c r="BE206" s="650"/>
      <c r="BF206" s="650"/>
      <c r="BG206" s="1288"/>
      <c r="BH206" s="650"/>
      <c r="BI206" s="650"/>
      <c r="BJ206" s="650"/>
      <c r="BK206" s="650"/>
      <c r="BL206" s="583"/>
      <c r="BM206" s="650"/>
      <c r="BN206" s="650"/>
      <c r="BO206" s="650"/>
      <c r="BP206" s="650"/>
      <c r="BQ206" s="583"/>
      <c r="BR206" s="650"/>
      <c r="BS206" s="650"/>
      <c r="BT206" s="650"/>
      <c r="BU206" s="650"/>
      <c r="BV206" s="583"/>
      <c r="BW206" s="650"/>
      <c r="BX206" s="650"/>
      <c r="BY206" s="650"/>
      <c r="BZ206" s="650"/>
      <c r="CA206" s="583"/>
      <c r="CB206" s="650"/>
      <c r="CC206" s="650"/>
      <c r="CD206" s="650"/>
      <c r="CE206" s="650"/>
      <c r="CF206" s="583"/>
      <c r="CG206" s="650"/>
      <c r="CH206" s="650"/>
      <c r="CI206" s="650"/>
      <c r="CJ206" s="650"/>
      <c r="CK206" s="583"/>
      <c r="CL206" s="650"/>
      <c r="CM206" s="650"/>
      <c r="CN206" s="650"/>
      <c r="CO206" s="650"/>
      <c r="CP206" s="583"/>
      <c r="CQ206" s="650"/>
      <c r="CR206" s="650"/>
      <c r="CS206" s="650"/>
      <c r="CT206" s="650"/>
      <c r="CU206" s="583"/>
      <c r="CV206" s="650"/>
      <c r="CW206" s="650"/>
      <c r="CX206" s="650"/>
      <c r="CY206" s="650"/>
      <c r="CZ206" s="583"/>
      <c r="DA206" s="650"/>
      <c r="DB206" s="650"/>
      <c r="DC206" s="650"/>
      <c r="DD206" s="650"/>
      <c r="DE206" s="583"/>
      <c r="DF206" s="650"/>
      <c r="DG206" s="650"/>
      <c r="DH206" s="650"/>
      <c r="DI206" s="650"/>
      <c r="DJ206" s="583"/>
      <c r="DK206" s="650"/>
      <c r="DL206" s="650"/>
      <c r="DM206" s="650"/>
      <c r="DN206" s="650"/>
      <c r="DO206" s="583"/>
      <c r="DP206" s="650"/>
      <c r="DQ206" s="650"/>
      <c r="DR206" s="650"/>
      <c r="DS206" s="650"/>
      <c r="DT206" s="583"/>
      <c r="DU206" s="650"/>
      <c r="DV206" s="650"/>
      <c r="DW206" s="650"/>
      <c r="DX206" s="650"/>
      <c r="DY206" s="583"/>
    </row>
    <row r="207" spans="1:129" x14ac:dyDescent="0.2">
      <c r="A207" s="532"/>
      <c r="B207" s="1287" t="s">
        <v>1150</v>
      </c>
      <c r="C207" s="650"/>
      <c r="D207" s="650"/>
      <c r="E207" s="650"/>
      <c r="F207" s="650"/>
      <c r="G207" s="650"/>
      <c r="H207" s="650"/>
      <c r="I207" s="650"/>
      <c r="J207" s="650"/>
      <c r="K207" s="650"/>
      <c r="L207" s="650"/>
      <c r="M207" s="650"/>
      <c r="N207" s="650"/>
      <c r="O207" s="650"/>
      <c r="P207" s="650"/>
      <c r="Q207" s="650"/>
      <c r="R207" s="650"/>
      <c r="S207" s="650"/>
      <c r="T207" s="650"/>
      <c r="U207" s="650"/>
      <c r="V207" s="650"/>
      <c r="W207" s="650"/>
      <c r="X207" s="1288"/>
      <c r="Y207" s="650"/>
      <c r="Z207" s="650"/>
      <c r="AA207" s="650"/>
      <c r="AB207" s="650"/>
      <c r="AC207" s="1288"/>
      <c r="AD207" s="650"/>
      <c r="AE207" s="650"/>
      <c r="AF207" s="650"/>
      <c r="AG207" s="650"/>
      <c r="AH207" s="1288"/>
      <c r="AI207" s="650"/>
      <c r="AJ207" s="650"/>
      <c r="AK207" s="650"/>
      <c r="AL207" s="650"/>
      <c r="AM207" s="1288"/>
      <c r="AN207" s="650"/>
      <c r="AO207" s="650"/>
      <c r="AP207" s="650"/>
      <c r="AQ207" s="650"/>
      <c r="AR207" s="1288"/>
      <c r="AS207" s="650"/>
      <c r="AT207" s="650"/>
      <c r="AU207" s="650"/>
      <c r="AV207" s="650"/>
      <c r="AW207" s="1288"/>
      <c r="AX207" s="650"/>
      <c r="AY207" s="650"/>
      <c r="AZ207" s="650"/>
      <c r="BA207" s="650"/>
      <c r="BB207" s="1288"/>
      <c r="BC207" s="650"/>
      <c r="BD207" s="650"/>
      <c r="BE207" s="650"/>
      <c r="BF207" s="650"/>
      <c r="BG207" s="1289"/>
      <c r="BH207" s="650"/>
      <c r="BI207" s="650"/>
      <c r="BJ207" s="650"/>
      <c r="BK207" s="650"/>
      <c r="BL207" s="1333">
        <v>6.1249999999999999E-2</v>
      </c>
      <c r="BM207" s="650"/>
      <c r="BN207" s="650"/>
      <c r="BO207" s="650"/>
      <c r="BP207" s="650"/>
      <c r="BQ207" s="1333">
        <v>6.1249999999999999E-2</v>
      </c>
      <c r="BR207" s="650"/>
      <c r="BS207" s="650"/>
      <c r="BT207" s="650"/>
      <c r="BU207" s="650"/>
      <c r="BV207" s="1333">
        <v>6.1249999999999999E-2</v>
      </c>
      <c r="BW207" s="650"/>
      <c r="BX207" s="650"/>
      <c r="BY207" s="650"/>
      <c r="BZ207" s="650"/>
      <c r="CA207" s="1333"/>
      <c r="CB207" s="1334">
        <v>6.1249999999999999E-2</v>
      </c>
      <c r="CC207" s="1334">
        <v>6.1249999999999999E-2</v>
      </c>
      <c r="CD207" s="1334">
        <v>6.1249999999999999E-2</v>
      </c>
      <c r="CE207" s="1334">
        <v>6.1249999999999999E-2</v>
      </c>
      <c r="CF207" s="1333"/>
      <c r="CG207" s="1334"/>
      <c r="CH207" s="1334"/>
      <c r="CI207" s="1334"/>
      <c r="CJ207" s="1334"/>
      <c r="CK207" s="1333"/>
      <c r="CL207" s="1334"/>
      <c r="CM207" s="1334"/>
      <c r="CN207" s="1334"/>
      <c r="CO207" s="1334">
        <v>2.2499999999999999E-2</v>
      </c>
      <c r="CP207" s="1333"/>
      <c r="CQ207" s="1334">
        <f>CO207</f>
        <v>2.2499999999999999E-2</v>
      </c>
      <c r="CR207" s="1334">
        <f>CQ207</f>
        <v>2.2499999999999999E-2</v>
      </c>
      <c r="CS207" s="1334">
        <f>CR207</f>
        <v>2.2499999999999999E-2</v>
      </c>
      <c r="CT207" s="1334">
        <f>CS207</f>
        <v>2.2499999999999999E-2</v>
      </c>
      <c r="CU207" s="1333"/>
      <c r="CV207" s="1334">
        <f>CT207</f>
        <v>2.2499999999999999E-2</v>
      </c>
      <c r="CW207" s="1334">
        <f>CV207</f>
        <v>2.2499999999999999E-2</v>
      </c>
      <c r="CX207" s="1334">
        <f>CW207</f>
        <v>2.2499999999999999E-2</v>
      </c>
      <c r="CY207" s="1334">
        <f>CX207</f>
        <v>2.2499999999999999E-2</v>
      </c>
      <c r="CZ207" s="1333"/>
      <c r="DA207" s="1334">
        <f>CY207</f>
        <v>2.2499999999999999E-2</v>
      </c>
      <c r="DB207" s="1334">
        <f>DA207</f>
        <v>2.2499999999999999E-2</v>
      </c>
      <c r="DC207" s="1334">
        <f>DB207</f>
        <v>2.2499999999999999E-2</v>
      </c>
      <c r="DD207" s="1334">
        <f>DC207</f>
        <v>2.2499999999999999E-2</v>
      </c>
      <c r="DE207" s="1333"/>
      <c r="DF207" s="1334">
        <f>DD207</f>
        <v>2.2499999999999999E-2</v>
      </c>
      <c r="DG207" s="1334">
        <f>DF207</f>
        <v>2.2499999999999999E-2</v>
      </c>
      <c r="DH207" s="1334">
        <f>DG207</f>
        <v>2.2499999999999999E-2</v>
      </c>
      <c r="DI207" s="1334">
        <f>DH207</f>
        <v>2.2499999999999999E-2</v>
      </c>
      <c r="DJ207" s="1333"/>
      <c r="DK207" s="1334">
        <f>DI207</f>
        <v>2.2499999999999999E-2</v>
      </c>
      <c r="DL207" s="1334">
        <f>DK207</f>
        <v>2.2499999999999999E-2</v>
      </c>
      <c r="DM207" s="1334">
        <f>DL207</f>
        <v>2.2499999999999999E-2</v>
      </c>
      <c r="DN207" s="1334">
        <f>DM207</f>
        <v>2.2499999999999999E-2</v>
      </c>
      <c r="DO207" s="1333"/>
      <c r="DP207" s="1334">
        <f>DN207</f>
        <v>2.2499999999999999E-2</v>
      </c>
      <c r="DQ207" s="1334">
        <f>DP207</f>
        <v>2.2499999999999999E-2</v>
      </c>
      <c r="DR207" s="1334">
        <f>DQ207</f>
        <v>2.2499999999999999E-2</v>
      </c>
      <c r="DS207" s="1334">
        <f>DR207</f>
        <v>2.2499999999999999E-2</v>
      </c>
      <c r="DT207" s="1333"/>
      <c r="DU207" s="1334">
        <f>DS207</f>
        <v>2.2499999999999999E-2</v>
      </c>
      <c r="DV207" s="1334">
        <f>DU207</f>
        <v>2.2499999999999999E-2</v>
      </c>
      <c r="DW207" s="1334">
        <f>DV207</f>
        <v>2.2499999999999999E-2</v>
      </c>
      <c r="DX207" s="1334">
        <f>DW207</f>
        <v>2.2499999999999999E-2</v>
      </c>
      <c r="DY207" s="1333"/>
    </row>
    <row r="208" spans="1:129" x14ac:dyDescent="0.2">
      <c r="A208" s="1223"/>
      <c r="B208" s="1190" t="s">
        <v>1151</v>
      </c>
      <c r="C208" s="1293"/>
      <c r="D208" s="1293"/>
      <c r="E208" s="1293"/>
      <c r="F208" s="1293"/>
      <c r="G208" s="1293"/>
      <c r="H208" s="1293"/>
      <c r="I208" s="1293"/>
      <c r="J208" s="1293"/>
      <c r="K208" s="1293"/>
      <c r="L208" s="1293"/>
      <c r="M208" s="1293"/>
      <c r="N208" s="1293"/>
      <c r="O208" s="1293"/>
      <c r="P208" s="1293"/>
      <c r="Q208" s="1293"/>
      <c r="R208" s="1293"/>
      <c r="S208" s="1293"/>
      <c r="T208" s="1293"/>
      <c r="U208" s="1293"/>
      <c r="V208" s="1293"/>
      <c r="W208" s="1293"/>
      <c r="X208" s="1227"/>
      <c r="Y208" s="1231"/>
      <c r="Z208" s="1231"/>
      <c r="AA208" s="1231"/>
      <c r="AB208" s="1294"/>
      <c r="AC208" s="1227"/>
      <c r="AD208" s="1231"/>
      <c r="AE208" s="1231"/>
      <c r="AF208" s="1231"/>
      <c r="AG208" s="1294"/>
      <c r="AH208" s="1227"/>
      <c r="AI208" s="1231"/>
      <c r="AJ208" s="1231"/>
      <c r="AK208" s="1231"/>
      <c r="AL208" s="1294"/>
      <c r="AM208" s="1227"/>
      <c r="AN208" s="1231"/>
      <c r="AO208" s="1231"/>
      <c r="AP208" s="1231"/>
      <c r="AQ208" s="1294"/>
      <c r="AR208" s="1227"/>
      <c r="AS208" s="1231"/>
      <c r="AT208" s="1231"/>
      <c r="AU208" s="1231"/>
      <c r="AV208" s="1294"/>
      <c r="AW208" s="1227"/>
      <c r="AX208" s="1231"/>
      <c r="AY208" s="1231"/>
      <c r="AZ208" s="1231"/>
      <c r="BA208" s="1231"/>
      <c r="BB208" s="1227"/>
      <c r="BC208" s="1231"/>
      <c r="BD208" s="1231"/>
      <c r="BE208" s="1231"/>
      <c r="BF208" s="1231"/>
      <c r="BG208" s="1227"/>
      <c r="BH208" s="1231"/>
      <c r="BI208" s="1231"/>
      <c r="BJ208" s="1231"/>
      <c r="BK208" s="1231"/>
      <c r="BL208" s="1326"/>
      <c r="BM208" s="1231"/>
      <c r="BN208" s="1231"/>
      <c r="BO208" s="1231"/>
      <c r="BP208" s="1231"/>
      <c r="BQ208" s="1326"/>
      <c r="BR208" s="1231"/>
      <c r="BS208" s="1231"/>
      <c r="BT208" s="1231"/>
      <c r="BU208" s="1231"/>
      <c r="BV208" s="1326"/>
      <c r="BW208" s="1231"/>
      <c r="BX208" s="1231"/>
      <c r="BY208" s="1231"/>
      <c r="BZ208" s="1231"/>
      <c r="CA208" s="1326"/>
      <c r="CB208" s="1231"/>
      <c r="CC208" s="1231"/>
      <c r="CD208" s="1231"/>
      <c r="CE208" s="1231"/>
      <c r="CF208" s="1326"/>
      <c r="CG208" s="1231"/>
      <c r="CH208" s="1231"/>
      <c r="CI208" s="1231"/>
      <c r="CJ208" s="1231"/>
      <c r="CK208" s="1326"/>
      <c r="CL208" s="1231"/>
      <c r="CM208" s="1231"/>
      <c r="CN208" s="1231"/>
      <c r="CO208" s="1231"/>
      <c r="CP208" s="1326"/>
      <c r="CQ208" s="1231"/>
      <c r="CR208" s="1231"/>
      <c r="CS208" s="1231"/>
      <c r="CT208" s="1231"/>
      <c r="CU208" s="1326"/>
      <c r="CV208" s="1231"/>
      <c r="CW208" s="1231"/>
      <c r="CX208" s="1231"/>
      <c r="CY208" s="1231"/>
      <c r="CZ208" s="1326"/>
      <c r="DA208" s="1231"/>
      <c r="DB208" s="1231"/>
      <c r="DC208" s="1231"/>
      <c r="DD208" s="1231"/>
      <c r="DE208" s="1326"/>
      <c r="DF208" s="1231"/>
      <c r="DG208" s="1231"/>
      <c r="DH208" s="1231"/>
      <c r="DI208" s="1231"/>
      <c r="DJ208" s="1326"/>
      <c r="DK208" s="1231"/>
      <c r="DL208" s="1231"/>
      <c r="DM208" s="1231"/>
      <c r="DN208" s="1231"/>
      <c r="DO208" s="1326"/>
      <c r="DP208" s="1231"/>
      <c r="DQ208" s="1231"/>
      <c r="DR208" s="1231"/>
      <c r="DS208" s="1231"/>
      <c r="DT208" s="1326"/>
      <c r="DU208" s="1231"/>
      <c r="DV208" s="1231"/>
      <c r="DW208" s="1231"/>
      <c r="DX208" s="1231"/>
      <c r="DY208" s="1326"/>
    </row>
    <row r="209" spans="1:129" x14ac:dyDescent="0.2">
      <c r="A209" s="1223"/>
      <c r="B209" s="1190" t="s">
        <v>1152</v>
      </c>
      <c r="C209" s="1231"/>
      <c r="D209" s="1231"/>
      <c r="E209" s="1231"/>
      <c r="F209" s="1231"/>
      <c r="G209" s="1231"/>
      <c r="H209" s="1231"/>
      <c r="I209" s="1231"/>
      <c r="J209" s="1231"/>
      <c r="K209" s="1231"/>
      <c r="L209" s="1231"/>
      <c r="M209" s="1231"/>
      <c r="N209" s="1231"/>
      <c r="O209" s="1231"/>
      <c r="P209" s="1231"/>
      <c r="Q209" s="1231"/>
      <c r="R209" s="1231"/>
      <c r="S209" s="1231"/>
      <c r="T209" s="1231"/>
      <c r="U209" s="1231"/>
      <c r="V209" s="1231"/>
      <c r="W209" s="1231"/>
      <c r="X209" s="1227"/>
      <c r="Y209" s="1231"/>
      <c r="Z209" s="1231"/>
      <c r="AA209" s="1231"/>
      <c r="AB209" s="1231"/>
      <c r="AC209" s="1227"/>
      <c r="AD209" s="1231"/>
      <c r="AE209" s="1231"/>
      <c r="AF209" s="1231"/>
      <c r="AG209" s="1231"/>
      <c r="AH209" s="1227"/>
      <c r="AI209" s="1231"/>
      <c r="AJ209" s="1231"/>
      <c r="AK209" s="1231"/>
      <c r="AL209" s="1231"/>
      <c r="AM209" s="1227"/>
      <c r="AN209" s="1231"/>
      <c r="AO209" s="1231"/>
      <c r="AP209" s="1231"/>
      <c r="AQ209" s="1231"/>
      <c r="AR209" s="1227"/>
      <c r="AS209" s="1231"/>
      <c r="AT209" s="1231"/>
      <c r="AU209" s="1231"/>
      <c r="AV209" s="1231"/>
      <c r="AW209" s="1227"/>
      <c r="AX209" s="1231"/>
      <c r="AY209" s="1231"/>
      <c r="AZ209" s="1231"/>
      <c r="BA209" s="1231"/>
      <c r="BB209" s="1227"/>
      <c r="BC209" s="1231"/>
      <c r="BD209" s="1231"/>
      <c r="BE209" s="1231"/>
      <c r="BF209" s="1231"/>
      <c r="BG209" s="1227"/>
      <c r="BH209" s="1231"/>
      <c r="BI209" s="1231"/>
      <c r="BJ209" s="1231"/>
      <c r="BK209" s="1231"/>
      <c r="BL209" s="1326"/>
      <c r="BM209" s="1231"/>
      <c r="BN209" s="1231"/>
      <c r="BO209" s="1231"/>
      <c r="BP209" s="1231"/>
      <c r="BQ209" s="1326">
        <f>BL211</f>
        <v>700</v>
      </c>
      <c r="BR209" s="1231"/>
      <c r="BS209" s="1231"/>
      <c r="BT209" s="1231"/>
      <c r="BU209" s="1231"/>
      <c r="BV209" s="1326">
        <f>BQ211</f>
        <v>700</v>
      </c>
      <c r="BW209" s="1231"/>
      <c r="BX209" s="1231"/>
      <c r="BY209" s="1231"/>
      <c r="BZ209" s="1231"/>
      <c r="CA209" s="1326"/>
      <c r="CB209" s="1223">
        <f>CA211</f>
        <v>0</v>
      </c>
      <c r="CC209" s="1223">
        <f>+CB211</f>
        <v>0</v>
      </c>
      <c r="CD209" s="1223">
        <f>+CC211</f>
        <v>0</v>
      </c>
      <c r="CE209" s="1223">
        <f>+CD211</f>
        <v>0</v>
      </c>
      <c r="CF209" s="1326"/>
      <c r="CG209" s="1223"/>
      <c r="CH209" s="1223"/>
      <c r="CI209" s="1223"/>
      <c r="CJ209" s="1223"/>
      <c r="CK209" s="1326"/>
      <c r="CL209" s="1223"/>
      <c r="CM209" s="1223"/>
      <c r="CN209" s="1223"/>
      <c r="CO209" s="1223">
        <v>0</v>
      </c>
      <c r="CP209" s="1326">
        <f>CK211</f>
        <v>0</v>
      </c>
      <c r="CQ209" s="1223">
        <f>CO211</f>
        <v>1250</v>
      </c>
      <c r="CR209" s="1223">
        <f>+CQ211</f>
        <v>1250</v>
      </c>
      <c r="CS209" s="1223">
        <f>+CR211</f>
        <v>1250</v>
      </c>
      <c r="CT209" s="1223">
        <f>+CS211</f>
        <v>1250</v>
      </c>
      <c r="CU209" s="1326">
        <f>CP211</f>
        <v>1250</v>
      </c>
      <c r="CV209" s="1223">
        <f>+CT209</f>
        <v>1250</v>
      </c>
      <c r="CW209" s="1223">
        <f>+CV211</f>
        <v>1250</v>
      </c>
      <c r="CX209" s="1223">
        <f>+CW211</f>
        <v>1250</v>
      </c>
      <c r="CY209" s="1223">
        <f>+CX211</f>
        <v>1250</v>
      </c>
      <c r="CZ209" s="1326">
        <f>CU211</f>
        <v>1250</v>
      </c>
      <c r="DA209" s="1223">
        <f>+CY209</f>
        <v>1250</v>
      </c>
      <c r="DB209" s="1223">
        <f>+DA211</f>
        <v>1250</v>
      </c>
      <c r="DC209" s="1223">
        <f>+DB211</f>
        <v>1250</v>
      </c>
      <c r="DD209" s="1223">
        <f>+DC211</f>
        <v>1250</v>
      </c>
      <c r="DE209" s="1326">
        <f>CZ211</f>
        <v>1250</v>
      </c>
      <c r="DF209" s="1223">
        <f>+DD209</f>
        <v>1250</v>
      </c>
      <c r="DG209" s="1223">
        <f>+DF211</f>
        <v>1250</v>
      </c>
      <c r="DH209" s="1223">
        <f>+DG211</f>
        <v>1250</v>
      </c>
      <c r="DI209" s="1223">
        <f>+DH211</f>
        <v>1250</v>
      </c>
      <c r="DJ209" s="1326">
        <f>DE211</f>
        <v>1250</v>
      </c>
      <c r="DK209" s="1223">
        <f>+DI209</f>
        <v>1250</v>
      </c>
      <c r="DL209" s="1223">
        <f>+DK211</f>
        <v>1250</v>
      </c>
      <c r="DM209" s="1223">
        <f>+DL211</f>
        <v>1250</v>
      </c>
      <c r="DN209" s="1223">
        <f>+DM211</f>
        <v>1250</v>
      </c>
      <c r="DO209" s="1326">
        <f>DJ211</f>
        <v>1250</v>
      </c>
      <c r="DP209" s="1223">
        <f>+DN209</f>
        <v>1250</v>
      </c>
      <c r="DQ209" s="1223">
        <f>+DP211</f>
        <v>1250</v>
      </c>
      <c r="DR209" s="1223">
        <f>+DQ211</f>
        <v>1250</v>
      </c>
      <c r="DS209" s="1223">
        <f>+DR211</f>
        <v>1250</v>
      </c>
      <c r="DT209" s="1326">
        <f>DO211</f>
        <v>1250</v>
      </c>
      <c r="DU209" s="1223">
        <f>+DS209</f>
        <v>1250</v>
      </c>
      <c r="DV209" s="1223">
        <f>+DU211</f>
        <v>1250</v>
      </c>
      <c r="DW209" s="1223">
        <f>+DV211</f>
        <v>1250</v>
      </c>
      <c r="DX209" s="1223">
        <f>+DW211</f>
        <v>1250</v>
      </c>
      <c r="DY209" s="1326">
        <f>DT211</f>
        <v>1250</v>
      </c>
    </row>
    <row r="210" spans="1:129" x14ac:dyDescent="0.2">
      <c r="A210" s="1295"/>
      <c r="B210" s="1190" t="s">
        <v>1153</v>
      </c>
      <c r="C210" s="1182"/>
      <c r="D210" s="1182"/>
      <c r="E210" s="1182"/>
      <c r="F210" s="1182"/>
      <c r="G210" s="1182"/>
      <c r="H210" s="1182"/>
      <c r="I210" s="1182"/>
      <c r="J210" s="1182"/>
      <c r="K210" s="1182"/>
      <c r="L210" s="1182"/>
      <c r="M210" s="1182"/>
      <c r="N210" s="1182"/>
      <c r="O210" s="1182"/>
      <c r="P210" s="1182"/>
      <c r="Q210" s="1182"/>
      <c r="R210" s="1182"/>
      <c r="S210" s="1182"/>
      <c r="T210" s="1182"/>
      <c r="U210" s="1182"/>
      <c r="V210" s="1182"/>
      <c r="W210" s="1182"/>
      <c r="X210" s="1296"/>
      <c r="Y210" s="1297"/>
      <c r="Z210" s="1297"/>
      <c r="AA210" s="1297"/>
      <c r="AB210" s="1297"/>
      <c r="AC210" s="1296"/>
      <c r="AD210" s="1297"/>
      <c r="AE210" s="1297"/>
      <c r="AF210" s="1297"/>
      <c r="AG210" s="1297"/>
      <c r="AH210" s="1296"/>
      <c r="AI210" s="1297"/>
      <c r="AJ210" s="1297"/>
      <c r="AK210" s="1297"/>
      <c r="AL210" s="1297"/>
      <c r="AM210" s="1296"/>
      <c r="AN210" s="1297"/>
      <c r="AO210" s="1297"/>
      <c r="AP210" s="1297"/>
      <c r="AQ210" s="1297"/>
      <c r="AR210" s="1296"/>
      <c r="AS210" s="1297"/>
      <c r="AT210" s="1297"/>
      <c r="AU210" s="1297"/>
      <c r="AV210" s="1297"/>
      <c r="AW210" s="1296"/>
      <c r="AX210" s="1298"/>
      <c r="AY210" s="1299"/>
      <c r="AZ210" s="1299"/>
      <c r="BA210" s="1298"/>
      <c r="BB210" s="1300"/>
      <c r="BC210" s="1298"/>
      <c r="BD210" s="1298"/>
      <c r="BE210" s="1298"/>
      <c r="BF210" s="1298"/>
      <c r="BG210" s="1296"/>
      <c r="BH210" s="1298"/>
      <c r="BI210" s="1298"/>
      <c r="BJ210" s="1298"/>
      <c r="BK210" s="1298"/>
      <c r="BL210" s="1335"/>
      <c r="BM210" s="1298"/>
      <c r="BN210" s="1298"/>
      <c r="BO210" s="1298"/>
      <c r="BP210" s="1298"/>
      <c r="BQ210" s="1335">
        <f>BQ211-BQ209</f>
        <v>0</v>
      </c>
      <c r="BR210" s="1298"/>
      <c r="BS210" s="1298"/>
      <c r="BT210" s="1298"/>
      <c r="BU210" s="1298"/>
      <c r="BV210" s="1335">
        <f>BV211-BV209</f>
        <v>0</v>
      </c>
      <c r="BW210" s="1298"/>
      <c r="BX210" s="1298"/>
      <c r="BY210" s="1298"/>
      <c r="BZ210" s="1298"/>
      <c r="CA210" s="1335"/>
      <c r="CB210" s="1336">
        <f>CB211-CB209</f>
        <v>0</v>
      </c>
      <c r="CC210" s="1336">
        <f>CC211-CC209</f>
        <v>0</v>
      </c>
      <c r="CD210" s="1298">
        <v>0</v>
      </c>
      <c r="CE210" s="1298">
        <v>0</v>
      </c>
      <c r="CF210" s="1335"/>
      <c r="CG210" s="1298"/>
      <c r="CH210" s="1298"/>
      <c r="CI210" s="1298"/>
      <c r="CJ210" s="1298"/>
      <c r="CK210" s="1335"/>
      <c r="CL210" s="1298"/>
      <c r="CM210" s="1298"/>
      <c r="CN210" s="1298"/>
      <c r="CO210" s="1298">
        <v>1250</v>
      </c>
      <c r="CP210" s="1335">
        <f>+SUM(CL210:CO210)</f>
        <v>1250</v>
      </c>
      <c r="CQ210" s="1298">
        <v>0</v>
      </c>
      <c r="CR210" s="1298">
        <v>0</v>
      </c>
      <c r="CS210" s="1298">
        <v>0</v>
      </c>
      <c r="CT210" s="1298">
        <v>0</v>
      </c>
      <c r="CU210" s="1335">
        <f>+SUM(CQ210:CT210)</f>
        <v>0</v>
      </c>
      <c r="CV210" s="1298">
        <v>0</v>
      </c>
      <c r="CW210" s="1298">
        <v>0</v>
      </c>
      <c r="CX210" s="1298">
        <v>0</v>
      </c>
      <c r="CY210" s="1298">
        <v>0</v>
      </c>
      <c r="CZ210" s="1335">
        <f>+SUM(CV210:CY210)</f>
        <v>0</v>
      </c>
      <c r="DA210" s="1298">
        <v>0</v>
      </c>
      <c r="DB210" s="1298">
        <v>0</v>
      </c>
      <c r="DC210" s="1298">
        <v>0</v>
      </c>
      <c r="DD210" s="1298">
        <v>0</v>
      </c>
      <c r="DE210" s="1335">
        <f>+SUM(DA210:DD210)</f>
        <v>0</v>
      </c>
      <c r="DF210" s="1298">
        <v>0</v>
      </c>
      <c r="DG210" s="1298">
        <v>0</v>
      </c>
      <c r="DH210" s="1298">
        <v>0</v>
      </c>
      <c r="DI210" s="1298">
        <v>0</v>
      </c>
      <c r="DJ210" s="1335">
        <f>+SUM(DF210:DI210)</f>
        <v>0</v>
      </c>
      <c r="DK210" s="1298">
        <v>0</v>
      </c>
      <c r="DL210" s="1298">
        <v>0</v>
      </c>
      <c r="DM210" s="1298">
        <v>0</v>
      </c>
      <c r="DN210" s="1298">
        <v>0</v>
      </c>
      <c r="DO210" s="1335">
        <f>+SUM(DK210:DN210)</f>
        <v>0</v>
      </c>
      <c r="DP210" s="1298">
        <v>0</v>
      </c>
      <c r="DQ210" s="1298">
        <v>0</v>
      </c>
      <c r="DR210" s="1298">
        <v>0</v>
      </c>
      <c r="DS210" s="1298">
        <v>0</v>
      </c>
      <c r="DT210" s="1335">
        <f>+SUM(DP210:DS210)</f>
        <v>0</v>
      </c>
      <c r="DU210" s="1298">
        <v>0</v>
      </c>
      <c r="DV210" s="1298">
        <v>0</v>
      </c>
      <c r="DW210" s="1298">
        <v>0</v>
      </c>
      <c r="DX210" s="1298">
        <v>0</v>
      </c>
      <c r="DY210" s="1335">
        <f>+SUM(DU210:DX210)</f>
        <v>0</v>
      </c>
    </row>
    <row r="211" spans="1:129" x14ac:dyDescent="0.2">
      <c r="A211" s="1295"/>
      <c r="B211" s="1190" t="s">
        <v>1154</v>
      </c>
      <c r="C211" s="1182"/>
      <c r="D211" s="1182"/>
      <c r="E211" s="1182"/>
      <c r="F211" s="1182"/>
      <c r="G211" s="1182"/>
      <c r="H211" s="1182"/>
      <c r="I211" s="1182"/>
      <c r="J211" s="1182"/>
      <c r="K211" s="1182"/>
      <c r="L211" s="1182"/>
      <c r="M211" s="1182"/>
      <c r="N211" s="1182"/>
      <c r="O211" s="1182"/>
      <c r="P211" s="1182"/>
      <c r="Q211" s="1182"/>
      <c r="R211" s="1182"/>
      <c r="S211" s="1182"/>
      <c r="T211" s="1182"/>
      <c r="U211" s="1182"/>
      <c r="V211" s="1182"/>
      <c r="W211" s="1182"/>
      <c r="X211" s="1304"/>
      <c r="Y211" s="1305"/>
      <c r="Z211" s="1305"/>
      <c r="AA211" s="1305"/>
      <c r="AB211" s="1305"/>
      <c r="AC211" s="1304"/>
      <c r="AD211" s="1305"/>
      <c r="AE211" s="1305"/>
      <c r="AF211" s="1305"/>
      <c r="AG211" s="1305"/>
      <c r="AH211" s="1304"/>
      <c r="AI211" s="1305"/>
      <c r="AJ211" s="1305"/>
      <c r="AK211" s="1305"/>
      <c r="AL211" s="1305"/>
      <c r="AM211" s="1304"/>
      <c r="AN211" s="1305"/>
      <c r="AO211" s="1305"/>
      <c r="AP211" s="1305"/>
      <c r="AQ211" s="1305"/>
      <c r="AR211" s="1304"/>
      <c r="AS211" s="1305"/>
      <c r="AT211" s="1305"/>
      <c r="AU211" s="1305"/>
      <c r="AV211" s="1305"/>
      <c r="AW211" s="1304"/>
      <c r="AX211" s="1305"/>
      <c r="AY211" s="1305"/>
      <c r="AZ211" s="1305"/>
      <c r="BA211" s="1305"/>
      <c r="BB211" s="1304"/>
      <c r="BC211" s="1305"/>
      <c r="BD211" s="1305"/>
      <c r="BE211" s="1305"/>
      <c r="BF211" s="1305"/>
      <c r="BG211" s="1306"/>
      <c r="BH211" s="1305"/>
      <c r="BI211" s="1305"/>
      <c r="BJ211" s="1305"/>
      <c r="BK211" s="1305"/>
      <c r="BL211" s="1337">
        <v>700</v>
      </c>
      <c r="BM211" s="1305"/>
      <c r="BN211" s="1305"/>
      <c r="BO211" s="1305"/>
      <c r="BP211" s="1305"/>
      <c r="BQ211" s="1337">
        <v>700</v>
      </c>
      <c r="BR211" s="1305"/>
      <c r="BS211" s="1305"/>
      <c r="BT211" s="1305"/>
      <c r="BU211" s="1305"/>
      <c r="BV211" s="1337">
        <v>700</v>
      </c>
      <c r="BW211" s="1305"/>
      <c r="BX211" s="1305"/>
      <c r="BY211" s="1305"/>
      <c r="BZ211" s="1305"/>
      <c r="CA211" s="1337"/>
      <c r="CB211" s="1295">
        <f>CA211</f>
        <v>0</v>
      </c>
      <c r="CC211" s="1226">
        <f>CB211</f>
        <v>0</v>
      </c>
      <c r="CD211" s="1295">
        <f>CD209+CD210</f>
        <v>0</v>
      </c>
      <c r="CE211" s="1295">
        <f>CE209+CE210</f>
        <v>0</v>
      </c>
      <c r="CF211" s="1325"/>
      <c r="CG211" s="1295"/>
      <c r="CH211" s="1295"/>
      <c r="CI211" s="1295"/>
      <c r="CJ211" s="1295"/>
      <c r="CK211" s="1325"/>
      <c r="CL211" s="1295"/>
      <c r="CM211" s="1295"/>
      <c r="CN211" s="1295"/>
      <c r="CO211" s="1295">
        <f t="shared" ref="CO211:CZ211" si="169">CO209+CO210</f>
        <v>1250</v>
      </c>
      <c r="CP211" s="1325">
        <f t="shared" si="169"/>
        <v>1250</v>
      </c>
      <c r="CQ211" s="1295">
        <f t="shared" si="169"/>
        <v>1250</v>
      </c>
      <c r="CR211" s="1295">
        <f t="shared" si="169"/>
        <v>1250</v>
      </c>
      <c r="CS211" s="1295">
        <f t="shared" si="169"/>
        <v>1250</v>
      </c>
      <c r="CT211" s="1295">
        <f t="shared" si="169"/>
        <v>1250</v>
      </c>
      <c r="CU211" s="1325">
        <f t="shared" si="169"/>
        <v>1250</v>
      </c>
      <c r="CV211" s="1295">
        <f t="shared" si="169"/>
        <v>1250</v>
      </c>
      <c r="CW211" s="1295">
        <f t="shared" si="169"/>
        <v>1250</v>
      </c>
      <c r="CX211" s="1295">
        <f t="shared" si="169"/>
        <v>1250</v>
      </c>
      <c r="CY211" s="1295">
        <f t="shared" si="169"/>
        <v>1250</v>
      </c>
      <c r="CZ211" s="1325">
        <f t="shared" si="169"/>
        <v>1250</v>
      </c>
      <c r="DA211" s="1295">
        <f t="shared" ref="DA211:DJ211" si="170">DA209+DA210</f>
        <v>1250</v>
      </c>
      <c r="DB211" s="1295">
        <f t="shared" si="170"/>
        <v>1250</v>
      </c>
      <c r="DC211" s="1295">
        <f t="shared" si="170"/>
        <v>1250</v>
      </c>
      <c r="DD211" s="1295">
        <f t="shared" si="170"/>
        <v>1250</v>
      </c>
      <c r="DE211" s="1325">
        <f t="shared" si="170"/>
        <v>1250</v>
      </c>
      <c r="DF211" s="1295">
        <f t="shared" si="170"/>
        <v>1250</v>
      </c>
      <c r="DG211" s="1295">
        <f t="shared" si="170"/>
        <v>1250</v>
      </c>
      <c r="DH211" s="1295">
        <f t="shared" si="170"/>
        <v>1250</v>
      </c>
      <c r="DI211" s="1295">
        <f t="shared" si="170"/>
        <v>1250</v>
      </c>
      <c r="DJ211" s="1325">
        <f t="shared" si="170"/>
        <v>1250</v>
      </c>
      <c r="DK211" s="1295">
        <f t="shared" ref="DK211:DT211" si="171">DK209+DK210</f>
        <v>1250</v>
      </c>
      <c r="DL211" s="1295">
        <f t="shared" si="171"/>
        <v>1250</v>
      </c>
      <c r="DM211" s="1295">
        <f t="shared" si="171"/>
        <v>1250</v>
      </c>
      <c r="DN211" s="1295">
        <f t="shared" si="171"/>
        <v>1250</v>
      </c>
      <c r="DO211" s="1325">
        <f t="shared" si="171"/>
        <v>1250</v>
      </c>
      <c r="DP211" s="1295">
        <f t="shared" si="171"/>
        <v>1250</v>
      </c>
      <c r="DQ211" s="1295">
        <f t="shared" si="171"/>
        <v>1250</v>
      </c>
      <c r="DR211" s="1295">
        <f t="shared" si="171"/>
        <v>1250</v>
      </c>
      <c r="DS211" s="1295">
        <f t="shared" si="171"/>
        <v>1250</v>
      </c>
      <c r="DT211" s="1325">
        <f t="shared" si="171"/>
        <v>1250</v>
      </c>
      <c r="DU211" s="1295">
        <f t="shared" ref="DU211:DY211" si="172">DU209+DU210</f>
        <v>1250</v>
      </c>
      <c r="DV211" s="1295">
        <f t="shared" si="172"/>
        <v>1250</v>
      </c>
      <c r="DW211" s="1295">
        <f t="shared" si="172"/>
        <v>1250</v>
      </c>
      <c r="DX211" s="1295">
        <f t="shared" si="172"/>
        <v>1250</v>
      </c>
      <c r="DY211" s="1325">
        <f t="shared" si="172"/>
        <v>1250</v>
      </c>
    </row>
    <row r="212" spans="1:129" x14ac:dyDescent="0.2">
      <c r="A212" s="1223"/>
      <c r="B212" s="1190" t="s">
        <v>1155</v>
      </c>
      <c r="C212" s="1182"/>
      <c r="D212" s="1182"/>
      <c r="E212" s="1182"/>
      <c r="F212" s="1182"/>
      <c r="G212" s="1182"/>
      <c r="H212" s="1182"/>
      <c r="I212" s="1182"/>
      <c r="J212" s="1182"/>
      <c r="K212" s="1182"/>
      <c r="L212" s="1182"/>
      <c r="M212" s="1182"/>
      <c r="N212" s="1182"/>
      <c r="O212" s="1182"/>
      <c r="P212" s="1182"/>
      <c r="Q212" s="1182"/>
      <c r="R212" s="1182"/>
      <c r="S212" s="1182"/>
      <c r="T212" s="1182"/>
      <c r="U212" s="1182"/>
      <c r="V212" s="1182"/>
      <c r="W212" s="1182"/>
      <c r="X212" s="1227"/>
      <c r="Y212" s="1231"/>
      <c r="Z212" s="1231"/>
      <c r="AA212" s="1231"/>
      <c r="AB212" s="1231"/>
      <c r="AC212" s="1227"/>
      <c r="AD212" s="1231"/>
      <c r="AE212" s="1231"/>
      <c r="AF212" s="1231"/>
      <c r="AG212" s="1231"/>
      <c r="AH212" s="1227"/>
      <c r="AI212" s="1231"/>
      <c r="AJ212" s="1231"/>
      <c r="AK212" s="1231"/>
      <c r="AL212" s="1231"/>
      <c r="AM212" s="1227"/>
      <c r="AN212" s="1231"/>
      <c r="AO212" s="1231"/>
      <c r="AP212" s="1231"/>
      <c r="AQ212" s="1231"/>
      <c r="AR212" s="1227"/>
      <c r="AS212" s="1231"/>
      <c r="AT212" s="1231"/>
      <c r="AU212" s="1231"/>
      <c r="AV212" s="1231"/>
      <c r="AW212" s="1227"/>
      <c r="AX212" s="1231"/>
      <c r="AY212" s="1231"/>
      <c r="AZ212" s="1231"/>
      <c r="BA212" s="1231"/>
      <c r="BB212" s="1227"/>
      <c r="BC212" s="1231"/>
      <c r="BD212" s="1231"/>
      <c r="BE212" s="1231"/>
      <c r="BF212" s="1231"/>
      <c r="BG212" s="1227"/>
      <c r="BH212" s="1231"/>
      <c r="BI212" s="1231"/>
      <c r="BJ212" s="1231"/>
      <c r="BK212" s="1231"/>
      <c r="BL212" s="1326"/>
      <c r="BM212" s="1231"/>
      <c r="BN212" s="1231"/>
      <c r="BO212" s="1231"/>
      <c r="BP212" s="1231"/>
      <c r="BQ212" s="1326"/>
      <c r="BR212" s="1231"/>
      <c r="BS212" s="1231"/>
      <c r="BT212" s="1231"/>
      <c r="BU212" s="1231"/>
      <c r="BV212" s="1326"/>
      <c r="BW212" s="1231"/>
      <c r="BX212" s="1231"/>
      <c r="BY212" s="1231"/>
      <c r="BZ212" s="1231"/>
      <c r="CA212" s="1326"/>
      <c r="CB212" s="1231"/>
      <c r="CC212" s="1231"/>
      <c r="CD212" s="1231"/>
      <c r="CE212" s="1231"/>
      <c r="CF212" s="1326"/>
      <c r="CG212" s="1231"/>
      <c r="CH212" s="1231"/>
      <c r="CI212" s="1231"/>
      <c r="CJ212" s="1231"/>
      <c r="CK212" s="1326"/>
      <c r="CL212" s="1231"/>
      <c r="CM212" s="1231"/>
      <c r="CN212" s="1231"/>
      <c r="CO212" s="1231"/>
      <c r="CP212" s="1326"/>
      <c r="CQ212" s="1231"/>
      <c r="CR212" s="1231"/>
      <c r="CS212" s="1231"/>
      <c r="CT212" s="1231"/>
      <c r="CU212" s="1326"/>
      <c r="CV212" s="1231"/>
      <c r="CW212" s="1231"/>
      <c r="CX212" s="1231"/>
      <c r="CY212" s="1231"/>
      <c r="CZ212" s="1326"/>
      <c r="DA212" s="1231"/>
      <c r="DB212" s="1231"/>
      <c r="DC212" s="1231"/>
      <c r="DD212" s="1231"/>
      <c r="DE212" s="1326"/>
      <c r="DF212" s="1231"/>
      <c r="DG212" s="1231"/>
      <c r="DH212" s="1231"/>
      <c r="DI212" s="1231"/>
      <c r="DJ212" s="1326"/>
      <c r="DK212" s="1231"/>
      <c r="DL212" s="1231"/>
      <c r="DM212" s="1231"/>
      <c r="DN212" s="1231"/>
      <c r="DO212" s="1326"/>
      <c r="DP212" s="1231"/>
      <c r="DQ212" s="1231"/>
      <c r="DR212" s="1231"/>
      <c r="DS212" s="1231"/>
      <c r="DT212" s="1326"/>
      <c r="DU212" s="1231"/>
      <c r="DV212" s="1231"/>
      <c r="DW212" s="1231"/>
      <c r="DX212" s="1231"/>
      <c r="DY212" s="1326"/>
    </row>
    <row r="213" spans="1:129" x14ac:dyDescent="0.2">
      <c r="A213" s="1223"/>
      <c r="B213" s="1190" t="s">
        <v>1156</v>
      </c>
      <c r="C213" s="1182"/>
      <c r="D213" s="1182"/>
      <c r="E213" s="1182"/>
      <c r="F213" s="1182"/>
      <c r="G213" s="1182"/>
      <c r="H213" s="1182"/>
      <c r="I213" s="1182"/>
      <c r="J213" s="1182"/>
      <c r="K213" s="1182"/>
      <c r="L213" s="1182"/>
      <c r="M213" s="1182"/>
      <c r="N213" s="1182"/>
      <c r="O213" s="1182"/>
      <c r="P213" s="1182"/>
      <c r="Q213" s="1182"/>
      <c r="R213" s="1182"/>
      <c r="S213" s="1182"/>
      <c r="T213" s="1182"/>
      <c r="U213" s="1182"/>
      <c r="V213" s="1182"/>
      <c r="W213" s="1182"/>
      <c r="X213" s="1227"/>
      <c r="Y213" s="1231"/>
      <c r="Z213" s="1231"/>
      <c r="AA213" s="1231"/>
      <c r="AB213" s="1231"/>
      <c r="AC213" s="1227"/>
      <c r="AD213" s="1231"/>
      <c r="AE213" s="1231"/>
      <c r="AF213" s="1231"/>
      <c r="AG213" s="1231"/>
      <c r="AH213" s="1227"/>
      <c r="AI213" s="1231"/>
      <c r="AJ213" s="1231"/>
      <c r="AK213" s="1231"/>
      <c r="AL213" s="1231"/>
      <c r="AM213" s="1227"/>
      <c r="AN213" s="1231"/>
      <c r="AO213" s="1231"/>
      <c r="AP213" s="1231"/>
      <c r="AQ213" s="1231"/>
      <c r="AR213" s="1227"/>
      <c r="AS213" s="1231"/>
      <c r="AT213" s="1231"/>
      <c r="AU213" s="1231"/>
      <c r="AV213" s="1231"/>
      <c r="AW213" s="1227"/>
      <c r="AX213" s="1231"/>
      <c r="AY213" s="1231"/>
      <c r="AZ213" s="1231"/>
      <c r="BA213" s="1231"/>
      <c r="BB213" s="1227"/>
      <c r="BC213" s="1231"/>
      <c r="BD213" s="1231"/>
      <c r="BE213" s="1231"/>
      <c r="BF213" s="1231"/>
      <c r="BG213" s="1227"/>
      <c r="BH213" s="1231"/>
      <c r="BI213" s="1231"/>
      <c r="BJ213" s="1231"/>
      <c r="BK213" s="1231"/>
      <c r="BL213" s="1326">
        <f>-(AVERAGE(BL209,BL211))*(BL207)</f>
        <v>-42.875</v>
      </c>
      <c r="BM213" s="1231"/>
      <c r="BN213" s="1231"/>
      <c r="BO213" s="1231"/>
      <c r="BP213" s="1231"/>
      <c r="BQ213" s="1326">
        <f>-(AVERAGE(BQ209,BQ211))*(BQ207)</f>
        <v>-42.875</v>
      </c>
      <c r="BR213" s="1231"/>
      <c r="BS213" s="1231"/>
      <c r="BT213" s="1231"/>
      <c r="BU213" s="1231"/>
      <c r="BV213" s="1326">
        <f>-(AVERAGE(BV209,BV211))*(BV207)</f>
        <v>-42.875</v>
      </c>
      <c r="BW213" s="1231"/>
      <c r="BX213" s="1231"/>
      <c r="BY213" s="1231"/>
      <c r="BZ213" s="1231"/>
      <c r="CA213" s="1326"/>
      <c r="CB213" s="1223">
        <f>-(AVERAGE(CB211,CB209))*(CB207/4)</f>
        <v>0</v>
      </c>
      <c r="CC213" s="1223">
        <f>-(AVERAGE(CC211,CC209))*(CC207/4)</f>
        <v>0</v>
      </c>
      <c r="CD213" s="1223">
        <f>-(AVERAGE(CD211,CD209))*(CD207/4)</f>
        <v>0</v>
      </c>
      <c r="CE213" s="1223">
        <f>-(AVERAGE(CE211,CE209))*(CE207/4)</f>
        <v>0</v>
      </c>
      <c r="CF213" s="1326"/>
      <c r="CG213" s="1223"/>
      <c r="CH213" s="1223"/>
      <c r="CI213" s="1223"/>
      <c r="CJ213" s="1223"/>
      <c r="CK213" s="1326"/>
      <c r="CL213" s="1223"/>
      <c r="CM213" s="1223"/>
      <c r="CN213" s="1223"/>
      <c r="CO213" s="1223">
        <f>-(AVERAGE(CO211,CO209))*(CO207/4)*1/3</f>
        <v>-1.171875</v>
      </c>
      <c r="CP213" s="1326">
        <f>SUM(CL213:CO213)</f>
        <v>-1.171875</v>
      </c>
      <c r="CQ213" s="1223">
        <f>-(AVERAGE(CQ211,CQ209))*(CQ207/4)</f>
        <v>-7.03125</v>
      </c>
      <c r="CR213" s="1223">
        <f>-(AVERAGE(CR211,CR209))*(CR207/4)</f>
        <v>-7.03125</v>
      </c>
      <c r="CS213" s="1223">
        <f>-(AVERAGE(CS211,CS209))*(CS207/4)</f>
        <v>-7.03125</v>
      </c>
      <c r="CT213" s="1223">
        <f>-(AVERAGE(CT211,CT209))*(CT207/4)</f>
        <v>-7.03125</v>
      </c>
      <c r="CU213" s="1326">
        <f>SUM(CQ213:CT213)</f>
        <v>-28.125</v>
      </c>
      <c r="CV213" s="1223">
        <f>-(AVERAGE(CV211,CV209))*(CV207/4)</f>
        <v>-7.03125</v>
      </c>
      <c r="CW213" s="1223">
        <f>-(AVERAGE(CW211,CW209))*(CW207/4)</f>
        <v>-7.03125</v>
      </c>
      <c r="CX213" s="1223">
        <f>-(AVERAGE(CX211,CX209))*(CX207/4)</f>
        <v>-7.03125</v>
      </c>
      <c r="CY213" s="1223">
        <f>-(AVERAGE(CY211,CY209))*(CY207/4)</f>
        <v>-7.03125</v>
      </c>
      <c r="CZ213" s="1326">
        <f>SUM(CV213:CY213)</f>
        <v>-28.125</v>
      </c>
      <c r="DA213" s="1223">
        <f>-(AVERAGE(DA211,DA209))*(DA207/4)</f>
        <v>-7.03125</v>
      </c>
      <c r="DB213" s="1223">
        <f>-(AVERAGE(DB211,DB209))*(DB207/4)</f>
        <v>-7.03125</v>
      </c>
      <c r="DC213" s="1223">
        <f>-(AVERAGE(DC211,DC209))*(DC207/4)</f>
        <v>-7.03125</v>
      </c>
      <c r="DD213" s="1223">
        <f>-(AVERAGE(DD211,DD209))*(DD207/4)</f>
        <v>-7.03125</v>
      </c>
      <c r="DE213" s="1326">
        <f>SUM(DA213:DD213)</f>
        <v>-28.125</v>
      </c>
      <c r="DF213" s="1223">
        <f>-(AVERAGE(DF211,DF209))*(DF207/4)</f>
        <v>-7.03125</v>
      </c>
      <c r="DG213" s="1223">
        <f>-(AVERAGE(DG211,DG209))*(DG207/4)</f>
        <v>-7.03125</v>
      </c>
      <c r="DH213" s="1223">
        <f>-(AVERAGE(DH211,DH209))*(DH207/4)</f>
        <v>-7.03125</v>
      </c>
      <c r="DI213" s="1223">
        <f>-(AVERAGE(DI211,DI209))*(DI207/4)</f>
        <v>-7.03125</v>
      </c>
      <c r="DJ213" s="1326">
        <f>SUM(DF213:DI213)</f>
        <v>-28.125</v>
      </c>
      <c r="DK213" s="1223">
        <f>-(AVERAGE(DK211,DK209))*(DK207/4)</f>
        <v>-7.03125</v>
      </c>
      <c r="DL213" s="1223">
        <f>-(AVERAGE(DL211,DL209))*(DL207/4)</f>
        <v>-7.03125</v>
      </c>
      <c r="DM213" s="1223">
        <f>-(AVERAGE(DM211,DM209))*(DM207/4)</f>
        <v>-7.03125</v>
      </c>
      <c r="DN213" s="1223">
        <f>-(AVERAGE(DN211,DN209))*(DN207/4)</f>
        <v>-7.03125</v>
      </c>
      <c r="DO213" s="1326">
        <f>SUM(DK213:DN213)</f>
        <v>-28.125</v>
      </c>
      <c r="DP213" s="1223">
        <f>-(AVERAGE(DP211,DP209))*(DP207/4)</f>
        <v>-7.03125</v>
      </c>
      <c r="DQ213" s="1223">
        <f>-(AVERAGE(DQ211,DQ209))*(DQ207/4)</f>
        <v>-7.03125</v>
      </c>
      <c r="DR213" s="1223">
        <f>-(AVERAGE(DR211,DR209))*(DR207/4)</f>
        <v>-7.03125</v>
      </c>
      <c r="DS213" s="1223">
        <f>-(AVERAGE(DS211,DS209))*(DS207/4)</f>
        <v>-7.03125</v>
      </c>
      <c r="DT213" s="1326">
        <f>SUM(DP213:DS213)</f>
        <v>-28.125</v>
      </c>
      <c r="DU213" s="1223">
        <f>-(AVERAGE(DU211,DU209))*(DU207/4)</f>
        <v>-7.03125</v>
      </c>
      <c r="DV213" s="1223">
        <f>-(AVERAGE(DV211,DV209))*(DV207/4)</f>
        <v>-7.03125</v>
      </c>
      <c r="DW213" s="1223">
        <f>-(AVERAGE(DW211,DW209))*(DW207/4)</f>
        <v>-7.03125</v>
      </c>
      <c r="DX213" s="1223">
        <f>-(AVERAGE(DX211,DX209))*(DX207/4)</f>
        <v>-7.03125</v>
      </c>
      <c r="DY213" s="1326">
        <f>SUM(DU213:DX213)</f>
        <v>-28.125</v>
      </c>
    </row>
    <row r="214" spans="1:129" ht="12" thickBot="1" x14ac:dyDescent="0.25">
      <c r="A214" s="1223"/>
      <c r="B214" s="1250" t="s">
        <v>1157</v>
      </c>
      <c r="C214" s="1251"/>
      <c r="D214" s="1251"/>
      <c r="E214" s="1251"/>
      <c r="F214" s="1251"/>
      <c r="G214" s="1251"/>
      <c r="H214" s="1251"/>
      <c r="I214" s="1251"/>
      <c r="J214" s="1251"/>
      <c r="K214" s="1251"/>
      <c r="L214" s="1251"/>
      <c r="M214" s="1251"/>
      <c r="N214" s="1251"/>
      <c r="O214" s="1251"/>
      <c r="P214" s="1251"/>
      <c r="Q214" s="1251"/>
      <c r="R214" s="1251"/>
      <c r="S214" s="1251"/>
      <c r="T214" s="1251"/>
      <c r="U214" s="1251"/>
      <c r="V214" s="1251"/>
      <c r="W214" s="1251"/>
      <c r="X214" s="1252"/>
      <c r="Y214" s="1251"/>
      <c r="Z214" s="1251"/>
      <c r="AA214" s="1251"/>
      <c r="AB214" s="1251"/>
      <c r="AC214" s="1252"/>
      <c r="AD214" s="1251"/>
      <c r="AE214" s="1251"/>
      <c r="AF214" s="1251"/>
      <c r="AG214" s="1251"/>
      <c r="AH214" s="1252"/>
      <c r="AI214" s="1251"/>
      <c r="AJ214" s="1251"/>
      <c r="AK214" s="1251"/>
      <c r="AL214" s="1251"/>
      <c r="AM214" s="1252"/>
      <c r="AN214" s="1251"/>
      <c r="AO214" s="1251"/>
      <c r="AP214" s="1251"/>
      <c r="AQ214" s="1253"/>
      <c r="AR214" s="1252"/>
      <c r="AS214" s="1253"/>
      <c r="AT214" s="1253"/>
      <c r="AU214" s="1253"/>
      <c r="AV214" s="1253"/>
      <c r="AW214" s="1252"/>
      <c r="AX214" s="1253"/>
      <c r="AY214" s="1253"/>
      <c r="AZ214" s="1253"/>
      <c r="BA214" s="1253"/>
      <c r="BB214" s="1252"/>
      <c r="BC214" s="1253"/>
      <c r="BD214" s="1253"/>
      <c r="BE214" s="1253"/>
      <c r="BF214" s="1253"/>
      <c r="BG214" s="1252"/>
      <c r="BH214" s="1253"/>
      <c r="BI214" s="1253"/>
      <c r="BJ214" s="1253"/>
      <c r="BK214" s="1253"/>
      <c r="BL214" s="1327"/>
      <c r="BM214" s="1253"/>
      <c r="BN214" s="1253"/>
      <c r="BO214" s="1253"/>
      <c r="BP214" s="1253"/>
      <c r="BQ214" s="1327"/>
      <c r="BR214" s="1253"/>
      <c r="BS214" s="1253"/>
      <c r="BT214" s="1253"/>
      <c r="BU214" s="1253"/>
      <c r="BV214" s="1327"/>
      <c r="BW214" s="1253"/>
      <c r="BX214" s="1253"/>
      <c r="BY214" s="1253"/>
      <c r="BZ214" s="1253"/>
      <c r="CA214" s="1327"/>
      <c r="CB214" s="1253">
        <f>-CB206*CB212/4</f>
        <v>0</v>
      </c>
      <c r="CC214" s="1253">
        <f>-CC206*CC212/4</f>
        <v>0</v>
      </c>
      <c r="CD214" s="1253">
        <f>-CD206*CD212/4</f>
        <v>0</v>
      </c>
      <c r="CE214" s="1253">
        <f>-CE206*CE212/4</f>
        <v>0</v>
      </c>
      <c r="CF214" s="1327"/>
      <c r="CG214" s="1253"/>
      <c r="CH214" s="1253"/>
      <c r="CI214" s="1253"/>
      <c r="CJ214" s="1253"/>
      <c r="CK214" s="1327"/>
      <c r="CL214" s="1253"/>
      <c r="CM214" s="1253"/>
      <c r="CN214" s="1253"/>
      <c r="CO214" s="1253">
        <f>-CO206*CO212/4</f>
        <v>0</v>
      </c>
      <c r="CP214" s="1327"/>
      <c r="CQ214" s="1253">
        <f>-CQ206*CQ212/4</f>
        <v>0</v>
      </c>
      <c r="CR214" s="1253">
        <f>-CR206*CR212/4</f>
        <v>0</v>
      </c>
      <c r="CS214" s="1253">
        <f>-CS206*CS212/4</f>
        <v>0</v>
      </c>
      <c r="CT214" s="1253">
        <f>-CT206*CT212/4</f>
        <v>0</v>
      </c>
      <c r="CU214" s="1327"/>
      <c r="CV214" s="1253">
        <f>-CV206*CV212/4</f>
        <v>0</v>
      </c>
      <c r="CW214" s="1253">
        <f>-CW206*CW212/4</f>
        <v>0</v>
      </c>
      <c r="CX214" s="1253">
        <f>-CX206*CX212/4</f>
        <v>0</v>
      </c>
      <c r="CY214" s="1253">
        <f>-CY206*CY212/4</f>
        <v>0</v>
      </c>
      <c r="CZ214" s="1327"/>
      <c r="DA214" s="1253">
        <f>-DA206*DA212/4</f>
        <v>0</v>
      </c>
      <c r="DB214" s="1253">
        <f>-DB206*DB212/4</f>
        <v>0</v>
      </c>
      <c r="DC214" s="1253">
        <f>-DC206*DC212/4</f>
        <v>0</v>
      </c>
      <c r="DD214" s="1253">
        <f>-DD206*DD212/4</f>
        <v>0</v>
      </c>
      <c r="DE214" s="1327"/>
      <c r="DF214" s="1253">
        <f>-DF206*DF212/4</f>
        <v>0</v>
      </c>
      <c r="DG214" s="1253">
        <f>-DG206*DG212/4</f>
        <v>0</v>
      </c>
      <c r="DH214" s="1253">
        <f>-DH206*DH212/4</f>
        <v>0</v>
      </c>
      <c r="DI214" s="1253">
        <f>-DI206*DI212/4</f>
        <v>0</v>
      </c>
      <c r="DJ214" s="1327"/>
      <c r="DK214" s="1253">
        <f>-DK206*DK212/4</f>
        <v>0</v>
      </c>
      <c r="DL214" s="1253">
        <f>-DL206*DL212/4</f>
        <v>0</v>
      </c>
      <c r="DM214" s="1253">
        <f>-DM206*DM212/4</f>
        <v>0</v>
      </c>
      <c r="DN214" s="1253">
        <f>-DN206*DN212/4</f>
        <v>0</v>
      </c>
      <c r="DO214" s="1327"/>
      <c r="DP214" s="1253">
        <f>-DP206*DP212/4</f>
        <v>0</v>
      </c>
      <c r="DQ214" s="1253">
        <f>-DQ206*DQ212/4</f>
        <v>0</v>
      </c>
      <c r="DR214" s="1253">
        <f>-DR206*DR212/4</f>
        <v>0</v>
      </c>
      <c r="DS214" s="1253">
        <f>-DS206*DS212/4</f>
        <v>0</v>
      </c>
      <c r="DT214" s="1327"/>
      <c r="DU214" s="1253">
        <f>-DU206*DU212/4</f>
        <v>0</v>
      </c>
      <c r="DV214" s="1253">
        <f>-DV206*DV212/4</f>
        <v>0</v>
      </c>
      <c r="DW214" s="1253">
        <f>-DW206*DW212/4</f>
        <v>0</v>
      </c>
      <c r="DX214" s="1253">
        <f>-DX206*DX212/4</f>
        <v>0</v>
      </c>
      <c r="DY214" s="1327"/>
    </row>
    <row r="215" spans="1:129" ht="12" thickBot="1" x14ac:dyDescent="0.25">
      <c r="A215" s="1240"/>
      <c r="B215" s="1240"/>
      <c r="C215" s="1214"/>
      <c r="D215" s="1214"/>
      <c r="E215" s="1214"/>
      <c r="F215" s="1214"/>
      <c r="G215" s="1214"/>
      <c r="H215" s="1214"/>
      <c r="I215" s="1214"/>
      <c r="J215" s="1214"/>
      <c r="K215" s="1214"/>
      <c r="L215" s="1214"/>
      <c r="M215" s="1214"/>
      <c r="N215" s="1214"/>
      <c r="O215" s="1214"/>
      <c r="P215" s="1214"/>
      <c r="Q215" s="1214"/>
      <c r="R215" s="1214"/>
      <c r="S215" s="1214"/>
      <c r="T215" s="1214"/>
      <c r="U215" s="1214"/>
      <c r="V215" s="1214"/>
      <c r="W215" s="1214"/>
      <c r="X215" s="1214"/>
      <c r="Y215" s="1214"/>
      <c r="Z215" s="1214"/>
      <c r="AA215" s="1214"/>
      <c r="AB215" s="1214"/>
      <c r="AC215" s="1214"/>
      <c r="AD215" s="1214"/>
      <c r="AE215" s="1214"/>
      <c r="AF215" s="1214"/>
      <c r="AG215" s="1214"/>
      <c r="AH215" s="1214"/>
      <c r="AI215" s="1214"/>
      <c r="AJ215" s="1214"/>
      <c r="AK215" s="1214"/>
      <c r="AL215" s="1214"/>
      <c r="AM215" s="1214"/>
      <c r="AN215" s="1214"/>
      <c r="AO215" s="1214"/>
      <c r="AP215" s="1214"/>
      <c r="AQ215" s="1215"/>
      <c r="AR215" s="1215"/>
      <c r="AS215" s="1215"/>
      <c r="AT215" s="1215"/>
      <c r="AU215" s="1215"/>
      <c r="AV215" s="1215"/>
      <c r="AW215" s="1338"/>
      <c r="AX215" s="1215"/>
      <c r="AY215" s="1215"/>
      <c r="AZ215" s="1215"/>
      <c r="BA215" s="1215"/>
      <c r="BB215" s="1338"/>
      <c r="BC215" s="1215"/>
      <c r="BD215" s="1215"/>
      <c r="BE215" s="1215"/>
      <c r="BF215" s="1215"/>
      <c r="BG215" s="1338"/>
      <c r="BH215" s="1215"/>
      <c r="BI215" s="1215"/>
      <c r="BJ215" s="1215"/>
      <c r="BK215" s="1215"/>
      <c r="BL215" s="1338"/>
      <c r="BM215" s="1215"/>
      <c r="BN215" s="1215"/>
      <c r="BO215" s="1215"/>
      <c r="BP215" s="1215"/>
      <c r="BQ215" s="1338"/>
      <c r="BR215" s="1215"/>
      <c r="BS215" s="1215"/>
      <c r="BT215" s="1215"/>
      <c r="BU215" s="1215"/>
      <c r="BV215" s="1338"/>
      <c r="BW215" s="1215"/>
      <c r="BX215" s="1215"/>
      <c r="BY215" s="1215"/>
      <c r="BZ215" s="1215"/>
      <c r="CA215" s="1338"/>
      <c r="CB215" s="1215"/>
      <c r="CC215" s="1215"/>
      <c r="CD215" s="1215"/>
      <c r="CE215" s="1215"/>
      <c r="CF215" s="1338"/>
      <c r="CG215" s="1215"/>
      <c r="CH215" s="1215"/>
      <c r="CI215" s="1215"/>
      <c r="CJ215" s="1215"/>
      <c r="CK215" s="1338"/>
      <c r="CL215" s="1215"/>
      <c r="CM215" s="1215"/>
      <c r="CN215" s="1215"/>
      <c r="CO215" s="1215"/>
      <c r="CP215" s="1338"/>
      <c r="CQ215" s="1215"/>
      <c r="CR215" s="1215"/>
      <c r="CS215" s="1215"/>
      <c r="CT215" s="1215"/>
      <c r="CU215" s="1338"/>
      <c r="CV215" s="1215"/>
      <c r="CW215" s="1215"/>
      <c r="CX215" s="1215"/>
      <c r="CY215" s="1215"/>
      <c r="CZ215" s="1338"/>
      <c r="DA215" s="1215"/>
      <c r="DB215" s="1215"/>
      <c r="DC215" s="1215"/>
      <c r="DD215" s="1215"/>
      <c r="DE215" s="1338"/>
      <c r="DF215" s="1215"/>
      <c r="DG215" s="1215"/>
      <c r="DH215" s="1215"/>
      <c r="DI215" s="1215"/>
      <c r="DJ215" s="1338"/>
      <c r="DK215" s="1215"/>
      <c r="DL215" s="1215"/>
      <c r="DM215" s="1215"/>
      <c r="DN215" s="1215"/>
      <c r="DO215" s="1338"/>
      <c r="DP215" s="1215"/>
      <c r="DQ215" s="1215"/>
      <c r="DR215" s="1215"/>
      <c r="DS215" s="1215"/>
      <c r="DT215" s="1338"/>
      <c r="DU215" s="1215"/>
      <c r="DV215" s="1215"/>
      <c r="DW215" s="1215"/>
      <c r="DX215" s="1215"/>
      <c r="DY215" s="1338"/>
    </row>
    <row r="216" spans="1:129" ht="12" thickBot="1" x14ac:dyDescent="0.25">
      <c r="A216" s="1123"/>
      <c r="B216" s="1282" t="s">
        <v>1365</v>
      </c>
      <c r="C216" s="1328"/>
      <c r="D216" s="1329"/>
      <c r="E216" s="1329"/>
      <c r="F216" s="1329"/>
      <c r="G216" s="1329"/>
      <c r="H216" s="1329"/>
      <c r="I216" s="1329"/>
      <c r="J216" s="1329"/>
      <c r="K216" s="1329"/>
      <c r="L216" s="1329"/>
      <c r="M216" s="1329"/>
      <c r="N216" s="1329"/>
      <c r="O216" s="1329"/>
      <c r="P216" s="1329"/>
      <c r="Q216" s="1329"/>
      <c r="R216" s="1329"/>
      <c r="S216" s="1329"/>
      <c r="T216" s="1329"/>
      <c r="U216" s="1329"/>
      <c r="V216" s="1329"/>
      <c r="W216" s="1329"/>
      <c r="X216" s="1328"/>
      <c r="Y216" s="1328"/>
      <c r="Z216" s="1328"/>
      <c r="AA216" s="1328"/>
      <c r="AB216" s="1328"/>
      <c r="AC216" s="1328"/>
      <c r="AD216" s="1328"/>
      <c r="AE216" s="1328"/>
      <c r="AF216" s="1328"/>
      <c r="AG216" s="1328"/>
      <c r="AH216" s="1328"/>
      <c r="AI216" s="1328"/>
      <c r="AJ216" s="1328"/>
      <c r="AK216" s="1328"/>
      <c r="AL216" s="1328"/>
      <c r="AM216" s="1328"/>
      <c r="AN216" s="1328"/>
      <c r="AO216" s="1328"/>
      <c r="AP216" s="1328"/>
      <c r="AQ216" s="1330"/>
      <c r="AR216" s="1330"/>
      <c r="AS216" s="1330"/>
      <c r="AT216" s="1331"/>
      <c r="AU216" s="1331"/>
      <c r="AV216" s="1331"/>
      <c r="AW216" s="1330"/>
      <c r="AX216" s="1330"/>
      <c r="AY216" s="1330"/>
      <c r="AZ216" s="1330"/>
      <c r="BA216" s="1330"/>
      <c r="BB216" s="1330"/>
      <c r="BC216" s="1330"/>
      <c r="BD216" s="1330"/>
      <c r="BE216" s="1330"/>
      <c r="BF216" s="1330"/>
      <c r="BG216" s="1330"/>
      <c r="BH216" s="1330"/>
      <c r="BI216" s="1330"/>
      <c r="BJ216" s="1330"/>
      <c r="BK216" s="1330"/>
      <c r="BL216" s="1332"/>
      <c r="BM216" s="1330"/>
      <c r="BN216" s="1330"/>
      <c r="BO216" s="1330"/>
      <c r="BP216" s="1330"/>
      <c r="BQ216" s="1332"/>
      <c r="BR216" s="1330"/>
      <c r="BS216" s="1330"/>
      <c r="BT216" s="1330"/>
      <c r="BU216" s="1330"/>
      <c r="BV216" s="1332"/>
      <c r="BW216" s="1330"/>
      <c r="BX216" s="1330"/>
      <c r="BY216" s="1330"/>
      <c r="BZ216" s="1330"/>
      <c r="CA216" s="1332"/>
      <c r="CB216" s="1330"/>
      <c r="CC216" s="1330"/>
      <c r="CD216" s="1330"/>
      <c r="CE216" s="1330"/>
      <c r="CF216" s="1332"/>
      <c r="CG216" s="1330"/>
      <c r="CH216" s="1330"/>
      <c r="CI216" s="1330"/>
      <c r="CJ216" s="1330"/>
      <c r="CK216" s="1332"/>
      <c r="CL216" s="1330"/>
      <c r="CM216" s="1330"/>
      <c r="CN216" s="1330"/>
      <c r="CO216" s="1330"/>
      <c r="CP216" s="1332"/>
      <c r="CQ216" s="1330"/>
      <c r="CR216" s="1330"/>
      <c r="CS216" s="1330"/>
      <c r="CT216" s="1330"/>
      <c r="CU216" s="1332"/>
      <c r="CV216" s="1330"/>
      <c r="CW216" s="1330"/>
      <c r="CX216" s="1330"/>
      <c r="CY216" s="1330"/>
      <c r="CZ216" s="1332"/>
      <c r="DA216" s="1330"/>
      <c r="DB216" s="1330"/>
      <c r="DC216" s="1330"/>
      <c r="DD216" s="1330"/>
      <c r="DE216" s="1332"/>
      <c r="DF216" s="1330"/>
      <c r="DG216" s="1330"/>
      <c r="DH216" s="1330"/>
      <c r="DI216" s="1330"/>
      <c r="DJ216" s="1332"/>
      <c r="DK216" s="1330"/>
      <c r="DL216" s="1330"/>
      <c r="DM216" s="1330"/>
      <c r="DN216" s="1330"/>
      <c r="DO216" s="1332"/>
      <c r="DP216" s="1330"/>
      <c r="DQ216" s="1330"/>
      <c r="DR216" s="1330"/>
      <c r="DS216" s="1330"/>
      <c r="DT216" s="1332"/>
      <c r="DU216" s="1330"/>
      <c r="DV216" s="1330"/>
      <c r="DW216" s="1330"/>
      <c r="DX216" s="1330"/>
      <c r="DY216" s="1332"/>
    </row>
    <row r="217" spans="1:129" x14ac:dyDescent="0.2">
      <c r="A217" s="532"/>
      <c r="B217" s="1287" t="s">
        <v>1149</v>
      </c>
      <c r="C217" s="650"/>
      <c r="D217" s="650"/>
      <c r="E217" s="650"/>
      <c r="F217" s="650"/>
      <c r="G217" s="650"/>
      <c r="H217" s="650"/>
      <c r="I217" s="650"/>
      <c r="J217" s="650"/>
      <c r="K217" s="650"/>
      <c r="L217" s="650"/>
      <c r="M217" s="650"/>
      <c r="N217" s="650"/>
      <c r="O217" s="650"/>
      <c r="P217" s="650"/>
      <c r="Q217" s="650"/>
      <c r="R217" s="650"/>
      <c r="S217" s="650"/>
      <c r="T217" s="650"/>
      <c r="U217" s="650"/>
      <c r="V217" s="650"/>
      <c r="W217" s="650"/>
      <c r="X217" s="1288"/>
      <c r="Y217" s="650"/>
      <c r="Z217" s="650"/>
      <c r="AA217" s="650"/>
      <c r="AB217" s="650"/>
      <c r="AC217" s="1288"/>
      <c r="AD217" s="650"/>
      <c r="AE217" s="650"/>
      <c r="AF217" s="650"/>
      <c r="AG217" s="650"/>
      <c r="AH217" s="1288"/>
      <c r="AI217" s="650"/>
      <c r="AJ217" s="650"/>
      <c r="AK217" s="650"/>
      <c r="AL217" s="650"/>
      <c r="AM217" s="1288"/>
      <c r="AN217" s="650"/>
      <c r="AO217" s="650"/>
      <c r="AP217" s="650"/>
      <c r="AQ217" s="650"/>
      <c r="AR217" s="1288"/>
      <c r="AS217" s="650"/>
      <c r="AT217" s="650"/>
      <c r="AU217" s="650"/>
      <c r="AV217" s="650"/>
      <c r="AW217" s="1288"/>
      <c r="AX217" s="650"/>
      <c r="AY217" s="650"/>
      <c r="AZ217" s="650"/>
      <c r="BA217" s="650"/>
      <c r="BB217" s="1288"/>
      <c r="BC217" s="650"/>
      <c r="BD217" s="650"/>
      <c r="BE217" s="650"/>
      <c r="BF217" s="650"/>
      <c r="BG217" s="1288"/>
      <c r="BH217" s="650"/>
      <c r="BI217" s="650"/>
      <c r="BJ217" s="650"/>
      <c r="BK217" s="650"/>
      <c r="BL217" s="583"/>
      <c r="BM217" s="650"/>
      <c r="BN217" s="650"/>
      <c r="BO217" s="650"/>
      <c r="BP217" s="650"/>
      <c r="BQ217" s="583"/>
      <c r="BR217" s="650"/>
      <c r="BS217" s="650"/>
      <c r="BT217" s="650"/>
      <c r="BU217" s="650"/>
      <c r="BV217" s="583"/>
      <c r="BW217" s="650"/>
      <c r="BX217" s="650"/>
      <c r="BY217" s="650"/>
      <c r="BZ217" s="650"/>
      <c r="CA217" s="583"/>
      <c r="CB217" s="650"/>
      <c r="CC217" s="650"/>
      <c r="CD217" s="650"/>
      <c r="CE217" s="650"/>
      <c r="CF217" s="583"/>
      <c r="CG217" s="650"/>
      <c r="CH217" s="650"/>
      <c r="CI217" s="650"/>
      <c r="CJ217" s="650"/>
      <c r="CK217" s="583"/>
      <c r="CL217" s="650"/>
      <c r="CM217" s="650"/>
      <c r="CN217" s="650"/>
      <c r="CO217" s="650"/>
      <c r="CP217" s="583"/>
      <c r="CQ217" s="650"/>
      <c r="CR217" s="650"/>
      <c r="CS217" s="650"/>
      <c r="CT217" s="650"/>
      <c r="CU217" s="583"/>
      <c r="CV217" s="650"/>
      <c r="CW217" s="650"/>
      <c r="CX217" s="650"/>
      <c r="CY217" s="650"/>
      <c r="CZ217" s="583"/>
      <c r="DA217" s="650"/>
      <c r="DB217" s="650"/>
      <c r="DC217" s="650"/>
      <c r="DD217" s="650"/>
      <c r="DE217" s="583"/>
      <c r="DF217" s="650"/>
      <c r="DG217" s="650"/>
      <c r="DH217" s="650"/>
      <c r="DI217" s="650"/>
      <c r="DJ217" s="583"/>
      <c r="DK217" s="650"/>
      <c r="DL217" s="650"/>
      <c r="DM217" s="650"/>
      <c r="DN217" s="650"/>
      <c r="DO217" s="583"/>
      <c r="DP217" s="650"/>
      <c r="DQ217" s="650"/>
      <c r="DR217" s="650"/>
      <c r="DS217" s="650"/>
      <c r="DT217" s="583"/>
      <c r="DU217" s="650"/>
      <c r="DV217" s="650"/>
      <c r="DW217" s="650"/>
      <c r="DX217" s="650"/>
      <c r="DY217" s="583"/>
    </row>
    <row r="218" spans="1:129" x14ac:dyDescent="0.2">
      <c r="A218" s="532"/>
      <c r="B218" s="1287" t="s">
        <v>1150</v>
      </c>
      <c r="C218" s="650"/>
      <c r="D218" s="650"/>
      <c r="E218" s="650"/>
      <c r="F218" s="650"/>
      <c r="G218" s="650"/>
      <c r="H218" s="650"/>
      <c r="I218" s="650"/>
      <c r="J218" s="650"/>
      <c r="K218" s="650"/>
      <c r="L218" s="650"/>
      <c r="M218" s="650"/>
      <c r="N218" s="650"/>
      <c r="O218" s="650"/>
      <c r="P218" s="650"/>
      <c r="Q218" s="650"/>
      <c r="R218" s="650"/>
      <c r="S218" s="650"/>
      <c r="T218" s="650"/>
      <c r="U218" s="650"/>
      <c r="V218" s="650"/>
      <c r="W218" s="650"/>
      <c r="X218" s="1288"/>
      <c r="Y218" s="650"/>
      <c r="Z218" s="650"/>
      <c r="AA218" s="650"/>
      <c r="AB218" s="650"/>
      <c r="AC218" s="1288"/>
      <c r="AD218" s="650"/>
      <c r="AE218" s="650"/>
      <c r="AF218" s="650"/>
      <c r="AG218" s="650"/>
      <c r="AH218" s="1288"/>
      <c r="AI218" s="650"/>
      <c r="AJ218" s="650"/>
      <c r="AK218" s="650"/>
      <c r="AL218" s="650"/>
      <c r="AM218" s="1288"/>
      <c r="AN218" s="650"/>
      <c r="AO218" s="650"/>
      <c r="AP218" s="650"/>
      <c r="AQ218" s="650"/>
      <c r="AR218" s="1288"/>
      <c r="AS218" s="650"/>
      <c r="AT218" s="650"/>
      <c r="AU218" s="650"/>
      <c r="AV218" s="650"/>
      <c r="AW218" s="1288"/>
      <c r="AX218" s="650"/>
      <c r="AY218" s="650"/>
      <c r="AZ218" s="650"/>
      <c r="BA218" s="650"/>
      <c r="BB218" s="1288"/>
      <c r="BC218" s="650"/>
      <c r="BD218" s="650"/>
      <c r="BE218" s="650"/>
      <c r="BF218" s="650"/>
      <c r="BG218" s="1289"/>
      <c r="BH218" s="650"/>
      <c r="BI218" s="650"/>
      <c r="BJ218" s="650"/>
      <c r="BK218" s="650"/>
      <c r="BL218" s="1333">
        <v>6.1249999999999999E-2</v>
      </c>
      <c r="BM218" s="650"/>
      <c r="BN218" s="650"/>
      <c r="BO218" s="650"/>
      <c r="BP218" s="650"/>
      <c r="BQ218" s="1333">
        <v>6.1249999999999999E-2</v>
      </c>
      <c r="BR218" s="650"/>
      <c r="BS218" s="650"/>
      <c r="BT218" s="650"/>
      <c r="BU218" s="650"/>
      <c r="BV218" s="1333">
        <v>6.1249999999999999E-2</v>
      </c>
      <c r="BW218" s="650"/>
      <c r="BX218" s="650"/>
      <c r="BY218" s="650"/>
      <c r="BZ218" s="650"/>
      <c r="CA218" s="1333"/>
      <c r="CB218" s="1334">
        <v>6.1249999999999999E-2</v>
      </c>
      <c r="CC218" s="1334">
        <v>6.1249999999999999E-2</v>
      </c>
      <c r="CD218" s="1334">
        <v>6.1249999999999999E-2</v>
      </c>
      <c r="CE218" s="1334">
        <v>6.1249999999999999E-2</v>
      </c>
      <c r="CF218" s="1333"/>
      <c r="CG218" s="1334"/>
      <c r="CH218" s="1334"/>
      <c r="CI218" s="1334"/>
      <c r="CJ218" s="1334"/>
      <c r="CK218" s="1333"/>
      <c r="CL218" s="1334"/>
      <c r="CM218" s="1334"/>
      <c r="CN218" s="1334"/>
      <c r="CO218" s="1334">
        <v>0.04</v>
      </c>
      <c r="CP218" s="1333"/>
      <c r="CQ218" s="1334">
        <f>CO218</f>
        <v>0.04</v>
      </c>
      <c r="CR218" s="1334">
        <f>CQ218</f>
        <v>0.04</v>
      </c>
      <c r="CS218" s="1334">
        <f>CR218</f>
        <v>0.04</v>
      </c>
      <c r="CT218" s="1334">
        <f>CS218</f>
        <v>0.04</v>
      </c>
      <c r="CU218" s="1333"/>
      <c r="CV218" s="1334">
        <f>CT218</f>
        <v>0.04</v>
      </c>
      <c r="CW218" s="1334">
        <f>CV218</f>
        <v>0.04</v>
      </c>
      <c r="CX218" s="1334">
        <f>CW218</f>
        <v>0.04</v>
      </c>
      <c r="CY218" s="1334">
        <f>CX218</f>
        <v>0.04</v>
      </c>
      <c r="CZ218" s="1333"/>
      <c r="DA218" s="1334">
        <f>CY218</f>
        <v>0.04</v>
      </c>
      <c r="DB218" s="1334">
        <f>DA218</f>
        <v>0.04</v>
      </c>
      <c r="DC218" s="1334">
        <f>DB218</f>
        <v>0.04</v>
      </c>
      <c r="DD218" s="1334">
        <f>DC218</f>
        <v>0.04</v>
      </c>
      <c r="DE218" s="1333"/>
      <c r="DF218" s="1334">
        <f>DD218</f>
        <v>0.04</v>
      </c>
      <c r="DG218" s="1334">
        <f>DF218</f>
        <v>0.04</v>
      </c>
      <c r="DH218" s="1334">
        <f>DG218</f>
        <v>0.04</v>
      </c>
      <c r="DI218" s="1334">
        <f>DH218</f>
        <v>0.04</v>
      </c>
      <c r="DJ218" s="1333"/>
      <c r="DK218" s="1334">
        <f>DI218</f>
        <v>0.04</v>
      </c>
      <c r="DL218" s="1334">
        <f>DK218</f>
        <v>0.04</v>
      </c>
      <c r="DM218" s="1334">
        <f>DL218</f>
        <v>0.04</v>
      </c>
      <c r="DN218" s="1334">
        <f>DM218</f>
        <v>0.04</v>
      </c>
      <c r="DO218" s="1333"/>
      <c r="DP218" s="1334">
        <f>DN218</f>
        <v>0.04</v>
      </c>
      <c r="DQ218" s="1334">
        <f>DP218</f>
        <v>0.04</v>
      </c>
      <c r="DR218" s="1334">
        <f>DQ218</f>
        <v>0.04</v>
      </c>
      <c r="DS218" s="1334">
        <f>DR218</f>
        <v>0.04</v>
      </c>
      <c r="DT218" s="1333"/>
      <c r="DU218" s="1334">
        <f>DS218</f>
        <v>0.04</v>
      </c>
      <c r="DV218" s="1334">
        <f>DU218</f>
        <v>0.04</v>
      </c>
      <c r="DW218" s="1334">
        <f>DV218</f>
        <v>0.04</v>
      </c>
      <c r="DX218" s="1334">
        <f>DW218</f>
        <v>0.04</v>
      </c>
      <c r="DY218" s="1333"/>
    </row>
    <row r="219" spans="1:129" x14ac:dyDescent="0.2">
      <c r="A219" s="1223"/>
      <c r="B219" s="1190" t="s">
        <v>1151</v>
      </c>
      <c r="C219" s="1293"/>
      <c r="D219" s="1293"/>
      <c r="E219" s="1293"/>
      <c r="F219" s="1293"/>
      <c r="G219" s="1293"/>
      <c r="H219" s="1293"/>
      <c r="I219" s="1293"/>
      <c r="J219" s="1293"/>
      <c r="K219" s="1293"/>
      <c r="L219" s="1293"/>
      <c r="M219" s="1293"/>
      <c r="N219" s="1293"/>
      <c r="O219" s="1293"/>
      <c r="P219" s="1293"/>
      <c r="Q219" s="1293"/>
      <c r="R219" s="1293"/>
      <c r="S219" s="1293"/>
      <c r="T219" s="1293"/>
      <c r="U219" s="1293"/>
      <c r="V219" s="1293"/>
      <c r="W219" s="1293"/>
      <c r="X219" s="1227"/>
      <c r="Y219" s="1231"/>
      <c r="Z219" s="1231"/>
      <c r="AA219" s="1231"/>
      <c r="AB219" s="1294"/>
      <c r="AC219" s="1227"/>
      <c r="AD219" s="1231"/>
      <c r="AE219" s="1231"/>
      <c r="AF219" s="1231"/>
      <c r="AG219" s="1294"/>
      <c r="AH219" s="1227"/>
      <c r="AI219" s="1231"/>
      <c r="AJ219" s="1231"/>
      <c r="AK219" s="1231"/>
      <c r="AL219" s="1294"/>
      <c r="AM219" s="1227"/>
      <c r="AN219" s="1231"/>
      <c r="AO219" s="1231"/>
      <c r="AP219" s="1231"/>
      <c r="AQ219" s="1294"/>
      <c r="AR219" s="1227"/>
      <c r="AS219" s="1231"/>
      <c r="AT219" s="1231"/>
      <c r="AU219" s="1231"/>
      <c r="AV219" s="1294"/>
      <c r="AW219" s="1227"/>
      <c r="AX219" s="1231"/>
      <c r="AY219" s="1231"/>
      <c r="AZ219" s="1231"/>
      <c r="BA219" s="1231"/>
      <c r="BB219" s="1227"/>
      <c r="BC219" s="1231"/>
      <c r="BD219" s="1231"/>
      <c r="BE219" s="1231"/>
      <c r="BF219" s="1231"/>
      <c r="BG219" s="1227"/>
      <c r="BH219" s="1231"/>
      <c r="BI219" s="1231"/>
      <c r="BJ219" s="1231"/>
      <c r="BK219" s="1231"/>
      <c r="BL219" s="1326"/>
      <c r="BM219" s="1231"/>
      <c r="BN219" s="1231"/>
      <c r="BO219" s="1231"/>
      <c r="BP219" s="1231"/>
      <c r="BQ219" s="1326"/>
      <c r="BR219" s="1231"/>
      <c r="BS219" s="1231"/>
      <c r="BT219" s="1231"/>
      <c r="BU219" s="1231"/>
      <c r="BV219" s="1326"/>
      <c r="BW219" s="1231"/>
      <c r="BX219" s="1231"/>
      <c r="BY219" s="1231"/>
      <c r="BZ219" s="1231"/>
      <c r="CA219" s="1326"/>
      <c r="CB219" s="1231"/>
      <c r="CC219" s="1231"/>
      <c r="CD219" s="1231"/>
      <c r="CE219" s="1231"/>
      <c r="CF219" s="1326"/>
      <c r="CG219" s="1231"/>
      <c r="CH219" s="1231"/>
      <c r="CI219" s="1231"/>
      <c r="CJ219" s="1231"/>
      <c r="CK219" s="1326"/>
      <c r="CL219" s="1231"/>
      <c r="CM219" s="1231"/>
      <c r="CN219" s="1231"/>
      <c r="CO219" s="1231"/>
      <c r="CP219" s="1326"/>
      <c r="CQ219" s="1231"/>
      <c r="CR219" s="1231"/>
      <c r="CS219" s="1231"/>
      <c r="CT219" s="1231"/>
      <c r="CU219" s="1326"/>
      <c r="CV219" s="1231"/>
      <c r="CW219" s="1231"/>
      <c r="CX219" s="1231"/>
      <c r="CY219" s="1231"/>
      <c r="CZ219" s="1326"/>
      <c r="DA219" s="1231"/>
      <c r="DB219" s="1231"/>
      <c r="DC219" s="1231"/>
      <c r="DD219" s="1231"/>
      <c r="DE219" s="1326"/>
      <c r="DF219" s="1231"/>
      <c r="DG219" s="1231"/>
      <c r="DH219" s="1231"/>
      <c r="DI219" s="1231"/>
      <c r="DJ219" s="1326"/>
      <c r="DK219" s="1231"/>
      <c r="DL219" s="1231"/>
      <c r="DM219" s="1231"/>
      <c r="DN219" s="1231"/>
      <c r="DO219" s="1326"/>
      <c r="DP219" s="1231"/>
      <c r="DQ219" s="1231"/>
      <c r="DR219" s="1231"/>
      <c r="DS219" s="1231"/>
      <c r="DT219" s="1326"/>
      <c r="DU219" s="1231"/>
      <c r="DV219" s="1231"/>
      <c r="DW219" s="1231"/>
      <c r="DX219" s="1231"/>
      <c r="DY219" s="1326"/>
    </row>
    <row r="220" spans="1:129" x14ac:dyDescent="0.2">
      <c r="A220" s="1223"/>
      <c r="B220" s="1190" t="s">
        <v>1152</v>
      </c>
      <c r="C220" s="1231"/>
      <c r="D220" s="1231"/>
      <c r="E220" s="1231"/>
      <c r="F220" s="1231"/>
      <c r="G220" s="1231"/>
      <c r="H220" s="1231"/>
      <c r="I220" s="1231"/>
      <c r="J220" s="1231"/>
      <c r="K220" s="1231"/>
      <c r="L220" s="1231"/>
      <c r="M220" s="1231"/>
      <c r="N220" s="1231"/>
      <c r="O220" s="1231"/>
      <c r="P220" s="1231"/>
      <c r="Q220" s="1231"/>
      <c r="R220" s="1231"/>
      <c r="S220" s="1231"/>
      <c r="T220" s="1231"/>
      <c r="U220" s="1231"/>
      <c r="V220" s="1231"/>
      <c r="W220" s="1231"/>
      <c r="X220" s="1227"/>
      <c r="Y220" s="1231"/>
      <c r="Z220" s="1231"/>
      <c r="AA220" s="1231"/>
      <c r="AB220" s="1231"/>
      <c r="AC220" s="1227"/>
      <c r="AD220" s="1231"/>
      <c r="AE220" s="1231"/>
      <c r="AF220" s="1231"/>
      <c r="AG220" s="1231"/>
      <c r="AH220" s="1227"/>
      <c r="AI220" s="1231"/>
      <c r="AJ220" s="1231"/>
      <c r="AK220" s="1231"/>
      <c r="AL220" s="1231"/>
      <c r="AM220" s="1227"/>
      <c r="AN220" s="1231"/>
      <c r="AO220" s="1231"/>
      <c r="AP220" s="1231"/>
      <c r="AQ220" s="1231"/>
      <c r="AR220" s="1227"/>
      <c r="AS220" s="1231"/>
      <c r="AT220" s="1231"/>
      <c r="AU220" s="1231"/>
      <c r="AV220" s="1231"/>
      <c r="AW220" s="1227"/>
      <c r="AX220" s="1231"/>
      <c r="AY220" s="1231"/>
      <c r="AZ220" s="1231"/>
      <c r="BA220" s="1231"/>
      <c r="BB220" s="1227"/>
      <c r="BC220" s="1231"/>
      <c r="BD220" s="1231"/>
      <c r="BE220" s="1231"/>
      <c r="BF220" s="1231"/>
      <c r="BG220" s="1227"/>
      <c r="BH220" s="1231"/>
      <c r="BI220" s="1231"/>
      <c r="BJ220" s="1231"/>
      <c r="BK220" s="1231"/>
      <c r="BL220" s="1326"/>
      <c r="BM220" s="1231"/>
      <c r="BN220" s="1231"/>
      <c r="BO220" s="1231"/>
      <c r="BP220" s="1231"/>
      <c r="BQ220" s="1326">
        <f>BL222</f>
        <v>700</v>
      </c>
      <c r="BR220" s="1231"/>
      <c r="BS220" s="1231"/>
      <c r="BT220" s="1231"/>
      <c r="BU220" s="1231"/>
      <c r="BV220" s="1326">
        <f>BQ222</f>
        <v>700</v>
      </c>
      <c r="BW220" s="1231"/>
      <c r="BX220" s="1231"/>
      <c r="BY220" s="1231"/>
      <c r="BZ220" s="1231"/>
      <c r="CA220" s="1326"/>
      <c r="CB220" s="1223">
        <f>CA222</f>
        <v>0</v>
      </c>
      <c r="CC220" s="1223">
        <f>+CB222</f>
        <v>0</v>
      </c>
      <c r="CD220" s="1223">
        <f>+CC222</f>
        <v>0</v>
      </c>
      <c r="CE220" s="1223">
        <f>+CD222</f>
        <v>0</v>
      </c>
      <c r="CF220" s="1326"/>
      <c r="CG220" s="1223"/>
      <c r="CH220" s="1223"/>
      <c r="CI220" s="1223"/>
      <c r="CJ220" s="1223"/>
      <c r="CK220" s="1326"/>
      <c r="CL220" s="1223"/>
      <c r="CM220" s="1223"/>
      <c r="CN220" s="1223"/>
      <c r="CO220" s="1223">
        <v>0</v>
      </c>
      <c r="CP220" s="1326">
        <f>CK222</f>
        <v>0</v>
      </c>
      <c r="CQ220" s="1223">
        <f>CO222</f>
        <v>1250</v>
      </c>
      <c r="CR220" s="1223">
        <f>+CQ222</f>
        <v>1250</v>
      </c>
      <c r="CS220" s="1223">
        <f>+CR222</f>
        <v>1250</v>
      </c>
      <c r="CT220" s="1223">
        <f>+CS222</f>
        <v>1250</v>
      </c>
      <c r="CU220" s="1326">
        <f>CP222</f>
        <v>1250</v>
      </c>
      <c r="CV220" s="1223">
        <f>+CT220</f>
        <v>1250</v>
      </c>
      <c r="CW220" s="1223">
        <f>+CV222</f>
        <v>1250</v>
      </c>
      <c r="CX220" s="1223">
        <f>+CW222</f>
        <v>1250</v>
      </c>
      <c r="CY220" s="1223">
        <f>+CX222</f>
        <v>1250</v>
      </c>
      <c r="CZ220" s="1326">
        <f>CU222</f>
        <v>1250</v>
      </c>
      <c r="DA220" s="1223">
        <f>+CY220</f>
        <v>1250</v>
      </c>
      <c r="DB220" s="1223">
        <f>+DA222</f>
        <v>1250</v>
      </c>
      <c r="DC220" s="1223">
        <f>+DB222</f>
        <v>1250</v>
      </c>
      <c r="DD220" s="1223">
        <f>+DC222</f>
        <v>1250</v>
      </c>
      <c r="DE220" s="1326">
        <f>CZ222</f>
        <v>1250</v>
      </c>
      <c r="DF220" s="1223">
        <f>+DD220</f>
        <v>1250</v>
      </c>
      <c r="DG220" s="1223">
        <f>+DF222</f>
        <v>1250</v>
      </c>
      <c r="DH220" s="1223">
        <f>+DG222</f>
        <v>1250</v>
      </c>
      <c r="DI220" s="1223">
        <f>+DH222</f>
        <v>1250</v>
      </c>
      <c r="DJ220" s="1326">
        <f>DE222</f>
        <v>1250</v>
      </c>
      <c r="DK220" s="1223">
        <f>+DI220</f>
        <v>1250</v>
      </c>
      <c r="DL220" s="1223">
        <f>+DK222</f>
        <v>1250</v>
      </c>
      <c r="DM220" s="1223">
        <f>+DL222</f>
        <v>1250</v>
      </c>
      <c r="DN220" s="1223">
        <f>+DM222</f>
        <v>1250</v>
      </c>
      <c r="DO220" s="1326">
        <f>DJ222</f>
        <v>1250</v>
      </c>
      <c r="DP220" s="1223">
        <f>+DN220</f>
        <v>1250</v>
      </c>
      <c r="DQ220" s="1223">
        <f>+DP222</f>
        <v>1250</v>
      </c>
      <c r="DR220" s="1223">
        <f>+DQ222</f>
        <v>1250</v>
      </c>
      <c r="DS220" s="1223">
        <f>+DR222</f>
        <v>1250</v>
      </c>
      <c r="DT220" s="1326">
        <f>DO222</f>
        <v>1250</v>
      </c>
      <c r="DU220" s="1223">
        <f>+DS220</f>
        <v>1250</v>
      </c>
      <c r="DV220" s="1223">
        <f>+DU222</f>
        <v>1250</v>
      </c>
      <c r="DW220" s="1223">
        <f>+DV222</f>
        <v>1250</v>
      </c>
      <c r="DX220" s="1223">
        <f>+DW222</f>
        <v>1250</v>
      </c>
      <c r="DY220" s="1326">
        <f>DT222</f>
        <v>1250</v>
      </c>
    </row>
    <row r="221" spans="1:129" x14ac:dyDescent="0.2">
      <c r="A221" s="1295"/>
      <c r="B221" s="1190" t="s">
        <v>1153</v>
      </c>
      <c r="C221" s="1182"/>
      <c r="D221" s="1182"/>
      <c r="E221" s="1182"/>
      <c r="F221" s="1182"/>
      <c r="G221" s="1182"/>
      <c r="H221" s="1182"/>
      <c r="I221" s="1182"/>
      <c r="J221" s="1182"/>
      <c r="K221" s="1182"/>
      <c r="L221" s="1182"/>
      <c r="M221" s="1182"/>
      <c r="N221" s="1182"/>
      <c r="O221" s="1182"/>
      <c r="P221" s="1182"/>
      <c r="Q221" s="1182"/>
      <c r="R221" s="1182"/>
      <c r="S221" s="1182"/>
      <c r="T221" s="1182"/>
      <c r="U221" s="1182"/>
      <c r="V221" s="1182"/>
      <c r="W221" s="1182"/>
      <c r="X221" s="1296"/>
      <c r="Y221" s="1297"/>
      <c r="Z221" s="1297"/>
      <c r="AA221" s="1297"/>
      <c r="AB221" s="1297"/>
      <c r="AC221" s="1296"/>
      <c r="AD221" s="1297"/>
      <c r="AE221" s="1297"/>
      <c r="AF221" s="1297"/>
      <c r="AG221" s="1297"/>
      <c r="AH221" s="1296"/>
      <c r="AI221" s="1297"/>
      <c r="AJ221" s="1297"/>
      <c r="AK221" s="1297"/>
      <c r="AL221" s="1297"/>
      <c r="AM221" s="1296"/>
      <c r="AN221" s="1297"/>
      <c r="AO221" s="1297"/>
      <c r="AP221" s="1297"/>
      <c r="AQ221" s="1297"/>
      <c r="AR221" s="1296"/>
      <c r="AS221" s="1297"/>
      <c r="AT221" s="1297"/>
      <c r="AU221" s="1297"/>
      <c r="AV221" s="1297"/>
      <c r="AW221" s="1296"/>
      <c r="AX221" s="1298"/>
      <c r="AY221" s="1299"/>
      <c r="AZ221" s="1299"/>
      <c r="BA221" s="1298"/>
      <c r="BB221" s="1300"/>
      <c r="BC221" s="1298"/>
      <c r="BD221" s="1298"/>
      <c r="BE221" s="1298"/>
      <c r="BF221" s="1298"/>
      <c r="BG221" s="1296"/>
      <c r="BH221" s="1298"/>
      <c r="BI221" s="1298"/>
      <c r="BJ221" s="1298"/>
      <c r="BK221" s="1298"/>
      <c r="BL221" s="1335"/>
      <c r="BM221" s="1298"/>
      <c r="BN221" s="1298"/>
      <c r="BO221" s="1298"/>
      <c r="BP221" s="1298"/>
      <c r="BQ221" s="1335">
        <f>BQ222-BQ220</f>
        <v>0</v>
      </c>
      <c r="BR221" s="1298"/>
      <c r="BS221" s="1298"/>
      <c r="BT221" s="1298"/>
      <c r="BU221" s="1298"/>
      <c r="BV221" s="1335">
        <f>BV222-BV220</f>
        <v>0</v>
      </c>
      <c r="BW221" s="1298"/>
      <c r="BX221" s="1298"/>
      <c r="BY221" s="1298"/>
      <c r="BZ221" s="1298"/>
      <c r="CA221" s="1335"/>
      <c r="CB221" s="1336">
        <f>CB222-CB220</f>
        <v>0</v>
      </c>
      <c r="CC221" s="1336">
        <f>CC222-CC220</f>
        <v>0</v>
      </c>
      <c r="CD221" s="1298">
        <v>0</v>
      </c>
      <c r="CE221" s="1298">
        <v>0</v>
      </c>
      <c r="CF221" s="1335"/>
      <c r="CG221" s="1298"/>
      <c r="CH221" s="1298"/>
      <c r="CI221" s="1298"/>
      <c r="CJ221" s="1298"/>
      <c r="CK221" s="1335"/>
      <c r="CL221" s="1298"/>
      <c r="CM221" s="1298"/>
      <c r="CN221" s="1298"/>
      <c r="CO221" s="1298">
        <v>1250</v>
      </c>
      <c r="CP221" s="1335">
        <f>+SUM(CL221:CO221)</f>
        <v>1250</v>
      </c>
      <c r="CQ221" s="1298">
        <v>0</v>
      </c>
      <c r="CR221" s="1298">
        <v>0</v>
      </c>
      <c r="CS221" s="1298">
        <v>0</v>
      </c>
      <c r="CT221" s="1298">
        <v>0</v>
      </c>
      <c r="CU221" s="1335">
        <f>+SUM(CQ221:CT221)</f>
        <v>0</v>
      </c>
      <c r="CV221" s="1298">
        <v>0</v>
      </c>
      <c r="CW221" s="1298">
        <v>0</v>
      </c>
      <c r="CX221" s="1298">
        <v>0</v>
      </c>
      <c r="CY221" s="1298">
        <v>0</v>
      </c>
      <c r="CZ221" s="1335">
        <f>+SUM(CV221:CY221)</f>
        <v>0</v>
      </c>
      <c r="DA221" s="1298">
        <v>0</v>
      </c>
      <c r="DB221" s="1298">
        <v>0</v>
      </c>
      <c r="DC221" s="1298">
        <v>0</v>
      </c>
      <c r="DD221" s="1298">
        <v>0</v>
      </c>
      <c r="DE221" s="1335">
        <f>+SUM(DA221:DD221)</f>
        <v>0</v>
      </c>
      <c r="DF221" s="1298">
        <v>0</v>
      </c>
      <c r="DG221" s="1298">
        <v>0</v>
      </c>
      <c r="DH221" s="1298">
        <v>0</v>
      </c>
      <c r="DI221" s="1298">
        <v>0</v>
      </c>
      <c r="DJ221" s="1335">
        <f>+SUM(DF221:DI221)</f>
        <v>0</v>
      </c>
      <c r="DK221" s="1298">
        <v>0</v>
      </c>
      <c r="DL221" s="1298">
        <v>0</v>
      </c>
      <c r="DM221" s="1298">
        <v>0</v>
      </c>
      <c r="DN221" s="1298">
        <v>0</v>
      </c>
      <c r="DO221" s="1335">
        <f>+SUM(DK221:DN221)</f>
        <v>0</v>
      </c>
      <c r="DP221" s="1298">
        <v>0</v>
      </c>
      <c r="DQ221" s="1298">
        <v>0</v>
      </c>
      <c r="DR221" s="1298">
        <v>0</v>
      </c>
      <c r="DS221" s="1298">
        <v>0</v>
      </c>
      <c r="DT221" s="1335">
        <f>+SUM(DP221:DS221)</f>
        <v>0</v>
      </c>
      <c r="DU221" s="1298">
        <v>0</v>
      </c>
      <c r="DV221" s="1298">
        <v>0</v>
      </c>
      <c r="DW221" s="1298">
        <v>0</v>
      </c>
      <c r="DX221" s="1298">
        <v>0</v>
      </c>
      <c r="DY221" s="1335">
        <f>+SUM(DU221:DX221)</f>
        <v>0</v>
      </c>
    </row>
    <row r="222" spans="1:129" x14ac:dyDescent="0.2">
      <c r="A222" s="1295"/>
      <c r="B222" s="1190" t="s">
        <v>1154</v>
      </c>
      <c r="C222" s="1182"/>
      <c r="D222" s="1182"/>
      <c r="E222" s="1182"/>
      <c r="F222" s="1182"/>
      <c r="G222" s="1182"/>
      <c r="H222" s="1182"/>
      <c r="I222" s="1182"/>
      <c r="J222" s="1182"/>
      <c r="K222" s="1182"/>
      <c r="L222" s="1182"/>
      <c r="M222" s="1182"/>
      <c r="N222" s="1182"/>
      <c r="O222" s="1182"/>
      <c r="P222" s="1182"/>
      <c r="Q222" s="1182"/>
      <c r="R222" s="1182"/>
      <c r="S222" s="1182"/>
      <c r="T222" s="1182"/>
      <c r="U222" s="1182"/>
      <c r="V222" s="1182"/>
      <c r="W222" s="1182"/>
      <c r="X222" s="1304"/>
      <c r="Y222" s="1305"/>
      <c r="Z222" s="1305"/>
      <c r="AA222" s="1305"/>
      <c r="AB222" s="1305"/>
      <c r="AC222" s="1304"/>
      <c r="AD222" s="1305"/>
      <c r="AE222" s="1305"/>
      <c r="AF222" s="1305"/>
      <c r="AG222" s="1305"/>
      <c r="AH222" s="1304"/>
      <c r="AI222" s="1305"/>
      <c r="AJ222" s="1305"/>
      <c r="AK222" s="1305"/>
      <c r="AL222" s="1305"/>
      <c r="AM222" s="1304"/>
      <c r="AN222" s="1305"/>
      <c r="AO222" s="1305"/>
      <c r="AP222" s="1305"/>
      <c r="AQ222" s="1305"/>
      <c r="AR222" s="1304"/>
      <c r="AS222" s="1305"/>
      <c r="AT222" s="1305"/>
      <c r="AU222" s="1305"/>
      <c r="AV222" s="1305"/>
      <c r="AW222" s="1304"/>
      <c r="AX222" s="1305"/>
      <c r="AY222" s="1305"/>
      <c r="AZ222" s="1305"/>
      <c r="BA222" s="1305"/>
      <c r="BB222" s="1304"/>
      <c r="BC222" s="1305"/>
      <c r="BD222" s="1305"/>
      <c r="BE222" s="1305"/>
      <c r="BF222" s="1305"/>
      <c r="BG222" s="1306"/>
      <c r="BH222" s="1305"/>
      <c r="BI222" s="1305"/>
      <c r="BJ222" s="1305"/>
      <c r="BK222" s="1305"/>
      <c r="BL222" s="1337">
        <v>700</v>
      </c>
      <c r="BM222" s="1305"/>
      <c r="BN222" s="1305"/>
      <c r="BO222" s="1305"/>
      <c r="BP222" s="1305"/>
      <c r="BQ222" s="1337">
        <v>700</v>
      </c>
      <c r="BR222" s="1305"/>
      <c r="BS222" s="1305"/>
      <c r="BT222" s="1305"/>
      <c r="BU222" s="1305"/>
      <c r="BV222" s="1337">
        <v>700</v>
      </c>
      <c r="BW222" s="1305"/>
      <c r="BX222" s="1305"/>
      <c r="BY222" s="1305"/>
      <c r="BZ222" s="1305"/>
      <c r="CA222" s="1337"/>
      <c r="CB222" s="1295">
        <f>CA222</f>
        <v>0</v>
      </c>
      <c r="CC222" s="1226">
        <f>CB222</f>
        <v>0</v>
      </c>
      <c r="CD222" s="1295">
        <f>CD220+CD221</f>
        <v>0</v>
      </c>
      <c r="CE222" s="1295">
        <f>CE220+CE221</f>
        <v>0</v>
      </c>
      <c r="CF222" s="1325"/>
      <c r="CG222" s="1295"/>
      <c r="CH222" s="1295"/>
      <c r="CI222" s="1295"/>
      <c r="CJ222" s="1295"/>
      <c r="CK222" s="1325"/>
      <c r="CL222" s="1295"/>
      <c r="CM222" s="1295"/>
      <c r="CN222" s="1295"/>
      <c r="CO222" s="1295">
        <f t="shared" ref="CO222:CZ222" si="173">CO220+CO221</f>
        <v>1250</v>
      </c>
      <c r="CP222" s="1325">
        <f t="shared" si="173"/>
        <v>1250</v>
      </c>
      <c r="CQ222" s="1295">
        <f t="shared" si="173"/>
        <v>1250</v>
      </c>
      <c r="CR222" s="1295">
        <f t="shared" si="173"/>
        <v>1250</v>
      </c>
      <c r="CS222" s="1295">
        <f t="shared" si="173"/>
        <v>1250</v>
      </c>
      <c r="CT222" s="1295">
        <f t="shared" si="173"/>
        <v>1250</v>
      </c>
      <c r="CU222" s="1325">
        <f t="shared" si="173"/>
        <v>1250</v>
      </c>
      <c r="CV222" s="1295">
        <f t="shared" si="173"/>
        <v>1250</v>
      </c>
      <c r="CW222" s="1295">
        <f t="shared" si="173"/>
        <v>1250</v>
      </c>
      <c r="CX222" s="1295">
        <f t="shared" si="173"/>
        <v>1250</v>
      </c>
      <c r="CY222" s="1295">
        <f t="shared" si="173"/>
        <v>1250</v>
      </c>
      <c r="CZ222" s="1325">
        <f t="shared" si="173"/>
        <v>1250</v>
      </c>
      <c r="DA222" s="1295">
        <f t="shared" ref="DA222:DJ222" si="174">DA220+DA221</f>
        <v>1250</v>
      </c>
      <c r="DB222" s="1295">
        <f t="shared" si="174"/>
        <v>1250</v>
      </c>
      <c r="DC222" s="1295">
        <f t="shared" si="174"/>
        <v>1250</v>
      </c>
      <c r="DD222" s="1295">
        <f t="shared" si="174"/>
        <v>1250</v>
      </c>
      <c r="DE222" s="1325">
        <f t="shared" si="174"/>
        <v>1250</v>
      </c>
      <c r="DF222" s="1295">
        <f t="shared" si="174"/>
        <v>1250</v>
      </c>
      <c r="DG222" s="1295">
        <f t="shared" si="174"/>
        <v>1250</v>
      </c>
      <c r="DH222" s="1295">
        <f t="shared" si="174"/>
        <v>1250</v>
      </c>
      <c r="DI222" s="1295">
        <f t="shared" si="174"/>
        <v>1250</v>
      </c>
      <c r="DJ222" s="1325">
        <f t="shared" si="174"/>
        <v>1250</v>
      </c>
      <c r="DK222" s="1295">
        <f t="shared" ref="DK222:DT222" si="175">DK220+DK221</f>
        <v>1250</v>
      </c>
      <c r="DL222" s="1295">
        <f t="shared" si="175"/>
        <v>1250</v>
      </c>
      <c r="DM222" s="1295">
        <f t="shared" si="175"/>
        <v>1250</v>
      </c>
      <c r="DN222" s="1295">
        <f t="shared" si="175"/>
        <v>1250</v>
      </c>
      <c r="DO222" s="1325">
        <f t="shared" si="175"/>
        <v>1250</v>
      </c>
      <c r="DP222" s="1295">
        <f t="shared" si="175"/>
        <v>1250</v>
      </c>
      <c r="DQ222" s="1295">
        <f t="shared" si="175"/>
        <v>1250</v>
      </c>
      <c r="DR222" s="1295">
        <f t="shared" si="175"/>
        <v>1250</v>
      </c>
      <c r="DS222" s="1295">
        <f t="shared" si="175"/>
        <v>1250</v>
      </c>
      <c r="DT222" s="1325">
        <f t="shared" si="175"/>
        <v>1250</v>
      </c>
      <c r="DU222" s="1295">
        <f t="shared" ref="DU222:DY222" si="176">DU220+DU221</f>
        <v>1250</v>
      </c>
      <c r="DV222" s="1295">
        <f t="shared" si="176"/>
        <v>1250</v>
      </c>
      <c r="DW222" s="1295">
        <f t="shared" si="176"/>
        <v>1250</v>
      </c>
      <c r="DX222" s="1295">
        <f t="shared" si="176"/>
        <v>1250</v>
      </c>
      <c r="DY222" s="1325">
        <f t="shared" si="176"/>
        <v>1250</v>
      </c>
    </row>
    <row r="223" spans="1:129" x14ac:dyDescent="0.2">
      <c r="A223" s="1223"/>
      <c r="B223" s="1190" t="s">
        <v>1155</v>
      </c>
      <c r="C223" s="1182"/>
      <c r="D223" s="1182"/>
      <c r="E223" s="1182"/>
      <c r="F223" s="1182"/>
      <c r="G223" s="1182"/>
      <c r="H223" s="1182"/>
      <c r="I223" s="1182"/>
      <c r="J223" s="1182"/>
      <c r="K223" s="1182"/>
      <c r="L223" s="1182"/>
      <c r="M223" s="1182"/>
      <c r="N223" s="1182"/>
      <c r="O223" s="1182"/>
      <c r="P223" s="1182"/>
      <c r="Q223" s="1182"/>
      <c r="R223" s="1182"/>
      <c r="S223" s="1182"/>
      <c r="T223" s="1182"/>
      <c r="U223" s="1182"/>
      <c r="V223" s="1182"/>
      <c r="W223" s="1182"/>
      <c r="X223" s="1227"/>
      <c r="Y223" s="1231"/>
      <c r="Z223" s="1231"/>
      <c r="AA223" s="1231"/>
      <c r="AB223" s="1231"/>
      <c r="AC223" s="1227"/>
      <c r="AD223" s="1231"/>
      <c r="AE223" s="1231"/>
      <c r="AF223" s="1231"/>
      <c r="AG223" s="1231"/>
      <c r="AH223" s="1227"/>
      <c r="AI223" s="1231"/>
      <c r="AJ223" s="1231"/>
      <c r="AK223" s="1231"/>
      <c r="AL223" s="1231"/>
      <c r="AM223" s="1227"/>
      <c r="AN223" s="1231"/>
      <c r="AO223" s="1231"/>
      <c r="AP223" s="1231"/>
      <c r="AQ223" s="1231"/>
      <c r="AR223" s="1227"/>
      <c r="AS223" s="1231"/>
      <c r="AT223" s="1231"/>
      <c r="AU223" s="1231"/>
      <c r="AV223" s="1231"/>
      <c r="AW223" s="1227"/>
      <c r="AX223" s="1231"/>
      <c r="AY223" s="1231"/>
      <c r="AZ223" s="1231"/>
      <c r="BA223" s="1231"/>
      <c r="BB223" s="1227"/>
      <c r="BC223" s="1231"/>
      <c r="BD223" s="1231"/>
      <c r="BE223" s="1231"/>
      <c r="BF223" s="1231"/>
      <c r="BG223" s="1227"/>
      <c r="BH223" s="1231"/>
      <c r="BI223" s="1231"/>
      <c r="BJ223" s="1231"/>
      <c r="BK223" s="1231"/>
      <c r="BL223" s="1326"/>
      <c r="BM223" s="1231"/>
      <c r="BN223" s="1231"/>
      <c r="BO223" s="1231"/>
      <c r="BP223" s="1231"/>
      <c r="BQ223" s="1326"/>
      <c r="BR223" s="1231"/>
      <c r="BS223" s="1231"/>
      <c r="BT223" s="1231"/>
      <c r="BU223" s="1231"/>
      <c r="BV223" s="1326"/>
      <c r="BW223" s="1231"/>
      <c r="BX223" s="1231"/>
      <c r="BY223" s="1231"/>
      <c r="BZ223" s="1231"/>
      <c r="CA223" s="1326"/>
      <c r="CB223" s="1231"/>
      <c r="CC223" s="1231"/>
      <c r="CD223" s="1231"/>
      <c r="CE223" s="1231"/>
      <c r="CF223" s="1326"/>
      <c r="CG223" s="1231"/>
      <c r="CH223" s="1231"/>
      <c r="CI223" s="1231"/>
      <c r="CJ223" s="1231"/>
      <c r="CK223" s="1326"/>
      <c r="CL223" s="1231"/>
      <c r="CM223" s="1231"/>
      <c r="CN223" s="1231"/>
      <c r="CO223" s="1231"/>
      <c r="CP223" s="1326"/>
      <c r="CQ223" s="1231"/>
      <c r="CR223" s="1231"/>
      <c r="CS223" s="1231"/>
      <c r="CT223" s="1231"/>
      <c r="CU223" s="1326"/>
      <c r="CV223" s="1231"/>
      <c r="CW223" s="1231"/>
      <c r="CX223" s="1231"/>
      <c r="CY223" s="1231"/>
      <c r="CZ223" s="1326"/>
      <c r="DA223" s="1231"/>
      <c r="DB223" s="1231"/>
      <c r="DC223" s="1231"/>
      <c r="DD223" s="1231"/>
      <c r="DE223" s="1326"/>
      <c r="DF223" s="1231"/>
      <c r="DG223" s="1231"/>
      <c r="DH223" s="1231"/>
      <c r="DI223" s="1231"/>
      <c r="DJ223" s="1326"/>
      <c r="DK223" s="1231"/>
      <c r="DL223" s="1231"/>
      <c r="DM223" s="1231"/>
      <c r="DN223" s="1231"/>
      <c r="DO223" s="1326"/>
      <c r="DP223" s="1231"/>
      <c r="DQ223" s="1231"/>
      <c r="DR223" s="1231"/>
      <c r="DS223" s="1231"/>
      <c r="DT223" s="1326"/>
      <c r="DU223" s="1231"/>
      <c r="DV223" s="1231"/>
      <c r="DW223" s="1231"/>
      <c r="DX223" s="1231"/>
      <c r="DY223" s="1326"/>
    </row>
    <row r="224" spans="1:129" x14ac:dyDescent="0.2">
      <c r="A224" s="1223"/>
      <c r="B224" s="1190" t="s">
        <v>1156</v>
      </c>
      <c r="C224" s="1182"/>
      <c r="D224" s="1182"/>
      <c r="E224" s="1182"/>
      <c r="F224" s="1182"/>
      <c r="G224" s="1182"/>
      <c r="H224" s="1182"/>
      <c r="I224" s="1182"/>
      <c r="J224" s="1182"/>
      <c r="K224" s="1182"/>
      <c r="L224" s="1182"/>
      <c r="M224" s="1182"/>
      <c r="N224" s="1182"/>
      <c r="O224" s="1182"/>
      <c r="P224" s="1182"/>
      <c r="Q224" s="1182"/>
      <c r="R224" s="1182"/>
      <c r="S224" s="1182"/>
      <c r="T224" s="1182"/>
      <c r="U224" s="1182"/>
      <c r="V224" s="1182"/>
      <c r="W224" s="1182"/>
      <c r="X224" s="1227"/>
      <c r="Y224" s="1231"/>
      <c r="Z224" s="1231"/>
      <c r="AA224" s="1231"/>
      <c r="AB224" s="1231"/>
      <c r="AC224" s="1227"/>
      <c r="AD224" s="1231"/>
      <c r="AE224" s="1231"/>
      <c r="AF224" s="1231"/>
      <c r="AG224" s="1231"/>
      <c r="AH224" s="1227"/>
      <c r="AI224" s="1231"/>
      <c r="AJ224" s="1231"/>
      <c r="AK224" s="1231"/>
      <c r="AL224" s="1231"/>
      <c r="AM224" s="1227"/>
      <c r="AN224" s="1231"/>
      <c r="AO224" s="1231"/>
      <c r="AP224" s="1231"/>
      <c r="AQ224" s="1231"/>
      <c r="AR224" s="1227"/>
      <c r="AS224" s="1231"/>
      <c r="AT224" s="1231"/>
      <c r="AU224" s="1231"/>
      <c r="AV224" s="1231"/>
      <c r="AW224" s="1227"/>
      <c r="AX224" s="1231"/>
      <c r="AY224" s="1231"/>
      <c r="AZ224" s="1231"/>
      <c r="BA224" s="1231"/>
      <c r="BB224" s="1227"/>
      <c r="BC224" s="1231"/>
      <c r="BD224" s="1231"/>
      <c r="BE224" s="1231"/>
      <c r="BF224" s="1231"/>
      <c r="BG224" s="1227"/>
      <c r="BH224" s="1231"/>
      <c r="BI224" s="1231"/>
      <c r="BJ224" s="1231"/>
      <c r="BK224" s="1231"/>
      <c r="BL224" s="1326">
        <f>-(AVERAGE(BL220,BL222))*(BL218)</f>
        <v>-42.875</v>
      </c>
      <c r="BM224" s="1231"/>
      <c r="BN224" s="1231"/>
      <c r="BO224" s="1231"/>
      <c r="BP224" s="1231"/>
      <c r="BQ224" s="1326">
        <f>-(AVERAGE(BQ220,BQ222))*(BQ218)</f>
        <v>-42.875</v>
      </c>
      <c r="BR224" s="1231"/>
      <c r="BS224" s="1231"/>
      <c r="BT224" s="1231"/>
      <c r="BU224" s="1231"/>
      <c r="BV224" s="1326">
        <f>-(AVERAGE(BV220,BV222))*(BV218)</f>
        <v>-42.875</v>
      </c>
      <c r="BW224" s="1231"/>
      <c r="BX224" s="1231"/>
      <c r="BY224" s="1231"/>
      <c r="BZ224" s="1231"/>
      <c r="CA224" s="1326"/>
      <c r="CB224" s="1223">
        <f>-(AVERAGE(CB222,CB220))*(CB218/4)</f>
        <v>0</v>
      </c>
      <c r="CC224" s="1223">
        <f>-(AVERAGE(CC222,CC220))*(CC218/4)</f>
        <v>0</v>
      </c>
      <c r="CD224" s="1223">
        <f>-(AVERAGE(CD222,CD220))*(CD218/4)</f>
        <v>0</v>
      </c>
      <c r="CE224" s="1223">
        <f>-(AVERAGE(CE222,CE220))*(CE218/4)</f>
        <v>0</v>
      </c>
      <c r="CF224" s="1326"/>
      <c r="CG224" s="1223"/>
      <c r="CH224" s="1223"/>
      <c r="CI224" s="1223"/>
      <c r="CJ224" s="1223"/>
      <c r="CK224" s="1326"/>
      <c r="CL224" s="1223"/>
      <c r="CM224" s="1223"/>
      <c r="CN224" s="1223"/>
      <c r="CO224" s="1223">
        <f>-(AVERAGE(CO222,CO220))*(CO218/4)*1/3</f>
        <v>-2.0833333333333335</v>
      </c>
      <c r="CP224" s="1326">
        <f>SUM(CL224:CO224)</f>
        <v>-2.0833333333333335</v>
      </c>
      <c r="CQ224" s="1223">
        <f>-(AVERAGE(CQ222,CQ220))*(CQ218/4)</f>
        <v>-12.5</v>
      </c>
      <c r="CR224" s="1223">
        <f>-(AVERAGE(CR222,CR220))*(CR218/4)</f>
        <v>-12.5</v>
      </c>
      <c r="CS224" s="1223">
        <f>-(AVERAGE(CS222,CS220))*(CS218/4)</f>
        <v>-12.5</v>
      </c>
      <c r="CT224" s="1223">
        <f>-(AVERAGE(CT222,CT220))*(CT218/4)</f>
        <v>-12.5</v>
      </c>
      <c r="CU224" s="1326">
        <f>SUM(CQ224:CT224)</f>
        <v>-50</v>
      </c>
      <c r="CV224" s="1223">
        <f>-(AVERAGE(CV222,CV220))*(CV218/4)</f>
        <v>-12.5</v>
      </c>
      <c r="CW224" s="1223">
        <f>-(AVERAGE(CW222,CW220))*(CW218/4)</f>
        <v>-12.5</v>
      </c>
      <c r="CX224" s="1223">
        <f>-(AVERAGE(CX222,CX220))*(CX218/4)</f>
        <v>-12.5</v>
      </c>
      <c r="CY224" s="1223">
        <f>-(AVERAGE(CY222,CY220))*(CY218/4)</f>
        <v>-12.5</v>
      </c>
      <c r="CZ224" s="1326">
        <f>SUM(CV224:CY224)</f>
        <v>-50</v>
      </c>
      <c r="DA224" s="1223">
        <f>-(AVERAGE(DA222,DA220))*(DA218/4)</f>
        <v>-12.5</v>
      </c>
      <c r="DB224" s="1223">
        <f>-(AVERAGE(DB222,DB220))*(DB218/4)</f>
        <v>-12.5</v>
      </c>
      <c r="DC224" s="1223">
        <f>-(AVERAGE(DC222,DC220))*(DC218/4)</f>
        <v>-12.5</v>
      </c>
      <c r="DD224" s="1223">
        <f>-(AVERAGE(DD222,DD220))*(DD218/4)</f>
        <v>-12.5</v>
      </c>
      <c r="DE224" s="1326">
        <f>SUM(DA224:DD224)</f>
        <v>-50</v>
      </c>
      <c r="DF224" s="1223">
        <f>-(AVERAGE(DF222,DF220))*(DF218/4)</f>
        <v>-12.5</v>
      </c>
      <c r="DG224" s="1223">
        <f>-(AVERAGE(DG222,DG220))*(DG218/4)</f>
        <v>-12.5</v>
      </c>
      <c r="DH224" s="1223">
        <f>-(AVERAGE(DH222,DH220))*(DH218/4)</f>
        <v>-12.5</v>
      </c>
      <c r="DI224" s="1223">
        <f>-(AVERAGE(DI222,DI220))*(DI218/4)</f>
        <v>-12.5</v>
      </c>
      <c r="DJ224" s="1326">
        <f>SUM(DF224:DI224)</f>
        <v>-50</v>
      </c>
      <c r="DK224" s="1223">
        <f>-(AVERAGE(DK222,DK220))*(DK218/4)</f>
        <v>-12.5</v>
      </c>
      <c r="DL224" s="1223">
        <f>-(AVERAGE(DL222,DL220))*(DL218/4)</f>
        <v>-12.5</v>
      </c>
      <c r="DM224" s="1223">
        <f>-(AVERAGE(DM222,DM220))*(DM218/4)</f>
        <v>-12.5</v>
      </c>
      <c r="DN224" s="1223">
        <f>-(AVERAGE(DN222,DN220))*(DN218/4)</f>
        <v>-12.5</v>
      </c>
      <c r="DO224" s="1326">
        <f>SUM(DK224:DN224)</f>
        <v>-50</v>
      </c>
      <c r="DP224" s="1223">
        <f>-(AVERAGE(DP222,DP220))*(DP218/4)</f>
        <v>-12.5</v>
      </c>
      <c r="DQ224" s="1223">
        <f>-(AVERAGE(DQ222,DQ220))*(DQ218/4)</f>
        <v>-12.5</v>
      </c>
      <c r="DR224" s="1223">
        <f>-(AVERAGE(DR222,DR220))*(DR218/4)</f>
        <v>-12.5</v>
      </c>
      <c r="DS224" s="1223">
        <f>-(AVERAGE(DS222,DS220))*(DS218/4)</f>
        <v>-12.5</v>
      </c>
      <c r="DT224" s="1326">
        <f>SUM(DP224:DS224)</f>
        <v>-50</v>
      </c>
      <c r="DU224" s="1223">
        <f>-(AVERAGE(DU222,DU220))*(DU218/4)</f>
        <v>-12.5</v>
      </c>
      <c r="DV224" s="1223">
        <f>-(AVERAGE(DV222,DV220))*(DV218/4)</f>
        <v>-12.5</v>
      </c>
      <c r="DW224" s="1223">
        <f>-(AVERAGE(DW222,DW220))*(DW218/4)</f>
        <v>-12.5</v>
      </c>
      <c r="DX224" s="1223">
        <f>-(AVERAGE(DX222,DX220))*(DX218/4)</f>
        <v>-12.5</v>
      </c>
      <c r="DY224" s="1326">
        <f>SUM(DU224:DX224)</f>
        <v>-50</v>
      </c>
    </row>
    <row r="225" spans="1:129" ht="12" thickBot="1" x14ac:dyDescent="0.25">
      <c r="A225" s="1223"/>
      <c r="B225" s="1250" t="s">
        <v>1157</v>
      </c>
      <c r="C225" s="1251"/>
      <c r="D225" s="1251"/>
      <c r="E225" s="1251"/>
      <c r="F225" s="1251"/>
      <c r="G225" s="1251"/>
      <c r="H225" s="1251"/>
      <c r="I225" s="1251"/>
      <c r="J225" s="1251"/>
      <c r="K225" s="1251"/>
      <c r="L225" s="1251"/>
      <c r="M225" s="1251"/>
      <c r="N225" s="1251"/>
      <c r="O225" s="1251"/>
      <c r="P225" s="1251"/>
      <c r="Q225" s="1251"/>
      <c r="R225" s="1251"/>
      <c r="S225" s="1251"/>
      <c r="T225" s="1251"/>
      <c r="U225" s="1251"/>
      <c r="V225" s="1251"/>
      <c r="W225" s="1251"/>
      <c r="X225" s="1252"/>
      <c r="Y225" s="1251"/>
      <c r="Z225" s="1251"/>
      <c r="AA225" s="1251"/>
      <c r="AB225" s="1251"/>
      <c r="AC225" s="1252"/>
      <c r="AD225" s="1251"/>
      <c r="AE225" s="1251"/>
      <c r="AF225" s="1251"/>
      <c r="AG225" s="1251"/>
      <c r="AH225" s="1252"/>
      <c r="AI225" s="1251"/>
      <c r="AJ225" s="1251"/>
      <c r="AK225" s="1251"/>
      <c r="AL225" s="1251"/>
      <c r="AM225" s="1252"/>
      <c r="AN225" s="1251"/>
      <c r="AO225" s="1251"/>
      <c r="AP225" s="1251"/>
      <c r="AQ225" s="1253"/>
      <c r="AR225" s="1252"/>
      <c r="AS225" s="1253"/>
      <c r="AT225" s="1253"/>
      <c r="AU225" s="1253"/>
      <c r="AV225" s="1253"/>
      <c r="AW225" s="1252"/>
      <c r="AX225" s="1253"/>
      <c r="AY225" s="1253"/>
      <c r="AZ225" s="1253"/>
      <c r="BA225" s="1253"/>
      <c r="BB225" s="1252"/>
      <c r="BC225" s="1253"/>
      <c r="BD225" s="1253"/>
      <c r="BE225" s="1253"/>
      <c r="BF225" s="1253"/>
      <c r="BG225" s="1252"/>
      <c r="BH225" s="1253"/>
      <c r="BI225" s="1253"/>
      <c r="BJ225" s="1253"/>
      <c r="BK225" s="1253"/>
      <c r="BL225" s="1327"/>
      <c r="BM225" s="1253"/>
      <c r="BN225" s="1253"/>
      <c r="BO225" s="1253"/>
      <c r="BP225" s="1253"/>
      <c r="BQ225" s="1327"/>
      <c r="BR225" s="1253"/>
      <c r="BS225" s="1253"/>
      <c r="BT225" s="1253"/>
      <c r="BU225" s="1253"/>
      <c r="BV225" s="1327"/>
      <c r="BW225" s="1253"/>
      <c r="BX225" s="1253"/>
      <c r="BY225" s="1253"/>
      <c r="BZ225" s="1253"/>
      <c r="CA225" s="1327"/>
      <c r="CB225" s="1253">
        <f>-CB217*CB223/4</f>
        <v>0</v>
      </c>
      <c r="CC225" s="1253">
        <f>-CC217*CC223/4</f>
        <v>0</v>
      </c>
      <c r="CD225" s="1253">
        <f>-CD217*CD223/4</f>
        <v>0</v>
      </c>
      <c r="CE225" s="1253">
        <f>-CE217*CE223/4</f>
        <v>0</v>
      </c>
      <c r="CF225" s="1327"/>
      <c r="CG225" s="1253"/>
      <c r="CH225" s="1253"/>
      <c r="CI225" s="1253"/>
      <c r="CJ225" s="1253"/>
      <c r="CK225" s="1327"/>
      <c r="CL225" s="1253"/>
      <c r="CM225" s="1253"/>
      <c r="CN225" s="1253"/>
      <c r="CO225" s="1253">
        <f>-CO217*CO223/4</f>
        <v>0</v>
      </c>
      <c r="CP225" s="1327"/>
      <c r="CQ225" s="1253">
        <f>-CQ217*CQ223/4</f>
        <v>0</v>
      </c>
      <c r="CR225" s="1253">
        <f>-CR217*CR223/4</f>
        <v>0</v>
      </c>
      <c r="CS225" s="1253">
        <f>-CS217*CS223/4</f>
        <v>0</v>
      </c>
      <c r="CT225" s="1253">
        <f>-CT217*CT223/4</f>
        <v>0</v>
      </c>
      <c r="CU225" s="1327"/>
      <c r="CV225" s="1253">
        <f>-CV217*CV223/4</f>
        <v>0</v>
      </c>
      <c r="CW225" s="1253">
        <f>-CW217*CW223/4</f>
        <v>0</v>
      </c>
      <c r="CX225" s="1253">
        <f>-CX217*CX223/4</f>
        <v>0</v>
      </c>
      <c r="CY225" s="1253">
        <f>-CY217*CY223/4</f>
        <v>0</v>
      </c>
      <c r="CZ225" s="1327"/>
      <c r="DA225" s="1253">
        <f>-DA217*DA223/4</f>
        <v>0</v>
      </c>
      <c r="DB225" s="1253">
        <f>-DB217*DB223/4</f>
        <v>0</v>
      </c>
      <c r="DC225" s="1253">
        <f>-DC217*DC223/4</f>
        <v>0</v>
      </c>
      <c r="DD225" s="1253">
        <f>-DD217*DD223/4</f>
        <v>0</v>
      </c>
      <c r="DE225" s="1327"/>
      <c r="DF225" s="1253">
        <f>-DF217*DF223/4</f>
        <v>0</v>
      </c>
      <c r="DG225" s="1253">
        <f>-DG217*DG223/4</f>
        <v>0</v>
      </c>
      <c r="DH225" s="1253">
        <f>-DH217*DH223/4</f>
        <v>0</v>
      </c>
      <c r="DI225" s="1253">
        <f>-DI217*DI223/4</f>
        <v>0</v>
      </c>
      <c r="DJ225" s="1327"/>
      <c r="DK225" s="1253">
        <f>-DK217*DK223/4</f>
        <v>0</v>
      </c>
      <c r="DL225" s="1253">
        <f>-DL217*DL223/4</f>
        <v>0</v>
      </c>
      <c r="DM225" s="1253">
        <f>-DM217*DM223/4</f>
        <v>0</v>
      </c>
      <c r="DN225" s="1253">
        <f>-DN217*DN223/4</f>
        <v>0</v>
      </c>
      <c r="DO225" s="1327"/>
      <c r="DP225" s="1253">
        <f>-DP217*DP223/4</f>
        <v>0</v>
      </c>
      <c r="DQ225" s="1253">
        <f>-DQ217*DQ223/4</f>
        <v>0</v>
      </c>
      <c r="DR225" s="1253">
        <f>-DR217*DR223/4</f>
        <v>0</v>
      </c>
      <c r="DS225" s="1253">
        <f>-DS217*DS223/4</f>
        <v>0</v>
      </c>
      <c r="DT225" s="1327"/>
      <c r="DU225" s="1253">
        <f>-DU217*DU223/4</f>
        <v>0</v>
      </c>
      <c r="DV225" s="1253">
        <f>-DV217*DV223/4</f>
        <v>0</v>
      </c>
      <c r="DW225" s="1253">
        <f>-DW217*DW223/4</f>
        <v>0</v>
      </c>
      <c r="DX225" s="1253">
        <f>-DX217*DX223/4</f>
        <v>0</v>
      </c>
      <c r="DY225" s="1327"/>
    </row>
    <row r="226" spans="1:129" ht="12" thickBot="1" x14ac:dyDescent="0.25">
      <c r="A226" s="1223"/>
      <c r="B226" s="1231"/>
      <c r="C226" s="1182"/>
      <c r="D226" s="1182"/>
      <c r="E226" s="1182"/>
      <c r="F226" s="1182"/>
      <c r="G226" s="1182"/>
      <c r="H226" s="1182"/>
      <c r="I226" s="1182"/>
      <c r="J226" s="1182"/>
      <c r="K226" s="1182"/>
      <c r="L226" s="1182"/>
      <c r="M226" s="1182"/>
      <c r="N226" s="1182"/>
      <c r="O226" s="1182"/>
      <c r="P226" s="1182"/>
      <c r="Q226" s="1182"/>
      <c r="R226" s="1182"/>
      <c r="S226" s="1182"/>
      <c r="T226" s="1182"/>
      <c r="U226" s="1182"/>
      <c r="V226" s="1182"/>
      <c r="W226" s="1182"/>
      <c r="X226" s="1231"/>
      <c r="Y226" s="1182"/>
      <c r="Z226" s="1182"/>
      <c r="AA226" s="1182"/>
      <c r="AB226" s="1182"/>
      <c r="AC226" s="1231"/>
      <c r="AD226" s="1182"/>
      <c r="AE226" s="1182"/>
      <c r="AF226" s="1182"/>
      <c r="AG226" s="1182"/>
      <c r="AH226" s="1231"/>
      <c r="AI226" s="1182"/>
      <c r="AJ226" s="1182"/>
      <c r="AK226" s="1182"/>
      <c r="AL226" s="1182"/>
      <c r="AM226" s="1231"/>
      <c r="AN226" s="1182"/>
      <c r="AO226" s="1182"/>
      <c r="AP226" s="1182"/>
      <c r="AQ226" s="1231"/>
      <c r="AR226" s="1231"/>
      <c r="AS226" s="1231"/>
      <c r="AT226" s="1231"/>
      <c r="AU226" s="1231"/>
      <c r="AV226" s="1231"/>
      <c r="AW226" s="1231"/>
      <c r="AX226" s="1231"/>
      <c r="AY226" s="1231"/>
      <c r="AZ226" s="1231"/>
      <c r="BA226" s="1231"/>
      <c r="BB226" s="1231"/>
      <c r="BC226" s="1231"/>
      <c r="BD226" s="1231"/>
      <c r="BE226" s="1231"/>
      <c r="BF226" s="1231"/>
      <c r="BG226" s="1231"/>
      <c r="BH226" s="1231"/>
      <c r="BI226" s="1231"/>
      <c r="BJ226" s="1231"/>
      <c r="BK226" s="1231"/>
      <c r="BL226" s="1231"/>
      <c r="BM226" s="1231"/>
      <c r="BN226" s="1231"/>
      <c r="BO226" s="1231"/>
      <c r="BP226" s="1231"/>
      <c r="BQ226" s="1231"/>
      <c r="BR226" s="1231"/>
      <c r="BS226" s="1231"/>
      <c r="BT226" s="1231"/>
      <c r="BU226" s="1231"/>
      <c r="BV226" s="1231"/>
      <c r="BW226" s="1231"/>
      <c r="BX226" s="1231"/>
      <c r="BY226" s="1231"/>
      <c r="BZ226" s="1231"/>
      <c r="CA226" s="1231"/>
      <c r="CB226" s="1231"/>
      <c r="CC226" s="1231"/>
      <c r="CD226" s="1231"/>
      <c r="CE226" s="1231"/>
      <c r="CF226" s="1231"/>
      <c r="CG226" s="1231"/>
      <c r="CH226" s="1231"/>
      <c r="CI226" s="1231"/>
      <c r="CJ226" s="1231"/>
      <c r="CK226" s="1231"/>
      <c r="CL226" s="1231"/>
      <c r="CM226" s="1231"/>
      <c r="CN226" s="1231"/>
      <c r="CO226" s="1231"/>
      <c r="CP226" s="1231"/>
      <c r="CQ226" s="1231"/>
      <c r="CR226" s="1231"/>
      <c r="CS226" s="1231"/>
      <c r="CT226" s="1231"/>
      <c r="CU226" s="1231"/>
      <c r="CV226" s="1231"/>
      <c r="CW226" s="1231"/>
      <c r="CX226" s="1231"/>
      <c r="CY226" s="1231"/>
      <c r="CZ226" s="1231"/>
      <c r="DA226" s="1231"/>
      <c r="DB226" s="1231"/>
      <c r="DC226" s="1231"/>
      <c r="DD226" s="1231"/>
      <c r="DE226" s="1231"/>
      <c r="DF226" s="1231"/>
      <c r="DG226" s="1231"/>
      <c r="DH226" s="1231"/>
      <c r="DI226" s="1231"/>
      <c r="DJ226" s="1231"/>
      <c r="DK226" s="1231"/>
      <c r="DL226" s="1231"/>
      <c r="DM226" s="1231"/>
      <c r="DN226" s="1231"/>
      <c r="DO226" s="1231"/>
      <c r="DP226" s="1231"/>
      <c r="DQ226" s="1231"/>
      <c r="DR226" s="1231"/>
      <c r="DS226" s="1231"/>
      <c r="DT226" s="1231"/>
      <c r="DU226" s="1231"/>
      <c r="DV226" s="1231"/>
      <c r="DW226" s="1231"/>
      <c r="DX226" s="1231"/>
      <c r="DY226" s="1231"/>
    </row>
    <row r="227" spans="1:129" ht="12" thickBot="1" x14ac:dyDescent="0.25">
      <c r="A227" s="1123"/>
      <c r="B227" s="1282" t="s">
        <v>1266</v>
      </c>
      <c r="C227" s="1328"/>
      <c r="D227" s="1329"/>
      <c r="E227" s="1329"/>
      <c r="F227" s="1329"/>
      <c r="G227" s="1329"/>
      <c r="H227" s="1329"/>
      <c r="I227" s="1329"/>
      <c r="J227" s="1329"/>
      <c r="K227" s="1329"/>
      <c r="L227" s="1329"/>
      <c r="M227" s="1329"/>
      <c r="N227" s="1329"/>
      <c r="O227" s="1329"/>
      <c r="P227" s="1329"/>
      <c r="Q227" s="1329"/>
      <c r="R227" s="1329"/>
      <c r="S227" s="1329"/>
      <c r="T227" s="1329"/>
      <c r="U227" s="1329"/>
      <c r="V227" s="1329"/>
      <c r="W227" s="1329"/>
      <c r="X227" s="1328"/>
      <c r="Y227" s="1328"/>
      <c r="Z227" s="1328"/>
      <c r="AA227" s="1328"/>
      <c r="AB227" s="1328"/>
      <c r="AC227" s="1328"/>
      <c r="AD227" s="1328"/>
      <c r="AE227" s="1328"/>
      <c r="AF227" s="1328"/>
      <c r="AG227" s="1328"/>
      <c r="AH227" s="1328"/>
      <c r="AI227" s="1328"/>
      <c r="AJ227" s="1328"/>
      <c r="AK227" s="1328"/>
      <c r="AL227" s="1328"/>
      <c r="AM227" s="1328"/>
      <c r="AN227" s="1328"/>
      <c r="AO227" s="1328"/>
      <c r="AP227" s="1328"/>
      <c r="AQ227" s="1330"/>
      <c r="AR227" s="1330"/>
      <c r="AS227" s="1330"/>
      <c r="AT227" s="1331"/>
      <c r="AU227" s="1331"/>
      <c r="AV227" s="1331"/>
      <c r="AW227" s="1330"/>
      <c r="AX227" s="1330"/>
      <c r="AY227" s="1330"/>
      <c r="AZ227" s="1330"/>
      <c r="BA227" s="1330"/>
      <c r="BB227" s="1330"/>
      <c r="BC227" s="1330"/>
      <c r="BD227" s="1330"/>
      <c r="BE227" s="1330"/>
      <c r="BF227" s="1330"/>
      <c r="BG227" s="1330"/>
      <c r="BH227" s="1330"/>
      <c r="BI227" s="1330"/>
      <c r="BJ227" s="1330"/>
      <c r="BK227" s="1330"/>
      <c r="BL227" s="1332"/>
      <c r="BM227" s="1330"/>
      <c r="BN227" s="1330"/>
      <c r="BO227" s="1330"/>
      <c r="BP227" s="1330"/>
      <c r="BQ227" s="1332"/>
      <c r="BR227" s="1330"/>
      <c r="BS227" s="1330"/>
      <c r="BT227" s="1330"/>
      <c r="BU227" s="1330"/>
      <c r="BV227" s="1332"/>
      <c r="BW227" s="1330"/>
      <c r="BX227" s="1330"/>
      <c r="BY227" s="1330"/>
      <c r="BZ227" s="1330"/>
      <c r="CA227" s="1332"/>
      <c r="CB227" s="1330"/>
      <c r="CC227" s="1330"/>
      <c r="CD227" s="1330"/>
      <c r="CE227" s="1330"/>
      <c r="CF227" s="1332"/>
      <c r="CG227" s="1330"/>
      <c r="CH227" s="1330"/>
      <c r="CI227" s="1330"/>
      <c r="CJ227" s="1330"/>
      <c r="CK227" s="1332"/>
      <c r="CL227" s="1330"/>
      <c r="CM227" s="1330"/>
      <c r="CN227" s="1330"/>
      <c r="CO227" s="1330"/>
      <c r="CP227" s="1332"/>
      <c r="CQ227" s="1330"/>
      <c r="CR227" s="1330"/>
      <c r="CS227" s="1330"/>
      <c r="CT227" s="1330"/>
      <c r="CU227" s="1332"/>
      <c r="CV227" s="1330"/>
      <c r="CW227" s="1330"/>
      <c r="CX227" s="1330"/>
      <c r="CY227" s="1330"/>
      <c r="CZ227" s="1332"/>
      <c r="DA227" s="1330"/>
      <c r="DB227" s="1330"/>
      <c r="DC227" s="1330"/>
      <c r="DD227" s="1330"/>
      <c r="DE227" s="1332"/>
      <c r="DF227" s="1330"/>
      <c r="DG227" s="1330"/>
      <c r="DH227" s="1330"/>
      <c r="DI227" s="1330"/>
      <c r="DJ227" s="1332"/>
      <c r="DK227" s="1330"/>
      <c r="DL227" s="1330"/>
      <c r="DM227" s="1330"/>
      <c r="DN227" s="1330"/>
      <c r="DO227" s="1332"/>
      <c r="DP227" s="1330"/>
      <c r="DQ227" s="1330"/>
      <c r="DR227" s="1330"/>
      <c r="DS227" s="1330"/>
      <c r="DT227" s="1332"/>
      <c r="DU227" s="1330"/>
      <c r="DV227" s="1330"/>
      <c r="DW227" s="1330"/>
      <c r="DX227" s="1330"/>
      <c r="DY227" s="1332"/>
    </row>
    <row r="228" spans="1:129" x14ac:dyDescent="0.2">
      <c r="A228" s="532"/>
      <c r="B228" s="1287" t="s">
        <v>1149</v>
      </c>
      <c r="C228" s="650"/>
      <c r="D228" s="650"/>
      <c r="E228" s="650"/>
      <c r="F228" s="650"/>
      <c r="G228" s="650"/>
      <c r="H228" s="650"/>
      <c r="I228" s="650"/>
      <c r="J228" s="650"/>
      <c r="K228" s="650"/>
      <c r="L228" s="650"/>
      <c r="M228" s="650"/>
      <c r="N228" s="650"/>
      <c r="O228" s="650"/>
      <c r="P228" s="650"/>
      <c r="Q228" s="650"/>
      <c r="R228" s="650"/>
      <c r="S228" s="650"/>
      <c r="T228" s="650"/>
      <c r="U228" s="650"/>
      <c r="V228" s="650"/>
      <c r="W228" s="650"/>
      <c r="X228" s="1288"/>
      <c r="Y228" s="650"/>
      <c r="Z228" s="650"/>
      <c r="AA228" s="650"/>
      <c r="AB228" s="650"/>
      <c r="AC228" s="1288"/>
      <c r="AD228" s="650"/>
      <c r="AE228" s="650"/>
      <c r="AF228" s="650"/>
      <c r="AG228" s="650"/>
      <c r="AH228" s="1288"/>
      <c r="AI228" s="650"/>
      <c r="AJ228" s="650"/>
      <c r="AK228" s="650"/>
      <c r="AL228" s="650"/>
      <c r="AM228" s="1288"/>
      <c r="AN228" s="650"/>
      <c r="AO228" s="650"/>
      <c r="AP228" s="650"/>
      <c r="AQ228" s="650"/>
      <c r="AR228" s="1288"/>
      <c r="AS228" s="650"/>
      <c r="AT228" s="650"/>
      <c r="AU228" s="650"/>
      <c r="AV228" s="650"/>
      <c r="AW228" s="1288"/>
      <c r="AX228" s="650"/>
      <c r="AY228" s="650"/>
      <c r="AZ228" s="650"/>
      <c r="BA228" s="650"/>
      <c r="BB228" s="1288"/>
      <c r="BC228" s="650"/>
      <c r="BD228" s="650"/>
      <c r="BE228" s="650"/>
      <c r="BF228" s="650"/>
      <c r="BG228" s="1288"/>
      <c r="BH228" s="650"/>
      <c r="BI228" s="650"/>
      <c r="BJ228" s="650"/>
      <c r="BK228" s="650"/>
      <c r="BL228" s="583"/>
      <c r="BM228" s="650"/>
      <c r="BN228" s="650"/>
      <c r="BO228" s="650"/>
      <c r="BP228" s="650"/>
      <c r="BQ228" s="583"/>
      <c r="BR228" s="650"/>
      <c r="BS228" s="650"/>
      <c r="BT228" s="650"/>
      <c r="BU228" s="650"/>
      <c r="BV228" s="583"/>
      <c r="BW228" s="650"/>
      <c r="BX228" s="650"/>
      <c r="BY228" s="650"/>
      <c r="BZ228" s="650"/>
      <c r="CA228" s="583"/>
      <c r="CB228" s="650"/>
      <c r="CC228" s="650"/>
      <c r="CD228" s="650"/>
      <c r="CE228" s="650"/>
      <c r="CF228" s="583"/>
      <c r="CG228" s="650"/>
      <c r="CH228" s="650"/>
      <c r="CI228" s="650"/>
      <c r="CJ228" s="650"/>
      <c r="CK228" s="583"/>
      <c r="CL228" s="650"/>
      <c r="CM228" s="650"/>
      <c r="CN228" s="650"/>
      <c r="CO228" s="650"/>
      <c r="CP228" s="583"/>
      <c r="CQ228" s="650"/>
      <c r="CR228" s="650"/>
      <c r="CS228" s="650"/>
      <c r="CT228" s="650"/>
      <c r="CU228" s="583"/>
      <c r="CV228" s="650"/>
      <c r="CW228" s="650"/>
      <c r="CX228" s="650"/>
      <c r="CY228" s="650"/>
      <c r="CZ228" s="583"/>
      <c r="DA228" s="650"/>
      <c r="DB228" s="650"/>
      <c r="DC228" s="650"/>
      <c r="DD228" s="650"/>
      <c r="DE228" s="583"/>
      <c r="DF228" s="650"/>
      <c r="DG228" s="650"/>
      <c r="DH228" s="650"/>
      <c r="DI228" s="650"/>
      <c r="DJ228" s="583"/>
      <c r="DK228" s="650"/>
      <c r="DL228" s="650"/>
      <c r="DM228" s="650"/>
      <c r="DN228" s="650"/>
      <c r="DO228" s="583"/>
      <c r="DP228" s="650"/>
      <c r="DQ228" s="650"/>
      <c r="DR228" s="650"/>
      <c r="DS228" s="650"/>
      <c r="DT228" s="583"/>
      <c r="DU228" s="650"/>
      <c r="DV228" s="650"/>
      <c r="DW228" s="650"/>
      <c r="DX228" s="650"/>
      <c r="DY228" s="583"/>
    </row>
    <row r="229" spans="1:129" x14ac:dyDescent="0.2">
      <c r="A229" s="532"/>
      <c r="B229" s="1287" t="s">
        <v>1150</v>
      </c>
      <c r="C229" s="650"/>
      <c r="D229" s="650"/>
      <c r="E229" s="650"/>
      <c r="F229" s="650"/>
      <c r="G229" s="650"/>
      <c r="H229" s="650"/>
      <c r="I229" s="650"/>
      <c r="J229" s="650"/>
      <c r="K229" s="650"/>
      <c r="L229" s="650"/>
      <c r="M229" s="650"/>
      <c r="N229" s="650"/>
      <c r="O229" s="650"/>
      <c r="P229" s="650"/>
      <c r="Q229" s="650"/>
      <c r="R229" s="650"/>
      <c r="S229" s="650"/>
      <c r="T229" s="650"/>
      <c r="U229" s="650"/>
      <c r="V229" s="650"/>
      <c r="W229" s="650"/>
      <c r="X229" s="1288"/>
      <c r="Y229" s="650"/>
      <c r="Z229" s="650"/>
      <c r="AA229" s="650"/>
      <c r="AB229" s="650"/>
      <c r="AC229" s="1288"/>
      <c r="AD229" s="650"/>
      <c r="AE229" s="650"/>
      <c r="AF229" s="650"/>
      <c r="AG229" s="650"/>
      <c r="AH229" s="1288"/>
      <c r="AI229" s="650"/>
      <c r="AJ229" s="650"/>
      <c r="AK229" s="650"/>
      <c r="AL229" s="650"/>
      <c r="AM229" s="1288"/>
      <c r="AN229" s="650"/>
      <c r="AO229" s="650"/>
      <c r="AP229" s="650"/>
      <c r="AQ229" s="650"/>
      <c r="AR229" s="1288"/>
      <c r="AS229" s="650"/>
      <c r="AT229" s="650"/>
      <c r="AU229" s="650"/>
      <c r="AV229" s="650"/>
      <c r="AW229" s="1288"/>
      <c r="AX229" s="650"/>
      <c r="AY229" s="650"/>
      <c r="AZ229" s="650"/>
      <c r="BA229" s="650"/>
      <c r="BB229" s="1288"/>
      <c r="BC229" s="650"/>
      <c r="BD229" s="650"/>
      <c r="BE229" s="650"/>
      <c r="BF229" s="650"/>
      <c r="BG229" s="1289"/>
      <c r="BH229" s="650"/>
      <c r="BI229" s="650"/>
      <c r="BJ229" s="650"/>
      <c r="BK229" s="650"/>
      <c r="BL229" s="1333">
        <v>6.1249999999999999E-2</v>
      </c>
      <c r="BM229" s="650"/>
      <c r="BN229" s="650"/>
      <c r="BO229" s="650"/>
      <c r="BP229" s="650"/>
      <c r="BQ229" s="1333">
        <v>6.1249999999999999E-2</v>
      </c>
      <c r="BR229" s="650"/>
      <c r="BS229" s="650"/>
      <c r="BT229" s="650"/>
      <c r="BU229" s="650"/>
      <c r="BV229" s="1333">
        <v>6.1249999999999999E-2</v>
      </c>
      <c r="BW229" s="650"/>
      <c r="BX229" s="650"/>
      <c r="BY229" s="650"/>
      <c r="BZ229" s="650"/>
      <c r="CA229" s="1333"/>
      <c r="CB229" s="1334">
        <v>6.1249999999999999E-2</v>
      </c>
      <c r="CC229" s="1334">
        <v>6.1249999999999999E-2</v>
      </c>
      <c r="CD229" s="1334">
        <v>6.1249999999999999E-2</v>
      </c>
      <c r="CE229" s="1334">
        <v>6.1249999999999999E-2</v>
      </c>
      <c r="CF229" s="1333"/>
      <c r="CG229" s="1334"/>
      <c r="CH229" s="1334"/>
      <c r="CI229" s="1334"/>
      <c r="CJ229" s="1334"/>
      <c r="CK229" s="1333"/>
      <c r="CL229" s="1334"/>
      <c r="CM229" s="1334"/>
      <c r="CN229" s="1334"/>
      <c r="CO229" s="1334"/>
      <c r="CP229" s="1333"/>
      <c r="CQ229" s="1334"/>
      <c r="CR229" s="1334"/>
      <c r="CS229" s="1334">
        <f>CR229</f>
        <v>0</v>
      </c>
      <c r="CT229" s="1334">
        <v>2.2499999999999999E-2</v>
      </c>
      <c r="CU229" s="1333"/>
      <c r="CV229" s="1334">
        <f>CT229</f>
        <v>2.2499999999999999E-2</v>
      </c>
      <c r="CW229" s="1334">
        <f>CV229</f>
        <v>2.2499999999999999E-2</v>
      </c>
      <c r="CX229" s="1334">
        <f>CW229</f>
        <v>2.2499999999999999E-2</v>
      </c>
      <c r="CY229" s="1334">
        <f>CX229</f>
        <v>2.2499999999999999E-2</v>
      </c>
      <c r="CZ229" s="1333"/>
      <c r="DA229" s="1334">
        <f>CY229</f>
        <v>2.2499999999999999E-2</v>
      </c>
      <c r="DB229" s="1334">
        <f>DA229</f>
        <v>2.2499999999999999E-2</v>
      </c>
      <c r="DC229" s="1334">
        <f>DB229</f>
        <v>2.2499999999999999E-2</v>
      </c>
      <c r="DD229" s="1334">
        <f>DC229</f>
        <v>2.2499999999999999E-2</v>
      </c>
      <c r="DE229" s="1333"/>
      <c r="DF229" s="1334">
        <f>DD229</f>
        <v>2.2499999999999999E-2</v>
      </c>
      <c r="DG229" s="1334">
        <f>DF229</f>
        <v>2.2499999999999999E-2</v>
      </c>
      <c r="DH229" s="1334">
        <f>DG229</f>
        <v>2.2499999999999999E-2</v>
      </c>
      <c r="DI229" s="1334">
        <f>DH229</f>
        <v>2.2499999999999999E-2</v>
      </c>
      <c r="DJ229" s="1333"/>
      <c r="DK229" s="1334">
        <f>DI229</f>
        <v>2.2499999999999999E-2</v>
      </c>
      <c r="DL229" s="1334">
        <f>DK229</f>
        <v>2.2499999999999999E-2</v>
      </c>
      <c r="DM229" s="1334">
        <f>DL229</f>
        <v>2.2499999999999999E-2</v>
      </c>
      <c r="DN229" s="1334">
        <f>DM229</f>
        <v>2.2499999999999999E-2</v>
      </c>
      <c r="DO229" s="1333"/>
      <c r="DP229" s="1334">
        <f>DN229</f>
        <v>2.2499999999999999E-2</v>
      </c>
      <c r="DQ229" s="1334">
        <f>DP229</f>
        <v>2.2499999999999999E-2</v>
      </c>
      <c r="DR229" s="1334">
        <f>DQ229</f>
        <v>2.2499999999999999E-2</v>
      </c>
      <c r="DS229" s="1334">
        <f>DR229</f>
        <v>2.2499999999999999E-2</v>
      </c>
      <c r="DT229" s="1333"/>
      <c r="DU229" s="1334">
        <f>DS229</f>
        <v>2.2499999999999999E-2</v>
      </c>
      <c r="DV229" s="1334">
        <f>DU229</f>
        <v>2.2499999999999999E-2</v>
      </c>
      <c r="DW229" s="1334">
        <f>DV229</f>
        <v>2.2499999999999999E-2</v>
      </c>
      <c r="DX229" s="1334">
        <f>DW229</f>
        <v>2.2499999999999999E-2</v>
      </c>
      <c r="DY229" s="1333"/>
    </row>
    <row r="230" spans="1:129" x14ac:dyDescent="0.2">
      <c r="A230" s="1223"/>
      <c r="B230" s="1190" t="s">
        <v>1151</v>
      </c>
      <c r="C230" s="1293"/>
      <c r="D230" s="1293"/>
      <c r="E230" s="1293"/>
      <c r="F230" s="1293"/>
      <c r="G230" s="1293"/>
      <c r="H230" s="1293"/>
      <c r="I230" s="1293"/>
      <c r="J230" s="1293"/>
      <c r="K230" s="1293"/>
      <c r="L230" s="1293"/>
      <c r="M230" s="1293"/>
      <c r="N230" s="1293"/>
      <c r="O230" s="1293"/>
      <c r="P230" s="1293"/>
      <c r="Q230" s="1293"/>
      <c r="R230" s="1293"/>
      <c r="S230" s="1293"/>
      <c r="T230" s="1293"/>
      <c r="U230" s="1293"/>
      <c r="V230" s="1293"/>
      <c r="W230" s="1293"/>
      <c r="X230" s="1227"/>
      <c r="Y230" s="1231"/>
      <c r="Z230" s="1231"/>
      <c r="AA230" s="1231"/>
      <c r="AB230" s="1294"/>
      <c r="AC230" s="1227"/>
      <c r="AD230" s="1231"/>
      <c r="AE230" s="1231"/>
      <c r="AF230" s="1231"/>
      <c r="AG230" s="1294"/>
      <c r="AH230" s="1227"/>
      <c r="AI230" s="1231"/>
      <c r="AJ230" s="1231"/>
      <c r="AK230" s="1231"/>
      <c r="AL230" s="1294"/>
      <c r="AM230" s="1227"/>
      <c r="AN230" s="1231"/>
      <c r="AO230" s="1231"/>
      <c r="AP230" s="1231"/>
      <c r="AQ230" s="1294"/>
      <c r="AR230" s="1227"/>
      <c r="AS230" s="1231"/>
      <c r="AT230" s="1231"/>
      <c r="AU230" s="1231"/>
      <c r="AV230" s="1294"/>
      <c r="AW230" s="1227"/>
      <c r="AX230" s="1231"/>
      <c r="AY230" s="1231"/>
      <c r="AZ230" s="1231"/>
      <c r="BA230" s="1231"/>
      <c r="BB230" s="1227"/>
      <c r="BC230" s="1231"/>
      <c r="BD230" s="1231"/>
      <c r="BE230" s="1231"/>
      <c r="BF230" s="1231"/>
      <c r="BG230" s="1227"/>
      <c r="BH230" s="1231"/>
      <c r="BI230" s="1231"/>
      <c r="BJ230" s="1231"/>
      <c r="BK230" s="1231"/>
      <c r="BL230" s="1326"/>
      <c r="BM230" s="1231"/>
      <c r="BN230" s="1231"/>
      <c r="BO230" s="1231"/>
      <c r="BP230" s="1231"/>
      <c r="BQ230" s="1326"/>
      <c r="BR230" s="1231"/>
      <c r="BS230" s="1231"/>
      <c r="BT230" s="1231"/>
      <c r="BU230" s="1231"/>
      <c r="BV230" s="1326"/>
      <c r="BW230" s="1231"/>
      <c r="BX230" s="1231"/>
      <c r="BY230" s="1231"/>
      <c r="BZ230" s="1231"/>
      <c r="CA230" s="1326"/>
      <c r="CB230" s="1231"/>
      <c r="CC230" s="1231"/>
      <c r="CD230" s="1231"/>
      <c r="CE230" s="1231"/>
      <c r="CF230" s="1326"/>
      <c r="CG230" s="1231"/>
      <c r="CH230" s="1231"/>
      <c r="CI230" s="1231"/>
      <c r="CJ230" s="1231"/>
      <c r="CK230" s="1326"/>
      <c r="CL230" s="1231"/>
      <c r="CM230" s="1231"/>
      <c r="CN230" s="1231"/>
      <c r="CO230" s="1231"/>
      <c r="CP230" s="1326"/>
      <c r="CQ230" s="1231"/>
      <c r="CR230" s="1231"/>
      <c r="CS230" s="1231"/>
      <c r="CT230" s="1231"/>
      <c r="CU230" s="1326"/>
      <c r="CV230" s="1231"/>
      <c r="CW230" s="1231"/>
      <c r="CX230" s="1231"/>
      <c r="CY230" s="1231"/>
      <c r="CZ230" s="1326"/>
      <c r="DA230" s="1231"/>
      <c r="DB230" s="1231"/>
      <c r="DC230" s="1231"/>
      <c r="DD230" s="1231"/>
      <c r="DE230" s="1326"/>
      <c r="DF230" s="1231"/>
      <c r="DG230" s="1231"/>
      <c r="DH230" s="1231"/>
      <c r="DI230" s="1231"/>
      <c r="DJ230" s="1326"/>
      <c r="DK230" s="1231"/>
      <c r="DL230" s="1231"/>
      <c r="DM230" s="1231"/>
      <c r="DN230" s="1231"/>
      <c r="DO230" s="1326"/>
      <c r="DP230" s="1231"/>
      <c r="DQ230" s="1231"/>
      <c r="DR230" s="1231"/>
      <c r="DS230" s="1231"/>
      <c r="DT230" s="1326"/>
      <c r="DU230" s="1231"/>
      <c r="DV230" s="1231"/>
      <c r="DW230" s="1231"/>
      <c r="DX230" s="1231"/>
      <c r="DY230" s="1326"/>
    </row>
    <row r="231" spans="1:129" x14ac:dyDescent="0.2">
      <c r="A231" s="1223"/>
      <c r="B231" s="1190" t="s">
        <v>1152</v>
      </c>
      <c r="C231" s="1231"/>
      <c r="D231" s="1231"/>
      <c r="E231" s="1231"/>
      <c r="F231" s="1231"/>
      <c r="G231" s="1231"/>
      <c r="H231" s="1231"/>
      <c r="I231" s="1231"/>
      <c r="J231" s="1231"/>
      <c r="K231" s="1231"/>
      <c r="L231" s="1231"/>
      <c r="M231" s="1231"/>
      <c r="N231" s="1231"/>
      <c r="O231" s="1231"/>
      <c r="P231" s="1231"/>
      <c r="Q231" s="1231"/>
      <c r="R231" s="1231"/>
      <c r="S231" s="1231"/>
      <c r="T231" s="1231"/>
      <c r="U231" s="1231"/>
      <c r="V231" s="1231"/>
      <c r="W231" s="1231"/>
      <c r="X231" s="1227"/>
      <c r="Y231" s="1231"/>
      <c r="Z231" s="1231"/>
      <c r="AA231" s="1231"/>
      <c r="AB231" s="1231"/>
      <c r="AC231" s="1227"/>
      <c r="AD231" s="1231"/>
      <c r="AE231" s="1231"/>
      <c r="AF231" s="1231"/>
      <c r="AG231" s="1231"/>
      <c r="AH231" s="1227"/>
      <c r="AI231" s="1231"/>
      <c r="AJ231" s="1231"/>
      <c r="AK231" s="1231"/>
      <c r="AL231" s="1231"/>
      <c r="AM231" s="1227"/>
      <c r="AN231" s="1231"/>
      <c r="AO231" s="1231"/>
      <c r="AP231" s="1231"/>
      <c r="AQ231" s="1231"/>
      <c r="AR231" s="1227"/>
      <c r="AS231" s="1231"/>
      <c r="AT231" s="1231"/>
      <c r="AU231" s="1231"/>
      <c r="AV231" s="1231"/>
      <c r="AW231" s="1227"/>
      <c r="AX231" s="1231"/>
      <c r="AY231" s="1231"/>
      <c r="AZ231" s="1231"/>
      <c r="BA231" s="1231"/>
      <c r="BB231" s="1227"/>
      <c r="BC231" s="1231"/>
      <c r="BD231" s="1231"/>
      <c r="BE231" s="1231"/>
      <c r="BF231" s="1231"/>
      <c r="BG231" s="1227"/>
      <c r="BH231" s="1231"/>
      <c r="BI231" s="1231"/>
      <c r="BJ231" s="1231"/>
      <c r="BK231" s="1231"/>
      <c r="BL231" s="1326"/>
      <c r="BM231" s="1231"/>
      <c r="BN231" s="1231"/>
      <c r="BO231" s="1231"/>
      <c r="BP231" s="1231"/>
      <c r="BQ231" s="1326">
        <f>BL233</f>
        <v>700</v>
      </c>
      <c r="BR231" s="1231"/>
      <c r="BS231" s="1231"/>
      <c r="BT231" s="1231"/>
      <c r="BU231" s="1231"/>
      <c r="BV231" s="1326">
        <f>BQ233</f>
        <v>700</v>
      </c>
      <c r="BW231" s="1231"/>
      <c r="BX231" s="1231"/>
      <c r="BY231" s="1231"/>
      <c r="BZ231" s="1231"/>
      <c r="CA231" s="1326"/>
      <c r="CB231" s="1223">
        <f>CA233</f>
        <v>0</v>
      </c>
      <c r="CC231" s="1223">
        <f>+CB233</f>
        <v>0</v>
      </c>
      <c r="CD231" s="1223">
        <f>+CC233</f>
        <v>0</v>
      </c>
      <c r="CE231" s="1223">
        <f>+CD233</f>
        <v>0</v>
      </c>
      <c r="CF231" s="1326"/>
      <c r="CG231" s="1223"/>
      <c r="CH231" s="1223"/>
      <c r="CI231" s="1223"/>
      <c r="CJ231" s="1223"/>
      <c r="CK231" s="1326"/>
      <c r="CL231" s="1223"/>
      <c r="CM231" s="1223"/>
      <c r="CN231" s="1223"/>
      <c r="CO231" s="1223"/>
      <c r="CP231" s="1326"/>
      <c r="CQ231" s="1223"/>
      <c r="CR231" s="1223"/>
      <c r="CS231" s="1223">
        <f>+CR233</f>
        <v>0</v>
      </c>
      <c r="CT231" s="1223">
        <f>+CS233</f>
        <v>0</v>
      </c>
      <c r="CU231" s="1326">
        <f>CP233</f>
        <v>0</v>
      </c>
      <c r="CV231" s="1223">
        <f>CT233</f>
        <v>850</v>
      </c>
      <c r="CW231" s="1223">
        <f>+CV233</f>
        <v>850</v>
      </c>
      <c r="CX231" s="1223">
        <f>+CW233</f>
        <v>850</v>
      </c>
      <c r="CY231" s="1223">
        <f>+CX233</f>
        <v>850</v>
      </c>
      <c r="CZ231" s="1326">
        <f>CU233</f>
        <v>850</v>
      </c>
      <c r="DA231" s="1223">
        <f>+CY231</f>
        <v>850</v>
      </c>
      <c r="DB231" s="1223">
        <f>+DA233</f>
        <v>850</v>
      </c>
      <c r="DC231" s="1223">
        <f>+DB233</f>
        <v>850</v>
      </c>
      <c r="DD231" s="1223">
        <f>+DC233</f>
        <v>850</v>
      </c>
      <c r="DE231" s="1326">
        <f>CZ233</f>
        <v>850</v>
      </c>
      <c r="DF231" s="1223">
        <f>+DD231</f>
        <v>850</v>
      </c>
      <c r="DG231" s="1223">
        <f>+DF233</f>
        <v>850</v>
      </c>
      <c r="DH231" s="1223">
        <f>+DG233</f>
        <v>850</v>
      </c>
      <c r="DI231" s="1223">
        <f>+DH233</f>
        <v>850</v>
      </c>
      <c r="DJ231" s="1326">
        <f>DE233</f>
        <v>850</v>
      </c>
      <c r="DK231" s="1223">
        <f>+DI231</f>
        <v>850</v>
      </c>
      <c r="DL231" s="1223">
        <f>+DK233</f>
        <v>850</v>
      </c>
      <c r="DM231" s="1223">
        <f>+DL233</f>
        <v>850</v>
      </c>
      <c r="DN231" s="1223">
        <f>+DM233</f>
        <v>850</v>
      </c>
      <c r="DO231" s="1326">
        <f>DJ233</f>
        <v>850</v>
      </c>
      <c r="DP231" s="1223">
        <f>+DN231</f>
        <v>850</v>
      </c>
      <c r="DQ231" s="1223">
        <f>+DP233</f>
        <v>850</v>
      </c>
      <c r="DR231" s="1223">
        <f>+DQ233</f>
        <v>850</v>
      </c>
      <c r="DS231" s="1223">
        <f>+DR233</f>
        <v>850</v>
      </c>
      <c r="DT231" s="1326">
        <f>DO233</f>
        <v>850</v>
      </c>
      <c r="DU231" s="1223">
        <f>+DS231</f>
        <v>850</v>
      </c>
      <c r="DV231" s="1223">
        <f>+DU233</f>
        <v>850</v>
      </c>
      <c r="DW231" s="1223">
        <f>+DV233</f>
        <v>850</v>
      </c>
      <c r="DX231" s="1223">
        <f>+DW233</f>
        <v>850</v>
      </c>
      <c r="DY231" s="1326">
        <f>DT233</f>
        <v>850</v>
      </c>
    </row>
    <row r="232" spans="1:129" x14ac:dyDescent="0.2">
      <c r="A232" s="1295"/>
      <c r="B232" s="1190" t="s">
        <v>1153</v>
      </c>
      <c r="C232" s="1182"/>
      <c r="D232" s="1182"/>
      <c r="E232" s="1182"/>
      <c r="F232" s="1182"/>
      <c r="G232" s="1182"/>
      <c r="H232" s="1182"/>
      <c r="I232" s="1182"/>
      <c r="J232" s="1182"/>
      <c r="K232" s="1182"/>
      <c r="L232" s="1182"/>
      <c r="M232" s="1182"/>
      <c r="N232" s="1182"/>
      <c r="O232" s="1182"/>
      <c r="P232" s="1182"/>
      <c r="Q232" s="1182"/>
      <c r="R232" s="1182"/>
      <c r="S232" s="1182"/>
      <c r="T232" s="1182"/>
      <c r="U232" s="1182"/>
      <c r="V232" s="1182"/>
      <c r="W232" s="1182"/>
      <c r="X232" s="1296"/>
      <c r="Y232" s="1297"/>
      <c r="Z232" s="1297"/>
      <c r="AA232" s="1297"/>
      <c r="AB232" s="1297"/>
      <c r="AC232" s="1296"/>
      <c r="AD232" s="1297"/>
      <c r="AE232" s="1297"/>
      <c r="AF232" s="1297"/>
      <c r="AG232" s="1297"/>
      <c r="AH232" s="1296"/>
      <c r="AI232" s="1297"/>
      <c r="AJ232" s="1297"/>
      <c r="AK232" s="1297"/>
      <c r="AL232" s="1297"/>
      <c r="AM232" s="1296"/>
      <c r="AN232" s="1297"/>
      <c r="AO232" s="1297"/>
      <c r="AP232" s="1297"/>
      <c r="AQ232" s="1297"/>
      <c r="AR232" s="1296"/>
      <c r="AS232" s="1297"/>
      <c r="AT232" s="1297"/>
      <c r="AU232" s="1297"/>
      <c r="AV232" s="1297"/>
      <c r="AW232" s="1296"/>
      <c r="AX232" s="1298"/>
      <c r="AY232" s="1299"/>
      <c r="AZ232" s="1299"/>
      <c r="BA232" s="1298"/>
      <c r="BB232" s="1300"/>
      <c r="BC232" s="1298"/>
      <c r="BD232" s="1298"/>
      <c r="BE232" s="1298"/>
      <c r="BF232" s="1298"/>
      <c r="BG232" s="1296"/>
      <c r="BH232" s="1298"/>
      <c r="BI232" s="1298"/>
      <c r="BJ232" s="1298"/>
      <c r="BK232" s="1298"/>
      <c r="BL232" s="1335"/>
      <c r="BM232" s="1298"/>
      <c r="BN232" s="1298"/>
      <c r="BO232" s="1298"/>
      <c r="BP232" s="1298"/>
      <c r="BQ232" s="1335">
        <f>BQ233-BQ231</f>
        <v>0</v>
      </c>
      <c r="BR232" s="1298"/>
      <c r="BS232" s="1298"/>
      <c r="BT232" s="1298"/>
      <c r="BU232" s="1298"/>
      <c r="BV232" s="1335">
        <f>BV233-BV231</f>
        <v>0</v>
      </c>
      <c r="BW232" s="1298"/>
      <c r="BX232" s="1298"/>
      <c r="BY232" s="1298"/>
      <c r="BZ232" s="1298"/>
      <c r="CA232" s="1335"/>
      <c r="CB232" s="1336">
        <f>CB233-CB231</f>
        <v>0</v>
      </c>
      <c r="CC232" s="1336">
        <f>CC233-CC231</f>
        <v>0</v>
      </c>
      <c r="CD232" s="1298">
        <v>0</v>
      </c>
      <c r="CE232" s="1298">
        <v>0</v>
      </c>
      <c r="CF232" s="1335"/>
      <c r="CG232" s="1298"/>
      <c r="CH232" s="1298"/>
      <c r="CI232" s="1298"/>
      <c r="CJ232" s="1298"/>
      <c r="CK232" s="1335"/>
      <c r="CL232" s="1298"/>
      <c r="CM232" s="1298"/>
      <c r="CN232" s="1298"/>
      <c r="CO232" s="1298"/>
      <c r="CP232" s="1335"/>
      <c r="CQ232" s="1298"/>
      <c r="CR232" s="1298"/>
      <c r="CS232" s="1298">
        <v>0</v>
      </c>
      <c r="CT232" s="1298">
        <v>850</v>
      </c>
      <c r="CU232" s="1335">
        <f>+SUM(CQ232:CT232)</f>
        <v>850</v>
      </c>
      <c r="CV232" s="1298">
        <v>0</v>
      </c>
      <c r="CW232" s="1298">
        <v>0</v>
      </c>
      <c r="CX232" s="1298">
        <v>0</v>
      </c>
      <c r="CY232" s="1298">
        <v>0</v>
      </c>
      <c r="CZ232" s="1335">
        <f>+SUM(CV232:CY232)</f>
        <v>0</v>
      </c>
      <c r="DA232" s="1298">
        <v>0</v>
      </c>
      <c r="DB232" s="1298">
        <v>0</v>
      </c>
      <c r="DC232" s="1298">
        <v>0</v>
      </c>
      <c r="DD232" s="1298">
        <v>0</v>
      </c>
      <c r="DE232" s="1335">
        <f>+SUM(DA232:DD232)</f>
        <v>0</v>
      </c>
      <c r="DF232" s="1298">
        <v>0</v>
      </c>
      <c r="DG232" s="1298">
        <v>0</v>
      </c>
      <c r="DH232" s="1298">
        <v>0</v>
      </c>
      <c r="DI232" s="1298">
        <v>0</v>
      </c>
      <c r="DJ232" s="1335">
        <f>+SUM(DF232:DI232)</f>
        <v>0</v>
      </c>
      <c r="DK232" s="1298">
        <v>0</v>
      </c>
      <c r="DL232" s="1298">
        <v>0</v>
      </c>
      <c r="DM232" s="1298">
        <v>0</v>
      </c>
      <c r="DN232" s="1298">
        <v>0</v>
      </c>
      <c r="DO232" s="1335">
        <f>+SUM(DK232:DN232)</f>
        <v>0</v>
      </c>
      <c r="DP232" s="1298">
        <v>0</v>
      </c>
      <c r="DQ232" s="1298">
        <v>0</v>
      </c>
      <c r="DR232" s="1298">
        <v>0</v>
      </c>
      <c r="DS232" s="1298">
        <v>0</v>
      </c>
      <c r="DT232" s="1335">
        <f>+SUM(DP232:DS232)</f>
        <v>0</v>
      </c>
      <c r="DU232" s="1298">
        <v>0</v>
      </c>
      <c r="DV232" s="1298">
        <v>0</v>
      </c>
      <c r="DW232" s="1298">
        <v>0</v>
      </c>
      <c r="DX232" s="1298">
        <v>0</v>
      </c>
      <c r="DY232" s="1335">
        <f>+SUM(DU232:DX232)</f>
        <v>0</v>
      </c>
    </row>
    <row r="233" spans="1:129" x14ac:dyDescent="0.2">
      <c r="A233" s="1295"/>
      <c r="B233" s="1190" t="s">
        <v>1154</v>
      </c>
      <c r="C233" s="1182"/>
      <c r="D233" s="1182"/>
      <c r="E233" s="1182"/>
      <c r="F233" s="1182"/>
      <c r="G233" s="1182"/>
      <c r="H233" s="1182"/>
      <c r="I233" s="1182"/>
      <c r="J233" s="1182"/>
      <c r="K233" s="1182"/>
      <c r="L233" s="1182"/>
      <c r="M233" s="1182"/>
      <c r="N233" s="1182"/>
      <c r="O233" s="1182"/>
      <c r="P233" s="1182"/>
      <c r="Q233" s="1182"/>
      <c r="R233" s="1182"/>
      <c r="S233" s="1182"/>
      <c r="T233" s="1182"/>
      <c r="U233" s="1182"/>
      <c r="V233" s="1182"/>
      <c r="W233" s="1182"/>
      <c r="X233" s="1304"/>
      <c r="Y233" s="1305"/>
      <c r="Z233" s="1305"/>
      <c r="AA233" s="1305"/>
      <c r="AB233" s="1305"/>
      <c r="AC233" s="1304"/>
      <c r="AD233" s="1305"/>
      <c r="AE233" s="1305"/>
      <c r="AF233" s="1305"/>
      <c r="AG233" s="1305"/>
      <c r="AH233" s="1304"/>
      <c r="AI233" s="1305"/>
      <c r="AJ233" s="1305"/>
      <c r="AK233" s="1305"/>
      <c r="AL233" s="1305"/>
      <c r="AM233" s="1304"/>
      <c r="AN233" s="1305"/>
      <c r="AO233" s="1305"/>
      <c r="AP233" s="1305"/>
      <c r="AQ233" s="1305"/>
      <c r="AR233" s="1304"/>
      <c r="AS233" s="1305"/>
      <c r="AT233" s="1305"/>
      <c r="AU233" s="1305"/>
      <c r="AV233" s="1305"/>
      <c r="AW233" s="1304"/>
      <c r="AX233" s="1305"/>
      <c r="AY233" s="1305"/>
      <c r="AZ233" s="1305"/>
      <c r="BA233" s="1305"/>
      <c r="BB233" s="1304"/>
      <c r="BC233" s="1305"/>
      <c r="BD233" s="1305"/>
      <c r="BE233" s="1305"/>
      <c r="BF233" s="1305"/>
      <c r="BG233" s="1306"/>
      <c r="BH233" s="1305"/>
      <c r="BI233" s="1305"/>
      <c r="BJ233" s="1305"/>
      <c r="BK233" s="1305"/>
      <c r="BL233" s="1337">
        <v>700</v>
      </c>
      <c r="BM233" s="1305"/>
      <c r="BN233" s="1305"/>
      <c r="BO233" s="1305"/>
      <c r="BP233" s="1305"/>
      <c r="BQ233" s="1337">
        <v>700</v>
      </c>
      <c r="BR233" s="1305"/>
      <c r="BS233" s="1305"/>
      <c r="BT233" s="1305"/>
      <c r="BU233" s="1305"/>
      <c r="BV233" s="1337">
        <v>700</v>
      </c>
      <c r="BW233" s="1305"/>
      <c r="BX233" s="1305"/>
      <c r="BY233" s="1305"/>
      <c r="BZ233" s="1305"/>
      <c r="CA233" s="1337"/>
      <c r="CB233" s="1295">
        <f>CA233</f>
        <v>0</v>
      </c>
      <c r="CC233" s="1226">
        <f>CB233</f>
        <v>0</v>
      </c>
      <c r="CD233" s="1295">
        <f>CD231+CD232</f>
        <v>0</v>
      </c>
      <c r="CE233" s="1295">
        <f>CE231+CE232</f>
        <v>0</v>
      </c>
      <c r="CF233" s="1325"/>
      <c r="CG233" s="1295"/>
      <c r="CH233" s="1295"/>
      <c r="CI233" s="1295"/>
      <c r="CJ233" s="1295"/>
      <c r="CK233" s="1325"/>
      <c r="CL233" s="1295"/>
      <c r="CM233" s="1295"/>
      <c r="CN233" s="1295"/>
      <c r="CO233" s="1295"/>
      <c r="CP233" s="1325"/>
      <c r="CQ233" s="1295"/>
      <c r="CR233" s="1295"/>
      <c r="CS233" s="1295">
        <f t="shared" ref="CS233:CZ233" si="177">CS231+CS232</f>
        <v>0</v>
      </c>
      <c r="CT233" s="1295">
        <f t="shared" si="177"/>
        <v>850</v>
      </c>
      <c r="CU233" s="1325">
        <f t="shared" si="177"/>
        <v>850</v>
      </c>
      <c r="CV233" s="1295">
        <f t="shared" si="177"/>
        <v>850</v>
      </c>
      <c r="CW233" s="1295">
        <f t="shared" si="177"/>
        <v>850</v>
      </c>
      <c r="CX233" s="1295">
        <f t="shared" si="177"/>
        <v>850</v>
      </c>
      <c r="CY233" s="1295">
        <f t="shared" si="177"/>
        <v>850</v>
      </c>
      <c r="CZ233" s="1325">
        <f t="shared" si="177"/>
        <v>850</v>
      </c>
      <c r="DA233" s="1295">
        <f t="shared" ref="DA233:DJ233" si="178">DA231+DA232</f>
        <v>850</v>
      </c>
      <c r="DB233" s="1295">
        <f t="shared" si="178"/>
        <v>850</v>
      </c>
      <c r="DC233" s="1295">
        <f t="shared" si="178"/>
        <v>850</v>
      </c>
      <c r="DD233" s="1295">
        <f t="shared" si="178"/>
        <v>850</v>
      </c>
      <c r="DE233" s="1325">
        <f t="shared" si="178"/>
        <v>850</v>
      </c>
      <c r="DF233" s="1295">
        <f t="shared" si="178"/>
        <v>850</v>
      </c>
      <c r="DG233" s="1295">
        <f t="shared" si="178"/>
        <v>850</v>
      </c>
      <c r="DH233" s="1295">
        <f t="shared" si="178"/>
        <v>850</v>
      </c>
      <c r="DI233" s="1295">
        <f t="shared" si="178"/>
        <v>850</v>
      </c>
      <c r="DJ233" s="1325">
        <f t="shared" si="178"/>
        <v>850</v>
      </c>
      <c r="DK233" s="1295">
        <f t="shared" ref="DK233:DT233" si="179">DK231+DK232</f>
        <v>850</v>
      </c>
      <c r="DL233" s="1295">
        <f t="shared" si="179"/>
        <v>850</v>
      </c>
      <c r="DM233" s="1295">
        <f t="shared" si="179"/>
        <v>850</v>
      </c>
      <c r="DN233" s="1295">
        <f t="shared" si="179"/>
        <v>850</v>
      </c>
      <c r="DO233" s="1325">
        <f t="shared" si="179"/>
        <v>850</v>
      </c>
      <c r="DP233" s="1295">
        <f t="shared" si="179"/>
        <v>850</v>
      </c>
      <c r="DQ233" s="1295">
        <f t="shared" si="179"/>
        <v>850</v>
      </c>
      <c r="DR233" s="1295">
        <f t="shared" si="179"/>
        <v>850</v>
      </c>
      <c r="DS233" s="1295">
        <f t="shared" si="179"/>
        <v>850</v>
      </c>
      <c r="DT233" s="1325">
        <f t="shared" si="179"/>
        <v>850</v>
      </c>
      <c r="DU233" s="1295">
        <f t="shared" ref="DU233:DY233" si="180">DU231+DU232</f>
        <v>850</v>
      </c>
      <c r="DV233" s="1295">
        <f t="shared" si="180"/>
        <v>850</v>
      </c>
      <c r="DW233" s="1295">
        <f t="shared" si="180"/>
        <v>850</v>
      </c>
      <c r="DX233" s="1295">
        <f t="shared" si="180"/>
        <v>850</v>
      </c>
      <c r="DY233" s="1325">
        <f t="shared" si="180"/>
        <v>850</v>
      </c>
    </row>
    <row r="234" spans="1:129" x14ac:dyDescent="0.2">
      <c r="A234" s="1223"/>
      <c r="B234" s="1190" t="s">
        <v>1155</v>
      </c>
      <c r="C234" s="1182"/>
      <c r="D234" s="1182"/>
      <c r="E234" s="1182"/>
      <c r="F234" s="1182"/>
      <c r="G234" s="1182"/>
      <c r="H234" s="1182"/>
      <c r="I234" s="1182"/>
      <c r="J234" s="1182"/>
      <c r="K234" s="1182"/>
      <c r="L234" s="1182"/>
      <c r="M234" s="1182"/>
      <c r="N234" s="1182"/>
      <c r="O234" s="1182"/>
      <c r="P234" s="1182"/>
      <c r="Q234" s="1182"/>
      <c r="R234" s="1182"/>
      <c r="S234" s="1182"/>
      <c r="T234" s="1182"/>
      <c r="U234" s="1182"/>
      <c r="V234" s="1182"/>
      <c r="W234" s="1182"/>
      <c r="X234" s="1227"/>
      <c r="Y234" s="1231"/>
      <c r="Z234" s="1231"/>
      <c r="AA234" s="1231"/>
      <c r="AB234" s="1231"/>
      <c r="AC234" s="1227"/>
      <c r="AD234" s="1231"/>
      <c r="AE234" s="1231"/>
      <c r="AF234" s="1231"/>
      <c r="AG234" s="1231"/>
      <c r="AH234" s="1227"/>
      <c r="AI234" s="1231"/>
      <c r="AJ234" s="1231"/>
      <c r="AK234" s="1231"/>
      <c r="AL234" s="1231"/>
      <c r="AM234" s="1227"/>
      <c r="AN234" s="1231"/>
      <c r="AO234" s="1231"/>
      <c r="AP234" s="1231"/>
      <c r="AQ234" s="1231"/>
      <c r="AR234" s="1227"/>
      <c r="AS234" s="1231"/>
      <c r="AT234" s="1231"/>
      <c r="AU234" s="1231"/>
      <c r="AV234" s="1231"/>
      <c r="AW234" s="1227"/>
      <c r="AX234" s="1231"/>
      <c r="AY234" s="1231"/>
      <c r="AZ234" s="1231"/>
      <c r="BA234" s="1231"/>
      <c r="BB234" s="1227"/>
      <c r="BC234" s="1231"/>
      <c r="BD234" s="1231"/>
      <c r="BE234" s="1231"/>
      <c r="BF234" s="1231"/>
      <c r="BG234" s="1227"/>
      <c r="BH234" s="1231"/>
      <c r="BI234" s="1231"/>
      <c r="BJ234" s="1231"/>
      <c r="BK234" s="1231"/>
      <c r="BL234" s="1326"/>
      <c r="BM234" s="1231"/>
      <c r="BN234" s="1231"/>
      <c r="BO234" s="1231"/>
      <c r="BP234" s="1231"/>
      <c r="BQ234" s="1326"/>
      <c r="BR234" s="1231"/>
      <c r="BS234" s="1231"/>
      <c r="BT234" s="1231"/>
      <c r="BU234" s="1231"/>
      <c r="BV234" s="1326"/>
      <c r="BW234" s="1231"/>
      <c r="BX234" s="1231"/>
      <c r="BY234" s="1231"/>
      <c r="BZ234" s="1231"/>
      <c r="CA234" s="1326"/>
      <c r="CB234" s="1231"/>
      <c r="CC234" s="1231"/>
      <c r="CD234" s="1231"/>
      <c r="CE234" s="1231"/>
      <c r="CF234" s="1326"/>
      <c r="CG234" s="1231"/>
      <c r="CH234" s="1231"/>
      <c r="CI234" s="1231"/>
      <c r="CJ234" s="1231"/>
      <c r="CK234" s="1326"/>
      <c r="CL234" s="1231"/>
      <c r="CM234" s="1231"/>
      <c r="CN234" s="1231"/>
      <c r="CO234" s="1231"/>
      <c r="CP234" s="1326"/>
      <c r="CQ234" s="1231"/>
      <c r="CR234" s="1231"/>
      <c r="CS234" s="1231"/>
      <c r="CT234" s="1231"/>
      <c r="CU234" s="1326"/>
      <c r="CV234" s="1231"/>
      <c r="CW234" s="1231"/>
      <c r="CX234" s="1231"/>
      <c r="CY234" s="1231"/>
      <c r="CZ234" s="1326"/>
      <c r="DA234" s="1231"/>
      <c r="DB234" s="1231"/>
      <c r="DC234" s="1231"/>
      <c r="DD234" s="1231"/>
      <c r="DE234" s="1326"/>
      <c r="DF234" s="1231"/>
      <c r="DG234" s="1231"/>
      <c r="DH234" s="1231"/>
      <c r="DI234" s="1231"/>
      <c r="DJ234" s="1326"/>
      <c r="DK234" s="1231"/>
      <c r="DL234" s="1231"/>
      <c r="DM234" s="1231"/>
      <c r="DN234" s="1231"/>
      <c r="DO234" s="1326"/>
      <c r="DP234" s="1231"/>
      <c r="DQ234" s="1231"/>
      <c r="DR234" s="1231"/>
      <c r="DS234" s="1231"/>
      <c r="DT234" s="1326"/>
      <c r="DU234" s="1231"/>
      <c r="DV234" s="1231"/>
      <c r="DW234" s="1231"/>
      <c r="DX234" s="1231"/>
      <c r="DY234" s="1326"/>
    </row>
    <row r="235" spans="1:129" x14ac:dyDescent="0.2">
      <c r="A235" s="1223"/>
      <c r="B235" s="1190" t="s">
        <v>1156</v>
      </c>
      <c r="C235" s="1182"/>
      <c r="D235" s="1182"/>
      <c r="E235" s="1182"/>
      <c r="F235" s="1182"/>
      <c r="G235" s="1182"/>
      <c r="H235" s="1182"/>
      <c r="I235" s="1182"/>
      <c r="J235" s="1182"/>
      <c r="K235" s="1182"/>
      <c r="L235" s="1182"/>
      <c r="M235" s="1182"/>
      <c r="N235" s="1182"/>
      <c r="O235" s="1182"/>
      <c r="P235" s="1182"/>
      <c r="Q235" s="1182"/>
      <c r="R235" s="1182"/>
      <c r="S235" s="1182"/>
      <c r="T235" s="1182"/>
      <c r="U235" s="1182"/>
      <c r="V235" s="1182"/>
      <c r="W235" s="1182"/>
      <c r="X235" s="1227"/>
      <c r="Y235" s="1231"/>
      <c r="Z235" s="1231"/>
      <c r="AA235" s="1231"/>
      <c r="AB235" s="1231"/>
      <c r="AC235" s="1227"/>
      <c r="AD235" s="1231"/>
      <c r="AE235" s="1231"/>
      <c r="AF235" s="1231"/>
      <c r="AG235" s="1231"/>
      <c r="AH235" s="1227"/>
      <c r="AI235" s="1231"/>
      <c r="AJ235" s="1231"/>
      <c r="AK235" s="1231"/>
      <c r="AL235" s="1231"/>
      <c r="AM235" s="1227"/>
      <c r="AN235" s="1231"/>
      <c r="AO235" s="1231"/>
      <c r="AP235" s="1231"/>
      <c r="AQ235" s="1231"/>
      <c r="AR235" s="1227"/>
      <c r="AS235" s="1231"/>
      <c r="AT235" s="1231"/>
      <c r="AU235" s="1231"/>
      <c r="AV235" s="1231"/>
      <c r="AW235" s="1227"/>
      <c r="AX235" s="1231"/>
      <c r="AY235" s="1231"/>
      <c r="AZ235" s="1231"/>
      <c r="BA235" s="1231"/>
      <c r="BB235" s="1227"/>
      <c r="BC235" s="1231"/>
      <c r="BD235" s="1231"/>
      <c r="BE235" s="1231"/>
      <c r="BF235" s="1231"/>
      <c r="BG235" s="1227"/>
      <c r="BH235" s="1231"/>
      <c r="BI235" s="1231"/>
      <c r="BJ235" s="1231"/>
      <c r="BK235" s="1231"/>
      <c r="BL235" s="1326">
        <f>-(AVERAGE(BL231,BL233))*(BL229)</f>
        <v>-42.875</v>
      </c>
      <c r="BM235" s="1231"/>
      <c r="BN235" s="1231"/>
      <c r="BO235" s="1231"/>
      <c r="BP235" s="1231"/>
      <c r="BQ235" s="1326">
        <f>-(AVERAGE(BQ231,BQ233))*(BQ229)</f>
        <v>-42.875</v>
      </c>
      <c r="BR235" s="1231"/>
      <c r="BS235" s="1231"/>
      <c r="BT235" s="1231"/>
      <c r="BU235" s="1231"/>
      <c r="BV235" s="1326">
        <f>-(AVERAGE(BV231,BV233))*(BV229)</f>
        <v>-42.875</v>
      </c>
      <c r="BW235" s="1231"/>
      <c r="BX235" s="1231"/>
      <c r="BY235" s="1231"/>
      <c r="BZ235" s="1231"/>
      <c r="CA235" s="1326"/>
      <c r="CB235" s="1223">
        <f>-(AVERAGE(CB233,CB231))*(CB229/4)</f>
        <v>0</v>
      </c>
      <c r="CC235" s="1223">
        <f>-(AVERAGE(CC233,CC231))*(CC229/4)</f>
        <v>0</v>
      </c>
      <c r="CD235" s="1223">
        <f>-(AVERAGE(CD233,CD231))*(CD229/4)</f>
        <v>0</v>
      </c>
      <c r="CE235" s="1223">
        <f>-(AVERAGE(CE233,CE231))*(CE229/4)</f>
        <v>0</v>
      </c>
      <c r="CF235" s="1326"/>
      <c r="CG235" s="1223"/>
      <c r="CH235" s="1223"/>
      <c r="CI235" s="1223"/>
      <c r="CJ235" s="1223"/>
      <c r="CK235" s="1326"/>
      <c r="CL235" s="1223"/>
      <c r="CM235" s="1223"/>
      <c r="CN235" s="1223"/>
      <c r="CO235" s="1223"/>
      <c r="CP235" s="1326"/>
      <c r="CQ235" s="1223"/>
      <c r="CR235" s="1223"/>
      <c r="CS235" s="1223">
        <f>-(AVERAGE(CS233,CS231))*(CS229/4)</f>
        <v>0</v>
      </c>
      <c r="CT235" s="1223">
        <f>-CT229/4*CT232</f>
        <v>-4.78125</v>
      </c>
      <c r="CU235" s="1326">
        <f>SUM(CQ235:CT235)</f>
        <v>-4.78125</v>
      </c>
      <c r="CV235" s="1223">
        <f>-(AVERAGE(CV233,CV231))*(CV229/4)</f>
        <v>-4.78125</v>
      </c>
      <c r="CW235" s="1223">
        <f>-(AVERAGE(CW233,CW231))*(CW229/4)</f>
        <v>-4.78125</v>
      </c>
      <c r="CX235" s="1223">
        <f>-(AVERAGE(CX233,CX231))*(CX229/4)</f>
        <v>-4.78125</v>
      </c>
      <c r="CY235" s="1223">
        <f>-(AVERAGE(CY233,CY231))*(CY229/4)</f>
        <v>-4.78125</v>
      </c>
      <c r="CZ235" s="1326">
        <f>SUM(CV235:CY235)</f>
        <v>-19.125</v>
      </c>
      <c r="DA235" s="1223">
        <f>-(AVERAGE(DA233,DA231))*(DA229/4)</f>
        <v>-4.78125</v>
      </c>
      <c r="DB235" s="1223">
        <f>-(AVERAGE(DB233,DB231))*(DB229/4)</f>
        <v>-4.78125</v>
      </c>
      <c r="DC235" s="1223">
        <f>-(AVERAGE(DC233,DC231))*(DC229/4)</f>
        <v>-4.78125</v>
      </c>
      <c r="DD235" s="1223">
        <f>-(AVERAGE(DD233,DD231))*(DD229/4)</f>
        <v>-4.78125</v>
      </c>
      <c r="DE235" s="1326">
        <f>SUM(DA235:DD235)</f>
        <v>-19.125</v>
      </c>
      <c r="DF235" s="1223">
        <f>-(AVERAGE(DF233,DF231))*(DF229/4)</f>
        <v>-4.78125</v>
      </c>
      <c r="DG235" s="1223">
        <f>-(AVERAGE(DG233,DG231))*(DG229/4)</f>
        <v>-4.78125</v>
      </c>
      <c r="DH235" s="1223">
        <f>-(AVERAGE(DH233,DH231))*(DH229/4)</f>
        <v>-4.78125</v>
      </c>
      <c r="DI235" s="1223">
        <f>-(AVERAGE(DI233,DI231))*(DI229/4)</f>
        <v>-4.78125</v>
      </c>
      <c r="DJ235" s="1326">
        <f>SUM(DF235:DI235)</f>
        <v>-19.125</v>
      </c>
      <c r="DK235" s="1223">
        <f>-(AVERAGE(DK233,DK231))*(DK229/4)</f>
        <v>-4.78125</v>
      </c>
      <c r="DL235" s="1223">
        <f>-(AVERAGE(DL233,DL231))*(DL229/4)</f>
        <v>-4.78125</v>
      </c>
      <c r="DM235" s="1223">
        <f>-(AVERAGE(DM233,DM231))*(DM229/4)</f>
        <v>-4.78125</v>
      </c>
      <c r="DN235" s="1223">
        <f>-(AVERAGE(DN233,DN231))*(DN229/4)</f>
        <v>-4.78125</v>
      </c>
      <c r="DO235" s="1326">
        <f>SUM(DK235:DN235)</f>
        <v>-19.125</v>
      </c>
      <c r="DP235" s="1223">
        <f>-(AVERAGE(DP233,DP231))*(DP229/4)</f>
        <v>-4.78125</v>
      </c>
      <c r="DQ235" s="1223">
        <f>-(AVERAGE(DQ233,DQ231))*(DQ229/4)</f>
        <v>-4.78125</v>
      </c>
      <c r="DR235" s="1223">
        <f>-(AVERAGE(DR233,DR231))*(DR229/4)</f>
        <v>-4.78125</v>
      </c>
      <c r="DS235" s="1223">
        <f>-(AVERAGE(DS233,DS231))*(DS229/4)</f>
        <v>-4.78125</v>
      </c>
      <c r="DT235" s="1326">
        <f>SUM(DP235:DS235)</f>
        <v>-19.125</v>
      </c>
      <c r="DU235" s="1223">
        <f>-(AVERAGE(DU233,DU231))*(DU229/4)</f>
        <v>-4.78125</v>
      </c>
      <c r="DV235" s="1223">
        <f>-(AVERAGE(DV233,DV231))*(DV229/4)</f>
        <v>-4.78125</v>
      </c>
      <c r="DW235" s="1223">
        <f>-(AVERAGE(DW233,DW231))*(DW229/4)</f>
        <v>-4.78125</v>
      </c>
      <c r="DX235" s="1223">
        <f>-(AVERAGE(DX233,DX231))*(DX229/4)</f>
        <v>-4.78125</v>
      </c>
      <c r="DY235" s="1326">
        <f>SUM(DU235:DX235)</f>
        <v>-19.125</v>
      </c>
    </row>
    <row r="236" spans="1:129" ht="12" thickBot="1" x14ac:dyDescent="0.25">
      <c r="A236" s="1223"/>
      <c r="B236" s="1250" t="s">
        <v>1157</v>
      </c>
      <c r="C236" s="1251"/>
      <c r="D236" s="1251"/>
      <c r="E236" s="1251"/>
      <c r="F236" s="1251"/>
      <c r="G236" s="1251"/>
      <c r="H236" s="1251"/>
      <c r="I236" s="1251"/>
      <c r="J236" s="1251"/>
      <c r="K236" s="1251"/>
      <c r="L236" s="1251"/>
      <c r="M236" s="1251"/>
      <c r="N236" s="1251"/>
      <c r="O236" s="1251"/>
      <c r="P236" s="1251"/>
      <c r="Q236" s="1251"/>
      <c r="R236" s="1251"/>
      <c r="S236" s="1251"/>
      <c r="T236" s="1251"/>
      <c r="U236" s="1251"/>
      <c r="V236" s="1251"/>
      <c r="W236" s="1251"/>
      <c r="X236" s="1252"/>
      <c r="Y236" s="1251"/>
      <c r="Z236" s="1251"/>
      <c r="AA236" s="1251"/>
      <c r="AB236" s="1251"/>
      <c r="AC236" s="1252"/>
      <c r="AD236" s="1251"/>
      <c r="AE236" s="1251"/>
      <c r="AF236" s="1251"/>
      <c r="AG236" s="1251"/>
      <c r="AH236" s="1252"/>
      <c r="AI236" s="1251"/>
      <c r="AJ236" s="1251"/>
      <c r="AK236" s="1251"/>
      <c r="AL236" s="1251"/>
      <c r="AM236" s="1252"/>
      <c r="AN236" s="1251"/>
      <c r="AO236" s="1251"/>
      <c r="AP236" s="1251"/>
      <c r="AQ236" s="1253"/>
      <c r="AR236" s="1252"/>
      <c r="AS236" s="1253"/>
      <c r="AT236" s="1253"/>
      <c r="AU236" s="1253"/>
      <c r="AV236" s="1253"/>
      <c r="AW236" s="1252"/>
      <c r="AX236" s="1253"/>
      <c r="AY236" s="1253"/>
      <c r="AZ236" s="1253"/>
      <c r="BA236" s="1253"/>
      <c r="BB236" s="1252"/>
      <c r="BC236" s="1253"/>
      <c r="BD236" s="1253"/>
      <c r="BE236" s="1253"/>
      <c r="BF236" s="1253"/>
      <c r="BG236" s="1252"/>
      <c r="BH236" s="1253"/>
      <c r="BI236" s="1253"/>
      <c r="BJ236" s="1253"/>
      <c r="BK236" s="1253"/>
      <c r="BL236" s="1327"/>
      <c r="BM236" s="1253"/>
      <c r="BN236" s="1253"/>
      <c r="BO236" s="1253"/>
      <c r="BP236" s="1253"/>
      <c r="BQ236" s="1327"/>
      <c r="BR236" s="1253"/>
      <c r="BS236" s="1253"/>
      <c r="BT236" s="1253"/>
      <c r="BU236" s="1253"/>
      <c r="BV236" s="1327"/>
      <c r="BW236" s="1253"/>
      <c r="BX236" s="1253"/>
      <c r="BY236" s="1253"/>
      <c r="BZ236" s="1253"/>
      <c r="CA236" s="1327"/>
      <c r="CB236" s="1253">
        <f>-CB228*CB234/4</f>
        <v>0</v>
      </c>
      <c r="CC236" s="1253">
        <f>-CC228*CC234/4</f>
        <v>0</v>
      </c>
      <c r="CD236" s="1253">
        <f>-CD228*CD234/4</f>
        <v>0</v>
      </c>
      <c r="CE236" s="1253">
        <f>-CE228*CE234/4</f>
        <v>0</v>
      </c>
      <c r="CF236" s="1327"/>
      <c r="CG236" s="1253"/>
      <c r="CH236" s="1253"/>
      <c r="CI236" s="1253"/>
      <c r="CJ236" s="1253"/>
      <c r="CK236" s="1327"/>
      <c r="CL236" s="1253"/>
      <c r="CM236" s="1253"/>
      <c r="CN236" s="1253"/>
      <c r="CO236" s="1253"/>
      <c r="CP236" s="1327"/>
      <c r="CQ236" s="1253"/>
      <c r="CR236" s="1253"/>
      <c r="CS236" s="1253">
        <f>-CS228*CS234/4</f>
        <v>0</v>
      </c>
      <c r="CT236" s="1253">
        <f>-CT228*CT234/4</f>
        <v>0</v>
      </c>
      <c r="CU236" s="1327"/>
      <c r="CV236" s="1253">
        <f>-CV228*CV234/4</f>
        <v>0</v>
      </c>
      <c r="CW236" s="1253">
        <f>-CW228*CW234/4</f>
        <v>0</v>
      </c>
      <c r="CX236" s="1253">
        <f>-CX228*CX234/4</f>
        <v>0</v>
      </c>
      <c r="CY236" s="1253">
        <f>-CY228*CY234/4</f>
        <v>0</v>
      </c>
      <c r="CZ236" s="1327"/>
      <c r="DA236" s="1253">
        <f>-DA228*DA234/4</f>
        <v>0</v>
      </c>
      <c r="DB236" s="1253">
        <f>-DB228*DB234/4</f>
        <v>0</v>
      </c>
      <c r="DC236" s="1253">
        <f>-DC228*DC234/4</f>
        <v>0</v>
      </c>
      <c r="DD236" s="1253">
        <f>-DD228*DD234/4</f>
        <v>0</v>
      </c>
      <c r="DE236" s="1327"/>
      <c r="DF236" s="1253">
        <f>-DF228*DF234/4</f>
        <v>0</v>
      </c>
      <c r="DG236" s="1253">
        <f>-DG228*DG234/4</f>
        <v>0</v>
      </c>
      <c r="DH236" s="1253">
        <f>-DH228*DH234/4</f>
        <v>0</v>
      </c>
      <c r="DI236" s="1253">
        <f>-DI228*DI234/4</f>
        <v>0</v>
      </c>
      <c r="DJ236" s="1327"/>
      <c r="DK236" s="1253">
        <f>-DK228*DK234/4</f>
        <v>0</v>
      </c>
      <c r="DL236" s="1253">
        <f>-DL228*DL234/4</f>
        <v>0</v>
      </c>
      <c r="DM236" s="1253">
        <f>-DM228*DM234/4</f>
        <v>0</v>
      </c>
      <c r="DN236" s="1253">
        <f>-DN228*DN234/4</f>
        <v>0</v>
      </c>
      <c r="DO236" s="1327"/>
      <c r="DP236" s="1253">
        <f>-DP228*DP234/4</f>
        <v>0</v>
      </c>
      <c r="DQ236" s="1253">
        <f>-DQ228*DQ234/4</f>
        <v>0</v>
      </c>
      <c r="DR236" s="1253">
        <f>-DR228*DR234/4</f>
        <v>0</v>
      </c>
      <c r="DS236" s="1253">
        <f>-DS228*DS234/4</f>
        <v>0</v>
      </c>
      <c r="DT236" s="1327"/>
      <c r="DU236" s="1253">
        <f>-DU228*DU234/4</f>
        <v>0</v>
      </c>
      <c r="DV236" s="1253">
        <f>-DV228*DV234/4</f>
        <v>0</v>
      </c>
      <c r="DW236" s="1253">
        <f>-DW228*DW234/4</f>
        <v>0</v>
      </c>
      <c r="DX236" s="1253">
        <f>-DX228*DX234/4</f>
        <v>0</v>
      </c>
      <c r="DY236" s="1327"/>
    </row>
    <row r="237" spans="1:129" ht="12" thickBot="1" x14ac:dyDescent="0.25">
      <c r="A237" s="1223"/>
      <c r="B237" s="1231"/>
      <c r="C237" s="1182"/>
      <c r="D237" s="1182"/>
      <c r="E237" s="1182"/>
      <c r="F237" s="1182"/>
      <c r="G237" s="1182"/>
      <c r="H237" s="1182"/>
      <c r="I237" s="1182"/>
      <c r="J237" s="1182"/>
      <c r="K237" s="1182"/>
      <c r="L237" s="1182"/>
      <c r="M237" s="1182"/>
      <c r="N237" s="1182"/>
      <c r="O237" s="1182"/>
      <c r="P237" s="1182"/>
      <c r="Q237" s="1182"/>
      <c r="R237" s="1182"/>
      <c r="S237" s="1182"/>
      <c r="T237" s="1182"/>
      <c r="U237" s="1182"/>
      <c r="V237" s="1182"/>
      <c r="W237" s="1182"/>
      <c r="X237" s="1231"/>
      <c r="Y237" s="1182"/>
      <c r="Z237" s="1182"/>
      <c r="AA237" s="1182"/>
      <c r="AB237" s="1182"/>
      <c r="AC237" s="1231"/>
      <c r="AD237" s="1182"/>
      <c r="AE237" s="1182"/>
      <c r="AF237" s="1182"/>
      <c r="AG237" s="1182"/>
      <c r="AH237" s="1231"/>
      <c r="AI237" s="1182"/>
      <c r="AJ237" s="1182"/>
      <c r="AK237" s="1182"/>
      <c r="AL237" s="1182"/>
      <c r="AM237" s="1231"/>
      <c r="AN237" s="1182"/>
      <c r="AO237" s="1182"/>
      <c r="AP237" s="1182"/>
      <c r="AQ237" s="1231"/>
      <c r="AR237" s="1231"/>
      <c r="AS237" s="1231"/>
      <c r="AT237" s="1231"/>
      <c r="AU237" s="1231"/>
      <c r="AV237" s="1231"/>
      <c r="AW237" s="1231"/>
      <c r="AX237" s="1231"/>
      <c r="AY237" s="1231"/>
      <c r="AZ237" s="1231"/>
      <c r="BA237" s="1231"/>
      <c r="BB237" s="1231"/>
      <c r="BC237" s="1231"/>
      <c r="BD237" s="1231"/>
      <c r="BE237" s="1231"/>
      <c r="BF237" s="1231"/>
      <c r="BG237" s="1231"/>
      <c r="BH237" s="1231"/>
      <c r="BI237" s="1231"/>
      <c r="BJ237" s="1231"/>
      <c r="BK237" s="1231"/>
      <c r="BL237" s="1231"/>
      <c r="BM237" s="1231"/>
      <c r="BN237" s="1231"/>
      <c r="BO237" s="1231"/>
      <c r="BP237" s="1231"/>
      <c r="BQ237" s="1231"/>
      <c r="BR237" s="1231"/>
      <c r="BS237" s="1231"/>
      <c r="BT237" s="1231"/>
      <c r="BU237" s="1231"/>
      <c r="BV237" s="1231"/>
      <c r="BW237" s="1231"/>
      <c r="BX237" s="1231"/>
      <c r="BY237" s="1231"/>
      <c r="BZ237" s="1231"/>
      <c r="CA237" s="1231"/>
      <c r="CB237" s="1231"/>
      <c r="CC237" s="1231"/>
      <c r="CD237" s="1231"/>
      <c r="CE237" s="1231"/>
      <c r="CF237" s="1231"/>
      <c r="CG237" s="1231"/>
      <c r="CH237" s="1231"/>
      <c r="CI237" s="1231"/>
      <c r="CJ237" s="1231"/>
      <c r="CK237" s="1231"/>
      <c r="CL237" s="1231"/>
      <c r="CM237" s="1231"/>
      <c r="CN237" s="1231"/>
      <c r="CO237" s="1231"/>
      <c r="CP237" s="1231"/>
      <c r="CQ237" s="1231"/>
      <c r="CR237" s="1231"/>
      <c r="CS237" s="1231"/>
      <c r="CT237" s="1231"/>
      <c r="CU237" s="1231"/>
      <c r="CV237" s="1231"/>
      <c r="CW237" s="1231"/>
      <c r="CX237" s="1231"/>
      <c r="CY237" s="1231"/>
      <c r="CZ237" s="1231"/>
      <c r="DA237" s="1231"/>
      <c r="DB237" s="1231"/>
      <c r="DC237" s="1231"/>
      <c r="DD237" s="1231"/>
      <c r="DE237" s="1231"/>
      <c r="DF237" s="1231"/>
      <c r="DG237" s="1231"/>
      <c r="DH237" s="1231"/>
      <c r="DI237" s="1231"/>
      <c r="DJ237" s="1231"/>
      <c r="DK237" s="1231"/>
      <c r="DL237" s="1231"/>
      <c r="DM237" s="1231"/>
      <c r="DN237" s="1231"/>
      <c r="DO237" s="1231"/>
      <c r="DP237" s="1231"/>
      <c r="DQ237" s="1231"/>
      <c r="DR237" s="1231"/>
      <c r="DS237" s="1231"/>
      <c r="DT237" s="1231"/>
      <c r="DU237" s="1231"/>
      <c r="DV237" s="1231"/>
      <c r="DW237" s="1231"/>
      <c r="DX237" s="1231"/>
      <c r="DY237" s="1231"/>
    </row>
    <row r="238" spans="1:129" ht="12" thickBot="1" x14ac:dyDescent="0.25">
      <c r="A238" s="1123"/>
      <c r="B238" s="1282" t="s">
        <v>1267</v>
      </c>
      <c r="C238" s="1328"/>
      <c r="D238" s="1329"/>
      <c r="E238" s="1329"/>
      <c r="F238" s="1329"/>
      <c r="G238" s="1329"/>
      <c r="H238" s="1329"/>
      <c r="I238" s="1329"/>
      <c r="J238" s="1329"/>
      <c r="K238" s="1329"/>
      <c r="L238" s="1329"/>
      <c r="M238" s="1329"/>
      <c r="N238" s="1329"/>
      <c r="O238" s="1329"/>
      <c r="P238" s="1329"/>
      <c r="Q238" s="1329"/>
      <c r="R238" s="1329"/>
      <c r="S238" s="1329"/>
      <c r="T238" s="1329"/>
      <c r="U238" s="1329"/>
      <c r="V238" s="1329"/>
      <c r="W238" s="1329"/>
      <c r="X238" s="1328"/>
      <c r="Y238" s="1328"/>
      <c r="Z238" s="1328"/>
      <c r="AA238" s="1328"/>
      <c r="AB238" s="1328"/>
      <c r="AC238" s="1328"/>
      <c r="AD238" s="1328"/>
      <c r="AE238" s="1328"/>
      <c r="AF238" s="1328"/>
      <c r="AG238" s="1328"/>
      <c r="AH238" s="1328"/>
      <c r="AI238" s="1328"/>
      <c r="AJ238" s="1328"/>
      <c r="AK238" s="1328"/>
      <c r="AL238" s="1328"/>
      <c r="AM238" s="1328"/>
      <c r="AN238" s="1328"/>
      <c r="AO238" s="1328"/>
      <c r="AP238" s="1328"/>
      <c r="AQ238" s="1330"/>
      <c r="AR238" s="1330"/>
      <c r="AS238" s="1330"/>
      <c r="AT238" s="1331"/>
      <c r="AU238" s="1331"/>
      <c r="AV238" s="1331"/>
      <c r="AW238" s="1330"/>
      <c r="AX238" s="1330"/>
      <c r="AY238" s="1330"/>
      <c r="AZ238" s="1330"/>
      <c r="BA238" s="1330"/>
      <c r="BB238" s="1330"/>
      <c r="BC238" s="1330"/>
      <c r="BD238" s="1330"/>
      <c r="BE238" s="1330"/>
      <c r="BF238" s="1330"/>
      <c r="BG238" s="1330"/>
      <c r="BH238" s="1330"/>
      <c r="BI238" s="1330"/>
      <c r="BJ238" s="1330"/>
      <c r="BK238" s="1330"/>
      <c r="BL238" s="1332"/>
      <c r="BM238" s="1330"/>
      <c r="BN238" s="1330"/>
      <c r="BO238" s="1330"/>
      <c r="BP238" s="1330"/>
      <c r="BQ238" s="1332"/>
      <c r="BR238" s="1330"/>
      <c r="BS238" s="1330"/>
      <c r="BT238" s="1330"/>
      <c r="BU238" s="1330"/>
      <c r="BV238" s="1332"/>
      <c r="BW238" s="1330"/>
      <c r="BX238" s="1330"/>
      <c r="BY238" s="1330"/>
      <c r="BZ238" s="1330"/>
      <c r="CA238" s="1332"/>
      <c r="CB238" s="1330"/>
      <c r="CC238" s="1330"/>
      <c r="CD238" s="1330"/>
      <c r="CE238" s="1330"/>
      <c r="CF238" s="1332"/>
      <c r="CG238" s="1330"/>
      <c r="CH238" s="1330"/>
      <c r="CI238" s="1330"/>
      <c r="CJ238" s="1330"/>
      <c r="CK238" s="1332"/>
      <c r="CL238" s="1330"/>
      <c r="CM238" s="1330"/>
      <c r="CN238" s="1330"/>
      <c r="CO238" s="1330"/>
      <c r="CP238" s="1332"/>
      <c r="CQ238" s="1330"/>
      <c r="CR238" s="1330"/>
      <c r="CS238" s="1330"/>
      <c r="CT238" s="1330"/>
      <c r="CU238" s="1332"/>
      <c r="CV238" s="1330"/>
      <c r="CW238" s="1330"/>
      <c r="CX238" s="1330"/>
      <c r="CY238" s="1330"/>
      <c r="CZ238" s="1332"/>
      <c r="DA238" s="1330"/>
      <c r="DB238" s="1330"/>
      <c r="DC238" s="1330"/>
      <c r="DD238" s="1330"/>
      <c r="DE238" s="1332"/>
      <c r="DF238" s="1330"/>
      <c r="DG238" s="1330"/>
      <c r="DH238" s="1330"/>
      <c r="DI238" s="1330"/>
      <c r="DJ238" s="1332"/>
      <c r="DK238" s="1330"/>
      <c r="DL238" s="1330"/>
      <c r="DM238" s="1330"/>
      <c r="DN238" s="1330"/>
      <c r="DO238" s="1332"/>
      <c r="DP238" s="1330"/>
      <c r="DQ238" s="1330"/>
      <c r="DR238" s="1330"/>
      <c r="DS238" s="1330"/>
      <c r="DT238" s="1332"/>
      <c r="DU238" s="1330"/>
      <c r="DV238" s="1330"/>
      <c r="DW238" s="1330"/>
      <c r="DX238" s="1330"/>
      <c r="DY238" s="1332"/>
    </row>
    <row r="239" spans="1:129" x14ac:dyDescent="0.2">
      <c r="A239" s="532"/>
      <c r="B239" s="1287" t="s">
        <v>1149</v>
      </c>
      <c r="C239" s="650"/>
      <c r="D239" s="650"/>
      <c r="E239" s="650"/>
      <c r="F239" s="650"/>
      <c r="G239" s="650"/>
      <c r="H239" s="650"/>
      <c r="I239" s="650"/>
      <c r="J239" s="650"/>
      <c r="K239" s="650"/>
      <c r="L239" s="650"/>
      <c r="M239" s="650"/>
      <c r="N239" s="650"/>
      <c r="O239" s="650"/>
      <c r="P239" s="650"/>
      <c r="Q239" s="650"/>
      <c r="R239" s="650"/>
      <c r="S239" s="650"/>
      <c r="T239" s="650"/>
      <c r="U239" s="650"/>
      <c r="V239" s="650"/>
      <c r="W239" s="650"/>
      <c r="X239" s="1288"/>
      <c r="Y239" s="650"/>
      <c r="Z239" s="650"/>
      <c r="AA239" s="650"/>
      <c r="AB239" s="650"/>
      <c r="AC239" s="1288"/>
      <c r="AD239" s="650"/>
      <c r="AE239" s="650"/>
      <c r="AF239" s="650"/>
      <c r="AG239" s="650"/>
      <c r="AH239" s="1288"/>
      <c r="AI239" s="650"/>
      <c r="AJ239" s="650"/>
      <c r="AK239" s="650"/>
      <c r="AL239" s="650"/>
      <c r="AM239" s="1288"/>
      <c r="AN239" s="650"/>
      <c r="AO239" s="650"/>
      <c r="AP239" s="650"/>
      <c r="AQ239" s="650"/>
      <c r="AR239" s="1288"/>
      <c r="AS239" s="650"/>
      <c r="AT239" s="650"/>
      <c r="AU239" s="650"/>
      <c r="AV239" s="650"/>
      <c r="AW239" s="1288"/>
      <c r="AX239" s="650"/>
      <c r="AY239" s="650"/>
      <c r="AZ239" s="650"/>
      <c r="BA239" s="650"/>
      <c r="BB239" s="1288"/>
      <c r="BC239" s="650"/>
      <c r="BD239" s="650"/>
      <c r="BE239" s="650"/>
      <c r="BF239" s="650"/>
      <c r="BG239" s="1288"/>
      <c r="BH239" s="650"/>
      <c r="BI239" s="650"/>
      <c r="BJ239" s="650"/>
      <c r="BK239" s="650"/>
      <c r="BL239" s="583"/>
      <c r="BM239" s="650"/>
      <c r="BN239" s="650"/>
      <c r="BO239" s="650"/>
      <c r="BP239" s="650"/>
      <c r="BQ239" s="583"/>
      <c r="BR239" s="650"/>
      <c r="BS239" s="650"/>
      <c r="BT239" s="650"/>
      <c r="BU239" s="650"/>
      <c r="BV239" s="583"/>
      <c r="BW239" s="650"/>
      <c r="BX239" s="650"/>
      <c r="BY239" s="650"/>
      <c r="BZ239" s="650"/>
      <c r="CA239" s="583"/>
      <c r="CB239" s="650"/>
      <c r="CC239" s="650"/>
      <c r="CD239" s="650"/>
      <c r="CE239" s="650"/>
      <c r="CF239" s="583"/>
      <c r="CG239" s="650"/>
      <c r="CH239" s="650"/>
      <c r="CI239" s="650"/>
      <c r="CJ239" s="650"/>
      <c r="CK239" s="583"/>
      <c r="CL239" s="650"/>
      <c r="CM239" s="650"/>
      <c r="CN239" s="650"/>
      <c r="CO239" s="650"/>
      <c r="CP239" s="583"/>
      <c r="CQ239" s="650"/>
      <c r="CR239" s="650"/>
      <c r="CS239" s="650"/>
      <c r="CT239" s="650"/>
      <c r="CU239" s="583"/>
      <c r="CV239" s="650"/>
      <c r="CW239" s="650"/>
      <c r="CX239" s="650"/>
      <c r="CY239" s="650"/>
      <c r="CZ239" s="583"/>
      <c r="DA239" s="650"/>
      <c r="DB239" s="650"/>
      <c r="DC239" s="650"/>
      <c r="DD239" s="650"/>
      <c r="DE239" s="583"/>
      <c r="DF239" s="650"/>
      <c r="DG239" s="650"/>
      <c r="DH239" s="650"/>
      <c r="DI239" s="650"/>
      <c r="DJ239" s="583"/>
      <c r="DK239" s="650"/>
      <c r="DL239" s="650"/>
      <c r="DM239" s="650"/>
      <c r="DN239" s="650"/>
      <c r="DO239" s="583"/>
      <c r="DP239" s="650"/>
      <c r="DQ239" s="650"/>
      <c r="DR239" s="650"/>
      <c r="DS239" s="650"/>
      <c r="DT239" s="583"/>
      <c r="DU239" s="650"/>
      <c r="DV239" s="650"/>
      <c r="DW239" s="650"/>
      <c r="DX239" s="650"/>
      <c r="DY239" s="583"/>
    </row>
    <row r="240" spans="1:129" x14ac:dyDescent="0.2">
      <c r="A240" s="532"/>
      <c r="B240" s="1287" t="s">
        <v>1150</v>
      </c>
      <c r="C240" s="650"/>
      <c r="D240" s="650"/>
      <c r="E240" s="650"/>
      <c r="F240" s="650"/>
      <c r="G240" s="650"/>
      <c r="H240" s="650"/>
      <c r="I240" s="650"/>
      <c r="J240" s="650"/>
      <c r="K240" s="650"/>
      <c r="L240" s="650"/>
      <c r="M240" s="650"/>
      <c r="N240" s="650"/>
      <c r="O240" s="650"/>
      <c r="P240" s="650"/>
      <c r="Q240" s="650"/>
      <c r="R240" s="650"/>
      <c r="S240" s="650"/>
      <c r="T240" s="650"/>
      <c r="U240" s="650"/>
      <c r="V240" s="650"/>
      <c r="W240" s="650"/>
      <c r="X240" s="1288"/>
      <c r="Y240" s="650"/>
      <c r="Z240" s="650"/>
      <c r="AA240" s="650"/>
      <c r="AB240" s="650"/>
      <c r="AC240" s="1288"/>
      <c r="AD240" s="650"/>
      <c r="AE240" s="650"/>
      <c r="AF240" s="650"/>
      <c r="AG240" s="650"/>
      <c r="AH240" s="1288"/>
      <c r="AI240" s="650"/>
      <c r="AJ240" s="650"/>
      <c r="AK240" s="650"/>
      <c r="AL240" s="650"/>
      <c r="AM240" s="1288"/>
      <c r="AN240" s="650"/>
      <c r="AO240" s="650"/>
      <c r="AP240" s="650"/>
      <c r="AQ240" s="650"/>
      <c r="AR240" s="1288"/>
      <c r="AS240" s="650"/>
      <c r="AT240" s="650"/>
      <c r="AU240" s="650"/>
      <c r="AV240" s="650"/>
      <c r="AW240" s="1288"/>
      <c r="AX240" s="650"/>
      <c r="AY240" s="650"/>
      <c r="AZ240" s="650"/>
      <c r="BA240" s="650"/>
      <c r="BB240" s="1288"/>
      <c r="BC240" s="650"/>
      <c r="BD240" s="650"/>
      <c r="BE240" s="650"/>
      <c r="BF240" s="650"/>
      <c r="BG240" s="1289"/>
      <c r="BH240" s="650"/>
      <c r="BI240" s="650"/>
      <c r="BJ240" s="650"/>
      <c r="BK240" s="650"/>
      <c r="BL240" s="1333">
        <v>6.1249999999999999E-2</v>
      </c>
      <c r="BM240" s="650"/>
      <c r="BN240" s="650"/>
      <c r="BO240" s="650"/>
      <c r="BP240" s="650"/>
      <c r="BQ240" s="1333">
        <v>6.1249999999999999E-2</v>
      </c>
      <c r="BR240" s="650"/>
      <c r="BS240" s="650"/>
      <c r="BT240" s="650"/>
      <c r="BU240" s="650"/>
      <c r="BV240" s="1333">
        <v>6.1249999999999999E-2</v>
      </c>
      <c r="BW240" s="650"/>
      <c r="BX240" s="650"/>
      <c r="BY240" s="650"/>
      <c r="BZ240" s="650"/>
      <c r="CA240" s="1333"/>
      <c r="CB240" s="1334">
        <v>6.1249999999999999E-2</v>
      </c>
      <c r="CC240" s="1334">
        <v>6.1249999999999999E-2</v>
      </c>
      <c r="CD240" s="1334">
        <v>6.1249999999999999E-2</v>
      </c>
      <c r="CE240" s="1334">
        <v>6.1249999999999999E-2</v>
      </c>
      <c r="CF240" s="1333"/>
      <c r="CG240" s="1334"/>
      <c r="CH240" s="1334"/>
      <c r="CI240" s="1334"/>
      <c r="CJ240" s="1334"/>
      <c r="CK240" s="1333"/>
      <c r="CL240" s="1334"/>
      <c r="CM240" s="1334"/>
      <c r="CN240" s="1334"/>
      <c r="CO240" s="1334"/>
      <c r="CP240" s="1333"/>
      <c r="CQ240" s="1334"/>
      <c r="CR240" s="1334"/>
      <c r="CS240" s="1334">
        <f>CR240</f>
        <v>0</v>
      </c>
      <c r="CT240" s="1334">
        <v>3.3750000000000002E-2</v>
      </c>
      <c r="CU240" s="1333"/>
      <c r="CV240" s="1334">
        <f>CT240</f>
        <v>3.3750000000000002E-2</v>
      </c>
      <c r="CW240" s="1334">
        <f>CV240</f>
        <v>3.3750000000000002E-2</v>
      </c>
      <c r="CX240" s="1334">
        <f>CW240</f>
        <v>3.3750000000000002E-2</v>
      </c>
      <c r="CY240" s="1334">
        <f>CX240</f>
        <v>3.3750000000000002E-2</v>
      </c>
      <c r="CZ240" s="1333"/>
      <c r="DA240" s="1334">
        <f>CY240</f>
        <v>3.3750000000000002E-2</v>
      </c>
      <c r="DB240" s="1334">
        <f>DA240</f>
        <v>3.3750000000000002E-2</v>
      </c>
      <c r="DC240" s="1334">
        <f>DB240</f>
        <v>3.3750000000000002E-2</v>
      </c>
      <c r="DD240" s="1334">
        <f>DC240</f>
        <v>3.3750000000000002E-2</v>
      </c>
      <c r="DE240" s="1333"/>
      <c r="DF240" s="1334">
        <f>DD240</f>
        <v>3.3750000000000002E-2</v>
      </c>
      <c r="DG240" s="1334">
        <f>DF240</f>
        <v>3.3750000000000002E-2</v>
      </c>
      <c r="DH240" s="1334">
        <f>DG240</f>
        <v>3.3750000000000002E-2</v>
      </c>
      <c r="DI240" s="1334">
        <f>DH240</f>
        <v>3.3750000000000002E-2</v>
      </c>
      <c r="DJ240" s="1333"/>
      <c r="DK240" s="1334">
        <f>DI240</f>
        <v>3.3750000000000002E-2</v>
      </c>
      <c r="DL240" s="1334">
        <f>DK240</f>
        <v>3.3750000000000002E-2</v>
      </c>
      <c r="DM240" s="1334">
        <f>DL240</f>
        <v>3.3750000000000002E-2</v>
      </c>
      <c r="DN240" s="1334">
        <f>DM240</f>
        <v>3.3750000000000002E-2</v>
      </c>
      <c r="DO240" s="1333"/>
      <c r="DP240" s="1334">
        <f>DN240</f>
        <v>3.3750000000000002E-2</v>
      </c>
      <c r="DQ240" s="1334">
        <f>DP240</f>
        <v>3.3750000000000002E-2</v>
      </c>
      <c r="DR240" s="1334">
        <f>DQ240</f>
        <v>3.3750000000000002E-2</v>
      </c>
      <c r="DS240" s="1334">
        <f>DR240</f>
        <v>3.3750000000000002E-2</v>
      </c>
      <c r="DT240" s="1333"/>
      <c r="DU240" s="1334">
        <f>DS240</f>
        <v>3.3750000000000002E-2</v>
      </c>
      <c r="DV240" s="1334">
        <f>DU240</f>
        <v>3.3750000000000002E-2</v>
      </c>
      <c r="DW240" s="1334">
        <f>DV240</f>
        <v>3.3750000000000002E-2</v>
      </c>
      <c r="DX240" s="1334">
        <f>DW240</f>
        <v>3.3750000000000002E-2</v>
      </c>
      <c r="DY240" s="1333"/>
    </row>
    <row r="241" spans="1:129" x14ac:dyDescent="0.2">
      <c r="A241" s="1223"/>
      <c r="B241" s="1190" t="s">
        <v>1151</v>
      </c>
      <c r="C241" s="1293"/>
      <c r="D241" s="1293"/>
      <c r="E241" s="1293"/>
      <c r="F241" s="1293"/>
      <c r="G241" s="1293"/>
      <c r="H241" s="1293"/>
      <c r="I241" s="1293"/>
      <c r="J241" s="1293"/>
      <c r="K241" s="1293"/>
      <c r="L241" s="1293"/>
      <c r="M241" s="1293"/>
      <c r="N241" s="1293"/>
      <c r="O241" s="1293"/>
      <c r="P241" s="1293"/>
      <c r="Q241" s="1293"/>
      <c r="R241" s="1293"/>
      <c r="S241" s="1293"/>
      <c r="T241" s="1293"/>
      <c r="U241" s="1293"/>
      <c r="V241" s="1293"/>
      <c r="W241" s="1293"/>
      <c r="X241" s="1227"/>
      <c r="Y241" s="1231"/>
      <c r="Z241" s="1231"/>
      <c r="AA241" s="1231"/>
      <c r="AB241" s="1294"/>
      <c r="AC241" s="1227"/>
      <c r="AD241" s="1231"/>
      <c r="AE241" s="1231"/>
      <c r="AF241" s="1231"/>
      <c r="AG241" s="1294"/>
      <c r="AH241" s="1227"/>
      <c r="AI241" s="1231"/>
      <c r="AJ241" s="1231"/>
      <c r="AK241" s="1231"/>
      <c r="AL241" s="1294"/>
      <c r="AM241" s="1227"/>
      <c r="AN241" s="1231"/>
      <c r="AO241" s="1231"/>
      <c r="AP241" s="1231"/>
      <c r="AQ241" s="1294"/>
      <c r="AR241" s="1227"/>
      <c r="AS241" s="1231"/>
      <c r="AT241" s="1231"/>
      <c r="AU241" s="1231"/>
      <c r="AV241" s="1294"/>
      <c r="AW241" s="1227"/>
      <c r="AX241" s="1231"/>
      <c r="AY241" s="1231"/>
      <c r="AZ241" s="1231"/>
      <c r="BA241" s="1231"/>
      <c r="BB241" s="1227"/>
      <c r="BC241" s="1231"/>
      <c r="BD241" s="1231"/>
      <c r="BE241" s="1231"/>
      <c r="BF241" s="1231"/>
      <c r="BG241" s="1227"/>
      <c r="BH241" s="1231"/>
      <c r="BI241" s="1231"/>
      <c r="BJ241" s="1231"/>
      <c r="BK241" s="1231"/>
      <c r="BL241" s="1326"/>
      <c r="BM241" s="1231"/>
      <c r="BN241" s="1231"/>
      <c r="BO241" s="1231"/>
      <c r="BP241" s="1231"/>
      <c r="BQ241" s="1326"/>
      <c r="BR241" s="1231"/>
      <c r="BS241" s="1231"/>
      <c r="BT241" s="1231"/>
      <c r="BU241" s="1231"/>
      <c r="BV241" s="1326"/>
      <c r="BW241" s="1231"/>
      <c r="BX241" s="1231"/>
      <c r="BY241" s="1231"/>
      <c r="BZ241" s="1231"/>
      <c r="CA241" s="1326"/>
      <c r="CB241" s="1231"/>
      <c r="CC241" s="1231"/>
      <c r="CD241" s="1231"/>
      <c r="CE241" s="1231"/>
      <c r="CF241" s="1326"/>
      <c r="CG241" s="1231"/>
      <c r="CH241" s="1231"/>
      <c r="CI241" s="1231"/>
      <c r="CJ241" s="1231"/>
      <c r="CK241" s="1326"/>
      <c r="CL241" s="1231"/>
      <c r="CM241" s="1231"/>
      <c r="CN241" s="1231"/>
      <c r="CO241" s="1231"/>
      <c r="CP241" s="1326"/>
      <c r="CQ241" s="1231"/>
      <c r="CR241" s="1231"/>
      <c r="CS241" s="1231"/>
      <c r="CT241" s="1231"/>
      <c r="CU241" s="1326"/>
      <c r="CV241" s="1231"/>
      <c r="CW241" s="1231"/>
      <c r="CX241" s="1231"/>
      <c r="CY241" s="1231"/>
      <c r="CZ241" s="1326"/>
      <c r="DA241" s="1231"/>
      <c r="DB241" s="1231"/>
      <c r="DC241" s="1231"/>
      <c r="DD241" s="1231"/>
      <c r="DE241" s="1326"/>
      <c r="DF241" s="1231"/>
      <c r="DG241" s="1231"/>
      <c r="DH241" s="1231"/>
      <c r="DI241" s="1231"/>
      <c r="DJ241" s="1326"/>
      <c r="DK241" s="1231"/>
      <c r="DL241" s="1231"/>
      <c r="DM241" s="1231"/>
      <c r="DN241" s="1231"/>
      <c r="DO241" s="1326"/>
      <c r="DP241" s="1231"/>
      <c r="DQ241" s="1231"/>
      <c r="DR241" s="1231"/>
      <c r="DS241" s="1231"/>
      <c r="DT241" s="1326"/>
      <c r="DU241" s="1231"/>
      <c r="DV241" s="1231"/>
      <c r="DW241" s="1231"/>
      <c r="DX241" s="1231"/>
      <c r="DY241" s="1326"/>
    </row>
    <row r="242" spans="1:129" x14ac:dyDescent="0.2">
      <c r="A242" s="1223"/>
      <c r="B242" s="1190" t="s">
        <v>1152</v>
      </c>
      <c r="C242" s="1231"/>
      <c r="D242" s="1231"/>
      <c r="E242" s="1231"/>
      <c r="F242" s="1231"/>
      <c r="G242" s="1231"/>
      <c r="H242" s="1231"/>
      <c r="I242" s="1231"/>
      <c r="J242" s="1231"/>
      <c r="K242" s="1231"/>
      <c r="L242" s="1231"/>
      <c r="M242" s="1231"/>
      <c r="N242" s="1231"/>
      <c r="O242" s="1231"/>
      <c r="P242" s="1231"/>
      <c r="Q242" s="1231"/>
      <c r="R242" s="1231"/>
      <c r="S242" s="1231"/>
      <c r="T242" s="1231"/>
      <c r="U242" s="1231"/>
      <c r="V242" s="1231"/>
      <c r="W242" s="1231"/>
      <c r="X242" s="1227"/>
      <c r="Y242" s="1231"/>
      <c r="Z242" s="1231"/>
      <c r="AA242" s="1231"/>
      <c r="AB242" s="1231"/>
      <c r="AC242" s="1227"/>
      <c r="AD242" s="1231"/>
      <c r="AE242" s="1231"/>
      <c r="AF242" s="1231"/>
      <c r="AG242" s="1231"/>
      <c r="AH242" s="1227"/>
      <c r="AI242" s="1231"/>
      <c r="AJ242" s="1231"/>
      <c r="AK242" s="1231"/>
      <c r="AL242" s="1231"/>
      <c r="AM242" s="1227"/>
      <c r="AN242" s="1231"/>
      <c r="AO242" s="1231"/>
      <c r="AP242" s="1231"/>
      <c r="AQ242" s="1231"/>
      <c r="AR242" s="1227"/>
      <c r="AS242" s="1231"/>
      <c r="AT242" s="1231"/>
      <c r="AU242" s="1231"/>
      <c r="AV242" s="1231"/>
      <c r="AW242" s="1227"/>
      <c r="AX242" s="1231"/>
      <c r="AY242" s="1231"/>
      <c r="AZ242" s="1231"/>
      <c r="BA242" s="1231"/>
      <c r="BB242" s="1227"/>
      <c r="BC242" s="1231"/>
      <c r="BD242" s="1231"/>
      <c r="BE242" s="1231"/>
      <c r="BF242" s="1231"/>
      <c r="BG242" s="1227"/>
      <c r="BH242" s="1231"/>
      <c r="BI242" s="1231"/>
      <c r="BJ242" s="1231"/>
      <c r="BK242" s="1231"/>
      <c r="BL242" s="1326"/>
      <c r="BM242" s="1231"/>
      <c r="BN242" s="1231"/>
      <c r="BO242" s="1231"/>
      <c r="BP242" s="1231"/>
      <c r="BQ242" s="1326">
        <f>BL244</f>
        <v>700</v>
      </c>
      <c r="BR242" s="1231"/>
      <c r="BS242" s="1231"/>
      <c r="BT242" s="1231"/>
      <c r="BU242" s="1231"/>
      <c r="BV242" s="1326">
        <f>BQ244</f>
        <v>700</v>
      </c>
      <c r="BW242" s="1231"/>
      <c r="BX242" s="1231"/>
      <c r="BY242" s="1231"/>
      <c r="BZ242" s="1231"/>
      <c r="CA242" s="1326"/>
      <c r="CB242" s="1223">
        <f>CA244</f>
        <v>0</v>
      </c>
      <c r="CC242" s="1223">
        <f>+CB244</f>
        <v>0</v>
      </c>
      <c r="CD242" s="1223">
        <f>+CC244</f>
        <v>0</v>
      </c>
      <c r="CE242" s="1223">
        <f>+CD244</f>
        <v>0</v>
      </c>
      <c r="CF242" s="1326"/>
      <c r="CG242" s="1223"/>
      <c r="CH242" s="1223"/>
      <c r="CI242" s="1223"/>
      <c r="CJ242" s="1223"/>
      <c r="CK242" s="1326"/>
      <c r="CL242" s="1223"/>
      <c r="CM242" s="1223"/>
      <c r="CN242" s="1223"/>
      <c r="CO242" s="1223"/>
      <c r="CP242" s="1326"/>
      <c r="CQ242" s="1223"/>
      <c r="CR242" s="1223"/>
      <c r="CS242" s="1223">
        <f>+CR244</f>
        <v>0</v>
      </c>
      <c r="CT242" s="1223">
        <f>+CS244</f>
        <v>0</v>
      </c>
      <c r="CU242" s="1326">
        <f>CP244</f>
        <v>0</v>
      </c>
      <c r="CV242" s="1223">
        <f>CT244</f>
        <v>650</v>
      </c>
      <c r="CW242" s="1223">
        <f>+CV244</f>
        <v>650</v>
      </c>
      <c r="CX242" s="1223">
        <f>+CW244</f>
        <v>650</v>
      </c>
      <c r="CY242" s="1223">
        <f>+CX244</f>
        <v>650</v>
      </c>
      <c r="CZ242" s="1326">
        <f>CU244</f>
        <v>650</v>
      </c>
      <c r="DA242" s="1223">
        <f>+CY242</f>
        <v>650</v>
      </c>
      <c r="DB242" s="1223">
        <f>+DA244</f>
        <v>650</v>
      </c>
      <c r="DC242" s="1223">
        <f>+DB244</f>
        <v>650</v>
      </c>
      <c r="DD242" s="1223">
        <f>+DC244</f>
        <v>650</v>
      </c>
      <c r="DE242" s="1326">
        <f>CZ244</f>
        <v>650</v>
      </c>
      <c r="DF242" s="1223">
        <f>+DD242</f>
        <v>650</v>
      </c>
      <c r="DG242" s="1223">
        <f>+DF244</f>
        <v>650</v>
      </c>
      <c r="DH242" s="1223">
        <f>+DG244</f>
        <v>650</v>
      </c>
      <c r="DI242" s="1223">
        <f>+DH244</f>
        <v>650</v>
      </c>
      <c r="DJ242" s="1326">
        <f>DE244</f>
        <v>650</v>
      </c>
      <c r="DK242" s="1223">
        <f>+DI242</f>
        <v>650</v>
      </c>
      <c r="DL242" s="1223">
        <f>+DK244</f>
        <v>650</v>
      </c>
      <c r="DM242" s="1223">
        <f>+DL244</f>
        <v>650</v>
      </c>
      <c r="DN242" s="1223">
        <f>+DM244</f>
        <v>650</v>
      </c>
      <c r="DO242" s="1326">
        <f>DJ244</f>
        <v>650</v>
      </c>
      <c r="DP242" s="1223">
        <f>+DN242</f>
        <v>650</v>
      </c>
      <c r="DQ242" s="1223">
        <f>+DP244</f>
        <v>650</v>
      </c>
      <c r="DR242" s="1223">
        <f>+DQ244</f>
        <v>650</v>
      </c>
      <c r="DS242" s="1223">
        <f>+DR244</f>
        <v>650</v>
      </c>
      <c r="DT242" s="1326">
        <f>DO244</f>
        <v>650</v>
      </c>
      <c r="DU242" s="1223">
        <f>+DS242</f>
        <v>650</v>
      </c>
      <c r="DV242" s="1223">
        <f>+DU244</f>
        <v>650</v>
      </c>
      <c r="DW242" s="1223">
        <f>+DV244</f>
        <v>650</v>
      </c>
      <c r="DX242" s="1223">
        <f>+DW244</f>
        <v>650</v>
      </c>
      <c r="DY242" s="1326">
        <f>DT244</f>
        <v>650</v>
      </c>
    </row>
    <row r="243" spans="1:129" x14ac:dyDescent="0.2">
      <c r="A243" s="1295"/>
      <c r="B243" s="1190" t="s">
        <v>1153</v>
      </c>
      <c r="C243" s="1182"/>
      <c r="D243" s="1182"/>
      <c r="E243" s="1182"/>
      <c r="F243" s="1182"/>
      <c r="G243" s="1182"/>
      <c r="H243" s="1182"/>
      <c r="I243" s="1182"/>
      <c r="J243" s="1182"/>
      <c r="K243" s="1182"/>
      <c r="L243" s="1182"/>
      <c r="M243" s="1182"/>
      <c r="N243" s="1182"/>
      <c r="O243" s="1182"/>
      <c r="P243" s="1182"/>
      <c r="Q243" s="1182"/>
      <c r="R243" s="1182"/>
      <c r="S243" s="1182"/>
      <c r="T243" s="1182"/>
      <c r="U243" s="1182"/>
      <c r="V243" s="1182"/>
      <c r="W243" s="1182"/>
      <c r="X243" s="1296"/>
      <c r="Y243" s="1297"/>
      <c r="Z243" s="1297"/>
      <c r="AA243" s="1297"/>
      <c r="AB243" s="1297"/>
      <c r="AC243" s="1296"/>
      <c r="AD243" s="1297"/>
      <c r="AE243" s="1297"/>
      <c r="AF243" s="1297"/>
      <c r="AG243" s="1297"/>
      <c r="AH243" s="1296"/>
      <c r="AI243" s="1297"/>
      <c r="AJ243" s="1297"/>
      <c r="AK243" s="1297"/>
      <c r="AL243" s="1297"/>
      <c r="AM243" s="1296"/>
      <c r="AN243" s="1297"/>
      <c r="AO243" s="1297"/>
      <c r="AP243" s="1297"/>
      <c r="AQ243" s="1297"/>
      <c r="AR243" s="1296"/>
      <c r="AS243" s="1297"/>
      <c r="AT243" s="1297"/>
      <c r="AU243" s="1297"/>
      <c r="AV243" s="1297"/>
      <c r="AW243" s="1296"/>
      <c r="AX243" s="1298"/>
      <c r="AY243" s="1299"/>
      <c r="AZ243" s="1299"/>
      <c r="BA243" s="1298"/>
      <c r="BB243" s="1300"/>
      <c r="BC243" s="1298"/>
      <c r="BD243" s="1298"/>
      <c r="BE243" s="1298"/>
      <c r="BF243" s="1298"/>
      <c r="BG243" s="1296"/>
      <c r="BH243" s="1298"/>
      <c r="BI243" s="1298"/>
      <c r="BJ243" s="1298"/>
      <c r="BK243" s="1298"/>
      <c r="BL243" s="1335"/>
      <c r="BM243" s="1298"/>
      <c r="BN243" s="1298"/>
      <c r="BO243" s="1298"/>
      <c r="BP243" s="1298"/>
      <c r="BQ243" s="1335">
        <f>BQ244-BQ242</f>
        <v>0</v>
      </c>
      <c r="BR243" s="1298"/>
      <c r="BS243" s="1298"/>
      <c r="BT243" s="1298"/>
      <c r="BU243" s="1298"/>
      <c r="BV243" s="1335">
        <f>BV244-BV242</f>
        <v>0</v>
      </c>
      <c r="BW243" s="1298"/>
      <c r="BX243" s="1298"/>
      <c r="BY243" s="1298"/>
      <c r="BZ243" s="1298"/>
      <c r="CA243" s="1335"/>
      <c r="CB243" s="1336">
        <f>CB244-CB242</f>
        <v>0</v>
      </c>
      <c r="CC243" s="1336">
        <f>CC244-CC242</f>
        <v>0</v>
      </c>
      <c r="CD243" s="1298">
        <v>0</v>
      </c>
      <c r="CE243" s="1298">
        <v>0</v>
      </c>
      <c r="CF243" s="1335"/>
      <c r="CG243" s="1298"/>
      <c r="CH243" s="1298"/>
      <c r="CI243" s="1298"/>
      <c r="CJ243" s="1298"/>
      <c r="CK243" s="1335"/>
      <c r="CL243" s="1298"/>
      <c r="CM243" s="1298"/>
      <c r="CN243" s="1298"/>
      <c r="CO243" s="1298"/>
      <c r="CP243" s="1335"/>
      <c r="CQ243" s="1298"/>
      <c r="CR243" s="1298"/>
      <c r="CS243" s="1298">
        <v>0</v>
      </c>
      <c r="CT243" s="1298">
        <v>650</v>
      </c>
      <c r="CU243" s="1335">
        <f>+SUM(CQ243:CT243)</f>
        <v>650</v>
      </c>
      <c r="CV243" s="1298">
        <v>0</v>
      </c>
      <c r="CW243" s="1298">
        <v>0</v>
      </c>
      <c r="CX243" s="1298">
        <v>0</v>
      </c>
      <c r="CY243" s="1298">
        <v>0</v>
      </c>
      <c r="CZ243" s="1335">
        <f>+SUM(CV243:CY243)</f>
        <v>0</v>
      </c>
      <c r="DA243" s="1298">
        <v>0</v>
      </c>
      <c r="DB243" s="1298">
        <v>0</v>
      </c>
      <c r="DC243" s="1298">
        <v>0</v>
      </c>
      <c r="DD243" s="1298">
        <v>0</v>
      </c>
      <c r="DE243" s="1335">
        <f>+SUM(DA243:DD243)</f>
        <v>0</v>
      </c>
      <c r="DF243" s="1298">
        <v>0</v>
      </c>
      <c r="DG243" s="1298">
        <v>0</v>
      </c>
      <c r="DH243" s="1298">
        <v>0</v>
      </c>
      <c r="DI243" s="1298">
        <v>0</v>
      </c>
      <c r="DJ243" s="1335">
        <f>+SUM(DF243:DI243)</f>
        <v>0</v>
      </c>
      <c r="DK243" s="1298">
        <v>0</v>
      </c>
      <c r="DL243" s="1298">
        <v>0</v>
      </c>
      <c r="DM243" s="1298">
        <v>0</v>
      </c>
      <c r="DN243" s="1298">
        <v>0</v>
      </c>
      <c r="DO243" s="1335">
        <f>+SUM(DK243:DN243)</f>
        <v>0</v>
      </c>
      <c r="DP243" s="1298">
        <v>0</v>
      </c>
      <c r="DQ243" s="1298">
        <v>0</v>
      </c>
      <c r="DR243" s="1298">
        <v>0</v>
      </c>
      <c r="DS243" s="1298">
        <v>0</v>
      </c>
      <c r="DT243" s="1335">
        <f>+SUM(DP243:DS243)</f>
        <v>0</v>
      </c>
      <c r="DU243" s="1298">
        <v>0</v>
      </c>
      <c r="DV243" s="1298">
        <v>0</v>
      </c>
      <c r="DW243" s="1298">
        <v>0</v>
      </c>
      <c r="DX243" s="1298">
        <v>0</v>
      </c>
      <c r="DY243" s="1335">
        <f>+SUM(DU243:DX243)</f>
        <v>0</v>
      </c>
    </row>
    <row r="244" spans="1:129" x14ac:dyDescent="0.2">
      <c r="A244" s="1295"/>
      <c r="B244" s="1190" t="s">
        <v>1154</v>
      </c>
      <c r="C244" s="1182"/>
      <c r="D244" s="1182"/>
      <c r="E244" s="1182"/>
      <c r="F244" s="1182"/>
      <c r="G244" s="1182"/>
      <c r="H244" s="1182"/>
      <c r="I244" s="1182"/>
      <c r="J244" s="1182"/>
      <c r="K244" s="1182"/>
      <c r="L244" s="1182"/>
      <c r="M244" s="1182"/>
      <c r="N244" s="1182"/>
      <c r="O244" s="1182"/>
      <c r="P244" s="1182"/>
      <c r="Q244" s="1182"/>
      <c r="R244" s="1182"/>
      <c r="S244" s="1182"/>
      <c r="T244" s="1182"/>
      <c r="U244" s="1182"/>
      <c r="V244" s="1182"/>
      <c r="W244" s="1182"/>
      <c r="X244" s="1304"/>
      <c r="Y244" s="1305"/>
      <c r="Z244" s="1305"/>
      <c r="AA244" s="1305"/>
      <c r="AB244" s="1305"/>
      <c r="AC244" s="1304"/>
      <c r="AD244" s="1305"/>
      <c r="AE244" s="1305"/>
      <c r="AF244" s="1305"/>
      <c r="AG244" s="1305"/>
      <c r="AH244" s="1304"/>
      <c r="AI244" s="1305"/>
      <c r="AJ244" s="1305"/>
      <c r="AK244" s="1305"/>
      <c r="AL244" s="1305"/>
      <c r="AM244" s="1304"/>
      <c r="AN244" s="1305"/>
      <c r="AO244" s="1305"/>
      <c r="AP244" s="1305"/>
      <c r="AQ244" s="1305"/>
      <c r="AR244" s="1304"/>
      <c r="AS244" s="1305"/>
      <c r="AT244" s="1305"/>
      <c r="AU244" s="1305"/>
      <c r="AV244" s="1305"/>
      <c r="AW244" s="1304"/>
      <c r="AX244" s="1305"/>
      <c r="AY244" s="1305"/>
      <c r="AZ244" s="1305"/>
      <c r="BA244" s="1305"/>
      <c r="BB244" s="1304"/>
      <c r="BC244" s="1305"/>
      <c r="BD244" s="1305"/>
      <c r="BE244" s="1305"/>
      <c r="BF244" s="1305"/>
      <c r="BG244" s="1306"/>
      <c r="BH244" s="1305"/>
      <c r="BI244" s="1305"/>
      <c r="BJ244" s="1305"/>
      <c r="BK244" s="1305"/>
      <c r="BL244" s="1337">
        <v>700</v>
      </c>
      <c r="BM244" s="1305"/>
      <c r="BN244" s="1305"/>
      <c r="BO244" s="1305"/>
      <c r="BP244" s="1305"/>
      <c r="BQ244" s="1337">
        <v>700</v>
      </c>
      <c r="BR244" s="1305"/>
      <c r="BS244" s="1305"/>
      <c r="BT244" s="1305"/>
      <c r="BU244" s="1305"/>
      <c r="BV244" s="1337">
        <v>700</v>
      </c>
      <c r="BW244" s="1305"/>
      <c r="BX244" s="1305"/>
      <c r="BY244" s="1305"/>
      <c r="BZ244" s="1305"/>
      <c r="CA244" s="1337"/>
      <c r="CB244" s="1295">
        <f>CA244</f>
        <v>0</v>
      </c>
      <c r="CC244" s="1226">
        <f>CB244</f>
        <v>0</v>
      </c>
      <c r="CD244" s="1295">
        <f>CD242+CD243</f>
        <v>0</v>
      </c>
      <c r="CE244" s="1295">
        <f>CE242+CE243</f>
        <v>0</v>
      </c>
      <c r="CF244" s="1325"/>
      <c r="CG244" s="1295"/>
      <c r="CH244" s="1295"/>
      <c r="CI244" s="1295"/>
      <c r="CJ244" s="1295"/>
      <c r="CK244" s="1325"/>
      <c r="CL244" s="1295"/>
      <c r="CM244" s="1295"/>
      <c r="CN244" s="1295"/>
      <c r="CO244" s="1295"/>
      <c r="CP244" s="1325"/>
      <c r="CQ244" s="1295"/>
      <c r="CR244" s="1295"/>
      <c r="CS244" s="1295">
        <f t="shared" ref="CS244:CZ244" si="181">CS242+CS243</f>
        <v>0</v>
      </c>
      <c r="CT244" s="1295">
        <f t="shared" si="181"/>
        <v>650</v>
      </c>
      <c r="CU244" s="1325">
        <f t="shared" si="181"/>
        <v>650</v>
      </c>
      <c r="CV244" s="1295">
        <f t="shared" si="181"/>
        <v>650</v>
      </c>
      <c r="CW244" s="1295">
        <f t="shared" si="181"/>
        <v>650</v>
      </c>
      <c r="CX244" s="1295">
        <f t="shared" si="181"/>
        <v>650</v>
      </c>
      <c r="CY244" s="1295">
        <f t="shared" si="181"/>
        <v>650</v>
      </c>
      <c r="CZ244" s="1325">
        <f t="shared" si="181"/>
        <v>650</v>
      </c>
      <c r="DA244" s="1295">
        <f t="shared" ref="DA244:DJ244" si="182">DA242+DA243</f>
        <v>650</v>
      </c>
      <c r="DB244" s="1295">
        <f t="shared" si="182"/>
        <v>650</v>
      </c>
      <c r="DC244" s="1295">
        <f t="shared" si="182"/>
        <v>650</v>
      </c>
      <c r="DD244" s="1295">
        <f t="shared" si="182"/>
        <v>650</v>
      </c>
      <c r="DE244" s="1325">
        <f t="shared" si="182"/>
        <v>650</v>
      </c>
      <c r="DF244" s="1295">
        <f t="shared" si="182"/>
        <v>650</v>
      </c>
      <c r="DG244" s="1295">
        <f t="shared" si="182"/>
        <v>650</v>
      </c>
      <c r="DH244" s="1295">
        <f t="shared" si="182"/>
        <v>650</v>
      </c>
      <c r="DI244" s="1295">
        <f t="shared" si="182"/>
        <v>650</v>
      </c>
      <c r="DJ244" s="1325">
        <f t="shared" si="182"/>
        <v>650</v>
      </c>
      <c r="DK244" s="1295">
        <f t="shared" ref="DK244:DT244" si="183">DK242+DK243</f>
        <v>650</v>
      </c>
      <c r="DL244" s="1295">
        <f t="shared" si="183"/>
        <v>650</v>
      </c>
      <c r="DM244" s="1295">
        <f t="shared" si="183"/>
        <v>650</v>
      </c>
      <c r="DN244" s="1295">
        <f t="shared" si="183"/>
        <v>650</v>
      </c>
      <c r="DO244" s="1325">
        <f t="shared" si="183"/>
        <v>650</v>
      </c>
      <c r="DP244" s="1295">
        <f t="shared" si="183"/>
        <v>650</v>
      </c>
      <c r="DQ244" s="1295">
        <f t="shared" si="183"/>
        <v>650</v>
      </c>
      <c r="DR244" s="1295">
        <f t="shared" si="183"/>
        <v>650</v>
      </c>
      <c r="DS244" s="1295">
        <f t="shared" si="183"/>
        <v>650</v>
      </c>
      <c r="DT244" s="1325">
        <f t="shared" si="183"/>
        <v>650</v>
      </c>
      <c r="DU244" s="1295">
        <f t="shared" ref="DU244:DY244" si="184">DU242+DU243</f>
        <v>650</v>
      </c>
      <c r="DV244" s="1295">
        <f t="shared" si="184"/>
        <v>650</v>
      </c>
      <c r="DW244" s="1295">
        <f t="shared" si="184"/>
        <v>650</v>
      </c>
      <c r="DX244" s="1295">
        <f t="shared" si="184"/>
        <v>650</v>
      </c>
      <c r="DY244" s="1325">
        <f t="shared" si="184"/>
        <v>650</v>
      </c>
    </row>
    <row r="245" spans="1:129" x14ac:dyDescent="0.2">
      <c r="A245" s="1223"/>
      <c r="B245" s="1190" t="s">
        <v>1155</v>
      </c>
      <c r="C245" s="1182"/>
      <c r="D245" s="1182"/>
      <c r="E245" s="1182"/>
      <c r="F245" s="1182"/>
      <c r="G245" s="1182"/>
      <c r="H245" s="1182"/>
      <c r="I245" s="1182"/>
      <c r="J245" s="1182"/>
      <c r="K245" s="1182"/>
      <c r="L245" s="1182"/>
      <c r="M245" s="1182"/>
      <c r="N245" s="1182"/>
      <c r="O245" s="1182"/>
      <c r="P245" s="1182"/>
      <c r="Q245" s="1182"/>
      <c r="R245" s="1182"/>
      <c r="S245" s="1182"/>
      <c r="T245" s="1182"/>
      <c r="U245" s="1182"/>
      <c r="V245" s="1182"/>
      <c r="W245" s="1182"/>
      <c r="X245" s="1227"/>
      <c r="Y245" s="1231"/>
      <c r="Z245" s="1231"/>
      <c r="AA245" s="1231"/>
      <c r="AB245" s="1231"/>
      <c r="AC245" s="1227"/>
      <c r="AD245" s="1231"/>
      <c r="AE245" s="1231"/>
      <c r="AF245" s="1231"/>
      <c r="AG245" s="1231"/>
      <c r="AH245" s="1227"/>
      <c r="AI245" s="1231"/>
      <c r="AJ245" s="1231"/>
      <c r="AK245" s="1231"/>
      <c r="AL245" s="1231"/>
      <c r="AM245" s="1227"/>
      <c r="AN245" s="1231"/>
      <c r="AO245" s="1231"/>
      <c r="AP245" s="1231"/>
      <c r="AQ245" s="1231"/>
      <c r="AR245" s="1227"/>
      <c r="AS245" s="1231"/>
      <c r="AT245" s="1231"/>
      <c r="AU245" s="1231"/>
      <c r="AV245" s="1231"/>
      <c r="AW245" s="1227"/>
      <c r="AX245" s="1231"/>
      <c r="AY245" s="1231"/>
      <c r="AZ245" s="1231"/>
      <c r="BA245" s="1231"/>
      <c r="BB245" s="1227"/>
      <c r="BC245" s="1231"/>
      <c r="BD245" s="1231"/>
      <c r="BE245" s="1231"/>
      <c r="BF245" s="1231"/>
      <c r="BG245" s="1227"/>
      <c r="BH245" s="1231"/>
      <c r="BI245" s="1231"/>
      <c r="BJ245" s="1231"/>
      <c r="BK245" s="1231"/>
      <c r="BL245" s="1326"/>
      <c r="BM245" s="1231"/>
      <c r="BN245" s="1231"/>
      <c r="BO245" s="1231"/>
      <c r="BP245" s="1231"/>
      <c r="BQ245" s="1326"/>
      <c r="BR245" s="1231"/>
      <c r="BS245" s="1231"/>
      <c r="BT245" s="1231"/>
      <c r="BU245" s="1231"/>
      <c r="BV245" s="1326"/>
      <c r="BW245" s="1231"/>
      <c r="BX245" s="1231"/>
      <c r="BY245" s="1231"/>
      <c r="BZ245" s="1231"/>
      <c r="CA245" s="1326"/>
      <c r="CB245" s="1231"/>
      <c r="CC245" s="1231"/>
      <c r="CD245" s="1231"/>
      <c r="CE245" s="1231"/>
      <c r="CF245" s="1326"/>
      <c r="CG245" s="1231"/>
      <c r="CH245" s="1231"/>
      <c r="CI245" s="1231"/>
      <c r="CJ245" s="1231"/>
      <c r="CK245" s="1326"/>
      <c r="CL245" s="1231"/>
      <c r="CM245" s="1231"/>
      <c r="CN245" s="1231"/>
      <c r="CO245" s="1231"/>
      <c r="CP245" s="1326"/>
      <c r="CQ245" s="1231"/>
      <c r="CR245" s="1231"/>
      <c r="CS245" s="1231"/>
      <c r="CT245" s="1231"/>
      <c r="CU245" s="1326"/>
      <c r="CV245" s="1231"/>
      <c r="CW245" s="1231"/>
      <c r="CX245" s="1231"/>
      <c r="CY245" s="1231"/>
      <c r="CZ245" s="1326"/>
      <c r="DA245" s="1231"/>
      <c r="DB245" s="1231"/>
      <c r="DC245" s="1231"/>
      <c r="DD245" s="1231"/>
      <c r="DE245" s="1326"/>
      <c r="DF245" s="1231"/>
      <c r="DG245" s="1231"/>
      <c r="DH245" s="1231"/>
      <c r="DI245" s="1231"/>
      <c r="DJ245" s="1326"/>
      <c r="DK245" s="1231"/>
      <c r="DL245" s="1231"/>
      <c r="DM245" s="1231"/>
      <c r="DN245" s="1231"/>
      <c r="DO245" s="1326"/>
      <c r="DP245" s="1231"/>
      <c r="DQ245" s="1231"/>
      <c r="DR245" s="1231"/>
      <c r="DS245" s="1231"/>
      <c r="DT245" s="1326"/>
      <c r="DU245" s="1231"/>
      <c r="DV245" s="1231"/>
      <c r="DW245" s="1231"/>
      <c r="DX245" s="1231"/>
      <c r="DY245" s="1326"/>
    </row>
    <row r="246" spans="1:129" x14ac:dyDescent="0.2">
      <c r="A246" s="1223"/>
      <c r="B246" s="1190" t="s">
        <v>1156</v>
      </c>
      <c r="C246" s="1182"/>
      <c r="D246" s="1182"/>
      <c r="E246" s="1182"/>
      <c r="F246" s="1182"/>
      <c r="G246" s="1182"/>
      <c r="H246" s="1182"/>
      <c r="I246" s="1182"/>
      <c r="J246" s="1182"/>
      <c r="K246" s="1182"/>
      <c r="L246" s="1182"/>
      <c r="M246" s="1182"/>
      <c r="N246" s="1182"/>
      <c r="O246" s="1182"/>
      <c r="P246" s="1182"/>
      <c r="Q246" s="1182"/>
      <c r="R246" s="1182"/>
      <c r="S246" s="1182"/>
      <c r="T246" s="1182"/>
      <c r="U246" s="1182"/>
      <c r="V246" s="1182"/>
      <c r="W246" s="1182"/>
      <c r="X246" s="1227"/>
      <c r="Y246" s="1231"/>
      <c r="Z246" s="1231"/>
      <c r="AA246" s="1231"/>
      <c r="AB246" s="1231"/>
      <c r="AC246" s="1227"/>
      <c r="AD246" s="1231"/>
      <c r="AE246" s="1231"/>
      <c r="AF246" s="1231"/>
      <c r="AG246" s="1231"/>
      <c r="AH246" s="1227"/>
      <c r="AI246" s="1231"/>
      <c r="AJ246" s="1231"/>
      <c r="AK246" s="1231"/>
      <c r="AL246" s="1231"/>
      <c r="AM246" s="1227"/>
      <c r="AN246" s="1231"/>
      <c r="AO246" s="1231"/>
      <c r="AP246" s="1231"/>
      <c r="AQ246" s="1231"/>
      <c r="AR246" s="1227"/>
      <c r="AS246" s="1231"/>
      <c r="AT246" s="1231"/>
      <c r="AU246" s="1231"/>
      <c r="AV246" s="1231"/>
      <c r="AW246" s="1227"/>
      <c r="AX246" s="1231"/>
      <c r="AY246" s="1231"/>
      <c r="AZ246" s="1231"/>
      <c r="BA246" s="1231"/>
      <c r="BB246" s="1227"/>
      <c r="BC246" s="1231"/>
      <c r="BD246" s="1231"/>
      <c r="BE246" s="1231"/>
      <c r="BF246" s="1231"/>
      <c r="BG246" s="1227"/>
      <c r="BH246" s="1231"/>
      <c r="BI246" s="1231"/>
      <c r="BJ246" s="1231"/>
      <c r="BK246" s="1231"/>
      <c r="BL246" s="1326">
        <f>-(AVERAGE(BL242,BL244))*(BL240)</f>
        <v>-42.875</v>
      </c>
      <c r="BM246" s="1231"/>
      <c r="BN246" s="1231"/>
      <c r="BO246" s="1231"/>
      <c r="BP246" s="1231"/>
      <c r="BQ246" s="1326">
        <f>-(AVERAGE(BQ242,BQ244))*(BQ240)</f>
        <v>-42.875</v>
      </c>
      <c r="BR246" s="1231"/>
      <c r="BS246" s="1231"/>
      <c r="BT246" s="1231"/>
      <c r="BU246" s="1231"/>
      <c r="BV246" s="1326">
        <f>-(AVERAGE(BV242,BV244))*(BV240)</f>
        <v>-42.875</v>
      </c>
      <c r="BW246" s="1231"/>
      <c r="BX246" s="1231"/>
      <c r="BY246" s="1231"/>
      <c r="BZ246" s="1231"/>
      <c r="CA246" s="1326"/>
      <c r="CB246" s="1223">
        <f>-(AVERAGE(CB244,CB242))*(CB240/4)</f>
        <v>0</v>
      </c>
      <c r="CC246" s="1223">
        <f>-(AVERAGE(CC244,CC242))*(CC240/4)</f>
        <v>0</v>
      </c>
      <c r="CD246" s="1223">
        <f>-(AVERAGE(CD244,CD242))*(CD240/4)</f>
        <v>0</v>
      </c>
      <c r="CE246" s="1223">
        <f>-(AVERAGE(CE244,CE242))*(CE240/4)</f>
        <v>0</v>
      </c>
      <c r="CF246" s="1326"/>
      <c r="CG246" s="1223"/>
      <c r="CH246" s="1223"/>
      <c r="CI246" s="1223"/>
      <c r="CJ246" s="1223"/>
      <c r="CK246" s="1326"/>
      <c r="CL246" s="1223"/>
      <c r="CM246" s="1223"/>
      <c r="CN246" s="1223"/>
      <c r="CO246" s="1223"/>
      <c r="CP246" s="1326"/>
      <c r="CQ246" s="1223"/>
      <c r="CR246" s="1223"/>
      <c r="CS246" s="1223">
        <f>-(AVERAGE(CS244,CS242))*(CS240/4)</f>
        <v>0</v>
      </c>
      <c r="CT246" s="1223">
        <f>-CT240/4*CT243</f>
        <v>-5.484375</v>
      </c>
      <c r="CU246" s="1326">
        <f>SUM(CQ246:CT246)</f>
        <v>-5.484375</v>
      </c>
      <c r="CV246" s="1223">
        <f>-(AVERAGE(CV244,CV242))*(CV240/4)</f>
        <v>-5.484375</v>
      </c>
      <c r="CW246" s="1223">
        <f>-(AVERAGE(CW244,CW242))*(CW240/4)</f>
        <v>-5.484375</v>
      </c>
      <c r="CX246" s="1223">
        <f>-(AVERAGE(CX244,CX242))*(CX240/4)</f>
        <v>-5.484375</v>
      </c>
      <c r="CY246" s="1223">
        <f>-(AVERAGE(CY244,CY242))*(CY240/4)</f>
        <v>-5.484375</v>
      </c>
      <c r="CZ246" s="1326">
        <f>SUM(CV246:CY246)</f>
        <v>-21.9375</v>
      </c>
      <c r="DA246" s="1223">
        <f>-(AVERAGE(DA244,DA242))*(DA240/4)</f>
        <v>-5.484375</v>
      </c>
      <c r="DB246" s="1223">
        <f>-(AVERAGE(DB244,DB242))*(DB240/4)</f>
        <v>-5.484375</v>
      </c>
      <c r="DC246" s="1223">
        <f>-(AVERAGE(DC244,DC242))*(DC240/4)</f>
        <v>-5.484375</v>
      </c>
      <c r="DD246" s="1223">
        <f>-(AVERAGE(DD244,DD242))*(DD240/4)</f>
        <v>-5.484375</v>
      </c>
      <c r="DE246" s="1326">
        <f>SUM(DA246:DD246)</f>
        <v>-21.9375</v>
      </c>
      <c r="DF246" s="1223">
        <f>-(AVERAGE(DF244,DF242))*(DF240/4)</f>
        <v>-5.484375</v>
      </c>
      <c r="DG246" s="1223">
        <f>-(AVERAGE(DG244,DG242))*(DG240/4)</f>
        <v>-5.484375</v>
      </c>
      <c r="DH246" s="1223">
        <f>-(AVERAGE(DH244,DH242))*(DH240/4)</f>
        <v>-5.484375</v>
      </c>
      <c r="DI246" s="1223">
        <f>-(AVERAGE(DI244,DI242))*(DI240/4)</f>
        <v>-5.484375</v>
      </c>
      <c r="DJ246" s="1326">
        <f>SUM(DF246:DI246)</f>
        <v>-21.9375</v>
      </c>
      <c r="DK246" s="1223">
        <f>-(AVERAGE(DK244,DK242))*(DK240/4)</f>
        <v>-5.484375</v>
      </c>
      <c r="DL246" s="1223">
        <f>-(AVERAGE(DL244,DL242))*(DL240/4)</f>
        <v>-5.484375</v>
      </c>
      <c r="DM246" s="1223">
        <f>-(AVERAGE(DM244,DM242))*(DM240/4)</f>
        <v>-5.484375</v>
      </c>
      <c r="DN246" s="1223">
        <f>-(AVERAGE(DN244,DN242))*(DN240/4)</f>
        <v>-5.484375</v>
      </c>
      <c r="DO246" s="1326">
        <f>SUM(DK246:DN246)</f>
        <v>-21.9375</v>
      </c>
      <c r="DP246" s="1223">
        <f>-(AVERAGE(DP244,DP242))*(DP240/4)</f>
        <v>-5.484375</v>
      </c>
      <c r="DQ246" s="1223">
        <f>-(AVERAGE(DQ244,DQ242))*(DQ240/4)</f>
        <v>-5.484375</v>
      </c>
      <c r="DR246" s="1223">
        <f>-(AVERAGE(DR244,DR242))*(DR240/4)</f>
        <v>-5.484375</v>
      </c>
      <c r="DS246" s="1223">
        <f>-(AVERAGE(DS244,DS242))*(DS240/4)</f>
        <v>-5.484375</v>
      </c>
      <c r="DT246" s="1326">
        <f>SUM(DP246:DS246)</f>
        <v>-21.9375</v>
      </c>
      <c r="DU246" s="1223">
        <f>-(AVERAGE(DU244,DU242))*(DU240/4)</f>
        <v>-5.484375</v>
      </c>
      <c r="DV246" s="1223">
        <f>-(AVERAGE(DV244,DV242))*(DV240/4)</f>
        <v>-5.484375</v>
      </c>
      <c r="DW246" s="1223">
        <f>-(AVERAGE(DW244,DW242))*(DW240/4)</f>
        <v>-5.484375</v>
      </c>
      <c r="DX246" s="1223">
        <f>-(AVERAGE(DX244,DX242))*(DX240/4)</f>
        <v>-5.484375</v>
      </c>
      <c r="DY246" s="1326">
        <f>SUM(DU246:DX246)</f>
        <v>-21.9375</v>
      </c>
    </row>
    <row r="247" spans="1:129" ht="12" thickBot="1" x14ac:dyDescent="0.25">
      <c r="A247" s="1223"/>
      <c r="B247" s="1250" t="s">
        <v>1157</v>
      </c>
      <c r="C247" s="1251"/>
      <c r="D247" s="1251"/>
      <c r="E247" s="1251"/>
      <c r="F247" s="1251"/>
      <c r="G247" s="1251"/>
      <c r="H247" s="1251"/>
      <c r="I247" s="1251"/>
      <c r="J247" s="1251"/>
      <c r="K247" s="1251"/>
      <c r="L247" s="1251"/>
      <c r="M247" s="1251"/>
      <c r="N247" s="1251"/>
      <c r="O247" s="1251"/>
      <c r="P247" s="1251"/>
      <c r="Q247" s="1251"/>
      <c r="R247" s="1251"/>
      <c r="S247" s="1251"/>
      <c r="T247" s="1251"/>
      <c r="U247" s="1251"/>
      <c r="V247" s="1251"/>
      <c r="W247" s="1251"/>
      <c r="X247" s="1252"/>
      <c r="Y247" s="1251"/>
      <c r="Z247" s="1251"/>
      <c r="AA247" s="1251"/>
      <c r="AB247" s="1251"/>
      <c r="AC247" s="1252"/>
      <c r="AD247" s="1251"/>
      <c r="AE247" s="1251"/>
      <c r="AF247" s="1251"/>
      <c r="AG247" s="1251"/>
      <c r="AH247" s="1252"/>
      <c r="AI247" s="1251"/>
      <c r="AJ247" s="1251"/>
      <c r="AK247" s="1251"/>
      <c r="AL247" s="1251"/>
      <c r="AM247" s="1252"/>
      <c r="AN247" s="1251"/>
      <c r="AO247" s="1251"/>
      <c r="AP247" s="1251"/>
      <c r="AQ247" s="1253"/>
      <c r="AR247" s="1252"/>
      <c r="AS247" s="1253"/>
      <c r="AT247" s="1253"/>
      <c r="AU247" s="1253"/>
      <c r="AV247" s="1253"/>
      <c r="AW247" s="1252"/>
      <c r="AX247" s="1253"/>
      <c r="AY247" s="1253"/>
      <c r="AZ247" s="1253"/>
      <c r="BA247" s="1253"/>
      <c r="BB247" s="1252"/>
      <c r="BC247" s="1253"/>
      <c r="BD247" s="1253"/>
      <c r="BE247" s="1253"/>
      <c r="BF247" s="1253"/>
      <c r="BG247" s="1252"/>
      <c r="BH247" s="1253"/>
      <c r="BI247" s="1253"/>
      <c r="BJ247" s="1253"/>
      <c r="BK247" s="1253"/>
      <c r="BL247" s="1327"/>
      <c r="BM247" s="1253"/>
      <c r="BN247" s="1253"/>
      <c r="BO247" s="1253"/>
      <c r="BP247" s="1253"/>
      <c r="BQ247" s="1327"/>
      <c r="BR247" s="1253"/>
      <c r="BS247" s="1253"/>
      <c r="BT247" s="1253"/>
      <c r="BU247" s="1253"/>
      <c r="BV247" s="1327"/>
      <c r="BW247" s="1253"/>
      <c r="BX247" s="1253"/>
      <c r="BY247" s="1253"/>
      <c r="BZ247" s="1253"/>
      <c r="CA247" s="1327"/>
      <c r="CB247" s="1253">
        <f>-CB239*CB245/4</f>
        <v>0</v>
      </c>
      <c r="CC247" s="1253">
        <f>-CC239*CC245/4</f>
        <v>0</v>
      </c>
      <c r="CD247" s="1253">
        <f>-CD239*CD245/4</f>
        <v>0</v>
      </c>
      <c r="CE247" s="1253">
        <f>-CE239*CE245/4</f>
        <v>0</v>
      </c>
      <c r="CF247" s="1327"/>
      <c r="CG247" s="1253"/>
      <c r="CH247" s="1253"/>
      <c r="CI247" s="1253"/>
      <c r="CJ247" s="1253"/>
      <c r="CK247" s="1327"/>
      <c r="CL247" s="1253"/>
      <c r="CM247" s="1253"/>
      <c r="CN247" s="1253"/>
      <c r="CO247" s="1253"/>
      <c r="CP247" s="1327"/>
      <c r="CQ247" s="1253"/>
      <c r="CR247" s="1253"/>
      <c r="CS247" s="1253">
        <f>-CS239*CS245/4</f>
        <v>0</v>
      </c>
      <c r="CT247" s="1253">
        <f>-CT239*CT245/4</f>
        <v>0</v>
      </c>
      <c r="CU247" s="1327"/>
      <c r="CV247" s="1253">
        <f>-CV239*CV245/4</f>
        <v>0</v>
      </c>
      <c r="CW247" s="1253">
        <f>-CW239*CW245/4</f>
        <v>0</v>
      </c>
      <c r="CX247" s="1253">
        <f>-CX239*CX245/4</f>
        <v>0</v>
      </c>
      <c r="CY247" s="1253">
        <f>-CY239*CY245/4</f>
        <v>0</v>
      </c>
      <c r="CZ247" s="1327"/>
      <c r="DA247" s="1253">
        <f>-DA239*DA245/4</f>
        <v>0</v>
      </c>
      <c r="DB247" s="1253">
        <f>-DB239*DB245/4</f>
        <v>0</v>
      </c>
      <c r="DC247" s="1253">
        <f>-DC239*DC245/4</f>
        <v>0</v>
      </c>
      <c r="DD247" s="1253">
        <f>-DD239*DD245/4</f>
        <v>0</v>
      </c>
      <c r="DE247" s="1327"/>
      <c r="DF247" s="1253">
        <f>-DF239*DF245/4</f>
        <v>0</v>
      </c>
      <c r="DG247" s="1253">
        <f>-DG239*DG245/4</f>
        <v>0</v>
      </c>
      <c r="DH247" s="1253">
        <f>-DH239*DH245/4</f>
        <v>0</v>
      </c>
      <c r="DI247" s="1253">
        <f>-DI239*DI245/4</f>
        <v>0</v>
      </c>
      <c r="DJ247" s="1327"/>
      <c r="DK247" s="1253">
        <f>-DK239*DK245/4</f>
        <v>0</v>
      </c>
      <c r="DL247" s="1253">
        <f>-DL239*DL245/4</f>
        <v>0</v>
      </c>
      <c r="DM247" s="1253">
        <f>-DM239*DM245/4</f>
        <v>0</v>
      </c>
      <c r="DN247" s="1253">
        <f>-DN239*DN245/4</f>
        <v>0</v>
      </c>
      <c r="DO247" s="1327"/>
      <c r="DP247" s="1253">
        <f>-DP239*DP245/4</f>
        <v>0</v>
      </c>
      <c r="DQ247" s="1253">
        <f>-DQ239*DQ245/4</f>
        <v>0</v>
      </c>
      <c r="DR247" s="1253">
        <f>-DR239*DR245/4</f>
        <v>0</v>
      </c>
      <c r="DS247" s="1253">
        <f>-DS239*DS245/4</f>
        <v>0</v>
      </c>
      <c r="DT247" s="1327"/>
      <c r="DU247" s="1253">
        <f>-DU239*DU245/4</f>
        <v>0</v>
      </c>
      <c r="DV247" s="1253">
        <f>-DV239*DV245/4</f>
        <v>0</v>
      </c>
      <c r="DW247" s="1253">
        <f>-DW239*DW245/4</f>
        <v>0</v>
      </c>
      <c r="DX247" s="1253">
        <f>-DX239*DX245/4</f>
        <v>0</v>
      </c>
      <c r="DY247" s="1327"/>
    </row>
    <row r="248" spans="1:129" ht="12" thickBot="1" x14ac:dyDescent="0.25">
      <c r="A248" s="1223"/>
      <c r="B248" s="1231"/>
      <c r="C248" s="1182"/>
      <c r="D248" s="1182"/>
      <c r="E248" s="1182"/>
      <c r="F248" s="1182"/>
      <c r="G248" s="1182"/>
      <c r="H248" s="1182"/>
      <c r="I248" s="1182"/>
      <c r="J248" s="1182"/>
      <c r="K248" s="1182"/>
      <c r="L248" s="1182"/>
      <c r="M248" s="1182"/>
      <c r="N248" s="1182"/>
      <c r="O248" s="1182"/>
      <c r="P248" s="1182"/>
      <c r="Q248" s="1182"/>
      <c r="R248" s="1182"/>
      <c r="S248" s="1182"/>
      <c r="T248" s="1182"/>
      <c r="U248" s="1182"/>
      <c r="V248" s="1182"/>
      <c r="W248" s="1182"/>
      <c r="X248" s="1231"/>
      <c r="Y248" s="1182"/>
      <c r="Z248" s="1182"/>
      <c r="AA248" s="1182"/>
      <c r="AB248" s="1182"/>
      <c r="AC248" s="1231"/>
      <c r="AD248" s="1182"/>
      <c r="AE248" s="1182"/>
      <c r="AF248" s="1182"/>
      <c r="AG248" s="1182"/>
      <c r="AH248" s="1231"/>
      <c r="AI248" s="1182"/>
      <c r="AJ248" s="1182"/>
      <c r="AK248" s="1182"/>
      <c r="AL248" s="1182"/>
      <c r="AM248" s="1231"/>
      <c r="AN248" s="1182"/>
      <c r="AO248" s="1182"/>
      <c r="AP248" s="1182"/>
      <c r="AQ248" s="1231"/>
      <c r="AR248" s="1231"/>
      <c r="AS248" s="1231"/>
      <c r="AT248" s="1231"/>
      <c r="AU248" s="1231"/>
      <c r="AV248" s="1231"/>
      <c r="AW248" s="1231"/>
      <c r="AX248" s="1231"/>
      <c r="AY248" s="1231"/>
      <c r="AZ248" s="1231"/>
      <c r="BA248" s="1231"/>
      <c r="BB248" s="1231"/>
      <c r="BC248" s="1231"/>
      <c r="BD248" s="1231"/>
      <c r="BE248" s="1231"/>
      <c r="BF248" s="1231"/>
      <c r="BG248" s="1231"/>
      <c r="BH248" s="1231"/>
      <c r="BI248" s="1231"/>
      <c r="BJ248" s="1231"/>
      <c r="BK248" s="1231"/>
      <c r="BL248" s="1231"/>
      <c r="BM248" s="1231"/>
      <c r="BN248" s="1231"/>
      <c r="BO248" s="1231"/>
      <c r="BP248" s="1231"/>
      <c r="BQ248" s="1231"/>
      <c r="BR248" s="1231"/>
      <c r="BS248" s="1231"/>
      <c r="BT248" s="1231"/>
      <c r="BU248" s="1231"/>
      <c r="BV248" s="1231"/>
      <c r="BW248" s="1231"/>
      <c r="BX248" s="1231"/>
      <c r="BY248" s="1231"/>
      <c r="BZ248" s="1231"/>
      <c r="CA248" s="1231"/>
      <c r="CB248" s="1231"/>
      <c r="CC248" s="1231"/>
      <c r="CD248" s="1231"/>
      <c r="CE248" s="1231"/>
      <c r="CF248" s="1231"/>
      <c r="CG248" s="1231"/>
      <c r="CH248" s="1231"/>
      <c r="CI248" s="1231"/>
      <c r="CJ248" s="1231"/>
      <c r="CK248" s="1231"/>
      <c r="CL248" s="1231"/>
      <c r="CM248" s="1231"/>
      <c r="CN248" s="1231"/>
      <c r="CO248" s="1231"/>
      <c r="CP248" s="1231"/>
      <c r="CQ248" s="1231"/>
      <c r="CR248" s="1231"/>
      <c r="CS248" s="1231"/>
      <c r="CT248" s="1231"/>
      <c r="CU248" s="1231"/>
      <c r="CV248" s="1231"/>
      <c r="CW248" s="1231"/>
      <c r="CX248" s="1231"/>
      <c r="CY248" s="1231"/>
      <c r="CZ248" s="1231"/>
      <c r="DA248" s="1231"/>
      <c r="DB248" s="1231"/>
      <c r="DC248" s="1231"/>
      <c r="DD248" s="1231"/>
      <c r="DE248" s="1231"/>
      <c r="DF248" s="1231"/>
      <c r="DG248" s="1231"/>
      <c r="DH248" s="1231"/>
      <c r="DI248" s="1231"/>
      <c r="DJ248" s="1231"/>
      <c r="DK248" s="1231"/>
      <c r="DL248" s="1231"/>
      <c r="DM248" s="1231"/>
      <c r="DN248" s="1231"/>
      <c r="DO248" s="1231"/>
      <c r="DP248" s="1231"/>
      <c r="DQ248" s="1231"/>
      <c r="DR248" s="1231"/>
      <c r="DS248" s="1231"/>
      <c r="DT248" s="1231"/>
      <c r="DU248" s="1231"/>
      <c r="DV248" s="1231"/>
      <c r="DW248" s="1231"/>
      <c r="DX248" s="1231"/>
      <c r="DY248" s="1231"/>
    </row>
    <row r="249" spans="1:129" ht="12" thickBot="1" x14ac:dyDescent="0.25">
      <c r="A249" s="1123"/>
      <c r="B249" s="1282" t="s">
        <v>1366</v>
      </c>
      <c r="C249" s="1328"/>
      <c r="D249" s="1329"/>
      <c r="E249" s="1329"/>
      <c r="F249" s="1329"/>
      <c r="G249" s="1329"/>
      <c r="H249" s="1329"/>
      <c r="I249" s="1329"/>
      <c r="J249" s="1329"/>
      <c r="K249" s="1329"/>
      <c r="L249" s="1329"/>
      <c r="M249" s="1329"/>
      <c r="N249" s="1329"/>
      <c r="O249" s="1329"/>
      <c r="P249" s="1329"/>
      <c r="Q249" s="1329"/>
      <c r="R249" s="1329"/>
      <c r="S249" s="1329"/>
      <c r="T249" s="1329"/>
      <c r="U249" s="1329"/>
      <c r="V249" s="1329"/>
      <c r="W249" s="1329"/>
      <c r="X249" s="1328"/>
      <c r="Y249" s="1328"/>
      <c r="Z249" s="1328"/>
      <c r="AA249" s="1328"/>
      <c r="AB249" s="1328"/>
      <c r="AC249" s="1328"/>
      <c r="AD249" s="1328"/>
      <c r="AE249" s="1328"/>
      <c r="AF249" s="1328"/>
      <c r="AG249" s="1328"/>
      <c r="AH249" s="1328"/>
      <c r="AI249" s="1328"/>
      <c r="AJ249" s="1328"/>
      <c r="AK249" s="1328"/>
      <c r="AL249" s="1328"/>
      <c r="AM249" s="1328"/>
      <c r="AN249" s="1328"/>
      <c r="AO249" s="1328"/>
      <c r="AP249" s="1328"/>
      <c r="AQ249" s="1330"/>
      <c r="AR249" s="1330"/>
      <c r="AS249" s="1330"/>
      <c r="AT249" s="1331"/>
      <c r="AU249" s="1331"/>
      <c r="AV249" s="1331"/>
      <c r="AW249" s="1330"/>
      <c r="AX249" s="1330"/>
      <c r="AY249" s="1330"/>
      <c r="AZ249" s="1330"/>
      <c r="BA249" s="1330"/>
      <c r="BB249" s="1330"/>
      <c r="BC249" s="1330"/>
      <c r="BD249" s="1330"/>
      <c r="BE249" s="1330"/>
      <c r="BF249" s="1330"/>
      <c r="BG249" s="1330"/>
      <c r="BH249" s="1330"/>
      <c r="BI249" s="1330"/>
      <c r="BJ249" s="1330"/>
      <c r="BK249" s="1330"/>
      <c r="BL249" s="1332"/>
      <c r="BM249" s="1330"/>
      <c r="BN249" s="1330"/>
      <c r="BO249" s="1330"/>
      <c r="BP249" s="1330"/>
      <c r="BQ249" s="1332"/>
      <c r="BR249" s="1330"/>
      <c r="BS249" s="1330"/>
      <c r="BT249" s="1330"/>
      <c r="BU249" s="1330"/>
      <c r="BV249" s="1332"/>
      <c r="BW249" s="1330"/>
      <c r="BX249" s="1330"/>
      <c r="BY249" s="1330"/>
      <c r="BZ249" s="1330"/>
      <c r="CA249" s="1332"/>
      <c r="CB249" s="1330"/>
      <c r="CC249" s="1330"/>
      <c r="CD249" s="1330"/>
      <c r="CE249" s="1330"/>
      <c r="CF249" s="1332"/>
      <c r="CG249" s="1330"/>
      <c r="CH249" s="1330"/>
      <c r="CI249" s="1330"/>
      <c r="CJ249" s="1330"/>
      <c r="CK249" s="1332"/>
      <c r="CL249" s="1330"/>
      <c r="CM249" s="1330"/>
      <c r="CN249" s="1330"/>
      <c r="CO249" s="1330"/>
      <c r="CP249" s="1332"/>
      <c r="CQ249" s="1330"/>
      <c r="CR249" s="1330"/>
      <c r="CS249" s="1330"/>
      <c r="CT249" s="1330"/>
      <c r="CU249" s="1332"/>
      <c r="CV249" s="1330"/>
      <c r="CW249" s="1330"/>
      <c r="CX249" s="1330"/>
      <c r="CY249" s="1330"/>
      <c r="CZ249" s="1332"/>
      <c r="DA249" s="1330"/>
      <c r="DB249" s="1330"/>
      <c r="DC249" s="1330"/>
      <c r="DD249" s="1330"/>
      <c r="DE249" s="1332"/>
      <c r="DF249" s="1330"/>
      <c r="DG249" s="1330"/>
      <c r="DH249" s="1330"/>
      <c r="DI249" s="1330"/>
      <c r="DJ249" s="1332"/>
      <c r="DK249" s="1330"/>
      <c r="DL249" s="1330"/>
      <c r="DM249" s="1330"/>
      <c r="DN249" s="1330"/>
      <c r="DO249" s="1332"/>
      <c r="DP249" s="1330"/>
      <c r="DQ249" s="1330"/>
      <c r="DR249" s="1330"/>
      <c r="DS249" s="1330"/>
      <c r="DT249" s="1332"/>
      <c r="DU249" s="1330"/>
      <c r="DV249" s="1330"/>
      <c r="DW249" s="1330"/>
      <c r="DX249" s="1330"/>
      <c r="DY249" s="1332"/>
    </row>
    <row r="250" spans="1:129" x14ac:dyDescent="0.2">
      <c r="A250" s="532"/>
      <c r="B250" s="1287" t="s">
        <v>1149</v>
      </c>
      <c r="C250" s="650"/>
      <c r="D250" s="650"/>
      <c r="E250" s="650"/>
      <c r="F250" s="650"/>
      <c r="G250" s="650"/>
      <c r="H250" s="650"/>
      <c r="I250" s="650"/>
      <c r="J250" s="650"/>
      <c r="K250" s="650"/>
      <c r="L250" s="650"/>
      <c r="M250" s="650"/>
      <c r="N250" s="650"/>
      <c r="O250" s="650"/>
      <c r="P250" s="650"/>
      <c r="Q250" s="650"/>
      <c r="R250" s="650"/>
      <c r="S250" s="650"/>
      <c r="T250" s="650"/>
      <c r="U250" s="650"/>
      <c r="V250" s="650"/>
      <c r="W250" s="650"/>
      <c r="X250" s="1288"/>
      <c r="Y250" s="650"/>
      <c r="Z250" s="650"/>
      <c r="AA250" s="650"/>
      <c r="AB250" s="650"/>
      <c r="AC250" s="1288"/>
      <c r="AD250" s="650"/>
      <c r="AE250" s="650"/>
      <c r="AF250" s="650"/>
      <c r="AG250" s="650"/>
      <c r="AH250" s="1288"/>
      <c r="AI250" s="650"/>
      <c r="AJ250" s="650"/>
      <c r="AK250" s="650"/>
      <c r="AL250" s="650"/>
      <c r="AM250" s="1288"/>
      <c r="AN250" s="650"/>
      <c r="AO250" s="650"/>
      <c r="AP250" s="650"/>
      <c r="AQ250" s="650"/>
      <c r="AR250" s="1288"/>
      <c r="AS250" s="650"/>
      <c r="AT250" s="650"/>
      <c r="AU250" s="650"/>
      <c r="AV250" s="650"/>
      <c r="AW250" s="1288"/>
      <c r="AX250" s="650"/>
      <c r="AY250" s="650"/>
      <c r="AZ250" s="650"/>
      <c r="BA250" s="650"/>
      <c r="BB250" s="1288"/>
      <c r="BC250" s="650"/>
      <c r="BD250" s="650"/>
      <c r="BE250" s="650"/>
      <c r="BF250" s="650"/>
      <c r="BG250" s="1288"/>
      <c r="BH250" s="650"/>
      <c r="BI250" s="650"/>
      <c r="BJ250" s="650"/>
      <c r="BK250" s="650"/>
      <c r="BL250" s="583"/>
      <c r="BM250" s="650"/>
      <c r="BN250" s="650"/>
      <c r="BO250" s="650"/>
      <c r="BP250" s="650"/>
      <c r="BQ250" s="583"/>
      <c r="BR250" s="650"/>
      <c r="BS250" s="650"/>
      <c r="BT250" s="650"/>
      <c r="BU250" s="650"/>
      <c r="BV250" s="583"/>
      <c r="BW250" s="650"/>
      <c r="BX250" s="650"/>
      <c r="BY250" s="650"/>
      <c r="BZ250" s="650"/>
      <c r="CA250" s="583"/>
      <c r="CB250" s="650"/>
      <c r="CC250" s="650"/>
      <c r="CD250" s="650"/>
      <c r="CE250" s="650"/>
      <c r="CF250" s="583"/>
      <c r="CG250" s="650"/>
      <c r="CH250" s="650"/>
      <c r="CI250" s="650"/>
      <c r="CJ250" s="650"/>
      <c r="CK250" s="583"/>
      <c r="CL250" s="650"/>
      <c r="CM250" s="650"/>
      <c r="CN250" s="650"/>
      <c r="CO250" s="650"/>
      <c r="CP250" s="583"/>
      <c r="CQ250" s="650"/>
      <c r="CR250" s="650"/>
      <c r="CS250" s="650"/>
      <c r="CT250" s="650"/>
      <c r="CU250" s="583"/>
      <c r="CV250" s="650"/>
      <c r="CW250" s="650"/>
      <c r="CX250" s="650"/>
      <c r="CY250" s="650"/>
      <c r="CZ250" s="583"/>
      <c r="DA250" s="650"/>
      <c r="DB250" s="650"/>
      <c r="DC250" s="650"/>
      <c r="DD250" s="650"/>
      <c r="DE250" s="583"/>
      <c r="DF250" s="650"/>
      <c r="DG250" s="650"/>
      <c r="DH250" s="650"/>
      <c r="DI250" s="650"/>
      <c r="DJ250" s="583"/>
      <c r="DK250" s="650"/>
      <c r="DL250" s="650"/>
      <c r="DM250" s="650"/>
      <c r="DN250" s="650"/>
      <c r="DO250" s="583"/>
      <c r="DP250" s="650"/>
      <c r="DQ250" s="650"/>
      <c r="DR250" s="650"/>
      <c r="DS250" s="650"/>
      <c r="DT250" s="583"/>
      <c r="DU250" s="650"/>
      <c r="DV250" s="650"/>
      <c r="DW250" s="650"/>
      <c r="DX250" s="650"/>
      <c r="DY250" s="583"/>
    </row>
    <row r="251" spans="1:129" x14ac:dyDescent="0.2">
      <c r="A251" s="532"/>
      <c r="B251" s="1287" t="s">
        <v>1150</v>
      </c>
      <c r="C251" s="650"/>
      <c r="D251" s="650"/>
      <c r="E251" s="650"/>
      <c r="F251" s="650"/>
      <c r="G251" s="650"/>
      <c r="H251" s="650"/>
      <c r="I251" s="650"/>
      <c r="J251" s="650"/>
      <c r="K251" s="650"/>
      <c r="L251" s="650"/>
      <c r="M251" s="650"/>
      <c r="N251" s="650"/>
      <c r="O251" s="650"/>
      <c r="P251" s="650"/>
      <c r="Q251" s="650"/>
      <c r="R251" s="650"/>
      <c r="S251" s="650"/>
      <c r="T251" s="650"/>
      <c r="U251" s="650"/>
      <c r="V251" s="650"/>
      <c r="W251" s="650"/>
      <c r="X251" s="1288"/>
      <c r="Y251" s="650"/>
      <c r="Z251" s="650"/>
      <c r="AA251" s="650"/>
      <c r="AB251" s="650"/>
      <c r="AC251" s="1288"/>
      <c r="AD251" s="650"/>
      <c r="AE251" s="650"/>
      <c r="AF251" s="650"/>
      <c r="AG251" s="650"/>
      <c r="AH251" s="1288"/>
      <c r="AI251" s="650"/>
      <c r="AJ251" s="650"/>
      <c r="AK251" s="650"/>
      <c r="AL251" s="650"/>
      <c r="AM251" s="1288"/>
      <c r="AN251" s="650"/>
      <c r="AO251" s="650"/>
      <c r="AP251" s="650"/>
      <c r="AQ251" s="650"/>
      <c r="AR251" s="1288"/>
      <c r="AS251" s="650"/>
      <c r="AT251" s="650"/>
      <c r="AU251" s="650"/>
      <c r="AV251" s="650"/>
      <c r="AW251" s="1288"/>
      <c r="AX251" s="650"/>
      <c r="AY251" s="650"/>
      <c r="AZ251" s="650"/>
      <c r="BA251" s="650"/>
      <c r="BB251" s="1288"/>
      <c r="BC251" s="650"/>
      <c r="BD251" s="650"/>
      <c r="BE251" s="650"/>
      <c r="BF251" s="650"/>
      <c r="BG251" s="1289"/>
      <c r="BH251" s="650"/>
      <c r="BI251" s="650"/>
      <c r="BJ251" s="650"/>
      <c r="BK251" s="650"/>
      <c r="BL251" s="1333">
        <v>6.25E-2</v>
      </c>
      <c r="BM251" s="650"/>
      <c r="BN251" s="650"/>
      <c r="BO251" s="650"/>
      <c r="BP251" s="650"/>
      <c r="BQ251" s="1333">
        <v>6.25E-2</v>
      </c>
      <c r="BR251" s="650"/>
      <c r="BS251" s="650"/>
      <c r="BT251" s="650"/>
      <c r="BU251" s="650"/>
      <c r="BV251" s="1333">
        <v>6.25E-2</v>
      </c>
      <c r="BW251" s="650"/>
      <c r="BX251" s="650"/>
      <c r="BY251" s="650"/>
      <c r="BZ251" s="650"/>
      <c r="CA251" s="1333">
        <v>6.25E-2</v>
      </c>
      <c r="CB251" s="1334">
        <v>6.25E-2</v>
      </c>
      <c r="CC251" s="1334">
        <v>6.25E-2</v>
      </c>
      <c r="CD251" s="1334">
        <v>6.25E-2</v>
      </c>
      <c r="CE251" s="1334">
        <v>6.25E-2</v>
      </c>
      <c r="CF251" s="1333"/>
      <c r="CG251" s="1334">
        <f>CE251</f>
        <v>6.25E-2</v>
      </c>
      <c r="CH251" s="1334">
        <f>CG251</f>
        <v>6.25E-2</v>
      </c>
      <c r="CI251" s="1334">
        <f>CH251</f>
        <v>6.25E-2</v>
      </c>
      <c r="CJ251" s="1334">
        <f>CI251</f>
        <v>6.25E-2</v>
      </c>
      <c r="CK251" s="1333"/>
      <c r="CL251" s="1334">
        <f>CJ251</f>
        <v>6.25E-2</v>
      </c>
      <c r="CM251" s="1334">
        <f>CL251</f>
        <v>6.25E-2</v>
      </c>
      <c r="CN251" s="1334">
        <f>CM251</f>
        <v>6.25E-2</v>
      </c>
      <c r="CO251" s="1334">
        <f>CN251</f>
        <v>6.25E-2</v>
      </c>
      <c r="CP251" s="1333"/>
      <c r="CQ251" s="1334">
        <f>CO251</f>
        <v>6.25E-2</v>
      </c>
      <c r="CR251" s="1334">
        <f>CQ251</f>
        <v>6.25E-2</v>
      </c>
      <c r="CS251" s="1334">
        <f>CR251</f>
        <v>6.25E-2</v>
      </c>
      <c r="CT251" s="1334">
        <f>CS251</f>
        <v>6.25E-2</v>
      </c>
      <c r="CU251" s="1333"/>
      <c r="CV251" s="1334">
        <f>CT251</f>
        <v>6.25E-2</v>
      </c>
      <c r="CW251" s="1334">
        <f>CV251</f>
        <v>6.25E-2</v>
      </c>
      <c r="CX251" s="1334">
        <f>CW251</f>
        <v>6.25E-2</v>
      </c>
      <c r="CY251" s="1334">
        <f>CX251</f>
        <v>6.25E-2</v>
      </c>
      <c r="CZ251" s="1333"/>
      <c r="DA251" s="1334">
        <f>CY251</f>
        <v>6.25E-2</v>
      </c>
      <c r="DB251" s="1334">
        <f>DA251</f>
        <v>6.25E-2</v>
      </c>
      <c r="DC251" s="1334">
        <f>DB251</f>
        <v>6.25E-2</v>
      </c>
      <c r="DD251" s="1334">
        <f>DC251</f>
        <v>6.25E-2</v>
      </c>
      <c r="DE251" s="1333"/>
      <c r="DF251" s="1334">
        <f>DD251</f>
        <v>6.25E-2</v>
      </c>
      <c r="DG251" s="1334">
        <f>DF251</f>
        <v>6.25E-2</v>
      </c>
      <c r="DH251" s="1334">
        <f>DG251</f>
        <v>6.25E-2</v>
      </c>
      <c r="DI251" s="1334">
        <f>DH251</f>
        <v>6.25E-2</v>
      </c>
      <c r="DJ251" s="1333"/>
      <c r="DK251" s="1334">
        <f>DI251</f>
        <v>6.25E-2</v>
      </c>
      <c r="DL251" s="1334">
        <f>DK251</f>
        <v>6.25E-2</v>
      </c>
      <c r="DM251" s="1334">
        <f>DL251</f>
        <v>6.25E-2</v>
      </c>
      <c r="DN251" s="1334">
        <f>DM251</f>
        <v>6.25E-2</v>
      </c>
      <c r="DO251" s="1333"/>
      <c r="DP251" s="1334">
        <f>DN251</f>
        <v>6.25E-2</v>
      </c>
      <c r="DQ251" s="1334">
        <f>DP251</f>
        <v>6.25E-2</v>
      </c>
      <c r="DR251" s="1334">
        <f>DQ251</f>
        <v>6.25E-2</v>
      </c>
      <c r="DS251" s="1334">
        <f>DR251</f>
        <v>6.25E-2</v>
      </c>
      <c r="DT251" s="1333"/>
      <c r="DU251" s="1334">
        <f>DS251</f>
        <v>6.25E-2</v>
      </c>
      <c r="DV251" s="1334">
        <f>DU251</f>
        <v>6.25E-2</v>
      </c>
      <c r="DW251" s="1334">
        <f>DV251</f>
        <v>6.25E-2</v>
      </c>
      <c r="DX251" s="1334">
        <f>DW251</f>
        <v>6.25E-2</v>
      </c>
      <c r="DY251" s="1333"/>
    </row>
    <row r="252" spans="1:129" x14ac:dyDescent="0.2">
      <c r="A252" s="1223"/>
      <c r="B252" s="1190" t="s">
        <v>1151</v>
      </c>
      <c r="C252" s="1293"/>
      <c r="D252" s="1293"/>
      <c r="E252" s="1293"/>
      <c r="F252" s="1293"/>
      <c r="G252" s="1293"/>
      <c r="H252" s="1293"/>
      <c r="I252" s="1293"/>
      <c r="J252" s="1293"/>
      <c r="K252" s="1293"/>
      <c r="L252" s="1293"/>
      <c r="M252" s="1293"/>
      <c r="N252" s="1293"/>
      <c r="O252" s="1293"/>
      <c r="P252" s="1293"/>
      <c r="Q252" s="1293"/>
      <c r="R252" s="1293"/>
      <c r="S252" s="1293"/>
      <c r="T252" s="1293"/>
      <c r="U252" s="1293"/>
      <c r="V252" s="1293"/>
      <c r="W252" s="1293"/>
      <c r="X252" s="1227"/>
      <c r="Y252" s="1231"/>
      <c r="Z252" s="1231"/>
      <c r="AA252" s="1231"/>
      <c r="AB252" s="1294"/>
      <c r="AC252" s="1227"/>
      <c r="AD252" s="1231"/>
      <c r="AE252" s="1231"/>
      <c r="AF252" s="1231"/>
      <c r="AG252" s="1294"/>
      <c r="AH252" s="1227"/>
      <c r="AI252" s="1231"/>
      <c r="AJ252" s="1231"/>
      <c r="AK252" s="1231"/>
      <c r="AL252" s="1294"/>
      <c r="AM252" s="1227"/>
      <c r="AN252" s="1231"/>
      <c r="AO252" s="1231"/>
      <c r="AP252" s="1231"/>
      <c r="AQ252" s="1294"/>
      <c r="AR252" s="1227"/>
      <c r="AS252" s="1231"/>
      <c r="AT252" s="1231"/>
      <c r="AU252" s="1231"/>
      <c r="AV252" s="1294"/>
      <c r="AW252" s="1227"/>
      <c r="AX252" s="1231"/>
      <c r="AY252" s="1231"/>
      <c r="AZ252" s="1231"/>
      <c r="BA252" s="1231"/>
      <c r="BB252" s="1227"/>
      <c r="BC252" s="1231"/>
      <c r="BD252" s="1231"/>
      <c r="BE252" s="1231"/>
      <c r="BF252" s="1231"/>
      <c r="BG252" s="1227"/>
      <c r="BH252" s="1231"/>
      <c r="BI252" s="1231"/>
      <c r="BJ252" s="1231"/>
      <c r="BK252" s="1231"/>
      <c r="BL252" s="1326"/>
      <c r="BM252" s="1231"/>
      <c r="BN252" s="1231"/>
      <c r="BO252" s="1231"/>
      <c r="BP252" s="1231"/>
      <c r="BQ252" s="1326"/>
      <c r="BR252" s="1231"/>
      <c r="BS252" s="1231"/>
      <c r="BT252" s="1231"/>
      <c r="BU252" s="1231"/>
      <c r="BV252" s="1326"/>
      <c r="BW252" s="1231"/>
      <c r="BX252" s="1231"/>
      <c r="BY252" s="1231"/>
      <c r="BZ252" s="1231"/>
      <c r="CA252" s="1326"/>
      <c r="CB252" s="1231"/>
      <c r="CC252" s="1231"/>
      <c r="CD252" s="1231"/>
      <c r="CE252" s="1231"/>
      <c r="CF252" s="1326"/>
      <c r="CG252" s="1231"/>
      <c r="CH252" s="1231"/>
      <c r="CI252" s="1231"/>
      <c r="CJ252" s="1231"/>
      <c r="CK252" s="1326"/>
      <c r="CL252" s="1231"/>
      <c r="CM252" s="1231"/>
      <c r="CN252" s="1231"/>
      <c r="CO252" s="1231"/>
      <c r="CP252" s="1326"/>
      <c r="CQ252" s="1231"/>
      <c r="CR252" s="1231"/>
      <c r="CS252" s="1231"/>
      <c r="CT252" s="1231"/>
      <c r="CU252" s="1326"/>
      <c r="CV252" s="1231"/>
      <c r="CW252" s="1231"/>
      <c r="CX252" s="1231"/>
      <c r="CY252" s="1231"/>
      <c r="CZ252" s="1326"/>
      <c r="DA252" s="1231"/>
      <c r="DB252" s="1231"/>
      <c r="DC252" s="1231"/>
      <c r="DD252" s="1231"/>
      <c r="DE252" s="1326"/>
      <c r="DF252" s="1231"/>
      <c r="DG252" s="1231"/>
      <c r="DH252" s="1231"/>
      <c r="DI252" s="1231"/>
      <c r="DJ252" s="1326"/>
      <c r="DK252" s="1231"/>
      <c r="DL252" s="1231"/>
      <c r="DM252" s="1231"/>
      <c r="DN252" s="1231"/>
      <c r="DO252" s="1326"/>
      <c r="DP252" s="1231"/>
      <c r="DQ252" s="1231"/>
      <c r="DR252" s="1231"/>
      <c r="DS252" s="1231"/>
      <c r="DT252" s="1326"/>
      <c r="DU252" s="1231"/>
      <c r="DV252" s="1231"/>
      <c r="DW252" s="1231"/>
      <c r="DX252" s="1231"/>
      <c r="DY252" s="1326"/>
    </row>
    <row r="253" spans="1:129" x14ac:dyDescent="0.2">
      <c r="A253" s="1223"/>
      <c r="B253" s="1190" t="s">
        <v>1152</v>
      </c>
      <c r="C253" s="1231"/>
      <c r="D253" s="1231"/>
      <c r="E253" s="1231"/>
      <c r="F253" s="1231"/>
      <c r="G253" s="1231"/>
      <c r="H253" s="1231"/>
      <c r="I253" s="1231"/>
      <c r="J253" s="1231"/>
      <c r="K253" s="1231"/>
      <c r="L253" s="1231"/>
      <c r="M253" s="1231"/>
      <c r="N253" s="1231"/>
      <c r="O253" s="1231"/>
      <c r="P253" s="1231"/>
      <c r="Q253" s="1231"/>
      <c r="R253" s="1231"/>
      <c r="S253" s="1231"/>
      <c r="T253" s="1231"/>
      <c r="U253" s="1231"/>
      <c r="V253" s="1231"/>
      <c r="W253" s="1231"/>
      <c r="X253" s="1227"/>
      <c r="Y253" s="1231"/>
      <c r="Z253" s="1231"/>
      <c r="AA253" s="1231"/>
      <c r="AB253" s="1231"/>
      <c r="AC253" s="1227"/>
      <c r="AD253" s="1231"/>
      <c r="AE253" s="1231"/>
      <c r="AF253" s="1231"/>
      <c r="AG253" s="1231"/>
      <c r="AH253" s="1227"/>
      <c r="AI253" s="1231"/>
      <c r="AJ253" s="1231"/>
      <c r="AK253" s="1231"/>
      <c r="AL253" s="1231"/>
      <c r="AM253" s="1227"/>
      <c r="AN253" s="1231"/>
      <c r="AO253" s="1231"/>
      <c r="AP253" s="1231"/>
      <c r="AQ253" s="1231"/>
      <c r="AR253" s="1227"/>
      <c r="AS253" s="1231"/>
      <c r="AT253" s="1231"/>
      <c r="AU253" s="1231"/>
      <c r="AV253" s="1231"/>
      <c r="AW253" s="1227"/>
      <c r="AX253" s="1231"/>
      <c r="AY253" s="1231"/>
      <c r="AZ253" s="1231"/>
      <c r="BA253" s="1231"/>
      <c r="BB253" s="1227"/>
      <c r="BC253" s="1231"/>
      <c r="BD253" s="1231"/>
      <c r="BE253" s="1231"/>
      <c r="BF253" s="1231"/>
      <c r="BG253" s="1227"/>
      <c r="BH253" s="1231"/>
      <c r="BI253" s="1231"/>
      <c r="BJ253" s="1231"/>
      <c r="BK253" s="1231"/>
      <c r="BL253" s="1326"/>
      <c r="BM253" s="1231"/>
      <c r="BN253" s="1231"/>
      <c r="BO253" s="1231"/>
      <c r="BP253" s="1231"/>
      <c r="BQ253" s="1326">
        <f>BL255</f>
        <v>1000</v>
      </c>
      <c r="BR253" s="1231"/>
      <c r="BS253" s="1231"/>
      <c r="BT253" s="1231"/>
      <c r="BU253" s="1231"/>
      <c r="BV253" s="1326">
        <f>BQ255</f>
        <v>1000</v>
      </c>
      <c r="BW253" s="1231"/>
      <c r="BX253" s="1231"/>
      <c r="BY253" s="1231"/>
      <c r="BZ253" s="1231"/>
      <c r="CA253" s="1326">
        <f>BV255</f>
        <v>1000</v>
      </c>
      <c r="CB253" s="1223">
        <f>CA255</f>
        <v>1000</v>
      </c>
      <c r="CC253" s="1223">
        <f>+CB255</f>
        <v>1000</v>
      </c>
      <c r="CD253" s="1223">
        <f>+CC255</f>
        <v>1000</v>
      </c>
      <c r="CE253" s="1223">
        <f>+CD255</f>
        <v>1000</v>
      </c>
      <c r="CF253" s="1326">
        <f>CA255</f>
        <v>1000</v>
      </c>
      <c r="CG253" s="1223">
        <f>+CE255</f>
        <v>1000</v>
      </c>
      <c r="CH253" s="1223">
        <f>+CG255</f>
        <v>1000</v>
      </c>
      <c r="CI253" s="1223">
        <f>+CH255</f>
        <v>1000</v>
      </c>
      <c r="CJ253" s="1223">
        <f>+CI255</f>
        <v>1000</v>
      </c>
      <c r="CK253" s="1326">
        <f>CF255</f>
        <v>1000</v>
      </c>
      <c r="CL253" s="1223">
        <f>+CJ255</f>
        <v>1000</v>
      </c>
      <c r="CM253" s="1223">
        <f>+CL255</f>
        <v>1000</v>
      </c>
      <c r="CN253" s="1223">
        <f>+CM255</f>
        <v>1000</v>
      </c>
      <c r="CO253" s="1223">
        <f>+CN255</f>
        <v>1000</v>
      </c>
      <c r="CP253" s="1326">
        <f>CK255</f>
        <v>1000</v>
      </c>
      <c r="CQ253" s="1223">
        <f>+CO253</f>
        <v>1000</v>
      </c>
      <c r="CR253" s="1223">
        <f>+CQ255</f>
        <v>1000</v>
      </c>
      <c r="CS253" s="1223">
        <f>+CR255</f>
        <v>1000</v>
      </c>
      <c r="CT253" s="1223">
        <f>+CS255</f>
        <v>453</v>
      </c>
      <c r="CU253" s="1326">
        <f>CP255</f>
        <v>1000</v>
      </c>
      <c r="CV253" s="1223">
        <f>+CT253</f>
        <v>453</v>
      </c>
      <c r="CW253" s="1223">
        <f>+CV255</f>
        <v>453</v>
      </c>
      <c r="CX253" s="1223">
        <f>+CW255</f>
        <v>453</v>
      </c>
      <c r="CY253" s="1223">
        <f>+CX255</f>
        <v>453</v>
      </c>
      <c r="CZ253" s="1326">
        <f>CU255</f>
        <v>453</v>
      </c>
      <c r="DA253" s="1223">
        <f>+CY253</f>
        <v>453</v>
      </c>
      <c r="DB253" s="1223">
        <f>+DA255</f>
        <v>453</v>
      </c>
      <c r="DC253" s="1223">
        <f>+DB255</f>
        <v>453</v>
      </c>
      <c r="DD253" s="1223">
        <f>+DC255</f>
        <v>453</v>
      </c>
      <c r="DE253" s="1326">
        <f>CZ255</f>
        <v>453</v>
      </c>
      <c r="DF253" s="1223">
        <f>+DD253</f>
        <v>453</v>
      </c>
      <c r="DG253" s="1223">
        <f>+DF255</f>
        <v>453</v>
      </c>
      <c r="DH253" s="1223">
        <f>+DG255</f>
        <v>453</v>
      </c>
      <c r="DI253" s="1223">
        <f>+DH255</f>
        <v>453</v>
      </c>
      <c r="DJ253" s="1326">
        <f>DE255</f>
        <v>453</v>
      </c>
      <c r="DK253" s="1223">
        <f>+DI253</f>
        <v>453</v>
      </c>
      <c r="DL253" s="1223">
        <f>+DK255</f>
        <v>453</v>
      </c>
      <c r="DM253" s="1223">
        <f>+DL255</f>
        <v>453</v>
      </c>
      <c r="DN253" s="1223">
        <f>+DM255</f>
        <v>453</v>
      </c>
      <c r="DO253" s="1326">
        <f>DJ255</f>
        <v>453</v>
      </c>
      <c r="DP253" s="1223">
        <f>+DN253</f>
        <v>453</v>
      </c>
      <c r="DQ253" s="1223">
        <f>+DP255</f>
        <v>453</v>
      </c>
      <c r="DR253" s="1223">
        <f>+DQ255</f>
        <v>453</v>
      </c>
      <c r="DS253" s="1223">
        <f>+DR255</f>
        <v>453</v>
      </c>
      <c r="DT253" s="1326">
        <f>DO255</f>
        <v>453</v>
      </c>
      <c r="DU253" s="1223">
        <f>+DS253</f>
        <v>453</v>
      </c>
      <c r="DV253" s="1223">
        <f>+DU255</f>
        <v>453</v>
      </c>
      <c r="DW253" s="1223">
        <f>+DV255</f>
        <v>453</v>
      </c>
      <c r="DX253" s="1223">
        <f>+DW255</f>
        <v>453</v>
      </c>
      <c r="DY253" s="1326">
        <f>DT255</f>
        <v>453</v>
      </c>
    </row>
    <row r="254" spans="1:129" x14ac:dyDescent="0.2">
      <c r="A254" s="1295"/>
      <c r="B254" s="1190" t="s">
        <v>1153</v>
      </c>
      <c r="C254" s="1182"/>
      <c r="D254" s="1182"/>
      <c r="E254" s="1182"/>
      <c r="F254" s="1182"/>
      <c r="G254" s="1182"/>
      <c r="H254" s="1182"/>
      <c r="I254" s="1182"/>
      <c r="J254" s="1182"/>
      <c r="K254" s="1182"/>
      <c r="L254" s="1182"/>
      <c r="M254" s="1182"/>
      <c r="N254" s="1182"/>
      <c r="O254" s="1182"/>
      <c r="P254" s="1182"/>
      <c r="Q254" s="1182"/>
      <c r="R254" s="1182"/>
      <c r="S254" s="1182"/>
      <c r="T254" s="1182"/>
      <c r="U254" s="1182"/>
      <c r="V254" s="1182"/>
      <c r="W254" s="1182"/>
      <c r="X254" s="1296"/>
      <c r="Y254" s="1297"/>
      <c r="Z254" s="1297"/>
      <c r="AA254" s="1297"/>
      <c r="AB254" s="1297"/>
      <c r="AC254" s="1296"/>
      <c r="AD254" s="1297"/>
      <c r="AE254" s="1297"/>
      <c r="AF254" s="1297"/>
      <c r="AG254" s="1297"/>
      <c r="AH254" s="1296"/>
      <c r="AI254" s="1297"/>
      <c r="AJ254" s="1297"/>
      <c r="AK254" s="1297"/>
      <c r="AL254" s="1297"/>
      <c r="AM254" s="1296"/>
      <c r="AN254" s="1297"/>
      <c r="AO254" s="1297"/>
      <c r="AP254" s="1297"/>
      <c r="AQ254" s="1297"/>
      <c r="AR254" s="1296"/>
      <c r="AS254" s="1297"/>
      <c r="AT254" s="1297"/>
      <c r="AU254" s="1297"/>
      <c r="AV254" s="1297"/>
      <c r="AW254" s="1296"/>
      <c r="AX254" s="1298"/>
      <c r="AY254" s="1299"/>
      <c r="AZ254" s="1299"/>
      <c r="BA254" s="1298"/>
      <c r="BB254" s="1300"/>
      <c r="BC254" s="1298"/>
      <c r="BD254" s="1298"/>
      <c r="BE254" s="1298"/>
      <c r="BF254" s="1298"/>
      <c r="BG254" s="1296"/>
      <c r="BH254" s="1298"/>
      <c r="BI254" s="1298"/>
      <c r="BJ254" s="1298"/>
      <c r="BK254" s="1298"/>
      <c r="BL254" s="1335"/>
      <c r="BM254" s="1298"/>
      <c r="BN254" s="1298"/>
      <c r="BO254" s="1298"/>
      <c r="BP254" s="1298"/>
      <c r="BQ254" s="1335">
        <f>BQ255-BQ253</f>
        <v>0</v>
      </c>
      <c r="BR254" s="1298"/>
      <c r="BS254" s="1298"/>
      <c r="BT254" s="1298"/>
      <c r="BU254" s="1298"/>
      <c r="BV254" s="1335">
        <f>BV255-BV253</f>
        <v>0</v>
      </c>
      <c r="BW254" s="1298"/>
      <c r="BX254" s="1298"/>
      <c r="BY254" s="1298"/>
      <c r="BZ254" s="1298"/>
      <c r="CA254" s="1335">
        <f>CA255-CA253</f>
        <v>0</v>
      </c>
      <c r="CB254" s="1336">
        <f>CB255-CB253</f>
        <v>0</v>
      </c>
      <c r="CC254" s="1336">
        <f>CC255-CC253</f>
        <v>0</v>
      </c>
      <c r="CD254" s="1298">
        <v>0</v>
      </c>
      <c r="CE254" s="1298">
        <v>0</v>
      </c>
      <c r="CF254" s="1335">
        <f>+SUM(CB254:CE254)</f>
        <v>0</v>
      </c>
      <c r="CG254" s="1298">
        <v>0</v>
      </c>
      <c r="CH254" s="1298">
        <v>0</v>
      </c>
      <c r="CI254" s="1298">
        <v>0</v>
      </c>
      <c r="CJ254" s="1298">
        <v>0</v>
      </c>
      <c r="CK254" s="1335">
        <f>+SUM(CG254:CJ254)</f>
        <v>0</v>
      </c>
      <c r="CL254" s="1298">
        <v>0</v>
      </c>
      <c r="CM254" s="1298">
        <v>0</v>
      </c>
      <c r="CN254" s="1298">
        <v>0</v>
      </c>
      <c r="CO254" s="1298">
        <v>0</v>
      </c>
      <c r="CP254" s="1335">
        <f>+SUM(CL254:CO254)</f>
        <v>0</v>
      </c>
      <c r="CQ254" s="1298">
        <v>0</v>
      </c>
      <c r="CR254" s="1298">
        <v>0</v>
      </c>
      <c r="CS254" s="1298">
        <v>-547</v>
      </c>
      <c r="CT254" s="1298">
        <v>0</v>
      </c>
      <c r="CU254" s="1335">
        <f>+SUM(CQ254:CT254)</f>
        <v>-547</v>
      </c>
      <c r="CV254" s="1298">
        <v>0</v>
      </c>
      <c r="CW254" s="1298">
        <v>0</v>
      </c>
      <c r="CX254" s="1298">
        <v>0</v>
      </c>
      <c r="CY254" s="1298">
        <v>0</v>
      </c>
      <c r="CZ254" s="1335">
        <f>+SUM(CV254:CY254)</f>
        <v>0</v>
      </c>
      <c r="DA254" s="1298">
        <v>0</v>
      </c>
      <c r="DB254" s="1298">
        <v>0</v>
      </c>
      <c r="DC254" s="1298">
        <v>0</v>
      </c>
      <c r="DD254" s="1298">
        <v>0</v>
      </c>
      <c r="DE254" s="1335">
        <f>+SUM(DA254:DD254)</f>
        <v>0</v>
      </c>
      <c r="DF254" s="1298">
        <v>0</v>
      </c>
      <c r="DG254" s="1298">
        <v>0</v>
      </c>
      <c r="DH254" s="1298">
        <v>0</v>
      </c>
      <c r="DI254" s="1298">
        <v>0</v>
      </c>
      <c r="DJ254" s="1335">
        <f>+SUM(DF254:DI254)</f>
        <v>0</v>
      </c>
      <c r="DK254" s="1298">
        <v>0</v>
      </c>
      <c r="DL254" s="1298">
        <v>0</v>
      </c>
      <c r="DM254" s="1298">
        <v>0</v>
      </c>
      <c r="DN254" s="1298">
        <v>0</v>
      </c>
      <c r="DO254" s="1335">
        <f>+SUM(DK254:DN254)</f>
        <v>0</v>
      </c>
      <c r="DP254" s="1298">
        <v>0</v>
      </c>
      <c r="DQ254" s="1298">
        <v>0</v>
      </c>
      <c r="DR254" s="1298">
        <v>0</v>
      </c>
      <c r="DS254" s="1298">
        <v>0</v>
      </c>
      <c r="DT254" s="1335">
        <f>+SUM(DP254:DS254)</f>
        <v>0</v>
      </c>
      <c r="DU254" s="1298">
        <v>0</v>
      </c>
      <c r="DV254" s="1298">
        <v>0</v>
      </c>
      <c r="DW254" s="1298">
        <v>0</v>
      </c>
      <c r="DX254" s="1298">
        <v>0</v>
      </c>
      <c r="DY254" s="1335">
        <f>+SUM(DU254:DX254)</f>
        <v>0</v>
      </c>
    </row>
    <row r="255" spans="1:129" x14ac:dyDescent="0.2">
      <c r="A255" s="1295"/>
      <c r="B255" s="1190" t="s">
        <v>1154</v>
      </c>
      <c r="C255" s="1182"/>
      <c r="D255" s="1182"/>
      <c r="E255" s="1182"/>
      <c r="F255" s="1182"/>
      <c r="G255" s="1182"/>
      <c r="H255" s="1182"/>
      <c r="I255" s="1182"/>
      <c r="J255" s="1182"/>
      <c r="K255" s="1182"/>
      <c r="L255" s="1182"/>
      <c r="M255" s="1182"/>
      <c r="N255" s="1182"/>
      <c r="O255" s="1182"/>
      <c r="P255" s="1182"/>
      <c r="Q255" s="1182"/>
      <c r="R255" s="1182"/>
      <c r="S255" s="1182"/>
      <c r="T255" s="1182"/>
      <c r="U255" s="1182"/>
      <c r="V255" s="1182"/>
      <c r="W255" s="1182"/>
      <c r="X255" s="1304"/>
      <c r="Y255" s="1305"/>
      <c r="Z255" s="1305"/>
      <c r="AA255" s="1305"/>
      <c r="AB255" s="1305"/>
      <c r="AC255" s="1304"/>
      <c r="AD255" s="1305"/>
      <c r="AE255" s="1305"/>
      <c r="AF255" s="1305"/>
      <c r="AG255" s="1305"/>
      <c r="AH255" s="1304"/>
      <c r="AI255" s="1305"/>
      <c r="AJ255" s="1305"/>
      <c r="AK255" s="1305"/>
      <c r="AL255" s="1305"/>
      <c r="AM255" s="1304"/>
      <c r="AN255" s="1305"/>
      <c r="AO255" s="1305"/>
      <c r="AP255" s="1305"/>
      <c r="AQ255" s="1305"/>
      <c r="AR255" s="1304"/>
      <c r="AS255" s="1305"/>
      <c r="AT255" s="1305"/>
      <c r="AU255" s="1305"/>
      <c r="AV255" s="1305"/>
      <c r="AW255" s="1304"/>
      <c r="AX255" s="1305"/>
      <c r="AY255" s="1305"/>
      <c r="AZ255" s="1305"/>
      <c r="BA255" s="1305"/>
      <c r="BB255" s="1304"/>
      <c r="BC255" s="1305"/>
      <c r="BD255" s="1305"/>
      <c r="BE255" s="1305"/>
      <c r="BF255" s="1305"/>
      <c r="BG255" s="1306"/>
      <c r="BH255" s="1305"/>
      <c r="BI255" s="1305"/>
      <c r="BJ255" s="1305"/>
      <c r="BK255" s="1305"/>
      <c r="BL255" s="1337">
        <v>1000</v>
      </c>
      <c r="BM255" s="1305"/>
      <c r="BN255" s="1305"/>
      <c r="BO255" s="1305"/>
      <c r="BP255" s="1305"/>
      <c r="BQ255" s="1337">
        <v>1000</v>
      </c>
      <c r="BR255" s="1305"/>
      <c r="BS255" s="1305"/>
      <c r="BT255" s="1305"/>
      <c r="BU255" s="1305"/>
      <c r="BV255" s="1337">
        <v>1000</v>
      </c>
      <c r="BW255" s="1305"/>
      <c r="BX255" s="1305"/>
      <c r="BY255" s="1305"/>
      <c r="BZ255" s="1305"/>
      <c r="CA255" s="1337">
        <v>1000</v>
      </c>
      <c r="CB255" s="1295">
        <f>CA255</f>
        <v>1000</v>
      </c>
      <c r="CC255" s="1226">
        <f>CB255</f>
        <v>1000</v>
      </c>
      <c r="CD255" s="1295">
        <f t="shared" ref="CD255:CZ255" si="185">CD253+CD254</f>
        <v>1000</v>
      </c>
      <c r="CE255" s="1295">
        <f t="shared" si="185"/>
        <v>1000</v>
      </c>
      <c r="CF255" s="1325">
        <f t="shared" si="185"/>
        <v>1000</v>
      </c>
      <c r="CG255" s="1295">
        <f t="shared" si="185"/>
        <v>1000</v>
      </c>
      <c r="CH255" s="1295">
        <f t="shared" si="185"/>
        <v>1000</v>
      </c>
      <c r="CI255" s="1295">
        <f t="shared" si="185"/>
        <v>1000</v>
      </c>
      <c r="CJ255" s="1295">
        <f t="shared" si="185"/>
        <v>1000</v>
      </c>
      <c r="CK255" s="1325">
        <f t="shared" si="185"/>
        <v>1000</v>
      </c>
      <c r="CL255" s="1295">
        <f t="shared" si="185"/>
        <v>1000</v>
      </c>
      <c r="CM255" s="1295">
        <f t="shared" si="185"/>
        <v>1000</v>
      </c>
      <c r="CN255" s="1295">
        <f t="shared" si="185"/>
        <v>1000</v>
      </c>
      <c r="CO255" s="1295">
        <f t="shared" si="185"/>
        <v>1000</v>
      </c>
      <c r="CP255" s="1325">
        <f t="shared" si="185"/>
        <v>1000</v>
      </c>
      <c r="CQ255" s="1295">
        <f t="shared" si="185"/>
        <v>1000</v>
      </c>
      <c r="CR255" s="1295">
        <f t="shared" si="185"/>
        <v>1000</v>
      </c>
      <c r="CS255" s="1295">
        <f t="shared" si="185"/>
        <v>453</v>
      </c>
      <c r="CT255" s="1295">
        <f t="shared" si="185"/>
        <v>453</v>
      </c>
      <c r="CU255" s="1325">
        <f t="shared" si="185"/>
        <v>453</v>
      </c>
      <c r="CV255" s="1295">
        <f t="shared" si="185"/>
        <v>453</v>
      </c>
      <c r="CW255" s="1295">
        <f t="shared" si="185"/>
        <v>453</v>
      </c>
      <c r="CX255" s="1295">
        <f t="shared" si="185"/>
        <v>453</v>
      </c>
      <c r="CY255" s="1295">
        <f t="shared" si="185"/>
        <v>453</v>
      </c>
      <c r="CZ255" s="1325">
        <f t="shared" si="185"/>
        <v>453</v>
      </c>
      <c r="DA255" s="1295">
        <f t="shared" ref="DA255:DJ255" si="186">DA253+DA254</f>
        <v>453</v>
      </c>
      <c r="DB255" s="1295">
        <f t="shared" si="186"/>
        <v>453</v>
      </c>
      <c r="DC255" s="1295">
        <f t="shared" si="186"/>
        <v>453</v>
      </c>
      <c r="DD255" s="1295">
        <f t="shared" si="186"/>
        <v>453</v>
      </c>
      <c r="DE255" s="1325">
        <f t="shared" si="186"/>
        <v>453</v>
      </c>
      <c r="DF255" s="1295">
        <f t="shared" si="186"/>
        <v>453</v>
      </c>
      <c r="DG255" s="1295">
        <f t="shared" si="186"/>
        <v>453</v>
      </c>
      <c r="DH255" s="1295">
        <f t="shared" si="186"/>
        <v>453</v>
      </c>
      <c r="DI255" s="1295">
        <f t="shared" si="186"/>
        <v>453</v>
      </c>
      <c r="DJ255" s="1325">
        <f t="shared" si="186"/>
        <v>453</v>
      </c>
      <c r="DK255" s="1295">
        <f t="shared" ref="DK255:DT255" si="187">DK253+DK254</f>
        <v>453</v>
      </c>
      <c r="DL255" s="1295">
        <f t="shared" si="187"/>
        <v>453</v>
      </c>
      <c r="DM255" s="1295">
        <f t="shared" si="187"/>
        <v>453</v>
      </c>
      <c r="DN255" s="1295">
        <f t="shared" si="187"/>
        <v>453</v>
      </c>
      <c r="DO255" s="1325">
        <f t="shared" si="187"/>
        <v>453</v>
      </c>
      <c r="DP255" s="1295">
        <f t="shared" si="187"/>
        <v>453</v>
      </c>
      <c r="DQ255" s="1295">
        <f t="shared" si="187"/>
        <v>453</v>
      </c>
      <c r="DR255" s="1295">
        <f t="shared" si="187"/>
        <v>453</v>
      </c>
      <c r="DS255" s="1295">
        <f t="shared" si="187"/>
        <v>453</v>
      </c>
      <c r="DT255" s="1325">
        <f t="shared" si="187"/>
        <v>453</v>
      </c>
      <c r="DU255" s="1295">
        <f t="shared" ref="DU255:DY255" si="188">DU253+DU254</f>
        <v>453</v>
      </c>
      <c r="DV255" s="1295">
        <f t="shared" si="188"/>
        <v>453</v>
      </c>
      <c r="DW255" s="1295">
        <f t="shared" si="188"/>
        <v>453</v>
      </c>
      <c r="DX255" s="1295">
        <f t="shared" si="188"/>
        <v>453</v>
      </c>
      <c r="DY255" s="1325">
        <f t="shared" si="188"/>
        <v>453</v>
      </c>
    </row>
    <row r="256" spans="1:129" x14ac:dyDescent="0.2">
      <c r="A256" s="1223"/>
      <c r="B256" s="1190" t="s">
        <v>1155</v>
      </c>
      <c r="C256" s="1182"/>
      <c r="D256" s="1182"/>
      <c r="E256" s="1182"/>
      <c r="F256" s="1182"/>
      <c r="G256" s="1182"/>
      <c r="H256" s="1182"/>
      <c r="I256" s="1182"/>
      <c r="J256" s="1182"/>
      <c r="K256" s="1182"/>
      <c r="L256" s="1182"/>
      <c r="M256" s="1182"/>
      <c r="N256" s="1182"/>
      <c r="O256" s="1182"/>
      <c r="P256" s="1182"/>
      <c r="Q256" s="1182"/>
      <c r="R256" s="1182"/>
      <c r="S256" s="1182"/>
      <c r="T256" s="1182"/>
      <c r="U256" s="1182"/>
      <c r="V256" s="1182"/>
      <c r="W256" s="1182"/>
      <c r="X256" s="1227"/>
      <c r="Y256" s="1231"/>
      <c r="Z256" s="1231"/>
      <c r="AA256" s="1231"/>
      <c r="AB256" s="1231"/>
      <c r="AC256" s="1227"/>
      <c r="AD256" s="1231"/>
      <c r="AE256" s="1231"/>
      <c r="AF256" s="1231"/>
      <c r="AG256" s="1231"/>
      <c r="AH256" s="1227"/>
      <c r="AI256" s="1231"/>
      <c r="AJ256" s="1231"/>
      <c r="AK256" s="1231"/>
      <c r="AL256" s="1231"/>
      <c r="AM256" s="1227"/>
      <c r="AN256" s="1231"/>
      <c r="AO256" s="1231"/>
      <c r="AP256" s="1231"/>
      <c r="AQ256" s="1231"/>
      <c r="AR256" s="1227"/>
      <c r="AS256" s="1231"/>
      <c r="AT256" s="1231"/>
      <c r="AU256" s="1231"/>
      <c r="AV256" s="1231"/>
      <c r="AW256" s="1227"/>
      <c r="AX256" s="1231"/>
      <c r="AY256" s="1231"/>
      <c r="AZ256" s="1231"/>
      <c r="BA256" s="1231"/>
      <c r="BB256" s="1227"/>
      <c r="BC256" s="1231"/>
      <c r="BD256" s="1231"/>
      <c r="BE256" s="1231"/>
      <c r="BF256" s="1231"/>
      <c r="BG256" s="1227"/>
      <c r="BH256" s="1231"/>
      <c r="BI256" s="1231"/>
      <c r="BJ256" s="1231"/>
      <c r="BK256" s="1231"/>
      <c r="BL256" s="1326"/>
      <c r="BM256" s="1231"/>
      <c r="BN256" s="1231"/>
      <c r="BO256" s="1231"/>
      <c r="BP256" s="1231"/>
      <c r="BQ256" s="1326"/>
      <c r="BR256" s="1231"/>
      <c r="BS256" s="1231"/>
      <c r="BT256" s="1231"/>
      <c r="BU256" s="1231"/>
      <c r="BV256" s="1326"/>
      <c r="BW256" s="1231"/>
      <c r="BX256" s="1231"/>
      <c r="BY256" s="1231"/>
      <c r="BZ256" s="1231"/>
      <c r="CA256" s="1326"/>
      <c r="CB256" s="1231"/>
      <c r="CC256" s="1231"/>
      <c r="CD256" s="1231"/>
      <c r="CE256" s="1231"/>
      <c r="CF256" s="1326"/>
      <c r="CG256" s="1231"/>
      <c r="CH256" s="1231"/>
      <c r="CI256" s="1231"/>
      <c r="CJ256" s="1231"/>
      <c r="CK256" s="1326"/>
      <c r="CL256" s="1231"/>
      <c r="CM256" s="1231"/>
      <c r="CN256" s="1231"/>
      <c r="CO256" s="1231"/>
      <c r="CP256" s="1326"/>
      <c r="CQ256" s="1231"/>
      <c r="CR256" s="1231"/>
      <c r="CS256" s="1231"/>
      <c r="CT256" s="1231"/>
      <c r="CU256" s="1326"/>
      <c r="CV256" s="1231"/>
      <c r="CW256" s="1231"/>
      <c r="CX256" s="1231"/>
      <c r="CY256" s="1231"/>
      <c r="CZ256" s="1326"/>
      <c r="DA256" s="1231"/>
      <c r="DB256" s="1231"/>
      <c r="DC256" s="1231"/>
      <c r="DD256" s="1231"/>
      <c r="DE256" s="1326"/>
      <c r="DF256" s="1231"/>
      <c r="DG256" s="1231"/>
      <c r="DH256" s="1231"/>
      <c r="DI256" s="1231"/>
      <c r="DJ256" s="1326"/>
      <c r="DK256" s="1231"/>
      <c r="DL256" s="1231"/>
      <c r="DM256" s="1231"/>
      <c r="DN256" s="1231"/>
      <c r="DO256" s="1326"/>
      <c r="DP256" s="1231"/>
      <c r="DQ256" s="1231"/>
      <c r="DR256" s="1231"/>
      <c r="DS256" s="1231"/>
      <c r="DT256" s="1326"/>
      <c r="DU256" s="1231"/>
      <c r="DV256" s="1231"/>
      <c r="DW256" s="1231"/>
      <c r="DX256" s="1231"/>
      <c r="DY256" s="1326"/>
    </row>
    <row r="257" spans="1:129" x14ac:dyDescent="0.2">
      <c r="A257" s="1223"/>
      <c r="B257" s="1190" t="s">
        <v>1156</v>
      </c>
      <c r="C257" s="1182"/>
      <c r="D257" s="1182"/>
      <c r="E257" s="1182"/>
      <c r="F257" s="1182"/>
      <c r="G257" s="1182"/>
      <c r="H257" s="1182"/>
      <c r="I257" s="1182"/>
      <c r="J257" s="1182"/>
      <c r="K257" s="1182"/>
      <c r="L257" s="1182"/>
      <c r="M257" s="1182"/>
      <c r="N257" s="1182"/>
      <c r="O257" s="1182"/>
      <c r="P257" s="1182"/>
      <c r="Q257" s="1182"/>
      <c r="R257" s="1182"/>
      <c r="S257" s="1182"/>
      <c r="T257" s="1182"/>
      <c r="U257" s="1182"/>
      <c r="V257" s="1182"/>
      <c r="W257" s="1182"/>
      <c r="X257" s="1227"/>
      <c r="Y257" s="1231"/>
      <c r="Z257" s="1231"/>
      <c r="AA257" s="1231"/>
      <c r="AB257" s="1231"/>
      <c r="AC257" s="1227"/>
      <c r="AD257" s="1231"/>
      <c r="AE257" s="1231"/>
      <c r="AF257" s="1231"/>
      <c r="AG257" s="1231"/>
      <c r="AH257" s="1227"/>
      <c r="AI257" s="1231"/>
      <c r="AJ257" s="1231"/>
      <c r="AK257" s="1231"/>
      <c r="AL257" s="1231"/>
      <c r="AM257" s="1227"/>
      <c r="AN257" s="1231"/>
      <c r="AO257" s="1231"/>
      <c r="AP257" s="1231"/>
      <c r="AQ257" s="1231"/>
      <c r="AR257" s="1227"/>
      <c r="AS257" s="1231"/>
      <c r="AT257" s="1231"/>
      <c r="AU257" s="1231"/>
      <c r="AV257" s="1231"/>
      <c r="AW257" s="1227"/>
      <c r="AX257" s="1231"/>
      <c r="AY257" s="1231"/>
      <c r="AZ257" s="1231"/>
      <c r="BA257" s="1231"/>
      <c r="BB257" s="1227"/>
      <c r="BC257" s="1231"/>
      <c r="BD257" s="1231"/>
      <c r="BE257" s="1231"/>
      <c r="BF257" s="1231"/>
      <c r="BG257" s="1227"/>
      <c r="BH257" s="1231"/>
      <c r="BI257" s="1231"/>
      <c r="BJ257" s="1231"/>
      <c r="BK257" s="1231"/>
      <c r="BL257" s="1326">
        <f>-(AVERAGE(BL253,BL255))*(BL251)</f>
        <v>-62.5</v>
      </c>
      <c r="BM257" s="1231"/>
      <c r="BN257" s="1231"/>
      <c r="BO257" s="1231"/>
      <c r="BP257" s="1231"/>
      <c r="BQ257" s="1326">
        <f>-(AVERAGE(BQ253,BQ255))*(BQ251)</f>
        <v>-62.5</v>
      </c>
      <c r="BR257" s="1231"/>
      <c r="BS257" s="1231"/>
      <c r="BT257" s="1231"/>
      <c r="BU257" s="1231"/>
      <c r="BV257" s="1326">
        <f>-(AVERAGE(BV253,BV255))*(BV251)</f>
        <v>-62.5</v>
      </c>
      <c r="BW257" s="1231"/>
      <c r="BX257" s="1231"/>
      <c r="BY257" s="1231"/>
      <c r="BZ257" s="1231"/>
      <c r="CA257" s="1326">
        <f>-(AVERAGE(CA253,CA255))*(CA251)</f>
        <v>-62.5</v>
      </c>
      <c r="CB257" s="1223">
        <f>-(AVERAGE(CB255,CB253))*(CB251/4)</f>
        <v>-15.625</v>
      </c>
      <c r="CC257" s="1223">
        <f>-(AVERAGE(CC255,CC253))*(CC251/4)</f>
        <v>-15.625</v>
      </c>
      <c r="CD257" s="1223">
        <f>-(AVERAGE(CD255,CD253))*(CD251/4)</f>
        <v>-15.625</v>
      </c>
      <c r="CE257" s="1223">
        <f>-(AVERAGE(CE255,CE253))*(CE251/4)</f>
        <v>-15.625</v>
      </c>
      <c r="CF257" s="1326">
        <f>SUM(CB257:CE257)</f>
        <v>-62.5</v>
      </c>
      <c r="CG257" s="1223">
        <f>-(AVERAGE(CG255,CG253))*(CG251/4)</f>
        <v>-15.625</v>
      </c>
      <c r="CH257" s="1223">
        <f>-(AVERAGE(CH255,CH253))*(CH251/4)</f>
        <v>-15.625</v>
      </c>
      <c r="CI257" s="1223">
        <f>-(AVERAGE(CI255,CI253))*(CI251/4)</f>
        <v>-15.625</v>
      </c>
      <c r="CJ257" s="1223">
        <f>-(AVERAGE(CJ255,CJ253))*(CJ251/4)</f>
        <v>-15.625</v>
      </c>
      <c r="CK257" s="1326">
        <f>SUM(CG257:CJ257)</f>
        <v>-62.5</v>
      </c>
      <c r="CL257" s="1223">
        <f>-(AVERAGE(CL255,CL253))*(CL251/4)</f>
        <v>-15.625</v>
      </c>
      <c r="CM257" s="1223">
        <f>-(AVERAGE(CM255,CM253))*(CM251/4)</f>
        <v>-15.625</v>
      </c>
      <c r="CN257" s="1223">
        <f>-(AVERAGE(CN255,CN253))*(CN251/4)</f>
        <v>-15.625</v>
      </c>
      <c r="CO257" s="1223">
        <f>-(AVERAGE(CO255,CO253))*(CO251/4)</f>
        <v>-15.625</v>
      </c>
      <c r="CP257" s="1326">
        <f>SUM(CL257:CO257)</f>
        <v>-62.5</v>
      </c>
      <c r="CQ257" s="1223">
        <f>-(AVERAGE(CQ255,CQ253))*(CQ251/4)</f>
        <v>-15.625</v>
      </c>
      <c r="CR257" s="1223">
        <f>-(AVERAGE(CR255,CR253))*(CR251/4)</f>
        <v>-15.625</v>
      </c>
      <c r="CS257" s="1223">
        <f>-(AVERAGE(CS255,CS253))*(CS251/4)</f>
        <v>-11.3515625</v>
      </c>
      <c r="CT257" s="1223">
        <f>-(AVERAGE(CT255,CT253))*(CT251/4)</f>
        <v>-7.078125</v>
      </c>
      <c r="CU257" s="1326">
        <f>SUM(CQ257:CT257)</f>
        <v>-49.6796875</v>
      </c>
      <c r="CV257" s="1223">
        <f>-(AVERAGE(CV255,CV253))*(CV251/4)</f>
        <v>-7.078125</v>
      </c>
      <c r="CW257" s="1223">
        <f>-(AVERAGE(CW255,CW253))*(CW251/4)</f>
        <v>-7.078125</v>
      </c>
      <c r="CX257" s="1223">
        <f>-(AVERAGE(CX255,CX253))*(CX251/4)</f>
        <v>-7.078125</v>
      </c>
      <c r="CY257" s="1223">
        <f>-(AVERAGE(CY255,CY253))*(CY251/4)</f>
        <v>-7.078125</v>
      </c>
      <c r="CZ257" s="1326">
        <f>SUM(CV257:CY257)</f>
        <v>-28.3125</v>
      </c>
      <c r="DA257" s="1223">
        <f>-(AVERAGE(DA255,DA253))*(DA251/4)</f>
        <v>-7.078125</v>
      </c>
      <c r="DB257" s="1223">
        <f>-(AVERAGE(DB255,DB253))*(DB251/4)</f>
        <v>-7.078125</v>
      </c>
      <c r="DC257" s="1223">
        <f>-(AVERAGE(DC255,DC253))*(DC251/4)</f>
        <v>-7.078125</v>
      </c>
      <c r="DD257" s="1223">
        <f>-(AVERAGE(DD255,DD253))*(DD251/4)</f>
        <v>-7.078125</v>
      </c>
      <c r="DE257" s="1326">
        <f>SUM(DA257:DD257)</f>
        <v>-28.3125</v>
      </c>
      <c r="DF257" s="1223">
        <f>-(AVERAGE(DF255,DF253))*(DF251/4)</f>
        <v>-7.078125</v>
      </c>
      <c r="DG257" s="1223">
        <f>-(AVERAGE(DG255,DG253))*(DG251/4)</f>
        <v>-7.078125</v>
      </c>
      <c r="DH257" s="1223">
        <f>-(AVERAGE(DH255,DH253))*(DH251/4)</f>
        <v>-7.078125</v>
      </c>
      <c r="DI257" s="1223">
        <f>-(AVERAGE(DI255,DI253))*(DI251/4)</f>
        <v>-7.078125</v>
      </c>
      <c r="DJ257" s="1326">
        <f>SUM(DF257:DI257)</f>
        <v>-28.3125</v>
      </c>
      <c r="DK257" s="1223">
        <f>-(AVERAGE(DK255,DK253))*(DK251/4)</f>
        <v>-7.078125</v>
      </c>
      <c r="DL257" s="1223">
        <f>-(AVERAGE(DL255,DL253))*(DL251/4)</f>
        <v>-7.078125</v>
      </c>
      <c r="DM257" s="1223">
        <f>-(AVERAGE(DM255,DM253))*(DM251/4)</f>
        <v>-7.078125</v>
      </c>
      <c r="DN257" s="1223">
        <f>-(AVERAGE(DN255,DN253))*(DN251/4)</f>
        <v>-7.078125</v>
      </c>
      <c r="DO257" s="1326">
        <f>SUM(DK257:DN257)</f>
        <v>-28.3125</v>
      </c>
      <c r="DP257" s="1223">
        <f>-(AVERAGE(DP255,DP253))*(DP251/4)</f>
        <v>-7.078125</v>
      </c>
      <c r="DQ257" s="1223">
        <f>-(AVERAGE(DQ255,DQ253))*(DQ251/4)</f>
        <v>-7.078125</v>
      </c>
      <c r="DR257" s="1223">
        <f>-(AVERAGE(DR255,DR253))*(DR251/4)</f>
        <v>-7.078125</v>
      </c>
      <c r="DS257" s="1223">
        <f>-(AVERAGE(DS255,DS253))*(DS251/4)</f>
        <v>-7.078125</v>
      </c>
      <c r="DT257" s="1326">
        <f>SUM(DP257:DS257)</f>
        <v>-28.3125</v>
      </c>
      <c r="DU257" s="1223">
        <f>-(AVERAGE(DU255,DU253))*(DU251/4)</f>
        <v>-7.078125</v>
      </c>
      <c r="DV257" s="1223">
        <f>-(AVERAGE(DV255,DV253))*(DV251/4)</f>
        <v>-7.078125</v>
      </c>
      <c r="DW257" s="1223">
        <f>-(AVERAGE(DW255,DW253))*(DW251/4)</f>
        <v>-7.078125</v>
      </c>
      <c r="DX257" s="1223">
        <f>-(AVERAGE(DX255,DX253))*(DX251/4)</f>
        <v>-7.078125</v>
      </c>
      <c r="DY257" s="1326">
        <f>SUM(DU257:DX257)</f>
        <v>-28.3125</v>
      </c>
    </row>
    <row r="258" spans="1:129" ht="12" thickBot="1" x14ac:dyDescent="0.25">
      <c r="A258" s="1223"/>
      <c r="B258" s="1250" t="s">
        <v>1157</v>
      </c>
      <c r="C258" s="1251"/>
      <c r="D258" s="1251"/>
      <c r="E258" s="1251"/>
      <c r="F258" s="1251"/>
      <c r="G258" s="1251"/>
      <c r="H258" s="1251"/>
      <c r="I258" s="1251"/>
      <c r="J258" s="1251"/>
      <c r="K258" s="1251"/>
      <c r="L258" s="1251"/>
      <c r="M258" s="1251"/>
      <c r="N258" s="1251"/>
      <c r="O258" s="1251"/>
      <c r="P258" s="1251"/>
      <c r="Q258" s="1251"/>
      <c r="R258" s="1251"/>
      <c r="S258" s="1251"/>
      <c r="T258" s="1251"/>
      <c r="U258" s="1251"/>
      <c r="V258" s="1251"/>
      <c r="W258" s="1251"/>
      <c r="X258" s="1252"/>
      <c r="Y258" s="1251"/>
      <c r="Z258" s="1251"/>
      <c r="AA258" s="1251"/>
      <c r="AB258" s="1251"/>
      <c r="AC258" s="1252"/>
      <c r="AD258" s="1251"/>
      <c r="AE258" s="1251"/>
      <c r="AF258" s="1251"/>
      <c r="AG258" s="1251"/>
      <c r="AH258" s="1252"/>
      <c r="AI258" s="1251"/>
      <c r="AJ258" s="1251"/>
      <c r="AK258" s="1251"/>
      <c r="AL258" s="1251"/>
      <c r="AM258" s="1252"/>
      <c r="AN258" s="1251"/>
      <c r="AO258" s="1251"/>
      <c r="AP258" s="1251"/>
      <c r="AQ258" s="1253"/>
      <c r="AR258" s="1252"/>
      <c r="AS258" s="1253"/>
      <c r="AT258" s="1253"/>
      <c r="AU258" s="1253"/>
      <c r="AV258" s="1253"/>
      <c r="AW258" s="1252"/>
      <c r="AX258" s="1253"/>
      <c r="AY258" s="1253"/>
      <c r="AZ258" s="1253"/>
      <c r="BA258" s="1253"/>
      <c r="BB258" s="1252"/>
      <c r="BC258" s="1253"/>
      <c r="BD258" s="1253"/>
      <c r="BE258" s="1253"/>
      <c r="BF258" s="1253"/>
      <c r="BG258" s="1252"/>
      <c r="BH258" s="1253"/>
      <c r="BI258" s="1253"/>
      <c r="BJ258" s="1253"/>
      <c r="BK258" s="1253"/>
      <c r="BL258" s="1327"/>
      <c r="BM258" s="1253"/>
      <c r="BN258" s="1253"/>
      <c r="BO258" s="1253"/>
      <c r="BP258" s="1253"/>
      <c r="BQ258" s="1327"/>
      <c r="BR258" s="1253"/>
      <c r="BS258" s="1253"/>
      <c r="BT258" s="1253"/>
      <c r="BU258" s="1253"/>
      <c r="BV258" s="1327"/>
      <c r="BW258" s="1253"/>
      <c r="BX258" s="1253"/>
      <c r="BY258" s="1253"/>
      <c r="BZ258" s="1253"/>
      <c r="CA258" s="1327"/>
      <c r="CB258" s="1253">
        <f>-CB250*CB256/4</f>
        <v>0</v>
      </c>
      <c r="CC258" s="1253">
        <f>-CC250*CC256/4</f>
        <v>0</v>
      </c>
      <c r="CD258" s="1253">
        <f>-CD250*CD256/4</f>
        <v>0</v>
      </c>
      <c r="CE258" s="1253">
        <f>-CE250*CE256/4</f>
        <v>0</v>
      </c>
      <c r="CF258" s="1327"/>
      <c r="CG258" s="1253">
        <f>-CG250*CG256/4</f>
        <v>0</v>
      </c>
      <c r="CH258" s="1253">
        <f>-CH250*CH256/4</f>
        <v>0</v>
      </c>
      <c r="CI258" s="1253">
        <f>-CI250*CI256/4</f>
        <v>0</v>
      </c>
      <c r="CJ258" s="1253">
        <f>-CJ250*CJ256/4</f>
        <v>0</v>
      </c>
      <c r="CK258" s="1327"/>
      <c r="CL258" s="1253">
        <f>-CL250*CL256/4</f>
        <v>0</v>
      </c>
      <c r="CM258" s="1253">
        <f>-CM250*CM256/4</f>
        <v>0</v>
      </c>
      <c r="CN258" s="1253">
        <f>-CN250*CN256/4</f>
        <v>0</v>
      </c>
      <c r="CO258" s="1253">
        <f>-CO250*CO256/4</f>
        <v>0</v>
      </c>
      <c r="CP258" s="1327"/>
      <c r="CQ258" s="1253">
        <f>-CQ250*CQ256/4</f>
        <v>0</v>
      </c>
      <c r="CR258" s="1253">
        <f>-CR250*CR256/4</f>
        <v>0</v>
      </c>
      <c r="CS258" s="1253">
        <f>-CS250*CS256/4</f>
        <v>0</v>
      </c>
      <c r="CT258" s="1253">
        <f>-CT250*CT256/4</f>
        <v>0</v>
      </c>
      <c r="CU258" s="1327"/>
      <c r="CV258" s="1253">
        <f>-CV250*CV256/4</f>
        <v>0</v>
      </c>
      <c r="CW258" s="1253">
        <f>-CW250*CW256/4</f>
        <v>0</v>
      </c>
      <c r="CX258" s="1253">
        <f>-CX250*CX256/4</f>
        <v>0</v>
      </c>
      <c r="CY258" s="1253">
        <f>-CY250*CY256/4</f>
        <v>0</v>
      </c>
      <c r="CZ258" s="1327"/>
      <c r="DA258" s="1253">
        <f>-DA250*DA256/4</f>
        <v>0</v>
      </c>
      <c r="DB258" s="1253">
        <f>-DB250*DB256/4</f>
        <v>0</v>
      </c>
      <c r="DC258" s="1253">
        <f>-DC250*DC256/4</f>
        <v>0</v>
      </c>
      <c r="DD258" s="1253">
        <f>-DD250*DD256/4</f>
        <v>0</v>
      </c>
      <c r="DE258" s="1327"/>
      <c r="DF258" s="1253">
        <f>-DF250*DF256/4</f>
        <v>0</v>
      </c>
      <c r="DG258" s="1253">
        <f>-DG250*DG256/4</f>
        <v>0</v>
      </c>
      <c r="DH258" s="1253">
        <f>-DH250*DH256/4</f>
        <v>0</v>
      </c>
      <c r="DI258" s="1253">
        <f>-DI250*DI256/4</f>
        <v>0</v>
      </c>
      <c r="DJ258" s="1327"/>
      <c r="DK258" s="1253">
        <f>-DK250*DK256/4</f>
        <v>0</v>
      </c>
      <c r="DL258" s="1253">
        <f>-DL250*DL256/4</f>
        <v>0</v>
      </c>
      <c r="DM258" s="1253">
        <f>-DM250*DM256/4</f>
        <v>0</v>
      </c>
      <c r="DN258" s="1253">
        <f>-DN250*DN256/4</f>
        <v>0</v>
      </c>
      <c r="DO258" s="1327"/>
      <c r="DP258" s="1253">
        <f>-DP250*DP256/4</f>
        <v>0</v>
      </c>
      <c r="DQ258" s="1253">
        <f>-DQ250*DQ256/4</f>
        <v>0</v>
      </c>
      <c r="DR258" s="1253">
        <f>-DR250*DR256/4</f>
        <v>0</v>
      </c>
      <c r="DS258" s="1253">
        <f>-DS250*DS256/4</f>
        <v>0</v>
      </c>
      <c r="DT258" s="1327"/>
      <c r="DU258" s="1253">
        <f>-DU250*DU256/4</f>
        <v>0</v>
      </c>
      <c r="DV258" s="1253">
        <f>-DV250*DV256/4</f>
        <v>0</v>
      </c>
      <c r="DW258" s="1253">
        <f>-DW250*DW256/4</f>
        <v>0</v>
      </c>
      <c r="DX258" s="1253">
        <f>-DX250*DX256/4</f>
        <v>0</v>
      </c>
      <c r="DY258" s="1327"/>
    </row>
    <row r="259" spans="1:129" ht="12" thickBot="1" x14ac:dyDescent="0.25">
      <c r="A259" s="1240"/>
      <c r="B259" s="1240"/>
      <c r="C259" s="1214"/>
      <c r="D259" s="1214"/>
      <c r="E259" s="1214"/>
      <c r="F259" s="1214"/>
      <c r="G259" s="1214"/>
      <c r="H259" s="1214"/>
      <c r="I259" s="1214"/>
      <c r="J259" s="1214"/>
      <c r="K259" s="1214"/>
      <c r="L259" s="1214"/>
      <c r="M259" s="1214"/>
      <c r="N259" s="1214"/>
      <c r="O259" s="1214"/>
      <c r="P259" s="1214"/>
      <c r="Q259" s="1214"/>
      <c r="R259" s="1214"/>
      <c r="S259" s="1214"/>
      <c r="T259" s="1214"/>
      <c r="U259" s="1214"/>
      <c r="V259" s="1214"/>
      <c r="W259" s="1214"/>
      <c r="X259" s="1214"/>
      <c r="Y259" s="1214"/>
      <c r="Z259" s="1214"/>
      <c r="AA259" s="1214"/>
      <c r="AB259" s="1214"/>
      <c r="AC259" s="1214"/>
      <c r="AD259" s="1214"/>
      <c r="AE259" s="1214"/>
      <c r="AF259" s="1214"/>
      <c r="AG259" s="1214"/>
      <c r="AH259" s="1214"/>
      <c r="AI259" s="1214"/>
      <c r="AJ259" s="1214"/>
      <c r="AK259" s="1214"/>
      <c r="AL259" s="1214"/>
      <c r="AM259" s="1214"/>
      <c r="AN259" s="1214"/>
      <c r="AO259" s="1214"/>
      <c r="AP259" s="1214"/>
      <c r="AQ259" s="1215"/>
      <c r="AR259" s="1215"/>
      <c r="AS259" s="1215"/>
      <c r="AT259" s="1215"/>
      <c r="AU259" s="1215"/>
      <c r="AV259" s="1215"/>
      <c r="AW259" s="1338"/>
      <c r="AX259" s="1215"/>
      <c r="AY259" s="1215"/>
      <c r="AZ259" s="1215"/>
      <c r="BA259" s="1215"/>
      <c r="BB259" s="1338"/>
      <c r="BC259" s="1215"/>
      <c r="BD259" s="1215"/>
      <c r="BE259" s="1215"/>
      <c r="BF259" s="1215"/>
      <c r="BG259" s="1338"/>
      <c r="BH259" s="1215"/>
      <c r="BI259" s="1215"/>
      <c r="BJ259" s="1215"/>
      <c r="BK259" s="1215"/>
      <c r="BL259" s="1338"/>
      <c r="BM259" s="1215"/>
      <c r="BN259" s="1215"/>
      <c r="BO259" s="1215"/>
      <c r="BP259" s="1215"/>
      <c r="BQ259" s="1338"/>
      <c r="BR259" s="1215"/>
      <c r="BS259" s="1215"/>
      <c r="BT259" s="1215"/>
      <c r="BU259" s="1215"/>
      <c r="BV259" s="1338"/>
      <c r="BW259" s="1215"/>
      <c r="BX259" s="1215"/>
      <c r="BY259" s="1215"/>
      <c r="BZ259" s="1215"/>
      <c r="CA259" s="1338"/>
      <c r="CB259" s="1215"/>
      <c r="CC259" s="1215"/>
      <c r="CD259" s="1215"/>
      <c r="CE259" s="1215"/>
      <c r="CF259" s="1338"/>
      <c r="CG259" s="1215"/>
      <c r="CH259" s="1215"/>
      <c r="CI259" s="1215"/>
      <c r="CJ259" s="1215"/>
      <c r="CK259" s="1338"/>
      <c r="CL259" s="1215"/>
      <c r="CM259" s="1215"/>
      <c r="CN259" s="1215"/>
      <c r="CO259" s="1215"/>
      <c r="CP259" s="1338"/>
      <c r="CQ259" s="1215"/>
      <c r="CR259" s="1215"/>
      <c r="CS259" s="1215"/>
      <c r="CT259" s="1215"/>
      <c r="CU259" s="1338"/>
      <c r="CV259" s="1215"/>
      <c r="CW259" s="1215"/>
      <c r="CX259" s="1215"/>
      <c r="CY259" s="1215"/>
      <c r="CZ259" s="1338"/>
      <c r="DA259" s="1215"/>
      <c r="DB259" s="1215"/>
      <c r="DC259" s="1215"/>
      <c r="DD259" s="1215"/>
      <c r="DE259" s="1338"/>
      <c r="DF259" s="1215"/>
      <c r="DG259" s="1215"/>
      <c r="DH259" s="1215"/>
      <c r="DI259" s="1215"/>
      <c r="DJ259" s="1338"/>
      <c r="DK259" s="1215"/>
      <c r="DL259" s="1215"/>
      <c r="DM259" s="1215"/>
      <c r="DN259" s="1215"/>
      <c r="DO259" s="1338"/>
      <c r="DP259" s="1215"/>
      <c r="DQ259" s="1215"/>
      <c r="DR259" s="1215"/>
      <c r="DS259" s="1215"/>
      <c r="DT259" s="1338"/>
      <c r="DU259" s="1215"/>
      <c r="DV259" s="1215"/>
      <c r="DW259" s="1215"/>
      <c r="DX259" s="1215"/>
      <c r="DY259" s="1338"/>
    </row>
    <row r="260" spans="1:129" ht="12" thickBot="1" x14ac:dyDescent="0.25">
      <c r="A260" s="1123"/>
      <c r="B260" s="1282" t="s">
        <v>1167</v>
      </c>
      <c r="C260" s="1328"/>
      <c r="D260" s="1329"/>
      <c r="E260" s="1329"/>
      <c r="F260" s="1329"/>
      <c r="G260" s="1329"/>
      <c r="H260" s="1329"/>
      <c r="I260" s="1329"/>
      <c r="J260" s="1329"/>
      <c r="K260" s="1329"/>
      <c r="L260" s="1329"/>
      <c r="M260" s="1329"/>
      <c r="N260" s="1329"/>
      <c r="O260" s="1329"/>
      <c r="P260" s="1329"/>
      <c r="Q260" s="1329"/>
      <c r="R260" s="1329"/>
      <c r="S260" s="1329"/>
      <c r="T260" s="1329"/>
      <c r="U260" s="1329"/>
      <c r="V260" s="1329"/>
      <c r="W260" s="1329"/>
      <c r="X260" s="1328"/>
      <c r="Y260" s="1328"/>
      <c r="Z260" s="1328"/>
      <c r="AA260" s="1328"/>
      <c r="AB260" s="1328"/>
      <c r="AC260" s="1328"/>
      <c r="AD260" s="1328"/>
      <c r="AE260" s="1328"/>
      <c r="AF260" s="1328"/>
      <c r="AG260" s="1328"/>
      <c r="AH260" s="1328"/>
      <c r="AI260" s="1328"/>
      <c r="AJ260" s="1328"/>
      <c r="AK260" s="1328"/>
      <c r="AL260" s="1328"/>
      <c r="AM260" s="1328"/>
      <c r="AN260" s="1328"/>
      <c r="AO260" s="1328"/>
      <c r="AP260" s="1328"/>
      <c r="AQ260" s="1330"/>
      <c r="AR260" s="1330"/>
      <c r="AS260" s="1330"/>
      <c r="AT260" s="1331"/>
      <c r="AU260" s="1331"/>
      <c r="AV260" s="1331"/>
      <c r="AW260" s="1330"/>
      <c r="AX260" s="1330"/>
      <c r="AY260" s="1330"/>
      <c r="AZ260" s="1330"/>
      <c r="BA260" s="1330"/>
      <c r="BB260" s="1330"/>
      <c r="BC260" s="1330"/>
      <c r="BD260" s="1330"/>
      <c r="BE260" s="1330"/>
      <c r="BF260" s="1330"/>
      <c r="BG260" s="1330"/>
      <c r="BH260" s="1330"/>
      <c r="BI260" s="1330"/>
      <c r="BJ260" s="1330"/>
      <c r="BK260" s="1330"/>
      <c r="BL260" s="1332"/>
      <c r="BM260" s="1330"/>
      <c r="BN260" s="1330"/>
      <c r="BO260" s="1330"/>
      <c r="BP260" s="1330"/>
      <c r="BQ260" s="1332"/>
      <c r="BR260" s="1330"/>
      <c r="BS260" s="1330"/>
      <c r="BT260" s="1330"/>
      <c r="BU260" s="1330"/>
      <c r="BV260" s="1332"/>
      <c r="BW260" s="1330"/>
      <c r="BX260" s="1330"/>
      <c r="BY260" s="1330"/>
      <c r="BZ260" s="1330"/>
      <c r="CA260" s="1332"/>
      <c r="CB260" s="1330"/>
      <c r="CC260" s="1330"/>
      <c r="CD260" s="1330"/>
      <c r="CE260" s="1330"/>
      <c r="CF260" s="1332"/>
      <c r="CG260" s="1330"/>
      <c r="CH260" s="1330"/>
      <c r="CI260" s="1330"/>
      <c r="CJ260" s="1330"/>
      <c r="CK260" s="1332"/>
      <c r="CL260" s="1330"/>
      <c r="CM260" s="1330"/>
      <c r="CN260" s="1330"/>
      <c r="CO260" s="1330"/>
      <c r="CP260" s="1332"/>
      <c r="CQ260" s="1330"/>
      <c r="CR260" s="1330"/>
      <c r="CS260" s="1330"/>
      <c r="CT260" s="1330"/>
      <c r="CU260" s="1332"/>
      <c r="CV260" s="1330"/>
      <c r="CW260" s="1330"/>
      <c r="CX260" s="1330"/>
      <c r="CY260" s="1330"/>
      <c r="CZ260" s="1332"/>
      <c r="DA260" s="1330"/>
      <c r="DB260" s="1330"/>
      <c r="DC260" s="1330"/>
      <c r="DD260" s="1330"/>
      <c r="DE260" s="1332"/>
      <c r="DF260" s="1330"/>
      <c r="DG260" s="1330"/>
      <c r="DH260" s="1330"/>
      <c r="DI260" s="1330"/>
      <c r="DJ260" s="1332"/>
      <c r="DK260" s="1330"/>
      <c r="DL260" s="1330"/>
      <c r="DM260" s="1330"/>
      <c r="DN260" s="1330"/>
      <c r="DO260" s="1332"/>
      <c r="DP260" s="1330"/>
      <c r="DQ260" s="1330"/>
      <c r="DR260" s="1330"/>
      <c r="DS260" s="1330"/>
      <c r="DT260" s="1332"/>
      <c r="DU260" s="1330"/>
      <c r="DV260" s="1330"/>
      <c r="DW260" s="1330"/>
      <c r="DX260" s="1330"/>
      <c r="DY260" s="1332"/>
    </row>
    <row r="261" spans="1:129" x14ac:dyDescent="0.2">
      <c r="A261" s="532"/>
      <c r="B261" s="1287" t="s">
        <v>1149</v>
      </c>
      <c r="C261" s="650"/>
      <c r="D261" s="650"/>
      <c r="E261" s="650"/>
      <c r="F261" s="650"/>
      <c r="G261" s="650"/>
      <c r="H261" s="650"/>
      <c r="I261" s="650"/>
      <c r="J261" s="650"/>
      <c r="K261" s="650"/>
      <c r="L261" s="650"/>
      <c r="M261" s="650"/>
      <c r="N261" s="650"/>
      <c r="O261" s="650"/>
      <c r="P261" s="650"/>
      <c r="Q261" s="650"/>
      <c r="R261" s="650"/>
      <c r="S261" s="650"/>
      <c r="T261" s="650"/>
      <c r="U261" s="650"/>
      <c r="V261" s="650"/>
      <c r="W261" s="650"/>
      <c r="X261" s="1288"/>
      <c r="Y261" s="650"/>
      <c r="Z261" s="650"/>
      <c r="AA261" s="650"/>
      <c r="AB261" s="650"/>
      <c r="AC261" s="1288"/>
      <c r="AD261" s="650"/>
      <c r="AE261" s="650"/>
      <c r="AF261" s="650"/>
      <c r="AG261" s="650"/>
      <c r="AH261" s="1288"/>
      <c r="AI261" s="650"/>
      <c r="AJ261" s="650"/>
      <c r="AK261" s="650"/>
      <c r="AL261" s="650"/>
      <c r="AM261" s="1288"/>
      <c r="AN261" s="650"/>
      <c r="AO261" s="650"/>
      <c r="AP261" s="650"/>
      <c r="AQ261" s="650"/>
      <c r="AR261" s="1288"/>
      <c r="AS261" s="650"/>
      <c r="AT261" s="650"/>
      <c r="AU261" s="650"/>
      <c r="AV261" s="650"/>
      <c r="AW261" s="1288"/>
      <c r="AX261" s="650"/>
      <c r="AY261" s="650"/>
      <c r="AZ261" s="650"/>
      <c r="BA261" s="650"/>
      <c r="BB261" s="1288"/>
      <c r="BC261" s="650"/>
      <c r="BD261" s="650"/>
      <c r="BE261" s="650"/>
      <c r="BF261" s="650"/>
      <c r="BG261" s="1288"/>
      <c r="BH261" s="650"/>
      <c r="BI261" s="650"/>
      <c r="BJ261" s="650"/>
      <c r="BK261" s="650"/>
      <c r="BL261" s="583"/>
      <c r="BM261" s="650"/>
      <c r="BN261" s="650"/>
      <c r="BO261" s="650"/>
      <c r="BP261" s="650"/>
      <c r="BQ261" s="583"/>
      <c r="BR261" s="650"/>
      <c r="BS261" s="650"/>
      <c r="BT261" s="650"/>
      <c r="BU261" s="650"/>
      <c r="BV261" s="583"/>
      <c r="BW261" s="650"/>
      <c r="BX261" s="650"/>
      <c r="BY261" s="650"/>
      <c r="BZ261" s="650"/>
      <c r="CA261" s="583"/>
      <c r="CB261" s="650"/>
      <c r="CC261" s="650"/>
      <c r="CD261" s="650"/>
      <c r="CE261" s="650"/>
      <c r="CF261" s="583"/>
      <c r="CG261" s="650"/>
      <c r="CH261" s="650"/>
      <c r="CI261" s="650"/>
      <c r="CJ261" s="650"/>
      <c r="CK261" s="583"/>
      <c r="CL261" s="650"/>
      <c r="CM261" s="650"/>
      <c r="CN261" s="650"/>
      <c r="CO261" s="650"/>
      <c r="CP261" s="583"/>
      <c r="CQ261" s="650"/>
      <c r="CR261" s="650"/>
      <c r="CS261" s="650"/>
      <c r="CT261" s="650"/>
      <c r="CU261" s="583"/>
      <c r="CV261" s="650"/>
      <c r="CW261" s="650"/>
      <c r="CX261" s="650"/>
      <c r="CY261" s="650"/>
      <c r="CZ261" s="583"/>
      <c r="DA261" s="650"/>
      <c r="DB261" s="650"/>
      <c r="DC261" s="650"/>
      <c r="DD261" s="650"/>
      <c r="DE261" s="583"/>
      <c r="DF261" s="650"/>
      <c r="DG261" s="650"/>
      <c r="DH261" s="650"/>
      <c r="DI261" s="650"/>
      <c r="DJ261" s="583"/>
      <c r="DK261" s="650"/>
      <c r="DL261" s="650"/>
      <c r="DM261" s="650"/>
      <c r="DN261" s="650"/>
      <c r="DO261" s="583"/>
      <c r="DP261" s="650"/>
      <c r="DQ261" s="650"/>
      <c r="DR261" s="650"/>
      <c r="DS261" s="650"/>
      <c r="DT261" s="583"/>
      <c r="DU261" s="650"/>
      <c r="DV261" s="650"/>
      <c r="DW261" s="650"/>
      <c r="DX261" s="650"/>
      <c r="DY261" s="583"/>
    </row>
    <row r="262" spans="1:129" x14ac:dyDescent="0.2">
      <c r="A262" s="532"/>
      <c r="B262" s="1287" t="s">
        <v>1150</v>
      </c>
      <c r="C262" s="650"/>
      <c r="D262" s="650"/>
      <c r="E262" s="650"/>
      <c r="F262" s="650"/>
      <c r="G262" s="650"/>
      <c r="H262" s="650"/>
      <c r="I262" s="650"/>
      <c r="J262" s="650"/>
      <c r="K262" s="650"/>
      <c r="L262" s="650"/>
      <c r="M262" s="650"/>
      <c r="N262" s="650"/>
      <c r="O262" s="650"/>
      <c r="P262" s="650"/>
      <c r="Q262" s="650"/>
      <c r="R262" s="650"/>
      <c r="S262" s="650"/>
      <c r="T262" s="650"/>
      <c r="U262" s="650"/>
      <c r="V262" s="650"/>
      <c r="W262" s="650"/>
      <c r="X262" s="1288"/>
      <c r="Y262" s="650"/>
      <c r="Z262" s="650"/>
      <c r="AA262" s="650"/>
      <c r="AB262" s="650"/>
      <c r="AC262" s="1288"/>
      <c r="AD262" s="650"/>
      <c r="AE262" s="650"/>
      <c r="AF262" s="650"/>
      <c r="AG262" s="650"/>
      <c r="AH262" s="1288"/>
      <c r="AI262" s="650"/>
      <c r="AJ262" s="650"/>
      <c r="AK262" s="650"/>
      <c r="AL262" s="650"/>
      <c r="AM262" s="1288"/>
      <c r="AN262" s="650"/>
      <c r="AO262" s="650"/>
      <c r="AP262" s="650"/>
      <c r="AQ262" s="650"/>
      <c r="AR262" s="1288"/>
      <c r="AS262" s="650"/>
      <c r="AT262" s="650"/>
      <c r="AU262" s="650"/>
      <c r="AV262" s="650"/>
      <c r="AW262" s="1288"/>
      <c r="AX262" s="650"/>
      <c r="AY262" s="650"/>
      <c r="AZ262" s="650"/>
      <c r="BA262" s="650"/>
      <c r="BB262" s="1288"/>
      <c r="BC262" s="650"/>
      <c r="BD262" s="650"/>
      <c r="BE262" s="650"/>
      <c r="BF262" s="650"/>
      <c r="BG262" s="1289"/>
      <c r="BH262" s="650"/>
      <c r="BI262" s="650"/>
      <c r="BJ262" s="650"/>
      <c r="BK262" s="650"/>
      <c r="BL262" s="1333"/>
      <c r="BM262" s="650"/>
      <c r="BN262" s="650"/>
      <c r="BO262" s="650"/>
      <c r="BP262" s="650"/>
      <c r="BQ262" s="1333"/>
      <c r="BR262" s="650"/>
      <c r="BS262" s="650"/>
      <c r="BT262" s="650"/>
      <c r="BU262" s="650"/>
      <c r="BV262" s="1333">
        <v>6.6000000000000003E-2</v>
      </c>
      <c r="BW262" s="650"/>
      <c r="BX262" s="650"/>
      <c r="BY262" s="650"/>
      <c r="BZ262" s="650"/>
      <c r="CA262" s="1333">
        <v>6.6000000000000003E-2</v>
      </c>
      <c r="CB262" s="1334">
        <v>6.6000000000000003E-2</v>
      </c>
      <c r="CC262" s="1334">
        <v>6.6000000000000003E-2</v>
      </c>
      <c r="CD262" s="1334">
        <v>6.6000000000000003E-2</v>
      </c>
      <c r="CE262" s="1334">
        <v>6.6000000000000003E-2</v>
      </c>
      <c r="CF262" s="1333"/>
      <c r="CG262" s="1334">
        <f>CE262</f>
        <v>6.6000000000000003E-2</v>
      </c>
      <c r="CH262" s="1334">
        <f>CG262</f>
        <v>6.6000000000000003E-2</v>
      </c>
      <c r="CI262" s="1334">
        <f>CH262</f>
        <v>6.6000000000000003E-2</v>
      </c>
      <c r="CJ262" s="1334">
        <f>CI262</f>
        <v>6.6000000000000003E-2</v>
      </c>
      <c r="CK262" s="1333"/>
      <c r="CL262" s="1334">
        <f>CJ262</f>
        <v>6.6000000000000003E-2</v>
      </c>
      <c r="CM262" s="1334">
        <f>CL262</f>
        <v>6.6000000000000003E-2</v>
      </c>
      <c r="CN262" s="1334">
        <f>CM262</f>
        <v>6.6000000000000003E-2</v>
      </c>
      <c r="CO262" s="1334">
        <f>CN262</f>
        <v>6.6000000000000003E-2</v>
      </c>
      <c r="CP262" s="1333"/>
      <c r="CQ262" s="1334">
        <f>CO262</f>
        <v>6.6000000000000003E-2</v>
      </c>
      <c r="CR262" s="1334">
        <f>CQ262</f>
        <v>6.6000000000000003E-2</v>
      </c>
      <c r="CS262" s="1334">
        <f>CR262</f>
        <v>6.6000000000000003E-2</v>
      </c>
      <c r="CT262" s="1334">
        <f>CS262</f>
        <v>6.6000000000000003E-2</v>
      </c>
      <c r="CU262" s="1333"/>
      <c r="CV262" s="1334">
        <f>CT262</f>
        <v>6.6000000000000003E-2</v>
      </c>
      <c r="CW262" s="1334">
        <f>CV262</f>
        <v>6.6000000000000003E-2</v>
      </c>
      <c r="CX262" s="1334">
        <f>CW262</f>
        <v>6.6000000000000003E-2</v>
      </c>
      <c r="CY262" s="1334">
        <f>CX262</f>
        <v>6.6000000000000003E-2</v>
      </c>
      <c r="CZ262" s="1333"/>
      <c r="DA262" s="1334">
        <f>CY262</f>
        <v>6.6000000000000003E-2</v>
      </c>
      <c r="DB262" s="1334">
        <f>DA262</f>
        <v>6.6000000000000003E-2</v>
      </c>
      <c r="DC262" s="1334">
        <f>DB262</f>
        <v>6.6000000000000003E-2</v>
      </c>
      <c r="DD262" s="1334">
        <f>DC262</f>
        <v>6.6000000000000003E-2</v>
      </c>
      <c r="DE262" s="1333"/>
      <c r="DF262" s="1334">
        <f>DD262</f>
        <v>6.6000000000000003E-2</v>
      </c>
      <c r="DG262" s="1334">
        <f>DF262</f>
        <v>6.6000000000000003E-2</v>
      </c>
      <c r="DH262" s="1334">
        <f>DG262</f>
        <v>6.6000000000000003E-2</v>
      </c>
      <c r="DI262" s="1334">
        <f>DH262</f>
        <v>6.6000000000000003E-2</v>
      </c>
      <c r="DJ262" s="1333"/>
      <c r="DK262" s="1334">
        <f>DI262</f>
        <v>6.6000000000000003E-2</v>
      </c>
      <c r="DL262" s="1334">
        <f>DK262</f>
        <v>6.6000000000000003E-2</v>
      </c>
      <c r="DM262" s="1334">
        <f>DL262</f>
        <v>6.6000000000000003E-2</v>
      </c>
      <c r="DN262" s="1334">
        <f>DM262</f>
        <v>6.6000000000000003E-2</v>
      </c>
      <c r="DO262" s="1333"/>
      <c r="DP262" s="1334">
        <f>DN262</f>
        <v>6.6000000000000003E-2</v>
      </c>
      <c r="DQ262" s="1334">
        <f>DP262</f>
        <v>6.6000000000000003E-2</v>
      </c>
      <c r="DR262" s="1334">
        <f>DQ262</f>
        <v>6.6000000000000003E-2</v>
      </c>
      <c r="DS262" s="1334">
        <f>DR262</f>
        <v>6.6000000000000003E-2</v>
      </c>
      <c r="DT262" s="1333"/>
      <c r="DU262" s="1334">
        <f>DS262</f>
        <v>6.6000000000000003E-2</v>
      </c>
      <c r="DV262" s="1334">
        <f>DU262</f>
        <v>6.6000000000000003E-2</v>
      </c>
      <c r="DW262" s="1334">
        <f>DV262</f>
        <v>6.6000000000000003E-2</v>
      </c>
      <c r="DX262" s="1334">
        <f>DW262</f>
        <v>6.6000000000000003E-2</v>
      </c>
      <c r="DY262" s="1333"/>
    </row>
    <row r="263" spans="1:129" x14ac:dyDescent="0.2">
      <c r="A263" s="1223"/>
      <c r="B263" s="1190" t="s">
        <v>1151</v>
      </c>
      <c r="C263" s="1293"/>
      <c r="D263" s="1293"/>
      <c r="E263" s="1293"/>
      <c r="F263" s="1293"/>
      <c r="G263" s="1293"/>
      <c r="H263" s="1293"/>
      <c r="I263" s="1293"/>
      <c r="J263" s="1293"/>
      <c r="K263" s="1293"/>
      <c r="L263" s="1293"/>
      <c r="M263" s="1293"/>
      <c r="N263" s="1293"/>
      <c r="O263" s="1293"/>
      <c r="P263" s="1293"/>
      <c r="Q263" s="1293"/>
      <c r="R263" s="1293"/>
      <c r="S263" s="1293"/>
      <c r="T263" s="1293"/>
      <c r="U263" s="1293"/>
      <c r="V263" s="1293"/>
      <c r="W263" s="1293"/>
      <c r="X263" s="1227"/>
      <c r="Y263" s="1231"/>
      <c r="Z263" s="1231"/>
      <c r="AA263" s="1231"/>
      <c r="AB263" s="1294"/>
      <c r="AC263" s="1227"/>
      <c r="AD263" s="1231"/>
      <c r="AE263" s="1231"/>
      <c r="AF263" s="1231"/>
      <c r="AG263" s="1294"/>
      <c r="AH263" s="1227"/>
      <c r="AI263" s="1231"/>
      <c r="AJ263" s="1231"/>
      <c r="AK263" s="1231"/>
      <c r="AL263" s="1294"/>
      <c r="AM263" s="1227"/>
      <c r="AN263" s="1231"/>
      <c r="AO263" s="1231"/>
      <c r="AP263" s="1231"/>
      <c r="AQ263" s="1294"/>
      <c r="AR263" s="1227"/>
      <c r="AS263" s="1231"/>
      <c r="AT263" s="1231"/>
      <c r="AU263" s="1231"/>
      <c r="AV263" s="1294"/>
      <c r="AW263" s="1227"/>
      <c r="AX263" s="1231"/>
      <c r="AY263" s="1231"/>
      <c r="AZ263" s="1231"/>
      <c r="BA263" s="1231"/>
      <c r="BB263" s="1227"/>
      <c r="BC263" s="1231"/>
      <c r="BD263" s="1231"/>
      <c r="BE263" s="1231"/>
      <c r="BF263" s="1231"/>
      <c r="BG263" s="1227"/>
      <c r="BH263" s="1231"/>
      <c r="BI263" s="1231"/>
      <c r="BJ263" s="1231"/>
      <c r="BK263" s="1231"/>
      <c r="BL263" s="1326"/>
      <c r="BM263" s="1231"/>
      <c r="BN263" s="1231"/>
      <c r="BO263" s="1231"/>
      <c r="BP263" s="1231"/>
      <c r="BQ263" s="1326"/>
      <c r="BR263" s="1231"/>
      <c r="BS263" s="1231"/>
      <c r="BT263" s="1231"/>
      <c r="BU263" s="1231"/>
      <c r="BV263" s="1326"/>
      <c r="BW263" s="1231"/>
      <c r="BX263" s="1231"/>
      <c r="BY263" s="1231"/>
      <c r="BZ263" s="1231"/>
      <c r="CA263" s="1326"/>
      <c r="CB263" s="1231"/>
      <c r="CC263" s="1231"/>
      <c r="CD263" s="1231"/>
      <c r="CE263" s="1231"/>
      <c r="CF263" s="1326"/>
      <c r="CG263" s="1231"/>
      <c r="CH263" s="1231"/>
      <c r="CI263" s="1231"/>
      <c r="CJ263" s="1231"/>
      <c r="CK263" s="1326"/>
      <c r="CL263" s="1231"/>
      <c r="CM263" s="1231"/>
      <c r="CN263" s="1231"/>
      <c r="CO263" s="1231"/>
      <c r="CP263" s="1326"/>
      <c r="CQ263" s="1231"/>
      <c r="CR263" s="1231"/>
      <c r="CS263" s="1231"/>
      <c r="CT263" s="1231"/>
      <c r="CU263" s="1326"/>
      <c r="CV263" s="1231"/>
      <c r="CW263" s="1231"/>
      <c r="CX263" s="1231"/>
      <c r="CY263" s="1231"/>
      <c r="CZ263" s="1326"/>
      <c r="DA263" s="1231"/>
      <c r="DB263" s="1231"/>
      <c r="DC263" s="1231"/>
      <c r="DD263" s="1231"/>
      <c r="DE263" s="1326"/>
      <c r="DF263" s="1231"/>
      <c r="DG263" s="1231"/>
      <c r="DH263" s="1231"/>
      <c r="DI263" s="1231"/>
      <c r="DJ263" s="1326"/>
      <c r="DK263" s="1231"/>
      <c r="DL263" s="1231"/>
      <c r="DM263" s="1231"/>
      <c r="DN263" s="1231"/>
      <c r="DO263" s="1326"/>
      <c r="DP263" s="1231"/>
      <c r="DQ263" s="1231"/>
      <c r="DR263" s="1231"/>
      <c r="DS263" s="1231"/>
      <c r="DT263" s="1326"/>
      <c r="DU263" s="1231"/>
      <c r="DV263" s="1231"/>
      <c r="DW263" s="1231"/>
      <c r="DX263" s="1231"/>
      <c r="DY263" s="1326"/>
    </row>
    <row r="264" spans="1:129" x14ac:dyDescent="0.2">
      <c r="A264" s="1223"/>
      <c r="B264" s="1190" t="s">
        <v>1152</v>
      </c>
      <c r="C264" s="1231"/>
      <c r="D264" s="1231"/>
      <c r="E264" s="1231"/>
      <c r="F264" s="1231"/>
      <c r="G264" s="1231"/>
      <c r="H264" s="1231"/>
      <c r="I264" s="1231"/>
      <c r="J264" s="1231"/>
      <c r="K264" s="1231"/>
      <c r="L264" s="1231"/>
      <c r="M264" s="1231"/>
      <c r="N264" s="1231"/>
      <c r="O264" s="1231"/>
      <c r="P264" s="1231"/>
      <c r="Q264" s="1231"/>
      <c r="R264" s="1231"/>
      <c r="S264" s="1231"/>
      <c r="T264" s="1231"/>
      <c r="U264" s="1231"/>
      <c r="V264" s="1231"/>
      <c r="W264" s="1231"/>
      <c r="X264" s="1227"/>
      <c r="Y264" s="1231"/>
      <c r="Z264" s="1231"/>
      <c r="AA264" s="1231"/>
      <c r="AB264" s="1231"/>
      <c r="AC264" s="1227"/>
      <c r="AD264" s="1231"/>
      <c r="AE264" s="1231"/>
      <c r="AF264" s="1231"/>
      <c r="AG264" s="1231"/>
      <c r="AH264" s="1227"/>
      <c r="AI264" s="1231"/>
      <c r="AJ264" s="1231"/>
      <c r="AK264" s="1231"/>
      <c r="AL264" s="1231"/>
      <c r="AM264" s="1227"/>
      <c r="AN264" s="1231"/>
      <c r="AO264" s="1231"/>
      <c r="AP264" s="1231"/>
      <c r="AQ264" s="1231"/>
      <c r="AR264" s="1227"/>
      <c r="AS264" s="1231"/>
      <c r="AT264" s="1231"/>
      <c r="AU264" s="1231"/>
      <c r="AV264" s="1231"/>
      <c r="AW264" s="1227"/>
      <c r="AX264" s="1231"/>
      <c r="AY264" s="1231"/>
      <c r="AZ264" s="1231"/>
      <c r="BA264" s="1231"/>
      <c r="BB264" s="1227"/>
      <c r="BC264" s="1231"/>
      <c r="BD264" s="1231"/>
      <c r="BE264" s="1231"/>
      <c r="BF264" s="1231"/>
      <c r="BG264" s="1227"/>
      <c r="BH264" s="1231"/>
      <c r="BI264" s="1231"/>
      <c r="BJ264" s="1231"/>
      <c r="BK264" s="1231"/>
      <c r="BL264" s="1326"/>
      <c r="BM264" s="1231"/>
      <c r="BN264" s="1231"/>
      <c r="BO264" s="1231"/>
      <c r="BP264" s="1231"/>
      <c r="BQ264" s="1326"/>
      <c r="BR264" s="1231"/>
      <c r="BS264" s="1231"/>
      <c r="BT264" s="1231"/>
      <c r="BU264" s="1231"/>
      <c r="BV264" s="1326">
        <f>BQ266</f>
        <v>0</v>
      </c>
      <c r="BW264" s="1231"/>
      <c r="BX264" s="1231"/>
      <c r="BY264" s="1231"/>
      <c r="BZ264" s="1231"/>
      <c r="CA264" s="1326">
        <f>BV266</f>
        <v>1000</v>
      </c>
      <c r="CB264" s="1223">
        <f>CA266</f>
        <v>1000</v>
      </c>
      <c r="CC264" s="1223">
        <f>+CB266</f>
        <v>1000</v>
      </c>
      <c r="CD264" s="1223">
        <f>+CC266</f>
        <v>1000</v>
      </c>
      <c r="CE264" s="1223">
        <f>+CD266</f>
        <v>1000</v>
      </c>
      <c r="CF264" s="1326">
        <f>CA266</f>
        <v>1000</v>
      </c>
      <c r="CG264" s="1223">
        <f>+CE266</f>
        <v>1000</v>
      </c>
      <c r="CH264" s="1223">
        <f>+CG266</f>
        <v>1000</v>
      </c>
      <c r="CI264" s="1223">
        <f>+CH266</f>
        <v>1000</v>
      </c>
      <c r="CJ264" s="1223">
        <f>+CI266</f>
        <v>1000</v>
      </c>
      <c r="CK264" s="1326">
        <f>CF266</f>
        <v>1000</v>
      </c>
      <c r="CL264" s="1223">
        <f>+CJ266</f>
        <v>394</v>
      </c>
      <c r="CM264" s="1223">
        <f>+CL266</f>
        <v>394</v>
      </c>
      <c r="CN264" s="1223">
        <f>+CM266</f>
        <v>394</v>
      </c>
      <c r="CO264" s="1223">
        <f>+CN266</f>
        <v>394</v>
      </c>
      <c r="CP264" s="1326">
        <f>CK266</f>
        <v>394</v>
      </c>
      <c r="CQ264" s="1223">
        <f>+CO264</f>
        <v>394</v>
      </c>
      <c r="CR264" s="1223">
        <f>+CQ266</f>
        <v>394</v>
      </c>
      <c r="CS264" s="1223">
        <f>+CR266</f>
        <v>394</v>
      </c>
      <c r="CT264" s="1223">
        <f>+CS266</f>
        <v>394</v>
      </c>
      <c r="CU264" s="1326">
        <f>CP266</f>
        <v>394</v>
      </c>
      <c r="CV264" s="1223">
        <f>+CT264</f>
        <v>394</v>
      </c>
      <c r="CW264" s="1223">
        <f>+CV266</f>
        <v>394</v>
      </c>
      <c r="CX264" s="1223">
        <f>+CW266</f>
        <v>394</v>
      </c>
      <c r="CY264" s="1223">
        <f>+CX266</f>
        <v>394</v>
      </c>
      <c r="CZ264" s="1326">
        <f>CU266</f>
        <v>394</v>
      </c>
      <c r="DA264" s="1223">
        <f>+CY264</f>
        <v>394</v>
      </c>
      <c r="DB264" s="1223">
        <f>+DA266</f>
        <v>394</v>
      </c>
      <c r="DC264" s="1223">
        <f>+DB266</f>
        <v>342.8</v>
      </c>
      <c r="DD264" s="1223">
        <f>+DC266</f>
        <v>342.8</v>
      </c>
      <c r="DE264" s="1326">
        <f>CZ266</f>
        <v>394</v>
      </c>
      <c r="DF264" s="1223">
        <f>+DD264</f>
        <v>342.8</v>
      </c>
      <c r="DG264" s="1223">
        <f>+DF266</f>
        <v>342.8</v>
      </c>
      <c r="DH264" s="1223">
        <f>+DG266</f>
        <v>342.8</v>
      </c>
      <c r="DI264" s="1223">
        <f>+DH266</f>
        <v>342.8</v>
      </c>
      <c r="DJ264" s="1326">
        <f>DE266</f>
        <v>342.8</v>
      </c>
      <c r="DK264" s="1223">
        <f>+DI264</f>
        <v>342.8</v>
      </c>
      <c r="DL264" s="1223">
        <f>+DK266</f>
        <v>342.8</v>
      </c>
      <c r="DM264" s="1223">
        <f>+DL266</f>
        <v>342.8</v>
      </c>
      <c r="DN264" s="1223">
        <f>+DM266</f>
        <v>342.8</v>
      </c>
      <c r="DO264" s="1326">
        <f>DJ266</f>
        <v>342.8</v>
      </c>
      <c r="DP264" s="1223">
        <f>+DN264</f>
        <v>342.8</v>
      </c>
      <c r="DQ264" s="1223">
        <f>+DP266</f>
        <v>342.8</v>
      </c>
      <c r="DR264" s="1223">
        <f>+DQ266</f>
        <v>342.8</v>
      </c>
      <c r="DS264" s="1223">
        <f>+DR266</f>
        <v>342.8</v>
      </c>
      <c r="DT264" s="1326">
        <f>DO266</f>
        <v>342.8</v>
      </c>
      <c r="DU264" s="1223">
        <f>+DS264</f>
        <v>342.8</v>
      </c>
      <c r="DV264" s="1223">
        <f>+DU266</f>
        <v>342.8</v>
      </c>
      <c r="DW264" s="1223">
        <f>+DV266</f>
        <v>342.8</v>
      </c>
      <c r="DX264" s="1223">
        <f>+DW266</f>
        <v>342.8</v>
      </c>
      <c r="DY264" s="1326">
        <f>DT266</f>
        <v>342.8</v>
      </c>
    </row>
    <row r="265" spans="1:129" x14ac:dyDescent="0.2">
      <c r="A265" s="1295"/>
      <c r="B265" s="1190" t="s">
        <v>1153</v>
      </c>
      <c r="C265" s="1182"/>
      <c r="D265" s="1182"/>
      <c r="E265" s="1182"/>
      <c r="F265" s="1182"/>
      <c r="G265" s="1182"/>
      <c r="H265" s="1182"/>
      <c r="I265" s="1182"/>
      <c r="J265" s="1182"/>
      <c r="K265" s="1182"/>
      <c r="L265" s="1182"/>
      <c r="M265" s="1182"/>
      <c r="N265" s="1182"/>
      <c r="O265" s="1182"/>
      <c r="P265" s="1182"/>
      <c r="Q265" s="1182"/>
      <c r="R265" s="1182"/>
      <c r="S265" s="1182"/>
      <c r="T265" s="1182"/>
      <c r="U265" s="1182"/>
      <c r="V265" s="1182"/>
      <c r="W265" s="1182"/>
      <c r="X265" s="1296"/>
      <c r="Y265" s="1297"/>
      <c r="Z265" s="1297"/>
      <c r="AA265" s="1297"/>
      <c r="AB265" s="1297"/>
      <c r="AC265" s="1296"/>
      <c r="AD265" s="1297"/>
      <c r="AE265" s="1297"/>
      <c r="AF265" s="1297"/>
      <c r="AG265" s="1297"/>
      <c r="AH265" s="1296"/>
      <c r="AI265" s="1297"/>
      <c r="AJ265" s="1297"/>
      <c r="AK265" s="1297"/>
      <c r="AL265" s="1297"/>
      <c r="AM265" s="1296"/>
      <c r="AN265" s="1297"/>
      <c r="AO265" s="1297"/>
      <c r="AP265" s="1297"/>
      <c r="AQ265" s="1297"/>
      <c r="AR265" s="1296"/>
      <c r="AS265" s="1297"/>
      <c r="AT265" s="1297"/>
      <c r="AU265" s="1297"/>
      <c r="AV265" s="1297"/>
      <c r="AW265" s="1296"/>
      <c r="AX265" s="1298"/>
      <c r="AY265" s="1299"/>
      <c r="AZ265" s="1299"/>
      <c r="BA265" s="1298"/>
      <c r="BB265" s="1300"/>
      <c r="BC265" s="1298"/>
      <c r="BD265" s="1298"/>
      <c r="BE265" s="1298"/>
      <c r="BF265" s="1298"/>
      <c r="BG265" s="1296"/>
      <c r="BH265" s="1298"/>
      <c r="BI265" s="1298"/>
      <c r="BJ265" s="1298"/>
      <c r="BK265" s="1298"/>
      <c r="BL265" s="1335"/>
      <c r="BM265" s="1298"/>
      <c r="BN265" s="1298"/>
      <c r="BO265" s="1298"/>
      <c r="BP265" s="1298"/>
      <c r="BQ265" s="1335"/>
      <c r="BR265" s="1298"/>
      <c r="BS265" s="1298"/>
      <c r="BT265" s="1298"/>
      <c r="BU265" s="1298"/>
      <c r="BV265" s="1335">
        <f>BV266-BV264</f>
        <v>1000</v>
      </c>
      <c r="BW265" s="1298"/>
      <c r="BX265" s="1298"/>
      <c r="BY265" s="1298"/>
      <c r="BZ265" s="1298"/>
      <c r="CA265" s="1335">
        <f>CA266-CA264</f>
        <v>0</v>
      </c>
      <c r="CB265" s="1336">
        <f>CB266-CB264</f>
        <v>0</v>
      </c>
      <c r="CC265" s="1336">
        <f>CC266-CC264</f>
        <v>0</v>
      </c>
      <c r="CD265" s="1298">
        <v>0</v>
      </c>
      <c r="CE265" s="1298">
        <v>0</v>
      </c>
      <c r="CF265" s="1335">
        <f>+SUM(CB265:CE265)</f>
        <v>0</v>
      </c>
      <c r="CG265" s="1298">
        <v>0</v>
      </c>
      <c r="CH265" s="1298">
        <v>0</v>
      </c>
      <c r="CI265" s="1298">
        <v>0</v>
      </c>
      <c r="CJ265" s="1298">
        <v>-606</v>
      </c>
      <c r="CK265" s="1335">
        <f>+SUM(CG265:CJ265)</f>
        <v>-606</v>
      </c>
      <c r="CL265" s="1298">
        <v>0</v>
      </c>
      <c r="CM265" s="1298">
        <v>0</v>
      </c>
      <c r="CN265" s="1298">
        <v>0</v>
      </c>
      <c r="CO265" s="1298">
        <v>0</v>
      </c>
      <c r="CP265" s="1335">
        <f>+SUM(CL265:CO265)</f>
        <v>0</v>
      </c>
      <c r="CQ265" s="1298">
        <v>0</v>
      </c>
      <c r="CR265" s="1298">
        <v>0</v>
      </c>
      <c r="CS265" s="1298">
        <v>0</v>
      </c>
      <c r="CT265" s="1298">
        <v>0</v>
      </c>
      <c r="CU265" s="1335">
        <f>+SUM(CQ265:CT265)</f>
        <v>0</v>
      </c>
      <c r="CV265" s="1298">
        <v>0</v>
      </c>
      <c r="CW265" s="1298">
        <v>0</v>
      </c>
      <c r="CX265" s="1298">
        <v>0</v>
      </c>
      <c r="CY265" s="1298">
        <v>0</v>
      </c>
      <c r="CZ265" s="1335">
        <f>+SUM(CV265:CY265)</f>
        <v>0</v>
      </c>
      <c r="DA265" s="1298">
        <v>0</v>
      </c>
      <c r="DB265" s="1298">
        <v>-51.2</v>
      </c>
      <c r="DC265" s="1298">
        <v>0</v>
      </c>
      <c r="DD265" s="1298">
        <v>0</v>
      </c>
      <c r="DE265" s="1335">
        <f>+SUM(DA265:DD265)</f>
        <v>-51.2</v>
      </c>
      <c r="DF265" s="1298">
        <v>0</v>
      </c>
      <c r="DG265" s="1298">
        <v>0</v>
      </c>
      <c r="DH265" s="1298">
        <v>0</v>
      </c>
      <c r="DI265" s="1298">
        <v>0</v>
      </c>
      <c r="DJ265" s="1335">
        <f>+SUM(DF265:DI265)</f>
        <v>0</v>
      </c>
      <c r="DK265" s="1298">
        <v>0</v>
      </c>
      <c r="DL265" s="1298">
        <v>0</v>
      </c>
      <c r="DM265" s="1298">
        <v>0</v>
      </c>
      <c r="DN265" s="1298">
        <v>0</v>
      </c>
      <c r="DO265" s="1335">
        <f>+SUM(DK265:DN265)</f>
        <v>0</v>
      </c>
      <c r="DP265" s="1298">
        <v>0</v>
      </c>
      <c r="DQ265" s="1298">
        <v>0</v>
      </c>
      <c r="DR265" s="1298">
        <v>0</v>
      </c>
      <c r="DS265" s="1298">
        <v>0</v>
      </c>
      <c r="DT265" s="1335">
        <f>+SUM(DP265:DS265)</f>
        <v>0</v>
      </c>
      <c r="DU265" s="1298">
        <v>0</v>
      </c>
      <c r="DV265" s="1298">
        <v>0</v>
      </c>
      <c r="DW265" s="1298">
        <v>0</v>
      </c>
      <c r="DX265" s="1298">
        <v>0</v>
      </c>
      <c r="DY265" s="1335">
        <f>+SUM(DU265:DX265)</f>
        <v>0</v>
      </c>
    </row>
    <row r="266" spans="1:129" x14ac:dyDescent="0.2">
      <c r="A266" s="1295"/>
      <c r="B266" s="1190" t="s">
        <v>1154</v>
      </c>
      <c r="C266" s="1182"/>
      <c r="D266" s="1182"/>
      <c r="E266" s="1182"/>
      <c r="F266" s="1182"/>
      <c r="G266" s="1182"/>
      <c r="H266" s="1182"/>
      <c r="I266" s="1182"/>
      <c r="J266" s="1182"/>
      <c r="K266" s="1182"/>
      <c r="L266" s="1182"/>
      <c r="M266" s="1182"/>
      <c r="N266" s="1182"/>
      <c r="O266" s="1182"/>
      <c r="P266" s="1182"/>
      <c r="Q266" s="1182"/>
      <c r="R266" s="1182"/>
      <c r="S266" s="1182"/>
      <c r="T266" s="1182"/>
      <c r="U266" s="1182"/>
      <c r="V266" s="1182"/>
      <c r="W266" s="1182"/>
      <c r="X266" s="1304"/>
      <c r="Y266" s="1305"/>
      <c r="Z266" s="1305"/>
      <c r="AA266" s="1305"/>
      <c r="AB266" s="1305"/>
      <c r="AC266" s="1304"/>
      <c r="AD266" s="1305"/>
      <c r="AE266" s="1305"/>
      <c r="AF266" s="1305"/>
      <c r="AG266" s="1305"/>
      <c r="AH266" s="1304"/>
      <c r="AI266" s="1305"/>
      <c r="AJ266" s="1305"/>
      <c r="AK266" s="1305"/>
      <c r="AL266" s="1305"/>
      <c r="AM266" s="1304"/>
      <c r="AN266" s="1305"/>
      <c r="AO266" s="1305"/>
      <c r="AP266" s="1305"/>
      <c r="AQ266" s="1305"/>
      <c r="AR266" s="1304"/>
      <c r="AS266" s="1305"/>
      <c r="AT266" s="1305"/>
      <c r="AU266" s="1305"/>
      <c r="AV266" s="1305"/>
      <c r="AW266" s="1304"/>
      <c r="AX266" s="1305"/>
      <c r="AY266" s="1305"/>
      <c r="AZ266" s="1305"/>
      <c r="BA266" s="1305"/>
      <c r="BB266" s="1304"/>
      <c r="BC266" s="1305"/>
      <c r="BD266" s="1305"/>
      <c r="BE266" s="1305"/>
      <c r="BF266" s="1305"/>
      <c r="BG266" s="1306"/>
      <c r="BH266" s="1305"/>
      <c r="BI266" s="1305"/>
      <c r="BJ266" s="1305"/>
      <c r="BK266" s="1305"/>
      <c r="BL266" s="1337"/>
      <c r="BM266" s="1305"/>
      <c r="BN266" s="1305"/>
      <c r="BO266" s="1305"/>
      <c r="BP266" s="1305"/>
      <c r="BQ266" s="1337"/>
      <c r="BR266" s="1305"/>
      <c r="BS266" s="1305"/>
      <c r="BT266" s="1305"/>
      <c r="BU266" s="1305"/>
      <c r="BV266" s="1337">
        <v>1000</v>
      </c>
      <c r="BW266" s="1305"/>
      <c r="BX266" s="1305"/>
      <c r="BY266" s="1305"/>
      <c r="BZ266" s="1305"/>
      <c r="CA266" s="1337">
        <v>1000</v>
      </c>
      <c r="CB266" s="1295">
        <f>CA266</f>
        <v>1000</v>
      </c>
      <c r="CC266" s="1226">
        <f>CB266</f>
        <v>1000</v>
      </c>
      <c r="CD266" s="1295">
        <f t="shared" ref="CD266:CZ266" si="189">CD264+CD265</f>
        <v>1000</v>
      </c>
      <c r="CE266" s="1295">
        <f t="shared" si="189"/>
        <v>1000</v>
      </c>
      <c r="CF266" s="1325">
        <f t="shared" si="189"/>
        <v>1000</v>
      </c>
      <c r="CG266" s="1295">
        <f t="shared" si="189"/>
        <v>1000</v>
      </c>
      <c r="CH266" s="1295">
        <f t="shared" si="189"/>
        <v>1000</v>
      </c>
      <c r="CI266" s="1295">
        <f t="shared" si="189"/>
        <v>1000</v>
      </c>
      <c r="CJ266" s="1295">
        <f t="shared" si="189"/>
        <v>394</v>
      </c>
      <c r="CK266" s="1325">
        <f t="shared" si="189"/>
        <v>394</v>
      </c>
      <c r="CL266" s="1295">
        <f t="shared" si="189"/>
        <v>394</v>
      </c>
      <c r="CM266" s="1295">
        <f t="shared" si="189"/>
        <v>394</v>
      </c>
      <c r="CN266" s="1295">
        <f t="shared" si="189"/>
        <v>394</v>
      </c>
      <c r="CO266" s="1295">
        <f t="shared" si="189"/>
        <v>394</v>
      </c>
      <c r="CP266" s="1325">
        <f t="shared" si="189"/>
        <v>394</v>
      </c>
      <c r="CQ266" s="1295">
        <f t="shared" si="189"/>
        <v>394</v>
      </c>
      <c r="CR266" s="1295">
        <f t="shared" si="189"/>
        <v>394</v>
      </c>
      <c r="CS266" s="1295">
        <f t="shared" si="189"/>
        <v>394</v>
      </c>
      <c r="CT266" s="1295">
        <f t="shared" si="189"/>
        <v>394</v>
      </c>
      <c r="CU266" s="1325">
        <f t="shared" si="189"/>
        <v>394</v>
      </c>
      <c r="CV266" s="1295">
        <f t="shared" si="189"/>
        <v>394</v>
      </c>
      <c r="CW266" s="1295">
        <f t="shared" si="189"/>
        <v>394</v>
      </c>
      <c r="CX266" s="1295">
        <f t="shared" si="189"/>
        <v>394</v>
      </c>
      <c r="CY266" s="1295">
        <f t="shared" si="189"/>
        <v>394</v>
      </c>
      <c r="CZ266" s="1325">
        <f t="shared" si="189"/>
        <v>394</v>
      </c>
      <c r="DA266" s="1295">
        <f t="shared" ref="DA266:DJ266" si="190">DA264+DA265</f>
        <v>394</v>
      </c>
      <c r="DB266" s="1295">
        <f t="shared" si="190"/>
        <v>342.8</v>
      </c>
      <c r="DC266" s="1295">
        <f t="shared" si="190"/>
        <v>342.8</v>
      </c>
      <c r="DD266" s="1295">
        <f t="shared" si="190"/>
        <v>342.8</v>
      </c>
      <c r="DE266" s="1325">
        <f t="shared" si="190"/>
        <v>342.8</v>
      </c>
      <c r="DF266" s="1295">
        <f t="shared" si="190"/>
        <v>342.8</v>
      </c>
      <c r="DG266" s="1295">
        <f t="shared" si="190"/>
        <v>342.8</v>
      </c>
      <c r="DH266" s="1295">
        <f t="shared" si="190"/>
        <v>342.8</v>
      </c>
      <c r="DI266" s="1295">
        <f t="shared" si="190"/>
        <v>342.8</v>
      </c>
      <c r="DJ266" s="1325">
        <f t="shared" si="190"/>
        <v>342.8</v>
      </c>
      <c r="DK266" s="1295">
        <f t="shared" ref="DK266:DT266" si="191">DK264+DK265</f>
        <v>342.8</v>
      </c>
      <c r="DL266" s="1295">
        <f t="shared" si="191"/>
        <v>342.8</v>
      </c>
      <c r="DM266" s="1295">
        <f t="shared" si="191"/>
        <v>342.8</v>
      </c>
      <c r="DN266" s="1295">
        <f t="shared" si="191"/>
        <v>342.8</v>
      </c>
      <c r="DO266" s="1325">
        <f t="shared" si="191"/>
        <v>342.8</v>
      </c>
      <c r="DP266" s="1295">
        <f t="shared" si="191"/>
        <v>342.8</v>
      </c>
      <c r="DQ266" s="1295">
        <f t="shared" si="191"/>
        <v>342.8</v>
      </c>
      <c r="DR266" s="1295">
        <f t="shared" si="191"/>
        <v>342.8</v>
      </c>
      <c r="DS266" s="1295">
        <f t="shared" si="191"/>
        <v>342.8</v>
      </c>
      <c r="DT266" s="1325">
        <f t="shared" si="191"/>
        <v>342.8</v>
      </c>
      <c r="DU266" s="1295">
        <f t="shared" ref="DU266:DY266" si="192">DU264+DU265</f>
        <v>342.8</v>
      </c>
      <c r="DV266" s="1295">
        <f t="shared" si="192"/>
        <v>342.8</v>
      </c>
      <c r="DW266" s="1295">
        <f t="shared" si="192"/>
        <v>342.8</v>
      </c>
      <c r="DX266" s="1295">
        <f t="shared" si="192"/>
        <v>342.8</v>
      </c>
      <c r="DY266" s="1325">
        <f t="shared" si="192"/>
        <v>342.8</v>
      </c>
    </row>
    <row r="267" spans="1:129" x14ac:dyDescent="0.2">
      <c r="A267" s="1223"/>
      <c r="B267" s="1190" t="s">
        <v>1155</v>
      </c>
      <c r="C267" s="1182"/>
      <c r="D267" s="1182"/>
      <c r="E267" s="1182"/>
      <c r="F267" s="1182"/>
      <c r="G267" s="1182"/>
      <c r="H267" s="1182"/>
      <c r="I267" s="1182"/>
      <c r="J267" s="1182"/>
      <c r="K267" s="1182"/>
      <c r="L267" s="1182"/>
      <c r="M267" s="1182"/>
      <c r="N267" s="1182"/>
      <c r="O267" s="1182"/>
      <c r="P267" s="1182"/>
      <c r="Q267" s="1182"/>
      <c r="R267" s="1182"/>
      <c r="S267" s="1182"/>
      <c r="T267" s="1182"/>
      <c r="U267" s="1182"/>
      <c r="V267" s="1182"/>
      <c r="W267" s="1182"/>
      <c r="X267" s="1227"/>
      <c r="Y267" s="1231"/>
      <c r="Z267" s="1231"/>
      <c r="AA267" s="1231"/>
      <c r="AB267" s="1231"/>
      <c r="AC267" s="1227"/>
      <c r="AD267" s="1231"/>
      <c r="AE267" s="1231"/>
      <c r="AF267" s="1231"/>
      <c r="AG267" s="1231"/>
      <c r="AH267" s="1227"/>
      <c r="AI267" s="1231"/>
      <c r="AJ267" s="1231"/>
      <c r="AK267" s="1231"/>
      <c r="AL267" s="1231"/>
      <c r="AM267" s="1227"/>
      <c r="AN267" s="1231"/>
      <c r="AO267" s="1231"/>
      <c r="AP267" s="1231"/>
      <c r="AQ267" s="1231"/>
      <c r="AR267" s="1227"/>
      <c r="AS267" s="1231"/>
      <c r="AT267" s="1231"/>
      <c r="AU267" s="1231"/>
      <c r="AV267" s="1231"/>
      <c r="AW267" s="1227"/>
      <c r="AX267" s="1231"/>
      <c r="AY267" s="1231"/>
      <c r="AZ267" s="1231"/>
      <c r="BA267" s="1231"/>
      <c r="BB267" s="1227"/>
      <c r="BC267" s="1231"/>
      <c r="BD267" s="1231"/>
      <c r="BE267" s="1231"/>
      <c r="BF267" s="1231"/>
      <c r="BG267" s="1227"/>
      <c r="BH267" s="1231"/>
      <c r="BI267" s="1231"/>
      <c r="BJ267" s="1231"/>
      <c r="BK267" s="1231"/>
      <c r="BL267" s="1326"/>
      <c r="BM267" s="1231"/>
      <c r="BN267" s="1231"/>
      <c r="BO267" s="1231"/>
      <c r="BP267" s="1231"/>
      <c r="BQ267" s="1326"/>
      <c r="BR267" s="1231"/>
      <c r="BS267" s="1231"/>
      <c r="BT267" s="1231"/>
      <c r="BU267" s="1231"/>
      <c r="BV267" s="1326"/>
      <c r="BW267" s="1231"/>
      <c r="BX267" s="1231"/>
      <c r="BY267" s="1231"/>
      <c r="BZ267" s="1231"/>
      <c r="CA267" s="1326"/>
      <c r="CB267" s="1231"/>
      <c r="CC267" s="1231"/>
      <c r="CD267" s="1231"/>
      <c r="CE267" s="1231"/>
      <c r="CF267" s="1326"/>
      <c r="CG267" s="1231"/>
      <c r="CH267" s="1231"/>
      <c r="CI267" s="1231"/>
      <c r="CJ267" s="1231"/>
      <c r="CK267" s="1326"/>
      <c r="CL267" s="1231"/>
      <c r="CM267" s="1231"/>
      <c r="CN267" s="1231"/>
      <c r="CO267" s="1231"/>
      <c r="CP267" s="1326"/>
      <c r="CQ267" s="1231"/>
      <c r="CR267" s="1231"/>
      <c r="CS267" s="1231"/>
      <c r="CT267" s="1231"/>
      <c r="CU267" s="1326"/>
      <c r="CV267" s="1231"/>
      <c r="CW267" s="1231"/>
      <c r="CX267" s="1231"/>
      <c r="CY267" s="1231"/>
      <c r="CZ267" s="1326"/>
      <c r="DA267" s="1231"/>
      <c r="DB267" s="1231"/>
      <c r="DC267" s="1231"/>
      <c r="DD267" s="1231"/>
      <c r="DE267" s="1326"/>
      <c r="DF267" s="1231"/>
      <c r="DG267" s="1231"/>
      <c r="DH267" s="1231"/>
      <c r="DI267" s="1231"/>
      <c r="DJ267" s="1326"/>
      <c r="DK267" s="1231"/>
      <c r="DL267" s="1231"/>
      <c r="DM267" s="1231"/>
      <c r="DN267" s="1231"/>
      <c r="DO267" s="1326"/>
      <c r="DP267" s="1231"/>
      <c r="DQ267" s="1231"/>
      <c r="DR267" s="1231"/>
      <c r="DS267" s="1231"/>
      <c r="DT267" s="1326"/>
      <c r="DU267" s="1231"/>
      <c r="DV267" s="1231"/>
      <c r="DW267" s="1231"/>
      <c r="DX267" s="1231"/>
      <c r="DY267" s="1326"/>
    </row>
    <row r="268" spans="1:129" x14ac:dyDescent="0.2">
      <c r="A268" s="1223"/>
      <c r="B268" s="1190" t="s">
        <v>1156</v>
      </c>
      <c r="C268" s="1182"/>
      <c r="D268" s="1182"/>
      <c r="E268" s="1182"/>
      <c r="F268" s="1182"/>
      <c r="G268" s="1182"/>
      <c r="H268" s="1182"/>
      <c r="I268" s="1182"/>
      <c r="J268" s="1182"/>
      <c r="K268" s="1182"/>
      <c r="L268" s="1182"/>
      <c r="M268" s="1182"/>
      <c r="N268" s="1182"/>
      <c r="O268" s="1182"/>
      <c r="P268" s="1182"/>
      <c r="Q268" s="1182"/>
      <c r="R268" s="1182"/>
      <c r="S268" s="1182"/>
      <c r="T268" s="1182"/>
      <c r="U268" s="1182"/>
      <c r="V268" s="1182"/>
      <c r="W268" s="1182"/>
      <c r="X268" s="1227"/>
      <c r="Y268" s="1231"/>
      <c r="Z268" s="1231"/>
      <c r="AA268" s="1231"/>
      <c r="AB268" s="1231"/>
      <c r="AC268" s="1227"/>
      <c r="AD268" s="1231"/>
      <c r="AE268" s="1231"/>
      <c r="AF268" s="1231"/>
      <c r="AG268" s="1231"/>
      <c r="AH268" s="1227"/>
      <c r="AI268" s="1231"/>
      <c r="AJ268" s="1231"/>
      <c r="AK268" s="1231"/>
      <c r="AL268" s="1231"/>
      <c r="AM268" s="1227"/>
      <c r="AN268" s="1231"/>
      <c r="AO268" s="1231"/>
      <c r="AP268" s="1231"/>
      <c r="AQ268" s="1231"/>
      <c r="AR268" s="1227"/>
      <c r="AS268" s="1231"/>
      <c r="AT268" s="1231"/>
      <c r="AU268" s="1231"/>
      <c r="AV268" s="1231"/>
      <c r="AW268" s="1227"/>
      <c r="AX268" s="1231"/>
      <c r="AY268" s="1231"/>
      <c r="AZ268" s="1231"/>
      <c r="BA268" s="1231"/>
      <c r="BB268" s="1227"/>
      <c r="BC268" s="1231"/>
      <c r="BD268" s="1231"/>
      <c r="BE268" s="1231"/>
      <c r="BF268" s="1231"/>
      <c r="BG268" s="1227"/>
      <c r="BH268" s="1231"/>
      <c r="BI268" s="1231"/>
      <c r="BJ268" s="1231"/>
      <c r="BK268" s="1231"/>
      <c r="BL268" s="1326"/>
      <c r="BM268" s="1231"/>
      <c r="BN268" s="1231"/>
      <c r="BO268" s="1231"/>
      <c r="BP268" s="1231"/>
      <c r="BQ268" s="1326"/>
      <c r="BR268" s="1231"/>
      <c r="BS268" s="1231"/>
      <c r="BT268" s="1231"/>
      <c r="BU268" s="1231"/>
      <c r="BV268" s="1326">
        <f>-(AVERAGE(BV264,BV266))*(BV262)</f>
        <v>-33</v>
      </c>
      <c r="BW268" s="1231"/>
      <c r="BX268" s="1231"/>
      <c r="BY268" s="1231"/>
      <c r="BZ268" s="1231"/>
      <c r="CA268" s="1326">
        <f>-(AVERAGE(CA264,CA266))*(CA262)</f>
        <v>-66</v>
      </c>
      <c r="CB268" s="1223">
        <f>-(AVERAGE(CB266,CB264))*(CB262/4)</f>
        <v>-16.5</v>
      </c>
      <c r="CC268" s="1223">
        <f>-(AVERAGE(CC266,CC264))*(CC262/4)</f>
        <v>-16.5</v>
      </c>
      <c r="CD268" s="1223">
        <f>-(AVERAGE(CD266,CD264))*(CD262/4)</f>
        <v>-16.5</v>
      </c>
      <c r="CE268" s="1223">
        <f>-(AVERAGE(CE266,CE264))*(CE262/4)</f>
        <v>-16.5</v>
      </c>
      <c r="CF268" s="1326">
        <f>SUM(CB268:CE268)</f>
        <v>-66</v>
      </c>
      <c r="CG268" s="1223">
        <f>-(AVERAGE(CG266,CG264))*(CG262/4)</f>
        <v>-16.5</v>
      </c>
      <c r="CH268" s="1223">
        <f>-(AVERAGE(CH266,CH264))*(CH262/4)</f>
        <v>-16.5</v>
      </c>
      <c r="CI268" s="1223">
        <f>-(AVERAGE(CI266,CI264))*(CI262/4)</f>
        <v>-16.5</v>
      </c>
      <c r="CJ268" s="1223">
        <f>-(AVERAGE(CJ266,CJ264))*(CJ262/4)</f>
        <v>-11.500500000000001</v>
      </c>
      <c r="CK268" s="1326">
        <f>SUM(CG268:CJ268)</f>
        <v>-61.000500000000002</v>
      </c>
      <c r="CL268" s="1223">
        <f>-(AVERAGE(CL266,CL264))*(CL262/4)</f>
        <v>-6.5010000000000003</v>
      </c>
      <c r="CM268" s="1223">
        <f>-(AVERAGE(CM266,CM264))*(CM262/4)</f>
        <v>-6.5010000000000003</v>
      </c>
      <c r="CN268" s="1223">
        <f>-(AVERAGE(CN266,CN264))*(CN262/4)</f>
        <v>-6.5010000000000003</v>
      </c>
      <c r="CO268" s="1223">
        <f>-(AVERAGE(CO266,CO264))*(CO262/4)</f>
        <v>-6.5010000000000003</v>
      </c>
      <c r="CP268" s="1326">
        <f>SUM(CL268:CO268)</f>
        <v>-26.004000000000001</v>
      </c>
      <c r="CQ268" s="1223">
        <f>-(AVERAGE(CQ266,CQ264))*(CQ262/4)</f>
        <v>-6.5010000000000003</v>
      </c>
      <c r="CR268" s="1223">
        <f>-(AVERAGE(CR266,CR264))*(CR262/4)</f>
        <v>-6.5010000000000003</v>
      </c>
      <c r="CS268" s="1223">
        <f>-(AVERAGE(CS266,CS264))*(CS262/4)</f>
        <v>-6.5010000000000003</v>
      </c>
      <c r="CT268" s="1223">
        <f>-(AVERAGE(CT266,CT264))*(CT262/4)</f>
        <v>-6.5010000000000003</v>
      </c>
      <c r="CU268" s="1326">
        <f>SUM(CQ268:CT268)</f>
        <v>-26.004000000000001</v>
      </c>
      <c r="CV268" s="1223">
        <f>-(AVERAGE(CV266,CV264))*(CV262/4)</f>
        <v>-6.5010000000000003</v>
      </c>
      <c r="CW268" s="1223">
        <f>-(AVERAGE(CW266,CW264))*(CW262/4)</f>
        <v>-6.5010000000000003</v>
      </c>
      <c r="CX268" s="1223">
        <f>-(AVERAGE(CX266,CX264))*(CX262/4)</f>
        <v>-6.5010000000000003</v>
      </c>
      <c r="CY268" s="1223">
        <f>-(AVERAGE(CY266,CY264))*(CY262/4)</f>
        <v>-6.5010000000000003</v>
      </c>
      <c r="CZ268" s="1326">
        <f>SUM(CV268:CY268)</f>
        <v>-26.004000000000001</v>
      </c>
      <c r="DA268" s="1223">
        <f>-(AVERAGE(DA266,DA264))*(DA262/4)</f>
        <v>-6.5010000000000003</v>
      </c>
      <c r="DB268" s="1223">
        <f>-(AVERAGE(DB266,DB264))*(DB262/4)</f>
        <v>-6.0785999999999998</v>
      </c>
      <c r="DC268" s="1223">
        <f>-(AVERAGE(DC266,DC264))*(DC262/4)</f>
        <v>-5.6562000000000001</v>
      </c>
      <c r="DD268" s="1223">
        <f>-(AVERAGE(DD266,DD264))*(DD262/4)</f>
        <v>-5.6562000000000001</v>
      </c>
      <c r="DE268" s="1326">
        <f>SUM(DA268:DD268)</f>
        <v>-23.891999999999996</v>
      </c>
      <c r="DF268" s="1223">
        <f>-(AVERAGE(DF266,DF264))*(DF262/4)</f>
        <v>-5.6562000000000001</v>
      </c>
      <c r="DG268" s="1223">
        <f>-(AVERAGE(DG266,DG264))*(DG262/4)</f>
        <v>-5.6562000000000001</v>
      </c>
      <c r="DH268" s="1223">
        <f>-(AVERAGE(DH266,DH264))*(DH262/4)</f>
        <v>-5.6562000000000001</v>
      </c>
      <c r="DI268" s="1223">
        <f>-(AVERAGE(DI266,DI264))*(DI262/4)</f>
        <v>-5.6562000000000001</v>
      </c>
      <c r="DJ268" s="1326">
        <f>SUM(DF268:DI268)</f>
        <v>-22.6248</v>
      </c>
      <c r="DK268" s="1223">
        <f>-(AVERAGE(DK266,DK264))*(DK262/4)</f>
        <v>-5.6562000000000001</v>
      </c>
      <c r="DL268" s="1223">
        <f>-(AVERAGE(DL266,DL264))*(DL262/4)</f>
        <v>-5.6562000000000001</v>
      </c>
      <c r="DM268" s="1223">
        <f>-(AVERAGE(DM266,DM264))*(DM262/4)</f>
        <v>-5.6562000000000001</v>
      </c>
      <c r="DN268" s="1223">
        <f>-(AVERAGE(DN266,DN264))*(DN262/4)</f>
        <v>-5.6562000000000001</v>
      </c>
      <c r="DO268" s="1326">
        <f>SUM(DK268:DN268)</f>
        <v>-22.6248</v>
      </c>
      <c r="DP268" s="1223">
        <f>-(AVERAGE(DP266,DP264))*(DP262/4)</f>
        <v>-5.6562000000000001</v>
      </c>
      <c r="DQ268" s="1223">
        <f>-(AVERAGE(DQ266,DQ264))*(DQ262/4)</f>
        <v>-5.6562000000000001</v>
      </c>
      <c r="DR268" s="1223">
        <f>-(AVERAGE(DR266,DR264))*(DR262/4)</f>
        <v>-5.6562000000000001</v>
      </c>
      <c r="DS268" s="1223">
        <f>-(AVERAGE(DS266,DS264))*(DS262/4)</f>
        <v>-5.6562000000000001</v>
      </c>
      <c r="DT268" s="1326">
        <f>SUM(DP268:DS268)</f>
        <v>-22.6248</v>
      </c>
      <c r="DU268" s="1223">
        <f>-(AVERAGE(DU266,DU264))*(DU262/4)</f>
        <v>-5.6562000000000001</v>
      </c>
      <c r="DV268" s="1223">
        <f>-(AVERAGE(DV266,DV264))*(DV262/4)</f>
        <v>-5.6562000000000001</v>
      </c>
      <c r="DW268" s="1223">
        <f>-(AVERAGE(DW266,DW264))*(DW262/4)</f>
        <v>-5.6562000000000001</v>
      </c>
      <c r="DX268" s="1223">
        <f>-(AVERAGE(DX266,DX264))*(DX262/4)</f>
        <v>-5.6562000000000001</v>
      </c>
      <c r="DY268" s="1326">
        <f>SUM(DU268:DX268)</f>
        <v>-22.6248</v>
      </c>
    </row>
    <row r="269" spans="1:129" ht="12" thickBot="1" x14ac:dyDescent="0.25">
      <c r="A269" s="1223"/>
      <c r="B269" s="1250" t="s">
        <v>1157</v>
      </c>
      <c r="C269" s="1251"/>
      <c r="D269" s="1251"/>
      <c r="E269" s="1251"/>
      <c r="F269" s="1251"/>
      <c r="G269" s="1251"/>
      <c r="H269" s="1251"/>
      <c r="I269" s="1251"/>
      <c r="J269" s="1251"/>
      <c r="K269" s="1251"/>
      <c r="L269" s="1251"/>
      <c r="M269" s="1251"/>
      <c r="N269" s="1251"/>
      <c r="O269" s="1251"/>
      <c r="P269" s="1251"/>
      <c r="Q269" s="1251"/>
      <c r="R269" s="1251"/>
      <c r="S269" s="1251"/>
      <c r="T269" s="1251"/>
      <c r="U269" s="1251"/>
      <c r="V269" s="1251"/>
      <c r="W269" s="1251"/>
      <c r="X269" s="1252"/>
      <c r="Y269" s="1251"/>
      <c r="Z269" s="1251"/>
      <c r="AA269" s="1251"/>
      <c r="AB269" s="1251"/>
      <c r="AC269" s="1252"/>
      <c r="AD269" s="1251"/>
      <c r="AE269" s="1251"/>
      <c r="AF269" s="1251"/>
      <c r="AG269" s="1251"/>
      <c r="AH269" s="1252"/>
      <c r="AI269" s="1251"/>
      <c r="AJ269" s="1251"/>
      <c r="AK269" s="1251"/>
      <c r="AL269" s="1251"/>
      <c r="AM269" s="1252"/>
      <c r="AN269" s="1251"/>
      <c r="AO269" s="1251"/>
      <c r="AP269" s="1251"/>
      <c r="AQ269" s="1253"/>
      <c r="AR269" s="1252"/>
      <c r="AS269" s="1253"/>
      <c r="AT269" s="1253"/>
      <c r="AU269" s="1253"/>
      <c r="AV269" s="1253"/>
      <c r="AW269" s="1252"/>
      <c r="AX269" s="1253"/>
      <c r="AY269" s="1253"/>
      <c r="AZ269" s="1253"/>
      <c r="BA269" s="1253"/>
      <c r="BB269" s="1252"/>
      <c r="BC269" s="1253"/>
      <c r="BD269" s="1253"/>
      <c r="BE269" s="1253"/>
      <c r="BF269" s="1253"/>
      <c r="BG269" s="1252"/>
      <c r="BH269" s="1253"/>
      <c r="BI269" s="1253"/>
      <c r="BJ269" s="1253"/>
      <c r="BK269" s="1253"/>
      <c r="BL269" s="1327"/>
      <c r="BM269" s="1253"/>
      <c r="BN269" s="1253"/>
      <c r="BO269" s="1253"/>
      <c r="BP269" s="1253"/>
      <c r="BQ269" s="1327"/>
      <c r="BR269" s="1253"/>
      <c r="BS269" s="1253"/>
      <c r="BT269" s="1253"/>
      <c r="BU269" s="1253"/>
      <c r="BV269" s="1327"/>
      <c r="BW269" s="1253"/>
      <c r="BX269" s="1253"/>
      <c r="BY269" s="1253"/>
      <c r="BZ269" s="1253"/>
      <c r="CA269" s="1327"/>
      <c r="CB269" s="1253">
        <f>-CB261*CB267/4</f>
        <v>0</v>
      </c>
      <c r="CC269" s="1253">
        <f>-CC261*CC267/4</f>
        <v>0</v>
      </c>
      <c r="CD269" s="1253">
        <f>-CD261*CD267/4</f>
        <v>0</v>
      </c>
      <c r="CE269" s="1253">
        <f>-CE261*CE267/4</f>
        <v>0</v>
      </c>
      <c r="CF269" s="1327"/>
      <c r="CG269" s="1253">
        <f>-CG261*CG267/4</f>
        <v>0</v>
      </c>
      <c r="CH269" s="1253">
        <f>-CH261*CH267/4</f>
        <v>0</v>
      </c>
      <c r="CI269" s="1253">
        <f>-CI261*CI267/4</f>
        <v>0</v>
      </c>
      <c r="CJ269" s="1253">
        <f>-CJ261*CJ267/4</f>
        <v>0</v>
      </c>
      <c r="CK269" s="1327"/>
      <c r="CL269" s="1253">
        <f>-CL261*CL267/4</f>
        <v>0</v>
      </c>
      <c r="CM269" s="1253">
        <f>-CM261*CM267/4</f>
        <v>0</v>
      </c>
      <c r="CN269" s="1253">
        <f>-CN261*CN267/4</f>
        <v>0</v>
      </c>
      <c r="CO269" s="1253">
        <f>-CO261*CO267/4</f>
        <v>0</v>
      </c>
      <c r="CP269" s="1327"/>
      <c r="CQ269" s="1253">
        <f>-CQ261*CQ267/4</f>
        <v>0</v>
      </c>
      <c r="CR269" s="1253">
        <f>-CR261*CR267/4</f>
        <v>0</v>
      </c>
      <c r="CS269" s="1253">
        <f>-CS261*CS267/4</f>
        <v>0</v>
      </c>
      <c r="CT269" s="1253">
        <f>-CT261*CT267/4</f>
        <v>0</v>
      </c>
      <c r="CU269" s="1327"/>
      <c r="CV269" s="1253">
        <f>-CV261*CV267/4</f>
        <v>0</v>
      </c>
      <c r="CW269" s="1253">
        <f>-CW261*CW267/4</f>
        <v>0</v>
      </c>
      <c r="CX269" s="1253">
        <f>-CX261*CX267/4</f>
        <v>0</v>
      </c>
      <c r="CY269" s="1253">
        <f>-CY261*CY267/4</f>
        <v>0</v>
      </c>
      <c r="CZ269" s="1327"/>
      <c r="DA269" s="1253">
        <f>-DA261*DA267/4</f>
        <v>0</v>
      </c>
      <c r="DB269" s="1253">
        <f>-DB261*DB267/4</f>
        <v>0</v>
      </c>
      <c r="DC269" s="1253">
        <f>-DC261*DC267/4</f>
        <v>0</v>
      </c>
      <c r="DD269" s="1253">
        <f>-DD261*DD267/4</f>
        <v>0</v>
      </c>
      <c r="DE269" s="1327"/>
      <c r="DF269" s="1253">
        <f>-DF261*DF267/4</f>
        <v>0</v>
      </c>
      <c r="DG269" s="1253">
        <f>-DG261*DG267/4</f>
        <v>0</v>
      </c>
      <c r="DH269" s="1253">
        <f>-DH261*DH267/4</f>
        <v>0</v>
      </c>
      <c r="DI269" s="1253">
        <f>-DI261*DI267/4</f>
        <v>0</v>
      </c>
      <c r="DJ269" s="1327"/>
      <c r="DK269" s="1253">
        <f>-DK261*DK267/4</f>
        <v>0</v>
      </c>
      <c r="DL269" s="1253">
        <f>-DL261*DL267/4</f>
        <v>0</v>
      </c>
      <c r="DM269" s="1253">
        <f>-DM261*DM267/4</f>
        <v>0</v>
      </c>
      <c r="DN269" s="1253">
        <f>-DN261*DN267/4</f>
        <v>0</v>
      </c>
      <c r="DO269" s="1327"/>
      <c r="DP269" s="1253">
        <f>-DP261*DP267/4</f>
        <v>0</v>
      </c>
      <c r="DQ269" s="1253">
        <f>-DQ261*DQ267/4</f>
        <v>0</v>
      </c>
      <c r="DR269" s="1253">
        <f>-DR261*DR267/4</f>
        <v>0</v>
      </c>
      <c r="DS269" s="1253">
        <f>-DS261*DS267/4</f>
        <v>0</v>
      </c>
      <c r="DT269" s="1327"/>
      <c r="DU269" s="1253">
        <f>-DU261*DU267/4</f>
        <v>0</v>
      </c>
      <c r="DV269" s="1253">
        <f>-DV261*DV267/4</f>
        <v>0</v>
      </c>
      <c r="DW269" s="1253">
        <f>-DW261*DW267/4</f>
        <v>0</v>
      </c>
      <c r="DX269" s="1253">
        <f>-DX261*DX267/4</f>
        <v>0</v>
      </c>
      <c r="DY269" s="1327"/>
    </row>
    <row r="270" spans="1:129" ht="12" thickBot="1" x14ac:dyDescent="0.25">
      <c r="A270" s="1240"/>
      <c r="B270" s="1240"/>
      <c r="C270" s="1214"/>
      <c r="D270" s="1214"/>
      <c r="E270" s="1214"/>
      <c r="F270" s="1214"/>
      <c r="G270" s="1214"/>
      <c r="H270" s="1214"/>
      <c r="I270" s="1214"/>
      <c r="J270" s="1214"/>
      <c r="K270" s="1214"/>
      <c r="L270" s="1214"/>
      <c r="M270" s="1214"/>
      <c r="N270" s="1214"/>
      <c r="O270" s="1214"/>
      <c r="P270" s="1214"/>
      <c r="Q270" s="1214"/>
      <c r="R270" s="1214"/>
      <c r="S270" s="1214"/>
      <c r="T270" s="1214"/>
      <c r="U270" s="1214"/>
      <c r="V270" s="1214"/>
      <c r="W270" s="1214"/>
      <c r="X270" s="1214"/>
      <c r="Y270" s="1214"/>
      <c r="Z270" s="1214"/>
      <c r="AA270" s="1214"/>
      <c r="AB270" s="1214"/>
      <c r="AC270" s="1214"/>
      <c r="AD270" s="1214"/>
      <c r="AE270" s="1214"/>
      <c r="AF270" s="1214"/>
      <c r="AG270" s="1214"/>
      <c r="AH270" s="1214"/>
      <c r="AI270" s="1214"/>
      <c r="AJ270" s="1214"/>
      <c r="AK270" s="1214"/>
      <c r="AL270" s="1214"/>
      <c r="AM270" s="1214"/>
      <c r="AN270" s="1214"/>
      <c r="AO270" s="1214"/>
      <c r="AP270" s="1214"/>
      <c r="AQ270" s="1215"/>
      <c r="AR270" s="1215"/>
      <c r="AS270" s="1215"/>
      <c r="AT270" s="1215"/>
      <c r="AU270" s="1215"/>
      <c r="AV270" s="1215"/>
      <c r="AW270" s="1338"/>
      <c r="AX270" s="1215"/>
      <c r="AY270" s="1215"/>
      <c r="AZ270" s="1215"/>
      <c r="BA270" s="1215"/>
      <c r="BB270" s="1338"/>
      <c r="BC270" s="1215"/>
      <c r="BD270" s="1215"/>
      <c r="BE270" s="1215"/>
      <c r="BF270" s="1215"/>
      <c r="BG270" s="1338"/>
      <c r="BH270" s="1215"/>
      <c r="BI270" s="1215"/>
      <c r="BJ270" s="1215"/>
      <c r="BK270" s="1215"/>
      <c r="BL270" s="1338"/>
      <c r="BM270" s="1215"/>
      <c r="BN270" s="1215"/>
      <c r="BO270" s="1215"/>
      <c r="BP270" s="1215"/>
      <c r="BQ270" s="1338"/>
      <c r="BR270" s="1215"/>
      <c r="BS270" s="1215"/>
      <c r="BT270" s="1215"/>
      <c r="BU270" s="1215"/>
      <c r="BV270" s="1338"/>
      <c r="BW270" s="1215"/>
      <c r="BX270" s="1215"/>
      <c r="BY270" s="1215"/>
      <c r="BZ270" s="1215"/>
      <c r="CA270" s="1338"/>
      <c r="CB270" s="1215"/>
      <c r="CC270" s="1215"/>
      <c r="CD270" s="1215"/>
      <c r="CE270" s="1215"/>
      <c r="CF270" s="1338"/>
      <c r="CG270" s="1215"/>
      <c r="CH270" s="1215"/>
      <c r="CI270" s="1215"/>
      <c r="CJ270" s="1215"/>
      <c r="CK270" s="1338"/>
      <c r="CL270" s="1215"/>
      <c r="CM270" s="1215"/>
      <c r="CN270" s="1215"/>
      <c r="CO270" s="1215"/>
      <c r="CP270" s="1338"/>
      <c r="CQ270" s="1215"/>
      <c r="CR270" s="1215"/>
      <c r="CS270" s="1215"/>
      <c r="CT270" s="1215"/>
      <c r="CU270" s="1338"/>
      <c r="CV270" s="1215"/>
      <c r="CW270" s="1215"/>
      <c r="CX270" s="1215"/>
      <c r="CY270" s="1215"/>
      <c r="CZ270" s="1338"/>
      <c r="DA270" s="1215"/>
      <c r="DB270" s="1215"/>
      <c r="DC270" s="1215"/>
      <c r="DD270" s="1215"/>
      <c r="DE270" s="1338"/>
      <c r="DF270" s="1215"/>
      <c r="DG270" s="1215"/>
      <c r="DH270" s="1215"/>
      <c r="DI270" s="1215"/>
      <c r="DJ270" s="1338"/>
      <c r="DK270" s="1215"/>
      <c r="DL270" s="1215"/>
      <c r="DM270" s="1215"/>
      <c r="DN270" s="1215"/>
      <c r="DO270" s="1338"/>
      <c r="DP270" s="1215"/>
      <c r="DQ270" s="1215"/>
      <c r="DR270" s="1215"/>
      <c r="DS270" s="1215"/>
      <c r="DT270" s="1338"/>
      <c r="DU270" s="1215"/>
      <c r="DV270" s="1215"/>
      <c r="DW270" s="1215"/>
      <c r="DX270" s="1215"/>
      <c r="DY270" s="1338"/>
    </row>
    <row r="271" spans="1:129" ht="12" thickBot="1" x14ac:dyDescent="0.25">
      <c r="A271" s="1123"/>
      <c r="B271" s="1282" t="s">
        <v>1168</v>
      </c>
      <c r="C271" s="1328"/>
      <c r="D271" s="1329"/>
      <c r="E271" s="1329"/>
      <c r="F271" s="1329"/>
      <c r="G271" s="1329"/>
      <c r="H271" s="1329"/>
      <c r="I271" s="1329"/>
      <c r="J271" s="1329"/>
      <c r="K271" s="1329"/>
      <c r="L271" s="1329"/>
      <c r="M271" s="1329"/>
      <c r="N271" s="1329"/>
      <c r="O271" s="1329"/>
      <c r="P271" s="1329"/>
      <c r="Q271" s="1329"/>
      <c r="R271" s="1329"/>
      <c r="S271" s="1329"/>
      <c r="T271" s="1329"/>
      <c r="U271" s="1329"/>
      <c r="V271" s="1329"/>
      <c r="W271" s="1329"/>
      <c r="X271" s="1328"/>
      <c r="Y271" s="1328"/>
      <c r="Z271" s="1328"/>
      <c r="AA271" s="1328"/>
      <c r="AB271" s="1328"/>
      <c r="AC271" s="1328"/>
      <c r="AD271" s="1328"/>
      <c r="AE271" s="1328"/>
      <c r="AF271" s="1328"/>
      <c r="AG271" s="1328"/>
      <c r="AH271" s="1328"/>
      <c r="AI271" s="1328"/>
      <c r="AJ271" s="1328"/>
      <c r="AK271" s="1328"/>
      <c r="AL271" s="1328"/>
      <c r="AM271" s="1328"/>
      <c r="AN271" s="1328"/>
      <c r="AO271" s="1328"/>
      <c r="AP271" s="1328"/>
      <c r="AQ271" s="1330"/>
      <c r="AR271" s="1330"/>
      <c r="AS271" s="1330"/>
      <c r="AT271" s="1331"/>
      <c r="AU271" s="1331"/>
      <c r="AV271" s="1331"/>
      <c r="AW271" s="1330"/>
      <c r="AX271" s="1330"/>
      <c r="AY271" s="1330"/>
      <c r="AZ271" s="1330"/>
      <c r="BA271" s="1330"/>
      <c r="BB271" s="1330"/>
      <c r="BC271" s="1330"/>
      <c r="BD271" s="1330"/>
      <c r="BE271" s="1330"/>
      <c r="BF271" s="1330"/>
      <c r="BG271" s="1330"/>
      <c r="BH271" s="1330"/>
      <c r="BI271" s="1330"/>
      <c r="BJ271" s="1330"/>
      <c r="BK271" s="1330"/>
      <c r="BL271" s="1332"/>
      <c r="BM271" s="1330"/>
      <c r="BN271" s="1330"/>
      <c r="BO271" s="1330"/>
      <c r="BP271" s="1330"/>
      <c r="BQ271" s="1332"/>
      <c r="BR271" s="1330"/>
      <c r="BS271" s="1330"/>
      <c r="BT271" s="1330"/>
      <c r="BU271" s="1330"/>
      <c r="BV271" s="1332"/>
      <c r="BW271" s="1330"/>
      <c r="BX271" s="1330"/>
      <c r="BY271" s="1330"/>
      <c r="BZ271" s="1330"/>
      <c r="CA271" s="1332"/>
      <c r="CB271" s="1330"/>
      <c r="CC271" s="1330"/>
      <c r="CD271" s="1330"/>
      <c r="CE271" s="1330"/>
      <c r="CF271" s="1332"/>
      <c r="CG271" s="1330"/>
      <c r="CH271" s="1330"/>
      <c r="CI271" s="1330"/>
      <c r="CJ271" s="1330"/>
      <c r="CK271" s="1332"/>
      <c r="CL271" s="1330"/>
      <c r="CM271" s="1330"/>
      <c r="CN271" s="1330"/>
      <c r="CO271" s="1330"/>
      <c r="CP271" s="1332"/>
      <c r="CQ271" s="1330"/>
      <c r="CR271" s="1330"/>
      <c r="CS271" s="1330"/>
      <c r="CT271" s="1330"/>
      <c r="CU271" s="1332"/>
      <c r="CV271" s="1330"/>
      <c r="CW271" s="1330"/>
      <c r="CX271" s="1330"/>
      <c r="CY271" s="1330"/>
      <c r="CZ271" s="1332"/>
      <c r="DA271" s="1330"/>
      <c r="DB271" s="1330"/>
      <c r="DC271" s="1330"/>
      <c r="DD271" s="1330"/>
      <c r="DE271" s="1332"/>
      <c r="DF271" s="1330"/>
      <c r="DG271" s="1330"/>
      <c r="DH271" s="1330"/>
      <c r="DI271" s="1330"/>
      <c r="DJ271" s="1332"/>
      <c r="DK271" s="1330"/>
      <c r="DL271" s="1330"/>
      <c r="DM271" s="1330"/>
      <c r="DN271" s="1330"/>
      <c r="DO271" s="1332"/>
      <c r="DP271" s="1330"/>
      <c r="DQ271" s="1330"/>
      <c r="DR271" s="1330"/>
      <c r="DS271" s="1330"/>
      <c r="DT271" s="1332"/>
      <c r="DU271" s="1330"/>
      <c r="DV271" s="1330"/>
      <c r="DW271" s="1330"/>
      <c r="DX271" s="1330"/>
      <c r="DY271" s="1332"/>
    </row>
    <row r="272" spans="1:129" x14ac:dyDescent="0.2">
      <c r="A272" s="532"/>
      <c r="B272" s="1287" t="s">
        <v>1149</v>
      </c>
      <c r="C272" s="650"/>
      <c r="D272" s="650"/>
      <c r="E272" s="650"/>
      <c r="F272" s="650"/>
      <c r="G272" s="650"/>
      <c r="H272" s="650"/>
      <c r="I272" s="650"/>
      <c r="J272" s="650"/>
      <c r="K272" s="650"/>
      <c r="L272" s="650"/>
      <c r="M272" s="650"/>
      <c r="N272" s="650"/>
      <c r="O272" s="650"/>
      <c r="P272" s="650"/>
      <c r="Q272" s="650"/>
      <c r="R272" s="650"/>
      <c r="S272" s="650"/>
      <c r="T272" s="650"/>
      <c r="U272" s="650"/>
      <c r="V272" s="650"/>
      <c r="W272" s="650"/>
      <c r="X272" s="1288"/>
      <c r="Y272" s="650"/>
      <c r="Z272" s="650"/>
      <c r="AA272" s="650"/>
      <c r="AB272" s="650"/>
      <c r="AC272" s="1288"/>
      <c r="AD272" s="650"/>
      <c r="AE272" s="650"/>
      <c r="AF272" s="650"/>
      <c r="AG272" s="650"/>
      <c r="AH272" s="1288"/>
      <c r="AI272" s="650"/>
      <c r="AJ272" s="650"/>
      <c r="AK272" s="650"/>
      <c r="AL272" s="650"/>
      <c r="AM272" s="1288"/>
      <c r="AN272" s="650"/>
      <c r="AO272" s="650"/>
      <c r="AP272" s="650"/>
      <c r="AQ272" s="650"/>
      <c r="AR272" s="1288"/>
      <c r="AS272" s="650"/>
      <c r="AT272" s="650"/>
      <c r="AU272" s="650"/>
      <c r="AV272" s="650"/>
      <c r="AW272" s="1288"/>
      <c r="AX272" s="650"/>
      <c r="AY272" s="650"/>
      <c r="AZ272" s="650"/>
      <c r="BA272" s="650"/>
      <c r="BB272" s="1288"/>
      <c r="BC272" s="650"/>
      <c r="BD272" s="650"/>
      <c r="BE272" s="650"/>
      <c r="BF272" s="650"/>
      <c r="BG272" s="1288"/>
      <c r="BH272" s="650"/>
      <c r="BI272" s="650"/>
      <c r="BJ272" s="650"/>
      <c r="BK272" s="650"/>
      <c r="BL272" s="583"/>
      <c r="BM272" s="650"/>
      <c r="BN272" s="650"/>
      <c r="BO272" s="650"/>
      <c r="BP272" s="650"/>
      <c r="BQ272" s="583"/>
      <c r="BR272" s="650"/>
      <c r="BS272" s="650"/>
      <c r="BT272" s="650"/>
      <c r="BU272" s="650"/>
      <c r="BV272" s="583"/>
      <c r="BW272" s="650"/>
      <c r="BX272" s="650"/>
      <c r="BY272" s="650"/>
      <c r="BZ272" s="650"/>
      <c r="CA272" s="583"/>
      <c r="CB272" s="650"/>
      <c r="CC272" s="650"/>
      <c r="CD272" s="650"/>
      <c r="CE272" s="650"/>
      <c r="CF272" s="583"/>
      <c r="CG272" s="650"/>
      <c r="CH272" s="650"/>
      <c r="CI272" s="650"/>
      <c r="CJ272" s="650"/>
      <c r="CK272" s="583"/>
      <c r="CL272" s="650"/>
      <c r="CM272" s="650"/>
      <c r="CN272" s="650"/>
      <c r="CO272" s="650"/>
      <c r="CP272" s="583"/>
      <c r="CQ272" s="650"/>
      <c r="CR272" s="650"/>
      <c r="CS272" s="650"/>
      <c r="CT272" s="650"/>
      <c r="CU272" s="583"/>
      <c r="CV272" s="650"/>
      <c r="CW272" s="650"/>
      <c r="CX272" s="650"/>
      <c r="CY272" s="650"/>
      <c r="CZ272" s="583"/>
      <c r="DA272" s="650"/>
      <c r="DB272" s="650"/>
      <c r="DC272" s="650"/>
      <c r="DD272" s="650"/>
      <c r="DE272" s="583"/>
      <c r="DF272" s="650"/>
      <c r="DG272" s="650"/>
      <c r="DH272" s="650"/>
      <c r="DI272" s="650"/>
      <c r="DJ272" s="583"/>
      <c r="DK272" s="650"/>
      <c r="DL272" s="650"/>
      <c r="DM272" s="650"/>
      <c r="DN272" s="650"/>
      <c r="DO272" s="583"/>
      <c r="DP272" s="650"/>
      <c r="DQ272" s="650"/>
      <c r="DR272" s="650"/>
      <c r="DS272" s="650"/>
      <c r="DT272" s="583"/>
      <c r="DU272" s="650"/>
      <c r="DV272" s="650"/>
      <c r="DW272" s="650"/>
      <c r="DX272" s="650"/>
      <c r="DY272" s="583"/>
    </row>
    <row r="273" spans="1:129" x14ac:dyDescent="0.2">
      <c r="A273" s="532"/>
      <c r="B273" s="1287" t="s">
        <v>1150</v>
      </c>
      <c r="C273" s="650"/>
      <c r="D273" s="650"/>
      <c r="E273" s="650"/>
      <c r="F273" s="650"/>
      <c r="G273" s="650"/>
      <c r="H273" s="650"/>
      <c r="I273" s="650"/>
      <c r="J273" s="650"/>
      <c r="K273" s="650"/>
      <c r="L273" s="650"/>
      <c r="M273" s="650"/>
      <c r="N273" s="650"/>
      <c r="O273" s="650"/>
      <c r="P273" s="650"/>
      <c r="Q273" s="650"/>
      <c r="R273" s="650"/>
      <c r="S273" s="650"/>
      <c r="T273" s="650"/>
      <c r="U273" s="650"/>
      <c r="V273" s="650"/>
      <c r="W273" s="650"/>
      <c r="X273" s="1288"/>
      <c r="Y273" s="650"/>
      <c r="Z273" s="650"/>
      <c r="AA273" s="650"/>
      <c r="AB273" s="650"/>
      <c r="AC273" s="1288"/>
      <c r="AD273" s="650"/>
      <c r="AE273" s="650"/>
      <c r="AF273" s="650"/>
      <c r="AG273" s="650"/>
      <c r="AH273" s="1288"/>
      <c r="AI273" s="650"/>
      <c r="AJ273" s="650"/>
      <c r="AK273" s="650"/>
      <c r="AL273" s="650"/>
      <c r="AM273" s="1288"/>
      <c r="AN273" s="650"/>
      <c r="AO273" s="650"/>
      <c r="AP273" s="650"/>
      <c r="AQ273" s="650"/>
      <c r="AR273" s="1288"/>
      <c r="AS273" s="650"/>
      <c r="AT273" s="650"/>
      <c r="AU273" s="650"/>
      <c r="AV273" s="650"/>
      <c r="AW273" s="1288"/>
      <c r="AX273" s="650"/>
      <c r="AY273" s="650"/>
      <c r="AZ273" s="650"/>
      <c r="BA273" s="650"/>
      <c r="BB273" s="1288"/>
      <c r="BC273" s="650"/>
      <c r="BD273" s="650"/>
      <c r="BE273" s="650"/>
      <c r="BF273" s="650"/>
      <c r="BG273" s="1289"/>
      <c r="BH273" s="650"/>
      <c r="BI273" s="650"/>
      <c r="BJ273" s="650"/>
      <c r="BK273" s="650"/>
      <c r="BL273" s="1333"/>
      <c r="BM273" s="650"/>
      <c r="BN273" s="650"/>
      <c r="BO273" s="650"/>
      <c r="BP273" s="650"/>
      <c r="BQ273" s="1333"/>
      <c r="BR273" s="650"/>
      <c r="BS273" s="650"/>
      <c r="BT273" s="650"/>
      <c r="BU273" s="650"/>
      <c r="BV273" s="1333">
        <v>6.1249999999999999E-2</v>
      </c>
      <c r="BW273" s="650"/>
      <c r="BX273" s="650"/>
      <c r="BY273" s="650"/>
      <c r="BZ273" s="650"/>
      <c r="CA273" s="1333">
        <v>6.1249999999999999E-2</v>
      </c>
      <c r="CB273" s="1334">
        <v>6.1249999999999999E-2</v>
      </c>
      <c r="CC273" s="1334">
        <v>6.1249999999999999E-2</v>
      </c>
      <c r="CD273" s="1334">
        <v>6.1249999999999999E-2</v>
      </c>
      <c r="CE273" s="1334">
        <v>6.1249999999999999E-2</v>
      </c>
      <c r="CF273" s="1333"/>
      <c r="CG273" s="1334">
        <f>CE273</f>
        <v>6.1249999999999999E-2</v>
      </c>
      <c r="CH273" s="1334">
        <f>CG273</f>
        <v>6.1249999999999999E-2</v>
      </c>
      <c r="CI273" s="1334">
        <f>CH273</f>
        <v>6.1249999999999999E-2</v>
      </c>
      <c r="CJ273" s="1334">
        <f>CI273</f>
        <v>6.1249999999999999E-2</v>
      </c>
      <c r="CK273" s="1333"/>
      <c r="CL273" s="1334">
        <f>CJ273</f>
        <v>6.1249999999999999E-2</v>
      </c>
      <c r="CM273" s="1334">
        <f>CL273</f>
        <v>6.1249999999999999E-2</v>
      </c>
      <c r="CN273" s="1334">
        <f>CM273</f>
        <v>6.1249999999999999E-2</v>
      </c>
      <c r="CO273" s="1334">
        <f>CN273</f>
        <v>6.1249999999999999E-2</v>
      </c>
      <c r="CP273" s="1333"/>
      <c r="CQ273" s="1334">
        <f>CO273</f>
        <v>6.1249999999999999E-2</v>
      </c>
      <c r="CR273" s="1334">
        <f>CQ273</f>
        <v>6.1249999999999999E-2</v>
      </c>
      <c r="CS273" s="1334">
        <f>CR273</f>
        <v>6.1249999999999999E-2</v>
      </c>
      <c r="CT273" s="1334">
        <f>CS273</f>
        <v>6.1249999999999999E-2</v>
      </c>
      <c r="CU273" s="1333"/>
      <c r="CV273" s="1334">
        <f>CT273</f>
        <v>6.1249999999999999E-2</v>
      </c>
      <c r="CW273" s="1334">
        <f>CV273</f>
        <v>6.1249999999999999E-2</v>
      </c>
      <c r="CX273" s="1334">
        <f>CW273</f>
        <v>6.1249999999999999E-2</v>
      </c>
      <c r="CY273" s="1334">
        <f>CX273</f>
        <v>6.1249999999999999E-2</v>
      </c>
      <c r="CZ273" s="1333"/>
      <c r="DA273" s="1334">
        <f>CY273</f>
        <v>6.1249999999999999E-2</v>
      </c>
      <c r="DB273" s="1334">
        <f>DA273</f>
        <v>6.1249999999999999E-2</v>
      </c>
      <c r="DC273" s="1334">
        <f>DB273</f>
        <v>6.1249999999999999E-2</v>
      </c>
      <c r="DD273" s="1334">
        <f>DC273</f>
        <v>6.1249999999999999E-2</v>
      </c>
      <c r="DE273" s="1333"/>
      <c r="DF273" s="1334">
        <f>DD273</f>
        <v>6.1249999999999999E-2</v>
      </c>
      <c r="DG273" s="1334">
        <f>DF273</f>
        <v>6.1249999999999999E-2</v>
      </c>
      <c r="DH273" s="1334">
        <f>DG273</f>
        <v>6.1249999999999999E-2</v>
      </c>
      <c r="DI273" s="1334">
        <f>DH273</f>
        <v>6.1249999999999999E-2</v>
      </c>
      <c r="DJ273" s="1333"/>
      <c r="DK273" s="1334">
        <f>DI273</f>
        <v>6.1249999999999999E-2</v>
      </c>
      <c r="DL273" s="1334">
        <f>DK273</f>
        <v>6.1249999999999999E-2</v>
      </c>
      <c r="DM273" s="1334">
        <f>DL273</f>
        <v>6.1249999999999999E-2</v>
      </c>
      <c r="DN273" s="1334">
        <f>DM273</f>
        <v>6.1249999999999999E-2</v>
      </c>
      <c r="DO273" s="1333"/>
      <c r="DP273" s="1334">
        <f>DN273</f>
        <v>6.1249999999999999E-2</v>
      </c>
      <c r="DQ273" s="1334">
        <f>DP273</f>
        <v>6.1249999999999999E-2</v>
      </c>
      <c r="DR273" s="1334">
        <f>DQ273</f>
        <v>6.1249999999999999E-2</v>
      </c>
      <c r="DS273" s="1334">
        <f>DR273</f>
        <v>6.1249999999999999E-2</v>
      </c>
      <c r="DT273" s="1333"/>
      <c r="DU273" s="1334">
        <f>DS273</f>
        <v>6.1249999999999999E-2</v>
      </c>
      <c r="DV273" s="1334">
        <f>DU273</f>
        <v>6.1249999999999999E-2</v>
      </c>
      <c r="DW273" s="1334">
        <f>DV273</f>
        <v>6.1249999999999999E-2</v>
      </c>
      <c r="DX273" s="1334">
        <f>DW273</f>
        <v>6.1249999999999999E-2</v>
      </c>
      <c r="DY273" s="1333"/>
    </row>
    <row r="274" spans="1:129" x14ac:dyDescent="0.2">
      <c r="A274" s="1223"/>
      <c r="B274" s="1190" t="s">
        <v>1151</v>
      </c>
      <c r="C274" s="1293"/>
      <c r="D274" s="1293"/>
      <c r="E274" s="1293"/>
      <c r="F274" s="1293"/>
      <c r="G274" s="1293"/>
      <c r="H274" s="1293"/>
      <c r="I274" s="1293"/>
      <c r="J274" s="1293"/>
      <c r="K274" s="1293"/>
      <c r="L274" s="1293"/>
      <c r="M274" s="1293"/>
      <c r="N274" s="1293"/>
      <c r="O274" s="1293"/>
      <c r="P274" s="1293"/>
      <c r="Q274" s="1293"/>
      <c r="R274" s="1293"/>
      <c r="S274" s="1293"/>
      <c r="T274" s="1293"/>
      <c r="U274" s="1293"/>
      <c r="V274" s="1293"/>
      <c r="W274" s="1293"/>
      <c r="X274" s="1227"/>
      <c r="Y274" s="1231"/>
      <c r="Z274" s="1231"/>
      <c r="AA274" s="1231"/>
      <c r="AB274" s="1294"/>
      <c r="AC274" s="1227"/>
      <c r="AD274" s="1231"/>
      <c r="AE274" s="1231"/>
      <c r="AF274" s="1231"/>
      <c r="AG274" s="1294"/>
      <c r="AH274" s="1227"/>
      <c r="AI274" s="1231"/>
      <c r="AJ274" s="1231"/>
      <c r="AK274" s="1231"/>
      <c r="AL274" s="1294"/>
      <c r="AM274" s="1227"/>
      <c r="AN274" s="1231"/>
      <c r="AO274" s="1231"/>
      <c r="AP274" s="1231"/>
      <c r="AQ274" s="1294"/>
      <c r="AR274" s="1227"/>
      <c r="AS274" s="1231"/>
      <c r="AT274" s="1231"/>
      <c r="AU274" s="1231"/>
      <c r="AV274" s="1294"/>
      <c r="AW274" s="1227"/>
      <c r="AX274" s="1231"/>
      <c r="AY274" s="1231"/>
      <c r="AZ274" s="1231"/>
      <c r="BA274" s="1231"/>
      <c r="BB274" s="1227"/>
      <c r="BC274" s="1231"/>
      <c r="BD274" s="1231"/>
      <c r="BE274" s="1231"/>
      <c r="BF274" s="1231"/>
      <c r="BG274" s="1227"/>
      <c r="BH274" s="1231"/>
      <c r="BI274" s="1231"/>
      <c r="BJ274" s="1231"/>
      <c r="BK274" s="1231"/>
      <c r="BL274" s="1326"/>
      <c r="BM274" s="1231"/>
      <c r="BN274" s="1231"/>
      <c r="BO274" s="1231"/>
      <c r="BP274" s="1231"/>
      <c r="BQ274" s="1326"/>
      <c r="BR274" s="1231"/>
      <c r="BS274" s="1231"/>
      <c r="BT274" s="1231"/>
      <c r="BU274" s="1231"/>
      <c r="BV274" s="1326"/>
      <c r="BW274" s="1231"/>
      <c r="BX274" s="1231"/>
      <c r="BY274" s="1231"/>
      <c r="BZ274" s="1231"/>
      <c r="CA274" s="1326"/>
      <c r="CB274" s="1231"/>
      <c r="CC274" s="1231"/>
      <c r="CD274" s="1231"/>
      <c r="CE274" s="1231"/>
      <c r="CF274" s="1326"/>
      <c r="CG274" s="1231"/>
      <c r="CH274" s="1231"/>
      <c r="CI274" s="1231"/>
      <c r="CJ274" s="1231"/>
      <c r="CK274" s="1326"/>
      <c r="CL274" s="1231"/>
      <c r="CM274" s="1231"/>
      <c r="CN274" s="1231"/>
      <c r="CO274" s="1231"/>
      <c r="CP274" s="1326"/>
      <c r="CQ274" s="1231"/>
      <c r="CR274" s="1231"/>
      <c r="CS274" s="1231"/>
      <c r="CT274" s="1231"/>
      <c r="CU274" s="1326"/>
      <c r="CV274" s="1231"/>
      <c r="CW274" s="1231"/>
      <c r="CX274" s="1231"/>
      <c r="CY274" s="1231"/>
      <c r="CZ274" s="1326"/>
      <c r="DA274" s="1231"/>
      <c r="DB274" s="1231"/>
      <c r="DC274" s="1231"/>
      <c r="DD274" s="1231"/>
      <c r="DE274" s="1326"/>
      <c r="DF274" s="1231"/>
      <c r="DG274" s="1231"/>
      <c r="DH274" s="1231"/>
      <c r="DI274" s="1231"/>
      <c r="DJ274" s="1326"/>
      <c r="DK274" s="1231"/>
      <c r="DL274" s="1231"/>
      <c r="DM274" s="1231"/>
      <c r="DN274" s="1231"/>
      <c r="DO274" s="1326"/>
      <c r="DP274" s="1231"/>
      <c r="DQ274" s="1231"/>
      <c r="DR274" s="1231"/>
      <c r="DS274" s="1231"/>
      <c r="DT274" s="1326"/>
      <c r="DU274" s="1231"/>
      <c r="DV274" s="1231"/>
      <c r="DW274" s="1231"/>
      <c r="DX274" s="1231"/>
      <c r="DY274" s="1326"/>
    </row>
    <row r="275" spans="1:129" x14ac:dyDescent="0.2">
      <c r="A275" s="1223"/>
      <c r="B275" s="1190" t="s">
        <v>1152</v>
      </c>
      <c r="C275" s="1231"/>
      <c r="D275" s="1231"/>
      <c r="E275" s="1231"/>
      <c r="F275" s="1231"/>
      <c r="G275" s="1231"/>
      <c r="H275" s="1231"/>
      <c r="I275" s="1231"/>
      <c r="J275" s="1231"/>
      <c r="K275" s="1231"/>
      <c r="L275" s="1231"/>
      <c r="M275" s="1231"/>
      <c r="N275" s="1231"/>
      <c r="O275" s="1231"/>
      <c r="P275" s="1231"/>
      <c r="Q275" s="1231"/>
      <c r="R275" s="1231"/>
      <c r="S275" s="1231"/>
      <c r="T275" s="1231"/>
      <c r="U275" s="1231"/>
      <c r="V275" s="1231"/>
      <c r="W275" s="1231"/>
      <c r="X275" s="1227"/>
      <c r="Y275" s="1231"/>
      <c r="Z275" s="1231"/>
      <c r="AA275" s="1231"/>
      <c r="AB275" s="1231"/>
      <c r="AC275" s="1227"/>
      <c r="AD275" s="1231"/>
      <c r="AE275" s="1231"/>
      <c r="AF275" s="1231"/>
      <c r="AG275" s="1231"/>
      <c r="AH275" s="1227"/>
      <c r="AI275" s="1231"/>
      <c r="AJ275" s="1231"/>
      <c r="AK275" s="1231"/>
      <c r="AL275" s="1231"/>
      <c r="AM275" s="1227"/>
      <c r="AN275" s="1231"/>
      <c r="AO275" s="1231"/>
      <c r="AP275" s="1231"/>
      <c r="AQ275" s="1231"/>
      <c r="AR275" s="1227"/>
      <c r="AS275" s="1231"/>
      <c r="AT275" s="1231"/>
      <c r="AU275" s="1231"/>
      <c r="AV275" s="1231"/>
      <c r="AW275" s="1227"/>
      <c r="AX275" s="1231"/>
      <c r="AY275" s="1231"/>
      <c r="AZ275" s="1231"/>
      <c r="BA275" s="1231"/>
      <c r="BB275" s="1227"/>
      <c r="BC275" s="1231"/>
      <c r="BD275" s="1231"/>
      <c r="BE275" s="1231"/>
      <c r="BF275" s="1231"/>
      <c r="BG275" s="1227"/>
      <c r="BH275" s="1231"/>
      <c r="BI275" s="1231"/>
      <c r="BJ275" s="1231"/>
      <c r="BK275" s="1231"/>
      <c r="BL275" s="1326"/>
      <c r="BM275" s="1231"/>
      <c r="BN275" s="1231"/>
      <c r="BO275" s="1231"/>
      <c r="BP275" s="1231"/>
      <c r="BQ275" s="1326"/>
      <c r="BR275" s="1231"/>
      <c r="BS275" s="1231"/>
      <c r="BT275" s="1231"/>
      <c r="BU275" s="1231"/>
      <c r="BV275" s="1326">
        <f>BQ277</f>
        <v>0</v>
      </c>
      <c r="BW275" s="1231"/>
      <c r="BX275" s="1231"/>
      <c r="BY275" s="1231"/>
      <c r="BZ275" s="1231"/>
      <c r="CA275" s="1326">
        <f>BV277</f>
        <v>1500</v>
      </c>
      <c r="CB275" s="1223">
        <f>CA277</f>
        <v>1500</v>
      </c>
      <c r="CC275" s="1223">
        <f>+CB277</f>
        <v>1500</v>
      </c>
      <c r="CD275" s="1223">
        <f>+CC277</f>
        <v>1500</v>
      </c>
      <c r="CE275" s="1223">
        <f>+CD277</f>
        <v>1500</v>
      </c>
      <c r="CF275" s="1326">
        <f>CA277</f>
        <v>1500</v>
      </c>
      <c r="CG275" s="1223">
        <f>+CE277</f>
        <v>1500</v>
      </c>
      <c r="CH275" s="1223">
        <f>+CG277</f>
        <v>1500</v>
      </c>
      <c r="CI275" s="1223">
        <f>+CH277</f>
        <v>1500</v>
      </c>
      <c r="CJ275" s="1223">
        <f>+CI277</f>
        <v>1500</v>
      </c>
      <c r="CK275" s="1326">
        <f>CF277</f>
        <v>1500</v>
      </c>
      <c r="CL275" s="1223">
        <f>+CJ277</f>
        <v>1500</v>
      </c>
      <c r="CM275" s="1223">
        <f>+CL277</f>
        <v>1500</v>
      </c>
      <c r="CN275" s="1223">
        <f>+CM277</f>
        <v>1500</v>
      </c>
      <c r="CO275" s="1223">
        <f>+CN277</f>
        <v>1500</v>
      </c>
      <c r="CP275" s="1326">
        <f>CK277</f>
        <v>1500</v>
      </c>
      <c r="CQ275" s="1223">
        <f>+CO275</f>
        <v>1500</v>
      </c>
      <c r="CR275" s="1223">
        <f>+CQ277</f>
        <v>1500</v>
      </c>
      <c r="CS275" s="1223">
        <f>+CR277</f>
        <v>1500</v>
      </c>
      <c r="CT275" s="1223">
        <f>+CS277</f>
        <v>1500</v>
      </c>
      <c r="CU275" s="1326">
        <f>CP277</f>
        <v>1500</v>
      </c>
      <c r="CV275" s="1223">
        <f>CT277</f>
        <v>734</v>
      </c>
      <c r="CW275" s="1223">
        <f>+CV277</f>
        <v>734</v>
      </c>
      <c r="CX275" s="1223">
        <f>+CW277</f>
        <v>734</v>
      </c>
      <c r="CY275" s="1223">
        <f>+CX277</f>
        <v>734</v>
      </c>
      <c r="CZ275" s="1326">
        <f>CU277</f>
        <v>734</v>
      </c>
      <c r="DA275" s="1223">
        <f>+CY275</f>
        <v>734</v>
      </c>
      <c r="DB275" s="1223">
        <f>+DA277</f>
        <v>734</v>
      </c>
      <c r="DC275" s="1223">
        <f>+DB277</f>
        <v>734</v>
      </c>
      <c r="DD275" s="1223">
        <f>+DC277</f>
        <v>734</v>
      </c>
      <c r="DE275" s="1326">
        <f>CZ277</f>
        <v>734</v>
      </c>
      <c r="DF275" s="1223">
        <f>+DD275</f>
        <v>734</v>
      </c>
      <c r="DG275" s="1223">
        <f>+DF277</f>
        <v>734</v>
      </c>
      <c r="DH275" s="1223">
        <f>+DG277</f>
        <v>734</v>
      </c>
      <c r="DI275" s="1223">
        <f>+DH277</f>
        <v>734</v>
      </c>
      <c r="DJ275" s="1326">
        <f>DE277</f>
        <v>734</v>
      </c>
      <c r="DK275" s="1223">
        <f>+DI275</f>
        <v>734</v>
      </c>
      <c r="DL275" s="1223">
        <f>+DK277</f>
        <v>734</v>
      </c>
      <c r="DM275" s="1223">
        <f>+DL277</f>
        <v>734</v>
      </c>
      <c r="DN275" s="1223">
        <f>+DM277</f>
        <v>734</v>
      </c>
      <c r="DO275" s="1326">
        <f>DJ277</f>
        <v>734</v>
      </c>
      <c r="DP275" s="1223">
        <f>+DN275</f>
        <v>734</v>
      </c>
      <c r="DQ275" s="1223">
        <f>+DP277</f>
        <v>734</v>
      </c>
      <c r="DR275" s="1223">
        <f>+DQ277</f>
        <v>734</v>
      </c>
      <c r="DS275" s="1223">
        <f>+DR277</f>
        <v>734</v>
      </c>
      <c r="DT275" s="1326">
        <f>DO277</f>
        <v>734</v>
      </c>
      <c r="DU275" s="1223">
        <f>+DS275</f>
        <v>734</v>
      </c>
      <c r="DV275" s="1223">
        <f>+DU277</f>
        <v>734</v>
      </c>
      <c r="DW275" s="1223">
        <f>+DV277</f>
        <v>734</v>
      </c>
      <c r="DX275" s="1223">
        <f>+DW277</f>
        <v>734</v>
      </c>
      <c r="DY275" s="1326">
        <f>DT277</f>
        <v>734</v>
      </c>
    </row>
    <row r="276" spans="1:129" x14ac:dyDescent="0.2">
      <c r="A276" s="1295"/>
      <c r="B276" s="1190" t="s">
        <v>1153</v>
      </c>
      <c r="C276" s="1182"/>
      <c r="D276" s="1182"/>
      <c r="E276" s="1182"/>
      <c r="F276" s="1182"/>
      <c r="G276" s="1182"/>
      <c r="H276" s="1182"/>
      <c r="I276" s="1182"/>
      <c r="J276" s="1182"/>
      <c r="K276" s="1182"/>
      <c r="L276" s="1182"/>
      <c r="M276" s="1182"/>
      <c r="N276" s="1182"/>
      <c r="O276" s="1182"/>
      <c r="P276" s="1182"/>
      <c r="Q276" s="1182"/>
      <c r="R276" s="1182"/>
      <c r="S276" s="1182"/>
      <c r="T276" s="1182"/>
      <c r="U276" s="1182"/>
      <c r="V276" s="1182"/>
      <c r="W276" s="1182"/>
      <c r="X276" s="1296"/>
      <c r="Y276" s="1297"/>
      <c r="Z276" s="1297"/>
      <c r="AA276" s="1297"/>
      <c r="AB276" s="1297"/>
      <c r="AC276" s="1296"/>
      <c r="AD276" s="1297"/>
      <c r="AE276" s="1297"/>
      <c r="AF276" s="1297"/>
      <c r="AG276" s="1297"/>
      <c r="AH276" s="1296"/>
      <c r="AI276" s="1297"/>
      <c r="AJ276" s="1297"/>
      <c r="AK276" s="1297"/>
      <c r="AL276" s="1297"/>
      <c r="AM276" s="1296"/>
      <c r="AN276" s="1297"/>
      <c r="AO276" s="1297"/>
      <c r="AP276" s="1297"/>
      <c r="AQ276" s="1297"/>
      <c r="AR276" s="1296"/>
      <c r="AS276" s="1297"/>
      <c r="AT276" s="1297"/>
      <c r="AU276" s="1297"/>
      <c r="AV276" s="1297"/>
      <c r="AW276" s="1296"/>
      <c r="AX276" s="1298"/>
      <c r="AY276" s="1299"/>
      <c r="AZ276" s="1299"/>
      <c r="BA276" s="1298"/>
      <c r="BB276" s="1300"/>
      <c r="BC276" s="1298"/>
      <c r="BD276" s="1298"/>
      <c r="BE276" s="1298"/>
      <c r="BF276" s="1298"/>
      <c r="BG276" s="1296"/>
      <c r="BH276" s="1298"/>
      <c r="BI276" s="1298"/>
      <c r="BJ276" s="1298"/>
      <c r="BK276" s="1298"/>
      <c r="BL276" s="1335"/>
      <c r="BM276" s="1298"/>
      <c r="BN276" s="1298"/>
      <c r="BO276" s="1298"/>
      <c r="BP276" s="1298"/>
      <c r="BQ276" s="1335"/>
      <c r="BR276" s="1298"/>
      <c r="BS276" s="1298"/>
      <c r="BT276" s="1298"/>
      <c r="BU276" s="1298"/>
      <c r="BV276" s="1335">
        <f>BV277-BV275</f>
        <v>1500</v>
      </c>
      <c r="BW276" s="1298"/>
      <c r="BX276" s="1298"/>
      <c r="BY276" s="1298"/>
      <c r="BZ276" s="1298"/>
      <c r="CA276" s="1335">
        <f>CA277-CA275</f>
        <v>0</v>
      </c>
      <c r="CB276" s="1336">
        <f>CB277-CB275</f>
        <v>0</v>
      </c>
      <c r="CC276" s="1336">
        <f>CC277-CC275</f>
        <v>0</v>
      </c>
      <c r="CD276" s="1298">
        <v>0</v>
      </c>
      <c r="CE276" s="1298">
        <v>0</v>
      </c>
      <c r="CF276" s="1335">
        <f>+SUM(CB276:CE276)</f>
        <v>0</v>
      </c>
      <c r="CG276" s="1298">
        <v>0</v>
      </c>
      <c r="CH276" s="1298">
        <v>0</v>
      </c>
      <c r="CI276" s="1298">
        <v>0</v>
      </c>
      <c r="CJ276" s="1298">
        <v>0</v>
      </c>
      <c r="CK276" s="1335">
        <f>+SUM(CG276:CJ276)</f>
        <v>0</v>
      </c>
      <c r="CL276" s="1298">
        <v>0</v>
      </c>
      <c r="CM276" s="1298">
        <v>0</v>
      </c>
      <c r="CN276" s="1298">
        <v>0</v>
      </c>
      <c r="CO276" s="1298">
        <v>0</v>
      </c>
      <c r="CP276" s="1335">
        <f>+SUM(CL276:CO276)</f>
        <v>0</v>
      </c>
      <c r="CQ276" s="1298">
        <v>0</v>
      </c>
      <c r="CR276" s="1298">
        <v>0</v>
      </c>
      <c r="CS276" s="1298">
        <v>0</v>
      </c>
      <c r="CT276" s="1298">
        <v>-766</v>
      </c>
      <c r="CU276" s="1335">
        <f>+SUM(CQ276:CT276)</f>
        <v>-766</v>
      </c>
      <c r="CV276" s="1298">
        <v>0</v>
      </c>
      <c r="CW276" s="1298">
        <v>0</v>
      </c>
      <c r="CX276" s="1298">
        <v>0</v>
      </c>
      <c r="CY276" s="1298">
        <v>0</v>
      </c>
      <c r="CZ276" s="1335">
        <f>+SUM(CV276:CY276)</f>
        <v>0</v>
      </c>
      <c r="DA276" s="1298">
        <v>0</v>
      </c>
      <c r="DB276" s="1298">
        <v>0</v>
      </c>
      <c r="DC276" s="1298">
        <v>0</v>
      </c>
      <c r="DD276" s="1298">
        <v>0</v>
      </c>
      <c r="DE276" s="1335">
        <f>+SUM(DA276:DD276)</f>
        <v>0</v>
      </c>
      <c r="DF276" s="1298">
        <v>0</v>
      </c>
      <c r="DG276" s="1298">
        <v>0</v>
      </c>
      <c r="DH276" s="1298">
        <v>0</v>
      </c>
      <c r="DI276" s="1298">
        <v>0</v>
      </c>
      <c r="DJ276" s="1335">
        <f>+SUM(DF276:DI276)</f>
        <v>0</v>
      </c>
      <c r="DK276" s="1298">
        <v>0</v>
      </c>
      <c r="DL276" s="1298">
        <v>0</v>
      </c>
      <c r="DM276" s="1298">
        <v>0</v>
      </c>
      <c r="DN276" s="1298">
        <v>0</v>
      </c>
      <c r="DO276" s="1335">
        <f>+SUM(DK276:DN276)</f>
        <v>0</v>
      </c>
      <c r="DP276" s="1298">
        <v>0</v>
      </c>
      <c r="DQ276" s="1298">
        <v>0</v>
      </c>
      <c r="DR276" s="1298">
        <v>0</v>
      </c>
      <c r="DS276" s="1298">
        <v>0</v>
      </c>
      <c r="DT276" s="1335">
        <f>+SUM(DP276:DS276)</f>
        <v>0</v>
      </c>
      <c r="DU276" s="1298">
        <v>0</v>
      </c>
      <c r="DV276" s="1298">
        <v>0</v>
      </c>
      <c r="DW276" s="1298">
        <v>0</v>
      </c>
      <c r="DX276" s="1298">
        <v>0</v>
      </c>
      <c r="DY276" s="1335">
        <f>+SUM(DU276:DX276)</f>
        <v>0</v>
      </c>
    </row>
    <row r="277" spans="1:129" x14ac:dyDescent="0.2">
      <c r="A277" s="1295"/>
      <c r="B277" s="1190" t="s">
        <v>1154</v>
      </c>
      <c r="C277" s="1182"/>
      <c r="D277" s="1182"/>
      <c r="E277" s="1182"/>
      <c r="F277" s="1182"/>
      <c r="G277" s="1182"/>
      <c r="H277" s="1182"/>
      <c r="I277" s="1182"/>
      <c r="J277" s="1182"/>
      <c r="K277" s="1182"/>
      <c r="L277" s="1182"/>
      <c r="M277" s="1182"/>
      <c r="N277" s="1182"/>
      <c r="O277" s="1182"/>
      <c r="P277" s="1182"/>
      <c r="Q277" s="1182"/>
      <c r="R277" s="1182"/>
      <c r="S277" s="1182"/>
      <c r="T277" s="1182"/>
      <c r="U277" s="1182"/>
      <c r="V277" s="1182"/>
      <c r="W277" s="1182"/>
      <c r="X277" s="1304"/>
      <c r="Y277" s="1305"/>
      <c r="Z277" s="1305"/>
      <c r="AA277" s="1305"/>
      <c r="AB277" s="1305"/>
      <c r="AC277" s="1304"/>
      <c r="AD277" s="1305"/>
      <c r="AE277" s="1305"/>
      <c r="AF277" s="1305"/>
      <c r="AG277" s="1305"/>
      <c r="AH277" s="1304"/>
      <c r="AI277" s="1305"/>
      <c r="AJ277" s="1305"/>
      <c r="AK277" s="1305"/>
      <c r="AL277" s="1305"/>
      <c r="AM277" s="1304"/>
      <c r="AN277" s="1305"/>
      <c r="AO277" s="1305"/>
      <c r="AP277" s="1305"/>
      <c r="AQ277" s="1305"/>
      <c r="AR277" s="1304"/>
      <c r="AS277" s="1305"/>
      <c r="AT277" s="1305"/>
      <c r="AU277" s="1305"/>
      <c r="AV277" s="1305"/>
      <c r="AW277" s="1304"/>
      <c r="AX277" s="1305"/>
      <c r="AY277" s="1305"/>
      <c r="AZ277" s="1305"/>
      <c r="BA277" s="1305"/>
      <c r="BB277" s="1304"/>
      <c r="BC277" s="1305"/>
      <c r="BD277" s="1305"/>
      <c r="BE277" s="1305"/>
      <c r="BF277" s="1305"/>
      <c r="BG277" s="1306"/>
      <c r="BH277" s="1305"/>
      <c r="BI277" s="1305"/>
      <c r="BJ277" s="1305"/>
      <c r="BK277" s="1305"/>
      <c r="BL277" s="1337"/>
      <c r="BM277" s="1305"/>
      <c r="BN277" s="1305"/>
      <c r="BO277" s="1305"/>
      <c r="BP277" s="1305"/>
      <c r="BQ277" s="1337"/>
      <c r="BR277" s="1305"/>
      <c r="BS277" s="1305"/>
      <c r="BT277" s="1305"/>
      <c r="BU277" s="1305"/>
      <c r="BV277" s="1337">
        <v>1500</v>
      </c>
      <c r="BW277" s="1305"/>
      <c r="BX277" s="1305"/>
      <c r="BY277" s="1305"/>
      <c r="BZ277" s="1305"/>
      <c r="CA277" s="1337">
        <v>1500</v>
      </c>
      <c r="CB277" s="1295">
        <f>CA277</f>
        <v>1500</v>
      </c>
      <c r="CC277" s="1226">
        <f>CB277</f>
        <v>1500</v>
      </c>
      <c r="CD277" s="1295">
        <f t="shared" ref="CD277:CZ277" si="193">CD275+CD276</f>
        <v>1500</v>
      </c>
      <c r="CE277" s="1295">
        <f t="shared" si="193"/>
        <v>1500</v>
      </c>
      <c r="CF277" s="1325">
        <f t="shared" si="193"/>
        <v>1500</v>
      </c>
      <c r="CG277" s="1295">
        <f t="shared" si="193"/>
        <v>1500</v>
      </c>
      <c r="CH277" s="1295">
        <f t="shared" si="193"/>
        <v>1500</v>
      </c>
      <c r="CI277" s="1295">
        <f t="shared" si="193"/>
        <v>1500</v>
      </c>
      <c r="CJ277" s="1295">
        <f t="shared" si="193"/>
        <v>1500</v>
      </c>
      <c r="CK277" s="1325">
        <f t="shared" si="193"/>
        <v>1500</v>
      </c>
      <c r="CL277" s="1295">
        <f t="shared" si="193"/>
        <v>1500</v>
      </c>
      <c r="CM277" s="1295">
        <f t="shared" si="193"/>
        <v>1500</v>
      </c>
      <c r="CN277" s="1295">
        <f t="shared" si="193"/>
        <v>1500</v>
      </c>
      <c r="CO277" s="1295">
        <f t="shared" si="193"/>
        <v>1500</v>
      </c>
      <c r="CP277" s="1325">
        <f t="shared" si="193"/>
        <v>1500</v>
      </c>
      <c r="CQ277" s="1295">
        <f t="shared" si="193"/>
        <v>1500</v>
      </c>
      <c r="CR277" s="1295">
        <f t="shared" si="193"/>
        <v>1500</v>
      </c>
      <c r="CS277" s="1295">
        <f t="shared" si="193"/>
        <v>1500</v>
      </c>
      <c r="CT277" s="1295">
        <f t="shared" si="193"/>
        <v>734</v>
      </c>
      <c r="CU277" s="1325">
        <f t="shared" si="193"/>
        <v>734</v>
      </c>
      <c r="CV277" s="1295">
        <f t="shared" si="193"/>
        <v>734</v>
      </c>
      <c r="CW277" s="1295">
        <f t="shared" si="193"/>
        <v>734</v>
      </c>
      <c r="CX277" s="1295">
        <f t="shared" si="193"/>
        <v>734</v>
      </c>
      <c r="CY277" s="1295">
        <f t="shared" si="193"/>
        <v>734</v>
      </c>
      <c r="CZ277" s="1325">
        <f t="shared" si="193"/>
        <v>734</v>
      </c>
      <c r="DA277" s="1295">
        <f t="shared" ref="DA277:DJ277" si="194">DA275+DA276</f>
        <v>734</v>
      </c>
      <c r="DB277" s="1295">
        <f t="shared" si="194"/>
        <v>734</v>
      </c>
      <c r="DC277" s="1295">
        <f t="shared" si="194"/>
        <v>734</v>
      </c>
      <c r="DD277" s="1295">
        <f t="shared" si="194"/>
        <v>734</v>
      </c>
      <c r="DE277" s="1325">
        <f t="shared" si="194"/>
        <v>734</v>
      </c>
      <c r="DF277" s="1295">
        <f t="shared" si="194"/>
        <v>734</v>
      </c>
      <c r="DG277" s="1295">
        <f t="shared" si="194"/>
        <v>734</v>
      </c>
      <c r="DH277" s="1295">
        <f t="shared" si="194"/>
        <v>734</v>
      </c>
      <c r="DI277" s="1295">
        <f t="shared" si="194"/>
        <v>734</v>
      </c>
      <c r="DJ277" s="1325">
        <f t="shared" si="194"/>
        <v>734</v>
      </c>
      <c r="DK277" s="1295">
        <f t="shared" ref="DK277:DT277" si="195">DK275+DK276</f>
        <v>734</v>
      </c>
      <c r="DL277" s="1295">
        <f t="shared" si="195"/>
        <v>734</v>
      </c>
      <c r="DM277" s="1295">
        <f t="shared" si="195"/>
        <v>734</v>
      </c>
      <c r="DN277" s="1295">
        <f t="shared" si="195"/>
        <v>734</v>
      </c>
      <c r="DO277" s="1325">
        <f t="shared" si="195"/>
        <v>734</v>
      </c>
      <c r="DP277" s="1295">
        <f t="shared" si="195"/>
        <v>734</v>
      </c>
      <c r="DQ277" s="1295">
        <f t="shared" si="195"/>
        <v>734</v>
      </c>
      <c r="DR277" s="1295">
        <f t="shared" si="195"/>
        <v>734</v>
      </c>
      <c r="DS277" s="1295">
        <f t="shared" si="195"/>
        <v>734</v>
      </c>
      <c r="DT277" s="1325">
        <f t="shared" si="195"/>
        <v>734</v>
      </c>
      <c r="DU277" s="1295">
        <f t="shared" ref="DU277:DY277" si="196">DU275+DU276</f>
        <v>734</v>
      </c>
      <c r="DV277" s="1295">
        <f t="shared" si="196"/>
        <v>734</v>
      </c>
      <c r="DW277" s="1295">
        <f t="shared" si="196"/>
        <v>734</v>
      </c>
      <c r="DX277" s="1295">
        <f t="shared" si="196"/>
        <v>734</v>
      </c>
      <c r="DY277" s="1325">
        <f t="shared" si="196"/>
        <v>734</v>
      </c>
    </row>
    <row r="278" spans="1:129" x14ac:dyDescent="0.2">
      <c r="A278" s="1223"/>
      <c r="B278" s="1190" t="s">
        <v>1155</v>
      </c>
      <c r="C278" s="1182"/>
      <c r="D278" s="1182"/>
      <c r="E278" s="1182"/>
      <c r="F278" s="1182"/>
      <c r="G278" s="1182"/>
      <c r="H278" s="1182"/>
      <c r="I278" s="1182"/>
      <c r="J278" s="1182"/>
      <c r="K278" s="1182"/>
      <c r="L278" s="1182"/>
      <c r="M278" s="1182"/>
      <c r="N278" s="1182"/>
      <c r="O278" s="1182"/>
      <c r="P278" s="1182"/>
      <c r="Q278" s="1182"/>
      <c r="R278" s="1182"/>
      <c r="S278" s="1182"/>
      <c r="T278" s="1182"/>
      <c r="U278" s="1182"/>
      <c r="V278" s="1182"/>
      <c r="W278" s="1182"/>
      <c r="X278" s="1227"/>
      <c r="Y278" s="1231"/>
      <c r="Z278" s="1231"/>
      <c r="AA278" s="1231"/>
      <c r="AB278" s="1231"/>
      <c r="AC278" s="1227"/>
      <c r="AD278" s="1231"/>
      <c r="AE278" s="1231"/>
      <c r="AF278" s="1231"/>
      <c r="AG278" s="1231"/>
      <c r="AH278" s="1227"/>
      <c r="AI278" s="1231"/>
      <c r="AJ278" s="1231"/>
      <c r="AK278" s="1231"/>
      <c r="AL278" s="1231"/>
      <c r="AM278" s="1227"/>
      <c r="AN278" s="1231"/>
      <c r="AO278" s="1231"/>
      <c r="AP278" s="1231"/>
      <c r="AQ278" s="1231"/>
      <c r="AR278" s="1227"/>
      <c r="AS278" s="1231"/>
      <c r="AT278" s="1231"/>
      <c r="AU278" s="1231"/>
      <c r="AV278" s="1231"/>
      <c r="AW278" s="1227"/>
      <c r="AX278" s="1231"/>
      <c r="AY278" s="1231"/>
      <c r="AZ278" s="1231"/>
      <c r="BA278" s="1231"/>
      <c r="BB278" s="1227"/>
      <c r="BC278" s="1231"/>
      <c r="BD278" s="1231"/>
      <c r="BE278" s="1231"/>
      <c r="BF278" s="1231"/>
      <c r="BG278" s="1227"/>
      <c r="BH278" s="1231"/>
      <c r="BI278" s="1231"/>
      <c r="BJ278" s="1231"/>
      <c r="BK278" s="1231"/>
      <c r="BL278" s="1326"/>
      <c r="BM278" s="1231"/>
      <c r="BN278" s="1231"/>
      <c r="BO278" s="1231"/>
      <c r="BP278" s="1231"/>
      <c r="BQ278" s="1326"/>
      <c r="BR278" s="1231"/>
      <c r="BS278" s="1231"/>
      <c r="BT278" s="1231"/>
      <c r="BU278" s="1231"/>
      <c r="BV278" s="1326"/>
      <c r="BW278" s="1231"/>
      <c r="BX278" s="1231"/>
      <c r="BY278" s="1231"/>
      <c r="BZ278" s="1231"/>
      <c r="CA278" s="1326"/>
      <c r="CB278" s="1231"/>
      <c r="CC278" s="1231"/>
      <c r="CD278" s="1231"/>
      <c r="CE278" s="1231"/>
      <c r="CF278" s="1326"/>
      <c r="CG278" s="1231"/>
      <c r="CH278" s="1231"/>
      <c r="CI278" s="1231"/>
      <c r="CJ278" s="1231"/>
      <c r="CK278" s="1326"/>
      <c r="CL278" s="1231"/>
      <c r="CM278" s="1231"/>
      <c r="CN278" s="1231"/>
      <c r="CO278" s="1231"/>
      <c r="CP278" s="1326"/>
      <c r="CQ278" s="1231"/>
      <c r="CR278" s="1231"/>
      <c r="CS278" s="1231"/>
      <c r="CT278" s="1231"/>
      <c r="CU278" s="1326"/>
      <c r="CV278" s="1231"/>
      <c r="CW278" s="1231"/>
      <c r="CX278" s="1231"/>
      <c r="CY278" s="1231"/>
      <c r="CZ278" s="1326"/>
      <c r="DA278" s="1231"/>
      <c r="DB278" s="1231"/>
      <c r="DC278" s="1231"/>
      <c r="DD278" s="1231"/>
      <c r="DE278" s="1326"/>
      <c r="DF278" s="1231"/>
      <c r="DG278" s="1231"/>
      <c r="DH278" s="1231"/>
      <c r="DI278" s="1231"/>
      <c r="DJ278" s="1326"/>
      <c r="DK278" s="1231"/>
      <c r="DL278" s="1231"/>
      <c r="DM278" s="1231"/>
      <c r="DN278" s="1231"/>
      <c r="DO278" s="1326"/>
      <c r="DP278" s="1231"/>
      <c r="DQ278" s="1231"/>
      <c r="DR278" s="1231"/>
      <c r="DS278" s="1231"/>
      <c r="DT278" s="1326"/>
      <c r="DU278" s="1231"/>
      <c r="DV278" s="1231"/>
      <c r="DW278" s="1231"/>
      <c r="DX278" s="1231"/>
      <c r="DY278" s="1326"/>
    </row>
    <row r="279" spans="1:129" x14ac:dyDescent="0.2">
      <c r="A279" s="1223"/>
      <c r="B279" s="1190" t="s">
        <v>1156</v>
      </c>
      <c r="C279" s="1182"/>
      <c r="D279" s="1182"/>
      <c r="E279" s="1182"/>
      <c r="F279" s="1182"/>
      <c r="G279" s="1182"/>
      <c r="H279" s="1182"/>
      <c r="I279" s="1182"/>
      <c r="J279" s="1182"/>
      <c r="K279" s="1182"/>
      <c r="L279" s="1182"/>
      <c r="M279" s="1182"/>
      <c r="N279" s="1182"/>
      <c r="O279" s="1182"/>
      <c r="P279" s="1182"/>
      <c r="Q279" s="1182"/>
      <c r="R279" s="1182"/>
      <c r="S279" s="1182"/>
      <c r="T279" s="1182"/>
      <c r="U279" s="1182"/>
      <c r="V279" s="1182"/>
      <c r="W279" s="1182"/>
      <c r="X279" s="1227"/>
      <c r="Y279" s="1231"/>
      <c r="Z279" s="1231"/>
      <c r="AA279" s="1231"/>
      <c r="AB279" s="1231"/>
      <c r="AC279" s="1227"/>
      <c r="AD279" s="1231"/>
      <c r="AE279" s="1231"/>
      <c r="AF279" s="1231"/>
      <c r="AG279" s="1231"/>
      <c r="AH279" s="1227"/>
      <c r="AI279" s="1231"/>
      <c r="AJ279" s="1231"/>
      <c r="AK279" s="1231"/>
      <c r="AL279" s="1231"/>
      <c r="AM279" s="1227"/>
      <c r="AN279" s="1231"/>
      <c r="AO279" s="1231"/>
      <c r="AP279" s="1231"/>
      <c r="AQ279" s="1231"/>
      <c r="AR279" s="1227"/>
      <c r="AS279" s="1231"/>
      <c r="AT279" s="1231"/>
      <c r="AU279" s="1231"/>
      <c r="AV279" s="1231"/>
      <c r="AW279" s="1227"/>
      <c r="AX279" s="1231"/>
      <c r="AY279" s="1231"/>
      <c r="AZ279" s="1231"/>
      <c r="BA279" s="1231"/>
      <c r="BB279" s="1227"/>
      <c r="BC279" s="1231"/>
      <c r="BD279" s="1231"/>
      <c r="BE279" s="1231"/>
      <c r="BF279" s="1231"/>
      <c r="BG279" s="1227"/>
      <c r="BH279" s="1231"/>
      <c r="BI279" s="1231"/>
      <c r="BJ279" s="1231"/>
      <c r="BK279" s="1231"/>
      <c r="BL279" s="1326"/>
      <c r="BM279" s="1231"/>
      <c r="BN279" s="1231"/>
      <c r="BO279" s="1231"/>
      <c r="BP279" s="1231"/>
      <c r="BQ279" s="1326"/>
      <c r="BR279" s="1231"/>
      <c r="BS279" s="1231"/>
      <c r="BT279" s="1231"/>
      <c r="BU279" s="1231"/>
      <c r="BV279" s="1326">
        <f>-(AVERAGE(BV275,BV277))*(BV273)</f>
        <v>-45.9375</v>
      </c>
      <c r="BW279" s="1231"/>
      <c r="BX279" s="1231"/>
      <c r="BY279" s="1231"/>
      <c r="BZ279" s="1231"/>
      <c r="CA279" s="1326">
        <f>-(AVERAGE(CA275,CA277))*(CA273)</f>
        <v>-91.875</v>
      </c>
      <c r="CB279" s="1223">
        <f>-(AVERAGE(CB277,CB275))*(CB273/4)</f>
        <v>-22.96875</v>
      </c>
      <c r="CC279" s="1223">
        <f>-(AVERAGE(CC277,CC275))*(CC273/4)</f>
        <v>-22.96875</v>
      </c>
      <c r="CD279" s="1223">
        <f>-(AVERAGE(CD277,CD275))*(CD273/4)</f>
        <v>-22.96875</v>
      </c>
      <c r="CE279" s="1223">
        <f>-(AVERAGE(CE277,CE275))*(CE273/4)</f>
        <v>-22.96875</v>
      </c>
      <c r="CF279" s="1326">
        <f>SUM(CB279:CE279)</f>
        <v>-91.875</v>
      </c>
      <c r="CG279" s="1223">
        <f>-(AVERAGE(CG277,CG275))*(CG273/4)</f>
        <v>-22.96875</v>
      </c>
      <c r="CH279" s="1223">
        <f>-(AVERAGE(CH277,CH275))*(CH273/4)</f>
        <v>-22.96875</v>
      </c>
      <c r="CI279" s="1223">
        <f>-(AVERAGE(CI277,CI275))*(CI273/4)</f>
        <v>-22.96875</v>
      </c>
      <c r="CJ279" s="1223">
        <f>-(AVERAGE(CJ277,CJ275))*(CJ273/4)</f>
        <v>-22.96875</v>
      </c>
      <c r="CK279" s="1326">
        <f>SUM(CG279:CJ279)</f>
        <v>-91.875</v>
      </c>
      <c r="CL279" s="1223">
        <f>-(AVERAGE(CL277,CL275))*(CL273/4)</f>
        <v>-22.96875</v>
      </c>
      <c r="CM279" s="1223">
        <f>-(AVERAGE(CM277,CM275))*(CM273/4)</f>
        <v>-22.96875</v>
      </c>
      <c r="CN279" s="1223">
        <f>-(AVERAGE(CN277,CN275))*(CN273/4)</f>
        <v>-22.96875</v>
      </c>
      <c r="CO279" s="1223">
        <f>-(AVERAGE(CO277,CO275))*(CO273/4)</f>
        <v>-22.96875</v>
      </c>
      <c r="CP279" s="1326">
        <f>SUM(CL279:CO279)</f>
        <v>-91.875</v>
      </c>
      <c r="CQ279" s="1223">
        <f>-(AVERAGE(CQ277,CQ275))*(CQ273/4)</f>
        <v>-22.96875</v>
      </c>
      <c r="CR279" s="1223">
        <f>-(AVERAGE(CR277,CR275))*(CR273/4)</f>
        <v>-22.96875</v>
      </c>
      <c r="CS279" s="1223">
        <f>-(AVERAGE(CS277,CS275))*(CS273/4)</f>
        <v>-22.96875</v>
      </c>
      <c r="CT279" s="1223">
        <f>-(AVERAGE(CT277,CT275))*(CT273/4)</f>
        <v>-17.104062500000001</v>
      </c>
      <c r="CU279" s="1326">
        <f>SUM(CQ279:CT279)</f>
        <v>-86.010312499999998</v>
      </c>
      <c r="CV279" s="1223">
        <f>-(AVERAGE(CV277,CV275))*(CV273/4)</f>
        <v>-11.239374999999999</v>
      </c>
      <c r="CW279" s="1223">
        <f>-(AVERAGE(CW277,CW275))*(CW273/4)</f>
        <v>-11.239374999999999</v>
      </c>
      <c r="CX279" s="1223">
        <f>-(AVERAGE(CX277,CX275))*(CX273/4)</f>
        <v>-11.239374999999999</v>
      </c>
      <c r="CY279" s="1223">
        <f>-(AVERAGE(CY277,CY275))*(CY273/4)</f>
        <v>-11.239374999999999</v>
      </c>
      <c r="CZ279" s="1326">
        <f>SUM(CV279:CY279)</f>
        <v>-44.957499999999996</v>
      </c>
      <c r="DA279" s="1223">
        <f>-(AVERAGE(DA277,DA275))*(DA273/4)</f>
        <v>-11.239374999999999</v>
      </c>
      <c r="DB279" s="1223">
        <f>-(AVERAGE(DB277,DB275))*(DB273/4)</f>
        <v>-11.239374999999999</v>
      </c>
      <c r="DC279" s="1223">
        <f>-(AVERAGE(DC277,DC275))*(DC273/4)</f>
        <v>-11.239374999999999</v>
      </c>
      <c r="DD279" s="1223">
        <f>-(AVERAGE(DD277,DD275))*(DD273/4)</f>
        <v>-11.239374999999999</v>
      </c>
      <c r="DE279" s="1326">
        <f>SUM(DA279:DD279)</f>
        <v>-44.957499999999996</v>
      </c>
      <c r="DF279" s="1223">
        <f>-(AVERAGE(DF277,DF275))*(DF273/4)</f>
        <v>-11.239374999999999</v>
      </c>
      <c r="DG279" s="1223">
        <f>-(AVERAGE(DG277,DG275))*(DG273/4)</f>
        <v>-11.239374999999999</v>
      </c>
      <c r="DH279" s="1223">
        <f>-(AVERAGE(DH277,DH275))*(DH273/4)</f>
        <v>-11.239374999999999</v>
      </c>
      <c r="DI279" s="1223">
        <f>-(AVERAGE(DI277,DI275))*(DI273/4)</f>
        <v>-11.239374999999999</v>
      </c>
      <c r="DJ279" s="1326">
        <f>SUM(DF279:DI279)</f>
        <v>-44.957499999999996</v>
      </c>
      <c r="DK279" s="1223">
        <f>-(AVERAGE(DK277,DK275))*(DK273/4)</f>
        <v>-11.239374999999999</v>
      </c>
      <c r="DL279" s="1223">
        <f>-(AVERAGE(DL277,DL275))*(DL273/4)</f>
        <v>-11.239374999999999</v>
      </c>
      <c r="DM279" s="1223">
        <f>-(AVERAGE(DM277,DM275))*(DM273/4)</f>
        <v>-11.239374999999999</v>
      </c>
      <c r="DN279" s="1223">
        <f>-(AVERAGE(DN277,DN275))*(DN273/4)</f>
        <v>-11.239374999999999</v>
      </c>
      <c r="DO279" s="1326">
        <f>SUM(DK279:DN279)</f>
        <v>-44.957499999999996</v>
      </c>
      <c r="DP279" s="1223">
        <f>-(AVERAGE(DP277,DP275))*(DP273/4)</f>
        <v>-11.239374999999999</v>
      </c>
      <c r="DQ279" s="1223">
        <f>-(AVERAGE(DQ277,DQ275))*(DQ273/4)</f>
        <v>-11.239374999999999</v>
      </c>
      <c r="DR279" s="1223">
        <f>-(AVERAGE(DR277,DR275))*(DR273/4)</f>
        <v>-11.239374999999999</v>
      </c>
      <c r="DS279" s="1223">
        <f>-(AVERAGE(DS277,DS275))*(DS273/4)</f>
        <v>-11.239374999999999</v>
      </c>
      <c r="DT279" s="1326">
        <f>SUM(DP279:DS279)</f>
        <v>-44.957499999999996</v>
      </c>
      <c r="DU279" s="1223">
        <f>-(AVERAGE(DU277,DU275))*(DU273/4)</f>
        <v>-11.239374999999999</v>
      </c>
      <c r="DV279" s="1223">
        <f>-(AVERAGE(DV277,DV275))*(DV273/4)</f>
        <v>-11.239374999999999</v>
      </c>
      <c r="DW279" s="1223">
        <f>-(AVERAGE(DW277,DW275))*(DW273/4)</f>
        <v>-11.239374999999999</v>
      </c>
      <c r="DX279" s="1223">
        <f>-(AVERAGE(DX277,DX275))*(DX273/4)</f>
        <v>-11.239374999999999</v>
      </c>
      <c r="DY279" s="1326">
        <f>SUM(DU279:DX279)</f>
        <v>-44.957499999999996</v>
      </c>
    </row>
    <row r="280" spans="1:129" ht="12" thickBot="1" x14ac:dyDescent="0.25">
      <c r="A280" s="1223"/>
      <c r="B280" s="1250" t="s">
        <v>1157</v>
      </c>
      <c r="C280" s="1251"/>
      <c r="D280" s="1251"/>
      <c r="E280" s="1251"/>
      <c r="F280" s="1251"/>
      <c r="G280" s="1251"/>
      <c r="H280" s="1251"/>
      <c r="I280" s="1251"/>
      <c r="J280" s="1251"/>
      <c r="K280" s="1251"/>
      <c r="L280" s="1251"/>
      <c r="M280" s="1251"/>
      <c r="N280" s="1251"/>
      <c r="O280" s="1251"/>
      <c r="P280" s="1251"/>
      <c r="Q280" s="1251"/>
      <c r="R280" s="1251"/>
      <c r="S280" s="1251"/>
      <c r="T280" s="1251"/>
      <c r="U280" s="1251"/>
      <c r="V280" s="1251"/>
      <c r="W280" s="1251"/>
      <c r="X280" s="1252"/>
      <c r="Y280" s="1251"/>
      <c r="Z280" s="1251"/>
      <c r="AA280" s="1251"/>
      <c r="AB280" s="1251"/>
      <c r="AC280" s="1252"/>
      <c r="AD280" s="1251"/>
      <c r="AE280" s="1251"/>
      <c r="AF280" s="1251"/>
      <c r="AG280" s="1251"/>
      <c r="AH280" s="1252"/>
      <c r="AI280" s="1251"/>
      <c r="AJ280" s="1251"/>
      <c r="AK280" s="1251"/>
      <c r="AL280" s="1251"/>
      <c r="AM280" s="1252"/>
      <c r="AN280" s="1251"/>
      <c r="AO280" s="1251"/>
      <c r="AP280" s="1251"/>
      <c r="AQ280" s="1253"/>
      <c r="AR280" s="1252"/>
      <c r="AS280" s="1253"/>
      <c r="AT280" s="1253"/>
      <c r="AU280" s="1253"/>
      <c r="AV280" s="1253"/>
      <c r="AW280" s="1252"/>
      <c r="AX280" s="1253"/>
      <c r="AY280" s="1253"/>
      <c r="AZ280" s="1253"/>
      <c r="BA280" s="1253"/>
      <c r="BB280" s="1252"/>
      <c r="BC280" s="1253"/>
      <c r="BD280" s="1253"/>
      <c r="BE280" s="1253"/>
      <c r="BF280" s="1253"/>
      <c r="BG280" s="1252"/>
      <c r="BH280" s="1253"/>
      <c r="BI280" s="1253"/>
      <c r="BJ280" s="1253"/>
      <c r="BK280" s="1253"/>
      <c r="BL280" s="1327"/>
      <c r="BM280" s="1253"/>
      <c r="BN280" s="1253"/>
      <c r="BO280" s="1253"/>
      <c r="BP280" s="1253"/>
      <c r="BQ280" s="1327"/>
      <c r="BR280" s="1253"/>
      <c r="BS280" s="1253"/>
      <c r="BT280" s="1253"/>
      <c r="BU280" s="1253"/>
      <c r="BV280" s="1327"/>
      <c r="BW280" s="1253"/>
      <c r="BX280" s="1253"/>
      <c r="BY280" s="1253"/>
      <c r="BZ280" s="1253"/>
      <c r="CA280" s="1327"/>
      <c r="CB280" s="1253">
        <f>-CB272*CB278/4</f>
        <v>0</v>
      </c>
      <c r="CC280" s="1253">
        <f>-CC272*CC278/4</f>
        <v>0</v>
      </c>
      <c r="CD280" s="1253">
        <f>-CD272*CD278/4</f>
        <v>0</v>
      </c>
      <c r="CE280" s="1253">
        <f>-CE272*CE278/4</f>
        <v>0</v>
      </c>
      <c r="CF280" s="1327"/>
      <c r="CG280" s="1253">
        <f>-CG272*CG278/4</f>
        <v>0</v>
      </c>
      <c r="CH280" s="1253">
        <f>-CH272*CH278/4</f>
        <v>0</v>
      </c>
      <c r="CI280" s="1253">
        <f>-CI272*CI278/4</f>
        <v>0</v>
      </c>
      <c r="CJ280" s="1253">
        <f>-CJ272*CJ278/4</f>
        <v>0</v>
      </c>
      <c r="CK280" s="1327"/>
      <c r="CL280" s="1253">
        <f>-CL272*CL278/4</f>
        <v>0</v>
      </c>
      <c r="CM280" s="1253">
        <f>-CM272*CM278/4</f>
        <v>0</v>
      </c>
      <c r="CN280" s="1253">
        <f>-CN272*CN278/4</f>
        <v>0</v>
      </c>
      <c r="CO280" s="1253">
        <f>-CO272*CO278/4</f>
        <v>0</v>
      </c>
      <c r="CP280" s="1327"/>
      <c r="CQ280" s="1253">
        <f>-CQ272*CQ278/4</f>
        <v>0</v>
      </c>
      <c r="CR280" s="1253">
        <f>-CR272*CR278/4</f>
        <v>0</v>
      </c>
      <c r="CS280" s="1253">
        <f>-CS272*CS278/4</f>
        <v>0</v>
      </c>
      <c r="CT280" s="1253">
        <f>-CT272*CT278/4</f>
        <v>0</v>
      </c>
      <c r="CU280" s="1327"/>
      <c r="CV280" s="1253">
        <f>-CV272*CV278/4</f>
        <v>0</v>
      </c>
      <c r="CW280" s="1253">
        <f>-CW272*CW278/4</f>
        <v>0</v>
      </c>
      <c r="CX280" s="1253">
        <f>-CX272*CX278/4</f>
        <v>0</v>
      </c>
      <c r="CY280" s="1253">
        <f>-CY272*CY278/4</f>
        <v>0</v>
      </c>
      <c r="CZ280" s="1327"/>
      <c r="DA280" s="1253">
        <f>-DA272*DA278/4</f>
        <v>0</v>
      </c>
      <c r="DB280" s="1253">
        <f>-DB272*DB278/4</f>
        <v>0</v>
      </c>
      <c r="DC280" s="1253">
        <f>-DC272*DC278/4</f>
        <v>0</v>
      </c>
      <c r="DD280" s="1253">
        <f>-DD272*DD278/4</f>
        <v>0</v>
      </c>
      <c r="DE280" s="1327"/>
      <c r="DF280" s="1253">
        <f>-DF272*DF278/4</f>
        <v>0</v>
      </c>
      <c r="DG280" s="1253">
        <f>-DG272*DG278/4</f>
        <v>0</v>
      </c>
      <c r="DH280" s="1253">
        <f>-DH272*DH278/4</f>
        <v>0</v>
      </c>
      <c r="DI280" s="1253">
        <f>-DI272*DI278/4</f>
        <v>0</v>
      </c>
      <c r="DJ280" s="1327"/>
      <c r="DK280" s="1253">
        <f>-DK272*DK278/4</f>
        <v>0</v>
      </c>
      <c r="DL280" s="1253">
        <f>-DL272*DL278/4</f>
        <v>0</v>
      </c>
      <c r="DM280" s="1253">
        <f>-DM272*DM278/4</f>
        <v>0</v>
      </c>
      <c r="DN280" s="1253">
        <f>-DN272*DN278/4</f>
        <v>0</v>
      </c>
      <c r="DO280" s="1327"/>
      <c r="DP280" s="1253">
        <f>-DP272*DP278/4</f>
        <v>0</v>
      </c>
      <c r="DQ280" s="1253">
        <f>-DQ272*DQ278/4</f>
        <v>0</v>
      </c>
      <c r="DR280" s="1253">
        <f>-DR272*DR278/4</f>
        <v>0</v>
      </c>
      <c r="DS280" s="1253">
        <f>-DS272*DS278/4</f>
        <v>0</v>
      </c>
      <c r="DT280" s="1327"/>
      <c r="DU280" s="1253">
        <f>-DU272*DU278/4</f>
        <v>0</v>
      </c>
      <c r="DV280" s="1253">
        <f>-DV272*DV278/4</f>
        <v>0</v>
      </c>
      <c r="DW280" s="1253">
        <f>-DW272*DW278/4</f>
        <v>0</v>
      </c>
      <c r="DX280" s="1253">
        <f>-DX272*DX278/4</f>
        <v>0</v>
      </c>
      <c r="DY280" s="1327"/>
    </row>
    <row r="281" spans="1:129" ht="12" thickBot="1" x14ac:dyDescent="0.25">
      <c r="A281" s="1240"/>
      <c r="B281" s="1240"/>
      <c r="C281" s="1214"/>
      <c r="D281" s="1214"/>
      <c r="E281" s="1214"/>
      <c r="F281" s="1214"/>
      <c r="G281" s="1214"/>
      <c r="H281" s="1214"/>
      <c r="I281" s="1214"/>
      <c r="J281" s="1214"/>
      <c r="K281" s="1214"/>
      <c r="L281" s="1214"/>
      <c r="M281" s="1214"/>
      <c r="N281" s="1214"/>
      <c r="O281" s="1214"/>
      <c r="P281" s="1214"/>
      <c r="Q281" s="1214"/>
      <c r="R281" s="1214"/>
      <c r="S281" s="1214"/>
      <c r="T281" s="1214"/>
      <c r="U281" s="1214"/>
      <c r="V281" s="1214"/>
      <c r="W281" s="1214"/>
      <c r="X281" s="1214"/>
      <c r="Y281" s="1214"/>
      <c r="Z281" s="1214"/>
      <c r="AA281" s="1214"/>
      <c r="AB281" s="1214"/>
      <c r="AC281" s="1214"/>
      <c r="AD281" s="1214"/>
      <c r="AE281" s="1214"/>
      <c r="AF281" s="1214"/>
      <c r="AG281" s="1214"/>
      <c r="AH281" s="1214"/>
      <c r="AI281" s="1214"/>
      <c r="AJ281" s="1214"/>
      <c r="AK281" s="1214"/>
      <c r="AL281" s="1214"/>
      <c r="AM281" s="1214"/>
      <c r="AN281" s="1214"/>
      <c r="AO281" s="1214"/>
      <c r="AP281" s="1214"/>
      <c r="AQ281" s="1215"/>
      <c r="AR281" s="1215"/>
      <c r="AS281" s="1215"/>
      <c r="AT281" s="1215"/>
      <c r="AU281" s="1215"/>
      <c r="AV281" s="1215"/>
      <c r="AW281" s="1338"/>
      <c r="AX281" s="1215"/>
      <c r="AY281" s="1215"/>
      <c r="AZ281" s="1215"/>
      <c r="BA281" s="1215"/>
      <c r="BB281" s="1338"/>
      <c r="BC281" s="1215"/>
      <c r="BD281" s="1215"/>
      <c r="BE281" s="1215"/>
      <c r="BF281" s="1215"/>
      <c r="BG281" s="1338"/>
      <c r="BH281" s="1215"/>
      <c r="BI281" s="1215"/>
      <c r="BJ281" s="1215"/>
      <c r="BK281" s="1215"/>
      <c r="BL281" s="1338"/>
      <c r="BM281" s="1215"/>
      <c r="BN281" s="1215"/>
      <c r="BO281" s="1215"/>
      <c r="BP281" s="1215"/>
      <c r="BQ281" s="1338"/>
      <c r="BR281" s="1215"/>
      <c r="BS281" s="1215"/>
      <c r="BT281" s="1215"/>
      <c r="BU281" s="1215"/>
      <c r="BV281" s="1338"/>
      <c r="BW281" s="1215"/>
      <c r="BX281" s="1215"/>
      <c r="BY281" s="1215"/>
      <c r="BZ281" s="1215"/>
      <c r="CA281" s="1338"/>
      <c r="CB281" s="1215"/>
      <c r="CC281" s="1215"/>
      <c r="CD281" s="1215"/>
      <c r="CE281" s="1215"/>
      <c r="CF281" s="1338"/>
      <c r="CG281" s="1215"/>
      <c r="CH281" s="1215"/>
      <c r="CI281" s="1215"/>
      <c r="CJ281" s="1215"/>
      <c r="CK281" s="1338"/>
      <c r="CL281" s="1215"/>
      <c r="CM281" s="1215"/>
      <c r="CN281" s="1215"/>
      <c r="CO281" s="1215"/>
      <c r="CP281" s="1338"/>
      <c r="CQ281" s="1215"/>
      <c r="CR281" s="1215"/>
      <c r="CS281" s="1215"/>
      <c r="CT281" s="1215"/>
      <c r="CU281" s="1338"/>
      <c r="CV281" s="1215"/>
      <c r="CW281" s="1215"/>
      <c r="CX281" s="1215"/>
      <c r="CY281" s="1215"/>
      <c r="CZ281" s="1338"/>
      <c r="DA281" s="1215"/>
      <c r="DB281" s="1215"/>
      <c r="DC281" s="1215"/>
      <c r="DD281" s="1215"/>
      <c r="DE281" s="1338"/>
      <c r="DF281" s="1215"/>
      <c r="DG281" s="1215"/>
      <c r="DH281" s="1215"/>
      <c r="DI281" s="1215"/>
      <c r="DJ281" s="1338"/>
      <c r="DK281" s="1215"/>
      <c r="DL281" s="1215"/>
      <c r="DM281" s="1215"/>
      <c r="DN281" s="1215"/>
      <c r="DO281" s="1338"/>
      <c r="DP281" s="1215"/>
      <c r="DQ281" s="1215"/>
      <c r="DR281" s="1215"/>
      <c r="DS281" s="1215"/>
      <c r="DT281" s="1338"/>
      <c r="DU281" s="1215"/>
      <c r="DV281" s="1215"/>
      <c r="DW281" s="1215"/>
      <c r="DX281" s="1215"/>
      <c r="DY281" s="1338"/>
    </row>
    <row r="282" spans="1:129" ht="12" thickBot="1" x14ac:dyDescent="0.25">
      <c r="A282" s="1123"/>
      <c r="B282" s="1282" t="s">
        <v>1169</v>
      </c>
      <c r="C282" s="1328"/>
      <c r="D282" s="1329"/>
      <c r="E282" s="1329"/>
      <c r="F282" s="1329"/>
      <c r="G282" s="1329"/>
      <c r="H282" s="1329"/>
      <c r="I282" s="1329"/>
      <c r="J282" s="1329"/>
      <c r="K282" s="1329"/>
      <c r="L282" s="1329"/>
      <c r="M282" s="1329"/>
      <c r="N282" s="1329"/>
      <c r="O282" s="1329"/>
      <c r="P282" s="1329"/>
      <c r="Q282" s="1329"/>
      <c r="R282" s="1329"/>
      <c r="S282" s="1329"/>
      <c r="T282" s="1329"/>
      <c r="U282" s="1329"/>
      <c r="V282" s="1329"/>
      <c r="W282" s="1329"/>
      <c r="X282" s="1328"/>
      <c r="Y282" s="1328"/>
      <c r="Z282" s="1328"/>
      <c r="AA282" s="1328"/>
      <c r="AB282" s="1328"/>
      <c r="AC282" s="1328"/>
      <c r="AD282" s="1328"/>
      <c r="AE282" s="1328"/>
      <c r="AF282" s="1328"/>
      <c r="AG282" s="1328"/>
      <c r="AH282" s="1328"/>
      <c r="AI282" s="1328"/>
      <c r="AJ282" s="1328"/>
      <c r="AK282" s="1328"/>
      <c r="AL282" s="1328"/>
      <c r="AM282" s="1328"/>
      <c r="AN282" s="1328"/>
      <c r="AO282" s="1328"/>
      <c r="AP282" s="1328"/>
      <c r="AQ282" s="1330"/>
      <c r="AR282" s="1330"/>
      <c r="AS282" s="1330"/>
      <c r="AT282" s="1331"/>
      <c r="AU282" s="1331"/>
      <c r="AV282" s="1331"/>
      <c r="AW282" s="1330"/>
      <c r="AX282" s="1330"/>
      <c r="AY282" s="1330"/>
      <c r="AZ282" s="1330"/>
      <c r="BA282" s="1330"/>
      <c r="BB282" s="1330"/>
      <c r="BC282" s="1330"/>
      <c r="BD282" s="1330"/>
      <c r="BE282" s="1330"/>
      <c r="BF282" s="1330"/>
      <c r="BG282" s="1330"/>
      <c r="BH282" s="1330"/>
      <c r="BI282" s="1330"/>
      <c r="BJ282" s="1330"/>
      <c r="BK282" s="1330"/>
      <c r="BL282" s="1332"/>
      <c r="BM282" s="1330"/>
      <c r="BN282" s="1330"/>
      <c r="BO282" s="1330"/>
      <c r="BP282" s="1330"/>
      <c r="BQ282" s="1332"/>
      <c r="BR282" s="1330"/>
      <c r="BS282" s="1330"/>
      <c r="BT282" s="1330"/>
      <c r="BU282" s="1330"/>
      <c r="BV282" s="1332"/>
      <c r="BW282" s="1330"/>
      <c r="BX282" s="1330"/>
      <c r="BY282" s="1330"/>
      <c r="BZ282" s="1330"/>
      <c r="CA282" s="1332"/>
      <c r="CB282" s="1330"/>
      <c r="CC282" s="1330"/>
      <c r="CD282" s="1330"/>
      <c r="CE282" s="1330"/>
      <c r="CF282" s="1332"/>
      <c r="CG282" s="1330"/>
      <c r="CH282" s="1330"/>
      <c r="CI282" s="1330"/>
      <c r="CJ282" s="1330"/>
      <c r="CK282" s="1332"/>
      <c r="CL282" s="1330"/>
      <c r="CM282" s="1330"/>
      <c r="CN282" s="1330"/>
      <c r="CO282" s="1330"/>
      <c r="CP282" s="1332"/>
      <c r="CQ282" s="1330"/>
      <c r="CR282" s="1330"/>
      <c r="CS282" s="1330"/>
      <c r="CT282" s="1330"/>
      <c r="CU282" s="1332"/>
      <c r="CV282" s="1330"/>
      <c r="CW282" s="1330"/>
      <c r="CX282" s="1330"/>
      <c r="CY282" s="1330"/>
      <c r="CZ282" s="1332"/>
      <c r="DA282" s="1330"/>
      <c r="DB282" s="1330"/>
      <c r="DC282" s="1330"/>
      <c r="DD282" s="1330"/>
      <c r="DE282" s="1332"/>
      <c r="DF282" s="1330"/>
      <c r="DG282" s="1330"/>
      <c r="DH282" s="1330"/>
      <c r="DI282" s="1330"/>
      <c r="DJ282" s="1332"/>
      <c r="DK282" s="1330"/>
      <c r="DL282" s="1330"/>
      <c r="DM282" s="1330"/>
      <c r="DN282" s="1330"/>
      <c r="DO282" s="1332"/>
      <c r="DP282" s="1330"/>
      <c r="DQ282" s="1330"/>
      <c r="DR282" s="1330"/>
      <c r="DS282" s="1330"/>
      <c r="DT282" s="1332"/>
      <c r="DU282" s="1330"/>
      <c r="DV282" s="1330"/>
      <c r="DW282" s="1330"/>
      <c r="DX282" s="1330"/>
      <c r="DY282" s="1332"/>
    </row>
    <row r="283" spans="1:129" x14ac:dyDescent="0.2">
      <c r="A283" s="532"/>
      <c r="B283" s="1287" t="s">
        <v>1149</v>
      </c>
      <c r="C283" s="650"/>
      <c r="D283" s="650"/>
      <c r="E283" s="650"/>
      <c r="F283" s="650"/>
      <c r="G283" s="650"/>
      <c r="H283" s="650"/>
      <c r="I283" s="650"/>
      <c r="J283" s="650"/>
      <c r="K283" s="650"/>
      <c r="L283" s="650"/>
      <c r="M283" s="650"/>
      <c r="N283" s="650"/>
      <c r="O283" s="650"/>
      <c r="P283" s="650"/>
      <c r="Q283" s="650"/>
      <c r="R283" s="650"/>
      <c r="S283" s="650"/>
      <c r="T283" s="650"/>
      <c r="U283" s="650"/>
      <c r="V283" s="650"/>
      <c r="W283" s="650"/>
      <c r="X283" s="1288"/>
      <c r="Y283" s="650"/>
      <c r="Z283" s="650"/>
      <c r="AA283" s="650"/>
      <c r="AB283" s="650"/>
      <c r="AC283" s="1288"/>
      <c r="AD283" s="650"/>
      <c r="AE283" s="650"/>
      <c r="AF283" s="650"/>
      <c r="AG283" s="650"/>
      <c r="AH283" s="1288"/>
      <c r="AI283" s="650"/>
      <c r="AJ283" s="650"/>
      <c r="AK283" s="650"/>
      <c r="AL283" s="650"/>
      <c r="AM283" s="1288"/>
      <c r="AN283" s="650"/>
      <c r="AO283" s="650"/>
      <c r="AP283" s="650"/>
      <c r="AQ283" s="650"/>
      <c r="AR283" s="1288"/>
      <c r="AS283" s="650"/>
      <c r="AT283" s="650"/>
      <c r="AU283" s="650"/>
      <c r="AV283" s="650"/>
      <c r="AW283" s="1288"/>
      <c r="AX283" s="650"/>
      <c r="AY283" s="650"/>
      <c r="AZ283" s="650"/>
      <c r="BA283" s="650"/>
      <c r="BB283" s="1288"/>
      <c r="BC283" s="650"/>
      <c r="BD283" s="650"/>
      <c r="BE283" s="650"/>
      <c r="BF283" s="650"/>
      <c r="BG283" s="1288"/>
      <c r="BH283" s="650"/>
      <c r="BI283" s="650"/>
      <c r="BJ283" s="650"/>
      <c r="BK283" s="650"/>
      <c r="BL283" s="583"/>
      <c r="BM283" s="650"/>
      <c r="BN283" s="650"/>
      <c r="BO283" s="650"/>
      <c r="BP283" s="650"/>
      <c r="BQ283" s="583"/>
      <c r="BR283" s="650"/>
      <c r="BS283" s="650"/>
      <c r="BT283" s="650"/>
      <c r="BU283" s="650"/>
      <c r="BV283" s="583"/>
      <c r="BW283" s="650"/>
      <c r="BX283" s="650"/>
      <c r="BY283" s="650"/>
      <c r="BZ283" s="650"/>
      <c r="CA283" s="583"/>
      <c r="CB283" s="650"/>
      <c r="CC283" s="650"/>
      <c r="CD283" s="650"/>
      <c r="CE283" s="650"/>
      <c r="CF283" s="583"/>
      <c r="CG283" s="650"/>
      <c r="CH283" s="650"/>
      <c r="CI283" s="650"/>
      <c r="CJ283" s="650"/>
      <c r="CK283" s="583"/>
      <c r="CL283" s="650"/>
      <c r="CM283" s="650"/>
      <c r="CN283" s="650"/>
      <c r="CO283" s="650"/>
      <c r="CP283" s="583"/>
      <c r="CQ283" s="650"/>
      <c r="CR283" s="650"/>
      <c r="CS283" s="650"/>
      <c r="CT283" s="650"/>
      <c r="CU283" s="583"/>
      <c r="CV283" s="650"/>
      <c r="CW283" s="650"/>
      <c r="CX283" s="650"/>
      <c r="CY283" s="650"/>
      <c r="CZ283" s="583"/>
      <c r="DA283" s="650"/>
      <c r="DB283" s="650"/>
      <c r="DC283" s="650"/>
      <c r="DD283" s="650"/>
      <c r="DE283" s="583"/>
      <c r="DF283" s="650"/>
      <c r="DG283" s="650"/>
      <c r="DH283" s="650"/>
      <c r="DI283" s="650"/>
      <c r="DJ283" s="583"/>
      <c r="DK283" s="650"/>
      <c r="DL283" s="650"/>
      <c r="DM283" s="650"/>
      <c r="DN283" s="650"/>
      <c r="DO283" s="583"/>
      <c r="DP283" s="650"/>
      <c r="DQ283" s="650"/>
      <c r="DR283" s="650"/>
      <c r="DS283" s="650"/>
      <c r="DT283" s="583"/>
      <c r="DU283" s="650"/>
      <c r="DV283" s="650"/>
      <c r="DW283" s="650"/>
      <c r="DX283" s="650"/>
      <c r="DY283" s="583"/>
    </row>
    <row r="284" spans="1:129" x14ac:dyDescent="0.2">
      <c r="A284" s="532"/>
      <c r="B284" s="1287" t="s">
        <v>1150</v>
      </c>
      <c r="C284" s="650"/>
      <c r="D284" s="650"/>
      <c r="E284" s="650"/>
      <c r="F284" s="650"/>
      <c r="G284" s="650"/>
      <c r="H284" s="650"/>
      <c r="I284" s="650"/>
      <c r="J284" s="650"/>
      <c r="K284" s="650"/>
      <c r="L284" s="650"/>
      <c r="M284" s="650"/>
      <c r="N284" s="650"/>
      <c r="O284" s="650"/>
      <c r="P284" s="650"/>
      <c r="Q284" s="650"/>
      <c r="R284" s="650"/>
      <c r="S284" s="650"/>
      <c r="T284" s="650"/>
      <c r="U284" s="650"/>
      <c r="V284" s="650"/>
      <c r="W284" s="650"/>
      <c r="X284" s="1288"/>
      <c r="Y284" s="650"/>
      <c r="Z284" s="650"/>
      <c r="AA284" s="650"/>
      <c r="AB284" s="650"/>
      <c r="AC284" s="1288"/>
      <c r="AD284" s="650"/>
      <c r="AE284" s="650"/>
      <c r="AF284" s="650"/>
      <c r="AG284" s="650"/>
      <c r="AH284" s="1288"/>
      <c r="AI284" s="650"/>
      <c r="AJ284" s="650"/>
      <c r="AK284" s="650"/>
      <c r="AL284" s="650"/>
      <c r="AM284" s="1288"/>
      <c r="AN284" s="650"/>
      <c r="AO284" s="650"/>
      <c r="AP284" s="650"/>
      <c r="AQ284" s="650"/>
      <c r="AR284" s="1288"/>
      <c r="AS284" s="650"/>
      <c r="AT284" s="650"/>
      <c r="AU284" s="650"/>
      <c r="AV284" s="650"/>
      <c r="AW284" s="1288"/>
      <c r="AX284" s="650"/>
      <c r="AY284" s="650"/>
      <c r="AZ284" s="650"/>
      <c r="BA284" s="650"/>
      <c r="BB284" s="1288"/>
      <c r="BC284" s="650"/>
      <c r="BD284" s="650"/>
      <c r="BE284" s="650"/>
      <c r="BF284" s="650"/>
      <c r="BG284" s="1289"/>
      <c r="BH284" s="650"/>
      <c r="BI284" s="650"/>
      <c r="BJ284" s="650"/>
      <c r="BK284" s="650"/>
      <c r="BL284" s="1333">
        <v>8.5199999999999998E-2</v>
      </c>
      <c r="BM284" s="650"/>
      <c r="BN284" s="650"/>
      <c r="BO284" s="650"/>
      <c r="BP284" s="650"/>
      <c r="BQ284" s="1333">
        <v>8.5199999999999998E-2</v>
      </c>
      <c r="BR284" s="650"/>
      <c r="BS284" s="650"/>
      <c r="BT284" s="650"/>
      <c r="BU284" s="650"/>
      <c r="BV284" s="1333">
        <v>8.5199999999999998E-2</v>
      </c>
      <c r="BW284" s="650"/>
      <c r="BX284" s="650"/>
      <c r="BY284" s="650"/>
      <c r="BZ284" s="650"/>
      <c r="CA284" s="1333">
        <v>8.5199999999999998E-2</v>
      </c>
      <c r="CB284" s="1334">
        <v>8.5199999999999998E-2</v>
      </c>
      <c r="CC284" s="1334">
        <v>8.5199999999999998E-2</v>
      </c>
      <c r="CD284" s="1334">
        <v>8.5199999999999998E-2</v>
      </c>
      <c r="CE284" s="1334">
        <v>8.5199999999999998E-2</v>
      </c>
      <c r="CF284" s="1333"/>
      <c r="CG284" s="1334">
        <f>CE284</f>
        <v>8.5199999999999998E-2</v>
      </c>
      <c r="CH284" s="1334">
        <f>CG284</f>
        <v>8.5199999999999998E-2</v>
      </c>
      <c r="CI284" s="1334">
        <f>CH284</f>
        <v>8.5199999999999998E-2</v>
      </c>
      <c r="CJ284" s="1334">
        <f>CI284</f>
        <v>8.5199999999999998E-2</v>
      </c>
      <c r="CK284" s="1333"/>
      <c r="CL284" s="1334">
        <f>CJ284</f>
        <v>8.5199999999999998E-2</v>
      </c>
      <c r="CM284" s="1334">
        <f>CL284</f>
        <v>8.5199999999999998E-2</v>
      </c>
      <c r="CN284" s="1334">
        <f>CM284</f>
        <v>8.5199999999999998E-2</v>
      </c>
      <c r="CO284" s="1334">
        <f>CN284</f>
        <v>8.5199999999999998E-2</v>
      </c>
      <c r="CP284" s="1333"/>
      <c r="CQ284" s="1334">
        <f>CO284</f>
        <v>8.5199999999999998E-2</v>
      </c>
      <c r="CR284" s="1334">
        <f>CQ284</f>
        <v>8.5199999999999998E-2</v>
      </c>
      <c r="CS284" s="1334">
        <f>CR284</f>
        <v>8.5199999999999998E-2</v>
      </c>
      <c r="CT284" s="1334">
        <f>CS284</f>
        <v>8.5199999999999998E-2</v>
      </c>
      <c r="CU284" s="1333"/>
      <c r="CV284" s="1334">
        <f>CT284</f>
        <v>8.5199999999999998E-2</v>
      </c>
      <c r="CW284" s="1334">
        <f>CV284</f>
        <v>8.5199999999999998E-2</v>
      </c>
      <c r="CX284" s="1334">
        <f>CW284</f>
        <v>8.5199999999999998E-2</v>
      </c>
      <c r="CY284" s="1334">
        <f>CX284</f>
        <v>8.5199999999999998E-2</v>
      </c>
      <c r="CZ284" s="1333"/>
      <c r="DA284" s="1334">
        <f>CY284</f>
        <v>8.5199999999999998E-2</v>
      </c>
      <c r="DB284" s="1334">
        <f>DA284</f>
        <v>8.5199999999999998E-2</v>
      </c>
      <c r="DC284" s="1334">
        <f>DB284</f>
        <v>8.5199999999999998E-2</v>
      </c>
      <c r="DD284" s="1334">
        <f>DC284</f>
        <v>8.5199999999999998E-2</v>
      </c>
      <c r="DE284" s="1333"/>
      <c r="DF284" s="1334">
        <f>DD284</f>
        <v>8.5199999999999998E-2</v>
      </c>
      <c r="DG284" s="1334">
        <f>DF284</f>
        <v>8.5199999999999998E-2</v>
      </c>
      <c r="DH284" s="1334">
        <f>DG284</f>
        <v>8.5199999999999998E-2</v>
      </c>
      <c r="DI284" s="1334">
        <f>DH284</f>
        <v>8.5199999999999998E-2</v>
      </c>
      <c r="DJ284" s="1333"/>
      <c r="DK284" s="1334">
        <f>DI284</f>
        <v>8.5199999999999998E-2</v>
      </c>
      <c r="DL284" s="1334">
        <f>DK284</f>
        <v>8.5199999999999998E-2</v>
      </c>
      <c r="DM284" s="1334">
        <f>DL284</f>
        <v>8.5199999999999998E-2</v>
      </c>
      <c r="DN284" s="1334">
        <f>DM284</f>
        <v>8.5199999999999998E-2</v>
      </c>
      <c r="DO284" s="1333"/>
      <c r="DP284" s="1334">
        <f>DN284</f>
        <v>8.5199999999999998E-2</v>
      </c>
      <c r="DQ284" s="1334">
        <f>DP284</f>
        <v>8.5199999999999998E-2</v>
      </c>
      <c r="DR284" s="1334">
        <f>DQ284</f>
        <v>8.5199999999999998E-2</v>
      </c>
      <c r="DS284" s="1334">
        <f>DR284</f>
        <v>8.5199999999999998E-2</v>
      </c>
      <c r="DT284" s="1333"/>
      <c r="DU284" s="1334">
        <f>DS284</f>
        <v>8.5199999999999998E-2</v>
      </c>
      <c r="DV284" s="1334">
        <f>DU284</f>
        <v>8.5199999999999998E-2</v>
      </c>
      <c r="DW284" s="1334">
        <f>DV284</f>
        <v>8.5199999999999998E-2</v>
      </c>
      <c r="DX284" s="1334">
        <f>DW284</f>
        <v>8.5199999999999998E-2</v>
      </c>
      <c r="DY284" s="1333"/>
    </row>
    <row r="285" spans="1:129" x14ac:dyDescent="0.2">
      <c r="A285" s="1223"/>
      <c r="B285" s="1190" t="s">
        <v>1151</v>
      </c>
      <c r="C285" s="1293"/>
      <c r="D285" s="1293"/>
      <c r="E285" s="1293"/>
      <c r="F285" s="1293"/>
      <c r="G285" s="1293"/>
      <c r="H285" s="1293"/>
      <c r="I285" s="1293"/>
      <c r="J285" s="1293"/>
      <c r="K285" s="1293"/>
      <c r="L285" s="1293"/>
      <c r="M285" s="1293"/>
      <c r="N285" s="1293"/>
      <c r="O285" s="1293"/>
      <c r="P285" s="1293"/>
      <c r="Q285" s="1293"/>
      <c r="R285" s="1293"/>
      <c r="S285" s="1293"/>
      <c r="T285" s="1293"/>
      <c r="U285" s="1293"/>
      <c r="V285" s="1293"/>
      <c r="W285" s="1293"/>
      <c r="X285" s="1227"/>
      <c r="Y285" s="1231"/>
      <c r="Z285" s="1231"/>
      <c r="AA285" s="1231"/>
      <c r="AB285" s="1294"/>
      <c r="AC285" s="1227"/>
      <c r="AD285" s="1231"/>
      <c r="AE285" s="1231"/>
      <c r="AF285" s="1231"/>
      <c r="AG285" s="1294"/>
      <c r="AH285" s="1227"/>
      <c r="AI285" s="1231"/>
      <c r="AJ285" s="1231"/>
      <c r="AK285" s="1231"/>
      <c r="AL285" s="1294"/>
      <c r="AM285" s="1227"/>
      <c r="AN285" s="1231"/>
      <c r="AO285" s="1231"/>
      <c r="AP285" s="1231"/>
      <c r="AQ285" s="1294"/>
      <c r="AR285" s="1227"/>
      <c r="AS285" s="1231"/>
      <c r="AT285" s="1231"/>
      <c r="AU285" s="1231"/>
      <c r="AV285" s="1294"/>
      <c r="AW285" s="1227"/>
      <c r="AX285" s="1231"/>
      <c r="AY285" s="1231"/>
      <c r="AZ285" s="1231"/>
      <c r="BA285" s="1231"/>
      <c r="BB285" s="1227"/>
      <c r="BC285" s="1231"/>
      <c r="BD285" s="1231"/>
      <c r="BE285" s="1231"/>
      <c r="BF285" s="1231"/>
      <c r="BG285" s="1227"/>
      <c r="BH285" s="1231"/>
      <c r="BI285" s="1231"/>
      <c r="BJ285" s="1231"/>
      <c r="BK285" s="1231"/>
      <c r="BL285" s="1326"/>
      <c r="BM285" s="1231"/>
      <c r="BN285" s="1231"/>
      <c r="BO285" s="1231"/>
      <c r="BP285" s="1231"/>
      <c r="BQ285" s="1326"/>
      <c r="BR285" s="1231"/>
      <c r="BS285" s="1231"/>
      <c r="BT285" s="1231"/>
      <c r="BU285" s="1231"/>
      <c r="BV285" s="1326"/>
      <c r="BW285" s="1231"/>
      <c r="BX285" s="1231"/>
      <c r="BY285" s="1231"/>
      <c r="BZ285" s="1231"/>
      <c r="CA285" s="1326"/>
      <c r="CB285" s="1231"/>
      <c r="CC285" s="1231"/>
      <c r="CD285" s="1231"/>
      <c r="CE285" s="1231"/>
      <c r="CF285" s="1326"/>
      <c r="CG285" s="1231"/>
      <c r="CH285" s="1231"/>
      <c r="CI285" s="1231"/>
      <c r="CJ285" s="1231"/>
      <c r="CK285" s="1326"/>
      <c r="CL285" s="1231"/>
      <c r="CM285" s="1231"/>
      <c r="CN285" s="1231"/>
      <c r="CO285" s="1231"/>
      <c r="CP285" s="1326"/>
      <c r="CQ285" s="1231"/>
      <c r="CR285" s="1231"/>
      <c r="CS285" s="1231"/>
      <c r="CT285" s="1231"/>
      <c r="CU285" s="1326"/>
      <c r="CV285" s="1231"/>
      <c r="CW285" s="1231"/>
      <c r="CX285" s="1231"/>
      <c r="CY285" s="1231"/>
      <c r="CZ285" s="1326"/>
      <c r="DA285" s="1231"/>
      <c r="DB285" s="1231"/>
      <c r="DC285" s="1231"/>
      <c r="DD285" s="1231"/>
      <c r="DE285" s="1326"/>
      <c r="DF285" s="1231"/>
      <c r="DG285" s="1231"/>
      <c r="DH285" s="1231"/>
      <c r="DI285" s="1231"/>
      <c r="DJ285" s="1326"/>
      <c r="DK285" s="1231"/>
      <c r="DL285" s="1231"/>
      <c r="DM285" s="1231"/>
      <c r="DN285" s="1231"/>
      <c r="DO285" s="1326"/>
      <c r="DP285" s="1231"/>
      <c r="DQ285" s="1231"/>
      <c r="DR285" s="1231"/>
      <c r="DS285" s="1231"/>
      <c r="DT285" s="1326"/>
      <c r="DU285" s="1231"/>
      <c r="DV285" s="1231"/>
      <c r="DW285" s="1231"/>
      <c r="DX285" s="1231"/>
      <c r="DY285" s="1326"/>
    </row>
    <row r="286" spans="1:129" x14ac:dyDescent="0.2">
      <c r="A286" s="1223"/>
      <c r="B286" s="1190" t="s">
        <v>1152</v>
      </c>
      <c r="C286" s="1231"/>
      <c r="D286" s="1231"/>
      <c r="E286" s="1231"/>
      <c r="F286" s="1231"/>
      <c r="G286" s="1231"/>
      <c r="H286" s="1231"/>
      <c r="I286" s="1231"/>
      <c r="J286" s="1231"/>
      <c r="K286" s="1231"/>
      <c r="L286" s="1231"/>
      <c r="M286" s="1231"/>
      <c r="N286" s="1231"/>
      <c r="O286" s="1231"/>
      <c r="P286" s="1231"/>
      <c r="Q286" s="1231"/>
      <c r="R286" s="1231"/>
      <c r="S286" s="1231"/>
      <c r="T286" s="1231"/>
      <c r="U286" s="1231"/>
      <c r="V286" s="1231"/>
      <c r="W286" s="1231"/>
      <c r="X286" s="1227"/>
      <c r="Y286" s="1231"/>
      <c r="Z286" s="1231"/>
      <c r="AA286" s="1231"/>
      <c r="AB286" s="1231"/>
      <c r="AC286" s="1227"/>
      <c r="AD286" s="1231"/>
      <c r="AE286" s="1231"/>
      <c r="AF286" s="1231"/>
      <c r="AG286" s="1231"/>
      <c r="AH286" s="1227"/>
      <c r="AI286" s="1231"/>
      <c r="AJ286" s="1231"/>
      <c r="AK286" s="1231"/>
      <c r="AL286" s="1231"/>
      <c r="AM286" s="1227"/>
      <c r="AN286" s="1231"/>
      <c r="AO286" s="1231"/>
      <c r="AP286" s="1231"/>
      <c r="AQ286" s="1231"/>
      <c r="AR286" s="1227"/>
      <c r="AS286" s="1231"/>
      <c r="AT286" s="1231"/>
      <c r="AU286" s="1231"/>
      <c r="AV286" s="1231"/>
      <c r="AW286" s="1227"/>
      <c r="AX286" s="1231"/>
      <c r="AY286" s="1231"/>
      <c r="AZ286" s="1231"/>
      <c r="BA286" s="1231"/>
      <c r="BB286" s="1227"/>
      <c r="BC286" s="1231"/>
      <c r="BD286" s="1231"/>
      <c r="BE286" s="1231"/>
      <c r="BF286" s="1231"/>
      <c r="BG286" s="1227"/>
      <c r="BH286" s="1231"/>
      <c r="BI286" s="1231"/>
      <c r="BJ286" s="1231"/>
      <c r="BK286" s="1231"/>
      <c r="BL286" s="1326"/>
      <c r="BM286" s="1231"/>
      <c r="BN286" s="1231"/>
      <c r="BO286" s="1231"/>
      <c r="BP286" s="1231"/>
      <c r="BQ286" s="1326">
        <f>BL288</f>
        <v>44.5</v>
      </c>
      <c r="BR286" s="1231"/>
      <c r="BS286" s="1231"/>
      <c r="BT286" s="1231"/>
      <c r="BU286" s="1231"/>
      <c r="BV286" s="1326">
        <f>BQ288</f>
        <v>0</v>
      </c>
      <c r="BW286" s="1231"/>
      <c r="BX286" s="1231"/>
      <c r="BY286" s="1231"/>
      <c r="BZ286" s="1231"/>
      <c r="CA286" s="1326">
        <f>BV288</f>
        <v>0</v>
      </c>
      <c r="CB286" s="1223">
        <f>CA288</f>
        <v>0</v>
      </c>
      <c r="CC286" s="1223">
        <f>+CB288</f>
        <v>0</v>
      </c>
      <c r="CD286" s="1223">
        <f>+CC288</f>
        <v>0</v>
      </c>
      <c r="CE286" s="1223">
        <f>+CD288</f>
        <v>0</v>
      </c>
      <c r="CF286" s="1326">
        <f>CA288</f>
        <v>0</v>
      </c>
      <c r="CG286" s="1223">
        <f>+CE288</f>
        <v>0</v>
      </c>
      <c r="CH286" s="1223">
        <f>+CG288</f>
        <v>0</v>
      </c>
      <c r="CI286" s="1223">
        <f>+CH288</f>
        <v>0</v>
      </c>
      <c r="CJ286" s="1223">
        <f>+CI288</f>
        <v>0</v>
      </c>
      <c r="CK286" s="1326">
        <f>CF288</f>
        <v>0</v>
      </c>
      <c r="CL286" s="1223">
        <f>+CJ288</f>
        <v>0</v>
      </c>
      <c r="CM286" s="1223">
        <f>+CL288</f>
        <v>0</v>
      </c>
      <c r="CN286" s="1223">
        <f>+CM288</f>
        <v>0</v>
      </c>
      <c r="CO286" s="1223">
        <f>+CN288</f>
        <v>0</v>
      </c>
      <c r="CP286" s="1326">
        <f>CK288</f>
        <v>0</v>
      </c>
      <c r="CQ286" s="1223">
        <f>+CO286</f>
        <v>0</v>
      </c>
      <c r="CR286" s="1223">
        <f>+CQ288</f>
        <v>0</v>
      </c>
      <c r="CS286" s="1223">
        <f>+CR288</f>
        <v>0</v>
      </c>
      <c r="CT286" s="1223">
        <f>+CS288</f>
        <v>0</v>
      </c>
      <c r="CU286" s="1326">
        <f>CP288</f>
        <v>0</v>
      </c>
      <c r="CV286" s="1223">
        <f>+CT286</f>
        <v>0</v>
      </c>
      <c r="CW286" s="1223">
        <f>+CV288</f>
        <v>0</v>
      </c>
      <c r="CX286" s="1223">
        <f>+CW288</f>
        <v>0</v>
      </c>
      <c r="CY286" s="1223">
        <f>+CX288</f>
        <v>0</v>
      </c>
      <c r="CZ286" s="1326">
        <f>CU288</f>
        <v>0</v>
      </c>
      <c r="DA286" s="1223">
        <f>+CY286</f>
        <v>0</v>
      </c>
      <c r="DB286" s="1223">
        <f>+DA288</f>
        <v>0</v>
      </c>
      <c r="DC286" s="1223">
        <f>+DB288</f>
        <v>0</v>
      </c>
      <c r="DD286" s="1223">
        <f>+DC288</f>
        <v>0</v>
      </c>
      <c r="DE286" s="1326">
        <f>CZ288</f>
        <v>0</v>
      </c>
      <c r="DF286" s="1223">
        <f>+DD286</f>
        <v>0</v>
      </c>
      <c r="DG286" s="1223">
        <f>+DF288</f>
        <v>0</v>
      </c>
      <c r="DH286" s="1223">
        <f>+DG288</f>
        <v>0</v>
      </c>
      <c r="DI286" s="1223">
        <f>+DH288</f>
        <v>0</v>
      </c>
      <c r="DJ286" s="1326">
        <f>DE288</f>
        <v>0</v>
      </c>
      <c r="DK286" s="1223">
        <f>+DI286</f>
        <v>0</v>
      </c>
      <c r="DL286" s="1223">
        <f>+DK288</f>
        <v>0</v>
      </c>
      <c r="DM286" s="1223">
        <f>+DL288</f>
        <v>0</v>
      </c>
      <c r="DN286" s="1223">
        <f>+DM288</f>
        <v>0</v>
      </c>
      <c r="DO286" s="1326">
        <f>DJ288</f>
        <v>0</v>
      </c>
      <c r="DP286" s="1223">
        <f>+DN286</f>
        <v>0</v>
      </c>
      <c r="DQ286" s="1223">
        <f>+DP288</f>
        <v>0</v>
      </c>
      <c r="DR286" s="1223">
        <f>+DQ288</f>
        <v>0</v>
      </c>
      <c r="DS286" s="1223">
        <f>+DR288</f>
        <v>0</v>
      </c>
      <c r="DT286" s="1326">
        <f>DO288</f>
        <v>0</v>
      </c>
      <c r="DU286" s="1223">
        <f>+DS286</f>
        <v>0</v>
      </c>
      <c r="DV286" s="1223">
        <f>+DU288</f>
        <v>0</v>
      </c>
      <c r="DW286" s="1223">
        <f>+DV288</f>
        <v>0</v>
      </c>
      <c r="DX286" s="1223">
        <f>+DW288</f>
        <v>0</v>
      </c>
      <c r="DY286" s="1326">
        <f>DT288</f>
        <v>0</v>
      </c>
    </row>
    <row r="287" spans="1:129" x14ac:dyDescent="0.2">
      <c r="A287" s="1295"/>
      <c r="B287" s="1190" t="s">
        <v>1153</v>
      </c>
      <c r="C287" s="1182"/>
      <c r="D287" s="1182"/>
      <c r="E287" s="1182"/>
      <c r="F287" s="1182"/>
      <c r="G287" s="1182"/>
      <c r="H287" s="1182"/>
      <c r="I287" s="1182"/>
      <c r="J287" s="1182"/>
      <c r="K287" s="1182"/>
      <c r="L287" s="1182"/>
      <c r="M287" s="1182"/>
      <c r="N287" s="1182"/>
      <c r="O287" s="1182"/>
      <c r="P287" s="1182"/>
      <c r="Q287" s="1182"/>
      <c r="R287" s="1182"/>
      <c r="S287" s="1182"/>
      <c r="T287" s="1182"/>
      <c r="U287" s="1182"/>
      <c r="V287" s="1182"/>
      <c r="W287" s="1182"/>
      <c r="X287" s="1296"/>
      <c r="Y287" s="1297"/>
      <c r="Z287" s="1297"/>
      <c r="AA287" s="1297"/>
      <c r="AB287" s="1297"/>
      <c r="AC287" s="1296"/>
      <c r="AD287" s="1297"/>
      <c r="AE287" s="1297"/>
      <c r="AF287" s="1297"/>
      <c r="AG287" s="1297"/>
      <c r="AH287" s="1296"/>
      <c r="AI287" s="1297"/>
      <c r="AJ287" s="1297"/>
      <c r="AK287" s="1297"/>
      <c r="AL287" s="1297"/>
      <c r="AM287" s="1296"/>
      <c r="AN287" s="1297"/>
      <c r="AO287" s="1297"/>
      <c r="AP287" s="1297"/>
      <c r="AQ287" s="1297"/>
      <c r="AR287" s="1296"/>
      <c r="AS287" s="1297"/>
      <c r="AT287" s="1297"/>
      <c r="AU287" s="1297"/>
      <c r="AV287" s="1297"/>
      <c r="AW287" s="1296"/>
      <c r="AX287" s="1298"/>
      <c r="AY287" s="1299"/>
      <c r="AZ287" s="1299"/>
      <c r="BA287" s="1298"/>
      <c r="BB287" s="1300"/>
      <c r="BC287" s="1298"/>
      <c r="BD287" s="1298"/>
      <c r="BE287" s="1298"/>
      <c r="BF287" s="1298"/>
      <c r="BG287" s="1296"/>
      <c r="BH287" s="1298"/>
      <c r="BI287" s="1298"/>
      <c r="BJ287" s="1298"/>
      <c r="BK287" s="1298"/>
      <c r="BL287" s="1335"/>
      <c r="BM287" s="1298"/>
      <c r="BN287" s="1298"/>
      <c r="BO287" s="1298"/>
      <c r="BP287" s="1298"/>
      <c r="BQ287" s="1335">
        <f>BQ288-BQ286</f>
        <v>-44.5</v>
      </c>
      <c r="BR287" s="1298"/>
      <c r="BS287" s="1298"/>
      <c r="BT287" s="1298"/>
      <c r="BU287" s="1298"/>
      <c r="BV287" s="1335">
        <f>BV288-BV286</f>
        <v>0</v>
      </c>
      <c r="BW287" s="1298"/>
      <c r="BX287" s="1298"/>
      <c r="BY287" s="1298"/>
      <c r="BZ287" s="1298"/>
      <c r="CA287" s="1335">
        <f>CA288-CA286</f>
        <v>0</v>
      </c>
      <c r="CB287" s="1336">
        <f>CB288-CB286</f>
        <v>0</v>
      </c>
      <c r="CC287" s="1336">
        <f>CC288-CC286</f>
        <v>0</v>
      </c>
      <c r="CD287" s="1298">
        <v>0</v>
      </c>
      <c r="CE287" s="1298">
        <v>0</v>
      </c>
      <c r="CF287" s="1335">
        <f>+SUM(CB287:CE287)</f>
        <v>0</v>
      </c>
      <c r="CG287" s="1298">
        <v>0</v>
      </c>
      <c r="CH287" s="1298">
        <v>0</v>
      </c>
      <c r="CI287" s="1298">
        <v>0</v>
      </c>
      <c r="CJ287" s="1298">
        <v>0</v>
      </c>
      <c r="CK287" s="1335">
        <f>+SUM(CG287:CJ287)</f>
        <v>0</v>
      </c>
      <c r="CL287" s="1298">
        <v>0</v>
      </c>
      <c r="CM287" s="1298">
        <v>0</v>
      </c>
      <c r="CN287" s="1298">
        <v>0</v>
      </c>
      <c r="CO287" s="1298">
        <v>0</v>
      </c>
      <c r="CP287" s="1335">
        <f>+SUM(CL287:CO287)</f>
        <v>0</v>
      </c>
      <c r="CQ287" s="1298">
        <v>0</v>
      </c>
      <c r="CR287" s="1298">
        <v>0</v>
      </c>
      <c r="CS287" s="1298">
        <v>0</v>
      </c>
      <c r="CT287" s="1298">
        <v>0</v>
      </c>
      <c r="CU287" s="1335">
        <f>+SUM(CQ287:CT287)</f>
        <v>0</v>
      </c>
      <c r="CV287" s="1298">
        <v>0</v>
      </c>
      <c r="CW287" s="1298">
        <v>0</v>
      </c>
      <c r="CX287" s="1298">
        <v>0</v>
      </c>
      <c r="CY287" s="1298">
        <v>0</v>
      </c>
      <c r="CZ287" s="1335">
        <f>+SUM(CV287:CY287)</f>
        <v>0</v>
      </c>
      <c r="DA287" s="1298">
        <v>0</v>
      </c>
      <c r="DB287" s="1298">
        <v>0</v>
      </c>
      <c r="DC287" s="1298">
        <v>0</v>
      </c>
      <c r="DD287" s="1298">
        <v>0</v>
      </c>
      <c r="DE287" s="1335">
        <f>+SUM(DA287:DD287)</f>
        <v>0</v>
      </c>
      <c r="DF287" s="1298">
        <v>0</v>
      </c>
      <c r="DG287" s="1298">
        <v>0</v>
      </c>
      <c r="DH287" s="1298">
        <v>0</v>
      </c>
      <c r="DI287" s="1298">
        <v>0</v>
      </c>
      <c r="DJ287" s="1335">
        <f>+SUM(DF287:DI287)</f>
        <v>0</v>
      </c>
      <c r="DK287" s="1298">
        <v>0</v>
      </c>
      <c r="DL287" s="1298">
        <v>0</v>
      </c>
      <c r="DM287" s="1298">
        <v>0</v>
      </c>
      <c r="DN287" s="1298">
        <v>0</v>
      </c>
      <c r="DO287" s="1335">
        <f>+SUM(DK287:DN287)</f>
        <v>0</v>
      </c>
      <c r="DP287" s="1298">
        <v>0</v>
      </c>
      <c r="DQ287" s="1298">
        <v>0</v>
      </c>
      <c r="DR287" s="1298">
        <v>0</v>
      </c>
      <c r="DS287" s="1298">
        <v>0</v>
      </c>
      <c r="DT287" s="1335">
        <f>+SUM(DP287:DS287)</f>
        <v>0</v>
      </c>
      <c r="DU287" s="1298">
        <v>0</v>
      </c>
      <c r="DV287" s="1298">
        <v>0</v>
      </c>
      <c r="DW287" s="1298">
        <v>0</v>
      </c>
      <c r="DX287" s="1298">
        <v>0</v>
      </c>
      <c r="DY287" s="1335">
        <f>+SUM(DU287:DX287)</f>
        <v>0</v>
      </c>
    </row>
    <row r="288" spans="1:129" x14ac:dyDescent="0.2">
      <c r="A288" s="1295"/>
      <c r="B288" s="1190" t="s">
        <v>1154</v>
      </c>
      <c r="C288" s="1182"/>
      <c r="D288" s="1182"/>
      <c r="E288" s="1182"/>
      <c r="F288" s="1182"/>
      <c r="G288" s="1182"/>
      <c r="H288" s="1182"/>
      <c r="I288" s="1182"/>
      <c r="J288" s="1182"/>
      <c r="K288" s="1182"/>
      <c r="L288" s="1182"/>
      <c r="M288" s="1182"/>
      <c r="N288" s="1182"/>
      <c r="O288" s="1182"/>
      <c r="P288" s="1182"/>
      <c r="Q288" s="1182"/>
      <c r="R288" s="1182"/>
      <c r="S288" s="1182"/>
      <c r="T288" s="1182"/>
      <c r="U288" s="1182"/>
      <c r="V288" s="1182"/>
      <c r="W288" s="1182"/>
      <c r="X288" s="1304"/>
      <c r="Y288" s="1305"/>
      <c r="Z288" s="1305"/>
      <c r="AA288" s="1305"/>
      <c r="AB288" s="1305"/>
      <c r="AC288" s="1304"/>
      <c r="AD288" s="1305"/>
      <c r="AE288" s="1305"/>
      <c r="AF288" s="1305"/>
      <c r="AG288" s="1305"/>
      <c r="AH288" s="1304"/>
      <c r="AI288" s="1305"/>
      <c r="AJ288" s="1305"/>
      <c r="AK288" s="1305"/>
      <c r="AL288" s="1305"/>
      <c r="AM288" s="1304"/>
      <c r="AN288" s="1305"/>
      <c r="AO288" s="1305"/>
      <c r="AP288" s="1305"/>
      <c r="AQ288" s="1305"/>
      <c r="AR288" s="1304"/>
      <c r="AS288" s="1305"/>
      <c r="AT288" s="1305"/>
      <c r="AU288" s="1305"/>
      <c r="AV288" s="1305"/>
      <c r="AW288" s="1304"/>
      <c r="AX288" s="1305"/>
      <c r="AY288" s="1305"/>
      <c r="AZ288" s="1305"/>
      <c r="BA288" s="1305"/>
      <c r="BB288" s="1304"/>
      <c r="BC288" s="1305"/>
      <c r="BD288" s="1305"/>
      <c r="BE288" s="1305"/>
      <c r="BF288" s="1305"/>
      <c r="BG288" s="1306"/>
      <c r="BH288" s="1305"/>
      <c r="BI288" s="1305"/>
      <c r="BJ288" s="1305"/>
      <c r="BK288" s="1305"/>
      <c r="BL288" s="1337">
        <v>44.5</v>
      </c>
      <c r="BM288" s="1305"/>
      <c r="BN288" s="1305"/>
      <c r="BO288" s="1305"/>
      <c r="BP288" s="1305"/>
      <c r="BQ288" s="1337">
        <v>0</v>
      </c>
      <c r="BR288" s="1305"/>
      <c r="BS288" s="1305"/>
      <c r="BT288" s="1305"/>
      <c r="BU288" s="1305"/>
      <c r="BV288" s="1337">
        <v>0</v>
      </c>
      <c r="BW288" s="1305"/>
      <c r="BX288" s="1305"/>
      <c r="BY288" s="1305"/>
      <c r="BZ288" s="1305"/>
      <c r="CA288" s="1337">
        <v>0</v>
      </c>
      <c r="CB288" s="1295">
        <f>CA288</f>
        <v>0</v>
      </c>
      <c r="CC288" s="1226">
        <f>CB288</f>
        <v>0</v>
      </c>
      <c r="CD288" s="1295">
        <f t="shared" ref="CD288:CZ288" si="197">CD286+CD287</f>
        <v>0</v>
      </c>
      <c r="CE288" s="1295">
        <f t="shared" si="197"/>
        <v>0</v>
      </c>
      <c r="CF288" s="1325">
        <f t="shared" si="197"/>
        <v>0</v>
      </c>
      <c r="CG288" s="1295">
        <f t="shared" si="197"/>
        <v>0</v>
      </c>
      <c r="CH288" s="1295">
        <f t="shared" si="197"/>
        <v>0</v>
      </c>
      <c r="CI288" s="1295">
        <f t="shared" si="197"/>
        <v>0</v>
      </c>
      <c r="CJ288" s="1295">
        <f t="shared" si="197"/>
        <v>0</v>
      </c>
      <c r="CK288" s="1325">
        <f t="shared" si="197"/>
        <v>0</v>
      </c>
      <c r="CL288" s="1295">
        <f t="shared" si="197"/>
        <v>0</v>
      </c>
      <c r="CM288" s="1295">
        <f t="shared" si="197"/>
        <v>0</v>
      </c>
      <c r="CN288" s="1295">
        <f t="shared" si="197"/>
        <v>0</v>
      </c>
      <c r="CO288" s="1295">
        <f t="shared" si="197"/>
        <v>0</v>
      </c>
      <c r="CP288" s="1325">
        <f t="shared" si="197"/>
        <v>0</v>
      </c>
      <c r="CQ288" s="1295">
        <f t="shared" si="197"/>
        <v>0</v>
      </c>
      <c r="CR288" s="1295">
        <f t="shared" si="197"/>
        <v>0</v>
      </c>
      <c r="CS288" s="1295">
        <f t="shared" si="197"/>
        <v>0</v>
      </c>
      <c r="CT288" s="1295">
        <f t="shared" si="197"/>
        <v>0</v>
      </c>
      <c r="CU288" s="1325">
        <f t="shared" si="197"/>
        <v>0</v>
      </c>
      <c r="CV288" s="1295">
        <f t="shared" si="197"/>
        <v>0</v>
      </c>
      <c r="CW288" s="1295">
        <f t="shared" si="197"/>
        <v>0</v>
      </c>
      <c r="CX288" s="1295">
        <f t="shared" si="197"/>
        <v>0</v>
      </c>
      <c r="CY288" s="1295">
        <f t="shared" si="197"/>
        <v>0</v>
      </c>
      <c r="CZ288" s="1325">
        <f t="shared" si="197"/>
        <v>0</v>
      </c>
      <c r="DA288" s="1295">
        <f t="shared" ref="DA288:DJ288" si="198">DA286+DA287</f>
        <v>0</v>
      </c>
      <c r="DB288" s="1295">
        <f t="shared" si="198"/>
        <v>0</v>
      </c>
      <c r="DC288" s="1295">
        <f t="shared" si="198"/>
        <v>0</v>
      </c>
      <c r="DD288" s="1295">
        <f t="shared" si="198"/>
        <v>0</v>
      </c>
      <c r="DE288" s="1325">
        <f t="shared" si="198"/>
        <v>0</v>
      </c>
      <c r="DF288" s="1295">
        <f t="shared" si="198"/>
        <v>0</v>
      </c>
      <c r="DG288" s="1295">
        <f t="shared" si="198"/>
        <v>0</v>
      </c>
      <c r="DH288" s="1295">
        <f t="shared" si="198"/>
        <v>0</v>
      </c>
      <c r="DI288" s="1295">
        <f t="shared" si="198"/>
        <v>0</v>
      </c>
      <c r="DJ288" s="1325">
        <f t="shared" si="198"/>
        <v>0</v>
      </c>
      <c r="DK288" s="1295">
        <f t="shared" ref="DK288:DT288" si="199">DK286+DK287</f>
        <v>0</v>
      </c>
      <c r="DL288" s="1295">
        <f t="shared" si="199"/>
        <v>0</v>
      </c>
      <c r="DM288" s="1295">
        <f t="shared" si="199"/>
        <v>0</v>
      </c>
      <c r="DN288" s="1295">
        <f t="shared" si="199"/>
        <v>0</v>
      </c>
      <c r="DO288" s="1325">
        <f t="shared" si="199"/>
        <v>0</v>
      </c>
      <c r="DP288" s="1295">
        <f t="shared" si="199"/>
        <v>0</v>
      </c>
      <c r="DQ288" s="1295">
        <f t="shared" si="199"/>
        <v>0</v>
      </c>
      <c r="DR288" s="1295">
        <f t="shared" si="199"/>
        <v>0</v>
      </c>
      <c r="DS288" s="1295">
        <f t="shared" si="199"/>
        <v>0</v>
      </c>
      <c r="DT288" s="1325">
        <f t="shared" si="199"/>
        <v>0</v>
      </c>
      <c r="DU288" s="1295">
        <f t="shared" ref="DU288:DY288" si="200">DU286+DU287</f>
        <v>0</v>
      </c>
      <c r="DV288" s="1295">
        <f t="shared" si="200"/>
        <v>0</v>
      </c>
      <c r="DW288" s="1295">
        <f t="shared" si="200"/>
        <v>0</v>
      </c>
      <c r="DX288" s="1295">
        <f t="shared" si="200"/>
        <v>0</v>
      </c>
      <c r="DY288" s="1325">
        <f t="shared" si="200"/>
        <v>0</v>
      </c>
    </row>
    <row r="289" spans="1:129" x14ac:dyDescent="0.2">
      <c r="A289" s="1223"/>
      <c r="B289" s="1190" t="s">
        <v>1155</v>
      </c>
      <c r="C289" s="1182"/>
      <c r="D289" s="1182"/>
      <c r="E289" s="1182"/>
      <c r="F289" s="1182"/>
      <c r="G289" s="1182"/>
      <c r="H289" s="1182"/>
      <c r="I289" s="1182"/>
      <c r="J289" s="1182"/>
      <c r="K289" s="1182"/>
      <c r="L289" s="1182"/>
      <c r="M289" s="1182"/>
      <c r="N289" s="1182"/>
      <c r="O289" s="1182"/>
      <c r="P289" s="1182"/>
      <c r="Q289" s="1182"/>
      <c r="R289" s="1182"/>
      <c r="S289" s="1182"/>
      <c r="T289" s="1182"/>
      <c r="U289" s="1182"/>
      <c r="V289" s="1182"/>
      <c r="W289" s="1182"/>
      <c r="X289" s="1227"/>
      <c r="Y289" s="1231"/>
      <c r="Z289" s="1231"/>
      <c r="AA289" s="1231"/>
      <c r="AB289" s="1231"/>
      <c r="AC289" s="1227"/>
      <c r="AD289" s="1231"/>
      <c r="AE289" s="1231"/>
      <c r="AF289" s="1231"/>
      <c r="AG289" s="1231"/>
      <c r="AH289" s="1227"/>
      <c r="AI289" s="1231"/>
      <c r="AJ289" s="1231"/>
      <c r="AK289" s="1231"/>
      <c r="AL289" s="1231"/>
      <c r="AM289" s="1227"/>
      <c r="AN289" s="1231"/>
      <c r="AO289" s="1231"/>
      <c r="AP289" s="1231"/>
      <c r="AQ289" s="1231"/>
      <c r="AR289" s="1227"/>
      <c r="AS289" s="1231"/>
      <c r="AT289" s="1231"/>
      <c r="AU289" s="1231"/>
      <c r="AV289" s="1231"/>
      <c r="AW289" s="1227"/>
      <c r="AX289" s="1231"/>
      <c r="AY289" s="1231"/>
      <c r="AZ289" s="1231"/>
      <c r="BA289" s="1231"/>
      <c r="BB289" s="1227"/>
      <c r="BC289" s="1231"/>
      <c r="BD289" s="1231"/>
      <c r="BE289" s="1231"/>
      <c r="BF289" s="1231"/>
      <c r="BG289" s="1227"/>
      <c r="BH289" s="1231"/>
      <c r="BI289" s="1231"/>
      <c r="BJ289" s="1231"/>
      <c r="BK289" s="1231"/>
      <c r="BL289" s="1326"/>
      <c r="BM289" s="1231"/>
      <c r="BN289" s="1231"/>
      <c r="BO289" s="1231"/>
      <c r="BP289" s="1231"/>
      <c r="BQ289" s="1326"/>
      <c r="BR289" s="1231"/>
      <c r="BS289" s="1231"/>
      <c r="BT289" s="1231"/>
      <c r="BU289" s="1231"/>
      <c r="BV289" s="1326"/>
      <c r="BW289" s="1231"/>
      <c r="BX289" s="1231"/>
      <c r="BY289" s="1231"/>
      <c r="BZ289" s="1231"/>
      <c r="CA289" s="1326"/>
      <c r="CB289" s="1231"/>
      <c r="CC289" s="1231"/>
      <c r="CD289" s="1231"/>
      <c r="CE289" s="1231"/>
      <c r="CF289" s="1326"/>
      <c r="CG289" s="1231"/>
      <c r="CH289" s="1231"/>
      <c r="CI289" s="1231"/>
      <c r="CJ289" s="1231"/>
      <c r="CK289" s="1326"/>
      <c r="CL289" s="1231"/>
      <c r="CM289" s="1231"/>
      <c r="CN289" s="1231"/>
      <c r="CO289" s="1231"/>
      <c r="CP289" s="1326"/>
      <c r="CQ289" s="1231"/>
      <c r="CR289" s="1231"/>
      <c r="CS289" s="1231"/>
      <c r="CT289" s="1231"/>
      <c r="CU289" s="1326"/>
      <c r="CV289" s="1231"/>
      <c r="CW289" s="1231"/>
      <c r="CX289" s="1231"/>
      <c r="CY289" s="1231"/>
      <c r="CZ289" s="1326"/>
      <c r="DA289" s="1231"/>
      <c r="DB289" s="1231"/>
      <c r="DC289" s="1231"/>
      <c r="DD289" s="1231"/>
      <c r="DE289" s="1326"/>
      <c r="DF289" s="1231"/>
      <c r="DG289" s="1231"/>
      <c r="DH289" s="1231"/>
      <c r="DI289" s="1231"/>
      <c r="DJ289" s="1326"/>
      <c r="DK289" s="1231"/>
      <c r="DL289" s="1231"/>
      <c r="DM289" s="1231"/>
      <c r="DN289" s="1231"/>
      <c r="DO289" s="1326"/>
      <c r="DP289" s="1231"/>
      <c r="DQ289" s="1231"/>
      <c r="DR289" s="1231"/>
      <c r="DS289" s="1231"/>
      <c r="DT289" s="1326"/>
      <c r="DU289" s="1231"/>
      <c r="DV289" s="1231"/>
      <c r="DW289" s="1231"/>
      <c r="DX289" s="1231"/>
      <c r="DY289" s="1326"/>
    </row>
    <row r="290" spans="1:129" x14ac:dyDescent="0.2">
      <c r="A290" s="1223"/>
      <c r="B290" s="1190" t="s">
        <v>1156</v>
      </c>
      <c r="C290" s="1182"/>
      <c r="D290" s="1182"/>
      <c r="E290" s="1182"/>
      <c r="F290" s="1182"/>
      <c r="G290" s="1182"/>
      <c r="H290" s="1182"/>
      <c r="I290" s="1182"/>
      <c r="J290" s="1182"/>
      <c r="K290" s="1182"/>
      <c r="L290" s="1182"/>
      <c r="M290" s="1182"/>
      <c r="N290" s="1182"/>
      <c r="O290" s="1182"/>
      <c r="P290" s="1182"/>
      <c r="Q290" s="1182"/>
      <c r="R290" s="1182"/>
      <c r="S290" s="1182"/>
      <c r="T290" s="1182"/>
      <c r="U290" s="1182"/>
      <c r="V290" s="1182"/>
      <c r="W290" s="1182"/>
      <c r="X290" s="1227"/>
      <c r="Y290" s="1231"/>
      <c r="Z290" s="1231"/>
      <c r="AA290" s="1231"/>
      <c r="AB290" s="1231"/>
      <c r="AC290" s="1227"/>
      <c r="AD290" s="1231"/>
      <c r="AE290" s="1231"/>
      <c r="AF290" s="1231"/>
      <c r="AG290" s="1231"/>
      <c r="AH290" s="1227"/>
      <c r="AI290" s="1231"/>
      <c r="AJ290" s="1231"/>
      <c r="AK290" s="1231"/>
      <c r="AL290" s="1231"/>
      <c r="AM290" s="1227"/>
      <c r="AN290" s="1231"/>
      <c r="AO290" s="1231"/>
      <c r="AP290" s="1231"/>
      <c r="AQ290" s="1231"/>
      <c r="AR290" s="1227"/>
      <c r="AS290" s="1231"/>
      <c r="AT290" s="1231"/>
      <c r="AU290" s="1231"/>
      <c r="AV290" s="1231"/>
      <c r="AW290" s="1227"/>
      <c r="AX290" s="1231"/>
      <c r="AY290" s="1231"/>
      <c r="AZ290" s="1231"/>
      <c r="BA290" s="1231"/>
      <c r="BB290" s="1227"/>
      <c r="BC290" s="1231"/>
      <c r="BD290" s="1231"/>
      <c r="BE290" s="1231"/>
      <c r="BF290" s="1231"/>
      <c r="BG290" s="1227"/>
      <c r="BH290" s="1231"/>
      <c r="BI290" s="1231"/>
      <c r="BJ290" s="1231"/>
      <c r="BK290" s="1231"/>
      <c r="BL290" s="1326">
        <f>-(AVERAGE(BL286,BL288))*(BL284)</f>
        <v>-3.7913999999999999</v>
      </c>
      <c r="BM290" s="1231"/>
      <c r="BN290" s="1231"/>
      <c r="BO290" s="1231"/>
      <c r="BP290" s="1231"/>
      <c r="BQ290" s="1326">
        <f>-(AVERAGE(BQ286,BQ288))*(BQ284)</f>
        <v>-1.8956999999999999</v>
      </c>
      <c r="BR290" s="1231"/>
      <c r="BS290" s="1231"/>
      <c r="BT290" s="1231"/>
      <c r="BU290" s="1231"/>
      <c r="BV290" s="1326">
        <f>-(AVERAGE(BV286,BV288))*(BV284)</f>
        <v>0</v>
      </c>
      <c r="BW290" s="1231"/>
      <c r="BX290" s="1231"/>
      <c r="BY290" s="1231"/>
      <c r="BZ290" s="1231"/>
      <c r="CA290" s="1326">
        <f>-(AVERAGE(CA286,CA288))*(CA284)</f>
        <v>0</v>
      </c>
      <c r="CB290" s="1223">
        <f>-(AVERAGE(CB288,CB286))*(CB284/4)</f>
        <v>0</v>
      </c>
      <c r="CC290" s="1223">
        <f>-(AVERAGE(CC288,CC286))*(CC284/4)</f>
        <v>0</v>
      </c>
      <c r="CD290" s="1223">
        <f>-(AVERAGE(CD288,CD286))*(CD284/4)</f>
        <v>0</v>
      </c>
      <c r="CE290" s="1223">
        <f>-(AVERAGE(CE288,CE286))*(CE284/4)</f>
        <v>0</v>
      </c>
      <c r="CF290" s="1326">
        <f>SUM(CB290:CE290)</f>
        <v>0</v>
      </c>
      <c r="CG290" s="1223">
        <f>-(AVERAGE(CG288,CG286))*(CG284/4)</f>
        <v>0</v>
      </c>
      <c r="CH290" s="1223">
        <f>-(AVERAGE(CH288,CH286))*(CH284/4)</f>
        <v>0</v>
      </c>
      <c r="CI290" s="1223">
        <f>-(AVERAGE(CI288,CI286))*(CI284/4)</f>
        <v>0</v>
      </c>
      <c r="CJ290" s="1223">
        <f>-(AVERAGE(CJ288,CJ286))*(CJ284/4)</f>
        <v>0</v>
      </c>
      <c r="CK290" s="1326">
        <f>SUM(CG290:CJ290)</f>
        <v>0</v>
      </c>
      <c r="CL290" s="1223">
        <f>-(AVERAGE(CL288,CL286))*(CL284/4)</f>
        <v>0</v>
      </c>
      <c r="CM290" s="1223">
        <f>-(AVERAGE(CM288,CM286))*(CM284/4)</f>
        <v>0</v>
      </c>
      <c r="CN290" s="1223">
        <f>-(AVERAGE(CN288,CN286))*(CN284/4)</f>
        <v>0</v>
      </c>
      <c r="CO290" s="1223">
        <f>-(AVERAGE(CO288,CO286))*(CO284/4)</f>
        <v>0</v>
      </c>
      <c r="CP290" s="1326">
        <f>SUM(CL290:CO290)</f>
        <v>0</v>
      </c>
      <c r="CQ290" s="1223">
        <f>-(AVERAGE(CQ288,CQ286))*(CQ284/4)</f>
        <v>0</v>
      </c>
      <c r="CR290" s="1223">
        <f>-(AVERAGE(CR288,CR286))*(CR284/4)</f>
        <v>0</v>
      </c>
      <c r="CS290" s="1223">
        <f>-(AVERAGE(CS288,CS286))*(CS284/4)</f>
        <v>0</v>
      </c>
      <c r="CT290" s="1223">
        <f>-(AVERAGE(CT288,CT286))*(CT284/4)</f>
        <v>0</v>
      </c>
      <c r="CU290" s="1326">
        <f>SUM(CQ290:CT290)</f>
        <v>0</v>
      </c>
      <c r="CV290" s="1223">
        <f>-(AVERAGE(CV288,CV286))*(CV284/4)</f>
        <v>0</v>
      </c>
      <c r="CW290" s="1223">
        <f>-(AVERAGE(CW288,CW286))*(CW284/4)</f>
        <v>0</v>
      </c>
      <c r="CX290" s="1223">
        <f>-(AVERAGE(CX288,CX286))*(CX284/4)</f>
        <v>0</v>
      </c>
      <c r="CY290" s="1223">
        <f>-(AVERAGE(CY288,CY286))*(CY284/4)</f>
        <v>0</v>
      </c>
      <c r="CZ290" s="1326">
        <f>SUM(CV290:CY290)</f>
        <v>0</v>
      </c>
      <c r="DA290" s="1223">
        <f>-(AVERAGE(DA288,DA286))*(DA284/4)</f>
        <v>0</v>
      </c>
      <c r="DB290" s="1223">
        <f>-(AVERAGE(DB288,DB286))*(DB284/4)</f>
        <v>0</v>
      </c>
      <c r="DC290" s="1223">
        <f>-(AVERAGE(DC288,DC286))*(DC284/4)</f>
        <v>0</v>
      </c>
      <c r="DD290" s="1223">
        <f>-(AVERAGE(DD288,DD286))*(DD284/4)</f>
        <v>0</v>
      </c>
      <c r="DE290" s="1326">
        <f>SUM(DA290:DD290)</f>
        <v>0</v>
      </c>
      <c r="DF290" s="1223">
        <f>-(AVERAGE(DF288,DF286))*(DF284/4)</f>
        <v>0</v>
      </c>
      <c r="DG290" s="1223">
        <f>-(AVERAGE(DG288,DG286))*(DG284/4)</f>
        <v>0</v>
      </c>
      <c r="DH290" s="1223">
        <f>-(AVERAGE(DH288,DH286))*(DH284/4)</f>
        <v>0</v>
      </c>
      <c r="DI290" s="1223">
        <f>-(AVERAGE(DI288,DI286))*(DI284/4)</f>
        <v>0</v>
      </c>
      <c r="DJ290" s="1326">
        <f>SUM(DF290:DI290)</f>
        <v>0</v>
      </c>
      <c r="DK290" s="1223">
        <f>-(AVERAGE(DK288,DK286))*(DK284/4)</f>
        <v>0</v>
      </c>
      <c r="DL290" s="1223">
        <f>-(AVERAGE(DL288,DL286))*(DL284/4)</f>
        <v>0</v>
      </c>
      <c r="DM290" s="1223">
        <f>-(AVERAGE(DM288,DM286))*(DM284/4)</f>
        <v>0</v>
      </c>
      <c r="DN290" s="1223">
        <f>-(AVERAGE(DN288,DN286))*(DN284/4)</f>
        <v>0</v>
      </c>
      <c r="DO290" s="1326">
        <f>SUM(DK290:DN290)</f>
        <v>0</v>
      </c>
      <c r="DP290" s="1223">
        <f>-(AVERAGE(DP288,DP286))*(DP284/4)</f>
        <v>0</v>
      </c>
      <c r="DQ290" s="1223">
        <f>-(AVERAGE(DQ288,DQ286))*(DQ284/4)</f>
        <v>0</v>
      </c>
      <c r="DR290" s="1223">
        <f>-(AVERAGE(DR288,DR286))*(DR284/4)</f>
        <v>0</v>
      </c>
      <c r="DS290" s="1223">
        <f>-(AVERAGE(DS288,DS286))*(DS284/4)</f>
        <v>0</v>
      </c>
      <c r="DT290" s="1326">
        <f>SUM(DP290:DS290)</f>
        <v>0</v>
      </c>
      <c r="DU290" s="1223">
        <f>-(AVERAGE(DU288,DU286))*(DU284/4)</f>
        <v>0</v>
      </c>
      <c r="DV290" s="1223">
        <f>-(AVERAGE(DV288,DV286))*(DV284/4)</f>
        <v>0</v>
      </c>
      <c r="DW290" s="1223">
        <f>-(AVERAGE(DW288,DW286))*(DW284/4)</f>
        <v>0</v>
      </c>
      <c r="DX290" s="1223">
        <f>-(AVERAGE(DX288,DX286))*(DX284/4)</f>
        <v>0</v>
      </c>
      <c r="DY290" s="1326">
        <f>SUM(DU290:DX290)</f>
        <v>0</v>
      </c>
    </row>
    <row r="291" spans="1:129" ht="12" thickBot="1" x14ac:dyDescent="0.25">
      <c r="A291" s="1223"/>
      <c r="B291" s="1250" t="s">
        <v>1157</v>
      </c>
      <c r="C291" s="1251"/>
      <c r="D291" s="1251"/>
      <c r="E291" s="1251"/>
      <c r="F291" s="1251"/>
      <c r="G291" s="1251"/>
      <c r="H291" s="1251"/>
      <c r="I291" s="1251"/>
      <c r="J291" s="1251"/>
      <c r="K291" s="1251"/>
      <c r="L291" s="1251"/>
      <c r="M291" s="1251"/>
      <c r="N291" s="1251"/>
      <c r="O291" s="1251"/>
      <c r="P291" s="1251"/>
      <c r="Q291" s="1251"/>
      <c r="R291" s="1251"/>
      <c r="S291" s="1251"/>
      <c r="T291" s="1251"/>
      <c r="U291" s="1251"/>
      <c r="V291" s="1251"/>
      <c r="W291" s="1251"/>
      <c r="X291" s="1252"/>
      <c r="Y291" s="1251"/>
      <c r="Z291" s="1251"/>
      <c r="AA291" s="1251"/>
      <c r="AB291" s="1251"/>
      <c r="AC291" s="1252"/>
      <c r="AD291" s="1251"/>
      <c r="AE291" s="1251"/>
      <c r="AF291" s="1251"/>
      <c r="AG291" s="1251"/>
      <c r="AH291" s="1252"/>
      <c r="AI291" s="1251"/>
      <c r="AJ291" s="1251"/>
      <c r="AK291" s="1251"/>
      <c r="AL291" s="1251"/>
      <c r="AM291" s="1252"/>
      <c r="AN291" s="1251"/>
      <c r="AO291" s="1251"/>
      <c r="AP291" s="1251"/>
      <c r="AQ291" s="1253"/>
      <c r="AR291" s="1252"/>
      <c r="AS291" s="1253"/>
      <c r="AT291" s="1253"/>
      <c r="AU291" s="1253"/>
      <c r="AV291" s="1253"/>
      <c r="AW291" s="1252"/>
      <c r="AX291" s="1253"/>
      <c r="AY291" s="1253"/>
      <c r="AZ291" s="1253"/>
      <c r="BA291" s="1253"/>
      <c r="BB291" s="1252"/>
      <c r="BC291" s="1253"/>
      <c r="BD291" s="1253"/>
      <c r="BE291" s="1253"/>
      <c r="BF291" s="1253"/>
      <c r="BG291" s="1252"/>
      <c r="BH291" s="1253"/>
      <c r="BI291" s="1253"/>
      <c r="BJ291" s="1253"/>
      <c r="BK291" s="1253"/>
      <c r="BL291" s="1327"/>
      <c r="BM291" s="1253"/>
      <c r="BN291" s="1253"/>
      <c r="BO291" s="1253"/>
      <c r="BP291" s="1253"/>
      <c r="BQ291" s="1327"/>
      <c r="BR291" s="1253"/>
      <c r="BS291" s="1253"/>
      <c r="BT291" s="1253"/>
      <c r="BU291" s="1253"/>
      <c r="BV291" s="1327"/>
      <c r="BW291" s="1253"/>
      <c r="BX291" s="1253"/>
      <c r="BY291" s="1253"/>
      <c r="BZ291" s="1253"/>
      <c r="CA291" s="1327"/>
      <c r="CB291" s="1253">
        <f>-CB283*CB289/4</f>
        <v>0</v>
      </c>
      <c r="CC291" s="1253">
        <f>-CC283*CC289/4</f>
        <v>0</v>
      </c>
      <c r="CD291" s="1253">
        <f>-CD283*CD289/4</f>
        <v>0</v>
      </c>
      <c r="CE291" s="1253">
        <f>-CE283*CE289/4</f>
        <v>0</v>
      </c>
      <c r="CF291" s="1327"/>
      <c r="CG291" s="1253">
        <f>-CG283*CG289/4</f>
        <v>0</v>
      </c>
      <c r="CH291" s="1253">
        <f>-CH283*CH289/4</f>
        <v>0</v>
      </c>
      <c r="CI291" s="1253">
        <f>-CI283*CI289/4</f>
        <v>0</v>
      </c>
      <c r="CJ291" s="1253">
        <f>-CJ283*CJ289/4</f>
        <v>0</v>
      </c>
      <c r="CK291" s="1327"/>
      <c r="CL291" s="1253">
        <f>-CL283*CL289/4</f>
        <v>0</v>
      </c>
      <c r="CM291" s="1253">
        <f>-CM283*CM289/4</f>
        <v>0</v>
      </c>
      <c r="CN291" s="1253">
        <f>-CN283*CN289/4</f>
        <v>0</v>
      </c>
      <c r="CO291" s="1253">
        <f>-CO283*CO289/4</f>
        <v>0</v>
      </c>
      <c r="CP291" s="1327"/>
      <c r="CQ291" s="1253">
        <f>-CQ283*CQ289/4</f>
        <v>0</v>
      </c>
      <c r="CR291" s="1253">
        <f>-CR283*CR289/4</f>
        <v>0</v>
      </c>
      <c r="CS291" s="1253">
        <f>-CS283*CS289/4</f>
        <v>0</v>
      </c>
      <c r="CT291" s="1253">
        <f>-CT283*CT289/4</f>
        <v>0</v>
      </c>
      <c r="CU291" s="1327"/>
      <c r="CV291" s="1253">
        <f>-CV283*CV289/4</f>
        <v>0</v>
      </c>
      <c r="CW291" s="1253">
        <f>-CW283*CW289/4</f>
        <v>0</v>
      </c>
      <c r="CX291" s="1253">
        <f>-CX283*CX289/4</f>
        <v>0</v>
      </c>
      <c r="CY291" s="1253">
        <f>-CY283*CY289/4</f>
        <v>0</v>
      </c>
      <c r="CZ291" s="1327"/>
      <c r="DA291" s="1253">
        <f>-DA283*DA289/4</f>
        <v>0</v>
      </c>
      <c r="DB291" s="1253">
        <f>-DB283*DB289/4</f>
        <v>0</v>
      </c>
      <c r="DC291" s="1253">
        <f>-DC283*DC289/4</f>
        <v>0</v>
      </c>
      <c r="DD291" s="1253">
        <f>-DD283*DD289/4</f>
        <v>0</v>
      </c>
      <c r="DE291" s="1327"/>
      <c r="DF291" s="1253">
        <f>-DF283*DF289/4</f>
        <v>0</v>
      </c>
      <c r="DG291" s="1253">
        <f>-DG283*DG289/4</f>
        <v>0</v>
      </c>
      <c r="DH291" s="1253">
        <f>-DH283*DH289/4</f>
        <v>0</v>
      </c>
      <c r="DI291" s="1253">
        <f>-DI283*DI289/4</f>
        <v>0</v>
      </c>
      <c r="DJ291" s="1327"/>
      <c r="DK291" s="1253">
        <f>-DK283*DK289/4</f>
        <v>0</v>
      </c>
      <c r="DL291" s="1253">
        <f>-DL283*DL289/4</f>
        <v>0</v>
      </c>
      <c r="DM291" s="1253">
        <f>-DM283*DM289/4</f>
        <v>0</v>
      </c>
      <c r="DN291" s="1253">
        <f>-DN283*DN289/4</f>
        <v>0</v>
      </c>
      <c r="DO291" s="1327"/>
      <c r="DP291" s="1253">
        <f>-DP283*DP289/4</f>
        <v>0</v>
      </c>
      <c r="DQ291" s="1253">
        <f>-DQ283*DQ289/4</f>
        <v>0</v>
      </c>
      <c r="DR291" s="1253">
        <f>-DR283*DR289/4</f>
        <v>0</v>
      </c>
      <c r="DS291" s="1253">
        <f>-DS283*DS289/4</f>
        <v>0</v>
      </c>
      <c r="DT291" s="1327"/>
      <c r="DU291" s="1253">
        <f>-DU283*DU289/4</f>
        <v>0</v>
      </c>
      <c r="DV291" s="1253">
        <f>-DV283*DV289/4</f>
        <v>0</v>
      </c>
      <c r="DW291" s="1253">
        <f>-DW283*DW289/4</f>
        <v>0</v>
      </c>
      <c r="DX291" s="1253">
        <f>-DX283*DX289/4</f>
        <v>0</v>
      </c>
      <c r="DY291" s="1327"/>
    </row>
    <row r="292" spans="1:129" ht="12" thickBot="1" x14ac:dyDescent="0.25">
      <c r="A292" s="1240"/>
      <c r="B292" s="1240"/>
      <c r="C292" s="1214"/>
      <c r="D292" s="1214"/>
      <c r="E292" s="1214"/>
      <c r="F292" s="1214"/>
      <c r="G292" s="1214"/>
      <c r="H292" s="1214"/>
      <c r="I292" s="1214"/>
      <c r="J292" s="1214"/>
      <c r="K292" s="1214"/>
      <c r="L292" s="1214"/>
      <c r="M292" s="1214"/>
      <c r="N292" s="1214"/>
      <c r="O292" s="1214"/>
      <c r="P292" s="1214"/>
      <c r="Q292" s="1214"/>
      <c r="R292" s="1214"/>
      <c r="S292" s="1214"/>
      <c r="T292" s="1214"/>
      <c r="U292" s="1214"/>
      <c r="V292" s="1214"/>
      <c r="W292" s="1214"/>
      <c r="X292" s="1214"/>
      <c r="Y292" s="1214"/>
      <c r="Z292" s="1214"/>
      <c r="AA292" s="1214"/>
      <c r="AB292" s="1214"/>
      <c r="AC292" s="1214"/>
      <c r="AD292" s="1214"/>
      <c r="AE292" s="1214"/>
      <c r="AF292" s="1214"/>
      <c r="AG292" s="1214"/>
      <c r="AH292" s="1214"/>
      <c r="AI292" s="1214"/>
      <c r="AJ292" s="1214"/>
      <c r="AK292" s="1214"/>
      <c r="AL292" s="1214"/>
      <c r="AM292" s="1214"/>
      <c r="AN292" s="1214"/>
      <c r="AO292" s="1214"/>
      <c r="AP292" s="1214"/>
      <c r="AQ292" s="1215"/>
      <c r="AR292" s="1215"/>
      <c r="AS292" s="1215"/>
      <c r="AT292" s="1215"/>
      <c r="AU292" s="1215"/>
      <c r="AV292" s="1215"/>
      <c r="AW292" s="1338"/>
      <c r="AX292" s="1215"/>
      <c r="AY292" s="1215"/>
      <c r="AZ292" s="1215"/>
      <c r="BA292" s="1215"/>
      <c r="BB292" s="1338"/>
      <c r="BC292" s="1215"/>
      <c r="BD292" s="1215"/>
      <c r="BE292" s="1215"/>
      <c r="BF292" s="1215"/>
      <c r="BG292" s="1338"/>
      <c r="BH292" s="1215"/>
      <c r="BI292" s="1215"/>
      <c r="BJ292" s="1215"/>
      <c r="BK292" s="1215"/>
      <c r="BL292" s="1338"/>
      <c r="BM292" s="1215"/>
      <c r="BN292" s="1215"/>
      <c r="BO292" s="1215"/>
      <c r="BP292" s="1215"/>
      <c r="BQ292" s="1338"/>
      <c r="BR292" s="1215"/>
      <c r="BS292" s="1215"/>
      <c r="BT292" s="1215"/>
      <c r="BU292" s="1215"/>
      <c r="BV292" s="1338"/>
      <c r="BW292" s="1215"/>
      <c r="BX292" s="1215"/>
      <c r="BY292" s="1215"/>
      <c r="BZ292" s="1215"/>
      <c r="CA292" s="1338"/>
      <c r="CB292" s="1215"/>
      <c r="CC292" s="1215"/>
      <c r="CD292" s="1215"/>
      <c r="CE292" s="1215"/>
      <c r="CF292" s="1338"/>
      <c r="CG292" s="1215"/>
      <c r="CH292" s="1215"/>
      <c r="CI292" s="1215"/>
      <c r="CJ292" s="1215"/>
      <c r="CK292" s="1338"/>
      <c r="CL292" s="1215"/>
      <c r="CM292" s="1215"/>
      <c r="CN292" s="1215"/>
      <c r="CO292" s="1215"/>
      <c r="CP292" s="1338"/>
      <c r="CQ292" s="1215"/>
      <c r="CR292" s="1215"/>
      <c r="CS292" s="1215"/>
      <c r="CT292" s="1215"/>
      <c r="CU292" s="1338"/>
      <c r="CV292" s="1215"/>
      <c r="CW292" s="1215"/>
      <c r="CX292" s="1215"/>
      <c r="CY292" s="1215"/>
      <c r="CZ292" s="1338"/>
      <c r="DA292" s="1215"/>
      <c r="DB292" s="1215"/>
      <c r="DC292" s="1215"/>
      <c r="DD292" s="1215"/>
      <c r="DE292" s="1338"/>
      <c r="DF292" s="1215"/>
      <c r="DG292" s="1215"/>
      <c r="DH292" s="1215"/>
      <c r="DI292" s="1215"/>
      <c r="DJ292" s="1338"/>
      <c r="DK292" s="1215"/>
      <c r="DL292" s="1215"/>
      <c r="DM292" s="1215"/>
      <c r="DN292" s="1215"/>
      <c r="DO292" s="1338"/>
      <c r="DP292" s="1215"/>
      <c r="DQ292" s="1215"/>
      <c r="DR292" s="1215"/>
      <c r="DS292" s="1215"/>
      <c r="DT292" s="1338"/>
      <c r="DU292" s="1215"/>
      <c r="DV292" s="1215"/>
      <c r="DW292" s="1215"/>
      <c r="DX292" s="1215"/>
      <c r="DY292" s="1338"/>
    </row>
    <row r="293" spans="1:129" ht="23.25" thickBot="1" x14ac:dyDescent="0.25">
      <c r="A293" s="1123"/>
      <c r="B293" s="1282" t="s">
        <v>1170</v>
      </c>
      <c r="C293" s="1328"/>
      <c r="D293" s="1329"/>
      <c r="E293" s="1329"/>
      <c r="F293" s="1329"/>
      <c r="G293" s="1329"/>
      <c r="H293" s="1329"/>
      <c r="I293" s="1329"/>
      <c r="J293" s="1329"/>
      <c r="K293" s="1329"/>
      <c r="L293" s="1329"/>
      <c r="M293" s="1329"/>
      <c r="N293" s="1329"/>
      <c r="O293" s="1329"/>
      <c r="P293" s="1329"/>
      <c r="Q293" s="1329"/>
      <c r="R293" s="1329"/>
      <c r="S293" s="1329"/>
      <c r="T293" s="1329"/>
      <c r="U293" s="1329"/>
      <c r="V293" s="1329"/>
      <c r="W293" s="1329"/>
      <c r="X293" s="1328"/>
      <c r="Y293" s="1328"/>
      <c r="Z293" s="1328"/>
      <c r="AA293" s="1328"/>
      <c r="AB293" s="1328"/>
      <c r="AC293" s="1328"/>
      <c r="AD293" s="1328"/>
      <c r="AE293" s="1328"/>
      <c r="AF293" s="1328"/>
      <c r="AG293" s="1328"/>
      <c r="AH293" s="1328"/>
      <c r="AI293" s="1328"/>
      <c r="AJ293" s="1328"/>
      <c r="AK293" s="1328"/>
      <c r="AL293" s="1328"/>
      <c r="AM293" s="1328"/>
      <c r="AN293" s="1328"/>
      <c r="AO293" s="1328"/>
      <c r="AP293" s="1328"/>
      <c r="AQ293" s="1330"/>
      <c r="AR293" s="1330"/>
      <c r="AS293" s="1330"/>
      <c r="AT293" s="1331"/>
      <c r="AU293" s="1331"/>
      <c r="AV293" s="1331"/>
      <c r="AW293" s="1330"/>
      <c r="AX293" s="1330"/>
      <c r="AY293" s="1330"/>
      <c r="AZ293" s="1330"/>
      <c r="BA293" s="1330"/>
      <c r="BB293" s="1330"/>
      <c r="BC293" s="1330"/>
      <c r="BD293" s="1330"/>
      <c r="BE293" s="1330"/>
      <c r="BF293" s="1330"/>
      <c r="BG293" s="1330"/>
      <c r="BH293" s="1330"/>
      <c r="BI293" s="1330"/>
      <c r="BJ293" s="1330"/>
      <c r="BK293" s="1330"/>
      <c r="BL293" s="1332"/>
      <c r="BM293" s="1330"/>
      <c r="BN293" s="1330"/>
      <c r="BO293" s="1330"/>
      <c r="BP293" s="1330"/>
      <c r="BQ293" s="1332"/>
      <c r="BR293" s="1330"/>
      <c r="BS293" s="1330"/>
      <c r="BT293" s="1330"/>
      <c r="BU293" s="1330"/>
      <c r="BV293" s="1332"/>
      <c r="BW293" s="1330"/>
      <c r="BX293" s="1330"/>
      <c r="BY293" s="1330"/>
      <c r="BZ293" s="1330"/>
      <c r="CA293" s="1332"/>
      <c r="CB293" s="1330"/>
      <c r="CC293" s="1330"/>
      <c r="CD293" s="1330"/>
      <c r="CE293" s="1330"/>
      <c r="CF293" s="1332"/>
      <c r="CG293" s="1330"/>
      <c r="CH293" s="1330"/>
      <c r="CI293" s="1330"/>
      <c r="CJ293" s="1330"/>
      <c r="CK293" s="1332"/>
      <c r="CL293" s="1330"/>
      <c r="CM293" s="1330"/>
      <c r="CN293" s="1330"/>
      <c r="CO293" s="1330"/>
      <c r="CP293" s="1332"/>
      <c r="CQ293" s="1330"/>
      <c r="CR293" s="1330"/>
      <c r="CS293" s="1330"/>
      <c r="CT293" s="1330"/>
      <c r="CU293" s="1332"/>
      <c r="CV293" s="1330"/>
      <c r="CW293" s="1330"/>
      <c r="CX293" s="1330"/>
      <c r="CY293" s="1330"/>
      <c r="CZ293" s="1332"/>
      <c r="DA293" s="1330"/>
      <c r="DB293" s="1330"/>
      <c r="DC293" s="1330"/>
      <c r="DD293" s="1330"/>
      <c r="DE293" s="1332"/>
      <c r="DF293" s="1330"/>
      <c r="DG293" s="1330"/>
      <c r="DH293" s="1330"/>
      <c r="DI293" s="1330"/>
      <c r="DJ293" s="1332"/>
      <c r="DK293" s="1330"/>
      <c r="DL293" s="1330"/>
      <c r="DM293" s="1330"/>
      <c r="DN293" s="1330"/>
      <c r="DO293" s="1332"/>
      <c r="DP293" s="1330"/>
      <c r="DQ293" s="1330"/>
      <c r="DR293" s="1330"/>
      <c r="DS293" s="1330"/>
      <c r="DT293" s="1332"/>
      <c r="DU293" s="1330"/>
      <c r="DV293" s="1330"/>
      <c r="DW293" s="1330"/>
      <c r="DX293" s="1330"/>
      <c r="DY293" s="1332"/>
    </row>
    <row r="294" spans="1:129" x14ac:dyDescent="0.2">
      <c r="A294" s="532"/>
      <c r="B294" s="1287" t="s">
        <v>1149</v>
      </c>
      <c r="C294" s="650"/>
      <c r="D294" s="650"/>
      <c r="E294" s="650"/>
      <c r="F294" s="650"/>
      <c r="G294" s="650"/>
      <c r="H294" s="650"/>
      <c r="I294" s="650"/>
      <c r="J294" s="650"/>
      <c r="K294" s="650"/>
      <c r="L294" s="650"/>
      <c r="M294" s="650"/>
      <c r="N294" s="650"/>
      <c r="O294" s="650"/>
      <c r="P294" s="650"/>
      <c r="Q294" s="650"/>
      <c r="R294" s="650"/>
      <c r="S294" s="650"/>
      <c r="T294" s="650"/>
      <c r="U294" s="650"/>
      <c r="V294" s="650"/>
      <c r="W294" s="650"/>
      <c r="X294" s="1288"/>
      <c r="Y294" s="650"/>
      <c r="Z294" s="650"/>
      <c r="AA294" s="650"/>
      <c r="AB294" s="650"/>
      <c r="AC294" s="1288"/>
      <c r="AD294" s="650"/>
      <c r="AE294" s="650"/>
      <c r="AF294" s="650"/>
      <c r="AG294" s="650"/>
      <c r="AH294" s="1288"/>
      <c r="AI294" s="650"/>
      <c r="AJ294" s="650"/>
      <c r="AK294" s="650"/>
      <c r="AL294" s="650"/>
      <c r="AM294" s="1288"/>
      <c r="AN294" s="650"/>
      <c r="AO294" s="650"/>
      <c r="AP294" s="650"/>
      <c r="AQ294" s="650"/>
      <c r="AR294" s="1288"/>
      <c r="AS294" s="650"/>
      <c r="AT294" s="650"/>
      <c r="AU294" s="650"/>
      <c r="AV294" s="650"/>
      <c r="AW294" s="1288"/>
      <c r="AX294" s="650"/>
      <c r="AY294" s="650"/>
      <c r="AZ294" s="650"/>
      <c r="BA294" s="650"/>
      <c r="BB294" s="1288"/>
      <c r="BC294" s="650"/>
      <c r="BD294" s="650"/>
      <c r="BE294" s="650"/>
      <c r="BF294" s="650"/>
      <c r="BG294" s="1288"/>
      <c r="BH294" s="650"/>
      <c r="BI294" s="650"/>
      <c r="BJ294" s="650"/>
      <c r="BK294" s="650"/>
      <c r="BL294" s="583"/>
      <c r="BM294" s="650"/>
      <c r="BN294" s="650"/>
      <c r="BO294" s="650"/>
      <c r="BP294" s="650"/>
      <c r="BQ294" s="583"/>
      <c r="BR294" s="650"/>
      <c r="BS294" s="650"/>
      <c r="BT294" s="650"/>
      <c r="BU294" s="650"/>
      <c r="BV294" s="583"/>
      <c r="BW294" s="650"/>
      <c r="BX294" s="650"/>
      <c r="BY294" s="650"/>
      <c r="BZ294" s="650"/>
      <c r="CA294" s="583"/>
      <c r="CB294" s="650"/>
      <c r="CC294" s="650"/>
      <c r="CD294" s="650"/>
      <c r="CE294" s="650"/>
      <c r="CF294" s="583"/>
      <c r="CG294" s="650"/>
      <c r="CH294" s="650"/>
      <c r="CI294" s="650"/>
      <c r="CJ294" s="650"/>
      <c r="CK294" s="583"/>
      <c r="CL294" s="650"/>
      <c r="CM294" s="650"/>
      <c r="CN294" s="650"/>
      <c r="CO294" s="650"/>
      <c r="CP294" s="583"/>
      <c r="CQ294" s="650"/>
      <c r="CR294" s="650"/>
      <c r="CS294" s="650"/>
      <c r="CT294" s="650"/>
      <c r="CU294" s="583"/>
      <c r="CV294" s="650"/>
      <c r="CW294" s="650"/>
      <c r="CX294" s="650"/>
      <c r="CY294" s="650"/>
      <c r="CZ294" s="583"/>
      <c r="DA294" s="650"/>
      <c r="DB294" s="650"/>
      <c r="DC294" s="650"/>
      <c r="DD294" s="650"/>
      <c r="DE294" s="583"/>
      <c r="DF294" s="650"/>
      <c r="DG294" s="650"/>
      <c r="DH294" s="650"/>
      <c r="DI294" s="650"/>
      <c r="DJ294" s="583"/>
      <c r="DK294" s="650"/>
      <c r="DL294" s="650"/>
      <c r="DM294" s="650"/>
      <c r="DN294" s="650"/>
      <c r="DO294" s="583"/>
      <c r="DP294" s="650"/>
      <c r="DQ294" s="650"/>
      <c r="DR294" s="650"/>
      <c r="DS294" s="650"/>
      <c r="DT294" s="583"/>
      <c r="DU294" s="650"/>
      <c r="DV294" s="650"/>
      <c r="DW294" s="650"/>
      <c r="DX294" s="650"/>
      <c r="DY294" s="583"/>
    </row>
    <row r="295" spans="1:129" x14ac:dyDescent="0.2">
      <c r="A295" s="532"/>
      <c r="B295" s="1287" t="s">
        <v>1150</v>
      </c>
      <c r="C295" s="650"/>
      <c r="D295" s="650"/>
      <c r="E295" s="650"/>
      <c r="F295" s="650"/>
      <c r="G295" s="650"/>
      <c r="H295" s="650"/>
      <c r="I295" s="650"/>
      <c r="J295" s="650"/>
      <c r="K295" s="650"/>
      <c r="L295" s="650"/>
      <c r="M295" s="650"/>
      <c r="N295" s="650"/>
      <c r="O295" s="650"/>
      <c r="P295" s="650"/>
      <c r="Q295" s="650"/>
      <c r="R295" s="650"/>
      <c r="S295" s="650"/>
      <c r="T295" s="650"/>
      <c r="U295" s="650"/>
      <c r="V295" s="650"/>
      <c r="W295" s="650"/>
      <c r="X295" s="1288"/>
      <c r="Y295" s="650"/>
      <c r="Z295" s="650"/>
      <c r="AA295" s="650"/>
      <c r="AB295" s="650"/>
      <c r="AC295" s="1288"/>
      <c r="AD295" s="650"/>
      <c r="AE295" s="650"/>
      <c r="AF295" s="650"/>
      <c r="AG295" s="650"/>
      <c r="AH295" s="1288"/>
      <c r="AI295" s="650"/>
      <c r="AJ295" s="650"/>
      <c r="AK295" s="650"/>
      <c r="AL295" s="650"/>
      <c r="AM295" s="1288"/>
      <c r="AN295" s="650"/>
      <c r="AO295" s="650"/>
      <c r="AP295" s="650"/>
      <c r="AQ295" s="650"/>
      <c r="AR295" s="1288"/>
      <c r="AS295" s="650"/>
      <c r="AT295" s="650"/>
      <c r="AU295" s="650"/>
      <c r="AV295" s="650"/>
      <c r="AW295" s="1288"/>
      <c r="AX295" s="650"/>
      <c r="AY295" s="650"/>
      <c r="AZ295" s="650"/>
      <c r="BA295" s="650"/>
      <c r="BB295" s="1288"/>
      <c r="BC295" s="650"/>
      <c r="BD295" s="650"/>
      <c r="BE295" s="650"/>
      <c r="BF295" s="650"/>
      <c r="BG295" s="1289"/>
      <c r="BH295" s="650"/>
      <c r="BI295" s="650"/>
      <c r="BJ295" s="650"/>
      <c r="BK295" s="650"/>
      <c r="BL295" s="1333">
        <v>6.3020000000000007E-2</v>
      </c>
      <c r="BM295" s="650"/>
      <c r="BN295" s="650"/>
      <c r="BO295" s="650"/>
      <c r="BP295" s="650"/>
      <c r="BQ295" s="1333">
        <v>6.3020000000000007E-2</v>
      </c>
      <c r="BR295" s="650"/>
      <c r="BS295" s="650"/>
      <c r="BT295" s="650"/>
      <c r="BU295" s="650"/>
      <c r="BV295" s="1333">
        <v>6.3020000000000007E-2</v>
      </c>
      <c r="BW295" s="650"/>
      <c r="BX295" s="650"/>
      <c r="BY295" s="650"/>
      <c r="BZ295" s="650"/>
      <c r="CA295" s="1333">
        <v>6.3020000000000007E-2</v>
      </c>
      <c r="CB295" s="1334">
        <v>6.3020000000000007E-2</v>
      </c>
      <c r="CC295" s="1334">
        <v>6.3020000000000007E-2</v>
      </c>
      <c r="CD295" s="1334">
        <v>6.3020000000000007E-2</v>
      </c>
      <c r="CE295" s="1334">
        <v>6.3020000000000007E-2</v>
      </c>
      <c r="CF295" s="1333"/>
      <c r="CG295" s="1334">
        <f>CE295</f>
        <v>6.3020000000000007E-2</v>
      </c>
      <c r="CH295" s="1334">
        <f>CG295</f>
        <v>6.3020000000000007E-2</v>
      </c>
      <c r="CI295" s="1334">
        <f>CH295</f>
        <v>6.3020000000000007E-2</v>
      </c>
      <c r="CJ295" s="1334">
        <f>CI295</f>
        <v>6.3020000000000007E-2</v>
      </c>
      <c r="CK295" s="1333"/>
      <c r="CL295" s="1334">
        <f>CJ295</f>
        <v>6.3020000000000007E-2</v>
      </c>
      <c r="CM295" s="1334">
        <f>CL295</f>
        <v>6.3020000000000007E-2</v>
      </c>
      <c r="CN295" s="1334">
        <f>CM295</f>
        <v>6.3020000000000007E-2</v>
      </c>
      <c r="CO295" s="1334">
        <f>CN295</f>
        <v>6.3020000000000007E-2</v>
      </c>
      <c r="CP295" s="1333"/>
      <c r="CQ295" s="1334">
        <f>CO295</f>
        <v>6.3020000000000007E-2</v>
      </c>
      <c r="CR295" s="1334">
        <f>CQ295</f>
        <v>6.3020000000000007E-2</v>
      </c>
      <c r="CS295" s="1334">
        <f>CR295</f>
        <v>6.3020000000000007E-2</v>
      </c>
      <c r="CT295" s="1334">
        <f>CS295</f>
        <v>6.3020000000000007E-2</v>
      </c>
      <c r="CU295" s="1333"/>
      <c r="CV295" s="1334">
        <f>CT295</f>
        <v>6.3020000000000007E-2</v>
      </c>
      <c r="CW295" s="1334">
        <f>CV295</f>
        <v>6.3020000000000007E-2</v>
      </c>
      <c r="CX295" s="1334">
        <f>CW295</f>
        <v>6.3020000000000007E-2</v>
      </c>
      <c r="CY295" s="1334">
        <f>CX295</f>
        <v>6.3020000000000007E-2</v>
      </c>
      <c r="CZ295" s="1333"/>
      <c r="DA295" s="1334">
        <f>CY295</f>
        <v>6.3020000000000007E-2</v>
      </c>
      <c r="DB295" s="1334">
        <f>DA295</f>
        <v>6.3020000000000007E-2</v>
      </c>
      <c r="DC295" s="1334">
        <f>DB295</f>
        <v>6.3020000000000007E-2</v>
      </c>
      <c r="DD295" s="1334">
        <f>DC295</f>
        <v>6.3020000000000007E-2</v>
      </c>
      <c r="DE295" s="1333"/>
      <c r="DF295" s="1334">
        <f>DD295</f>
        <v>6.3020000000000007E-2</v>
      </c>
      <c r="DG295" s="1334">
        <f>DF295</f>
        <v>6.3020000000000007E-2</v>
      </c>
      <c r="DH295" s="1334">
        <f>DG295</f>
        <v>6.3020000000000007E-2</v>
      </c>
      <c r="DI295" s="1334">
        <f>DH295</f>
        <v>6.3020000000000007E-2</v>
      </c>
      <c r="DJ295" s="1333"/>
      <c r="DK295" s="1334">
        <f>DI295</f>
        <v>6.3020000000000007E-2</v>
      </c>
      <c r="DL295" s="1334">
        <f>DK295</f>
        <v>6.3020000000000007E-2</v>
      </c>
      <c r="DM295" s="1334">
        <f>DL295</f>
        <v>6.3020000000000007E-2</v>
      </c>
      <c r="DN295" s="1334">
        <f>DM295</f>
        <v>6.3020000000000007E-2</v>
      </c>
      <c r="DO295" s="1333"/>
      <c r="DP295" s="1334">
        <f>DN295</f>
        <v>6.3020000000000007E-2</v>
      </c>
      <c r="DQ295" s="1334">
        <f>DP295</f>
        <v>6.3020000000000007E-2</v>
      </c>
      <c r="DR295" s="1334">
        <f>DQ295</f>
        <v>6.3020000000000007E-2</v>
      </c>
      <c r="DS295" s="1334">
        <f>DR295</f>
        <v>6.3020000000000007E-2</v>
      </c>
      <c r="DT295" s="1333"/>
      <c r="DU295" s="1334">
        <f>DS295</f>
        <v>6.3020000000000007E-2</v>
      </c>
      <c r="DV295" s="1334">
        <f>DU295</f>
        <v>6.3020000000000007E-2</v>
      </c>
      <c r="DW295" s="1334">
        <f>DV295</f>
        <v>6.3020000000000007E-2</v>
      </c>
      <c r="DX295" s="1334">
        <f>DW295</f>
        <v>6.3020000000000007E-2</v>
      </c>
      <c r="DY295" s="1333"/>
    </row>
    <row r="296" spans="1:129" x14ac:dyDescent="0.2">
      <c r="A296" s="1223"/>
      <c r="B296" s="1190" t="s">
        <v>1151</v>
      </c>
      <c r="C296" s="1293"/>
      <c r="D296" s="1293"/>
      <c r="E296" s="1293"/>
      <c r="F296" s="1293"/>
      <c r="G296" s="1293"/>
      <c r="H296" s="1293"/>
      <c r="I296" s="1293"/>
      <c r="J296" s="1293"/>
      <c r="K296" s="1293"/>
      <c r="L296" s="1293"/>
      <c r="M296" s="1293"/>
      <c r="N296" s="1293"/>
      <c r="O296" s="1293"/>
      <c r="P296" s="1293"/>
      <c r="Q296" s="1293"/>
      <c r="R296" s="1293"/>
      <c r="S296" s="1293"/>
      <c r="T296" s="1293"/>
      <c r="U296" s="1293"/>
      <c r="V296" s="1293"/>
      <c r="W296" s="1293"/>
      <c r="X296" s="1227"/>
      <c r="Y296" s="1231"/>
      <c r="Z296" s="1231"/>
      <c r="AA296" s="1231"/>
      <c r="AB296" s="1294"/>
      <c r="AC296" s="1227"/>
      <c r="AD296" s="1231"/>
      <c r="AE296" s="1231"/>
      <c r="AF296" s="1231"/>
      <c r="AG296" s="1294"/>
      <c r="AH296" s="1227"/>
      <c r="AI296" s="1231"/>
      <c r="AJ296" s="1231"/>
      <c r="AK296" s="1231"/>
      <c r="AL296" s="1294"/>
      <c r="AM296" s="1227"/>
      <c r="AN296" s="1231"/>
      <c r="AO296" s="1231"/>
      <c r="AP296" s="1231"/>
      <c r="AQ296" s="1294"/>
      <c r="AR296" s="1227"/>
      <c r="AS296" s="1231"/>
      <c r="AT296" s="1231"/>
      <c r="AU296" s="1231"/>
      <c r="AV296" s="1294"/>
      <c r="AW296" s="1227"/>
      <c r="AX296" s="1231"/>
      <c r="AY296" s="1231"/>
      <c r="AZ296" s="1231"/>
      <c r="BA296" s="1231"/>
      <c r="BB296" s="1227"/>
      <c r="BC296" s="1231"/>
      <c r="BD296" s="1231"/>
      <c r="BE296" s="1231"/>
      <c r="BF296" s="1231"/>
      <c r="BG296" s="1227"/>
      <c r="BH296" s="1231"/>
      <c r="BI296" s="1231"/>
      <c r="BJ296" s="1231"/>
      <c r="BK296" s="1231"/>
      <c r="BL296" s="1326"/>
      <c r="BM296" s="1231"/>
      <c r="BN296" s="1231"/>
      <c r="BO296" s="1231"/>
      <c r="BP296" s="1231"/>
      <c r="BQ296" s="1326"/>
      <c r="BR296" s="1231"/>
      <c r="BS296" s="1231"/>
      <c r="BT296" s="1231"/>
      <c r="BU296" s="1231"/>
      <c r="BV296" s="1326"/>
      <c r="BW296" s="1231"/>
      <c r="BX296" s="1231"/>
      <c r="BY296" s="1231"/>
      <c r="BZ296" s="1231"/>
      <c r="CA296" s="1326"/>
      <c r="CB296" s="1231"/>
      <c r="CC296" s="1231"/>
      <c r="CD296" s="1231"/>
      <c r="CE296" s="1231"/>
      <c r="CF296" s="1326"/>
      <c r="CG296" s="1231"/>
      <c r="CH296" s="1231"/>
      <c r="CI296" s="1231"/>
      <c r="CJ296" s="1231"/>
      <c r="CK296" s="1326"/>
      <c r="CL296" s="1231"/>
      <c r="CM296" s="1231"/>
      <c r="CN296" s="1231"/>
      <c r="CO296" s="1231"/>
      <c r="CP296" s="1326"/>
      <c r="CQ296" s="1231"/>
      <c r="CR296" s="1231"/>
      <c r="CS296" s="1231"/>
      <c r="CT296" s="1231"/>
      <c r="CU296" s="1326"/>
      <c r="CV296" s="1231"/>
      <c r="CW296" s="1231"/>
      <c r="CX296" s="1231"/>
      <c r="CY296" s="1231"/>
      <c r="CZ296" s="1326"/>
      <c r="DA296" s="1231"/>
      <c r="DB296" s="1231"/>
      <c r="DC296" s="1231"/>
      <c r="DD296" s="1231"/>
      <c r="DE296" s="1326"/>
      <c r="DF296" s="1231"/>
      <c r="DG296" s="1231"/>
      <c r="DH296" s="1231"/>
      <c r="DI296" s="1231"/>
      <c r="DJ296" s="1326"/>
      <c r="DK296" s="1231"/>
      <c r="DL296" s="1231"/>
      <c r="DM296" s="1231"/>
      <c r="DN296" s="1231"/>
      <c r="DO296" s="1326"/>
      <c r="DP296" s="1231"/>
      <c r="DQ296" s="1231"/>
      <c r="DR296" s="1231"/>
      <c r="DS296" s="1231"/>
      <c r="DT296" s="1326"/>
      <c r="DU296" s="1231"/>
      <c r="DV296" s="1231"/>
      <c r="DW296" s="1231"/>
      <c r="DX296" s="1231"/>
      <c r="DY296" s="1326"/>
    </row>
    <row r="297" spans="1:129" x14ac:dyDescent="0.2">
      <c r="A297" s="1223"/>
      <c r="B297" s="1190" t="s">
        <v>1152</v>
      </c>
      <c r="C297" s="1231"/>
      <c r="D297" s="1231"/>
      <c r="E297" s="1231"/>
      <c r="F297" s="1231"/>
      <c r="G297" s="1231"/>
      <c r="H297" s="1231"/>
      <c r="I297" s="1231"/>
      <c r="J297" s="1231"/>
      <c r="K297" s="1231"/>
      <c r="L297" s="1231"/>
      <c r="M297" s="1231"/>
      <c r="N297" s="1231"/>
      <c r="O297" s="1231"/>
      <c r="P297" s="1231"/>
      <c r="Q297" s="1231"/>
      <c r="R297" s="1231"/>
      <c r="S297" s="1231"/>
      <c r="T297" s="1231"/>
      <c r="U297" s="1231"/>
      <c r="V297" s="1231"/>
      <c r="W297" s="1231"/>
      <c r="X297" s="1227"/>
      <c r="Y297" s="1231"/>
      <c r="Z297" s="1231"/>
      <c r="AA297" s="1231"/>
      <c r="AB297" s="1231"/>
      <c r="AC297" s="1227"/>
      <c r="AD297" s="1231"/>
      <c r="AE297" s="1231"/>
      <c r="AF297" s="1231"/>
      <c r="AG297" s="1231"/>
      <c r="AH297" s="1227"/>
      <c r="AI297" s="1231"/>
      <c r="AJ297" s="1231"/>
      <c r="AK297" s="1231"/>
      <c r="AL297" s="1231"/>
      <c r="AM297" s="1227"/>
      <c r="AN297" s="1231"/>
      <c r="AO297" s="1231"/>
      <c r="AP297" s="1231"/>
      <c r="AQ297" s="1231"/>
      <c r="AR297" s="1227"/>
      <c r="AS297" s="1231"/>
      <c r="AT297" s="1231"/>
      <c r="AU297" s="1231"/>
      <c r="AV297" s="1231"/>
      <c r="AW297" s="1227"/>
      <c r="AX297" s="1231"/>
      <c r="AY297" s="1231"/>
      <c r="AZ297" s="1231"/>
      <c r="BA297" s="1231"/>
      <c r="BB297" s="1227"/>
      <c r="BC297" s="1231"/>
      <c r="BD297" s="1231"/>
      <c r="BE297" s="1231"/>
      <c r="BF297" s="1231"/>
      <c r="BG297" s="1227"/>
      <c r="BH297" s="1231"/>
      <c r="BI297" s="1231"/>
      <c r="BJ297" s="1231"/>
      <c r="BK297" s="1231"/>
      <c r="BL297" s="1326"/>
      <c r="BM297" s="1231"/>
      <c r="BN297" s="1231"/>
      <c r="BO297" s="1231"/>
      <c r="BP297" s="1231"/>
      <c r="BQ297" s="1326">
        <f>BL299</f>
        <v>1000</v>
      </c>
      <c r="BR297" s="1231"/>
      <c r="BS297" s="1231"/>
      <c r="BT297" s="1231"/>
      <c r="BU297" s="1231"/>
      <c r="BV297" s="1326">
        <f>BQ299</f>
        <v>1000</v>
      </c>
      <c r="BW297" s="1231"/>
      <c r="BX297" s="1231"/>
      <c r="BY297" s="1231"/>
      <c r="BZ297" s="1231"/>
      <c r="CA297" s="1326">
        <f>BV299</f>
        <v>1000</v>
      </c>
      <c r="CB297" s="1223">
        <f>CA299</f>
        <v>1000</v>
      </c>
      <c r="CC297" s="1223">
        <f>+CB299</f>
        <v>1000</v>
      </c>
      <c r="CD297" s="1223">
        <f>+CC299</f>
        <v>1000</v>
      </c>
      <c r="CE297" s="1223">
        <f>+CD299</f>
        <v>1000</v>
      </c>
      <c r="CF297" s="1326">
        <f>CA299</f>
        <v>1000</v>
      </c>
      <c r="CG297" s="1223">
        <f>+CE299</f>
        <v>42</v>
      </c>
      <c r="CH297" s="1223">
        <f>+CG299</f>
        <v>42</v>
      </c>
      <c r="CI297" s="1223">
        <f>+CH299</f>
        <v>42</v>
      </c>
      <c r="CJ297" s="1223">
        <f>+CI299</f>
        <v>42</v>
      </c>
      <c r="CK297" s="1326">
        <f>CF299</f>
        <v>42</v>
      </c>
      <c r="CL297" s="1223">
        <f>+CJ299</f>
        <v>42</v>
      </c>
      <c r="CM297" s="1223">
        <f>+CL299</f>
        <v>42</v>
      </c>
      <c r="CN297" s="1223">
        <f>+CM299</f>
        <v>42</v>
      </c>
      <c r="CO297" s="1223">
        <f>+CN299</f>
        <v>42</v>
      </c>
      <c r="CP297" s="1326">
        <f>CK299</f>
        <v>42</v>
      </c>
      <c r="CQ297" s="1223">
        <f>+CO297</f>
        <v>42</v>
      </c>
      <c r="CR297" s="1223">
        <f>+CQ299</f>
        <v>42</v>
      </c>
      <c r="CS297" s="1223">
        <f>+CR299</f>
        <v>42</v>
      </c>
      <c r="CT297" s="1223">
        <f>+CS299</f>
        <v>42</v>
      </c>
      <c r="CU297" s="1326">
        <f>CP299</f>
        <v>42</v>
      </c>
      <c r="CV297" s="1223">
        <f>+CT297</f>
        <v>42</v>
      </c>
      <c r="CW297" s="1223">
        <f>+CV299</f>
        <v>42</v>
      </c>
      <c r="CX297" s="1223">
        <f>+CW299</f>
        <v>42</v>
      </c>
      <c r="CY297" s="1223">
        <f>+CX299</f>
        <v>42</v>
      </c>
      <c r="CZ297" s="1326">
        <f>CU299</f>
        <v>0</v>
      </c>
      <c r="DA297" s="1223">
        <f>+CY297</f>
        <v>42</v>
      </c>
      <c r="DB297" s="1223">
        <f>+DA299</f>
        <v>42</v>
      </c>
      <c r="DC297" s="1223">
        <f>+DB299</f>
        <v>42</v>
      </c>
      <c r="DD297" s="1223">
        <f>+DC299</f>
        <v>42</v>
      </c>
      <c r="DE297" s="1326">
        <f>CZ299</f>
        <v>0</v>
      </c>
      <c r="DF297" s="1223">
        <f>+DD297</f>
        <v>42</v>
      </c>
      <c r="DG297" s="1223">
        <f>+DF299</f>
        <v>42</v>
      </c>
      <c r="DH297" s="1223">
        <f>+DG299</f>
        <v>42</v>
      </c>
      <c r="DI297" s="1223">
        <f>+DH299</f>
        <v>42</v>
      </c>
      <c r="DJ297" s="1326">
        <f>DE299</f>
        <v>0</v>
      </c>
      <c r="DK297" s="1223">
        <f>+DI297</f>
        <v>42</v>
      </c>
      <c r="DL297" s="1223">
        <f>+DK299</f>
        <v>42</v>
      </c>
      <c r="DM297" s="1223">
        <f>+DL299</f>
        <v>42</v>
      </c>
      <c r="DN297" s="1223">
        <f>+DM299</f>
        <v>42</v>
      </c>
      <c r="DO297" s="1326">
        <f>DJ299</f>
        <v>0</v>
      </c>
      <c r="DP297" s="1223">
        <f>+DN297</f>
        <v>42</v>
      </c>
      <c r="DQ297" s="1223">
        <f>+DP299</f>
        <v>42</v>
      </c>
      <c r="DR297" s="1223">
        <f>+DQ299</f>
        <v>42</v>
      </c>
      <c r="DS297" s="1223">
        <f>+DR299</f>
        <v>42</v>
      </c>
      <c r="DT297" s="1326">
        <f>DO299</f>
        <v>0</v>
      </c>
      <c r="DU297" s="1223">
        <f>+DS297</f>
        <v>42</v>
      </c>
      <c r="DV297" s="1223">
        <f>+DU299</f>
        <v>42</v>
      </c>
      <c r="DW297" s="1223">
        <f>+DV299</f>
        <v>42</v>
      </c>
      <c r="DX297" s="1223">
        <f>+DW299</f>
        <v>42</v>
      </c>
      <c r="DY297" s="1326">
        <f>DT299</f>
        <v>0</v>
      </c>
    </row>
    <row r="298" spans="1:129" x14ac:dyDescent="0.2">
      <c r="A298" s="1295"/>
      <c r="B298" s="1190" t="s">
        <v>1153</v>
      </c>
      <c r="C298" s="1182"/>
      <c r="D298" s="1182"/>
      <c r="E298" s="1182"/>
      <c r="F298" s="1182"/>
      <c r="G298" s="1182"/>
      <c r="H298" s="1182"/>
      <c r="I298" s="1182"/>
      <c r="J298" s="1182"/>
      <c r="K298" s="1182"/>
      <c r="L298" s="1182"/>
      <c r="M298" s="1182"/>
      <c r="N298" s="1182"/>
      <c r="O298" s="1182"/>
      <c r="P298" s="1182"/>
      <c r="Q298" s="1182"/>
      <c r="R298" s="1182"/>
      <c r="S298" s="1182"/>
      <c r="T298" s="1182"/>
      <c r="U298" s="1182"/>
      <c r="V298" s="1182"/>
      <c r="W298" s="1182"/>
      <c r="X298" s="1296"/>
      <c r="Y298" s="1297"/>
      <c r="Z298" s="1297"/>
      <c r="AA298" s="1297"/>
      <c r="AB298" s="1297"/>
      <c r="AC298" s="1296"/>
      <c r="AD298" s="1297"/>
      <c r="AE298" s="1297"/>
      <c r="AF298" s="1297"/>
      <c r="AG298" s="1297"/>
      <c r="AH298" s="1296"/>
      <c r="AI298" s="1297"/>
      <c r="AJ298" s="1297"/>
      <c r="AK298" s="1297"/>
      <c r="AL298" s="1297"/>
      <c r="AM298" s="1296"/>
      <c r="AN298" s="1297"/>
      <c r="AO298" s="1297"/>
      <c r="AP298" s="1297"/>
      <c r="AQ298" s="1297"/>
      <c r="AR298" s="1296"/>
      <c r="AS298" s="1297"/>
      <c r="AT298" s="1297"/>
      <c r="AU298" s="1297"/>
      <c r="AV298" s="1297"/>
      <c r="AW298" s="1296"/>
      <c r="AX298" s="1298"/>
      <c r="AY298" s="1299"/>
      <c r="AZ298" s="1299"/>
      <c r="BA298" s="1298"/>
      <c r="BB298" s="1300"/>
      <c r="BC298" s="1298"/>
      <c r="BD298" s="1298"/>
      <c r="BE298" s="1298"/>
      <c r="BF298" s="1298"/>
      <c r="BG298" s="1296"/>
      <c r="BH298" s="1298"/>
      <c r="BI298" s="1298"/>
      <c r="BJ298" s="1298"/>
      <c r="BK298" s="1298"/>
      <c r="BL298" s="1335"/>
      <c r="BM298" s="1298"/>
      <c r="BN298" s="1298"/>
      <c r="BO298" s="1298"/>
      <c r="BP298" s="1298"/>
      <c r="BQ298" s="1335">
        <f>BQ299-BQ297</f>
        <v>0</v>
      </c>
      <c r="BR298" s="1298"/>
      <c r="BS298" s="1298"/>
      <c r="BT298" s="1298"/>
      <c r="BU298" s="1298"/>
      <c r="BV298" s="1335">
        <f>BV299-BV297</f>
        <v>0</v>
      </c>
      <c r="BW298" s="1298"/>
      <c r="BX298" s="1298"/>
      <c r="BY298" s="1298"/>
      <c r="BZ298" s="1298"/>
      <c r="CA298" s="1335">
        <f>CA299-CA297</f>
        <v>0</v>
      </c>
      <c r="CB298" s="1336">
        <f>CB299-CB297</f>
        <v>0</v>
      </c>
      <c r="CC298" s="1336">
        <f>CC299-CC297</f>
        <v>0</v>
      </c>
      <c r="CD298" s="1298">
        <v>0</v>
      </c>
      <c r="CE298" s="1298">
        <v>-958</v>
      </c>
      <c r="CF298" s="1335">
        <f>+SUM(CB298:CE298)</f>
        <v>-958</v>
      </c>
      <c r="CG298" s="1298">
        <v>0</v>
      </c>
      <c r="CH298" s="1298">
        <v>0</v>
      </c>
      <c r="CI298" s="1298">
        <v>0</v>
      </c>
      <c r="CJ298" s="1298">
        <v>0</v>
      </c>
      <c r="CK298" s="1335">
        <f>+SUM(CG298:CJ298)</f>
        <v>0</v>
      </c>
      <c r="CL298" s="1298">
        <v>0</v>
      </c>
      <c r="CM298" s="1298">
        <v>0</v>
      </c>
      <c r="CN298" s="1298">
        <v>0</v>
      </c>
      <c r="CO298" s="1298">
        <v>0</v>
      </c>
      <c r="CP298" s="1335">
        <f>+SUM(CL298:CO298)</f>
        <v>0</v>
      </c>
      <c r="CQ298" s="1298">
        <v>0</v>
      </c>
      <c r="CR298" s="1298">
        <v>0</v>
      </c>
      <c r="CS298" s="1298">
        <v>0</v>
      </c>
      <c r="CT298" s="1298">
        <v>-42</v>
      </c>
      <c r="CU298" s="1335">
        <f>+SUM(CQ298:CT298)</f>
        <v>-42</v>
      </c>
      <c r="CV298" s="1298">
        <v>0</v>
      </c>
      <c r="CW298" s="1298">
        <v>0</v>
      </c>
      <c r="CX298" s="1298">
        <v>0</v>
      </c>
      <c r="CY298" s="1298">
        <v>0</v>
      </c>
      <c r="CZ298" s="1335">
        <f>+SUM(CV298:CY298)</f>
        <v>0</v>
      </c>
      <c r="DA298" s="1298">
        <v>0</v>
      </c>
      <c r="DB298" s="1298">
        <v>0</v>
      </c>
      <c r="DC298" s="1298">
        <v>0</v>
      </c>
      <c r="DD298" s="1298">
        <v>0</v>
      </c>
      <c r="DE298" s="1335">
        <f>+SUM(DA298:DD298)</f>
        <v>0</v>
      </c>
      <c r="DF298" s="1298">
        <v>0</v>
      </c>
      <c r="DG298" s="1298">
        <v>0</v>
      </c>
      <c r="DH298" s="1298">
        <v>0</v>
      </c>
      <c r="DI298" s="1298">
        <v>0</v>
      </c>
      <c r="DJ298" s="1335">
        <f>+SUM(DF298:DI298)</f>
        <v>0</v>
      </c>
      <c r="DK298" s="1298">
        <v>0</v>
      </c>
      <c r="DL298" s="1298">
        <v>0</v>
      </c>
      <c r="DM298" s="1298">
        <v>0</v>
      </c>
      <c r="DN298" s="1298">
        <v>0</v>
      </c>
      <c r="DO298" s="1335">
        <f>+SUM(DK298:DN298)</f>
        <v>0</v>
      </c>
      <c r="DP298" s="1298">
        <v>0</v>
      </c>
      <c r="DQ298" s="1298">
        <v>0</v>
      </c>
      <c r="DR298" s="1298">
        <v>0</v>
      </c>
      <c r="DS298" s="1298">
        <v>0</v>
      </c>
      <c r="DT298" s="1335">
        <f>+SUM(DP298:DS298)</f>
        <v>0</v>
      </c>
      <c r="DU298" s="1298">
        <v>0</v>
      </c>
      <c r="DV298" s="1298">
        <v>0</v>
      </c>
      <c r="DW298" s="1298">
        <v>0</v>
      </c>
      <c r="DX298" s="1298">
        <v>0</v>
      </c>
      <c r="DY298" s="1335">
        <f>+SUM(DU298:DX298)</f>
        <v>0</v>
      </c>
    </row>
    <row r="299" spans="1:129" x14ac:dyDescent="0.2">
      <c r="A299" s="1295"/>
      <c r="B299" s="1190" t="s">
        <v>1154</v>
      </c>
      <c r="C299" s="1182"/>
      <c r="D299" s="1182"/>
      <c r="E299" s="1182"/>
      <c r="F299" s="1182"/>
      <c r="G299" s="1182"/>
      <c r="H299" s="1182"/>
      <c r="I299" s="1182"/>
      <c r="J299" s="1182"/>
      <c r="K299" s="1182"/>
      <c r="L299" s="1182"/>
      <c r="M299" s="1182"/>
      <c r="N299" s="1182"/>
      <c r="O299" s="1182"/>
      <c r="P299" s="1182"/>
      <c r="Q299" s="1182"/>
      <c r="R299" s="1182"/>
      <c r="S299" s="1182"/>
      <c r="T299" s="1182"/>
      <c r="U299" s="1182"/>
      <c r="V299" s="1182"/>
      <c r="W299" s="1182"/>
      <c r="X299" s="1304"/>
      <c r="Y299" s="1305"/>
      <c r="Z299" s="1305"/>
      <c r="AA299" s="1305"/>
      <c r="AB299" s="1305"/>
      <c r="AC299" s="1304"/>
      <c r="AD299" s="1305"/>
      <c r="AE299" s="1305"/>
      <c r="AF299" s="1305"/>
      <c r="AG299" s="1305"/>
      <c r="AH299" s="1304"/>
      <c r="AI299" s="1305"/>
      <c r="AJ299" s="1305"/>
      <c r="AK299" s="1305"/>
      <c r="AL299" s="1305"/>
      <c r="AM299" s="1304"/>
      <c r="AN299" s="1305"/>
      <c r="AO299" s="1305"/>
      <c r="AP299" s="1305"/>
      <c r="AQ299" s="1305"/>
      <c r="AR299" s="1304"/>
      <c r="AS299" s="1305"/>
      <c r="AT299" s="1305"/>
      <c r="AU299" s="1305"/>
      <c r="AV299" s="1305"/>
      <c r="AW299" s="1304"/>
      <c r="AX299" s="1305"/>
      <c r="AY299" s="1305"/>
      <c r="AZ299" s="1305"/>
      <c r="BA299" s="1305"/>
      <c r="BB299" s="1304"/>
      <c r="BC299" s="1305"/>
      <c r="BD299" s="1305"/>
      <c r="BE299" s="1305"/>
      <c r="BF299" s="1305"/>
      <c r="BG299" s="1306"/>
      <c r="BH299" s="1305"/>
      <c r="BI299" s="1305"/>
      <c r="BJ299" s="1305"/>
      <c r="BK299" s="1305"/>
      <c r="BL299" s="1337">
        <v>1000</v>
      </c>
      <c r="BM299" s="1305"/>
      <c r="BN299" s="1305"/>
      <c r="BO299" s="1305"/>
      <c r="BP299" s="1305"/>
      <c r="BQ299" s="1337">
        <v>1000</v>
      </c>
      <c r="BR299" s="1305"/>
      <c r="BS299" s="1305"/>
      <c r="BT299" s="1305"/>
      <c r="BU299" s="1305"/>
      <c r="BV299" s="1337">
        <v>1000</v>
      </c>
      <c r="BW299" s="1305"/>
      <c r="BX299" s="1305"/>
      <c r="BY299" s="1305"/>
      <c r="BZ299" s="1305"/>
      <c r="CA299" s="1337">
        <v>1000</v>
      </c>
      <c r="CB299" s="1295">
        <f>CA299</f>
        <v>1000</v>
      </c>
      <c r="CC299" s="1226">
        <f>CB299</f>
        <v>1000</v>
      </c>
      <c r="CD299" s="1295">
        <f t="shared" ref="CD299:CZ299" si="201">CD297+CD298</f>
        <v>1000</v>
      </c>
      <c r="CE299" s="1295">
        <f t="shared" si="201"/>
        <v>42</v>
      </c>
      <c r="CF299" s="1325">
        <f t="shared" si="201"/>
        <v>42</v>
      </c>
      <c r="CG299" s="1295">
        <f t="shared" si="201"/>
        <v>42</v>
      </c>
      <c r="CH299" s="1295">
        <f t="shared" si="201"/>
        <v>42</v>
      </c>
      <c r="CI299" s="1295">
        <f t="shared" si="201"/>
        <v>42</v>
      </c>
      <c r="CJ299" s="1295">
        <f t="shared" si="201"/>
        <v>42</v>
      </c>
      <c r="CK299" s="1325">
        <f t="shared" si="201"/>
        <v>42</v>
      </c>
      <c r="CL299" s="1295">
        <f t="shared" si="201"/>
        <v>42</v>
      </c>
      <c r="CM299" s="1295">
        <f t="shared" si="201"/>
        <v>42</v>
      </c>
      <c r="CN299" s="1295">
        <f t="shared" si="201"/>
        <v>42</v>
      </c>
      <c r="CO299" s="1295">
        <f t="shared" si="201"/>
        <v>42</v>
      </c>
      <c r="CP299" s="1325">
        <f t="shared" si="201"/>
        <v>42</v>
      </c>
      <c r="CQ299" s="1295">
        <f t="shared" si="201"/>
        <v>42</v>
      </c>
      <c r="CR299" s="1295">
        <f t="shared" si="201"/>
        <v>42</v>
      </c>
      <c r="CS299" s="1295">
        <f t="shared" si="201"/>
        <v>42</v>
      </c>
      <c r="CT299" s="1295">
        <f t="shared" si="201"/>
        <v>0</v>
      </c>
      <c r="CU299" s="1325">
        <f t="shared" si="201"/>
        <v>0</v>
      </c>
      <c r="CV299" s="1295">
        <f t="shared" si="201"/>
        <v>42</v>
      </c>
      <c r="CW299" s="1295">
        <f t="shared" si="201"/>
        <v>42</v>
      </c>
      <c r="CX299" s="1295">
        <f t="shared" si="201"/>
        <v>42</v>
      </c>
      <c r="CY299" s="1295">
        <f t="shared" si="201"/>
        <v>42</v>
      </c>
      <c r="CZ299" s="1325">
        <f t="shared" si="201"/>
        <v>0</v>
      </c>
      <c r="DA299" s="1295">
        <f t="shared" ref="DA299:DJ299" si="202">DA297+DA298</f>
        <v>42</v>
      </c>
      <c r="DB299" s="1295">
        <f t="shared" si="202"/>
        <v>42</v>
      </c>
      <c r="DC299" s="1295">
        <f t="shared" si="202"/>
        <v>42</v>
      </c>
      <c r="DD299" s="1295">
        <f t="shared" si="202"/>
        <v>42</v>
      </c>
      <c r="DE299" s="1325">
        <f t="shared" si="202"/>
        <v>0</v>
      </c>
      <c r="DF299" s="1295">
        <f t="shared" si="202"/>
        <v>42</v>
      </c>
      <c r="DG299" s="1295">
        <f t="shared" si="202"/>
        <v>42</v>
      </c>
      <c r="DH299" s="1295">
        <f t="shared" si="202"/>
        <v>42</v>
      </c>
      <c r="DI299" s="1295">
        <f t="shared" si="202"/>
        <v>42</v>
      </c>
      <c r="DJ299" s="1325">
        <f t="shared" si="202"/>
        <v>0</v>
      </c>
      <c r="DK299" s="1295">
        <f t="shared" ref="DK299:DT299" si="203">DK297+DK298</f>
        <v>42</v>
      </c>
      <c r="DL299" s="1295">
        <f t="shared" si="203"/>
        <v>42</v>
      </c>
      <c r="DM299" s="1295">
        <f t="shared" si="203"/>
        <v>42</v>
      </c>
      <c r="DN299" s="1295">
        <f t="shared" si="203"/>
        <v>42</v>
      </c>
      <c r="DO299" s="1325">
        <f t="shared" si="203"/>
        <v>0</v>
      </c>
      <c r="DP299" s="1295">
        <f t="shared" si="203"/>
        <v>42</v>
      </c>
      <c r="DQ299" s="1295">
        <f t="shared" si="203"/>
        <v>42</v>
      </c>
      <c r="DR299" s="1295">
        <f t="shared" si="203"/>
        <v>42</v>
      </c>
      <c r="DS299" s="1295">
        <f t="shared" si="203"/>
        <v>42</v>
      </c>
      <c r="DT299" s="1325">
        <f t="shared" si="203"/>
        <v>0</v>
      </c>
      <c r="DU299" s="1295">
        <f t="shared" ref="DU299:DY299" si="204">DU297+DU298</f>
        <v>42</v>
      </c>
      <c r="DV299" s="1295">
        <f t="shared" si="204"/>
        <v>42</v>
      </c>
      <c r="DW299" s="1295">
        <f t="shared" si="204"/>
        <v>42</v>
      </c>
      <c r="DX299" s="1295">
        <f t="shared" si="204"/>
        <v>42</v>
      </c>
      <c r="DY299" s="1325">
        <f t="shared" si="204"/>
        <v>0</v>
      </c>
    </row>
    <row r="300" spans="1:129" x14ac:dyDescent="0.2">
      <c r="A300" s="1223"/>
      <c r="B300" s="1190" t="s">
        <v>1155</v>
      </c>
      <c r="C300" s="1182"/>
      <c r="D300" s="1182"/>
      <c r="E300" s="1182"/>
      <c r="F300" s="1182"/>
      <c r="G300" s="1182"/>
      <c r="H300" s="1182"/>
      <c r="I300" s="1182"/>
      <c r="J300" s="1182"/>
      <c r="K300" s="1182"/>
      <c r="L300" s="1182"/>
      <c r="M300" s="1182"/>
      <c r="N300" s="1182"/>
      <c r="O300" s="1182"/>
      <c r="P300" s="1182"/>
      <c r="Q300" s="1182"/>
      <c r="R300" s="1182"/>
      <c r="S300" s="1182"/>
      <c r="T300" s="1182"/>
      <c r="U300" s="1182"/>
      <c r="V300" s="1182"/>
      <c r="W300" s="1182"/>
      <c r="X300" s="1227"/>
      <c r="Y300" s="1231"/>
      <c r="Z300" s="1231"/>
      <c r="AA300" s="1231"/>
      <c r="AB300" s="1231"/>
      <c r="AC300" s="1227"/>
      <c r="AD300" s="1231"/>
      <c r="AE300" s="1231"/>
      <c r="AF300" s="1231"/>
      <c r="AG300" s="1231"/>
      <c r="AH300" s="1227"/>
      <c r="AI300" s="1231"/>
      <c r="AJ300" s="1231"/>
      <c r="AK300" s="1231"/>
      <c r="AL300" s="1231"/>
      <c r="AM300" s="1227"/>
      <c r="AN300" s="1231"/>
      <c r="AO300" s="1231"/>
      <c r="AP300" s="1231"/>
      <c r="AQ300" s="1231"/>
      <c r="AR300" s="1227"/>
      <c r="AS300" s="1231"/>
      <c r="AT300" s="1231"/>
      <c r="AU300" s="1231"/>
      <c r="AV300" s="1231"/>
      <c r="AW300" s="1227"/>
      <c r="AX300" s="1231"/>
      <c r="AY300" s="1231"/>
      <c r="AZ300" s="1231"/>
      <c r="BA300" s="1231"/>
      <c r="BB300" s="1227"/>
      <c r="BC300" s="1231"/>
      <c r="BD300" s="1231"/>
      <c r="BE300" s="1231"/>
      <c r="BF300" s="1231"/>
      <c r="BG300" s="1227"/>
      <c r="BH300" s="1231"/>
      <c r="BI300" s="1231"/>
      <c r="BJ300" s="1231"/>
      <c r="BK300" s="1231"/>
      <c r="BL300" s="1326"/>
      <c r="BM300" s="1231"/>
      <c r="BN300" s="1231"/>
      <c r="BO300" s="1231"/>
      <c r="BP300" s="1231"/>
      <c r="BQ300" s="1326"/>
      <c r="BR300" s="1231"/>
      <c r="BS300" s="1231"/>
      <c r="BT300" s="1231"/>
      <c r="BU300" s="1231"/>
      <c r="BV300" s="1326"/>
      <c r="BW300" s="1231"/>
      <c r="BX300" s="1231"/>
      <c r="BY300" s="1231"/>
      <c r="BZ300" s="1231"/>
      <c r="CA300" s="1326"/>
      <c r="CB300" s="1231"/>
      <c r="CC300" s="1231"/>
      <c r="CD300" s="1231"/>
      <c r="CE300" s="1231"/>
      <c r="CF300" s="1326"/>
      <c r="CG300" s="1231"/>
      <c r="CH300" s="1231"/>
      <c r="CI300" s="1231"/>
      <c r="CJ300" s="1231"/>
      <c r="CK300" s="1326"/>
      <c r="CL300" s="1231"/>
      <c r="CM300" s="1231"/>
      <c r="CN300" s="1231"/>
      <c r="CO300" s="1231"/>
      <c r="CP300" s="1326"/>
      <c r="CQ300" s="1231"/>
      <c r="CR300" s="1231"/>
      <c r="CS300" s="1231"/>
      <c r="CT300" s="1231"/>
      <c r="CU300" s="1326"/>
      <c r="CV300" s="1231"/>
      <c r="CW300" s="1231"/>
      <c r="CX300" s="1231"/>
      <c r="CY300" s="1231"/>
      <c r="CZ300" s="1326"/>
      <c r="DA300" s="1231"/>
      <c r="DB300" s="1231"/>
      <c r="DC300" s="1231"/>
      <c r="DD300" s="1231"/>
      <c r="DE300" s="1326"/>
      <c r="DF300" s="1231"/>
      <c r="DG300" s="1231"/>
      <c r="DH300" s="1231"/>
      <c r="DI300" s="1231"/>
      <c r="DJ300" s="1326"/>
      <c r="DK300" s="1231"/>
      <c r="DL300" s="1231"/>
      <c r="DM300" s="1231"/>
      <c r="DN300" s="1231"/>
      <c r="DO300" s="1326"/>
      <c r="DP300" s="1231"/>
      <c r="DQ300" s="1231"/>
      <c r="DR300" s="1231"/>
      <c r="DS300" s="1231"/>
      <c r="DT300" s="1326"/>
      <c r="DU300" s="1231"/>
      <c r="DV300" s="1231"/>
      <c r="DW300" s="1231"/>
      <c r="DX300" s="1231"/>
      <c r="DY300" s="1326"/>
    </row>
    <row r="301" spans="1:129" x14ac:dyDescent="0.2">
      <c r="A301" s="1223"/>
      <c r="B301" s="1190" t="s">
        <v>1156</v>
      </c>
      <c r="C301" s="1182"/>
      <c r="D301" s="1182"/>
      <c r="E301" s="1182"/>
      <c r="F301" s="1182"/>
      <c r="G301" s="1182"/>
      <c r="H301" s="1182"/>
      <c r="I301" s="1182"/>
      <c r="J301" s="1182"/>
      <c r="K301" s="1182"/>
      <c r="L301" s="1182"/>
      <c r="M301" s="1182"/>
      <c r="N301" s="1182"/>
      <c r="O301" s="1182"/>
      <c r="P301" s="1182"/>
      <c r="Q301" s="1182"/>
      <c r="R301" s="1182"/>
      <c r="S301" s="1182"/>
      <c r="T301" s="1182"/>
      <c r="U301" s="1182"/>
      <c r="V301" s="1182"/>
      <c r="W301" s="1182"/>
      <c r="X301" s="1227"/>
      <c r="Y301" s="1231"/>
      <c r="Z301" s="1231"/>
      <c r="AA301" s="1231"/>
      <c r="AB301" s="1231"/>
      <c r="AC301" s="1227"/>
      <c r="AD301" s="1231"/>
      <c r="AE301" s="1231"/>
      <c r="AF301" s="1231"/>
      <c r="AG301" s="1231"/>
      <c r="AH301" s="1227"/>
      <c r="AI301" s="1231"/>
      <c r="AJ301" s="1231"/>
      <c r="AK301" s="1231"/>
      <c r="AL301" s="1231"/>
      <c r="AM301" s="1227"/>
      <c r="AN301" s="1231"/>
      <c r="AO301" s="1231"/>
      <c r="AP301" s="1231"/>
      <c r="AQ301" s="1231"/>
      <c r="AR301" s="1227"/>
      <c r="AS301" s="1231"/>
      <c r="AT301" s="1231"/>
      <c r="AU301" s="1231"/>
      <c r="AV301" s="1231"/>
      <c r="AW301" s="1227"/>
      <c r="AX301" s="1231"/>
      <c r="AY301" s="1231"/>
      <c r="AZ301" s="1231"/>
      <c r="BA301" s="1231"/>
      <c r="BB301" s="1227"/>
      <c r="BC301" s="1231"/>
      <c r="BD301" s="1231"/>
      <c r="BE301" s="1231"/>
      <c r="BF301" s="1231"/>
      <c r="BG301" s="1227"/>
      <c r="BH301" s="1231"/>
      <c r="BI301" s="1231"/>
      <c r="BJ301" s="1231"/>
      <c r="BK301" s="1231"/>
      <c r="BL301" s="1326">
        <f>-(AVERAGE(BL297,BL299))*(BL295)</f>
        <v>-63.02</v>
      </c>
      <c r="BM301" s="1231"/>
      <c r="BN301" s="1231"/>
      <c r="BO301" s="1231"/>
      <c r="BP301" s="1231"/>
      <c r="BQ301" s="1326">
        <f>-(AVERAGE(BQ297,BQ299))*(BQ295)</f>
        <v>-63.02</v>
      </c>
      <c r="BR301" s="1231"/>
      <c r="BS301" s="1231"/>
      <c r="BT301" s="1231"/>
      <c r="BU301" s="1231"/>
      <c r="BV301" s="1326">
        <f>-(AVERAGE(BV297,BV299))*(BV295)</f>
        <v>-63.02</v>
      </c>
      <c r="BW301" s="1231"/>
      <c r="BX301" s="1231"/>
      <c r="BY301" s="1231"/>
      <c r="BZ301" s="1231"/>
      <c r="CA301" s="1326">
        <f>-(AVERAGE(CA297,CA299))*(CA295)</f>
        <v>-63.02</v>
      </c>
      <c r="CB301" s="1223">
        <f>-(AVERAGE(CB299,CB297))*(CB295/4)</f>
        <v>-15.755000000000001</v>
      </c>
      <c r="CC301" s="1223">
        <f>-(AVERAGE(CC299,CC297))*(CC295/4)</f>
        <v>-15.755000000000001</v>
      </c>
      <c r="CD301" s="1223">
        <f>-(AVERAGE(CD299,CD297))*(CD295/4)</f>
        <v>-15.755000000000001</v>
      </c>
      <c r="CE301" s="1223">
        <f>-(AVERAGE(CE299,CE297))*(CE295/4)</f>
        <v>-8.208355000000001</v>
      </c>
      <c r="CF301" s="1326">
        <f>SUM(CB301:CE301)</f>
        <v>-55.473354999999998</v>
      </c>
      <c r="CG301" s="1223">
        <f>-(AVERAGE(CG299,CG297))*(CG295/4)</f>
        <v>-0.66171000000000002</v>
      </c>
      <c r="CH301" s="1223">
        <f>-(AVERAGE(CH299,CH297))*(CH295/4)</f>
        <v>-0.66171000000000002</v>
      </c>
      <c r="CI301" s="1223">
        <f>-(AVERAGE(CI299,CI297))*(CI295/4)</f>
        <v>-0.66171000000000002</v>
      </c>
      <c r="CJ301" s="1223">
        <f>-(AVERAGE(CJ299,CJ297))*(CJ295/4)</f>
        <v>-0.66171000000000002</v>
      </c>
      <c r="CK301" s="1326">
        <f>SUM(CG301:CJ301)</f>
        <v>-2.6468400000000001</v>
      </c>
      <c r="CL301" s="1223">
        <f>-(AVERAGE(CL299,CL297))*(CL295/4)</f>
        <v>-0.66171000000000002</v>
      </c>
      <c r="CM301" s="1223">
        <f>-(AVERAGE(CM299,CM297))*(CM295/4)</f>
        <v>-0.66171000000000002</v>
      </c>
      <c r="CN301" s="1223">
        <f>-(AVERAGE(CN299,CN297))*(CN295/4)</f>
        <v>-0.66171000000000002</v>
      </c>
      <c r="CO301" s="1223">
        <f>-(AVERAGE(CO299,CO297))*(CO295/4)</f>
        <v>-0.66171000000000002</v>
      </c>
      <c r="CP301" s="1326">
        <f>SUM(CL301:CO301)</f>
        <v>-2.6468400000000001</v>
      </c>
      <c r="CQ301" s="1223">
        <f>-(AVERAGE(CQ299,CQ297))*(CQ295/4)</f>
        <v>-0.66171000000000002</v>
      </c>
      <c r="CR301" s="1223">
        <f>-(AVERAGE(CR299,CR297))*(CR295/4)</f>
        <v>-0.66171000000000002</v>
      </c>
      <c r="CS301" s="1223">
        <f>-(AVERAGE(CS299,CS297))*(CS295/4)</f>
        <v>-0.66171000000000002</v>
      </c>
      <c r="CT301" s="1223">
        <f>-(AVERAGE(CT299,CT297))*(CT295/4)</f>
        <v>-0.33085500000000001</v>
      </c>
      <c r="CU301" s="1326">
        <f>SUM(CQ301:CT301)</f>
        <v>-2.315985</v>
      </c>
      <c r="CV301" s="1223">
        <f>-(AVERAGE(CV299,CV297))*(CV295/4)</f>
        <v>-0.66171000000000002</v>
      </c>
      <c r="CW301" s="1223">
        <f>-(AVERAGE(CW299,CW297))*(CW295/4)</f>
        <v>-0.66171000000000002</v>
      </c>
      <c r="CX301" s="1223">
        <f>-(AVERAGE(CX299,CX297))*(CX295/4)</f>
        <v>-0.66171000000000002</v>
      </c>
      <c r="CY301" s="1223">
        <f>-(AVERAGE(CY299,CY297))*(CY295/4)</f>
        <v>-0.66171000000000002</v>
      </c>
      <c r="CZ301" s="1326">
        <f>SUM(CV301:CY301)</f>
        <v>-2.6468400000000001</v>
      </c>
      <c r="DA301" s="1223">
        <f>-(AVERAGE(DA299,DA297))*(DA295/4)</f>
        <v>-0.66171000000000002</v>
      </c>
      <c r="DB301" s="1223">
        <f>-(AVERAGE(DB299,DB297))*(DB295/4)</f>
        <v>-0.66171000000000002</v>
      </c>
      <c r="DC301" s="1223">
        <f>-(AVERAGE(DC299,DC297))*(DC295/4)</f>
        <v>-0.66171000000000002</v>
      </c>
      <c r="DD301" s="1223">
        <f>-(AVERAGE(DD299,DD297))*(DD295/4)</f>
        <v>-0.66171000000000002</v>
      </c>
      <c r="DE301" s="1326">
        <f>SUM(DA301:DD301)</f>
        <v>-2.6468400000000001</v>
      </c>
      <c r="DF301" s="1223">
        <f>-(AVERAGE(DF299,DF297))*(DF295/4)</f>
        <v>-0.66171000000000002</v>
      </c>
      <c r="DG301" s="1223">
        <f>-(AVERAGE(DG299,DG297))*(DG295/4)</f>
        <v>-0.66171000000000002</v>
      </c>
      <c r="DH301" s="1223">
        <f>-(AVERAGE(DH299,DH297))*(DH295/4)</f>
        <v>-0.66171000000000002</v>
      </c>
      <c r="DI301" s="1223">
        <f>-(AVERAGE(DI299,DI297))*(DI295/4)</f>
        <v>-0.66171000000000002</v>
      </c>
      <c r="DJ301" s="1326">
        <f>SUM(DF301:DI301)</f>
        <v>-2.6468400000000001</v>
      </c>
      <c r="DK301" s="1223">
        <f>-(AVERAGE(DK299,DK297))*(DK295/4)</f>
        <v>-0.66171000000000002</v>
      </c>
      <c r="DL301" s="1223">
        <f>-(AVERAGE(DL299,DL297))*(DL295/4)</f>
        <v>-0.66171000000000002</v>
      </c>
      <c r="DM301" s="1223">
        <f>-(AVERAGE(DM299,DM297))*(DM295/4)</f>
        <v>-0.66171000000000002</v>
      </c>
      <c r="DN301" s="1223">
        <f>-(AVERAGE(DN299,DN297))*(DN295/4)</f>
        <v>-0.66171000000000002</v>
      </c>
      <c r="DO301" s="1326">
        <f>SUM(DK301:DN301)</f>
        <v>-2.6468400000000001</v>
      </c>
      <c r="DP301" s="1223">
        <f>-(AVERAGE(DP299,DP297))*(DP295/4)</f>
        <v>-0.66171000000000002</v>
      </c>
      <c r="DQ301" s="1223">
        <f>-(AVERAGE(DQ299,DQ297))*(DQ295/4)</f>
        <v>-0.66171000000000002</v>
      </c>
      <c r="DR301" s="1223">
        <f>-(AVERAGE(DR299,DR297))*(DR295/4)</f>
        <v>-0.66171000000000002</v>
      </c>
      <c r="DS301" s="1223">
        <f>-(AVERAGE(DS299,DS297))*(DS295/4)</f>
        <v>-0.66171000000000002</v>
      </c>
      <c r="DT301" s="1326">
        <f>SUM(DP301:DS301)</f>
        <v>-2.6468400000000001</v>
      </c>
      <c r="DU301" s="1223">
        <f>-(AVERAGE(DU299,DU297))*(DU295/4)</f>
        <v>-0.66171000000000002</v>
      </c>
      <c r="DV301" s="1223">
        <f>-(AVERAGE(DV299,DV297))*(DV295/4)</f>
        <v>-0.66171000000000002</v>
      </c>
      <c r="DW301" s="1223">
        <f>-(AVERAGE(DW299,DW297))*(DW295/4)</f>
        <v>-0.66171000000000002</v>
      </c>
      <c r="DX301" s="1223">
        <f>-(AVERAGE(DX299,DX297))*(DX295/4)</f>
        <v>-0.66171000000000002</v>
      </c>
      <c r="DY301" s="1326">
        <f>SUM(DU301:DX301)</f>
        <v>-2.6468400000000001</v>
      </c>
    </row>
    <row r="302" spans="1:129" ht="12" thickBot="1" x14ac:dyDescent="0.25">
      <c r="A302" s="1223"/>
      <c r="B302" s="1250" t="s">
        <v>1157</v>
      </c>
      <c r="C302" s="1251"/>
      <c r="D302" s="1251"/>
      <c r="E302" s="1251"/>
      <c r="F302" s="1251"/>
      <c r="G302" s="1251"/>
      <c r="H302" s="1251"/>
      <c r="I302" s="1251"/>
      <c r="J302" s="1251"/>
      <c r="K302" s="1251"/>
      <c r="L302" s="1251"/>
      <c r="M302" s="1251"/>
      <c r="N302" s="1251"/>
      <c r="O302" s="1251"/>
      <c r="P302" s="1251"/>
      <c r="Q302" s="1251"/>
      <c r="R302" s="1251"/>
      <c r="S302" s="1251"/>
      <c r="T302" s="1251"/>
      <c r="U302" s="1251"/>
      <c r="V302" s="1251"/>
      <c r="W302" s="1251"/>
      <c r="X302" s="1252"/>
      <c r="Y302" s="1251"/>
      <c r="Z302" s="1251"/>
      <c r="AA302" s="1251"/>
      <c r="AB302" s="1251"/>
      <c r="AC302" s="1252"/>
      <c r="AD302" s="1251"/>
      <c r="AE302" s="1251"/>
      <c r="AF302" s="1251"/>
      <c r="AG302" s="1251"/>
      <c r="AH302" s="1252"/>
      <c r="AI302" s="1251"/>
      <c r="AJ302" s="1251"/>
      <c r="AK302" s="1251"/>
      <c r="AL302" s="1251"/>
      <c r="AM302" s="1252"/>
      <c r="AN302" s="1251"/>
      <c r="AO302" s="1251"/>
      <c r="AP302" s="1251"/>
      <c r="AQ302" s="1253"/>
      <c r="AR302" s="1252"/>
      <c r="AS302" s="1253"/>
      <c r="AT302" s="1253"/>
      <c r="AU302" s="1253"/>
      <c r="AV302" s="1253"/>
      <c r="AW302" s="1252"/>
      <c r="AX302" s="1253"/>
      <c r="AY302" s="1253"/>
      <c r="AZ302" s="1253"/>
      <c r="BA302" s="1253"/>
      <c r="BB302" s="1252"/>
      <c r="BC302" s="1253"/>
      <c r="BD302" s="1253"/>
      <c r="BE302" s="1253"/>
      <c r="BF302" s="1253"/>
      <c r="BG302" s="1252"/>
      <c r="BH302" s="1253"/>
      <c r="BI302" s="1253"/>
      <c r="BJ302" s="1253"/>
      <c r="BK302" s="1253"/>
      <c r="BL302" s="1327"/>
      <c r="BM302" s="1253"/>
      <c r="BN302" s="1253"/>
      <c r="BO302" s="1253"/>
      <c r="BP302" s="1253"/>
      <c r="BQ302" s="1327"/>
      <c r="BR302" s="1253"/>
      <c r="BS302" s="1253"/>
      <c r="BT302" s="1253"/>
      <c r="BU302" s="1253"/>
      <c r="BV302" s="1327"/>
      <c r="BW302" s="1253"/>
      <c r="BX302" s="1253"/>
      <c r="BY302" s="1253"/>
      <c r="BZ302" s="1253"/>
      <c r="CA302" s="1327"/>
      <c r="CB302" s="1253">
        <f>-CB294*CB300/4</f>
        <v>0</v>
      </c>
      <c r="CC302" s="1253">
        <f>-CC294*CC300/4</f>
        <v>0</v>
      </c>
      <c r="CD302" s="1253">
        <f>-CD294*CD300/4</f>
        <v>0</v>
      </c>
      <c r="CE302" s="1253">
        <f>-CE294*CE300/4</f>
        <v>0</v>
      </c>
      <c r="CF302" s="1327"/>
      <c r="CG302" s="1253">
        <f>-CG294*CG300/4</f>
        <v>0</v>
      </c>
      <c r="CH302" s="1253">
        <f>-CH294*CH300/4</f>
        <v>0</v>
      </c>
      <c r="CI302" s="1253">
        <f>-CI294*CI300/4</f>
        <v>0</v>
      </c>
      <c r="CJ302" s="1253">
        <f>-CJ294*CJ300/4</f>
        <v>0</v>
      </c>
      <c r="CK302" s="1327"/>
      <c r="CL302" s="1253">
        <f>-CL294*CL300/4</f>
        <v>0</v>
      </c>
      <c r="CM302" s="1253">
        <f>-CM294*CM300/4</f>
        <v>0</v>
      </c>
      <c r="CN302" s="1253">
        <f>-CN294*CN300/4</f>
        <v>0</v>
      </c>
      <c r="CO302" s="1253">
        <f>-CO294*CO300/4</f>
        <v>0</v>
      </c>
      <c r="CP302" s="1327"/>
      <c r="CQ302" s="1253">
        <f>-CQ294*CQ300/4</f>
        <v>0</v>
      </c>
      <c r="CR302" s="1253">
        <f>-CR294*CR300/4</f>
        <v>0</v>
      </c>
      <c r="CS302" s="1253">
        <f>-CS294*CS300/4</f>
        <v>0</v>
      </c>
      <c r="CT302" s="1253">
        <f>-CT294*CT300/4</f>
        <v>0</v>
      </c>
      <c r="CU302" s="1327"/>
      <c r="CV302" s="1253">
        <f>-CV294*CV300/4</f>
        <v>0</v>
      </c>
      <c r="CW302" s="1253">
        <f>-CW294*CW300/4</f>
        <v>0</v>
      </c>
      <c r="CX302" s="1253">
        <f>-CX294*CX300/4</f>
        <v>0</v>
      </c>
      <c r="CY302" s="1253">
        <f>-CY294*CY300/4</f>
        <v>0</v>
      </c>
      <c r="CZ302" s="1327"/>
      <c r="DA302" s="1253">
        <f>-DA294*DA300/4</f>
        <v>0</v>
      </c>
      <c r="DB302" s="1253">
        <f>-DB294*DB300/4</f>
        <v>0</v>
      </c>
      <c r="DC302" s="1253">
        <f>-DC294*DC300/4</f>
        <v>0</v>
      </c>
      <c r="DD302" s="1253">
        <f>-DD294*DD300/4</f>
        <v>0</v>
      </c>
      <c r="DE302" s="1327"/>
      <c r="DF302" s="1253">
        <f>-DF294*DF300/4</f>
        <v>0</v>
      </c>
      <c r="DG302" s="1253">
        <f>-DG294*DG300/4</f>
        <v>0</v>
      </c>
      <c r="DH302" s="1253">
        <f>-DH294*DH300/4</f>
        <v>0</v>
      </c>
      <c r="DI302" s="1253">
        <f>-DI294*DI300/4</f>
        <v>0</v>
      </c>
      <c r="DJ302" s="1327"/>
      <c r="DK302" s="1253">
        <f>-DK294*DK300/4</f>
        <v>0</v>
      </c>
      <c r="DL302" s="1253">
        <f>-DL294*DL300/4</f>
        <v>0</v>
      </c>
      <c r="DM302" s="1253">
        <f>-DM294*DM300/4</f>
        <v>0</v>
      </c>
      <c r="DN302" s="1253">
        <f>-DN294*DN300/4</f>
        <v>0</v>
      </c>
      <c r="DO302" s="1327"/>
      <c r="DP302" s="1253">
        <f>-DP294*DP300/4</f>
        <v>0</v>
      </c>
      <c r="DQ302" s="1253">
        <f>-DQ294*DQ300/4</f>
        <v>0</v>
      </c>
      <c r="DR302" s="1253">
        <f>-DR294*DR300/4</f>
        <v>0</v>
      </c>
      <c r="DS302" s="1253">
        <f>-DS294*DS300/4</f>
        <v>0</v>
      </c>
      <c r="DT302" s="1327"/>
      <c r="DU302" s="1253">
        <f>-DU294*DU300/4</f>
        <v>0</v>
      </c>
      <c r="DV302" s="1253">
        <f>-DV294*DV300/4</f>
        <v>0</v>
      </c>
      <c r="DW302" s="1253">
        <f>-DW294*DW300/4</f>
        <v>0</v>
      </c>
      <c r="DX302" s="1253">
        <f>-DX294*DX300/4</f>
        <v>0</v>
      </c>
      <c r="DY302" s="1327"/>
    </row>
    <row r="303" spans="1:129" ht="12" thickBot="1" x14ac:dyDescent="0.25">
      <c r="A303" s="1240"/>
      <c r="B303" s="1240"/>
      <c r="C303" s="1214"/>
      <c r="D303" s="1214"/>
      <c r="E303" s="1214"/>
      <c r="F303" s="1214"/>
      <c r="G303" s="1214"/>
      <c r="H303" s="1214"/>
      <c r="I303" s="1214"/>
      <c r="J303" s="1214"/>
      <c r="K303" s="1214"/>
      <c r="L303" s="1214"/>
      <c r="M303" s="1214"/>
      <c r="N303" s="1214"/>
      <c r="O303" s="1214"/>
      <c r="P303" s="1214"/>
      <c r="Q303" s="1214"/>
      <c r="R303" s="1214"/>
      <c r="S303" s="1214"/>
      <c r="T303" s="1214"/>
      <c r="U303" s="1214"/>
      <c r="V303" s="1214"/>
      <c r="W303" s="1214"/>
      <c r="X303" s="1214"/>
      <c r="Y303" s="1214"/>
      <c r="Z303" s="1214"/>
      <c r="AA303" s="1214"/>
      <c r="AB303" s="1214"/>
      <c r="AC303" s="1214"/>
      <c r="AD303" s="1214"/>
      <c r="AE303" s="1214"/>
      <c r="AF303" s="1214"/>
      <c r="AG303" s="1214"/>
      <c r="AH303" s="1214"/>
      <c r="AI303" s="1214"/>
      <c r="AJ303" s="1214"/>
      <c r="AK303" s="1214"/>
      <c r="AL303" s="1214"/>
      <c r="AM303" s="1214"/>
      <c r="AN303" s="1214"/>
      <c r="AO303" s="1214"/>
      <c r="AP303" s="1214"/>
      <c r="AQ303" s="1215"/>
      <c r="AR303" s="1215"/>
      <c r="AS303" s="1215"/>
      <c r="AT303" s="1215"/>
      <c r="AU303" s="1215"/>
      <c r="AV303" s="1215"/>
      <c r="AW303" s="1338"/>
      <c r="AX303" s="1215"/>
      <c r="AY303" s="1215"/>
      <c r="AZ303" s="1215"/>
      <c r="BA303" s="1215"/>
      <c r="BB303" s="1338"/>
      <c r="BC303" s="1215"/>
      <c r="BD303" s="1215"/>
      <c r="BE303" s="1215"/>
      <c r="BF303" s="1215"/>
      <c r="BG303" s="1338"/>
      <c r="BH303" s="1215"/>
      <c r="BI303" s="1215"/>
      <c r="BJ303" s="1215"/>
      <c r="BK303" s="1215"/>
      <c r="BL303" s="1338"/>
      <c r="BM303" s="1215"/>
      <c r="BN303" s="1215"/>
      <c r="BO303" s="1215"/>
      <c r="BP303" s="1215"/>
      <c r="BQ303" s="1338"/>
      <c r="BR303" s="1215"/>
      <c r="BS303" s="1215"/>
      <c r="BT303" s="1215"/>
      <c r="BU303" s="1215"/>
      <c r="BV303" s="1338"/>
      <c r="BW303" s="1215"/>
      <c r="BX303" s="1215"/>
      <c r="BY303" s="1215"/>
      <c r="BZ303" s="1215"/>
      <c r="CA303" s="1338"/>
      <c r="CB303" s="1215"/>
      <c r="CC303" s="1215"/>
      <c r="CD303" s="1215"/>
      <c r="CE303" s="1215"/>
      <c r="CF303" s="1338"/>
      <c r="CG303" s="1215"/>
      <c r="CH303" s="1215"/>
      <c r="CI303" s="1215"/>
      <c r="CJ303" s="1215"/>
      <c r="CK303" s="1338"/>
      <c r="CL303" s="1215"/>
      <c r="CM303" s="1215"/>
      <c r="CN303" s="1215"/>
      <c r="CO303" s="1215"/>
      <c r="CP303" s="1338"/>
      <c r="CQ303" s="1215"/>
      <c r="CR303" s="1215"/>
      <c r="CS303" s="1215"/>
      <c r="CT303" s="1215"/>
      <c r="CU303" s="1338"/>
      <c r="CV303" s="1215"/>
      <c r="CW303" s="1215"/>
      <c r="CX303" s="1215"/>
      <c r="CY303" s="1215"/>
      <c r="CZ303" s="1338"/>
      <c r="DA303" s="1215"/>
      <c r="DB303" s="1215"/>
      <c r="DC303" s="1215"/>
      <c r="DD303" s="1215"/>
      <c r="DE303" s="1338"/>
      <c r="DF303" s="1215"/>
      <c r="DG303" s="1215"/>
      <c r="DH303" s="1215"/>
      <c r="DI303" s="1215"/>
      <c r="DJ303" s="1338"/>
      <c r="DK303" s="1215"/>
      <c r="DL303" s="1215"/>
      <c r="DM303" s="1215"/>
      <c r="DN303" s="1215"/>
      <c r="DO303" s="1338"/>
      <c r="DP303" s="1215"/>
      <c r="DQ303" s="1215"/>
      <c r="DR303" s="1215"/>
      <c r="DS303" s="1215"/>
      <c r="DT303" s="1338"/>
      <c r="DU303" s="1215"/>
      <c r="DV303" s="1215"/>
      <c r="DW303" s="1215"/>
      <c r="DX303" s="1215"/>
      <c r="DY303" s="1338"/>
    </row>
    <row r="304" spans="1:129" ht="12" thickBot="1" x14ac:dyDescent="0.25">
      <c r="A304" s="1123"/>
      <c r="B304" s="1282" t="s">
        <v>1171</v>
      </c>
      <c r="C304" s="1328"/>
      <c r="D304" s="1329"/>
      <c r="E304" s="1329"/>
      <c r="F304" s="1329"/>
      <c r="G304" s="1329"/>
      <c r="H304" s="1329"/>
      <c r="I304" s="1329"/>
      <c r="J304" s="1329"/>
      <c r="K304" s="1329"/>
      <c r="L304" s="1329"/>
      <c r="M304" s="1329"/>
      <c r="N304" s="1329"/>
      <c r="O304" s="1329"/>
      <c r="P304" s="1329"/>
      <c r="Q304" s="1329"/>
      <c r="R304" s="1329"/>
      <c r="S304" s="1329"/>
      <c r="T304" s="1329"/>
      <c r="U304" s="1329"/>
      <c r="V304" s="1329"/>
      <c r="W304" s="1329"/>
      <c r="X304" s="1328"/>
      <c r="Y304" s="1328"/>
      <c r="Z304" s="1328"/>
      <c r="AA304" s="1328"/>
      <c r="AB304" s="1328"/>
      <c r="AC304" s="1328"/>
      <c r="AD304" s="1328"/>
      <c r="AE304" s="1328"/>
      <c r="AF304" s="1328"/>
      <c r="AG304" s="1328"/>
      <c r="AH304" s="1328"/>
      <c r="AI304" s="1328"/>
      <c r="AJ304" s="1328"/>
      <c r="AK304" s="1328"/>
      <c r="AL304" s="1328"/>
      <c r="AM304" s="1328"/>
      <c r="AN304" s="1328"/>
      <c r="AO304" s="1328"/>
      <c r="AP304" s="1328"/>
      <c r="AQ304" s="1330"/>
      <c r="AR304" s="1330"/>
      <c r="AS304" s="1330"/>
      <c r="AT304" s="1331"/>
      <c r="AU304" s="1331"/>
      <c r="AV304" s="1331"/>
      <c r="AW304" s="1330"/>
      <c r="AX304" s="1330"/>
      <c r="AY304" s="1330"/>
      <c r="AZ304" s="1330"/>
      <c r="BA304" s="1330"/>
      <c r="BB304" s="1330"/>
      <c r="BC304" s="1330"/>
      <c r="BD304" s="1330"/>
      <c r="BE304" s="1330"/>
      <c r="BF304" s="1330"/>
      <c r="BG304" s="1330"/>
      <c r="BH304" s="1330"/>
      <c r="BI304" s="1330"/>
      <c r="BJ304" s="1330"/>
      <c r="BK304" s="1330"/>
      <c r="BL304" s="1332"/>
      <c r="BM304" s="1330"/>
      <c r="BN304" s="1330"/>
      <c r="BO304" s="1330"/>
      <c r="BP304" s="1330"/>
      <c r="BQ304" s="1332"/>
      <c r="BR304" s="1330"/>
      <c r="BS304" s="1330"/>
      <c r="BT304" s="1330"/>
      <c r="BU304" s="1330"/>
      <c r="BV304" s="1332"/>
      <c r="BW304" s="1330"/>
      <c r="BX304" s="1330"/>
      <c r="BY304" s="1330"/>
      <c r="BZ304" s="1330"/>
      <c r="CA304" s="1332"/>
      <c r="CB304" s="1330"/>
      <c r="CC304" s="1330"/>
      <c r="CD304" s="1330"/>
      <c r="CE304" s="1330"/>
      <c r="CF304" s="1332"/>
      <c r="CG304" s="1330"/>
      <c r="CH304" s="1330"/>
      <c r="CI304" s="1330"/>
      <c r="CJ304" s="1330"/>
      <c r="CK304" s="1332"/>
      <c r="CL304" s="1330"/>
      <c r="CM304" s="1330"/>
      <c r="CN304" s="1330"/>
      <c r="CO304" s="1330"/>
      <c r="CP304" s="1332"/>
      <c r="CQ304" s="1330"/>
      <c r="CR304" s="1330"/>
      <c r="CS304" s="1330"/>
      <c r="CT304" s="1330"/>
      <c r="CU304" s="1332"/>
      <c r="CV304" s="1330"/>
      <c r="CW304" s="1330"/>
      <c r="CX304" s="1330"/>
      <c r="CY304" s="1330"/>
      <c r="CZ304" s="1332"/>
      <c r="DA304" s="1330"/>
      <c r="DB304" s="1330"/>
      <c r="DC304" s="1330"/>
      <c r="DD304" s="1330"/>
      <c r="DE304" s="1332"/>
      <c r="DF304" s="1330"/>
      <c r="DG304" s="1330"/>
      <c r="DH304" s="1330"/>
      <c r="DI304" s="1330"/>
      <c r="DJ304" s="1332"/>
      <c r="DK304" s="1330"/>
      <c r="DL304" s="1330"/>
      <c r="DM304" s="1330"/>
      <c r="DN304" s="1330"/>
      <c r="DO304" s="1332"/>
      <c r="DP304" s="1330"/>
      <c r="DQ304" s="1330"/>
      <c r="DR304" s="1330"/>
      <c r="DS304" s="1330"/>
      <c r="DT304" s="1332"/>
      <c r="DU304" s="1330"/>
      <c r="DV304" s="1330"/>
      <c r="DW304" s="1330"/>
      <c r="DX304" s="1330"/>
      <c r="DY304" s="1332"/>
    </row>
    <row r="305" spans="1:129" x14ac:dyDescent="0.2">
      <c r="A305" s="532"/>
      <c r="B305" s="1287" t="s">
        <v>1149</v>
      </c>
      <c r="C305" s="650"/>
      <c r="D305" s="650"/>
      <c r="E305" s="650"/>
      <c r="F305" s="650"/>
      <c r="G305" s="650"/>
      <c r="H305" s="650"/>
      <c r="I305" s="650"/>
      <c r="J305" s="650"/>
      <c r="K305" s="650"/>
      <c r="L305" s="650"/>
      <c r="M305" s="650"/>
      <c r="N305" s="650"/>
      <c r="O305" s="650"/>
      <c r="P305" s="650"/>
      <c r="Q305" s="650"/>
      <c r="R305" s="650"/>
      <c r="S305" s="650"/>
      <c r="T305" s="650"/>
      <c r="U305" s="650"/>
      <c r="V305" s="650"/>
      <c r="W305" s="650"/>
      <c r="X305" s="1288"/>
      <c r="Y305" s="650"/>
      <c r="Z305" s="650"/>
      <c r="AA305" s="650"/>
      <c r="AB305" s="650"/>
      <c r="AC305" s="1288"/>
      <c r="AD305" s="650"/>
      <c r="AE305" s="650"/>
      <c r="AF305" s="650"/>
      <c r="AG305" s="650"/>
      <c r="AH305" s="1288"/>
      <c r="AI305" s="650"/>
      <c r="AJ305" s="650"/>
      <c r="AK305" s="650"/>
      <c r="AL305" s="650"/>
      <c r="AM305" s="1288"/>
      <c r="AN305" s="650"/>
      <c r="AO305" s="650"/>
      <c r="AP305" s="650"/>
      <c r="AQ305" s="650"/>
      <c r="AR305" s="1288"/>
      <c r="AS305" s="650"/>
      <c r="AT305" s="650"/>
      <c r="AU305" s="650"/>
      <c r="AV305" s="650"/>
      <c r="AW305" s="1288"/>
      <c r="AX305" s="650"/>
      <c r="AY305" s="650"/>
      <c r="AZ305" s="650"/>
      <c r="BA305" s="650"/>
      <c r="BB305" s="1288"/>
      <c r="BC305" s="650"/>
      <c r="BD305" s="650"/>
      <c r="BE305" s="650"/>
      <c r="BF305" s="650"/>
      <c r="BG305" s="1288"/>
      <c r="BH305" s="650"/>
      <c r="BI305" s="650"/>
      <c r="BJ305" s="650"/>
      <c r="BK305" s="650"/>
      <c r="BL305" s="583"/>
      <c r="BM305" s="650"/>
      <c r="BN305" s="650"/>
      <c r="BO305" s="650"/>
      <c r="BP305" s="650"/>
      <c r="BQ305" s="583"/>
      <c r="BR305" s="650"/>
      <c r="BS305" s="650"/>
      <c r="BT305" s="650"/>
      <c r="BU305" s="650"/>
      <c r="BV305" s="583"/>
      <c r="BW305" s="650"/>
      <c r="BX305" s="650"/>
      <c r="BY305" s="650"/>
      <c r="BZ305" s="650"/>
      <c r="CA305" s="583"/>
      <c r="CB305" s="650"/>
      <c r="CC305" s="650"/>
      <c r="CD305" s="650"/>
      <c r="CE305" s="650"/>
      <c r="CF305" s="583"/>
      <c r="CG305" s="650"/>
      <c r="CH305" s="650"/>
      <c r="CI305" s="650"/>
      <c r="CJ305" s="650"/>
      <c r="CK305" s="583"/>
      <c r="CL305" s="650"/>
      <c r="CM305" s="650"/>
      <c r="CN305" s="650"/>
      <c r="CO305" s="650"/>
      <c r="CP305" s="583"/>
      <c r="CQ305" s="650"/>
      <c r="CR305" s="650"/>
      <c r="CS305" s="650"/>
      <c r="CT305" s="650"/>
      <c r="CU305" s="583"/>
      <c r="CV305" s="650"/>
      <c r="CW305" s="650"/>
      <c r="CX305" s="650"/>
      <c r="CY305" s="650"/>
      <c r="CZ305" s="583"/>
      <c r="DA305" s="650"/>
      <c r="DB305" s="650"/>
      <c r="DC305" s="650"/>
      <c r="DD305" s="650"/>
      <c r="DE305" s="583"/>
      <c r="DF305" s="650"/>
      <c r="DG305" s="650"/>
      <c r="DH305" s="650"/>
      <c r="DI305" s="650"/>
      <c r="DJ305" s="583"/>
      <c r="DK305" s="650"/>
      <c r="DL305" s="650"/>
      <c r="DM305" s="650"/>
      <c r="DN305" s="650"/>
      <c r="DO305" s="583"/>
      <c r="DP305" s="650"/>
      <c r="DQ305" s="650"/>
      <c r="DR305" s="650"/>
      <c r="DS305" s="650"/>
      <c r="DT305" s="583"/>
      <c r="DU305" s="650"/>
      <c r="DV305" s="650"/>
      <c r="DW305" s="650"/>
      <c r="DX305" s="650"/>
      <c r="DY305" s="583"/>
    </row>
    <row r="306" spans="1:129" x14ac:dyDescent="0.2">
      <c r="A306" s="532"/>
      <c r="B306" s="1287" t="s">
        <v>1150</v>
      </c>
      <c r="C306" s="650"/>
      <c r="D306" s="650"/>
      <c r="E306" s="650"/>
      <c r="F306" s="650"/>
      <c r="G306" s="650"/>
      <c r="H306" s="650"/>
      <c r="I306" s="650"/>
      <c r="J306" s="650"/>
      <c r="K306" s="650"/>
      <c r="L306" s="650"/>
      <c r="M306" s="650"/>
      <c r="N306" s="650"/>
      <c r="O306" s="650"/>
      <c r="P306" s="650"/>
      <c r="Q306" s="650"/>
      <c r="R306" s="650"/>
      <c r="S306" s="650"/>
      <c r="T306" s="650"/>
      <c r="U306" s="650"/>
      <c r="V306" s="650"/>
      <c r="W306" s="650"/>
      <c r="X306" s="1288"/>
      <c r="Y306" s="650"/>
      <c r="Z306" s="650"/>
      <c r="AA306" s="650"/>
      <c r="AB306" s="650"/>
      <c r="AC306" s="1288"/>
      <c r="AD306" s="650"/>
      <c r="AE306" s="650"/>
      <c r="AF306" s="650"/>
      <c r="AG306" s="650"/>
      <c r="AH306" s="1288"/>
      <c r="AI306" s="650"/>
      <c r="AJ306" s="650"/>
      <c r="AK306" s="650"/>
      <c r="AL306" s="650"/>
      <c r="AM306" s="1288"/>
      <c r="AN306" s="650"/>
      <c r="AO306" s="650"/>
      <c r="AP306" s="650"/>
      <c r="AQ306" s="650"/>
      <c r="AR306" s="1288"/>
      <c r="AS306" s="650"/>
      <c r="AT306" s="650"/>
      <c r="AU306" s="650"/>
      <c r="AV306" s="650"/>
      <c r="AW306" s="1288"/>
      <c r="AX306" s="650"/>
      <c r="AY306" s="650"/>
      <c r="AZ306" s="650"/>
      <c r="BA306" s="650"/>
      <c r="BB306" s="1288"/>
      <c r="BC306" s="650"/>
      <c r="BD306" s="650"/>
      <c r="BE306" s="650"/>
      <c r="BF306" s="650"/>
      <c r="BG306" s="1289"/>
      <c r="BH306" s="650"/>
      <c r="BI306" s="650"/>
      <c r="BJ306" s="650"/>
      <c r="BK306" s="650"/>
      <c r="BL306" s="1333"/>
      <c r="BM306" s="650"/>
      <c r="BN306" s="650"/>
      <c r="BO306" s="650"/>
      <c r="BP306" s="650"/>
      <c r="BQ306" s="1333"/>
      <c r="BR306" s="650"/>
      <c r="BS306" s="650"/>
      <c r="BT306" s="650"/>
      <c r="BU306" s="650"/>
      <c r="BV306" s="1333"/>
      <c r="BW306" s="650"/>
      <c r="BX306" s="650"/>
      <c r="BY306" s="650"/>
      <c r="BZ306" s="650"/>
      <c r="CA306" s="1333">
        <v>6.6000000000000003E-2</v>
      </c>
      <c r="CB306" s="1334">
        <v>4.7500000000000001E-2</v>
      </c>
      <c r="CC306" s="1334">
        <v>4.7500000000000001E-2</v>
      </c>
      <c r="CD306" s="1334">
        <v>4.7500000000000001E-2</v>
      </c>
      <c r="CE306" s="1334">
        <v>4.7500000000000001E-2</v>
      </c>
      <c r="CF306" s="1333"/>
      <c r="CG306" s="1334">
        <f>CE306</f>
        <v>4.7500000000000001E-2</v>
      </c>
      <c r="CH306" s="1334">
        <f>CG306</f>
        <v>4.7500000000000001E-2</v>
      </c>
      <c r="CI306" s="1334">
        <f>CH306</f>
        <v>4.7500000000000001E-2</v>
      </c>
      <c r="CJ306" s="1334">
        <f>CI306</f>
        <v>4.7500000000000001E-2</v>
      </c>
      <c r="CK306" s="1333"/>
      <c r="CL306" s="1334">
        <f>CJ306</f>
        <v>4.7500000000000001E-2</v>
      </c>
      <c r="CM306" s="1334">
        <f>CL306</f>
        <v>4.7500000000000001E-2</v>
      </c>
      <c r="CN306" s="1334">
        <f>CM306</f>
        <v>4.7500000000000001E-2</v>
      </c>
      <c r="CO306" s="1334">
        <f>CN306</f>
        <v>4.7500000000000001E-2</v>
      </c>
      <c r="CP306" s="1333"/>
      <c r="CQ306" s="1334">
        <f>CO306</f>
        <v>4.7500000000000001E-2</v>
      </c>
      <c r="CR306" s="1334">
        <f>CQ306</f>
        <v>4.7500000000000001E-2</v>
      </c>
      <c r="CS306" s="1334">
        <f>CR306</f>
        <v>4.7500000000000001E-2</v>
      </c>
      <c r="CT306" s="1334">
        <f>CS306</f>
        <v>4.7500000000000001E-2</v>
      </c>
      <c r="CU306" s="1333"/>
      <c r="CV306" s="1334">
        <f>CT306</f>
        <v>4.7500000000000001E-2</v>
      </c>
      <c r="CW306" s="1334">
        <f>CV306</f>
        <v>4.7500000000000001E-2</v>
      </c>
      <c r="CX306" s="1334">
        <f>CW306</f>
        <v>4.7500000000000001E-2</v>
      </c>
      <c r="CY306" s="1334">
        <f>CX306</f>
        <v>4.7500000000000001E-2</v>
      </c>
      <c r="CZ306" s="1333"/>
      <c r="DA306" s="1334">
        <f>CY306</f>
        <v>4.7500000000000001E-2</v>
      </c>
      <c r="DB306" s="1334">
        <f>DA306</f>
        <v>4.7500000000000001E-2</v>
      </c>
      <c r="DC306" s="1334">
        <f>DB306</f>
        <v>4.7500000000000001E-2</v>
      </c>
      <c r="DD306" s="1334">
        <f>DC306</f>
        <v>4.7500000000000001E-2</v>
      </c>
      <c r="DE306" s="1333"/>
      <c r="DF306" s="1334">
        <f>DD306</f>
        <v>4.7500000000000001E-2</v>
      </c>
      <c r="DG306" s="1334">
        <f>DF306</f>
        <v>4.7500000000000001E-2</v>
      </c>
      <c r="DH306" s="1334">
        <f>DG306</f>
        <v>4.7500000000000001E-2</v>
      </c>
      <c r="DI306" s="1334">
        <f>DH306</f>
        <v>4.7500000000000001E-2</v>
      </c>
      <c r="DJ306" s="1333"/>
      <c r="DK306" s="1334">
        <f>DI306</f>
        <v>4.7500000000000001E-2</v>
      </c>
      <c r="DL306" s="1334">
        <f>DK306</f>
        <v>4.7500000000000001E-2</v>
      </c>
      <c r="DM306" s="1334">
        <f>DL306</f>
        <v>4.7500000000000001E-2</v>
      </c>
      <c r="DN306" s="1334">
        <f>DM306</f>
        <v>4.7500000000000001E-2</v>
      </c>
      <c r="DO306" s="1333"/>
      <c r="DP306" s="1334">
        <f>DN306</f>
        <v>4.7500000000000001E-2</v>
      </c>
      <c r="DQ306" s="1334">
        <f>DP306</f>
        <v>4.7500000000000001E-2</v>
      </c>
      <c r="DR306" s="1334">
        <f>DQ306</f>
        <v>4.7500000000000001E-2</v>
      </c>
      <c r="DS306" s="1334">
        <f>DR306</f>
        <v>4.7500000000000001E-2</v>
      </c>
      <c r="DT306" s="1333"/>
      <c r="DU306" s="1334">
        <f>DS306</f>
        <v>4.7500000000000001E-2</v>
      </c>
      <c r="DV306" s="1334">
        <f>DU306</f>
        <v>4.7500000000000001E-2</v>
      </c>
      <c r="DW306" s="1334">
        <f>DV306</f>
        <v>4.7500000000000001E-2</v>
      </c>
      <c r="DX306" s="1334">
        <f>DW306</f>
        <v>4.7500000000000001E-2</v>
      </c>
      <c r="DY306" s="1333"/>
    </row>
    <row r="307" spans="1:129" x14ac:dyDescent="0.2">
      <c r="A307" s="1223"/>
      <c r="B307" s="1190" t="s">
        <v>1151</v>
      </c>
      <c r="C307" s="1293"/>
      <c r="D307" s="1293"/>
      <c r="E307" s="1293"/>
      <c r="F307" s="1293"/>
      <c r="G307" s="1293"/>
      <c r="H307" s="1293"/>
      <c r="I307" s="1293"/>
      <c r="J307" s="1293"/>
      <c r="K307" s="1293"/>
      <c r="L307" s="1293"/>
      <c r="M307" s="1293"/>
      <c r="N307" s="1293"/>
      <c r="O307" s="1293"/>
      <c r="P307" s="1293"/>
      <c r="Q307" s="1293"/>
      <c r="R307" s="1293"/>
      <c r="S307" s="1293"/>
      <c r="T307" s="1293"/>
      <c r="U307" s="1293"/>
      <c r="V307" s="1293"/>
      <c r="W307" s="1293"/>
      <c r="X307" s="1227"/>
      <c r="Y307" s="1231"/>
      <c r="Z307" s="1231"/>
      <c r="AA307" s="1231"/>
      <c r="AB307" s="1294"/>
      <c r="AC307" s="1227"/>
      <c r="AD307" s="1231"/>
      <c r="AE307" s="1231"/>
      <c r="AF307" s="1231"/>
      <c r="AG307" s="1294"/>
      <c r="AH307" s="1227"/>
      <c r="AI307" s="1231"/>
      <c r="AJ307" s="1231"/>
      <c r="AK307" s="1231"/>
      <c r="AL307" s="1294"/>
      <c r="AM307" s="1227"/>
      <c r="AN307" s="1231"/>
      <c r="AO307" s="1231"/>
      <c r="AP307" s="1231"/>
      <c r="AQ307" s="1294"/>
      <c r="AR307" s="1227"/>
      <c r="AS307" s="1231"/>
      <c r="AT307" s="1231"/>
      <c r="AU307" s="1231"/>
      <c r="AV307" s="1294"/>
      <c r="AW307" s="1227"/>
      <c r="AX307" s="1231"/>
      <c r="AY307" s="1231"/>
      <c r="AZ307" s="1231"/>
      <c r="BA307" s="1231"/>
      <c r="BB307" s="1227"/>
      <c r="BC307" s="1231"/>
      <c r="BD307" s="1231"/>
      <c r="BE307" s="1231"/>
      <c r="BF307" s="1231"/>
      <c r="BG307" s="1227"/>
      <c r="BH307" s="1231"/>
      <c r="BI307" s="1231"/>
      <c r="BJ307" s="1231"/>
      <c r="BK307" s="1231"/>
      <c r="BL307" s="1326"/>
      <c r="BM307" s="1231"/>
      <c r="BN307" s="1231"/>
      <c r="BO307" s="1231"/>
      <c r="BP307" s="1231"/>
      <c r="BQ307" s="1326"/>
      <c r="BR307" s="1231"/>
      <c r="BS307" s="1231"/>
      <c r="BT307" s="1231"/>
      <c r="BU307" s="1231"/>
      <c r="BV307" s="1326"/>
      <c r="BW307" s="1231"/>
      <c r="BX307" s="1231"/>
      <c r="BY307" s="1231"/>
      <c r="BZ307" s="1231"/>
      <c r="CA307" s="1326"/>
      <c r="CB307" s="1231"/>
      <c r="CC307" s="1231"/>
      <c r="CD307" s="1231"/>
      <c r="CE307" s="1231"/>
      <c r="CF307" s="1326"/>
      <c r="CG307" s="1231"/>
      <c r="CH307" s="1231"/>
      <c r="CI307" s="1231"/>
      <c r="CJ307" s="1231"/>
      <c r="CK307" s="1326"/>
      <c r="CL307" s="1231"/>
      <c r="CM307" s="1231"/>
      <c r="CN307" s="1231"/>
      <c r="CO307" s="1231"/>
      <c r="CP307" s="1326"/>
      <c r="CQ307" s="1231"/>
      <c r="CR307" s="1231"/>
      <c r="CS307" s="1231"/>
      <c r="CT307" s="1231"/>
      <c r="CU307" s="1326"/>
      <c r="CV307" s="1231"/>
      <c r="CW307" s="1231"/>
      <c r="CX307" s="1231"/>
      <c r="CY307" s="1231"/>
      <c r="CZ307" s="1326"/>
      <c r="DA307" s="1231"/>
      <c r="DB307" s="1231"/>
      <c r="DC307" s="1231"/>
      <c r="DD307" s="1231"/>
      <c r="DE307" s="1326"/>
      <c r="DF307" s="1231"/>
      <c r="DG307" s="1231"/>
      <c r="DH307" s="1231"/>
      <c r="DI307" s="1231"/>
      <c r="DJ307" s="1326"/>
      <c r="DK307" s="1231"/>
      <c r="DL307" s="1231"/>
      <c r="DM307" s="1231"/>
      <c r="DN307" s="1231"/>
      <c r="DO307" s="1326"/>
      <c r="DP307" s="1231"/>
      <c r="DQ307" s="1231"/>
      <c r="DR307" s="1231"/>
      <c r="DS307" s="1231"/>
      <c r="DT307" s="1326"/>
      <c r="DU307" s="1231"/>
      <c r="DV307" s="1231"/>
      <c r="DW307" s="1231"/>
      <c r="DX307" s="1231"/>
      <c r="DY307" s="1326"/>
    </row>
    <row r="308" spans="1:129" x14ac:dyDescent="0.2">
      <c r="A308" s="1223"/>
      <c r="B308" s="1190" t="s">
        <v>1152</v>
      </c>
      <c r="C308" s="1231"/>
      <c r="D308" s="1231"/>
      <c r="E308" s="1231"/>
      <c r="F308" s="1231"/>
      <c r="G308" s="1231"/>
      <c r="H308" s="1231"/>
      <c r="I308" s="1231"/>
      <c r="J308" s="1231"/>
      <c r="K308" s="1231"/>
      <c r="L308" s="1231"/>
      <c r="M308" s="1231"/>
      <c r="N308" s="1231"/>
      <c r="O308" s="1231"/>
      <c r="P308" s="1231"/>
      <c r="Q308" s="1231"/>
      <c r="R308" s="1231"/>
      <c r="S308" s="1231"/>
      <c r="T308" s="1231"/>
      <c r="U308" s="1231"/>
      <c r="V308" s="1231"/>
      <c r="W308" s="1231"/>
      <c r="X308" s="1227"/>
      <c r="Y308" s="1231"/>
      <c r="Z308" s="1231"/>
      <c r="AA308" s="1231"/>
      <c r="AB308" s="1231"/>
      <c r="AC308" s="1227"/>
      <c r="AD308" s="1231"/>
      <c r="AE308" s="1231"/>
      <c r="AF308" s="1231"/>
      <c r="AG308" s="1231"/>
      <c r="AH308" s="1227"/>
      <c r="AI308" s="1231"/>
      <c r="AJ308" s="1231"/>
      <c r="AK308" s="1231"/>
      <c r="AL308" s="1231"/>
      <c r="AM308" s="1227"/>
      <c r="AN308" s="1231"/>
      <c r="AO308" s="1231"/>
      <c r="AP308" s="1231"/>
      <c r="AQ308" s="1231"/>
      <c r="AR308" s="1227"/>
      <c r="AS308" s="1231"/>
      <c r="AT308" s="1231"/>
      <c r="AU308" s="1231"/>
      <c r="AV308" s="1231"/>
      <c r="AW308" s="1227"/>
      <c r="AX308" s="1231"/>
      <c r="AY308" s="1231"/>
      <c r="AZ308" s="1231"/>
      <c r="BA308" s="1231"/>
      <c r="BB308" s="1227"/>
      <c r="BC308" s="1231"/>
      <c r="BD308" s="1231"/>
      <c r="BE308" s="1231"/>
      <c r="BF308" s="1231"/>
      <c r="BG308" s="1227"/>
      <c r="BH308" s="1231"/>
      <c r="BI308" s="1231"/>
      <c r="BJ308" s="1231"/>
      <c r="BK308" s="1231"/>
      <c r="BL308" s="1326"/>
      <c r="BM308" s="1231"/>
      <c r="BN308" s="1231"/>
      <c r="BO308" s="1231"/>
      <c r="BP308" s="1231"/>
      <c r="BQ308" s="1326"/>
      <c r="BR308" s="1231"/>
      <c r="BS308" s="1231"/>
      <c r="BT308" s="1231"/>
      <c r="BU308" s="1231"/>
      <c r="BV308" s="1326"/>
      <c r="BW308" s="1231"/>
      <c r="BX308" s="1231"/>
      <c r="BY308" s="1231"/>
      <c r="BZ308" s="1231"/>
      <c r="CA308" s="1326">
        <f>BV310</f>
        <v>0</v>
      </c>
      <c r="CB308" s="1223">
        <f>CA310</f>
        <v>450</v>
      </c>
      <c r="CC308" s="1223">
        <f>+CB310</f>
        <v>450</v>
      </c>
      <c r="CD308" s="1223">
        <f>+CC310</f>
        <v>450</v>
      </c>
      <c r="CE308" s="1223">
        <f>+CD310</f>
        <v>450</v>
      </c>
      <c r="CF308" s="1326">
        <f>CA310</f>
        <v>450</v>
      </c>
      <c r="CG308" s="1223">
        <f>+CE310</f>
        <v>450</v>
      </c>
      <c r="CH308" s="1223">
        <f>+CG310</f>
        <v>450</v>
      </c>
      <c r="CI308" s="1223">
        <f>+CH310</f>
        <v>450</v>
      </c>
      <c r="CJ308" s="1223">
        <f>+CI310</f>
        <v>450</v>
      </c>
      <c r="CK308" s="1326">
        <f>CF310</f>
        <v>450</v>
      </c>
      <c r="CL308" s="1223">
        <f>+CJ310</f>
        <v>450</v>
      </c>
      <c r="CM308" s="1223">
        <f>+CL310</f>
        <v>450</v>
      </c>
      <c r="CN308" s="1223">
        <f>+CM310</f>
        <v>450</v>
      </c>
      <c r="CO308" s="1223">
        <f>+CN310</f>
        <v>450</v>
      </c>
      <c r="CP308" s="1326">
        <f>CK310</f>
        <v>450</v>
      </c>
      <c r="CQ308" s="1223">
        <f>+CO308</f>
        <v>450</v>
      </c>
      <c r="CR308" s="1223">
        <f>+CQ310</f>
        <v>450</v>
      </c>
      <c r="CS308" s="1223">
        <f>+CR310</f>
        <v>450</v>
      </c>
      <c r="CT308" s="1223">
        <f>+CS310</f>
        <v>450</v>
      </c>
      <c r="CU308" s="1326">
        <f>CP310</f>
        <v>450</v>
      </c>
      <c r="CV308" s="1223">
        <f>+CT308</f>
        <v>450</v>
      </c>
      <c r="CW308" s="1223">
        <f>+CV310</f>
        <v>450</v>
      </c>
      <c r="CX308" s="1223">
        <f>+CW310</f>
        <v>450</v>
      </c>
      <c r="CY308" s="1223">
        <f>+CX310</f>
        <v>450</v>
      </c>
      <c r="CZ308" s="1326">
        <f>CU310</f>
        <v>450</v>
      </c>
      <c r="DA308" s="1223">
        <f>+CY308</f>
        <v>450</v>
      </c>
      <c r="DB308" s="1223">
        <f>+DA310</f>
        <v>450</v>
      </c>
      <c r="DC308" s="1223">
        <f>+DB310</f>
        <v>0</v>
      </c>
      <c r="DD308" s="1223">
        <f>+DC310</f>
        <v>0</v>
      </c>
      <c r="DE308" s="1326">
        <f>CZ310</f>
        <v>450</v>
      </c>
      <c r="DF308" s="1223">
        <f>+DD308</f>
        <v>0</v>
      </c>
      <c r="DG308" s="1223">
        <f>+DF310</f>
        <v>0</v>
      </c>
      <c r="DH308" s="1223">
        <f>+DG310</f>
        <v>0</v>
      </c>
      <c r="DI308" s="1223">
        <f>+DH310</f>
        <v>0</v>
      </c>
      <c r="DJ308" s="1326">
        <f>DE310</f>
        <v>0</v>
      </c>
      <c r="DK308" s="1223">
        <f>+DI308</f>
        <v>0</v>
      </c>
      <c r="DL308" s="1223">
        <f>+DK310</f>
        <v>0</v>
      </c>
      <c r="DM308" s="1223">
        <f>+DL310</f>
        <v>0</v>
      </c>
      <c r="DN308" s="1223">
        <f>+DM310</f>
        <v>0</v>
      </c>
      <c r="DO308" s="1326">
        <f>DJ310</f>
        <v>0</v>
      </c>
      <c r="DP308" s="1223">
        <f>+DN308</f>
        <v>0</v>
      </c>
      <c r="DQ308" s="1223">
        <f>+DP310</f>
        <v>0</v>
      </c>
      <c r="DR308" s="1223">
        <f>+DQ310</f>
        <v>0</v>
      </c>
      <c r="DS308" s="1223">
        <f>+DR310</f>
        <v>0</v>
      </c>
      <c r="DT308" s="1326">
        <f>DO310</f>
        <v>0</v>
      </c>
      <c r="DU308" s="1223">
        <f>+DS308</f>
        <v>0</v>
      </c>
      <c r="DV308" s="1223">
        <f>+DU310</f>
        <v>0</v>
      </c>
      <c r="DW308" s="1223">
        <f>+DV310</f>
        <v>0</v>
      </c>
      <c r="DX308" s="1223">
        <f>+DW310</f>
        <v>0</v>
      </c>
      <c r="DY308" s="1326">
        <f>DT310</f>
        <v>0</v>
      </c>
    </row>
    <row r="309" spans="1:129" x14ac:dyDescent="0.2">
      <c r="A309" s="1295"/>
      <c r="B309" s="1190" t="s">
        <v>1153</v>
      </c>
      <c r="C309" s="1182"/>
      <c r="D309" s="1182"/>
      <c r="E309" s="1182"/>
      <c r="F309" s="1182"/>
      <c r="G309" s="1182"/>
      <c r="H309" s="1182"/>
      <c r="I309" s="1182"/>
      <c r="J309" s="1182"/>
      <c r="K309" s="1182"/>
      <c r="L309" s="1182"/>
      <c r="M309" s="1182"/>
      <c r="N309" s="1182"/>
      <c r="O309" s="1182"/>
      <c r="P309" s="1182"/>
      <c r="Q309" s="1182"/>
      <c r="R309" s="1182"/>
      <c r="S309" s="1182"/>
      <c r="T309" s="1182"/>
      <c r="U309" s="1182"/>
      <c r="V309" s="1182"/>
      <c r="W309" s="1182"/>
      <c r="X309" s="1296"/>
      <c r="Y309" s="1297"/>
      <c r="Z309" s="1297"/>
      <c r="AA309" s="1297"/>
      <c r="AB309" s="1297"/>
      <c r="AC309" s="1296"/>
      <c r="AD309" s="1297"/>
      <c r="AE309" s="1297"/>
      <c r="AF309" s="1297"/>
      <c r="AG309" s="1297"/>
      <c r="AH309" s="1296"/>
      <c r="AI309" s="1297"/>
      <c r="AJ309" s="1297"/>
      <c r="AK309" s="1297"/>
      <c r="AL309" s="1297"/>
      <c r="AM309" s="1296"/>
      <c r="AN309" s="1297"/>
      <c r="AO309" s="1297"/>
      <c r="AP309" s="1297"/>
      <c r="AQ309" s="1297"/>
      <c r="AR309" s="1296"/>
      <c r="AS309" s="1297"/>
      <c r="AT309" s="1297"/>
      <c r="AU309" s="1297"/>
      <c r="AV309" s="1297"/>
      <c r="AW309" s="1296"/>
      <c r="AX309" s="1298"/>
      <c r="AY309" s="1299"/>
      <c r="AZ309" s="1299"/>
      <c r="BA309" s="1298"/>
      <c r="BB309" s="1300"/>
      <c r="BC309" s="1298"/>
      <c r="BD309" s="1298"/>
      <c r="BE309" s="1298"/>
      <c r="BF309" s="1298"/>
      <c r="BG309" s="1296"/>
      <c r="BH309" s="1298"/>
      <c r="BI309" s="1298"/>
      <c r="BJ309" s="1298"/>
      <c r="BK309" s="1298"/>
      <c r="BL309" s="1335"/>
      <c r="BM309" s="1298"/>
      <c r="BN309" s="1298"/>
      <c r="BO309" s="1298"/>
      <c r="BP309" s="1298"/>
      <c r="BQ309" s="1335"/>
      <c r="BR309" s="1298"/>
      <c r="BS309" s="1298"/>
      <c r="BT309" s="1298"/>
      <c r="BU309" s="1298"/>
      <c r="BV309" s="1335"/>
      <c r="BW309" s="1298"/>
      <c r="BX309" s="1298"/>
      <c r="BY309" s="1298"/>
      <c r="BZ309" s="1298"/>
      <c r="CA309" s="1335">
        <f>CA310-CA308</f>
        <v>450</v>
      </c>
      <c r="CB309" s="1336">
        <f>CB310-CB308</f>
        <v>0</v>
      </c>
      <c r="CC309" s="1336">
        <f>CC310-CC308</f>
        <v>0</v>
      </c>
      <c r="CD309" s="1298">
        <v>0</v>
      </c>
      <c r="CE309" s="1298">
        <v>0</v>
      </c>
      <c r="CF309" s="1335">
        <f>+SUM(CB309:CE309)</f>
        <v>0</v>
      </c>
      <c r="CG309" s="1298">
        <v>0</v>
      </c>
      <c r="CH309" s="1298">
        <v>0</v>
      </c>
      <c r="CI309" s="1298">
        <v>0</v>
      </c>
      <c r="CJ309" s="1298">
        <v>0</v>
      </c>
      <c r="CK309" s="1335">
        <f>+SUM(CG309:CJ309)</f>
        <v>0</v>
      </c>
      <c r="CL309" s="1298">
        <v>0</v>
      </c>
      <c r="CM309" s="1298">
        <v>0</v>
      </c>
      <c r="CN309" s="1298">
        <v>0</v>
      </c>
      <c r="CO309" s="1298">
        <v>0</v>
      </c>
      <c r="CP309" s="1335">
        <f>+SUM(CL309:CO309)</f>
        <v>0</v>
      </c>
      <c r="CQ309" s="1298">
        <v>0</v>
      </c>
      <c r="CR309" s="1298">
        <v>0</v>
      </c>
      <c r="CS309" s="1298">
        <v>0</v>
      </c>
      <c r="CT309" s="1298">
        <v>0</v>
      </c>
      <c r="CU309" s="1335">
        <f>+SUM(CQ309:CT309)</f>
        <v>0</v>
      </c>
      <c r="CV309" s="1298">
        <v>0</v>
      </c>
      <c r="CW309" s="1298">
        <v>0</v>
      </c>
      <c r="CX309" s="1298">
        <v>0</v>
      </c>
      <c r="CY309" s="1298">
        <v>0</v>
      </c>
      <c r="CZ309" s="1335">
        <f>+SUM(CV309:CY309)</f>
        <v>0</v>
      </c>
      <c r="DA309" s="1298">
        <v>0</v>
      </c>
      <c r="DB309" s="1298">
        <v>-450</v>
      </c>
      <c r="DC309" s="1298">
        <v>0</v>
      </c>
      <c r="DD309" s="1298">
        <v>0</v>
      </c>
      <c r="DE309" s="1335">
        <f>+SUM(DA309:DD309)</f>
        <v>-450</v>
      </c>
      <c r="DF309" s="1298">
        <v>0</v>
      </c>
      <c r="DG309" s="1298">
        <v>0</v>
      </c>
      <c r="DH309" s="1298">
        <v>0</v>
      </c>
      <c r="DI309" s="1298">
        <v>0</v>
      </c>
      <c r="DJ309" s="1335">
        <f>+SUM(DF309:DI309)</f>
        <v>0</v>
      </c>
      <c r="DK309" s="1298">
        <v>0</v>
      </c>
      <c r="DL309" s="1298">
        <v>0</v>
      </c>
      <c r="DM309" s="1298">
        <v>0</v>
      </c>
      <c r="DN309" s="1298">
        <v>0</v>
      </c>
      <c r="DO309" s="1335">
        <f>+SUM(DK309:DN309)</f>
        <v>0</v>
      </c>
      <c r="DP309" s="1298">
        <v>0</v>
      </c>
      <c r="DQ309" s="1298">
        <v>0</v>
      </c>
      <c r="DR309" s="1298">
        <v>0</v>
      </c>
      <c r="DS309" s="1298">
        <v>0</v>
      </c>
      <c r="DT309" s="1335">
        <f>+SUM(DP309:DS309)</f>
        <v>0</v>
      </c>
      <c r="DU309" s="1298">
        <v>0</v>
      </c>
      <c r="DV309" s="1298">
        <v>0</v>
      </c>
      <c r="DW309" s="1298">
        <v>0</v>
      </c>
      <c r="DX309" s="1298">
        <v>0</v>
      </c>
      <c r="DY309" s="1335">
        <f>+SUM(DU309:DX309)</f>
        <v>0</v>
      </c>
    </row>
    <row r="310" spans="1:129" x14ac:dyDescent="0.2">
      <c r="A310" s="1295"/>
      <c r="B310" s="1190" t="s">
        <v>1154</v>
      </c>
      <c r="C310" s="1182"/>
      <c r="D310" s="1182"/>
      <c r="E310" s="1182"/>
      <c r="F310" s="1182"/>
      <c r="G310" s="1182"/>
      <c r="H310" s="1182"/>
      <c r="I310" s="1182"/>
      <c r="J310" s="1182"/>
      <c r="K310" s="1182"/>
      <c r="L310" s="1182"/>
      <c r="M310" s="1182"/>
      <c r="N310" s="1182"/>
      <c r="O310" s="1182"/>
      <c r="P310" s="1182"/>
      <c r="Q310" s="1182"/>
      <c r="R310" s="1182"/>
      <c r="S310" s="1182"/>
      <c r="T310" s="1182"/>
      <c r="U310" s="1182"/>
      <c r="V310" s="1182"/>
      <c r="W310" s="1182"/>
      <c r="X310" s="1304"/>
      <c r="Y310" s="1305"/>
      <c r="Z310" s="1305"/>
      <c r="AA310" s="1305"/>
      <c r="AB310" s="1305"/>
      <c r="AC310" s="1304"/>
      <c r="AD310" s="1305"/>
      <c r="AE310" s="1305"/>
      <c r="AF310" s="1305"/>
      <c r="AG310" s="1305"/>
      <c r="AH310" s="1304"/>
      <c r="AI310" s="1305"/>
      <c r="AJ310" s="1305"/>
      <c r="AK310" s="1305"/>
      <c r="AL310" s="1305"/>
      <c r="AM310" s="1304"/>
      <c r="AN310" s="1305"/>
      <c r="AO310" s="1305"/>
      <c r="AP310" s="1305"/>
      <c r="AQ310" s="1305"/>
      <c r="AR310" s="1304"/>
      <c r="AS310" s="1305"/>
      <c r="AT310" s="1305"/>
      <c r="AU310" s="1305"/>
      <c r="AV310" s="1305"/>
      <c r="AW310" s="1304"/>
      <c r="AX310" s="1305"/>
      <c r="AY310" s="1305"/>
      <c r="AZ310" s="1305"/>
      <c r="BA310" s="1305"/>
      <c r="BB310" s="1304"/>
      <c r="BC310" s="1305"/>
      <c r="BD310" s="1305"/>
      <c r="BE310" s="1305"/>
      <c r="BF310" s="1305"/>
      <c r="BG310" s="1306"/>
      <c r="BH310" s="1305"/>
      <c r="BI310" s="1305"/>
      <c r="BJ310" s="1305"/>
      <c r="BK310" s="1305"/>
      <c r="BL310" s="1337"/>
      <c r="BM310" s="1305"/>
      <c r="BN310" s="1305"/>
      <c r="BO310" s="1305"/>
      <c r="BP310" s="1305"/>
      <c r="BQ310" s="1337"/>
      <c r="BR310" s="1305"/>
      <c r="BS310" s="1305"/>
      <c r="BT310" s="1305"/>
      <c r="BU310" s="1305"/>
      <c r="BV310" s="1337"/>
      <c r="BW310" s="1305"/>
      <c r="BX310" s="1305"/>
      <c r="BY310" s="1305"/>
      <c r="BZ310" s="1305"/>
      <c r="CA310" s="1337">
        <v>450</v>
      </c>
      <c r="CB310" s="1295">
        <f>CA310</f>
        <v>450</v>
      </c>
      <c r="CC310" s="1226">
        <f>CB310</f>
        <v>450</v>
      </c>
      <c r="CD310" s="1295">
        <f t="shared" ref="CD310:CZ310" si="205">CD308+CD309</f>
        <v>450</v>
      </c>
      <c r="CE310" s="1295">
        <f t="shared" si="205"/>
        <v>450</v>
      </c>
      <c r="CF310" s="1325">
        <f t="shared" si="205"/>
        <v>450</v>
      </c>
      <c r="CG310" s="1295">
        <f t="shared" si="205"/>
        <v>450</v>
      </c>
      <c r="CH310" s="1295">
        <f t="shared" si="205"/>
        <v>450</v>
      </c>
      <c r="CI310" s="1295">
        <f t="shared" si="205"/>
        <v>450</v>
      </c>
      <c r="CJ310" s="1295">
        <f t="shared" si="205"/>
        <v>450</v>
      </c>
      <c r="CK310" s="1325">
        <f t="shared" si="205"/>
        <v>450</v>
      </c>
      <c r="CL310" s="1295">
        <f t="shared" si="205"/>
        <v>450</v>
      </c>
      <c r="CM310" s="1295">
        <f t="shared" si="205"/>
        <v>450</v>
      </c>
      <c r="CN310" s="1295">
        <f t="shared" si="205"/>
        <v>450</v>
      </c>
      <c r="CO310" s="1295">
        <f t="shared" si="205"/>
        <v>450</v>
      </c>
      <c r="CP310" s="1325">
        <f t="shared" si="205"/>
        <v>450</v>
      </c>
      <c r="CQ310" s="1295">
        <f t="shared" si="205"/>
        <v>450</v>
      </c>
      <c r="CR310" s="1295">
        <f t="shared" si="205"/>
        <v>450</v>
      </c>
      <c r="CS310" s="1295">
        <f t="shared" si="205"/>
        <v>450</v>
      </c>
      <c r="CT310" s="1295">
        <f t="shared" si="205"/>
        <v>450</v>
      </c>
      <c r="CU310" s="1325">
        <f t="shared" si="205"/>
        <v>450</v>
      </c>
      <c r="CV310" s="1295">
        <f t="shared" si="205"/>
        <v>450</v>
      </c>
      <c r="CW310" s="1295">
        <f t="shared" si="205"/>
        <v>450</v>
      </c>
      <c r="CX310" s="1295">
        <f t="shared" si="205"/>
        <v>450</v>
      </c>
      <c r="CY310" s="1295">
        <f t="shared" si="205"/>
        <v>450</v>
      </c>
      <c r="CZ310" s="1325">
        <f t="shared" si="205"/>
        <v>450</v>
      </c>
      <c r="DA310" s="1295">
        <f t="shared" ref="DA310:DJ310" si="206">DA308+DA309</f>
        <v>450</v>
      </c>
      <c r="DB310" s="1295">
        <f t="shared" si="206"/>
        <v>0</v>
      </c>
      <c r="DC310" s="1295">
        <f t="shared" si="206"/>
        <v>0</v>
      </c>
      <c r="DD310" s="1295">
        <f t="shared" si="206"/>
        <v>0</v>
      </c>
      <c r="DE310" s="1325">
        <f t="shared" si="206"/>
        <v>0</v>
      </c>
      <c r="DF310" s="1295">
        <f t="shared" si="206"/>
        <v>0</v>
      </c>
      <c r="DG310" s="1295">
        <f t="shared" si="206"/>
        <v>0</v>
      </c>
      <c r="DH310" s="1295">
        <f t="shared" si="206"/>
        <v>0</v>
      </c>
      <c r="DI310" s="1295">
        <f t="shared" si="206"/>
        <v>0</v>
      </c>
      <c r="DJ310" s="1325">
        <f t="shared" si="206"/>
        <v>0</v>
      </c>
      <c r="DK310" s="1295">
        <f t="shared" ref="DK310:DT310" si="207">DK308+DK309</f>
        <v>0</v>
      </c>
      <c r="DL310" s="1295">
        <f t="shared" si="207"/>
        <v>0</v>
      </c>
      <c r="DM310" s="1295">
        <f t="shared" si="207"/>
        <v>0</v>
      </c>
      <c r="DN310" s="1295">
        <f t="shared" si="207"/>
        <v>0</v>
      </c>
      <c r="DO310" s="1325">
        <f t="shared" si="207"/>
        <v>0</v>
      </c>
      <c r="DP310" s="1295">
        <f t="shared" si="207"/>
        <v>0</v>
      </c>
      <c r="DQ310" s="1295">
        <f t="shared" si="207"/>
        <v>0</v>
      </c>
      <c r="DR310" s="1295">
        <f t="shared" si="207"/>
        <v>0</v>
      </c>
      <c r="DS310" s="1295">
        <f t="shared" si="207"/>
        <v>0</v>
      </c>
      <c r="DT310" s="1325">
        <f t="shared" si="207"/>
        <v>0</v>
      </c>
      <c r="DU310" s="1295">
        <f t="shared" ref="DU310:DY310" si="208">DU308+DU309</f>
        <v>0</v>
      </c>
      <c r="DV310" s="1295">
        <f t="shared" si="208"/>
        <v>0</v>
      </c>
      <c r="DW310" s="1295">
        <f t="shared" si="208"/>
        <v>0</v>
      </c>
      <c r="DX310" s="1295">
        <f t="shared" si="208"/>
        <v>0</v>
      </c>
      <c r="DY310" s="1325">
        <f t="shared" si="208"/>
        <v>0</v>
      </c>
    </row>
    <row r="311" spans="1:129" x14ac:dyDescent="0.2">
      <c r="A311" s="1223"/>
      <c r="B311" s="1190" t="s">
        <v>1155</v>
      </c>
      <c r="C311" s="1182"/>
      <c r="D311" s="1182"/>
      <c r="E311" s="1182"/>
      <c r="F311" s="1182"/>
      <c r="G311" s="1182"/>
      <c r="H311" s="1182"/>
      <c r="I311" s="1182"/>
      <c r="J311" s="1182"/>
      <c r="K311" s="1182"/>
      <c r="L311" s="1182"/>
      <c r="M311" s="1182"/>
      <c r="N311" s="1182"/>
      <c r="O311" s="1182"/>
      <c r="P311" s="1182"/>
      <c r="Q311" s="1182"/>
      <c r="R311" s="1182"/>
      <c r="S311" s="1182"/>
      <c r="T311" s="1182"/>
      <c r="U311" s="1182"/>
      <c r="V311" s="1182"/>
      <c r="W311" s="1182"/>
      <c r="X311" s="1227"/>
      <c r="Y311" s="1231"/>
      <c r="Z311" s="1231"/>
      <c r="AA311" s="1231"/>
      <c r="AB311" s="1231"/>
      <c r="AC311" s="1227"/>
      <c r="AD311" s="1231"/>
      <c r="AE311" s="1231"/>
      <c r="AF311" s="1231"/>
      <c r="AG311" s="1231"/>
      <c r="AH311" s="1227"/>
      <c r="AI311" s="1231"/>
      <c r="AJ311" s="1231"/>
      <c r="AK311" s="1231"/>
      <c r="AL311" s="1231"/>
      <c r="AM311" s="1227"/>
      <c r="AN311" s="1231"/>
      <c r="AO311" s="1231"/>
      <c r="AP311" s="1231"/>
      <c r="AQ311" s="1231"/>
      <c r="AR311" s="1227"/>
      <c r="AS311" s="1231"/>
      <c r="AT311" s="1231"/>
      <c r="AU311" s="1231"/>
      <c r="AV311" s="1231"/>
      <c r="AW311" s="1227"/>
      <c r="AX311" s="1231"/>
      <c r="AY311" s="1231"/>
      <c r="AZ311" s="1231"/>
      <c r="BA311" s="1231"/>
      <c r="BB311" s="1227"/>
      <c r="BC311" s="1231"/>
      <c r="BD311" s="1231"/>
      <c r="BE311" s="1231"/>
      <c r="BF311" s="1231"/>
      <c r="BG311" s="1227"/>
      <c r="BH311" s="1231"/>
      <c r="BI311" s="1231"/>
      <c r="BJ311" s="1231"/>
      <c r="BK311" s="1231"/>
      <c r="BL311" s="1326"/>
      <c r="BM311" s="1231"/>
      <c r="BN311" s="1231"/>
      <c r="BO311" s="1231"/>
      <c r="BP311" s="1231"/>
      <c r="BQ311" s="1326"/>
      <c r="BR311" s="1231"/>
      <c r="BS311" s="1231"/>
      <c r="BT311" s="1231"/>
      <c r="BU311" s="1231"/>
      <c r="BV311" s="1326"/>
      <c r="BW311" s="1231"/>
      <c r="BX311" s="1231"/>
      <c r="BY311" s="1231"/>
      <c r="BZ311" s="1231"/>
      <c r="CA311" s="1326"/>
      <c r="CB311" s="1231"/>
      <c r="CC311" s="1231"/>
      <c r="CD311" s="1231"/>
      <c r="CE311" s="1231"/>
      <c r="CF311" s="1326"/>
      <c r="CG311" s="1231"/>
      <c r="CH311" s="1231"/>
      <c r="CI311" s="1231"/>
      <c r="CJ311" s="1231"/>
      <c r="CK311" s="1326"/>
      <c r="CL311" s="1231"/>
      <c r="CM311" s="1231"/>
      <c r="CN311" s="1231"/>
      <c r="CO311" s="1231"/>
      <c r="CP311" s="1326"/>
      <c r="CQ311" s="1231"/>
      <c r="CR311" s="1231"/>
      <c r="CS311" s="1231"/>
      <c r="CT311" s="1231"/>
      <c r="CU311" s="1326"/>
      <c r="CV311" s="1231"/>
      <c r="CW311" s="1231"/>
      <c r="CX311" s="1231"/>
      <c r="CY311" s="1231"/>
      <c r="CZ311" s="1326"/>
      <c r="DA311" s="1231"/>
      <c r="DB311" s="1231"/>
      <c r="DC311" s="1231"/>
      <c r="DD311" s="1231"/>
      <c r="DE311" s="1326"/>
      <c r="DF311" s="1231"/>
      <c r="DG311" s="1231"/>
      <c r="DH311" s="1231"/>
      <c r="DI311" s="1231"/>
      <c r="DJ311" s="1326"/>
      <c r="DK311" s="1231"/>
      <c r="DL311" s="1231"/>
      <c r="DM311" s="1231"/>
      <c r="DN311" s="1231"/>
      <c r="DO311" s="1326"/>
      <c r="DP311" s="1231"/>
      <c r="DQ311" s="1231"/>
      <c r="DR311" s="1231"/>
      <c r="DS311" s="1231"/>
      <c r="DT311" s="1326"/>
      <c r="DU311" s="1231"/>
      <c r="DV311" s="1231"/>
      <c r="DW311" s="1231"/>
      <c r="DX311" s="1231"/>
      <c r="DY311" s="1326"/>
    </row>
    <row r="312" spans="1:129" x14ac:dyDescent="0.2">
      <c r="A312" s="1223"/>
      <c r="B312" s="1190" t="s">
        <v>1156</v>
      </c>
      <c r="C312" s="1182"/>
      <c r="D312" s="1182"/>
      <c r="E312" s="1182"/>
      <c r="F312" s="1182"/>
      <c r="G312" s="1182"/>
      <c r="H312" s="1182"/>
      <c r="I312" s="1182"/>
      <c r="J312" s="1182"/>
      <c r="K312" s="1182"/>
      <c r="L312" s="1182"/>
      <c r="M312" s="1182"/>
      <c r="N312" s="1182"/>
      <c r="O312" s="1182"/>
      <c r="P312" s="1182"/>
      <c r="Q312" s="1182"/>
      <c r="R312" s="1182"/>
      <c r="S312" s="1182"/>
      <c r="T312" s="1182"/>
      <c r="U312" s="1182"/>
      <c r="V312" s="1182"/>
      <c r="W312" s="1182"/>
      <c r="X312" s="1227"/>
      <c r="Y312" s="1231"/>
      <c r="Z312" s="1231"/>
      <c r="AA312" s="1231"/>
      <c r="AB312" s="1231"/>
      <c r="AC312" s="1227"/>
      <c r="AD312" s="1231"/>
      <c r="AE312" s="1231"/>
      <c r="AF312" s="1231"/>
      <c r="AG312" s="1231"/>
      <c r="AH312" s="1227"/>
      <c r="AI312" s="1231"/>
      <c r="AJ312" s="1231"/>
      <c r="AK312" s="1231"/>
      <c r="AL312" s="1231"/>
      <c r="AM312" s="1227"/>
      <c r="AN312" s="1231"/>
      <c r="AO312" s="1231"/>
      <c r="AP312" s="1231"/>
      <c r="AQ312" s="1231"/>
      <c r="AR312" s="1227"/>
      <c r="AS312" s="1231"/>
      <c r="AT312" s="1231"/>
      <c r="AU312" s="1231"/>
      <c r="AV312" s="1231"/>
      <c r="AW312" s="1227"/>
      <c r="AX312" s="1231"/>
      <c r="AY312" s="1231"/>
      <c r="AZ312" s="1231"/>
      <c r="BA312" s="1231"/>
      <c r="BB312" s="1227"/>
      <c r="BC312" s="1231"/>
      <c r="BD312" s="1231"/>
      <c r="BE312" s="1231"/>
      <c r="BF312" s="1231"/>
      <c r="BG312" s="1227"/>
      <c r="BH312" s="1231"/>
      <c r="BI312" s="1231"/>
      <c r="BJ312" s="1231"/>
      <c r="BK312" s="1231"/>
      <c r="BL312" s="1326"/>
      <c r="BM312" s="1231"/>
      <c r="BN312" s="1231"/>
      <c r="BO312" s="1231"/>
      <c r="BP312" s="1231"/>
      <c r="BQ312" s="1326"/>
      <c r="BR312" s="1231"/>
      <c r="BS312" s="1231"/>
      <c r="BT312" s="1231"/>
      <c r="BU312" s="1231"/>
      <c r="BV312" s="1326"/>
      <c r="BW312" s="1231"/>
      <c r="BX312" s="1231"/>
      <c r="BY312" s="1231"/>
      <c r="BZ312" s="1231"/>
      <c r="CA312" s="1326">
        <f>-(AVERAGE(CA308,CA310))*(CA306)</f>
        <v>-14.850000000000001</v>
      </c>
      <c r="CB312" s="1223">
        <f>-(AVERAGE(CB310,CB308))*(CB306/4)</f>
        <v>-5.34375</v>
      </c>
      <c r="CC312" s="1223">
        <f>-(AVERAGE(CC310,CC308))*(CC306/4)</f>
        <v>-5.34375</v>
      </c>
      <c r="CD312" s="1223">
        <f>-(AVERAGE(CD310,CD308))*(CD306/4)</f>
        <v>-5.34375</v>
      </c>
      <c r="CE312" s="1223">
        <f>-(AVERAGE(CE310,CE308))*(CE306/4)</f>
        <v>-5.34375</v>
      </c>
      <c r="CF312" s="1326">
        <f>SUM(CB312:CE312)</f>
        <v>-21.375</v>
      </c>
      <c r="CG312" s="1223">
        <f>-(AVERAGE(CG310,CG308))*(CG306/4)</f>
        <v>-5.34375</v>
      </c>
      <c r="CH312" s="1223">
        <f>-(AVERAGE(CH310,CH308))*(CH306/4)</f>
        <v>-5.34375</v>
      </c>
      <c r="CI312" s="1223">
        <f>-(AVERAGE(CI310,CI308))*(CI306/4)</f>
        <v>-5.34375</v>
      </c>
      <c r="CJ312" s="1223">
        <f>-(AVERAGE(CJ310,CJ308))*(CJ306/4)</f>
        <v>-5.34375</v>
      </c>
      <c r="CK312" s="1326">
        <f>SUM(CG312:CJ312)</f>
        <v>-21.375</v>
      </c>
      <c r="CL312" s="1223">
        <f>-(AVERAGE(CL310,CL308))*(CL306/4)</f>
        <v>-5.34375</v>
      </c>
      <c r="CM312" s="1223">
        <f>-(AVERAGE(CM310,CM308))*(CM306/4)</f>
        <v>-5.34375</v>
      </c>
      <c r="CN312" s="1223">
        <f>-(AVERAGE(CN310,CN308))*(CN306/4)</f>
        <v>-5.34375</v>
      </c>
      <c r="CO312" s="1223">
        <f>-(AVERAGE(CO310,CO308))*(CO306/4)</f>
        <v>-5.34375</v>
      </c>
      <c r="CP312" s="1326">
        <f>SUM(CL312:CO312)</f>
        <v>-21.375</v>
      </c>
      <c r="CQ312" s="1223">
        <f>-(AVERAGE(CQ310,CQ308))*(CQ306/4)</f>
        <v>-5.34375</v>
      </c>
      <c r="CR312" s="1223">
        <f>-(AVERAGE(CR310,CR308))*(CR306/4)</f>
        <v>-5.34375</v>
      </c>
      <c r="CS312" s="1223">
        <f>-(AVERAGE(CS310,CS308))*(CS306/4)</f>
        <v>-5.34375</v>
      </c>
      <c r="CT312" s="1223">
        <f>-(AVERAGE(CT310,CT308))*(CT306/4)</f>
        <v>-5.34375</v>
      </c>
      <c r="CU312" s="1326">
        <f>SUM(CQ312:CT312)</f>
        <v>-21.375</v>
      </c>
      <c r="CV312" s="1223">
        <f>-(AVERAGE(CV310,CV308))*(CV306/4)</f>
        <v>-5.34375</v>
      </c>
      <c r="CW312" s="1223">
        <f>-(AVERAGE(CW310,CW308))*(CW306/4)</f>
        <v>-5.34375</v>
      </c>
      <c r="CX312" s="1223">
        <f>-(AVERAGE(CX310,CX308))*(CX306/4)</f>
        <v>-5.34375</v>
      </c>
      <c r="CY312" s="1223">
        <f>-(AVERAGE(CY310,CY308))*(CY306/4)</f>
        <v>-5.34375</v>
      </c>
      <c r="CZ312" s="1326">
        <f>SUM(CV312:CY312)</f>
        <v>-21.375</v>
      </c>
      <c r="DA312" s="1223">
        <f>-(AVERAGE(DA310,DA308))*(DA306/4)</f>
        <v>-5.34375</v>
      </c>
      <c r="DB312" s="1223">
        <f>-(AVERAGE(DB310,DB308))*(DB306/4)</f>
        <v>-2.671875</v>
      </c>
      <c r="DC312" s="1223">
        <f>-(AVERAGE(DC310,DC308))*(DC306/4)</f>
        <v>0</v>
      </c>
      <c r="DD312" s="1223">
        <f>-(AVERAGE(DD310,DD308))*(DD306/4)</f>
        <v>0</v>
      </c>
      <c r="DE312" s="1326">
        <f>SUM(DA312:DD312)</f>
        <v>-8.015625</v>
      </c>
      <c r="DF312" s="1223">
        <f>-(AVERAGE(DF310,DF308))*(DF306/4)</f>
        <v>0</v>
      </c>
      <c r="DG312" s="1223">
        <f>-(AVERAGE(DG310,DG308))*(DG306/4)</f>
        <v>0</v>
      </c>
      <c r="DH312" s="1223">
        <f>-(AVERAGE(DH310,DH308))*(DH306/4)</f>
        <v>0</v>
      </c>
      <c r="DI312" s="1223">
        <f>-(AVERAGE(DI310,DI308))*(DI306/4)</f>
        <v>0</v>
      </c>
      <c r="DJ312" s="1326">
        <f>SUM(DF312:DI312)</f>
        <v>0</v>
      </c>
      <c r="DK312" s="1223">
        <f>-(AVERAGE(DK310,DK308))*(DK306/4)</f>
        <v>0</v>
      </c>
      <c r="DL312" s="1223">
        <f>-(AVERAGE(DL310,DL308))*(DL306/4)</f>
        <v>0</v>
      </c>
      <c r="DM312" s="1223">
        <f>-(AVERAGE(DM310,DM308))*(DM306/4)</f>
        <v>0</v>
      </c>
      <c r="DN312" s="1223">
        <f>-(AVERAGE(DN310,DN308))*(DN306/4)</f>
        <v>0</v>
      </c>
      <c r="DO312" s="1326">
        <f>SUM(DK312:DN312)</f>
        <v>0</v>
      </c>
      <c r="DP312" s="1223">
        <f>-(AVERAGE(DP310,DP308))*(DP306/4)</f>
        <v>0</v>
      </c>
      <c r="DQ312" s="1223">
        <f>-(AVERAGE(DQ310,DQ308))*(DQ306/4)</f>
        <v>0</v>
      </c>
      <c r="DR312" s="1223">
        <f>-(AVERAGE(DR310,DR308))*(DR306/4)</f>
        <v>0</v>
      </c>
      <c r="DS312" s="1223">
        <f>-(AVERAGE(DS310,DS308))*(DS306/4)</f>
        <v>0</v>
      </c>
      <c r="DT312" s="1326">
        <f>SUM(DP312:DS312)</f>
        <v>0</v>
      </c>
      <c r="DU312" s="1223">
        <f>-(AVERAGE(DU310,DU308))*(DU306/4)</f>
        <v>0</v>
      </c>
      <c r="DV312" s="1223">
        <f>-(AVERAGE(DV310,DV308))*(DV306/4)</f>
        <v>0</v>
      </c>
      <c r="DW312" s="1223">
        <f>-(AVERAGE(DW310,DW308))*(DW306/4)</f>
        <v>0</v>
      </c>
      <c r="DX312" s="1223">
        <f>-(AVERAGE(DX310,DX308))*(DX306/4)</f>
        <v>0</v>
      </c>
      <c r="DY312" s="1326">
        <f>SUM(DU312:DX312)</f>
        <v>0</v>
      </c>
    </row>
    <row r="313" spans="1:129" ht="12" thickBot="1" x14ac:dyDescent="0.25">
      <c r="A313" s="1223"/>
      <c r="B313" s="1250" t="s">
        <v>1157</v>
      </c>
      <c r="C313" s="1251"/>
      <c r="D313" s="1251"/>
      <c r="E313" s="1251"/>
      <c r="F313" s="1251"/>
      <c r="G313" s="1251"/>
      <c r="H313" s="1251"/>
      <c r="I313" s="1251"/>
      <c r="J313" s="1251"/>
      <c r="K313" s="1251"/>
      <c r="L313" s="1251"/>
      <c r="M313" s="1251"/>
      <c r="N313" s="1251"/>
      <c r="O313" s="1251"/>
      <c r="P313" s="1251"/>
      <c r="Q313" s="1251"/>
      <c r="R313" s="1251"/>
      <c r="S313" s="1251"/>
      <c r="T313" s="1251"/>
      <c r="U313" s="1251"/>
      <c r="V313" s="1251"/>
      <c r="W313" s="1251"/>
      <c r="X313" s="1252"/>
      <c r="Y313" s="1251"/>
      <c r="Z313" s="1251"/>
      <c r="AA313" s="1251"/>
      <c r="AB313" s="1251"/>
      <c r="AC313" s="1252"/>
      <c r="AD313" s="1251"/>
      <c r="AE313" s="1251"/>
      <c r="AF313" s="1251"/>
      <c r="AG313" s="1251"/>
      <c r="AH313" s="1252"/>
      <c r="AI313" s="1251"/>
      <c r="AJ313" s="1251"/>
      <c r="AK313" s="1251"/>
      <c r="AL313" s="1251"/>
      <c r="AM313" s="1252"/>
      <c r="AN313" s="1251"/>
      <c r="AO313" s="1251"/>
      <c r="AP313" s="1251"/>
      <c r="AQ313" s="1253"/>
      <c r="AR313" s="1252"/>
      <c r="AS313" s="1253"/>
      <c r="AT313" s="1253"/>
      <c r="AU313" s="1253"/>
      <c r="AV313" s="1253"/>
      <c r="AW313" s="1252"/>
      <c r="AX313" s="1253"/>
      <c r="AY313" s="1253"/>
      <c r="AZ313" s="1253"/>
      <c r="BA313" s="1253"/>
      <c r="BB313" s="1252"/>
      <c r="BC313" s="1253"/>
      <c r="BD313" s="1253"/>
      <c r="BE313" s="1253"/>
      <c r="BF313" s="1253"/>
      <c r="BG313" s="1252"/>
      <c r="BH313" s="1253"/>
      <c r="BI313" s="1253"/>
      <c r="BJ313" s="1253"/>
      <c r="BK313" s="1253"/>
      <c r="BL313" s="1327"/>
      <c r="BM313" s="1253"/>
      <c r="BN313" s="1253"/>
      <c r="BO313" s="1253"/>
      <c r="BP313" s="1253"/>
      <c r="BQ313" s="1327"/>
      <c r="BR313" s="1253"/>
      <c r="BS313" s="1253"/>
      <c r="BT313" s="1253"/>
      <c r="BU313" s="1253"/>
      <c r="BV313" s="1327"/>
      <c r="BW313" s="1253"/>
      <c r="BX313" s="1253"/>
      <c r="BY313" s="1253"/>
      <c r="BZ313" s="1253"/>
      <c r="CA313" s="1327"/>
      <c r="CB313" s="1253">
        <f>-CB305*CB311/4</f>
        <v>0</v>
      </c>
      <c r="CC313" s="1253">
        <f>-CC305*CC311/4</f>
        <v>0</v>
      </c>
      <c r="CD313" s="1253">
        <f>-CD305*CD311/4</f>
        <v>0</v>
      </c>
      <c r="CE313" s="1253">
        <f>-CE305*CE311/4</f>
        <v>0</v>
      </c>
      <c r="CF313" s="1327"/>
      <c r="CG313" s="1253">
        <f>-CG305*CG311/4</f>
        <v>0</v>
      </c>
      <c r="CH313" s="1253">
        <f>-CH305*CH311/4</f>
        <v>0</v>
      </c>
      <c r="CI313" s="1253">
        <f>-CI305*CI311/4</f>
        <v>0</v>
      </c>
      <c r="CJ313" s="1253">
        <f>-CJ305*CJ311/4</f>
        <v>0</v>
      </c>
      <c r="CK313" s="1327"/>
      <c r="CL313" s="1253">
        <f>-CL305*CL311/4</f>
        <v>0</v>
      </c>
      <c r="CM313" s="1253">
        <f>-CM305*CM311/4</f>
        <v>0</v>
      </c>
      <c r="CN313" s="1253">
        <f>-CN305*CN311/4</f>
        <v>0</v>
      </c>
      <c r="CO313" s="1253">
        <f>-CO305*CO311/4</f>
        <v>0</v>
      </c>
      <c r="CP313" s="1327"/>
      <c r="CQ313" s="1253">
        <f>-CQ305*CQ311/4</f>
        <v>0</v>
      </c>
      <c r="CR313" s="1253">
        <f>-CR305*CR311/4</f>
        <v>0</v>
      </c>
      <c r="CS313" s="1253">
        <f>-CS305*CS311/4</f>
        <v>0</v>
      </c>
      <c r="CT313" s="1253">
        <f>-CT305*CT311/4</f>
        <v>0</v>
      </c>
      <c r="CU313" s="1327"/>
      <c r="CV313" s="1253">
        <f>-CV305*CV311/4</f>
        <v>0</v>
      </c>
      <c r="CW313" s="1253">
        <f>-CW305*CW311/4</f>
        <v>0</v>
      </c>
      <c r="CX313" s="1253">
        <f>-CX305*CX311/4</f>
        <v>0</v>
      </c>
      <c r="CY313" s="1253">
        <f>-CY305*CY311/4</f>
        <v>0</v>
      </c>
      <c r="CZ313" s="1327"/>
      <c r="DA313" s="1253">
        <f>-DA305*DA311/4</f>
        <v>0</v>
      </c>
      <c r="DB313" s="1253">
        <f>-DB305*DB311/4</f>
        <v>0</v>
      </c>
      <c r="DC313" s="1253">
        <f>-DC305*DC311/4</f>
        <v>0</v>
      </c>
      <c r="DD313" s="1253">
        <f>-DD305*DD311/4</f>
        <v>0</v>
      </c>
      <c r="DE313" s="1327"/>
      <c r="DF313" s="1253">
        <f>-DF305*DF311/4</f>
        <v>0</v>
      </c>
      <c r="DG313" s="1253">
        <f>-DG305*DG311/4</f>
        <v>0</v>
      </c>
      <c r="DH313" s="1253">
        <f>-DH305*DH311/4</f>
        <v>0</v>
      </c>
      <c r="DI313" s="1253">
        <f>-DI305*DI311/4</f>
        <v>0</v>
      </c>
      <c r="DJ313" s="1327"/>
      <c r="DK313" s="1253">
        <f>-DK305*DK311/4</f>
        <v>0</v>
      </c>
      <c r="DL313" s="1253">
        <f>-DL305*DL311/4</f>
        <v>0</v>
      </c>
      <c r="DM313" s="1253">
        <f>-DM305*DM311/4</f>
        <v>0</v>
      </c>
      <c r="DN313" s="1253">
        <f>-DN305*DN311/4</f>
        <v>0</v>
      </c>
      <c r="DO313" s="1327"/>
      <c r="DP313" s="1253">
        <f>-DP305*DP311/4</f>
        <v>0</v>
      </c>
      <c r="DQ313" s="1253">
        <f>-DQ305*DQ311/4</f>
        <v>0</v>
      </c>
      <c r="DR313" s="1253">
        <f>-DR305*DR311/4</f>
        <v>0</v>
      </c>
      <c r="DS313" s="1253">
        <f>-DS305*DS311/4</f>
        <v>0</v>
      </c>
      <c r="DT313" s="1327"/>
      <c r="DU313" s="1253">
        <f>-DU305*DU311/4</f>
        <v>0</v>
      </c>
      <c r="DV313" s="1253">
        <f>-DV305*DV311/4</f>
        <v>0</v>
      </c>
      <c r="DW313" s="1253">
        <f>-DW305*DW311/4</f>
        <v>0</v>
      </c>
      <c r="DX313" s="1253">
        <f>-DX305*DX311/4</f>
        <v>0</v>
      </c>
      <c r="DY313" s="1327"/>
    </row>
    <row r="314" spans="1:129" ht="12" thickBot="1" x14ac:dyDescent="0.25">
      <c r="A314" s="1231"/>
      <c r="B314" s="1231"/>
      <c r="C314" s="1182"/>
      <c r="D314" s="1182"/>
      <c r="E314" s="1182"/>
      <c r="F314" s="1182"/>
      <c r="G314" s="1182"/>
      <c r="H314" s="1182"/>
      <c r="I314" s="1182"/>
      <c r="J314" s="1182"/>
      <c r="K314" s="1182"/>
      <c r="L314" s="1182"/>
      <c r="M314" s="1182"/>
      <c r="N314" s="1182"/>
      <c r="O314" s="1182"/>
      <c r="P314" s="1182"/>
      <c r="Q314" s="1182"/>
      <c r="R314" s="1182"/>
      <c r="S314" s="1182"/>
      <c r="T314" s="1182"/>
      <c r="U314" s="1182"/>
      <c r="V314" s="1182"/>
      <c r="W314" s="1182"/>
      <c r="X314" s="1223"/>
      <c r="Y314" s="1182"/>
      <c r="Z314" s="1182"/>
      <c r="AA314" s="1182"/>
      <c r="AB314" s="1182"/>
      <c r="AC314" s="1223"/>
      <c r="AD314" s="1182"/>
      <c r="AE314" s="1182"/>
      <c r="AF314" s="1182"/>
      <c r="AG314" s="1182"/>
      <c r="AH314" s="1223"/>
      <c r="AI314" s="1182"/>
      <c r="AJ314" s="1182"/>
      <c r="AK314" s="1182"/>
      <c r="AL314" s="1182"/>
      <c r="AM314" s="1223"/>
      <c r="AN314" s="1182"/>
      <c r="AO314" s="1182"/>
      <c r="AP314" s="1182"/>
      <c r="AQ314" s="1231"/>
      <c r="AR314" s="1231"/>
      <c r="AS314" s="1231"/>
      <c r="AT314" s="1231"/>
      <c r="AU314" s="1231"/>
      <c r="AV314" s="1231"/>
      <c r="AW314" s="1231"/>
      <c r="AX314" s="1231"/>
      <c r="AY314" s="1231"/>
      <c r="AZ314" s="1231"/>
      <c r="BA314" s="1231"/>
      <c r="BB314" s="1231"/>
      <c r="BC314" s="1231"/>
      <c r="BD314" s="1231"/>
      <c r="BE314" s="1231"/>
      <c r="BF314" s="1231"/>
      <c r="BG314" s="1231"/>
      <c r="BH314" s="1231"/>
      <c r="BI314" s="1231"/>
      <c r="BJ314" s="1231"/>
      <c r="BK314" s="1231"/>
      <c r="BL314" s="1231"/>
      <c r="BM314" s="1231"/>
      <c r="BN314" s="1231"/>
      <c r="BO314" s="1231"/>
      <c r="BP314" s="1231"/>
      <c r="BQ314" s="1231"/>
      <c r="BR314" s="1231"/>
      <c r="BS314" s="1231"/>
      <c r="BT314" s="1231"/>
      <c r="BU314" s="1231"/>
      <c r="BV314" s="1231"/>
      <c r="BW314" s="1231"/>
      <c r="BX314" s="1231"/>
      <c r="BY314" s="1231"/>
      <c r="BZ314" s="1231"/>
      <c r="CA314" s="1231"/>
      <c r="CB314" s="1231"/>
      <c r="CC314" s="1231"/>
      <c r="CD314" s="1231"/>
      <c r="CE314" s="1231"/>
      <c r="CF314" s="1231"/>
      <c r="CG314" s="1231"/>
      <c r="CH314" s="1231"/>
      <c r="CI314" s="1231"/>
      <c r="CJ314" s="1231"/>
      <c r="CK314" s="1231"/>
      <c r="CL314" s="1231"/>
      <c r="CM314" s="1231"/>
      <c r="CN314" s="1231"/>
      <c r="CO314" s="1231"/>
      <c r="CP314" s="1231"/>
      <c r="CQ314" s="1231"/>
      <c r="CR314" s="1231"/>
      <c r="CS314" s="1231"/>
      <c r="CT314" s="1231"/>
      <c r="CU314" s="1231"/>
      <c r="CV314" s="1231"/>
      <c r="CW314" s="1231"/>
      <c r="CX314" s="1231"/>
      <c r="CY314" s="1231"/>
      <c r="CZ314" s="1231"/>
      <c r="DA314" s="1231"/>
      <c r="DB314" s="1231"/>
      <c r="DC314" s="1231"/>
      <c r="DD314" s="1231"/>
      <c r="DE314" s="1231"/>
      <c r="DF314" s="1231"/>
      <c r="DG314" s="1231"/>
      <c r="DH314" s="1231"/>
      <c r="DI314" s="1231"/>
      <c r="DJ314" s="1231"/>
      <c r="DK314" s="1231"/>
      <c r="DL314" s="1231"/>
      <c r="DM314" s="1231"/>
      <c r="DN314" s="1231"/>
      <c r="DO314" s="1231"/>
      <c r="DP314" s="1231"/>
      <c r="DQ314" s="1231"/>
      <c r="DR314" s="1231"/>
      <c r="DS314" s="1231"/>
      <c r="DT314" s="1231"/>
      <c r="DU314" s="1231"/>
      <c r="DV314" s="1231"/>
      <c r="DW314" s="1231"/>
      <c r="DX314" s="1231"/>
      <c r="DY314" s="1231"/>
    </row>
    <row r="315" spans="1:129" ht="12" thickBot="1" x14ac:dyDescent="0.25">
      <c r="A315" s="1123"/>
      <c r="B315" s="1282" t="s">
        <v>1172</v>
      </c>
      <c r="C315" s="1328"/>
      <c r="D315" s="1329"/>
      <c r="E315" s="1329"/>
      <c r="F315" s="1329"/>
      <c r="G315" s="1329"/>
      <c r="H315" s="1329"/>
      <c r="I315" s="1329"/>
      <c r="J315" s="1329"/>
      <c r="K315" s="1329"/>
      <c r="L315" s="1329"/>
      <c r="M315" s="1329"/>
      <c r="N315" s="1329"/>
      <c r="O315" s="1329"/>
      <c r="P315" s="1329"/>
      <c r="Q315" s="1329"/>
      <c r="R315" s="1329"/>
      <c r="S315" s="1329"/>
      <c r="T315" s="1329"/>
      <c r="U315" s="1329"/>
      <c r="V315" s="1329"/>
      <c r="W315" s="1329"/>
      <c r="X315" s="1328"/>
      <c r="Y315" s="1328"/>
      <c r="Z315" s="1328"/>
      <c r="AA315" s="1328"/>
      <c r="AB315" s="1328"/>
      <c r="AC315" s="1328"/>
      <c r="AD315" s="1328"/>
      <c r="AE315" s="1328"/>
      <c r="AF315" s="1328"/>
      <c r="AG315" s="1328"/>
      <c r="AH315" s="1328"/>
      <c r="AI315" s="1328"/>
      <c r="AJ315" s="1328"/>
      <c r="AK315" s="1328"/>
      <c r="AL315" s="1328"/>
      <c r="AM315" s="1328"/>
      <c r="AN315" s="1328"/>
      <c r="AO315" s="1328"/>
      <c r="AP315" s="1328"/>
      <c r="AQ315" s="1330"/>
      <c r="AR315" s="1330"/>
      <c r="AS315" s="1330"/>
      <c r="AT315" s="1331"/>
      <c r="AU315" s="1331"/>
      <c r="AV315" s="1331"/>
      <c r="AW315" s="1330"/>
      <c r="AX315" s="1330"/>
      <c r="AY315" s="1330"/>
      <c r="AZ315" s="1330"/>
      <c r="BA315" s="1330"/>
      <c r="BB315" s="1330"/>
      <c r="BC315" s="1330"/>
      <c r="BD315" s="1330"/>
      <c r="BE315" s="1330"/>
      <c r="BF315" s="1330"/>
      <c r="BG315" s="1330"/>
      <c r="BH315" s="1330"/>
      <c r="BI315" s="1330"/>
      <c r="BJ315" s="1330"/>
      <c r="BK315" s="1330"/>
      <c r="BL315" s="1332"/>
      <c r="BM315" s="1330"/>
      <c r="BN315" s="1330"/>
      <c r="BO315" s="1330"/>
      <c r="BP315" s="1330"/>
      <c r="BQ315" s="1332"/>
      <c r="BR315" s="1330"/>
      <c r="BS315" s="1330"/>
      <c r="BT315" s="1330"/>
      <c r="BU315" s="1330"/>
      <c r="BV315" s="1332"/>
      <c r="BW315" s="1330"/>
      <c r="BX315" s="1330"/>
      <c r="BY315" s="1330"/>
      <c r="BZ315" s="1330"/>
      <c r="CA315" s="1332"/>
      <c r="CB315" s="1330"/>
      <c r="CC315" s="1330"/>
      <c r="CD315" s="1330"/>
      <c r="CE315" s="1330"/>
      <c r="CF315" s="1332"/>
      <c r="CG315" s="1330"/>
      <c r="CH315" s="1330"/>
      <c r="CI315" s="1330"/>
      <c r="CJ315" s="1330"/>
      <c r="CK315" s="1332"/>
      <c r="CL315" s="1330"/>
      <c r="CM315" s="1330"/>
      <c r="CN315" s="1330"/>
      <c r="CO315" s="1330"/>
      <c r="CP315" s="1332"/>
      <c r="CQ315" s="1330"/>
      <c r="CR315" s="1330"/>
      <c r="CS315" s="1330"/>
      <c r="CT315" s="1330"/>
      <c r="CU315" s="1332"/>
      <c r="CV315" s="1330"/>
      <c r="CW315" s="1330"/>
      <c r="CX315" s="1330"/>
      <c r="CY315" s="1330"/>
      <c r="CZ315" s="1332"/>
      <c r="DA315" s="1330"/>
      <c r="DB315" s="1330"/>
      <c r="DC315" s="1330"/>
      <c r="DD315" s="1330"/>
      <c r="DE315" s="1332"/>
      <c r="DF315" s="1330"/>
      <c r="DG315" s="1330"/>
      <c r="DH315" s="1330"/>
      <c r="DI315" s="1330"/>
      <c r="DJ315" s="1332"/>
      <c r="DK315" s="1330"/>
      <c r="DL315" s="1330"/>
      <c r="DM315" s="1330"/>
      <c r="DN315" s="1330"/>
      <c r="DO315" s="1332"/>
      <c r="DP315" s="1330"/>
      <c r="DQ315" s="1330"/>
      <c r="DR315" s="1330"/>
      <c r="DS315" s="1330"/>
      <c r="DT315" s="1332"/>
      <c r="DU315" s="1330"/>
      <c r="DV315" s="1330"/>
      <c r="DW315" s="1330"/>
      <c r="DX315" s="1330"/>
      <c r="DY315" s="1332"/>
    </row>
    <row r="316" spans="1:129" x14ac:dyDescent="0.2">
      <c r="A316" s="532"/>
      <c r="B316" s="1287" t="s">
        <v>1149</v>
      </c>
      <c r="C316" s="650"/>
      <c r="D316" s="650"/>
      <c r="E316" s="650"/>
      <c r="F316" s="650"/>
      <c r="G316" s="650"/>
      <c r="H316" s="650"/>
      <c r="I316" s="650"/>
      <c r="J316" s="650"/>
      <c r="K316" s="650"/>
      <c r="L316" s="650"/>
      <c r="M316" s="650"/>
      <c r="N316" s="650"/>
      <c r="O316" s="650"/>
      <c r="P316" s="650"/>
      <c r="Q316" s="650"/>
      <c r="R316" s="650"/>
      <c r="S316" s="650"/>
      <c r="T316" s="650"/>
      <c r="U316" s="650"/>
      <c r="V316" s="650"/>
      <c r="W316" s="650"/>
      <c r="X316" s="1288"/>
      <c r="Y316" s="650"/>
      <c r="Z316" s="650"/>
      <c r="AA316" s="650"/>
      <c r="AB316" s="650"/>
      <c r="AC316" s="1288"/>
      <c r="AD316" s="650"/>
      <c r="AE316" s="650"/>
      <c r="AF316" s="650"/>
      <c r="AG316" s="650"/>
      <c r="AH316" s="1288"/>
      <c r="AI316" s="650"/>
      <c r="AJ316" s="650"/>
      <c r="AK316" s="650"/>
      <c r="AL316" s="650"/>
      <c r="AM316" s="1288"/>
      <c r="AN316" s="650"/>
      <c r="AO316" s="650"/>
      <c r="AP316" s="650"/>
      <c r="AQ316" s="650"/>
      <c r="AR316" s="1288"/>
      <c r="AS316" s="650"/>
      <c r="AT316" s="650"/>
      <c r="AU316" s="650"/>
      <c r="AV316" s="650"/>
      <c r="AW316" s="1288"/>
      <c r="AX316" s="650"/>
      <c r="AY316" s="650"/>
      <c r="AZ316" s="650"/>
      <c r="BA316" s="650"/>
      <c r="BB316" s="1288"/>
      <c r="BC316" s="650"/>
      <c r="BD316" s="650"/>
      <c r="BE316" s="650"/>
      <c r="BF316" s="650"/>
      <c r="BG316" s="1288"/>
      <c r="BH316" s="650"/>
      <c r="BI316" s="650"/>
      <c r="BJ316" s="650"/>
      <c r="BK316" s="650"/>
      <c r="BL316" s="583"/>
      <c r="BM316" s="650"/>
      <c r="BN316" s="650"/>
      <c r="BO316" s="650"/>
      <c r="BP316" s="650"/>
      <c r="BQ316" s="583"/>
      <c r="BR316" s="650"/>
      <c r="BS316" s="650"/>
      <c r="BT316" s="650"/>
      <c r="BU316" s="650"/>
      <c r="BV316" s="583"/>
      <c r="BW316" s="650"/>
      <c r="BX316" s="650"/>
      <c r="BY316" s="650"/>
      <c r="BZ316" s="650"/>
      <c r="CA316" s="583"/>
      <c r="CB316" s="650"/>
      <c r="CC316" s="650"/>
      <c r="CD316" s="650"/>
      <c r="CE316" s="650"/>
      <c r="CF316" s="583"/>
      <c r="CG316" s="650"/>
      <c r="CH316" s="650"/>
      <c r="CI316" s="650"/>
      <c r="CJ316" s="650"/>
      <c r="CK316" s="583"/>
      <c r="CL316" s="650"/>
      <c r="CM316" s="650"/>
      <c r="CN316" s="650"/>
      <c r="CO316" s="650"/>
      <c r="CP316" s="583"/>
      <c r="CQ316" s="650"/>
      <c r="CR316" s="650"/>
      <c r="CS316" s="650"/>
      <c r="CT316" s="650"/>
      <c r="CU316" s="583"/>
      <c r="CV316" s="650"/>
      <c r="CW316" s="650"/>
      <c r="CX316" s="650"/>
      <c r="CY316" s="650"/>
      <c r="CZ316" s="583"/>
      <c r="DA316" s="650"/>
      <c r="DB316" s="650"/>
      <c r="DC316" s="650"/>
      <c r="DD316" s="650"/>
      <c r="DE316" s="583"/>
      <c r="DF316" s="650"/>
      <c r="DG316" s="650"/>
      <c r="DH316" s="650"/>
      <c r="DI316" s="650"/>
      <c r="DJ316" s="583"/>
      <c r="DK316" s="650"/>
      <c r="DL316" s="650"/>
      <c r="DM316" s="650"/>
      <c r="DN316" s="650"/>
      <c r="DO316" s="583"/>
      <c r="DP316" s="650"/>
      <c r="DQ316" s="650"/>
      <c r="DR316" s="650"/>
      <c r="DS316" s="650"/>
      <c r="DT316" s="583"/>
      <c r="DU316" s="650"/>
      <c r="DV316" s="650"/>
      <c r="DW316" s="650"/>
      <c r="DX316" s="650"/>
      <c r="DY316" s="583"/>
    </row>
    <row r="317" spans="1:129" x14ac:dyDescent="0.2">
      <c r="A317" s="532"/>
      <c r="B317" s="1287" t="s">
        <v>1150</v>
      </c>
      <c r="C317" s="650"/>
      <c r="D317" s="650"/>
      <c r="E317" s="650"/>
      <c r="F317" s="650"/>
      <c r="G317" s="650"/>
      <c r="H317" s="650"/>
      <c r="I317" s="650"/>
      <c r="J317" s="650"/>
      <c r="K317" s="650"/>
      <c r="L317" s="650"/>
      <c r="M317" s="650"/>
      <c r="N317" s="650"/>
      <c r="O317" s="650"/>
      <c r="P317" s="650"/>
      <c r="Q317" s="650"/>
      <c r="R317" s="650"/>
      <c r="S317" s="650"/>
      <c r="T317" s="650"/>
      <c r="U317" s="650"/>
      <c r="V317" s="650"/>
      <c r="W317" s="650"/>
      <c r="X317" s="1288"/>
      <c r="Y317" s="650"/>
      <c r="Z317" s="650"/>
      <c r="AA317" s="650"/>
      <c r="AB317" s="650"/>
      <c r="AC317" s="1288"/>
      <c r="AD317" s="650"/>
      <c r="AE317" s="650"/>
      <c r="AF317" s="650"/>
      <c r="AG317" s="650"/>
      <c r="AH317" s="1288"/>
      <c r="AI317" s="650"/>
      <c r="AJ317" s="650"/>
      <c r="AK317" s="650"/>
      <c r="AL317" s="650"/>
      <c r="AM317" s="1288"/>
      <c r="AN317" s="650"/>
      <c r="AO317" s="650"/>
      <c r="AP317" s="650"/>
      <c r="AQ317" s="650"/>
      <c r="AR317" s="1288"/>
      <c r="AS317" s="650"/>
      <c r="AT317" s="650"/>
      <c r="AU317" s="650"/>
      <c r="AV317" s="650"/>
      <c r="AW317" s="1288"/>
      <c r="AX317" s="650"/>
      <c r="AY317" s="650"/>
      <c r="AZ317" s="650"/>
      <c r="BA317" s="650"/>
      <c r="BB317" s="1288"/>
      <c r="BC317" s="650"/>
      <c r="BD317" s="650"/>
      <c r="BE317" s="650"/>
      <c r="BF317" s="650"/>
      <c r="BG317" s="1289"/>
      <c r="BH317" s="650"/>
      <c r="BI317" s="650"/>
      <c r="BJ317" s="650"/>
      <c r="BK317" s="650"/>
      <c r="BL317" s="1333"/>
      <c r="BM317" s="650"/>
      <c r="BN317" s="650"/>
      <c r="BO317" s="650"/>
      <c r="BP317" s="650"/>
      <c r="BQ317" s="1333"/>
      <c r="BR317" s="650"/>
      <c r="BS317" s="650"/>
      <c r="BT317" s="650"/>
      <c r="BU317" s="650"/>
      <c r="BV317" s="1333"/>
      <c r="BW317" s="650"/>
      <c r="BX317" s="650"/>
      <c r="BY317" s="650"/>
      <c r="BZ317" s="650"/>
      <c r="CA317" s="1333"/>
      <c r="CB317" s="1339"/>
      <c r="CC317" s="1339"/>
      <c r="CD317" s="1339"/>
      <c r="CE317" s="1339"/>
      <c r="CF317" s="1333"/>
      <c r="CG317" s="1339"/>
      <c r="CH317" s="1339"/>
      <c r="CI317" s="1339"/>
      <c r="CJ317" s="1334">
        <v>2.75E-2</v>
      </c>
      <c r="CK317" s="1333"/>
      <c r="CL317" s="1334">
        <f>CJ317</f>
        <v>2.75E-2</v>
      </c>
      <c r="CM317" s="1334">
        <f>CL317</f>
        <v>2.75E-2</v>
      </c>
      <c r="CN317" s="1334">
        <f>CM317</f>
        <v>2.75E-2</v>
      </c>
      <c r="CO317" s="1334">
        <f>CN317</f>
        <v>2.75E-2</v>
      </c>
      <c r="CP317" s="1333"/>
      <c r="CQ317" s="1334">
        <f>CO317</f>
        <v>2.75E-2</v>
      </c>
      <c r="CR317" s="1334">
        <f>CQ317</f>
        <v>2.75E-2</v>
      </c>
      <c r="CS317" s="1334">
        <f>CR317</f>
        <v>2.75E-2</v>
      </c>
      <c r="CT317" s="1334">
        <f>CS317</f>
        <v>2.75E-2</v>
      </c>
      <c r="CU317" s="1333"/>
      <c r="CV317" s="1334">
        <f>CT317</f>
        <v>2.75E-2</v>
      </c>
      <c r="CW317" s="1334">
        <f>CV317</f>
        <v>2.75E-2</v>
      </c>
      <c r="CX317" s="1334">
        <f>CW317</f>
        <v>2.75E-2</v>
      </c>
      <c r="CY317" s="1334">
        <f>CX317</f>
        <v>2.75E-2</v>
      </c>
      <c r="CZ317" s="1333"/>
      <c r="DA317" s="1334">
        <f>CY317</f>
        <v>2.75E-2</v>
      </c>
      <c r="DB317" s="1334">
        <f>DA317</f>
        <v>2.75E-2</v>
      </c>
      <c r="DC317" s="1334">
        <f>DB317</f>
        <v>2.75E-2</v>
      </c>
      <c r="DD317" s="1334">
        <f>DC317</f>
        <v>2.75E-2</v>
      </c>
      <c r="DE317" s="1333"/>
      <c r="DF317" s="1334">
        <f>DD317</f>
        <v>2.75E-2</v>
      </c>
      <c r="DG317" s="1334">
        <f>DF317</f>
        <v>2.75E-2</v>
      </c>
      <c r="DH317" s="1334">
        <f>DG317</f>
        <v>2.75E-2</v>
      </c>
      <c r="DI317" s="1334">
        <f>DH317</f>
        <v>2.75E-2</v>
      </c>
      <c r="DJ317" s="1333"/>
      <c r="DK317" s="1334">
        <f>DI317</f>
        <v>2.75E-2</v>
      </c>
      <c r="DL317" s="1334">
        <f>DK317</f>
        <v>2.75E-2</v>
      </c>
      <c r="DM317" s="1334">
        <f>DL317</f>
        <v>2.75E-2</v>
      </c>
      <c r="DN317" s="1334">
        <f>DM317</f>
        <v>2.75E-2</v>
      </c>
      <c r="DO317" s="1333"/>
      <c r="DP317" s="1334">
        <f>DN317</f>
        <v>2.75E-2</v>
      </c>
      <c r="DQ317" s="1334">
        <f>DP317</f>
        <v>2.75E-2</v>
      </c>
      <c r="DR317" s="1334">
        <f>DQ317</f>
        <v>2.75E-2</v>
      </c>
      <c r="DS317" s="1334">
        <f>DR317</f>
        <v>2.75E-2</v>
      </c>
      <c r="DT317" s="1333"/>
      <c r="DU317" s="1334">
        <f>DS317</f>
        <v>2.75E-2</v>
      </c>
      <c r="DV317" s="1334">
        <f>DU317</f>
        <v>2.75E-2</v>
      </c>
      <c r="DW317" s="1334">
        <f>DV317</f>
        <v>2.75E-2</v>
      </c>
      <c r="DX317" s="1334">
        <f>DW317</f>
        <v>2.75E-2</v>
      </c>
      <c r="DY317" s="1333"/>
    </row>
    <row r="318" spans="1:129" x14ac:dyDescent="0.2">
      <c r="A318" s="1223"/>
      <c r="B318" s="1190" t="s">
        <v>1151</v>
      </c>
      <c r="C318" s="1293"/>
      <c r="D318" s="1293"/>
      <c r="E318" s="1293"/>
      <c r="F318" s="1293"/>
      <c r="G318" s="1293"/>
      <c r="H318" s="1293"/>
      <c r="I318" s="1293"/>
      <c r="J318" s="1293"/>
      <c r="K318" s="1293"/>
      <c r="L318" s="1293"/>
      <c r="M318" s="1293"/>
      <c r="N318" s="1293"/>
      <c r="O318" s="1293"/>
      <c r="P318" s="1293"/>
      <c r="Q318" s="1293"/>
      <c r="R318" s="1293"/>
      <c r="S318" s="1293"/>
      <c r="T318" s="1293"/>
      <c r="U318" s="1293"/>
      <c r="V318" s="1293"/>
      <c r="W318" s="1293"/>
      <c r="X318" s="1227"/>
      <c r="Y318" s="1231"/>
      <c r="Z318" s="1231"/>
      <c r="AA318" s="1231"/>
      <c r="AB318" s="1294"/>
      <c r="AC318" s="1227"/>
      <c r="AD318" s="1231"/>
      <c r="AE318" s="1231"/>
      <c r="AF318" s="1231"/>
      <c r="AG318" s="1294"/>
      <c r="AH318" s="1227"/>
      <c r="AI318" s="1231"/>
      <c r="AJ318" s="1231"/>
      <c r="AK318" s="1231"/>
      <c r="AL318" s="1294"/>
      <c r="AM318" s="1227"/>
      <c r="AN318" s="1231"/>
      <c r="AO318" s="1231"/>
      <c r="AP318" s="1231"/>
      <c r="AQ318" s="1294"/>
      <c r="AR318" s="1227"/>
      <c r="AS318" s="1231"/>
      <c r="AT318" s="1231"/>
      <c r="AU318" s="1231"/>
      <c r="AV318" s="1294"/>
      <c r="AW318" s="1227"/>
      <c r="AX318" s="1231"/>
      <c r="AY318" s="1231"/>
      <c r="AZ318" s="1231"/>
      <c r="BA318" s="1231"/>
      <c r="BB318" s="1227"/>
      <c r="BC318" s="1231"/>
      <c r="BD318" s="1231"/>
      <c r="BE318" s="1231"/>
      <c r="BF318" s="1231"/>
      <c r="BG318" s="1227"/>
      <c r="BH318" s="1231"/>
      <c r="BI318" s="1231"/>
      <c r="BJ318" s="1231"/>
      <c r="BK318" s="1231"/>
      <c r="BL318" s="1326"/>
      <c r="BM318" s="1231"/>
      <c r="BN318" s="1231"/>
      <c r="BO318" s="1231"/>
      <c r="BP318" s="1231"/>
      <c r="BQ318" s="1326"/>
      <c r="BR318" s="1231"/>
      <c r="BS318" s="1231"/>
      <c r="BT318" s="1231"/>
      <c r="BU318" s="1231"/>
      <c r="BV318" s="1326"/>
      <c r="BW318" s="1231"/>
      <c r="BX318" s="1231"/>
      <c r="BY318" s="1231"/>
      <c r="BZ318" s="1231"/>
      <c r="CA318" s="1326"/>
      <c r="CB318" s="1231"/>
      <c r="CC318" s="1231"/>
      <c r="CD318" s="1231"/>
      <c r="CE318" s="1231"/>
      <c r="CF318" s="1326"/>
      <c r="CG318" s="1231"/>
      <c r="CH318" s="1231"/>
      <c r="CI318" s="1231"/>
      <c r="CJ318" s="1231"/>
      <c r="CK318" s="1326"/>
      <c r="CL318" s="1231"/>
      <c r="CM318" s="1231"/>
      <c r="CN318" s="1231"/>
      <c r="CO318" s="1231"/>
      <c r="CP318" s="1326"/>
      <c r="CQ318" s="1231"/>
      <c r="CR318" s="1231"/>
      <c r="CS318" s="1231"/>
      <c r="CT318" s="1231"/>
      <c r="CU318" s="1326"/>
      <c r="CV318" s="1231"/>
      <c r="CW318" s="1231"/>
      <c r="CX318" s="1231"/>
      <c r="CY318" s="1231"/>
      <c r="CZ318" s="1326"/>
      <c r="DA318" s="1231"/>
      <c r="DB318" s="1231"/>
      <c r="DC318" s="1231"/>
      <c r="DD318" s="1231"/>
      <c r="DE318" s="1326"/>
      <c r="DF318" s="1231"/>
      <c r="DG318" s="1231"/>
      <c r="DH318" s="1231"/>
      <c r="DI318" s="1231"/>
      <c r="DJ318" s="1326"/>
      <c r="DK318" s="1231"/>
      <c r="DL318" s="1231"/>
      <c r="DM318" s="1231"/>
      <c r="DN318" s="1231"/>
      <c r="DO318" s="1326"/>
      <c r="DP318" s="1231"/>
      <c r="DQ318" s="1231"/>
      <c r="DR318" s="1231"/>
      <c r="DS318" s="1231"/>
      <c r="DT318" s="1326"/>
      <c r="DU318" s="1231"/>
      <c r="DV318" s="1231"/>
      <c r="DW318" s="1231"/>
      <c r="DX318" s="1231"/>
      <c r="DY318" s="1326"/>
    </row>
    <row r="319" spans="1:129" x14ac:dyDescent="0.2">
      <c r="A319" s="1223"/>
      <c r="B319" s="1190" t="s">
        <v>1152</v>
      </c>
      <c r="C319" s="1231"/>
      <c r="D319" s="1231"/>
      <c r="E319" s="1231"/>
      <c r="F319" s="1231"/>
      <c r="G319" s="1231"/>
      <c r="H319" s="1231"/>
      <c r="I319" s="1231"/>
      <c r="J319" s="1231"/>
      <c r="K319" s="1231"/>
      <c r="L319" s="1231"/>
      <c r="M319" s="1231"/>
      <c r="N319" s="1231"/>
      <c r="O319" s="1231"/>
      <c r="P319" s="1231"/>
      <c r="Q319" s="1231"/>
      <c r="R319" s="1231"/>
      <c r="S319" s="1231"/>
      <c r="T319" s="1231"/>
      <c r="U319" s="1231"/>
      <c r="V319" s="1231"/>
      <c r="W319" s="1231"/>
      <c r="X319" s="1227"/>
      <c r="Y319" s="1231"/>
      <c r="Z319" s="1231"/>
      <c r="AA319" s="1231"/>
      <c r="AB319" s="1231"/>
      <c r="AC319" s="1227"/>
      <c r="AD319" s="1231"/>
      <c r="AE319" s="1231"/>
      <c r="AF319" s="1231"/>
      <c r="AG319" s="1231"/>
      <c r="AH319" s="1227"/>
      <c r="AI319" s="1231"/>
      <c r="AJ319" s="1231"/>
      <c r="AK319" s="1231"/>
      <c r="AL319" s="1231"/>
      <c r="AM319" s="1227"/>
      <c r="AN319" s="1231"/>
      <c r="AO319" s="1231"/>
      <c r="AP319" s="1231"/>
      <c r="AQ319" s="1231"/>
      <c r="AR319" s="1227"/>
      <c r="AS319" s="1231"/>
      <c r="AT319" s="1231"/>
      <c r="AU319" s="1231"/>
      <c r="AV319" s="1231"/>
      <c r="AW319" s="1227"/>
      <c r="AX319" s="1231"/>
      <c r="AY319" s="1231"/>
      <c r="AZ319" s="1231"/>
      <c r="BA319" s="1231"/>
      <c r="BB319" s="1227"/>
      <c r="BC319" s="1231"/>
      <c r="BD319" s="1231"/>
      <c r="BE319" s="1231"/>
      <c r="BF319" s="1231"/>
      <c r="BG319" s="1227"/>
      <c r="BH319" s="1231"/>
      <c r="BI319" s="1231"/>
      <c r="BJ319" s="1231"/>
      <c r="BK319" s="1231"/>
      <c r="BL319" s="1326"/>
      <c r="BM319" s="1231"/>
      <c r="BN319" s="1231"/>
      <c r="BO319" s="1231"/>
      <c r="BP319" s="1231"/>
      <c r="BQ319" s="1326"/>
      <c r="BR319" s="1231"/>
      <c r="BS319" s="1231"/>
      <c r="BT319" s="1231"/>
      <c r="BU319" s="1231"/>
      <c r="BV319" s="1326"/>
      <c r="BW319" s="1231"/>
      <c r="BX319" s="1231"/>
      <c r="BY319" s="1231"/>
      <c r="BZ319" s="1231"/>
      <c r="CA319" s="1326"/>
      <c r="CB319" s="1231"/>
      <c r="CC319" s="1231"/>
      <c r="CD319" s="1231"/>
      <c r="CE319" s="1231"/>
      <c r="CF319" s="1326"/>
      <c r="CG319" s="1231"/>
      <c r="CH319" s="1231"/>
      <c r="CI319" s="1231"/>
      <c r="CJ319" s="1223">
        <v>1250</v>
      </c>
      <c r="CK319" s="1326">
        <f>CJ319</f>
        <v>1250</v>
      </c>
      <c r="CL319" s="1223">
        <f>+CJ321</f>
        <v>1250</v>
      </c>
      <c r="CM319" s="1223">
        <f>+CL321</f>
        <v>1250</v>
      </c>
      <c r="CN319" s="1223">
        <f>+CM321</f>
        <v>1250</v>
      </c>
      <c r="CO319" s="1223">
        <f>+CN321</f>
        <v>1250</v>
      </c>
      <c r="CP319" s="1326">
        <f>CK321</f>
        <v>1250</v>
      </c>
      <c r="CQ319" s="1223">
        <f>+CO319</f>
        <v>1250</v>
      </c>
      <c r="CR319" s="1223">
        <f>+CQ321</f>
        <v>1250</v>
      </c>
      <c r="CS319" s="1223">
        <f>+CR321</f>
        <v>1250</v>
      </c>
      <c r="CT319" s="1223">
        <f>+CS321</f>
        <v>1250</v>
      </c>
      <c r="CU319" s="1326">
        <f>CP321</f>
        <v>1250</v>
      </c>
      <c r="CV319" s="1223">
        <f>+CT319</f>
        <v>1250</v>
      </c>
      <c r="CW319" s="1223">
        <f>+CV321</f>
        <v>1250</v>
      </c>
      <c r="CX319" s="1223">
        <f>+CW321</f>
        <v>1250</v>
      </c>
      <c r="CY319" s="1223">
        <f>+CX321</f>
        <v>1250</v>
      </c>
      <c r="CZ319" s="1326">
        <f>CU321</f>
        <v>1250</v>
      </c>
      <c r="DA319" s="1223">
        <f>+CY319</f>
        <v>1250</v>
      </c>
      <c r="DB319" s="1223">
        <f>+DA321</f>
        <v>1250</v>
      </c>
      <c r="DC319" s="1223">
        <f>+DB321</f>
        <v>1250</v>
      </c>
      <c r="DD319" s="1223">
        <f>+DC321</f>
        <v>1250</v>
      </c>
      <c r="DE319" s="1326">
        <f>CZ321</f>
        <v>1250</v>
      </c>
      <c r="DF319" s="1223">
        <f>+DD319</f>
        <v>1250</v>
      </c>
      <c r="DG319" s="1223">
        <f>+DF321</f>
        <v>1250</v>
      </c>
      <c r="DH319" s="1223">
        <f>+DG321</f>
        <v>1250</v>
      </c>
      <c r="DI319" s="1223">
        <f>+DH321</f>
        <v>1250</v>
      </c>
      <c r="DJ319" s="1326">
        <f>DE321</f>
        <v>1250</v>
      </c>
      <c r="DK319" s="1223">
        <f>+DI319</f>
        <v>1250</v>
      </c>
      <c r="DL319" s="1223">
        <f>+DK321</f>
        <v>1250</v>
      </c>
      <c r="DM319" s="1223">
        <f>+DL321</f>
        <v>1250</v>
      </c>
      <c r="DN319" s="1223">
        <f>+DM321</f>
        <v>1250</v>
      </c>
      <c r="DO319" s="1326">
        <f>DJ321</f>
        <v>1250</v>
      </c>
      <c r="DP319" s="1223">
        <f>+DN319</f>
        <v>1250</v>
      </c>
      <c r="DQ319" s="1223">
        <f>+DP321</f>
        <v>1250</v>
      </c>
      <c r="DR319" s="1223">
        <f>+DQ321</f>
        <v>1250</v>
      </c>
      <c r="DS319" s="1223">
        <f>+DR321</f>
        <v>1250</v>
      </c>
      <c r="DT319" s="1326">
        <f>DO321</f>
        <v>1250</v>
      </c>
      <c r="DU319" s="1223">
        <f>+DS319</f>
        <v>1250</v>
      </c>
      <c r="DV319" s="1223">
        <f>+DU321</f>
        <v>1250</v>
      </c>
      <c r="DW319" s="1223">
        <f>+DV321</f>
        <v>1250</v>
      </c>
      <c r="DX319" s="1223">
        <f>+DW321</f>
        <v>1250</v>
      </c>
      <c r="DY319" s="1326">
        <f>DT321</f>
        <v>1250</v>
      </c>
    </row>
    <row r="320" spans="1:129" x14ac:dyDescent="0.2">
      <c r="A320" s="1295"/>
      <c r="B320" s="1190" t="s">
        <v>1153</v>
      </c>
      <c r="C320" s="1182"/>
      <c r="D320" s="1182"/>
      <c r="E320" s="1182"/>
      <c r="F320" s="1182"/>
      <c r="G320" s="1182"/>
      <c r="H320" s="1182"/>
      <c r="I320" s="1182"/>
      <c r="J320" s="1182"/>
      <c r="K320" s="1182"/>
      <c r="L320" s="1182"/>
      <c r="M320" s="1182"/>
      <c r="N320" s="1182"/>
      <c r="O320" s="1182"/>
      <c r="P320" s="1182"/>
      <c r="Q320" s="1182"/>
      <c r="R320" s="1182"/>
      <c r="S320" s="1182"/>
      <c r="T320" s="1182"/>
      <c r="U320" s="1182"/>
      <c r="V320" s="1182"/>
      <c r="W320" s="1182"/>
      <c r="X320" s="1296"/>
      <c r="Y320" s="1297"/>
      <c r="Z320" s="1297"/>
      <c r="AA320" s="1297"/>
      <c r="AB320" s="1297"/>
      <c r="AC320" s="1296"/>
      <c r="AD320" s="1297"/>
      <c r="AE320" s="1297"/>
      <c r="AF320" s="1297"/>
      <c r="AG320" s="1297"/>
      <c r="AH320" s="1296"/>
      <c r="AI320" s="1297"/>
      <c r="AJ320" s="1297"/>
      <c r="AK320" s="1297"/>
      <c r="AL320" s="1297"/>
      <c r="AM320" s="1296"/>
      <c r="AN320" s="1297"/>
      <c r="AO320" s="1297"/>
      <c r="AP320" s="1297"/>
      <c r="AQ320" s="1297"/>
      <c r="AR320" s="1296"/>
      <c r="AS320" s="1297"/>
      <c r="AT320" s="1297"/>
      <c r="AU320" s="1297"/>
      <c r="AV320" s="1297"/>
      <c r="AW320" s="1296"/>
      <c r="AX320" s="1298"/>
      <c r="AY320" s="1299"/>
      <c r="AZ320" s="1299"/>
      <c r="BA320" s="1298"/>
      <c r="BB320" s="1300"/>
      <c r="BC320" s="1298"/>
      <c r="BD320" s="1298"/>
      <c r="BE320" s="1298"/>
      <c r="BF320" s="1298"/>
      <c r="BG320" s="1296"/>
      <c r="BH320" s="1298"/>
      <c r="BI320" s="1298"/>
      <c r="BJ320" s="1298"/>
      <c r="BK320" s="1298"/>
      <c r="BL320" s="1335"/>
      <c r="BM320" s="1298"/>
      <c r="BN320" s="1298"/>
      <c r="BO320" s="1298"/>
      <c r="BP320" s="1298"/>
      <c r="BQ320" s="1335"/>
      <c r="BR320" s="1298"/>
      <c r="BS320" s="1298"/>
      <c r="BT320" s="1298"/>
      <c r="BU320" s="1298"/>
      <c r="BV320" s="1335"/>
      <c r="BW320" s="1298"/>
      <c r="BX320" s="1298"/>
      <c r="BY320" s="1298"/>
      <c r="BZ320" s="1298"/>
      <c r="CA320" s="1335"/>
      <c r="CB320" s="1336"/>
      <c r="CC320" s="1336"/>
      <c r="CD320" s="1298"/>
      <c r="CE320" s="1298"/>
      <c r="CF320" s="1335"/>
      <c r="CG320" s="1298"/>
      <c r="CH320" s="1298"/>
      <c r="CI320" s="1298"/>
      <c r="CJ320" s="1298">
        <v>0</v>
      </c>
      <c r="CK320" s="1335">
        <f>+SUM(CG320:CJ320)</f>
        <v>0</v>
      </c>
      <c r="CL320" s="1298">
        <v>0</v>
      </c>
      <c r="CM320" s="1298">
        <v>0</v>
      </c>
      <c r="CN320" s="1298">
        <v>0</v>
      </c>
      <c r="CO320" s="1298">
        <v>0</v>
      </c>
      <c r="CP320" s="1335">
        <f>+SUM(CL320:CO320)</f>
        <v>0</v>
      </c>
      <c r="CQ320" s="1298">
        <v>0</v>
      </c>
      <c r="CR320" s="1298">
        <v>0</v>
      </c>
      <c r="CS320" s="1298">
        <v>0</v>
      </c>
      <c r="CT320" s="1298">
        <v>0</v>
      </c>
      <c r="CU320" s="1335">
        <f>+SUM(CQ320:CT320)</f>
        <v>0</v>
      </c>
      <c r="CV320" s="1298">
        <v>0</v>
      </c>
      <c r="CW320" s="1298">
        <v>0</v>
      </c>
      <c r="CX320" s="1298">
        <v>0</v>
      </c>
      <c r="CY320" s="1298">
        <v>0</v>
      </c>
      <c r="CZ320" s="1335">
        <f>+SUM(CV320:CY320)</f>
        <v>0</v>
      </c>
      <c r="DA320" s="1298">
        <v>0</v>
      </c>
      <c r="DB320" s="1298">
        <v>0</v>
      </c>
      <c r="DC320" s="1298">
        <v>0</v>
      </c>
      <c r="DD320" s="1298">
        <v>0</v>
      </c>
      <c r="DE320" s="1335">
        <f>+SUM(DA320:DD320)</f>
        <v>0</v>
      </c>
      <c r="DF320" s="1298">
        <v>0</v>
      </c>
      <c r="DG320" s="1298">
        <v>0</v>
      </c>
      <c r="DH320" s="1298">
        <v>0</v>
      </c>
      <c r="DI320" s="1298">
        <v>0</v>
      </c>
      <c r="DJ320" s="1335">
        <f>+SUM(DF320:DI320)</f>
        <v>0</v>
      </c>
      <c r="DK320" s="1298">
        <v>0</v>
      </c>
      <c r="DL320" s="1298">
        <v>0</v>
      </c>
      <c r="DM320" s="1298">
        <v>0</v>
      </c>
      <c r="DN320" s="1298">
        <v>0</v>
      </c>
      <c r="DO320" s="1335">
        <f>+SUM(DK320:DN320)</f>
        <v>0</v>
      </c>
      <c r="DP320" s="1298">
        <v>0</v>
      </c>
      <c r="DQ320" s="1298">
        <v>0</v>
      </c>
      <c r="DR320" s="1298">
        <v>0</v>
      </c>
      <c r="DS320" s="1298">
        <v>0</v>
      </c>
      <c r="DT320" s="1335">
        <f>+SUM(DP320:DS320)</f>
        <v>0</v>
      </c>
      <c r="DU320" s="1298">
        <v>0</v>
      </c>
      <c r="DV320" s="1298">
        <v>0</v>
      </c>
      <c r="DW320" s="1298">
        <v>0</v>
      </c>
      <c r="DX320" s="1298">
        <v>0</v>
      </c>
      <c r="DY320" s="1335">
        <f>+SUM(DU320:DX320)</f>
        <v>0</v>
      </c>
    </row>
    <row r="321" spans="1:129" x14ac:dyDescent="0.2">
      <c r="A321" s="1295"/>
      <c r="B321" s="1190" t="s">
        <v>1154</v>
      </c>
      <c r="C321" s="1182"/>
      <c r="D321" s="1182"/>
      <c r="E321" s="1182"/>
      <c r="F321" s="1182"/>
      <c r="G321" s="1182"/>
      <c r="H321" s="1182"/>
      <c r="I321" s="1182"/>
      <c r="J321" s="1182"/>
      <c r="K321" s="1182"/>
      <c r="L321" s="1182"/>
      <c r="M321" s="1182"/>
      <c r="N321" s="1182"/>
      <c r="O321" s="1182"/>
      <c r="P321" s="1182"/>
      <c r="Q321" s="1182"/>
      <c r="R321" s="1182"/>
      <c r="S321" s="1182"/>
      <c r="T321" s="1182"/>
      <c r="U321" s="1182"/>
      <c r="V321" s="1182"/>
      <c r="W321" s="1182"/>
      <c r="X321" s="1304"/>
      <c r="Y321" s="1305"/>
      <c r="Z321" s="1305"/>
      <c r="AA321" s="1305"/>
      <c r="AB321" s="1305"/>
      <c r="AC321" s="1304"/>
      <c r="AD321" s="1305"/>
      <c r="AE321" s="1305"/>
      <c r="AF321" s="1305"/>
      <c r="AG321" s="1305"/>
      <c r="AH321" s="1304"/>
      <c r="AI321" s="1305"/>
      <c r="AJ321" s="1305"/>
      <c r="AK321" s="1305"/>
      <c r="AL321" s="1305"/>
      <c r="AM321" s="1304"/>
      <c r="AN321" s="1305"/>
      <c r="AO321" s="1305"/>
      <c r="AP321" s="1305"/>
      <c r="AQ321" s="1305"/>
      <c r="AR321" s="1304"/>
      <c r="AS321" s="1305"/>
      <c r="AT321" s="1305"/>
      <c r="AU321" s="1305"/>
      <c r="AV321" s="1305"/>
      <c r="AW321" s="1304"/>
      <c r="AX321" s="1305"/>
      <c r="AY321" s="1305"/>
      <c r="AZ321" s="1305"/>
      <c r="BA321" s="1305"/>
      <c r="BB321" s="1304"/>
      <c r="BC321" s="1305"/>
      <c r="BD321" s="1305"/>
      <c r="BE321" s="1305"/>
      <c r="BF321" s="1305"/>
      <c r="BG321" s="1306"/>
      <c r="BH321" s="1305"/>
      <c r="BI321" s="1305"/>
      <c r="BJ321" s="1305"/>
      <c r="BK321" s="1305"/>
      <c r="BL321" s="1337"/>
      <c r="BM321" s="1305"/>
      <c r="BN321" s="1305"/>
      <c r="BO321" s="1305"/>
      <c r="BP321" s="1305"/>
      <c r="BQ321" s="1337"/>
      <c r="BR321" s="1305"/>
      <c r="BS321" s="1305"/>
      <c r="BT321" s="1305"/>
      <c r="BU321" s="1305"/>
      <c r="BV321" s="1337"/>
      <c r="BW321" s="1305"/>
      <c r="BX321" s="1305"/>
      <c r="BY321" s="1305"/>
      <c r="BZ321" s="1305"/>
      <c r="CA321" s="1337"/>
      <c r="CB321" s="1295"/>
      <c r="CC321" s="1226"/>
      <c r="CD321" s="1305"/>
      <c r="CE321" s="1305"/>
      <c r="CF321" s="1325"/>
      <c r="CG321" s="1305"/>
      <c r="CH321" s="1305"/>
      <c r="CI321" s="1305"/>
      <c r="CJ321" s="1295">
        <f t="shared" ref="CJ321:CZ321" si="209">CJ319+CJ320</f>
        <v>1250</v>
      </c>
      <c r="CK321" s="1325">
        <f t="shared" si="209"/>
        <v>1250</v>
      </c>
      <c r="CL321" s="1295">
        <f t="shared" si="209"/>
        <v>1250</v>
      </c>
      <c r="CM321" s="1295">
        <f t="shared" si="209"/>
        <v>1250</v>
      </c>
      <c r="CN321" s="1295">
        <f t="shared" si="209"/>
        <v>1250</v>
      </c>
      <c r="CO321" s="1295">
        <f t="shared" si="209"/>
        <v>1250</v>
      </c>
      <c r="CP321" s="1325">
        <f t="shared" si="209"/>
        <v>1250</v>
      </c>
      <c r="CQ321" s="1295">
        <f t="shared" si="209"/>
        <v>1250</v>
      </c>
      <c r="CR321" s="1295">
        <f t="shared" si="209"/>
        <v>1250</v>
      </c>
      <c r="CS321" s="1295">
        <f t="shared" si="209"/>
        <v>1250</v>
      </c>
      <c r="CT321" s="1295">
        <f t="shared" si="209"/>
        <v>1250</v>
      </c>
      <c r="CU321" s="1325">
        <f t="shared" si="209"/>
        <v>1250</v>
      </c>
      <c r="CV321" s="1295">
        <f t="shared" si="209"/>
        <v>1250</v>
      </c>
      <c r="CW321" s="1295">
        <f t="shared" si="209"/>
        <v>1250</v>
      </c>
      <c r="CX321" s="1295">
        <f t="shared" si="209"/>
        <v>1250</v>
      </c>
      <c r="CY321" s="1295">
        <f t="shared" si="209"/>
        <v>1250</v>
      </c>
      <c r="CZ321" s="1325">
        <f t="shared" si="209"/>
        <v>1250</v>
      </c>
      <c r="DA321" s="1295">
        <f t="shared" ref="DA321:DJ321" si="210">DA319+DA320</f>
        <v>1250</v>
      </c>
      <c r="DB321" s="1295">
        <f t="shared" si="210"/>
        <v>1250</v>
      </c>
      <c r="DC321" s="1295">
        <f t="shared" si="210"/>
        <v>1250</v>
      </c>
      <c r="DD321" s="1295">
        <f t="shared" si="210"/>
        <v>1250</v>
      </c>
      <c r="DE321" s="1325">
        <f t="shared" si="210"/>
        <v>1250</v>
      </c>
      <c r="DF321" s="1295">
        <f t="shared" si="210"/>
        <v>1250</v>
      </c>
      <c r="DG321" s="1295">
        <f t="shared" si="210"/>
        <v>1250</v>
      </c>
      <c r="DH321" s="1295">
        <f t="shared" si="210"/>
        <v>1250</v>
      </c>
      <c r="DI321" s="1295">
        <f t="shared" si="210"/>
        <v>1250</v>
      </c>
      <c r="DJ321" s="1325">
        <f t="shared" si="210"/>
        <v>1250</v>
      </c>
      <c r="DK321" s="1295">
        <f t="shared" ref="DK321:DT321" si="211">DK319+DK320</f>
        <v>1250</v>
      </c>
      <c r="DL321" s="1295">
        <f t="shared" si="211"/>
        <v>1250</v>
      </c>
      <c r="DM321" s="1295">
        <f t="shared" si="211"/>
        <v>1250</v>
      </c>
      <c r="DN321" s="1295">
        <f t="shared" si="211"/>
        <v>1250</v>
      </c>
      <c r="DO321" s="1325">
        <f t="shared" si="211"/>
        <v>1250</v>
      </c>
      <c r="DP321" s="1295">
        <f t="shared" si="211"/>
        <v>1250</v>
      </c>
      <c r="DQ321" s="1295">
        <f t="shared" si="211"/>
        <v>1250</v>
      </c>
      <c r="DR321" s="1295">
        <f t="shared" si="211"/>
        <v>1250</v>
      </c>
      <c r="DS321" s="1295">
        <f t="shared" si="211"/>
        <v>1250</v>
      </c>
      <c r="DT321" s="1325">
        <f t="shared" si="211"/>
        <v>1250</v>
      </c>
      <c r="DU321" s="1295">
        <f t="shared" ref="DU321:DY321" si="212">DU319+DU320</f>
        <v>1250</v>
      </c>
      <c r="DV321" s="1295">
        <f t="shared" si="212"/>
        <v>1250</v>
      </c>
      <c r="DW321" s="1295">
        <f t="shared" si="212"/>
        <v>1250</v>
      </c>
      <c r="DX321" s="1295">
        <f t="shared" si="212"/>
        <v>1250</v>
      </c>
      <c r="DY321" s="1325">
        <f t="shared" si="212"/>
        <v>1250</v>
      </c>
    </row>
    <row r="322" spans="1:129" x14ac:dyDescent="0.2">
      <c r="A322" s="1223"/>
      <c r="B322" s="1190" t="s">
        <v>1155</v>
      </c>
      <c r="C322" s="1182"/>
      <c r="D322" s="1182"/>
      <c r="E322" s="1182"/>
      <c r="F322" s="1182"/>
      <c r="G322" s="1182"/>
      <c r="H322" s="1182"/>
      <c r="I322" s="1182"/>
      <c r="J322" s="1182"/>
      <c r="K322" s="1182"/>
      <c r="L322" s="1182"/>
      <c r="M322" s="1182"/>
      <c r="N322" s="1182"/>
      <c r="O322" s="1182"/>
      <c r="P322" s="1182"/>
      <c r="Q322" s="1182"/>
      <c r="R322" s="1182"/>
      <c r="S322" s="1182"/>
      <c r="T322" s="1182"/>
      <c r="U322" s="1182"/>
      <c r="V322" s="1182"/>
      <c r="W322" s="1182"/>
      <c r="X322" s="1227"/>
      <c r="Y322" s="1231"/>
      <c r="Z322" s="1231"/>
      <c r="AA322" s="1231"/>
      <c r="AB322" s="1231"/>
      <c r="AC322" s="1227"/>
      <c r="AD322" s="1231"/>
      <c r="AE322" s="1231"/>
      <c r="AF322" s="1231"/>
      <c r="AG322" s="1231"/>
      <c r="AH322" s="1227"/>
      <c r="AI322" s="1231"/>
      <c r="AJ322" s="1231"/>
      <c r="AK322" s="1231"/>
      <c r="AL322" s="1231"/>
      <c r="AM322" s="1227"/>
      <c r="AN322" s="1231"/>
      <c r="AO322" s="1231"/>
      <c r="AP322" s="1231"/>
      <c r="AQ322" s="1231"/>
      <c r="AR322" s="1227"/>
      <c r="AS322" s="1231"/>
      <c r="AT322" s="1231"/>
      <c r="AU322" s="1231"/>
      <c r="AV322" s="1231"/>
      <c r="AW322" s="1227"/>
      <c r="AX322" s="1231"/>
      <c r="AY322" s="1231"/>
      <c r="AZ322" s="1231"/>
      <c r="BA322" s="1231"/>
      <c r="BB322" s="1227"/>
      <c r="BC322" s="1231"/>
      <c r="BD322" s="1231"/>
      <c r="BE322" s="1231"/>
      <c r="BF322" s="1231"/>
      <c r="BG322" s="1227"/>
      <c r="BH322" s="1231"/>
      <c r="BI322" s="1231"/>
      <c r="BJ322" s="1231"/>
      <c r="BK322" s="1231"/>
      <c r="BL322" s="1326"/>
      <c r="BM322" s="1231"/>
      <c r="BN322" s="1231"/>
      <c r="BO322" s="1231"/>
      <c r="BP322" s="1231"/>
      <c r="BQ322" s="1326"/>
      <c r="BR322" s="1231"/>
      <c r="BS322" s="1231"/>
      <c r="BT322" s="1231"/>
      <c r="BU322" s="1231"/>
      <c r="BV322" s="1326"/>
      <c r="BW322" s="1231"/>
      <c r="BX322" s="1231"/>
      <c r="BY322" s="1231"/>
      <c r="BZ322" s="1231"/>
      <c r="CA322" s="1326"/>
      <c r="CB322" s="1231"/>
      <c r="CC322" s="1231"/>
      <c r="CD322" s="1231"/>
      <c r="CE322" s="1231"/>
      <c r="CF322" s="1326"/>
      <c r="CG322" s="1231"/>
      <c r="CH322" s="1231"/>
      <c r="CI322" s="1231"/>
      <c r="CJ322" s="1231"/>
      <c r="CK322" s="1326"/>
      <c r="CL322" s="1231"/>
      <c r="CM322" s="1231"/>
      <c r="CN322" s="1231"/>
      <c r="CO322" s="1231"/>
      <c r="CP322" s="1326"/>
      <c r="CQ322" s="1231"/>
      <c r="CR322" s="1231"/>
      <c r="CS322" s="1231"/>
      <c r="CT322" s="1231"/>
      <c r="CU322" s="1326"/>
      <c r="CV322" s="1231"/>
      <c r="CW322" s="1231"/>
      <c r="CX322" s="1231"/>
      <c r="CY322" s="1231"/>
      <c r="CZ322" s="1326"/>
      <c r="DA322" s="1231"/>
      <c r="DB322" s="1231"/>
      <c r="DC322" s="1231"/>
      <c r="DD322" s="1231"/>
      <c r="DE322" s="1326"/>
      <c r="DF322" s="1231"/>
      <c r="DG322" s="1231"/>
      <c r="DH322" s="1231"/>
      <c r="DI322" s="1231"/>
      <c r="DJ322" s="1326"/>
      <c r="DK322" s="1231"/>
      <c r="DL322" s="1231"/>
      <c r="DM322" s="1231"/>
      <c r="DN322" s="1231"/>
      <c r="DO322" s="1326"/>
      <c r="DP322" s="1231"/>
      <c r="DQ322" s="1231"/>
      <c r="DR322" s="1231"/>
      <c r="DS322" s="1231"/>
      <c r="DT322" s="1326"/>
      <c r="DU322" s="1231"/>
      <c r="DV322" s="1231"/>
      <c r="DW322" s="1231"/>
      <c r="DX322" s="1231"/>
      <c r="DY322" s="1326"/>
    </row>
    <row r="323" spans="1:129" x14ac:dyDescent="0.2">
      <c r="A323" s="1223"/>
      <c r="B323" s="1190" t="s">
        <v>1156</v>
      </c>
      <c r="C323" s="1182"/>
      <c r="D323" s="1182"/>
      <c r="E323" s="1182"/>
      <c r="F323" s="1182"/>
      <c r="G323" s="1182"/>
      <c r="H323" s="1182"/>
      <c r="I323" s="1182"/>
      <c r="J323" s="1182"/>
      <c r="K323" s="1182"/>
      <c r="L323" s="1182"/>
      <c r="M323" s="1182"/>
      <c r="N323" s="1182"/>
      <c r="O323" s="1182"/>
      <c r="P323" s="1182"/>
      <c r="Q323" s="1182"/>
      <c r="R323" s="1182"/>
      <c r="S323" s="1182"/>
      <c r="T323" s="1182"/>
      <c r="U323" s="1182"/>
      <c r="V323" s="1182"/>
      <c r="W323" s="1182"/>
      <c r="X323" s="1227"/>
      <c r="Y323" s="1231"/>
      <c r="Z323" s="1231"/>
      <c r="AA323" s="1231"/>
      <c r="AB323" s="1231"/>
      <c r="AC323" s="1227"/>
      <c r="AD323" s="1231"/>
      <c r="AE323" s="1231"/>
      <c r="AF323" s="1231"/>
      <c r="AG323" s="1231"/>
      <c r="AH323" s="1227"/>
      <c r="AI323" s="1231"/>
      <c r="AJ323" s="1231"/>
      <c r="AK323" s="1231"/>
      <c r="AL323" s="1231"/>
      <c r="AM323" s="1227"/>
      <c r="AN323" s="1231"/>
      <c r="AO323" s="1231"/>
      <c r="AP323" s="1231"/>
      <c r="AQ323" s="1231"/>
      <c r="AR323" s="1227"/>
      <c r="AS323" s="1231"/>
      <c r="AT323" s="1231"/>
      <c r="AU323" s="1231"/>
      <c r="AV323" s="1231"/>
      <c r="AW323" s="1227"/>
      <c r="AX323" s="1231"/>
      <c r="AY323" s="1231"/>
      <c r="AZ323" s="1231"/>
      <c r="BA323" s="1231"/>
      <c r="BB323" s="1227"/>
      <c r="BC323" s="1231"/>
      <c r="BD323" s="1231"/>
      <c r="BE323" s="1231"/>
      <c r="BF323" s="1231"/>
      <c r="BG323" s="1227"/>
      <c r="BH323" s="1231"/>
      <c r="BI323" s="1231"/>
      <c r="BJ323" s="1231"/>
      <c r="BK323" s="1231"/>
      <c r="BL323" s="1326"/>
      <c r="BM323" s="1231"/>
      <c r="BN323" s="1231"/>
      <c r="BO323" s="1231"/>
      <c r="BP323" s="1231"/>
      <c r="BQ323" s="1326"/>
      <c r="BR323" s="1231"/>
      <c r="BS323" s="1231"/>
      <c r="BT323" s="1231"/>
      <c r="BU323" s="1231"/>
      <c r="BV323" s="1326"/>
      <c r="BW323" s="1231"/>
      <c r="BX323" s="1231"/>
      <c r="BY323" s="1231"/>
      <c r="BZ323" s="1231"/>
      <c r="CA323" s="1326"/>
      <c r="CB323" s="1231"/>
      <c r="CC323" s="1231"/>
      <c r="CD323" s="1231"/>
      <c r="CE323" s="1231"/>
      <c r="CF323" s="1326"/>
      <c r="CG323" s="1231"/>
      <c r="CH323" s="1231"/>
      <c r="CI323" s="1231"/>
      <c r="CJ323" s="1223">
        <f>-(AVERAGE(CJ321,CJ319))*(CJ317/12)</f>
        <v>-2.8645833333333335</v>
      </c>
      <c r="CK323" s="1326">
        <f>SUM(CG323:CJ323)</f>
        <v>-2.8645833333333335</v>
      </c>
      <c r="CL323" s="1223">
        <f>-(AVERAGE(CL321,CL319))*(CL317/4)</f>
        <v>-8.59375</v>
      </c>
      <c r="CM323" s="1223">
        <f>-(AVERAGE(CM321,CM319))*(CM317/4)</f>
        <v>-8.59375</v>
      </c>
      <c r="CN323" s="1223">
        <f>-(AVERAGE(CN321,CN319))*(CN317/4)</f>
        <v>-8.59375</v>
      </c>
      <c r="CO323" s="1223">
        <f>-(AVERAGE(CO321,CO319))*(CO317/4)</f>
        <v>-8.59375</v>
      </c>
      <c r="CP323" s="1326">
        <f>SUM(CL323:CO323)</f>
        <v>-34.375</v>
      </c>
      <c r="CQ323" s="1223">
        <f>-(AVERAGE(CQ321,CQ319))*(CQ317/4)</f>
        <v>-8.59375</v>
      </c>
      <c r="CR323" s="1223">
        <f>-(AVERAGE(CR321,CR319))*(CR317/4)</f>
        <v>-8.59375</v>
      </c>
      <c r="CS323" s="1223">
        <f>-(AVERAGE(CS321,CS319))*(CS317/4)</f>
        <v>-8.59375</v>
      </c>
      <c r="CT323" s="1223">
        <f>-(AVERAGE(CT321,CT319))*(CT317/4)</f>
        <v>-8.59375</v>
      </c>
      <c r="CU323" s="1326">
        <f>SUM(CQ323:CT323)</f>
        <v>-34.375</v>
      </c>
      <c r="CV323" s="1223">
        <f>-(AVERAGE(CV321,CV319))*(CV317/4)</f>
        <v>-8.59375</v>
      </c>
      <c r="CW323" s="1223">
        <f>-(AVERAGE(CW321,CW319))*(CW317/4)</f>
        <v>-8.59375</v>
      </c>
      <c r="CX323" s="1223">
        <f>-(AVERAGE(CX321,CX319))*(CX317/4)</f>
        <v>-8.59375</v>
      </c>
      <c r="CY323" s="1223">
        <f>-(AVERAGE(CY321,CY319))*(CY317/4)</f>
        <v>-8.59375</v>
      </c>
      <c r="CZ323" s="1326">
        <f>SUM(CV323:CY323)</f>
        <v>-34.375</v>
      </c>
      <c r="DA323" s="1223">
        <f>-(AVERAGE(DA321,DA319))*(DA317/4)</f>
        <v>-8.59375</v>
      </c>
      <c r="DB323" s="1223">
        <f>-(AVERAGE(DB321,DB319))*(DB317/4)</f>
        <v>-8.59375</v>
      </c>
      <c r="DC323" s="1223">
        <f>-(AVERAGE(DC321,DC319))*(DC317/4)</f>
        <v>-8.59375</v>
      </c>
      <c r="DD323" s="1223">
        <f>-(AVERAGE(DD321,DD319))*(DD317/4)</f>
        <v>-8.59375</v>
      </c>
      <c r="DE323" s="1326">
        <f>SUM(DA323:DD323)</f>
        <v>-34.375</v>
      </c>
      <c r="DF323" s="1223">
        <f>-(AVERAGE(DF321,DF319))*(DF317/4)</f>
        <v>-8.59375</v>
      </c>
      <c r="DG323" s="1223">
        <f>-(AVERAGE(DG321,DG319))*(DG317/4)</f>
        <v>-8.59375</v>
      </c>
      <c r="DH323" s="1223">
        <f>-(AVERAGE(DH321,DH319))*(DH317/4)</f>
        <v>-8.59375</v>
      </c>
      <c r="DI323" s="1223">
        <f>-(AVERAGE(DI321,DI319))*(DI317/4)</f>
        <v>-8.59375</v>
      </c>
      <c r="DJ323" s="1326">
        <f>SUM(DF323:DI323)</f>
        <v>-34.375</v>
      </c>
      <c r="DK323" s="1223">
        <f>-(AVERAGE(DK321,DK319))*(DK317/4)</f>
        <v>-8.59375</v>
      </c>
      <c r="DL323" s="1223">
        <f>-(AVERAGE(DL321,DL319))*(DL317/4)</f>
        <v>-8.59375</v>
      </c>
      <c r="DM323" s="1223">
        <f>-(AVERAGE(DM321,DM319))*(DM317/4)</f>
        <v>-8.59375</v>
      </c>
      <c r="DN323" s="1223">
        <f>-(AVERAGE(DN321,DN319))*(DN317/4)</f>
        <v>-8.59375</v>
      </c>
      <c r="DO323" s="1326">
        <f>SUM(DK323:DN323)</f>
        <v>-34.375</v>
      </c>
      <c r="DP323" s="1223">
        <f>-(AVERAGE(DP321,DP319))*(DP317/4)</f>
        <v>-8.59375</v>
      </c>
      <c r="DQ323" s="1223">
        <f>-(AVERAGE(DQ321,DQ319))*(DQ317/4)</f>
        <v>-8.59375</v>
      </c>
      <c r="DR323" s="1223">
        <f>-(AVERAGE(DR321,DR319))*(DR317/4)</f>
        <v>-8.59375</v>
      </c>
      <c r="DS323" s="1223">
        <f>-(AVERAGE(DS321,DS319))*(DS317/4)</f>
        <v>-8.59375</v>
      </c>
      <c r="DT323" s="1326">
        <f>SUM(DP323:DS323)</f>
        <v>-34.375</v>
      </c>
      <c r="DU323" s="1223">
        <f>-(AVERAGE(DU321,DU319))*(DU317/4)</f>
        <v>-8.59375</v>
      </c>
      <c r="DV323" s="1223">
        <f>-(AVERAGE(DV321,DV319))*(DV317/4)</f>
        <v>-8.59375</v>
      </c>
      <c r="DW323" s="1223">
        <f>-(AVERAGE(DW321,DW319))*(DW317/4)</f>
        <v>-8.59375</v>
      </c>
      <c r="DX323" s="1223">
        <f>-(AVERAGE(DX321,DX319))*(DX317/4)</f>
        <v>-8.59375</v>
      </c>
      <c r="DY323" s="1326">
        <f>SUM(DU323:DX323)</f>
        <v>-34.375</v>
      </c>
    </row>
    <row r="324" spans="1:129" ht="12" thickBot="1" x14ac:dyDescent="0.25">
      <c r="A324" s="1223"/>
      <c r="B324" s="1250" t="s">
        <v>1157</v>
      </c>
      <c r="C324" s="1251"/>
      <c r="D324" s="1251"/>
      <c r="E324" s="1251"/>
      <c r="F324" s="1251"/>
      <c r="G324" s="1251"/>
      <c r="H324" s="1251"/>
      <c r="I324" s="1251"/>
      <c r="J324" s="1251"/>
      <c r="K324" s="1251"/>
      <c r="L324" s="1251"/>
      <c r="M324" s="1251"/>
      <c r="N324" s="1251"/>
      <c r="O324" s="1251"/>
      <c r="P324" s="1251"/>
      <c r="Q324" s="1251"/>
      <c r="R324" s="1251"/>
      <c r="S324" s="1251"/>
      <c r="T324" s="1251"/>
      <c r="U324" s="1251"/>
      <c r="V324" s="1251"/>
      <c r="W324" s="1251"/>
      <c r="X324" s="1252"/>
      <c r="Y324" s="1251"/>
      <c r="Z324" s="1251"/>
      <c r="AA324" s="1251"/>
      <c r="AB324" s="1251"/>
      <c r="AC324" s="1252"/>
      <c r="AD324" s="1251"/>
      <c r="AE324" s="1251"/>
      <c r="AF324" s="1251"/>
      <c r="AG324" s="1251"/>
      <c r="AH324" s="1252"/>
      <c r="AI324" s="1251"/>
      <c r="AJ324" s="1251"/>
      <c r="AK324" s="1251"/>
      <c r="AL324" s="1251"/>
      <c r="AM324" s="1252"/>
      <c r="AN324" s="1251"/>
      <c r="AO324" s="1251"/>
      <c r="AP324" s="1251"/>
      <c r="AQ324" s="1253"/>
      <c r="AR324" s="1252"/>
      <c r="AS324" s="1253"/>
      <c r="AT324" s="1253"/>
      <c r="AU324" s="1253"/>
      <c r="AV324" s="1253"/>
      <c r="AW324" s="1252"/>
      <c r="AX324" s="1253"/>
      <c r="AY324" s="1253"/>
      <c r="AZ324" s="1253"/>
      <c r="BA324" s="1253"/>
      <c r="BB324" s="1252"/>
      <c r="BC324" s="1253"/>
      <c r="BD324" s="1253"/>
      <c r="BE324" s="1253"/>
      <c r="BF324" s="1253"/>
      <c r="BG324" s="1252"/>
      <c r="BH324" s="1253"/>
      <c r="BI324" s="1253"/>
      <c r="BJ324" s="1253"/>
      <c r="BK324" s="1253"/>
      <c r="BL324" s="1327"/>
      <c r="BM324" s="1253"/>
      <c r="BN324" s="1253"/>
      <c r="BO324" s="1253"/>
      <c r="BP324" s="1253"/>
      <c r="BQ324" s="1327"/>
      <c r="BR324" s="1253"/>
      <c r="BS324" s="1253"/>
      <c r="BT324" s="1253"/>
      <c r="BU324" s="1253"/>
      <c r="BV324" s="1327"/>
      <c r="BW324" s="1253"/>
      <c r="BX324" s="1253"/>
      <c r="BY324" s="1253"/>
      <c r="BZ324" s="1253"/>
      <c r="CA324" s="1327"/>
      <c r="CB324" s="1253"/>
      <c r="CC324" s="1253"/>
      <c r="CD324" s="1253"/>
      <c r="CE324" s="1253"/>
      <c r="CF324" s="1327"/>
      <c r="CG324" s="1253"/>
      <c r="CH324" s="1253"/>
      <c r="CI324" s="1253"/>
      <c r="CJ324" s="1253">
        <f>-CJ316*CJ322/4</f>
        <v>0</v>
      </c>
      <c r="CK324" s="1327"/>
      <c r="CL324" s="1253">
        <f>-CL316*CL322/4</f>
        <v>0</v>
      </c>
      <c r="CM324" s="1253">
        <f>-CM316*CM322/4</f>
        <v>0</v>
      </c>
      <c r="CN324" s="1253">
        <f>-CN316*CN322/4</f>
        <v>0</v>
      </c>
      <c r="CO324" s="1253">
        <f>-CO316*CO322/4</f>
        <v>0</v>
      </c>
      <c r="CP324" s="1327"/>
      <c r="CQ324" s="1253">
        <f>-CQ316*CQ322/4</f>
        <v>0</v>
      </c>
      <c r="CR324" s="1253">
        <f>-CR316*CR322/4</f>
        <v>0</v>
      </c>
      <c r="CS324" s="1253">
        <f>-CS316*CS322/4</f>
        <v>0</v>
      </c>
      <c r="CT324" s="1253">
        <f>-CT316*CT322/4</f>
        <v>0</v>
      </c>
      <c r="CU324" s="1327"/>
      <c r="CV324" s="1253">
        <f>-CV316*CV322/4</f>
        <v>0</v>
      </c>
      <c r="CW324" s="1253">
        <f>-CW316*CW322/4</f>
        <v>0</v>
      </c>
      <c r="CX324" s="1253">
        <f>-CX316*CX322/4</f>
        <v>0</v>
      </c>
      <c r="CY324" s="1253">
        <f>-CY316*CY322/4</f>
        <v>0</v>
      </c>
      <c r="CZ324" s="1327"/>
      <c r="DA324" s="1253">
        <f>-DA316*DA322/4</f>
        <v>0</v>
      </c>
      <c r="DB324" s="1253">
        <f>-DB316*DB322/4</f>
        <v>0</v>
      </c>
      <c r="DC324" s="1253">
        <f>-DC316*DC322/4</f>
        <v>0</v>
      </c>
      <c r="DD324" s="1253">
        <f>-DD316*DD322/4</f>
        <v>0</v>
      </c>
      <c r="DE324" s="1327"/>
      <c r="DF324" s="1253">
        <f>-DF316*DF322/4</f>
        <v>0</v>
      </c>
      <c r="DG324" s="1253">
        <f>-DG316*DG322/4</f>
        <v>0</v>
      </c>
      <c r="DH324" s="1253">
        <f>-DH316*DH322/4</f>
        <v>0</v>
      </c>
      <c r="DI324" s="1253">
        <f>-DI316*DI322/4</f>
        <v>0</v>
      </c>
      <c r="DJ324" s="1327"/>
      <c r="DK324" s="1253">
        <f>-DK316*DK322/4</f>
        <v>0</v>
      </c>
      <c r="DL324" s="1253">
        <f>-DL316*DL322/4</f>
        <v>0</v>
      </c>
      <c r="DM324" s="1253">
        <f>-DM316*DM322/4</f>
        <v>0</v>
      </c>
      <c r="DN324" s="1253">
        <f>-DN316*DN322/4</f>
        <v>0</v>
      </c>
      <c r="DO324" s="1327"/>
      <c r="DP324" s="1253">
        <f>-DP316*DP322/4</f>
        <v>0</v>
      </c>
      <c r="DQ324" s="1253">
        <f>-DQ316*DQ322/4</f>
        <v>0</v>
      </c>
      <c r="DR324" s="1253">
        <f>-DR316*DR322/4</f>
        <v>0</v>
      </c>
      <c r="DS324" s="1253">
        <f>-DS316*DS322/4</f>
        <v>0</v>
      </c>
      <c r="DT324" s="1327"/>
      <c r="DU324" s="1253">
        <f>-DU316*DU322/4</f>
        <v>0</v>
      </c>
      <c r="DV324" s="1253">
        <f>-DV316*DV322/4</f>
        <v>0</v>
      </c>
      <c r="DW324" s="1253">
        <f>-DW316*DW322/4</f>
        <v>0</v>
      </c>
      <c r="DX324" s="1253">
        <f>-DX316*DX322/4</f>
        <v>0</v>
      </c>
      <c r="DY324" s="1327"/>
    </row>
    <row r="325" spans="1:129" ht="12" thickBot="1" x14ac:dyDescent="0.25">
      <c r="A325" s="1231"/>
      <c r="B325" s="1231"/>
      <c r="C325" s="1182"/>
      <c r="D325" s="1182"/>
      <c r="E325" s="1182"/>
      <c r="F325" s="1182"/>
      <c r="G325" s="1182"/>
      <c r="H325" s="1182"/>
      <c r="I325" s="1182"/>
      <c r="J325" s="1182"/>
      <c r="K325" s="1182"/>
      <c r="L325" s="1182"/>
      <c r="M325" s="1182"/>
      <c r="N325" s="1182"/>
      <c r="O325" s="1182"/>
      <c r="P325" s="1182"/>
      <c r="Q325" s="1182"/>
      <c r="R325" s="1182"/>
      <c r="S325" s="1182"/>
      <c r="T325" s="1182"/>
      <c r="U325" s="1182"/>
      <c r="V325" s="1182"/>
      <c r="W325" s="1182"/>
      <c r="X325" s="1223"/>
      <c r="Y325" s="1182"/>
      <c r="Z325" s="1182"/>
      <c r="AA325" s="1182"/>
      <c r="AB325" s="1182"/>
      <c r="AC325" s="1223"/>
      <c r="AD325" s="1182"/>
      <c r="AE325" s="1182"/>
      <c r="AF325" s="1182"/>
      <c r="AG325" s="1182"/>
      <c r="AH325" s="1223"/>
      <c r="AI325" s="1182"/>
      <c r="AJ325" s="1182"/>
      <c r="AK325" s="1182"/>
      <c r="AL325" s="1182"/>
      <c r="AM325" s="1223"/>
      <c r="AN325" s="1182"/>
      <c r="AO325" s="1182"/>
      <c r="AP325" s="1182"/>
      <c r="AQ325" s="1231"/>
      <c r="AR325" s="1231"/>
      <c r="AS325" s="1231"/>
      <c r="AT325" s="1231"/>
      <c r="AU325" s="1231"/>
      <c r="AV325" s="1231"/>
      <c r="AW325" s="1231"/>
      <c r="AX325" s="1231"/>
      <c r="AY325" s="1231"/>
      <c r="AZ325" s="1231"/>
      <c r="BA325" s="1231"/>
      <c r="BB325" s="1231"/>
      <c r="BC325" s="1231"/>
      <c r="BD325" s="1231"/>
      <c r="BE325" s="1231"/>
      <c r="BF325" s="1231"/>
      <c r="BG325" s="1231"/>
      <c r="BH325" s="1231"/>
      <c r="BI325" s="1231"/>
      <c r="BJ325" s="1231"/>
      <c r="BK325" s="1231"/>
      <c r="BL325" s="1231"/>
      <c r="BM325" s="1231"/>
      <c r="BN325" s="1231"/>
      <c r="BO325" s="1231"/>
      <c r="BP325" s="1231"/>
      <c r="BQ325" s="1231"/>
      <c r="BR325" s="1231"/>
      <c r="BS325" s="1231"/>
      <c r="BT325" s="1231"/>
      <c r="BU325" s="1231"/>
      <c r="BV325" s="1231"/>
      <c r="BW325" s="1231"/>
      <c r="BX325" s="1231"/>
      <c r="BY325" s="1231"/>
      <c r="BZ325" s="1231"/>
      <c r="CA325" s="1231"/>
      <c r="CB325" s="1231"/>
      <c r="CC325" s="1231"/>
      <c r="CD325" s="1231"/>
      <c r="CE325" s="1231"/>
      <c r="CF325" s="1231"/>
      <c r="CG325" s="1231"/>
      <c r="CH325" s="1231"/>
      <c r="CI325" s="1231"/>
      <c r="CJ325" s="1231"/>
      <c r="CK325" s="1231"/>
      <c r="CL325" s="1231"/>
      <c r="CM325" s="1231"/>
      <c r="CN325" s="1231"/>
      <c r="CO325" s="1231"/>
      <c r="CP325" s="1231"/>
      <c r="CQ325" s="1231"/>
      <c r="CR325" s="1231"/>
      <c r="CS325" s="1231"/>
      <c r="CT325" s="1231"/>
      <c r="CU325" s="1231"/>
      <c r="CV325" s="1231"/>
      <c r="CW325" s="1231"/>
      <c r="CX325" s="1231"/>
      <c r="CY325" s="1231"/>
      <c r="CZ325" s="1231"/>
      <c r="DA325" s="1231"/>
      <c r="DB325" s="1231"/>
      <c r="DC325" s="1231"/>
      <c r="DD325" s="1231"/>
      <c r="DE325" s="1231"/>
      <c r="DF325" s="1231"/>
      <c r="DG325" s="1231"/>
      <c r="DH325" s="1231"/>
      <c r="DI325" s="1231"/>
      <c r="DJ325" s="1231"/>
      <c r="DK325" s="1231"/>
      <c r="DL325" s="1231"/>
      <c r="DM325" s="1231"/>
      <c r="DN325" s="1231"/>
      <c r="DO325" s="1231"/>
      <c r="DP325" s="1231"/>
      <c r="DQ325" s="1231"/>
      <c r="DR325" s="1231"/>
      <c r="DS325" s="1231"/>
      <c r="DT325" s="1231"/>
      <c r="DU325" s="1231"/>
      <c r="DV325" s="1231"/>
      <c r="DW325" s="1231"/>
      <c r="DX325" s="1231"/>
      <c r="DY325" s="1231"/>
    </row>
    <row r="326" spans="1:129" ht="12" thickBot="1" x14ac:dyDescent="0.25">
      <c r="A326" s="1123"/>
      <c r="B326" s="1282" t="s">
        <v>1364</v>
      </c>
      <c r="C326" s="1328"/>
      <c r="D326" s="1329"/>
      <c r="E326" s="1329"/>
      <c r="F326" s="1329"/>
      <c r="G326" s="1329"/>
      <c r="H326" s="1329"/>
      <c r="I326" s="1329"/>
      <c r="J326" s="1329"/>
      <c r="K326" s="1329"/>
      <c r="L326" s="1329"/>
      <c r="M326" s="1329"/>
      <c r="N326" s="1329"/>
      <c r="O326" s="1329"/>
      <c r="P326" s="1329"/>
      <c r="Q326" s="1329"/>
      <c r="R326" s="1329"/>
      <c r="S326" s="1329"/>
      <c r="T326" s="1329"/>
      <c r="U326" s="1329"/>
      <c r="V326" s="1329"/>
      <c r="W326" s="1329"/>
      <c r="X326" s="1328"/>
      <c r="Y326" s="1328"/>
      <c r="Z326" s="1328"/>
      <c r="AA326" s="1328"/>
      <c r="AB326" s="1328"/>
      <c r="AC326" s="1328"/>
      <c r="AD326" s="1328"/>
      <c r="AE326" s="1328"/>
      <c r="AF326" s="1328"/>
      <c r="AG326" s="1328"/>
      <c r="AH326" s="1328"/>
      <c r="AI326" s="1328"/>
      <c r="AJ326" s="1328"/>
      <c r="AK326" s="1328"/>
      <c r="AL326" s="1328"/>
      <c r="AM326" s="1328"/>
      <c r="AN326" s="1328"/>
      <c r="AO326" s="1328"/>
      <c r="AP326" s="1328"/>
      <c r="AQ326" s="1330"/>
      <c r="AR326" s="1330"/>
      <c r="AS326" s="1330"/>
      <c r="AT326" s="1331"/>
      <c r="AU326" s="1331"/>
      <c r="AV326" s="1331"/>
      <c r="AW326" s="1330"/>
      <c r="AX326" s="1330"/>
      <c r="AY326" s="1330"/>
      <c r="AZ326" s="1330"/>
      <c r="BA326" s="1330"/>
      <c r="BB326" s="1330"/>
      <c r="BC326" s="1330"/>
      <c r="BD326" s="1330"/>
      <c r="BE326" s="1330"/>
      <c r="BF326" s="1330"/>
      <c r="BG326" s="1330"/>
      <c r="BH326" s="1330"/>
      <c r="BI326" s="1330"/>
      <c r="BJ326" s="1330"/>
      <c r="BK326" s="1330"/>
      <c r="BL326" s="1332"/>
      <c r="BM326" s="1330"/>
      <c r="BN326" s="1330"/>
      <c r="BO326" s="1330"/>
      <c r="BP326" s="1330"/>
      <c r="BQ326" s="1332"/>
      <c r="BR326" s="1330"/>
      <c r="BS326" s="1330"/>
      <c r="BT326" s="1330"/>
      <c r="BU326" s="1330"/>
      <c r="BV326" s="1332"/>
      <c r="BW326" s="1330"/>
      <c r="BX326" s="1330"/>
      <c r="BY326" s="1330"/>
      <c r="BZ326" s="1330"/>
      <c r="CA326" s="1332"/>
      <c r="CB326" s="1330"/>
      <c r="CC326" s="1330"/>
      <c r="CD326" s="1330"/>
      <c r="CE326" s="1330"/>
      <c r="CF326" s="1332"/>
      <c r="CG326" s="1330"/>
      <c r="CH326" s="1330"/>
      <c r="CI326" s="1330"/>
      <c r="CJ326" s="1330"/>
      <c r="CK326" s="1332"/>
      <c r="CL326" s="1330"/>
      <c r="CM326" s="1330"/>
      <c r="CN326" s="1330"/>
      <c r="CO326" s="1330"/>
      <c r="CP326" s="1332"/>
      <c r="CQ326" s="1330"/>
      <c r="CR326" s="1330"/>
      <c r="CS326" s="1330"/>
      <c r="CT326" s="1330"/>
      <c r="CU326" s="1332"/>
      <c r="CV326" s="1330"/>
      <c r="CW326" s="1330"/>
      <c r="CX326" s="1330"/>
      <c r="CY326" s="1330"/>
      <c r="CZ326" s="1332"/>
      <c r="DA326" s="1330"/>
      <c r="DB326" s="1330"/>
      <c r="DC326" s="1330"/>
      <c r="DD326" s="1330"/>
      <c r="DE326" s="1332"/>
      <c r="DF326" s="1330"/>
      <c r="DG326" s="1330"/>
      <c r="DH326" s="1330"/>
      <c r="DI326" s="1330"/>
      <c r="DJ326" s="1332"/>
      <c r="DK326" s="1330"/>
      <c r="DL326" s="1330"/>
      <c r="DM326" s="1330"/>
      <c r="DN326" s="1330"/>
      <c r="DO326" s="1332"/>
      <c r="DP326" s="1330"/>
      <c r="DQ326" s="1330"/>
      <c r="DR326" s="1330"/>
      <c r="DS326" s="1330"/>
      <c r="DT326" s="1332"/>
      <c r="DU326" s="1330"/>
      <c r="DV326" s="1330"/>
      <c r="DW326" s="1330"/>
      <c r="DX326" s="1330"/>
      <c r="DY326" s="1332"/>
    </row>
    <row r="327" spans="1:129" x14ac:dyDescent="0.2">
      <c r="A327" s="532"/>
      <c r="B327" s="1287" t="s">
        <v>1149</v>
      </c>
      <c r="C327" s="650"/>
      <c r="D327" s="650"/>
      <c r="E327" s="650"/>
      <c r="F327" s="650"/>
      <c r="G327" s="650"/>
      <c r="H327" s="650"/>
      <c r="I327" s="650"/>
      <c r="J327" s="650"/>
      <c r="K327" s="650"/>
      <c r="L327" s="650"/>
      <c r="M327" s="650"/>
      <c r="N327" s="650"/>
      <c r="O327" s="650"/>
      <c r="P327" s="650"/>
      <c r="Q327" s="650"/>
      <c r="R327" s="650"/>
      <c r="S327" s="650"/>
      <c r="T327" s="650"/>
      <c r="U327" s="650"/>
      <c r="V327" s="650"/>
      <c r="W327" s="650"/>
      <c r="X327" s="1288"/>
      <c r="Y327" s="650"/>
      <c r="Z327" s="650"/>
      <c r="AA327" s="650"/>
      <c r="AB327" s="650"/>
      <c r="AC327" s="1288"/>
      <c r="AD327" s="650"/>
      <c r="AE327" s="650"/>
      <c r="AF327" s="650"/>
      <c r="AG327" s="650"/>
      <c r="AH327" s="1288"/>
      <c r="AI327" s="650"/>
      <c r="AJ327" s="650"/>
      <c r="AK327" s="650"/>
      <c r="AL327" s="650"/>
      <c r="AM327" s="1288"/>
      <c r="AN327" s="650"/>
      <c r="AO327" s="650"/>
      <c r="AP327" s="650"/>
      <c r="AQ327" s="650"/>
      <c r="AR327" s="1288"/>
      <c r="AS327" s="650"/>
      <c r="AT327" s="650"/>
      <c r="AU327" s="650"/>
      <c r="AV327" s="650"/>
      <c r="AW327" s="1288"/>
      <c r="AX327" s="650"/>
      <c r="AY327" s="650"/>
      <c r="AZ327" s="650"/>
      <c r="BA327" s="650"/>
      <c r="BB327" s="1288"/>
      <c r="BC327" s="650"/>
      <c r="BD327" s="650"/>
      <c r="BE327" s="650"/>
      <c r="BF327" s="650"/>
      <c r="BG327" s="1288"/>
      <c r="BH327" s="650"/>
      <c r="BI327" s="650"/>
      <c r="BJ327" s="650"/>
      <c r="BK327" s="650"/>
      <c r="BL327" s="583"/>
      <c r="BM327" s="650"/>
      <c r="BN327" s="650"/>
      <c r="BO327" s="650"/>
      <c r="BP327" s="650"/>
      <c r="BQ327" s="583"/>
      <c r="BR327" s="650"/>
      <c r="BS327" s="650"/>
      <c r="BT327" s="650"/>
      <c r="BU327" s="650"/>
      <c r="BV327" s="583"/>
      <c r="BW327" s="650"/>
      <c r="BX327" s="650"/>
      <c r="BY327" s="650"/>
      <c r="BZ327" s="650"/>
      <c r="CA327" s="583"/>
      <c r="CB327" s="650"/>
      <c r="CC327" s="650"/>
      <c r="CD327" s="650"/>
      <c r="CE327" s="650"/>
      <c r="CF327" s="583"/>
      <c r="CG327" s="650"/>
      <c r="CH327" s="650"/>
      <c r="CI327" s="650"/>
      <c r="CJ327" s="650"/>
      <c r="CK327" s="583"/>
      <c r="CL327" s="650"/>
      <c r="CM327" s="650"/>
      <c r="CN327" s="650"/>
      <c r="CO327" s="650"/>
      <c r="CP327" s="583"/>
      <c r="CQ327" s="650"/>
      <c r="CR327" s="650"/>
      <c r="CS327" s="650"/>
      <c r="CT327" s="650"/>
      <c r="CU327" s="583"/>
      <c r="CV327" s="650"/>
      <c r="CW327" s="650"/>
      <c r="CX327" s="650"/>
      <c r="CY327" s="650"/>
      <c r="CZ327" s="583"/>
      <c r="DA327" s="650"/>
      <c r="DB327" s="650"/>
      <c r="DC327" s="650"/>
      <c r="DD327" s="650"/>
      <c r="DE327" s="583"/>
      <c r="DF327" s="650"/>
      <c r="DG327" s="650"/>
      <c r="DH327" s="650"/>
      <c r="DI327" s="650"/>
      <c r="DJ327" s="583"/>
      <c r="DK327" s="650"/>
      <c r="DL327" s="650"/>
      <c r="DM327" s="650"/>
      <c r="DN327" s="650"/>
      <c r="DO327" s="583"/>
      <c r="DP327" s="650"/>
      <c r="DQ327" s="650"/>
      <c r="DR327" s="650"/>
      <c r="DS327" s="650"/>
      <c r="DT327" s="583"/>
      <c r="DU327" s="650"/>
      <c r="DV327" s="650"/>
      <c r="DW327" s="650"/>
      <c r="DX327" s="650"/>
      <c r="DY327" s="583"/>
    </row>
    <row r="328" spans="1:129" x14ac:dyDescent="0.2">
      <c r="A328" s="532"/>
      <c r="B328" s="1287" t="s">
        <v>1150</v>
      </c>
      <c r="C328" s="650"/>
      <c r="D328" s="650"/>
      <c r="E328" s="650"/>
      <c r="F328" s="650"/>
      <c r="G328" s="650"/>
      <c r="H328" s="650"/>
      <c r="I328" s="650"/>
      <c r="J328" s="650"/>
      <c r="K328" s="650"/>
      <c r="L328" s="650"/>
      <c r="M328" s="650"/>
      <c r="N328" s="650"/>
      <c r="O328" s="650"/>
      <c r="P328" s="650"/>
      <c r="Q328" s="650"/>
      <c r="R328" s="650"/>
      <c r="S328" s="650"/>
      <c r="T328" s="650"/>
      <c r="U328" s="650"/>
      <c r="V328" s="650"/>
      <c r="W328" s="650"/>
      <c r="X328" s="1288"/>
      <c r="Y328" s="650"/>
      <c r="Z328" s="650"/>
      <c r="AA328" s="650"/>
      <c r="AB328" s="650"/>
      <c r="AC328" s="1288"/>
      <c r="AD328" s="650"/>
      <c r="AE328" s="650"/>
      <c r="AF328" s="650"/>
      <c r="AG328" s="650"/>
      <c r="AH328" s="1288"/>
      <c r="AI328" s="650"/>
      <c r="AJ328" s="650"/>
      <c r="AK328" s="650"/>
      <c r="AL328" s="650"/>
      <c r="AM328" s="1288"/>
      <c r="AN328" s="650"/>
      <c r="AO328" s="650"/>
      <c r="AP328" s="650"/>
      <c r="AQ328" s="650"/>
      <c r="AR328" s="1288"/>
      <c r="AS328" s="650"/>
      <c r="AT328" s="650"/>
      <c r="AU328" s="650"/>
      <c r="AV328" s="650"/>
      <c r="AW328" s="1288"/>
      <c r="AX328" s="650"/>
      <c r="AY328" s="650"/>
      <c r="AZ328" s="650"/>
      <c r="BA328" s="650"/>
      <c r="BB328" s="1288"/>
      <c r="BC328" s="650"/>
      <c r="BD328" s="650"/>
      <c r="BE328" s="650"/>
      <c r="BF328" s="650"/>
      <c r="BG328" s="1289"/>
      <c r="BH328" s="650"/>
      <c r="BI328" s="650"/>
      <c r="BJ328" s="650"/>
      <c r="BK328" s="650"/>
      <c r="BL328" s="1333"/>
      <c r="BM328" s="650"/>
      <c r="BN328" s="650"/>
      <c r="BO328" s="650"/>
      <c r="BP328" s="650"/>
      <c r="BQ328" s="1333"/>
      <c r="BR328" s="650"/>
      <c r="BS328" s="650"/>
      <c r="BT328" s="650"/>
      <c r="BU328" s="650"/>
      <c r="BV328" s="1333"/>
      <c r="BW328" s="650"/>
      <c r="BX328" s="650"/>
      <c r="BY328" s="650"/>
      <c r="BZ328" s="650"/>
      <c r="CA328" s="1333"/>
      <c r="CB328" s="1334">
        <v>4.1250000000000002E-2</v>
      </c>
      <c r="CC328" s="1334">
        <v>4.1250000000000002E-2</v>
      </c>
      <c r="CD328" s="1334">
        <v>4.1250000000000002E-2</v>
      </c>
      <c r="CE328" s="1334">
        <v>4.1250000000000002E-2</v>
      </c>
      <c r="CF328" s="1333"/>
      <c r="CG328" s="1334">
        <f>CE328</f>
        <v>4.1250000000000002E-2</v>
      </c>
      <c r="CH328" s="1334">
        <f>CG328</f>
        <v>4.1250000000000002E-2</v>
      </c>
      <c r="CI328" s="1334">
        <f>CH328</f>
        <v>4.1250000000000002E-2</v>
      </c>
      <c r="CJ328" s="1334">
        <f>CI328</f>
        <v>4.1250000000000002E-2</v>
      </c>
      <c r="CK328" s="1333"/>
      <c r="CL328" s="1334">
        <f>CJ328</f>
        <v>4.1250000000000002E-2</v>
      </c>
      <c r="CM328" s="1334">
        <f>CL328</f>
        <v>4.1250000000000002E-2</v>
      </c>
      <c r="CN328" s="1334">
        <f>CM328</f>
        <v>4.1250000000000002E-2</v>
      </c>
      <c r="CO328" s="1334">
        <f>CN328</f>
        <v>4.1250000000000002E-2</v>
      </c>
      <c r="CP328" s="1333"/>
      <c r="CQ328" s="1334">
        <f>CO328</f>
        <v>4.1250000000000002E-2</v>
      </c>
      <c r="CR328" s="1334">
        <f>CQ328</f>
        <v>4.1250000000000002E-2</v>
      </c>
      <c r="CS328" s="1334">
        <f>CR328</f>
        <v>4.1250000000000002E-2</v>
      </c>
      <c r="CT328" s="1334">
        <f>CS328</f>
        <v>4.1250000000000002E-2</v>
      </c>
      <c r="CU328" s="1333"/>
      <c r="CV328" s="1334">
        <f>CT328</f>
        <v>4.1250000000000002E-2</v>
      </c>
      <c r="CW328" s="1334">
        <f>CV328</f>
        <v>4.1250000000000002E-2</v>
      </c>
      <c r="CX328" s="1334">
        <f>CW328</f>
        <v>4.1250000000000002E-2</v>
      </c>
      <c r="CY328" s="1334">
        <f>CX328</f>
        <v>4.1250000000000002E-2</v>
      </c>
      <c r="CZ328" s="1333"/>
      <c r="DA328" s="1334">
        <f>CY328</f>
        <v>4.1250000000000002E-2</v>
      </c>
      <c r="DB328" s="1334">
        <f>DA328</f>
        <v>4.1250000000000002E-2</v>
      </c>
      <c r="DC328" s="1334">
        <f>DB328</f>
        <v>4.1250000000000002E-2</v>
      </c>
      <c r="DD328" s="1334">
        <f>DC328</f>
        <v>4.1250000000000002E-2</v>
      </c>
      <c r="DE328" s="1333"/>
      <c r="DF328" s="1334">
        <f>DD328</f>
        <v>4.1250000000000002E-2</v>
      </c>
      <c r="DG328" s="1334">
        <f>DF328</f>
        <v>4.1250000000000002E-2</v>
      </c>
      <c r="DH328" s="1334">
        <f>DG328</f>
        <v>4.1250000000000002E-2</v>
      </c>
      <c r="DI328" s="1334">
        <f>DH328</f>
        <v>4.1250000000000002E-2</v>
      </c>
      <c r="DJ328" s="1333"/>
      <c r="DK328" s="1334">
        <f>DI328</f>
        <v>4.1250000000000002E-2</v>
      </c>
      <c r="DL328" s="1334">
        <f>DK328</f>
        <v>4.1250000000000002E-2</v>
      </c>
      <c r="DM328" s="1334">
        <f>DL328</f>
        <v>4.1250000000000002E-2</v>
      </c>
      <c r="DN328" s="1334">
        <f>DM328</f>
        <v>4.1250000000000002E-2</v>
      </c>
      <c r="DO328" s="1333"/>
      <c r="DP328" s="1334">
        <f>DN328</f>
        <v>4.1250000000000002E-2</v>
      </c>
      <c r="DQ328" s="1334">
        <f>DP328</f>
        <v>4.1250000000000002E-2</v>
      </c>
      <c r="DR328" s="1334">
        <f>DQ328</f>
        <v>4.1250000000000002E-2</v>
      </c>
      <c r="DS328" s="1334">
        <f>DR328</f>
        <v>4.1250000000000002E-2</v>
      </c>
      <c r="DT328" s="1333"/>
      <c r="DU328" s="1334">
        <f>DS328</f>
        <v>4.1250000000000002E-2</v>
      </c>
      <c r="DV328" s="1334">
        <f>DU328</f>
        <v>4.1250000000000002E-2</v>
      </c>
      <c r="DW328" s="1334">
        <f>DV328</f>
        <v>4.1250000000000002E-2</v>
      </c>
      <c r="DX328" s="1334">
        <f>DW328</f>
        <v>4.1250000000000002E-2</v>
      </c>
      <c r="DY328" s="1333"/>
    </row>
    <row r="329" spans="1:129" x14ac:dyDescent="0.2">
      <c r="A329" s="1223"/>
      <c r="B329" s="1190" t="s">
        <v>1151</v>
      </c>
      <c r="C329" s="1293"/>
      <c r="D329" s="1293"/>
      <c r="E329" s="1293"/>
      <c r="F329" s="1293"/>
      <c r="G329" s="1293"/>
      <c r="H329" s="1293"/>
      <c r="I329" s="1293"/>
      <c r="J329" s="1293"/>
      <c r="K329" s="1293"/>
      <c r="L329" s="1293"/>
      <c r="M329" s="1293"/>
      <c r="N329" s="1293"/>
      <c r="O329" s="1293"/>
      <c r="P329" s="1293"/>
      <c r="Q329" s="1293"/>
      <c r="R329" s="1293"/>
      <c r="S329" s="1293"/>
      <c r="T329" s="1293"/>
      <c r="U329" s="1293"/>
      <c r="V329" s="1293"/>
      <c r="W329" s="1293"/>
      <c r="X329" s="1227"/>
      <c r="Y329" s="1231"/>
      <c r="Z329" s="1231"/>
      <c r="AA329" s="1231"/>
      <c r="AB329" s="1294"/>
      <c r="AC329" s="1227"/>
      <c r="AD329" s="1231"/>
      <c r="AE329" s="1231"/>
      <c r="AF329" s="1231"/>
      <c r="AG329" s="1294"/>
      <c r="AH329" s="1227"/>
      <c r="AI329" s="1231"/>
      <c r="AJ329" s="1231"/>
      <c r="AK329" s="1231"/>
      <c r="AL329" s="1294"/>
      <c r="AM329" s="1227"/>
      <c r="AN329" s="1231"/>
      <c r="AO329" s="1231"/>
      <c r="AP329" s="1231"/>
      <c r="AQ329" s="1294"/>
      <c r="AR329" s="1227"/>
      <c r="AS329" s="1231"/>
      <c r="AT329" s="1231"/>
      <c r="AU329" s="1231"/>
      <c r="AV329" s="1294"/>
      <c r="AW329" s="1227"/>
      <c r="AX329" s="1231"/>
      <c r="AY329" s="1231"/>
      <c r="AZ329" s="1231"/>
      <c r="BA329" s="1231"/>
      <c r="BB329" s="1227"/>
      <c r="BC329" s="1231"/>
      <c r="BD329" s="1231"/>
      <c r="BE329" s="1231"/>
      <c r="BF329" s="1231"/>
      <c r="BG329" s="1227"/>
      <c r="BH329" s="1231"/>
      <c r="BI329" s="1231"/>
      <c r="BJ329" s="1231"/>
      <c r="BK329" s="1231"/>
      <c r="BL329" s="1326"/>
      <c r="BM329" s="1231"/>
      <c r="BN329" s="1231"/>
      <c r="BO329" s="1231"/>
      <c r="BP329" s="1231"/>
      <c r="BQ329" s="1326"/>
      <c r="BR329" s="1231"/>
      <c r="BS329" s="1231"/>
      <c r="BT329" s="1231"/>
      <c r="BU329" s="1231"/>
      <c r="BV329" s="1326"/>
      <c r="BW329" s="1231"/>
      <c r="BX329" s="1231"/>
      <c r="BY329" s="1231"/>
      <c r="BZ329" s="1231"/>
      <c r="CA329" s="1326"/>
      <c r="CB329" s="1231"/>
      <c r="CC329" s="1231"/>
      <c r="CD329" s="1231"/>
      <c r="CE329" s="1231"/>
      <c r="CF329" s="1326"/>
      <c r="CG329" s="1231"/>
      <c r="CH329" s="1231"/>
      <c r="CI329" s="1231"/>
      <c r="CJ329" s="1231"/>
      <c r="CK329" s="1326"/>
      <c r="CL329" s="1231"/>
      <c r="CM329" s="1231"/>
      <c r="CN329" s="1231"/>
      <c r="CO329" s="1231"/>
      <c r="CP329" s="1326"/>
      <c r="CQ329" s="1231"/>
      <c r="CR329" s="1231"/>
      <c r="CS329" s="1231"/>
      <c r="CT329" s="1231"/>
      <c r="CU329" s="1326"/>
      <c r="CV329" s="1231"/>
      <c r="CW329" s="1231"/>
      <c r="CX329" s="1231"/>
      <c r="CY329" s="1231"/>
      <c r="CZ329" s="1326"/>
      <c r="DA329" s="1231"/>
      <c r="DB329" s="1231"/>
      <c r="DC329" s="1231"/>
      <c r="DD329" s="1231"/>
      <c r="DE329" s="1326"/>
      <c r="DF329" s="1231"/>
      <c r="DG329" s="1231"/>
      <c r="DH329" s="1231"/>
      <c r="DI329" s="1231"/>
      <c r="DJ329" s="1326"/>
      <c r="DK329" s="1231"/>
      <c r="DL329" s="1231"/>
      <c r="DM329" s="1231"/>
      <c r="DN329" s="1231"/>
      <c r="DO329" s="1326"/>
      <c r="DP329" s="1231"/>
      <c r="DQ329" s="1231"/>
      <c r="DR329" s="1231"/>
      <c r="DS329" s="1231"/>
      <c r="DT329" s="1326"/>
      <c r="DU329" s="1231"/>
      <c r="DV329" s="1231"/>
      <c r="DW329" s="1231"/>
      <c r="DX329" s="1231"/>
      <c r="DY329" s="1326"/>
    </row>
    <row r="330" spans="1:129" x14ac:dyDescent="0.2">
      <c r="A330" s="1223"/>
      <c r="B330" s="1190" t="s">
        <v>1152</v>
      </c>
      <c r="C330" s="1231"/>
      <c r="D330" s="1231"/>
      <c r="E330" s="1231"/>
      <c r="F330" s="1231"/>
      <c r="G330" s="1231"/>
      <c r="H330" s="1231"/>
      <c r="I330" s="1231"/>
      <c r="J330" s="1231"/>
      <c r="K330" s="1231"/>
      <c r="L330" s="1231"/>
      <c r="M330" s="1231"/>
      <c r="N330" s="1231"/>
      <c r="O330" s="1231"/>
      <c r="P330" s="1231"/>
      <c r="Q330" s="1231"/>
      <c r="R330" s="1231"/>
      <c r="S330" s="1231"/>
      <c r="T330" s="1231"/>
      <c r="U330" s="1231"/>
      <c r="V330" s="1231"/>
      <c r="W330" s="1231"/>
      <c r="X330" s="1227"/>
      <c r="Y330" s="1231"/>
      <c r="Z330" s="1231"/>
      <c r="AA330" s="1231"/>
      <c r="AB330" s="1231"/>
      <c r="AC330" s="1227"/>
      <c r="AD330" s="1231"/>
      <c r="AE330" s="1231"/>
      <c r="AF330" s="1231"/>
      <c r="AG330" s="1231"/>
      <c r="AH330" s="1227"/>
      <c r="AI330" s="1231"/>
      <c r="AJ330" s="1231"/>
      <c r="AK330" s="1231"/>
      <c r="AL330" s="1231"/>
      <c r="AM330" s="1227"/>
      <c r="AN330" s="1231"/>
      <c r="AO330" s="1231"/>
      <c r="AP330" s="1231"/>
      <c r="AQ330" s="1231"/>
      <c r="AR330" s="1227"/>
      <c r="AS330" s="1231"/>
      <c r="AT330" s="1231"/>
      <c r="AU330" s="1231"/>
      <c r="AV330" s="1231"/>
      <c r="AW330" s="1227"/>
      <c r="AX330" s="1231"/>
      <c r="AY330" s="1231"/>
      <c r="AZ330" s="1231"/>
      <c r="BA330" s="1231"/>
      <c r="BB330" s="1227"/>
      <c r="BC330" s="1231"/>
      <c r="BD330" s="1231"/>
      <c r="BE330" s="1231"/>
      <c r="BF330" s="1231"/>
      <c r="BG330" s="1227"/>
      <c r="BH330" s="1231"/>
      <c r="BI330" s="1231"/>
      <c r="BJ330" s="1231"/>
      <c r="BK330" s="1231"/>
      <c r="BL330" s="1326"/>
      <c r="BM330" s="1231"/>
      <c r="BN330" s="1231"/>
      <c r="BO330" s="1231"/>
      <c r="BP330" s="1231"/>
      <c r="BQ330" s="1326"/>
      <c r="BR330" s="1231"/>
      <c r="BS330" s="1231"/>
      <c r="BT330" s="1231"/>
      <c r="BU330" s="1231"/>
      <c r="BV330" s="1326"/>
      <c r="BW330" s="1231"/>
      <c r="BX330" s="1231"/>
      <c r="BY330" s="1231"/>
      <c r="BZ330" s="1231"/>
      <c r="CA330" s="1326"/>
      <c r="CB330" s="1223">
        <f>CA332</f>
        <v>0</v>
      </c>
      <c r="CC330" s="1223">
        <f>+CB332</f>
        <v>0</v>
      </c>
      <c r="CD330" s="1223">
        <f>+CC332</f>
        <v>550</v>
      </c>
      <c r="CE330" s="1223">
        <f>+CD332</f>
        <v>550</v>
      </c>
      <c r="CF330" s="1326">
        <f>CA332</f>
        <v>0</v>
      </c>
      <c r="CG330" s="1223">
        <f>+CE332</f>
        <v>550</v>
      </c>
      <c r="CH330" s="1223">
        <f>+CG332</f>
        <v>550</v>
      </c>
      <c r="CI330" s="1223">
        <f>+CH332</f>
        <v>550</v>
      </c>
      <c r="CJ330" s="1223">
        <f>+CI332</f>
        <v>550</v>
      </c>
      <c r="CK330" s="1326">
        <f>CF332</f>
        <v>550</v>
      </c>
      <c r="CL330" s="1223">
        <f>+CJ332</f>
        <v>550</v>
      </c>
      <c r="CM330" s="1223">
        <f>+CL332</f>
        <v>550</v>
      </c>
      <c r="CN330" s="1223">
        <f>+CM332</f>
        <v>550</v>
      </c>
      <c r="CO330" s="1223">
        <f>+CN332</f>
        <v>550</v>
      </c>
      <c r="CP330" s="1326">
        <f>CK332</f>
        <v>550</v>
      </c>
      <c r="CQ330" s="1223">
        <f>+CO330</f>
        <v>550</v>
      </c>
      <c r="CR330" s="1223">
        <f>+CQ332</f>
        <v>550</v>
      </c>
      <c r="CS330" s="1223">
        <f>+CR332</f>
        <v>550</v>
      </c>
      <c r="CT330" s="1223">
        <f>+CS332</f>
        <v>550</v>
      </c>
      <c r="CU330" s="1326">
        <f>CP332</f>
        <v>550</v>
      </c>
      <c r="CV330" s="1223">
        <f>+CT330</f>
        <v>550</v>
      </c>
      <c r="CW330" s="1223">
        <f>+CV332</f>
        <v>550</v>
      </c>
      <c r="CX330" s="1223">
        <f>+CW332</f>
        <v>550</v>
      </c>
      <c r="CY330" s="1223">
        <f>+CX332</f>
        <v>550</v>
      </c>
      <c r="CZ330" s="1326">
        <f>CU332</f>
        <v>550</v>
      </c>
      <c r="DA330" s="1223">
        <f>+CY330</f>
        <v>550</v>
      </c>
      <c r="DB330" s="1223">
        <f>+DA332</f>
        <v>550</v>
      </c>
      <c r="DC330" s="1223">
        <f>+DB332</f>
        <v>550</v>
      </c>
      <c r="DD330" s="1223">
        <f>+DC332</f>
        <v>550</v>
      </c>
      <c r="DE330" s="1326">
        <f>CZ332</f>
        <v>550</v>
      </c>
      <c r="DF330" s="1223">
        <f>+DD330</f>
        <v>550</v>
      </c>
      <c r="DG330" s="1223">
        <f>+DF332</f>
        <v>550</v>
      </c>
      <c r="DH330" s="1223">
        <f>+DG332</f>
        <v>550</v>
      </c>
      <c r="DI330" s="1223">
        <f>+DH332</f>
        <v>550</v>
      </c>
      <c r="DJ330" s="1326">
        <f>DE332</f>
        <v>550</v>
      </c>
      <c r="DK330" s="1223">
        <f>+DI330</f>
        <v>550</v>
      </c>
      <c r="DL330" s="1223">
        <f>+DK332</f>
        <v>550</v>
      </c>
      <c r="DM330" s="1223">
        <f>+DL332</f>
        <v>550</v>
      </c>
      <c r="DN330" s="1223">
        <f>+DM332</f>
        <v>550</v>
      </c>
      <c r="DO330" s="1326">
        <f>DJ332</f>
        <v>550</v>
      </c>
      <c r="DP330" s="1223">
        <f>+DN330</f>
        <v>550</v>
      </c>
      <c r="DQ330" s="1223">
        <f>+DP332</f>
        <v>550</v>
      </c>
      <c r="DR330" s="1223">
        <f>+DQ332</f>
        <v>550</v>
      </c>
      <c r="DS330" s="1223">
        <f>+DR332</f>
        <v>550</v>
      </c>
      <c r="DT330" s="1326">
        <f>DO332</f>
        <v>550</v>
      </c>
      <c r="DU330" s="1223">
        <f>+DS330</f>
        <v>550</v>
      </c>
      <c r="DV330" s="1223">
        <f>+DU332</f>
        <v>550</v>
      </c>
      <c r="DW330" s="1223">
        <f>+DV332</f>
        <v>550</v>
      </c>
      <c r="DX330" s="1223">
        <f>+DW332</f>
        <v>550</v>
      </c>
      <c r="DY330" s="1326">
        <f>DT332</f>
        <v>550</v>
      </c>
    </row>
    <row r="331" spans="1:129" x14ac:dyDescent="0.2">
      <c r="A331" s="1295"/>
      <c r="B331" s="1190" t="s">
        <v>1153</v>
      </c>
      <c r="C331" s="1182"/>
      <c r="D331" s="1182"/>
      <c r="E331" s="1182"/>
      <c r="F331" s="1182"/>
      <c r="G331" s="1182"/>
      <c r="H331" s="1182"/>
      <c r="I331" s="1182"/>
      <c r="J331" s="1182"/>
      <c r="K331" s="1182"/>
      <c r="L331" s="1182"/>
      <c r="M331" s="1182"/>
      <c r="N331" s="1182"/>
      <c r="O331" s="1182"/>
      <c r="P331" s="1182"/>
      <c r="Q331" s="1182"/>
      <c r="R331" s="1182"/>
      <c r="S331" s="1182"/>
      <c r="T331" s="1182"/>
      <c r="U331" s="1182"/>
      <c r="V331" s="1182"/>
      <c r="W331" s="1182"/>
      <c r="X331" s="1296"/>
      <c r="Y331" s="1297"/>
      <c r="Z331" s="1297"/>
      <c r="AA331" s="1297"/>
      <c r="AB331" s="1297"/>
      <c r="AC331" s="1296"/>
      <c r="AD331" s="1297"/>
      <c r="AE331" s="1297"/>
      <c r="AF331" s="1297"/>
      <c r="AG331" s="1297"/>
      <c r="AH331" s="1296"/>
      <c r="AI331" s="1297"/>
      <c r="AJ331" s="1297"/>
      <c r="AK331" s="1297"/>
      <c r="AL331" s="1297"/>
      <c r="AM331" s="1296"/>
      <c r="AN331" s="1297"/>
      <c r="AO331" s="1297"/>
      <c r="AP331" s="1297"/>
      <c r="AQ331" s="1297"/>
      <c r="AR331" s="1296"/>
      <c r="AS331" s="1297"/>
      <c r="AT331" s="1297"/>
      <c r="AU331" s="1297"/>
      <c r="AV331" s="1297"/>
      <c r="AW331" s="1296"/>
      <c r="AX331" s="1298"/>
      <c r="AY331" s="1299"/>
      <c r="AZ331" s="1299"/>
      <c r="BA331" s="1298"/>
      <c r="BB331" s="1300"/>
      <c r="BC331" s="1298"/>
      <c r="BD331" s="1298"/>
      <c r="BE331" s="1298"/>
      <c r="BF331" s="1298"/>
      <c r="BG331" s="1296"/>
      <c r="BH331" s="1298"/>
      <c r="BI331" s="1298"/>
      <c r="BJ331" s="1298"/>
      <c r="BK331" s="1298"/>
      <c r="BL331" s="1335"/>
      <c r="BM331" s="1298"/>
      <c r="BN331" s="1298"/>
      <c r="BO331" s="1298"/>
      <c r="BP331" s="1298"/>
      <c r="BQ331" s="1335"/>
      <c r="BR331" s="1298"/>
      <c r="BS331" s="1298"/>
      <c r="BT331" s="1298"/>
      <c r="BU331" s="1298"/>
      <c r="BV331" s="1335"/>
      <c r="BW331" s="1298"/>
      <c r="BX331" s="1298"/>
      <c r="BY331" s="1298"/>
      <c r="BZ331" s="1298"/>
      <c r="CA331" s="1335"/>
      <c r="CB331" s="1336">
        <f>CB332-CB330</f>
        <v>0</v>
      </c>
      <c r="CC331" s="1336">
        <f>CC332-CC330</f>
        <v>550</v>
      </c>
      <c r="CD331" s="1298">
        <v>0</v>
      </c>
      <c r="CE331" s="1298">
        <v>0</v>
      </c>
      <c r="CF331" s="1335">
        <f>+SUM(CB331:CE331)</f>
        <v>550</v>
      </c>
      <c r="CG331" s="1298">
        <v>0</v>
      </c>
      <c r="CH331" s="1298">
        <v>0</v>
      </c>
      <c r="CI331" s="1298">
        <v>0</v>
      </c>
      <c r="CJ331" s="1298">
        <v>0</v>
      </c>
      <c r="CK331" s="1335">
        <f>+SUM(CG331:CJ331)</f>
        <v>0</v>
      </c>
      <c r="CL331" s="1298">
        <v>0</v>
      </c>
      <c r="CM331" s="1298">
        <v>0</v>
      </c>
      <c r="CN331" s="1298">
        <v>0</v>
      </c>
      <c r="CO331" s="1298">
        <v>0</v>
      </c>
      <c r="CP331" s="1335">
        <f>+SUM(CL331:CO331)</f>
        <v>0</v>
      </c>
      <c r="CQ331" s="1298">
        <v>0</v>
      </c>
      <c r="CR331" s="1298">
        <v>0</v>
      </c>
      <c r="CS331" s="1298">
        <v>0</v>
      </c>
      <c r="CT331" s="1298">
        <v>0</v>
      </c>
      <c r="CU331" s="1335">
        <f>+SUM(CQ331:CT331)</f>
        <v>0</v>
      </c>
      <c r="CV331" s="1298">
        <v>0</v>
      </c>
      <c r="CW331" s="1298">
        <v>0</v>
      </c>
      <c r="CX331" s="1298">
        <v>0</v>
      </c>
      <c r="CY331" s="1298">
        <v>0</v>
      </c>
      <c r="CZ331" s="1335">
        <f>+SUM(CV331:CY331)</f>
        <v>0</v>
      </c>
      <c r="DA331" s="1298">
        <v>0</v>
      </c>
      <c r="DB331" s="1298">
        <v>0</v>
      </c>
      <c r="DC331" s="1298">
        <v>0</v>
      </c>
      <c r="DD331" s="1298">
        <v>0</v>
      </c>
      <c r="DE331" s="1335">
        <f>+SUM(DA331:DD331)</f>
        <v>0</v>
      </c>
      <c r="DF331" s="1298">
        <v>0</v>
      </c>
      <c r="DG331" s="1298">
        <v>0</v>
      </c>
      <c r="DH331" s="1298">
        <v>0</v>
      </c>
      <c r="DI331" s="1298">
        <v>0</v>
      </c>
      <c r="DJ331" s="1335">
        <f>+SUM(DF331:DI331)</f>
        <v>0</v>
      </c>
      <c r="DK331" s="1298">
        <v>0</v>
      </c>
      <c r="DL331" s="1298">
        <v>0</v>
      </c>
      <c r="DM331" s="1298">
        <v>0</v>
      </c>
      <c r="DN331" s="1298">
        <v>0</v>
      </c>
      <c r="DO331" s="1335">
        <f>+SUM(DK331:DN331)</f>
        <v>0</v>
      </c>
      <c r="DP331" s="1298">
        <v>0</v>
      </c>
      <c r="DQ331" s="1298">
        <v>0</v>
      </c>
      <c r="DR331" s="1298">
        <v>0</v>
      </c>
      <c r="DS331" s="1298">
        <v>0</v>
      </c>
      <c r="DT331" s="1335">
        <f>+SUM(DP331:DS331)</f>
        <v>0</v>
      </c>
      <c r="DU331" s="1298">
        <v>0</v>
      </c>
      <c r="DV331" s="1298">
        <v>0</v>
      </c>
      <c r="DW331" s="1298">
        <v>0</v>
      </c>
      <c r="DX331" s="1298">
        <v>0</v>
      </c>
      <c r="DY331" s="1335">
        <f>+SUM(DU331:DX331)</f>
        <v>0</v>
      </c>
    </row>
    <row r="332" spans="1:129" x14ac:dyDescent="0.2">
      <c r="A332" s="1295"/>
      <c r="B332" s="1190" t="s">
        <v>1154</v>
      </c>
      <c r="C332" s="1182"/>
      <c r="D332" s="1182"/>
      <c r="E332" s="1182"/>
      <c r="F332" s="1182"/>
      <c r="G332" s="1182"/>
      <c r="H332" s="1182"/>
      <c r="I332" s="1182"/>
      <c r="J332" s="1182"/>
      <c r="K332" s="1182"/>
      <c r="L332" s="1182"/>
      <c r="M332" s="1182"/>
      <c r="N332" s="1182"/>
      <c r="O332" s="1182"/>
      <c r="P332" s="1182"/>
      <c r="Q332" s="1182"/>
      <c r="R332" s="1182"/>
      <c r="S332" s="1182"/>
      <c r="T332" s="1182"/>
      <c r="U332" s="1182"/>
      <c r="V332" s="1182"/>
      <c r="W332" s="1182"/>
      <c r="X332" s="1304"/>
      <c r="Y332" s="1305"/>
      <c r="Z332" s="1305"/>
      <c r="AA332" s="1305"/>
      <c r="AB332" s="1305"/>
      <c r="AC332" s="1304"/>
      <c r="AD332" s="1305"/>
      <c r="AE332" s="1305"/>
      <c r="AF332" s="1305"/>
      <c r="AG332" s="1305"/>
      <c r="AH332" s="1304"/>
      <c r="AI332" s="1305"/>
      <c r="AJ332" s="1305"/>
      <c r="AK332" s="1305"/>
      <c r="AL332" s="1305"/>
      <c r="AM332" s="1304"/>
      <c r="AN332" s="1305"/>
      <c r="AO332" s="1305"/>
      <c r="AP332" s="1305"/>
      <c r="AQ332" s="1305"/>
      <c r="AR332" s="1304"/>
      <c r="AS332" s="1305"/>
      <c r="AT332" s="1305"/>
      <c r="AU332" s="1305"/>
      <c r="AV332" s="1305"/>
      <c r="AW332" s="1304"/>
      <c r="AX332" s="1305"/>
      <c r="AY332" s="1305"/>
      <c r="AZ332" s="1305"/>
      <c r="BA332" s="1305"/>
      <c r="BB332" s="1304"/>
      <c r="BC332" s="1305"/>
      <c r="BD332" s="1305"/>
      <c r="BE332" s="1305"/>
      <c r="BF332" s="1305"/>
      <c r="BG332" s="1306"/>
      <c r="BH332" s="1305"/>
      <c r="BI332" s="1305"/>
      <c r="BJ332" s="1305"/>
      <c r="BK332" s="1305"/>
      <c r="BL332" s="1337"/>
      <c r="BM332" s="1305"/>
      <c r="BN332" s="1305"/>
      <c r="BO332" s="1305"/>
      <c r="BP332" s="1305"/>
      <c r="BQ332" s="1337"/>
      <c r="BR332" s="1305"/>
      <c r="BS332" s="1305"/>
      <c r="BT332" s="1305"/>
      <c r="BU332" s="1305"/>
      <c r="BV332" s="1337"/>
      <c r="BW332" s="1305"/>
      <c r="BX332" s="1305"/>
      <c r="BY332" s="1305"/>
      <c r="BZ332" s="1305"/>
      <c r="CA332" s="1337"/>
      <c r="CB332" s="1295">
        <f>CA332</f>
        <v>0</v>
      </c>
      <c r="CC332" s="1224">
        <v>550</v>
      </c>
      <c r="CD332" s="1295">
        <f t="shared" ref="CD332:CZ332" si="213">CD330+CD331</f>
        <v>550</v>
      </c>
      <c r="CE332" s="1295">
        <f t="shared" si="213"/>
        <v>550</v>
      </c>
      <c r="CF332" s="1325">
        <f t="shared" si="213"/>
        <v>550</v>
      </c>
      <c r="CG332" s="1295">
        <f t="shared" si="213"/>
        <v>550</v>
      </c>
      <c r="CH332" s="1295">
        <f t="shared" si="213"/>
        <v>550</v>
      </c>
      <c r="CI332" s="1295">
        <f t="shared" si="213"/>
        <v>550</v>
      </c>
      <c r="CJ332" s="1295">
        <f t="shared" si="213"/>
        <v>550</v>
      </c>
      <c r="CK332" s="1325">
        <f t="shared" si="213"/>
        <v>550</v>
      </c>
      <c r="CL332" s="1295">
        <f t="shared" si="213"/>
        <v>550</v>
      </c>
      <c r="CM332" s="1295">
        <f t="shared" si="213"/>
        <v>550</v>
      </c>
      <c r="CN332" s="1295">
        <f t="shared" si="213"/>
        <v>550</v>
      </c>
      <c r="CO332" s="1295">
        <f t="shared" si="213"/>
        <v>550</v>
      </c>
      <c r="CP332" s="1325">
        <f t="shared" si="213"/>
        <v>550</v>
      </c>
      <c r="CQ332" s="1295">
        <f t="shared" si="213"/>
        <v>550</v>
      </c>
      <c r="CR332" s="1295">
        <f t="shared" si="213"/>
        <v>550</v>
      </c>
      <c r="CS332" s="1295">
        <f t="shared" si="213"/>
        <v>550</v>
      </c>
      <c r="CT332" s="1295">
        <f t="shared" si="213"/>
        <v>550</v>
      </c>
      <c r="CU332" s="1325">
        <f t="shared" si="213"/>
        <v>550</v>
      </c>
      <c r="CV332" s="1295">
        <f t="shared" si="213"/>
        <v>550</v>
      </c>
      <c r="CW332" s="1295">
        <f t="shared" si="213"/>
        <v>550</v>
      </c>
      <c r="CX332" s="1295">
        <f t="shared" si="213"/>
        <v>550</v>
      </c>
      <c r="CY332" s="1295">
        <f t="shared" si="213"/>
        <v>550</v>
      </c>
      <c r="CZ332" s="1325">
        <f t="shared" si="213"/>
        <v>550</v>
      </c>
      <c r="DA332" s="1295">
        <f t="shared" ref="DA332:DJ332" si="214">DA330+DA331</f>
        <v>550</v>
      </c>
      <c r="DB332" s="1295">
        <f t="shared" si="214"/>
        <v>550</v>
      </c>
      <c r="DC332" s="1295">
        <f t="shared" si="214"/>
        <v>550</v>
      </c>
      <c r="DD332" s="1295">
        <f t="shared" si="214"/>
        <v>550</v>
      </c>
      <c r="DE332" s="1325">
        <f t="shared" si="214"/>
        <v>550</v>
      </c>
      <c r="DF332" s="1295">
        <f t="shared" si="214"/>
        <v>550</v>
      </c>
      <c r="DG332" s="1295">
        <f t="shared" si="214"/>
        <v>550</v>
      </c>
      <c r="DH332" s="1295">
        <f t="shared" si="214"/>
        <v>550</v>
      </c>
      <c r="DI332" s="1295">
        <f t="shared" si="214"/>
        <v>550</v>
      </c>
      <c r="DJ332" s="1325">
        <f t="shared" si="214"/>
        <v>550</v>
      </c>
      <c r="DK332" s="1295">
        <f t="shared" ref="DK332:DT332" si="215">DK330+DK331</f>
        <v>550</v>
      </c>
      <c r="DL332" s="1295">
        <f t="shared" si="215"/>
        <v>550</v>
      </c>
      <c r="DM332" s="1295">
        <f t="shared" si="215"/>
        <v>550</v>
      </c>
      <c r="DN332" s="1295">
        <f t="shared" si="215"/>
        <v>550</v>
      </c>
      <c r="DO332" s="1325">
        <f t="shared" si="215"/>
        <v>550</v>
      </c>
      <c r="DP332" s="1295">
        <f t="shared" si="215"/>
        <v>550</v>
      </c>
      <c r="DQ332" s="1295">
        <f t="shared" si="215"/>
        <v>550</v>
      </c>
      <c r="DR332" s="1295">
        <f t="shared" si="215"/>
        <v>550</v>
      </c>
      <c r="DS332" s="1295">
        <f t="shared" si="215"/>
        <v>550</v>
      </c>
      <c r="DT332" s="1325">
        <f t="shared" si="215"/>
        <v>550</v>
      </c>
      <c r="DU332" s="1295">
        <f t="shared" ref="DU332:DY332" si="216">DU330+DU331</f>
        <v>550</v>
      </c>
      <c r="DV332" s="1295">
        <f t="shared" si="216"/>
        <v>550</v>
      </c>
      <c r="DW332" s="1295">
        <f t="shared" si="216"/>
        <v>550</v>
      </c>
      <c r="DX332" s="1295">
        <f t="shared" si="216"/>
        <v>550</v>
      </c>
      <c r="DY332" s="1325">
        <f t="shared" si="216"/>
        <v>550</v>
      </c>
    </row>
    <row r="333" spans="1:129" x14ac:dyDescent="0.2">
      <c r="A333" s="1223"/>
      <c r="B333" s="1190" t="s">
        <v>1155</v>
      </c>
      <c r="C333" s="1182"/>
      <c r="D333" s="1182"/>
      <c r="E333" s="1182"/>
      <c r="F333" s="1182"/>
      <c r="G333" s="1182"/>
      <c r="H333" s="1182"/>
      <c r="I333" s="1182"/>
      <c r="J333" s="1182"/>
      <c r="K333" s="1182"/>
      <c r="L333" s="1182"/>
      <c r="M333" s="1182"/>
      <c r="N333" s="1182"/>
      <c r="O333" s="1182"/>
      <c r="P333" s="1182"/>
      <c r="Q333" s="1182"/>
      <c r="R333" s="1182"/>
      <c r="S333" s="1182"/>
      <c r="T333" s="1182"/>
      <c r="U333" s="1182"/>
      <c r="V333" s="1182"/>
      <c r="W333" s="1182"/>
      <c r="X333" s="1227"/>
      <c r="Y333" s="1231"/>
      <c r="Z333" s="1231"/>
      <c r="AA333" s="1231"/>
      <c r="AB333" s="1231"/>
      <c r="AC333" s="1227"/>
      <c r="AD333" s="1231"/>
      <c r="AE333" s="1231"/>
      <c r="AF333" s="1231"/>
      <c r="AG333" s="1231"/>
      <c r="AH333" s="1227"/>
      <c r="AI333" s="1231"/>
      <c r="AJ333" s="1231"/>
      <c r="AK333" s="1231"/>
      <c r="AL333" s="1231"/>
      <c r="AM333" s="1227"/>
      <c r="AN333" s="1231"/>
      <c r="AO333" s="1231"/>
      <c r="AP333" s="1231"/>
      <c r="AQ333" s="1231"/>
      <c r="AR333" s="1227"/>
      <c r="AS333" s="1231"/>
      <c r="AT333" s="1231"/>
      <c r="AU333" s="1231"/>
      <c r="AV333" s="1231"/>
      <c r="AW333" s="1227"/>
      <c r="AX333" s="1231"/>
      <c r="AY333" s="1231"/>
      <c r="AZ333" s="1231"/>
      <c r="BA333" s="1231"/>
      <c r="BB333" s="1227"/>
      <c r="BC333" s="1231"/>
      <c r="BD333" s="1231"/>
      <c r="BE333" s="1231"/>
      <c r="BF333" s="1231"/>
      <c r="BG333" s="1227"/>
      <c r="BH333" s="1231"/>
      <c r="BI333" s="1231"/>
      <c r="BJ333" s="1231"/>
      <c r="BK333" s="1231"/>
      <c r="BL333" s="1326"/>
      <c r="BM333" s="1231"/>
      <c r="BN333" s="1231"/>
      <c r="BO333" s="1231"/>
      <c r="BP333" s="1231"/>
      <c r="BQ333" s="1326"/>
      <c r="BR333" s="1231"/>
      <c r="BS333" s="1231"/>
      <c r="BT333" s="1231"/>
      <c r="BU333" s="1231"/>
      <c r="BV333" s="1326"/>
      <c r="BW333" s="1231"/>
      <c r="BX333" s="1231"/>
      <c r="BY333" s="1231"/>
      <c r="BZ333" s="1231"/>
      <c r="CA333" s="1326"/>
      <c r="CB333" s="1231"/>
      <c r="CC333" s="1231"/>
      <c r="CD333" s="1231"/>
      <c r="CE333" s="1231"/>
      <c r="CF333" s="1326"/>
      <c r="CG333" s="1231"/>
      <c r="CH333" s="1231"/>
      <c r="CI333" s="1231"/>
      <c r="CJ333" s="1231"/>
      <c r="CK333" s="1326"/>
      <c r="CL333" s="1231"/>
      <c r="CM333" s="1231"/>
      <c r="CN333" s="1231"/>
      <c r="CO333" s="1231"/>
      <c r="CP333" s="1326"/>
      <c r="CQ333" s="1231"/>
      <c r="CR333" s="1231"/>
      <c r="CS333" s="1231"/>
      <c r="CT333" s="1231"/>
      <c r="CU333" s="1326"/>
      <c r="CV333" s="1231"/>
      <c r="CW333" s="1231"/>
      <c r="CX333" s="1231"/>
      <c r="CY333" s="1231"/>
      <c r="CZ333" s="1326"/>
      <c r="DA333" s="1231"/>
      <c r="DB333" s="1231"/>
      <c r="DC333" s="1231"/>
      <c r="DD333" s="1231"/>
      <c r="DE333" s="1326"/>
      <c r="DF333" s="1231"/>
      <c r="DG333" s="1231"/>
      <c r="DH333" s="1231"/>
      <c r="DI333" s="1231"/>
      <c r="DJ333" s="1326"/>
      <c r="DK333" s="1231"/>
      <c r="DL333" s="1231"/>
      <c r="DM333" s="1231"/>
      <c r="DN333" s="1231"/>
      <c r="DO333" s="1326"/>
      <c r="DP333" s="1231"/>
      <c r="DQ333" s="1231"/>
      <c r="DR333" s="1231"/>
      <c r="DS333" s="1231"/>
      <c r="DT333" s="1326"/>
      <c r="DU333" s="1231"/>
      <c r="DV333" s="1231"/>
      <c r="DW333" s="1231"/>
      <c r="DX333" s="1231"/>
      <c r="DY333" s="1326"/>
    </row>
    <row r="334" spans="1:129" x14ac:dyDescent="0.2">
      <c r="A334" s="1223"/>
      <c r="B334" s="1190" t="s">
        <v>1156</v>
      </c>
      <c r="C334" s="1182"/>
      <c r="D334" s="1182"/>
      <c r="E334" s="1182"/>
      <c r="F334" s="1182"/>
      <c r="G334" s="1182"/>
      <c r="H334" s="1182"/>
      <c r="I334" s="1182"/>
      <c r="J334" s="1182"/>
      <c r="K334" s="1182"/>
      <c r="L334" s="1182"/>
      <c r="M334" s="1182"/>
      <c r="N334" s="1182"/>
      <c r="O334" s="1182"/>
      <c r="P334" s="1182"/>
      <c r="Q334" s="1182"/>
      <c r="R334" s="1182"/>
      <c r="S334" s="1182"/>
      <c r="T334" s="1182"/>
      <c r="U334" s="1182"/>
      <c r="V334" s="1182"/>
      <c r="W334" s="1182"/>
      <c r="X334" s="1227"/>
      <c r="Y334" s="1231"/>
      <c r="Z334" s="1231"/>
      <c r="AA334" s="1231"/>
      <c r="AB334" s="1231"/>
      <c r="AC334" s="1227"/>
      <c r="AD334" s="1231"/>
      <c r="AE334" s="1231"/>
      <c r="AF334" s="1231"/>
      <c r="AG334" s="1231"/>
      <c r="AH334" s="1227"/>
      <c r="AI334" s="1231"/>
      <c r="AJ334" s="1231"/>
      <c r="AK334" s="1231"/>
      <c r="AL334" s="1231"/>
      <c r="AM334" s="1227"/>
      <c r="AN334" s="1231"/>
      <c r="AO334" s="1231"/>
      <c r="AP334" s="1231"/>
      <c r="AQ334" s="1231"/>
      <c r="AR334" s="1227"/>
      <c r="AS334" s="1231"/>
      <c r="AT334" s="1231"/>
      <c r="AU334" s="1231"/>
      <c r="AV334" s="1231"/>
      <c r="AW334" s="1227"/>
      <c r="AX334" s="1231"/>
      <c r="AY334" s="1231"/>
      <c r="AZ334" s="1231"/>
      <c r="BA334" s="1231"/>
      <c r="BB334" s="1227"/>
      <c r="BC334" s="1231"/>
      <c r="BD334" s="1231"/>
      <c r="BE334" s="1231"/>
      <c r="BF334" s="1231"/>
      <c r="BG334" s="1227"/>
      <c r="BH334" s="1231"/>
      <c r="BI334" s="1231"/>
      <c r="BJ334" s="1231"/>
      <c r="BK334" s="1231"/>
      <c r="BL334" s="1326"/>
      <c r="BM334" s="1231"/>
      <c r="BN334" s="1231"/>
      <c r="BO334" s="1231"/>
      <c r="BP334" s="1231"/>
      <c r="BQ334" s="1326"/>
      <c r="BR334" s="1231"/>
      <c r="BS334" s="1231"/>
      <c r="BT334" s="1231"/>
      <c r="BU334" s="1231"/>
      <c r="BV334" s="1326"/>
      <c r="BW334" s="1231"/>
      <c r="BX334" s="1231"/>
      <c r="BY334" s="1231"/>
      <c r="BZ334" s="1231"/>
      <c r="CA334" s="1326"/>
      <c r="CB334" s="1223">
        <f>-(AVERAGE(CB332,CB330))*(CB328/4)</f>
        <v>0</v>
      </c>
      <c r="CC334" s="1223">
        <f>-(AVERAGE(CC332,CC330))*(CC328/4)</f>
        <v>-2.8359375</v>
      </c>
      <c r="CD334" s="1223">
        <f>-(AVERAGE(CD332,CD330))*(CD328/4)</f>
        <v>-5.671875</v>
      </c>
      <c r="CE334" s="1223">
        <f>-(AVERAGE(CE332,CE330))*(CE328/4)</f>
        <v>-5.671875</v>
      </c>
      <c r="CF334" s="1326">
        <f>SUM(CB334:CE334)</f>
        <v>-14.1796875</v>
      </c>
      <c r="CG334" s="1223">
        <f>-(AVERAGE(CG332,CG330))*(CG328/4)</f>
        <v>-5.671875</v>
      </c>
      <c r="CH334" s="1223">
        <f>-(AVERAGE(CH332,CH330))*(CH328/4)</f>
        <v>-5.671875</v>
      </c>
      <c r="CI334" s="1223">
        <f>-(AVERAGE(CI332,CI330))*(CI328/4)</f>
        <v>-5.671875</v>
      </c>
      <c r="CJ334" s="1223">
        <f>-(AVERAGE(CJ332,CJ330))*(CJ328/4)</f>
        <v>-5.671875</v>
      </c>
      <c r="CK334" s="1326">
        <f>SUM(CG334:CJ334)</f>
        <v>-22.6875</v>
      </c>
      <c r="CL334" s="1223">
        <f>-(AVERAGE(CL332,CL330))*(CL328/4)</f>
        <v>-5.671875</v>
      </c>
      <c r="CM334" s="1223">
        <f>-(AVERAGE(CM332,CM330))*(CM328/4)</f>
        <v>-5.671875</v>
      </c>
      <c r="CN334" s="1223">
        <f>-(AVERAGE(CN332,CN330))*(CN328/4)</f>
        <v>-5.671875</v>
      </c>
      <c r="CO334" s="1223">
        <f>-(AVERAGE(CO332,CO330))*(CO328/4)</f>
        <v>-5.671875</v>
      </c>
      <c r="CP334" s="1326">
        <f>SUM(CL334:CO334)</f>
        <v>-22.6875</v>
      </c>
      <c r="CQ334" s="1223">
        <f>-(AVERAGE(CQ332,CQ330))*(CQ328/4)</f>
        <v>-5.671875</v>
      </c>
      <c r="CR334" s="1223">
        <f>-(AVERAGE(CR332,CR330))*(CR328/4)</f>
        <v>-5.671875</v>
      </c>
      <c r="CS334" s="1223">
        <f>-(AVERAGE(CS332,CS330))*(CS328/4)</f>
        <v>-5.671875</v>
      </c>
      <c r="CT334" s="1223">
        <f>-(AVERAGE(CT332,CT330))*(CT328/4)</f>
        <v>-5.671875</v>
      </c>
      <c r="CU334" s="1326">
        <f>SUM(CQ334:CT334)</f>
        <v>-22.6875</v>
      </c>
      <c r="CV334" s="1223">
        <f>-(AVERAGE(CV332,CV330))*(CV328/4)</f>
        <v>-5.671875</v>
      </c>
      <c r="CW334" s="1223">
        <f>-(AVERAGE(CW332,CW330))*(CW328/4)</f>
        <v>-5.671875</v>
      </c>
      <c r="CX334" s="1223">
        <f>-(AVERAGE(CX332,CX330))*(CX328/4)</f>
        <v>-5.671875</v>
      </c>
      <c r="CY334" s="1223">
        <f>-(AVERAGE(CY332,CY330))*(CY328/4)</f>
        <v>-5.671875</v>
      </c>
      <c r="CZ334" s="1326">
        <f>SUM(CV334:CY334)</f>
        <v>-22.6875</v>
      </c>
      <c r="DA334" s="1223">
        <f>-(AVERAGE(DA332,DA330))*(DA328/4)</f>
        <v>-5.671875</v>
      </c>
      <c r="DB334" s="1223">
        <f>-(AVERAGE(DB332,DB330))*(DB328/4)</f>
        <v>-5.671875</v>
      </c>
      <c r="DC334" s="1223">
        <f>-(AVERAGE(DC332,DC330))*(DC328/4)</f>
        <v>-5.671875</v>
      </c>
      <c r="DD334" s="1223">
        <f>-(AVERAGE(DD332,DD330))*(DD328/4)</f>
        <v>-5.671875</v>
      </c>
      <c r="DE334" s="1326">
        <f>SUM(DA334:DD334)</f>
        <v>-22.6875</v>
      </c>
      <c r="DF334" s="1223">
        <f>-(AVERAGE(DF332,DF330))*(DF328/4)</f>
        <v>-5.671875</v>
      </c>
      <c r="DG334" s="1223">
        <f>-(AVERAGE(DG332,DG330))*(DG328/4)</f>
        <v>-5.671875</v>
      </c>
      <c r="DH334" s="1223">
        <f>-(AVERAGE(DH332,DH330))*(DH328/4)</f>
        <v>-5.671875</v>
      </c>
      <c r="DI334" s="1223">
        <f>-(AVERAGE(DI332,DI330))*(DI328/4)</f>
        <v>-5.671875</v>
      </c>
      <c r="DJ334" s="1326">
        <f>SUM(DF334:DI334)</f>
        <v>-22.6875</v>
      </c>
      <c r="DK334" s="1223">
        <f>-(AVERAGE(DK332,DK330))*(DK328/4)</f>
        <v>-5.671875</v>
      </c>
      <c r="DL334" s="1223">
        <f>-(AVERAGE(DL332,DL330))*(DL328/4)</f>
        <v>-5.671875</v>
      </c>
      <c r="DM334" s="1223">
        <f>-(AVERAGE(DM332,DM330))*(DM328/4)</f>
        <v>-5.671875</v>
      </c>
      <c r="DN334" s="1223">
        <f>-(AVERAGE(DN332,DN330))*(DN328/4)</f>
        <v>-5.671875</v>
      </c>
      <c r="DO334" s="1326">
        <f>SUM(DK334:DN334)</f>
        <v>-22.6875</v>
      </c>
      <c r="DP334" s="1223">
        <f>-(AVERAGE(DP332,DP330))*(DP328/4)</f>
        <v>-5.671875</v>
      </c>
      <c r="DQ334" s="1223">
        <f>-(AVERAGE(DQ332,DQ330))*(DQ328/4)</f>
        <v>-5.671875</v>
      </c>
      <c r="DR334" s="1223">
        <f>-(AVERAGE(DR332,DR330))*(DR328/4)</f>
        <v>-5.671875</v>
      </c>
      <c r="DS334" s="1223">
        <f>-(AVERAGE(DS332,DS330))*(DS328/4)</f>
        <v>-5.671875</v>
      </c>
      <c r="DT334" s="1326">
        <f>SUM(DP334:DS334)</f>
        <v>-22.6875</v>
      </c>
      <c r="DU334" s="1223">
        <f>-(AVERAGE(DU332,DU330))*(DU328/4)</f>
        <v>-5.671875</v>
      </c>
      <c r="DV334" s="1223">
        <f>-(AVERAGE(DV332,DV330))*(DV328/4)</f>
        <v>-5.671875</v>
      </c>
      <c r="DW334" s="1223">
        <f>-(AVERAGE(DW332,DW330))*(DW328/4)</f>
        <v>-5.671875</v>
      </c>
      <c r="DX334" s="1223">
        <f>-(AVERAGE(DX332,DX330))*(DX328/4)</f>
        <v>-5.671875</v>
      </c>
      <c r="DY334" s="1326">
        <f>SUM(DU334:DX334)</f>
        <v>-22.6875</v>
      </c>
    </row>
    <row r="335" spans="1:129" ht="12" thickBot="1" x14ac:dyDescent="0.25">
      <c r="A335" s="1223"/>
      <c r="B335" s="1250" t="s">
        <v>1157</v>
      </c>
      <c r="C335" s="1251"/>
      <c r="D335" s="1251"/>
      <c r="E335" s="1251"/>
      <c r="F335" s="1251"/>
      <c r="G335" s="1251"/>
      <c r="H335" s="1251"/>
      <c r="I335" s="1251"/>
      <c r="J335" s="1251"/>
      <c r="K335" s="1251"/>
      <c r="L335" s="1251"/>
      <c r="M335" s="1251"/>
      <c r="N335" s="1251"/>
      <c r="O335" s="1251"/>
      <c r="P335" s="1251"/>
      <c r="Q335" s="1251"/>
      <c r="R335" s="1251"/>
      <c r="S335" s="1251"/>
      <c r="T335" s="1251"/>
      <c r="U335" s="1251"/>
      <c r="V335" s="1251"/>
      <c r="W335" s="1251"/>
      <c r="X335" s="1252"/>
      <c r="Y335" s="1251"/>
      <c r="Z335" s="1251"/>
      <c r="AA335" s="1251"/>
      <c r="AB335" s="1251"/>
      <c r="AC335" s="1252"/>
      <c r="AD335" s="1251"/>
      <c r="AE335" s="1251"/>
      <c r="AF335" s="1251"/>
      <c r="AG335" s="1251"/>
      <c r="AH335" s="1252"/>
      <c r="AI335" s="1251"/>
      <c r="AJ335" s="1251"/>
      <c r="AK335" s="1251"/>
      <c r="AL335" s="1251"/>
      <c r="AM335" s="1252"/>
      <c r="AN335" s="1251"/>
      <c r="AO335" s="1251"/>
      <c r="AP335" s="1251"/>
      <c r="AQ335" s="1253"/>
      <c r="AR335" s="1252"/>
      <c r="AS335" s="1253"/>
      <c r="AT335" s="1253"/>
      <c r="AU335" s="1253"/>
      <c r="AV335" s="1253"/>
      <c r="AW335" s="1252"/>
      <c r="AX335" s="1253"/>
      <c r="AY335" s="1253"/>
      <c r="AZ335" s="1253"/>
      <c r="BA335" s="1253"/>
      <c r="BB335" s="1252"/>
      <c r="BC335" s="1253"/>
      <c r="BD335" s="1253"/>
      <c r="BE335" s="1253"/>
      <c r="BF335" s="1253"/>
      <c r="BG335" s="1252"/>
      <c r="BH335" s="1253"/>
      <c r="BI335" s="1253"/>
      <c r="BJ335" s="1253"/>
      <c r="BK335" s="1253"/>
      <c r="BL335" s="1327"/>
      <c r="BM335" s="1253"/>
      <c r="BN335" s="1253"/>
      <c r="BO335" s="1253"/>
      <c r="BP335" s="1253"/>
      <c r="BQ335" s="1327"/>
      <c r="BR335" s="1253"/>
      <c r="BS335" s="1253"/>
      <c r="BT335" s="1253"/>
      <c r="BU335" s="1253"/>
      <c r="BV335" s="1327"/>
      <c r="BW335" s="1253"/>
      <c r="BX335" s="1253"/>
      <c r="BY335" s="1253"/>
      <c r="BZ335" s="1253"/>
      <c r="CA335" s="1327"/>
      <c r="CB335" s="1253">
        <f>-CB327*CB333/4</f>
        <v>0</v>
      </c>
      <c r="CC335" s="1253">
        <f>-CC327*CC333/4</f>
        <v>0</v>
      </c>
      <c r="CD335" s="1253">
        <f>-CD327*CD333/4</f>
        <v>0</v>
      </c>
      <c r="CE335" s="1253">
        <f>-CE327*CE333/4</f>
        <v>0</v>
      </c>
      <c r="CF335" s="1327"/>
      <c r="CG335" s="1253">
        <f>-CG327*CG333/4</f>
        <v>0</v>
      </c>
      <c r="CH335" s="1253">
        <f>-CH327*CH333/4</f>
        <v>0</v>
      </c>
      <c r="CI335" s="1253">
        <f>-CI327*CI333/4</f>
        <v>0</v>
      </c>
      <c r="CJ335" s="1253">
        <f>-CJ327*CJ333/4</f>
        <v>0</v>
      </c>
      <c r="CK335" s="1327"/>
      <c r="CL335" s="1253">
        <f>-CL327*CL333/4</f>
        <v>0</v>
      </c>
      <c r="CM335" s="1253">
        <f>-CM327*CM333/4</f>
        <v>0</v>
      </c>
      <c r="CN335" s="1253">
        <f>-CN327*CN333/4</f>
        <v>0</v>
      </c>
      <c r="CO335" s="1253">
        <f>-CO327*CO333/4</f>
        <v>0</v>
      </c>
      <c r="CP335" s="1327"/>
      <c r="CQ335" s="1253">
        <f>-CQ327*CQ333/4</f>
        <v>0</v>
      </c>
      <c r="CR335" s="1253">
        <f>-CR327*CR333/4</f>
        <v>0</v>
      </c>
      <c r="CS335" s="1253">
        <f>-CS327*CS333/4</f>
        <v>0</v>
      </c>
      <c r="CT335" s="1253">
        <f>-CT327*CT333/4</f>
        <v>0</v>
      </c>
      <c r="CU335" s="1327"/>
      <c r="CV335" s="1253">
        <f>-CV327*CV333/4</f>
        <v>0</v>
      </c>
      <c r="CW335" s="1253">
        <f>-CW327*CW333/4</f>
        <v>0</v>
      </c>
      <c r="CX335" s="1253">
        <f>-CX327*CX333/4</f>
        <v>0</v>
      </c>
      <c r="CY335" s="1253">
        <f>-CY327*CY333/4</f>
        <v>0</v>
      </c>
      <c r="CZ335" s="1327"/>
      <c r="DA335" s="1253">
        <f>-DA327*DA333/4</f>
        <v>0</v>
      </c>
      <c r="DB335" s="1253">
        <f>-DB327*DB333/4</f>
        <v>0</v>
      </c>
      <c r="DC335" s="1253">
        <f>-DC327*DC333/4</f>
        <v>0</v>
      </c>
      <c r="DD335" s="1253">
        <f>-DD327*DD333/4</f>
        <v>0</v>
      </c>
      <c r="DE335" s="1327"/>
      <c r="DF335" s="1253">
        <f>-DF327*DF333/4</f>
        <v>0</v>
      </c>
      <c r="DG335" s="1253">
        <f>-DG327*DG333/4</f>
        <v>0</v>
      </c>
      <c r="DH335" s="1253">
        <f>-DH327*DH333/4</f>
        <v>0</v>
      </c>
      <c r="DI335" s="1253">
        <f>-DI327*DI333/4</f>
        <v>0</v>
      </c>
      <c r="DJ335" s="1327"/>
      <c r="DK335" s="1253">
        <f>-DK327*DK333/4</f>
        <v>0</v>
      </c>
      <c r="DL335" s="1253">
        <f>-DL327*DL333/4</f>
        <v>0</v>
      </c>
      <c r="DM335" s="1253">
        <f>-DM327*DM333/4</f>
        <v>0</v>
      </c>
      <c r="DN335" s="1253">
        <f>-DN327*DN333/4</f>
        <v>0</v>
      </c>
      <c r="DO335" s="1327"/>
      <c r="DP335" s="1253">
        <f>-DP327*DP333/4</f>
        <v>0</v>
      </c>
      <c r="DQ335" s="1253">
        <f>-DQ327*DQ333/4</f>
        <v>0</v>
      </c>
      <c r="DR335" s="1253">
        <f>-DR327*DR333/4</f>
        <v>0</v>
      </c>
      <c r="DS335" s="1253">
        <f>-DS327*DS333/4</f>
        <v>0</v>
      </c>
      <c r="DT335" s="1327"/>
      <c r="DU335" s="1253">
        <f>-DU327*DU333/4</f>
        <v>0</v>
      </c>
      <c r="DV335" s="1253">
        <f>-DV327*DV333/4</f>
        <v>0</v>
      </c>
      <c r="DW335" s="1253">
        <f>-DW327*DW333/4</f>
        <v>0</v>
      </c>
      <c r="DX335" s="1253">
        <f>-DX327*DX333/4</f>
        <v>0</v>
      </c>
      <c r="DY335" s="1327"/>
    </row>
    <row r="336" spans="1:129" ht="12" thickBot="1" x14ac:dyDescent="0.25">
      <c r="A336" s="1223"/>
      <c r="B336" s="1231"/>
      <c r="C336" s="1182"/>
      <c r="D336" s="1182"/>
      <c r="E336" s="1182"/>
      <c r="F336" s="1182"/>
      <c r="G336" s="1182"/>
      <c r="H336" s="1182"/>
      <c r="I336" s="1182"/>
      <c r="J336" s="1182"/>
      <c r="K336" s="1182"/>
      <c r="L336" s="1182"/>
      <c r="M336" s="1182"/>
      <c r="N336" s="1182"/>
      <c r="O336" s="1182"/>
      <c r="P336" s="1182"/>
      <c r="Q336" s="1182"/>
      <c r="R336" s="1182"/>
      <c r="S336" s="1182"/>
      <c r="T336" s="1182"/>
      <c r="U336" s="1182"/>
      <c r="V336" s="1182"/>
      <c r="W336" s="1182"/>
      <c r="X336" s="1231"/>
      <c r="Y336" s="1182"/>
      <c r="Z336" s="1182"/>
      <c r="AA336" s="1182"/>
      <c r="AB336" s="1182"/>
      <c r="AC336" s="1231"/>
      <c r="AD336" s="1182"/>
      <c r="AE336" s="1182"/>
      <c r="AF336" s="1182"/>
      <c r="AG336" s="1182"/>
      <c r="AH336" s="1231"/>
      <c r="AI336" s="1182"/>
      <c r="AJ336" s="1182"/>
      <c r="AK336" s="1182"/>
      <c r="AL336" s="1182"/>
      <c r="AM336" s="1231"/>
      <c r="AN336" s="1182"/>
      <c r="AO336" s="1182"/>
      <c r="AP336" s="1182"/>
      <c r="AQ336" s="1231"/>
      <c r="AR336" s="1231"/>
      <c r="AS336" s="1231"/>
      <c r="AT336" s="1231"/>
      <c r="AU336" s="1231"/>
      <c r="AV336" s="1231"/>
      <c r="AW336" s="1231"/>
      <c r="AX336" s="1231"/>
      <c r="AY336" s="1231"/>
      <c r="AZ336" s="1231"/>
      <c r="BA336" s="1231"/>
      <c r="BB336" s="1231"/>
      <c r="BC336" s="1231"/>
      <c r="BD336" s="1231"/>
      <c r="BE336" s="1231"/>
      <c r="BF336" s="1231"/>
      <c r="BG336" s="1231"/>
      <c r="BH336" s="1231"/>
      <c r="BI336" s="1231"/>
      <c r="BJ336" s="1231"/>
      <c r="BK336" s="1231"/>
      <c r="BL336" s="1231"/>
      <c r="BM336" s="1231"/>
      <c r="BN336" s="1231"/>
      <c r="BO336" s="1231"/>
      <c r="BP336" s="1231"/>
      <c r="BQ336" s="1231"/>
      <c r="BR336" s="1231"/>
      <c r="BS336" s="1231"/>
      <c r="BT336" s="1231"/>
      <c r="BU336" s="1231"/>
      <c r="BV336" s="1231"/>
      <c r="BW336" s="1231"/>
      <c r="BX336" s="1231"/>
      <c r="BY336" s="1231"/>
      <c r="BZ336" s="1231"/>
      <c r="CA336" s="1231"/>
      <c r="CB336" s="1231"/>
      <c r="CC336" s="1231"/>
      <c r="CD336" s="1231"/>
      <c r="CE336" s="1231"/>
      <c r="CF336" s="1231"/>
      <c r="CG336" s="1231"/>
      <c r="CH336" s="1231"/>
      <c r="CI336" s="1231"/>
      <c r="CJ336" s="1231"/>
      <c r="CK336" s="1231"/>
      <c r="CL336" s="1231"/>
      <c r="CM336" s="1231"/>
      <c r="CN336" s="1231"/>
      <c r="CO336" s="1231"/>
      <c r="CP336" s="1231"/>
      <c r="CQ336" s="1231"/>
      <c r="CR336" s="1231"/>
      <c r="CS336" s="1231"/>
      <c r="CT336" s="1231"/>
      <c r="CU336" s="1231"/>
      <c r="CV336" s="1231"/>
      <c r="CW336" s="1231"/>
      <c r="CX336" s="1231"/>
      <c r="CY336" s="1231"/>
      <c r="CZ336" s="1231"/>
      <c r="DA336" s="1231"/>
      <c r="DB336" s="1231"/>
      <c r="DC336" s="1231"/>
      <c r="DD336" s="1231"/>
      <c r="DE336" s="1231"/>
      <c r="DF336" s="1231"/>
      <c r="DG336" s="1231"/>
      <c r="DH336" s="1231"/>
      <c r="DI336" s="1231"/>
      <c r="DJ336" s="1231"/>
      <c r="DK336" s="1231"/>
      <c r="DL336" s="1231"/>
      <c r="DM336" s="1231"/>
      <c r="DN336" s="1231"/>
      <c r="DO336" s="1231"/>
      <c r="DP336" s="1231"/>
      <c r="DQ336" s="1231"/>
      <c r="DR336" s="1231"/>
      <c r="DS336" s="1231"/>
      <c r="DT336" s="1231"/>
      <c r="DU336" s="1231"/>
      <c r="DV336" s="1231"/>
      <c r="DW336" s="1231"/>
      <c r="DX336" s="1231"/>
      <c r="DY336" s="1231"/>
    </row>
    <row r="337" spans="1:129" ht="12" thickBot="1" x14ac:dyDescent="0.25">
      <c r="A337" s="1223"/>
      <c r="B337" s="1282" t="s">
        <v>1367</v>
      </c>
      <c r="C337" s="1328"/>
      <c r="D337" s="1329"/>
      <c r="E337" s="1329"/>
      <c r="F337" s="1329"/>
      <c r="G337" s="1329"/>
      <c r="H337" s="1329"/>
      <c r="I337" s="1329"/>
      <c r="J337" s="1329"/>
      <c r="K337" s="1329"/>
      <c r="L337" s="1329"/>
      <c r="M337" s="1329"/>
      <c r="N337" s="1329"/>
      <c r="O337" s="1329"/>
      <c r="P337" s="1329"/>
      <c r="Q337" s="1329"/>
      <c r="R337" s="1329"/>
      <c r="S337" s="1329"/>
      <c r="T337" s="1329"/>
      <c r="U337" s="1329"/>
      <c r="V337" s="1329"/>
      <c r="W337" s="1329"/>
      <c r="X337" s="1328"/>
      <c r="Y337" s="1328"/>
      <c r="Z337" s="1328"/>
      <c r="AA337" s="1328"/>
      <c r="AB337" s="1328"/>
      <c r="AC337" s="1328"/>
      <c r="AD337" s="1328"/>
      <c r="AE337" s="1328"/>
      <c r="AF337" s="1328"/>
      <c r="AG337" s="1328"/>
      <c r="AH337" s="1328"/>
      <c r="AI337" s="1328"/>
      <c r="AJ337" s="1328"/>
      <c r="AK337" s="1328"/>
      <c r="AL337" s="1328"/>
      <c r="AM337" s="1328"/>
      <c r="AN337" s="1328"/>
      <c r="AO337" s="1328"/>
      <c r="AP337" s="1328"/>
      <c r="AQ337" s="1330"/>
      <c r="AR337" s="1330"/>
      <c r="AS337" s="1330"/>
      <c r="AT337" s="1331"/>
      <c r="AU337" s="1331"/>
      <c r="AV337" s="1331"/>
      <c r="AW337" s="1330"/>
      <c r="AX337" s="1330"/>
      <c r="AY337" s="1330"/>
      <c r="AZ337" s="1330"/>
      <c r="BA337" s="1330"/>
      <c r="BB337" s="1330"/>
      <c r="BC337" s="1330"/>
      <c r="BD337" s="1330"/>
      <c r="BE337" s="1330"/>
      <c r="BF337" s="1330"/>
      <c r="BG337" s="1330"/>
      <c r="BH337" s="1330"/>
      <c r="BI337" s="1330"/>
      <c r="BJ337" s="1330"/>
      <c r="BK337" s="1330"/>
      <c r="BL337" s="1332"/>
      <c r="BM337" s="1330"/>
      <c r="BN337" s="1330"/>
      <c r="BO337" s="1330"/>
      <c r="BP337" s="1330"/>
      <c r="BQ337" s="1332"/>
      <c r="BR337" s="1330"/>
      <c r="BS337" s="1330"/>
      <c r="BT337" s="1330"/>
      <c r="BU337" s="1330"/>
      <c r="BV337" s="1332"/>
      <c r="BW337" s="1330"/>
      <c r="BX337" s="1330"/>
      <c r="BY337" s="1330"/>
      <c r="BZ337" s="1330"/>
      <c r="CA337" s="1332"/>
      <c r="CB337" s="1330"/>
      <c r="CC337" s="1330"/>
      <c r="CD337" s="1330"/>
      <c r="CE337" s="1330"/>
      <c r="CF337" s="1332"/>
      <c r="CG337" s="1330"/>
      <c r="CH337" s="1330"/>
      <c r="CI337" s="1330"/>
      <c r="CJ337" s="1330"/>
      <c r="CK337" s="1332"/>
      <c r="CL337" s="1330"/>
      <c r="CM337" s="1330"/>
      <c r="CN337" s="1330"/>
      <c r="CO337" s="1330"/>
      <c r="CP337" s="1332"/>
      <c r="CQ337" s="1330"/>
      <c r="CR337" s="1330"/>
      <c r="CS337" s="1330"/>
      <c r="CT337" s="1330"/>
      <c r="CU337" s="1332"/>
      <c r="CV337" s="1330"/>
      <c r="CW337" s="1330"/>
      <c r="CX337" s="1330"/>
      <c r="CY337" s="1330"/>
      <c r="CZ337" s="1332"/>
      <c r="DA337" s="1330"/>
      <c r="DB337" s="1330"/>
      <c r="DC337" s="1330"/>
      <c r="DD337" s="1330"/>
      <c r="DE337" s="1332"/>
      <c r="DF337" s="1330"/>
      <c r="DG337" s="1330"/>
      <c r="DH337" s="1330"/>
      <c r="DI337" s="1330"/>
      <c r="DJ337" s="1332"/>
      <c r="DK337" s="1330"/>
      <c r="DL337" s="1330"/>
      <c r="DM337" s="1330"/>
      <c r="DN337" s="1330"/>
      <c r="DO337" s="1332"/>
      <c r="DP337" s="1330"/>
      <c r="DQ337" s="1330"/>
      <c r="DR337" s="1330"/>
      <c r="DS337" s="1330"/>
      <c r="DT337" s="1332"/>
      <c r="DU337" s="1330"/>
      <c r="DV337" s="1330"/>
      <c r="DW337" s="1330"/>
      <c r="DX337" s="1330"/>
      <c r="DY337" s="1332"/>
    </row>
    <row r="338" spans="1:129" x14ac:dyDescent="0.2">
      <c r="A338" s="1223"/>
      <c r="B338" s="1287" t="s">
        <v>1149</v>
      </c>
      <c r="C338" s="650"/>
      <c r="D338" s="650"/>
      <c r="E338" s="650"/>
      <c r="F338" s="650"/>
      <c r="G338" s="650"/>
      <c r="H338" s="650"/>
      <c r="I338" s="650"/>
      <c r="J338" s="650"/>
      <c r="K338" s="650"/>
      <c r="L338" s="650"/>
      <c r="M338" s="650"/>
      <c r="N338" s="650"/>
      <c r="O338" s="650"/>
      <c r="P338" s="650"/>
      <c r="Q338" s="650"/>
      <c r="R338" s="650"/>
      <c r="S338" s="650"/>
      <c r="T338" s="650"/>
      <c r="U338" s="650"/>
      <c r="V338" s="650"/>
      <c r="W338" s="650"/>
      <c r="X338" s="1288"/>
      <c r="Y338" s="650"/>
      <c r="Z338" s="650"/>
      <c r="AA338" s="650"/>
      <c r="AB338" s="650"/>
      <c r="AC338" s="1288"/>
      <c r="AD338" s="650"/>
      <c r="AE338" s="650"/>
      <c r="AF338" s="650"/>
      <c r="AG338" s="650"/>
      <c r="AH338" s="1288"/>
      <c r="AI338" s="650"/>
      <c r="AJ338" s="650"/>
      <c r="AK338" s="650"/>
      <c r="AL338" s="650"/>
      <c r="AM338" s="1288"/>
      <c r="AN338" s="650"/>
      <c r="AO338" s="650"/>
      <c r="AP338" s="650"/>
      <c r="AQ338" s="650"/>
      <c r="AR338" s="1288"/>
      <c r="AS338" s="650"/>
      <c r="AT338" s="650"/>
      <c r="AU338" s="650"/>
      <c r="AV338" s="650"/>
      <c r="AW338" s="1288"/>
      <c r="AX338" s="650"/>
      <c r="AY338" s="650"/>
      <c r="AZ338" s="650"/>
      <c r="BA338" s="650"/>
      <c r="BB338" s="1288"/>
      <c r="BC338" s="650"/>
      <c r="BD338" s="650"/>
      <c r="BE338" s="650"/>
      <c r="BF338" s="650"/>
      <c r="BG338" s="1288"/>
      <c r="BH338" s="650"/>
      <c r="BI338" s="650"/>
      <c r="BJ338" s="650"/>
      <c r="BK338" s="650"/>
      <c r="BL338" s="583"/>
      <c r="BM338" s="650"/>
      <c r="BN338" s="650"/>
      <c r="BO338" s="650"/>
      <c r="BP338" s="650"/>
      <c r="BQ338" s="583"/>
      <c r="BR338" s="650"/>
      <c r="BS338" s="650"/>
      <c r="BT338" s="650"/>
      <c r="BU338" s="650"/>
      <c r="BV338" s="583"/>
      <c r="BW338" s="650"/>
      <c r="BX338" s="650"/>
      <c r="BY338" s="650"/>
      <c r="BZ338" s="650"/>
      <c r="CA338" s="583"/>
      <c r="CB338" s="650"/>
      <c r="CC338" s="650"/>
      <c r="CD338" s="650"/>
      <c r="CE338" s="650"/>
      <c r="CF338" s="583"/>
      <c r="CG338" s="650"/>
      <c r="CH338" s="650"/>
      <c r="CI338" s="650"/>
      <c r="CJ338" s="650"/>
      <c r="CK338" s="583"/>
      <c r="CL338" s="650"/>
      <c r="CM338" s="650"/>
      <c r="CN338" s="650"/>
      <c r="CO338" s="650"/>
      <c r="CP338" s="583"/>
      <c r="CQ338" s="650"/>
      <c r="CR338" s="650"/>
      <c r="CS338" s="650"/>
      <c r="CT338" s="650"/>
      <c r="CU338" s="583"/>
      <c r="CV338" s="650"/>
      <c r="CW338" s="650"/>
      <c r="CX338" s="650"/>
      <c r="CY338" s="650"/>
      <c r="CZ338" s="583"/>
      <c r="DA338" s="650"/>
      <c r="DB338" s="650"/>
      <c r="DC338" s="650"/>
      <c r="DD338" s="650"/>
      <c r="DE338" s="583"/>
      <c r="DF338" s="650"/>
      <c r="DG338" s="650"/>
      <c r="DH338" s="650"/>
      <c r="DI338" s="650"/>
      <c r="DJ338" s="583"/>
      <c r="DK338" s="650"/>
      <c r="DL338" s="650"/>
      <c r="DM338" s="650"/>
      <c r="DN338" s="650"/>
      <c r="DO338" s="583"/>
      <c r="DP338" s="650"/>
      <c r="DQ338" s="650"/>
      <c r="DR338" s="650"/>
      <c r="DS338" s="650"/>
      <c r="DT338" s="583"/>
      <c r="DU338" s="650"/>
      <c r="DV338" s="650"/>
      <c r="DW338" s="650"/>
      <c r="DX338" s="650"/>
      <c r="DY338" s="583"/>
    </row>
    <row r="339" spans="1:129" x14ac:dyDescent="0.2">
      <c r="A339" s="1223"/>
      <c r="B339" s="1287" t="s">
        <v>1150</v>
      </c>
      <c r="C339" s="650"/>
      <c r="D339" s="650"/>
      <c r="E339" s="650"/>
      <c r="F339" s="650"/>
      <c r="G339" s="650"/>
      <c r="H339" s="650"/>
      <c r="I339" s="650"/>
      <c r="J339" s="650"/>
      <c r="K339" s="650"/>
      <c r="L339" s="650"/>
      <c r="M339" s="650"/>
      <c r="N339" s="650"/>
      <c r="O339" s="650"/>
      <c r="P339" s="650"/>
      <c r="Q339" s="650"/>
      <c r="R339" s="650"/>
      <c r="S339" s="650"/>
      <c r="T339" s="650"/>
      <c r="U339" s="650"/>
      <c r="V339" s="650"/>
      <c r="W339" s="650"/>
      <c r="X339" s="1288"/>
      <c r="Y339" s="650"/>
      <c r="Z339" s="650"/>
      <c r="AA339" s="650"/>
      <c r="AB339" s="650"/>
      <c r="AC339" s="1288"/>
      <c r="AD339" s="650"/>
      <c r="AE339" s="650"/>
      <c r="AF339" s="650"/>
      <c r="AG339" s="650"/>
      <c r="AH339" s="1288"/>
      <c r="AI339" s="650"/>
      <c r="AJ339" s="650"/>
      <c r="AK339" s="650"/>
      <c r="AL339" s="650"/>
      <c r="AM339" s="1288"/>
      <c r="AN339" s="650"/>
      <c r="AO339" s="650"/>
      <c r="AP339" s="650"/>
      <c r="AQ339" s="650"/>
      <c r="AR339" s="1288"/>
      <c r="AS339" s="650"/>
      <c r="AT339" s="650"/>
      <c r="AU339" s="650"/>
      <c r="AV339" s="650"/>
      <c r="AW339" s="1288"/>
      <c r="AX339" s="650"/>
      <c r="AY339" s="650"/>
      <c r="AZ339" s="650"/>
      <c r="BA339" s="650"/>
      <c r="BB339" s="1288"/>
      <c r="BC339" s="650"/>
      <c r="BD339" s="650"/>
      <c r="BE339" s="650"/>
      <c r="BF339" s="650"/>
      <c r="BG339" s="1289"/>
      <c r="BH339" s="650"/>
      <c r="BI339" s="650"/>
      <c r="BJ339" s="650"/>
      <c r="BK339" s="650"/>
      <c r="BL339" s="1333"/>
      <c r="BM339" s="650"/>
      <c r="BN339" s="650"/>
      <c r="BO339" s="650"/>
      <c r="BP339" s="650"/>
      <c r="BQ339" s="1333"/>
      <c r="BR339" s="650"/>
      <c r="BS339" s="650"/>
      <c r="BT339" s="650"/>
      <c r="BU339" s="650"/>
      <c r="BV339" s="1333"/>
      <c r="BW339" s="650"/>
      <c r="BX339" s="650"/>
      <c r="BY339" s="650"/>
      <c r="BZ339" s="650"/>
      <c r="CA339" s="1333"/>
      <c r="CB339" s="1334">
        <v>4.1250000000000002E-2</v>
      </c>
      <c r="CC339" s="1334">
        <v>4.1250000000000002E-2</v>
      </c>
      <c r="CD339" s="1334">
        <v>4.1250000000000002E-2</v>
      </c>
      <c r="CE339" s="1334">
        <v>4.1250000000000002E-2</v>
      </c>
      <c r="CF339" s="1333"/>
      <c r="CG339" s="1334"/>
      <c r="CH339" s="1334"/>
      <c r="CI339" s="1334"/>
      <c r="CJ339" s="1334"/>
      <c r="CK339" s="1333"/>
      <c r="CL339" s="1334"/>
      <c r="CM339" s="1334"/>
      <c r="CN339" s="1334"/>
      <c r="CO339" s="1334"/>
      <c r="CP339" s="1333"/>
      <c r="CQ339" s="1334"/>
      <c r="CR339" s="1334"/>
      <c r="CS339" s="1334"/>
      <c r="CT339" s="1334"/>
      <c r="CU339" s="1333"/>
      <c r="CV339" s="1334"/>
      <c r="CW339" s="1334"/>
      <c r="CX339" s="1334">
        <v>1.9E-2</v>
      </c>
      <c r="CY339" s="1334">
        <v>1.9E-2</v>
      </c>
      <c r="CZ339" s="1333"/>
      <c r="DA339" s="1334">
        <f>CY339</f>
        <v>1.9E-2</v>
      </c>
      <c r="DB339" s="1334">
        <f>DA339</f>
        <v>1.9E-2</v>
      </c>
      <c r="DC339" s="1334">
        <f>DB339</f>
        <v>1.9E-2</v>
      </c>
      <c r="DD339" s="1334">
        <f>DC339</f>
        <v>1.9E-2</v>
      </c>
      <c r="DE339" s="1333"/>
      <c r="DF339" s="1334">
        <f>DD339</f>
        <v>1.9E-2</v>
      </c>
      <c r="DG339" s="1334">
        <f>DF339</f>
        <v>1.9E-2</v>
      </c>
      <c r="DH339" s="1334">
        <f>DG339</f>
        <v>1.9E-2</v>
      </c>
      <c r="DI339" s="1334">
        <f>DH339</f>
        <v>1.9E-2</v>
      </c>
      <c r="DJ339" s="1333"/>
      <c r="DK339" s="1334">
        <f>DI339</f>
        <v>1.9E-2</v>
      </c>
      <c r="DL339" s="1334">
        <f>DK339</f>
        <v>1.9E-2</v>
      </c>
      <c r="DM339" s="1334">
        <f>DL339</f>
        <v>1.9E-2</v>
      </c>
      <c r="DN339" s="1334">
        <f>DM339</f>
        <v>1.9E-2</v>
      </c>
      <c r="DO339" s="1333"/>
      <c r="DP339" s="1334">
        <f>DN339</f>
        <v>1.9E-2</v>
      </c>
      <c r="DQ339" s="1334">
        <f>DP339</f>
        <v>1.9E-2</v>
      </c>
      <c r="DR339" s="1334">
        <f>DQ339</f>
        <v>1.9E-2</v>
      </c>
      <c r="DS339" s="1334">
        <f>DR339</f>
        <v>1.9E-2</v>
      </c>
      <c r="DT339" s="1333"/>
      <c r="DU339" s="1334">
        <f>DS339</f>
        <v>1.9E-2</v>
      </c>
      <c r="DV339" s="1334">
        <f>DU339</f>
        <v>1.9E-2</v>
      </c>
      <c r="DW339" s="1334">
        <f>DV339</f>
        <v>1.9E-2</v>
      </c>
      <c r="DX339" s="1334">
        <f>DW339</f>
        <v>1.9E-2</v>
      </c>
      <c r="DY339" s="1333"/>
    </row>
    <row r="340" spans="1:129" x14ac:dyDescent="0.2">
      <c r="A340" s="1223"/>
      <c r="B340" s="1190" t="s">
        <v>1151</v>
      </c>
      <c r="C340" s="1293"/>
      <c r="D340" s="1293"/>
      <c r="E340" s="1293"/>
      <c r="F340" s="1293"/>
      <c r="G340" s="1293"/>
      <c r="H340" s="1293"/>
      <c r="I340" s="1293"/>
      <c r="J340" s="1293"/>
      <c r="K340" s="1293"/>
      <c r="L340" s="1293"/>
      <c r="M340" s="1293"/>
      <c r="N340" s="1293"/>
      <c r="O340" s="1293"/>
      <c r="P340" s="1293"/>
      <c r="Q340" s="1293"/>
      <c r="R340" s="1293"/>
      <c r="S340" s="1293"/>
      <c r="T340" s="1293"/>
      <c r="U340" s="1293"/>
      <c r="V340" s="1293"/>
      <c r="W340" s="1293"/>
      <c r="X340" s="1227"/>
      <c r="Y340" s="1231"/>
      <c r="Z340" s="1231"/>
      <c r="AA340" s="1231"/>
      <c r="AB340" s="1294"/>
      <c r="AC340" s="1227"/>
      <c r="AD340" s="1231"/>
      <c r="AE340" s="1231"/>
      <c r="AF340" s="1231"/>
      <c r="AG340" s="1294"/>
      <c r="AH340" s="1227"/>
      <c r="AI340" s="1231"/>
      <c r="AJ340" s="1231"/>
      <c r="AK340" s="1231"/>
      <c r="AL340" s="1294"/>
      <c r="AM340" s="1227"/>
      <c r="AN340" s="1231"/>
      <c r="AO340" s="1231"/>
      <c r="AP340" s="1231"/>
      <c r="AQ340" s="1294"/>
      <c r="AR340" s="1227"/>
      <c r="AS340" s="1231"/>
      <c r="AT340" s="1231"/>
      <c r="AU340" s="1231"/>
      <c r="AV340" s="1294"/>
      <c r="AW340" s="1227"/>
      <c r="AX340" s="1231"/>
      <c r="AY340" s="1231"/>
      <c r="AZ340" s="1231"/>
      <c r="BA340" s="1231"/>
      <c r="BB340" s="1227"/>
      <c r="BC340" s="1231"/>
      <c r="BD340" s="1231"/>
      <c r="BE340" s="1231"/>
      <c r="BF340" s="1231"/>
      <c r="BG340" s="1227"/>
      <c r="BH340" s="1231"/>
      <c r="BI340" s="1231"/>
      <c r="BJ340" s="1231"/>
      <c r="BK340" s="1231"/>
      <c r="BL340" s="1326"/>
      <c r="BM340" s="1231"/>
      <c r="BN340" s="1231"/>
      <c r="BO340" s="1231"/>
      <c r="BP340" s="1231"/>
      <c r="BQ340" s="1326"/>
      <c r="BR340" s="1231"/>
      <c r="BS340" s="1231"/>
      <c r="BT340" s="1231"/>
      <c r="BU340" s="1231"/>
      <c r="BV340" s="1326"/>
      <c r="BW340" s="1231"/>
      <c r="BX340" s="1231"/>
      <c r="BY340" s="1231"/>
      <c r="BZ340" s="1231"/>
      <c r="CA340" s="1326"/>
      <c r="CB340" s="1231"/>
      <c r="CC340" s="1231"/>
      <c r="CD340" s="1231"/>
      <c r="CE340" s="1231"/>
      <c r="CF340" s="1326"/>
      <c r="CG340" s="1231"/>
      <c r="CH340" s="1231"/>
      <c r="CI340" s="1231"/>
      <c r="CJ340" s="1231"/>
      <c r="CK340" s="1326"/>
      <c r="CL340" s="1231"/>
      <c r="CM340" s="1231"/>
      <c r="CN340" s="1231"/>
      <c r="CO340" s="1231"/>
      <c r="CP340" s="1326"/>
      <c r="CQ340" s="1231"/>
      <c r="CR340" s="1231"/>
      <c r="CS340" s="1231"/>
      <c r="CT340" s="1231"/>
      <c r="CU340" s="1326"/>
      <c r="CV340" s="1231"/>
      <c r="CW340" s="1231"/>
      <c r="CX340" s="1231"/>
      <c r="CY340" s="1231"/>
      <c r="CZ340" s="1326"/>
      <c r="DA340" s="1231"/>
      <c r="DB340" s="1231"/>
      <c r="DC340" s="1231"/>
      <c r="DD340" s="1231"/>
      <c r="DE340" s="1326"/>
      <c r="DF340" s="1231"/>
      <c r="DG340" s="1231"/>
      <c r="DH340" s="1231"/>
      <c r="DI340" s="1231"/>
      <c r="DJ340" s="1326"/>
      <c r="DK340" s="1231"/>
      <c r="DL340" s="1231"/>
      <c r="DM340" s="1231"/>
      <c r="DN340" s="1231"/>
      <c r="DO340" s="1326"/>
      <c r="DP340" s="1231"/>
      <c r="DQ340" s="1231"/>
      <c r="DR340" s="1231"/>
      <c r="DS340" s="1231"/>
      <c r="DT340" s="1326"/>
      <c r="DU340" s="1231"/>
      <c r="DV340" s="1231"/>
      <c r="DW340" s="1231"/>
      <c r="DX340" s="1231"/>
      <c r="DY340" s="1326"/>
    </row>
    <row r="341" spans="1:129" x14ac:dyDescent="0.2">
      <c r="A341" s="1223"/>
      <c r="B341" s="1190" t="s">
        <v>1152</v>
      </c>
      <c r="C341" s="1231"/>
      <c r="D341" s="1231"/>
      <c r="E341" s="1231"/>
      <c r="F341" s="1231"/>
      <c r="G341" s="1231"/>
      <c r="H341" s="1231"/>
      <c r="I341" s="1231"/>
      <c r="J341" s="1231"/>
      <c r="K341" s="1231"/>
      <c r="L341" s="1231"/>
      <c r="M341" s="1231"/>
      <c r="N341" s="1231"/>
      <c r="O341" s="1231"/>
      <c r="P341" s="1231"/>
      <c r="Q341" s="1231"/>
      <c r="R341" s="1231"/>
      <c r="S341" s="1231"/>
      <c r="T341" s="1231"/>
      <c r="U341" s="1231"/>
      <c r="V341" s="1231"/>
      <c r="W341" s="1231"/>
      <c r="X341" s="1227"/>
      <c r="Y341" s="1231"/>
      <c r="Z341" s="1231"/>
      <c r="AA341" s="1231"/>
      <c r="AB341" s="1231"/>
      <c r="AC341" s="1227"/>
      <c r="AD341" s="1231"/>
      <c r="AE341" s="1231"/>
      <c r="AF341" s="1231"/>
      <c r="AG341" s="1231"/>
      <c r="AH341" s="1227"/>
      <c r="AI341" s="1231"/>
      <c r="AJ341" s="1231"/>
      <c r="AK341" s="1231"/>
      <c r="AL341" s="1231"/>
      <c r="AM341" s="1227"/>
      <c r="AN341" s="1231"/>
      <c r="AO341" s="1231"/>
      <c r="AP341" s="1231"/>
      <c r="AQ341" s="1231"/>
      <c r="AR341" s="1227"/>
      <c r="AS341" s="1231"/>
      <c r="AT341" s="1231"/>
      <c r="AU341" s="1231"/>
      <c r="AV341" s="1231"/>
      <c r="AW341" s="1227"/>
      <c r="AX341" s="1231"/>
      <c r="AY341" s="1231"/>
      <c r="AZ341" s="1231"/>
      <c r="BA341" s="1231"/>
      <c r="BB341" s="1227"/>
      <c r="BC341" s="1231"/>
      <c r="BD341" s="1231"/>
      <c r="BE341" s="1231"/>
      <c r="BF341" s="1231"/>
      <c r="BG341" s="1227"/>
      <c r="BH341" s="1231"/>
      <c r="BI341" s="1231"/>
      <c r="BJ341" s="1231"/>
      <c r="BK341" s="1231"/>
      <c r="BL341" s="1326"/>
      <c r="BM341" s="1231"/>
      <c r="BN341" s="1231"/>
      <c r="BO341" s="1231"/>
      <c r="BP341" s="1231"/>
      <c r="BQ341" s="1326"/>
      <c r="BR341" s="1231"/>
      <c r="BS341" s="1231"/>
      <c r="BT341" s="1231"/>
      <c r="BU341" s="1231"/>
      <c r="BV341" s="1326"/>
      <c r="BW341" s="1231"/>
      <c r="BX341" s="1231"/>
      <c r="BY341" s="1231"/>
      <c r="BZ341" s="1231"/>
      <c r="CA341" s="1326"/>
      <c r="CB341" s="1223"/>
      <c r="CC341" s="1223"/>
      <c r="CD341" s="1223"/>
      <c r="CE341" s="1223"/>
      <c r="CF341" s="1326"/>
      <c r="CG341" s="1223"/>
      <c r="CH341" s="1223"/>
      <c r="CI341" s="1223"/>
      <c r="CJ341" s="1223"/>
      <c r="CK341" s="1326"/>
      <c r="CL341" s="1223"/>
      <c r="CM341" s="1223"/>
      <c r="CN341" s="1223"/>
      <c r="CO341" s="1223"/>
      <c r="CP341" s="1326"/>
      <c r="CQ341" s="1223"/>
      <c r="CR341" s="1223"/>
      <c r="CS341" s="1223"/>
      <c r="CT341" s="1223"/>
      <c r="CU341" s="1326"/>
      <c r="CV341" s="1223">
        <f>+CT341</f>
        <v>0</v>
      </c>
      <c r="CW341" s="1223">
        <f>+CV343</f>
        <v>0</v>
      </c>
      <c r="CX341" s="1223">
        <f>+CW343</f>
        <v>0</v>
      </c>
      <c r="CY341" s="1223">
        <f>+CX343</f>
        <v>2250</v>
      </c>
      <c r="CZ341" s="1326">
        <f>CU343</f>
        <v>0</v>
      </c>
      <c r="DA341" s="1223">
        <f>CZ343</f>
        <v>2250</v>
      </c>
      <c r="DB341" s="1223">
        <f>+DA343</f>
        <v>2250</v>
      </c>
      <c r="DC341" s="1223">
        <f>+DB343</f>
        <v>2250</v>
      </c>
      <c r="DD341" s="1223">
        <f>+DC343</f>
        <v>2250</v>
      </c>
      <c r="DE341" s="1326">
        <f>CZ343</f>
        <v>2250</v>
      </c>
      <c r="DF341" s="1223">
        <f>+DD343</f>
        <v>2250</v>
      </c>
      <c r="DG341" s="1223">
        <f>+DF343</f>
        <v>2250</v>
      </c>
      <c r="DH341" s="1223">
        <f>+DG343</f>
        <v>2250</v>
      </c>
      <c r="DI341" s="1223">
        <f>+DH343</f>
        <v>2250</v>
      </c>
      <c r="DJ341" s="1326">
        <f>DE343</f>
        <v>2250</v>
      </c>
      <c r="DK341" s="1223">
        <f>+DI343</f>
        <v>2250</v>
      </c>
      <c r="DL341" s="1223">
        <f>+DK343</f>
        <v>2250</v>
      </c>
      <c r="DM341" s="1223">
        <f>+DL343</f>
        <v>2250</v>
      </c>
      <c r="DN341" s="1223">
        <f>+DM343</f>
        <v>2250</v>
      </c>
      <c r="DO341" s="1326">
        <f>DJ343</f>
        <v>2250</v>
      </c>
      <c r="DP341" s="1223">
        <f>+DN343</f>
        <v>2250</v>
      </c>
      <c r="DQ341" s="1223">
        <f>+DP343</f>
        <v>2250</v>
      </c>
      <c r="DR341" s="1223">
        <f>+DQ343</f>
        <v>2250</v>
      </c>
      <c r="DS341" s="1223">
        <f>+DR343</f>
        <v>2250</v>
      </c>
      <c r="DT341" s="1326">
        <f>DO343</f>
        <v>2250</v>
      </c>
      <c r="DU341" s="1223">
        <f>+DS343</f>
        <v>2250</v>
      </c>
      <c r="DV341" s="1223">
        <f>+DU343</f>
        <v>2250</v>
      </c>
      <c r="DW341" s="1223">
        <f>+DV343</f>
        <v>2250</v>
      </c>
      <c r="DX341" s="1223">
        <f>+DW343</f>
        <v>2250</v>
      </c>
      <c r="DY341" s="1326">
        <f>DT343</f>
        <v>2250</v>
      </c>
    </row>
    <row r="342" spans="1:129" x14ac:dyDescent="0.2">
      <c r="A342" s="1223"/>
      <c r="B342" s="1190" t="s">
        <v>1153</v>
      </c>
      <c r="C342" s="1182"/>
      <c r="D342" s="1182"/>
      <c r="E342" s="1182"/>
      <c r="F342" s="1182"/>
      <c r="G342" s="1182"/>
      <c r="H342" s="1182"/>
      <c r="I342" s="1182"/>
      <c r="J342" s="1182"/>
      <c r="K342" s="1182"/>
      <c r="L342" s="1182"/>
      <c r="M342" s="1182"/>
      <c r="N342" s="1182"/>
      <c r="O342" s="1182"/>
      <c r="P342" s="1182"/>
      <c r="Q342" s="1182"/>
      <c r="R342" s="1182"/>
      <c r="S342" s="1182"/>
      <c r="T342" s="1182"/>
      <c r="U342" s="1182"/>
      <c r="V342" s="1182"/>
      <c r="W342" s="1182"/>
      <c r="X342" s="1296"/>
      <c r="Y342" s="1297"/>
      <c r="Z342" s="1297"/>
      <c r="AA342" s="1297"/>
      <c r="AB342" s="1297"/>
      <c r="AC342" s="1296"/>
      <c r="AD342" s="1297"/>
      <c r="AE342" s="1297"/>
      <c r="AF342" s="1297"/>
      <c r="AG342" s="1297"/>
      <c r="AH342" s="1296"/>
      <c r="AI342" s="1297"/>
      <c r="AJ342" s="1297"/>
      <c r="AK342" s="1297"/>
      <c r="AL342" s="1297"/>
      <c r="AM342" s="1296"/>
      <c r="AN342" s="1297"/>
      <c r="AO342" s="1297"/>
      <c r="AP342" s="1297"/>
      <c r="AQ342" s="1297"/>
      <c r="AR342" s="1296"/>
      <c r="AS342" s="1297"/>
      <c r="AT342" s="1297"/>
      <c r="AU342" s="1297"/>
      <c r="AV342" s="1297"/>
      <c r="AW342" s="1296"/>
      <c r="AX342" s="1298"/>
      <c r="AY342" s="1299"/>
      <c r="AZ342" s="1299"/>
      <c r="BA342" s="1298"/>
      <c r="BB342" s="1300"/>
      <c r="BC342" s="1298"/>
      <c r="BD342" s="1298"/>
      <c r="BE342" s="1298"/>
      <c r="BF342" s="1298"/>
      <c r="BG342" s="1296"/>
      <c r="BH342" s="1298"/>
      <c r="BI342" s="1298"/>
      <c r="BJ342" s="1298"/>
      <c r="BK342" s="1298"/>
      <c r="BL342" s="1335"/>
      <c r="BM342" s="1298"/>
      <c r="BN342" s="1298"/>
      <c r="BO342" s="1298"/>
      <c r="BP342" s="1298"/>
      <c r="BQ342" s="1335"/>
      <c r="BR342" s="1298"/>
      <c r="BS342" s="1298"/>
      <c r="BT342" s="1298"/>
      <c r="BU342" s="1298"/>
      <c r="BV342" s="1335"/>
      <c r="BW342" s="1298"/>
      <c r="BX342" s="1298"/>
      <c r="BY342" s="1298"/>
      <c r="BZ342" s="1298"/>
      <c r="CA342" s="1335"/>
      <c r="CB342" s="1336"/>
      <c r="CC342" s="1336"/>
      <c r="CD342" s="1298"/>
      <c r="CE342" s="1298"/>
      <c r="CF342" s="1335"/>
      <c r="CG342" s="1298"/>
      <c r="CH342" s="1298"/>
      <c r="CI342" s="1298"/>
      <c r="CJ342" s="1298"/>
      <c r="CK342" s="1335"/>
      <c r="CL342" s="1298"/>
      <c r="CM342" s="1298"/>
      <c r="CN342" s="1298"/>
      <c r="CO342" s="1298"/>
      <c r="CP342" s="1335"/>
      <c r="CQ342" s="1298"/>
      <c r="CR342" s="1298"/>
      <c r="CS342" s="1298"/>
      <c r="CT342" s="1298"/>
      <c r="CU342" s="1335"/>
      <c r="CV342" s="1298">
        <v>0</v>
      </c>
      <c r="CW342" s="1298">
        <v>0</v>
      </c>
      <c r="CX342" s="1298">
        <v>2250</v>
      </c>
      <c r="CY342" s="1298">
        <v>0</v>
      </c>
      <c r="CZ342" s="1335">
        <f>+SUM(CV342:CY342)</f>
        <v>2250</v>
      </c>
      <c r="DA342" s="1298">
        <v>0</v>
      </c>
      <c r="DB342" s="1298">
        <v>0</v>
      </c>
      <c r="DC342" s="1298">
        <v>0</v>
      </c>
      <c r="DD342" s="1298">
        <v>0</v>
      </c>
      <c r="DE342" s="1335">
        <f>+SUM(DA342:DD342)</f>
        <v>0</v>
      </c>
      <c r="DF342" s="1298">
        <v>0</v>
      </c>
      <c r="DG342" s="1298">
        <v>0</v>
      </c>
      <c r="DH342" s="1298">
        <v>0</v>
      </c>
      <c r="DI342" s="1298">
        <v>0</v>
      </c>
      <c r="DJ342" s="1335">
        <f>+SUM(DF342:DI342)</f>
        <v>0</v>
      </c>
      <c r="DK342" s="1298">
        <v>0</v>
      </c>
      <c r="DL342" s="1298">
        <v>0</v>
      </c>
      <c r="DM342" s="1298">
        <v>0</v>
      </c>
      <c r="DN342" s="1298">
        <v>0</v>
      </c>
      <c r="DO342" s="1335">
        <f>+SUM(DK342:DN342)</f>
        <v>0</v>
      </c>
      <c r="DP342" s="1298">
        <v>0</v>
      </c>
      <c r="DQ342" s="1298">
        <v>0</v>
      </c>
      <c r="DR342" s="1298">
        <v>0</v>
      </c>
      <c r="DS342" s="1298">
        <v>0</v>
      </c>
      <c r="DT342" s="1335">
        <f>+SUM(DP342:DS342)</f>
        <v>0</v>
      </c>
      <c r="DU342" s="1298">
        <v>0</v>
      </c>
      <c r="DV342" s="1298">
        <v>0</v>
      </c>
      <c r="DW342" s="1298">
        <v>0</v>
      </c>
      <c r="DX342" s="1298">
        <v>0</v>
      </c>
      <c r="DY342" s="1335">
        <f>+SUM(DU342:DX342)</f>
        <v>0</v>
      </c>
    </row>
    <row r="343" spans="1:129" x14ac:dyDescent="0.2">
      <c r="A343" s="1223"/>
      <c r="B343" s="1190" t="s">
        <v>1154</v>
      </c>
      <c r="C343" s="1182"/>
      <c r="D343" s="1182"/>
      <c r="E343" s="1182"/>
      <c r="F343" s="1182"/>
      <c r="G343" s="1182"/>
      <c r="H343" s="1182"/>
      <c r="I343" s="1182"/>
      <c r="J343" s="1182"/>
      <c r="K343" s="1182"/>
      <c r="L343" s="1182"/>
      <c r="M343" s="1182"/>
      <c r="N343" s="1182"/>
      <c r="O343" s="1182"/>
      <c r="P343" s="1182"/>
      <c r="Q343" s="1182"/>
      <c r="R343" s="1182"/>
      <c r="S343" s="1182"/>
      <c r="T343" s="1182"/>
      <c r="U343" s="1182"/>
      <c r="V343" s="1182"/>
      <c r="W343" s="1182"/>
      <c r="X343" s="1304"/>
      <c r="Y343" s="1305"/>
      <c r="Z343" s="1305"/>
      <c r="AA343" s="1305"/>
      <c r="AB343" s="1305"/>
      <c r="AC343" s="1304"/>
      <c r="AD343" s="1305"/>
      <c r="AE343" s="1305"/>
      <c r="AF343" s="1305"/>
      <c r="AG343" s="1305"/>
      <c r="AH343" s="1304"/>
      <c r="AI343" s="1305"/>
      <c r="AJ343" s="1305"/>
      <c r="AK343" s="1305"/>
      <c r="AL343" s="1305"/>
      <c r="AM343" s="1304"/>
      <c r="AN343" s="1305"/>
      <c r="AO343" s="1305"/>
      <c r="AP343" s="1305"/>
      <c r="AQ343" s="1305"/>
      <c r="AR343" s="1304"/>
      <c r="AS343" s="1305"/>
      <c r="AT343" s="1305"/>
      <c r="AU343" s="1305"/>
      <c r="AV343" s="1305"/>
      <c r="AW343" s="1304"/>
      <c r="AX343" s="1305"/>
      <c r="AY343" s="1305"/>
      <c r="AZ343" s="1305"/>
      <c r="BA343" s="1305"/>
      <c r="BB343" s="1304"/>
      <c r="BC343" s="1305"/>
      <c r="BD343" s="1305"/>
      <c r="BE343" s="1305"/>
      <c r="BF343" s="1305"/>
      <c r="BG343" s="1306"/>
      <c r="BH343" s="1305"/>
      <c r="BI343" s="1305"/>
      <c r="BJ343" s="1305"/>
      <c r="BK343" s="1305"/>
      <c r="BL343" s="1337"/>
      <c r="BM343" s="1305"/>
      <c r="BN343" s="1305"/>
      <c r="BO343" s="1305"/>
      <c r="BP343" s="1305"/>
      <c r="BQ343" s="1337"/>
      <c r="BR343" s="1305"/>
      <c r="BS343" s="1305"/>
      <c r="BT343" s="1305"/>
      <c r="BU343" s="1305"/>
      <c r="BV343" s="1337"/>
      <c r="BW343" s="1305"/>
      <c r="BX343" s="1305"/>
      <c r="BY343" s="1305"/>
      <c r="BZ343" s="1305"/>
      <c r="CA343" s="1337"/>
      <c r="CB343" s="1295"/>
      <c r="CC343" s="1224"/>
      <c r="CD343" s="1295"/>
      <c r="CE343" s="1295"/>
      <c r="CF343" s="1325"/>
      <c r="CG343" s="1295"/>
      <c r="CH343" s="1295"/>
      <c r="CI343" s="1295"/>
      <c r="CJ343" s="1295"/>
      <c r="CK343" s="1325"/>
      <c r="CL343" s="1295"/>
      <c r="CM343" s="1295"/>
      <c r="CN343" s="1295"/>
      <c r="CO343" s="1295"/>
      <c r="CP343" s="1325"/>
      <c r="CQ343" s="1295"/>
      <c r="CR343" s="1295"/>
      <c r="CS343" s="1295"/>
      <c r="CT343" s="1295"/>
      <c r="CU343" s="1325"/>
      <c r="CV343" s="1295">
        <f>CV341+CV342</f>
        <v>0</v>
      </c>
      <c r="CW343" s="1295">
        <f>CW341+CW342</f>
        <v>0</v>
      </c>
      <c r="CX343" s="1295">
        <f>CX341+CX342</f>
        <v>2250</v>
      </c>
      <c r="CY343" s="1295">
        <f>CY341+CY342</f>
        <v>2250</v>
      </c>
      <c r="CZ343" s="1325">
        <f t="shared" ref="CZ343:DJ343" si="217">CZ341+CZ342</f>
        <v>2250</v>
      </c>
      <c r="DA343" s="1295">
        <f t="shared" si="217"/>
        <v>2250</v>
      </c>
      <c r="DB343" s="1295">
        <f t="shared" si="217"/>
        <v>2250</v>
      </c>
      <c r="DC343" s="1295">
        <f t="shared" si="217"/>
        <v>2250</v>
      </c>
      <c r="DD343" s="1295">
        <f t="shared" si="217"/>
        <v>2250</v>
      </c>
      <c r="DE343" s="1325">
        <f t="shared" si="217"/>
        <v>2250</v>
      </c>
      <c r="DF343" s="1295">
        <f t="shared" si="217"/>
        <v>2250</v>
      </c>
      <c r="DG343" s="1295">
        <f t="shared" si="217"/>
        <v>2250</v>
      </c>
      <c r="DH343" s="1295">
        <f t="shared" si="217"/>
        <v>2250</v>
      </c>
      <c r="DI343" s="1295">
        <f t="shared" si="217"/>
        <v>2250</v>
      </c>
      <c r="DJ343" s="1325">
        <f t="shared" si="217"/>
        <v>2250</v>
      </c>
      <c r="DK343" s="1295">
        <f t="shared" ref="DK343:DT343" si="218">DK341+DK342</f>
        <v>2250</v>
      </c>
      <c r="DL343" s="1295">
        <f t="shared" si="218"/>
        <v>2250</v>
      </c>
      <c r="DM343" s="1295">
        <f t="shared" si="218"/>
        <v>2250</v>
      </c>
      <c r="DN343" s="1295">
        <f t="shared" si="218"/>
        <v>2250</v>
      </c>
      <c r="DO343" s="1325">
        <f t="shared" si="218"/>
        <v>2250</v>
      </c>
      <c r="DP343" s="1295">
        <f t="shared" si="218"/>
        <v>2250</v>
      </c>
      <c r="DQ343" s="1295">
        <f t="shared" si="218"/>
        <v>2250</v>
      </c>
      <c r="DR343" s="1295">
        <f t="shared" si="218"/>
        <v>2250</v>
      </c>
      <c r="DS343" s="1295">
        <f t="shared" si="218"/>
        <v>2250</v>
      </c>
      <c r="DT343" s="1325">
        <f t="shared" si="218"/>
        <v>2250</v>
      </c>
      <c r="DU343" s="1295">
        <f t="shared" ref="DU343:DY343" si="219">DU341+DU342</f>
        <v>2250</v>
      </c>
      <c r="DV343" s="1295">
        <f t="shared" si="219"/>
        <v>2250</v>
      </c>
      <c r="DW343" s="1295">
        <f t="shared" si="219"/>
        <v>2250</v>
      </c>
      <c r="DX343" s="1295">
        <f t="shared" si="219"/>
        <v>2250</v>
      </c>
      <c r="DY343" s="1325">
        <f t="shared" si="219"/>
        <v>2250</v>
      </c>
    </row>
    <row r="344" spans="1:129" x14ac:dyDescent="0.2">
      <c r="A344" s="1223"/>
      <c r="B344" s="1190" t="s">
        <v>1155</v>
      </c>
      <c r="C344" s="1182"/>
      <c r="D344" s="1182"/>
      <c r="E344" s="1182"/>
      <c r="F344" s="1182"/>
      <c r="G344" s="1182"/>
      <c r="H344" s="1182"/>
      <c r="I344" s="1182"/>
      <c r="J344" s="1182"/>
      <c r="K344" s="1182"/>
      <c r="L344" s="1182"/>
      <c r="M344" s="1182"/>
      <c r="N344" s="1182"/>
      <c r="O344" s="1182"/>
      <c r="P344" s="1182"/>
      <c r="Q344" s="1182"/>
      <c r="R344" s="1182"/>
      <c r="S344" s="1182"/>
      <c r="T344" s="1182"/>
      <c r="U344" s="1182"/>
      <c r="V344" s="1182"/>
      <c r="W344" s="1182"/>
      <c r="X344" s="1227"/>
      <c r="Y344" s="1231"/>
      <c r="Z344" s="1231"/>
      <c r="AA344" s="1231"/>
      <c r="AB344" s="1231"/>
      <c r="AC344" s="1227"/>
      <c r="AD344" s="1231"/>
      <c r="AE344" s="1231"/>
      <c r="AF344" s="1231"/>
      <c r="AG344" s="1231"/>
      <c r="AH344" s="1227"/>
      <c r="AI344" s="1231"/>
      <c r="AJ344" s="1231"/>
      <c r="AK344" s="1231"/>
      <c r="AL344" s="1231"/>
      <c r="AM344" s="1227"/>
      <c r="AN344" s="1231"/>
      <c r="AO344" s="1231"/>
      <c r="AP344" s="1231"/>
      <c r="AQ344" s="1231"/>
      <c r="AR344" s="1227"/>
      <c r="AS344" s="1231"/>
      <c r="AT344" s="1231"/>
      <c r="AU344" s="1231"/>
      <c r="AV344" s="1231"/>
      <c r="AW344" s="1227"/>
      <c r="AX344" s="1231"/>
      <c r="AY344" s="1231"/>
      <c r="AZ344" s="1231"/>
      <c r="BA344" s="1231"/>
      <c r="BB344" s="1227"/>
      <c r="BC344" s="1231"/>
      <c r="BD344" s="1231"/>
      <c r="BE344" s="1231"/>
      <c r="BF344" s="1231"/>
      <c r="BG344" s="1227"/>
      <c r="BH344" s="1231"/>
      <c r="BI344" s="1231"/>
      <c r="BJ344" s="1231"/>
      <c r="BK344" s="1231"/>
      <c r="BL344" s="1326"/>
      <c r="BM344" s="1231"/>
      <c r="BN344" s="1231"/>
      <c r="BO344" s="1231"/>
      <c r="BP344" s="1231"/>
      <c r="BQ344" s="1326"/>
      <c r="BR344" s="1231"/>
      <c r="BS344" s="1231"/>
      <c r="BT344" s="1231"/>
      <c r="BU344" s="1231"/>
      <c r="BV344" s="1326"/>
      <c r="BW344" s="1231"/>
      <c r="BX344" s="1231"/>
      <c r="BY344" s="1231"/>
      <c r="BZ344" s="1231"/>
      <c r="CA344" s="1326"/>
      <c r="CB344" s="1231"/>
      <c r="CC344" s="1231"/>
      <c r="CD344" s="1231"/>
      <c r="CE344" s="1231"/>
      <c r="CF344" s="1326"/>
      <c r="CG344" s="1231"/>
      <c r="CH344" s="1231"/>
      <c r="CI344" s="1231"/>
      <c r="CJ344" s="1231"/>
      <c r="CK344" s="1326"/>
      <c r="CL344" s="1231"/>
      <c r="CM344" s="1231"/>
      <c r="CN344" s="1231"/>
      <c r="CO344" s="1231"/>
      <c r="CP344" s="1326"/>
      <c r="CQ344" s="1231"/>
      <c r="CR344" s="1231"/>
      <c r="CS344" s="1231"/>
      <c r="CT344" s="1231"/>
      <c r="CU344" s="1326"/>
      <c r="CV344" s="1231"/>
      <c r="CW344" s="1231"/>
      <c r="CX344" s="1231"/>
      <c r="CY344" s="1231"/>
      <c r="CZ344" s="1326"/>
      <c r="DA344" s="1231"/>
      <c r="DB344" s="1231"/>
      <c r="DC344" s="1231"/>
      <c r="DD344" s="1231"/>
      <c r="DE344" s="1326"/>
      <c r="DF344" s="1231"/>
      <c r="DG344" s="1231"/>
      <c r="DH344" s="1231"/>
      <c r="DI344" s="1231"/>
      <c r="DJ344" s="1326"/>
      <c r="DK344" s="1231"/>
      <c r="DL344" s="1231"/>
      <c r="DM344" s="1231"/>
      <c r="DN344" s="1231"/>
      <c r="DO344" s="1326"/>
      <c r="DP344" s="1231"/>
      <c r="DQ344" s="1231"/>
      <c r="DR344" s="1231"/>
      <c r="DS344" s="1231"/>
      <c r="DT344" s="1326"/>
      <c r="DU344" s="1231"/>
      <c r="DV344" s="1231"/>
      <c r="DW344" s="1231"/>
      <c r="DX344" s="1231"/>
      <c r="DY344" s="1326"/>
    </row>
    <row r="345" spans="1:129" x14ac:dyDescent="0.2">
      <c r="A345" s="1223"/>
      <c r="B345" s="1190" t="s">
        <v>1156</v>
      </c>
      <c r="C345" s="1182"/>
      <c r="D345" s="1182"/>
      <c r="E345" s="1182"/>
      <c r="F345" s="1182"/>
      <c r="G345" s="1182"/>
      <c r="H345" s="1182"/>
      <c r="I345" s="1182"/>
      <c r="J345" s="1182"/>
      <c r="K345" s="1182"/>
      <c r="L345" s="1182"/>
      <c r="M345" s="1182"/>
      <c r="N345" s="1182"/>
      <c r="O345" s="1182"/>
      <c r="P345" s="1182"/>
      <c r="Q345" s="1182"/>
      <c r="R345" s="1182"/>
      <c r="S345" s="1182"/>
      <c r="T345" s="1182"/>
      <c r="U345" s="1182"/>
      <c r="V345" s="1182"/>
      <c r="W345" s="1182"/>
      <c r="X345" s="1227"/>
      <c r="Y345" s="1231"/>
      <c r="Z345" s="1231"/>
      <c r="AA345" s="1231"/>
      <c r="AB345" s="1231"/>
      <c r="AC345" s="1227"/>
      <c r="AD345" s="1231"/>
      <c r="AE345" s="1231"/>
      <c r="AF345" s="1231"/>
      <c r="AG345" s="1231"/>
      <c r="AH345" s="1227"/>
      <c r="AI345" s="1231"/>
      <c r="AJ345" s="1231"/>
      <c r="AK345" s="1231"/>
      <c r="AL345" s="1231"/>
      <c r="AM345" s="1227"/>
      <c r="AN345" s="1231"/>
      <c r="AO345" s="1231"/>
      <c r="AP345" s="1231"/>
      <c r="AQ345" s="1231"/>
      <c r="AR345" s="1227"/>
      <c r="AS345" s="1231"/>
      <c r="AT345" s="1231"/>
      <c r="AU345" s="1231"/>
      <c r="AV345" s="1231"/>
      <c r="AW345" s="1227"/>
      <c r="AX345" s="1231"/>
      <c r="AY345" s="1231"/>
      <c r="AZ345" s="1231"/>
      <c r="BA345" s="1231"/>
      <c r="BB345" s="1227"/>
      <c r="BC345" s="1231"/>
      <c r="BD345" s="1231"/>
      <c r="BE345" s="1231"/>
      <c r="BF345" s="1231"/>
      <c r="BG345" s="1227"/>
      <c r="BH345" s="1231"/>
      <c r="BI345" s="1231"/>
      <c r="BJ345" s="1231"/>
      <c r="BK345" s="1231"/>
      <c r="BL345" s="1326"/>
      <c r="BM345" s="1231"/>
      <c r="BN345" s="1231"/>
      <c r="BO345" s="1231"/>
      <c r="BP345" s="1231"/>
      <c r="BQ345" s="1326"/>
      <c r="BR345" s="1231"/>
      <c r="BS345" s="1231"/>
      <c r="BT345" s="1231"/>
      <c r="BU345" s="1231"/>
      <c r="BV345" s="1326"/>
      <c r="BW345" s="1231"/>
      <c r="BX345" s="1231"/>
      <c r="BY345" s="1231"/>
      <c r="BZ345" s="1231"/>
      <c r="CA345" s="1326"/>
      <c r="CB345" s="1223"/>
      <c r="CC345" s="1223"/>
      <c r="CD345" s="1223"/>
      <c r="CE345" s="1223"/>
      <c r="CF345" s="1326"/>
      <c r="CG345" s="1223"/>
      <c r="CH345" s="1223"/>
      <c r="CI345" s="1223"/>
      <c r="CJ345" s="1223"/>
      <c r="CK345" s="1326"/>
      <c r="CL345" s="1223"/>
      <c r="CM345" s="1223"/>
      <c r="CN345" s="1223"/>
      <c r="CO345" s="1223"/>
      <c r="CP345" s="1326"/>
      <c r="CQ345" s="1223"/>
      <c r="CR345" s="1223"/>
      <c r="CS345" s="1223"/>
      <c r="CT345" s="1223"/>
      <c r="CU345" s="1326"/>
      <c r="CV345" s="1223">
        <f>-(AVERAGE(CV343,CV341))*(CV339/4)</f>
        <v>0</v>
      </c>
      <c r="CW345" s="1223">
        <f>-(AVERAGE(CW343,CW341))*(CW339/4)</f>
        <v>0</v>
      </c>
      <c r="CX345" s="1223">
        <f>-CX343*(CX339/4)</f>
        <v>-10.6875</v>
      </c>
      <c r="CY345" s="1223">
        <f>-(AVERAGE(CY343,CY341))*(CY339/4)</f>
        <v>-10.6875</v>
      </c>
      <c r="CZ345" s="1326">
        <f>SUM(CV345:CY345)</f>
        <v>-21.375</v>
      </c>
      <c r="DA345" s="1223">
        <f>-(AVERAGE(DA343,DA341))*(DA339/4)</f>
        <v>-10.6875</v>
      </c>
      <c r="DB345" s="1223">
        <f>-(AVERAGE(DB343,DB341))*(DB339/4)</f>
        <v>-10.6875</v>
      </c>
      <c r="DC345" s="1223">
        <f>-(AVERAGE(DC343,DC341))*(DC339/4)</f>
        <v>-10.6875</v>
      </c>
      <c r="DD345" s="1223">
        <f>-(AVERAGE(DD343,DD341))*(DD339/4)</f>
        <v>-10.6875</v>
      </c>
      <c r="DE345" s="1326">
        <f>SUM(DA345:DD345)</f>
        <v>-42.75</v>
      </c>
      <c r="DF345" s="1223">
        <f>-(AVERAGE(DF343,DF341))*(DF339/4)</f>
        <v>-10.6875</v>
      </c>
      <c r="DG345" s="1223">
        <f>-(AVERAGE(DG343,DG341))*(DG339/4)</f>
        <v>-10.6875</v>
      </c>
      <c r="DH345" s="1223">
        <f>-(AVERAGE(DH343,DH341))*(DH339/4)</f>
        <v>-10.6875</v>
      </c>
      <c r="DI345" s="1223">
        <f>-(AVERAGE(DI343,DI341))*(DI339/4)</f>
        <v>-10.6875</v>
      </c>
      <c r="DJ345" s="1326">
        <f>SUM(DF345:DI345)</f>
        <v>-42.75</v>
      </c>
      <c r="DK345" s="1223">
        <f>-(AVERAGE(DK343,DK341))*(DK339/4)</f>
        <v>-10.6875</v>
      </c>
      <c r="DL345" s="1223">
        <f>-(AVERAGE(DL343,DL341))*(DL339/4)</f>
        <v>-10.6875</v>
      </c>
      <c r="DM345" s="1223">
        <f>-(AVERAGE(DM343,DM341))*(DM339/4)</f>
        <v>-10.6875</v>
      </c>
      <c r="DN345" s="1223">
        <f>-(AVERAGE(DN343,DN341))*(DN339/4)</f>
        <v>-10.6875</v>
      </c>
      <c r="DO345" s="1326">
        <f>SUM(DK345:DN345)</f>
        <v>-42.75</v>
      </c>
      <c r="DP345" s="1223">
        <f>-(AVERAGE(DP343,DP341))*(DP339/4)</f>
        <v>-10.6875</v>
      </c>
      <c r="DQ345" s="1223">
        <f>-(AVERAGE(DQ343,DQ341))*(DQ339/4)</f>
        <v>-10.6875</v>
      </c>
      <c r="DR345" s="1223">
        <f>-(AVERAGE(DR343,DR341))*(DR339/4)</f>
        <v>-10.6875</v>
      </c>
      <c r="DS345" s="1223">
        <f>-(AVERAGE(DS343,DS341))*(DS339/4)</f>
        <v>-10.6875</v>
      </c>
      <c r="DT345" s="1326">
        <f>SUM(DP345:DS345)</f>
        <v>-42.75</v>
      </c>
      <c r="DU345" s="1223">
        <f>-(AVERAGE(DU343,DU341))*(DU339/4)</f>
        <v>-10.6875</v>
      </c>
      <c r="DV345" s="1223">
        <f>-(AVERAGE(DV343,DV341))*(DV339/4)</f>
        <v>-10.6875</v>
      </c>
      <c r="DW345" s="1223">
        <f>-(AVERAGE(DW343,DW341))*(DW339/4)</f>
        <v>-10.6875</v>
      </c>
      <c r="DX345" s="1223">
        <f>-(AVERAGE(DX343,DX341))*(DX339/4)</f>
        <v>-10.6875</v>
      </c>
      <c r="DY345" s="1326">
        <f>SUM(DU345:DX345)</f>
        <v>-42.75</v>
      </c>
    </row>
    <row r="346" spans="1:129" ht="12" thickBot="1" x14ac:dyDescent="0.25">
      <c r="A346" s="1223"/>
      <c r="B346" s="1250" t="s">
        <v>1157</v>
      </c>
      <c r="C346" s="1251"/>
      <c r="D346" s="1251"/>
      <c r="E346" s="1251"/>
      <c r="F346" s="1251"/>
      <c r="G346" s="1251"/>
      <c r="H346" s="1251"/>
      <c r="I346" s="1251"/>
      <c r="J346" s="1251"/>
      <c r="K346" s="1251"/>
      <c r="L346" s="1251"/>
      <c r="M346" s="1251"/>
      <c r="N346" s="1251"/>
      <c r="O346" s="1251"/>
      <c r="P346" s="1251"/>
      <c r="Q346" s="1251"/>
      <c r="R346" s="1251"/>
      <c r="S346" s="1251"/>
      <c r="T346" s="1251"/>
      <c r="U346" s="1251"/>
      <c r="V346" s="1251"/>
      <c r="W346" s="1251"/>
      <c r="X346" s="1252"/>
      <c r="Y346" s="1251"/>
      <c r="Z346" s="1251"/>
      <c r="AA346" s="1251"/>
      <c r="AB346" s="1251"/>
      <c r="AC346" s="1252"/>
      <c r="AD346" s="1251"/>
      <c r="AE346" s="1251"/>
      <c r="AF346" s="1251"/>
      <c r="AG346" s="1251"/>
      <c r="AH346" s="1252"/>
      <c r="AI346" s="1251"/>
      <c r="AJ346" s="1251"/>
      <c r="AK346" s="1251"/>
      <c r="AL346" s="1251"/>
      <c r="AM346" s="1252"/>
      <c r="AN346" s="1251"/>
      <c r="AO346" s="1251"/>
      <c r="AP346" s="1251"/>
      <c r="AQ346" s="1253"/>
      <c r="AR346" s="1252"/>
      <c r="AS346" s="1253"/>
      <c r="AT346" s="1253"/>
      <c r="AU346" s="1253"/>
      <c r="AV346" s="1253"/>
      <c r="AW346" s="1252"/>
      <c r="AX346" s="1253"/>
      <c r="AY346" s="1253"/>
      <c r="AZ346" s="1253"/>
      <c r="BA346" s="1253"/>
      <c r="BB346" s="1252"/>
      <c r="BC346" s="1253"/>
      <c r="BD346" s="1253"/>
      <c r="BE346" s="1253"/>
      <c r="BF346" s="1253"/>
      <c r="BG346" s="1252"/>
      <c r="BH346" s="1253"/>
      <c r="BI346" s="1253"/>
      <c r="BJ346" s="1253"/>
      <c r="BK346" s="1253"/>
      <c r="BL346" s="1327"/>
      <c r="BM346" s="1253"/>
      <c r="BN346" s="1253"/>
      <c r="BO346" s="1253"/>
      <c r="BP346" s="1253"/>
      <c r="BQ346" s="1327"/>
      <c r="BR346" s="1253"/>
      <c r="BS346" s="1253"/>
      <c r="BT346" s="1253"/>
      <c r="BU346" s="1253"/>
      <c r="BV346" s="1327"/>
      <c r="BW346" s="1253"/>
      <c r="BX346" s="1253"/>
      <c r="BY346" s="1253"/>
      <c r="BZ346" s="1253"/>
      <c r="CA346" s="1327"/>
      <c r="CB346" s="1253">
        <f>-CB338*CB344/4</f>
        <v>0</v>
      </c>
      <c r="CC346" s="1253">
        <f>-CC338*CC344/4</f>
        <v>0</v>
      </c>
      <c r="CD346" s="1253">
        <f>-CD338*CD344/4</f>
        <v>0</v>
      </c>
      <c r="CE346" s="1253">
        <f>-CE338*CE344/4</f>
        <v>0</v>
      </c>
      <c r="CF346" s="1327"/>
      <c r="CG346" s="1253">
        <f>-CG338*CG344/4</f>
        <v>0</v>
      </c>
      <c r="CH346" s="1253">
        <f>-CH338*CH344/4</f>
        <v>0</v>
      </c>
      <c r="CI346" s="1253">
        <f>-CI338*CI344/4</f>
        <v>0</v>
      </c>
      <c r="CJ346" s="1253">
        <f>-CJ338*CJ344/4</f>
        <v>0</v>
      </c>
      <c r="CK346" s="1327"/>
      <c r="CL346" s="1253">
        <f>-CL338*CL344/4</f>
        <v>0</v>
      </c>
      <c r="CM346" s="1253">
        <f>-CM338*CM344/4</f>
        <v>0</v>
      </c>
      <c r="CN346" s="1253">
        <f>-CN338*CN344/4</f>
        <v>0</v>
      </c>
      <c r="CO346" s="1253">
        <f>-CO338*CO344/4</f>
        <v>0</v>
      </c>
      <c r="CP346" s="1327"/>
      <c r="CQ346" s="1253">
        <f>-CQ338*CQ344/4</f>
        <v>0</v>
      </c>
      <c r="CR346" s="1253">
        <f>-CR338*CR344/4</f>
        <v>0</v>
      </c>
      <c r="CS346" s="1253">
        <f>-CS338*CS344/4</f>
        <v>0</v>
      </c>
      <c r="CT346" s="1253">
        <f>-CT338*CT344/4</f>
        <v>0</v>
      </c>
      <c r="CU346" s="1327"/>
      <c r="CV346" s="1253">
        <f>-CV338*CV344/4</f>
        <v>0</v>
      </c>
      <c r="CW346" s="1253">
        <f>-CW338*CW344/4</f>
        <v>0</v>
      </c>
      <c r="CX346" s="1253">
        <f>-CX338*CX344/4</f>
        <v>0</v>
      </c>
      <c r="CY346" s="1253">
        <f>-CY338*CY344/4</f>
        <v>0</v>
      </c>
      <c r="CZ346" s="1327"/>
      <c r="DA346" s="1253">
        <f>-DA338*DA344/4</f>
        <v>0</v>
      </c>
      <c r="DB346" s="1253">
        <f>-DB338*DB344/4</f>
        <v>0</v>
      </c>
      <c r="DC346" s="1253">
        <f>-DC338*DC344/4</f>
        <v>0</v>
      </c>
      <c r="DD346" s="1253">
        <f>-DD338*DD344/4</f>
        <v>0</v>
      </c>
      <c r="DE346" s="1327"/>
      <c r="DF346" s="1253">
        <f>-DF338*DF344/4</f>
        <v>0</v>
      </c>
      <c r="DG346" s="1253">
        <f>-DG338*DG344/4</f>
        <v>0</v>
      </c>
      <c r="DH346" s="1253">
        <f>-DH338*DH344/4</f>
        <v>0</v>
      </c>
      <c r="DI346" s="1253">
        <f>-DI338*DI344/4</f>
        <v>0</v>
      </c>
      <c r="DJ346" s="1327"/>
      <c r="DK346" s="1253">
        <f>-DK338*DK344/4</f>
        <v>0</v>
      </c>
      <c r="DL346" s="1253">
        <f>-DL338*DL344/4</f>
        <v>0</v>
      </c>
      <c r="DM346" s="1253">
        <f>-DM338*DM344/4</f>
        <v>0</v>
      </c>
      <c r="DN346" s="1253">
        <f>-DN338*DN344/4</f>
        <v>0</v>
      </c>
      <c r="DO346" s="1327"/>
      <c r="DP346" s="1253">
        <f>-DP338*DP344/4</f>
        <v>0</v>
      </c>
      <c r="DQ346" s="1253">
        <f>-DQ338*DQ344/4</f>
        <v>0</v>
      </c>
      <c r="DR346" s="1253">
        <f>-DR338*DR344/4</f>
        <v>0</v>
      </c>
      <c r="DS346" s="1253">
        <f>-DS338*DS344/4</f>
        <v>0</v>
      </c>
      <c r="DT346" s="1327"/>
      <c r="DU346" s="1253">
        <f>-DU338*DU344/4</f>
        <v>0</v>
      </c>
      <c r="DV346" s="1253">
        <f>-DV338*DV344/4</f>
        <v>0</v>
      </c>
      <c r="DW346" s="1253">
        <f>-DW338*DW344/4</f>
        <v>0</v>
      </c>
      <c r="DX346" s="1253">
        <f>-DX338*DX344/4</f>
        <v>0</v>
      </c>
      <c r="DY346" s="1327"/>
    </row>
    <row r="347" spans="1:129" ht="12" thickBot="1" x14ac:dyDescent="0.25">
      <c r="A347" s="1223"/>
      <c r="B347" s="1231"/>
      <c r="C347" s="1182"/>
      <c r="D347" s="1182"/>
      <c r="E347" s="1182"/>
      <c r="F347" s="1182"/>
      <c r="G347" s="1182"/>
      <c r="H347" s="1182"/>
      <c r="I347" s="1182"/>
      <c r="J347" s="1182"/>
      <c r="K347" s="1182"/>
      <c r="L347" s="1182"/>
      <c r="M347" s="1182"/>
      <c r="N347" s="1182"/>
      <c r="O347" s="1182"/>
      <c r="P347" s="1182"/>
      <c r="Q347" s="1182"/>
      <c r="R347" s="1182"/>
      <c r="S347" s="1182"/>
      <c r="T347" s="1182"/>
      <c r="U347" s="1182"/>
      <c r="V347" s="1182"/>
      <c r="W347" s="1182"/>
      <c r="X347" s="1231"/>
      <c r="Y347" s="1182"/>
      <c r="Z347" s="1182"/>
      <c r="AA347" s="1182"/>
      <c r="AB347" s="1182"/>
      <c r="AC347" s="1231"/>
      <c r="AD347" s="1182"/>
      <c r="AE347" s="1182"/>
      <c r="AF347" s="1182"/>
      <c r="AG347" s="1182"/>
      <c r="AH347" s="1231"/>
      <c r="AI347" s="1182"/>
      <c r="AJ347" s="1182"/>
      <c r="AK347" s="1182"/>
      <c r="AL347" s="1182"/>
      <c r="AM347" s="1231"/>
      <c r="AN347" s="1182"/>
      <c r="AO347" s="1182"/>
      <c r="AP347" s="1182"/>
      <c r="AQ347" s="1231"/>
      <c r="AR347" s="1231"/>
      <c r="AS347" s="1231"/>
      <c r="AT347" s="1231"/>
      <c r="AU347" s="1231"/>
      <c r="AV347" s="1231"/>
      <c r="AW347" s="1231"/>
      <c r="AX347" s="1231"/>
      <c r="AY347" s="1231"/>
      <c r="AZ347" s="1231"/>
      <c r="BA347" s="1231"/>
      <c r="BB347" s="1231"/>
      <c r="BC347" s="1231"/>
      <c r="BD347" s="1231"/>
      <c r="BE347" s="1231"/>
      <c r="BF347" s="1231"/>
      <c r="BG347" s="1231"/>
      <c r="BH347" s="1231"/>
      <c r="BI347" s="1231"/>
      <c r="BJ347" s="1231"/>
      <c r="BK347" s="1231"/>
      <c r="BL347" s="1231"/>
      <c r="BM347" s="1231"/>
      <c r="BN347" s="1231"/>
      <c r="BO347" s="1231"/>
      <c r="BP347" s="1231"/>
      <c r="BQ347" s="1231"/>
      <c r="BR347" s="1231"/>
      <c r="BS347" s="1231"/>
      <c r="BT347" s="1231"/>
      <c r="BU347" s="1231"/>
      <c r="BV347" s="1231"/>
      <c r="BW347" s="1231"/>
      <c r="BX347" s="1231"/>
      <c r="BY347" s="1231"/>
      <c r="BZ347" s="1231"/>
      <c r="CA347" s="1231"/>
      <c r="CB347" s="1231"/>
      <c r="CC347" s="1231"/>
      <c r="CD347" s="1231"/>
      <c r="CE347" s="1231"/>
      <c r="CF347" s="1231"/>
      <c r="CG347" s="1231"/>
      <c r="CH347" s="1231"/>
      <c r="CI347" s="1231"/>
      <c r="CJ347" s="1231"/>
      <c r="CK347" s="1231"/>
      <c r="CL347" s="1231"/>
      <c r="CM347" s="1231"/>
      <c r="CN347" s="1231"/>
      <c r="CO347" s="1231"/>
      <c r="CP347" s="1231"/>
      <c r="CQ347" s="1231"/>
      <c r="CR347" s="1231"/>
      <c r="CS347" s="1231"/>
      <c r="CT347" s="1231"/>
      <c r="CU347" s="1231"/>
      <c r="CV347" s="1231"/>
      <c r="CW347" s="1231"/>
      <c r="CX347" s="1231"/>
      <c r="CY347" s="1231"/>
      <c r="CZ347" s="1231"/>
      <c r="DA347" s="1231"/>
      <c r="DB347" s="1231"/>
      <c r="DC347" s="1231"/>
      <c r="DD347" s="1231"/>
      <c r="DE347" s="1231"/>
      <c r="DF347" s="1231"/>
      <c r="DG347" s="1231"/>
      <c r="DH347" s="1231"/>
      <c r="DI347" s="1231"/>
      <c r="DJ347" s="1231"/>
      <c r="DK347" s="1231"/>
      <c r="DL347" s="1231"/>
      <c r="DM347" s="1231"/>
      <c r="DN347" s="1231"/>
      <c r="DO347" s="1231"/>
      <c r="DP347" s="1231"/>
      <c r="DQ347" s="1231"/>
      <c r="DR347" s="1231"/>
      <c r="DS347" s="1231"/>
      <c r="DT347" s="1231"/>
      <c r="DU347" s="1231"/>
      <c r="DV347" s="1231"/>
      <c r="DW347" s="1231"/>
      <c r="DX347" s="1231"/>
      <c r="DY347" s="1231"/>
    </row>
    <row r="348" spans="1:129" ht="12" thickBot="1" x14ac:dyDescent="0.25">
      <c r="A348" s="1223"/>
      <c r="B348" s="1282" t="s">
        <v>1368</v>
      </c>
      <c r="C348" s="1328"/>
      <c r="D348" s="1329"/>
      <c r="E348" s="1329"/>
      <c r="F348" s="1329"/>
      <c r="G348" s="1329"/>
      <c r="H348" s="1329"/>
      <c r="I348" s="1329"/>
      <c r="J348" s="1329"/>
      <c r="K348" s="1329"/>
      <c r="L348" s="1329"/>
      <c r="M348" s="1329"/>
      <c r="N348" s="1329"/>
      <c r="O348" s="1329"/>
      <c r="P348" s="1329"/>
      <c r="Q348" s="1329"/>
      <c r="R348" s="1329"/>
      <c r="S348" s="1329"/>
      <c r="T348" s="1329"/>
      <c r="U348" s="1329"/>
      <c r="V348" s="1329"/>
      <c r="W348" s="1329"/>
      <c r="X348" s="1328"/>
      <c r="Y348" s="1328"/>
      <c r="Z348" s="1328"/>
      <c r="AA348" s="1328"/>
      <c r="AB348" s="1328"/>
      <c r="AC348" s="1328"/>
      <c r="AD348" s="1328"/>
      <c r="AE348" s="1328"/>
      <c r="AF348" s="1328"/>
      <c r="AG348" s="1328"/>
      <c r="AH348" s="1328"/>
      <c r="AI348" s="1328"/>
      <c r="AJ348" s="1328"/>
      <c r="AK348" s="1328"/>
      <c r="AL348" s="1328"/>
      <c r="AM348" s="1328"/>
      <c r="AN348" s="1328"/>
      <c r="AO348" s="1328"/>
      <c r="AP348" s="1328"/>
      <c r="AQ348" s="1330"/>
      <c r="AR348" s="1330"/>
      <c r="AS348" s="1330"/>
      <c r="AT348" s="1331"/>
      <c r="AU348" s="1331"/>
      <c r="AV348" s="1331"/>
      <c r="AW348" s="1330"/>
      <c r="AX348" s="1330"/>
      <c r="AY348" s="1330"/>
      <c r="AZ348" s="1330"/>
      <c r="BA348" s="1330"/>
      <c r="BB348" s="1330"/>
      <c r="BC348" s="1330"/>
      <c r="BD348" s="1330"/>
      <c r="BE348" s="1330"/>
      <c r="BF348" s="1330"/>
      <c r="BG348" s="1330"/>
      <c r="BH348" s="1330"/>
      <c r="BI348" s="1330"/>
      <c r="BJ348" s="1330"/>
      <c r="BK348" s="1330"/>
      <c r="BL348" s="1332"/>
      <c r="BM348" s="1330"/>
      <c r="BN348" s="1330"/>
      <c r="BO348" s="1330"/>
      <c r="BP348" s="1330"/>
      <c r="BQ348" s="1332"/>
      <c r="BR348" s="1330"/>
      <c r="BS348" s="1330"/>
      <c r="BT348" s="1330"/>
      <c r="BU348" s="1330"/>
      <c r="BV348" s="1332"/>
      <c r="BW348" s="1330"/>
      <c r="BX348" s="1330"/>
      <c r="BY348" s="1330"/>
      <c r="BZ348" s="1330"/>
      <c r="CA348" s="1332"/>
      <c r="CB348" s="1330"/>
      <c r="CC348" s="1330"/>
      <c r="CD348" s="1330"/>
      <c r="CE348" s="1330"/>
      <c r="CF348" s="1332"/>
      <c r="CG348" s="1330"/>
      <c r="CH348" s="1330"/>
      <c r="CI348" s="1330"/>
      <c r="CJ348" s="1330"/>
      <c r="CK348" s="1332"/>
      <c r="CL348" s="1330"/>
      <c r="CM348" s="1330"/>
      <c r="CN348" s="1330"/>
      <c r="CO348" s="1330"/>
      <c r="CP348" s="1332"/>
      <c r="CQ348" s="1330"/>
      <c r="CR348" s="1330"/>
      <c r="CS348" s="1330"/>
      <c r="CT348" s="1330"/>
      <c r="CU348" s="1332"/>
      <c r="CV348" s="1330"/>
      <c r="CW348" s="1330"/>
      <c r="CX348" s="1330"/>
      <c r="CY348" s="1330"/>
      <c r="CZ348" s="1332"/>
      <c r="DA348" s="1330"/>
      <c r="DB348" s="1330"/>
      <c r="DC348" s="1330"/>
      <c r="DD348" s="1330"/>
      <c r="DE348" s="1332"/>
      <c r="DF348" s="1330"/>
      <c r="DG348" s="1330"/>
      <c r="DH348" s="1330"/>
      <c r="DI348" s="1330"/>
      <c r="DJ348" s="1332"/>
      <c r="DK348" s="1330"/>
      <c r="DL348" s="1330"/>
      <c r="DM348" s="1330"/>
      <c r="DN348" s="1330"/>
      <c r="DO348" s="1332"/>
      <c r="DP348" s="1330"/>
      <c r="DQ348" s="1330"/>
      <c r="DR348" s="1330"/>
      <c r="DS348" s="1330"/>
      <c r="DT348" s="1332"/>
      <c r="DU348" s="1330"/>
      <c r="DV348" s="1330"/>
      <c r="DW348" s="1330"/>
      <c r="DX348" s="1330"/>
      <c r="DY348" s="1332"/>
    </row>
    <row r="349" spans="1:129" x14ac:dyDescent="0.2">
      <c r="A349" s="1223"/>
      <c r="B349" s="1287" t="s">
        <v>1149</v>
      </c>
      <c r="C349" s="650"/>
      <c r="D349" s="650"/>
      <c r="E349" s="650"/>
      <c r="F349" s="650"/>
      <c r="G349" s="650"/>
      <c r="H349" s="650"/>
      <c r="I349" s="650"/>
      <c r="J349" s="650"/>
      <c r="K349" s="650"/>
      <c r="L349" s="650"/>
      <c r="M349" s="650"/>
      <c r="N349" s="650"/>
      <c r="O349" s="650"/>
      <c r="P349" s="650"/>
      <c r="Q349" s="650"/>
      <c r="R349" s="650"/>
      <c r="S349" s="650"/>
      <c r="T349" s="650"/>
      <c r="U349" s="650"/>
      <c r="V349" s="650"/>
      <c r="W349" s="650"/>
      <c r="X349" s="1288"/>
      <c r="Y349" s="650"/>
      <c r="Z349" s="650"/>
      <c r="AA349" s="650"/>
      <c r="AB349" s="650"/>
      <c r="AC349" s="1288"/>
      <c r="AD349" s="650"/>
      <c r="AE349" s="650"/>
      <c r="AF349" s="650"/>
      <c r="AG349" s="650"/>
      <c r="AH349" s="1288"/>
      <c r="AI349" s="650"/>
      <c r="AJ349" s="650"/>
      <c r="AK349" s="650"/>
      <c r="AL349" s="650"/>
      <c r="AM349" s="1288"/>
      <c r="AN349" s="650"/>
      <c r="AO349" s="650"/>
      <c r="AP349" s="650"/>
      <c r="AQ349" s="650"/>
      <c r="AR349" s="1288"/>
      <c r="AS349" s="650"/>
      <c r="AT349" s="650"/>
      <c r="AU349" s="650"/>
      <c r="AV349" s="650"/>
      <c r="AW349" s="1288"/>
      <c r="AX349" s="650"/>
      <c r="AY349" s="650"/>
      <c r="AZ349" s="650"/>
      <c r="BA349" s="650"/>
      <c r="BB349" s="1288"/>
      <c r="BC349" s="650"/>
      <c r="BD349" s="650"/>
      <c r="BE349" s="650"/>
      <c r="BF349" s="650"/>
      <c r="BG349" s="1288"/>
      <c r="BH349" s="650"/>
      <c r="BI349" s="650"/>
      <c r="BJ349" s="650"/>
      <c r="BK349" s="650"/>
      <c r="BL349" s="583"/>
      <c r="BM349" s="650"/>
      <c r="BN349" s="650"/>
      <c r="BO349" s="650"/>
      <c r="BP349" s="650"/>
      <c r="BQ349" s="583"/>
      <c r="BR349" s="650"/>
      <c r="BS349" s="650"/>
      <c r="BT349" s="650"/>
      <c r="BU349" s="650"/>
      <c r="BV349" s="583"/>
      <c r="BW349" s="650"/>
      <c r="BX349" s="650"/>
      <c r="BY349" s="650"/>
      <c r="BZ349" s="650"/>
      <c r="CA349" s="583"/>
      <c r="CB349" s="650"/>
      <c r="CC349" s="650"/>
      <c r="CD349" s="650"/>
      <c r="CE349" s="650"/>
      <c r="CF349" s="583"/>
      <c r="CG349" s="650"/>
      <c r="CH349" s="650"/>
      <c r="CI349" s="650"/>
      <c r="CJ349" s="650"/>
      <c r="CK349" s="583"/>
      <c r="CL349" s="650"/>
      <c r="CM349" s="650"/>
      <c r="CN349" s="650"/>
      <c r="CO349" s="650"/>
      <c r="CP349" s="583"/>
      <c r="CQ349" s="650"/>
      <c r="CR349" s="650"/>
      <c r="CS349" s="650"/>
      <c r="CT349" s="650"/>
      <c r="CU349" s="583"/>
      <c r="CV349" s="650"/>
      <c r="CW349" s="650"/>
      <c r="CX349" s="650"/>
      <c r="CY349" s="650"/>
      <c r="CZ349" s="583"/>
      <c r="DA349" s="650"/>
      <c r="DB349" s="650"/>
      <c r="DC349" s="650"/>
      <c r="DD349" s="650"/>
      <c r="DE349" s="583"/>
      <c r="DF349" s="650"/>
      <c r="DG349" s="650"/>
      <c r="DH349" s="650"/>
      <c r="DI349" s="650"/>
      <c r="DJ349" s="583"/>
      <c r="DK349" s="650"/>
      <c r="DL349" s="650"/>
      <c r="DM349" s="650"/>
      <c r="DN349" s="650"/>
      <c r="DO349" s="583"/>
      <c r="DP349" s="650"/>
      <c r="DQ349" s="650"/>
      <c r="DR349" s="650"/>
      <c r="DS349" s="650"/>
      <c r="DT349" s="583"/>
      <c r="DU349" s="650"/>
      <c r="DV349" s="650"/>
      <c r="DW349" s="650"/>
      <c r="DX349" s="650"/>
      <c r="DY349" s="583"/>
    </row>
    <row r="350" spans="1:129" x14ac:dyDescent="0.2">
      <c r="A350" s="1223"/>
      <c r="B350" s="1287" t="s">
        <v>1150</v>
      </c>
      <c r="C350" s="650"/>
      <c r="D350" s="650"/>
      <c r="E350" s="650"/>
      <c r="F350" s="650"/>
      <c r="G350" s="650"/>
      <c r="H350" s="650"/>
      <c r="I350" s="650"/>
      <c r="J350" s="650"/>
      <c r="K350" s="650"/>
      <c r="L350" s="650"/>
      <c r="M350" s="650"/>
      <c r="N350" s="650"/>
      <c r="O350" s="650"/>
      <c r="P350" s="650"/>
      <c r="Q350" s="650"/>
      <c r="R350" s="650"/>
      <c r="S350" s="650"/>
      <c r="T350" s="650"/>
      <c r="U350" s="650"/>
      <c r="V350" s="650"/>
      <c r="W350" s="650"/>
      <c r="X350" s="1288"/>
      <c r="Y350" s="650"/>
      <c r="Z350" s="650"/>
      <c r="AA350" s="650"/>
      <c r="AB350" s="650"/>
      <c r="AC350" s="1288"/>
      <c r="AD350" s="650"/>
      <c r="AE350" s="650"/>
      <c r="AF350" s="650"/>
      <c r="AG350" s="650"/>
      <c r="AH350" s="1288"/>
      <c r="AI350" s="650"/>
      <c r="AJ350" s="650"/>
      <c r="AK350" s="650"/>
      <c r="AL350" s="650"/>
      <c r="AM350" s="1288"/>
      <c r="AN350" s="650"/>
      <c r="AO350" s="650"/>
      <c r="AP350" s="650"/>
      <c r="AQ350" s="650"/>
      <c r="AR350" s="1288"/>
      <c r="AS350" s="650"/>
      <c r="AT350" s="650"/>
      <c r="AU350" s="650"/>
      <c r="AV350" s="650"/>
      <c r="AW350" s="1288"/>
      <c r="AX350" s="650"/>
      <c r="AY350" s="650"/>
      <c r="AZ350" s="650"/>
      <c r="BA350" s="650"/>
      <c r="BB350" s="1288"/>
      <c r="BC350" s="650"/>
      <c r="BD350" s="650"/>
      <c r="BE350" s="650"/>
      <c r="BF350" s="650"/>
      <c r="BG350" s="1289"/>
      <c r="BH350" s="650"/>
      <c r="BI350" s="650"/>
      <c r="BJ350" s="650"/>
      <c r="BK350" s="650"/>
      <c r="BL350" s="1333"/>
      <c r="BM350" s="650"/>
      <c r="BN350" s="650"/>
      <c r="BO350" s="650"/>
      <c r="BP350" s="650"/>
      <c r="BQ350" s="1333"/>
      <c r="BR350" s="650"/>
      <c r="BS350" s="650"/>
      <c r="BT350" s="650"/>
      <c r="BU350" s="650"/>
      <c r="BV350" s="1333"/>
      <c r="BW350" s="650"/>
      <c r="BX350" s="650"/>
      <c r="BY350" s="650"/>
      <c r="BZ350" s="650"/>
      <c r="CA350" s="1333"/>
      <c r="CB350" s="1334">
        <v>4.1250000000000002E-2</v>
      </c>
      <c r="CC350" s="1334">
        <v>4.1250000000000002E-2</v>
      </c>
      <c r="CD350" s="1334">
        <v>4.1250000000000002E-2</v>
      </c>
      <c r="CE350" s="1334">
        <v>4.1250000000000002E-2</v>
      </c>
      <c r="CF350" s="1333"/>
      <c r="CG350" s="1334">
        <f>CE350</f>
        <v>4.1250000000000002E-2</v>
      </c>
      <c r="CH350" s="1334"/>
      <c r="CI350" s="1334"/>
      <c r="CJ350" s="1334"/>
      <c r="CK350" s="1333"/>
      <c r="CL350" s="1334"/>
      <c r="CM350" s="1334"/>
      <c r="CN350" s="1334"/>
      <c r="CO350" s="1334"/>
      <c r="CP350" s="1333"/>
      <c r="CQ350" s="1334"/>
      <c r="CR350" s="1334"/>
      <c r="CS350" s="1334"/>
      <c r="CT350" s="1334"/>
      <c r="CU350" s="1333"/>
      <c r="CV350" s="1334"/>
      <c r="CW350" s="1334"/>
      <c r="CX350" s="1334">
        <v>2.8000000000000001E-2</v>
      </c>
      <c r="CY350" s="1334">
        <f>CX350</f>
        <v>2.8000000000000001E-2</v>
      </c>
      <c r="CZ350" s="1333"/>
      <c r="DA350" s="1334">
        <f>CY350</f>
        <v>2.8000000000000001E-2</v>
      </c>
      <c r="DB350" s="1334">
        <f>DA350</f>
        <v>2.8000000000000001E-2</v>
      </c>
      <c r="DC350" s="1334">
        <f>DB350</f>
        <v>2.8000000000000001E-2</v>
      </c>
      <c r="DD350" s="1334">
        <f>DC350</f>
        <v>2.8000000000000001E-2</v>
      </c>
      <c r="DE350" s="1333"/>
      <c r="DF350" s="1334">
        <f>DD350</f>
        <v>2.8000000000000001E-2</v>
      </c>
      <c r="DG350" s="1334">
        <f>DF350</f>
        <v>2.8000000000000001E-2</v>
      </c>
      <c r="DH350" s="1334">
        <f>DG350</f>
        <v>2.8000000000000001E-2</v>
      </c>
      <c r="DI350" s="1334">
        <f>DH350</f>
        <v>2.8000000000000001E-2</v>
      </c>
      <c r="DJ350" s="1333"/>
      <c r="DK350" s="1334">
        <f>DI350</f>
        <v>2.8000000000000001E-2</v>
      </c>
      <c r="DL350" s="1334">
        <f>DK350</f>
        <v>2.8000000000000001E-2</v>
      </c>
      <c r="DM350" s="1334">
        <f>DL350</f>
        <v>2.8000000000000001E-2</v>
      </c>
      <c r="DN350" s="1334">
        <f>DM350</f>
        <v>2.8000000000000001E-2</v>
      </c>
      <c r="DO350" s="1333"/>
      <c r="DP350" s="1334">
        <f>DN350</f>
        <v>2.8000000000000001E-2</v>
      </c>
      <c r="DQ350" s="1334">
        <f>DP350</f>
        <v>2.8000000000000001E-2</v>
      </c>
      <c r="DR350" s="1334">
        <f>DQ350</f>
        <v>2.8000000000000001E-2</v>
      </c>
      <c r="DS350" s="1334">
        <f>DR350</f>
        <v>2.8000000000000001E-2</v>
      </c>
      <c r="DT350" s="1333"/>
      <c r="DU350" s="1334">
        <f>DS350</f>
        <v>2.8000000000000001E-2</v>
      </c>
      <c r="DV350" s="1334">
        <f>DU350</f>
        <v>2.8000000000000001E-2</v>
      </c>
      <c r="DW350" s="1334">
        <f>DV350</f>
        <v>2.8000000000000001E-2</v>
      </c>
      <c r="DX350" s="1334">
        <f>DW350</f>
        <v>2.8000000000000001E-2</v>
      </c>
      <c r="DY350" s="1333"/>
    </row>
    <row r="351" spans="1:129" x14ac:dyDescent="0.2">
      <c r="A351" s="1223"/>
      <c r="B351" s="1190" t="s">
        <v>1151</v>
      </c>
      <c r="C351" s="1293"/>
      <c r="D351" s="1293"/>
      <c r="E351" s="1293"/>
      <c r="F351" s="1293"/>
      <c r="G351" s="1293"/>
      <c r="H351" s="1293"/>
      <c r="I351" s="1293"/>
      <c r="J351" s="1293"/>
      <c r="K351" s="1293"/>
      <c r="L351" s="1293"/>
      <c r="M351" s="1293"/>
      <c r="N351" s="1293"/>
      <c r="O351" s="1293"/>
      <c r="P351" s="1293"/>
      <c r="Q351" s="1293"/>
      <c r="R351" s="1293"/>
      <c r="S351" s="1293"/>
      <c r="T351" s="1293"/>
      <c r="U351" s="1293"/>
      <c r="V351" s="1293"/>
      <c r="W351" s="1293"/>
      <c r="X351" s="1227"/>
      <c r="Y351" s="1231"/>
      <c r="Z351" s="1231"/>
      <c r="AA351" s="1231"/>
      <c r="AB351" s="1294"/>
      <c r="AC351" s="1227"/>
      <c r="AD351" s="1231"/>
      <c r="AE351" s="1231"/>
      <c r="AF351" s="1231"/>
      <c r="AG351" s="1294"/>
      <c r="AH351" s="1227"/>
      <c r="AI351" s="1231"/>
      <c r="AJ351" s="1231"/>
      <c r="AK351" s="1231"/>
      <c r="AL351" s="1294"/>
      <c r="AM351" s="1227"/>
      <c r="AN351" s="1231"/>
      <c r="AO351" s="1231"/>
      <c r="AP351" s="1231"/>
      <c r="AQ351" s="1294"/>
      <c r="AR351" s="1227"/>
      <c r="AS351" s="1231"/>
      <c r="AT351" s="1231"/>
      <c r="AU351" s="1231"/>
      <c r="AV351" s="1294"/>
      <c r="AW351" s="1227"/>
      <c r="AX351" s="1231"/>
      <c r="AY351" s="1231"/>
      <c r="AZ351" s="1231"/>
      <c r="BA351" s="1231"/>
      <c r="BB351" s="1227"/>
      <c r="BC351" s="1231"/>
      <c r="BD351" s="1231"/>
      <c r="BE351" s="1231"/>
      <c r="BF351" s="1231"/>
      <c r="BG351" s="1227"/>
      <c r="BH351" s="1231"/>
      <c r="BI351" s="1231"/>
      <c r="BJ351" s="1231"/>
      <c r="BK351" s="1231"/>
      <c r="BL351" s="1326"/>
      <c r="BM351" s="1231"/>
      <c r="BN351" s="1231"/>
      <c r="BO351" s="1231"/>
      <c r="BP351" s="1231"/>
      <c r="BQ351" s="1326"/>
      <c r="BR351" s="1231"/>
      <c r="BS351" s="1231"/>
      <c r="BT351" s="1231"/>
      <c r="BU351" s="1231"/>
      <c r="BV351" s="1326"/>
      <c r="BW351" s="1231"/>
      <c r="BX351" s="1231"/>
      <c r="BY351" s="1231"/>
      <c r="BZ351" s="1231"/>
      <c r="CA351" s="1326"/>
      <c r="CB351" s="1231"/>
      <c r="CC351" s="1231"/>
      <c r="CD351" s="1231"/>
      <c r="CE351" s="1231"/>
      <c r="CF351" s="1326"/>
      <c r="CG351" s="1231"/>
      <c r="CH351" s="1231"/>
      <c r="CI351" s="1231"/>
      <c r="CJ351" s="1231"/>
      <c r="CK351" s="1326"/>
      <c r="CL351" s="1231"/>
      <c r="CM351" s="1231"/>
      <c r="CN351" s="1231"/>
      <c r="CO351" s="1231"/>
      <c r="CP351" s="1326"/>
      <c r="CQ351" s="1231"/>
      <c r="CR351" s="1231"/>
      <c r="CS351" s="1231"/>
      <c r="CT351" s="1231"/>
      <c r="CU351" s="1326"/>
      <c r="CV351" s="1231"/>
      <c r="CW351" s="1231"/>
      <c r="CX351" s="1231"/>
      <c r="CY351" s="1231"/>
      <c r="CZ351" s="1326"/>
      <c r="DA351" s="1231"/>
      <c r="DB351" s="1231"/>
      <c r="DC351" s="1231"/>
      <c r="DD351" s="1231"/>
      <c r="DE351" s="1326"/>
      <c r="DF351" s="1231"/>
      <c r="DG351" s="1231"/>
      <c r="DH351" s="1231"/>
      <c r="DI351" s="1231"/>
      <c r="DJ351" s="1326"/>
      <c r="DK351" s="1231"/>
      <c r="DL351" s="1231"/>
      <c r="DM351" s="1231"/>
      <c r="DN351" s="1231"/>
      <c r="DO351" s="1326"/>
      <c r="DP351" s="1231"/>
      <c r="DQ351" s="1231"/>
      <c r="DR351" s="1231"/>
      <c r="DS351" s="1231"/>
      <c r="DT351" s="1326"/>
      <c r="DU351" s="1231"/>
      <c r="DV351" s="1231"/>
      <c r="DW351" s="1231"/>
      <c r="DX351" s="1231"/>
      <c r="DY351" s="1326"/>
    </row>
    <row r="352" spans="1:129" x14ac:dyDescent="0.2">
      <c r="A352" s="1223"/>
      <c r="B352" s="1190" t="s">
        <v>1152</v>
      </c>
      <c r="C352" s="1231"/>
      <c r="D352" s="1231"/>
      <c r="E352" s="1231"/>
      <c r="F352" s="1231"/>
      <c r="G352" s="1231"/>
      <c r="H352" s="1231"/>
      <c r="I352" s="1231"/>
      <c r="J352" s="1231"/>
      <c r="K352" s="1231"/>
      <c r="L352" s="1231"/>
      <c r="M352" s="1231"/>
      <c r="N352" s="1231"/>
      <c r="O352" s="1231"/>
      <c r="P352" s="1231"/>
      <c r="Q352" s="1231"/>
      <c r="R352" s="1231"/>
      <c r="S352" s="1231"/>
      <c r="T352" s="1231"/>
      <c r="U352" s="1231"/>
      <c r="V352" s="1231"/>
      <c r="W352" s="1231"/>
      <c r="X352" s="1227"/>
      <c r="Y352" s="1231"/>
      <c r="Z352" s="1231"/>
      <c r="AA352" s="1231"/>
      <c r="AB352" s="1231"/>
      <c r="AC352" s="1227"/>
      <c r="AD352" s="1231"/>
      <c r="AE352" s="1231"/>
      <c r="AF352" s="1231"/>
      <c r="AG352" s="1231"/>
      <c r="AH352" s="1227"/>
      <c r="AI352" s="1231"/>
      <c r="AJ352" s="1231"/>
      <c r="AK352" s="1231"/>
      <c r="AL352" s="1231"/>
      <c r="AM352" s="1227"/>
      <c r="AN352" s="1231"/>
      <c r="AO352" s="1231"/>
      <c r="AP352" s="1231"/>
      <c r="AQ352" s="1231"/>
      <c r="AR352" s="1227"/>
      <c r="AS352" s="1231"/>
      <c r="AT352" s="1231"/>
      <c r="AU352" s="1231"/>
      <c r="AV352" s="1231"/>
      <c r="AW352" s="1227"/>
      <c r="AX352" s="1231"/>
      <c r="AY352" s="1231"/>
      <c r="AZ352" s="1231"/>
      <c r="BA352" s="1231"/>
      <c r="BB352" s="1227"/>
      <c r="BC352" s="1231"/>
      <c r="BD352" s="1231"/>
      <c r="BE352" s="1231"/>
      <c r="BF352" s="1231"/>
      <c r="BG352" s="1227"/>
      <c r="BH352" s="1231"/>
      <c r="BI352" s="1231"/>
      <c r="BJ352" s="1231"/>
      <c r="BK352" s="1231"/>
      <c r="BL352" s="1326"/>
      <c r="BM352" s="1231"/>
      <c r="BN352" s="1231"/>
      <c r="BO352" s="1231"/>
      <c r="BP352" s="1231"/>
      <c r="BQ352" s="1326"/>
      <c r="BR352" s="1231"/>
      <c r="BS352" s="1231"/>
      <c r="BT352" s="1231"/>
      <c r="BU352" s="1231"/>
      <c r="BV352" s="1326"/>
      <c r="BW352" s="1231"/>
      <c r="BX352" s="1231"/>
      <c r="BY352" s="1231"/>
      <c r="BZ352" s="1231"/>
      <c r="CA352" s="1326"/>
      <c r="CB352" s="1223"/>
      <c r="CC352" s="1223"/>
      <c r="CD352" s="1223"/>
      <c r="CE352" s="1223"/>
      <c r="CF352" s="1326"/>
      <c r="CG352" s="1223"/>
      <c r="CH352" s="1223"/>
      <c r="CI352" s="1223"/>
      <c r="CJ352" s="1223"/>
      <c r="CK352" s="1326"/>
      <c r="CL352" s="1223"/>
      <c r="CM352" s="1223"/>
      <c r="CN352" s="1223"/>
      <c r="CO352" s="1223"/>
      <c r="CP352" s="1326"/>
      <c r="CQ352" s="1223"/>
      <c r="CR352" s="1223"/>
      <c r="CS352" s="1223"/>
      <c r="CT352" s="1223"/>
      <c r="CU352" s="1326"/>
      <c r="CV352" s="1223">
        <f>+CT352</f>
        <v>0</v>
      </c>
      <c r="CW352" s="1223">
        <f>+CV354</f>
        <v>0</v>
      </c>
      <c r="CX352" s="1223">
        <f>+CW354</f>
        <v>0</v>
      </c>
      <c r="CY352" s="1223">
        <f>+CX354</f>
        <v>2750</v>
      </c>
      <c r="CZ352" s="1326">
        <f>CU354</f>
        <v>0</v>
      </c>
      <c r="DA352" s="1223">
        <f>CZ354</f>
        <v>2750</v>
      </c>
      <c r="DB352" s="1223">
        <f>+DA354</f>
        <v>2750</v>
      </c>
      <c r="DC352" s="1223">
        <f>+DB354</f>
        <v>2750</v>
      </c>
      <c r="DD352" s="1223">
        <f>+DC354</f>
        <v>2750</v>
      </c>
      <c r="DE352" s="1326">
        <f>CZ354</f>
        <v>2750</v>
      </c>
      <c r="DF352" s="1223">
        <f>+DD354</f>
        <v>2750</v>
      </c>
      <c r="DG352" s="1223">
        <f>+DF354</f>
        <v>2750</v>
      </c>
      <c r="DH352" s="1223">
        <f>+DG354</f>
        <v>2750</v>
      </c>
      <c r="DI352" s="1223">
        <f>+DH354</f>
        <v>2750</v>
      </c>
      <c r="DJ352" s="1326">
        <f>DE354</f>
        <v>2750</v>
      </c>
      <c r="DK352" s="1223">
        <f>+DI354</f>
        <v>2750</v>
      </c>
      <c r="DL352" s="1223">
        <f>+DK354</f>
        <v>2750</v>
      </c>
      <c r="DM352" s="1223">
        <f>+DL354</f>
        <v>2750</v>
      </c>
      <c r="DN352" s="1223">
        <f>+DM354</f>
        <v>2750</v>
      </c>
      <c r="DO352" s="1326">
        <f>DJ354</f>
        <v>2750</v>
      </c>
      <c r="DP352" s="1223">
        <f>+DN354</f>
        <v>2750</v>
      </c>
      <c r="DQ352" s="1223">
        <f>+DP354</f>
        <v>2750</v>
      </c>
      <c r="DR352" s="1223">
        <f>+DQ354</f>
        <v>2750</v>
      </c>
      <c r="DS352" s="1223">
        <f>+DR354</f>
        <v>2750</v>
      </c>
      <c r="DT352" s="1326">
        <f>DO354</f>
        <v>2750</v>
      </c>
      <c r="DU352" s="1223">
        <f>+DS354</f>
        <v>2750</v>
      </c>
      <c r="DV352" s="1223">
        <f>+DU354</f>
        <v>2750</v>
      </c>
      <c r="DW352" s="1223">
        <f>+DV354</f>
        <v>2750</v>
      </c>
      <c r="DX352" s="1223">
        <f>+DW354</f>
        <v>2750</v>
      </c>
      <c r="DY352" s="1326">
        <f>DT354</f>
        <v>2750</v>
      </c>
    </row>
    <row r="353" spans="1:129" x14ac:dyDescent="0.2">
      <c r="A353" s="1223"/>
      <c r="B353" s="1190" t="s">
        <v>1153</v>
      </c>
      <c r="C353" s="1182"/>
      <c r="D353" s="1182"/>
      <c r="E353" s="1182"/>
      <c r="F353" s="1182"/>
      <c r="G353" s="1182"/>
      <c r="H353" s="1182"/>
      <c r="I353" s="1182"/>
      <c r="J353" s="1182"/>
      <c r="K353" s="1182"/>
      <c r="L353" s="1182"/>
      <c r="M353" s="1182"/>
      <c r="N353" s="1182"/>
      <c r="O353" s="1182"/>
      <c r="P353" s="1182"/>
      <c r="Q353" s="1182"/>
      <c r="R353" s="1182"/>
      <c r="S353" s="1182"/>
      <c r="T353" s="1182"/>
      <c r="U353" s="1182"/>
      <c r="V353" s="1182"/>
      <c r="W353" s="1182"/>
      <c r="X353" s="1296"/>
      <c r="Y353" s="1297"/>
      <c r="Z353" s="1297"/>
      <c r="AA353" s="1297"/>
      <c r="AB353" s="1297"/>
      <c r="AC353" s="1296"/>
      <c r="AD353" s="1297"/>
      <c r="AE353" s="1297"/>
      <c r="AF353" s="1297"/>
      <c r="AG353" s="1297"/>
      <c r="AH353" s="1296"/>
      <c r="AI353" s="1297"/>
      <c r="AJ353" s="1297"/>
      <c r="AK353" s="1297"/>
      <c r="AL353" s="1297"/>
      <c r="AM353" s="1296"/>
      <c r="AN353" s="1297"/>
      <c r="AO353" s="1297"/>
      <c r="AP353" s="1297"/>
      <c r="AQ353" s="1297"/>
      <c r="AR353" s="1296"/>
      <c r="AS353" s="1297"/>
      <c r="AT353" s="1297"/>
      <c r="AU353" s="1297"/>
      <c r="AV353" s="1297"/>
      <c r="AW353" s="1296"/>
      <c r="AX353" s="1298"/>
      <c r="AY353" s="1299"/>
      <c r="AZ353" s="1299"/>
      <c r="BA353" s="1298"/>
      <c r="BB353" s="1300"/>
      <c r="BC353" s="1298"/>
      <c r="BD353" s="1298"/>
      <c r="BE353" s="1298"/>
      <c r="BF353" s="1298"/>
      <c r="BG353" s="1296"/>
      <c r="BH353" s="1298"/>
      <c r="BI353" s="1298"/>
      <c r="BJ353" s="1298"/>
      <c r="BK353" s="1298"/>
      <c r="BL353" s="1335"/>
      <c r="BM353" s="1298"/>
      <c r="BN353" s="1298"/>
      <c r="BO353" s="1298"/>
      <c r="BP353" s="1298"/>
      <c r="BQ353" s="1335"/>
      <c r="BR353" s="1298"/>
      <c r="BS353" s="1298"/>
      <c r="BT353" s="1298"/>
      <c r="BU353" s="1298"/>
      <c r="BV353" s="1335"/>
      <c r="BW353" s="1298"/>
      <c r="BX353" s="1298"/>
      <c r="BY353" s="1298"/>
      <c r="BZ353" s="1298"/>
      <c r="CA353" s="1335"/>
      <c r="CB353" s="1336"/>
      <c r="CC353" s="1336"/>
      <c r="CD353" s="1298"/>
      <c r="CE353" s="1298"/>
      <c r="CF353" s="1335"/>
      <c r="CG353" s="1298"/>
      <c r="CH353" s="1298"/>
      <c r="CI353" s="1298"/>
      <c r="CJ353" s="1298"/>
      <c r="CK353" s="1335"/>
      <c r="CL353" s="1298"/>
      <c r="CM353" s="1298"/>
      <c r="CN353" s="1298"/>
      <c r="CO353" s="1298"/>
      <c r="CP353" s="1335"/>
      <c r="CQ353" s="1298"/>
      <c r="CR353" s="1298"/>
      <c r="CS353" s="1298"/>
      <c r="CT353" s="1298"/>
      <c r="CU353" s="1335"/>
      <c r="CV353" s="1298">
        <v>0</v>
      </c>
      <c r="CW353" s="1298">
        <v>0</v>
      </c>
      <c r="CX353" s="1298">
        <v>2750</v>
      </c>
      <c r="CY353" s="1298">
        <v>0</v>
      </c>
      <c r="CZ353" s="1335">
        <f>+SUM(CV353:CY353)</f>
        <v>2750</v>
      </c>
      <c r="DA353" s="1298">
        <v>0</v>
      </c>
      <c r="DB353" s="1298">
        <v>0</v>
      </c>
      <c r="DC353" s="1298">
        <v>0</v>
      </c>
      <c r="DD353" s="1298">
        <v>0</v>
      </c>
      <c r="DE353" s="1335">
        <f>+SUM(DA353:DD353)</f>
        <v>0</v>
      </c>
      <c r="DF353" s="1298">
        <v>0</v>
      </c>
      <c r="DG353" s="1298">
        <v>0</v>
      </c>
      <c r="DH353" s="1298">
        <v>0</v>
      </c>
      <c r="DI353" s="1298">
        <v>0</v>
      </c>
      <c r="DJ353" s="1335">
        <f>+SUM(DF353:DI353)</f>
        <v>0</v>
      </c>
      <c r="DK353" s="1298">
        <v>0</v>
      </c>
      <c r="DL353" s="1298">
        <v>0</v>
      </c>
      <c r="DM353" s="1298">
        <v>0</v>
      </c>
      <c r="DN353" s="1298">
        <v>0</v>
      </c>
      <c r="DO353" s="1335">
        <f>+SUM(DK353:DN353)</f>
        <v>0</v>
      </c>
      <c r="DP353" s="1298">
        <v>0</v>
      </c>
      <c r="DQ353" s="1298">
        <v>0</v>
      </c>
      <c r="DR353" s="1298">
        <v>0</v>
      </c>
      <c r="DS353" s="1298">
        <v>0</v>
      </c>
      <c r="DT353" s="1335">
        <f>+SUM(DP353:DS353)</f>
        <v>0</v>
      </c>
      <c r="DU353" s="1298">
        <v>0</v>
      </c>
      <c r="DV353" s="1298">
        <v>0</v>
      </c>
      <c r="DW353" s="1298">
        <v>0</v>
      </c>
      <c r="DX353" s="1298">
        <v>0</v>
      </c>
      <c r="DY353" s="1335">
        <f>+SUM(DU353:DX353)</f>
        <v>0</v>
      </c>
    </row>
    <row r="354" spans="1:129" x14ac:dyDescent="0.2">
      <c r="A354" s="1223"/>
      <c r="B354" s="1190" t="s">
        <v>1154</v>
      </c>
      <c r="C354" s="1182"/>
      <c r="D354" s="1182"/>
      <c r="E354" s="1182"/>
      <c r="F354" s="1182"/>
      <c r="G354" s="1182"/>
      <c r="H354" s="1182"/>
      <c r="I354" s="1182"/>
      <c r="J354" s="1182"/>
      <c r="K354" s="1182"/>
      <c r="L354" s="1182"/>
      <c r="M354" s="1182"/>
      <c r="N354" s="1182"/>
      <c r="O354" s="1182"/>
      <c r="P354" s="1182"/>
      <c r="Q354" s="1182"/>
      <c r="R354" s="1182"/>
      <c r="S354" s="1182"/>
      <c r="T354" s="1182"/>
      <c r="U354" s="1182"/>
      <c r="V354" s="1182"/>
      <c r="W354" s="1182"/>
      <c r="X354" s="1304"/>
      <c r="Y354" s="1305"/>
      <c r="Z354" s="1305"/>
      <c r="AA354" s="1305"/>
      <c r="AB354" s="1305"/>
      <c r="AC354" s="1304"/>
      <c r="AD354" s="1305"/>
      <c r="AE354" s="1305"/>
      <c r="AF354" s="1305"/>
      <c r="AG354" s="1305"/>
      <c r="AH354" s="1304"/>
      <c r="AI354" s="1305"/>
      <c r="AJ354" s="1305"/>
      <c r="AK354" s="1305"/>
      <c r="AL354" s="1305"/>
      <c r="AM354" s="1304"/>
      <c r="AN354" s="1305"/>
      <c r="AO354" s="1305"/>
      <c r="AP354" s="1305"/>
      <c r="AQ354" s="1305"/>
      <c r="AR354" s="1304"/>
      <c r="AS354" s="1305"/>
      <c r="AT354" s="1305"/>
      <c r="AU354" s="1305"/>
      <c r="AV354" s="1305"/>
      <c r="AW354" s="1304"/>
      <c r="AX354" s="1305"/>
      <c r="AY354" s="1305"/>
      <c r="AZ354" s="1305"/>
      <c r="BA354" s="1305"/>
      <c r="BB354" s="1304"/>
      <c r="BC354" s="1305"/>
      <c r="BD354" s="1305"/>
      <c r="BE354" s="1305"/>
      <c r="BF354" s="1305"/>
      <c r="BG354" s="1306"/>
      <c r="BH354" s="1305"/>
      <c r="BI354" s="1305"/>
      <c r="BJ354" s="1305"/>
      <c r="BK354" s="1305"/>
      <c r="BL354" s="1337"/>
      <c r="BM354" s="1305"/>
      <c r="BN354" s="1305"/>
      <c r="BO354" s="1305"/>
      <c r="BP354" s="1305"/>
      <c r="BQ354" s="1337"/>
      <c r="BR354" s="1305"/>
      <c r="BS354" s="1305"/>
      <c r="BT354" s="1305"/>
      <c r="BU354" s="1305"/>
      <c r="BV354" s="1337"/>
      <c r="BW354" s="1305"/>
      <c r="BX354" s="1305"/>
      <c r="BY354" s="1305"/>
      <c r="BZ354" s="1305"/>
      <c r="CA354" s="1337"/>
      <c r="CB354" s="1295"/>
      <c r="CC354" s="1224"/>
      <c r="CD354" s="1295"/>
      <c r="CE354" s="1295"/>
      <c r="CF354" s="1325"/>
      <c r="CG354" s="1295"/>
      <c r="CH354" s="1295"/>
      <c r="CI354" s="1295"/>
      <c r="CJ354" s="1295"/>
      <c r="CK354" s="1325"/>
      <c r="CL354" s="1295"/>
      <c r="CM354" s="1295"/>
      <c r="CN354" s="1295"/>
      <c r="CO354" s="1295"/>
      <c r="CP354" s="1325"/>
      <c r="CQ354" s="1295"/>
      <c r="CR354" s="1295"/>
      <c r="CS354" s="1295"/>
      <c r="CT354" s="1295"/>
      <c r="CU354" s="1325"/>
      <c r="CV354" s="1295">
        <f>CV352+CV353</f>
        <v>0</v>
      </c>
      <c r="CW354" s="1295">
        <f>CW352+CW353</f>
        <v>0</v>
      </c>
      <c r="CX354" s="1295">
        <f>CX352+CX353</f>
        <v>2750</v>
      </c>
      <c r="CY354" s="1295">
        <f>CY352+CY353</f>
        <v>2750</v>
      </c>
      <c r="CZ354" s="1325">
        <f t="shared" ref="CZ354:DJ354" si="220">CZ352+CZ353</f>
        <v>2750</v>
      </c>
      <c r="DA354" s="1295">
        <f t="shared" si="220"/>
        <v>2750</v>
      </c>
      <c r="DB354" s="1295">
        <f t="shared" si="220"/>
        <v>2750</v>
      </c>
      <c r="DC354" s="1295">
        <f t="shared" si="220"/>
        <v>2750</v>
      </c>
      <c r="DD354" s="1295">
        <f t="shared" si="220"/>
        <v>2750</v>
      </c>
      <c r="DE354" s="1325">
        <f t="shared" si="220"/>
        <v>2750</v>
      </c>
      <c r="DF354" s="1295">
        <f t="shared" si="220"/>
        <v>2750</v>
      </c>
      <c r="DG354" s="1295">
        <f t="shared" si="220"/>
        <v>2750</v>
      </c>
      <c r="DH354" s="1295">
        <f t="shared" si="220"/>
        <v>2750</v>
      </c>
      <c r="DI354" s="1295">
        <f t="shared" si="220"/>
        <v>2750</v>
      </c>
      <c r="DJ354" s="1325">
        <f t="shared" si="220"/>
        <v>2750</v>
      </c>
      <c r="DK354" s="1295">
        <f t="shared" ref="DK354:DT354" si="221">DK352+DK353</f>
        <v>2750</v>
      </c>
      <c r="DL354" s="1295">
        <f t="shared" si="221"/>
        <v>2750</v>
      </c>
      <c r="DM354" s="1295">
        <f t="shared" si="221"/>
        <v>2750</v>
      </c>
      <c r="DN354" s="1295">
        <f t="shared" si="221"/>
        <v>2750</v>
      </c>
      <c r="DO354" s="1325">
        <f t="shared" si="221"/>
        <v>2750</v>
      </c>
      <c r="DP354" s="1295">
        <f t="shared" si="221"/>
        <v>2750</v>
      </c>
      <c r="DQ354" s="1295">
        <f t="shared" si="221"/>
        <v>2750</v>
      </c>
      <c r="DR354" s="1295">
        <f t="shared" si="221"/>
        <v>2750</v>
      </c>
      <c r="DS354" s="1295">
        <f t="shared" si="221"/>
        <v>2750</v>
      </c>
      <c r="DT354" s="1325">
        <f t="shared" si="221"/>
        <v>2750</v>
      </c>
      <c r="DU354" s="1295">
        <f t="shared" ref="DU354:DY354" si="222">DU352+DU353</f>
        <v>2750</v>
      </c>
      <c r="DV354" s="1295">
        <f t="shared" si="222"/>
        <v>2750</v>
      </c>
      <c r="DW354" s="1295">
        <f t="shared" si="222"/>
        <v>2750</v>
      </c>
      <c r="DX354" s="1295">
        <f t="shared" si="222"/>
        <v>2750</v>
      </c>
      <c r="DY354" s="1325">
        <f t="shared" si="222"/>
        <v>2750</v>
      </c>
    </row>
    <row r="355" spans="1:129" x14ac:dyDescent="0.2">
      <c r="A355" s="1223"/>
      <c r="B355" s="1190" t="s">
        <v>1155</v>
      </c>
      <c r="C355" s="1182"/>
      <c r="D355" s="1182"/>
      <c r="E355" s="1182"/>
      <c r="F355" s="1182"/>
      <c r="G355" s="1182"/>
      <c r="H355" s="1182"/>
      <c r="I355" s="1182"/>
      <c r="J355" s="1182"/>
      <c r="K355" s="1182"/>
      <c r="L355" s="1182"/>
      <c r="M355" s="1182"/>
      <c r="N355" s="1182"/>
      <c r="O355" s="1182"/>
      <c r="P355" s="1182"/>
      <c r="Q355" s="1182"/>
      <c r="R355" s="1182"/>
      <c r="S355" s="1182"/>
      <c r="T355" s="1182"/>
      <c r="U355" s="1182"/>
      <c r="V355" s="1182"/>
      <c r="W355" s="1182"/>
      <c r="X355" s="1227"/>
      <c r="Y355" s="1231"/>
      <c r="Z355" s="1231"/>
      <c r="AA355" s="1231"/>
      <c r="AB355" s="1231"/>
      <c r="AC355" s="1227"/>
      <c r="AD355" s="1231"/>
      <c r="AE355" s="1231"/>
      <c r="AF355" s="1231"/>
      <c r="AG355" s="1231"/>
      <c r="AH355" s="1227"/>
      <c r="AI355" s="1231"/>
      <c r="AJ355" s="1231"/>
      <c r="AK355" s="1231"/>
      <c r="AL355" s="1231"/>
      <c r="AM355" s="1227"/>
      <c r="AN355" s="1231"/>
      <c r="AO355" s="1231"/>
      <c r="AP355" s="1231"/>
      <c r="AQ355" s="1231"/>
      <c r="AR355" s="1227"/>
      <c r="AS355" s="1231"/>
      <c r="AT355" s="1231"/>
      <c r="AU355" s="1231"/>
      <c r="AV355" s="1231"/>
      <c r="AW355" s="1227"/>
      <c r="AX355" s="1231"/>
      <c r="AY355" s="1231"/>
      <c r="AZ355" s="1231"/>
      <c r="BA355" s="1231"/>
      <c r="BB355" s="1227"/>
      <c r="BC355" s="1231"/>
      <c r="BD355" s="1231"/>
      <c r="BE355" s="1231"/>
      <c r="BF355" s="1231"/>
      <c r="BG355" s="1227"/>
      <c r="BH355" s="1231"/>
      <c r="BI355" s="1231"/>
      <c r="BJ355" s="1231"/>
      <c r="BK355" s="1231"/>
      <c r="BL355" s="1326"/>
      <c r="BM355" s="1231"/>
      <c r="BN355" s="1231"/>
      <c r="BO355" s="1231"/>
      <c r="BP355" s="1231"/>
      <c r="BQ355" s="1326"/>
      <c r="BR355" s="1231"/>
      <c r="BS355" s="1231"/>
      <c r="BT355" s="1231"/>
      <c r="BU355" s="1231"/>
      <c r="BV355" s="1326"/>
      <c r="BW355" s="1231"/>
      <c r="BX355" s="1231"/>
      <c r="BY355" s="1231"/>
      <c r="BZ355" s="1231"/>
      <c r="CA355" s="1326"/>
      <c r="CB355" s="1231"/>
      <c r="CC355" s="1231"/>
      <c r="CD355" s="1231"/>
      <c r="CE355" s="1231"/>
      <c r="CF355" s="1326"/>
      <c r="CG355" s="1231"/>
      <c r="CH355" s="1231"/>
      <c r="CI355" s="1231"/>
      <c r="CJ355" s="1231"/>
      <c r="CK355" s="1326"/>
      <c r="CL355" s="1231"/>
      <c r="CM355" s="1231"/>
      <c r="CN355" s="1231"/>
      <c r="CO355" s="1231"/>
      <c r="CP355" s="1326"/>
      <c r="CQ355" s="1231"/>
      <c r="CR355" s="1231"/>
      <c r="CS355" s="1231"/>
      <c r="CT355" s="1231"/>
      <c r="CU355" s="1326"/>
      <c r="CV355" s="1231"/>
      <c r="CW355" s="1231"/>
      <c r="CX355" s="1231"/>
      <c r="CY355" s="1231"/>
      <c r="CZ355" s="1326"/>
      <c r="DA355" s="1231"/>
      <c r="DB355" s="1231"/>
      <c r="DC355" s="1231"/>
      <c r="DD355" s="1231"/>
      <c r="DE355" s="1326"/>
      <c r="DF355" s="1231"/>
      <c r="DG355" s="1231"/>
      <c r="DH355" s="1231"/>
      <c r="DI355" s="1231"/>
      <c r="DJ355" s="1326"/>
      <c r="DK355" s="1231"/>
      <c r="DL355" s="1231"/>
      <c r="DM355" s="1231"/>
      <c r="DN355" s="1231"/>
      <c r="DO355" s="1326"/>
      <c r="DP355" s="1231"/>
      <c r="DQ355" s="1231"/>
      <c r="DR355" s="1231"/>
      <c r="DS355" s="1231"/>
      <c r="DT355" s="1326"/>
      <c r="DU355" s="1231"/>
      <c r="DV355" s="1231"/>
      <c r="DW355" s="1231"/>
      <c r="DX355" s="1231"/>
      <c r="DY355" s="1326"/>
    </row>
    <row r="356" spans="1:129" x14ac:dyDescent="0.2">
      <c r="A356" s="1223"/>
      <c r="B356" s="1190" t="s">
        <v>1156</v>
      </c>
      <c r="C356" s="1182"/>
      <c r="D356" s="1182"/>
      <c r="E356" s="1182"/>
      <c r="F356" s="1182"/>
      <c r="G356" s="1182"/>
      <c r="H356" s="1182"/>
      <c r="I356" s="1182"/>
      <c r="J356" s="1182"/>
      <c r="K356" s="1182"/>
      <c r="L356" s="1182"/>
      <c r="M356" s="1182"/>
      <c r="N356" s="1182"/>
      <c r="O356" s="1182"/>
      <c r="P356" s="1182"/>
      <c r="Q356" s="1182"/>
      <c r="R356" s="1182"/>
      <c r="S356" s="1182"/>
      <c r="T356" s="1182"/>
      <c r="U356" s="1182"/>
      <c r="V356" s="1182"/>
      <c r="W356" s="1182"/>
      <c r="X356" s="1227"/>
      <c r="Y356" s="1231"/>
      <c r="Z356" s="1231"/>
      <c r="AA356" s="1231"/>
      <c r="AB356" s="1231"/>
      <c r="AC356" s="1227"/>
      <c r="AD356" s="1231"/>
      <c r="AE356" s="1231"/>
      <c r="AF356" s="1231"/>
      <c r="AG356" s="1231"/>
      <c r="AH356" s="1227"/>
      <c r="AI356" s="1231"/>
      <c r="AJ356" s="1231"/>
      <c r="AK356" s="1231"/>
      <c r="AL356" s="1231"/>
      <c r="AM356" s="1227"/>
      <c r="AN356" s="1231"/>
      <c r="AO356" s="1231"/>
      <c r="AP356" s="1231"/>
      <c r="AQ356" s="1231"/>
      <c r="AR356" s="1227"/>
      <c r="AS356" s="1231"/>
      <c r="AT356" s="1231"/>
      <c r="AU356" s="1231"/>
      <c r="AV356" s="1231"/>
      <c r="AW356" s="1227"/>
      <c r="AX356" s="1231"/>
      <c r="AY356" s="1231"/>
      <c r="AZ356" s="1231"/>
      <c r="BA356" s="1231"/>
      <c r="BB356" s="1227"/>
      <c r="BC356" s="1231"/>
      <c r="BD356" s="1231"/>
      <c r="BE356" s="1231"/>
      <c r="BF356" s="1231"/>
      <c r="BG356" s="1227"/>
      <c r="BH356" s="1231"/>
      <c r="BI356" s="1231"/>
      <c r="BJ356" s="1231"/>
      <c r="BK356" s="1231"/>
      <c r="BL356" s="1326"/>
      <c r="BM356" s="1231"/>
      <c r="BN356" s="1231"/>
      <c r="BO356" s="1231"/>
      <c r="BP356" s="1231"/>
      <c r="BQ356" s="1326"/>
      <c r="BR356" s="1231"/>
      <c r="BS356" s="1231"/>
      <c r="BT356" s="1231"/>
      <c r="BU356" s="1231"/>
      <c r="BV356" s="1326"/>
      <c r="BW356" s="1231"/>
      <c r="BX356" s="1231"/>
      <c r="BY356" s="1231"/>
      <c r="BZ356" s="1231"/>
      <c r="CA356" s="1326"/>
      <c r="CB356" s="1223"/>
      <c r="CC356" s="1223"/>
      <c r="CD356" s="1223"/>
      <c r="CE356" s="1223"/>
      <c r="CF356" s="1326"/>
      <c r="CG356" s="1223"/>
      <c r="CH356" s="1223"/>
      <c r="CI356" s="1223"/>
      <c r="CJ356" s="1223"/>
      <c r="CK356" s="1326"/>
      <c r="CL356" s="1223"/>
      <c r="CM356" s="1223"/>
      <c r="CN356" s="1223"/>
      <c r="CO356" s="1223"/>
      <c r="CP356" s="1326"/>
      <c r="CQ356" s="1223"/>
      <c r="CR356" s="1223"/>
      <c r="CS356" s="1223"/>
      <c r="CT356" s="1223"/>
      <c r="CU356" s="1326"/>
      <c r="CV356" s="1223">
        <f>-(AVERAGE(CV354,CV352))*(CV350/4)</f>
        <v>0</v>
      </c>
      <c r="CW356" s="1223">
        <f>-(AVERAGE(CW354,CW352))*(CW350/4)</f>
        <v>0</v>
      </c>
      <c r="CX356" s="1223">
        <f>-CX354*(CX350/4)</f>
        <v>-19.25</v>
      </c>
      <c r="CY356" s="1223">
        <f>-(AVERAGE(CY354,CY352))*(CY350/4)</f>
        <v>-19.25</v>
      </c>
      <c r="CZ356" s="1326">
        <f>SUM(CV356:CY356)</f>
        <v>-38.5</v>
      </c>
      <c r="DA356" s="1223">
        <f>-(AVERAGE(DA354,DA352))*(DA350/4)</f>
        <v>-19.25</v>
      </c>
      <c r="DB356" s="1223">
        <f>-(AVERAGE(DB354,DB352))*(DB350/4)</f>
        <v>-19.25</v>
      </c>
      <c r="DC356" s="1223">
        <f>-(AVERAGE(DC354,DC352))*(DC350/4)</f>
        <v>-19.25</v>
      </c>
      <c r="DD356" s="1223">
        <f>-(AVERAGE(DD354,DD352))*(DD350/4)</f>
        <v>-19.25</v>
      </c>
      <c r="DE356" s="1326">
        <f>SUM(DA356:DD356)</f>
        <v>-77</v>
      </c>
      <c r="DF356" s="1223">
        <f>-(AVERAGE(DF354,DF352))*(DF350/4)</f>
        <v>-19.25</v>
      </c>
      <c r="DG356" s="1223">
        <f>-(AVERAGE(DG354,DG352))*(DG350/4)</f>
        <v>-19.25</v>
      </c>
      <c r="DH356" s="1223">
        <f>-(AVERAGE(DH354,DH352))*(DH350/4)</f>
        <v>-19.25</v>
      </c>
      <c r="DI356" s="1223">
        <f>-(AVERAGE(DI354,DI352))*(DI350/4)</f>
        <v>-19.25</v>
      </c>
      <c r="DJ356" s="1326">
        <f>SUM(DF356:DI356)</f>
        <v>-77</v>
      </c>
      <c r="DK356" s="1223">
        <f>-(AVERAGE(DK354,DK352))*(DK350/4)</f>
        <v>-19.25</v>
      </c>
      <c r="DL356" s="1223">
        <f>-(AVERAGE(DL354,DL352))*(DL350/4)</f>
        <v>-19.25</v>
      </c>
      <c r="DM356" s="1223">
        <f>-(AVERAGE(DM354,DM352))*(DM350/4)</f>
        <v>-19.25</v>
      </c>
      <c r="DN356" s="1223">
        <f>-(AVERAGE(DN354,DN352))*(DN350/4)</f>
        <v>-19.25</v>
      </c>
      <c r="DO356" s="1326">
        <f>SUM(DK356:DN356)</f>
        <v>-77</v>
      </c>
      <c r="DP356" s="1223">
        <f>-(AVERAGE(DP354,DP352))*(DP350/4)</f>
        <v>-19.25</v>
      </c>
      <c r="DQ356" s="1223">
        <f>-(AVERAGE(DQ354,DQ352))*(DQ350/4)</f>
        <v>-19.25</v>
      </c>
      <c r="DR356" s="1223">
        <f>-(AVERAGE(DR354,DR352))*(DR350/4)</f>
        <v>-19.25</v>
      </c>
      <c r="DS356" s="1223">
        <f>-(AVERAGE(DS354,DS352))*(DS350/4)</f>
        <v>-19.25</v>
      </c>
      <c r="DT356" s="1326">
        <f>SUM(DP356:DS356)</f>
        <v>-77</v>
      </c>
      <c r="DU356" s="1223">
        <f>-(AVERAGE(DU354,DU352))*(DU350/4)</f>
        <v>-19.25</v>
      </c>
      <c r="DV356" s="1223">
        <f>-(AVERAGE(DV354,DV352))*(DV350/4)</f>
        <v>-19.25</v>
      </c>
      <c r="DW356" s="1223">
        <f>-(AVERAGE(DW354,DW352))*(DW350/4)</f>
        <v>-19.25</v>
      </c>
      <c r="DX356" s="1223">
        <f>-(AVERAGE(DX354,DX352))*(DX350/4)</f>
        <v>-19.25</v>
      </c>
      <c r="DY356" s="1326">
        <f>SUM(DU356:DX356)</f>
        <v>-77</v>
      </c>
    </row>
    <row r="357" spans="1:129" ht="12" thickBot="1" x14ac:dyDescent="0.25">
      <c r="A357" s="1223"/>
      <c r="B357" s="1250" t="s">
        <v>1157</v>
      </c>
      <c r="C357" s="1251"/>
      <c r="D357" s="1251"/>
      <c r="E357" s="1251"/>
      <c r="F357" s="1251"/>
      <c r="G357" s="1251"/>
      <c r="H357" s="1251"/>
      <c r="I357" s="1251"/>
      <c r="J357" s="1251"/>
      <c r="K357" s="1251"/>
      <c r="L357" s="1251"/>
      <c r="M357" s="1251"/>
      <c r="N357" s="1251"/>
      <c r="O357" s="1251"/>
      <c r="P357" s="1251"/>
      <c r="Q357" s="1251"/>
      <c r="R357" s="1251"/>
      <c r="S357" s="1251"/>
      <c r="T357" s="1251"/>
      <c r="U357" s="1251"/>
      <c r="V357" s="1251"/>
      <c r="W357" s="1251"/>
      <c r="X357" s="1252"/>
      <c r="Y357" s="1251"/>
      <c r="Z357" s="1251"/>
      <c r="AA357" s="1251"/>
      <c r="AB357" s="1251"/>
      <c r="AC357" s="1252"/>
      <c r="AD357" s="1251"/>
      <c r="AE357" s="1251"/>
      <c r="AF357" s="1251"/>
      <c r="AG357" s="1251"/>
      <c r="AH357" s="1252"/>
      <c r="AI357" s="1251"/>
      <c r="AJ357" s="1251"/>
      <c r="AK357" s="1251"/>
      <c r="AL357" s="1251"/>
      <c r="AM357" s="1252"/>
      <c r="AN357" s="1251"/>
      <c r="AO357" s="1251"/>
      <c r="AP357" s="1251"/>
      <c r="AQ357" s="1253"/>
      <c r="AR357" s="1252"/>
      <c r="AS357" s="1253"/>
      <c r="AT357" s="1253"/>
      <c r="AU357" s="1253"/>
      <c r="AV357" s="1253"/>
      <c r="AW357" s="1252"/>
      <c r="AX357" s="1253"/>
      <c r="AY357" s="1253"/>
      <c r="AZ357" s="1253"/>
      <c r="BA357" s="1253"/>
      <c r="BB357" s="1252"/>
      <c r="BC357" s="1253"/>
      <c r="BD357" s="1253"/>
      <c r="BE357" s="1253"/>
      <c r="BF357" s="1253"/>
      <c r="BG357" s="1252"/>
      <c r="BH357" s="1253"/>
      <c r="BI357" s="1253"/>
      <c r="BJ357" s="1253"/>
      <c r="BK357" s="1253"/>
      <c r="BL357" s="1327"/>
      <c r="BM357" s="1253"/>
      <c r="BN357" s="1253"/>
      <c r="BO357" s="1253"/>
      <c r="BP357" s="1253"/>
      <c r="BQ357" s="1327"/>
      <c r="BR357" s="1253"/>
      <c r="BS357" s="1253"/>
      <c r="BT357" s="1253"/>
      <c r="BU357" s="1253"/>
      <c r="BV357" s="1327"/>
      <c r="BW357" s="1253"/>
      <c r="BX357" s="1253"/>
      <c r="BY357" s="1253"/>
      <c r="BZ357" s="1253"/>
      <c r="CA357" s="1327"/>
      <c r="CB357" s="1253">
        <f>-CB349*CB355/4</f>
        <v>0</v>
      </c>
      <c r="CC357" s="1253">
        <f>-CC349*CC355/4</f>
        <v>0</v>
      </c>
      <c r="CD357" s="1253">
        <f>-CD349*CD355/4</f>
        <v>0</v>
      </c>
      <c r="CE357" s="1253">
        <f>-CE349*CE355/4</f>
        <v>0</v>
      </c>
      <c r="CF357" s="1327"/>
      <c r="CG357" s="1253">
        <f>-CG349*CG355/4</f>
        <v>0</v>
      </c>
      <c r="CH357" s="1253">
        <f>-CH349*CH355/4</f>
        <v>0</v>
      </c>
      <c r="CI357" s="1253">
        <f>-CI349*CI355/4</f>
        <v>0</v>
      </c>
      <c r="CJ357" s="1253">
        <f>-CJ349*CJ355/4</f>
        <v>0</v>
      </c>
      <c r="CK357" s="1327"/>
      <c r="CL357" s="1253">
        <f>-CL349*CL355/4</f>
        <v>0</v>
      </c>
      <c r="CM357" s="1253">
        <f>-CM349*CM355/4</f>
        <v>0</v>
      </c>
      <c r="CN357" s="1253">
        <f>-CN349*CN355/4</f>
        <v>0</v>
      </c>
      <c r="CO357" s="1253">
        <f>-CO349*CO355/4</f>
        <v>0</v>
      </c>
      <c r="CP357" s="1327"/>
      <c r="CQ357" s="1253">
        <f>-CQ349*CQ355/4</f>
        <v>0</v>
      </c>
      <c r="CR357" s="1253">
        <f>-CR349*CR355/4</f>
        <v>0</v>
      </c>
      <c r="CS357" s="1253">
        <f>-CS349*CS355/4</f>
        <v>0</v>
      </c>
      <c r="CT357" s="1253">
        <f>-CT349*CT355/4</f>
        <v>0</v>
      </c>
      <c r="CU357" s="1327"/>
      <c r="CV357" s="1253">
        <f>-CV349*CV355/4</f>
        <v>0</v>
      </c>
      <c r="CW357" s="1253">
        <f>-CW349*CW355/4</f>
        <v>0</v>
      </c>
      <c r="CX357" s="1253">
        <f>-CX349*CX355/4</f>
        <v>0</v>
      </c>
      <c r="CY357" s="1253">
        <f>-CY349*CY355/4</f>
        <v>0</v>
      </c>
      <c r="CZ357" s="1327"/>
      <c r="DA357" s="1253">
        <f>-DA349*DA355/4</f>
        <v>0</v>
      </c>
      <c r="DB357" s="1253">
        <f>-DB349*DB355/4</f>
        <v>0</v>
      </c>
      <c r="DC357" s="1253">
        <f>-DC349*DC355/4</f>
        <v>0</v>
      </c>
      <c r="DD357" s="1253">
        <f>-DD349*DD355/4</f>
        <v>0</v>
      </c>
      <c r="DE357" s="1327"/>
      <c r="DF357" s="1253">
        <f>-DF349*DF355/4</f>
        <v>0</v>
      </c>
      <c r="DG357" s="1253">
        <f>-DG349*DG355/4</f>
        <v>0</v>
      </c>
      <c r="DH357" s="1253">
        <f>-DH349*DH355/4</f>
        <v>0</v>
      </c>
      <c r="DI357" s="1253">
        <f>-DI349*DI355/4</f>
        <v>0</v>
      </c>
      <c r="DJ357" s="1327"/>
      <c r="DK357" s="1253">
        <f>-DK349*DK355/4</f>
        <v>0</v>
      </c>
      <c r="DL357" s="1253">
        <f>-DL349*DL355/4</f>
        <v>0</v>
      </c>
      <c r="DM357" s="1253">
        <f>-DM349*DM355/4</f>
        <v>0</v>
      </c>
      <c r="DN357" s="1253">
        <f>-DN349*DN355/4</f>
        <v>0</v>
      </c>
      <c r="DO357" s="1327"/>
      <c r="DP357" s="1253">
        <f>-DP349*DP355/4</f>
        <v>0</v>
      </c>
      <c r="DQ357" s="1253">
        <f>-DQ349*DQ355/4</f>
        <v>0</v>
      </c>
      <c r="DR357" s="1253">
        <f>-DR349*DR355/4</f>
        <v>0</v>
      </c>
      <c r="DS357" s="1253">
        <f>-DS349*DS355/4</f>
        <v>0</v>
      </c>
      <c r="DT357" s="1327"/>
      <c r="DU357" s="1253">
        <f>-DU349*DU355/4</f>
        <v>0</v>
      </c>
      <c r="DV357" s="1253">
        <f>-DV349*DV355/4</f>
        <v>0</v>
      </c>
      <c r="DW357" s="1253">
        <f>-DW349*DW355/4</f>
        <v>0</v>
      </c>
      <c r="DX357" s="1253">
        <f>-DX349*DX355/4</f>
        <v>0</v>
      </c>
      <c r="DY357" s="1327"/>
    </row>
    <row r="358" spans="1:129" ht="12" thickBot="1" x14ac:dyDescent="0.25">
      <c r="A358" s="1223"/>
      <c r="B358" s="1231"/>
      <c r="C358" s="1182"/>
      <c r="D358" s="1182"/>
      <c r="E358" s="1182"/>
      <c r="F358" s="1182"/>
      <c r="G358" s="1182"/>
      <c r="H358" s="1182"/>
      <c r="I358" s="1182"/>
      <c r="J358" s="1182"/>
      <c r="K358" s="1182"/>
      <c r="L358" s="1182"/>
      <c r="M358" s="1182"/>
      <c r="N358" s="1182"/>
      <c r="O358" s="1182"/>
      <c r="P358" s="1182"/>
      <c r="Q358" s="1182"/>
      <c r="R358" s="1182"/>
      <c r="S358" s="1182"/>
      <c r="T358" s="1182"/>
      <c r="U358" s="1182"/>
      <c r="V358" s="1182"/>
      <c r="W358" s="1182"/>
      <c r="X358" s="1231"/>
      <c r="Y358" s="1182"/>
      <c r="Z358" s="1182"/>
      <c r="AA358" s="1182"/>
      <c r="AB358" s="1182"/>
      <c r="AC358" s="1231"/>
      <c r="AD358" s="1182"/>
      <c r="AE358" s="1182"/>
      <c r="AF358" s="1182"/>
      <c r="AG358" s="1182"/>
      <c r="AH358" s="1231"/>
      <c r="AI358" s="1182"/>
      <c r="AJ358" s="1182"/>
      <c r="AK358" s="1182"/>
      <c r="AL358" s="1182"/>
      <c r="AM358" s="1231"/>
      <c r="AN358" s="1182"/>
      <c r="AO358" s="1182"/>
      <c r="AP358" s="1182"/>
      <c r="AQ358" s="1231"/>
      <c r="AR358" s="1231"/>
      <c r="AS358" s="1231"/>
      <c r="AT358" s="1231"/>
      <c r="AU358" s="1231"/>
      <c r="AV358" s="1231"/>
      <c r="AW358" s="1231"/>
      <c r="AX358" s="1231"/>
      <c r="AY358" s="1231"/>
      <c r="AZ358" s="1231"/>
      <c r="BA358" s="1231"/>
      <c r="BB358" s="1231"/>
      <c r="BC358" s="1231"/>
      <c r="BD358" s="1231"/>
      <c r="BE358" s="1231"/>
      <c r="BF358" s="1231"/>
      <c r="BG358" s="1231"/>
      <c r="BH358" s="1231"/>
      <c r="BI358" s="1231"/>
      <c r="BJ358" s="1231"/>
      <c r="BK358" s="1231"/>
      <c r="BL358" s="1231"/>
      <c r="BM358" s="1231"/>
      <c r="BN358" s="1231"/>
      <c r="BO358" s="1231"/>
      <c r="BP358" s="1231"/>
      <c r="BQ358" s="1231"/>
      <c r="BR358" s="1231"/>
      <c r="BS358" s="1231"/>
      <c r="BT358" s="1231"/>
      <c r="BU358" s="1231"/>
      <c r="BV358" s="1231"/>
      <c r="BW358" s="1231"/>
      <c r="BX358" s="1231"/>
      <c r="BY358" s="1231"/>
      <c r="BZ358" s="1231"/>
      <c r="CA358" s="1231"/>
      <c r="CB358" s="1231"/>
      <c r="CC358" s="1231"/>
      <c r="CD358" s="1231"/>
      <c r="CE358" s="1231"/>
      <c r="CF358" s="1231"/>
      <c r="CG358" s="1231"/>
      <c r="CH358" s="1231"/>
      <c r="CI358" s="1231"/>
      <c r="CJ358" s="1231"/>
      <c r="CK358" s="1231"/>
      <c r="CL358" s="1231"/>
      <c r="CM358" s="1231"/>
      <c r="CN358" s="1231"/>
      <c r="CO358" s="1231"/>
      <c r="CP358" s="1231"/>
      <c r="CQ358" s="1231"/>
      <c r="CR358" s="1231"/>
      <c r="CS358" s="1231"/>
      <c r="CT358" s="1231"/>
      <c r="CU358" s="1231"/>
      <c r="CV358" s="1231"/>
      <c r="CW358" s="1231"/>
      <c r="CX358" s="1231"/>
      <c r="CY358" s="1231"/>
      <c r="CZ358" s="1231"/>
      <c r="DA358" s="1231"/>
      <c r="DB358" s="1231"/>
      <c r="DC358" s="1231"/>
      <c r="DD358" s="1231"/>
      <c r="DE358" s="1231"/>
      <c r="DF358" s="1231"/>
      <c r="DG358" s="1231"/>
      <c r="DH358" s="1231"/>
      <c r="DI358" s="1231"/>
      <c r="DJ358" s="1231"/>
      <c r="DK358" s="1231"/>
      <c r="DL358" s="1231"/>
      <c r="DM358" s="1231"/>
      <c r="DN358" s="1231"/>
      <c r="DO358" s="1231"/>
      <c r="DP358" s="1231"/>
      <c r="DQ358" s="1231"/>
      <c r="DR358" s="1231"/>
      <c r="DS358" s="1231"/>
      <c r="DT358" s="1231"/>
      <c r="DU358" s="1231"/>
      <c r="DV358" s="1231"/>
      <c r="DW358" s="1231"/>
      <c r="DX358" s="1231"/>
      <c r="DY358" s="1231"/>
    </row>
    <row r="359" spans="1:129" ht="12" thickBot="1" x14ac:dyDescent="0.25">
      <c r="A359" s="1223"/>
      <c r="B359" s="1282" t="s">
        <v>1369</v>
      </c>
      <c r="C359" s="1328"/>
      <c r="D359" s="1329"/>
      <c r="E359" s="1329"/>
      <c r="F359" s="1329"/>
      <c r="G359" s="1329"/>
      <c r="H359" s="1329"/>
      <c r="I359" s="1329"/>
      <c r="J359" s="1329"/>
      <c r="K359" s="1329"/>
      <c r="L359" s="1329"/>
      <c r="M359" s="1329"/>
      <c r="N359" s="1329"/>
      <c r="O359" s="1329"/>
      <c r="P359" s="1329"/>
      <c r="Q359" s="1329"/>
      <c r="R359" s="1329"/>
      <c r="S359" s="1329"/>
      <c r="T359" s="1329"/>
      <c r="U359" s="1329"/>
      <c r="V359" s="1329"/>
      <c r="W359" s="1329"/>
      <c r="X359" s="1328"/>
      <c r="Y359" s="1328"/>
      <c r="Z359" s="1328"/>
      <c r="AA359" s="1328"/>
      <c r="AB359" s="1328"/>
      <c r="AC359" s="1328"/>
      <c r="AD359" s="1328"/>
      <c r="AE359" s="1328"/>
      <c r="AF359" s="1328"/>
      <c r="AG359" s="1328"/>
      <c r="AH359" s="1328"/>
      <c r="AI359" s="1328"/>
      <c r="AJ359" s="1328"/>
      <c r="AK359" s="1328"/>
      <c r="AL359" s="1328"/>
      <c r="AM359" s="1328"/>
      <c r="AN359" s="1328"/>
      <c r="AO359" s="1328"/>
      <c r="AP359" s="1328"/>
      <c r="AQ359" s="1330"/>
      <c r="AR359" s="1330"/>
      <c r="AS359" s="1330"/>
      <c r="AT359" s="1331"/>
      <c r="AU359" s="1331"/>
      <c r="AV359" s="1331"/>
      <c r="AW359" s="1330"/>
      <c r="AX359" s="1330"/>
      <c r="AY359" s="1330"/>
      <c r="AZ359" s="1330"/>
      <c r="BA359" s="1330"/>
      <c r="BB359" s="1330"/>
      <c r="BC359" s="1330"/>
      <c r="BD359" s="1330"/>
      <c r="BE359" s="1330"/>
      <c r="BF359" s="1330"/>
      <c r="BG359" s="1330"/>
      <c r="BH359" s="1330"/>
      <c r="BI359" s="1330"/>
      <c r="BJ359" s="1330"/>
      <c r="BK359" s="1330"/>
      <c r="BL359" s="1332"/>
      <c r="BM359" s="1330"/>
      <c r="BN359" s="1330"/>
      <c r="BO359" s="1330"/>
      <c r="BP359" s="1330"/>
      <c r="BQ359" s="1332"/>
      <c r="BR359" s="1330"/>
      <c r="BS359" s="1330"/>
      <c r="BT359" s="1330"/>
      <c r="BU359" s="1330"/>
      <c r="BV359" s="1332"/>
      <c r="BW359" s="1330"/>
      <c r="BX359" s="1330"/>
      <c r="BY359" s="1330"/>
      <c r="BZ359" s="1330"/>
      <c r="CA359" s="1332"/>
      <c r="CB359" s="1330"/>
      <c r="CC359" s="1330"/>
      <c r="CD359" s="1330"/>
      <c r="CE359" s="1330"/>
      <c r="CF359" s="1332"/>
      <c r="CG359" s="1330"/>
      <c r="CH359" s="1330"/>
      <c r="CI359" s="1330"/>
      <c r="CJ359" s="1330"/>
      <c r="CK359" s="1332"/>
      <c r="CL359" s="1330"/>
      <c r="CM359" s="1330"/>
      <c r="CN359" s="1330"/>
      <c r="CO359" s="1330"/>
      <c r="CP359" s="1332"/>
      <c r="CQ359" s="1330"/>
      <c r="CR359" s="1330"/>
      <c r="CS359" s="1330"/>
      <c r="CT359" s="1330"/>
      <c r="CU359" s="1332"/>
      <c r="CV359" s="1330"/>
      <c r="CW359" s="1330"/>
      <c r="CX359" s="1330"/>
      <c r="CY359" s="1330"/>
      <c r="CZ359" s="1332"/>
      <c r="DA359" s="1330"/>
      <c r="DB359" s="1330"/>
      <c r="DC359" s="1330"/>
      <c r="DD359" s="1330"/>
      <c r="DE359" s="1332"/>
      <c r="DF359" s="1330"/>
      <c r="DG359" s="1330"/>
      <c r="DH359" s="1330"/>
      <c r="DI359" s="1330"/>
      <c r="DJ359" s="1332"/>
      <c r="DK359" s="1330"/>
      <c r="DL359" s="1330"/>
      <c r="DM359" s="1330"/>
      <c r="DN359" s="1330"/>
      <c r="DO359" s="1332"/>
      <c r="DP359" s="1330"/>
      <c r="DQ359" s="1330"/>
      <c r="DR359" s="1330"/>
      <c r="DS359" s="1330"/>
      <c r="DT359" s="1332"/>
      <c r="DU359" s="1330"/>
      <c r="DV359" s="1330"/>
      <c r="DW359" s="1330"/>
      <c r="DX359" s="1330"/>
      <c r="DY359" s="1332"/>
    </row>
    <row r="360" spans="1:129" x14ac:dyDescent="0.2">
      <c r="A360" s="1223"/>
      <c r="B360" s="1287" t="s">
        <v>1149</v>
      </c>
      <c r="C360" s="650"/>
      <c r="D360" s="650"/>
      <c r="E360" s="650"/>
      <c r="F360" s="650"/>
      <c r="G360" s="650"/>
      <c r="H360" s="650"/>
      <c r="I360" s="650"/>
      <c r="J360" s="650"/>
      <c r="K360" s="650"/>
      <c r="L360" s="650"/>
      <c r="M360" s="650"/>
      <c r="N360" s="650"/>
      <c r="O360" s="650"/>
      <c r="P360" s="650"/>
      <c r="Q360" s="650"/>
      <c r="R360" s="650"/>
      <c r="S360" s="650"/>
      <c r="T360" s="650"/>
      <c r="U360" s="650"/>
      <c r="V360" s="650"/>
      <c r="W360" s="650"/>
      <c r="X360" s="1288"/>
      <c r="Y360" s="650"/>
      <c r="Z360" s="650"/>
      <c r="AA360" s="650"/>
      <c r="AB360" s="650"/>
      <c r="AC360" s="1288"/>
      <c r="AD360" s="650"/>
      <c r="AE360" s="650"/>
      <c r="AF360" s="650"/>
      <c r="AG360" s="650"/>
      <c r="AH360" s="1288"/>
      <c r="AI360" s="650"/>
      <c r="AJ360" s="650"/>
      <c r="AK360" s="650"/>
      <c r="AL360" s="650"/>
      <c r="AM360" s="1288"/>
      <c r="AN360" s="650"/>
      <c r="AO360" s="650"/>
      <c r="AP360" s="650"/>
      <c r="AQ360" s="650"/>
      <c r="AR360" s="1288"/>
      <c r="AS360" s="650"/>
      <c r="AT360" s="650"/>
      <c r="AU360" s="650"/>
      <c r="AV360" s="650"/>
      <c r="AW360" s="1288"/>
      <c r="AX360" s="650"/>
      <c r="AY360" s="650"/>
      <c r="AZ360" s="650"/>
      <c r="BA360" s="650"/>
      <c r="BB360" s="1288"/>
      <c r="BC360" s="650"/>
      <c r="BD360" s="650"/>
      <c r="BE360" s="650"/>
      <c r="BF360" s="650"/>
      <c r="BG360" s="1288"/>
      <c r="BH360" s="650"/>
      <c r="BI360" s="650"/>
      <c r="BJ360" s="650"/>
      <c r="BK360" s="650"/>
      <c r="BL360" s="583"/>
      <c r="BM360" s="650"/>
      <c r="BN360" s="650"/>
      <c r="BO360" s="650"/>
      <c r="BP360" s="650"/>
      <c r="BQ360" s="583"/>
      <c r="BR360" s="650"/>
      <c r="BS360" s="650"/>
      <c r="BT360" s="650"/>
      <c r="BU360" s="650"/>
      <c r="BV360" s="583"/>
      <c r="BW360" s="650"/>
      <c r="BX360" s="650"/>
      <c r="BY360" s="650"/>
      <c r="BZ360" s="650"/>
      <c r="CA360" s="583"/>
      <c r="CB360" s="650"/>
      <c r="CC360" s="650"/>
      <c r="CD360" s="650"/>
      <c r="CE360" s="650"/>
      <c r="CF360" s="583"/>
      <c r="CG360" s="650"/>
      <c r="CH360" s="650"/>
      <c r="CI360" s="650"/>
      <c r="CJ360" s="650"/>
      <c r="CK360" s="583"/>
      <c r="CL360" s="650"/>
      <c r="CM360" s="650"/>
      <c r="CN360" s="650"/>
      <c r="CO360" s="650"/>
      <c r="CP360" s="583"/>
      <c r="CQ360" s="650"/>
      <c r="CR360" s="650"/>
      <c r="CS360" s="650"/>
      <c r="CT360" s="650"/>
      <c r="CU360" s="583"/>
      <c r="CV360" s="650"/>
      <c r="CW360" s="650"/>
      <c r="CX360" s="650"/>
      <c r="CY360" s="650"/>
      <c r="CZ360" s="583"/>
      <c r="DA360" s="650"/>
      <c r="DB360" s="650"/>
      <c r="DC360" s="650"/>
      <c r="DD360" s="650"/>
      <c r="DE360" s="583"/>
      <c r="DF360" s="650"/>
      <c r="DG360" s="650"/>
      <c r="DH360" s="650"/>
      <c r="DI360" s="650"/>
      <c r="DJ360" s="583"/>
      <c r="DK360" s="650"/>
      <c r="DL360" s="650"/>
      <c r="DM360" s="650"/>
      <c r="DN360" s="650"/>
      <c r="DO360" s="583"/>
      <c r="DP360" s="650"/>
      <c r="DQ360" s="650"/>
      <c r="DR360" s="650"/>
      <c r="DS360" s="650"/>
      <c r="DT360" s="583"/>
      <c r="DU360" s="650"/>
      <c r="DV360" s="650"/>
      <c r="DW360" s="650"/>
      <c r="DX360" s="650"/>
      <c r="DY360" s="583"/>
    </row>
    <row r="361" spans="1:129" x14ac:dyDescent="0.2">
      <c r="A361" s="1223"/>
      <c r="B361" s="1287" t="s">
        <v>1150</v>
      </c>
      <c r="C361" s="650"/>
      <c r="D361" s="650"/>
      <c r="E361" s="650"/>
      <c r="F361" s="650"/>
      <c r="G361" s="650"/>
      <c r="H361" s="650"/>
      <c r="I361" s="650"/>
      <c r="J361" s="650"/>
      <c r="K361" s="650"/>
      <c r="L361" s="650"/>
      <c r="M361" s="650"/>
      <c r="N361" s="650"/>
      <c r="O361" s="650"/>
      <c r="P361" s="650"/>
      <c r="Q361" s="650"/>
      <c r="R361" s="650"/>
      <c r="S361" s="650"/>
      <c r="T361" s="650"/>
      <c r="U361" s="650"/>
      <c r="V361" s="650"/>
      <c r="W361" s="650"/>
      <c r="X361" s="1288"/>
      <c r="Y361" s="650"/>
      <c r="Z361" s="650"/>
      <c r="AA361" s="650"/>
      <c r="AB361" s="650"/>
      <c r="AC361" s="1288"/>
      <c r="AD361" s="650"/>
      <c r="AE361" s="650"/>
      <c r="AF361" s="650"/>
      <c r="AG361" s="650"/>
      <c r="AH361" s="1288"/>
      <c r="AI361" s="650"/>
      <c r="AJ361" s="650"/>
      <c r="AK361" s="650"/>
      <c r="AL361" s="650"/>
      <c r="AM361" s="1288"/>
      <c r="AN361" s="650"/>
      <c r="AO361" s="650"/>
      <c r="AP361" s="650"/>
      <c r="AQ361" s="650"/>
      <c r="AR361" s="1288"/>
      <c r="AS361" s="650"/>
      <c r="AT361" s="650"/>
      <c r="AU361" s="650"/>
      <c r="AV361" s="650"/>
      <c r="AW361" s="1288"/>
      <c r="AX361" s="650"/>
      <c r="AY361" s="650"/>
      <c r="AZ361" s="650"/>
      <c r="BA361" s="650"/>
      <c r="BB361" s="1288"/>
      <c r="BC361" s="650"/>
      <c r="BD361" s="650"/>
      <c r="BE361" s="650"/>
      <c r="BF361" s="650"/>
      <c r="BG361" s="1289"/>
      <c r="BH361" s="650"/>
      <c r="BI361" s="650"/>
      <c r="BJ361" s="650"/>
      <c r="BK361" s="650"/>
      <c r="BL361" s="1333"/>
      <c r="BM361" s="650"/>
      <c r="BN361" s="650"/>
      <c r="BO361" s="650"/>
      <c r="BP361" s="650"/>
      <c r="BQ361" s="1333"/>
      <c r="BR361" s="650"/>
      <c r="BS361" s="650"/>
      <c r="BT361" s="650"/>
      <c r="BU361" s="650"/>
      <c r="BV361" s="1333"/>
      <c r="BW361" s="650"/>
      <c r="BX361" s="650"/>
      <c r="BY361" s="650"/>
      <c r="BZ361" s="650"/>
      <c r="CA361" s="1333"/>
      <c r="CB361" s="1334">
        <v>4.1250000000000002E-2</v>
      </c>
      <c r="CC361" s="1334">
        <v>4.1250000000000002E-2</v>
      </c>
      <c r="CD361" s="1334">
        <v>4.1250000000000002E-2</v>
      </c>
      <c r="CE361" s="1334">
        <v>4.1250000000000002E-2</v>
      </c>
      <c r="CF361" s="1333"/>
      <c r="CG361" s="1334">
        <f>CE361</f>
        <v>4.1250000000000002E-2</v>
      </c>
      <c r="CH361" s="1334">
        <f>CG361</f>
        <v>4.1250000000000002E-2</v>
      </c>
      <c r="CI361" s="1334">
        <f>CH361</f>
        <v>4.1250000000000002E-2</v>
      </c>
      <c r="CJ361" s="1334">
        <f>CI361</f>
        <v>4.1250000000000002E-2</v>
      </c>
      <c r="CK361" s="1333"/>
      <c r="CL361" s="1334">
        <f>CJ361</f>
        <v>4.1250000000000002E-2</v>
      </c>
      <c r="CM361" s="1334">
        <f>CL361</f>
        <v>4.1250000000000002E-2</v>
      </c>
      <c r="CN361" s="1334">
        <f>CM361</f>
        <v>4.1250000000000002E-2</v>
      </c>
      <c r="CO361" s="1334">
        <f>CN361</f>
        <v>4.1250000000000002E-2</v>
      </c>
      <c r="CP361" s="1333"/>
      <c r="CQ361" s="1334">
        <f>CO361</f>
        <v>4.1250000000000002E-2</v>
      </c>
      <c r="CR361" s="1334">
        <f>CQ361</f>
        <v>4.1250000000000002E-2</v>
      </c>
      <c r="CS361" s="1334">
        <f>CR361</f>
        <v>4.1250000000000002E-2</v>
      </c>
      <c r="CT361" s="1334">
        <f>CS361</f>
        <v>4.1250000000000002E-2</v>
      </c>
      <c r="CU361" s="1333"/>
      <c r="CV361" s="1334"/>
      <c r="CW361" s="1334"/>
      <c r="CX361" s="1334">
        <v>3.5000000000000003E-2</v>
      </c>
      <c r="CY361" s="1334">
        <f>CX361</f>
        <v>3.5000000000000003E-2</v>
      </c>
      <c r="CZ361" s="1333"/>
      <c r="DA361" s="1334">
        <f>CY361</f>
        <v>3.5000000000000003E-2</v>
      </c>
      <c r="DB361" s="1334">
        <f>DA361</f>
        <v>3.5000000000000003E-2</v>
      </c>
      <c r="DC361" s="1334">
        <f>DB361</f>
        <v>3.5000000000000003E-2</v>
      </c>
      <c r="DD361" s="1334">
        <f>DC361</f>
        <v>3.5000000000000003E-2</v>
      </c>
      <c r="DE361" s="1333"/>
      <c r="DF361" s="1334">
        <f>DD361</f>
        <v>3.5000000000000003E-2</v>
      </c>
      <c r="DG361" s="1334">
        <f>DF361</f>
        <v>3.5000000000000003E-2</v>
      </c>
      <c r="DH361" s="1334">
        <f>DG361</f>
        <v>3.5000000000000003E-2</v>
      </c>
      <c r="DI361" s="1334">
        <f>DH361</f>
        <v>3.5000000000000003E-2</v>
      </c>
      <c r="DJ361" s="1333"/>
      <c r="DK361" s="1334">
        <f>DI361</f>
        <v>3.5000000000000003E-2</v>
      </c>
      <c r="DL361" s="1334">
        <f>DK361</f>
        <v>3.5000000000000003E-2</v>
      </c>
      <c r="DM361" s="1334">
        <f>DL361</f>
        <v>3.5000000000000003E-2</v>
      </c>
      <c r="DN361" s="1334">
        <f>DM361</f>
        <v>3.5000000000000003E-2</v>
      </c>
      <c r="DO361" s="1333"/>
      <c r="DP361" s="1334">
        <f>DN361</f>
        <v>3.5000000000000003E-2</v>
      </c>
      <c r="DQ361" s="1334">
        <f>DP361</f>
        <v>3.5000000000000003E-2</v>
      </c>
      <c r="DR361" s="1334">
        <f>DQ361</f>
        <v>3.5000000000000003E-2</v>
      </c>
      <c r="DS361" s="1334">
        <f>DR361</f>
        <v>3.5000000000000003E-2</v>
      </c>
      <c r="DT361" s="1333"/>
      <c r="DU361" s="1334">
        <f>DS361</f>
        <v>3.5000000000000003E-2</v>
      </c>
      <c r="DV361" s="1334">
        <f>DU361</f>
        <v>3.5000000000000003E-2</v>
      </c>
      <c r="DW361" s="1334">
        <f>DV361</f>
        <v>3.5000000000000003E-2</v>
      </c>
      <c r="DX361" s="1334">
        <f>DW361</f>
        <v>3.5000000000000003E-2</v>
      </c>
      <c r="DY361" s="1333"/>
    </row>
    <row r="362" spans="1:129" x14ac:dyDescent="0.2">
      <c r="A362" s="1223"/>
      <c r="B362" s="1190" t="s">
        <v>1151</v>
      </c>
      <c r="C362" s="1293"/>
      <c r="D362" s="1293"/>
      <c r="E362" s="1293"/>
      <c r="F362" s="1293"/>
      <c r="G362" s="1293"/>
      <c r="H362" s="1293"/>
      <c r="I362" s="1293"/>
      <c r="J362" s="1293"/>
      <c r="K362" s="1293"/>
      <c r="L362" s="1293"/>
      <c r="M362" s="1293"/>
      <c r="N362" s="1293"/>
      <c r="O362" s="1293"/>
      <c r="P362" s="1293"/>
      <c r="Q362" s="1293"/>
      <c r="R362" s="1293"/>
      <c r="S362" s="1293"/>
      <c r="T362" s="1293"/>
      <c r="U362" s="1293"/>
      <c r="V362" s="1293"/>
      <c r="W362" s="1293"/>
      <c r="X362" s="1227"/>
      <c r="Y362" s="1231"/>
      <c r="Z362" s="1231"/>
      <c r="AA362" s="1231"/>
      <c r="AB362" s="1294"/>
      <c r="AC362" s="1227"/>
      <c r="AD362" s="1231"/>
      <c r="AE362" s="1231"/>
      <c r="AF362" s="1231"/>
      <c r="AG362" s="1294"/>
      <c r="AH362" s="1227"/>
      <c r="AI362" s="1231"/>
      <c r="AJ362" s="1231"/>
      <c r="AK362" s="1231"/>
      <c r="AL362" s="1294"/>
      <c r="AM362" s="1227"/>
      <c r="AN362" s="1231"/>
      <c r="AO362" s="1231"/>
      <c r="AP362" s="1231"/>
      <c r="AQ362" s="1294"/>
      <c r="AR362" s="1227"/>
      <c r="AS362" s="1231"/>
      <c r="AT362" s="1231"/>
      <c r="AU362" s="1231"/>
      <c r="AV362" s="1294"/>
      <c r="AW362" s="1227"/>
      <c r="AX362" s="1231"/>
      <c r="AY362" s="1231"/>
      <c r="AZ362" s="1231"/>
      <c r="BA362" s="1231"/>
      <c r="BB362" s="1227"/>
      <c r="BC362" s="1231"/>
      <c r="BD362" s="1231"/>
      <c r="BE362" s="1231"/>
      <c r="BF362" s="1231"/>
      <c r="BG362" s="1227"/>
      <c r="BH362" s="1231"/>
      <c r="BI362" s="1231"/>
      <c r="BJ362" s="1231"/>
      <c r="BK362" s="1231"/>
      <c r="BL362" s="1326"/>
      <c r="BM362" s="1231"/>
      <c r="BN362" s="1231"/>
      <c r="BO362" s="1231"/>
      <c r="BP362" s="1231"/>
      <c r="BQ362" s="1326"/>
      <c r="BR362" s="1231"/>
      <c r="BS362" s="1231"/>
      <c r="BT362" s="1231"/>
      <c r="BU362" s="1231"/>
      <c r="BV362" s="1326"/>
      <c r="BW362" s="1231"/>
      <c r="BX362" s="1231"/>
      <c r="BY362" s="1231"/>
      <c r="BZ362" s="1231"/>
      <c r="CA362" s="1326"/>
      <c r="CB362" s="1231"/>
      <c r="CC362" s="1231"/>
      <c r="CD362" s="1231"/>
      <c r="CE362" s="1231"/>
      <c r="CF362" s="1326"/>
      <c r="CG362" s="1231"/>
      <c r="CH362" s="1231"/>
      <c r="CI362" s="1231"/>
      <c r="CJ362" s="1231"/>
      <c r="CK362" s="1326"/>
      <c r="CL362" s="1231"/>
      <c r="CM362" s="1231"/>
      <c r="CN362" s="1231"/>
      <c r="CO362" s="1231"/>
      <c r="CP362" s="1326"/>
      <c r="CQ362" s="1231"/>
      <c r="CR362" s="1231"/>
      <c r="CS362" s="1231"/>
      <c r="CT362" s="1231"/>
      <c r="CU362" s="1326"/>
      <c r="CV362" s="1231"/>
      <c r="CW362" s="1231"/>
      <c r="CX362" s="1231"/>
      <c r="CY362" s="1231"/>
      <c r="CZ362" s="1326"/>
      <c r="DA362" s="1231"/>
      <c r="DB362" s="1231"/>
      <c r="DC362" s="1231"/>
      <c r="DD362" s="1231"/>
      <c r="DE362" s="1326"/>
      <c r="DF362" s="1231"/>
      <c r="DG362" s="1231"/>
      <c r="DH362" s="1231"/>
      <c r="DI362" s="1231"/>
      <c r="DJ362" s="1326"/>
      <c r="DK362" s="1231"/>
      <c r="DL362" s="1231"/>
      <c r="DM362" s="1231"/>
      <c r="DN362" s="1231"/>
      <c r="DO362" s="1326"/>
      <c r="DP362" s="1231"/>
      <c r="DQ362" s="1231"/>
      <c r="DR362" s="1231"/>
      <c r="DS362" s="1231"/>
      <c r="DT362" s="1326"/>
      <c r="DU362" s="1231"/>
      <c r="DV362" s="1231"/>
      <c r="DW362" s="1231"/>
      <c r="DX362" s="1231"/>
      <c r="DY362" s="1326"/>
    </row>
    <row r="363" spans="1:129" x14ac:dyDescent="0.2">
      <c r="A363" s="1223"/>
      <c r="B363" s="1190" t="s">
        <v>1152</v>
      </c>
      <c r="C363" s="1231"/>
      <c r="D363" s="1231"/>
      <c r="E363" s="1231"/>
      <c r="F363" s="1231"/>
      <c r="G363" s="1231"/>
      <c r="H363" s="1231"/>
      <c r="I363" s="1231"/>
      <c r="J363" s="1231"/>
      <c r="K363" s="1231"/>
      <c r="L363" s="1231"/>
      <c r="M363" s="1231"/>
      <c r="N363" s="1231"/>
      <c r="O363" s="1231"/>
      <c r="P363" s="1231"/>
      <c r="Q363" s="1231"/>
      <c r="R363" s="1231"/>
      <c r="S363" s="1231"/>
      <c r="T363" s="1231"/>
      <c r="U363" s="1231"/>
      <c r="V363" s="1231"/>
      <c r="W363" s="1231"/>
      <c r="X363" s="1227"/>
      <c r="Y363" s="1231"/>
      <c r="Z363" s="1231"/>
      <c r="AA363" s="1231"/>
      <c r="AB363" s="1231"/>
      <c r="AC363" s="1227"/>
      <c r="AD363" s="1231"/>
      <c r="AE363" s="1231"/>
      <c r="AF363" s="1231"/>
      <c r="AG363" s="1231"/>
      <c r="AH363" s="1227"/>
      <c r="AI363" s="1231"/>
      <c r="AJ363" s="1231"/>
      <c r="AK363" s="1231"/>
      <c r="AL363" s="1231"/>
      <c r="AM363" s="1227"/>
      <c r="AN363" s="1231"/>
      <c r="AO363" s="1231"/>
      <c r="AP363" s="1231"/>
      <c r="AQ363" s="1231"/>
      <c r="AR363" s="1227"/>
      <c r="AS363" s="1231"/>
      <c r="AT363" s="1231"/>
      <c r="AU363" s="1231"/>
      <c r="AV363" s="1231"/>
      <c r="AW363" s="1227"/>
      <c r="AX363" s="1231"/>
      <c r="AY363" s="1231"/>
      <c r="AZ363" s="1231"/>
      <c r="BA363" s="1231"/>
      <c r="BB363" s="1227"/>
      <c r="BC363" s="1231"/>
      <c r="BD363" s="1231"/>
      <c r="BE363" s="1231"/>
      <c r="BF363" s="1231"/>
      <c r="BG363" s="1227"/>
      <c r="BH363" s="1231"/>
      <c r="BI363" s="1231"/>
      <c r="BJ363" s="1231"/>
      <c r="BK363" s="1231"/>
      <c r="BL363" s="1326"/>
      <c r="BM363" s="1231"/>
      <c r="BN363" s="1231"/>
      <c r="BO363" s="1231"/>
      <c r="BP363" s="1231"/>
      <c r="BQ363" s="1326"/>
      <c r="BR363" s="1231"/>
      <c r="BS363" s="1231"/>
      <c r="BT363" s="1231"/>
      <c r="BU363" s="1231"/>
      <c r="BV363" s="1326"/>
      <c r="BW363" s="1231"/>
      <c r="BX363" s="1231"/>
      <c r="BY363" s="1231"/>
      <c r="BZ363" s="1231"/>
      <c r="CA363" s="1326"/>
      <c r="CB363" s="1223"/>
      <c r="CC363" s="1223"/>
      <c r="CD363" s="1223"/>
      <c r="CE363" s="1223"/>
      <c r="CF363" s="1326"/>
      <c r="CG363" s="1223"/>
      <c r="CH363" s="1223"/>
      <c r="CI363" s="1223"/>
      <c r="CJ363" s="1223"/>
      <c r="CK363" s="1326"/>
      <c r="CL363" s="1223"/>
      <c r="CM363" s="1223"/>
      <c r="CN363" s="1223"/>
      <c r="CO363" s="1223"/>
      <c r="CP363" s="1326"/>
      <c r="CQ363" s="1223"/>
      <c r="CR363" s="1223"/>
      <c r="CS363" s="1223"/>
      <c r="CT363" s="1223"/>
      <c r="CU363" s="1326"/>
      <c r="CV363" s="1223">
        <f>+CT363</f>
        <v>0</v>
      </c>
      <c r="CW363" s="1223">
        <f>+CV365</f>
        <v>0</v>
      </c>
      <c r="CX363" s="1223">
        <f>+CW365</f>
        <v>0</v>
      </c>
      <c r="CY363" s="1223">
        <f>+CX365</f>
        <v>1500</v>
      </c>
      <c r="CZ363" s="1326">
        <f>CU365</f>
        <v>0</v>
      </c>
      <c r="DA363" s="1223">
        <f>CZ365</f>
        <v>1500</v>
      </c>
      <c r="DB363" s="1223">
        <f>+DA365</f>
        <v>1500</v>
      </c>
      <c r="DC363" s="1223">
        <f>+DB365</f>
        <v>1500</v>
      </c>
      <c r="DD363" s="1223">
        <f>+DC365</f>
        <v>1500</v>
      </c>
      <c r="DE363" s="1326">
        <f>CZ365</f>
        <v>1500</v>
      </c>
      <c r="DF363" s="1223">
        <f>+DD365</f>
        <v>1500</v>
      </c>
      <c r="DG363" s="1223">
        <f>+DF365</f>
        <v>1500</v>
      </c>
      <c r="DH363" s="1223">
        <f>+DG365</f>
        <v>1500</v>
      </c>
      <c r="DI363" s="1223">
        <f>+DH365</f>
        <v>1500</v>
      </c>
      <c r="DJ363" s="1326">
        <f>DE365</f>
        <v>1500</v>
      </c>
      <c r="DK363" s="1223">
        <f>+DI365</f>
        <v>1500</v>
      </c>
      <c r="DL363" s="1223">
        <f>+DK365</f>
        <v>1500</v>
      </c>
      <c r="DM363" s="1223">
        <f>+DL365</f>
        <v>1500</v>
      </c>
      <c r="DN363" s="1223">
        <f>+DM365</f>
        <v>1500</v>
      </c>
      <c r="DO363" s="1326">
        <f>DJ365</f>
        <v>1500</v>
      </c>
      <c r="DP363" s="1223">
        <f>+DN365</f>
        <v>1500</v>
      </c>
      <c r="DQ363" s="1223">
        <f>+DP365</f>
        <v>1500</v>
      </c>
      <c r="DR363" s="1223">
        <f>+DQ365</f>
        <v>1500</v>
      </c>
      <c r="DS363" s="1223">
        <f>+DR365</f>
        <v>1500</v>
      </c>
      <c r="DT363" s="1326">
        <f>DO365</f>
        <v>1500</v>
      </c>
      <c r="DU363" s="1223">
        <f>+DS365</f>
        <v>1500</v>
      </c>
      <c r="DV363" s="1223">
        <f>+DU365</f>
        <v>1500</v>
      </c>
      <c r="DW363" s="1223">
        <f>+DV365</f>
        <v>1500</v>
      </c>
      <c r="DX363" s="1223">
        <f>+DW365</f>
        <v>1500</v>
      </c>
      <c r="DY363" s="1326">
        <f>DT365</f>
        <v>1500</v>
      </c>
    </row>
    <row r="364" spans="1:129" x14ac:dyDescent="0.2">
      <c r="A364" s="1223"/>
      <c r="B364" s="1190" t="s">
        <v>1153</v>
      </c>
      <c r="C364" s="1182"/>
      <c r="D364" s="1182"/>
      <c r="E364" s="1182"/>
      <c r="F364" s="1182"/>
      <c r="G364" s="1182"/>
      <c r="H364" s="1182"/>
      <c r="I364" s="1182"/>
      <c r="J364" s="1182"/>
      <c r="K364" s="1182"/>
      <c r="L364" s="1182"/>
      <c r="M364" s="1182"/>
      <c r="N364" s="1182"/>
      <c r="O364" s="1182"/>
      <c r="P364" s="1182"/>
      <c r="Q364" s="1182"/>
      <c r="R364" s="1182"/>
      <c r="S364" s="1182"/>
      <c r="T364" s="1182"/>
      <c r="U364" s="1182"/>
      <c r="V364" s="1182"/>
      <c r="W364" s="1182"/>
      <c r="X364" s="1296"/>
      <c r="Y364" s="1297"/>
      <c r="Z364" s="1297"/>
      <c r="AA364" s="1297"/>
      <c r="AB364" s="1297"/>
      <c r="AC364" s="1296"/>
      <c r="AD364" s="1297"/>
      <c r="AE364" s="1297"/>
      <c r="AF364" s="1297"/>
      <c r="AG364" s="1297"/>
      <c r="AH364" s="1296"/>
      <c r="AI364" s="1297"/>
      <c r="AJ364" s="1297"/>
      <c r="AK364" s="1297"/>
      <c r="AL364" s="1297"/>
      <c r="AM364" s="1296"/>
      <c r="AN364" s="1297"/>
      <c r="AO364" s="1297"/>
      <c r="AP364" s="1297"/>
      <c r="AQ364" s="1297"/>
      <c r="AR364" s="1296"/>
      <c r="AS364" s="1297"/>
      <c r="AT364" s="1297"/>
      <c r="AU364" s="1297"/>
      <c r="AV364" s="1297"/>
      <c r="AW364" s="1296"/>
      <c r="AX364" s="1298"/>
      <c r="AY364" s="1299"/>
      <c r="AZ364" s="1299"/>
      <c r="BA364" s="1298"/>
      <c r="BB364" s="1300"/>
      <c r="BC364" s="1298"/>
      <c r="BD364" s="1298"/>
      <c r="BE364" s="1298"/>
      <c r="BF364" s="1298"/>
      <c r="BG364" s="1296"/>
      <c r="BH364" s="1298"/>
      <c r="BI364" s="1298"/>
      <c r="BJ364" s="1298"/>
      <c r="BK364" s="1298"/>
      <c r="BL364" s="1335"/>
      <c r="BM364" s="1298"/>
      <c r="BN364" s="1298"/>
      <c r="BO364" s="1298"/>
      <c r="BP364" s="1298"/>
      <c r="BQ364" s="1335"/>
      <c r="BR364" s="1298"/>
      <c r="BS364" s="1298"/>
      <c r="BT364" s="1298"/>
      <c r="BU364" s="1298"/>
      <c r="BV364" s="1335"/>
      <c r="BW364" s="1298"/>
      <c r="BX364" s="1298"/>
      <c r="BY364" s="1298"/>
      <c r="BZ364" s="1298"/>
      <c r="CA364" s="1335"/>
      <c r="CB364" s="1336"/>
      <c r="CC364" s="1336"/>
      <c r="CD364" s="1298"/>
      <c r="CE364" s="1298"/>
      <c r="CF364" s="1335"/>
      <c r="CG364" s="1298"/>
      <c r="CH364" s="1298"/>
      <c r="CI364" s="1298"/>
      <c r="CJ364" s="1298"/>
      <c r="CK364" s="1335"/>
      <c r="CL364" s="1298"/>
      <c r="CM364" s="1298"/>
      <c r="CN364" s="1298"/>
      <c r="CO364" s="1298"/>
      <c r="CP364" s="1335"/>
      <c r="CQ364" s="1298"/>
      <c r="CR364" s="1298"/>
      <c r="CS364" s="1298"/>
      <c r="CT364" s="1298"/>
      <c r="CU364" s="1335"/>
      <c r="CV364" s="1298">
        <v>0</v>
      </c>
      <c r="CW364" s="1298">
        <v>0</v>
      </c>
      <c r="CX364" s="1298">
        <v>1500</v>
      </c>
      <c r="CY364" s="1298">
        <v>0</v>
      </c>
      <c r="CZ364" s="1335">
        <f>+SUM(CV364:CY364)</f>
        <v>1500</v>
      </c>
      <c r="DA364" s="1298">
        <v>0</v>
      </c>
      <c r="DB364" s="1298">
        <v>0</v>
      </c>
      <c r="DC364" s="1298">
        <v>0</v>
      </c>
      <c r="DD364" s="1298">
        <v>0</v>
      </c>
      <c r="DE364" s="1335">
        <f>+SUM(DA364:DD364)</f>
        <v>0</v>
      </c>
      <c r="DF364" s="1298">
        <v>0</v>
      </c>
      <c r="DG364" s="1298">
        <v>0</v>
      </c>
      <c r="DH364" s="1298">
        <v>0</v>
      </c>
      <c r="DI364" s="1298">
        <v>0</v>
      </c>
      <c r="DJ364" s="1335">
        <f>+SUM(DF364:DI364)</f>
        <v>0</v>
      </c>
      <c r="DK364" s="1298">
        <v>0</v>
      </c>
      <c r="DL364" s="1298">
        <v>0</v>
      </c>
      <c r="DM364" s="1298">
        <v>0</v>
      </c>
      <c r="DN364" s="1298">
        <v>0</v>
      </c>
      <c r="DO364" s="1335">
        <f>+SUM(DK364:DN364)</f>
        <v>0</v>
      </c>
      <c r="DP364" s="1298">
        <v>0</v>
      </c>
      <c r="DQ364" s="1298">
        <v>0</v>
      </c>
      <c r="DR364" s="1298">
        <v>0</v>
      </c>
      <c r="DS364" s="1298">
        <v>0</v>
      </c>
      <c r="DT364" s="1335">
        <f>+SUM(DP364:DS364)</f>
        <v>0</v>
      </c>
      <c r="DU364" s="1298">
        <v>0</v>
      </c>
      <c r="DV364" s="1298">
        <v>0</v>
      </c>
      <c r="DW364" s="1298">
        <v>0</v>
      </c>
      <c r="DX364" s="1298">
        <v>0</v>
      </c>
      <c r="DY364" s="1335">
        <f>+SUM(DU364:DX364)</f>
        <v>0</v>
      </c>
    </row>
    <row r="365" spans="1:129" x14ac:dyDescent="0.2">
      <c r="A365" s="1223"/>
      <c r="B365" s="1190" t="s">
        <v>1154</v>
      </c>
      <c r="C365" s="1182"/>
      <c r="D365" s="1182"/>
      <c r="E365" s="1182"/>
      <c r="F365" s="1182"/>
      <c r="G365" s="1182"/>
      <c r="H365" s="1182"/>
      <c r="I365" s="1182"/>
      <c r="J365" s="1182"/>
      <c r="K365" s="1182"/>
      <c r="L365" s="1182"/>
      <c r="M365" s="1182"/>
      <c r="N365" s="1182"/>
      <c r="O365" s="1182"/>
      <c r="P365" s="1182"/>
      <c r="Q365" s="1182"/>
      <c r="R365" s="1182"/>
      <c r="S365" s="1182"/>
      <c r="T365" s="1182"/>
      <c r="U365" s="1182"/>
      <c r="V365" s="1182"/>
      <c r="W365" s="1182"/>
      <c r="X365" s="1304"/>
      <c r="Y365" s="1305"/>
      <c r="Z365" s="1305"/>
      <c r="AA365" s="1305"/>
      <c r="AB365" s="1305"/>
      <c r="AC365" s="1304"/>
      <c r="AD365" s="1305"/>
      <c r="AE365" s="1305"/>
      <c r="AF365" s="1305"/>
      <c r="AG365" s="1305"/>
      <c r="AH365" s="1304"/>
      <c r="AI365" s="1305"/>
      <c r="AJ365" s="1305"/>
      <c r="AK365" s="1305"/>
      <c r="AL365" s="1305"/>
      <c r="AM365" s="1304"/>
      <c r="AN365" s="1305"/>
      <c r="AO365" s="1305"/>
      <c r="AP365" s="1305"/>
      <c r="AQ365" s="1305"/>
      <c r="AR365" s="1304"/>
      <c r="AS365" s="1305"/>
      <c r="AT365" s="1305"/>
      <c r="AU365" s="1305"/>
      <c r="AV365" s="1305"/>
      <c r="AW365" s="1304"/>
      <c r="AX365" s="1305"/>
      <c r="AY365" s="1305"/>
      <c r="AZ365" s="1305"/>
      <c r="BA365" s="1305"/>
      <c r="BB365" s="1304"/>
      <c r="BC365" s="1305"/>
      <c r="BD365" s="1305"/>
      <c r="BE365" s="1305"/>
      <c r="BF365" s="1305"/>
      <c r="BG365" s="1306"/>
      <c r="BH365" s="1305"/>
      <c r="BI365" s="1305"/>
      <c r="BJ365" s="1305"/>
      <c r="BK365" s="1305"/>
      <c r="BL365" s="1337"/>
      <c r="BM365" s="1305"/>
      <c r="BN365" s="1305"/>
      <c r="BO365" s="1305"/>
      <c r="BP365" s="1305"/>
      <c r="BQ365" s="1337"/>
      <c r="BR365" s="1305"/>
      <c r="BS365" s="1305"/>
      <c r="BT365" s="1305"/>
      <c r="BU365" s="1305"/>
      <c r="BV365" s="1337"/>
      <c r="BW365" s="1305"/>
      <c r="BX365" s="1305"/>
      <c r="BY365" s="1305"/>
      <c r="BZ365" s="1305"/>
      <c r="CA365" s="1337"/>
      <c r="CB365" s="1295"/>
      <c r="CC365" s="1224"/>
      <c r="CD365" s="1295"/>
      <c r="CE365" s="1295"/>
      <c r="CF365" s="1325"/>
      <c r="CG365" s="1295"/>
      <c r="CH365" s="1295"/>
      <c r="CI365" s="1295"/>
      <c r="CJ365" s="1295"/>
      <c r="CK365" s="1325"/>
      <c r="CL365" s="1295"/>
      <c r="CM365" s="1295"/>
      <c r="CN365" s="1295"/>
      <c r="CO365" s="1295"/>
      <c r="CP365" s="1325"/>
      <c r="CQ365" s="1295"/>
      <c r="CR365" s="1295"/>
      <c r="CS365" s="1295"/>
      <c r="CT365" s="1295"/>
      <c r="CU365" s="1325"/>
      <c r="CV365" s="1295">
        <f>CV363+CV364</f>
        <v>0</v>
      </c>
      <c r="CW365" s="1295">
        <f>CW363+CW364</f>
        <v>0</v>
      </c>
      <c r="CX365" s="1295">
        <f>CX363+CX364</f>
        <v>1500</v>
      </c>
      <c r="CY365" s="1295">
        <f>CY363+CY364</f>
        <v>1500</v>
      </c>
      <c r="CZ365" s="1325">
        <f t="shared" ref="CZ365:DJ365" si="223">CZ363+CZ364</f>
        <v>1500</v>
      </c>
      <c r="DA365" s="1295">
        <f t="shared" si="223"/>
        <v>1500</v>
      </c>
      <c r="DB365" s="1295">
        <f t="shared" si="223"/>
        <v>1500</v>
      </c>
      <c r="DC365" s="1295">
        <f t="shared" si="223"/>
        <v>1500</v>
      </c>
      <c r="DD365" s="1295">
        <f t="shared" si="223"/>
        <v>1500</v>
      </c>
      <c r="DE365" s="1325">
        <f t="shared" si="223"/>
        <v>1500</v>
      </c>
      <c r="DF365" s="1295">
        <f t="shared" si="223"/>
        <v>1500</v>
      </c>
      <c r="DG365" s="1295">
        <f t="shared" si="223"/>
        <v>1500</v>
      </c>
      <c r="DH365" s="1295">
        <f t="shared" si="223"/>
        <v>1500</v>
      </c>
      <c r="DI365" s="1295">
        <f t="shared" si="223"/>
        <v>1500</v>
      </c>
      <c r="DJ365" s="1325">
        <f t="shared" si="223"/>
        <v>1500</v>
      </c>
      <c r="DK365" s="1295">
        <f t="shared" ref="DK365:DT365" si="224">DK363+DK364</f>
        <v>1500</v>
      </c>
      <c r="DL365" s="1295">
        <f t="shared" si="224"/>
        <v>1500</v>
      </c>
      <c r="DM365" s="1295">
        <f t="shared" si="224"/>
        <v>1500</v>
      </c>
      <c r="DN365" s="1295">
        <f t="shared" si="224"/>
        <v>1500</v>
      </c>
      <c r="DO365" s="1325">
        <f t="shared" si="224"/>
        <v>1500</v>
      </c>
      <c r="DP365" s="1295">
        <f t="shared" si="224"/>
        <v>1500</v>
      </c>
      <c r="DQ365" s="1295">
        <f t="shared" si="224"/>
        <v>1500</v>
      </c>
      <c r="DR365" s="1295">
        <f t="shared" si="224"/>
        <v>1500</v>
      </c>
      <c r="DS365" s="1295">
        <f t="shared" si="224"/>
        <v>1500</v>
      </c>
      <c r="DT365" s="1325">
        <f t="shared" si="224"/>
        <v>1500</v>
      </c>
      <c r="DU365" s="1295">
        <f t="shared" ref="DU365:DY365" si="225">DU363+DU364</f>
        <v>1500</v>
      </c>
      <c r="DV365" s="1295">
        <f t="shared" si="225"/>
        <v>1500</v>
      </c>
      <c r="DW365" s="1295">
        <f t="shared" si="225"/>
        <v>1500</v>
      </c>
      <c r="DX365" s="1295">
        <f t="shared" si="225"/>
        <v>1500</v>
      </c>
      <c r="DY365" s="1325">
        <f t="shared" si="225"/>
        <v>1500</v>
      </c>
    </row>
    <row r="366" spans="1:129" x14ac:dyDescent="0.2">
      <c r="A366" s="1223"/>
      <c r="B366" s="1190" t="s">
        <v>1155</v>
      </c>
      <c r="C366" s="1182"/>
      <c r="D366" s="1182"/>
      <c r="E366" s="1182"/>
      <c r="F366" s="1182"/>
      <c r="G366" s="1182"/>
      <c r="H366" s="1182"/>
      <c r="I366" s="1182"/>
      <c r="J366" s="1182"/>
      <c r="K366" s="1182"/>
      <c r="L366" s="1182"/>
      <c r="M366" s="1182"/>
      <c r="N366" s="1182"/>
      <c r="O366" s="1182"/>
      <c r="P366" s="1182"/>
      <c r="Q366" s="1182"/>
      <c r="R366" s="1182"/>
      <c r="S366" s="1182"/>
      <c r="T366" s="1182"/>
      <c r="U366" s="1182"/>
      <c r="V366" s="1182"/>
      <c r="W366" s="1182"/>
      <c r="X366" s="1227"/>
      <c r="Y366" s="1231"/>
      <c r="Z366" s="1231"/>
      <c r="AA366" s="1231"/>
      <c r="AB366" s="1231"/>
      <c r="AC366" s="1227"/>
      <c r="AD366" s="1231"/>
      <c r="AE366" s="1231"/>
      <c r="AF366" s="1231"/>
      <c r="AG366" s="1231"/>
      <c r="AH366" s="1227"/>
      <c r="AI366" s="1231"/>
      <c r="AJ366" s="1231"/>
      <c r="AK366" s="1231"/>
      <c r="AL366" s="1231"/>
      <c r="AM366" s="1227"/>
      <c r="AN366" s="1231"/>
      <c r="AO366" s="1231"/>
      <c r="AP366" s="1231"/>
      <c r="AQ366" s="1231"/>
      <c r="AR366" s="1227"/>
      <c r="AS366" s="1231"/>
      <c r="AT366" s="1231"/>
      <c r="AU366" s="1231"/>
      <c r="AV366" s="1231"/>
      <c r="AW366" s="1227"/>
      <c r="AX366" s="1231"/>
      <c r="AY366" s="1231"/>
      <c r="AZ366" s="1231"/>
      <c r="BA366" s="1231"/>
      <c r="BB366" s="1227"/>
      <c r="BC366" s="1231"/>
      <c r="BD366" s="1231"/>
      <c r="BE366" s="1231"/>
      <c r="BF366" s="1231"/>
      <c r="BG366" s="1227"/>
      <c r="BH366" s="1231"/>
      <c r="BI366" s="1231"/>
      <c r="BJ366" s="1231"/>
      <c r="BK366" s="1231"/>
      <c r="BL366" s="1326"/>
      <c r="BM366" s="1231"/>
      <c r="BN366" s="1231"/>
      <c r="BO366" s="1231"/>
      <c r="BP366" s="1231"/>
      <c r="BQ366" s="1326"/>
      <c r="BR366" s="1231"/>
      <c r="BS366" s="1231"/>
      <c r="BT366" s="1231"/>
      <c r="BU366" s="1231"/>
      <c r="BV366" s="1326"/>
      <c r="BW366" s="1231"/>
      <c r="BX366" s="1231"/>
      <c r="BY366" s="1231"/>
      <c r="BZ366" s="1231"/>
      <c r="CA366" s="1326"/>
      <c r="CB366" s="1231"/>
      <c r="CC366" s="1231"/>
      <c r="CD366" s="1231"/>
      <c r="CE366" s="1231"/>
      <c r="CF366" s="1326"/>
      <c r="CG366" s="1231"/>
      <c r="CH366" s="1231"/>
      <c r="CI366" s="1231"/>
      <c r="CJ366" s="1231"/>
      <c r="CK366" s="1326"/>
      <c r="CL366" s="1231"/>
      <c r="CM366" s="1231"/>
      <c r="CN366" s="1231"/>
      <c r="CO366" s="1231"/>
      <c r="CP366" s="1326"/>
      <c r="CQ366" s="1231"/>
      <c r="CR366" s="1231"/>
      <c r="CS366" s="1231"/>
      <c r="CT366" s="1231"/>
      <c r="CU366" s="1326"/>
      <c r="CV366" s="1231"/>
      <c r="CW366" s="1231"/>
      <c r="CX366" s="1231"/>
      <c r="CY366" s="1231"/>
      <c r="CZ366" s="1326"/>
      <c r="DA366" s="1231"/>
      <c r="DB366" s="1231"/>
      <c r="DC366" s="1231"/>
      <c r="DD366" s="1231"/>
      <c r="DE366" s="1326"/>
      <c r="DF366" s="1231"/>
      <c r="DG366" s="1231"/>
      <c r="DH366" s="1231"/>
      <c r="DI366" s="1231"/>
      <c r="DJ366" s="1326"/>
      <c r="DK366" s="1231"/>
      <c r="DL366" s="1231"/>
      <c r="DM366" s="1231"/>
      <c r="DN366" s="1231"/>
      <c r="DO366" s="1326"/>
      <c r="DP366" s="1231"/>
      <c r="DQ366" s="1231"/>
      <c r="DR366" s="1231"/>
      <c r="DS366" s="1231"/>
      <c r="DT366" s="1326"/>
      <c r="DU366" s="1231"/>
      <c r="DV366" s="1231"/>
      <c r="DW366" s="1231"/>
      <c r="DX366" s="1231"/>
      <c r="DY366" s="1326"/>
    </row>
    <row r="367" spans="1:129" x14ac:dyDescent="0.2">
      <c r="A367" s="1223"/>
      <c r="B367" s="1190" t="s">
        <v>1156</v>
      </c>
      <c r="C367" s="1182"/>
      <c r="D367" s="1182"/>
      <c r="E367" s="1182"/>
      <c r="F367" s="1182"/>
      <c r="G367" s="1182"/>
      <c r="H367" s="1182"/>
      <c r="I367" s="1182"/>
      <c r="J367" s="1182"/>
      <c r="K367" s="1182"/>
      <c r="L367" s="1182"/>
      <c r="M367" s="1182"/>
      <c r="N367" s="1182"/>
      <c r="O367" s="1182"/>
      <c r="P367" s="1182"/>
      <c r="Q367" s="1182"/>
      <c r="R367" s="1182"/>
      <c r="S367" s="1182"/>
      <c r="T367" s="1182"/>
      <c r="U367" s="1182"/>
      <c r="V367" s="1182"/>
      <c r="W367" s="1182"/>
      <c r="X367" s="1227"/>
      <c r="Y367" s="1231"/>
      <c r="Z367" s="1231"/>
      <c r="AA367" s="1231"/>
      <c r="AB367" s="1231"/>
      <c r="AC367" s="1227"/>
      <c r="AD367" s="1231"/>
      <c r="AE367" s="1231"/>
      <c r="AF367" s="1231"/>
      <c r="AG367" s="1231"/>
      <c r="AH367" s="1227"/>
      <c r="AI367" s="1231"/>
      <c r="AJ367" s="1231"/>
      <c r="AK367" s="1231"/>
      <c r="AL367" s="1231"/>
      <c r="AM367" s="1227"/>
      <c r="AN367" s="1231"/>
      <c r="AO367" s="1231"/>
      <c r="AP367" s="1231"/>
      <c r="AQ367" s="1231"/>
      <c r="AR367" s="1227"/>
      <c r="AS367" s="1231"/>
      <c r="AT367" s="1231"/>
      <c r="AU367" s="1231"/>
      <c r="AV367" s="1231"/>
      <c r="AW367" s="1227"/>
      <c r="AX367" s="1231"/>
      <c r="AY367" s="1231"/>
      <c r="AZ367" s="1231"/>
      <c r="BA367" s="1231"/>
      <c r="BB367" s="1227"/>
      <c r="BC367" s="1231"/>
      <c r="BD367" s="1231"/>
      <c r="BE367" s="1231"/>
      <c r="BF367" s="1231"/>
      <c r="BG367" s="1227"/>
      <c r="BH367" s="1231"/>
      <c r="BI367" s="1231"/>
      <c r="BJ367" s="1231"/>
      <c r="BK367" s="1231"/>
      <c r="BL367" s="1326"/>
      <c r="BM367" s="1231"/>
      <c r="BN367" s="1231"/>
      <c r="BO367" s="1231"/>
      <c r="BP367" s="1231"/>
      <c r="BQ367" s="1326"/>
      <c r="BR367" s="1231"/>
      <c r="BS367" s="1231"/>
      <c r="BT367" s="1231"/>
      <c r="BU367" s="1231"/>
      <c r="BV367" s="1326"/>
      <c r="BW367" s="1231"/>
      <c r="BX367" s="1231"/>
      <c r="BY367" s="1231"/>
      <c r="BZ367" s="1231"/>
      <c r="CA367" s="1326"/>
      <c r="CB367" s="1223"/>
      <c r="CC367" s="1223"/>
      <c r="CD367" s="1223"/>
      <c r="CE367" s="1223"/>
      <c r="CF367" s="1326"/>
      <c r="CG367" s="1223"/>
      <c r="CH367" s="1223"/>
      <c r="CI367" s="1223"/>
      <c r="CJ367" s="1223"/>
      <c r="CK367" s="1326"/>
      <c r="CL367" s="1223"/>
      <c r="CM367" s="1223"/>
      <c r="CN367" s="1223"/>
      <c r="CO367" s="1223"/>
      <c r="CP367" s="1326"/>
      <c r="CQ367" s="1223"/>
      <c r="CR367" s="1223"/>
      <c r="CS367" s="1223"/>
      <c r="CT367" s="1223"/>
      <c r="CU367" s="1326"/>
      <c r="CV367" s="1223">
        <f>-(AVERAGE(CV365,CV363))*(CV361/4)</f>
        <v>0</v>
      </c>
      <c r="CW367" s="1223">
        <f>-(AVERAGE(CW365,CW363))*(CW361/4)</f>
        <v>0</v>
      </c>
      <c r="CX367" s="1223">
        <f>-CX365*(CX361/4)</f>
        <v>-13.125000000000002</v>
      </c>
      <c r="CY367" s="1223">
        <f>-(AVERAGE(CY365,CY363))*(CY361/4)</f>
        <v>-13.125000000000002</v>
      </c>
      <c r="CZ367" s="1326">
        <f>SUM(CV367:CY367)</f>
        <v>-26.250000000000004</v>
      </c>
      <c r="DA367" s="1223">
        <f>-(AVERAGE(DA365,DA363))*(DA361/4)</f>
        <v>-13.125000000000002</v>
      </c>
      <c r="DB367" s="1223">
        <f>-(AVERAGE(DB365,DB363))*(DB361/4)</f>
        <v>-13.125000000000002</v>
      </c>
      <c r="DC367" s="1223">
        <f>-(AVERAGE(DC365,DC363))*(DC361/4)</f>
        <v>-13.125000000000002</v>
      </c>
      <c r="DD367" s="1223">
        <f>-(AVERAGE(DD365,DD363))*(DD361/4)</f>
        <v>-13.125000000000002</v>
      </c>
      <c r="DE367" s="1326">
        <f>SUM(DA367:DD367)</f>
        <v>-52.500000000000007</v>
      </c>
      <c r="DF367" s="1223">
        <f>-(AVERAGE(DF365,DF363))*(DF361/4)</f>
        <v>-13.125000000000002</v>
      </c>
      <c r="DG367" s="1223">
        <f>-(AVERAGE(DG365,DG363))*(DG361/4)</f>
        <v>-13.125000000000002</v>
      </c>
      <c r="DH367" s="1223">
        <f>-(AVERAGE(DH365,DH363))*(DH361/4)</f>
        <v>-13.125000000000002</v>
      </c>
      <c r="DI367" s="1223">
        <f>-(AVERAGE(DI365,DI363))*(DI361/4)</f>
        <v>-13.125000000000002</v>
      </c>
      <c r="DJ367" s="1326">
        <f>SUM(DF367:DI367)</f>
        <v>-52.500000000000007</v>
      </c>
      <c r="DK367" s="1223">
        <f>-(AVERAGE(DK365,DK363))*(DK361/4)</f>
        <v>-13.125000000000002</v>
      </c>
      <c r="DL367" s="1223">
        <f>-(AVERAGE(DL365,DL363))*(DL361/4)</f>
        <v>-13.125000000000002</v>
      </c>
      <c r="DM367" s="1223">
        <f>-(AVERAGE(DM365,DM363))*(DM361/4)</f>
        <v>-13.125000000000002</v>
      </c>
      <c r="DN367" s="1223">
        <f>-(AVERAGE(DN365,DN363))*(DN361/4)</f>
        <v>-13.125000000000002</v>
      </c>
      <c r="DO367" s="1326">
        <f>SUM(DK367:DN367)</f>
        <v>-52.500000000000007</v>
      </c>
      <c r="DP367" s="1223">
        <f>-(AVERAGE(DP365,DP363))*(DP361/4)</f>
        <v>-13.125000000000002</v>
      </c>
      <c r="DQ367" s="1223">
        <f>-(AVERAGE(DQ365,DQ363))*(DQ361/4)</f>
        <v>-13.125000000000002</v>
      </c>
      <c r="DR367" s="1223">
        <f>-(AVERAGE(DR365,DR363))*(DR361/4)</f>
        <v>-13.125000000000002</v>
      </c>
      <c r="DS367" s="1223">
        <f>-(AVERAGE(DS365,DS363))*(DS361/4)</f>
        <v>-13.125000000000002</v>
      </c>
      <c r="DT367" s="1326">
        <f>SUM(DP367:DS367)</f>
        <v>-52.500000000000007</v>
      </c>
      <c r="DU367" s="1223">
        <f>-(AVERAGE(DU365,DU363))*(DU361/4)</f>
        <v>-13.125000000000002</v>
      </c>
      <c r="DV367" s="1223">
        <f>-(AVERAGE(DV365,DV363))*(DV361/4)</f>
        <v>-13.125000000000002</v>
      </c>
      <c r="DW367" s="1223">
        <f>-(AVERAGE(DW365,DW363))*(DW361/4)</f>
        <v>-13.125000000000002</v>
      </c>
      <c r="DX367" s="1223">
        <f>-(AVERAGE(DX365,DX363))*(DX361/4)</f>
        <v>-13.125000000000002</v>
      </c>
      <c r="DY367" s="1326">
        <f>SUM(DU367:DX367)</f>
        <v>-52.500000000000007</v>
      </c>
    </row>
    <row r="368" spans="1:129" ht="12" thickBot="1" x14ac:dyDescent="0.25">
      <c r="A368" s="1223"/>
      <c r="B368" s="1250" t="s">
        <v>1157</v>
      </c>
      <c r="C368" s="1251"/>
      <c r="D368" s="1251"/>
      <c r="E368" s="1251"/>
      <c r="F368" s="1251"/>
      <c r="G368" s="1251"/>
      <c r="H368" s="1251"/>
      <c r="I368" s="1251"/>
      <c r="J368" s="1251"/>
      <c r="K368" s="1251"/>
      <c r="L368" s="1251"/>
      <c r="M368" s="1251"/>
      <c r="N368" s="1251"/>
      <c r="O368" s="1251"/>
      <c r="P368" s="1251"/>
      <c r="Q368" s="1251"/>
      <c r="R368" s="1251"/>
      <c r="S368" s="1251"/>
      <c r="T368" s="1251"/>
      <c r="U368" s="1251"/>
      <c r="V368" s="1251"/>
      <c r="W368" s="1251"/>
      <c r="X368" s="1252"/>
      <c r="Y368" s="1251"/>
      <c r="Z368" s="1251"/>
      <c r="AA368" s="1251"/>
      <c r="AB368" s="1251"/>
      <c r="AC368" s="1252"/>
      <c r="AD368" s="1251"/>
      <c r="AE368" s="1251"/>
      <c r="AF368" s="1251"/>
      <c r="AG368" s="1251"/>
      <c r="AH368" s="1252"/>
      <c r="AI368" s="1251"/>
      <c r="AJ368" s="1251"/>
      <c r="AK368" s="1251"/>
      <c r="AL368" s="1251"/>
      <c r="AM368" s="1252"/>
      <c r="AN368" s="1251"/>
      <c r="AO368" s="1251"/>
      <c r="AP368" s="1251"/>
      <c r="AQ368" s="1253"/>
      <c r="AR368" s="1252"/>
      <c r="AS368" s="1253"/>
      <c r="AT368" s="1253"/>
      <c r="AU368" s="1253"/>
      <c r="AV368" s="1253"/>
      <c r="AW368" s="1252"/>
      <c r="AX368" s="1253"/>
      <c r="AY368" s="1253"/>
      <c r="AZ368" s="1253"/>
      <c r="BA368" s="1253"/>
      <c r="BB368" s="1252"/>
      <c r="BC368" s="1253"/>
      <c r="BD368" s="1253"/>
      <c r="BE368" s="1253"/>
      <c r="BF368" s="1253"/>
      <c r="BG368" s="1252"/>
      <c r="BH368" s="1253"/>
      <c r="BI368" s="1253"/>
      <c r="BJ368" s="1253"/>
      <c r="BK368" s="1253"/>
      <c r="BL368" s="1327"/>
      <c r="BM368" s="1253"/>
      <c r="BN368" s="1253"/>
      <c r="BO368" s="1253"/>
      <c r="BP368" s="1253"/>
      <c r="BQ368" s="1327"/>
      <c r="BR368" s="1253"/>
      <c r="BS368" s="1253"/>
      <c r="BT368" s="1253"/>
      <c r="BU368" s="1253"/>
      <c r="BV368" s="1327"/>
      <c r="BW368" s="1253"/>
      <c r="BX368" s="1253"/>
      <c r="BY368" s="1253"/>
      <c r="BZ368" s="1253"/>
      <c r="CA368" s="1327"/>
      <c r="CB368" s="1253">
        <f>-CB360*CB366/4</f>
        <v>0</v>
      </c>
      <c r="CC368" s="1253">
        <f>-CC360*CC366/4</f>
        <v>0</v>
      </c>
      <c r="CD368" s="1253">
        <f>-CD360*CD366/4</f>
        <v>0</v>
      </c>
      <c r="CE368" s="1253">
        <f>-CE360*CE366/4</f>
        <v>0</v>
      </c>
      <c r="CF368" s="1327"/>
      <c r="CG368" s="1253">
        <f>-CG360*CG366/4</f>
        <v>0</v>
      </c>
      <c r="CH368" s="1253">
        <f>-CH360*CH366/4</f>
        <v>0</v>
      </c>
      <c r="CI368" s="1253">
        <f>-CI360*CI366/4</f>
        <v>0</v>
      </c>
      <c r="CJ368" s="1253">
        <f>-CJ360*CJ366/4</f>
        <v>0</v>
      </c>
      <c r="CK368" s="1327"/>
      <c r="CL368" s="1253">
        <f>-CL360*CL366/4</f>
        <v>0</v>
      </c>
      <c r="CM368" s="1253">
        <f>-CM360*CM366/4</f>
        <v>0</v>
      </c>
      <c r="CN368" s="1253">
        <f>-CN360*CN366/4</f>
        <v>0</v>
      </c>
      <c r="CO368" s="1253">
        <f>-CO360*CO366/4</f>
        <v>0</v>
      </c>
      <c r="CP368" s="1327"/>
      <c r="CQ368" s="1253">
        <f>-CQ360*CQ366/4</f>
        <v>0</v>
      </c>
      <c r="CR368" s="1253">
        <f>-CR360*CR366/4</f>
        <v>0</v>
      </c>
      <c r="CS368" s="1253">
        <f>-CS360*CS366/4</f>
        <v>0</v>
      </c>
      <c r="CT368" s="1253">
        <f>-CT360*CT366/4</f>
        <v>0</v>
      </c>
      <c r="CU368" s="1327"/>
      <c r="CV368" s="1253">
        <f>-CV360*CV366/4</f>
        <v>0</v>
      </c>
      <c r="CW368" s="1253">
        <f>-CW360*CW366/4</f>
        <v>0</v>
      </c>
      <c r="CX368" s="1253">
        <f>-CX360*CX366/4</f>
        <v>0</v>
      </c>
      <c r="CY368" s="1253">
        <f>-CY360*CY366/4</f>
        <v>0</v>
      </c>
      <c r="CZ368" s="1327"/>
      <c r="DA368" s="1253">
        <f>-DA360*DA366/4</f>
        <v>0</v>
      </c>
      <c r="DB368" s="1253">
        <f>-DB360*DB366/4</f>
        <v>0</v>
      </c>
      <c r="DC368" s="1253">
        <f>-DC360*DC366/4</f>
        <v>0</v>
      </c>
      <c r="DD368" s="1253">
        <f>-DD360*DD366/4</f>
        <v>0</v>
      </c>
      <c r="DE368" s="1327"/>
      <c r="DF368" s="1253">
        <f>-DF360*DF366/4</f>
        <v>0</v>
      </c>
      <c r="DG368" s="1253">
        <f>-DG360*DG366/4</f>
        <v>0</v>
      </c>
      <c r="DH368" s="1253">
        <f>-DH360*DH366/4</f>
        <v>0</v>
      </c>
      <c r="DI368" s="1253">
        <f>-DI360*DI366/4</f>
        <v>0</v>
      </c>
      <c r="DJ368" s="1327"/>
      <c r="DK368" s="1253">
        <f>-DK360*DK366/4</f>
        <v>0</v>
      </c>
      <c r="DL368" s="1253">
        <f>-DL360*DL366/4</f>
        <v>0</v>
      </c>
      <c r="DM368" s="1253">
        <f>-DM360*DM366/4</f>
        <v>0</v>
      </c>
      <c r="DN368" s="1253">
        <f>-DN360*DN366/4</f>
        <v>0</v>
      </c>
      <c r="DO368" s="1327"/>
      <c r="DP368" s="1253">
        <f>-DP360*DP366/4</f>
        <v>0</v>
      </c>
      <c r="DQ368" s="1253">
        <f>-DQ360*DQ366/4</f>
        <v>0</v>
      </c>
      <c r="DR368" s="1253">
        <f>-DR360*DR366/4</f>
        <v>0</v>
      </c>
      <c r="DS368" s="1253">
        <f>-DS360*DS366/4</f>
        <v>0</v>
      </c>
      <c r="DT368" s="1327"/>
      <c r="DU368" s="1253">
        <f>-DU360*DU366/4</f>
        <v>0</v>
      </c>
      <c r="DV368" s="1253">
        <f>-DV360*DV366/4</f>
        <v>0</v>
      </c>
      <c r="DW368" s="1253">
        <f>-DW360*DW366/4</f>
        <v>0</v>
      </c>
      <c r="DX368" s="1253">
        <f>-DX360*DX366/4</f>
        <v>0</v>
      </c>
      <c r="DY368" s="1327"/>
    </row>
    <row r="369" spans="1:129" ht="12" thickBot="1" x14ac:dyDescent="0.25">
      <c r="A369" s="1223"/>
      <c r="B369" s="1231"/>
      <c r="C369" s="1182"/>
      <c r="D369" s="1182"/>
      <c r="E369" s="1182"/>
      <c r="F369" s="1182"/>
      <c r="G369" s="1182"/>
      <c r="H369" s="1182"/>
      <c r="I369" s="1182"/>
      <c r="J369" s="1182"/>
      <c r="K369" s="1182"/>
      <c r="L369" s="1182"/>
      <c r="M369" s="1182"/>
      <c r="N369" s="1182"/>
      <c r="O369" s="1182"/>
      <c r="P369" s="1182"/>
      <c r="Q369" s="1182"/>
      <c r="R369" s="1182"/>
      <c r="S369" s="1182"/>
      <c r="T369" s="1182"/>
      <c r="U369" s="1182"/>
      <c r="V369" s="1182"/>
      <c r="W369" s="1182"/>
      <c r="X369" s="1231"/>
      <c r="Y369" s="1182"/>
      <c r="Z369" s="1182"/>
      <c r="AA369" s="1182"/>
      <c r="AB369" s="1182"/>
      <c r="AC369" s="1231"/>
      <c r="AD369" s="1182"/>
      <c r="AE369" s="1182"/>
      <c r="AF369" s="1182"/>
      <c r="AG369" s="1182"/>
      <c r="AH369" s="1231"/>
      <c r="AI369" s="1182"/>
      <c r="AJ369" s="1182"/>
      <c r="AK369" s="1182"/>
      <c r="AL369" s="1182"/>
      <c r="AM369" s="1231"/>
      <c r="AN369" s="1182"/>
      <c r="AO369" s="1182"/>
      <c r="AP369" s="1182"/>
      <c r="AQ369" s="1231"/>
      <c r="AR369" s="1231"/>
      <c r="AS369" s="1231"/>
      <c r="AT369" s="1231"/>
      <c r="AU369" s="1231"/>
      <c r="AV369" s="1231"/>
      <c r="AW369" s="1231"/>
      <c r="AX369" s="1231"/>
      <c r="AY369" s="1231"/>
      <c r="AZ369" s="1231"/>
      <c r="BA369" s="1231"/>
      <c r="BB369" s="1231"/>
      <c r="BC369" s="1231"/>
      <c r="BD369" s="1231"/>
      <c r="BE369" s="1231"/>
      <c r="BF369" s="1231"/>
      <c r="BG369" s="1231"/>
      <c r="BH369" s="1231"/>
      <c r="BI369" s="1231"/>
      <c r="BJ369" s="1231"/>
      <c r="BK369" s="1231"/>
      <c r="BL369" s="1231"/>
      <c r="BM369" s="1231"/>
      <c r="BN369" s="1231"/>
      <c r="BO369" s="1231"/>
      <c r="BP369" s="1231"/>
      <c r="BQ369" s="1231"/>
      <c r="BR369" s="1231"/>
      <c r="BS369" s="1231"/>
      <c r="BT369" s="1231"/>
      <c r="BU369" s="1231"/>
      <c r="BV369" s="1231"/>
      <c r="BW369" s="1231"/>
      <c r="BX369" s="1231"/>
      <c r="BY369" s="1231"/>
      <c r="BZ369" s="1231"/>
      <c r="CA369" s="1231"/>
      <c r="CB369" s="1231"/>
      <c r="CC369" s="1231"/>
      <c r="CD369" s="1231"/>
      <c r="CE369" s="1231"/>
      <c r="CF369" s="1231"/>
      <c r="CG369" s="1231"/>
      <c r="CH369" s="1231"/>
      <c r="CI369" s="1231"/>
      <c r="CJ369" s="1231"/>
      <c r="CK369" s="1231"/>
      <c r="CL369" s="1231"/>
      <c r="CM369" s="1231"/>
      <c r="CN369" s="1231"/>
      <c r="CO369" s="1231"/>
      <c r="CP369" s="1231"/>
      <c r="CQ369" s="1231"/>
      <c r="CR369" s="1231"/>
      <c r="CS369" s="1231"/>
      <c r="CT369" s="1231"/>
      <c r="CU369" s="1231"/>
      <c r="CV369" s="1231"/>
      <c r="CW369" s="1231"/>
      <c r="CX369" s="1231"/>
      <c r="CY369" s="1231"/>
      <c r="CZ369" s="1231"/>
      <c r="DA369" s="1231"/>
      <c r="DB369" s="1231"/>
      <c r="DC369" s="1231"/>
      <c r="DD369" s="1231"/>
      <c r="DE369" s="1231"/>
      <c r="DF369" s="1231"/>
      <c r="DG369" s="1231"/>
      <c r="DH369" s="1231"/>
      <c r="DI369" s="1231"/>
      <c r="DJ369" s="1231"/>
      <c r="DK369" s="1231"/>
      <c r="DL369" s="1231"/>
      <c r="DM369" s="1231"/>
      <c r="DN369" s="1231"/>
      <c r="DO369" s="1231"/>
      <c r="DP369" s="1231"/>
      <c r="DQ369" s="1231"/>
      <c r="DR369" s="1231"/>
      <c r="DS369" s="1231"/>
      <c r="DT369" s="1231"/>
      <c r="DU369" s="1231"/>
      <c r="DV369" s="1231"/>
      <c r="DW369" s="1231"/>
      <c r="DX369" s="1231"/>
      <c r="DY369" s="1231"/>
    </row>
    <row r="370" spans="1:129" ht="12" thickBot="1" x14ac:dyDescent="0.25">
      <c r="A370" s="1223"/>
      <c r="B370" s="1282" t="s">
        <v>1370</v>
      </c>
      <c r="C370" s="1328"/>
      <c r="D370" s="1329"/>
      <c r="E370" s="1329"/>
      <c r="F370" s="1329"/>
      <c r="G370" s="1329"/>
      <c r="H370" s="1329"/>
      <c r="I370" s="1329"/>
      <c r="J370" s="1329"/>
      <c r="K370" s="1329"/>
      <c r="L370" s="1329"/>
      <c r="M370" s="1329"/>
      <c r="N370" s="1329"/>
      <c r="O370" s="1329"/>
      <c r="P370" s="1329"/>
      <c r="Q370" s="1329"/>
      <c r="R370" s="1329"/>
      <c r="S370" s="1329"/>
      <c r="T370" s="1329"/>
      <c r="U370" s="1329"/>
      <c r="V370" s="1329"/>
      <c r="W370" s="1329"/>
      <c r="X370" s="1328"/>
      <c r="Y370" s="1328"/>
      <c r="Z370" s="1328"/>
      <c r="AA370" s="1328"/>
      <c r="AB370" s="1328"/>
      <c r="AC370" s="1328"/>
      <c r="AD370" s="1328"/>
      <c r="AE370" s="1328"/>
      <c r="AF370" s="1328"/>
      <c r="AG370" s="1328"/>
      <c r="AH370" s="1328"/>
      <c r="AI370" s="1328"/>
      <c r="AJ370" s="1328"/>
      <c r="AK370" s="1328"/>
      <c r="AL370" s="1328"/>
      <c r="AM370" s="1328"/>
      <c r="AN370" s="1328"/>
      <c r="AO370" s="1328"/>
      <c r="AP370" s="1328"/>
      <c r="AQ370" s="1330"/>
      <c r="AR370" s="1330"/>
      <c r="AS370" s="1330"/>
      <c r="AT370" s="1331"/>
      <c r="AU370" s="1331"/>
      <c r="AV370" s="1331"/>
      <c r="AW370" s="1330"/>
      <c r="AX370" s="1330"/>
      <c r="AY370" s="1330"/>
      <c r="AZ370" s="1330"/>
      <c r="BA370" s="1330"/>
      <c r="BB370" s="1330"/>
      <c r="BC370" s="1330"/>
      <c r="BD370" s="1330"/>
      <c r="BE370" s="1330"/>
      <c r="BF370" s="1330"/>
      <c r="BG370" s="1330"/>
      <c r="BH370" s="1330"/>
      <c r="BI370" s="1330"/>
      <c r="BJ370" s="1330"/>
      <c r="BK370" s="1330"/>
      <c r="BL370" s="1332"/>
      <c r="BM370" s="1330"/>
      <c r="BN370" s="1330"/>
      <c r="BO370" s="1330"/>
      <c r="BP370" s="1330"/>
      <c r="BQ370" s="1332"/>
      <c r="BR370" s="1330"/>
      <c r="BS370" s="1330"/>
      <c r="BT370" s="1330"/>
      <c r="BU370" s="1330"/>
      <c r="BV370" s="1332"/>
      <c r="BW370" s="1330"/>
      <c r="BX370" s="1330"/>
      <c r="BY370" s="1330"/>
      <c r="BZ370" s="1330"/>
      <c r="CA370" s="1332"/>
      <c r="CB370" s="1330"/>
      <c r="CC370" s="1330"/>
      <c r="CD370" s="1330"/>
      <c r="CE370" s="1330"/>
      <c r="CF370" s="1332"/>
      <c r="CG370" s="1330"/>
      <c r="CH370" s="1330"/>
      <c r="CI370" s="1330"/>
      <c r="CJ370" s="1330"/>
      <c r="CK370" s="1332"/>
      <c r="CL370" s="1330"/>
      <c r="CM370" s="1330"/>
      <c r="CN370" s="1330"/>
      <c r="CO370" s="1330"/>
      <c r="CP370" s="1332"/>
      <c r="CQ370" s="1330"/>
      <c r="CR370" s="1330"/>
      <c r="CS370" s="1330"/>
      <c r="CT370" s="1330"/>
      <c r="CU370" s="1332"/>
      <c r="CV370" s="1330"/>
      <c r="CW370" s="1330"/>
      <c r="CX370" s="1330"/>
      <c r="CY370" s="1330"/>
      <c r="CZ370" s="1332"/>
      <c r="DA370" s="1330"/>
      <c r="DB370" s="1330"/>
      <c r="DC370" s="1330"/>
      <c r="DD370" s="1330"/>
      <c r="DE370" s="1332"/>
      <c r="DF370" s="1330"/>
      <c r="DG370" s="1330"/>
      <c r="DH370" s="1330"/>
      <c r="DI370" s="1330"/>
      <c r="DJ370" s="1332"/>
      <c r="DK370" s="1330"/>
      <c r="DL370" s="1330"/>
      <c r="DM370" s="1330"/>
      <c r="DN370" s="1330"/>
      <c r="DO370" s="1332"/>
      <c r="DP370" s="1330"/>
      <c r="DQ370" s="1330"/>
      <c r="DR370" s="1330"/>
      <c r="DS370" s="1330"/>
      <c r="DT370" s="1332"/>
      <c r="DU370" s="1330"/>
      <c r="DV370" s="1330"/>
      <c r="DW370" s="1330"/>
      <c r="DX370" s="1330"/>
      <c r="DY370" s="1332"/>
    </row>
    <row r="371" spans="1:129" x14ac:dyDescent="0.2">
      <c r="A371" s="1223"/>
      <c r="B371" s="1287" t="s">
        <v>1149</v>
      </c>
      <c r="C371" s="650"/>
      <c r="D371" s="650"/>
      <c r="E371" s="650"/>
      <c r="F371" s="650"/>
      <c r="G371" s="650"/>
      <c r="H371" s="650"/>
      <c r="I371" s="650"/>
      <c r="J371" s="650"/>
      <c r="K371" s="650"/>
      <c r="L371" s="650"/>
      <c r="M371" s="650"/>
      <c r="N371" s="650"/>
      <c r="O371" s="650"/>
      <c r="P371" s="650"/>
      <c r="Q371" s="650"/>
      <c r="R371" s="650"/>
      <c r="S371" s="650"/>
      <c r="T371" s="650"/>
      <c r="U371" s="650"/>
      <c r="V371" s="650"/>
      <c r="W371" s="650"/>
      <c r="X371" s="1288"/>
      <c r="Y371" s="650"/>
      <c r="Z371" s="650"/>
      <c r="AA371" s="650"/>
      <c r="AB371" s="650"/>
      <c r="AC371" s="1288"/>
      <c r="AD371" s="650"/>
      <c r="AE371" s="650"/>
      <c r="AF371" s="650"/>
      <c r="AG371" s="650"/>
      <c r="AH371" s="1288"/>
      <c r="AI371" s="650"/>
      <c r="AJ371" s="650"/>
      <c r="AK371" s="650"/>
      <c r="AL371" s="650"/>
      <c r="AM371" s="1288"/>
      <c r="AN371" s="650"/>
      <c r="AO371" s="650"/>
      <c r="AP371" s="650"/>
      <c r="AQ371" s="650"/>
      <c r="AR371" s="1288"/>
      <c r="AS371" s="650"/>
      <c r="AT371" s="650"/>
      <c r="AU371" s="650"/>
      <c r="AV371" s="650"/>
      <c r="AW371" s="1288"/>
      <c r="AX371" s="650"/>
      <c r="AY371" s="650"/>
      <c r="AZ371" s="650"/>
      <c r="BA371" s="650"/>
      <c r="BB371" s="1288"/>
      <c r="BC371" s="650"/>
      <c r="BD371" s="650"/>
      <c r="BE371" s="650"/>
      <c r="BF371" s="650"/>
      <c r="BG371" s="1288"/>
      <c r="BH371" s="650"/>
      <c r="BI371" s="650"/>
      <c r="BJ371" s="650"/>
      <c r="BK371" s="650"/>
      <c r="BL371" s="583"/>
      <c r="BM371" s="650"/>
      <c r="BN371" s="650"/>
      <c r="BO371" s="650"/>
      <c r="BP371" s="650"/>
      <c r="BQ371" s="583"/>
      <c r="BR371" s="650"/>
      <c r="BS371" s="650"/>
      <c r="BT371" s="650"/>
      <c r="BU371" s="650"/>
      <c r="BV371" s="583"/>
      <c r="BW371" s="650"/>
      <c r="BX371" s="650"/>
      <c r="BY371" s="650"/>
      <c r="BZ371" s="650"/>
      <c r="CA371" s="583"/>
      <c r="CB371" s="650"/>
      <c r="CC371" s="650"/>
      <c r="CD371" s="650"/>
      <c r="CE371" s="650"/>
      <c r="CF371" s="583"/>
      <c r="CG371" s="650"/>
      <c r="CH371" s="650"/>
      <c r="CI371" s="650"/>
      <c r="CJ371" s="650"/>
      <c r="CK371" s="583"/>
      <c r="CL371" s="650"/>
      <c r="CM371" s="650"/>
      <c r="CN371" s="650"/>
      <c r="CO371" s="650"/>
      <c r="CP371" s="583"/>
      <c r="CQ371" s="650"/>
      <c r="CR371" s="650"/>
      <c r="CS371" s="650"/>
      <c r="CT371" s="650"/>
      <c r="CU371" s="583"/>
      <c r="CV371" s="650"/>
      <c r="CW371" s="650"/>
      <c r="CX371" s="650"/>
      <c r="CY371" s="650"/>
      <c r="CZ371" s="583"/>
      <c r="DA371" s="650"/>
      <c r="DB371" s="650"/>
      <c r="DC371" s="650"/>
      <c r="DD371" s="650"/>
      <c r="DE371" s="583"/>
      <c r="DF371" s="650"/>
      <c r="DG371" s="650"/>
      <c r="DH371" s="650"/>
      <c r="DI371" s="650"/>
      <c r="DJ371" s="583"/>
      <c r="DK371" s="650"/>
      <c r="DL371" s="650"/>
      <c r="DM371" s="650"/>
      <c r="DN371" s="650"/>
      <c r="DO371" s="583"/>
      <c r="DP371" s="650"/>
      <c r="DQ371" s="650"/>
      <c r="DR371" s="650"/>
      <c r="DS371" s="650"/>
      <c r="DT371" s="583"/>
      <c r="DU371" s="650"/>
      <c r="DV371" s="650"/>
      <c r="DW371" s="650"/>
      <c r="DX371" s="650"/>
      <c r="DY371" s="583"/>
    </row>
    <row r="372" spans="1:129" x14ac:dyDescent="0.2">
      <c r="A372" s="1223"/>
      <c r="B372" s="1287" t="s">
        <v>1150</v>
      </c>
      <c r="C372" s="650"/>
      <c r="D372" s="650"/>
      <c r="E372" s="650"/>
      <c r="F372" s="650"/>
      <c r="G372" s="650"/>
      <c r="H372" s="650"/>
      <c r="I372" s="650"/>
      <c r="J372" s="650"/>
      <c r="K372" s="650"/>
      <c r="L372" s="650"/>
      <c r="M372" s="650"/>
      <c r="N372" s="650"/>
      <c r="O372" s="650"/>
      <c r="P372" s="650"/>
      <c r="Q372" s="650"/>
      <c r="R372" s="650"/>
      <c r="S372" s="650"/>
      <c r="T372" s="650"/>
      <c r="U372" s="650"/>
      <c r="V372" s="650"/>
      <c r="W372" s="650"/>
      <c r="X372" s="1288"/>
      <c r="Y372" s="650"/>
      <c r="Z372" s="650"/>
      <c r="AA372" s="650"/>
      <c r="AB372" s="650"/>
      <c r="AC372" s="1288"/>
      <c r="AD372" s="650"/>
      <c r="AE372" s="650"/>
      <c r="AF372" s="650"/>
      <c r="AG372" s="650"/>
      <c r="AH372" s="1288"/>
      <c r="AI372" s="650"/>
      <c r="AJ372" s="650"/>
      <c r="AK372" s="650"/>
      <c r="AL372" s="650"/>
      <c r="AM372" s="1288"/>
      <c r="AN372" s="650"/>
      <c r="AO372" s="650"/>
      <c r="AP372" s="650"/>
      <c r="AQ372" s="650"/>
      <c r="AR372" s="1288"/>
      <c r="AS372" s="650"/>
      <c r="AT372" s="650"/>
      <c r="AU372" s="650"/>
      <c r="AV372" s="650"/>
      <c r="AW372" s="1288"/>
      <c r="AX372" s="650"/>
      <c r="AY372" s="650"/>
      <c r="AZ372" s="650"/>
      <c r="BA372" s="650"/>
      <c r="BB372" s="1288"/>
      <c r="BC372" s="650"/>
      <c r="BD372" s="650"/>
      <c r="BE372" s="650"/>
      <c r="BF372" s="650"/>
      <c r="BG372" s="1289"/>
      <c r="BH372" s="650"/>
      <c r="BI372" s="650"/>
      <c r="BJ372" s="650"/>
      <c r="BK372" s="650"/>
      <c r="BL372" s="1333"/>
      <c r="BM372" s="650"/>
      <c r="BN372" s="650"/>
      <c r="BO372" s="650"/>
      <c r="BP372" s="650"/>
      <c r="BQ372" s="1333"/>
      <c r="BR372" s="650"/>
      <c r="BS372" s="650"/>
      <c r="BT372" s="650"/>
      <c r="BU372" s="650"/>
      <c r="BV372" s="1333"/>
      <c r="BW372" s="650"/>
      <c r="BX372" s="650"/>
      <c r="BY372" s="650"/>
      <c r="BZ372" s="650"/>
      <c r="CA372" s="1333"/>
      <c r="CB372" s="1334">
        <v>4.1250000000000002E-2</v>
      </c>
      <c r="CC372" s="1334">
        <v>4.1250000000000002E-2</v>
      </c>
      <c r="CD372" s="1334">
        <v>4.1250000000000002E-2</v>
      </c>
      <c r="CE372" s="1334">
        <v>4.1250000000000002E-2</v>
      </c>
      <c r="CF372" s="1333"/>
      <c r="CG372" s="1334">
        <f>CE372</f>
        <v>4.1250000000000002E-2</v>
      </c>
      <c r="CH372" s="1334">
        <f>CG372</f>
        <v>4.1250000000000002E-2</v>
      </c>
      <c r="CI372" s="1334">
        <f>CH372</f>
        <v>4.1250000000000002E-2</v>
      </c>
      <c r="CJ372" s="1334">
        <f>CI372</f>
        <v>4.1250000000000002E-2</v>
      </c>
      <c r="CK372" s="1333"/>
      <c r="CL372" s="1334">
        <f>CJ372</f>
        <v>4.1250000000000002E-2</v>
      </c>
      <c r="CM372" s="1334">
        <f>CL372</f>
        <v>4.1250000000000002E-2</v>
      </c>
      <c r="CN372" s="1334">
        <f>CM372</f>
        <v>4.1250000000000002E-2</v>
      </c>
      <c r="CO372" s="1334">
        <f>CN372</f>
        <v>4.1250000000000002E-2</v>
      </c>
      <c r="CP372" s="1333"/>
      <c r="CQ372" s="1334">
        <f>CO372</f>
        <v>4.1250000000000002E-2</v>
      </c>
      <c r="CR372" s="1334">
        <f>CQ372</f>
        <v>4.1250000000000002E-2</v>
      </c>
      <c r="CS372" s="1334">
        <f>CR372</f>
        <v>4.1250000000000002E-2</v>
      </c>
      <c r="CT372" s="1334">
        <f>CS372</f>
        <v>4.1250000000000002E-2</v>
      </c>
      <c r="CU372" s="1333"/>
      <c r="CV372" s="1334"/>
      <c r="CW372" s="1334"/>
      <c r="CX372" s="1334">
        <v>3.875E-2</v>
      </c>
      <c r="CY372" s="1334">
        <f>CX372</f>
        <v>3.875E-2</v>
      </c>
      <c r="CZ372" s="1333"/>
      <c r="DA372" s="1334">
        <f>CY372</f>
        <v>3.875E-2</v>
      </c>
      <c r="DB372" s="1334">
        <f>DA372</f>
        <v>3.875E-2</v>
      </c>
      <c r="DC372" s="1334">
        <f>DB372</f>
        <v>3.875E-2</v>
      </c>
      <c r="DD372" s="1334">
        <f>DC372</f>
        <v>3.875E-2</v>
      </c>
      <c r="DE372" s="1333"/>
      <c r="DF372" s="1334">
        <f>DD372</f>
        <v>3.875E-2</v>
      </c>
      <c r="DG372" s="1334">
        <f>DF372</f>
        <v>3.875E-2</v>
      </c>
      <c r="DH372" s="1334">
        <f>DG372</f>
        <v>3.875E-2</v>
      </c>
      <c r="DI372" s="1334">
        <f>DH372</f>
        <v>3.875E-2</v>
      </c>
      <c r="DJ372" s="1333"/>
      <c r="DK372" s="1334">
        <f>DI372</f>
        <v>3.875E-2</v>
      </c>
      <c r="DL372" s="1334">
        <f>DK372</f>
        <v>3.875E-2</v>
      </c>
      <c r="DM372" s="1334">
        <f>DL372</f>
        <v>3.875E-2</v>
      </c>
      <c r="DN372" s="1334">
        <f>DM372</f>
        <v>3.875E-2</v>
      </c>
      <c r="DO372" s="1333"/>
      <c r="DP372" s="1334">
        <f>DN372</f>
        <v>3.875E-2</v>
      </c>
      <c r="DQ372" s="1334">
        <f>DP372</f>
        <v>3.875E-2</v>
      </c>
      <c r="DR372" s="1334">
        <f>DQ372</f>
        <v>3.875E-2</v>
      </c>
      <c r="DS372" s="1334">
        <f>DR372</f>
        <v>3.875E-2</v>
      </c>
      <c r="DT372" s="1333"/>
      <c r="DU372" s="1334">
        <f>DS372</f>
        <v>3.875E-2</v>
      </c>
      <c r="DV372" s="1334">
        <f>DU372</f>
        <v>3.875E-2</v>
      </c>
      <c r="DW372" s="1334">
        <f>DV372</f>
        <v>3.875E-2</v>
      </c>
      <c r="DX372" s="1334">
        <f>DW372</f>
        <v>3.875E-2</v>
      </c>
      <c r="DY372" s="1333"/>
    </row>
    <row r="373" spans="1:129" x14ac:dyDescent="0.2">
      <c r="A373" s="1223"/>
      <c r="B373" s="1190" t="s">
        <v>1151</v>
      </c>
      <c r="C373" s="1293"/>
      <c r="D373" s="1293"/>
      <c r="E373" s="1293"/>
      <c r="F373" s="1293"/>
      <c r="G373" s="1293"/>
      <c r="H373" s="1293"/>
      <c r="I373" s="1293"/>
      <c r="J373" s="1293"/>
      <c r="K373" s="1293"/>
      <c r="L373" s="1293"/>
      <c r="M373" s="1293"/>
      <c r="N373" s="1293"/>
      <c r="O373" s="1293"/>
      <c r="P373" s="1293"/>
      <c r="Q373" s="1293"/>
      <c r="R373" s="1293"/>
      <c r="S373" s="1293"/>
      <c r="T373" s="1293"/>
      <c r="U373" s="1293"/>
      <c r="V373" s="1293"/>
      <c r="W373" s="1293"/>
      <c r="X373" s="1227"/>
      <c r="Y373" s="1231"/>
      <c r="Z373" s="1231"/>
      <c r="AA373" s="1231"/>
      <c r="AB373" s="1294"/>
      <c r="AC373" s="1227"/>
      <c r="AD373" s="1231"/>
      <c r="AE373" s="1231"/>
      <c r="AF373" s="1231"/>
      <c r="AG373" s="1294"/>
      <c r="AH373" s="1227"/>
      <c r="AI373" s="1231"/>
      <c r="AJ373" s="1231"/>
      <c r="AK373" s="1231"/>
      <c r="AL373" s="1294"/>
      <c r="AM373" s="1227"/>
      <c r="AN373" s="1231"/>
      <c r="AO373" s="1231"/>
      <c r="AP373" s="1231"/>
      <c r="AQ373" s="1294"/>
      <c r="AR373" s="1227"/>
      <c r="AS373" s="1231"/>
      <c r="AT373" s="1231"/>
      <c r="AU373" s="1231"/>
      <c r="AV373" s="1294"/>
      <c r="AW373" s="1227"/>
      <c r="AX373" s="1231"/>
      <c r="AY373" s="1231"/>
      <c r="AZ373" s="1231"/>
      <c r="BA373" s="1231"/>
      <c r="BB373" s="1227"/>
      <c r="BC373" s="1231"/>
      <c r="BD373" s="1231"/>
      <c r="BE373" s="1231"/>
      <c r="BF373" s="1231"/>
      <c r="BG373" s="1227"/>
      <c r="BH373" s="1231"/>
      <c r="BI373" s="1231"/>
      <c r="BJ373" s="1231"/>
      <c r="BK373" s="1231"/>
      <c r="BL373" s="1326"/>
      <c r="BM373" s="1231"/>
      <c r="BN373" s="1231"/>
      <c r="BO373" s="1231"/>
      <c r="BP373" s="1231"/>
      <c r="BQ373" s="1326"/>
      <c r="BR373" s="1231"/>
      <c r="BS373" s="1231"/>
      <c r="BT373" s="1231"/>
      <c r="BU373" s="1231"/>
      <c r="BV373" s="1326"/>
      <c r="BW373" s="1231"/>
      <c r="BX373" s="1231"/>
      <c r="BY373" s="1231"/>
      <c r="BZ373" s="1231"/>
      <c r="CA373" s="1326"/>
      <c r="CB373" s="1231"/>
      <c r="CC373" s="1231"/>
      <c r="CD373" s="1231"/>
      <c r="CE373" s="1231"/>
      <c r="CF373" s="1326"/>
      <c r="CG373" s="1231"/>
      <c r="CH373" s="1231"/>
      <c r="CI373" s="1231"/>
      <c r="CJ373" s="1231"/>
      <c r="CK373" s="1326"/>
      <c r="CL373" s="1231"/>
      <c r="CM373" s="1231"/>
      <c r="CN373" s="1231"/>
      <c r="CO373" s="1231"/>
      <c r="CP373" s="1326"/>
      <c r="CQ373" s="1231"/>
      <c r="CR373" s="1231"/>
      <c r="CS373" s="1231"/>
      <c r="CT373" s="1231"/>
      <c r="CU373" s="1326"/>
      <c r="CV373" s="1231"/>
      <c r="CW373" s="1231"/>
      <c r="CX373" s="1231"/>
      <c r="CY373" s="1231"/>
      <c r="CZ373" s="1326"/>
      <c r="DA373" s="1231"/>
      <c r="DB373" s="1231"/>
      <c r="DC373" s="1231"/>
      <c r="DD373" s="1231"/>
      <c r="DE373" s="1326"/>
      <c r="DF373" s="1231"/>
      <c r="DG373" s="1231"/>
      <c r="DH373" s="1231"/>
      <c r="DI373" s="1231"/>
      <c r="DJ373" s="1326"/>
      <c r="DK373" s="1231"/>
      <c r="DL373" s="1231"/>
      <c r="DM373" s="1231"/>
      <c r="DN373" s="1231"/>
      <c r="DO373" s="1326"/>
      <c r="DP373" s="1231"/>
      <c r="DQ373" s="1231"/>
      <c r="DR373" s="1231"/>
      <c r="DS373" s="1231"/>
      <c r="DT373" s="1326"/>
      <c r="DU373" s="1231"/>
      <c r="DV373" s="1231"/>
      <c r="DW373" s="1231"/>
      <c r="DX373" s="1231"/>
      <c r="DY373" s="1326"/>
    </row>
    <row r="374" spans="1:129" x14ac:dyDescent="0.2">
      <c r="A374" s="1223"/>
      <c r="B374" s="1190" t="s">
        <v>1152</v>
      </c>
      <c r="C374" s="1231"/>
      <c r="D374" s="1231"/>
      <c r="E374" s="1231"/>
      <c r="F374" s="1231"/>
      <c r="G374" s="1231"/>
      <c r="H374" s="1231"/>
      <c r="I374" s="1231"/>
      <c r="J374" s="1231"/>
      <c r="K374" s="1231"/>
      <c r="L374" s="1231"/>
      <c r="M374" s="1231"/>
      <c r="N374" s="1231"/>
      <c r="O374" s="1231"/>
      <c r="P374" s="1231"/>
      <c r="Q374" s="1231"/>
      <c r="R374" s="1231"/>
      <c r="S374" s="1231"/>
      <c r="T374" s="1231"/>
      <c r="U374" s="1231"/>
      <c r="V374" s="1231"/>
      <c r="W374" s="1231"/>
      <c r="X374" s="1227"/>
      <c r="Y374" s="1231"/>
      <c r="Z374" s="1231"/>
      <c r="AA374" s="1231"/>
      <c r="AB374" s="1231"/>
      <c r="AC374" s="1227"/>
      <c r="AD374" s="1231"/>
      <c r="AE374" s="1231"/>
      <c r="AF374" s="1231"/>
      <c r="AG374" s="1231"/>
      <c r="AH374" s="1227"/>
      <c r="AI374" s="1231"/>
      <c r="AJ374" s="1231"/>
      <c r="AK374" s="1231"/>
      <c r="AL374" s="1231"/>
      <c r="AM374" s="1227"/>
      <c r="AN374" s="1231"/>
      <c r="AO374" s="1231"/>
      <c r="AP374" s="1231"/>
      <c r="AQ374" s="1231"/>
      <c r="AR374" s="1227"/>
      <c r="AS374" s="1231"/>
      <c r="AT374" s="1231"/>
      <c r="AU374" s="1231"/>
      <c r="AV374" s="1231"/>
      <c r="AW374" s="1227"/>
      <c r="AX374" s="1231"/>
      <c r="AY374" s="1231"/>
      <c r="AZ374" s="1231"/>
      <c r="BA374" s="1231"/>
      <c r="BB374" s="1227"/>
      <c r="BC374" s="1231"/>
      <c r="BD374" s="1231"/>
      <c r="BE374" s="1231"/>
      <c r="BF374" s="1231"/>
      <c r="BG374" s="1227"/>
      <c r="BH374" s="1231"/>
      <c r="BI374" s="1231"/>
      <c r="BJ374" s="1231"/>
      <c r="BK374" s="1231"/>
      <c r="BL374" s="1326"/>
      <c r="BM374" s="1231"/>
      <c r="BN374" s="1231"/>
      <c r="BO374" s="1231"/>
      <c r="BP374" s="1231"/>
      <c r="BQ374" s="1326"/>
      <c r="BR374" s="1231"/>
      <c r="BS374" s="1231"/>
      <c r="BT374" s="1231"/>
      <c r="BU374" s="1231"/>
      <c r="BV374" s="1326"/>
      <c r="BW374" s="1231"/>
      <c r="BX374" s="1231"/>
      <c r="BY374" s="1231"/>
      <c r="BZ374" s="1231"/>
      <c r="CA374" s="1326"/>
      <c r="CB374" s="1223"/>
      <c r="CC374" s="1223"/>
      <c r="CD374" s="1223"/>
      <c r="CE374" s="1223"/>
      <c r="CF374" s="1326"/>
      <c r="CG374" s="1223"/>
      <c r="CH374" s="1223"/>
      <c r="CI374" s="1223"/>
      <c r="CJ374" s="1223"/>
      <c r="CK374" s="1326"/>
      <c r="CL374" s="1223"/>
      <c r="CM374" s="1223"/>
      <c r="CN374" s="1223"/>
      <c r="CO374" s="1223"/>
      <c r="CP374" s="1326"/>
      <c r="CQ374" s="1223"/>
      <c r="CR374" s="1223"/>
      <c r="CS374" s="1223"/>
      <c r="CT374" s="1223"/>
      <c r="CU374" s="1326"/>
      <c r="CV374" s="1223">
        <f>+CT374</f>
        <v>0</v>
      </c>
      <c r="CW374" s="1223">
        <f>+CV376</f>
        <v>0</v>
      </c>
      <c r="CX374" s="1223">
        <f>+CW376</f>
        <v>0</v>
      </c>
      <c r="CY374" s="1223">
        <f>+CX376</f>
        <v>3000</v>
      </c>
      <c r="CZ374" s="1326">
        <f>CU376</f>
        <v>0</v>
      </c>
      <c r="DA374" s="1223">
        <f>CZ376</f>
        <v>3000</v>
      </c>
      <c r="DB374" s="1223">
        <f>+DA376</f>
        <v>3000</v>
      </c>
      <c r="DC374" s="1223">
        <f>+DB376</f>
        <v>3000</v>
      </c>
      <c r="DD374" s="1223">
        <f>+DC376</f>
        <v>3000</v>
      </c>
      <c r="DE374" s="1326">
        <f>CZ376</f>
        <v>3000</v>
      </c>
      <c r="DF374" s="1223">
        <f>+DD376</f>
        <v>3000</v>
      </c>
      <c r="DG374" s="1223">
        <f>+DF376</f>
        <v>3000</v>
      </c>
      <c r="DH374" s="1223">
        <f>+DG376</f>
        <v>3000</v>
      </c>
      <c r="DI374" s="1223">
        <f>+DH376</f>
        <v>3000</v>
      </c>
      <c r="DJ374" s="1326">
        <f>DE376</f>
        <v>3000</v>
      </c>
      <c r="DK374" s="1223">
        <f>+DI376</f>
        <v>3000</v>
      </c>
      <c r="DL374" s="1223">
        <f>+DK376</f>
        <v>3000</v>
      </c>
      <c r="DM374" s="1223">
        <f>+DL376</f>
        <v>3000</v>
      </c>
      <c r="DN374" s="1223">
        <f>+DM376</f>
        <v>3000</v>
      </c>
      <c r="DO374" s="1326">
        <f>DJ376</f>
        <v>3000</v>
      </c>
      <c r="DP374" s="1223">
        <f>+DN376</f>
        <v>3000</v>
      </c>
      <c r="DQ374" s="1223">
        <f>+DP376</f>
        <v>3000</v>
      </c>
      <c r="DR374" s="1223">
        <f>+DQ376</f>
        <v>3000</v>
      </c>
      <c r="DS374" s="1223">
        <f>+DR376</f>
        <v>3000</v>
      </c>
      <c r="DT374" s="1326">
        <f>DO376</f>
        <v>3000</v>
      </c>
      <c r="DU374" s="1223">
        <f>+DS376</f>
        <v>3000</v>
      </c>
      <c r="DV374" s="1223">
        <f>+DU376</f>
        <v>3000</v>
      </c>
      <c r="DW374" s="1223">
        <f>+DV376</f>
        <v>3000</v>
      </c>
      <c r="DX374" s="1223">
        <f>+DW376</f>
        <v>3000</v>
      </c>
      <c r="DY374" s="1326">
        <f>DT376</f>
        <v>3000</v>
      </c>
    </row>
    <row r="375" spans="1:129" x14ac:dyDescent="0.2">
      <c r="A375" s="1223"/>
      <c r="B375" s="1190" t="s">
        <v>1153</v>
      </c>
      <c r="C375" s="1182"/>
      <c r="D375" s="1182"/>
      <c r="E375" s="1182"/>
      <c r="F375" s="1182"/>
      <c r="G375" s="1182"/>
      <c r="H375" s="1182"/>
      <c r="I375" s="1182"/>
      <c r="J375" s="1182"/>
      <c r="K375" s="1182"/>
      <c r="L375" s="1182"/>
      <c r="M375" s="1182"/>
      <c r="N375" s="1182"/>
      <c r="O375" s="1182"/>
      <c r="P375" s="1182"/>
      <c r="Q375" s="1182"/>
      <c r="R375" s="1182"/>
      <c r="S375" s="1182"/>
      <c r="T375" s="1182"/>
      <c r="U375" s="1182"/>
      <c r="V375" s="1182"/>
      <c r="W375" s="1182"/>
      <c r="X375" s="1296"/>
      <c r="Y375" s="1297"/>
      <c r="Z375" s="1297"/>
      <c r="AA375" s="1297"/>
      <c r="AB375" s="1297"/>
      <c r="AC375" s="1296"/>
      <c r="AD375" s="1297"/>
      <c r="AE375" s="1297"/>
      <c r="AF375" s="1297"/>
      <c r="AG375" s="1297"/>
      <c r="AH375" s="1296"/>
      <c r="AI375" s="1297"/>
      <c r="AJ375" s="1297"/>
      <c r="AK375" s="1297"/>
      <c r="AL375" s="1297"/>
      <c r="AM375" s="1296"/>
      <c r="AN375" s="1297"/>
      <c r="AO375" s="1297"/>
      <c r="AP375" s="1297"/>
      <c r="AQ375" s="1297"/>
      <c r="AR375" s="1296"/>
      <c r="AS375" s="1297"/>
      <c r="AT375" s="1297"/>
      <c r="AU375" s="1297"/>
      <c r="AV375" s="1297"/>
      <c r="AW375" s="1296"/>
      <c r="AX375" s="1298"/>
      <c r="AY375" s="1299"/>
      <c r="AZ375" s="1299"/>
      <c r="BA375" s="1298"/>
      <c r="BB375" s="1300"/>
      <c r="BC375" s="1298"/>
      <c r="BD375" s="1298"/>
      <c r="BE375" s="1298"/>
      <c r="BF375" s="1298"/>
      <c r="BG375" s="1296"/>
      <c r="BH375" s="1298"/>
      <c r="BI375" s="1298"/>
      <c r="BJ375" s="1298"/>
      <c r="BK375" s="1298"/>
      <c r="BL375" s="1335"/>
      <c r="BM375" s="1298"/>
      <c r="BN375" s="1298"/>
      <c r="BO375" s="1298"/>
      <c r="BP375" s="1298"/>
      <c r="BQ375" s="1335"/>
      <c r="BR375" s="1298"/>
      <c r="BS375" s="1298"/>
      <c r="BT375" s="1298"/>
      <c r="BU375" s="1298"/>
      <c r="BV375" s="1335"/>
      <c r="BW375" s="1298"/>
      <c r="BX375" s="1298"/>
      <c r="BY375" s="1298"/>
      <c r="BZ375" s="1298"/>
      <c r="CA375" s="1335"/>
      <c r="CB375" s="1336"/>
      <c r="CC375" s="1336"/>
      <c r="CD375" s="1298"/>
      <c r="CE375" s="1298"/>
      <c r="CF375" s="1335"/>
      <c r="CG375" s="1298"/>
      <c r="CH375" s="1298"/>
      <c r="CI375" s="1298"/>
      <c r="CJ375" s="1298"/>
      <c r="CK375" s="1335"/>
      <c r="CL375" s="1298"/>
      <c r="CM375" s="1298"/>
      <c r="CN375" s="1298"/>
      <c r="CO375" s="1298"/>
      <c r="CP375" s="1335"/>
      <c r="CQ375" s="1298"/>
      <c r="CR375" s="1298"/>
      <c r="CS375" s="1298"/>
      <c r="CT375" s="1298"/>
      <c r="CU375" s="1335"/>
      <c r="CV375" s="1298">
        <v>0</v>
      </c>
      <c r="CW375" s="1298">
        <v>0</v>
      </c>
      <c r="CX375" s="1298">
        <v>3000</v>
      </c>
      <c r="CY375" s="1298">
        <v>0</v>
      </c>
      <c r="CZ375" s="1335">
        <f>+SUM(CV375:CY375)</f>
        <v>3000</v>
      </c>
      <c r="DA375" s="1298">
        <v>0</v>
      </c>
      <c r="DB375" s="1298">
        <v>0</v>
      </c>
      <c r="DC375" s="1298">
        <v>0</v>
      </c>
      <c r="DD375" s="1298">
        <v>0</v>
      </c>
      <c r="DE375" s="1335">
        <f>+SUM(DA375:DD375)</f>
        <v>0</v>
      </c>
      <c r="DF375" s="1298">
        <v>0</v>
      </c>
      <c r="DG375" s="1298">
        <v>0</v>
      </c>
      <c r="DH375" s="1298">
        <v>0</v>
      </c>
      <c r="DI375" s="1298">
        <v>0</v>
      </c>
      <c r="DJ375" s="1335">
        <f>+SUM(DF375:DI375)</f>
        <v>0</v>
      </c>
      <c r="DK375" s="1298">
        <v>0</v>
      </c>
      <c r="DL375" s="1298">
        <v>0</v>
      </c>
      <c r="DM375" s="1298">
        <v>0</v>
      </c>
      <c r="DN375" s="1298">
        <v>0</v>
      </c>
      <c r="DO375" s="1335">
        <f>+SUM(DK375:DN375)</f>
        <v>0</v>
      </c>
      <c r="DP375" s="1298">
        <v>0</v>
      </c>
      <c r="DQ375" s="1298">
        <v>0</v>
      </c>
      <c r="DR375" s="1298">
        <v>0</v>
      </c>
      <c r="DS375" s="1298">
        <v>0</v>
      </c>
      <c r="DT375" s="1335">
        <f>+SUM(DP375:DS375)</f>
        <v>0</v>
      </c>
      <c r="DU375" s="1298">
        <v>0</v>
      </c>
      <c r="DV375" s="1298">
        <v>0</v>
      </c>
      <c r="DW375" s="1298">
        <v>0</v>
      </c>
      <c r="DX375" s="1298">
        <v>0</v>
      </c>
      <c r="DY375" s="1335">
        <f>+SUM(DU375:DX375)</f>
        <v>0</v>
      </c>
    </row>
    <row r="376" spans="1:129" x14ac:dyDescent="0.2">
      <c r="A376" s="1223"/>
      <c r="B376" s="1190" t="s">
        <v>1154</v>
      </c>
      <c r="C376" s="1182"/>
      <c r="D376" s="1182"/>
      <c r="E376" s="1182"/>
      <c r="F376" s="1182"/>
      <c r="G376" s="1182"/>
      <c r="H376" s="1182"/>
      <c r="I376" s="1182"/>
      <c r="J376" s="1182"/>
      <c r="K376" s="1182"/>
      <c r="L376" s="1182"/>
      <c r="M376" s="1182"/>
      <c r="N376" s="1182"/>
      <c r="O376" s="1182"/>
      <c r="P376" s="1182"/>
      <c r="Q376" s="1182"/>
      <c r="R376" s="1182"/>
      <c r="S376" s="1182"/>
      <c r="T376" s="1182"/>
      <c r="U376" s="1182"/>
      <c r="V376" s="1182"/>
      <c r="W376" s="1182"/>
      <c r="X376" s="1304"/>
      <c r="Y376" s="1305"/>
      <c r="Z376" s="1305"/>
      <c r="AA376" s="1305"/>
      <c r="AB376" s="1305"/>
      <c r="AC376" s="1304"/>
      <c r="AD376" s="1305"/>
      <c r="AE376" s="1305"/>
      <c r="AF376" s="1305"/>
      <c r="AG376" s="1305"/>
      <c r="AH376" s="1304"/>
      <c r="AI376" s="1305"/>
      <c r="AJ376" s="1305"/>
      <c r="AK376" s="1305"/>
      <c r="AL376" s="1305"/>
      <c r="AM376" s="1304"/>
      <c r="AN376" s="1305"/>
      <c r="AO376" s="1305"/>
      <c r="AP376" s="1305"/>
      <c r="AQ376" s="1305"/>
      <c r="AR376" s="1304"/>
      <c r="AS376" s="1305"/>
      <c r="AT376" s="1305"/>
      <c r="AU376" s="1305"/>
      <c r="AV376" s="1305"/>
      <c r="AW376" s="1304"/>
      <c r="AX376" s="1305"/>
      <c r="AY376" s="1305"/>
      <c r="AZ376" s="1305"/>
      <c r="BA376" s="1305"/>
      <c r="BB376" s="1304"/>
      <c r="BC376" s="1305"/>
      <c r="BD376" s="1305"/>
      <c r="BE376" s="1305"/>
      <c r="BF376" s="1305"/>
      <c r="BG376" s="1306"/>
      <c r="BH376" s="1305"/>
      <c r="BI376" s="1305"/>
      <c r="BJ376" s="1305"/>
      <c r="BK376" s="1305"/>
      <c r="BL376" s="1337"/>
      <c r="BM376" s="1305"/>
      <c r="BN376" s="1305"/>
      <c r="BO376" s="1305"/>
      <c r="BP376" s="1305"/>
      <c r="BQ376" s="1337"/>
      <c r="BR376" s="1305"/>
      <c r="BS376" s="1305"/>
      <c r="BT376" s="1305"/>
      <c r="BU376" s="1305"/>
      <c r="BV376" s="1337"/>
      <c r="BW376" s="1305"/>
      <c r="BX376" s="1305"/>
      <c r="BY376" s="1305"/>
      <c r="BZ376" s="1305"/>
      <c r="CA376" s="1337"/>
      <c r="CB376" s="1295"/>
      <c r="CC376" s="1224"/>
      <c r="CD376" s="1295"/>
      <c r="CE376" s="1295"/>
      <c r="CF376" s="1325"/>
      <c r="CG376" s="1295"/>
      <c r="CH376" s="1295"/>
      <c r="CI376" s="1295"/>
      <c r="CJ376" s="1295"/>
      <c r="CK376" s="1325"/>
      <c r="CL376" s="1295"/>
      <c r="CM376" s="1295"/>
      <c r="CN376" s="1295"/>
      <c r="CO376" s="1295"/>
      <c r="CP376" s="1325"/>
      <c r="CQ376" s="1295"/>
      <c r="CR376" s="1295"/>
      <c r="CS376" s="1295"/>
      <c r="CT376" s="1295"/>
      <c r="CU376" s="1325"/>
      <c r="CV376" s="1295">
        <f>CV374+CV375</f>
        <v>0</v>
      </c>
      <c r="CW376" s="1295">
        <f>CW374+CW375</f>
        <v>0</v>
      </c>
      <c r="CX376" s="1295">
        <f>CX374+CX375</f>
        <v>3000</v>
      </c>
      <c r="CY376" s="1295">
        <f>CY374+CY375</f>
        <v>3000</v>
      </c>
      <c r="CZ376" s="1325">
        <f t="shared" ref="CZ376:DJ376" si="226">CZ374+CZ375</f>
        <v>3000</v>
      </c>
      <c r="DA376" s="1295">
        <f t="shared" si="226"/>
        <v>3000</v>
      </c>
      <c r="DB376" s="1295">
        <f t="shared" si="226"/>
        <v>3000</v>
      </c>
      <c r="DC376" s="1295">
        <f t="shared" si="226"/>
        <v>3000</v>
      </c>
      <c r="DD376" s="1295">
        <f t="shared" si="226"/>
        <v>3000</v>
      </c>
      <c r="DE376" s="1325">
        <f t="shared" si="226"/>
        <v>3000</v>
      </c>
      <c r="DF376" s="1295">
        <f t="shared" si="226"/>
        <v>3000</v>
      </c>
      <c r="DG376" s="1295">
        <f t="shared" si="226"/>
        <v>3000</v>
      </c>
      <c r="DH376" s="1295">
        <f t="shared" si="226"/>
        <v>3000</v>
      </c>
      <c r="DI376" s="1295">
        <f t="shared" si="226"/>
        <v>3000</v>
      </c>
      <c r="DJ376" s="1325">
        <f t="shared" si="226"/>
        <v>3000</v>
      </c>
      <c r="DK376" s="1295">
        <f t="shared" ref="DK376:DT376" si="227">DK374+DK375</f>
        <v>3000</v>
      </c>
      <c r="DL376" s="1295">
        <f t="shared" si="227"/>
        <v>3000</v>
      </c>
      <c r="DM376" s="1295">
        <f t="shared" si="227"/>
        <v>3000</v>
      </c>
      <c r="DN376" s="1295">
        <f t="shared" si="227"/>
        <v>3000</v>
      </c>
      <c r="DO376" s="1325">
        <f t="shared" si="227"/>
        <v>3000</v>
      </c>
      <c r="DP376" s="1295">
        <f t="shared" si="227"/>
        <v>3000</v>
      </c>
      <c r="DQ376" s="1295">
        <f t="shared" si="227"/>
        <v>3000</v>
      </c>
      <c r="DR376" s="1295">
        <f t="shared" si="227"/>
        <v>3000</v>
      </c>
      <c r="DS376" s="1295">
        <f t="shared" si="227"/>
        <v>3000</v>
      </c>
      <c r="DT376" s="1325">
        <f t="shared" si="227"/>
        <v>3000</v>
      </c>
      <c r="DU376" s="1295">
        <f t="shared" ref="DU376:DY376" si="228">DU374+DU375</f>
        <v>3000</v>
      </c>
      <c r="DV376" s="1295">
        <f t="shared" si="228"/>
        <v>3000</v>
      </c>
      <c r="DW376" s="1295">
        <f t="shared" si="228"/>
        <v>3000</v>
      </c>
      <c r="DX376" s="1295">
        <f t="shared" si="228"/>
        <v>3000</v>
      </c>
      <c r="DY376" s="1325">
        <f t="shared" si="228"/>
        <v>3000</v>
      </c>
    </row>
    <row r="377" spans="1:129" x14ac:dyDescent="0.2">
      <c r="A377" s="1223"/>
      <c r="B377" s="1190" t="s">
        <v>1155</v>
      </c>
      <c r="C377" s="1182"/>
      <c r="D377" s="1182"/>
      <c r="E377" s="1182"/>
      <c r="F377" s="1182"/>
      <c r="G377" s="1182"/>
      <c r="H377" s="1182"/>
      <c r="I377" s="1182"/>
      <c r="J377" s="1182"/>
      <c r="K377" s="1182"/>
      <c r="L377" s="1182"/>
      <c r="M377" s="1182"/>
      <c r="N377" s="1182"/>
      <c r="O377" s="1182"/>
      <c r="P377" s="1182"/>
      <c r="Q377" s="1182"/>
      <c r="R377" s="1182"/>
      <c r="S377" s="1182"/>
      <c r="T377" s="1182"/>
      <c r="U377" s="1182"/>
      <c r="V377" s="1182"/>
      <c r="W377" s="1182"/>
      <c r="X377" s="1227"/>
      <c r="Y377" s="1231"/>
      <c r="Z377" s="1231"/>
      <c r="AA377" s="1231"/>
      <c r="AB377" s="1231"/>
      <c r="AC377" s="1227"/>
      <c r="AD377" s="1231"/>
      <c r="AE377" s="1231"/>
      <c r="AF377" s="1231"/>
      <c r="AG377" s="1231"/>
      <c r="AH377" s="1227"/>
      <c r="AI377" s="1231"/>
      <c r="AJ377" s="1231"/>
      <c r="AK377" s="1231"/>
      <c r="AL377" s="1231"/>
      <c r="AM377" s="1227"/>
      <c r="AN377" s="1231"/>
      <c r="AO377" s="1231"/>
      <c r="AP377" s="1231"/>
      <c r="AQ377" s="1231"/>
      <c r="AR377" s="1227"/>
      <c r="AS377" s="1231"/>
      <c r="AT377" s="1231"/>
      <c r="AU377" s="1231"/>
      <c r="AV377" s="1231"/>
      <c r="AW377" s="1227"/>
      <c r="AX377" s="1231"/>
      <c r="AY377" s="1231"/>
      <c r="AZ377" s="1231"/>
      <c r="BA377" s="1231"/>
      <c r="BB377" s="1227"/>
      <c r="BC377" s="1231"/>
      <c r="BD377" s="1231"/>
      <c r="BE377" s="1231"/>
      <c r="BF377" s="1231"/>
      <c r="BG377" s="1227"/>
      <c r="BH377" s="1231"/>
      <c r="BI377" s="1231"/>
      <c r="BJ377" s="1231"/>
      <c r="BK377" s="1231"/>
      <c r="BL377" s="1326"/>
      <c r="BM377" s="1231"/>
      <c r="BN377" s="1231"/>
      <c r="BO377" s="1231"/>
      <c r="BP377" s="1231"/>
      <c r="BQ377" s="1326"/>
      <c r="BR377" s="1231"/>
      <c r="BS377" s="1231"/>
      <c r="BT377" s="1231"/>
      <c r="BU377" s="1231"/>
      <c r="BV377" s="1326"/>
      <c r="BW377" s="1231"/>
      <c r="BX377" s="1231"/>
      <c r="BY377" s="1231"/>
      <c r="BZ377" s="1231"/>
      <c r="CA377" s="1326"/>
      <c r="CB377" s="1231"/>
      <c r="CC377" s="1231"/>
      <c r="CD377" s="1231"/>
      <c r="CE377" s="1231"/>
      <c r="CF377" s="1326"/>
      <c r="CG377" s="1231"/>
      <c r="CH377" s="1231"/>
      <c r="CI377" s="1231"/>
      <c r="CJ377" s="1231"/>
      <c r="CK377" s="1326"/>
      <c r="CL377" s="1231"/>
      <c r="CM377" s="1231"/>
      <c r="CN377" s="1231"/>
      <c r="CO377" s="1231"/>
      <c r="CP377" s="1326"/>
      <c r="CQ377" s="1231"/>
      <c r="CR377" s="1231"/>
      <c r="CS377" s="1231"/>
      <c r="CT377" s="1231"/>
      <c r="CU377" s="1326"/>
      <c r="CV377" s="1231"/>
      <c r="CW377" s="1231"/>
      <c r="CX377" s="1231"/>
      <c r="CY377" s="1231"/>
      <c r="CZ377" s="1326"/>
      <c r="DA377" s="1231"/>
      <c r="DB377" s="1231"/>
      <c r="DC377" s="1231"/>
      <c r="DD377" s="1231"/>
      <c r="DE377" s="1326"/>
      <c r="DF377" s="1231"/>
      <c r="DG377" s="1231"/>
      <c r="DH377" s="1231"/>
      <c r="DI377" s="1231"/>
      <c r="DJ377" s="1326"/>
      <c r="DK377" s="1231"/>
      <c r="DL377" s="1231"/>
      <c r="DM377" s="1231"/>
      <c r="DN377" s="1231"/>
      <c r="DO377" s="1326"/>
      <c r="DP377" s="1231"/>
      <c r="DQ377" s="1231"/>
      <c r="DR377" s="1231"/>
      <c r="DS377" s="1231"/>
      <c r="DT377" s="1326"/>
      <c r="DU377" s="1231"/>
      <c r="DV377" s="1231"/>
      <c r="DW377" s="1231"/>
      <c r="DX377" s="1231"/>
      <c r="DY377" s="1326"/>
    </row>
    <row r="378" spans="1:129" x14ac:dyDescent="0.2">
      <c r="A378" s="1223"/>
      <c r="B378" s="1190" t="s">
        <v>1156</v>
      </c>
      <c r="C378" s="1182"/>
      <c r="D378" s="1182"/>
      <c r="E378" s="1182"/>
      <c r="F378" s="1182"/>
      <c r="G378" s="1182"/>
      <c r="H378" s="1182"/>
      <c r="I378" s="1182"/>
      <c r="J378" s="1182"/>
      <c r="K378" s="1182"/>
      <c r="L378" s="1182"/>
      <c r="M378" s="1182"/>
      <c r="N378" s="1182"/>
      <c r="O378" s="1182"/>
      <c r="P378" s="1182"/>
      <c r="Q378" s="1182"/>
      <c r="R378" s="1182"/>
      <c r="S378" s="1182"/>
      <c r="T378" s="1182"/>
      <c r="U378" s="1182"/>
      <c r="V378" s="1182"/>
      <c r="W378" s="1182"/>
      <c r="X378" s="1227"/>
      <c r="Y378" s="1231"/>
      <c r="Z378" s="1231"/>
      <c r="AA378" s="1231"/>
      <c r="AB378" s="1231"/>
      <c r="AC378" s="1227"/>
      <c r="AD378" s="1231"/>
      <c r="AE378" s="1231"/>
      <c r="AF378" s="1231"/>
      <c r="AG378" s="1231"/>
      <c r="AH378" s="1227"/>
      <c r="AI378" s="1231"/>
      <c r="AJ378" s="1231"/>
      <c r="AK378" s="1231"/>
      <c r="AL378" s="1231"/>
      <c r="AM378" s="1227"/>
      <c r="AN378" s="1231"/>
      <c r="AO378" s="1231"/>
      <c r="AP378" s="1231"/>
      <c r="AQ378" s="1231"/>
      <c r="AR378" s="1227"/>
      <c r="AS378" s="1231"/>
      <c r="AT378" s="1231"/>
      <c r="AU378" s="1231"/>
      <c r="AV378" s="1231"/>
      <c r="AW378" s="1227"/>
      <c r="AX378" s="1231"/>
      <c r="AY378" s="1231"/>
      <c r="AZ378" s="1231"/>
      <c r="BA378" s="1231"/>
      <c r="BB378" s="1227"/>
      <c r="BC378" s="1231"/>
      <c r="BD378" s="1231"/>
      <c r="BE378" s="1231"/>
      <c r="BF378" s="1231"/>
      <c r="BG378" s="1227"/>
      <c r="BH378" s="1231"/>
      <c r="BI378" s="1231"/>
      <c r="BJ378" s="1231"/>
      <c r="BK378" s="1231"/>
      <c r="BL378" s="1326"/>
      <c r="BM378" s="1231"/>
      <c r="BN378" s="1231"/>
      <c r="BO378" s="1231"/>
      <c r="BP378" s="1231"/>
      <c r="BQ378" s="1326"/>
      <c r="BR378" s="1231"/>
      <c r="BS378" s="1231"/>
      <c r="BT378" s="1231"/>
      <c r="BU378" s="1231"/>
      <c r="BV378" s="1326"/>
      <c r="BW378" s="1231"/>
      <c r="BX378" s="1231"/>
      <c r="BY378" s="1231"/>
      <c r="BZ378" s="1231"/>
      <c r="CA378" s="1326"/>
      <c r="CB378" s="1223"/>
      <c r="CC378" s="1223"/>
      <c r="CD378" s="1223"/>
      <c r="CE378" s="1223"/>
      <c r="CF378" s="1326"/>
      <c r="CG378" s="1223"/>
      <c r="CH378" s="1223"/>
      <c r="CI378" s="1223"/>
      <c r="CJ378" s="1223"/>
      <c r="CK378" s="1326"/>
      <c r="CL378" s="1223"/>
      <c r="CM378" s="1223"/>
      <c r="CN378" s="1223"/>
      <c r="CO378" s="1223"/>
      <c r="CP378" s="1326"/>
      <c r="CQ378" s="1223"/>
      <c r="CR378" s="1223"/>
      <c r="CS378" s="1223"/>
      <c r="CT378" s="1223"/>
      <c r="CU378" s="1326"/>
      <c r="CV378" s="1223">
        <f>-(AVERAGE(CV376,CV374))*(CV372/4)</f>
        <v>0</v>
      </c>
      <c r="CW378" s="1223">
        <f>-(AVERAGE(CW376,CW374))*(CW372/4)</f>
        <v>0</v>
      </c>
      <c r="CX378" s="1223">
        <f>-CX376*(CX372/4)</f>
        <v>-29.0625</v>
      </c>
      <c r="CY378" s="1223">
        <f>-(AVERAGE(CY376,CY374))*(CY372/4)</f>
        <v>-29.0625</v>
      </c>
      <c r="CZ378" s="1326">
        <f>SUM(CV378:CY378)</f>
        <v>-58.125</v>
      </c>
      <c r="DA378" s="1223">
        <f>-(AVERAGE(DA376,DA374))*(DA372/4)</f>
        <v>-29.0625</v>
      </c>
      <c r="DB378" s="1223">
        <f>-(AVERAGE(DB376,DB374))*(DB372/4)</f>
        <v>-29.0625</v>
      </c>
      <c r="DC378" s="1223">
        <f>-(AVERAGE(DC376,DC374))*(DC372/4)</f>
        <v>-29.0625</v>
      </c>
      <c r="DD378" s="1223">
        <f>-(AVERAGE(DD376,DD374))*(DD372/4)</f>
        <v>-29.0625</v>
      </c>
      <c r="DE378" s="1326">
        <f>SUM(DA378:DD378)</f>
        <v>-116.25</v>
      </c>
      <c r="DF378" s="1223">
        <f>-(AVERAGE(DF376,DF374))*(DF372/4)</f>
        <v>-29.0625</v>
      </c>
      <c r="DG378" s="1223">
        <f>-(AVERAGE(DG376,DG374))*(DG372/4)</f>
        <v>-29.0625</v>
      </c>
      <c r="DH378" s="1223">
        <f>-(AVERAGE(DH376,DH374))*(DH372/4)</f>
        <v>-29.0625</v>
      </c>
      <c r="DI378" s="1223">
        <f>-(AVERAGE(DI376,DI374))*(DI372/4)</f>
        <v>-29.0625</v>
      </c>
      <c r="DJ378" s="1326">
        <f>SUM(DF378:DI378)</f>
        <v>-116.25</v>
      </c>
      <c r="DK378" s="1223">
        <f>-(AVERAGE(DK376,DK374))*(DK372/4)</f>
        <v>-29.0625</v>
      </c>
      <c r="DL378" s="1223">
        <f>-(AVERAGE(DL376,DL374))*(DL372/4)</f>
        <v>-29.0625</v>
      </c>
      <c r="DM378" s="1223">
        <f>-(AVERAGE(DM376,DM374))*(DM372/4)</f>
        <v>-29.0625</v>
      </c>
      <c r="DN378" s="1223">
        <f>-(AVERAGE(DN376,DN374))*(DN372/4)</f>
        <v>-29.0625</v>
      </c>
      <c r="DO378" s="1326">
        <f>SUM(DK378:DN378)</f>
        <v>-116.25</v>
      </c>
      <c r="DP378" s="1223">
        <f>-(AVERAGE(DP376,DP374))*(DP372/4)</f>
        <v>-29.0625</v>
      </c>
      <c r="DQ378" s="1223">
        <f>-(AVERAGE(DQ376,DQ374))*(DQ372/4)</f>
        <v>-29.0625</v>
      </c>
      <c r="DR378" s="1223">
        <f>-(AVERAGE(DR376,DR374))*(DR372/4)</f>
        <v>-29.0625</v>
      </c>
      <c r="DS378" s="1223">
        <f>-(AVERAGE(DS376,DS374))*(DS372/4)</f>
        <v>-29.0625</v>
      </c>
      <c r="DT378" s="1326">
        <f>SUM(DP378:DS378)</f>
        <v>-116.25</v>
      </c>
      <c r="DU378" s="1223">
        <f>-(AVERAGE(DU376,DU374))*(DU372/4)</f>
        <v>-29.0625</v>
      </c>
      <c r="DV378" s="1223">
        <f>-(AVERAGE(DV376,DV374))*(DV372/4)</f>
        <v>-29.0625</v>
      </c>
      <c r="DW378" s="1223">
        <f>-(AVERAGE(DW376,DW374))*(DW372/4)</f>
        <v>-29.0625</v>
      </c>
      <c r="DX378" s="1223">
        <f>-(AVERAGE(DX376,DX374))*(DX372/4)</f>
        <v>-29.0625</v>
      </c>
      <c r="DY378" s="1326">
        <f>SUM(DU378:DX378)</f>
        <v>-116.25</v>
      </c>
    </row>
    <row r="379" spans="1:129" ht="12" thickBot="1" x14ac:dyDescent="0.25">
      <c r="A379" s="1223"/>
      <c r="B379" s="1250" t="s">
        <v>1157</v>
      </c>
      <c r="C379" s="1251"/>
      <c r="D379" s="1251"/>
      <c r="E379" s="1251"/>
      <c r="F379" s="1251"/>
      <c r="G379" s="1251"/>
      <c r="H379" s="1251"/>
      <c r="I379" s="1251"/>
      <c r="J379" s="1251"/>
      <c r="K379" s="1251"/>
      <c r="L379" s="1251"/>
      <c r="M379" s="1251"/>
      <c r="N379" s="1251"/>
      <c r="O379" s="1251"/>
      <c r="P379" s="1251"/>
      <c r="Q379" s="1251"/>
      <c r="R379" s="1251"/>
      <c r="S379" s="1251"/>
      <c r="T379" s="1251"/>
      <c r="U379" s="1251"/>
      <c r="V379" s="1251"/>
      <c r="W379" s="1251"/>
      <c r="X379" s="1252"/>
      <c r="Y379" s="1251"/>
      <c r="Z379" s="1251"/>
      <c r="AA379" s="1251"/>
      <c r="AB379" s="1251"/>
      <c r="AC379" s="1252"/>
      <c r="AD379" s="1251"/>
      <c r="AE379" s="1251"/>
      <c r="AF379" s="1251"/>
      <c r="AG379" s="1251"/>
      <c r="AH379" s="1252"/>
      <c r="AI379" s="1251"/>
      <c r="AJ379" s="1251"/>
      <c r="AK379" s="1251"/>
      <c r="AL379" s="1251"/>
      <c r="AM379" s="1252"/>
      <c r="AN379" s="1251"/>
      <c r="AO379" s="1251"/>
      <c r="AP379" s="1251"/>
      <c r="AQ379" s="1253"/>
      <c r="AR379" s="1252"/>
      <c r="AS379" s="1253"/>
      <c r="AT379" s="1253"/>
      <c r="AU379" s="1253"/>
      <c r="AV379" s="1253"/>
      <c r="AW379" s="1252"/>
      <c r="AX379" s="1253"/>
      <c r="AY379" s="1253"/>
      <c r="AZ379" s="1253"/>
      <c r="BA379" s="1253"/>
      <c r="BB379" s="1252"/>
      <c r="BC379" s="1253"/>
      <c r="BD379" s="1253"/>
      <c r="BE379" s="1253"/>
      <c r="BF379" s="1253"/>
      <c r="BG379" s="1252"/>
      <c r="BH379" s="1253"/>
      <c r="BI379" s="1253"/>
      <c r="BJ379" s="1253"/>
      <c r="BK379" s="1253"/>
      <c r="BL379" s="1327"/>
      <c r="BM379" s="1253"/>
      <c r="BN379" s="1253"/>
      <c r="BO379" s="1253"/>
      <c r="BP379" s="1253"/>
      <c r="BQ379" s="1327"/>
      <c r="BR379" s="1253"/>
      <c r="BS379" s="1253"/>
      <c r="BT379" s="1253"/>
      <c r="BU379" s="1253"/>
      <c r="BV379" s="1327"/>
      <c r="BW379" s="1253"/>
      <c r="BX379" s="1253"/>
      <c r="BY379" s="1253"/>
      <c r="BZ379" s="1253"/>
      <c r="CA379" s="1327"/>
      <c r="CB379" s="1253">
        <f>-CB371*CB377/4</f>
        <v>0</v>
      </c>
      <c r="CC379" s="1253">
        <f>-CC371*CC377/4</f>
        <v>0</v>
      </c>
      <c r="CD379" s="1253">
        <f>-CD371*CD377/4</f>
        <v>0</v>
      </c>
      <c r="CE379" s="1253">
        <f>-CE371*CE377/4</f>
        <v>0</v>
      </c>
      <c r="CF379" s="1327"/>
      <c r="CG379" s="1253">
        <f>-CG371*CG377/4</f>
        <v>0</v>
      </c>
      <c r="CH379" s="1253">
        <f>-CH371*CH377/4</f>
        <v>0</v>
      </c>
      <c r="CI379" s="1253">
        <f>-CI371*CI377/4</f>
        <v>0</v>
      </c>
      <c r="CJ379" s="1253">
        <f>-CJ371*CJ377/4</f>
        <v>0</v>
      </c>
      <c r="CK379" s="1327"/>
      <c r="CL379" s="1253">
        <f>-CL371*CL377/4</f>
        <v>0</v>
      </c>
      <c r="CM379" s="1253">
        <f>-CM371*CM377/4</f>
        <v>0</v>
      </c>
      <c r="CN379" s="1253">
        <f>-CN371*CN377/4</f>
        <v>0</v>
      </c>
      <c r="CO379" s="1253">
        <f>-CO371*CO377/4</f>
        <v>0</v>
      </c>
      <c r="CP379" s="1327"/>
      <c r="CQ379" s="1253">
        <f>-CQ371*CQ377/4</f>
        <v>0</v>
      </c>
      <c r="CR379" s="1253">
        <f>-CR371*CR377/4</f>
        <v>0</v>
      </c>
      <c r="CS379" s="1253">
        <f>-CS371*CS377/4</f>
        <v>0</v>
      </c>
      <c r="CT379" s="1253">
        <f>-CT371*CT377/4</f>
        <v>0</v>
      </c>
      <c r="CU379" s="1327"/>
      <c r="CV379" s="1253">
        <f>-CV371*CV377/4</f>
        <v>0</v>
      </c>
      <c r="CW379" s="1253">
        <f>-CW371*CW377/4</f>
        <v>0</v>
      </c>
      <c r="CX379" s="1253">
        <f>-CX371*CX377/4</f>
        <v>0</v>
      </c>
      <c r="CY379" s="1253">
        <f>-CY371*CY377/4</f>
        <v>0</v>
      </c>
      <c r="CZ379" s="1327"/>
      <c r="DA379" s="1253">
        <f>-DA371*DA377/4</f>
        <v>0</v>
      </c>
      <c r="DB379" s="1253">
        <f>-DB371*DB377/4</f>
        <v>0</v>
      </c>
      <c r="DC379" s="1253">
        <f>-DC371*DC377/4</f>
        <v>0</v>
      </c>
      <c r="DD379" s="1253">
        <f>-DD371*DD377/4</f>
        <v>0</v>
      </c>
      <c r="DE379" s="1327"/>
      <c r="DF379" s="1253">
        <f>-DF371*DF377/4</f>
        <v>0</v>
      </c>
      <c r="DG379" s="1253">
        <f>-DG371*DG377/4</f>
        <v>0</v>
      </c>
      <c r="DH379" s="1253">
        <f>-DH371*DH377/4</f>
        <v>0</v>
      </c>
      <c r="DI379" s="1253">
        <f>-DI371*DI377/4</f>
        <v>0</v>
      </c>
      <c r="DJ379" s="1327"/>
      <c r="DK379" s="1253">
        <f>-DK371*DK377/4</f>
        <v>0</v>
      </c>
      <c r="DL379" s="1253">
        <f>-DL371*DL377/4</f>
        <v>0</v>
      </c>
      <c r="DM379" s="1253">
        <f>-DM371*DM377/4</f>
        <v>0</v>
      </c>
      <c r="DN379" s="1253">
        <f>-DN371*DN377/4</f>
        <v>0</v>
      </c>
      <c r="DO379" s="1327"/>
      <c r="DP379" s="1253">
        <f>-DP371*DP377/4</f>
        <v>0</v>
      </c>
      <c r="DQ379" s="1253">
        <f>-DQ371*DQ377/4</f>
        <v>0</v>
      </c>
      <c r="DR379" s="1253">
        <f>-DR371*DR377/4</f>
        <v>0</v>
      </c>
      <c r="DS379" s="1253">
        <f>-DS371*DS377/4</f>
        <v>0</v>
      </c>
      <c r="DT379" s="1327"/>
      <c r="DU379" s="1253">
        <f>-DU371*DU377/4</f>
        <v>0</v>
      </c>
      <c r="DV379" s="1253">
        <f>-DV371*DV377/4</f>
        <v>0</v>
      </c>
      <c r="DW379" s="1253">
        <f>-DW371*DW377/4</f>
        <v>0</v>
      </c>
      <c r="DX379" s="1253">
        <f>-DX371*DX377/4</f>
        <v>0</v>
      </c>
      <c r="DY379" s="1327"/>
    </row>
    <row r="380" spans="1:129" ht="12" thickBot="1" x14ac:dyDescent="0.25">
      <c r="A380" s="1223"/>
      <c r="B380" s="1231"/>
      <c r="C380" s="1182"/>
      <c r="D380" s="1182"/>
      <c r="E380" s="1182"/>
      <c r="F380" s="1182"/>
      <c r="G380" s="1182"/>
      <c r="H380" s="1182"/>
      <c r="I380" s="1182"/>
      <c r="J380" s="1182"/>
      <c r="K380" s="1182"/>
      <c r="L380" s="1182"/>
      <c r="M380" s="1182"/>
      <c r="N380" s="1182"/>
      <c r="O380" s="1182"/>
      <c r="P380" s="1182"/>
      <c r="Q380" s="1182"/>
      <c r="R380" s="1182"/>
      <c r="S380" s="1182"/>
      <c r="T380" s="1182"/>
      <c r="U380" s="1182"/>
      <c r="V380" s="1182"/>
      <c r="W380" s="1182"/>
      <c r="X380" s="1231"/>
      <c r="Y380" s="1182"/>
      <c r="Z380" s="1182"/>
      <c r="AA380" s="1182"/>
      <c r="AB380" s="1182"/>
      <c r="AC380" s="1231"/>
      <c r="AD380" s="1182"/>
      <c r="AE380" s="1182"/>
      <c r="AF380" s="1182"/>
      <c r="AG380" s="1182"/>
      <c r="AH380" s="1231"/>
      <c r="AI380" s="1182"/>
      <c r="AJ380" s="1182"/>
      <c r="AK380" s="1182"/>
      <c r="AL380" s="1182"/>
      <c r="AM380" s="1231"/>
      <c r="AN380" s="1182"/>
      <c r="AO380" s="1182"/>
      <c r="AP380" s="1182"/>
      <c r="AQ380" s="1231"/>
      <c r="AR380" s="1231"/>
      <c r="AS380" s="1231"/>
      <c r="AT380" s="1231"/>
      <c r="AU380" s="1231"/>
      <c r="AV380" s="1231"/>
      <c r="AW380" s="1231"/>
      <c r="AX380" s="1231"/>
      <c r="AY380" s="1231"/>
      <c r="AZ380" s="1231"/>
      <c r="BA380" s="1231"/>
      <c r="BB380" s="1231"/>
      <c r="BC380" s="1231"/>
      <c r="BD380" s="1231"/>
      <c r="BE380" s="1231"/>
      <c r="BF380" s="1231"/>
      <c r="BG380" s="1231"/>
      <c r="BH380" s="1231"/>
      <c r="BI380" s="1231"/>
      <c r="BJ380" s="1231"/>
      <c r="BK380" s="1231"/>
      <c r="BL380" s="1231"/>
      <c r="BM380" s="1231"/>
      <c r="BN380" s="1231"/>
      <c r="BO380" s="1231"/>
      <c r="BP380" s="1231"/>
      <c r="BQ380" s="1231"/>
      <c r="BR380" s="1231"/>
      <c r="BS380" s="1231"/>
      <c r="BT380" s="1231"/>
      <c r="BU380" s="1231"/>
      <c r="BV380" s="1231"/>
      <c r="BW380" s="1231"/>
      <c r="BX380" s="1231"/>
      <c r="BY380" s="1231"/>
      <c r="BZ380" s="1231"/>
      <c r="CA380" s="1231"/>
      <c r="CB380" s="1231"/>
      <c r="CC380" s="1231"/>
      <c r="CD380" s="1231"/>
      <c r="CE380" s="1231"/>
      <c r="CF380" s="1231"/>
      <c r="CG380" s="1231"/>
      <c r="CH380" s="1231"/>
      <c r="CI380" s="1231"/>
      <c r="CJ380" s="1231"/>
      <c r="CK380" s="1231"/>
      <c r="CL380" s="1231"/>
      <c r="CM380" s="1231"/>
      <c r="CN380" s="1231"/>
      <c r="CO380" s="1231"/>
      <c r="CP380" s="1231"/>
      <c r="CQ380" s="1231"/>
      <c r="CR380" s="1231"/>
      <c r="CS380" s="1231"/>
      <c r="CT380" s="1231"/>
      <c r="CU380" s="1231"/>
      <c r="CV380" s="1231"/>
      <c r="CW380" s="1231"/>
      <c r="CX380" s="1231"/>
      <c r="CY380" s="1231"/>
      <c r="CZ380" s="1231"/>
      <c r="DA380" s="1231"/>
      <c r="DB380" s="1231"/>
      <c r="DC380" s="1231"/>
      <c r="DD380" s="1231"/>
      <c r="DE380" s="1231"/>
      <c r="DF380" s="1231"/>
      <c r="DG380" s="1231"/>
      <c r="DH380" s="1231"/>
      <c r="DI380" s="1231"/>
      <c r="DJ380" s="1231"/>
      <c r="DK380" s="1231"/>
      <c r="DL380" s="1231"/>
      <c r="DM380" s="1231"/>
      <c r="DN380" s="1231"/>
      <c r="DO380" s="1231"/>
      <c r="DP380" s="1231"/>
      <c r="DQ380" s="1231"/>
      <c r="DR380" s="1231"/>
      <c r="DS380" s="1231"/>
      <c r="DT380" s="1231"/>
      <c r="DU380" s="1231"/>
      <c r="DV380" s="1231"/>
      <c r="DW380" s="1231"/>
      <c r="DX380" s="1231"/>
      <c r="DY380" s="1231"/>
    </row>
    <row r="381" spans="1:129" ht="12" thickBot="1" x14ac:dyDescent="0.25">
      <c r="A381" s="1223"/>
      <c r="B381" s="1282" t="s">
        <v>1371</v>
      </c>
      <c r="C381" s="1328"/>
      <c r="D381" s="1329"/>
      <c r="E381" s="1329"/>
      <c r="F381" s="1329"/>
      <c r="G381" s="1329"/>
      <c r="H381" s="1329"/>
      <c r="I381" s="1329"/>
      <c r="J381" s="1329"/>
      <c r="K381" s="1329"/>
      <c r="L381" s="1329"/>
      <c r="M381" s="1329"/>
      <c r="N381" s="1329"/>
      <c r="O381" s="1329"/>
      <c r="P381" s="1329"/>
      <c r="Q381" s="1329"/>
      <c r="R381" s="1329"/>
      <c r="S381" s="1329"/>
      <c r="T381" s="1329"/>
      <c r="U381" s="1329"/>
      <c r="V381" s="1329"/>
      <c r="W381" s="1329"/>
      <c r="X381" s="1328"/>
      <c r="Y381" s="1328"/>
      <c r="Z381" s="1328"/>
      <c r="AA381" s="1328"/>
      <c r="AB381" s="1328"/>
      <c r="AC381" s="1328"/>
      <c r="AD381" s="1328"/>
      <c r="AE381" s="1328"/>
      <c r="AF381" s="1328"/>
      <c r="AG381" s="1328"/>
      <c r="AH381" s="1328"/>
      <c r="AI381" s="1328"/>
      <c r="AJ381" s="1328"/>
      <c r="AK381" s="1328"/>
      <c r="AL381" s="1328"/>
      <c r="AM381" s="1328"/>
      <c r="AN381" s="1328"/>
      <c r="AO381" s="1328"/>
      <c r="AP381" s="1328"/>
      <c r="AQ381" s="1330"/>
      <c r="AR381" s="1330"/>
      <c r="AS381" s="1330"/>
      <c r="AT381" s="1331"/>
      <c r="AU381" s="1331"/>
      <c r="AV381" s="1331"/>
      <c r="AW381" s="1330"/>
      <c r="AX381" s="1330"/>
      <c r="AY381" s="1330"/>
      <c r="AZ381" s="1330"/>
      <c r="BA381" s="1330"/>
      <c r="BB381" s="1330"/>
      <c r="BC381" s="1330"/>
      <c r="BD381" s="1330"/>
      <c r="BE381" s="1330"/>
      <c r="BF381" s="1330"/>
      <c r="BG381" s="1330"/>
      <c r="BH381" s="1330"/>
      <c r="BI381" s="1330"/>
      <c r="BJ381" s="1330"/>
      <c r="BK381" s="1330"/>
      <c r="BL381" s="1332"/>
      <c r="BM381" s="1330"/>
      <c r="BN381" s="1330"/>
      <c r="BO381" s="1330"/>
      <c r="BP381" s="1330"/>
      <c r="BQ381" s="1332"/>
      <c r="BR381" s="1330"/>
      <c r="BS381" s="1330"/>
      <c r="BT381" s="1330"/>
      <c r="BU381" s="1330"/>
      <c r="BV381" s="1332"/>
      <c r="BW381" s="1330"/>
      <c r="BX381" s="1330"/>
      <c r="BY381" s="1330"/>
      <c r="BZ381" s="1330"/>
      <c r="CA381" s="1332"/>
      <c r="CB381" s="1330"/>
      <c r="CC381" s="1330"/>
      <c r="CD381" s="1330"/>
      <c r="CE381" s="1330"/>
      <c r="CF381" s="1332"/>
      <c r="CG381" s="1330"/>
      <c r="CH381" s="1330"/>
      <c r="CI381" s="1330"/>
      <c r="CJ381" s="1330"/>
      <c r="CK381" s="1332"/>
      <c r="CL381" s="1330"/>
      <c r="CM381" s="1330"/>
      <c r="CN381" s="1330"/>
      <c r="CO381" s="1330"/>
      <c r="CP381" s="1332"/>
      <c r="CQ381" s="1330"/>
      <c r="CR381" s="1330"/>
      <c r="CS381" s="1330"/>
      <c r="CT381" s="1330"/>
      <c r="CU381" s="1332"/>
      <c r="CV381" s="1330"/>
      <c r="CW381" s="1330"/>
      <c r="CX381" s="1330"/>
      <c r="CY381" s="1330"/>
      <c r="CZ381" s="1332"/>
      <c r="DA381" s="1330"/>
      <c r="DB381" s="1330"/>
      <c r="DC381" s="1330"/>
      <c r="DD381" s="1330"/>
      <c r="DE381" s="1332"/>
      <c r="DF381" s="1330"/>
      <c r="DG381" s="1330"/>
      <c r="DH381" s="1330"/>
      <c r="DI381" s="1330"/>
      <c r="DJ381" s="1332"/>
      <c r="DK381" s="1330"/>
      <c r="DL381" s="1330"/>
      <c r="DM381" s="1330"/>
      <c r="DN381" s="1330"/>
      <c r="DO381" s="1332"/>
      <c r="DP381" s="1330"/>
      <c r="DQ381" s="1330"/>
      <c r="DR381" s="1330"/>
      <c r="DS381" s="1330"/>
      <c r="DT381" s="1332"/>
      <c r="DU381" s="1330"/>
      <c r="DV381" s="1330"/>
      <c r="DW381" s="1330"/>
      <c r="DX381" s="1330"/>
      <c r="DY381" s="1332"/>
    </row>
    <row r="382" spans="1:129" x14ac:dyDescent="0.2">
      <c r="A382" s="1223"/>
      <c r="B382" s="1287" t="s">
        <v>1149</v>
      </c>
      <c r="C382" s="650"/>
      <c r="D382" s="650"/>
      <c r="E382" s="650"/>
      <c r="F382" s="650"/>
      <c r="G382" s="650"/>
      <c r="H382" s="650"/>
      <c r="I382" s="650"/>
      <c r="J382" s="650"/>
      <c r="K382" s="650"/>
      <c r="L382" s="650"/>
      <c r="M382" s="650"/>
      <c r="N382" s="650"/>
      <c r="O382" s="650"/>
      <c r="P382" s="650"/>
      <c r="Q382" s="650"/>
      <c r="R382" s="650"/>
      <c r="S382" s="650"/>
      <c r="T382" s="650"/>
      <c r="U382" s="650"/>
      <c r="V382" s="650"/>
      <c r="W382" s="650"/>
      <c r="X382" s="1288"/>
      <c r="Y382" s="650"/>
      <c r="Z382" s="650"/>
      <c r="AA382" s="650"/>
      <c r="AB382" s="650"/>
      <c r="AC382" s="1288"/>
      <c r="AD382" s="650"/>
      <c r="AE382" s="650"/>
      <c r="AF382" s="650"/>
      <c r="AG382" s="650"/>
      <c r="AH382" s="1288"/>
      <c r="AI382" s="650"/>
      <c r="AJ382" s="650"/>
      <c r="AK382" s="650"/>
      <c r="AL382" s="650"/>
      <c r="AM382" s="1288"/>
      <c r="AN382" s="650"/>
      <c r="AO382" s="650"/>
      <c r="AP382" s="650"/>
      <c r="AQ382" s="650"/>
      <c r="AR382" s="1288"/>
      <c r="AS382" s="650"/>
      <c r="AT382" s="650"/>
      <c r="AU382" s="650"/>
      <c r="AV382" s="650"/>
      <c r="AW382" s="1288"/>
      <c r="AX382" s="650"/>
      <c r="AY382" s="650"/>
      <c r="AZ382" s="650"/>
      <c r="BA382" s="650"/>
      <c r="BB382" s="1288"/>
      <c r="BC382" s="650"/>
      <c r="BD382" s="650"/>
      <c r="BE382" s="650"/>
      <c r="BF382" s="650"/>
      <c r="BG382" s="1288"/>
      <c r="BH382" s="650"/>
      <c r="BI382" s="650"/>
      <c r="BJ382" s="650"/>
      <c r="BK382" s="650"/>
      <c r="BL382" s="583"/>
      <c r="BM382" s="650"/>
      <c r="BN382" s="650"/>
      <c r="BO382" s="650"/>
      <c r="BP382" s="650"/>
      <c r="BQ382" s="583"/>
      <c r="BR382" s="650"/>
      <c r="BS382" s="650"/>
      <c r="BT382" s="650"/>
      <c r="BU382" s="650"/>
      <c r="BV382" s="583"/>
      <c r="BW382" s="650"/>
      <c r="BX382" s="650"/>
      <c r="BY382" s="650"/>
      <c r="BZ382" s="650"/>
      <c r="CA382" s="583"/>
      <c r="CB382" s="650"/>
      <c r="CC382" s="650"/>
      <c r="CD382" s="650"/>
      <c r="CE382" s="650"/>
      <c r="CF382" s="583"/>
      <c r="CG382" s="650"/>
      <c r="CH382" s="650"/>
      <c r="CI382" s="650"/>
      <c r="CJ382" s="650"/>
      <c r="CK382" s="583"/>
      <c r="CL382" s="650"/>
      <c r="CM382" s="650"/>
      <c r="CN382" s="650"/>
      <c r="CO382" s="650"/>
      <c r="CP382" s="583"/>
      <c r="CQ382" s="650"/>
      <c r="CR382" s="650"/>
      <c r="CS382" s="650"/>
      <c r="CT382" s="650"/>
      <c r="CU382" s="583"/>
      <c r="CV382" s="650"/>
      <c r="CW382" s="650"/>
      <c r="CX382" s="650"/>
      <c r="CY382" s="650"/>
      <c r="CZ382" s="583"/>
      <c r="DA382" s="650"/>
      <c r="DB382" s="650"/>
      <c r="DC382" s="650"/>
      <c r="DD382" s="650"/>
      <c r="DE382" s="583"/>
      <c r="DF382" s="650"/>
      <c r="DG382" s="650"/>
      <c r="DH382" s="650"/>
      <c r="DI382" s="650"/>
      <c r="DJ382" s="583"/>
      <c r="DK382" s="650"/>
      <c r="DL382" s="650"/>
      <c r="DM382" s="650"/>
      <c r="DN382" s="650"/>
      <c r="DO382" s="583"/>
      <c r="DP382" s="650"/>
      <c r="DQ382" s="650"/>
      <c r="DR382" s="650"/>
      <c r="DS382" s="650"/>
      <c r="DT382" s="583"/>
      <c r="DU382" s="650"/>
      <c r="DV382" s="650"/>
      <c r="DW382" s="650"/>
      <c r="DX382" s="650"/>
      <c r="DY382" s="583"/>
    </row>
    <row r="383" spans="1:129" x14ac:dyDescent="0.2">
      <c r="A383" s="1223"/>
      <c r="B383" s="1287" t="s">
        <v>1150</v>
      </c>
      <c r="C383" s="650"/>
      <c r="D383" s="650"/>
      <c r="E383" s="650"/>
      <c r="F383" s="650"/>
      <c r="G383" s="650"/>
      <c r="H383" s="650"/>
      <c r="I383" s="650"/>
      <c r="J383" s="650"/>
      <c r="K383" s="650"/>
      <c r="L383" s="650"/>
      <c r="M383" s="650"/>
      <c r="N383" s="650"/>
      <c r="O383" s="650"/>
      <c r="P383" s="650"/>
      <c r="Q383" s="650"/>
      <c r="R383" s="650"/>
      <c r="S383" s="650"/>
      <c r="T383" s="650"/>
      <c r="U383" s="650"/>
      <c r="V383" s="650"/>
      <c r="W383" s="650"/>
      <c r="X383" s="1288"/>
      <c r="Y383" s="650"/>
      <c r="Z383" s="650"/>
      <c r="AA383" s="650"/>
      <c r="AB383" s="650"/>
      <c r="AC383" s="1288"/>
      <c r="AD383" s="650"/>
      <c r="AE383" s="650"/>
      <c r="AF383" s="650"/>
      <c r="AG383" s="650"/>
      <c r="AH383" s="1288"/>
      <c r="AI383" s="650"/>
      <c r="AJ383" s="650"/>
      <c r="AK383" s="650"/>
      <c r="AL383" s="650"/>
      <c r="AM383" s="1288"/>
      <c r="AN383" s="650"/>
      <c r="AO383" s="650"/>
      <c r="AP383" s="650"/>
      <c r="AQ383" s="650"/>
      <c r="AR383" s="1288"/>
      <c r="AS383" s="650"/>
      <c r="AT383" s="650"/>
      <c r="AU383" s="650"/>
      <c r="AV383" s="650"/>
      <c r="AW383" s="1288"/>
      <c r="AX383" s="650"/>
      <c r="AY383" s="650"/>
      <c r="AZ383" s="650"/>
      <c r="BA383" s="650"/>
      <c r="BB383" s="1288"/>
      <c r="BC383" s="650"/>
      <c r="BD383" s="650"/>
      <c r="BE383" s="650"/>
      <c r="BF383" s="650"/>
      <c r="BG383" s="1289"/>
      <c r="BH383" s="650"/>
      <c r="BI383" s="650"/>
      <c r="BJ383" s="650"/>
      <c r="BK383" s="650"/>
      <c r="BL383" s="1333"/>
      <c r="BM383" s="650"/>
      <c r="BN383" s="650"/>
      <c r="BO383" s="650"/>
      <c r="BP383" s="650"/>
      <c r="BQ383" s="1333"/>
      <c r="BR383" s="650"/>
      <c r="BS383" s="650"/>
      <c r="BT383" s="650"/>
      <c r="BU383" s="650"/>
      <c r="BV383" s="1333"/>
      <c r="BW383" s="650"/>
      <c r="BX383" s="650"/>
      <c r="BY383" s="650"/>
      <c r="BZ383" s="650"/>
      <c r="CA383" s="1333"/>
      <c r="CB383" s="1334">
        <v>4.1250000000000002E-2</v>
      </c>
      <c r="CC383" s="1334">
        <v>4.1250000000000002E-2</v>
      </c>
      <c r="CD383" s="1334">
        <v>4.1250000000000002E-2</v>
      </c>
      <c r="CE383" s="1334">
        <v>4.1250000000000002E-2</v>
      </c>
      <c r="CF383" s="1333"/>
      <c r="CG383" s="1334">
        <f>CE383</f>
        <v>4.1250000000000002E-2</v>
      </c>
      <c r="CH383" s="1334">
        <f>CG383</f>
        <v>4.1250000000000002E-2</v>
      </c>
      <c r="CI383" s="1334">
        <f>CH383</f>
        <v>4.1250000000000002E-2</v>
      </c>
      <c r="CJ383" s="1334">
        <f>CI383</f>
        <v>4.1250000000000002E-2</v>
      </c>
      <c r="CK383" s="1333"/>
      <c r="CL383" s="1334">
        <f>CJ383</f>
        <v>4.1250000000000002E-2</v>
      </c>
      <c r="CM383" s="1334">
        <f>CL383</f>
        <v>4.1250000000000002E-2</v>
      </c>
      <c r="CN383" s="1334">
        <f>CM383</f>
        <v>4.1250000000000002E-2</v>
      </c>
      <c r="CO383" s="1334">
        <f>CN383</f>
        <v>4.1250000000000002E-2</v>
      </c>
      <c r="CP383" s="1333"/>
      <c r="CQ383" s="1334">
        <f>CO383</f>
        <v>4.1250000000000002E-2</v>
      </c>
      <c r="CR383" s="1334">
        <f>CQ383</f>
        <v>4.1250000000000002E-2</v>
      </c>
      <c r="CS383" s="1334">
        <f>CR383</f>
        <v>4.1250000000000002E-2</v>
      </c>
      <c r="CT383" s="1334">
        <f>CS383</f>
        <v>4.1250000000000002E-2</v>
      </c>
      <c r="CU383" s="1333"/>
      <c r="CV383" s="1334"/>
      <c r="CW383" s="1334"/>
      <c r="CX383" s="1334">
        <v>4.8750000000000002E-2</v>
      </c>
      <c r="CY383" s="1334">
        <f>CX383</f>
        <v>4.8750000000000002E-2</v>
      </c>
      <c r="CZ383" s="1333"/>
      <c r="DA383" s="1334">
        <f>CY383</f>
        <v>4.8750000000000002E-2</v>
      </c>
      <c r="DB383" s="1334">
        <f>DA383</f>
        <v>4.8750000000000002E-2</v>
      </c>
      <c r="DC383" s="1334">
        <f>DB383</f>
        <v>4.8750000000000002E-2</v>
      </c>
      <c r="DD383" s="1334">
        <f>DC383</f>
        <v>4.8750000000000002E-2</v>
      </c>
      <c r="DE383" s="1333"/>
      <c r="DF383" s="1334">
        <f>DD383</f>
        <v>4.8750000000000002E-2</v>
      </c>
      <c r="DG383" s="1334">
        <f>DF383</f>
        <v>4.8750000000000002E-2</v>
      </c>
      <c r="DH383" s="1334">
        <f>DG383</f>
        <v>4.8750000000000002E-2</v>
      </c>
      <c r="DI383" s="1334">
        <f>DH383</f>
        <v>4.8750000000000002E-2</v>
      </c>
      <c r="DJ383" s="1333"/>
      <c r="DK383" s="1334">
        <f>DI383</f>
        <v>4.8750000000000002E-2</v>
      </c>
      <c r="DL383" s="1334">
        <f>DK383</f>
        <v>4.8750000000000002E-2</v>
      </c>
      <c r="DM383" s="1334">
        <f>DL383</f>
        <v>4.8750000000000002E-2</v>
      </c>
      <c r="DN383" s="1334">
        <f>DM383</f>
        <v>4.8750000000000002E-2</v>
      </c>
      <c r="DO383" s="1333"/>
      <c r="DP383" s="1334">
        <f>DN383</f>
        <v>4.8750000000000002E-2</v>
      </c>
      <c r="DQ383" s="1334">
        <f>DP383</f>
        <v>4.8750000000000002E-2</v>
      </c>
      <c r="DR383" s="1334">
        <f>DQ383</f>
        <v>4.8750000000000002E-2</v>
      </c>
      <c r="DS383" s="1334">
        <f>DR383</f>
        <v>4.8750000000000002E-2</v>
      </c>
      <c r="DT383" s="1333"/>
      <c r="DU383" s="1334">
        <f>DS383</f>
        <v>4.8750000000000002E-2</v>
      </c>
      <c r="DV383" s="1334">
        <f>DU383</f>
        <v>4.8750000000000002E-2</v>
      </c>
      <c r="DW383" s="1334">
        <f>DV383</f>
        <v>4.8750000000000002E-2</v>
      </c>
      <c r="DX383" s="1334">
        <f>DW383</f>
        <v>4.8750000000000002E-2</v>
      </c>
      <c r="DY383" s="1333"/>
    </row>
    <row r="384" spans="1:129" x14ac:dyDescent="0.2">
      <c r="A384" s="1223"/>
      <c r="B384" s="1190" t="s">
        <v>1151</v>
      </c>
      <c r="C384" s="1293"/>
      <c r="D384" s="1293"/>
      <c r="E384" s="1293"/>
      <c r="F384" s="1293"/>
      <c r="G384" s="1293"/>
      <c r="H384" s="1293"/>
      <c r="I384" s="1293"/>
      <c r="J384" s="1293"/>
      <c r="K384" s="1293"/>
      <c r="L384" s="1293"/>
      <c r="M384" s="1293"/>
      <c r="N384" s="1293"/>
      <c r="O384" s="1293"/>
      <c r="P384" s="1293"/>
      <c r="Q384" s="1293"/>
      <c r="R384" s="1293"/>
      <c r="S384" s="1293"/>
      <c r="T384" s="1293"/>
      <c r="U384" s="1293"/>
      <c r="V384" s="1293"/>
      <c r="W384" s="1293"/>
      <c r="X384" s="1227"/>
      <c r="Y384" s="1231"/>
      <c r="Z384" s="1231"/>
      <c r="AA384" s="1231"/>
      <c r="AB384" s="1294"/>
      <c r="AC384" s="1227"/>
      <c r="AD384" s="1231"/>
      <c r="AE384" s="1231"/>
      <c r="AF384" s="1231"/>
      <c r="AG384" s="1294"/>
      <c r="AH384" s="1227"/>
      <c r="AI384" s="1231"/>
      <c r="AJ384" s="1231"/>
      <c r="AK384" s="1231"/>
      <c r="AL384" s="1294"/>
      <c r="AM384" s="1227"/>
      <c r="AN384" s="1231"/>
      <c r="AO384" s="1231"/>
      <c r="AP384" s="1231"/>
      <c r="AQ384" s="1294"/>
      <c r="AR384" s="1227"/>
      <c r="AS384" s="1231"/>
      <c r="AT384" s="1231"/>
      <c r="AU384" s="1231"/>
      <c r="AV384" s="1294"/>
      <c r="AW384" s="1227"/>
      <c r="AX384" s="1231"/>
      <c r="AY384" s="1231"/>
      <c r="AZ384" s="1231"/>
      <c r="BA384" s="1231"/>
      <c r="BB384" s="1227"/>
      <c r="BC384" s="1231"/>
      <c r="BD384" s="1231"/>
      <c r="BE384" s="1231"/>
      <c r="BF384" s="1231"/>
      <c r="BG384" s="1227"/>
      <c r="BH384" s="1231"/>
      <c r="BI384" s="1231"/>
      <c r="BJ384" s="1231"/>
      <c r="BK384" s="1231"/>
      <c r="BL384" s="1326"/>
      <c r="BM384" s="1231"/>
      <c r="BN384" s="1231"/>
      <c r="BO384" s="1231"/>
      <c r="BP384" s="1231"/>
      <c r="BQ384" s="1326"/>
      <c r="BR384" s="1231"/>
      <c r="BS384" s="1231"/>
      <c r="BT384" s="1231"/>
      <c r="BU384" s="1231"/>
      <c r="BV384" s="1326"/>
      <c r="BW384" s="1231"/>
      <c r="BX384" s="1231"/>
      <c r="BY384" s="1231"/>
      <c r="BZ384" s="1231"/>
      <c r="CA384" s="1326"/>
      <c r="CB384" s="1231"/>
      <c r="CC384" s="1231"/>
      <c r="CD384" s="1231"/>
      <c r="CE384" s="1231"/>
      <c r="CF384" s="1326"/>
      <c r="CG384" s="1231"/>
      <c r="CH384" s="1231"/>
      <c r="CI384" s="1231"/>
      <c r="CJ384" s="1231"/>
      <c r="CK384" s="1326"/>
      <c r="CL384" s="1231"/>
      <c r="CM384" s="1231"/>
      <c r="CN384" s="1231"/>
      <c r="CO384" s="1231"/>
      <c r="CP384" s="1326"/>
      <c r="CQ384" s="1231"/>
      <c r="CR384" s="1231"/>
      <c r="CS384" s="1231"/>
      <c r="CT384" s="1231"/>
      <c r="CU384" s="1326"/>
      <c r="CV384" s="1231"/>
      <c r="CW384" s="1231"/>
      <c r="CX384" s="1231"/>
      <c r="CY384" s="1231"/>
      <c r="CZ384" s="1326"/>
      <c r="DA384" s="1231"/>
      <c r="DB384" s="1231"/>
      <c r="DC384" s="1231"/>
      <c r="DD384" s="1231"/>
      <c r="DE384" s="1326"/>
      <c r="DF384" s="1231"/>
      <c r="DG384" s="1231"/>
      <c r="DH384" s="1231"/>
      <c r="DI384" s="1231"/>
      <c r="DJ384" s="1326"/>
      <c r="DK384" s="1231"/>
      <c r="DL384" s="1231"/>
      <c r="DM384" s="1231"/>
      <c r="DN384" s="1231"/>
      <c r="DO384" s="1326"/>
      <c r="DP384" s="1231"/>
      <c r="DQ384" s="1231"/>
      <c r="DR384" s="1231"/>
      <c r="DS384" s="1231"/>
      <c r="DT384" s="1326"/>
      <c r="DU384" s="1231"/>
      <c r="DV384" s="1231"/>
      <c r="DW384" s="1231"/>
      <c r="DX384" s="1231"/>
      <c r="DY384" s="1326"/>
    </row>
    <row r="385" spans="1:129" x14ac:dyDescent="0.2">
      <c r="A385" s="1223"/>
      <c r="B385" s="1190" t="s">
        <v>1152</v>
      </c>
      <c r="C385" s="1231"/>
      <c r="D385" s="1231"/>
      <c r="E385" s="1231"/>
      <c r="F385" s="1231"/>
      <c r="G385" s="1231"/>
      <c r="H385" s="1231"/>
      <c r="I385" s="1231"/>
      <c r="J385" s="1231"/>
      <c r="K385" s="1231"/>
      <c r="L385" s="1231"/>
      <c r="M385" s="1231"/>
      <c r="N385" s="1231"/>
      <c r="O385" s="1231"/>
      <c r="P385" s="1231"/>
      <c r="Q385" s="1231"/>
      <c r="R385" s="1231"/>
      <c r="S385" s="1231"/>
      <c r="T385" s="1231"/>
      <c r="U385" s="1231"/>
      <c r="V385" s="1231"/>
      <c r="W385" s="1231"/>
      <c r="X385" s="1227"/>
      <c r="Y385" s="1231"/>
      <c r="Z385" s="1231"/>
      <c r="AA385" s="1231"/>
      <c r="AB385" s="1231"/>
      <c r="AC385" s="1227"/>
      <c r="AD385" s="1231"/>
      <c r="AE385" s="1231"/>
      <c r="AF385" s="1231"/>
      <c r="AG385" s="1231"/>
      <c r="AH385" s="1227"/>
      <c r="AI385" s="1231"/>
      <c r="AJ385" s="1231"/>
      <c r="AK385" s="1231"/>
      <c r="AL385" s="1231"/>
      <c r="AM385" s="1227"/>
      <c r="AN385" s="1231"/>
      <c r="AO385" s="1231"/>
      <c r="AP385" s="1231"/>
      <c r="AQ385" s="1231"/>
      <c r="AR385" s="1227"/>
      <c r="AS385" s="1231"/>
      <c r="AT385" s="1231"/>
      <c r="AU385" s="1231"/>
      <c r="AV385" s="1231"/>
      <c r="AW385" s="1227"/>
      <c r="AX385" s="1231"/>
      <c r="AY385" s="1231"/>
      <c r="AZ385" s="1231"/>
      <c r="BA385" s="1231"/>
      <c r="BB385" s="1227"/>
      <c r="BC385" s="1231"/>
      <c r="BD385" s="1231"/>
      <c r="BE385" s="1231"/>
      <c r="BF385" s="1231"/>
      <c r="BG385" s="1227"/>
      <c r="BH385" s="1231"/>
      <c r="BI385" s="1231"/>
      <c r="BJ385" s="1231"/>
      <c r="BK385" s="1231"/>
      <c r="BL385" s="1326"/>
      <c r="BM385" s="1231"/>
      <c r="BN385" s="1231"/>
      <c r="BO385" s="1231"/>
      <c r="BP385" s="1231"/>
      <c r="BQ385" s="1326"/>
      <c r="BR385" s="1231"/>
      <c r="BS385" s="1231"/>
      <c r="BT385" s="1231"/>
      <c r="BU385" s="1231"/>
      <c r="BV385" s="1326"/>
      <c r="BW385" s="1231"/>
      <c r="BX385" s="1231"/>
      <c r="BY385" s="1231"/>
      <c r="BZ385" s="1231"/>
      <c r="CA385" s="1326"/>
      <c r="CB385" s="1223"/>
      <c r="CC385" s="1223"/>
      <c r="CD385" s="1223"/>
      <c r="CE385" s="1223"/>
      <c r="CF385" s="1326"/>
      <c r="CG385" s="1223"/>
      <c r="CH385" s="1223"/>
      <c r="CI385" s="1223"/>
      <c r="CJ385" s="1223"/>
      <c r="CK385" s="1326"/>
      <c r="CL385" s="1223"/>
      <c r="CM385" s="1223"/>
      <c r="CN385" s="1223"/>
      <c r="CO385" s="1223"/>
      <c r="CP385" s="1326"/>
      <c r="CQ385" s="1223"/>
      <c r="CR385" s="1223"/>
      <c r="CS385" s="1223"/>
      <c r="CT385" s="1223"/>
      <c r="CU385" s="1326"/>
      <c r="CV385" s="1223">
        <f>+CT385</f>
        <v>0</v>
      </c>
      <c r="CW385" s="1223">
        <f>+CV387</f>
        <v>0</v>
      </c>
      <c r="CX385" s="1223">
        <f>+CW387</f>
        <v>0</v>
      </c>
      <c r="CY385" s="1223">
        <f>+CX387</f>
        <v>2000</v>
      </c>
      <c r="CZ385" s="1326">
        <f>CU387</f>
        <v>0</v>
      </c>
      <c r="DA385" s="1223">
        <f>CZ387</f>
        <v>2000</v>
      </c>
      <c r="DB385" s="1223">
        <f>+DA387</f>
        <v>2000</v>
      </c>
      <c r="DC385" s="1223">
        <f>+DB387</f>
        <v>2000</v>
      </c>
      <c r="DD385" s="1223">
        <f>+DC387</f>
        <v>2000</v>
      </c>
      <c r="DE385" s="1326">
        <f>CZ387</f>
        <v>2000</v>
      </c>
      <c r="DF385" s="1223">
        <f>+DD387</f>
        <v>2000</v>
      </c>
      <c r="DG385" s="1223">
        <f>+DF387</f>
        <v>2000</v>
      </c>
      <c r="DH385" s="1223">
        <f>+DG387</f>
        <v>2000</v>
      </c>
      <c r="DI385" s="1223">
        <f>+DH387</f>
        <v>2000</v>
      </c>
      <c r="DJ385" s="1326">
        <f>DE387</f>
        <v>2000</v>
      </c>
      <c r="DK385" s="1223">
        <f>+DI387</f>
        <v>2000</v>
      </c>
      <c r="DL385" s="1223">
        <f>+DK387</f>
        <v>2000</v>
      </c>
      <c r="DM385" s="1223">
        <f>+DL387</f>
        <v>2000</v>
      </c>
      <c r="DN385" s="1223">
        <f>+DM387</f>
        <v>2000</v>
      </c>
      <c r="DO385" s="1326">
        <f>DJ387</f>
        <v>2000</v>
      </c>
      <c r="DP385" s="1223">
        <f>+DN387</f>
        <v>2000</v>
      </c>
      <c r="DQ385" s="1223">
        <f>+DP387</f>
        <v>2000</v>
      </c>
      <c r="DR385" s="1223">
        <f>+DQ387</f>
        <v>2000</v>
      </c>
      <c r="DS385" s="1223">
        <f>+DR387</f>
        <v>2000</v>
      </c>
      <c r="DT385" s="1326">
        <f>DO387</f>
        <v>2000</v>
      </c>
      <c r="DU385" s="1223">
        <f>+DS387</f>
        <v>2000</v>
      </c>
      <c r="DV385" s="1223">
        <f>+DU387</f>
        <v>2000</v>
      </c>
      <c r="DW385" s="1223">
        <f>+DV387</f>
        <v>2000</v>
      </c>
      <c r="DX385" s="1223">
        <f>+DW387</f>
        <v>2000</v>
      </c>
      <c r="DY385" s="1326">
        <f>DT387</f>
        <v>2000</v>
      </c>
    </row>
    <row r="386" spans="1:129" x14ac:dyDescent="0.2">
      <c r="A386" s="1223"/>
      <c r="B386" s="1190" t="s">
        <v>1153</v>
      </c>
      <c r="C386" s="1182"/>
      <c r="D386" s="1182"/>
      <c r="E386" s="1182"/>
      <c r="F386" s="1182"/>
      <c r="G386" s="1182"/>
      <c r="H386" s="1182"/>
      <c r="I386" s="1182"/>
      <c r="J386" s="1182"/>
      <c r="K386" s="1182"/>
      <c r="L386" s="1182"/>
      <c r="M386" s="1182"/>
      <c r="N386" s="1182"/>
      <c r="O386" s="1182"/>
      <c r="P386" s="1182"/>
      <c r="Q386" s="1182"/>
      <c r="R386" s="1182"/>
      <c r="S386" s="1182"/>
      <c r="T386" s="1182"/>
      <c r="U386" s="1182"/>
      <c r="V386" s="1182"/>
      <c r="W386" s="1182"/>
      <c r="X386" s="1296"/>
      <c r="Y386" s="1297"/>
      <c r="Z386" s="1297"/>
      <c r="AA386" s="1297"/>
      <c r="AB386" s="1297"/>
      <c r="AC386" s="1296"/>
      <c r="AD386" s="1297"/>
      <c r="AE386" s="1297"/>
      <c r="AF386" s="1297"/>
      <c r="AG386" s="1297"/>
      <c r="AH386" s="1296"/>
      <c r="AI386" s="1297"/>
      <c r="AJ386" s="1297"/>
      <c r="AK386" s="1297"/>
      <c r="AL386" s="1297"/>
      <c r="AM386" s="1296"/>
      <c r="AN386" s="1297"/>
      <c r="AO386" s="1297"/>
      <c r="AP386" s="1297"/>
      <c r="AQ386" s="1297"/>
      <c r="AR386" s="1296"/>
      <c r="AS386" s="1297"/>
      <c r="AT386" s="1297"/>
      <c r="AU386" s="1297"/>
      <c r="AV386" s="1297"/>
      <c r="AW386" s="1296"/>
      <c r="AX386" s="1298"/>
      <c r="AY386" s="1299"/>
      <c r="AZ386" s="1299"/>
      <c r="BA386" s="1298"/>
      <c r="BB386" s="1300"/>
      <c r="BC386" s="1298"/>
      <c r="BD386" s="1298"/>
      <c r="BE386" s="1298"/>
      <c r="BF386" s="1298"/>
      <c r="BG386" s="1296"/>
      <c r="BH386" s="1298"/>
      <c r="BI386" s="1298"/>
      <c r="BJ386" s="1298"/>
      <c r="BK386" s="1298"/>
      <c r="BL386" s="1335"/>
      <c r="BM386" s="1298"/>
      <c r="BN386" s="1298"/>
      <c r="BO386" s="1298"/>
      <c r="BP386" s="1298"/>
      <c r="BQ386" s="1335"/>
      <c r="BR386" s="1298"/>
      <c r="BS386" s="1298"/>
      <c r="BT386" s="1298"/>
      <c r="BU386" s="1298"/>
      <c r="BV386" s="1335"/>
      <c r="BW386" s="1298"/>
      <c r="BX386" s="1298"/>
      <c r="BY386" s="1298"/>
      <c r="BZ386" s="1298"/>
      <c r="CA386" s="1335"/>
      <c r="CB386" s="1336"/>
      <c r="CC386" s="1336"/>
      <c r="CD386" s="1298"/>
      <c r="CE386" s="1298"/>
      <c r="CF386" s="1335"/>
      <c r="CG386" s="1298"/>
      <c r="CH386" s="1298"/>
      <c r="CI386" s="1298"/>
      <c r="CJ386" s="1298"/>
      <c r="CK386" s="1335"/>
      <c r="CL386" s="1298"/>
      <c r="CM386" s="1298"/>
      <c r="CN386" s="1298"/>
      <c r="CO386" s="1298"/>
      <c r="CP386" s="1335"/>
      <c r="CQ386" s="1298"/>
      <c r="CR386" s="1298"/>
      <c r="CS386" s="1298"/>
      <c r="CT386" s="1298"/>
      <c r="CU386" s="1335"/>
      <c r="CV386" s="1298">
        <v>0</v>
      </c>
      <c r="CW386" s="1298">
        <v>0</v>
      </c>
      <c r="CX386" s="1298">
        <v>2000</v>
      </c>
      <c r="CY386" s="1298">
        <v>0</v>
      </c>
      <c r="CZ386" s="1335">
        <f>+SUM(CV386:CY386)</f>
        <v>2000</v>
      </c>
      <c r="DA386" s="1298">
        <v>0</v>
      </c>
      <c r="DB386" s="1298">
        <v>0</v>
      </c>
      <c r="DC386" s="1298">
        <v>0</v>
      </c>
      <c r="DD386" s="1298">
        <v>0</v>
      </c>
      <c r="DE386" s="1335">
        <f>+SUM(DA386:DD386)</f>
        <v>0</v>
      </c>
      <c r="DF386" s="1298">
        <v>0</v>
      </c>
      <c r="DG386" s="1298">
        <v>0</v>
      </c>
      <c r="DH386" s="1298">
        <v>0</v>
      </c>
      <c r="DI386" s="1298">
        <v>0</v>
      </c>
      <c r="DJ386" s="1335">
        <f>+SUM(DF386:DI386)</f>
        <v>0</v>
      </c>
      <c r="DK386" s="1298">
        <v>0</v>
      </c>
      <c r="DL386" s="1298">
        <v>0</v>
      </c>
      <c r="DM386" s="1298">
        <v>0</v>
      </c>
      <c r="DN386" s="1298">
        <v>0</v>
      </c>
      <c r="DO386" s="1335">
        <f>+SUM(DK386:DN386)</f>
        <v>0</v>
      </c>
      <c r="DP386" s="1298">
        <v>0</v>
      </c>
      <c r="DQ386" s="1298">
        <v>0</v>
      </c>
      <c r="DR386" s="1298">
        <v>0</v>
      </c>
      <c r="DS386" s="1298">
        <v>0</v>
      </c>
      <c r="DT386" s="1335">
        <f>+SUM(DP386:DS386)</f>
        <v>0</v>
      </c>
      <c r="DU386" s="1298">
        <v>0</v>
      </c>
      <c r="DV386" s="1298">
        <v>0</v>
      </c>
      <c r="DW386" s="1298">
        <v>0</v>
      </c>
      <c r="DX386" s="1298">
        <v>0</v>
      </c>
      <c r="DY386" s="1335">
        <f>+SUM(DU386:DX386)</f>
        <v>0</v>
      </c>
    </row>
    <row r="387" spans="1:129" x14ac:dyDescent="0.2">
      <c r="A387" s="1223"/>
      <c r="B387" s="1190" t="s">
        <v>1154</v>
      </c>
      <c r="C387" s="1182"/>
      <c r="D387" s="1182"/>
      <c r="E387" s="1182"/>
      <c r="F387" s="1182"/>
      <c r="G387" s="1182"/>
      <c r="H387" s="1182"/>
      <c r="I387" s="1182"/>
      <c r="J387" s="1182"/>
      <c r="K387" s="1182"/>
      <c r="L387" s="1182"/>
      <c r="M387" s="1182"/>
      <c r="N387" s="1182"/>
      <c r="O387" s="1182"/>
      <c r="P387" s="1182"/>
      <c r="Q387" s="1182"/>
      <c r="R387" s="1182"/>
      <c r="S387" s="1182"/>
      <c r="T387" s="1182"/>
      <c r="U387" s="1182"/>
      <c r="V387" s="1182"/>
      <c r="W387" s="1182"/>
      <c r="X387" s="1304"/>
      <c r="Y387" s="1305"/>
      <c r="Z387" s="1305"/>
      <c r="AA387" s="1305"/>
      <c r="AB387" s="1305"/>
      <c r="AC387" s="1304"/>
      <c r="AD387" s="1305"/>
      <c r="AE387" s="1305"/>
      <c r="AF387" s="1305"/>
      <c r="AG387" s="1305"/>
      <c r="AH387" s="1304"/>
      <c r="AI387" s="1305"/>
      <c r="AJ387" s="1305"/>
      <c r="AK387" s="1305"/>
      <c r="AL387" s="1305"/>
      <c r="AM387" s="1304"/>
      <c r="AN387" s="1305"/>
      <c r="AO387" s="1305"/>
      <c r="AP387" s="1305"/>
      <c r="AQ387" s="1305"/>
      <c r="AR387" s="1304"/>
      <c r="AS387" s="1305"/>
      <c r="AT387" s="1305"/>
      <c r="AU387" s="1305"/>
      <c r="AV387" s="1305"/>
      <c r="AW387" s="1304"/>
      <c r="AX387" s="1305"/>
      <c r="AY387" s="1305"/>
      <c r="AZ387" s="1305"/>
      <c r="BA387" s="1305"/>
      <c r="BB387" s="1304"/>
      <c r="BC387" s="1305"/>
      <c r="BD387" s="1305"/>
      <c r="BE387" s="1305"/>
      <c r="BF387" s="1305"/>
      <c r="BG387" s="1306"/>
      <c r="BH387" s="1305"/>
      <c r="BI387" s="1305"/>
      <c r="BJ387" s="1305"/>
      <c r="BK387" s="1305"/>
      <c r="BL387" s="1337"/>
      <c r="BM387" s="1305"/>
      <c r="BN387" s="1305"/>
      <c r="BO387" s="1305"/>
      <c r="BP387" s="1305"/>
      <c r="BQ387" s="1337"/>
      <c r="BR387" s="1305"/>
      <c r="BS387" s="1305"/>
      <c r="BT387" s="1305"/>
      <c r="BU387" s="1305"/>
      <c r="BV387" s="1337"/>
      <c r="BW387" s="1305"/>
      <c r="BX387" s="1305"/>
      <c r="BY387" s="1305"/>
      <c r="BZ387" s="1305"/>
      <c r="CA387" s="1337"/>
      <c r="CB387" s="1295"/>
      <c r="CC387" s="1224"/>
      <c r="CD387" s="1295"/>
      <c r="CE387" s="1295"/>
      <c r="CF387" s="1325"/>
      <c r="CG387" s="1295"/>
      <c r="CH387" s="1295"/>
      <c r="CI387" s="1295"/>
      <c r="CJ387" s="1295"/>
      <c r="CK387" s="1325"/>
      <c r="CL387" s="1295"/>
      <c r="CM387" s="1295"/>
      <c r="CN387" s="1295"/>
      <c r="CO387" s="1295"/>
      <c r="CP387" s="1325"/>
      <c r="CQ387" s="1295"/>
      <c r="CR387" s="1295"/>
      <c r="CS387" s="1295"/>
      <c r="CT387" s="1295"/>
      <c r="CU387" s="1325"/>
      <c r="CV387" s="1295">
        <f>CV385+CV386</f>
        <v>0</v>
      </c>
      <c r="CW387" s="1295">
        <f>CW385+CW386</f>
        <v>0</v>
      </c>
      <c r="CX387" s="1295">
        <f>CX385+CX386</f>
        <v>2000</v>
      </c>
      <c r="CY387" s="1295">
        <f>CY385+CY386</f>
        <v>2000</v>
      </c>
      <c r="CZ387" s="1325">
        <f t="shared" ref="CZ387:DJ387" si="229">CZ385+CZ386</f>
        <v>2000</v>
      </c>
      <c r="DA387" s="1295">
        <f t="shared" si="229"/>
        <v>2000</v>
      </c>
      <c r="DB387" s="1295">
        <f t="shared" si="229"/>
        <v>2000</v>
      </c>
      <c r="DC387" s="1295">
        <f t="shared" si="229"/>
        <v>2000</v>
      </c>
      <c r="DD387" s="1295">
        <f t="shared" si="229"/>
        <v>2000</v>
      </c>
      <c r="DE387" s="1325">
        <f t="shared" si="229"/>
        <v>2000</v>
      </c>
      <c r="DF387" s="1295">
        <f t="shared" si="229"/>
        <v>2000</v>
      </c>
      <c r="DG387" s="1295">
        <f t="shared" si="229"/>
        <v>2000</v>
      </c>
      <c r="DH387" s="1295">
        <f t="shared" si="229"/>
        <v>2000</v>
      </c>
      <c r="DI387" s="1295">
        <f t="shared" si="229"/>
        <v>2000</v>
      </c>
      <c r="DJ387" s="1325">
        <f t="shared" si="229"/>
        <v>2000</v>
      </c>
      <c r="DK387" s="1295">
        <f t="shared" ref="DK387:DT387" si="230">DK385+DK386</f>
        <v>2000</v>
      </c>
      <c r="DL387" s="1295">
        <f t="shared" si="230"/>
        <v>2000</v>
      </c>
      <c r="DM387" s="1295">
        <f t="shared" si="230"/>
        <v>2000</v>
      </c>
      <c r="DN387" s="1295">
        <f t="shared" si="230"/>
        <v>2000</v>
      </c>
      <c r="DO387" s="1325">
        <f t="shared" si="230"/>
        <v>2000</v>
      </c>
      <c r="DP387" s="1295">
        <f t="shared" si="230"/>
        <v>2000</v>
      </c>
      <c r="DQ387" s="1295">
        <f t="shared" si="230"/>
        <v>2000</v>
      </c>
      <c r="DR387" s="1295">
        <f t="shared" si="230"/>
        <v>2000</v>
      </c>
      <c r="DS387" s="1295">
        <f t="shared" si="230"/>
        <v>2000</v>
      </c>
      <c r="DT387" s="1325">
        <f t="shared" si="230"/>
        <v>2000</v>
      </c>
      <c r="DU387" s="1295">
        <f t="shared" ref="DU387:DY387" si="231">DU385+DU386</f>
        <v>2000</v>
      </c>
      <c r="DV387" s="1295">
        <f t="shared" si="231"/>
        <v>2000</v>
      </c>
      <c r="DW387" s="1295">
        <f t="shared" si="231"/>
        <v>2000</v>
      </c>
      <c r="DX387" s="1295">
        <f t="shared" si="231"/>
        <v>2000</v>
      </c>
      <c r="DY387" s="1325">
        <f t="shared" si="231"/>
        <v>2000</v>
      </c>
    </row>
    <row r="388" spans="1:129" x14ac:dyDescent="0.2">
      <c r="A388" s="1223"/>
      <c r="B388" s="1190" t="s">
        <v>1155</v>
      </c>
      <c r="C388" s="1182"/>
      <c r="D388" s="1182"/>
      <c r="E388" s="1182"/>
      <c r="F388" s="1182"/>
      <c r="G388" s="1182"/>
      <c r="H388" s="1182"/>
      <c r="I388" s="1182"/>
      <c r="J388" s="1182"/>
      <c r="K388" s="1182"/>
      <c r="L388" s="1182"/>
      <c r="M388" s="1182"/>
      <c r="N388" s="1182"/>
      <c r="O388" s="1182"/>
      <c r="P388" s="1182"/>
      <c r="Q388" s="1182"/>
      <c r="R388" s="1182"/>
      <c r="S388" s="1182"/>
      <c r="T388" s="1182"/>
      <c r="U388" s="1182"/>
      <c r="V388" s="1182"/>
      <c r="W388" s="1182"/>
      <c r="X388" s="1227"/>
      <c r="Y388" s="1231"/>
      <c r="Z388" s="1231"/>
      <c r="AA388" s="1231"/>
      <c r="AB388" s="1231"/>
      <c r="AC388" s="1227"/>
      <c r="AD388" s="1231"/>
      <c r="AE388" s="1231"/>
      <c r="AF388" s="1231"/>
      <c r="AG388" s="1231"/>
      <c r="AH388" s="1227"/>
      <c r="AI388" s="1231"/>
      <c r="AJ388" s="1231"/>
      <c r="AK388" s="1231"/>
      <c r="AL388" s="1231"/>
      <c r="AM388" s="1227"/>
      <c r="AN388" s="1231"/>
      <c r="AO388" s="1231"/>
      <c r="AP388" s="1231"/>
      <c r="AQ388" s="1231"/>
      <c r="AR388" s="1227"/>
      <c r="AS388" s="1231"/>
      <c r="AT388" s="1231"/>
      <c r="AU388" s="1231"/>
      <c r="AV388" s="1231"/>
      <c r="AW388" s="1227"/>
      <c r="AX388" s="1231"/>
      <c r="AY388" s="1231"/>
      <c r="AZ388" s="1231"/>
      <c r="BA388" s="1231"/>
      <c r="BB388" s="1227"/>
      <c r="BC388" s="1231"/>
      <c r="BD388" s="1231"/>
      <c r="BE388" s="1231"/>
      <c r="BF388" s="1231"/>
      <c r="BG388" s="1227"/>
      <c r="BH388" s="1231"/>
      <c r="BI388" s="1231"/>
      <c r="BJ388" s="1231"/>
      <c r="BK388" s="1231"/>
      <c r="BL388" s="1326"/>
      <c r="BM388" s="1231"/>
      <c r="BN388" s="1231"/>
      <c r="BO388" s="1231"/>
      <c r="BP388" s="1231"/>
      <c r="BQ388" s="1326"/>
      <c r="BR388" s="1231"/>
      <c r="BS388" s="1231"/>
      <c r="BT388" s="1231"/>
      <c r="BU388" s="1231"/>
      <c r="BV388" s="1326"/>
      <c r="BW388" s="1231"/>
      <c r="BX388" s="1231"/>
      <c r="BY388" s="1231"/>
      <c r="BZ388" s="1231"/>
      <c r="CA388" s="1326"/>
      <c r="CB388" s="1231"/>
      <c r="CC388" s="1231"/>
      <c r="CD388" s="1231"/>
      <c r="CE388" s="1231"/>
      <c r="CF388" s="1326"/>
      <c r="CG388" s="1231"/>
      <c r="CH388" s="1231"/>
      <c r="CI388" s="1231"/>
      <c r="CJ388" s="1231"/>
      <c r="CK388" s="1326"/>
      <c r="CL388" s="1231"/>
      <c r="CM388" s="1231"/>
      <c r="CN388" s="1231"/>
      <c r="CO388" s="1231"/>
      <c r="CP388" s="1326"/>
      <c r="CQ388" s="1231"/>
      <c r="CR388" s="1231"/>
      <c r="CS388" s="1231"/>
      <c r="CT388" s="1231"/>
      <c r="CU388" s="1326"/>
      <c r="CV388" s="1231"/>
      <c r="CW388" s="1231"/>
      <c r="CX388" s="1231"/>
      <c r="CY388" s="1231"/>
      <c r="CZ388" s="1326"/>
      <c r="DA388" s="1231"/>
      <c r="DB388" s="1231"/>
      <c r="DC388" s="1231"/>
      <c r="DD388" s="1231"/>
      <c r="DE388" s="1326"/>
      <c r="DF388" s="1231"/>
      <c r="DG388" s="1231"/>
      <c r="DH388" s="1231"/>
      <c r="DI388" s="1231"/>
      <c r="DJ388" s="1326"/>
      <c r="DK388" s="1231"/>
      <c r="DL388" s="1231"/>
      <c r="DM388" s="1231"/>
      <c r="DN388" s="1231"/>
      <c r="DO388" s="1326"/>
      <c r="DP388" s="1231"/>
      <c r="DQ388" s="1231"/>
      <c r="DR388" s="1231"/>
      <c r="DS388" s="1231"/>
      <c r="DT388" s="1326"/>
      <c r="DU388" s="1231"/>
      <c r="DV388" s="1231"/>
      <c r="DW388" s="1231"/>
      <c r="DX388" s="1231"/>
      <c r="DY388" s="1326"/>
    </row>
    <row r="389" spans="1:129" x14ac:dyDescent="0.2">
      <c r="A389" s="1223"/>
      <c r="B389" s="1190" t="s">
        <v>1156</v>
      </c>
      <c r="C389" s="1182"/>
      <c r="D389" s="1182"/>
      <c r="E389" s="1182"/>
      <c r="F389" s="1182"/>
      <c r="G389" s="1182"/>
      <c r="H389" s="1182"/>
      <c r="I389" s="1182"/>
      <c r="J389" s="1182"/>
      <c r="K389" s="1182"/>
      <c r="L389" s="1182"/>
      <c r="M389" s="1182"/>
      <c r="N389" s="1182"/>
      <c r="O389" s="1182"/>
      <c r="P389" s="1182"/>
      <c r="Q389" s="1182"/>
      <c r="R389" s="1182"/>
      <c r="S389" s="1182"/>
      <c r="T389" s="1182"/>
      <c r="U389" s="1182"/>
      <c r="V389" s="1182"/>
      <c r="W389" s="1182"/>
      <c r="X389" s="1227"/>
      <c r="Y389" s="1231"/>
      <c r="Z389" s="1231"/>
      <c r="AA389" s="1231"/>
      <c r="AB389" s="1231"/>
      <c r="AC389" s="1227"/>
      <c r="AD389" s="1231"/>
      <c r="AE389" s="1231"/>
      <c r="AF389" s="1231"/>
      <c r="AG389" s="1231"/>
      <c r="AH389" s="1227"/>
      <c r="AI389" s="1231"/>
      <c r="AJ389" s="1231"/>
      <c r="AK389" s="1231"/>
      <c r="AL389" s="1231"/>
      <c r="AM389" s="1227"/>
      <c r="AN389" s="1231"/>
      <c r="AO389" s="1231"/>
      <c r="AP389" s="1231"/>
      <c r="AQ389" s="1231"/>
      <c r="AR389" s="1227"/>
      <c r="AS389" s="1231"/>
      <c r="AT389" s="1231"/>
      <c r="AU389" s="1231"/>
      <c r="AV389" s="1231"/>
      <c r="AW389" s="1227"/>
      <c r="AX389" s="1231"/>
      <c r="AY389" s="1231"/>
      <c r="AZ389" s="1231"/>
      <c r="BA389" s="1231"/>
      <c r="BB389" s="1227"/>
      <c r="BC389" s="1231"/>
      <c r="BD389" s="1231"/>
      <c r="BE389" s="1231"/>
      <c r="BF389" s="1231"/>
      <c r="BG389" s="1227"/>
      <c r="BH389" s="1231"/>
      <c r="BI389" s="1231"/>
      <c r="BJ389" s="1231"/>
      <c r="BK389" s="1231"/>
      <c r="BL389" s="1326"/>
      <c r="BM389" s="1231"/>
      <c r="BN389" s="1231"/>
      <c r="BO389" s="1231"/>
      <c r="BP389" s="1231"/>
      <c r="BQ389" s="1326"/>
      <c r="BR389" s="1231"/>
      <c r="BS389" s="1231"/>
      <c r="BT389" s="1231"/>
      <c r="BU389" s="1231"/>
      <c r="BV389" s="1326"/>
      <c r="BW389" s="1231"/>
      <c r="BX389" s="1231"/>
      <c r="BY389" s="1231"/>
      <c r="BZ389" s="1231"/>
      <c r="CA389" s="1326"/>
      <c r="CB389" s="1223"/>
      <c r="CC389" s="1223"/>
      <c r="CD389" s="1223"/>
      <c r="CE389" s="1223"/>
      <c r="CF389" s="1326"/>
      <c r="CG389" s="1223"/>
      <c r="CH389" s="1223"/>
      <c r="CI389" s="1223"/>
      <c r="CJ389" s="1223"/>
      <c r="CK389" s="1326"/>
      <c r="CL389" s="1223"/>
      <c r="CM389" s="1223"/>
      <c r="CN389" s="1223"/>
      <c r="CO389" s="1223"/>
      <c r="CP389" s="1326"/>
      <c r="CQ389" s="1223"/>
      <c r="CR389" s="1223"/>
      <c r="CS389" s="1223"/>
      <c r="CT389" s="1223"/>
      <c r="CU389" s="1326"/>
      <c r="CV389" s="1223">
        <f>-(AVERAGE(CV387,CV385))*(CV383/4)</f>
        <v>0</v>
      </c>
      <c r="CW389" s="1223">
        <f>-(AVERAGE(CW387,CW385))*(CW383/4)</f>
        <v>0</v>
      </c>
      <c r="CX389" s="1223">
        <f>-CX387*(CX383/4)</f>
        <v>-24.375</v>
      </c>
      <c r="CY389" s="1223">
        <f>-(AVERAGE(CY387,CY385))*(CY383/4)</f>
        <v>-24.375</v>
      </c>
      <c r="CZ389" s="1326">
        <f>SUM(CV389:CY389)</f>
        <v>-48.75</v>
      </c>
      <c r="DA389" s="1223">
        <f>-(AVERAGE(DA387,DA385))*(DA383/4)</f>
        <v>-24.375</v>
      </c>
      <c r="DB389" s="1223">
        <f>-(AVERAGE(DB387,DB385))*(DB383/4)</f>
        <v>-24.375</v>
      </c>
      <c r="DC389" s="1223">
        <f>-(AVERAGE(DC387,DC385))*(DC383/4)</f>
        <v>-24.375</v>
      </c>
      <c r="DD389" s="1223">
        <f>-(AVERAGE(DD387,DD385))*(DD383/4)</f>
        <v>-24.375</v>
      </c>
      <c r="DE389" s="1326">
        <f>SUM(DA389:DD389)</f>
        <v>-97.5</v>
      </c>
      <c r="DF389" s="1223">
        <f>-(AVERAGE(DF387,DF385))*(DF383/4)</f>
        <v>-24.375</v>
      </c>
      <c r="DG389" s="1223">
        <f>-(AVERAGE(DG387,DG385))*(DG383/4)</f>
        <v>-24.375</v>
      </c>
      <c r="DH389" s="1223">
        <f>-(AVERAGE(DH387,DH385))*(DH383/4)</f>
        <v>-24.375</v>
      </c>
      <c r="DI389" s="1223">
        <f>-(AVERAGE(DI387,DI385))*(DI383/4)</f>
        <v>-24.375</v>
      </c>
      <c r="DJ389" s="1326">
        <f>SUM(DF389:DI389)</f>
        <v>-97.5</v>
      </c>
      <c r="DK389" s="1223">
        <f>-(AVERAGE(DK387,DK385))*(DK383/4)</f>
        <v>-24.375</v>
      </c>
      <c r="DL389" s="1223">
        <f>-(AVERAGE(DL387,DL385))*(DL383/4)</f>
        <v>-24.375</v>
      </c>
      <c r="DM389" s="1223">
        <f>-(AVERAGE(DM387,DM385))*(DM383/4)</f>
        <v>-24.375</v>
      </c>
      <c r="DN389" s="1223">
        <f>-(AVERAGE(DN387,DN385))*(DN383/4)</f>
        <v>-24.375</v>
      </c>
      <c r="DO389" s="1326">
        <f>SUM(DK389:DN389)</f>
        <v>-97.5</v>
      </c>
      <c r="DP389" s="1223">
        <f>-(AVERAGE(DP387,DP385))*(DP383/4)</f>
        <v>-24.375</v>
      </c>
      <c r="DQ389" s="1223">
        <f>-(AVERAGE(DQ387,DQ385))*(DQ383/4)</f>
        <v>-24.375</v>
      </c>
      <c r="DR389" s="1223">
        <f>-(AVERAGE(DR387,DR385))*(DR383/4)</f>
        <v>-24.375</v>
      </c>
      <c r="DS389" s="1223">
        <f>-(AVERAGE(DS387,DS385))*(DS383/4)</f>
        <v>-24.375</v>
      </c>
      <c r="DT389" s="1326">
        <f>SUM(DP389:DS389)</f>
        <v>-97.5</v>
      </c>
      <c r="DU389" s="1223">
        <f>-(AVERAGE(DU387,DU385))*(DU383/4)</f>
        <v>-24.375</v>
      </c>
      <c r="DV389" s="1223">
        <f>-(AVERAGE(DV387,DV385))*(DV383/4)</f>
        <v>-24.375</v>
      </c>
      <c r="DW389" s="1223">
        <f>-(AVERAGE(DW387,DW385))*(DW383/4)</f>
        <v>-24.375</v>
      </c>
      <c r="DX389" s="1223">
        <f>-(AVERAGE(DX387,DX385))*(DX383/4)</f>
        <v>-24.375</v>
      </c>
      <c r="DY389" s="1326">
        <f>SUM(DU389:DX389)</f>
        <v>-97.5</v>
      </c>
    </row>
    <row r="390" spans="1:129" ht="12" thickBot="1" x14ac:dyDescent="0.25">
      <c r="A390" s="1223"/>
      <c r="B390" s="1250" t="s">
        <v>1157</v>
      </c>
      <c r="C390" s="1251"/>
      <c r="D390" s="1251"/>
      <c r="E390" s="1251"/>
      <c r="F390" s="1251"/>
      <c r="G390" s="1251"/>
      <c r="H390" s="1251"/>
      <c r="I390" s="1251"/>
      <c r="J390" s="1251"/>
      <c r="K390" s="1251"/>
      <c r="L390" s="1251"/>
      <c r="M390" s="1251"/>
      <c r="N390" s="1251"/>
      <c r="O390" s="1251"/>
      <c r="P390" s="1251"/>
      <c r="Q390" s="1251"/>
      <c r="R390" s="1251"/>
      <c r="S390" s="1251"/>
      <c r="T390" s="1251"/>
      <c r="U390" s="1251"/>
      <c r="V390" s="1251"/>
      <c r="W390" s="1251"/>
      <c r="X390" s="1252"/>
      <c r="Y390" s="1251"/>
      <c r="Z390" s="1251"/>
      <c r="AA390" s="1251"/>
      <c r="AB390" s="1251"/>
      <c r="AC390" s="1252"/>
      <c r="AD390" s="1251"/>
      <c r="AE390" s="1251"/>
      <c r="AF390" s="1251"/>
      <c r="AG390" s="1251"/>
      <c r="AH390" s="1252"/>
      <c r="AI390" s="1251"/>
      <c r="AJ390" s="1251"/>
      <c r="AK390" s="1251"/>
      <c r="AL390" s="1251"/>
      <c r="AM390" s="1252"/>
      <c r="AN390" s="1251"/>
      <c r="AO390" s="1251"/>
      <c r="AP390" s="1251"/>
      <c r="AQ390" s="1253"/>
      <c r="AR390" s="1252"/>
      <c r="AS390" s="1253"/>
      <c r="AT390" s="1253"/>
      <c r="AU390" s="1253"/>
      <c r="AV390" s="1253"/>
      <c r="AW390" s="1252"/>
      <c r="AX390" s="1253"/>
      <c r="AY390" s="1253"/>
      <c r="AZ390" s="1253"/>
      <c r="BA390" s="1253"/>
      <c r="BB390" s="1252"/>
      <c r="BC390" s="1253"/>
      <c r="BD390" s="1253"/>
      <c r="BE390" s="1253"/>
      <c r="BF390" s="1253"/>
      <c r="BG390" s="1252"/>
      <c r="BH390" s="1253"/>
      <c r="BI390" s="1253"/>
      <c r="BJ390" s="1253"/>
      <c r="BK390" s="1253"/>
      <c r="BL390" s="1327"/>
      <c r="BM390" s="1253"/>
      <c r="BN390" s="1253"/>
      <c r="BO390" s="1253"/>
      <c r="BP390" s="1253"/>
      <c r="BQ390" s="1327"/>
      <c r="BR390" s="1253"/>
      <c r="BS390" s="1253"/>
      <c r="BT390" s="1253"/>
      <c r="BU390" s="1253"/>
      <c r="BV390" s="1327"/>
      <c r="BW390" s="1253"/>
      <c r="BX390" s="1253"/>
      <c r="BY390" s="1253"/>
      <c r="BZ390" s="1253"/>
      <c r="CA390" s="1327"/>
      <c r="CB390" s="1253">
        <f>-CB382*CB388/4</f>
        <v>0</v>
      </c>
      <c r="CC390" s="1253">
        <f>-CC382*CC388/4</f>
        <v>0</v>
      </c>
      <c r="CD390" s="1253">
        <f>-CD382*CD388/4</f>
        <v>0</v>
      </c>
      <c r="CE390" s="1253">
        <f>-CE382*CE388/4</f>
        <v>0</v>
      </c>
      <c r="CF390" s="1327"/>
      <c r="CG390" s="1253">
        <f>-CG382*CG388/4</f>
        <v>0</v>
      </c>
      <c r="CH390" s="1253">
        <f>-CH382*CH388/4</f>
        <v>0</v>
      </c>
      <c r="CI390" s="1253">
        <f>-CI382*CI388/4</f>
        <v>0</v>
      </c>
      <c r="CJ390" s="1253">
        <f>-CJ382*CJ388/4</f>
        <v>0</v>
      </c>
      <c r="CK390" s="1327"/>
      <c r="CL390" s="1253">
        <f>-CL382*CL388/4</f>
        <v>0</v>
      </c>
      <c r="CM390" s="1253">
        <f>-CM382*CM388/4</f>
        <v>0</v>
      </c>
      <c r="CN390" s="1253">
        <f>-CN382*CN388/4</f>
        <v>0</v>
      </c>
      <c r="CO390" s="1253">
        <f>-CO382*CO388/4</f>
        <v>0</v>
      </c>
      <c r="CP390" s="1327"/>
      <c r="CQ390" s="1253">
        <f>-CQ382*CQ388/4</f>
        <v>0</v>
      </c>
      <c r="CR390" s="1253">
        <f>-CR382*CR388/4</f>
        <v>0</v>
      </c>
      <c r="CS390" s="1253">
        <f>-CS382*CS388/4</f>
        <v>0</v>
      </c>
      <c r="CT390" s="1253">
        <f>-CT382*CT388/4</f>
        <v>0</v>
      </c>
      <c r="CU390" s="1327"/>
      <c r="CV390" s="1253">
        <f>-CV382*CV388/4</f>
        <v>0</v>
      </c>
      <c r="CW390" s="1253">
        <f>-CW382*CW388/4</f>
        <v>0</v>
      </c>
      <c r="CX390" s="1253">
        <f>-CX382*CX388/4</f>
        <v>0</v>
      </c>
      <c r="CY390" s="1253">
        <f>-CY382*CY388/4</f>
        <v>0</v>
      </c>
      <c r="CZ390" s="1327"/>
      <c r="DA390" s="1253">
        <f>-DA382*DA388/4</f>
        <v>0</v>
      </c>
      <c r="DB390" s="1253">
        <f>-DB382*DB388/4</f>
        <v>0</v>
      </c>
      <c r="DC390" s="1253">
        <f>-DC382*DC388/4</f>
        <v>0</v>
      </c>
      <c r="DD390" s="1253">
        <f>-DD382*DD388/4</f>
        <v>0</v>
      </c>
      <c r="DE390" s="1327"/>
      <c r="DF390" s="1253">
        <f>-DF382*DF388/4</f>
        <v>0</v>
      </c>
      <c r="DG390" s="1253">
        <f>-DG382*DG388/4</f>
        <v>0</v>
      </c>
      <c r="DH390" s="1253">
        <f>-DH382*DH388/4</f>
        <v>0</v>
      </c>
      <c r="DI390" s="1253">
        <f>-DI382*DI388/4</f>
        <v>0</v>
      </c>
      <c r="DJ390" s="1327"/>
      <c r="DK390" s="1253">
        <f>-DK382*DK388/4</f>
        <v>0</v>
      </c>
      <c r="DL390" s="1253">
        <f>-DL382*DL388/4</f>
        <v>0</v>
      </c>
      <c r="DM390" s="1253">
        <f>-DM382*DM388/4</f>
        <v>0</v>
      </c>
      <c r="DN390" s="1253">
        <f>-DN382*DN388/4</f>
        <v>0</v>
      </c>
      <c r="DO390" s="1327"/>
      <c r="DP390" s="1253">
        <f>-DP382*DP388/4</f>
        <v>0</v>
      </c>
      <c r="DQ390" s="1253">
        <f>-DQ382*DQ388/4</f>
        <v>0</v>
      </c>
      <c r="DR390" s="1253">
        <f>-DR382*DR388/4</f>
        <v>0</v>
      </c>
      <c r="DS390" s="1253">
        <f>-DS382*DS388/4</f>
        <v>0</v>
      </c>
      <c r="DT390" s="1327"/>
      <c r="DU390" s="1253">
        <f>-DU382*DU388/4</f>
        <v>0</v>
      </c>
      <c r="DV390" s="1253">
        <f>-DV382*DV388/4</f>
        <v>0</v>
      </c>
      <c r="DW390" s="1253">
        <f>-DW382*DW388/4</f>
        <v>0</v>
      </c>
      <c r="DX390" s="1253">
        <f>-DX382*DX388/4</f>
        <v>0</v>
      </c>
      <c r="DY390" s="1327"/>
    </row>
    <row r="391" spans="1:129" ht="12" thickBot="1" x14ac:dyDescent="0.25">
      <c r="A391" s="1223"/>
      <c r="B391" s="1231"/>
      <c r="C391" s="1182"/>
      <c r="D391" s="1182"/>
      <c r="E391" s="1182"/>
      <c r="F391" s="1182"/>
      <c r="G391" s="1182"/>
      <c r="H391" s="1182"/>
      <c r="I391" s="1182"/>
      <c r="J391" s="1182"/>
      <c r="K391" s="1182"/>
      <c r="L391" s="1182"/>
      <c r="M391" s="1182"/>
      <c r="N391" s="1182"/>
      <c r="O391" s="1182"/>
      <c r="P391" s="1182"/>
      <c r="Q391" s="1182"/>
      <c r="R391" s="1182"/>
      <c r="S391" s="1182"/>
      <c r="T391" s="1182"/>
      <c r="U391" s="1182"/>
      <c r="V391" s="1182"/>
      <c r="W391" s="1182"/>
      <c r="X391" s="1231"/>
      <c r="Y391" s="1182"/>
      <c r="Z391" s="1182"/>
      <c r="AA391" s="1182"/>
      <c r="AB391" s="1182"/>
      <c r="AC391" s="1231"/>
      <c r="AD391" s="1182"/>
      <c r="AE391" s="1182"/>
      <c r="AF391" s="1182"/>
      <c r="AG391" s="1182"/>
      <c r="AH391" s="1231"/>
      <c r="AI391" s="1182"/>
      <c r="AJ391" s="1182"/>
      <c r="AK391" s="1182"/>
      <c r="AL391" s="1182"/>
      <c r="AM391" s="1231"/>
      <c r="AN391" s="1182"/>
      <c r="AO391" s="1182"/>
      <c r="AP391" s="1182"/>
      <c r="AQ391" s="1231"/>
      <c r="AR391" s="1231"/>
      <c r="AS391" s="1231"/>
      <c r="AT391" s="1231"/>
      <c r="AU391" s="1231"/>
      <c r="AV391" s="1231"/>
      <c r="AW391" s="1231"/>
      <c r="AX391" s="1231"/>
      <c r="AY391" s="1231"/>
      <c r="AZ391" s="1231"/>
      <c r="BA391" s="1231"/>
      <c r="BB391" s="1231"/>
      <c r="BC391" s="1231"/>
      <c r="BD391" s="1231"/>
      <c r="BE391" s="1231"/>
      <c r="BF391" s="1231"/>
      <c r="BG391" s="1231"/>
      <c r="BH391" s="1231"/>
      <c r="BI391" s="1231"/>
      <c r="BJ391" s="1231"/>
      <c r="BK391" s="1231"/>
      <c r="BL391" s="1231"/>
      <c r="BM391" s="1231"/>
      <c r="BN391" s="1231"/>
      <c r="BO391" s="1231"/>
      <c r="BP391" s="1231"/>
      <c r="BQ391" s="1231"/>
      <c r="BR391" s="1231"/>
      <c r="BS391" s="1231"/>
      <c r="BT391" s="1231"/>
      <c r="BU391" s="1231"/>
      <c r="BV391" s="1231"/>
      <c r="BW391" s="1231"/>
      <c r="BX391" s="1231"/>
      <c r="BY391" s="1231"/>
      <c r="BZ391" s="1231"/>
      <c r="CA391" s="1231"/>
      <c r="CB391" s="1231"/>
      <c r="CC391" s="1231"/>
      <c r="CD391" s="1231"/>
      <c r="CE391" s="1231"/>
      <c r="CF391" s="1231"/>
      <c r="CG391" s="1231"/>
      <c r="CH391" s="1231"/>
      <c r="CI391" s="1231"/>
      <c r="CJ391" s="1231"/>
      <c r="CK391" s="1231"/>
      <c r="CL391" s="1231"/>
      <c r="CM391" s="1231"/>
      <c r="CN391" s="1231"/>
      <c r="CO391" s="1231"/>
      <c r="CP391" s="1231"/>
      <c r="CQ391" s="1231"/>
      <c r="CR391" s="1231"/>
      <c r="CS391" s="1231"/>
      <c r="CT391" s="1231"/>
      <c r="CU391" s="1231"/>
      <c r="CV391" s="1231"/>
      <c r="CW391" s="1231"/>
      <c r="CX391" s="1231"/>
      <c r="CY391" s="1231"/>
      <c r="CZ391" s="1231"/>
      <c r="DA391" s="1231"/>
      <c r="DB391" s="1231"/>
      <c r="DC391" s="1231"/>
      <c r="DD391" s="1231"/>
      <c r="DE391" s="1231"/>
      <c r="DF391" s="1231"/>
      <c r="DG391" s="1231"/>
      <c r="DH391" s="1231"/>
      <c r="DI391" s="1231"/>
      <c r="DJ391" s="1231"/>
      <c r="DK391" s="1231"/>
      <c r="DL391" s="1231"/>
      <c r="DM391" s="1231"/>
      <c r="DN391" s="1231"/>
      <c r="DO391" s="1231"/>
      <c r="DP391" s="1231"/>
      <c r="DQ391" s="1231"/>
      <c r="DR391" s="1231"/>
      <c r="DS391" s="1231"/>
      <c r="DT391" s="1231"/>
      <c r="DU391" s="1231"/>
      <c r="DV391" s="1231"/>
      <c r="DW391" s="1231"/>
      <c r="DX391" s="1231"/>
      <c r="DY391" s="1231"/>
    </row>
    <row r="392" spans="1:129" ht="12" thickBot="1" x14ac:dyDescent="0.25">
      <c r="A392" s="1223"/>
      <c r="B392" s="1282" t="s">
        <v>1372</v>
      </c>
      <c r="C392" s="1328"/>
      <c r="D392" s="1329"/>
      <c r="E392" s="1329"/>
      <c r="F392" s="1329"/>
      <c r="G392" s="1329"/>
      <c r="H392" s="1329"/>
      <c r="I392" s="1329"/>
      <c r="J392" s="1329"/>
      <c r="K392" s="1329"/>
      <c r="L392" s="1329"/>
      <c r="M392" s="1329"/>
      <c r="N392" s="1329"/>
      <c r="O392" s="1329"/>
      <c r="P392" s="1329"/>
      <c r="Q392" s="1329"/>
      <c r="R392" s="1329"/>
      <c r="S392" s="1329"/>
      <c r="T392" s="1329"/>
      <c r="U392" s="1329"/>
      <c r="V392" s="1329"/>
      <c r="W392" s="1329"/>
      <c r="X392" s="1328"/>
      <c r="Y392" s="1328"/>
      <c r="Z392" s="1328"/>
      <c r="AA392" s="1328"/>
      <c r="AB392" s="1328"/>
      <c r="AC392" s="1328"/>
      <c r="AD392" s="1328"/>
      <c r="AE392" s="1328"/>
      <c r="AF392" s="1328"/>
      <c r="AG392" s="1328"/>
      <c r="AH392" s="1328"/>
      <c r="AI392" s="1328"/>
      <c r="AJ392" s="1328"/>
      <c r="AK392" s="1328"/>
      <c r="AL392" s="1328"/>
      <c r="AM392" s="1328"/>
      <c r="AN392" s="1328"/>
      <c r="AO392" s="1328"/>
      <c r="AP392" s="1328"/>
      <c r="AQ392" s="1330"/>
      <c r="AR392" s="1330"/>
      <c r="AS392" s="1330"/>
      <c r="AT392" s="1331"/>
      <c r="AU392" s="1331"/>
      <c r="AV392" s="1331"/>
      <c r="AW392" s="1330"/>
      <c r="AX392" s="1330"/>
      <c r="AY392" s="1330"/>
      <c r="AZ392" s="1330"/>
      <c r="BA392" s="1330"/>
      <c r="BB392" s="1330"/>
      <c r="BC392" s="1330"/>
      <c r="BD392" s="1330"/>
      <c r="BE392" s="1330"/>
      <c r="BF392" s="1330"/>
      <c r="BG392" s="1330"/>
      <c r="BH392" s="1330"/>
      <c r="BI392" s="1330"/>
      <c r="BJ392" s="1330"/>
      <c r="BK392" s="1330"/>
      <c r="BL392" s="1332"/>
      <c r="BM392" s="1330"/>
      <c r="BN392" s="1330"/>
      <c r="BO392" s="1330"/>
      <c r="BP392" s="1330"/>
      <c r="BQ392" s="1332"/>
      <c r="BR392" s="1330"/>
      <c r="BS392" s="1330"/>
      <c r="BT392" s="1330"/>
      <c r="BU392" s="1330"/>
      <c r="BV392" s="1332"/>
      <c r="BW392" s="1330"/>
      <c r="BX392" s="1330"/>
      <c r="BY392" s="1330"/>
      <c r="BZ392" s="1330"/>
      <c r="CA392" s="1332"/>
      <c r="CB392" s="1330"/>
      <c r="CC392" s="1330"/>
      <c r="CD392" s="1330"/>
      <c r="CE392" s="1330"/>
      <c r="CF392" s="1332"/>
      <c r="CG392" s="1330"/>
      <c r="CH392" s="1330"/>
      <c r="CI392" s="1330"/>
      <c r="CJ392" s="1330"/>
      <c r="CK392" s="1332"/>
      <c r="CL392" s="1330"/>
      <c r="CM392" s="1330"/>
      <c r="CN392" s="1330"/>
      <c r="CO392" s="1330"/>
      <c r="CP392" s="1332"/>
      <c r="CQ392" s="1330"/>
      <c r="CR392" s="1330"/>
      <c r="CS392" s="1330"/>
      <c r="CT392" s="1330"/>
      <c r="CU392" s="1332"/>
      <c r="CV392" s="1330"/>
      <c r="CW392" s="1330"/>
      <c r="CX392" s="1330"/>
      <c r="CY392" s="1330"/>
      <c r="CZ392" s="1332"/>
      <c r="DA392" s="1330"/>
      <c r="DB392" s="1330"/>
      <c r="DC392" s="1330"/>
      <c r="DD392" s="1330"/>
      <c r="DE392" s="1332"/>
      <c r="DF392" s="1330"/>
      <c r="DG392" s="1330"/>
      <c r="DH392" s="1330"/>
      <c r="DI392" s="1330"/>
      <c r="DJ392" s="1332"/>
      <c r="DK392" s="1330"/>
      <c r="DL392" s="1330"/>
      <c r="DM392" s="1330"/>
      <c r="DN392" s="1330"/>
      <c r="DO392" s="1332"/>
      <c r="DP392" s="1330"/>
      <c r="DQ392" s="1330"/>
      <c r="DR392" s="1330"/>
      <c r="DS392" s="1330"/>
      <c r="DT392" s="1332"/>
      <c r="DU392" s="1330"/>
      <c r="DV392" s="1330"/>
      <c r="DW392" s="1330"/>
      <c r="DX392" s="1330"/>
      <c r="DY392" s="1332"/>
    </row>
    <row r="393" spans="1:129" x14ac:dyDescent="0.2">
      <c r="A393" s="1223"/>
      <c r="B393" s="1287" t="s">
        <v>1149</v>
      </c>
      <c r="C393" s="650"/>
      <c r="D393" s="650"/>
      <c r="E393" s="650"/>
      <c r="F393" s="650"/>
      <c r="G393" s="650"/>
      <c r="H393" s="650"/>
      <c r="I393" s="650"/>
      <c r="J393" s="650"/>
      <c r="K393" s="650"/>
      <c r="L393" s="650"/>
      <c r="M393" s="650"/>
      <c r="N393" s="650"/>
      <c r="O393" s="650"/>
      <c r="P393" s="650"/>
      <c r="Q393" s="650"/>
      <c r="R393" s="650"/>
      <c r="S393" s="650"/>
      <c r="T393" s="650"/>
      <c r="U393" s="650"/>
      <c r="V393" s="650"/>
      <c r="W393" s="650"/>
      <c r="X393" s="1288"/>
      <c r="Y393" s="650"/>
      <c r="Z393" s="650"/>
      <c r="AA393" s="650"/>
      <c r="AB393" s="650"/>
      <c r="AC393" s="1288"/>
      <c r="AD393" s="650"/>
      <c r="AE393" s="650"/>
      <c r="AF393" s="650"/>
      <c r="AG393" s="650"/>
      <c r="AH393" s="1288"/>
      <c r="AI393" s="650"/>
      <c r="AJ393" s="650"/>
      <c r="AK393" s="650"/>
      <c r="AL393" s="650"/>
      <c r="AM393" s="1288"/>
      <c r="AN393" s="650"/>
      <c r="AO393" s="650"/>
      <c r="AP393" s="650"/>
      <c r="AQ393" s="650"/>
      <c r="AR393" s="1288"/>
      <c r="AS393" s="650"/>
      <c r="AT393" s="650"/>
      <c r="AU393" s="650"/>
      <c r="AV393" s="650"/>
      <c r="AW393" s="1288"/>
      <c r="AX393" s="650"/>
      <c r="AY393" s="650"/>
      <c r="AZ393" s="650"/>
      <c r="BA393" s="650"/>
      <c r="BB393" s="1288"/>
      <c r="BC393" s="650"/>
      <c r="BD393" s="650"/>
      <c r="BE393" s="650"/>
      <c r="BF393" s="650"/>
      <c r="BG393" s="1288"/>
      <c r="BH393" s="650"/>
      <c r="BI393" s="650"/>
      <c r="BJ393" s="650"/>
      <c r="BK393" s="650"/>
      <c r="BL393" s="583"/>
      <c r="BM393" s="650"/>
      <c r="BN393" s="650"/>
      <c r="BO393" s="650"/>
      <c r="BP393" s="650"/>
      <c r="BQ393" s="583"/>
      <c r="BR393" s="650"/>
      <c r="BS393" s="650"/>
      <c r="BT393" s="650"/>
      <c r="BU393" s="650"/>
      <c r="BV393" s="583"/>
      <c r="BW393" s="650"/>
      <c r="BX393" s="650"/>
      <c r="BY393" s="650"/>
      <c r="BZ393" s="650"/>
      <c r="CA393" s="583"/>
      <c r="CB393" s="650"/>
      <c r="CC393" s="650"/>
      <c r="CD393" s="650"/>
      <c r="CE393" s="650"/>
      <c r="CF393" s="583"/>
      <c r="CG393" s="650"/>
      <c r="CH393" s="650"/>
      <c r="CI393" s="650"/>
      <c r="CJ393" s="650"/>
      <c r="CK393" s="583"/>
      <c r="CL393" s="650"/>
      <c r="CM393" s="650"/>
      <c r="CN393" s="650"/>
      <c r="CO393" s="650"/>
      <c r="CP393" s="583"/>
      <c r="CQ393" s="650"/>
      <c r="CR393" s="650"/>
      <c r="CS393" s="650"/>
      <c r="CT393" s="650"/>
      <c r="CU393" s="583"/>
      <c r="CV393" s="650"/>
      <c r="CW393" s="650"/>
      <c r="CX393" s="650"/>
      <c r="CY393" s="650"/>
      <c r="CZ393" s="583"/>
      <c r="DA393" s="650"/>
      <c r="DB393" s="650"/>
      <c r="DC393" s="650"/>
      <c r="DD393" s="650"/>
      <c r="DE393" s="583"/>
      <c r="DF393" s="650"/>
      <c r="DG393" s="650"/>
      <c r="DH393" s="650"/>
      <c r="DI393" s="650"/>
      <c r="DJ393" s="583"/>
      <c r="DK393" s="650"/>
      <c r="DL393" s="650"/>
      <c r="DM393" s="650"/>
      <c r="DN393" s="650"/>
      <c r="DO393" s="583"/>
      <c r="DP393" s="650"/>
      <c r="DQ393" s="650"/>
      <c r="DR393" s="650"/>
      <c r="DS393" s="650"/>
      <c r="DT393" s="583"/>
      <c r="DU393" s="650"/>
      <c r="DV393" s="650"/>
      <c r="DW393" s="650"/>
      <c r="DX393" s="650"/>
      <c r="DY393" s="583"/>
    </row>
    <row r="394" spans="1:129" x14ac:dyDescent="0.2">
      <c r="A394" s="1223"/>
      <c r="B394" s="1287" t="s">
        <v>1150</v>
      </c>
      <c r="C394" s="650"/>
      <c r="D394" s="650"/>
      <c r="E394" s="650"/>
      <c r="F394" s="650"/>
      <c r="G394" s="650"/>
      <c r="H394" s="650"/>
      <c r="I394" s="650"/>
      <c r="J394" s="650"/>
      <c r="K394" s="650"/>
      <c r="L394" s="650"/>
      <c r="M394" s="650"/>
      <c r="N394" s="650"/>
      <c r="O394" s="650"/>
      <c r="P394" s="650"/>
      <c r="Q394" s="650"/>
      <c r="R394" s="650"/>
      <c r="S394" s="650"/>
      <c r="T394" s="650"/>
      <c r="U394" s="650"/>
      <c r="V394" s="650"/>
      <c r="W394" s="650"/>
      <c r="X394" s="1288"/>
      <c r="Y394" s="650"/>
      <c r="Z394" s="650"/>
      <c r="AA394" s="650"/>
      <c r="AB394" s="650"/>
      <c r="AC394" s="1288"/>
      <c r="AD394" s="650"/>
      <c r="AE394" s="650"/>
      <c r="AF394" s="650"/>
      <c r="AG394" s="650"/>
      <c r="AH394" s="1288"/>
      <c r="AI394" s="650"/>
      <c r="AJ394" s="650"/>
      <c r="AK394" s="650"/>
      <c r="AL394" s="650"/>
      <c r="AM394" s="1288"/>
      <c r="AN394" s="650"/>
      <c r="AO394" s="650"/>
      <c r="AP394" s="650"/>
      <c r="AQ394" s="650"/>
      <c r="AR394" s="1288"/>
      <c r="AS394" s="650"/>
      <c r="AT394" s="650"/>
      <c r="AU394" s="650"/>
      <c r="AV394" s="650"/>
      <c r="AW394" s="1288"/>
      <c r="AX394" s="650"/>
      <c r="AY394" s="650"/>
      <c r="AZ394" s="650"/>
      <c r="BA394" s="650"/>
      <c r="BB394" s="1288"/>
      <c r="BC394" s="650"/>
      <c r="BD394" s="650"/>
      <c r="BE394" s="650"/>
      <c r="BF394" s="650"/>
      <c r="BG394" s="1289"/>
      <c r="BH394" s="650"/>
      <c r="BI394" s="650"/>
      <c r="BJ394" s="650"/>
      <c r="BK394" s="650"/>
      <c r="BL394" s="1333"/>
      <c r="BM394" s="650"/>
      <c r="BN394" s="650"/>
      <c r="BO394" s="650"/>
      <c r="BP394" s="650"/>
      <c r="BQ394" s="1333"/>
      <c r="BR394" s="650"/>
      <c r="BS394" s="650"/>
      <c r="BT394" s="650"/>
      <c r="BU394" s="650"/>
      <c r="BV394" s="1333"/>
      <c r="BW394" s="650"/>
      <c r="BX394" s="650"/>
      <c r="BY394" s="650"/>
      <c r="BZ394" s="650"/>
      <c r="CA394" s="1333"/>
      <c r="CB394" s="1334">
        <v>4.1250000000000002E-2</v>
      </c>
      <c r="CC394" s="1334">
        <v>4.1250000000000002E-2</v>
      </c>
      <c r="CD394" s="1334">
        <v>4.1250000000000002E-2</v>
      </c>
      <c r="CE394" s="1334">
        <v>4.1250000000000002E-2</v>
      </c>
      <c r="CF394" s="1333"/>
      <c r="CG394" s="1334">
        <f>CE394</f>
        <v>4.1250000000000002E-2</v>
      </c>
      <c r="CH394" s="1334">
        <f>CG394</f>
        <v>4.1250000000000002E-2</v>
      </c>
      <c r="CI394" s="1334">
        <f>CH394</f>
        <v>4.1250000000000002E-2</v>
      </c>
      <c r="CJ394" s="1334">
        <f>CI394</f>
        <v>4.1250000000000002E-2</v>
      </c>
      <c r="CK394" s="1333"/>
      <c r="CL394" s="1334">
        <f>CJ394</f>
        <v>4.1250000000000002E-2</v>
      </c>
      <c r="CM394" s="1334">
        <f>CL394</f>
        <v>4.1250000000000002E-2</v>
      </c>
      <c r="CN394" s="1334">
        <f>CM394</f>
        <v>4.1250000000000002E-2</v>
      </c>
      <c r="CO394" s="1334">
        <f>CN394</f>
        <v>4.1250000000000002E-2</v>
      </c>
      <c r="CP394" s="1333"/>
      <c r="CQ394" s="1334">
        <f>CO394</f>
        <v>4.1250000000000002E-2</v>
      </c>
      <c r="CR394" s="1334">
        <f>CQ394</f>
        <v>4.1250000000000002E-2</v>
      </c>
      <c r="CS394" s="1334">
        <f>CR394</f>
        <v>4.1250000000000002E-2</v>
      </c>
      <c r="CT394" s="1334">
        <f>CS394</f>
        <v>4.1250000000000002E-2</v>
      </c>
      <c r="CU394" s="1333"/>
      <c r="CV394" s="1334"/>
      <c r="CW394" s="1334"/>
      <c r="CX394" s="1334">
        <v>5.1249999999999997E-2</v>
      </c>
      <c r="CY394" s="1334">
        <f>CX394</f>
        <v>5.1249999999999997E-2</v>
      </c>
      <c r="CZ394" s="1333"/>
      <c r="DA394" s="1334">
        <f>CY394</f>
        <v>5.1249999999999997E-2</v>
      </c>
      <c r="DB394" s="1334">
        <f>DA394</f>
        <v>5.1249999999999997E-2</v>
      </c>
      <c r="DC394" s="1334">
        <f>DB394</f>
        <v>5.1249999999999997E-2</v>
      </c>
      <c r="DD394" s="1334">
        <f>DC394</f>
        <v>5.1249999999999997E-2</v>
      </c>
      <c r="DE394" s="1333"/>
      <c r="DF394" s="1334">
        <f>DD394</f>
        <v>5.1249999999999997E-2</v>
      </c>
      <c r="DG394" s="1334">
        <f>DF394</f>
        <v>5.1249999999999997E-2</v>
      </c>
      <c r="DH394" s="1334">
        <f>DG394</f>
        <v>5.1249999999999997E-2</v>
      </c>
      <c r="DI394" s="1334">
        <f>DH394</f>
        <v>5.1249999999999997E-2</v>
      </c>
      <c r="DJ394" s="1333"/>
      <c r="DK394" s="1334">
        <f>DI394</f>
        <v>5.1249999999999997E-2</v>
      </c>
      <c r="DL394" s="1334">
        <f>DK394</f>
        <v>5.1249999999999997E-2</v>
      </c>
      <c r="DM394" s="1334">
        <f>DL394</f>
        <v>5.1249999999999997E-2</v>
      </c>
      <c r="DN394" s="1334">
        <f>DM394</f>
        <v>5.1249999999999997E-2</v>
      </c>
      <c r="DO394" s="1333"/>
      <c r="DP394" s="1334">
        <f>DN394</f>
        <v>5.1249999999999997E-2</v>
      </c>
      <c r="DQ394" s="1334">
        <f>DP394</f>
        <v>5.1249999999999997E-2</v>
      </c>
      <c r="DR394" s="1334">
        <f>DQ394</f>
        <v>5.1249999999999997E-2</v>
      </c>
      <c r="DS394" s="1334">
        <f>DR394</f>
        <v>5.1249999999999997E-2</v>
      </c>
      <c r="DT394" s="1333"/>
      <c r="DU394" s="1334">
        <f>DS394</f>
        <v>5.1249999999999997E-2</v>
      </c>
      <c r="DV394" s="1334">
        <f>DU394</f>
        <v>5.1249999999999997E-2</v>
      </c>
      <c r="DW394" s="1334">
        <f>DV394</f>
        <v>5.1249999999999997E-2</v>
      </c>
      <c r="DX394" s="1334">
        <f>DW394</f>
        <v>5.1249999999999997E-2</v>
      </c>
      <c r="DY394" s="1333"/>
    </row>
    <row r="395" spans="1:129" x14ac:dyDescent="0.2">
      <c r="A395" s="1223"/>
      <c r="B395" s="1190" t="s">
        <v>1151</v>
      </c>
      <c r="C395" s="1293"/>
      <c r="D395" s="1293"/>
      <c r="E395" s="1293"/>
      <c r="F395" s="1293"/>
      <c r="G395" s="1293"/>
      <c r="H395" s="1293"/>
      <c r="I395" s="1293"/>
      <c r="J395" s="1293"/>
      <c r="K395" s="1293"/>
      <c r="L395" s="1293"/>
      <c r="M395" s="1293"/>
      <c r="N395" s="1293"/>
      <c r="O395" s="1293"/>
      <c r="P395" s="1293"/>
      <c r="Q395" s="1293"/>
      <c r="R395" s="1293"/>
      <c r="S395" s="1293"/>
      <c r="T395" s="1293"/>
      <c r="U395" s="1293"/>
      <c r="V395" s="1293"/>
      <c r="W395" s="1293"/>
      <c r="X395" s="1227"/>
      <c r="Y395" s="1231"/>
      <c r="Z395" s="1231"/>
      <c r="AA395" s="1231"/>
      <c r="AB395" s="1294"/>
      <c r="AC395" s="1227"/>
      <c r="AD395" s="1231"/>
      <c r="AE395" s="1231"/>
      <c r="AF395" s="1231"/>
      <c r="AG395" s="1294"/>
      <c r="AH395" s="1227"/>
      <c r="AI395" s="1231"/>
      <c r="AJ395" s="1231"/>
      <c r="AK395" s="1231"/>
      <c r="AL395" s="1294"/>
      <c r="AM395" s="1227"/>
      <c r="AN395" s="1231"/>
      <c r="AO395" s="1231"/>
      <c r="AP395" s="1231"/>
      <c r="AQ395" s="1294"/>
      <c r="AR395" s="1227"/>
      <c r="AS395" s="1231"/>
      <c r="AT395" s="1231"/>
      <c r="AU395" s="1231"/>
      <c r="AV395" s="1294"/>
      <c r="AW395" s="1227"/>
      <c r="AX395" s="1231"/>
      <c r="AY395" s="1231"/>
      <c r="AZ395" s="1231"/>
      <c r="BA395" s="1231"/>
      <c r="BB395" s="1227"/>
      <c r="BC395" s="1231"/>
      <c r="BD395" s="1231"/>
      <c r="BE395" s="1231"/>
      <c r="BF395" s="1231"/>
      <c r="BG395" s="1227"/>
      <c r="BH395" s="1231"/>
      <c r="BI395" s="1231"/>
      <c r="BJ395" s="1231"/>
      <c r="BK395" s="1231"/>
      <c r="BL395" s="1326"/>
      <c r="BM395" s="1231"/>
      <c r="BN395" s="1231"/>
      <c r="BO395" s="1231"/>
      <c r="BP395" s="1231"/>
      <c r="BQ395" s="1326"/>
      <c r="BR395" s="1231"/>
      <c r="BS395" s="1231"/>
      <c r="BT395" s="1231"/>
      <c r="BU395" s="1231"/>
      <c r="BV395" s="1326"/>
      <c r="BW395" s="1231"/>
      <c r="BX395" s="1231"/>
      <c r="BY395" s="1231"/>
      <c r="BZ395" s="1231"/>
      <c r="CA395" s="1326"/>
      <c r="CB395" s="1231"/>
      <c r="CC395" s="1231"/>
      <c r="CD395" s="1231"/>
      <c r="CE395" s="1231"/>
      <c r="CF395" s="1326"/>
      <c r="CG395" s="1231"/>
      <c r="CH395" s="1231"/>
      <c r="CI395" s="1231"/>
      <c r="CJ395" s="1231"/>
      <c r="CK395" s="1326"/>
      <c r="CL395" s="1231"/>
      <c r="CM395" s="1231"/>
      <c r="CN395" s="1231"/>
      <c r="CO395" s="1231"/>
      <c r="CP395" s="1326"/>
      <c r="CQ395" s="1231"/>
      <c r="CR395" s="1231"/>
      <c r="CS395" s="1231"/>
      <c r="CT395" s="1231"/>
      <c r="CU395" s="1326"/>
      <c r="CV395" s="1231"/>
      <c r="CW395" s="1231"/>
      <c r="CX395" s="1231"/>
      <c r="CY395" s="1231"/>
      <c r="CZ395" s="1326"/>
      <c r="DA395" s="1231"/>
      <c r="DB395" s="1231"/>
      <c r="DC395" s="1231"/>
      <c r="DD395" s="1231"/>
      <c r="DE395" s="1326"/>
      <c r="DF395" s="1231"/>
      <c r="DG395" s="1231"/>
      <c r="DH395" s="1231"/>
      <c r="DI395" s="1231"/>
      <c r="DJ395" s="1326"/>
      <c r="DK395" s="1231"/>
      <c r="DL395" s="1231"/>
      <c r="DM395" s="1231"/>
      <c r="DN395" s="1231"/>
      <c r="DO395" s="1326"/>
      <c r="DP395" s="1231"/>
      <c r="DQ395" s="1231"/>
      <c r="DR395" s="1231"/>
      <c r="DS395" s="1231"/>
      <c r="DT395" s="1326"/>
      <c r="DU395" s="1231"/>
      <c r="DV395" s="1231"/>
      <c r="DW395" s="1231"/>
      <c r="DX395" s="1231"/>
      <c r="DY395" s="1326"/>
    </row>
    <row r="396" spans="1:129" x14ac:dyDescent="0.2">
      <c r="A396" s="1223"/>
      <c r="B396" s="1190" t="s">
        <v>1152</v>
      </c>
      <c r="C396" s="1231"/>
      <c r="D396" s="1231"/>
      <c r="E396" s="1231"/>
      <c r="F396" s="1231"/>
      <c r="G396" s="1231"/>
      <c r="H396" s="1231"/>
      <c r="I396" s="1231"/>
      <c r="J396" s="1231"/>
      <c r="K396" s="1231"/>
      <c r="L396" s="1231"/>
      <c r="M396" s="1231"/>
      <c r="N396" s="1231"/>
      <c r="O396" s="1231"/>
      <c r="P396" s="1231"/>
      <c r="Q396" s="1231"/>
      <c r="R396" s="1231"/>
      <c r="S396" s="1231"/>
      <c r="T396" s="1231"/>
      <c r="U396" s="1231"/>
      <c r="V396" s="1231"/>
      <c r="W396" s="1231"/>
      <c r="X396" s="1227"/>
      <c r="Y396" s="1231"/>
      <c r="Z396" s="1231"/>
      <c r="AA396" s="1231"/>
      <c r="AB396" s="1231"/>
      <c r="AC396" s="1227"/>
      <c r="AD396" s="1231"/>
      <c r="AE396" s="1231"/>
      <c r="AF396" s="1231"/>
      <c r="AG396" s="1231"/>
      <c r="AH396" s="1227"/>
      <c r="AI396" s="1231"/>
      <c r="AJ396" s="1231"/>
      <c r="AK396" s="1231"/>
      <c r="AL396" s="1231"/>
      <c r="AM396" s="1227"/>
      <c r="AN396" s="1231"/>
      <c r="AO396" s="1231"/>
      <c r="AP396" s="1231"/>
      <c r="AQ396" s="1231"/>
      <c r="AR396" s="1227"/>
      <c r="AS396" s="1231"/>
      <c r="AT396" s="1231"/>
      <c r="AU396" s="1231"/>
      <c r="AV396" s="1231"/>
      <c r="AW396" s="1227"/>
      <c r="AX396" s="1231"/>
      <c r="AY396" s="1231"/>
      <c r="AZ396" s="1231"/>
      <c r="BA396" s="1231"/>
      <c r="BB396" s="1227"/>
      <c r="BC396" s="1231"/>
      <c r="BD396" s="1231"/>
      <c r="BE396" s="1231"/>
      <c r="BF396" s="1231"/>
      <c r="BG396" s="1227"/>
      <c r="BH396" s="1231"/>
      <c r="BI396" s="1231"/>
      <c r="BJ396" s="1231"/>
      <c r="BK396" s="1231"/>
      <c r="BL396" s="1326"/>
      <c r="BM396" s="1231"/>
      <c r="BN396" s="1231"/>
      <c r="BO396" s="1231"/>
      <c r="BP396" s="1231"/>
      <c r="BQ396" s="1326"/>
      <c r="BR396" s="1231"/>
      <c r="BS396" s="1231"/>
      <c r="BT396" s="1231"/>
      <c r="BU396" s="1231"/>
      <c r="BV396" s="1326"/>
      <c r="BW396" s="1231"/>
      <c r="BX396" s="1231"/>
      <c r="BY396" s="1231"/>
      <c r="BZ396" s="1231"/>
      <c r="CA396" s="1326"/>
      <c r="CB396" s="1223"/>
      <c r="CC396" s="1223"/>
      <c r="CD396" s="1223"/>
      <c r="CE396" s="1223"/>
      <c r="CF396" s="1326"/>
      <c r="CG396" s="1223"/>
      <c r="CH396" s="1223"/>
      <c r="CI396" s="1223"/>
      <c r="CJ396" s="1223"/>
      <c r="CK396" s="1326"/>
      <c r="CL396" s="1223"/>
      <c r="CM396" s="1223"/>
      <c r="CN396" s="1223"/>
      <c r="CO396" s="1223"/>
      <c r="CP396" s="1326"/>
      <c r="CQ396" s="1223"/>
      <c r="CR396" s="1223"/>
      <c r="CS396" s="1223"/>
      <c r="CT396" s="1223"/>
      <c r="CU396" s="1326"/>
      <c r="CV396" s="1223">
        <f>+CT396</f>
        <v>0</v>
      </c>
      <c r="CW396" s="1223">
        <f>+CV398</f>
        <v>0</v>
      </c>
      <c r="CX396" s="1223">
        <f>+CW398</f>
        <v>0</v>
      </c>
      <c r="CY396" s="1223">
        <f>+CX398</f>
        <v>3500</v>
      </c>
      <c r="CZ396" s="1326">
        <f>CU398</f>
        <v>0</v>
      </c>
      <c r="DA396" s="1223">
        <f>CZ398</f>
        <v>3500</v>
      </c>
      <c r="DB396" s="1223">
        <f>+DA398</f>
        <v>3500</v>
      </c>
      <c r="DC396" s="1223">
        <f>+DB398</f>
        <v>3500</v>
      </c>
      <c r="DD396" s="1223">
        <f>+DC398</f>
        <v>3500</v>
      </c>
      <c r="DE396" s="1326">
        <f>CZ398</f>
        <v>3500</v>
      </c>
      <c r="DF396" s="1223">
        <f>+DD398</f>
        <v>3500</v>
      </c>
      <c r="DG396" s="1223">
        <f>+DF398</f>
        <v>3500</v>
      </c>
      <c r="DH396" s="1223">
        <f>+DG398</f>
        <v>3500</v>
      </c>
      <c r="DI396" s="1223">
        <f>+DH398</f>
        <v>3500</v>
      </c>
      <c r="DJ396" s="1326">
        <f>DE398</f>
        <v>3500</v>
      </c>
      <c r="DK396" s="1223">
        <f>+DI398</f>
        <v>3500</v>
      </c>
      <c r="DL396" s="1223">
        <f>+DK398</f>
        <v>3500</v>
      </c>
      <c r="DM396" s="1223">
        <f>+DL398</f>
        <v>3500</v>
      </c>
      <c r="DN396" s="1223">
        <f>+DM398</f>
        <v>3500</v>
      </c>
      <c r="DO396" s="1326">
        <f>DJ398</f>
        <v>3500</v>
      </c>
      <c r="DP396" s="1223">
        <f>+DN398</f>
        <v>3500</v>
      </c>
      <c r="DQ396" s="1223">
        <f>+DP398</f>
        <v>3500</v>
      </c>
      <c r="DR396" s="1223">
        <f>+DQ398</f>
        <v>3500</v>
      </c>
      <c r="DS396" s="1223">
        <f>+DR398</f>
        <v>3500</v>
      </c>
      <c r="DT396" s="1326">
        <f>DO398</f>
        <v>3500</v>
      </c>
      <c r="DU396" s="1223">
        <f>+DS398</f>
        <v>3500</v>
      </c>
      <c r="DV396" s="1223">
        <f>+DU398</f>
        <v>3500</v>
      </c>
      <c r="DW396" s="1223">
        <f>+DV398</f>
        <v>3500</v>
      </c>
      <c r="DX396" s="1223">
        <f>+DW398</f>
        <v>3500</v>
      </c>
      <c r="DY396" s="1326">
        <f>DT398</f>
        <v>3500</v>
      </c>
    </row>
    <row r="397" spans="1:129" x14ac:dyDescent="0.2">
      <c r="A397" s="1223"/>
      <c r="B397" s="1190" t="s">
        <v>1153</v>
      </c>
      <c r="C397" s="1182"/>
      <c r="D397" s="1182"/>
      <c r="E397" s="1182"/>
      <c r="F397" s="1182"/>
      <c r="G397" s="1182"/>
      <c r="H397" s="1182"/>
      <c r="I397" s="1182"/>
      <c r="J397" s="1182"/>
      <c r="K397" s="1182"/>
      <c r="L397" s="1182"/>
      <c r="M397" s="1182"/>
      <c r="N397" s="1182"/>
      <c r="O397" s="1182"/>
      <c r="P397" s="1182"/>
      <c r="Q397" s="1182"/>
      <c r="R397" s="1182"/>
      <c r="S397" s="1182"/>
      <c r="T397" s="1182"/>
      <c r="U397" s="1182"/>
      <c r="V397" s="1182"/>
      <c r="W397" s="1182"/>
      <c r="X397" s="1296"/>
      <c r="Y397" s="1297"/>
      <c r="Z397" s="1297"/>
      <c r="AA397" s="1297"/>
      <c r="AB397" s="1297"/>
      <c r="AC397" s="1296"/>
      <c r="AD397" s="1297"/>
      <c r="AE397" s="1297"/>
      <c r="AF397" s="1297"/>
      <c r="AG397" s="1297"/>
      <c r="AH397" s="1296"/>
      <c r="AI397" s="1297"/>
      <c r="AJ397" s="1297"/>
      <c r="AK397" s="1297"/>
      <c r="AL397" s="1297"/>
      <c r="AM397" s="1296"/>
      <c r="AN397" s="1297"/>
      <c r="AO397" s="1297"/>
      <c r="AP397" s="1297"/>
      <c r="AQ397" s="1297"/>
      <c r="AR397" s="1296"/>
      <c r="AS397" s="1297"/>
      <c r="AT397" s="1297"/>
      <c r="AU397" s="1297"/>
      <c r="AV397" s="1297"/>
      <c r="AW397" s="1296"/>
      <c r="AX397" s="1298"/>
      <c r="AY397" s="1299"/>
      <c r="AZ397" s="1299"/>
      <c r="BA397" s="1298"/>
      <c r="BB397" s="1300"/>
      <c r="BC397" s="1298"/>
      <c r="BD397" s="1298"/>
      <c r="BE397" s="1298"/>
      <c r="BF397" s="1298"/>
      <c r="BG397" s="1296"/>
      <c r="BH397" s="1298"/>
      <c r="BI397" s="1298"/>
      <c r="BJ397" s="1298"/>
      <c r="BK397" s="1298"/>
      <c r="BL397" s="1335"/>
      <c r="BM397" s="1298"/>
      <c r="BN397" s="1298"/>
      <c r="BO397" s="1298"/>
      <c r="BP397" s="1298"/>
      <c r="BQ397" s="1335"/>
      <c r="BR397" s="1298"/>
      <c r="BS397" s="1298"/>
      <c r="BT397" s="1298"/>
      <c r="BU397" s="1298"/>
      <c r="BV397" s="1335"/>
      <c r="BW397" s="1298"/>
      <c r="BX397" s="1298"/>
      <c r="BY397" s="1298"/>
      <c r="BZ397" s="1298"/>
      <c r="CA397" s="1335"/>
      <c r="CB397" s="1336"/>
      <c r="CC397" s="1336"/>
      <c r="CD397" s="1298"/>
      <c r="CE397" s="1298"/>
      <c r="CF397" s="1335"/>
      <c r="CG397" s="1298"/>
      <c r="CH397" s="1298"/>
      <c r="CI397" s="1298"/>
      <c r="CJ397" s="1298"/>
      <c r="CK397" s="1335"/>
      <c r="CL397" s="1298"/>
      <c r="CM397" s="1298"/>
      <c r="CN397" s="1298"/>
      <c r="CO397" s="1298"/>
      <c r="CP397" s="1335"/>
      <c r="CQ397" s="1298"/>
      <c r="CR397" s="1298"/>
      <c r="CS397" s="1298"/>
      <c r="CT397" s="1298"/>
      <c r="CU397" s="1335"/>
      <c r="CV397" s="1298">
        <v>0</v>
      </c>
      <c r="CW397" s="1298">
        <v>0</v>
      </c>
      <c r="CX397" s="1298">
        <v>3500</v>
      </c>
      <c r="CY397" s="1298">
        <v>0</v>
      </c>
      <c r="CZ397" s="1335">
        <f>+SUM(CV397:CY397)</f>
        <v>3500</v>
      </c>
      <c r="DA397" s="1298">
        <v>0</v>
      </c>
      <c r="DB397" s="1298">
        <v>0</v>
      </c>
      <c r="DC397" s="1298">
        <v>0</v>
      </c>
      <c r="DD397" s="1298">
        <v>0</v>
      </c>
      <c r="DE397" s="1335">
        <f>+SUM(DA397:DD397)</f>
        <v>0</v>
      </c>
      <c r="DF397" s="1298">
        <v>0</v>
      </c>
      <c r="DG397" s="1298">
        <v>0</v>
      </c>
      <c r="DH397" s="1298">
        <v>0</v>
      </c>
      <c r="DI397" s="1298">
        <v>0</v>
      </c>
      <c r="DJ397" s="1335">
        <f>+SUM(DF397:DI397)</f>
        <v>0</v>
      </c>
      <c r="DK397" s="1298">
        <v>0</v>
      </c>
      <c r="DL397" s="1298">
        <v>0</v>
      </c>
      <c r="DM397" s="1298">
        <v>0</v>
      </c>
      <c r="DN397" s="1298">
        <v>0</v>
      </c>
      <c r="DO397" s="1335">
        <f>+SUM(DK397:DN397)</f>
        <v>0</v>
      </c>
      <c r="DP397" s="1298">
        <v>0</v>
      </c>
      <c r="DQ397" s="1298">
        <v>0</v>
      </c>
      <c r="DR397" s="1298">
        <v>0</v>
      </c>
      <c r="DS397" s="1298">
        <v>0</v>
      </c>
      <c r="DT397" s="1335">
        <f>+SUM(DP397:DS397)</f>
        <v>0</v>
      </c>
      <c r="DU397" s="1298">
        <v>0</v>
      </c>
      <c r="DV397" s="1298">
        <v>0</v>
      </c>
      <c r="DW397" s="1298">
        <v>0</v>
      </c>
      <c r="DX397" s="1298">
        <v>0</v>
      </c>
      <c r="DY397" s="1335">
        <f>+SUM(DU397:DX397)</f>
        <v>0</v>
      </c>
    </row>
    <row r="398" spans="1:129" x14ac:dyDescent="0.2">
      <c r="A398" s="1223"/>
      <c r="B398" s="1190" t="s">
        <v>1154</v>
      </c>
      <c r="C398" s="1182"/>
      <c r="D398" s="1182"/>
      <c r="E398" s="1182"/>
      <c r="F398" s="1182"/>
      <c r="G398" s="1182"/>
      <c r="H398" s="1182"/>
      <c r="I398" s="1182"/>
      <c r="J398" s="1182"/>
      <c r="K398" s="1182"/>
      <c r="L398" s="1182"/>
      <c r="M398" s="1182"/>
      <c r="N398" s="1182"/>
      <c r="O398" s="1182"/>
      <c r="P398" s="1182"/>
      <c r="Q398" s="1182"/>
      <c r="R398" s="1182"/>
      <c r="S398" s="1182"/>
      <c r="T398" s="1182"/>
      <c r="U398" s="1182"/>
      <c r="V398" s="1182"/>
      <c r="W398" s="1182"/>
      <c r="X398" s="1304"/>
      <c r="Y398" s="1305"/>
      <c r="Z398" s="1305"/>
      <c r="AA398" s="1305"/>
      <c r="AB398" s="1305"/>
      <c r="AC398" s="1304"/>
      <c r="AD398" s="1305"/>
      <c r="AE398" s="1305"/>
      <c r="AF398" s="1305"/>
      <c r="AG398" s="1305"/>
      <c r="AH398" s="1304"/>
      <c r="AI398" s="1305"/>
      <c r="AJ398" s="1305"/>
      <c r="AK398" s="1305"/>
      <c r="AL398" s="1305"/>
      <c r="AM398" s="1304"/>
      <c r="AN398" s="1305"/>
      <c r="AO398" s="1305"/>
      <c r="AP398" s="1305"/>
      <c r="AQ398" s="1305"/>
      <c r="AR398" s="1304"/>
      <c r="AS398" s="1305"/>
      <c r="AT398" s="1305"/>
      <c r="AU398" s="1305"/>
      <c r="AV398" s="1305"/>
      <c r="AW398" s="1304"/>
      <c r="AX398" s="1305"/>
      <c r="AY398" s="1305"/>
      <c r="AZ398" s="1305"/>
      <c r="BA398" s="1305"/>
      <c r="BB398" s="1304"/>
      <c r="BC398" s="1305"/>
      <c r="BD398" s="1305"/>
      <c r="BE398" s="1305"/>
      <c r="BF398" s="1305"/>
      <c r="BG398" s="1306"/>
      <c r="BH398" s="1305"/>
      <c r="BI398" s="1305"/>
      <c r="BJ398" s="1305"/>
      <c r="BK398" s="1305"/>
      <c r="BL398" s="1337"/>
      <c r="BM398" s="1305"/>
      <c r="BN398" s="1305"/>
      <c r="BO398" s="1305"/>
      <c r="BP398" s="1305"/>
      <c r="BQ398" s="1337"/>
      <c r="BR398" s="1305"/>
      <c r="BS398" s="1305"/>
      <c r="BT398" s="1305"/>
      <c r="BU398" s="1305"/>
      <c r="BV398" s="1337"/>
      <c r="BW398" s="1305"/>
      <c r="BX398" s="1305"/>
      <c r="BY398" s="1305"/>
      <c r="BZ398" s="1305"/>
      <c r="CA398" s="1337"/>
      <c r="CB398" s="1295"/>
      <c r="CC398" s="1224"/>
      <c r="CD398" s="1295"/>
      <c r="CE398" s="1295"/>
      <c r="CF398" s="1325"/>
      <c r="CG398" s="1295"/>
      <c r="CH398" s="1295"/>
      <c r="CI398" s="1295"/>
      <c r="CJ398" s="1295"/>
      <c r="CK398" s="1325"/>
      <c r="CL398" s="1295"/>
      <c r="CM398" s="1295"/>
      <c r="CN398" s="1295"/>
      <c r="CO398" s="1295"/>
      <c r="CP398" s="1325"/>
      <c r="CQ398" s="1295"/>
      <c r="CR398" s="1295"/>
      <c r="CS398" s="1295"/>
      <c r="CT398" s="1295"/>
      <c r="CU398" s="1325"/>
      <c r="CV398" s="1295">
        <f>CV396+CV397</f>
        <v>0</v>
      </c>
      <c r="CW398" s="1295">
        <f>CW396+CW397</f>
        <v>0</v>
      </c>
      <c r="CX398" s="1295">
        <f>CX396+CX397</f>
        <v>3500</v>
      </c>
      <c r="CY398" s="1295">
        <f>CY396+CY397</f>
        <v>3500</v>
      </c>
      <c r="CZ398" s="1325">
        <f t="shared" ref="CZ398:DJ398" si="232">CZ396+CZ397</f>
        <v>3500</v>
      </c>
      <c r="DA398" s="1295">
        <f t="shared" si="232"/>
        <v>3500</v>
      </c>
      <c r="DB398" s="1295">
        <f t="shared" si="232"/>
        <v>3500</v>
      </c>
      <c r="DC398" s="1295">
        <f t="shared" si="232"/>
        <v>3500</v>
      </c>
      <c r="DD398" s="1295">
        <f t="shared" si="232"/>
        <v>3500</v>
      </c>
      <c r="DE398" s="1325">
        <f t="shared" si="232"/>
        <v>3500</v>
      </c>
      <c r="DF398" s="1295">
        <f t="shared" si="232"/>
        <v>3500</v>
      </c>
      <c r="DG398" s="1295">
        <f t="shared" si="232"/>
        <v>3500</v>
      </c>
      <c r="DH398" s="1295">
        <f t="shared" si="232"/>
        <v>3500</v>
      </c>
      <c r="DI398" s="1295">
        <f t="shared" si="232"/>
        <v>3500</v>
      </c>
      <c r="DJ398" s="1325">
        <f t="shared" si="232"/>
        <v>3500</v>
      </c>
      <c r="DK398" s="1295">
        <f t="shared" ref="DK398:DT398" si="233">DK396+DK397</f>
        <v>3500</v>
      </c>
      <c r="DL398" s="1295">
        <f t="shared" si="233"/>
        <v>3500</v>
      </c>
      <c r="DM398" s="1295">
        <f t="shared" si="233"/>
        <v>3500</v>
      </c>
      <c r="DN398" s="1295">
        <f t="shared" si="233"/>
        <v>3500</v>
      </c>
      <c r="DO398" s="1325">
        <f t="shared" si="233"/>
        <v>3500</v>
      </c>
      <c r="DP398" s="1295">
        <f t="shared" si="233"/>
        <v>3500</v>
      </c>
      <c r="DQ398" s="1295">
        <f t="shared" si="233"/>
        <v>3500</v>
      </c>
      <c r="DR398" s="1295">
        <f t="shared" si="233"/>
        <v>3500</v>
      </c>
      <c r="DS398" s="1295">
        <f t="shared" si="233"/>
        <v>3500</v>
      </c>
      <c r="DT398" s="1325">
        <f t="shared" si="233"/>
        <v>3500</v>
      </c>
      <c r="DU398" s="1295">
        <f t="shared" ref="DU398:DY398" si="234">DU396+DU397</f>
        <v>3500</v>
      </c>
      <c r="DV398" s="1295">
        <f t="shared" si="234"/>
        <v>3500</v>
      </c>
      <c r="DW398" s="1295">
        <f t="shared" si="234"/>
        <v>3500</v>
      </c>
      <c r="DX398" s="1295">
        <f t="shared" si="234"/>
        <v>3500</v>
      </c>
      <c r="DY398" s="1325">
        <f t="shared" si="234"/>
        <v>3500</v>
      </c>
    </row>
    <row r="399" spans="1:129" x14ac:dyDescent="0.2">
      <c r="A399" s="1223"/>
      <c r="B399" s="1190" t="s">
        <v>1155</v>
      </c>
      <c r="C399" s="1182"/>
      <c r="D399" s="1182"/>
      <c r="E399" s="1182"/>
      <c r="F399" s="1182"/>
      <c r="G399" s="1182"/>
      <c r="H399" s="1182"/>
      <c r="I399" s="1182"/>
      <c r="J399" s="1182"/>
      <c r="K399" s="1182"/>
      <c r="L399" s="1182"/>
      <c r="M399" s="1182"/>
      <c r="N399" s="1182"/>
      <c r="O399" s="1182"/>
      <c r="P399" s="1182"/>
      <c r="Q399" s="1182"/>
      <c r="R399" s="1182"/>
      <c r="S399" s="1182"/>
      <c r="T399" s="1182"/>
      <c r="U399" s="1182"/>
      <c r="V399" s="1182"/>
      <c r="W399" s="1182"/>
      <c r="X399" s="1227"/>
      <c r="Y399" s="1231"/>
      <c r="Z399" s="1231"/>
      <c r="AA399" s="1231"/>
      <c r="AB399" s="1231"/>
      <c r="AC399" s="1227"/>
      <c r="AD399" s="1231"/>
      <c r="AE399" s="1231"/>
      <c r="AF399" s="1231"/>
      <c r="AG399" s="1231"/>
      <c r="AH399" s="1227"/>
      <c r="AI399" s="1231"/>
      <c r="AJ399" s="1231"/>
      <c r="AK399" s="1231"/>
      <c r="AL399" s="1231"/>
      <c r="AM399" s="1227"/>
      <c r="AN399" s="1231"/>
      <c r="AO399" s="1231"/>
      <c r="AP399" s="1231"/>
      <c r="AQ399" s="1231"/>
      <c r="AR399" s="1227"/>
      <c r="AS399" s="1231"/>
      <c r="AT399" s="1231"/>
      <c r="AU399" s="1231"/>
      <c r="AV399" s="1231"/>
      <c r="AW399" s="1227"/>
      <c r="AX399" s="1231"/>
      <c r="AY399" s="1231"/>
      <c r="AZ399" s="1231"/>
      <c r="BA399" s="1231"/>
      <c r="BB399" s="1227"/>
      <c r="BC399" s="1231"/>
      <c r="BD399" s="1231"/>
      <c r="BE399" s="1231"/>
      <c r="BF399" s="1231"/>
      <c r="BG399" s="1227"/>
      <c r="BH399" s="1231"/>
      <c r="BI399" s="1231"/>
      <c r="BJ399" s="1231"/>
      <c r="BK399" s="1231"/>
      <c r="BL399" s="1326"/>
      <c r="BM399" s="1231"/>
      <c r="BN399" s="1231"/>
      <c r="BO399" s="1231"/>
      <c r="BP399" s="1231"/>
      <c r="BQ399" s="1326"/>
      <c r="BR399" s="1231"/>
      <c r="BS399" s="1231"/>
      <c r="BT399" s="1231"/>
      <c r="BU399" s="1231"/>
      <c r="BV399" s="1326"/>
      <c r="BW399" s="1231"/>
      <c r="BX399" s="1231"/>
      <c r="BY399" s="1231"/>
      <c r="BZ399" s="1231"/>
      <c r="CA399" s="1326"/>
      <c r="CB399" s="1231"/>
      <c r="CC399" s="1231"/>
      <c r="CD399" s="1231"/>
      <c r="CE399" s="1231"/>
      <c r="CF399" s="1326"/>
      <c r="CG399" s="1231"/>
      <c r="CH399" s="1231"/>
      <c r="CI399" s="1231"/>
      <c r="CJ399" s="1231"/>
      <c r="CK399" s="1326"/>
      <c r="CL399" s="1231"/>
      <c r="CM399" s="1231"/>
      <c r="CN399" s="1231"/>
      <c r="CO399" s="1231"/>
      <c r="CP399" s="1326"/>
      <c r="CQ399" s="1231"/>
      <c r="CR399" s="1231"/>
      <c r="CS399" s="1231"/>
      <c r="CT399" s="1231"/>
      <c r="CU399" s="1326"/>
      <c r="CV399" s="1231"/>
      <c r="CW399" s="1231"/>
      <c r="CX399" s="1231"/>
      <c r="CY399" s="1231"/>
      <c r="CZ399" s="1326"/>
      <c r="DA399" s="1231"/>
      <c r="DB399" s="1231"/>
      <c r="DC399" s="1231"/>
      <c r="DD399" s="1231"/>
      <c r="DE399" s="1326"/>
      <c r="DF399" s="1231"/>
      <c r="DG399" s="1231"/>
      <c r="DH399" s="1231"/>
      <c r="DI399" s="1231"/>
      <c r="DJ399" s="1326"/>
      <c r="DK399" s="1231"/>
      <c r="DL399" s="1231"/>
      <c r="DM399" s="1231"/>
      <c r="DN399" s="1231"/>
      <c r="DO399" s="1326"/>
      <c r="DP399" s="1231"/>
      <c r="DQ399" s="1231"/>
      <c r="DR399" s="1231"/>
      <c r="DS399" s="1231"/>
      <c r="DT399" s="1326"/>
      <c r="DU399" s="1231"/>
      <c r="DV399" s="1231"/>
      <c r="DW399" s="1231"/>
      <c r="DX399" s="1231"/>
      <c r="DY399" s="1326"/>
    </row>
    <row r="400" spans="1:129" x14ac:dyDescent="0.2">
      <c r="A400" s="1223"/>
      <c r="B400" s="1190" t="s">
        <v>1156</v>
      </c>
      <c r="C400" s="1182"/>
      <c r="D400" s="1182"/>
      <c r="E400" s="1182"/>
      <c r="F400" s="1182"/>
      <c r="G400" s="1182"/>
      <c r="H400" s="1182"/>
      <c r="I400" s="1182"/>
      <c r="J400" s="1182"/>
      <c r="K400" s="1182"/>
      <c r="L400" s="1182"/>
      <c r="M400" s="1182"/>
      <c r="N400" s="1182"/>
      <c r="O400" s="1182"/>
      <c r="P400" s="1182"/>
      <c r="Q400" s="1182"/>
      <c r="R400" s="1182"/>
      <c r="S400" s="1182"/>
      <c r="T400" s="1182"/>
      <c r="U400" s="1182"/>
      <c r="V400" s="1182"/>
      <c r="W400" s="1182"/>
      <c r="X400" s="1227"/>
      <c r="Y400" s="1231"/>
      <c r="Z400" s="1231"/>
      <c r="AA400" s="1231"/>
      <c r="AB400" s="1231"/>
      <c r="AC400" s="1227"/>
      <c r="AD400" s="1231"/>
      <c r="AE400" s="1231"/>
      <c r="AF400" s="1231"/>
      <c r="AG400" s="1231"/>
      <c r="AH400" s="1227"/>
      <c r="AI400" s="1231"/>
      <c r="AJ400" s="1231"/>
      <c r="AK400" s="1231"/>
      <c r="AL400" s="1231"/>
      <c r="AM400" s="1227"/>
      <c r="AN400" s="1231"/>
      <c r="AO400" s="1231"/>
      <c r="AP400" s="1231"/>
      <c r="AQ400" s="1231"/>
      <c r="AR400" s="1227"/>
      <c r="AS400" s="1231"/>
      <c r="AT400" s="1231"/>
      <c r="AU400" s="1231"/>
      <c r="AV400" s="1231"/>
      <c r="AW400" s="1227"/>
      <c r="AX400" s="1231"/>
      <c r="AY400" s="1231"/>
      <c r="AZ400" s="1231"/>
      <c r="BA400" s="1231"/>
      <c r="BB400" s="1227"/>
      <c r="BC400" s="1231"/>
      <c r="BD400" s="1231"/>
      <c r="BE400" s="1231"/>
      <c r="BF400" s="1231"/>
      <c r="BG400" s="1227"/>
      <c r="BH400" s="1231"/>
      <c r="BI400" s="1231"/>
      <c r="BJ400" s="1231"/>
      <c r="BK400" s="1231"/>
      <c r="BL400" s="1326"/>
      <c r="BM400" s="1231"/>
      <c r="BN400" s="1231"/>
      <c r="BO400" s="1231"/>
      <c r="BP400" s="1231"/>
      <c r="BQ400" s="1326"/>
      <c r="BR400" s="1231"/>
      <c r="BS400" s="1231"/>
      <c r="BT400" s="1231"/>
      <c r="BU400" s="1231"/>
      <c r="BV400" s="1326"/>
      <c r="BW400" s="1231"/>
      <c r="BX400" s="1231"/>
      <c r="BY400" s="1231"/>
      <c r="BZ400" s="1231"/>
      <c r="CA400" s="1326"/>
      <c r="CB400" s="1223"/>
      <c r="CC400" s="1223"/>
      <c r="CD400" s="1223"/>
      <c r="CE400" s="1223"/>
      <c r="CF400" s="1326"/>
      <c r="CG400" s="1223"/>
      <c r="CH400" s="1223"/>
      <c r="CI400" s="1223"/>
      <c r="CJ400" s="1223"/>
      <c r="CK400" s="1326"/>
      <c r="CL400" s="1223"/>
      <c r="CM400" s="1223"/>
      <c r="CN400" s="1223"/>
      <c r="CO400" s="1223"/>
      <c r="CP400" s="1326"/>
      <c r="CQ400" s="1223"/>
      <c r="CR400" s="1223"/>
      <c r="CS400" s="1223"/>
      <c r="CT400" s="1223"/>
      <c r="CU400" s="1326"/>
      <c r="CV400" s="1223">
        <f>-(AVERAGE(CV398,CV396))*(CV394/4)</f>
        <v>0</v>
      </c>
      <c r="CW400" s="1223">
        <f>-(AVERAGE(CW398,CW396))*(CW394/4)</f>
        <v>0</v>
      </c>
      <c r="CX400" s="1223">
        <f>-CX398*(CX394/4)</f>
        <v>-44.84375</v>
      </c>
      <c r="CY400" s="1223">
        <f>-(AVERAGE(CY398,CY396))*(CY394/4)</f>
        <v>-44.84375</v>
      </c>
      <c r="CZ400" s="1326">
        <f>SUM(CV400:CY400)</f>
        <v>-89.6875</v>
      </c>
      <c r="DA400" s="1223">
        <f>-(AVERAGE(DA398,DA396))*(DA394/4)</f>
        <v>-44.84375</v>
      </c>
      <c r="DB400" s="1223">
        <f>-(AVERAGE(DB398,DB396))*(DB394/4)</f>
        <v>-44.84375</v>
      </c>
      <c r="DC400" s="1223">
        <f>-(AVERAGE(DC398,DC396))*(DC394/4)</f>
        <v>-44.84375</v>
      </c>
      <c r="DD400" s="1223">
        <f>-(AVERAGE(DD398,DD396))*(DD394/4)</f>
        <v>-44.84375</v>
      </c>
      <c r="DE400" s="1326">
        <f>SUM(DA400:DD400)</f>
        <v>-179.375</v>
      </c>
      <c r="DF400" s="1223">
        <f>-(AVERAGE(DF398,DF396))*(DF394/4)</f>
        <v>-44.84375</v>
      </c>
      <c r="DG400" s="1223">
        <f>-(AVERAGE(DG398,DG396))*(DG394/4)</f>
        <v>-44.84375</v>
      </c>
      <c r="DH400" s="1223">
        <f>-(AVERAGE(DH398,DH396))*(DH394/4)</f>
        <v>-44.84375</v>
      </c>
      <c r="DI400" s="1223">
        <f>-(AVERAGE(DI398,DI396))*(DI394/4)</f>
        <v>-44.84375</v>
      </c>
      <c r="DJ400" s="1326">
        <f>SUM(DF400:DI400)</f>
        <v>-179.375</v>
      </c>
      <c r="DK400" s="1223">
        <f>-(AVERAGE(DK398,DK396))*(DK394/4)</f>
        <v>-44.84375</v>
      </c>
      <c r="DL400" s="1223">
        <f>-(AVERAGE(DL398,DL396))*(DL394/4)</f>
        <v>-44.84375</v>
      </c>
      <c r="DM400" s="1223">
        <f>-(AVERAGE(DM398,DM396))*(DM394/4)</f>
        <v>-44.84375</v>
      </c>
      <c r="DN400" s="1223">
        <f>-(AVERAGE(DN398,DN396))*(DN394/4)</f>
        <v>-44.84375</v>
      </c>
      <c r="DO400" s="1326">
        <f>SUM(DK400:DN400)</f>
        <v>-179.375</v>
      </c>
      <c r="DP400" s="1223">
        <f>-(AVERAGE(DP398,DP396))*(DP394/4)</f>
        <v>-44.84375</v>
      </c>
      <c r="DQ400" s="1223">
        <f>-(AVERAGE(DQ398,DQ396))*(DQ394/4)</f>
        <v>-44.84375</v>
      </c>
      <c r="DR400" s="1223">
        <f>-(AVERAGE(DR398,DR396))*(DR394/4)</f>
        <v>-44.84375</v>
      </c>
      <c r="DS400" s="1223">
        <f>-(AVERAGE(DS398,DS396))*(DS394/4)</f>
        <v>-44.84375</v>
      </c>
      <c r="DT400" s="1326">
        <f>SUM(DP400:DS400)</f>
        <v>-179.375</v>
      </c>
      <c r="DU400" s="1223">
        <f>-(AVERAGE(DU398,DU396))*(DU394/4)</f>
        <v>-44.84375</v>
      </c>
      <c r="DV400" s="1223">
        <f>-(AVERAGE(DV398,DV396))*(DV394/4)</f>
        <v>-44.84375</v>
      </c>
      <c r="DW400" s="1223">
        <f>-(AVERAGE(DW398,DW396))*(DW394/4)</f>
        <v>-44.84375</v>
      </c>
      <c r="DX400" s="1223">
        <f>-(AVERAGE(DX398,DX396))*(DX394/4)</f>
        <v>-44.84375</v>
      </c>
      <c r="DY400" s="1326">
        <f>SUM(DU400:DX400)</f>
        <v>-179.375</v>
      </c>
    </row>
    <row r="401" spans="1:129" ht="12" thickBot="1" x14ac:dyDescent="0.25">
      <c r="A401" s="1223"/>
      <c r="B401" s="1250" t="s">
        <v>1157</v>
      </c>
      <c r="C401" s="1251"/>
      <c r="D401" s="1251"/>
      <c r="E401" s="1251"/>
      <c r="F401" s="1251"/>
      <c r="G401" s="1251"/>
      <c r="H401" s="1251"/>
      <c r="I401" s="1251"/>
      <c r="J401" s="1251"/>
      <c r="K401" s="1251"/>
      <c r="L401" s="1251"/>
      <c r="M401" s="1251"/>
      <c r="N401" s="1251"/>
      <c r="O401" s="1251"/>
      <c r="P401" s="1251"/>
      <c r="Q401" s="1251"/>
      <c r="R401" s="1251"/>
      <c r="S401" s="1251"/>
      <c r="T401" s="1251"/>
      <c r="U401" s="1251"/>
      <c r="V401" s="1251"/>
      <c r="W401" s="1251"/>
      <c r="X401" s="1252"/>
      <c r="Y401" s="1251"/>
      <c r="Z401" s="1251"/>
      <c r="AA401" s="1251"/>
      <c r="AB401" s="1251"/>
      <c r="AC401" s="1252"/>
      <c r="AD401" s="1251"/>
      <c r="AE401" s="1251"/>
      <c r="AF401" s="1251"/>
      <c r="AG401" s="1251"/>
      <c r="AH401" s="1252"/>
      <c r="AI401" s="1251"/>
      <c r="AJ401" s="1251"/>
      <c r="AK401" s="1251"/>
      <c r="AL401" s="1251"/>
      <c r="AM401" s="1252"/>
      <c r="AN401" s="1251"/>
      <c r="AO401" s="1251"/>
      <c r="AP401" s="1251"/>
      <c r="AQ401" s="1253"/>
      <c r="AR401" s="1252"/>
      <c r="AS401" s="1253"/>
      <c r="AT401" s="1253"/>
      <c r="AU401" s="1253"/>
      <c r="AV401" s="1253"/>
      <c r="AW401" s="1252"/>
      <c r="AX401" s="1253"/>
      <c r="AY401" s="1253"/>
      <c r="AZ401" s="1253"/>
      <c r="BA401" s="1253"/>
      <c r="BB401" s="1252"/>
      <c r="BC401" s="1253"/>
      <c r="BD401" s="1253"/>
      <c r="BE401" s="1253"/>
      <c r="BF401" s="1253"/>
      <c r="BG401" s="1252"/>
      <c r="BH401" s="1253"/>
      <c r="BI401" s="1253"/>
      <c r="BJ401" s="1253"/>
      <c r="BK401" s="1253"/>
      <c r="BL401" s="1327"/>
      <c r="BM401" s="1253"/>
      <c r="BN401" s="1253"/>
      <c r="BO401" s="1253"/>
      <c r="BP401" s="1253"/>
      <c r="BQ401" s="1327"/>
      <c r="BR401" s="1253"/>
      <c r="BS401" s="1253"/>
      <c r="BT401" s="1253"/>
      <c r="BU401" s="1253"/>
      <c r="BV401" s="1327"/>
      <c r="BW401" s="1253"/>
      <c r="BX401" s="1253"/>
      <c r="BY401" s="1253"/>
      <c r="BZ401" s="1253"/>
      <c r="CA401" s="1327"/>
      <c r="CB401" s="1253">
        <f>-CB393*CB399/4</f>
        <v>0</v>
      </c>
      <c r="CC401" s="1253">
        <f>-CC393*CC399/4</f>
        <v>0</v>
      </c>
      <c r="CD401" s="1253">
        <f>-CD393*CD399/4</f>
        <v>0</v>
      </c>
      <c r="CE401" s="1253">
        <f>-CE393*CE399/4</f>
        <v>0</v>
      </c>
      <c r="CF401" s="1327"/>
      <c r="CG401" s="1253">
        <f>-CG393*CG399/4</f>
        <v>0</v>
      </c>
      <c r="CH401" s="1253">
        <f>-CH393*CH399/4</f>
        <v>0</v>
      </c>
      <c r="CI401" s="1253">
        <f>-CI393*CI399/4</f>
        <v>0</v>
      </c>
      <c r="CJ401" s="1253">
        <f>-CJ393*CJ399/4</f>
        <v>0</v>
      </c>
      <c r="CK401" s="1327"/>
      <c r="CL401" s="1253">
        <f>-CL393*CL399/4</f>
        <v>0</v>
      </c>
      <c r="CM401" s="1253">
        <f>-CM393*CM399/4</f>
        <v>0</v>
      </c>
      <c r="CN401" s="1253">
        <f>-CN393*CN399/4</f>
        <v>0</v>
      </c>
      <c r="CO401" s="1253">
        <f>-CO393*CO399/4</f>
        <v>0</v>
      </c>
      <c r="CP401" s="1327"/>
      <c r="CQ401" s="1253">
        <f>-CQ393*CQ399/4</f>
        <v>0</v>
      </c>
      <c r="CR401" s="1253">
        <f>-CR393*CR399/4</f>
        <v>0</v>
      </c>
      <c r="CS401" s="1253">
        <f>-CS393*CS399/4</f>
        <v>0</v>
      </c>
      <c r="CT401" s="1253">
        <f>-CT393*CT399/4</f>
        <v>0</v>
      </c>
      <c r="CU401" s="1327"/>
      <c r="CV401" s="1253">
        <f>-CV393*CV399/4</f>
        <v>0</v>
      </c>
      <c r="CW401" s="1253">
        <f>-CW393*CW399/4</f>
        <v>0</v>
      </c>
      <c r="CX401" s="1253">
        <f>-CX393*CX399/4</f>
        <v>0</v>
      </c>
      <c r="CY401" s="1253">
        <f>-CY393*CY399/4</f>
        <v>0</v>
      </c>
      <c r="CZ401" s="1327"/>
      <c r="DA401" s="1253">
        <f>-DA393*DA399/4</f>
        <v>0</v>
      </c>
      <c r="DB401" s="1253">
        <f>-DB393*DB399/4</f>
        <v>0</v>
      </c>
      <c r="DC401" s="1253">
        <f>-DC393*DC399/4</f>
        <v>0</v>
      </c>
      <c r="DD401" s="1253">
        <f>-DD393*DD399/4</f>
        <v>0</v>
      </c>
      <c r="DE401" s="1327"/>
      <c r="DF401" s="1253">
        <f>-DF393*DF399/4</f>
        <v>0</v>
      </c>
      <c r="DG401" s="1253">
        <f>-DG393*DG399/4</f>
        <v>0</v>
      </c>
      <c r="DH401" s="1253">
        <f>-DH393*DH399/4</f>
        <v>0</v>
      </c>
      <c r="DI401" s="1253">
        <f>-DI393*DI399/4</f>
        <v>0</v>
      </c>
      <c r="DJ401" s="1327"/>
      <c r="DK401" s="1253">
        <f>-DK393*DK399/4</f>
        <v>0</v>
      </c>
      <c r="DL401" s="1253">
        <f>-DL393*DL399/4</f>
        <v>0</v>
      </c>
      <c r="DM401" s="1253">
        <f>-DM393*DM399/4</f>
        <v>0</v>
      </c>
      <c r="DN401" s="1253">
        <f>-DN393*DN399/4</f>
        <v>0</v>
      </c>
      <c r="DO401" s="1327"/>
      <c r="DP401" s="1253">
        <f>-DP393*DP399/4</f>
        <v>0</v>
      </c>
      <c r="DQ401" s="1253">
        <f>-DQ393*DQ399/4</f>
        <v>0</v>
      </c>
      <c r="DR401" s="1253">
        <f>-DR393*DR399/4</f>
        <v>0</v>
      </c>
      <c r="DS401" s="1253">
        <f>-DS393*DS399/4</f>
        <v>0</v>
      </c>
      <c r="DT401" s="1327"/>
      <c r="DU401" s="1253">
        <f>-DU393*DU399/4</f>
        <v>0</v>
      </c>
      <c r="DV401" s="1253">
        <f>-DV393*DV399/4</f>
        <v>0</v>
      </c>
      <c r="DW401" s="1253">
        <f>-DW393*DW399/4</f>
        <v>0</v>
      </c>
      <c r="DX401" s="1253">
        <f>-DX393*DX399/4</f>
        <v>0</v>
      </c>
      <c r="DY401" s="1327"/>
    </row>
    <row r="402" spans="1:129" ht="12" thickBot="1" x14ac:dyDescent="0.25">
      <c r="A402" s="1223"/>
      <c r="B402" s="1231"/>
      <c r="C402" s="1182"/>
      <c r="D402" s="1182"/>
      <c r="E402" s="1182"/>
      <c r="F402" s="1182"/>
      <c r="G402" s="1182"/>
      <c r="H402" s="1182"/>
      <c r="I402" s="1182"/>
      <c r="J402" s="1182"/>
      <c r="K402" s="1182"/>
      <c r="L402" s="1182"/>
      <c r="M402" s="1182"/>
      <c r="N402" s="1182"/>
      <c r="O402" s="1182"/>
      <c r="P402" s="1182"/>
      <c r="Q402" s="1182"/>
      <c r="R402" s="1182"/>
      <c r="S402" s="1182"/>
      <c r="T402" s="1182"/>
      <c r="U402" s="1182"/>
      <c r="V402" s="1182"/>
      <c r="W402" s="1182"/>
      <c r="X402" s="1231"/>
      <c r="Y402" s="1182"/>
      <c r="Z402" s="1182"/>
      <c r="AA402" s="1182"/>
      <c r="AB402" s="1182"/>
      <c r="AC402" s="1231"/>
      <c r="AD402" s="1182"/>
      <c r="AE402" s="1182"/>
      <c r="AF402" s="1182"/>
      <c r="AG402" s="1182"/>
      <c r="AH402" s="1231"/>
      <c r="AI402" s="1182"/>
      <c r="AJ402" s="1182"/>
      <c r="AK402" s="1182"/>
      <c r="AL402" s="1182"/>
      <c r="AM402" s="1231"/>
      <c r="AN402" s="1182"/>
      <c r="AO402" s="1182"/>
      <c r="AP402" s="1182"/>
      <c r="AQ402" s="1231"/>
      <c r="AR402" s="1231"/>
      <c r="AS402" s="1231"/>
      <c r="AT402" s="1231"/>
      <c r="AU402" s="1231"/>
      <c r="AV402" s="1231"/>
      <c r="AW402" s="1231"/>
      <c r="AX402" s="1231"/>
      <c r="AY402" s="1231"/>
      <c r="AZ402" s="1231"/>
      <c r="BA402" s="1231"/>
      <c r="BB402" s="1231"/>
      <c r="BC402" s="1231"/>
      <c r="BD402" s="1231"/>
      <c r="BE402" s="1231"/>
      <c r="BF402" s="1231"/>
      <c r="BG402" s="1231"/>
      <c r="BH402" s="1231"/>
      <c r="BI402" s="1231"/>
      <c r="BJ402" s="1231"/>
      <c r="BK402" s="1231"/>
      <c r="BL402" s="1231"/>
      <c r="BM402" s="1231"/>
      <c r="BN402" s="1231"/>
      <c r="BO402" s="1231"/>
      <c r="BP402" s="1231"/>
      <c r="BQ402" s="1231"/>
      <c r="BR402" s="1231"/>
      <c r="BS402" s="1231"/>
      <c r="BT402" s="1231"/>
      <c r="BU402" s="1231"/>
      <c r="BV402" s="1231"/>
      <c r="BW402" s="1231"/>
      <c r="BX402" s="1231"/>
      <c r="BY402" s="1231"/>
      <c r="BZ402" s="1231"/>
      <c r="CA402" s="1231"/>
      <c r="CB402" s="1231"/>
      <c r="CC402" s="1231"/>
      <c r="CD402" s="1231"/>
      <c r="CE402" s="1231"/>
      <c r="CF402" s="1231"/>
      <c r="CG402" s="1231"/>
      <c r="CH402" s="1231"/>
      <c r="CI402" s="1231"/>
      <c r="CJ402" s="1231"/>
      <c r="CK402" s="1231"/>
      <c r="CL402" s="1231"/>
      <c r="CM402" s="1231"/>
      <c r="CN402" s="1231"/>
      <c r="CO402" s="1231"/>
      <c r="CP402" s="1231"/>
      <c r="CQ402" s="1231"/>
      <c r="CR402" s="1231"/>
      <c r="CS402" s="1231"/>
      <c r="CT402" s="1231"/>
      <c r="CU402" s="1231"/>
      <c r="CV402" s="1231"/>
      <c r="CW402" s="1231"/>
      <c r="CX402" s="1231"/>
      <c r="CY402" s="1231"/>
      <c r="CZ402" s="1231"/>
      <c r="DA402" s="1231"/>
      <c r="DB402" s="1231"/>
      <c r="DC402" s="1231"/>
      <c r="DD402" s="1231"/>
      <c r="DE402" s="1231"/>
      <c r="DF402" s="1231"/>
      <c r="DG402" s="1231"/>
      <c r="DH402" s="1231"/>
      <c r="DI402" s="1231"/>
      <c r="DJ402" s="1231"/>
      <c r="DK402" s="1231"/>
      <c r="DL402" s="1231"/>
      <c r="DM402" s="1231"/>
      <c r="DN402" s="1231"/>
      <c r="DO402" s="1231"/>
      <c r="DP402" s="1231"/>
      <c r="DQ402" s="1231"/>
      <c r="DR402" s="1231"/>
      <c r="DS402" s="1231"/>
      <c r="DT402" s="1231"/>
      <c r="DU402" s="1231"/>
      <c r="DV402" s="1231"/>
      <c r="DW402" s="1231"/>
      <c r="DX402" s="1231"/>
      <c r="DY402" s="1231"/>
    </row>
    <row r="403" spans="1:129" ht="12" thickBot="1" x14ac:dyDescent="0.25">
      <c r="A403" s="1123"/>
      <c r="B403" s="1282" t="s">
        <v>1173</v>
      </c>
      <c r="C403" s="1328"/>
      <c r="D403" s="1329"/>
      <c r="E403" s="1329"/>
      <c r="F403" s="1329"/>
      <c r="G403" s="1329"/>
      <c r="H403" s="1329"/>
      <c r="I403" s="1329"/>
      <c r="J403" s="1329"/>
      <c r="K403" s="1329"/>
      <c r="L403" s="1329"/>
      <c r="M403" s="1329"/>
      <c r="N403" s="1329"/>
      <c r="O403" s="1329"/>
      <c r="P403" s="1329"/>
      <c r="Q403" s="1329"/>
      <c r="R403" s="1329"/>
      <c r="S403" s="1329"/>
      <c r="T403" s="1329"/>
      <c r="U403" s="1329"/>
      <c r="V403" s="1329"/>
      <c r="W403" s="1329"/>
      <c r="X403" s="1328"/>
      <c r="Y403" s="1328"/>
      <c r="Z403" s="1328"/>
      <c r="AA403" s="1328"/>
      <c r="AB403" s="1328"/>
      <c r="AC403" s="1328"/>
      <c r="AD403" s="1328"/>
      <c r="AE403" s="1328"/>
      <c r="AF403" s="1328"/>
      <c r="AG403" s="1328"/>
      <c r="AH403" s="1328"/>
      <c r="AI403" s="1328"/>
      <c r="AJ403" s="1328"/>
      <c r="AK403" s="1328"/>
      <c r="AL403" s="1328"/>
      <c r="AM403" s="1328"/>
      <c r="AN403" s="1328"/>
      <c r="AO403" s="1328"/>
      <c r="AP403" s="1328"/>
      <c r="AQ403" s="1330"/>
      <c r="AR403" s="1330"/>
      <c r="AS403" s="1330"/>
      <c r="AT403" s="1331"/>
      <c r="AU403" s="1331"/>
      <c r="AV403" s="1331"/>
      <c r="AW403" s="1330"/>
      <c r="AX403" s="1330"/>
      <c r="AY403" s="1330"/>
      <c r="AZ403" s="1330"/>
      <c r="BA403" s="1330"/>
      <c r="BB403" s="1330"/>
      <c r="BC403" s="1330"/>
      <c r="BD403" s="1330"/>
      <c r="BE403" s="1330"/>
      <c r="BF403" s="1330"/>
      <c r="BG403" s="1330"/>
      <c r="BH403" s="1330"/>
      <c r="BI403" s="1330"/>
      <c r="BJ403" s="1330"/>
      <c r="BK403" s="1330"/>
      <c r="BL403" s="1332"/>
      <c r="BM403" s="1330"/>
      <c r="BN403" s="1330"/>
      <c r="BO403" s="1330"/>
      <c r="BP403" s="1330"/>
      <c r="BQ403" s="1332"/>
      <c r="BR403" s="1330"/>
      <c r="BS403" s="1330"/>
      <c r="BT403" s="1330"/>
      <c r="BU403" s="1330"/>
      <c r="BV403" s="1332"/>
      <c r="BW403" s="1330"/>
      <c r="BX403" s="1330"/>
      <c r="BY403" s="1330"/>
      <c r="BZ403" s="1330"/>
      <c r="CA403" s="1332"/>
      <c r="CB403" s="1330"/>
      <c r="CC403" s="1330"/>
      <c r="CD403" s="1330"/>
      <c r="CE403" s="1330"/>
      <c r="CF403" s="1332"/>
      <c r="CG403" s="1330"/>
      <c r="CH403" s="1330"/>
      <c r="CI403" s="1330"/>
      <c r="CJ403" s="1330"/>
      <c r="CK403" s="1332"/>
      <c r="CL403" s="1330"/>
      <c r="CM403" s="1330"/>
      <c r="CN403" s="1330"/>
      <c r="CO403" s="1330"/>
      <c r="CP403" s="1332"/>
      <c r="CQ403" s="1330"/>
      <c r="CR403" s="1330"/>
      <c r="CS403" s="1330"/>
      <c r="CT403" s="1330"/>
      <c r="CU403" s="1332"/>
      <c r="CV403" s="1330"/>
      <c r="CW403" s="1330"/>
      <c r="CX403" s="1330"/>
      <c r="CY403" s="1330"/>
      <c r="CZ403" s="1332"/>
      <c r="DA403" s="1330"/>
      <c r="DB403" s="1330"/>
      <c r="DC403" s="1330"/>
      <c r="DD403" s="1330"/>
      <c r="DE403" s="1332"/>
      <c r="DF403" s="1330"/>
      <c r="DG403" s="1330"/>
      <c r="DH403" s="1330"/>
      <c r="DI403" s="1330"/>
      <c r="DJ403" s="1332"/>
      <c r="DK403" s="1330"/>
      <c r="DL403" s="1330"/>
      <c r="DM403" s="1330"/>
      <c r="DN403" s="1330"/>
      <c r="DO403" s="1332"/>
      <c r="DP403" s="1330"/>
      <c r="DQ403" s="1330"/>
      <c r="DR403" s="1330"/>
      <c r="DS403" s="1330"/>
      <c r="DT403" s="1332"/>
      <c r="DU403" s="1330"/>
      <c r="DV403" s="1330"/>
      <c r="DW403" s="1330"/>
      <c r="DX403" s="1330"/>
      <c r="DY403" s="1332"/>
    </row>
    <row r="404" spans="1:129" x14ac:dyDescent="0.2">
      <c r="A404" s="532"/>
      <c r="B404" s="1287" t="s">
        <v>1149</v>
      </c>
      <c r="C404" s="650"/>
      <c r="D404" s="650"/>
      <c r="E404" s="650"/>
      <c r="F404" s="650"/>
      <c r="G404" s="650"/>
      <c r="H404" s="650"/>
      <c r="I404" s="650"/>
      <c r="J404" s="650"/>
      <c r="K404" s="650"/>
      <c r="L404" s="650"/>
      <c r="M404" s="650"/>
      <c r="N404" s="650"/>
      <c r="O404" s="650"/>
      <c r="P404" s="650"/>
      <c r="Q404" s="650"/>
      <c r="R404" s="650"/>
      <c r="S404" s="650"/>
      <c r="T404" s="650"/>
      <c r="U404" s="650"/>
      <c r="V404" s="650"/>
      <c r="W404" s="650"/>
      <c r="X404" s="1288"/>
      <c r="Y404" s="650"/>
      <c r="Z404" s="650"/>
      <c r="AA404" s="650"/>
      <c r="AB404" s="650"/>
      <c r="AC404" s="1288"/>
      <c r="AD404" s="650"/>
      <c r="AE404" s="650"/>
      <c r="AF404" s="650"/>
      <c r="AG404" s="650"/>
      <c r="AH404" s="1288"/>
      <c r="AI404" s="650"/>
      <c r="AJ404" s="650"/>
      <c r="AK404" s="650"/>
      <c r="AL404" s="650"/>
      <c r="AM404" s="1288"/>
      <c r="AN404" s="650"/>
      <c r="AO404" s="650"/>
      <c r="AP404" s="650"/>
      <c r="AQ404" s="650"/>
      <c r="AR404" s="1288"/>
      <c r="AS404" s="650"/>
      <c r="AT404" s="650"/>
      <c r="AU404" s="650"/>
      <c r="AV404" s="650"/>
      <c r="AW404" s="1288"/>
      <c r="AX404" s="650"/>
      <c r="AY404" s="650"/>
      <c r="AZ404" s="650"/>
      <c r="BA404" s="650"/>
      <c r="BB404" s="1288"/>
      <c r="BC404" s="650"/>
      <c r="BD404" s="650"/>
      <c r="BE404" s="650"/>
      <c r="BF404" s="650"/>
      <c r="BG404" s="1288"/>
      <c r="BH404" s="650"/>
      <c r="BI404" s="650"/>
      <c r="BJ404" s="650"/>
      <c r="BK404" s="650"/>
      <c r="BL404" s="583"/>
      <c r="BM404" s="650"/>
      <c r="BN404" s="650"/>
      <c r="BO404" s="650"/>
      <c r="BP404" s="650"/>
      <c r="BQ404" s="583"/>
      <c r="BR404" s="650"/>
      <c r="BS404" s="650"/>
      <c r="BT404" s="650"/>
      <c r="BU404" s="650"/>
      <c r="BV404" s="583"/>
      <c r="BW404" s="650"/>
      <c r="BX404" s="650"/>
      <c r="BY404" s="650"/>
      <c r="BZ404" s="650"/>
      <c r="CA404" s="583"/>
      <c r="CB404" s="650"/>
      <c r="CC404" s="650"/>
      <c r="CD404" s="650"/>
      <c r="CE404" s="650"/>
      <c r="CF404" s="583"/>
      <c r="CG404" s="650"/>
      <c r="CH404" s="650"/>
      <c r="CI404" s="650"/>
      <c r="CJ404" s="650"/>
      <c r="CK404" s="583"/>
      <c r="CL404" s="650"/>
      <c r="CM404" s="650"/>
      <c r="CN404" s="650"/>
      <c r="CO404" s="650"/>
      <c r="CP404" s="583"/>
      <c r="CQ404" s="650"/>
      <c r="CR404" s="650"/>
      <c r="CS404" s="650"/>
      <c r="CT404" s="650"/>
      <c r="CU404" s="583"/>
      <c r="CV404" s="650"/>
      <c r="CW404" s="650"/>
      <c r="CX404" s="650"/>
      <c r="CY404" s="650"/>
      <c r="CZ404" s="583"/>
      <c r="DA404" s="650"/>
      <c r="DB404" s="650"/>
      <c r="DC404" s="650"/>
      <c r="DD404" s="650"/>
      <c r="DE404" s="583"/>
      <c r="DF404" s="650"/>
      <c r="DG404" s="650"/>
      <c r="DH404" s="650"/>
      <c r="DI404" s="650"/>
      <c r="DJ404" s="583"/>
      <c r="DK404" s="650"/>
      <c r="DL404" s="650"/>
      <c r="DM404" s="650"/>
      <c r="DN404" s="650"/>
      <c r="DO404" s="583"/>
      <c r="DP404" s="650"/>
      <c r="DQ404" s="650"/>
      <c r="DR404" s="650"/>
      <c r="DS404" s="650"/>
      <c r="DT404" s="583"/>
      <c r="DU404" s="650"/>
      <c r="DV404" s="650"/>
      <c r="DW404" s="650"/>
      <c r="DX404" s="650"/>
      <c r="DY404" s="583"/>
    </row>
    <row r="405" spans="1:129" x14ac:dyDescent="0.2">
      <c r="A405" s="532"/>
      <c r="B405" s="1287" t="s">
        <v>1150</v>
      </c>
      <c r="C405" s="650"/>
      <c r="D405" s="650"/>
      <c r="E405" s="650"/>
      <c r="F405" s="650"/>
      <c r="G405" s="650"/>
      <c r="H405" s="650"/>
      <c r="I405" s="650"/>
      <c r="J405" s="650"/>
      <c r="K405" s="650"/>
      <c r="L405" s="650"/>
      <c r="M405" s="650"/>
      <c r="N405" s="650"/>
      <c r="O405" s="650"/>
      <c r="P405" s="650"/>
      <c r="Q405" s="650"/>
      <c r="R405" s="650"/>
      <c r="S405" s="650"/>
      <c r="T405" s="650"/>
      <c r="U405" s="650"/>
      <c r="V405" s="650"/>
      <c r="W405" s="650"/>
      <c r="X405" s="1288"/>
      <c r="Y405" s="650"/>
      <c r="Z405" s="650"/>
      <c r="AA405" s="650"/>
      <c r="AB405" s="650"/>
      <c r="AC405" s="1288"/>
      <c r="AD405" s="650"/>
      <c r="AE405" s="650"/>
      <c r="AF405" s="650"/>
      <c r="AG405" s="650"/>
      <c r="AH405" s="1288"/>
      <c r="AI405" s="650"/>
      <c r="AJ405" s="650"/>
      <c r="AK405" s="650"/>
      <c r="AL405" s="650"/>
      <c r="AM405" s="1288"/>
      <c r="AN405" s="650"/>
      <c r="AO405" s="650"/>
      <c r="AP405" s="650"/>
      <c r="AQ405" s="650"/>
      <c r="AR405" s="1288"/>
      <c r="AS405" s="650"/>
      <c r="AT405" s="650"/>
      <c r="AU405" s="650"/>
      <c r="AV405" s="650"/>
      <c r="AW405" s="1288"/>
      <c r="AX405" s="650"/>
      <c r="AY405" s="650"/>
      <c r="AZ405" s="650"/>
      <c r="BA405" s="650"/>
      <c r="BB405" s="1288"/>
      <c r="BC405" s="650"/>
      <c r="BD405" s="650"/>
      <c r="BE405" s="650"/>
      <c r="BF405" s="650"/>
      <c r="BG405" s="1289"/>
      <c r="BH405" s="650"/>
      <c r="BI405" s="650"/>
      <c r="BJ405" s="650"/>
      <c r="BK405" s="650"/>
      <c r="BL405" s="1333">
        <v>0.05</v>
      </c>
      <c r="BM405" s="650"/>
      <c r="BN405" s="650"/>
      <c r="BO405" s="650"/>
      <c r="BP405" s="650"/>
      <c r="BQ405" s="1333">
        <v>0.05</v>
      </c>
      <c r="BR405" s="650"/>
      <c r="BS405" s="650"/>
      <c r="BT405" s="650"/>
      <c r="BU405" s="650"/>
      <c r="BV405" s="1333">
        <v>0.05</v>
      </c>
      <c r="BW405" s="650"/>
      <c r="BX405" s="650"/>
      <c r="BY405" s="650"/>
      <c r="BZ405" s="650"/>
      <c r="CA405" s="1333">
        <v>0.05</v>
      </c>
      <c r="CB405" s="1334">
        <v>0.05</v>
      </c>
      <c r="CC405" s="1334">
        <v>0.05</v>
      </c>
      <c r="CD405" s="1334">
        <v>0.05</v>
      </c>
      <c r="CE405" s="1334">
        <v>0.05</v>
      </c>
      <c r="CF405" s="1333"/>
      <c r="CG405" s="1334">
        <f>CE405</f>
        <v>0.05</v>
      </c>
      <c r="CH405" s="1334">
        <f>CG405</f>
        <v>0.05</v>
      </c>
      <c r="CI405" s="1334">
        <f>CH405</f>
        <v>0.05</v>
      </c>
      <c r="CJ405" s="1334">
        <f>CI405</f>
        <v>0.05</v>
      </c>
      <c r="CK405" s="1333"/>
      <c r="CL405" s="1334">
        <f>CJ405</f>
        <v>0.05</v>
      </c>
      <c r="CM405" s="1334">
        <f>CL405</f>
        <v>0.05</v>
      </c>
      <c r="CN405" s="1334">
        <f>CM405</f>
        <v>0.05</v>
      </c>
      <c r="CO405" s="1334">
        <f>CN405</f>
        <v>0.05</v>
      </c>
      <c r="CP405" s="1333"/>
      <c r="CQ405" s="1334">
        <f>CO405</f>
        <v>0.05</v>
      </c>
      <c r="CR405" s="1334">
        <f>CQ405</f>
        <v>0.05</v>
      </c>
      <c r="CS405" s="1334">
        <f>CR405</f>
        <v>0.05</v>
      </c>
      <c r="CT405" s="1334">
        <f>CS405</f>
        <v>0.05</v>
      </c>
      <c r="CU405" s="1333"/>
      <c r="CV405" s="1334">
        <f>CT405</f>
        <v>0.05</v>
      </c>
      <c r="CW405" s="1334">
        <f>CV405</f>
        <v>0.05</v>
      </c>
      <c r="CX405" s="1334">
        <f>CW405</f>
        <v>0.05</v>
      </c>
      <c r="CY405" s="1334">
        <f>CX405</f>
        <v>0.05</v>
      </c>
      <c r="CZ405" s="1333"/>
      <c r="DA405" s="1334">
        <f>CY405</f>
        <v>0.05</v>
      </c>
      <c r="DB405" s="1334">
        <f>DA405</f>
        <v>0.05</v>
      </c>
      <c r="DC405" s="1334">
        <f>DB405</f>
        <v>0.05</v>
      </c>
      <c r="DD405" s="1334">
        <f>DC405</f>
        <v>0.05</v>
      </c>
      <c r="DE405" s="1333"/>
      <c r="DF405" s="1334">
        <f>DD405</f>
        <v>0.05</v>
      </c>
      <c r="DG405" s="1334">
        <f>DF405</f>
        <v>0.05</v>
      </c>
      <c r="DH405" s="1334">
        <f>DG405</f>
        <v>0.05</v>
      </c>
      <c r="DI405" s="1334">
        <f>DH405</f>
        <v>0.05</v>
      </c>
      <c r="DJ405" s="1333"/>
      <c r="DK405" s="1334">
        <f>DI405</f>
        <v>0.05</v>
      </c>
      <c r="DL405" s="1334">
        <f>DK405</f>
        <v>0.05</v>
      </c>
      <c r="DM405" s="1334">
        <f>DL405</f>
        <v>0.05</v>
      </c>
      <c r="DN405" s="1334">
        <f>DM405</f>
        <v>0.05</v>
      </c>
      <c r="DO405" s="1333"/>
      <c r="DP405" s="1334">
        <f>DN405</f>
        <v>0.05</v>
      </c>
      <c r="DQ405" s="1334">
        <f>DP405</f>
        <v>0.05</v>
      </c>
      <c r="DR405" s="1334">
        <f>DQ405</f>
        <v>0.05</v>
      </c>
      <c r="DS405" s="1334">
        <f>DR405</f>
        <v>0.05</v>
      </c>
      <c r="DT405" s="1333"/>
      <c r="DU405" s="1334">
        <f>DS405</f>
        <v>0.05</v>
      </c>
      <c r="DV405" s="1334">
        <f>DU405</f>
        <v>0.05</v>
      </c>
      <c r="DW405" s="1334">
        <f>DV405</f>
        <v>0.05</v>
      </c>
      <c r="DX405" s="1334">
        <f>DW405</f>
        <v>0.05</v>
      </c>
      <c r="DY405" s="1333"/>
    </row>
    <row r="406" spans="1:129" x14ac:dyDescent="0.2">
      <c r="A406" s="1223"/>
      <c r="B406" s="1190" t="s">
        <v>1151</v>
      </c>
      <c r="C406" s="1293"/>
      <c r="D406" s="1293"/>
      <c r="E406" s="1293"/>
      <c r="F406" s="1293"/>
      <c r="G406" s="1293"/>
      <c r="H406" s="1293"/>
      <c r="I406" s="1293"/>
      <c r="J406" s="1293"/>
      <c r="K406" s="1293"/>
      <c r="L406" s="1293"/>
      <c r="M406" s="1293"/>
      <c r="N406" s="1293"/>
      <c r="O406" s="1293"/>
      <c r="P406" s="1293"/>
      <c r="Q406" s="1293"/>
      <c r="R406" s="1293"/>
      <c r="S406" s="1293"/>
      <c r="T406" s="1293"/>
      <c r="U406" s="1293"/>
      <c r="V406" s="1293"/>
      <c r="W406" s="1293"/>
      <c r="X406" s="1227"/>
      <c r="Y406" s="1231"/>
      <c r="Z406" s="1231"/>
      <c r="AA406" s="1231"/>
      <c r="AB406" s="1294"/>
      <c r="AC406" s="1227"/>
      <c r="AD406" s="1231"/>
      <c r="AE406" s="1231"/>
      <c r="AF406" s="1231"/>
      <c r="AG406" s="1294"/>
      <c r="AH406" s="1227"/>
      <c r="AI406" s="1231"/>
      <c r="AJ406" s="1231"/>
      <c r="AK406" s="1231"/>
      <c r="AL406" s="1294"/>
      <c r="AM406" s="1227"/>
      <c r="AN406" s="1231"/>
      <c r="AO406" s="1231"/>
      <c r="AP406" s="1231"/>
      <c r="AQ406" s="1294"/>
      <c r="AR406" s="1227"/>
      <c r="AS406" s="1231"/>
      <c r="AT406" s="1231"/>
      <c r="AU406" s="1231"/>
      <c r="AV406" s="1294"/>
      <c r="AW406" s="1227"/>
      <c r="AX406" s="1231"/>
      <c r="AY406" s="1231"/>
      <c r="AZ406" s="1231"/>
      <c r="BA406" s="1231"/>
      <c r="BB406" s="1227"/>
      <c r="BC406" s="1231"/>
      <c r="BD406" s="1231"/>
      <c r="BE406" s="1231"/>
      <c r="BF406" s="1231"/>
      <c r="BG406" s="1227"/>
      <c r="BH406" s="1231"/>
      <c r="BI406" s="1231"/>
      <c r="BJ406" s="1231"/>
      <c r="BK406" s="1231"/>
      <c r="BL406" s="1326"/>
      <c r="BM406" s="1231"/>
      <c r="BN406" s="1231"/>
      <c r="BO406" s="1231"/>
      <c r="BP406" s="1231"/>
      <c r="BQ406" s="1326"/>
      <c r="BR406" s="1231"/>
      <c r="BS406" s="1231"/>
      <c r="BT406" s="1231"/>
      <c r="BU406" s="1231"/>
      <c r="BV406" s="1326"/>
      <c r="BW406" s="1231"/>
      <c r="BX406" s="1231"/>
      <c r="BY406" s="1231"/>
      <c r="BZ406" s="1231"/>
      <c r="CA406" s="1326"/>
      <c r="CB406" s="1231"/>
      <c r="CC406" s="1231"/>
      <c r="CD406" s="1231"/>
      <c r="CE406" s="1231"/>
      <c r="CF406" s="1326"/>
      <c r="CG406" s="1231"/>
      <c r="CH406" s="1231"/>
      <c r="CI406" s="1231"/>
      <c r="CJ406" s="1231"/>
      <c r="CK406" s="1326"/>
      <c r="CL406" s="1231"/>
      <c r="CM406" s="1231"/>
      <c r="CN406" s="1231"/>
      <c r="CO406" s="1231"/>
      <c r="CP406" s="1326"/>
      <c r="CQ406" s="1231"/>
      <c r="CR406" s="1231"/>
      <c r="CS406" s="1231"/>
      <c r="CT406" s="1231"/>
      <c r="CU406" s="1326"/>
      <c r="CV406" s="1231"/>
      <c r="CW406" s="1231"/>
      <c r="CX406" s="1231"/>
      <c r="CY406" s="1231"/>
      <c r="CZ406" s="1326"/>
      <c r="DA406" s="1231"/>
      <c r="DB406" s="1231"/>
      <c r="DC406" s="1231"/>
      <c r="DD406" s="1231"/>
      <c r="DE406" s="1326"/>
      <c r="DF406" s="1231"/>
      <c r="DG406" s="1231"/>
      <c r="DH406" s="1231"/>
      <c r="DI406" s="1231"/>
      <c r="DJ406" s="1326"/>
      <c r="DK406" s="1231"/>
      <c r="DL406" s="1231"/>
      <c r="DM406" s="1231"/>
      <c r="DN406" s="1231"/>
      <c r="DO406" s="1326"/>
      <c r="DP406" s="1231"/>
      <c r="DQ406" s="1231"/>
      <c r="DR406" s="1231"/>
      <c r="DS406" s="1231"/>
      <c r="DT406" s="1326"/>
      <c r="DU406" s="1231"/>
      <c r="DV406" s="1231"/>
      <c r="DW406" s="1231"/>
      <c r="DX406" s="1231"/>
      <c r="DY406" s="1326"/>
    </row>
    <row r="407" spans="1:129" x14ac:dyDescent="0.2">
      <c r="A407" s="1223"/>
      <c r="B407" s="1190" t="s">
        <v>1152</v>
      </c>
      <c r="C407" s="1231"/>
      <c r="D407" s="1231"/>
      <c r="E407" s="1231"/>
      <c r="F407" s="1231"/>
      <c r="G407" s="1231"/>
      <c r="H407" s="1231"/>
      <c r="I407" s="1231"/>
      <c r="J407" s="1231"/>
      <c r="K407" s="1231"/>
      <c r="L407" s="1231"/>
      <c r="M407" s="1231"/>
      <c r="N407" s="1231"/>
      <c r="O407" s="1231"/>
      <c r="P407" s="1231"/>
      <c r="Q407" s="1231"/>
      <c r="R407" s="1231"/>
      <c r="S407" s="1231"/>
      <c r="T407" s="1231"/>
      <c r="U407" s="1231"/>
      <c r="V407" s="1231"/>
      <c r="W407" s="1231"/>
      <c r="X407" s="1227"/>
      <c r="Y407" s="1231"/>
      <c r="Z407" s="1231"/>
      <c r="AA407" s="1231"/>
      <c r="AB407" s="1231"/>
      <c r="AC407" s="1227"/>
      <c r="AD407" s="1231"/>
      <c r="AE407" s="1231"/>
      <c r="AF407" s="1231"/>
      <c r="AG407" s="1231"/>
      <c r="AH407" s="1227"/>
      <c r="AI407" s="1231"/>
      <c r="AJ407" s="1231"/>
      <c r="AK407" s="1231"/>
      <c r="AL407" s="1231"/>
      <c r="AM407" s="1227"/>
      <c r="AN407" s="1231"/>
      <c r="AO407" s="1231"/>
      <c r="AP407" s="1231"/>
      <c r="AQ407" s="1231"/>
      <c r="AR407" s="1227"/>
      <c r="AS407" s="1231"/>
      <c r="AT407" s="1231"/>
      <c r="AU407" s="1231"/>
      <c r="AV407" s="1231"/>
      <c r="AW407" s="1227"/>
      <c r="AX407" s="1231"/>
      <c r="AY407" s="1231"/>
      <c r="AZ407" s="1231"/>
      <c r="BA407" s="1231"/>
      <c r="BB407" s="1227"/>
      <c r="BC407" s="1231"/>
      <c r="BD407" s="1231"/>
      <c r="BE407" s="1231"/>
      <c r="BF407" s="1231"/>
      <c r="BG407" s="1227"/>
      <c r="BH407" s="1231"/>
      <c r="BI407" s="1231"/>
      <c r="BJ407" s="1231"/>
      <c r="BK407" s="1231"/>
      <c r="BL407" s="1326"/>
      <c r="BM407" s="1231"/>
      <c r="BN407" s="1231"/>
      <c r="BO407" s="1231"/>
      <c r="BP407" s="1231"/>
      <c r="BQ407" s="1326">
        <f>BL409</f>
        <v>7.3</v>
      </c>
      <c r="BR407" s="1231"/>
      <c r="BS407" s="1231"/>
      <c r="BT407" s="1231"/>
      <c r="BU407" s="1231"/>
      <c r="BV407" s="1326">
        <f>BQ409</f>
        <v>7.1</v>
      </c>
      <c r="BW407" s="1231"/>
      <c r="BX407" s="1231"/>
      <c r="BY407" s="1231"/>
      <c r="BZ407" s="1231"/>
      <c r="CA407" s="1326">
        <f>BV409</f>
        <v>6</v>
      </c>
      <c r="CB407" s="1223">
        <f>CA409</f>
        <v>6</v>
      </c>
      <c r="CC407" s="1223">
        <f>+CB409</f>
        <v>6</v>
      </c>
      <c r="CD407" s="1223">
        <f>+CC409</f>
        <v>6</v>
      </c>
      <c r="CE407" s="1223">
        <f>+CD409</f>
        <v>6</v>
      </c>
      <c r="CF407" s="1326">
        <f>CA409</f>
        <v>6</v>
      </c>
      <c r="CG407" s="1223">
        <f>+CE409</f>
        <v>4</v>
      </c>
      <c r="CH407" s="1223">
        <f>+CG409</f>
        <v>4</v>
      </c>
      <c r="CI407" s="1223">
        <f>+CH409</f>
        <v>4</v>
      </c>
      <c r="CJ407" s="1223">
        <f>+CI409</f>
        <v>4</v>
      </c>
      <c r="CK407" s="1326">
        <f>CF409</f>
        <v>4</v>
      </c>
      <c r="CL407" s="1223">
        <f>+CJ409</f>
        <v>4</v>
      </c>
      <c r="CM407" s="1223">
        <f>+CL409</f>
        <v>4</v>
      </c>
      <c r="CN407" s="1223">
        <f>+CM409</f>
        <v>4</v>
      </c>
      <c r="CO407" s="1223">
        <f>+CN409</f>
        <v>4</v>
      </c>
      <c r="CP407" s="1326">
        <f>CK409</f>
        <v>4</v>
      </c>
      <c r="CQ407" s="1223">
        <f>+CO407</f>
        <v>4</v>
      </c>
      <c r="CR407" s="1223">
        <f>+CQ409</f>
        <v>4</v>
      </c>
      <c r="CS407" s="1223">
        <f>+CR409</f>
        <v>4</v>
      </c>
      <c r="CT407" s="1223">
        <f>+CS409</f>
        <v>4</v>
      </c>
      <c r="CU407" s="1326">
        <f>CP409</f>
        <v>4</v>
      </c>
      <c r="CV407" s="1223">
        <f>+CT407</f>
        <v>4</v>
      </c>
      <c r="CW407" s="1223">
        <f>+CV409</f>
        <v>4</v>
      </c>
      <c r="CX407" s="1223">
        <f>+CW409</f>
        <v>4</v>
      </c>
      <c r="CY407" s="1223">
        <f>+CX409</f>
        <v>4</v>
      </c>
      <c r="CZ407" s="1326">
        <f>CU409</f>
        <v>4</v>
      </c>
      <c r="DA407" s="1223">
        <f>+CY407</f>
        <v>4</v>
      </c>
      <c r="DB407" s="1223">
        <f>+DA409</f>
        <v>4</v>
      </c>
      <c r="DC407" s="1223">
        <f>+DB409</f>
        <v>4</v>
      </c>
      <c r="DD407" s="1223">
        <f>+DC409</f>
        <v>4</v>
      </c>
      <c r="DE407" s="1326">
        <f>CZ409</f>
        <v>4</v>
      </c>
      <c r="DF407" s="1223">
        <f>+DD407</f>
        <v>4</v>
      </c>
      <c r="DG407" s="1223">
        <f>+DF409</f>
        <v>4</v>
      </c>
      <c r="DH407" s="1223">
        <f>+DG409</f>
        <v>4</v>
      </c>
      <c r="DI407" s="1223">
        <f>+DH409</f>
        <v>4</v>
      </c>
      <c r="DJ407" s="1326">
        <f>DE409</f>
        <v>4</v>
      </c>
      <c r="DK407" s="1223">
        <f>+DI407</f>
        <v>4</v>
      </c>
      <c r="DL407" s="1223">
        <f>+DK409</f>
        <v>4</v>
      </c>
      <c r="DM407" s="1223">
        <f>+DL409</f>
        <v>4</v>
      </c>
      <c r="DN407" s="1223">
        <f>+DM409</f>
        <v>4</v>
      </c>
      <c r="DO407" s="1326">
        <f>DJ409</f>
        <v>4</v>
      </c>
      <c r="DP407" s="1223">
        <f>+DN407</f>
        <v>4</v>
      </c>
      <c r="DQ407" s="1223">
        <f>+DP409</f>
        <v>4</v>
      </c>
      <c r="DR407" s="1223">
        <f>+DQ409</f>
        <v>4</v>
      </c>
      <c r="DS407" s="1223">
        <f>+DR409</f>
        <v>4</v>
      </c>
      <c r="DT407" s="1326">
        <f>DO409</f>
        <v>4</v>
      </c>
      <c r="DU407" s="1223">
        <f>+DS407</f>
        <v>4</v>
      </c>
      <c r="DV407" s="1223">
        <f>+DU409</f>
        <v>4</v>
      </c>
      <c r="DW407" s="1223">
        <f>+DV409</f>
        <v>4</v>
      </c>
      <c r="DX407" s="1223">
        <f>+DW409</f>
        <v>4</v>
      </c>
      <c r="DY407" s="1326">
        <f>DT409</f>
        <v>4</v>
      </c>
    </row>
    <row r="408" spans="1:129" x14ac:dyDescent="0.2">
      <c r="A408" s="1295"/>
      <c r="B408" s="1190" t="s">
        <v>1153</v>
      </c>
      <c r="C408" s="1182"/>
      <c r="D408" s="1182"/>
      <c r="E408" s="1182"/>
      <c r="F408" s="1182"/>
      <c r="G408" s="1182"/>
      <c r="H408" s="1182"/>
      <c r="I408" s="1182"/>
      <c r="J408" s="1182"/>
      <c r="K408" s="1182"/>
      <c r="L408" s="1182"/>
      <c r="M408" s="1182"/>
      <c r="N408" s="1182"/>
      <c r="O408" s="1182"/>
      <c r="P408" s="1182"/>
      <c r="Q408" s="1182"/>
      <c r="R408" s="1182"/>
      <c r="S408" s="1182"/>
      <c r="T408" s="1182"/>
      <c r="U408" s="1182"/>
      <c r="V408" s="1182"/>
      <c r="W408" s="1182"/>
      <c r="X408" s="1296"/>
      <c r="Y408" s="1297"/>
      <c r="Z408" s="1297"/>
      <c r="AA408" s="1297"/>
      <c r="AB408" s="1297"/>
      <c r="AC408" s="1296"/>
      <c r="AD408" s="1297"/>
      <c r="AE408" s="1297"/>
      <c r="AF408" s="1297"/>
      <c r="AG408" s="1297"/>
      <c r="AH408" s="1296"/>
      <c r="AI408" s="1297"/>
      <c r="AJ408" s="1297"/>
      <c r="AK408" s="1297"/>
      <c r="AL408" s="1297"/>
      <c r="AM408" s="1296"/>
      <c r="AN408" s="1297"/>
      <c r="AO408" s="1297"/>
      <c r="AP408" s="1297"/>
      <c r="AQ408" s="1297"/>
      <c r="AR408" s="1296"/>
      <c r="AS408" s="1297"/>
      <c r="AT408" s="1297"/>
      <c r="AU408" s="1297"/>
      <c r="AV408" s="1297"/>
      <c r="AW408" s="1296"/>
      <c r="AX408" s="1298"/>
      <c r="AY408" s="1299"/>
      <c r="AZ408" s="1299"/>
      <c r="BA408" s="1298"/>
      <c r="BB408" s="1300"/>
      <c r="BC408" s="1298"/>
      <c r="BD408" s="1298"/>
      <c r="BE408" s="1298"/>
      <c r="BF408" s="1298"/>
      <c r="BG408" s="1296"/>
      <c r="BH408" s="1298"/>
      <c r="BI408" s="1298"/>
      <c r="BJ408" s="1298"/>
      <c r="BK408" s="1298"/>
      <c r="BL408" s="1335"/>
      <c r="BM408" s="1298"/>
      <c r="BN408" s="1298"/>
      <c r="BO408" s="1298"/>
      <c r="BP408" s="1298"/>
      <c r="BQ408" s="1335">
        <f>BQ409-BQ407</f>
        <v>-0.20000000000000018</v>
      </c>
      <c r="BR408" s="1298"/>
      <c r="BS408" s="1298"/>
      <c r="BT408" s="1298"/>
      <c r="BU408" s="1298"/>
      <c r="BV408" s="1335">
        <f>BV409-BV407</f>
        <v>-1.0999999999999996</v>
      </c>
      <c r="BW408" s="1298"/>
      <c r="BX408" s="1298"/>
      <c r="BY408" s="1298"/>
      <c r="BZ408" s="1298"/>
      <c r="CA408" s="1335">
        <f>CA409-CA407</f>
        <v>0</v>
      </c>
      <c r="CB408" s="1336">
        <f>CB409-CB407</f>
        <v>0</v>
      </c>
      <c r="CC408" s="1336">
        <f>CC409-CC407</f>
        <v>0</v>
      </c>
      <c r="CD408" s="1298">
        <v>0</v>
      </c>
      <c r="CE408" s="1298">
        <v>-2</v>
      </c>
      <c r="CF408" s="1335">
        <f>+SUM(CB408:CE408)</f>
        <v>-2</v>
      </c>
      <c r="CG408" s="1298">
        <v>0</v>
      </c>
      <c r="CH408" s="1298">
        <v>0</v>
      </c>
      <c r="CI408" s="1298">
        <v>0</v>
      </c>
      <c r="CJ408" s="1298">
        <v>0</v>
      </c>
      <c r="CK408" s="1335">
        <f>+SUM(CG408:CJ408)</f>
        <v>0</v>
      </c>
      <c r="CL408" s="1298">
        <v>0</v>
      </c>
      <c r="CM408" s="1298">
        <v>0</v>
      </c>
      <c r="CN408" s="1298">
        <v>0</v>
      </c>
      <c r="CO408" s="1298">
        <v>0</v>
      </c>
      <c r="CP408" s="1335">
        <f>+SUM(CL408:CO408)</f>
        <v>0</v>
      </c>
      <c r="CQ408" s="1298">
        <v>0</v>
      </c>
      <c r="CR408" s="1298">
        <v>0</v>
      </c>
      <c r="CS408" s="1298">
        <v>0</v>
      </c>
      <c r="CT408" s="1298">
        <v>0</v>
      </c>
      <c r="CU408" s="1335">
        <f>+SUM(CQ408:CT408)</f>
        <v>0</v>
      </c>
      <c r="CV408" s="1298">
        <v>0</v>
      </c>
      <c r="CW408" s="1298">
        <v>0</v>
      </c>
      <c r="CX408" s="1298">
        <v>0</v>
      </c>
      <c r="CY408" s="1298">
        <v>0</v>
      </c>
      <c r="CZ408" s="1335">
        <f>+SUM(CV408:CY408)</f>
        <v>0</v>
      </c>
      <c r="DA408" s="1298">
        <v>0</v>
      </c>
      <c r="DB408" s="1298">
        <v>0</v>
      </c>
      <c r="DC408" s="1298">
        <v>0</v>
      </c>
      <c r="DD408" s="1298">
        <v>0</v>
      </c>
      <c r="DE408" s="1335">
        <f>+SUM(DA408:DD408)</f>
        <v>0</v>
      </c>
      <c r="DF408" s="1298">
        <v>0</v>
      </c>
      <c r="DG408" s="1298">
        <v>0</v>
      </c>
      <c r="DH408" s="1298">
        <v>0</v>
      </c>
      <c r="DI408" s="1298">
        <v>0</v>
      </c>
      <c r="DJ408" s="1335">
        <f>+SUM(DF408:DI408)</f>
        <v>0</v>
      </c>
      <c r="DK408" s="1298">
        <v>0</v>
      </c>
      <c r="DL408" s="1298">
        <v>0</v>
      </c>
      <c r="DM408" s="1298">
        <v>0</v>
      </c>
      <c r="DN408" s="1298">
        <v>0</v>
      </c>
      <c r="DO408" s="1335">
        <f>+SUM(DK408:DN408)</f>
        <v>0</v>
      </c>
      <c r="DP408" s="1298">
        <v>0</v>
      </c>
      <c r="DQ408" s="1298">
        <v>0</v>
      </c>
      <c r="DR408" s="1298">
        <v>0</v>
      </c>
      <c r="DS408" s="1298">
        <v>0</v>
      </c>
      <c r="DT408" s="1335">
        <f>+SUM(DP408:DS408)</f>
        <v>0</v>
      </c>
      <c r="DU408" s="1298">
        <v>0</v>
      </c>
      <c r="DV408" s="1298">
        <v>0</v>
      </c>
      <c r="DW408" s="1298">
        <v>0</v>
      </c>
      <c r="DX408" s="1298">
        <v>0</v>
      </c>
      <c r="DY408" s="1335">
        <f>+SUM(DU408:DX408)</f>
        <v>0</v>
      </c>
    </row>
    <row r="409" spans="1:129" x14ac:dyDescent="0.2">
      <c r="A409" s="1295"/>
      <c r="B409" s="1190" t="s">
        <v>1154</v>
      </c>
      <c r="C409" s="1182"/>
      <c r="D409" s="1182"/>
      <c r="E409" s="1182"/>
      <c r="F409" s="1182"/>
      <c r="G409" s="1182"/>
      <c r="H409" s="1182"/>
      <c r="I409" s="1182"/>
      <c r="J409" s="1182"/>
      <c r="K409" s="1182"/>
      <c r="L409" s="1182"/>
      <c r="M409" s="1182"/>
      <c r="N409" s="1182"/>
      <c r="O409" s="1182"/>
      <c r="P409" s="1182"/>
      <c r="Q409" s="1182"/>
      <c r="R409" s="1182"/>
      <c r="S409" s="1182"/>
      <c r="T409" s="1182"/>
      <c r="U409" s="1182"/>
      <c r="V409" s="1182"/>
      <c r="W409" s="1182"/>
      <c r="X409" s="1304"/>
      <c r="Y409" s="1305"/>
      <c r="Z409" s="1305"/>
      <c r="AA409" s="1305"/>
      <c r="AB409" s="1305"/>
      <c r="AC409" s="1304"/>
      <c r="AD409" s="1305"/>
      <c r="AE409" s="1305"/>
      <c r="AF409" s="1305"/>
      <c r="AG409" s="1305"/>
      <c r="AH409" s="1304"/>
      <c r="AI409" s="1305"/>
      <c r="AJ409" s="1305"/>
      <c r="AK409" s="1305"/>
      <c r="AL409" s="1305"/>
      <c r="AM409" s="1304"/>
      <c r="AN409" s="1305"/>
      <c r="AO409" s="1305"/>
      <c r="AP409" s="1305"/>
      <c r="AQ409" s="1305"/>
      <c r="AR409" s="1304"/>
      <c r="AS409" s="1305"/>
      <c r="AT409" s="1305"/>
      <c r="AU409" s="1305"/>
      <c r="AV409" s="1305"/>
      <c r="AW409" s="1304"/>
      <c r="AX409" s="1305"/>
      <c r="AY409" s="1305"/>
      <c r="AZ409" s="1305"/>
      <c r="BA409" s="1305"/>
      <c r="BB409" s="1304"/>
      <c r="BC409" s="1305"/>
      <c r="BD409" s="1305"/>
      <c r="BE409" s="1305"/>
      <c r="BF409" s="1305"/>
      <c r="BG409" s="1306"/>
      <c r="BH409" s="1305"/>
      <c r="BI409" s="1305"/>
      <c r="BJ409" s="1305"/>
      <c r="BK409" s="1305"/>
      <c r="BL409" s="1337">
        <v>7.3</v>
      </c>
      <c r="BM409" s="1305"/>
      <c r="BN409" s="1305"/>
      <c r="BO409" s="1305"/>
      <c r="BP409" s="1305"/>
      <c r="BQ409" s="1337">
        <v>7.1</v>
      </c>
      <c r="BR409" s="1305"/>
      <c r="BS409" s="1305"/>
      <c r="BT409" s="1305"/>
      <c r="BU409" s="1305"/>
      <c r="BV409" s="1337">
        <v>6</v>
      </c>
      <c r="BW409" s="1305"/>
      <c r="BX409" s="1305"/>
      <c r="BY409" s="1305"/>
      <c r="BZ409" s="1305"/>
      <c r="CA409" s="1337">
        <v>6</v>
      </c>
      <c r="CB409" s="1295">
        <f>CA409</f>
        <v>6</v>
      </c>
      <c r="CC409" s="1226">
        <f>CB409</f>
        <v>6</v>
      </c>
      <c r="CD409" s="1295">
        <f t="shared" ref="CD409:CZ409" si="235">CD407+CD408</f>
        <v>6</v>
      </c>
      <c r="CE409" s="1295">
        <f t="shared" si="235"/>
        <v>4</v>
      </c>
      <c r="CF409" s="1325">
        <f t="shared" si="235"/>
        <v>4</v>
      </c>
      <c r="CG409" s="1295">
        <f t="shared" si="235"/>
        <v>4</v>
      </c>
      <c r="CH409" s="1295">
        <f t="shared" si="235"/>
        <v>4</v>
      </c>
      <c r="CI409" s="1295">
        <f t="shared" si="235"/>
        <v>4</v>
      </c>
      <c r="CJ409" s="1295">
        <f t="shared" si="235"/>
        <v>4</v>
      </c>
      <c r="CK409" s="1325">
        <f t="shared" si="235"/>
        <v>4</v>
      </c>
      <c r="CL409" s="1295">
        <f t="shared" si="235"/>
        <v>4</v>
      </c>
      <c r="CM409" s="1295">
        <f t="shared" si="235"/>
        <v>4</v>
      </c>
      <c r="CN409" s="1295">
        <f t="shared" si="235"/>
        <v>4</v>
      </c>
      <c r="CO409" s="1295">
        <f t="shared" si="235"/>
        <v>4</v>
      </c>
      <c r="CP409" s="1325">
        <f t="shared" si="235"/>
        <v>4</v>
      </c>
      <c r="CQ409" s="1295">
        <f t="shared" si="235"/>
        <v>4</v>
      </c>
      <c r="CR409" s="1295">
        <f t="shared" si="235"/>
        <v>4</v>
      </c>
      <c r="CS409" s="1295">
        <f t="shared" si="235"/>
        <v>4</v>
      </c>
      <c r="CT409" s="1295">
        <f t="shared" si="235"/>
        <v>4</v>
      </c>
      <c r="CU409" s="1325">
        <f t="shared" si="235"/>
        <v>4</v>
      </c>
      <c r="CV409" s="1295">
        <f t="shared" si="235"/>
        <v>4</v>
      </c>
      <c r="CW409" s="1295">
        <f t="shared" si="235"/>
        <v>4</v>
      </c>
      <c r="CX409" s="1295">
        <f t="shared" si="235"/>
        <v>4</v>
      </c>
      <c r="CY409" s="1295">
        <f t="shared" si="235"/>
        <v>4</v>
      </c>
      <c r="CZ409" s="1325">
        <f t="shared" si="235"/>
        <v>4</v>
      </c>
      <c r="DA409" s="1295">
        <f t="shared" ref="DA409:DJ409" si="236">DA407+DA408</f>
        <v>4</v>
      </c>
      <c r="DB409" s="1295">
        <f t="shared" si="236"/>
        <v>4</v>
      </c>
      <c r="DC409" s="1295">
        <f t="shared" si="236"/>
        <v>4</v>
      </c>
      <c r="DD409" s="1295">
        <f t="shared" si="236"/>
        <v>4</v>
      </c>
      <c r="DE409" s="1325">
        <f t="shared" si="236"/>
        <v>4</v>
      </c>
      <c r="DF409" s="1295">
        <f t="shared" si="236"/>
        <v>4</v>
      </c>
      <c r="DG409" s="1295">
        <f t="shared" si="236"/>
        <v>4</v>
      </c>
      <c r="DH409" s="1295">
        <f t="shared" si="236"/>
        <v>4</v>
      </c>
      <c r="DI409" s="1295">
        <f t="shared" si="236"/>
        <v>4</v>
      </c>
      <c r="DJ409" s="1325">
        <f t="shared" si="236"/>
        <v>4</v>
      </c>
      <c r="DK409" s="1295">
        <f t="shared" ref="DK409:DT409" si="237">DK407+DK408</f>
        <v>4</v>
      </c>
      <c r="DL409" s="1295">
        <f t="shared" si="237"/>
        <v>4</v>
      </c>
      <c r="DM409" s="1295">
        <f t="shared" si="237"/>
        <v>4</v>
      </c>
      <c r="DN409" s="1295">
        <f t="shared" si="237"/>
        <v>4</v>
      </c>
      <c r="DO409" s="1325">
        <f t="shared" si="237"/>
        <v>4</v>
      </c>
      <c r="DP409" s="1295">
        <f t="shared" si="237"/>
        <v>4</v>
      </c>
      <c r="DQ409" s="1295">
        <f t="shared" si="237"/>
        <v>4</v>
      </c>
      <c r="DR409" s="1295">
        <f t="shared" si="237"/>
        <v>4</v>
      </c>
      <c r="DS409" s="1295">
        <f t="shared" si="237"/>
        <v>4</v>
      </c>
      <c r="DT409" s="1325">
        <f t="shared" si="237"/>
        <v>4</v>
      </c>
      <c r="DU409" s="1295">
        <f t="shared" ref="DU409:DY409" si="238">DU407+DU408</f>
        <v>4</v>
      </c>
      <c r="DV409" s="1295">
        <f t="shared" si="238"/>
        <v>4</v>
      </c>
      <c r="DW409" s="1295">
        <f t="shared" si="238"/>
        <v>4</v>
      </c>
      <c r="DX409" s="1295">
        <f t="shared" si="238"/>
        <v>4</v>
      </c>
      <c r="DY409" s="1325">
        <f t="shared" si="238"/>
        <v>4</v>
      </c>
    </row>
    <row r="410" spans="1:129" x14ac:dyDescent="0.2">
      <c r="A410" s="1223"/>
      <c r="B410" s="1190" t="s">
        <v>1155</v>
      </c>
      <c r="C410" s="1182"/>
      <c r="D410" s="1182"/>
      <c r="E410" s="1182"/>
      <c r="F410" s="1182"/>
      <c r="G410" s="1182"/>
      <c r="H410" s="1182"/>
      <c r="I410" s="1182"/>
      <c r="J410" s="1182"/>
      <c r="K410" s="1182"/>
      <c r="L410" s="1182"/>
      <c r="M410" s="1182"/>
      <c r="N410" s="1182"/>
      <c r="O410" s="1182"/>
      <c r="P410" s="1182"/>
      <c r="Q410" s="1182"/>
      <c r="R410" s="1182"/>
      <c r="S410" s="1182"/>
      <c r="T410" s="1182"/>
      <c r="U410" s="1182"/>
      <c r="V410" s="1182"/>
      <c r="W410" s="1182"/>
      <c r="X410" s="1227"/>
      <c r="Y410" s="1231"/>
      <c r="Z410" s="1231"/>
      <c r="AA410" s="1231"/>
      <c r="AB410" s="1231"/>
      <c r="AC410" s="1227"/>
      <c r="AD410" s="1231"/>
      <c r="AE410" s="1231"/>
      <c r="AF410" s="1231"/>
      <c r="AG410" s="1231"/>
      <c r="AH410" s="1227"/>
      <c r="AI410" s="1231"/>
      <c r="AJ410" s="1231"/>
      <c r="AK410" s="1231"/>
      <c r="AL410" s="1231"/>
      <c r="AM410" s="1227"/>
      <c r="AN410" s="1231"/>
      <c r="AO410" s="1231"/>
      <c r="AP410" s="1231"/>
      <c r="AQ410" s="1231"/>
      <c r="AR410" s="1227"/>
      <c r="AS410" s="1231"/>
      <c r="AT410" s="1231"/>
      <c r="AU410" s="1231"/>
      <c r="AV410" s="1231"/>
      <c r="AW410" s="1227"/>
      <c r="AX410" s="1231"/>
      <c r="AY410" s="1231"/>
      <c r="AZ410" s="1231"/>
      <c r="BA410" s="1231"/>
      <c r="BB410" s="1227"/>
      <c r="BC410" s="1231"/>
      <c r="BD410" s="1231"/>
      <c r="BE410" s="1231"/>
      <c r="BF410" s="1231"/>
      <c r="BG410" s="1227"/>
      <c r="BH410" s="1231"/>
      <c r="BI410" s="1231"/>
      <c r="BJ410" s="1231"/>
      <c r="BK410" s="1231"/>
      <c r="BL410" s="1326"/>
      <c r="BM410" s="1231"/>
      <c r="BN410" s="1231"/>
      <c r="BO410" s="1231"/>
      <c r="BP410" s="1231"/>
      <c r="BQ410" s="1326"/>
      <c r="BR410" s="1231"/>
      <c r="BS410" s="1231"/>
      <c r="BT410" s="1231"/>
      <c r="BU410" s="1231"/>
      <c r="BV410" s="1326"/>
      <c r="BW410" s="1231"/>
      <c r="BX410" s="1231"/>
      <c r="BY410" s="1231"/>
      <c r="BZ410" s="1231"/>
      <c r="CA410" s="1326"/>
      <c r="CB410" s="1231"/>
      <c r="CC410" s="1231"/>
      <c r="CD410" s="1231"/>
      <c r="CE410" s="1231"/>
      <c r="CF410" s="1326"/>
      <c r="CG410" s="1231"/>
      <c r="CH410" s="1231"/>
      <c r="CI410" s="1231"/>
      <c r="CJ410" s="1231"/>
      <c r="CK410" s="1326"/>
      <c r="CL410" s="1231"/>
      <c r="CM410" s="1231"/>
      <c r="CN410" s="1231"/>
      <c r="CO410" s="1231"/>
      <c r="CP410" s="1326"/>
      <c r="CQ410" s="1231"/>
      <c r="CR410" s="1231"/>
      <c r="CS410" s="1231"/>
      <c r="CT410" s="1231"/>
      <c r="CU410" s="1326"/>
      <c r="CV410" s="1231"/>
      <c r="CW410" s="1231"/>
      <c r="CX410" s="1231"/>
      <c r="CY410" s="1231"/>
      <c r="CZ410" s="1326"/>
      <c r="DA410" s="1231"/>
      <c r="DB410" s="1231"/>
      <c r="DC410" s="1231"/>
      <c r="DD410" s="1231"/>
      <c r="DE410" s="1326"/>
      <c r="DF410" s="1231"/>
      <c r="DG410" s="1231"/>
      <c r="DH410" s="1231"/>
      <c r="DI410" s="1231"/>
      <c r="DJ410" s="1326"/>
      <c r="DK410" s="1231"/>
      <c r="DL410" s="1231"/>
      <c r="DM410" s="1231"/>
      <c r="DN410" s="1231"/>
      <c r="DO410" s="1326"/>
      <c r="DP410" s="1231"/>
      <c r="DQ410" s="1231"/>
      <c r="DR410" s="1231"/>
      <c r="DS410" s="1231"/>
      <c r="DT410" s="1326"/>
      <c r="DU410" s="1231"/>
      <c r="DV410" s="1231"/>
      <c r="DW410" s="1231"/>
      <c r="DX410" s="1231"/>
      <c r="DY410" s="1326"/>
    </row>
    <row r="411" spans="1:129" x14ac:dyDescent="0.2">
      <c r="A411" s="1223"/>
      <c r="B411" s="1190" t="s">
        <v>1156</v>
      </c>
      <c r="C411" s="1182"/>
      <c r="D411" s="1182"/>
      <c r="E411" s="1182"/>
      <c r="F411" s="1182"/>
      <c r="G411" s="1182"/>
      <c r="H411" s="1182"/>
      <c r="I411" s="1182"/>
      <c r="J411" s="1182"/>
      <c r="K411" s="1182"/>
      <c r="L411" s="1182"/>
      <c r="M411" s="1182"/>
      <c r="N411" s="1182"/>
      <c r="O411" s="1182"/>
      <c r="P411" s="1182"/>
      <c r="Q411" s="1182"/>
      <c r="R411" s="1182"/>
      <c r="S411" s="1182"/>
      <c r="T411" s="1182"/>
      <c r="U411" s="1182"/>
      <c r="V411" s="1182"/>
      <c r="W411" s="1182"/>
      <c r="X411" s="1227"/>
      <c r="Y411" s="1231"/>
      <c r="Z411" s="1231"/>
      <c r="AA411" s="1231"/>
      <c r="AB411" s="1231"/>
      <c r="AC411" s="1227"/>
      <c r="AD411" s="1231"/>
      <c r="AE411" s="1231"/>
      <c r="AF411" s="1231"/>
      <c r="AG411" s="1231"/>
      <c r="AH411" s="1227"/>
      <c r="AI411" s="1231"/>
      <c r="AJ411" s="1231"/>
      <c r="AK411" s="1231"/>
      <c r="AL411" s="1231"/>
      <c r="AM411" s="1227"/>
      <c r="AN411" s="1231"/>
      <c r="AO411" s="1231"/>
      <c r="AP411" s="1231"/>
      <c r="AQ411" s="1231"/>
      <c r="AR411" s="1227"/>
      <c r="AS411" s="1231"/>
      <c r="AT411" s="1231"/>
      <c r="AU411" s="1231"/>
      <c r="AV411" s="1231"/>
      <c r="AW411" s="1227"/>
      <c r="AX411" s="1231"/>
      <c r="AY411" s="1231"/>
      <c r="AZ411" s="1231"/>
      <c r="BA411" s="1231"/>
      <c r="BB411" s="1227"/>
      <c r="BC411" s="1231"/>
      <c r="BD411" s="1231"/>
      <c r="BE411" s="1231"/>
      <c r="BF411" s="1231"/>
      <c r="BG411" s="1227"/>
      <c r="BH411" s="1231"/>
      <c r="BI411" s="1231"/>
      <c r="BJ411" s="1231"/>
      <c r="BK411" s="1231"/>
      <c r="BL411" s="1326">
        <f>-(AVERAGE(BL407,BL409))*(BL405)</f>
        <v>-0.36499999999999999</v>
      </c>
      <c r="BM411" s="1231"/>
      <c r="BN411" s="1231"/>
      <c r="BO411" s="1231"/>
      <c r="BP411" s="1231"/>
      <c r="BQ411" s="1326">
        <f>-(AVERAGE(BQ407,BQ409))*(BQ405)</f>
        <v>-0.36</v>
      </c>
      <c r="BR411" s="1231"/>
      <c r="BS411" s="1231"/>
      <c r="BT411" s="1231"/>
      <c r="BU411" s="1231"/>
      <c r="BV411" s="1326">
        <f>-(AVERAGE(BV407,BV409))*(BV405)</f>
        <v>-0.32750000000000001</v>
      </c>
      <c r="BW411" s="1231"/>
      <c r="BX411" s="1231"/>
      <c r="BY411" s="1231"/>
      <c r="BZ411" s="1231"/>
      <c r="CA411" s="1326">
        <f>-(AVERAGE(CA407,CA409))*(CA405)</f>
        <v>-0.30000000000000004</v>
      </c>
      <c r="CB411" s="1223">
        <f>-(AVERAGE(CB409,CB407))*(CB405/4)</f>
        <v>-7.5000000000000011E-2</v>
      </c>
      <c r="CC411" s="1223">
        <f>-(AVERAGE(CC409,CC407))*(CC405/4)</f>
        <v>-7.5000000000000011E-2</v>
      </c>
      <c r="CD411" s="1223">
        <f>-(AVERAGE(CD409,CD407))*(CD405/4)</f>
        <v>-7.5000000000000011E-2</v>
      </c>
      <c r="CE411" s="1223">
        <f>-(AVERAGE(CE409,CE407))*(CE405/4)</f>
        <v>-6.25E-2</v>
      </c>
      <c r="CF411" s="1326">
        <f>SUM(CB411:CE411)</f>
        <v>-0.28750000000000003</v>
      </c>
      <c r="CG411" s="1223">
        <f>-(AVERAGE(CG409,CG407))*(CG405/4)</f>
        <v>-0.05</v>
      </c>
      <c r="CH411" s="1223">
        <f>-(AVERAGE(CH409,CH407))*(CH405/4)</f>
        <v>-0.05</v>
      </c>
      <c r="CI411" s="1223">
        <f>-(AVERAGE(CI409,CI407))*(CI405/4)</f>
        <v>-0.05</v>
      </c>
      <c r="CJ411" s="1223">
        <f>-(AVERAGE(CJ409,CJ407))*(CJ405/4)</f>
        <v>-0.05</v>
      </c>
      <c r="CK411" s="1326">
        <f>SUM(CG411:CJ411)</f>
        <v>-0.2</v>
      </c>
      <c r="CL411" s="1223">
        <f>-(AVERAGE(CL409,CL407))*(CL405/4)</f>
        <v>-0.05</v>
      </c>
      <c r="CM411" s="1223">
        <f>-(AVERAGE(CM409,CM407))*(CM405/4)</f>
        <v>-0.05</v>
      </c>
      <c r="CN411" s="1223">
        <f>-(AVERAGE(CN409,CN407))*(CN405/4)</f>
        <v>-0.05</v>
      </c>
      <c r="CO411" s="1223">
        <f>-(AVERAGE(CO409,CO407))*(CO405/4)</f>
        <v>-0.05</v>
      </c>
      <c r="CP411" s="1326">
        <f>SUM(CL411:CO411)</f>
        <v>-0.2</v>
      </c>
      <c r="CQ411" s="1223">
        <f>-(AVERAGE(CQ409,CQ407))*(CQ405/4)</f>
        <v>-0.05</v>
      </c>
      <c r="CR411" s="1223">
        <f>-(AVERAGE(CR409,CR407))*(CR405/4)</f>
        <v>-0.05</v>
      </c>
      <c r="CS411" s="1223">
        <f>-(AVERAGE(CS409,CS407))*(CS405/4)</f>
        <v>-0.05</v>
      </c>
      <c r="CT411" s="1223">
        <f>-(AVERAGE(CT409,CT407))*(CT405/4)</f>
        <v>-0.05</v>
      </c>
      <c r="CU411" s="1326">
        <f>SUM(CQ411:CT411)</f>
        <v>-0.2</v>
      </c>
      <c r="CV411" s="1223">
        <f>-(AVERAGE(CV409,CV407))*(CV405/4)</f>
        <v>-0.05</v>
      </c>
      <c r="CW411" s="1223">
        <f>-(AVERAGE(CW409,CW407))*(CW405/4)</f>
        <v>-0.05</v>
      </c>
      <c r="CX411" s="1223">
        <f>-(AVERAGE(CX409,CX407))*(CX405/4)</f>
        <v>-0.05</v>
      </c>
      <c r="CY411" s="1223">
        <f>-(AVERAGE(CY409,CY407))*(CY405/4)</f>
        <v>-0.05</v>
      </c>
      <c r="CZ411" s="1326">
        <f>SUM(CV411:CY411)</f>
        <v>-0.2</v>
      </c>
      <c r="DA411" s="1223">
        <f>-(AVERAGE(DA409,DA407))*(DA405/4)</f>
        <v>-0.05</v>
      </c>
      <c r="DB411" s="1223">
        <f>-(AVERAGE(DB409,DB407))*(DB405/4)</f>
        <v>-0.05</v>
      </c>
      <c r="DC411" s="1223">
        <f>-(AVERAGE(DC409,DC407))*(DC405/4)</f>
        <v>-0.05</v>
      </c>
      <c r="DD411" s="1223">
        <f>-(AVERAGE(DD409,DD407))*(DD405/4)</f>
        <v>-0.05</v>
      </c>
      <c r="DE411" s="1326">
        <f>SUM(DA411:DD411)</f>
        <v>-0.2</v>
      </c>
      <c r="DF411" s="1223">
        <f>-(AVERAGE(DF409,DF407))*(DF405/4)</f>
        <v>-0.05</v>
      </c>
      <c r="DG411" s="1223">
        <f>-(AVERAGE(DG409,DG407))*(DG405/4)</f>
        <v>-0.05</v>
      </c>
      <c r="DH411" s="1223">
        <f>-(AVERAGE(DH409,DH407))*(DH405/4)</f>
        <v>-0.05</v>
      </c>
      <c r="DI411" s="1223">
        <f>-(AVERAGE(DI409,DI407))*(DI405/4)</f>
        <v>-0.05</v>
      </c>
      <c r="DJ411" s="1326">
        <f>SUM(DF411:DI411)</f>
        <v>-0.2</v>
      </c>
      <c r="DK411" s="1223">
        <f>-(AVERAGE(DK409,DK407))*(DK405/4)</f>
        <v>-0.05</v>
      </c>
      <c r="DL411" s="1223">
        <f>-(AVERAGE(DL409,DL407))*(DL405/4)</f>
        <v>-0.05</v>
      </c>
      <c r="DM411" s="1223">
        <f>-(AVERAGE(DM409,DM407))*(DM405/4)</f>
        <v>-0.05</v>
      </c>
      <c r="DN411" s="1223">
        <f>-(AVERAGE(DN409,DN407))*(DN405/4)</f>
        <v>-0.05</v>
      </c>
      <c r="DO411" s="1326">
        <f>SUM(DK411:DN411)</f>
        <v>-0.2</v>
      </c>
      <c r="DP411" s="1223">
        <f>-(AVERAGE(DP409,DP407))*(DP405/4)</f>
        <v>-0.05</v>
      </c>
      <c r="DQ411" s="1223">
        <f>-(AVERAGE(DQ409,DQ407))*(DQ405/4)</f>
        <v>-0.05</v>
      </c>
      <c r="DR411" s="1223">
        <f>-(AVERAGE(DR409,DR407))*(DR405/4)</f>
        <v>-0.05</v>
      </c>
      <c r="DS411" s="1223">
        <f>-(AVERAGE(DS409,DS407))*(DS405/4)</f>
        <v>-0.05</v>
      </c>
      <c r="DT411" s="1326">
        <f>SUM(DP411:DS411)</f>
        <v>-0.2</v>
      </c>
      <c r="DU411" s="1223">
        <f>-(AVERAGE(DU409,DU407))*(DU405/4)</f>
        <v>-0.05</v>
      </c>
      <c r="DV411" s="1223">
        <f>-(AVERAGE(DV409,DV407))*(DV405/4)</f>
        <v>-0.05</v>
      </c>
      <c r="DW411" s="1223">
        <f>-(AVERAGE(DW409,DW407))*(DW405/4)</f>
        <v>-0.05</v>
      </c>
      <c r="DX411" s="1223">
        <f>-(AVERAGE(DX409,DX407))*(DX405/4)</f>
        <v>-0.05</v>
      </c>
      <c r="DY411" s="1326">
        <f>SUM(DU411:DX411)</f>
        <v>-0.2</v>
      </c>
    </row>
    <row r="412" spans="1:129" ht="12" thickBot="1" x14ac:dyDescent="0.25">
      <c r="A412" s="1223"/>
      <c r="B412" s="1250" t="s">
        <v>1157</v>
      </c>
      <c r="C412" s="1251"/>
      <c r="D412" s="1251"/>
      <c r="E412" s="1251"/>
      <c r="F412" s="1251"/>
      <c r="G412" s="1251"/>
      <c r="H412" s="1251"/>
      <c r="I412" s="1251"/>
      <c r="J412" s="1251"/>
      <c r="K412" s="1251"/>
      <c r="L412" s="1251"/>
      <c r="M412" s="1251"/>
      <c r="N412" s="1251"/>
      <c r="O412" s="1251"/>
      <c r="P412" s="1251"/>
      <c r="Q412" s="1251"/>
      <c r="R412" s="1251"/>
      <c r="S412" s="1251"/>
      <c r="T412" s="1251"/>
      <c r="U412" s="1251"/>
      <c r="V412" s="1251"/>
      <c r="W412" s="1251"/>
      <c r="X412" s="1252"/>
      <c r="Y412" s="1251"/>
      <c r="Z412" s="1251"/>
      <c r="AA412" s="1251"/>
      <c r="AB412" s="1251"/>
      <c r="AC412" s="1252"/>
      <c r="AD412" s="1251"/>
      <c r="AE412" s="1251"/>
      <c r="AF412" s="1251"/>
      <c r="AG412" s="1251"/>
      <c r="AH412" s="1252"/>
      <c r="AI412" s="1251"/>
      <c r="AJ412" s="1251"/>
      <c r="AK412" s="1251"/>
      <c r="AL412" s="1251"/>
      <c r="AM412" s="1252"/>
      <c r="AN412" s="1251"/>
      <c r="AO412" s="1251"/>
      <c r="AP412" s="1251"/>
      <c r="AQ412" s="1253"/>
      <c r="AR412" s="1252"/>
      <c r="AS412" s="1253"/>
      <c r="AT412" s="1253"/>
      <c r="AU412" s="1253"/>
      <c r="AV412" s="1253"/>
      <c r="AW412" s="1252"/>
      <c r="AX412" s="1253"/>
      <c r="AY412" s="1253"/>
      <c r="AZ412" s="1253"/>
      <c r="BA412" s="1253"/>
      <c r="BB412" s="1252"/>
      <c r="BC412" s="1253"/>
      <c r="BD412" s="1253"/>
      <c r="BE412" s="1253"/>
      <c r="BF412" s="1253"/>
      <c r="BG412" s="1252"/>
      <c r="BH412" s="1253"/>
      <c r="BI412" s="1253"/>
      <c r="BJ412" s="1253"/>
      <c r="BK412" s="1253"/>
      <c r="BL412" s="1327"/>
      <c r="BM412" s="1253"/>
      <c r="BN412" s="1253"/>
      <c r="BO412" s="1253"/>
      <c r="BP412" s="1253"/>
      <c r="BQ412" s="1327"/>
      <c r="BR412" s="1253"/>
      <c r="BS412" s="1253"/>
      <c r="BT412" s="1253"/>
      <c r="BU412" s="1253"/>
      <c r="BV412" s="1327"/>
      <c r="BW412" s="1253"/>
      <c r="BX412" s="1253"/>
      <c r="BY412" s="1253"/>
      <c r="BZ412" s="1253"/>
      <c r="CA412" s="1327"/>
      <c r="CB412" s="1253">
        <f>-CB404*CB410/4</f>
        <v>0</v>
      </c>
      <c r="CC412" s="1253">
        <f>-CC404*CC410/4</f>
        <v>0</v>
      </c>
      <c r="CD412" s="1253">
        <f>-CD404*CD410/4</f>
        <v>0</v>
      </c>
      <c r="CE412" s="1253">
        <f>-CE404*CE410/4</f>
        <v>0</v>
      </c>
      <c r="CF412" s="1327"/>
      <c r="CG412" s="1253">
        <f>-CG404*CG410/4</f>
        <v>0</v>
      </c>
      <c r="CH412" s="1253">
        <f>-CH404*CH410/4</f>
        <v>0</v>
      </c>
      <c r="CI412" s="1253">
        <f>-CI404*CI410/4</f>
        <v>0</v>
      </c>
      <c r="CJ412" s="1253">
        <f>-CJ404*CJ410/4</f>
        <v>0</v>
      </c>
      <c r="CK412" s="1327"/>
      <c r="CL412" s="1253">
        <f>-CL404*CL410/4</f>
        <v>0</v>
      </c>
      <c r="CM412" s="1253">
        <f>-CM404*CM410/4</f>
        <v>0</v>
      </c>
      <c r="CN412" s="1253">
        <f>-CN404*CN410/4</f>
        <v>0</v>
      </c>
      <c r="CO412" s="1253">
        <f>-CO404*CO410/4</f>
        <v>0</v>
      </c>
      <c r="CP412" s="1327"/>
      <c r="CQ412" s="1253">
        <f>-CQ404*CQ410/4</f>
        <v>0</v>
      </c>
      <c r="CR412" s="1253">
        <f>-CR404*CR410/4</f>
        <v>0</v>
      </c>
      <c r="CS412" s="1253">
        <f>-CS404*CS410/4</f>
        <v>0</v>
      </c>
      <c r="CT412" s="1253">
        <f>-CT404*CT410/4</f>
        <v>0</v>
      </c>
      <c r="CU412" s="1327"/>
      <c r="CV412" s="1253">
        <f>-CV404*CV410/4</f>
        <v>0</v>
      </c>
      <c r="CW412" s="1253">
        <f>-CW404*CW410/4</f>
        <v>0</v>
      </c>
      <c r="CX412" s="1253">
        <f>-CX404*CX410/4</f>
        <v>0</v>
      </c>
      <c r="CY412" s="1253">
        <f>-CY404*CY410/4</f>
        <v>0</v>
      </c>
      <c r="CZ412" s="1327"/>
      <c r="DA412" s="1253">
        <f>-DA404*DA410/4</f>
        <v>0</v>
      </c>
      <c r="DB412" s="1253">
        <f>-DB404*DB410/4</f>
        <v>0</v>
      </c>
      <c r="DC412" s="1253">
        <f>-DC404*DC410/4</f>
        <v>0</v>
      </c>
      <c r="DD412" s="1253">
        <f>-DD404*DD410/4</f>
        <v>0</v>
      </c>
      <c r="DE412" s="1327"/>
      <c r="DF412" s="1253">
        <f>-DF404*DF410/4</f>
        <v>0</v>
      </c>
      <c r="DG412" s="1253">
        <f>-DG404*DG410/4</f>
        <v>0</v>
      </c>
      <c r="DH412" s="1253">
        <f>-DH404*DH410/4</f>
        <v>0</v>
      </c>
      <c r="DI412" s="1253">
        <f>-DI404*DI410/4</f>
        <v>0</v>
      </c>
      <c r="DJ412" s="1327"/>
      <c r="DK412" s="1253">
        <f>-DK404*DK410/4</f>
        <v>0</v>
      </c>
      <c r="DL412" s="1253">
        <f>-DL404*DL410/4</f>
        <v>0</v>
      </c>
      <c r="DM412" s="1253">
        <f>-DM404*DM410/4</f>
        <v>0</v>
      </c>
      <c r="DN412" s="1253">
        <f>-DN404*DN410/4</f>
        <v>0</v>
      </c>
      <c r="DO412" s="1327"/>
      <c r="DP412" s="1253">
        <f>-DP404*DP410/4</f>
        <v>0</v>
      </c>
      <c r="DQ412" s="1253">
        <f>-DQ404*DQ410/4</f>
        <v>0</v>
      </c>
      <c r="DR412" s="1253">
        <f>-DR404*DR410/4</f>
        <v>0</v>
      </c>
      <c r="DS412" s="1253">
        <f>-DS404*DS410/4</f>
        <v>0</v>
      </c>
      <c r="DT412" s="1327"/>
      <c r="DU412" s="1253">
        <f>-DU404*DU410/4</f>
        <v>0</v>
      </c>
      <c r="DV412" s="1253">
        <f>-DV404*DV410/4</f>
        <v>0</v>
      </c>
      <c r="DW412" s="1253">
        <f>-DW404*DW410/4</f>
        <v>0</v>
      </c>
      <c r="DX412" s="1253">
        <f>-DX404*DX410/4</f>
        <v>0</v>
      </c>
      <c r="DY412" s="1327"/>
    </row>
    <row r="413" spans="1:129" ht="12" thickBot="1" x14ac:dyDescent="0.25">
      <c r="A413" s="1240"/>
      <c r="B413" s="1240"/>
      <c r="C413" s="1214"/>
      <c r="D413" s="1214"/>
      <c r="E413" s="1214"/>
      <c r="F413" s="1214"/>
      <c r="G413" s="1214"/>
      <c r="H413" s="1214"/>
      <c r="I413" s="1214"/>
      <c r="J413" s="1214"/>
      <c r="K413" s="1214"/>
      <c r="L413" s="1214"/>
      <c r="M413" s="1214"/>
      <c r="N413" s="1214"/>
      <c r="O413" s="1214"/>
      <c r="P413" s="1214"/>
      <c r="Q413" s="1214"/>
      <c r="R413" s="1214"/>
      <c r="S413" s="1214"/>
      <c r="T413" s="1214"/>
      <c r="U413" s="1214"/>
      <c r="V413" s="1214"/>
      <c r="W413" s="1214"/>
      <c r="X413" s="1214"/>
      <c r="Y413" s="1214"/>
      <c r="Z413" s="1214"/>
      <c r="AA413" s="1214"/>
      <c r="AB413" s="1214"/>
      <c r="AC413" s="1214"/>
      <c r="AD413" s="1214"/>
      <c r="AE413" s="1214"/>
      <c r="AF413" s="1214"/>
      <c r="AG413" s="1214"/>
      <c r="AH413" s="1214"/>
      <c r="AI413" s="1214"/>
      <c r="AJ413" s="1214"/>
      <c r="AK413" s="1214"/>
      <c r="AL413" s="1214"/>
      <c r="AM413" s="1214"/>
      <c r="AN413" s="1214"/>
      <c r="AO413" s="1214"/>
      <c r="AP413" s="1214"/>
      <c r="AQ413" s="1215"/>
      <c r="AR413" s="1215"/>
      <c r="AS413" s="1215"/>
      <c r="AT413" s="1215"/>
      <c r="AU413" s="1215"/>
      <c r="AV413" s="1215"/>
      <c r="AW413" s="1338"/>
      <c r="AX413" s="1215"/>
      <c r="AY413" s="1215"/>
      <c r="AZ413" s="1215"/>
      <c r="BA413" s="1215"/>
      <c r="BB413" s="1338"/>
      <c r="BC413" s="1215"/>
      <c r="BD413" s="1215"/>
      <c r="BE413" s="1215"/>
      <c r="BF413" s="1215"/>
      <c r="BG413" s="1338"/>
      <c r="BH413" s="1215"/>
      <c r="BI413" s="1215"/>
      <c r="BJ413" s="1215"/>
      <c r="BK413" s="1215"/>
      <c r="BL413" s="1338"/>
      <c r="BM413" s="1215"/>
      <c r="BN413" s="1215"/>
      <c r="BO413" s="1215"/>
      <c r="BP413" s="1215"/>
      <c r="BQ413" s="1338"/>
      <c r="BR413" s="1215"/>
      <c r="BS413" s="1215"/>
      <c r="BT413" s="1215"/>
      <c r="BU413" s="1215"/>
      <c r="BV413" s="1338"/>
      <c r="BW413" s="1215"/>
      <c r="BX413" s="1215"/>
      <c r="BY413" s="1215"/>
      <c r="BZ413" s="1215"/>
      <c r="CA413" s="1338"/>
      <c r="CB413" s="1215"/>
      <c r="CC413" s="1215"/>
      <c r="CD413" s="1215"/>
      <c r="CE413" s="1215"/>
      <c r="CF413" s="1338"/>
      <c r="CG413" s="1215"/>
      <c r="CH413" s="1215"/>
      <c r="CI413" s="1215"/>
      <c r="CJ413" s="1215"/>
      <c r="CK413" s="1338"/>
      <c r="CL413" s="1215"/>
      <c r="CM413" s="1215"/>
      <c r="CN413" s="1215"/>
      <c r="CO413" s="1215"/>
      <c r="CP413" s="1338"/>
      <c r="CQ413" s="1215"/>
      <c r="CR413" s="1215"/>
      <c r="CS413" s="1215"/>
      <c r="CT413" s="1215"/>
      <c r="CU413" s="1338"/>
      <c r="CV413" s="1215"/>
      <c r="CW413" s="1215"/>
      <c r="CX413" s="1215"/>
      <c r="CY413" s="1215"/>
      <c r="CZ413" s="1338"/>
      <c r="DA413" s="1215"/>
      <c r="DB413" s="1215"/>
      <c r="DC413" s="1215"/>
      <c r="DD413" s="1215"/>
      <c r="DE413" s="1338"/>
      <c r="DF413" s="1215"/>
      <c r="DG413" s="1215"/>
      <c r="DH413" s="1215"/>
      <c r="DI413" s="1215"/>
      <c r="DJ413" s="1338"/>
      <c r="DK413" s="1215"/>
      <c r="DL413" s="1215"/>
      <c r="DM413" s="1215"/>
      <c r="DN413" s="1215"/>
      <c r="DO413" s="1338"/>
      <c r="DP413" s="1215"/>
      <c r="DQ413" s="1215"/>
      <c r="DR413" s="1215"/>
      <c r="DS413" s="1215"/>
      <c r="DT413" s="1338"/>
      <c r="DU413" s="1215"/>
      <c r="DV413" s="1215"/>
      <c r="DW413" s="1215"/>
      <c r="DX413" s="1215"/>
      <c r="DY413" s="1338"/>
    </row>
    <row r="414" spans="1:129" ht="12" thickBot="1" x14ac:dyDescent="0.25">
      <c r="A414" s="1123"/>
      <c r="B414" s="1282" t="s">
        <v>1174</v>
      </c>
      <c r="C414" s="1328"/>
      <c r="D414" s="1329"/>
      <c r="E414" s="1329"/>
      <c r="F414" s="1329"/>
      <c r="G414" s="1329"/>
      <c r="H414" s="1329"/>
      <c r="I414" s="1329"/>
      <c r="J414" s="1329"/>
      <c r="K414" s="1329"/>
      <c r="L414" s="1329"/>
      <c r="M414" s="1329"/>
      <c r="N414" s="1329"/>
      <c r="O414" s="1329"/>
      <c r="P414" s="1329"/>
      <c r="Q414" s="1329"/>
      <c r="R414" s="1329"/>
      <c r="S414" s="1329"/>
      <c r="T414" s="1329"/>
      <c r="U414" s="1329"/>
      <c r="V414" s="1329"/>
      <c r="W414" s="1329"/>
      <c r="X414" s="1328"/>
      <c r="Y414" s="1328"/>
      <c r="Z414" s="1328"/>
      <c r="AA414" s="1328"/>
      <c r="AB414" s="1328"/>
      <c r="AC414" s="1328"/>
      <c r="AD414" s="1328"/>
      <c r="AE414" s="1328"/>
      <c r="AF414" s="1328"/>
      <c r="AG414" s="1328"/>
      <c r="AH414" s="1328"/>
      <c r="AI414" s="1328"/>
      <c r="AJ414" s="1328"/>
      <c r="AK414" s="1328"/>
      <c r="AL414" s="1328"/>
      <c r="AM414" s="1328"/>
      <c r="AN414" s="1328"/>
      <c r="AO414" s="1328"/>
      <c r="AP414" s="1328"/>
      <c r="AQ414" s="1330"/>
      <c r="AR414" s="1330"/>
      <c r="AS414" s="1330"/>
      <c r="AT414" s="1331"/>
      <c r="AU414" s="1331"/>
      <c r="AV414" s="1331"/>
      <c r="AW414" s="1330"/>
      <c r="AX414" s="1330"/>
      <c r="AY414" s="1330"/>
      <c r="AZ414" s="1330"/>
      <c r="BA414" s="1330"/>
      <c r="BB414" s="1330"/>
      <c r="BC414" s="1330"/>
      <c r="BD414" s="1330"/>
      <c r="BE414" s="1330"/>
      <c r="BF414" s="1330"/>
      <c r="BG414" s="1330"/>
      <c r="BH414" s="1330"/>
      <c r="BI414" s="1330"/>
      <c r="BJ414" s="1330"/>
      <c r="BK414" s="1330"/>
      <c r="BL414" s="1332"/>
      <c r="BM414" s="1330"/>
      <c r="BN414" s="1330"/>
      <c r="BO414" s="1330"/>
      <c r="BP414" s="1330"/>
      <c r="BQ414" s="1332"/>
      <c r="BR414" s="1330"/>
      <c r="BS414" s="1330"/>
      <c r="BT414" s="1330"/>
      <c r="BU414" s="1330"/>
      <c r="BV414" s="1332"/>
      <c r="BW414" s="1330"/>
      <c r="BX414" s="1330"/>
      <c r="BY414" s="1330"/>
      <c r="BZ414" s="1330"/>
      <c r="CA414" s="1332"/>
      <c r="CB414" s="1330"/>
      <c r="CC414" s="1330"/>
      <c r="CD414" s="1330"/>
      <c r="CE414" s="1330"/>
      <c r="CF414" s="1332"/>
      <c r="CG414" s="1330"/>
      <c r="CH414" s="1330"/>
      <c r="CI414" s="1330"/>
      <c r="CJ414" s="1330"/>
      <c r="CK414" s="1332"/>
      <c r="CL414" s="1330"/>
      <c r="CM414" s="1330"/>
      <c r="CN414" s="1330"/>
      <c r="CO414" s="1330"/>
      <c r="CP414" s="1332"/>
      <c r="CQ414" s="1330"/>
      <c r="CR414" s="1330"/>
      <c r="CS414" s="1330"/>
      <c r="CT414" s="1330"/>
      <c r="CU414" s="1332"/>
      <c r="CV414" s="1330"/>
      <c r="CW414" s="1330"/>
      <c r="CX414" s="1330"/>
      <c r="CY414" s="1330"/>
      <c r="CZ414" s="1332"/>
      <c r="DA414" s="1330"/>
      <c r="DB414" s="1330"/>
      <c r="DC414" s="1330"/>
      <c r="DD414" s="1330"/>
      <c r="DE414" s="1332"/>
      <c r="DF414" s="1330"/>
      <c r="DG414" s="1330"/>
      <c r="DH414" s="1330"/>
      <c r="DI414" s="1330"/>
      <c r="DJ414" s="1332"/>
      <c r="DK414" s="1330"/>
      <c r="DL414" s="1330"/>
      <c r="DM414" s="1330"/>
      <c r="DN414" s="1330"/>
      <c r="DO414" s="1332"/>
      <c r="DP414" s="1330"/>
      <c r="DQ414" s="1330"/>
      <c r="DR414" s="1330"/>
      <c r="DS414" s="1330"/>
      <c r="DT414" s="1332"/>
      <c r="DU414" s="1330"/>
      <c r="DV414" s="1330"/>
      <c r="DW414" s="1330"/>
      <c r="DX414" s="1330"/>
      <c r="DY414" s="1332"/>
    </row>
    <row r="415" spans="1:129" x14ac:dyDescent="0.2">
      <c r="A415" s="532"/>
      <c r="B415" s="1287" t="s">
        <v>1149</v>
      </c>
      <c r="C415" s="650"/>
      <c r="D415" s="650"/>
      <c r="E415" s="650"/>
      <c r="F415" s="650"/>
      <c r="G415" s="650"/>
      <c r="H415" s="650"/>
      <c r="I415" s="650"/>
      <c r="J415" s="650"/>
      <c r="K415" s="650"/>
      <c r="L415" s="650"/>
      <c r="M415" s="650"/>
      <c r="N415" s="650"/>
      <c r="O415" s="650"/>
      <c r="P415" s="650"/>
      <c r="Q415" s="650"/>
      <c r="R415" s="650"/>
      <c r="S415" s="650"/>
      <c r="T415" s="650"/>
      <c r="U415" s="650"/>
      <c r="V415" s="650"/>
      <c r="W415" s="650"/>
      <c r="X415" s="1288"/>
      <c r="Y415" s="650"/>
      <c r="Z415" s="650"/>
      <c r="AA415" s="650"/>
      <c r="AB415" s="650"/>
      <c r="AC415" s="1288"/>
      <c r="AD415" s="650"/>
      <c r="AE415" s="650"/>
      <c r="AF415" s="650"/>
      <c r="AG415" s="650"/>
      <c r="AH415" s="1288"/>
      <c r="AI415" s="650"/>
      <c r="AJ415" s="650"/>
      <c r="AK415" s="650"/>
      <c r="AL415" s="650"/>
      <c r="AM415" s="1288"/>
      <c r="AN415" s="650"/>
      <c r="AO415" s="650"/>
      <c r="AP415" s="650"/>
      <c r="AQ415" s="650"/>
      <c r="AR415" s="1288"/>
      <c r="AS415" s="650"/>
      <c r="AT415" s="650"/>
      <c r="AU415" s="650"/>
      <c r="AV415" s="650"/>
      <c r="AW415" s="1288"/>
      <c r="AX415" s="650"/>
      <c r="AY415" s="650"/>
      <c r="AZ415" s="650"/>
      <c r="BA415" s="650"/>
      <c r="BB415" s="1288"/>
      <c r="BC415" s="650"/>
      <c r="BD415" s="650"/>
      <c r="BE415" s="650"/>
      <c r="BF415" s="650"/>
      <c r="BG415" s="1288"/>
      <c r="BH415" s="650"/>
      <c r="BI415" s="650"/>
      <c r="BJ415" s="650"/>
      <c r="BK415" s="650"/>
      <c r="BL415" s="583"/>
      <c r="BM415" s="650"/>
      <c r="BN415" s="650"/>
      <c r="BO415" s="650"/>
      <c r="BP415" s="650"/>
      <c r="BQ415" s="583"/>
      <c r="BR415" s="650"/>
      <c r="BS415" s="650"/>
      <c r="BT415" s="650"/>
      <c r="BU415" s="650"/>
      <c r="BV415" s="583"/>
      <c r="BW415" s="650"/>
      <c r="BX415" s="650"/>
      <c r="BY415" s="650"/>
      <c r="BZ415" s="650"/>
      <c r="CA415" s="583"/>
      <c r="CB415" s="650"/>
      <c r="CC415" s="650"/>
      <c r="CD415" s="650"/>
      <c r="CE415" s="650"/>
      <c r="CF415" s="583"/>
      <c r="CG415" s="650"/>
      <c r="CH415" s="650"/>
      <c r="CI415" s="650"/>
      <c r="CJ415" s="650"/>
      <c r="CK415" s="583"/>
      <c r="CL415" s="650"/>
      <c r="CM415" s="650"/>
      <c r="CN415" s="650"/>
      <c r="CO415" s="650"/>
      <c r="CP415" s="583"/>
      <c r="CQ415" s="650"/>
      <c r="CR415" s="650"/>
      <c r="CS415" s="650"/>
      <c r="CT415" s="650"/>
      <c r="CU415" s="583"/>
      <c r="CV415" s="650"/>
      <c r="CW415" s="650"/>
      <c r="CX415" s="650"/>
      <c r="CY415" s="650"/>
      <c r="CZ415" s="583"/>
      <c r="DA415" s="650"/>
      <c r="DB415" s="650"/>
      <c r="DC415" s="650"/>
      <c r="DD415" s="650"/>
      <c r="DE415" s="583"/>
      <c r="DF415" s="650"/>
      <c r="DG415" s="650"/>
      <c r="DH415" s="650"/>
      <c r="DI415" s="650"/>
      <c r="DJ415" s="583"/>
      <c r="DK415" s="650"/>
      <c r="DL415" s="650"/>
      <c r="DM415" s="650"/>
      <c r="DN415" s="650"/>
      <c r="DO415" s="583"/>
      <c r="DP415" s="650"/>
      <c r="DQ415" s="650"/>
      <c r="DR415" s="650"/>
      <c r="DS415" s="650"/>
      <c r="DT415" s="583"/>
      <c r="DU415" s="650"/>
      <c r="DV415" s="650"/>
      <c r="DW415" s="650"/>
      <c r="DX415" s="650"/>
      <c r="DY415" s="583"/>
    </row>
    <row r="416" spans="1:129" x14ac:dyDescent="0.2">
      <c r="A416" s="532"/>
      <c r="B416" s="1287" t="s">
        <v>1150</v>
      </c>
      <c r="C416" s="650"/>
      <c r="D416" s="650"/>
      <c r="E416" s="650"/>
      <c r="F416" s="650"/>
      <c r="G416" s="650"/>
      <c r="H416" s="650"/>
      <c r="I416" s="650"/>
      <c r="J416" s="650"/>
      <c r="K416" s="650"/>
      <c r="L416" s="650"/>
      <c r="M416" s="650"/>
      <c r="N416" s="650"/>
      <c r="O416" s="650"/>
      <c r="P416" s="650"/>
      <c r="Q416" s="650"/>
      <c r="R416" s="650"/>
      <c r="S416" s="650"/>
      <c r="T416" s="650"/>
      <c r="U416" s="650"/>
      <c r="V416" s="650"/>
      <c r="W416" s="650"/>
      <c r="X416" s="1288"/>
      <c r="Y416" s="650"/>
      <c r="Z416" s="650"/>
      <c r="AA416" s="650"/>
      <c r="AB416" s="650"/>
      <c r="AC416" s="1288"/>
      <c r="AD416" s="650"/>
      <c r="AE416" s="650"/>
      <c r="AF416" s="650"/>
      <c r="AG416" s="650"/>
      <c r="AH416" s="1288"/>
      <c r="AI416" s="650"/>
      <c r="AJ416" s="650"/>
      <c r="AK416" s="650"/>
      <c r="AL416" s="650"/>
      <c r="AM416" s="1288"/>
      <c r="AN416" s="650"/>
      <c r="AO416" s="650"/>
      <c r="AP416" s="650"/>
      <c r="AQ416" s="650"/>
      <c r="AR416" s="1288"/>
      <c r="AS416" s="650"/>
      <c r="AT416" s="650"/>
      <c r="AU416" s="650"/>
      <c r="AV416" s="650"/>
      <c r="AW416" s="1288"/>
      <c r="AX416" s="650"/>
      <c r="AY416" s="650"/>
      <c r="AZ416" s="650"/>
      <c r="BA416" s="650"/>
      <c r="BB416" s="1288"/>
      <c r="BC416" s="650"/>
      <c r="BD416" s="650"/>
      <c r="BE416" s="650"/>
      <c r="BF416" s="650"/>
      <c r="BG416" s="1289"/>
      <c r="BH416" s="650"/>
      <c r="BI416" s="650"/>
      <c r="BJ416" s="650"/>
      <c r="BK416" s="650"/>
      <c r="BL416" s="1333">
        <v>0.05</v>
      </c>
      <c r="BM416" s="650"/>
      <c r="BN416" s="650"/>
      <c r="BO416" s="650"/>
      <c r="BP416" s="650"/>
      <c r="BQ416" s="1333">
        <v>0.05</v>
      </c>
      <c r="BR416" s="650"/>
      <c r="BS416" s="650"/>
      <c r="BT416" s="650"/>
      <c r="BU416" s="650"/>
      <c r="BV416" s="1333">
        <v>0.05</v>
      </c>
      <c r="BW416" s="650"/>
      <c r="BX416" s="650"/>
      <c r="BY416" s="650"/>
      <c r="BZ416" s="650"/>
      <c r="CA416" s="1333">
        <v>0.05</v>
      </c>
      <c r="CB416" s="1334">
        <v>0.05</v>
      </c>
      <c r="CC416" s="1334">
        <v>0.05</v>
      </c>
      <c r="CD416" s="1334">
        <v>0.05</v>
      </c>
      <c r="CE416" s="1334">
        <v>0.05</v>
      </c>
      <c r="CF416" s="1333"/>
      <c r="CG416" s="1334">
        <f>CE416</f>
        <v>0.05</v>
      </c>
      <c r="CH416" s="1334">
        <f>CG416</f>
        <v>0.05</v>
      </c>
      <c r="CI416" s="1334">
        <f>CH416</f>
        <v>0.05</v>
      </c>
      <c r="CJ416" s="1334">
        <f>CI416</f>
        <v>0.05</v>
      </c>
      <c r="CK416" s="1333"/>
      <c r="CL416" s="1334">
        <f>CJ416</f>
        <v>0.05</v>
      </c>
      <c r="CM416" s="1334">
        <v>0.15</v>
      </c>
      <c r="CN416" s="1334">
        <v>0.15</v>
      </c>
      <c r="CO416" s="1334">
        <v>0.15</v>
      </c>
      <c r="CP416" s="1333"/>
      <c r="CQ416" s="1334">
        <v>0.05</v>
      </c>
      <c r="CR416" s="1334">
        <f>CQ416</f>
        <v>0.05</v>
      </c>
      <c r="CS416" s="1334">
        <f>CR416</f>
        <v>0.05</v>
      </c>
      <c r="CT416" s="1334">
        <f>CS416</f>
        <v>0.05</v>
      </c>
      <c r="CU416" s="1333"/>
      <c r="CV416" s="1334">
        <f>CT416</f>
        <v>0.05</v>
      </c>
      <c r="CW416" s="1334">
        <f>CV416</f>
        <v>0.05</v>
      </c>
      <c r="CX416" s="1334">
        <f>CW416</f>
        <v>0.05</v>
      </c>
      <c r="CY416" s="1334">
        <f>CX416</f>
        <v>0.05</v>
      </c>
      <c r="CZ416" s="1333"/>
      <c r="DA416" s="1334">
        <f>CY416</f>
        <v>0.05</v>
      </c>
      <c r="DB416" s="1334">
        <f>DA416</f>
        <v>0.05</v>
      </c>
      <c r="DC416" s="1334">
        <f>DB416</f>
        <v>0.05</v>
      </c>
      <c r="DD416" s="1334">
        <f>DC416</f>
        <v>0.05</v>
      </c>
      <c r="DE416" s="1333"/>
      <c r="DF416" s="1334">
        <f>DD416</f>
        <v>0.05</v>
      </c>
      <c r="DG416" s="1334">
        <f>DF416</f>
        <v>0.05</v>
      </c>
      <c r="DH416" s="1334">
        <f>DG416</f>
        <v>0.05</v>
      </c>
      <c r="DI416" s="1334">
        <f>DH416</f>
        <v>0.05</v>
      </c>
      <c r="DJ416" s="1333"/>
      <c r="DK416" s="1334">
        <f>DI416</f>
        <v>0.05</v>
      </c>
      <c r="DL416" s="1334">
        <f>DK416</f>
        <v>0.05</v>
      </c>
      <c r="DM416" s="1334">
        <f>DL416</f>
        <v>0.05</v>
      </c>
      <c r="DN416" s="1334">
        <f>DM416</f>
        <v>0.05</v>
      </c>
      <c r="DO416" s="1333"/>
      <c r="DP416" s="1334">
        <f>DN416</f>
        <v>0.05</v>
      </c>
      <c r="DQ416" s="1334">
        <f>DP416</f>
        <v>0.05</v>
      </c>
      <c r="DR416" s="1334">
        <f>DQ416</f>
        <v>0.05</v>
      </c>
      <c r="DS416" s="1334">
        <f>DR416</f>
        <v>0.05</v>
      </c>
      <c r="DT416" s="1333"/>
      <c r="DU416" s="1334">
        <f>DS416</f>
        <v>0.05</v>
      </c>
      <c r="DV416" s="1334">
        <f>DU416</f>
        <v>0.05</v>
      </c>
      <c r="DW416" s="1334">
        <f>DV416</f>
        <v>0.05</v>
      </c>
      <c r="DX416" s="1334">
        <f>DW416</f>
        <v>0.05</v>
      </c>
      <c r="DY416" s="1333"/>
    </row>
    <row r="417" spans="1:129" x14ac:dyDescent="0.2">
      <c r="A417" s="1223"/>
      <c r="B417" s="1190" t="s">
        <v>1151</v>
      </c>
      <c r="C417" s="1293"/>
      <c r="D417" s="1293"/>
      <c r="E417" s="1293"/>
      <c r="F417" s="1293"/>
      <c r="G417" s="1293"/>
      <c r="H417" s="1293"/>
      <c r="I417" s="1293"/>
      <c r="J417" s="1293"/>
      <c r="K417" s="1293"/>
      <c r="L417" s="1293"/>
      <c r="M417" s="1293"/>
      <c r="N417" s="1293"/>
      <c r="O417" s="1293"/>
      <c r="P417" s="1293"/>
      <c r="Q417" s="1293"/>
      <c r="R417" s="1293"/>
      <c r="S417" s="1293"/>
      <c r="T417" s="1293"/>
      <c r="U417" s="1293"/>
      <c r="V417" s="1293"/>
      <c r="W417" s="1293"/>
      <c r="X417" s="1227"/>
      <c r="Y417" s="1231"/>
      <c r="Z417" s="1231"/>
      <c r="AA417" s="1231"/>
      <c r="AB417" s="1294"/>
      <c r="AC417" s="1227"/>
      <c r="AD417" s="1231"/>
      <c r="AE417" s="1231"/>
      <c r="AF417" s="1231"/>
      <c r="AG417" s="1294"/>
      <c r="AH417" s="1227"/>
      <c r="AI417" s="1231"/>
      <c r="AJ417" s="1231"/>
      <c r="AK417" s="1231"/>
      <c r="AL417" s="1294"/>
      <c r="AM417" s="1227"/>
      <c r="AN417" s="1231"/>
      <c r="AO417" s="1231"/>
      <c r="AP417" s="1231"/>
      <c r="AQ417" s="1294"/>
      <c r="AR417" s="1227"/>
      <c r="AS417" s="1231"/>
      <c r="AT417" s="1231"/>
      <c r="AU417" s="1231"/>
      <c r="AV417" s="1294"/>
      <c r="AW417" s="1227"/>
      <c r="AX417" s="1231"/>
      <c r="AY417" s="1231"/>
      <c r="AZ417" s="1231"/>
      <c r="BA417" s="1231"/>
      <c r="BB417" s="1227"/>
      <c r="BC417" s="1231"/>
      <c r="BD417" s="1231"/>
      <c r="BE417" s="1231"/>
      <c r="BF417" s="1231"/>
      <c r="BG417" s="1227"/>
      <c r="BH417" s="1231"/>
      <c r="BI417" s="1231"/>
      <c r="BJ417" s="1231"/>
      <c r="BK417" s="1231"/>
      <c r="BL417" s="1326"/>
      <c r="BM417" s="1231"/>
      <c r="BN417" s="1231"/>
      <c r="BO417" s="1231"/>
      <c r="BP417" s="1231"/>
      <c r="BQ417" s="1326"/>
      <c r="BR417" s="1231"/>
      <c r="BS417" s="1231"/>
      <c r="BT417" s="1231"/>
      <c r="BU417" s="1231"/>
      <c r="BV417" s="1326"/>
      <c r="BW417" s="1231"/>
      <c r="BX417" s="1231"/>
      <c r="BY417" s="1231"/>
      <c r="BZ417" s="1231"/>
      <c r="CA417" s="1326"/>
      <c r="CB417" s="1231"/>
      <c r="CC417" s="1231"/>
      <c r="CD417" s="1231"/>
      <c r="CE417" s="1231"/>
      <c r="CF417" s="1326"/>
      <c r="CG417" s="1231"/>
      <c r="CH417" s="1231"/>
      <c r="CI417" s="1231"/>
      <c r="CJ417" s="1231"/>
      <c r="CK417" s="1326"/>
      <c r="CL417" s="1231"/>
      <c r="CM417" s="1231"/>
      <c r="CN417" s="1231"/>
      <c r="CO417" s="1231"/>
      <c r="CP417" s="1326"/>
      <c r="CQ417" s="1231"/>
      <c r="CR417" s="1231"/>
      <c r="CS417" s="1231"/>
      <c r="CT417" s="1231"/>
      <c r="CU417" s="1326"/>
      <c r="CV417" s="1231"/>
      <c r="CW417" s="1231"/>
      <c r="CX417" s="1231"/>
      <c r="CY417" s="1231"/>
      <c r="CZ417" s="1326"/>
      <c r="DA417" s="1231"/>
      <c r="DB417" s="1231"/>
      <c r="DC417" s="1231"/>
      <c r="DD417" s="1231"/>
      <c r="DE417" s="1326"/>
      <c r="DF417" s="1231"/>
      <c r="DG417" s="1231"/>
      <c r="DH417" s="1231"/>
      <c r="DI417" s="1231"/>
      <c r="DJ417" s="1326"/>
      <c r="DK417" s="1231"/>
      <c r="DL417" s="1231"/>
      <c r="DM417" s="1231"/>
      <c r="DN417" s="1231"/>
      <c r="DO417" s="1326"/>
      <c r="DP417" s="1231"/>
      <c r="DQ417" s="1231"/>
      <c r="DR417" s="1231"/>
      <c r="DS417" s="1231"/>
      <c r="DT417" s="1326"/>
      <c r="DU417" s="1231"/>
      <c r="DV417" s="1231"/>
      <c r="DW417" s="1231"/>
      <c r="DX417" s="1231"/>
      <c r="DY417" s="1326"/>
    </row>
    <row r="418" spans="1:129" x14ac:dyDescent="0.2">
      <c r="A418" s="1223"/>
      <c r="B418" s="1190" t="s">
        <v>1152</v>
      </c>
      <c r="C418" s="1231"/>
      <c r="D418" s="1231"/>
      <c r="E418" s="1231"/>
      <c r="F418" s="1231"/>
      <c r="G418" s="1231"/>
      <c r="H418" s="1231"/>
      <c r="I418" s="1231"/>
      <c r="J418" s="1231"/>
      <c r="K418" s="1231"/>
      <c r="L418" s="1231"/>
      <c r="M418" s="1231"/>
      <c r="N418" s="1231"/>
      <c r="O418" s="1231"/>
      <c r="P418" s="1231"/>
      <c r="Q418" s="1231"/>
      <c r="R418" s="1231"/>
      <c r="S418" s="1231"/>
      <c r="T418" s="1231"/>
      <c r="U418" s="1231"/>
      <c r="V418" s="1231"/>
      <c r="W418" s="1231"/>
      <c r="X418" s="1227"/>
      <c r="Y418" s="1231"/>
      <c r="Z418" s="1231"/>
      <c r="AA418" s="1231"/>
      <c r="AB418" s="1231"/>
      <c r="AC418" s="1227"/>
      <c r="AD418" s="1231"/>
      <c r="AE418" s="1231"/>
      <c r="AF418" s="1231"/>
      <c r="AG418" s="1231"/>
      <c r="AH418" s="1227"/>
      <c r="AI418" s="1231"/>
      <c r="AJ418" s="1231"/>
      <c r="AK418" s="1231"/>
      <c r="AL418" s="1231"/>
      <c r="AM418" s="1227"/>
      <c r="AN418" s="1231"/>
      <c r="AO418" s="1231"/>
      <c r="AP418" s="1231"/>
      <c r="AQ418" s="1231"/>
      <c r="AR418" s="1227"/>
      <c r="AS418" s="1231"/>
      <c r="AT418" s="1231"/>
      <c r="AU418" s="1231"/>
      <c r="AV418" s="1231"/>
      <c r="AW418" s="1227"/>
      <c r="AX418" s="1231"/>
      <c r="AY418" s="1231"/>
      <c r="AZ418" s="1231"/>
      <c r="BA418" s="1231"/>
      <c r="BB418" s="1227"/>
      <c r="BC418" s="1231"/>
      <c r="BD418" s="1231"/>
      <c r="BE418" s="1231"/>
      <c r="BF418" s="1231"/>
      <c r="BG418" s="1227"/>
      <c r="BH418" s="1231"/>
      <c r="BI418" s="1231"/>
      <c r="BJ418" s="1231"/>
      <c r="BK418" s="1231"/>
      <c r="BL418" s="1326"/>
      <c r="BM418" s="1231"/>
      <c r="BN418" s="1231"/>
      <c r="BO418" s="1231"/>
      <c r="BP418" s="1231"/>
      <c r="BQ418" s="1326">
        <f>BL420</f>
        <v>145.1</v>
      </c>
      <c r="BR418" s="1231"/>
      <c r="BS418" s="1231"/>
      <c r="BT418" s="1231"/>
      <c r="BU418" s="1231"/>
      <c r="BV418" s="1326">
        <f>BQ420</f>
        <v>153.4</v>
      </c>
      <c r="BW418" s="1231"/>
      <c r="BX418" s="1231"/>
      <c r="BY418" s="1231"/>
      <c r="BZ418" s="1231"/>
      <c r="CA418" s="1326">
        <f>BV420</f>
        <v>154</v>
      </c>
      <c r="CB418" s="1223">
        <f>CA420</f>
        <v>151</v>
      </c>
      <c r="CC418" s="1223">
        <f>+CB420</f>
        <v>151</v>
      </c>
      <c r="CD418" s="1223">
        <f>+CC420</f>
        <v>151</v>
      </c>
      <c r="CE418" s="1223">
        <f>+CD420</f>
        <v>151</v>
      </c>
      <c r="CF418" s="1326">
        <f>CA420</f>
        <v>151</v>
      </c>
      <c r="CG418" s="1223">
        <f>+CE420</f>
        <v>168</v>
      </c>
      <c r="CH418" s="1223">
        <f>+CG420</f>
        <v>168</v>
      </c>
      <c r="CI418" s="1223">
        <f>+CH420</f>
        <v>167</v>
      </c>
      <c r="CJ418" s="1223">
        <f>+CI420</f>
        <v>167</v>
      </c>
      <c r="CK418" s="1326">
        <f>CF420</f>
        <v>168</v>
      </c>
      <c r="CL418" s="1223">
        <f>+CJ420</f>
        <v>167</v>
      </c>
      <c r="CM418" s="1223">
        <f>+CL420</f>
        <v>167</v>
      </c>
      <c r="CN418" s="1223">
        <f>+CM420</f>
        <v>167</v>
      </c>
      <c r="CO418" s="1223">
        <f>CN420</f>
        <v>167</v>
      </c>
      <c r="CP418" s="1326">
        <f>CK420</f>
        <v>167</v>
      </c>
      <c r="CQ418" s="1223">
        <f>CO420</f>
        <v>390</v>
      </c>
      <c r="CR418" s="1223">
        <f>+CQ420</f>
        <v>390</v>
      </c>
      <c r="CS418" s="1223">
        <f>+CR420</f>
        <v>390</v>
      </c>
      <c r="CT418" s="1223">
        <f>+CS420</f>
        <v>390</v>
      </c>
      <c r="CU418" s="1326">
        <f>CP420</f>
        <v>390</v>
      </c>
      <c r="CV418" s="1223">
        <f>+CT418</f>
        <v>390</v>
      </c>
      <c r="CW418" s="1223">
        <f>+CV420</f>
        <v>390</v>
      </c>
      <c r="CX418" s="1223">
        <f>+CW420</f>
        <v>390</v>
      </c>
      <c r="CY418" s="1223">
        <f>+CX420</f>
        <v>390</v>
      </c>
      <c r="CZ418" s="1326">
        <f>CU420</f>
        <v>391</v>
      </c>
      <c r="DA418" s="1223">
        <f>+CY418</f>
        <v>390</v>
      </c>
      <c r="DB418" s="1223">
        <f>+DA420</f>
        <v>390</v>
      </c>
      <c r="DC418" s="1223">
        <f>+DB420</f>
        <v>390</v>
      </c>
      <c r="DD418" s="1223">
        <f>+DC420</f>
        <v>390</v>
      </c>
      <c r="DE418" s="1326">
        <f>CZ420</f>
        <v>391</v>
      </c>
      <c r="DF418" s="1223">
        <f>+DD418</f>
        <v>390</v>
      </c>
      <c r="DG418" s="1223">
        <f>+DF420</f>
        <v>390</v>
      </c>
      <c r="DH418" s="1223">
        <f>+DG420</f>
        <v>390</v>
      </c>
      <c r="DI418" s="1223">
        <f>+DH420</f>
        <v>390</v>
      </c>
      <c r="DJ418" s="1326">
        <f>DE420</f>
        <v>391</v>
      </c>
      <c r="DK418" s="1223">
        <f>+DI418</f>
        <v>390</v>
      </c>
      <c r="DL418" s="1223">
        <f>+DK420</f>
        <v>390</v>
      </c>
      <c r="DM418" s="1223">
        <f>+DL420</f>
        <v>390</v>
      </c>
      <c r="DN418" s="1223">
        <f>+DM420</f>
        <v>390</v>
      </c>
      <c r="DO418" s="1326">
        <f>DJ420</f>
        <v>391</v>
      </c>
      <c r="DP418" s="1223">
        <f>+DN418</f>
        <v>390</v>
      </c>
      <c r="DQ418" s="1223">
        <f>+DP420</f>
        <v>390</v>
      </c>
      <c r="DR418" s="1223">
        <f>+DQ420</f>
        <v>390</v>
      </c>
      <c r="DS418" s="1223">
        <f>+DR420</f>
        <v>390</v>
      </c>
      <c r="DT418" s="1326">
        <f>DO420</f>
        <v>391</v>
      </c>
      <c r="DU418" s="1223">
        <f>+DS418</f>
        <v>390</v>
      </c>
      <c r="DV418" s="1223">
        <f>+DU420</f>
        <v>390</v>
      </c>
      <c r="DW418" s="1223">
        <f>+DV420</f>
        <v>390</v>
      </c>
      <c r="DX418" s="1223">
        <f>+DW420</f>
        <v>390</v>
      </c>
      <c r="DY418" s="1326">
        <f>DT420</f>
        <v>391</v>
      </c>
    </row>
    <row r="419" spans="1:129" x14ac:dyDescent="0.2">
      <c r="A419" s="1295"/>
      <c r="B419" s="1190" t="s">
        <v>1153</v>
      </c>
      <c r="C419" s="1182"/>
      <c r="D419" s="1182"/>
      <c r="E419" s="1182"/>
      <c r="F419" s="1182"/>
      <c r="G419" s="1182"/>
      <c r="H419" s="1182"/>
      <c r="I419" s="1182"/>
      <c r="J419" s="1182"/>
      <c r="K419" s="1182"/>
      <c r="L419" s="1182"/>
      <c r="M419" s="1182"/>
      <c r="N419" s="1182"/>
      <c r="O419" s="1182"/>
      <c r="P419" s="1182"/>
      <c r="Q419" s="1182"/>
      <c r="R419" s="1182"/>
      <c r="S419" s="1182"/>
      <c r="T419" s="1182"/>
      <c r="U419" s="1182"/>
      <c r="V419" s="1182"/>
      <c r="W419" s="1182"/>
      <c r="X419" s="1296"/>
      <c r="Y419" s="1297"/>
      <c r="Z419" s="1297"/>
      <c r="AA419" s="1297"/>
      <c r="AB419" s="1297"/>
      <c r="AC419" s="1296"/>
      <c r="AD419" s="1297"/>
      <c r="AE419" s="1297"/>
      <c r="AF419" s="1297"/>
      <c r="AG419" s="1297"/>
      <c r="AH419" s="1296"/>
      <c r="AI419" s="1297"/>
      <c r="AJ419" s="1297"/>
      <c r="AK419" s="1297"/>
      <c r="AL419" s="1297"/>
      <c r="AM419" s="1296"/>
      <c r="AN419" s="1297"/>
      <c r="AO419" s="1297"/>
      <c r="AP419" s="1297"/>
      <c r="AQ419" s="1297"/>
      <c r="AR419" s="1296"/>
      <c r="AS419" s="1297"/>
      <c r="AT419" s="1297"/>
      <c r="AU419" s="1297"/>
      <c r="AV419" s="1297"/>
      <c r="AW419" s="1296"/>
      <c r="AX419" s="1298"/>
      <c r="AY419" s="1299"/>
      <c r="AZ419" s="1299"/>
      <c r="BA419" s="1298"/>
      <c r="BB419" s="1300"/>
      <c r="BC419" s="1298"/>
      <c r="BD419" s="1298"/>
      <c r="BE419" s="1298"/>
      <c r="BF419" s="1298"/>
      <c r="BG419" s="1296"/>
      <c r="BH419" s="1298"/>
      <c r="BI419" s="1298"/>
      <c r="BJ419" s="1298"/>
      <c r="BK419" s="1298"/>
      <c r="BL419" s="1335"/>
      <c r="BM419" s="1298"/>
      <c r="BN419" s="1298"/>
      <c r="BO419" s="1298"/>
      <c r="BP419" s="1298"/>
      <c r="BQ419" s="1335">
        <f>BQ420-BQ418</f>
        <v>8.3000000000000114</v>
      </c>
      <c r="BR419" s="1298"/>
      <c r="BS419" s="1298"/>
      <c r="BT419" s="1298"/>
      <c r="BU419" s="1298"/>
      <c r="BV419" s="1335">
        <f>BV420-BV418</f>
        <v>0.59999999999999432</v>
      </c>
      <c r="BW419" s="1298"/>
      <c r="BX419" s="1298"/>
      <c r="BY419" s="1298"/>
      <c r="BZ419" s="1298"/>
      <c r="CA419" s="1335">
        <f>CA420-CA418</f>
        <v>-3</v>
      </c>
      <c r="CB419" s="1336">
        <f>CB420-CB418</f>
        <v>0</v>
      </c>
      <c r="CC419" s="1336">
        <f>CC420-CC418</f>
        <v>0</v>
      </c>
      <c r="CD419" s="1298">
        <v>0</v>
      </c>
      <c r="CE419" s="1298">
        <v>17</v>
      </c>
      <c r="CF419" s="1335">
        <f>+SUM(CB419:CE419)</f>
        <v>17</v>
      </c>
      <c r="CG419" s="1298">
        <v>0</v>
      </c>
      <c r="CH419" s="1298">
        <v>-1</v>
      </c>
      <c r="CI419" s="1298">
        <v>0</v>
      </c>
      <c r="CJ419" s="1298">
        <v>0</v>
      </c>
      <c r="CK419" s="1335">
        <f>+SUM(CG419:CJ419)</f>
        <v>-1</v>
      </c>
      <c r="CL419" s="1298">
        <v>0</v>
      </c>
      <c r="CM419" s="1298">
        <v>0</v>
      </c>
      <c r="CN419" s="1298">
        <v>0</v>
      </c>
      <c r="CO419" s="1298">
        <v>223</v>
      </c>
      <c r="CP419" s="1335">
        <f>+SUM(CL419:CO419)</f>
        <v>223</v>
      </c>
      <c r="CQ419" s="1298">
        <v>0</v>
      </c>
      <c r="CR419" s="1298">
        <v>0</v>
      </c>
      <c r="CS419" s="1298">
        <v>0</v>
      </c>
      <c r="CT419" s="1298">
        <v>1</v>
      </c>
      <c r="CU419" s="1335">
        <f>+SUM(CQ419:CT419)</f>
        <v>1</v>
      </c>
      <c r="CV419" s="1298">
        <v>0</v>
      </c>
      <c r="CW419" s="1298">
        <v>0</v>
      </c>
      <c r="CX419" s="1298">
        <v>0</v>
      </c>
      <c r="CY419" s="1298">
        <v>0</v>
      </c>
      <c r="CZ419" s="1335">
        <f>+SUM(CV419:CY419)</f>
        <v>0</v>
      </c>
      <c r="DA419" s="1298">
        <v>0</v>
      </c>
      <c r="DB419" s="1298">
        <v>0</v>
      </c>
      <c r="DC419" s="1298">
        <v>0</v>
      </c>
      <c r="DD419" s="1298">
        <v>0</v>
      </c>
      <c r="DE419" s="1335">
        <f>+SUM(DA419:DD419)</f>
        <v>0</v>
      </c>
      <c r="DF419" s="1298">
        <v>0</v>
      </c>
      <c r="DG419" s="1298">
        <v>0</v>
      </c>
      <c r="DH419" s="1298">
        <v>0</v>
      </c>
      <c r="DI419" s="1298">
        <v>0</v>
      </c>
      <c r="DJ419" s="1335">
        <f>+SUM(DF419:DI419)</f>
        <v>0</v>
      </c>
      <c r="DK419" s="1298">
        <v>0</v>
      </c>
      <c r="DL419" s="1298">
        <v>0</v>
      </c>
      <c r="DM419" s="1298">
        <v>0</v>
      </c>
      <c r="DN419" s="1298">
        <v>0</v>
      </c>
      <c r="DO419" s="1335">
        <f>+SUM(DK419:DN419)</f>
        <v>0</v>
      </c>
      <c r="DP419" s="1298">
        <v>0</v>
      </c>
      <c r="DQ419" s="1298">
        <v>0</v>
      </c>
      <c r="DR419" s="1298">
        <v>0</v>
      </c>
      <c r="DS419" s="1298">
        <v>0</v>
      </c>
      <c r="DT419" s="1335">
        <f>+SUM(DP419:DS419)</f>
        <v>0</v>
      </c>
      <c r="DU419" s="1298">
        <v>0</v>
      </c>
      <c r="DV419" s="1298">
        <v>0</v>
      </c>
      <c r="DW419" s="1298">
        <v>0</v>
      </c>
      <c r="DX419" s="1298">
        <v>0</v>
      </c>
      <c r="DY419" s="1335">
        <f>+SUM(DU419:DX419)</f>
        <v>0</v>
      </c>
    </row>
    <row r="420" spans="1:129" x14ac:dyDescent="0.2">
      <c r="A420" s="1295"/>
      <c r="B420" s="1190" t="s">
        <v>1154</v>
      </c>
      <c r="C420" s="1182"/>
      <c r="D420" s="1182"/>
      <c r="E420" s="1182"/>
      <c r="F420" s="1182"/>
      <c r="G420" s="1182"/>
      <c r="H420" s="1182"/>
      <c r="I420" s="1182"/>
      <c r="J420" s="1182"/>
      <c r="K420" s="1182"/>
      <c r="L420" s="1182"/>
      <c r="M420" s="1182"/>
      <c r="N420" s="1182"/>
      <c r="O420" s="1182"/>
      <c r="P420" s="1182"/>
      <c r="Q420" s="1182"/>
      <c r="R420" s="1182"/>
      <c r="S420" s="1182"/>
      <c r="T420" s="1182"/>
      <c r="U420" s="1182"/>
      <c r="V420" s="1182"/>
      <c r="W420" s="1182"/>
      <c r="X420" s="1304"/>
      <c r="Y420" s="1305"/>
      <c r="Z420" s="1305"/>
      <c r="AA420" s="1305"/>
      <c r="AB420" s="1305"/>
      <c r="AC420" s="1304"/>
      <c r="AD420" s="1305"/>
      <c r="AE420" s="1305"/>
      <c r="AF420" s="1305"/>
      <c r="AG420" s="1305"/>
      <c r="AH420" s="1304"/>
      <c r="AI420" s="1305"/>
      <c r="AJ420" s="1305"/>
      <c r="AK420" s="1305"/>
      <c r="AL420" s="1305"/>
      <c r="AM420" s="1304"/>
      <c r="AN420" s="1305"/>
      <c r="AO420" s="1305"/>
      <c r="AP420" s="1305"/>
      <c r="AQ420" s="1305"/>
      <c r="AR420" s="1304"/>
      <c r="AS420" s="1305"/>
      <c r="AT420" s="1305"/>
      <c r="AU420" s="1305"/>
      <c r="AV420" s="1305"/>
      <c r="AW420" s="1304"/>
      <c r="AX420" s="1305"/>
      <c r="AY420" s="1305"/>
      <c r="AZ420" s="1305"/>
      <c r="BA420" s="1305"/>
      <c r="BB420" s="1304"/>
      <c r="BC420" s="1305"/>
      <c r="BD420" s="1305"/>
      <c r="BE420" s="1305"/>
      <c r="BF420" s="1305"/>
      <c r="BG420" s="1306"/>
      <c r="BH420" s="1305"/>
      <c r="BI420" s="1305"/>
      <c r="BJ420" s="1305"/>
      <c r="BK420" s="1305"/>
      <c r="BL420" s="1337">
        <v>145.1</v>
      </c>
      <c r="BM420" s="1305"/>
      <c r="BN420" s="1305"/>
      <c r="BO420" s="1305"/>
      <c r="BP420" s="1305"/>
      <c r="BQ420" s="1337">
        <v>153.4</v>
      </c>
      <c r="BR420" s="1305"/>
      <c r="BS420" s="1305"/>
      <c r="BT420" s="1305"/>
      <c r="BU420" s="1305"/>
      <c r="BV420" s="1337">
        <v>154</v>
      </c>
      <c r="BW420" s="1305"/>
      <c r="BX420" s="1305"/>
      <c r="BY420" s="1305"/>
      <c r="BZ420" s="1305"/>
      <c r="CA420" s="1337">
        <v>151</v>
      </c>
      <c r="CB420" s="1295">
        <f>CA420</f>
        <v>151</v>
      </c>
      <c r="CC420" s="1226">
        <f>CB420</f>
        <v>151</v>
      </c>
      <c r="CD420" s="1295">
        <f t="shared" ref="CD420:CZ420" si="239">CD418+CD419</f>
        <v>151</v>
      </c>
      <c r="CE420" s="1295">
        <f t="shared" si="239"/>
        <v>168</v>
      </c>
      <c r="CF420" s="1325">
        <f t="shared" si="239"/>
        <v>168</v>
      </c>
      <c r="CG420" s="1295">
        <f t="shared" si="239"/>
        <v>168</v>
      </c>
      <c r="CH420" s="1295">
        <f t="shared" si="239"/>
        <v>167</v>
      </c>
      <c r="CI420" s="1295">
        <f t="shared" si="239"/>
        <v>167</v>
      </c>
      <c r="CJ420" s="1295">
        <f t="shared" si="239"/>
        <v>167</v>
      </c>
      <c r="CK420" s="1325">
        <f t="shared" si="239"/>
        <v>167</v>
      </c>
      <c r="CL420" s="1295">
        <f t="shared" si="239"/>
        <v>167</v>
      </c>
      <c r="CM420" s="1295">
        <f t="shared" si="239"/>
        <v>167</v>
      </c>
      <c r="CN420" s="1295">
        <f t="shared" si="239"/>
        <v>167</v>
      </c>
      <c r="CO420" s="1295">
        <f t="shared" si="239"/>
        <v>390</v>
      </c>
      <c r="CP420" s="1325">
        <f t="shared" si="239"/>
        <v>390</v>
      </c>
      <c r="CQ420" s="1295">
        <f t="shared" si="239"/>
        <v>390</v>
      </c>
      <c r="CR420" s="1295">
        <f t="shared" si="239"/>
        <v>390</v>
      </c>
      <c r="CS420" s="1295">
        <f t="shared" si="239"/>
        <v>390</v>
      </c>
      <c r="CT420" s="1295">
        <f t="shared" si="239"/>
        <v>391</v>
      </c>
      <c r="CU420" s="1325">
        <f t="shared" si="239"/>
        <v>391</v>
      </c>
      <c r="CV420" s="1295">
        <f t="shared" si="239"/>
        <v>390</v>
      </c>
      <c r="CW420" s="1295">
        <f t="shared" si="239"/>
        <v>390</v>
      </c>
      <c r="CX420" s="1295">
        <f t="shared" si="239"/>
        <v>390</v>
      </c>
      <c r="CY420" s="1295">
        <f t="shared" si="239"/>
        <v>390</v>
      </c>
      <c r="CZ420" s="1325">
        <f t="shared" si="239"/>
        <v>391</v>
      </c>
      <c r="DA420" s="1295">
        <f t="shared" ref="DA420:DJ420" si="240">DA418+DA419</f>
        <v>390</v>
      </c>
      <c r="DB420" s="1295">
        <f t="shared" si="240"/>
        <v>390</v>
      </c>
      <c r="DC420" s="1295">
        <f t="shared" si="240"/>
        <v>390</v>
      </c>
      <c r="DD420" s="1295">
        <f t="shared" si="240"/>
        <v>390</v>
      </c>
      <c r="DE420" s="1325">
        <f t="shared" si="240"/>
        <v>391</v>
      </c>
      <c r="DF420" s="1295">
        <f t="shared" si="240"/>
        <v>390</v>
      </c>
      <c r="DG420" s="1295">
        <f t="shared" si="240"/>
        <v>390</v>
      </c>
      <c r="DH420" s="1295">
        <f t="shared" si="240"/>
        <v>390</v>
      </c>
      <c r="DI420" s="1295">
        <f t="shared" si="240"/>
        <v>390</v>
      </c>
      <c r="DJ420" s="1325">
        <f t="shared" si="240"/>
        <v>391</v>
      </c>
      <c r="DK420" s="1295">
        <f t="shared" ref="DK420:DT420" si="241">DK418+DK419</f>
        <v>390</v>
      </c>
      <c r="DL420" s="1295">
        <f t="shared" si="241"/>
        <v>390</v>
      </c>
      <c r="DM420" s="1295">
        <f t="shared" si="241"/>
        <v>390</v>
      </c>
      <c r="DN420" s="1295">
        <f t="shared" si="241"/>
        <v>390</v>
      </c>
      <c r="DO420" s="1325">
        <f t="shared" si="241"/>
        <v>391</v>
      </c>
      <c r="DP420" s="1295">
        <f t="shared" si="241"/>
        <v>390</v>
      </c>
      <c r="DQ420" s="1295">
        <f t="shared" si="241"/>
        <v>390</v>
      </c>
      <c r="DR420" s="1295">
        <f t="shared" si="241"/>
        <v>390</v>
      </c>
      <c r="DS420" s="1295">
        <f t="shared" si="241"/>
        <v>390</v>
      </c>
      <c r="DT420" s="1325">
        <f t="shared" si="241"/>
        <v>391</v>
      </c>
      <c r="DU420" s="1295">
        <f t="shared" ref="DU420:DY420" si="242">DU418+DU419</f>
        <v>390</v>
      </c>
      <c r="DV420" s="1295">
        <f t="shared" si="242"/>
        <v>390</v>
      </c>
      <c r="DW420" s="1295">
        <f t="shared" si="242"/>
        <v>390</v>
      </c>
      <c r="DX420" s="1295">
        <f t="shared" si="242"/>
        <v>390</v>
      </c>
      <c r="DY420" s="1325">
        <f t="shared" si="242"/>
        <v>391</v>
      </c>
    </row>
    <row r="421" spans="1:129" x14ac:dyDescent="0.2">
      <c r="A421" s="1223"/>
      <c r="B421" s="1190" t="s">
        <v>1155</v>
      </c>
      <c r="C421" s="1182"/>
      <c r="D421" s="1182"/>
      <c r="E421" s="1182"/>
      <c r="F421" s="1182"/>
      <c r="G421" s="1182"/>
      <c r="H421" s="1182"/>
      <c r="I421" s="1182"/>
      <c r="J421" s="1182"/>
      <c r="K421" s="1182"/>
      <c r="L421" s="1182"/>
      <c r="M421" s="1182"/>
      <c r="N421" s="1182"/>
      <c r="O421" s="1182"/>
      <c r="P421" s="1182"/>
      <c r="Q421" s="1182"/>
      <c r="R421" s="1182"/>
      <c r="S421" s="1182"/>
      <c r="T421" s="1182"/>
      <c r="U421" s="1182"/>
      <c r="V421" s="1182"/>
      <c r="W421" s="1182"/>
      <c r="X421" s="1227"/>
      <c r="Y421" s="1231"/>
      <c r="Z421" s="1231"/>
      <c r="AA421" s="1231"/>
      <c r="AB421" s="1231"/>
      <c r="AC421" s="1227"/>
      <c r="AD421" s="1231"/>
      <c r="AE421" s="1231"/>
      <c r="AF421" s="1231"/>
      <c r="AG421" s="1231"/>
      <c r="AH421" s="1227"/>
      <c r="AI421" s="1231"/>
      <c r="AJ421" s="1231"/>
      <c r="AK421" s="1231"/>
      <c r="AL421" s="1231"/>
      <c r="AM421" s="1227"/>
      <c r="AN421" s="1231"/>
      <c r="AO421" s="1231"/>
      <c r="AP421" s="1231"/>
      <c r="AQ421" s="1231"/>
      <c r="AR421" s="1227"/>
      <c r="AS421" s="1231"/>
      <c r="AT421" s="1231"/>
      <c r="AU421" s="1231"/>
      <c r="AV421" s="1231"/>
      <c r="AW421" s="1227"/>
      <c r="AX421" s="1231"/>
      <c r="AY421" s="1231"/>
      <c r="AZ421" s="1231"/>
      <c r="BA421" s="1231"/>
      <c r="BB421" s="1227"/>
      <c r="BC421" s="1231"/>
      <c r="BD421" s="1231"/>
      <c r="BE421" s="1231"/>
      <c r="BF421" s="1231"/>
      <c r="BG421" s="1227"/>
      <c r="BH421" s="1231"/>
      <c r="BI421" s="1231"/>
      <c r="BJ421" s="1231"/>
      <c r="BK421" s="1231"/>
      <c r="BL421" s="1326"/>
      <c r="BM421" s="1231"/>
      <c r="BN421" s="1231"/>
      <c r="BO421" s="1231"/>
      <c r="BP421" s="1231"/>
      <c r="BQ421" s="1326"/>
      <c r="BR421" s="1231"/>
      <c r="BS421" s="1231"/>
      <c r="BT421" s="1231"/>
      <c r="BU421" s="1231"/>
      <c r="BV421" s="1326"/>
      <c r="BW421" s="1231"/>
      <c r="BX421" s="1231"/>
      <c r="BY421" s="1231"/>
      <c r="BZ421" s="1231"/>
      <c r="CA421" s="1326"/>
      <c r="CB421" s="1231"/>
      <c r="CC421" s="1231"/>
      <c r="CD421" s="1231"/>
      <c r="CE421" s="1231"/>
      <c r="CF421" s="1326"/>
      <c r="CG421" s="1231"/>
      <c r="CH421" s="1231"/>
      <c r="CI421" s="1231"/>
      <c r="CJ421" s="1231"/>
      <c r="CK421" s="1326"/>
      <c r="CL421" s="1231"/>
      <c r="CM421" s="1231"/>
      <c r="CN421" s="1231"/>
      <c r="CO421" s="1231"/>
      <c r="CP421" s="1326"/>
      <c r="CQ421" s="1231"/>
      <c r="CR421" s="1231"/>
      <c r="CS421" s="1231"/>
      <c r="CT421" s="1231"/>
      <c r="CU421" s="1326"/>
      <c r="CV421" s="1231"/>
      <c r="CW421" s="1231"/>
      <c r="CX421" s="1231"/>
      <c r="CY421" s="1231"/>
      <c r="CZ421" s="1326"/>
      <c r="DA421" s="1231"/>
      <c r="DB421" s="1231"/>
      <c r="DC421" s="1231"/>
      <c r="DD421" s="1231"/>
      <c r="DE421" s="1326"/>
      <c r="DF421" s="1231"/>
      <c r="DG421" s="1231"/>
      <c r="DH421" s="1231"/>
      <c r="DI421" s="1231"/>
      <c r="DJ421" s="1326"/>
      <c r="DK421" s="1231"/>
      <c r="DL421" s="1231"/>
      <c r="DM421" s="1231"/>
      <c r="DN421" s="1231"/>
      <c r="DO421" s="1326"/>
      <c r="DP421" s="1231"/>
      <c r="DQ421" s="1231"/>
      <c r="DR421" s="1231"/>
      <c r="DS421" s="1231"/>
      <c r="DT421" s="1326"/>
      <c r="DU421" s="1231"/>
      <c r="DV421" s="1231"/>
      <c r="DW421" s="1231"/>
      <c r="DX421" s="1231"/>
      <c r="DY421" s="1326"/>
    </row>
    <row r="422" spans="1:129" x14ac:dyDescent="0.2">
      <c r="A422" s="1223"/>
      <c r="B422" s="1190" t="s">
        <v>1156</v>
      </c>
      <c r="C422" s="1182"/>
      <c r="D422" s="1182"/>
      <c r="E422" s="1182"/>
      <c r="F422" s="1182"/>
      <c r="G422" s="1182"/>
      <c r="H422" s="1182"/>
      <c r="I422" s="1182"/>
      <c r="J422" s="1182"/>
      <c r="K422" s="1182"/>
      <c r="L422" s="1182"/>
      <c r="M422" s="1182"/>
      <c r="N422" s="1182"/>
      <c r="O422" s="1182"/>
      <c r="P422" s="1182"/>
      <c r="Q422" s="1182"/>
      <c r="R422" s="1182"/>
      <c r="S422" s="1182"/>
      <c r="T422" s="1182"/>
      <c r="U422" s="1182"/>
      <c r="V422" s="1182"/>
      <c r="W422" s="1182"/>
      <c r="X422" s="1227"/>
      <c r="Y422" s="1231"/>
      <c r="Z422" s="1231"/>
      <c r="AA422" s="1231"/>
      <c r="AB422" s="1231"/>
      <c r="AC422" s="1227"/>
      <c r="AD422" s="1231"/>
      <c r="AE422" s="1231"/>
      <c r="AF422" s="1231"/>
      <c r="AG422" s="1231"/>
      <c r="AH422" s="1227"/>
      <c r="AI422" s="1231"/>
      <c r="AJ422" s="1231"/>
      <c r="AK422" s="1231"/>
      <c r="AL422" s="1231"/>
      <c r="AM422" s="1227"/>
      <c r="AN422" s="1231"/>
      <c r="AO422" s="1231"/>
      <c r="AP422" s="1231"/>
      <c r="AQ422" s="1231"/>
      <c r="AR422" s="1227"/>
      <c r="AS422" s="1231"/>
      <c r="AT422" s="1231"/>
      <c r="AU422" s="1231"/>
      <c r="AV422" s="1231"/>
      <c r="AW422" s="1227"/>
      <c r="AX422" s="1231"/>
      <c r="AY422" s="1231"/>
      <c r="AZ422" s="1231"/>
      <c r="BA422" s="1231"/>
      <c r="BB422" s="1227"/>
      <c r="BC422" s="1231"/>
      <c r="BD422" s="1231"/>
      <c r="BE422" s="1231"/>
      <c r="BF422" s="1231"/>
      <c r="BG422" s="1227"/>
      <c r="BH422" s="1231"/>
      <c r="BI422" s="1231"/>
      <c r="BJ422" s="1231"/>
      <c r="BK422" s="1231"/>
      <c r="BL422" s="1326">
        <f>-(AVERAGE(BL418,BL420))*(BL416)</f>
        <v>-7.2549999999999999</v>
      </c>
      <c r="BM422" s="1231"/>
      <c r="BN422" s="1231"/>
      <c r="BO422" s="1231"/>
      <c r="BP422" s="1231"/>
      <c r="BQ422" s="1326">
        <f>-(AVERAGE(BQ418,BQ420))*(BQ416)</f>
        <v>-7.4625000000000004</v>
      </c>
      <c r="BR422" s="1231"/>
      <c r="BS422" s="1231"/>
      <c r="BT422" s="1231"/>
      <c r="BU422" s="1231"/>
      <c r="BV422" s="1326">
        <f>-(AVERAGE(BV418,BV420))*(BV416)</f>
        <v>-7.6849999999999996</v>
      </c>
      <c r="BW422" s="1231"/>
      <c r="BX422" s="1231"/>
      <c r="BY422" s="1231"/>
      <c r="BZ422" s="1231"/>
      <c r="CA422" s="1326">
        <f>-(AVERAGE(CA418,CA420))*(CA416)</f>
        <v>-7.625</v>
      </c>
      <c r="CB422" s="1223">
        <f>-(AVERAGE(CB420,CB418))*(CB416/4)</f>
        <v>-1.8875000000000002</v>
      </c>
      <c r="CC422" s="1223">
        <f>-(AVERAGE(CC420,CC418))*(CC416/4)</f>
        <v>-1.8875000000000002</v>
      </c>
      <c r="CD422" s="1223">
        <f>-(AVERAGE(CD420,CD418))*(CD416/4)</f>
        <v>-1.8875000000000002</v>
      </c>
      <c r="CE422" s="1223">
        <f>-(AVERAGE(CE420,CE418))*(CE416/4)</f>
        <v>-1.9937500000000001</v>
      </c>
      <c r="CF422" s="1326">
        <f>SUM(CB422:CE422)</f>
        <v>-7.6562500000000009</v>
      </c>
      <c r="CG422" s="1223">
        <f>-(AVERAGE(CG420,CG418))*(CG416/4)</f>
        <v>-2.1</v>
      </c>
      <c r="CH422" s="1223">
        <f>-(AVERAGE(CH420,CH418))*(CH416/4)</f>
        <v>-2.09375</v>
      </c>
      <c r="CI422" s="1223">
        <f>-(AVERAGE(CI420,CI418))*(CI416/4)</f>
        <v>-2.0874999999999999</v>
      </c>
      <c r="CJ422" s="1223">
        <f>-(AVERAGE(CJ420,CJ418))*(CJ416/4)</f>
        <v>-2.0874999999999999</v>
      </c>
      <c r="CK422" s="1326">
        <f>SUM(CG422:CJ422)</f>
        <v>-8.3687500000000004</v>
      </c>
      <c r="CL422" s="1223">
        <f>-(AVERAGE(CL420,CL418))*(CL416/4)</f>
        <v>-2.0874999999999999</v>
      </c>
      <c r="CM422" s="1223">
        <f>-(AVERAGE(CM420,CM418))*(CM416/4)</f>
        <v>-6.2625000000000002</v>
      </c>
      <c r="CN422" s="1223">
        <f>-(AVERAGE(CN420,CN418))*(CN416/4)</f>
        <v>-6.2625000000000002</v>
      </c>
      <c r="CO422" s="1223">
        <f>-(AVERAGE(CO420,CO418))*(CO416/4)</f>
        <v>-10.44375</v>
      </c>
      <c r="CP422" s="1326">
        <f>SUM(CL422:CO422)</f>
        <v>-25.056249999999999</v>
      </c>
      <c r="CQ422" s="1223">
        <f>-(AVERAGE(CQ420,CQ418))*(CQ416/4)</f>
        <v>-4.875</v>
      </c>
      <c r="CR422" s="1223">
        <f>-(AVERAGE(CR420,CR418))*(CR416/4)</f>
        <v>-4.875</v>
      </c>
      <c r="CS422" s="1223">
        <f>-(AVERAGE(CS420,CS418))*(CS416/4)</f>
        <v>-4.875</v>
      </c>
      <c r="CT422" s="1223">
        <f>-(AVERAGE(CT420,CT418))*(CT416/4)</f>
        <v>-4.8812500000000005</v>
      </c>
      <c r="CU422" s="1326">
        <f>SUM(CQ422:CT422)</f>
        <v>-19.506250000000001</v>
      </c>
      <c r="CV422" s="1223">
        <f>-(AVERAGE(CV420,CV418))*(CV416/4)</f>
        <v>-4.875</v>
      </c>
      <c r="CW422" s="1223">
        <f>-(AVERAGE(CW420,CW418))*(CW416/4)</f>
        <v>-4.875</v>
      </c>
      <c r="CX422" s="1223">
        <f>-(AVERAGE(CX420,CX418))*(CX416/4)</f>
        <v>-4.875</v>
      </c>
      <c r="CY422" s="1223">
        <f>-(AVERAGE(CY420,CY418))*(CY416/4)</f>
        <v>-4.875</v>
      </c>
      <c r="CZ422" s="1326">
        <f>SUM(CV422:CY422)</f>
        <v>-19.5</v>
      </c>
      <c r="DA422" s="1223">
        <f>-(AVERAGE(DA420,DA418))*(DA416/4)</f>
        <v>-4.875</v>
      </c>
      <c r="DB422" s="1223">
        <f>-(AVERAGE(DB420,DB418))*(DB416/4)</f>
        <v>-4.875</v>
      </c>
      <c r="DC422" s="1223">
        <f>-(AVERAGE(DC420,DC418))*(DC416/4)</f>
        <v>-4.875</v>
      </c>
      <c r="DD422" s="1223">
        <f>-(AVERAGE(DD420,DD418))*(DD416/4)</f>
        <v>-4.875</v>
      </c>
      <c r="DE422" s="1326">
        <f>SUM(DA422:DD422)</f>
        <v>-19.5</v>
      </c>
      <c r="DF422" s="1223">
        <f>-(AVERAGE(DF420,DF418))*(DF416/4)</f>
        <v>-4.875</v>
      </c>
      <c r="DG422" s="1223">
        <f>-(AVERAGE(DG420,DG418))*(DG416/4)</f>
        <v>-4.875</v>
      </c>
      <c r="DH422" s="1223">
        <f>-(AVERAGE(DH420,DH418))*(DH416/4)</f>
        <v>-4.875</v>
      </c>
      <c r="DI422" s="1223">
        <f>-(AVERAGE(DI420,DI418))*(DI416/4)</f>
        <v>-4.875</v>
      </c>
      <c r="DJ422" s="1326">
        <f>SUM(DF422:DI422)</f>
        <v>-19.5</v>
      </c>
      <c r="DK422" s="1223">
        <f>-(AVERAGE(DK420,DK418))*(DK416/4)</f>
        <v>-4.875</v>
      </c>
      <c r="DL422" s="1223">
        <f>-(AVERAGE(DL420,DL418))*(DL416/4)</f>
        <v>-4.875</v>
      </c>
      <c r="DM422" s="1223">
        <f>-(AVERAGE(DM420,DM418))*(DM416/4)</f>
        <v>-4.875</v>
      </c>
      <c r="DN422" s="1223">
        <f>-(AVERAGE(DN420,DN418))*(DN416/4)</f>
        <v>-4.875</v>
      </c>
      <c r="DO422" s="1326">
        <f>SUM(DK422:DN422)</f>
        <v>-19.5</v>
      </c>
      <c r="DP422" s="1223">
        <f>-(AVERAGE(DP420,DP418))*(DP416/4)</f>
        <v>-4.875</v>
      </c>
      <c r="DQ422" s="1223">
        <f>-(AVERAGE(DQ420,DQ418))*(DQ416/4)</f>
        <v>-4.875</v>
      </c>
      <c r="DR422" s="1223">
        <f>-(AVERAGE(DR420,DR418))*(DR416/4)</f>
        <v>-4.875</v>
      </c>
      <c r="DS422" s="1223">
        <f>-(AVERAGE(DS420,DS418))*(DS416/4)</f>
        <v>-4.875</v>
      </c>
      <c r="DT422" s="1326">
        <f>SUM(DP422:DS422)</f>
        <v>-19.5</v>
      </c>
      <c r="DU422" s="1223">
        <f>-(AVERAGE(DU420,DU418))*(DU416/4)</f>
        <v>-4.875</v>
      </c>
      <c r="DV422" s="1223">
        <f>-(AVERAGE(DV420,DV418))*(DV416/4)</f>
        <v>-4.875</v>
      </c>
      <c r="DW422" s="1223">
        <f>-(AVERAGE(DW420,DW418))*(DW416/4)</f>
        <v>-4.875</v>
      </c>
      <c r="DX422" s="1223">
        <f>-(AVERAGE(DX420,DX418))*(DX416/4)</f>
        <v>-4.875</v>
      </c>
      <c r="DY422" s="1326">
        <f>SUM(DU422:DX422)</f>
        <v>-19.5</v>
      </c>
    </row>
    <row r="423" spans="1:129" ht="12" thickBot="1" x14ac:dyDescent="0.25">
      <c r="A423" s="1223"/>
      <c r="B423" s="1250" t="s">
        <v>1157</v>
      </c>
      <c r="C423" s="1251"/>
      <c r="D423" s="1251"/>
      <c r="E423" s="1251"/>
      <c r="F423" s="1251"/>
      <c r="G423" s="1251"/>
      <c r="H423" s="1251"/>
      <c r="I423" s="1251"/>
      <c r="J423" s="1251"/>
      <c r="K423" s="1251"/>
      <c r="L423" s="1251"/>
      <c r="M423" s="1251"/>
      <c r="N423" s="1251"/>
      <c r="O423" s="1251"/>
      <c r="P423" s="1251"/>
      <c r="Q423" s="1251"/>
      <c r="R423" s="1251"/>
      <c r="S423" s="1251"/>
      <c r="T423" s="1251"/>
      <c r="U423" s="1251"/>
      <c r="V423" s="1251"/>
      <c r="W423" s="1251"/>
      <c r="X423" s="1252"/>
      <c r="Y423" s="1251"/>
      <c r="Z423" s="1251"/>
      <c r="AA423" s="1251"/>
      <c r="AB423" s="1251"/>
      <c r="AC423" s="1252"/>
      <c r="AD423" s="1251"/>
      <c r="AE423" s="1251"/>
      <c r="AF423" s="1251"/>
      <c r="AG423" s="1251"/>
      <c r="AH423" s="1252"/>
      <c r="AI423" s="1251"/>
      <c r="AJ423" s="1251"/>
      <c r="AK423" s="1251"/>
      <c r="AL423" s="1251"/>
      <c r="AM423" s="1252"/>
      <c r="AN423" s="1251"/>
      <c r="AO423" s="1251"/>
      <c r="AP423" s="1251"/>
      <c r="AQ423" s="1253"/>
      <c r="AR423" s="1252"/>
      <c r="AS423" s="1253"/>
      <c r="AT423" s="1253"/>
      <c r="AU423" s="1253"/>
      <c r="AV423" s="1253"/>
      <c r="AW423" s="1252"/>
      <c r="AX423" s="1253"/>
      <c r="AY423" s="1253"/>
      <c r="AZ423" s="1253"/>
      <c r="BA423" s="1253"/>
      <c r="BB423" s="1252"/>
      <c r="BC423" s="1253"/>
      <c r="BD423" s="1253"/>
      <c r="BE423" s="1253"/>
      <c r="BF423" s="1253"/>
      <c r="BG423" s="1252"/>
      <c r="BH423" s="1253"/>
      <c r="BI423" s="1253"/>
      <c r="BJ423" s="1253"/>
      <c r="BK423" s="1253"/>
      <c r="BL423" s="1327"/>
      <c r="BM423" s="1253"/>
      <c r="BN423" s="1253"/>
      <c r="BO423" s="1253"/>
      <c r="BP423" s="1253"/>
      <c r="BQ423" s="1327"/>
      <c r="BR423" s="1253"/>
      <c r="BS423" s="1253"/>
      <c r="BT423" s="1253"/>
      <c r="BU423" s="1253"/>
      <c r="BV423" s="1327"/>
      <c r="BW423" s="1253"/>
      <c r="BX423" s="1253"/>
      <c r="BY423" s="1253"/>
      <c r="BZ423" s="1253"/>
      <c r="CA423" s="1327"/>
      <c r="CB423" s="1253">
        <f>-CB415*CB421/4</f>
        <v>0</v>
      </c>
      <c r="CC423" s="1253">
        <f>-CC415*CC421/4</f>
        <v>0</v>
      </c>
      <c r="CD423" s="1253">
        <f>-CD415*CD421/4</f>
        <v>0</v>
      </c>
      <c r="CE423" s="1253">
        <f>-CE415*CE421/4</f>
        <v>0</v>
      </c>
      <c r="CF423" s="1327"/>
      <c r="CG423" s="1253">
        <f>-CG415*CG421/4</f>
        <v>0</v>
      </c>
      <c r="CH423" s="1253">
        <f>-CH415*CH421/4</f>
        <v>0</v>
      </c>
      <c r="CI423" s="1253">
        <f>-CI415*CI421/4</f>
        <v>0</v>
      </c>
      <c r="CJ423" s="1253">
        <f>-CJ415*CJ421/4</f>
        <v>0</v>
      </c>
      <c r="CK423" s="1327"/>
      <c r="CL423" s="1253">
        <f>-CL415*CL421/4</f>
        <v>0</v>
      </c>
      <c r="CM423" s="1253">
        <f>-CM415*CM421/4</f>
        <v>0</v>
      </c>
      <c r="CN423" s="1253">
        <f>-CN415*CN421/4</f>
        <v>0</v>
      </c>
      <c r="CO423" s="1253">
        <f>-CO415*CO421/4</f>
        <v>0</v>
      </c>
      <c r="CP423" s="1327"/>
      <c r="CQ423" s="1253">
        <f>-CQ415*CQ421/4</f>
        <v>0</v>
      </c>
      <c r="CR423" s="1253">
        <f>-CR415*CR421/4</f>
        <v>0</v>
      </c>
      <c r="CS423" s="1253">
        <f>-CS415*CS421/4</f>
        <v>0</v>
      </c>
      <c r="CT423" s="1253">
        <f>-CT415*CT421/4</f>
        <v>0</v>
      </c>
      <c r="CU423" s="1327"/>
      <c r="CV423" s="1253">
        <f>-CV415*CV421/4</f>
        <v>0</v>
      </c>
      <c r="CW423" s="1253">
        <f>-CW415*CW421/4</f>
        <v>0</v>
      </c>
      <c r="CX423" s="1253">
        <f>-CX415*CX421/4</f>
        <v>0</v>
      </c>
      <c r="CY423" s="1253">
        <f>-CY415*CY421/4</f>
        <v>0</v>
      </c>
      <c r="CZ423" s="1327"/>
      <c r="DA423" s="1253">
        <f>-DA415*DA421/4</f>
        <v>0</v>
      </c>
      <c r="DB423" s="1253">
        <f>-DB415*DB421/4</f>
        <v>0</v>
      </c>
      <c r="DC423" s="1253">
        <f>-DC415*DC421/4</f>
        <v>0</v>
      </c>
      <c r="DD423" s="1253">
        <f>-DD415*DD421/4</f>
        <v>0</v>
      </c>
      <c r="DE423" s="1327"/>
      <c r="DF423" s="1253">
        <f>-DF415*DF421/4</f>
        <v>0</v>
      </c>
      <c r="DG423" s="1253">
        <f>-DG415*DG421/4</f>
        <v>0</v>
      </c>
      <c r="DH423" s="1253">
        <f>-DH415*DH421/4</f>
        <v>0</v>
      </c>
      <c r="DI423" s="1253">
        <f>-DI415*DI421/4</f>
        <v>0</v>
      </c>
      <c r="DJ423" s="1327"/>
      <c r="DK423" s="1253">
        <f>-DK415*DK421/4</f>
        <v>0</v>
      </c>
      <c r="DL423" s="1253">
        <f>-DL415*DL421/4</f>
        <v>0</v>
      </c>
      <c r="DM423" s="1253">
        <f>-DM415*DM421/4</f>
        <v>0</v>
      </c>
      <c r="DN423" s="1253">
        <f>-DN415*DN421/4</f>
        <v>0</v>
      </c>
      <c r="DO423" s="1327"/>
      <c r="DP423" s="1253">
        <f>-DP415*DP421/4</f>
        <v>0</v>
      </c>
      <c r="DQ423" s="1253">
        <f>-DQ415*DQ421/4</f>
        <v>0</v>
      </c>
      <c r="DR423" s="1253">
        <f>-DR415*DR421/4</f>
        <v>0</v>
      </c>
      <c r="DS423" s="1253">
        <f>-DS415*DS421/4</f>
        <v>0</v>
      </c>
      <c r="DT423" s="1327"/>
      <c r="DU423" s="1253">
        <f>-DU415*DU421/4</f>
        <v>0</v>
      </c>
      <c r="DV423" s="1253">
        <f>-DV415*DV421/4</f>
        <v>0</v>
      </c>
      <c r="DW423" s="1253">
        <f>-DW415*DW421/4</f>
        <v>0</v>
      </c>
      <c r="DX423" s="1253">
        <f>-DX415*DX421/4</f>
        <v>0</v>
      </c>
      <c r="DY423" s="1327"/>
    </row>
    <row r="424" spans="1:129" ht="12" thickBot="1" x14ac:dyDescent="0.25">
      <c r="A424" s="1240"/>
      <c r="B424" s="1240"/>
      <c r="C424" s="1214"/>
      <c r="D424" s="1214"/>
      <c r="E424" s="1214"/>
      <c r="F424" s="1214"/>
      <c r="G424" s="1214"/>
      <c r="H424" s="1214"/>
      <c r="I424" s="1214"/>
      <c r="J424" s="1214"/>
      <c r="K424" s="1214"/>
      <c r="L424" s="1214"/>
      <c r="M424" s="1214"/>
      <c r="N424" s="1214"/>
      <c r="O424" s="1214"/>
      <c r="P424" s="1214"/>
      <c r="Q424" s="1214"/>
      <c r="R424" s="1214"/>
      <c r="S424" s="1214"/>
      <c r="T424" s="1214"/>
      <c r="U424" s="1214"/>
      <c r="V424" s="1214"/>
      <c r="W424" s="1214"/>
      <c r="X424" s="1214"/>
      <c r="Y424" s="1214"/>
      <c r="Z424" s="1214"/>
      <c r="AA424" s="1214"/>
      <c r="AB424" s="1214"/>
      <c r="AC424" s="1214"/>
      <c r="AD424" s="1214"/>
      <c r="AE424" s="1214"/>
      <c r="AF424" s="1214"/>
      <c r="AG424" s="1214"/>
      <c r="AH424" s="1214"/>
      <c r="AI424" s="1214"/>
      <c r="AJ424" s="1214"/>
      <c r="AK424" s="1214"/>
      <c r="AL424" s="1214"/>
      <c r="AM424" s="1214"/>
      <c r="AN424" s="1214"/>
      <c r="AO424" s="1214"/>
      <c r="AP424" s="1214"/>
      <c r="AQ424" s="1215"/>
      <c r="AR424" s="1215"/>
      <c r="AS424" s="1215"/>
      <c r="AT424" s="1215"/>
      <c r="AU424" s="1215"/>
      <c r="AV424" s="1215"/>
      <c r="AW424" s="1338"/>
      <c r="AX424" s="1215"/>
      <c r="AY424" s="1215"/>
      <c r="AZ424" s="1215"/>
      <c r="BA424" s="1215"/>
      <c r="BB424" s="1338"/>
      <c r="BC424" s="1215"/>
      <c r="BD424" s="1215"/>
      <c r="BE424" s="1215"/>
      <c r="BF424" s="1215"/>
      <c r="BG424" s="1338"/>
      <c r="BH424" s="1215"/>
      <c r="BI424" s="1215"/>
      <c r="BJ424" s="1215"/>
      <c r="BK424" s="1215"/>
      <c r="BL424" s="1338"/>
      <c r="BM424" s="1215"/>
      <c r="BN424" s="1215"/>
      <c r="BO424" s="1215"/>
      <c r="BP424" s="1215"/>
      <c r="BQ424" s="1338"/>
      <c r="BR424" s="1215"/>
      <c r="BS424" s="1215"/>
      <c r="BT424" s="1215"/>
      <c r="BU424" s="1215"/>
      <c r="BV424" s="1338"/>
      <c r="BW424" s="1215"/>
      <c r="BX424" s="1215"/>
      <c r="BY424" s="1215"/>
      <c r="BZ424" s="1215"/>
      <c r="CA424" s="1338"/>
      <c r="CB424" s="1215"/>
      <c r="CC424" s="1215"/>
      <c r="CD424" s="1215"/>
      <c r="CE424" s="1215"/>
      <c r="CF424" s="1338"/>
      <c r="CG424" s="1215"/>
      <c r="CH424" s="1215"/>
      <c r="CI424" s="1215"/>
      <c r="CJ424" s="1215"/>
      <c r="CK424" s="1338"/>
      <c r="CL424" s="1215"/>
      <c r="CM424" s="1215"/>
      <c r="CN424" s="1215"/>
      <c r="CO424" s="1215"/>
      <c r="CP424" s="1338"/>
      <c r="CQ424" s="1215"/>
      <c r="CR424" s="1215"/>
      <c r="CS424" s="1215"/>
      <c r="CT424" s="1215"/>
      <c r="CU424" s="1338"/>
      <c r="CV424" s="1215"/>
      <c r="CW424" s="1215"/>
      <c r="CX424" s="1215"/>
      <c r="CY424" s="1215"/>
      <c r="CZ424" s="1338"/>
      <c r="DA424" s="1215"/>
      <c r="DB424" s="1215"/>
      <c r="DC424" s="1215"/>
      <c r="DD424" s="1215"/>
      <c r="DE424" s="1338"/>
      <c r="DF424" s="1215"/>
      <c r="DG424" s="1215"/>
      <c r="DH424" s="1215"/>
      <c r="DI424" s="1215"/>
      <c r="DJ424" s="1338"/>
      <c r="DK424" s="1215"/>
      <c r="DL424" s="1215"/>
      <c r="DM424" s="1215"/>
      <c r="DN424" s="1215"/>
      <c r="DO424" s="1338"/>
      <c r="DP424" s="1215"/>
      <c r="DQ424" s="1215"/>
      <c r="DR424" s="1215"/>
      <c r="DS424" s="1215"/>
      <c r="DT424" s="1338"/>
      <c r="DU424" s="1215"/>
      <c r="DV424" s="1215"/>
      <c r="DW424" s="1215"/>
      <c r="DX424" s="1215"/>
      <c r="DY424" s="1338"/>
    </row>
    <row r="425" spans="1:129" ht="12" thickBot="1" x14ac:dyDescent="0.25">
      <c r="A425" s="1123"/>
      <c r="B425" s="1282" t="s">
        <v>1175</v>
      </c>
      <c r="C425" s="1328"/>
      <c r="D425" s="1329"/>
      <c r="E425" s="1329"/>
      <c r="F425" s="1329"/>
      <c r="G425" s="1329"/>
      <c r="H425" s="1329"/>
      <c r="I425" s="1329"/>
      <c r="J425" s="1329"/>
      <c r="K425" s="1329"/>
      <c r="L425" s="1329"/>
      <c r="M425" s="1329"/>
      <c r="N425" s="1329"/>
      <c r="O425" s="1329"/>
      <c r="P425" s="1329"/>
      <c r="Q425" s="1329"/>
      <c r="R425" s="1329"/>
      <c r="S425" s="1329"/>
      <c r="T425" s="1329"/>
      <c r="U425" s="1329"/>
      <c r="V425" s="1329"/>
      <c r="W425" s="1329"/>
      <c r="X425" s="1328"/>
      <c r="Y425" s="1328"/>
      <c r="Z425" s="1328"/>
      <c r="AA425" s="1328"/>
      <c r="AB425" s="1328"/>
      <c r="AC425" s="1328"/>
      <c r="AD425" s="1328"/>
      <c r="AE425" s="1328"/>
      <c r="AF425" s="1328"/>
      <c r="AG425" s="1328"/>
      <c r="AH425" s="1328"/>
      <c r="AI425" s="1328"/>
      <c r="AJ425" s="1328"/>
      <c r="AK425" s="1328"/>
      <c r="AL425" s="1328"/>
      <c r="AM425" s="1328"/>
      <c r="AN425" s="1328"/>
      <c r="AO425" s="1328"/>
      <c r="AP425" s="1328"/>
      <c r="AQ425" s="1330"/>
      <c r="AR425" s="1330"/>
      <c r="AS425" s="1330"/>
      <c r="AT425" s="1331"/>
      <c r="AU425" s="1331"/>
      <c r="AV425" s="1331"/>
      <c r="AW425" s="1330"/>
      <c r="AX425" s="1330"/>
      <c r="AY425" s="1330"/>
      <c r="AZ425" s="1330"/>
      <c r="BA425" s="1330"/>
      <c r="BB425" s="1330"/>
      <c r="BC425" s="1330"/>
      <c r="BD425" s="1330"/>
      <c r="BE425" s="1330"/>
      <c r="BF425" s="1330"/>
      <c r="BG425" s="1330"/>
      <c r="BH425" s="1330"/>
      <c r="BI425" s="1330"/>
      <c r="BJ425" s="1330"/>
      <c r="BK425" s="1330"/>
      <c r="BL425" s="1332"/>
      <c r="BM425" s="1330"/>
      <c r="BN425" s="1330"/>
      <c r="BO425" s="1330"/>
      <c r="BP425" s="1330"/>
      <c r="BQ425" s="1332"/>
      <c r="BR425" s="1330"/>
      <c r="BS425" s="1330"/>
      <c r="BT425" s="1330"/>
      <c r="BU425" s="1330"/>
      <c r="BV425" s="1332"/>
      <c r="BW425" s="1330"/>
      <c r="BX425" s="1330"/>
      <c r="BY425" s="1330"/>
      <c r="BZ425" s="1330"/>
      <c r="CA425" s="1332"/>
      <c r="CB425" s="1330"/>
      <c r="CC425" s="1330"/>
      <c r="CD425" s="1330"/>
      <c r="CE425" s="1330"/>
      <c r="CF425" s="1332"/>
      <c r="CG425" s="1330"/>
      <c r="CH425" s="1330"/>
      <c r="CI425" s="1330"/>
      <c r="CJ425" s="1330"/>
      <c r="CK425" s="1332"/>
      <c r="CL425" s="1330"/>
      <c r="CM425" s="1330"/>
      <c r="CN425" s="1330"/>
      <c r="CO425" s="1330"/>
      <c r="CP425" s="1332"/>
      <c r="CQ425" s="1330"/>
      <c r="CR425" s="1330"/>
      <c r="CS425" s="1330"/>
      <c r="CT425" s="1330"/>
      <c r="CU425" s="1332"/>
      <c r="CV425" s="1330"/>
      <c r="CW425" s="1330"/>
      <c r="CX425" s="1330"/>
      <c r="CY425" s="1330"/>
      <c r="CZ425" s="1332"/>
      <c r="DA425" s="1330"/>
      <c r="DB425" s="1330"/>
      <c r="DC425" s="1330"/>
      <c r="DD425" s="1330"/>
      <c r="DE425" s="1332"/>
      <c r="DF425" s="1330"/>
      <c r="DG425" s="1330"/>
      <c r="DH425" s="1330"/>
      <c r="DI425" s="1330"/>
      <c r="DJ425" s="1332"/>
      <c r="DK425" s="1330"/>
      <c r="DL425" s="1330"/>
      <c r="DM425" s="1330"/>
      <c r="DN425" s="1330"/>
      <c r="DO425" s="1332"/>
      <c r="DP425" s="1330"/>
      <c r="DQ425" s="1330"/>
      <c r="DR425" s="1330"/>
      <c r="DS425" s="1330"/>
      <c r="DT425" s="1332"/>
      <c r="DU425" s="1330"/>
      <c r="DV425" s="1330"/>
      <c r="DW425" s="1330"/>
      <c r="DX425" s="1330"/>
      <c r="DY425" s="1332"/>
    </row>
    <row r="426" spans="1:129" x14ac:dyDescent="0.2">
      <c r="A426" s="532"/>
      <c r="B426" s="1287" t="s">
        <v>1149</v>
      </c>
      <c r="C426" s="650"/>
      <c r="D426" s="650"/>
      <c r="E426" s="650"/>
      <c r="F426" s="650"/>
      <c r="G426" s="650"/>
      <c r="H426" s="650"/>
      <c r="I426" s="650"/>
      <c r="J426" s="650"/>
      <c r="K426" s="650"/>
      <c r="L426" s="650"/>
      <c r="M426" s="650"/>
      <c r="N426" s="650"/>
      <c r="O426" s="650"/>
      <c r="P426" s="650"/>
      <c r="Q426" s="650"/>
      <c r="R426" s="650"/>
      <c r="S426" s="650"/>
      <c r="T426" s="650"/>
      <c r="U426" s="650"/>
      <c r="V426" s="650"/>
      <c r="W426" s="650"/>
      <c r="X426" s="1288"/>
      <c r="Y426" s="650"/>
      <c r="Z426" s="650"/>
      <c r="AA426" s="650"/>
      <c r="AB426" s="650"/>
      <c r="AC426" s="1288"/>
      <c r="AD426" s="650"/>
      <c r="AE426" s="650"/>
      <c r="AF426" s="650"/>
      <c r="AG426" s="650"/>
      <c r="AH426" s="1288"/>
      <c r="AI426" s="650"/>
      <c r="AJ426" s="650"/>
      <c r="AK426" s="650"/>
      <c r="AL426" s="650"/>
      <c r="AM426" s="1288"/>
      <c r="AN426" s="650"/>
      <c r="AO426" s="650"/>
      <c r="AP426" s="650"/>
      <c r="AQ426" s="650"/>
      <c r="AR426" s="1288"/>
      <c r="AS426" s="650"/>
      <c r="AT426" s="650"/>
      <c r="AU426" s="650"/>
      <c r="AV426" s="650"/>
      <c r="AW426" s="1288"/>
      <c r="AX426" s="650"/>
      <c r="AY426" s="650"/>
      <c r="AZ426" s="650"/>
      <c r="BA426" s="650"/>
      <c r="BB426" s="1288"/>
      <c r="BC426" s="650"/>
      <c r="BD426" s="650"/>
      <c r="BE426" s="650"/>
      <c r="BF426" s="650"/>
      <c r="BG426" s="1288"/>
      <c r="BH426" s="650"/>
      <c r="BI426" s="650"/>
      <c r="BJ426" s="650"/>
      <c r="BK426" s="650"/>
      <c r="BL426" s="583"/>
      <c r="BM426" s="650"/>
      <c r="BN426" s="650"/>
      <c r="BO426" s="650"/>
      <c r="BP426" s="650"/>
      <c r="BQ426" s="583"/>
      <c r="BR426" s="650"/>
      <c r="BS426" s="650"/>
      <c r="BT426" s="650"/>
      <c r="BU426" s="650"/>
      <c r="BV426" s="583"/>
      <c r="BW426" s="650"/>
      <c r="BX426" s="650"/>
      <c r="BY426" s="650"/>
      <c r="BZ426" s="650"/>
      <c r="CA426" s="583"/>
      <c r="CB426" s="650"/>
      <c r="CC426" s="650"/>
      <c r="CD426" s="650"/>
      <c r="CE426" s="650"/>
      <c r="CF426" s="583"/>
      <c r="CG426" s="650"/>
      <c r="CH426" s="650"/>
      <c r="CI426" s="650"/>
      <c r="CJ426" s="650"/>
      <c r="CK426" s="583"/>
      <c r="CL426" s="650"/>
      <c r="CM426" s="650"/>
      <c r="CN426" s="650"/>
      <c r="CO426" s="650"/>
      <c r="CP426" s="583"/>
      <c r="CQ426" s="650"/>
      <c r="CR426" s="650"/>
      <c r="CS426" s="650"/>
      <c r="CT426" s="650"/>
      <c r="CU426" s="583"/>
      <c r="CV426" s="650"/>
      <c r="CW426" s="650"/>
      <c r="CX426" s="650"/>
      <c r="CY426" s="650"/>
      <c r="CZ426" s="583"/>
      <c r="DA426" s="650"/>
      <c r="DB426" s="650"/>
      <c r="DC426" s="650"/>
      <c r="DD426" s="650"/>
      <c r="DE426" s="583"/>
      <c r="DF426" s="650"/>
      <c r="DG426" s="650"/>
      <c r="DH426" s="650"/>
      <c r="DI426" s="650"/>
      <c r="DJ426" s="583"/>
      <c r="DK426" s="650"/>
      <c r="DL426" s="650"/>
      <c r="DM426" s="650"/>
      <c r="DN426" s="650"/>
      <c r="DO426" s="583"/>
      <c r="DP426" s="650"/>
      <c r="DQ426" s="650"/>
      <c r="DR426" s="650"/>
      <c r="DS426" s="650"/>
      <c r="DT426" s="583"/>
      <c r="DU426" s="650"/>
      <c r="DV426" s="650"/>
      <c r="DW426" s="650"/>
      <c r="DX426" s="650"/>
      <c r="DY426" s="583"/>
    </row>
    <row r="427" spans="1:129" x14ac:dyDescent="0.2">
      <c r="A427" s="532"/>
      <c r="B427" s="1287" t="s">
        <v>1150</v>
      </c>
      <c r="C427" s="650"/>
      <c r="D427" s="650"/>
      <c r="E427" s="650"/>
      <c r="F427" s="650"/>
      <c r="G427" s="650"/>
      <c r="H427" s="650"/>
      <c r="I427" s="650"/>
      <c r="J427" s="650"/>
      <c r="K427" s="650"/>
      <c r="L427" s="650"/>
      <c r="M427" s="650"/>
      <c r="N427" s="650"/>
      <c r="O427" s="650"/>
      <c r="P427" s="650"/>
      <c r="Q427" s="650"/>
      <c r="R427" s="650"/>
      <c r="S427" s="650"/>
      <c r="T427" s="650"/>
      <c r="U427" s="650"/>
      <c r="V427" s="650"/>
      <c r="W427" s="650"/>
      <c r="X427" s="1288"/>
      <c r="Y427" s="650"/>
      <c r="Z427" s="650"/>
      <c r="AA427" s="650"/>
      <c r="AB427" s="650"/>
      <c r="AC427" s="1288"/>
      <c r="AD427" s="650"/>
      <c r="AE427" s="650"/>
      <c r="AF427" s="650"/>
      <c r="AG427" s="650"/>
      <c r="AH427" s="1288"/>
      <c r="AI427" s="650"/>
      <c r="AJ427" s="650"/>
      <c r="AK427" s="650"/>
      <c r="AL427" s="650"/>
      <c r="AM427" s="1288"/>
      <c r="AN427" s="650"/>
      <c r="AO427" s="650"/>
      <c r="AP427" s="650"/>
      <c r="AQ427" s="650"/>
      <c r="AR427" s="1288"/>
      <c r="AS427" s="650"/>
      <c r="AT427" s="650"/>
      <c r="AU427" s="650"/>
      <c r="AV427" s="650"/>
      <c r="AW427" s="1288"/>
      <c r="AX427" s="650"/>
      <c r="AY427" s="650"/>
      <c r="AZ427" s="650"/>
      <c r="BA427" s="650"/>
      <c r="BB427" s="1288"/>
      <c r="BC427" s="650"/>
      <c r="BD427" s="650"/>
      <c r="BE427" s="650"/>
      <c r="BF427" s="650"/>
      <c r="BG427" s="1289"/>
      <c r="BH427" s="650"/>
      <c r="BI427" s="650"/>
      <c r="BJ427" s="650"/>
      <c r="BK427" s="650"/>
      <c r="BL427" s="1333">
        <v>0.05</v>
      </c>
      <c r="BM427" s="650"/>
      <c r="BN427" s="650"/>
      <c r="BO427" s="650"/>
      <c r="BP427" s="650"/>
      <c r="BQ427" s="1333">
        <v>0.05</v>
      </c>
      <c r="BR427" s="650"/>
      <c r="BS427" s="650"/>
      <c r="BT427" s="650"/>
      <c r="BU427" s="650"/>
      <c r="BV427" s="1333">
        <v>0.05</v>
      </c>
      <c r="BW427" s="650"/>
      <c r="BX427" s="650"/>
      <c r="BY427" s="650"/>
      <c r="BZ427" s="650"/>
      <c r="CA427" s="1333">
        <v>0.05</v>
      </c>
      <c r="CB427" s="1334">
        <v>0.05</v>
      </c>
      <c r="CC427" s="1334">
        <v>0.05</v>
      </c>
      <c r="CD427" s="1334">
        <v>0.05</v>
      </c>
      <c r="CE427" s="1334">
        <v>0.05</v>
      </c>
      <c r="CF427" s="1333"/>
      <c r="CG427" s="1334">
        <v>0.03</v>
      </c>
      <c r="CH427" s="1334">
        <f>CG427</f>
        <v>0.03</v>
      </c>
      <c r="CI427" s="1334">
        <v>3.5000000000000003E-2</v>
      </c>
      <c r="CJ427" s="1334">
        <v>3.5000000000000003E-2</v>
      </c>
      <c r="CK427" s="1333"/>
      <c r="CL427" s="1334">
        <f>CJ427</f>
        <v>3.5000000000000003E-2</v>
      </c>
      <c r="CM427" s="1334">
        <f>CL427</f>
        <v>3.5000000000000003E-2</v>
      </c>
      <c r="CN427" s="1334">
        <f>CM427</f>
        <v>3.5000000000000003E-2</v>
      </c>
      <c r="CO427" s="1334">
        <f>CN427</f>
        <v>3.5000000000000003E-2</v>
      </c>
      <c r="CP427" s="1333"/>
      <c r="CQ427" s="1334">
        <f>CO427</f>
        <v>3.5000000000000003E-2</v>
      </c>
      <c r="CR427" s="1334">
        <f>CQ427</f>
        <v>3.5000000000000003E-2</v>
      </c>
      <c r="CS427" s="1334">
        <f>CR427</f>
        <v>3.5000000000000003E-2</v>
      </c>
      <c r="CT427" s="1334">
        <f>CS427</f>
        <v>3.5000000000000003E-2</v>
      </c>
      <c r="CU427" s="1333"/>
      <c r="CV427" s="1334">
        <f>CT427</f>
        <v>3.5000000000000003E-2</v>
      </c>
      <c r="CW427" s="1334">
        <f>CV427</f>
        <v>3.5000000000000003E-2</v>
      </c>
      <c r="CX427" s="1334">
        <f>CW427</f>
        <v>3.5000000000000003E-2</v>
      </c>
      <c r="CY427" s="1334">
        <f>CX427</f>
        <v>3.5000000000000003E-2</v>
      </c>
      <c r="CZ427" s="1333"/>
      <c r="DA427" s="1334">
        <f>CY427</f>
        <v>3.5000000000000003E-2</v>
      </c>
      <c r="DB427" s="1334">
        <f>DA427</f>
        <v>3.5000000000000003E-2</v>
      </c>
      <c r="DC427" s="1334">
        <f>DB427</f>
        <v>3.5000000000000003E-2</v>
      </c>
      <c r="DD427" s="1334">
        <f>DC427</f>
        <v>3.5000000000000003E-2</v>
      </c>
      <c r="DE427" s="1333"/>
      <c r="DF427" s="1334">
        <f>DD427</f>
        <v>3.5000000000000003E-2</v>
      </c>
      <c r="DG427" s="1334">
        <f>DF427</f>
        <v>3.5000000000000003E-2</v>
      </c>
      <c r="DH427" s="1334">
        <f>DG427</f>
        <v>3.5000000000000003E-2</v>
      </c>
      <c r="DI427" s="1334">
        <f>DH427</f>
        <v>3.5000000000000003E-2</v>
      </c>
      <c r="DJ427" s="1333"/>
      <c r="DK427" s="1334">
        <v>0.04</v>
      </c>
      <c r="DL427" s="1334">
        <v>4.2000000000000003E-2</v>
      </c>
      <c r="DM427" s="1334">
        <f>DL427</f>
        <v>4.2000000000000003E-2</v>
      </c>
      <c r="DN427" s="1334">
        <f>DM427</f>
        <v>4.2000000000000003E-2</v>
      </c>
      <c r="DO427" s="1333"/>
      <c r="DP427" s="1334">
        <f>DN427</f>
        <v>4.2000000000000003E-2</v>
      </c>
      <c r="DQ427" s="1334">
        <f>DP427</f>
        <v>4.2000000000000003E-2</v>
      </c>
      <c r="DR427" s="1334">
        <f>DQ427</f>
        <v>4.2000000000000003E-2</v>
      </c>
      <c r="DS427" s="1334">
        <f>DR427</f>
        <v>4.2000000000000003E-2</v>
      </c>
      <c r="DT427" s="1333"/>
      <c r="DU427" s="1334">
        <f>DS427</f>
        <v>4.2000000000000003E-2</v>
      </c>
      <c r="DV427" s="1334">
        <f>DU427</f>
        <v>4.2000000000000003E-2</v>
      </c>
      <c r="DW427" s="1334">
        <f>DV427</f>
        <v>4.2000000000000003E-2</v>
      </c>
      <c r="DX427" s="1334">
        <f>DW427</f>
        <v>4.2000000000000003E-2</v>
      </c>
      <c r="DY427" s="1333"/>
    </row>
    <row r="428" spans="1:129" x14ac:dyDescent="0.2">
      <c r="A428" s="1223"/>
      <c r="B428" s="1190" t="s">
        <v>1151</v>
      </c>
      <c r="C428" s="1293"/>
      <c r="D428" s="1293"/>
      <c r="E428" s="1293"/>
      <c r="F428" s="1293"/>
      <c r="G428" s="1293"/>
      <c r="H428" s="1293"/>
      <c r="I428" s="1293"/>
      <c r="J428" s="1293"/>
      <c r="K428" s="1293"/>
      <c r="L428" s="1293"/>
      <c r="M428" s="1293"/>
      <c r="N428" s="1293"/>
      <c r="O428" s="1293"/>
      <c r="P428" s="1293"/>
      <c r="Q428" s="1293"/>
      <c r="R428" s="1293"/>
      <c r="S428" s="1293"/>
      <c r="T428" s="1293"/>
      <c r="U428" s="1293"/>
      <c r="V428" s="1293"/>
      <c r="W428" s="1293"/>
      <c r="X428" s="1227"/>
      <c r="Y428" s="1231"/>
      <c r="Z428" s="1231"/>
      <c r="AA428" s="1231"/>
      <c r="AB428" s="1294"/>
      <c r="AC428" s="1227"/>
      <c r="AD428" s="1231"/>
      <c r="AE428" s="1231"/>
      <c r="AF428" s="1231"/>
      <c r="AG428" s="1294"/>
      <c r="AH428" s="1227"/>
      <c r="AI428" s="1231"/>
      <c r="AJ428" s="1231"/>
      <c r="AK428" s="1231"/>
      <c r="AL428" s="1294"/>
      <c r="AM428" s="1227"/>
      <c r="AN428" s="1231"/>
      <c r="AO428" s="1231"/>
      <c r="AP428" s="1231"/>
      <c r="AQ428" s="1294"/>
      <c r="AR428" s="1227"/>
      <c r="AS428" s="1231"/>
      <c r="AT428" s="1231"/>
      <c r="AU428" s="1231"/>
      <c r="AV428" s="1294"/>
      <c r="AW428" s="1227"/>
      <c r="AX428" s="1231"/>
      <c r="AY428" s="1231"/>
      <c r="AZ428" s="1231"/>
      <c r="BA428" s="1231"/>
      <c r="BB428" s="1227"/>
      <c r="BC428" s="1231"/>
      <c r="BD428" s="1231"/>
      <c r="BE428" s="1231"/>
      <c r="BF428" s="1231"/>
      <c r="BG428" s="1227"/>
      <c r="BH428" s="1231"/>
      <c r="BI428" s="1231"/>
      <c r="BJ428" s="1231"/>
      <c r="BK428" s="1231"/>
      <c r="BL428" s="1326"/>
      <c r="BM428" s="1231"/>
      <c r="BN428" s="1231"/>
      <c r="BO428" s="1231"/>
      <c r="BP428" s="1231"/>
      <c r="BQ428" s="1326"/>
      <c r="BR428" s="1231"/>
      <c r="BS428" s="1231"/>
      <c r="BT428" s="1231"/>
      <c r="BU428" s="1231"/>
      <c r="BV428" s="1326"/>
      <c r="BW428" s="1231"/>
      <c r="BX428" s="1231"/>
      <c r="BY428" s="1231"/>
      <c r="BZ428" s="1231"/>
      <c r="CA428" s="1326"/>
      <c r="CB428" s="1231"/>
      <c r="CC428" s="1231"/>
      <c r="CD428" s="1231"/>
      <c r="CE428" s="1231"/>
      <c r="CF428" s="1326"/>
      <c r="CG428" s="1231"/>
      <c r="CH428" s="1231"/>
      <c r="CI428" s="1231"/>
      <c r="CJ428" s="1231"/>
      <c r="CK428" s="1326"/>
      <c r="CL428" s="1231"/>
      <c r="CM428" s="1231"/>
      <c r="CN428" s="1231"/>
      <c r="CO428" s="1231"/>
      <c r="CP428" s="1326"/>
      <c r="CQ428" s="1231"/>
      <c r="CR428" s="1231"/>
      <c r="CS428" s="1231"/>
      <c r="CT428" s="1231"/>
      <c r="CU428" s="1326"/>
      <c r="CV428" s="1231"/>
      <c r="CW428" s="1231"/>
      <c r="CX428" s="1231"/>
      <c r="CY428" s="1231"/>
      <c r="CZ428" s="1326"/>
      <c r="DA428" s="1231"/>
      <c r="DB428" s="1231"/>
      <c r="DC428" s="1231"/>
      <c r="DD428" s="1231"/>
      <c r="DE428" s="1326"/>
      <c r="DF428" s="1231"/>
      <c r="DG428" s="1231"/>
      <c r="DH428" s="1231"/>
      <c r="DI428" s="1231"/>
      <c r="DJ428" s="1326"/>
      <c r="DK428" s="1231"/>
      <c r="DL428" s="1231"/>
      <c r="DM428" s="1231"/>
      <c r="DN428" s="1231"/>
      <c r="DO428" s="1326"/>
      <c r="DP428" s="1231"/>
      <c r="DQ428" s="1231"/>
      <c r="DR428" s="1231"/>
      <c r="DS428" s="1231"/>
      <c r="DT428" s="1326"/>
      <c r="DU428" s="1231"/>
      <c r="DV428" s="1231"/>
      <c r="DW428" s="1231"/>
      <c r="DX428" s="1231"/>
      <c r="DY428" s="1326"/>
    </row>
    <row r="429" spans="1:129" x14ac:dyDescent="0.2">
      <c r="A429" s="1223"/>
      <c r="B429" s="1190" t="s">
        <v>1152</v>
      </c>
      <c r="C429" s="1231"/>
      <c r="D429" s="1231"/>
      <c r="E429" s="1231"/>
      <c r="F429" s="1231"/>
      <c r="G429" s="1231"/>
      <c r="H429" s="1231"/>
      <c r="I429" s="1231"/>
      <c r="J429" s="1231"/>
      <c r="K429" s="1231"/>
      <c r="L429" s="1231"/>
      <c r="M429" s="1231"/>
      <c r="N429" s="1231"/>
      <c r="O429" s="1231"/>
      <c r="P429" s="1231"/>
      <c r="Q429" s="1231"/>
      <c r="R429" s="1231"/>
      <c r="S429" s="1231"/>
      <c r="T429" s="1231"/>
      <c r="U429" s="1231"/>
      <c r="V429" s="1231"/>
      <c r="W429" s="1231"/>
      <c r="X429" s="1227"/>
      <c r="Y429" s="1231"/>
      <c r="Z429" s="1231"/>
      <c r="AA429" s="1231"/>
      <c r="AB429" s="1231"/>
      <c r="AC429" s="1227"/>
      <c r="AD429" s="1231"/>
      <c r="AE429" s="1231"/>
      <c r="AF429" s="1231"/>
      <c r="AG429" s="1231"/>
      <c r="AH429" s="1227"/>
      <c r="AI429" s="1231"/>
      <c r="AJ429" s="1231"/>
      <c r="AK429" s="1231"/>
      <c r="AL429" s="1231"/>
      <c r="AM429" s="1227"/>
      <c r="AN429" s="1231"/>
      <c r="AO429" s="1231"/>
      <c r="AP429" s="1231"/>
      <c r="AQ429" s="1231"/>
      <c r="AR429" s="1227"/>
      <c r="AS429" s="1231"/>
      <c r="AT429" s="1231"/>
      <c r="AU429" s="1231"/>
      <c r="AV429" s="1231"/>
      <c r="AW429" s="1227"/>
      <c r="AX429" s="1231"/>
      <c r="AY429" s="1231"/>
      <c r="AZ429" s="1231"/>
      <c r="BA429" s="1231"/>
      <c r="BB429" s="1227"/>
      <c r="BC429" s="1231"/>
      <c r="BD429" s="1231"/>
      <c r="BE429" s="1231"/>
      <c r="BF429" s="1231"/>
      <c r="BG429" s="1227"/>
      <c r="BH429" s="1231"/>
      <c r="BI429" s="1231"/>
      <c r="BJ429" s="1231"/>
      <c r="BK429" s="1231"/>
      <c r="BL429" s="1326">
        <v>0</v>
      </c>
      <c r="BM429" s="1231"/>
      <c r="BN429" s="1231"/>
      <c r="BO429" s="1231"/>
      <c r="BP429" s="1231"/>
      <c r="BQ429" s="1326">
        <f>BL431</f>
        <v>0</v>
      </c>
      <c r="BR429" s="1231"/>
      <c r="BS429" s="1231"/>
      <c r="BT429" s="1231"/>
      <c r="BU429" s="1231"/>
      <c r="BV429" s="1326">
        <f>BQ431</f>
        <v>0</v>
      </c>
      <c r="BW429" s="1231"/>
      <c r="BX429" s="1231"/>
      <c r="BY429" s="1231"/>
      <c r="BZ429" s="1231"/>
      <c r="CA429" s="1326">
        <f>BV431</f>
        <v>0</v>
      </c>
      <c r="CB429" s="1223">
        <f>CA431</f>
        <v>0</v>
      </c>
      <c r="CC429" s="1223">
        <f>+CB431</f>
        <v>-282</v>
      </c>
      <c r="CD429" s="1223">
        <f>+CC431</f>
        <v>-473</v>
      </c>
      <c r="CE429" s="1223">
        <f>+CD431</f>
        <v>-489</v>
      </c>
      <c r="CF429" s="1326">
        <f>CA431</f>
        <v>0</v>
      </c>
      <c r="CG429" s="1223">
        <f>+CE431</f>
        <v>50</v>
      </c>
      <c r="CH429" s="1223">
        <f>+CG431</f>
        <v>-753</v>
      </c>
      <c r="CI429" s="1223">
        <f>+CH431</f>
        <v>0</v>
      </c>
      <c r="CJ429" s="1223">
        <f>+CI431</f>
        <v>627</v>
      </c>
      <c r="CK429" s="1326">
        <f>CF431</f>
        <v>50</v>
      </c>
      <c r="CL429" s="1223">
        <f>+CJ431</f>
        <v>627</v>
      </c>
      <c r="CM429" s="1223">
        <f>+CL431</f>
        <v>627</v>
      </c>
      <c r="CN429" s="1223">
        <f>+CM431</f>
        <v>627</v>
      </c>
      <c r="CO429" s="1223">
        <f>+CN431</f>
        <v>627</v>
      </c>
      <c r="CP429" s="1326">
        <f>CK431</f>
        <v>627</v>
      </c>
      <c r="CQ429" s="1223">
        <f>+CO431</f>
        <v>87</v>
      </c>
      <c r="CR429" s="1223">
        <f>+CQ431</f>
        <v>87</v>
      </c>
      <c r="CS429" s="1223">
        <f>+CR431</f>
        <v>87</v>
      </c>
      <c r="CT429" s="1223">
        <f>+CS431</f>
        <v>87</v>
      </c>
      <c r="CU429" s="1326">
        <f>CP431</f>
        <v>87</v>
      </c>
      <c r="CV429" s="1223">
        <f>+CT431</f>
        <v>4</v>
      </c>
      <c r="CW429" s="1223">
        <f>+CV431</f>
        <v>4</v>
      </c>
      <c r="CX429" s="1223">
        <f>+CW431</f>
        <v>4</v>
      </c>
      <c r="CY429" s="1223">
        <f>+CX431</f>
        <v>4</v>
      </c>
      <c r="CZ429" s="1326">
        <f>CU431</f>
        <v>4</v>
      </c>
      <c r="DA429" s="1223">
        <f>+CY431</f>
        <v>4</v>
      </c>
      <c r="DB429" s="1223">
        <f>+DA431</f>
        <v>4</v>
      </c>
      <c r="DC429" s="1223">
        <f>+DB431</f>
        <v>4</v>
      </c>
      <c r="DD429" s="1223">
        <f>+DC431</f>
        <v>4</v>
      </c>
      <c r="DE429" s="1326">
        <f>CZ431</f>
        <v>4</v>
      </c>
      <c r="DF429" s="1223">
        <f>+DD431</f>
        <v>4</v>
      </c>
      <c r="DG429" s="1223">
        <f>+DF431</f>
        <v>4</v>
      </c>
      <c r="DH429" s="1223">
        <f>+DG431</f>
        <v>4</v>
      </c>
      <c r="DI429" s="1223">
        <f>+DH431</f>
        <v>4</v>
      </c>
      <c r="DJ429" s="1326">
        <f>DE431</f>
        <v>4</v>
      </c>
      <c r="DK429" s="1223">
        <f>+DI431</f>
        <v>4</v>
      </c>
      <c r="DL429" s="1223">
        <f>+DK431</f>
        <v>4</v>
      </c>
      <c r="DM429" s="1223">
        <f>+DL431</f>
        <v>39404</v>
      </c>
      <c r="DN429" s="1223">
        <f>+DM431</f>
        <v>39404</v>
      </c>
      <c r="DO429" s="1326">
        <f>DJ431</f>
        <v>4</v>
      </c>
      <c r="DP429" s="1223">
        <f>+DN431</f>
        <v>39404</v>
      </c>
      <c r="DQ429" s="1223">
        <f>+DP431</f>
        <v>39404</v>
      </c>
      <c r="DR429" s="1223">
        <f>+DQ431</f>
        <v>39404</v>
      </c>
      <c r="DS429" s="1223">
        <f>+DR431</f>
        <v>39404</v>
      </c>
      <c r="DT429" s="1326">
        <f>DO431</f>
        <v>39404</v>
      </c>
      <c r="DU429" s="1223">
        <f>+DS431</f>
        <v>39404</v>
      </c>
      <c r="DV429" s="1223">
        <f>+DU431</f>
        <v>39404</v>
      </c>
      <c r="DW429" s="1223">
        <f>+DV431</f>
        <v>39404</v>
      </c>
      <c r="DX429" s="1223">
        <f>+DW431</f>
        <v>39404</v>
      </c>
      <c r="DY429" s="1326">
        <f>DT431</f>
        <v>39404</v>
      </c>
    </row>
    <row r="430" spans="1:129" x14ac:dyDescent="0.2">
      <c r="A430" s="1295"/>
      <c r="B430" s="1190" t="s">
        <v>1153</v>
      </c>
      <c r="C430" s="1182"/>
      <c r="D430" s="1182"/>
      <c r="E430" s="1182"/>
      <c r="F430" s="1182"/>
      <c r="G430" s="1182"/>
      <c r="H430" s="1182"/>
      <c r="I430" s="1182"/>
      <c r="J430" s="1182"/>
      <c r="K430" s="1182"/>
      <c r="L430" s="1182"/>
      <c r="M430" s="1182"/>
      <c r="N430" s="1182"/>
      <c r="O430" s="1182"/>
      <c r="P430" s="1182"/>
      <c r="Q430" s="1182"/>
      <c r="R430" s="1182"/>
      <c r="S430" s="1182"/>
      <c r="T430" s="1182"/>
      <c r="U430" s="1182"/>
      <c r="V430" s="1182"/>
      <c r="W430" s="1182"/>
      <c r="X430" s="1296"/>
      <c r="Y430" s="1297"/>
      <c r="Z430" s="1297"/>
      <c r="AA430" s="1297"/>
      <c r="AB430" s="1297"/>
      <c r="AC430" s="1296"/>
      <c r="AD430" s="1297"/>
      <c r="AE430" s="1297"/>
      <c r="AF430" s="1297"/>
      <c r="AG430" s="1297"/>
      <c r="AH430" s="1296"/>
      <c r="AI430" s="1297"/>
      <c r="AJ430" s="1297"/>
      <c r="AK430" s="1297"/>
      <c r="AL430" s="1297"/>
      <c r="AM430" s="1296"/>
      <c r="AN430" s="1297"/>
      <c r="AO430" s="1297"/>
      <c r="AP430" s="1297"/>
      <c r="AQ430" s="1297"/>
      <c r="AR430" s="1296"/>
      <c r="AS430" s="1297"/>
      <c r="AT430" s="1297"/>
      <c r="AU430" s="1297"/>
      <c r="AV430" s="1297"/>
      <c r="AW430" s="1296"/>
      <c r="AX430" s="1298"/>
      <c r="AY430" s="1299"/>
      <c r="AZ430" s="1299"/>
      <c r="BA430" s="1298"/>
      <c r="BB430" s="1300"/>
      <c r="BC430" s="1298"/>
      <c r="BD430" s="1298"/>
      <c r="BE430" s="1298"/>
      <c r="BF430" s="1298"/>
      <c r="BG430" s="1296"/>
      <c r="BH430" s="1298"/>
      <c r="BI430" s="1298"/>
      <c r="BJ430" s="1298"/>
      <c r="BK430" s="1298"/>
      <c r="BL430" s="1335"/>
      <c r="BM430" s="1298"/>
      <c r="BN430" s="1298"/>
      <c r="BO430" s="1298"/>
      <c r="BP430" s="1298"/>
      <c r="BQ430" s="1335">
        <f>BQ431-BQ429</f>
        <v>0</v>
      </c>
      <c r="BR430" s="1298"/>
      <c r="BS430" s="1298"/>
      <c r="BT430" s="1298"/>
      <c r="BU430" s="1298"/>
      <c r="BV430" s="1335">
        <f>BV431-BV429</f>
        <v>0</v>
      </c>
      <c r="BW430" s="1298"/>
      <c r="BX430" s="1298"/>
      <c r="BY430" s="1298"/>
      <c r="BZ430" s="1298"/>
      <c r="CA430" s="1335">
        <f>CA431-CA429</f>
        <v>0</v>
      </c>
      <c r="CB430" s="1336">
        <f>CB431-CB429</f>
        <v>-282</v>
      </c>
      <c r="CC430" s="1336">
        <f>CC431-CC429</f>
        <v>-191</v>
      </c>
      <c r="CD430" s="1298">
        <v>-16</v>
      </c>
      <c r="CE430" s="1298">
        <f>489+50</f>
        <v>539</v>
      </c>
      <c r="CF430" s="1335">
        <f>+SUM(CB430:CE430)</f>
        <v>50</v>
      </c>
      <c r="CG430" s="1298">
        <v>-803</v>
      </c>
      <c r="CH430" s="1298">
        <f>-CH429</f>
        <v>753</v>
      </c>
      <c r="CI430" s="1298">
        <v>627</v>
      </c>
      <c r="CJ430" s="1298">
        <v>0</v>
      </c>
      <c r="CK430" s="1335">
        <f>+SUM(CG430:CJ430)</f>
        <v>577</v>
      </c>
      <c r="CL430" s="1298">
        <v>0</v>
      </c>
      <c r="CM430" s="1298">
        <v>0</v>
      </c>
      <c r="CN430" s="1298">
        <v>0</v>
      </c>
      <c r="CO430" s="1298">
        <v>-540</v>
      </c>
      <c r="CP430" s="1335">
        <f>+SUM(CL430:CO430)</f>
        <v>-540</v>
      </c>
      <c r="CQ430" s="1298">
        <v>0</v>
      </c>
      <c r="CR430" s="1298">
        <v>0</v>
      </c>
      <c r="CS430" s="1298">
        <v>0</v>
      </c>
      <c r="CT430" s="1298">
        <v>-83</v>
      </c>
      <c r="CU430" s="1335">
        <f>+SUM(CQ430:CT430)</f>
        <v>-83</v>
      </c>
      <c r="CV430" s="1298">
        <v>0</v>
      </c>
      <c r="CW430" s="1298">
        <v>0</v>
      </c>
      <c r="CX430" s="1298">
        <v>0</v>
      </c>
      <c r="CY430" s="1298">
        <v>0</v>
      </c>
      <c r="CZ430" s="1335">
        <f>+SUM(CV430:CY430)</f>
        <v>0</v>
      </c>
      <c r="DA430" s="1298">
        <v>0</v>
      </c>
      <c r="DB430" s="1298">
        <v>0</v>
      </c>
      <c r="DC430" s="1298">
        <v>0</v>
      </c>
      <c r="DD430" s="1298">
        <v>0</v>
      </c>
      <c r="DE430" s="1335">
        <f>+SUM(DA430:DD430)</f>
        <v>0</v>
      </c>
      <c r="DF430" s="1298">
        <v>0</v>
      </c>
      <c r="DG430" s="1298">
        <v>0</v>
      </c>
      <c r="DH430" s="1298">
        <v>0</v>
      </c>
      <c r="DI430" s="1298">
        <v>0</v>
      </c>
      <c r="DJ430" s="1335">
        <f>+SUM(DF430:DI430)</f>
        <v>0</v>
      </c>
      <c r="DK430" s="1298">
        <v>0</v>
      </c>
      <c r="DL430" s="1298">
        <v>39400</v>
      </c>
      <c r="DM430" s="1298">
        <v>0</v>
      </c>
      <c r="DN430" s="1298">
        <v>0</v>
      </c>
      <c r="DO430" s="1335">
        <f>+SUM(DK430:DN430)</f>
        <v>39400</v>
      </c>
      <c r="DP430" s="1298">
        <v>0</v>
      </c>
      <c r="DQ430" s="1298">
        <v>0</v>
      </c>
      <c r="DR430" s="1298">
        <v>0</v>
      </c>
      <c r="DS430" s="1298">
        <v>0</v>
      </c>
      <c r="DT430" s="1335">
        <f>+SUM(DP430:DS430)</f>
        <v>0</v>
      </c>
      <c r="DU430" s="1298">
        <v>0</v>
      </c>
      <c r="DV430" s="1298">
        <v>0</v>
      </c>
      <c r="DW430" s="1298">
        <v>0</v>
      </c>
      <c r="DX430" s="1298">
        <v>0</v>
      </c>
      <c r="DY430" s="1335">
        <f>+SUM(DU430:DX430)</f>
        <v>0</v>
      </c>
    </row>
    <row r="431" spans="1:129" x14ac:dyDescent="0.2">
      <c r="A431" s="1295"/>
      <c r="B431" s="1190" t="s">
        <v>1154</v>
      </c>
      <c r="C431" s="1182"/>
      <c r="D431" s="1182"/>
      <c r="E431" s="1182"/>
      <c r="F431" s="1182"/>
      <c r="G431" s="1182"/>
      <c r="H431" s="1182"/>
      <c r="I431" s="1182"/>
      <c r="J431" s="1182"/>
      <c r="K431" s="1182"/>
      <c r="L431" s="1182"/>
      <c r="M431" s="1182"/>
      <c r="N431" s="1182"/>
      <c r="O431" s="1182"/>
      <c r="P431" s="1182"/>
      <c r="Q431" s="1182"/>
      <c r="R431" s="1182"/>
      <c r="S431" s="1182"/>
      <c r="T431" s="1182"/>
      <c r="U431" s="1182"/>
      <c r="V431" s="1182"/>
      <c r="W431" s="1182"/>
      <c r="X431" s="1304"/>
      <c r="Y431" s="1305"/>
      <c r="Z431" s="1305"/>
      <c r="AA431" s="1305"/>
      <c r="AB431" s="1305"/>
      <c r="AC431" s="1304"/>
      <c r="AD431" s="1305"/>
      <c r="AE431" s="1305"/>
      <c r="AF431" s="1305"/>
      <c r="AG431" s="1305"/>
      <c r="AH431" s="1304"/>
      <c r="AI431" s="1305"/>
      <c r="AJ431" s="1305"/>
      <c r="AK431" s="1305"/>
      <c r="AL431" s="1305"/>
      <c r="AM431" s="1304"/>
      <c r="AN431" s="1305"/>
      <c r="AO431" s="1305"/>
      <c r="AP431" s="1305"/>
      <c r="AQ431" s="1305"/>
      <c r="AR431" s="1304"/>
      <c r="AS431" s="1305"/>
      <c r="AT431" s="1305"/>
      <c r="AU431" s="1305"/>
      <c r="AV431" s="1305"/>
      <c r="AW431" s="1304"/>
      <c r="AX431" s="1305"/>
      <c r="AY431" s="1305"/>
      <c r="AZ431" s="1305"/>
      <c r="BA431" s="1305"/>
      <c r="BB431" s="1304"/>
      <c r="BC431" s="1305"/>
      <c r="BD431" s="1305"/>
      <c r="BE431" s="1305"/>
      <c r="BF431" s="1305"/>
      <c r="BG431" s="1306"/>
      <c r="BH431" s="1305"/>
      <c r="BI431" s="1305"/>
      <c r="BJ431" s="1305"/>
      <c r="BK431" s="1305"/>
      <c r="BL431" s="1337"/>
      <c r="BM431" s="1305"/>
      <c r="BN431" s="1305"/>
      <c r="BO431" s="1305"/>
      <c r="BP431" s="1305"/>
      <c r="BQ431" s="1337"/>
      <c r="BR431" s="1305"/>
      <c r="BS431" s="1305"/>
      <c r="BT431" s="1305"/>
      <c r="BU431" s="1305"/>
      <c r="BV431" s="1337"/>
      <c r="BW431" s="1305"/>
      <c r="BX431" s="1305"/>
      <c r="BY431" s="1305"/>
      <c r="BZ431" s="1305"/>
      <c r="CA431" s="1337"/>
      <c r="CB431" s="1295">
        <f>-(CB79+CB90+CB101+CB112+CB123+CB145+CB156+CB167+CB178+CB200+CB255+CB266+CB277+CB288+CB299+CB310+CB332+CB409+CB420-'BS and CFS'!CB192)</f>
        <v>-282</v>
      </c>
      <c r="CC431" s="1295">
        <f>-(CC79+CC90+CC101+CC112+CC123+CC145+CC156+CC167+CC178+CC200+CC255+CC266+CC277+CC288+CC299+CC310+CC332+CC409+CC420-'BS and CFS'!CC192)</f>
        <v>-473</v>
      </c>
      <c r="CD431" s="1295">
        <f t="shared" ref="CD431:CZ431" si="243">CD429+CD430</f>
        <v>-489</v>
      </c>
      <c r="CE431" s="1295">
        <f t="shared" si="243"/>
        <v>50</v>
      </c>
      <c r="CF431" s="1325">
        <f t="shared" si="243"/>
        <v>50</v>
      </c>
      <c r="CG431" s="1295">
        <f t="shared" si="243"/>
        <v>-753</v>
      </c>
      <c r="CH431" s="1295">
        <f t="shared" si="243"/>
        <v>0</v>
      </c>
      <c r="CI431" s="1295">
        <f t="shared" si="243"/>
        <v>627</v>
      </c>
      <c r="CJ431" s="1295">
        <f t="shared" si="243"/>
        <v>627</v>
      </c>
      <c r="CK431" s="1325">
        <f t="shared" si="243"/>
        <v>627</v>
      </c>
      <c r="CL431" s="1295">
        <f t="shared" si="243"/>
        <v>627</v>
      </c>
      <c r="CM431" s="1295">
        <f t="shared" si="243"/>
        <v>627</v>
      </c>
      <c r="CN431" s="1295">
        <f t="shared" si="243"/>
        <v>627</v>
      </c>
      <c r="CO431" s="1295">
        <f t="shared" si="243"/>
        <v>87</v>
      </c>
      <c r="CP431" s="1325">
        <f t="shared" si="243"/>
        <v>87</v>
      </c>
      <c r="CQ431" s="1295">
        <f t="shared" si="243"/>
        <v>87</v>
      </c>
      <c r="CR431" s="1295">
        <f t="shared" si="243"/>
        <v>87</v>
      </c>
      <c r="CS431" s="1295">
        <f t="shared" si="243"/>
        <v>87</v>
      </c>
      <c r="CT431" s="1295">
        <f t="shared" si="243"/>
        <v>4</v>
      </c>
      <c r="CU431" s="1325">
        <f t="shared" si="243"/>
        <v>4</v>
      </c>
      <c r="CV431" s="1295">
        <f t="shared" si="243"/>
        <v>4</v>
      </c>
      <c r="CW431" s="1295">
        <f t="shared" si="243"/>
        <v>4</v>
      </c>
      <c r="CX431" s="1295">
        <f t="shared" si="243"/>
        <v>4</v>
      </c>
      <c r="CY431" s="1295">
        <f t="shared" si="243"/>
        <v>4</v>
      </c>
      <c r="CZ431" s="1325">
        <f t="shared" si="243"/>
        <v>4</v>
      </c>
      <c r="DA431" s="1295">
        <f t="shared" ref="DA431:DJ431" si="244">DA429+DA430</f>
        <v>4</v>
      </c>
      <c r="DB431" s="1295">
        <f t="shared" si="244"/>
        <v>4</v>
      </c>
      <c r="DC431" s="1295">
        <f t="shared" si="244"/>
        <v>4</v>
      </c>
      <c r="DD431" s="1295">
        <f t="shared" si="244"/>
        <v>4</v>
      </c>
      <c r="DE431" s="1325">
        <f t="shared" si="244"/>
        <v>4</v>
      </c>
      <c r="DF431" s="1295">
        <f t="shared" si="244"/>
        <v>4</v>
      </c>
      <c r="DG431" s="1295">
        <f t="shared" si="244"/>
        <v>4</v>
      </c>
      <c r="DH431" s="1295">
        <f t="shared" si="244"/>
        <v>4</v>
      </c>
      <c r="DI431" s="1295">
        <f t="shared" si="244"/>
        <v>4</v>
      </c>
      <c r="DJ431" s="1325">
        <f t="shared" si="244"/>
        <v>4</v>
      </c>
      <c r="DK431" s="1295">
        <f t="shared" ref="DK431:DT431" si="245">DK429+DK430</f>
        <v>4</v>
      </c>
      <c r="DL431" s="1295">
        <f t="shared" si="245"/>
        <v>39404</v>
      </c>
      <c r="DM431" s="1295">
        <f t="shared" si="245"/>
        <v>39404</v>
      </c>
      <c r="DN431" s="1295">
        <f t="shared" si="245"/>
        <v>39404</v>
      </c>
      <c r="DO431" s="1325">
        <f t="shared" si="245"/>
        <v>39404</v>
      </c>
      <c r="DP431" s="1295">
        <f t="shared" si="245"/>
        <v>39404</v>
      </c>
      <c r="DQ431" s="1295">
        <f t="shared" si="245"/>
        <v>39404</v>
      </c>
      <c r="DR431" s="1295">
        <f t="shared" si="245"/>
        <v>39404</v>
      </c>
      <c r="DS431" s="1295">
        <f t="shared" si="245"/>
        <v>39404</v>
      </c>
      <c r="DT431" s="1325">
        <f t="shared" si="245"/>
        <v>39404</v>
      </c>
      <c r="DU431" s="1295">
        <f t="shared" ref="DU431:DY431" si="246">DU429+DU430</f>
        <v>39404</v>
      </c>
      <c r="DV431" s="1295">
        <f t="shared" si="246"/>
        <v>39404</v>
      </c>
      <c r="DW431" s="1295">
        <f t="shared" si="246"/>
        <v>39404</v>
      </c>
      <c r="DX431" s="1295">
        <f t="shared" si="246"/>
        <v>39404</v>
      </c>
      <c r="DY431" s="1325">
        <f t="shared" si="246"/>
        <v>39404</v>
      </c>
    </row>
    <row r="432" spans="1:129" x14ac:dyDescent="0.2">
      <c r="A432" s="1223"/>
      <c r="B432" s="1190" t="s">
        <v>1155</v>
      </c>
      <c r="C432" s="1182"/>
      <c r="D432" s="1182"/>
      <c r="E432" s="1182"/>
      <c r="F432" s="1182"/>
      <c r="G432" s="1182"/>
      <c r="H432" s="1182"/>
      <c r="I432" s="1182"/>
      <c r="J432" s="1182"/>
      <c r="K432" s="1182"/>
      <c r="L432" s="1182"/>
      <c r="M432" s="1182"/>
      <c r="N432" s="1182"/>
      <c r="O432" s="1182"/>
      <c r="P432" s="1182"/>
      <c r="Q432" s="1182"/>
      <c r="R432" s="1182"/>
      <c r="S432" s="1182"/>
      <c r="T432" s="1182"/>
      <c r="U432" s="1182"/>
      <c r="V432" s="1182"/>
      <c r="W432" s="1182"/>
      <c r="X432" s="1227"/>
      <c r="Y432" s="1231"/>
      <c r="Z432" s="1231"/>
      <c r="AA432" s="1231"/>
      <c r="AB432" s="1231"/>
      <c r="AC432" s="1227"/>
      <c r="AD432" s="1231"/>
      <c r="AE432" s="1231"/>
      <c r="AF432" s="1231"/>
      <c r="AG432" s="1231"/>
      <c r="AH432" s="1227"/>
      <c r="AI432" s="1231"/>
      <c r="AJ432" s="1231"/>
      <c r="AK432" s="1231"/>
      <c r="AL432" s="1231"/>
      <c r="AM432" s="1227"/>
      <c r="AN432" s="1231"/>
      <c r="AO432" s="1231"/>
      <c r="AP432" s="1231"/>
      <c r="AQ432" s="1231"/>
      <c r="AR432" s="1227"/>
      <c r="AS432" s="1231"/>
      <c r="AT432" s="1231"/>
      <c r="AU432" s="1231"/>
      <c r="AV432" s="1231"/>
      <c r="AW432" s="1227"/>
      <c r="AX432" s="1231"/>
      <c r="AY432" s="1231"/>
      <c r="AZ432" s="1231"/>
      <c r="BA432" s="1231"/>
      <c r="BB432" s="1227"/>
      <c r="BC432" s="1231"/>
      <c r="BD432" s="1231"/>
      <c r="BE432" s="1231"/>
      <c r="BF432" s="1231"/>
      <c r="BG432" s="1227"/>
      <c r="BH432" s="1231"/>
      <c r="BI432" s="1231"/>
      <c r="BJ432" s="1231"/>
      <c r="BK432" s="1231"/>
      <c r="BL432" s="1326"/>
      <c r="BM432" s="1231"/>
      <c r="BN432" s="1231"/>
      <c r="BO432" s="1231"/>
      <c r="BP432" s="1231"/>
      <c r="BQ432" s="1326"/>
      <c r="BR432" s="1231"/>
      <c r="BS432" s="1231"/>
      <c r="BT432" s="1231"/>
      <c r="BU432" s="1231"/>
      <c r="BV432" s="1326"/>
      <c r="BW432" s="1231"/>
      <c r="BX432" s="1231"/>
      <c r="BY432" s="1231"/>
      <c r="BZ432" s="1231"/>
      <c r="CA432" s="1326"/>
      <c r="CB432" s="1231"/>
      <c r="CC432" s="1231"/>
      <c r="CD432" s="1231"/>
      <c r="CE432" s="1231"/>
      <c r="CF432" s="1326"/>
      <c r="CG432" s="1231"/>
      <c r="CH432" s="1231"/>
      <c r="CI432" s="1231"/>
      <c r="CJ432" s="1231"/>
      <c r="CK432" s="1326"/>
      <c r="CL432" s="1231"/>
      <c r="CM432" s="1231"/>
      <c r="CN432" s="1231"/>
      <c r="CO432" s="1231"/>
      <c r="CP432" s="1326"/>
      <c r="CQ432" s="1231"/>
      <c r="CR432" s="1231"/>
      <c r="CS432" s="1231"/>
      <c r="CT432" s="1231"/>
      <c r="CU432" s="1326"/>
      <c r="CV432" s="1231"/>
      <c r="CW432" s="1231"/>
      <c r="CX432" s="1231"/>
      <c r="CY432" s="1231"/>
      <c r="CZ432" s="1326"/>
      <c r="DA432" s="1231"/>
      <c r="DB432" s="1231"/>
      <c r="DC432" s="1231"/>
      <c r="DD432" s="1231"/>
      <c r="DE432" s="1326"/>
      <c r="DF432" s="1231"/>
      <c r="DG432" s="1231"/>
      <c r="DH432" s="1231"/>
      <c r="DI432" s="1231"/>
      <c r="DJ432" s="1326"/>
      <c r="DK432" s="1231"/>
      <c r="DL432" s="1231"/>
      <c r="DM432" s="1231"/>
      <c r="DN432" s="1231"/>
      <c r="DO432" s="1326"/>
      <c r="DP432" s="1231"/>
      <c r="DQ432" s="1231"/>
      <c r="DR432" s="1231"/>
      <c r="DS432" s="1231"/>
      <c r="DT432" s="1326"/>
      <c r="DU432" s="1231"/>
      <c r="DV432" s="1231"/>
      <c r="DW432" s="1231"/>
      <c r="DX432" s="1231"/>
      <c r="DY432" s="1326"/>
    </row>
    <row r="433" spans="1:129" x14ac:dyDescent="0.2">
      <c r="A433" s="1223"/>
      <c r="B433" s="1190" t="s">
        <v>1156</v>
      </c>
      <c r="C433" s="1182"/>
      <c r="D433" s="1182"/>
      <c r="E433" s="1182"/>
      <c r="F433" s="1182"/>
      <c r="G433" s="1182"/>
      <c r="H433" s="1182"/>
      <c r="I433" s="1182"/>
      <c r="J433" s="1182"/>
      <c r="K433" s="1182"/>
      <c r="L433" s="1182"/>
      <c r="M433" s="1182"/>
      <c r="N433" s="1182"/>
      <c r="O433" s="1182"/>
      <c r="P433" s="1182"/>
      <c r="Q433" s="1182"/>
      <c r="R433" s="1182"/>
      <c r="S433" s="1182"/>
      <c r="T433" s="1182"/>
      <c r="U433" s="1182"/>
      <c r="V433" s="1182"/>
      <c r="W433" s="1182"/>
      <c r="X433" s="1227"/>
      <c r="Y433" s="1231"/>
      <c r="Z433" s="1231"/>
      <c r="AA433" s="1231"/>
      <c r="AB433" s="1231"/>
      <c r="AC433" s="1227"/>
      <c r="AD433" s="1231"/>
      <c r="AE433" s="1231"/>
      <c r="AF433" s="1231"/>
      <c r="AG433" s="1231"/>
      <c r="AH433" s="1227"/>
      <c r="AI433" s="1231"/>
      <c r="AJ433" s="1231"/>
      <c r="AK433" s="1231"/>
      <c r="AL433" s="1231"/>
      <c r="AM433" s="1227"/>
      <c r="AN433" s="1231"/>
      <c r="AO433" s="1231"/>
      <c r="AP433" s="1231"/>
      <c r="AQ433" s="1231"/>
      <c r="AR433" s="1227"/>
      <c r="AS433" s="1231"/>
      <c r="AT433" s="1231"/>
      <c r="AU433" s="1231"/>
      <c r="AV433" s="1231"/>
      <c r="AW433" s="1227"/>
      <c r="AX433" s="1231"/>
      <c r="AY433" s="1231"/>
      <c r="AZ433" s="1231"/>
      <c r="BA433" s="1231"/>
      <c r="BB433" s="1227"/>
      <c r="BC433" s="1231"/>
      <c r="BD433" s="1231"/>
      <c r="BE433" s="1231"/>
      <c r="BF433" s="1231"/>
      <c r="BG433" s="1227"/>
      <c r="BH433" s="1231"/>
      <c r="BI433" s="1231"/>
      <c r="BJ433" s="1231"/>
      <c r="BK433" s="1231"/>
      <c r="BL433" s="1326">
        <f>-(AVERAGE(BL429,BL431))*(BL427)</f>
        <v>0</v>
      </c>
      <c r="BM433" s="1231"/>
      <c r="BN433" s="1231"/>
      <c r="BO433" s="1231"/>
      <c r="BP433" s="1231"/>
      <c r="BQ433" s="1326">
        <f>-(AVERAGE(BQ429,BQ431))*(BQ427)</f>
        <v>0</v>
      </c>
      <c r="BR433" s="1231"/>
      <c r="BS433" s="1231"/>
      <c r="BT433" s="1231"/>
      <c r="BU433" s="1231"/>
      <c r="BV433" s="1326">
        <f>-(AVERAGE(BV429,BV431))*(BV427)</f>
        <v>0</v>
      </c>
      <c r="BW433" s="1231"/>
      <c r="BX433" s="1231"/>
      <c r="BY433" s="1231"/>
      <c r="BZ433" s="1231"/>
      <c r="CA433" s="1326">
        <f>-(AVERAGE(CA429,CA431))*(CA427)</f>
        <v>0</v>
      </c>
      <c r="CB433" s="1223">
        <f>-(AVERAGE(CB431,CB429))*(CB427/4)</f>
        <v>1.7625000000000002</v>
      </c>
      <c r="CC433" s="1223">
        <f>-(AVERAGE(CC431,CC429))*(CC427/4)</f>
        <v>4.71875</v>
      </c>
      <c r="CD433" s="1223">
        <f>-(AVERAGE(CD431,CD429))*(CD427/4)</f>
        <v>6.0125000000000002</v>
      </c>
      <c r="CE433" s="1223">
        <f>-(AVERAGE(CE431,CE429))*(CE427/4)</f>
        <v>2.7437500000000004</v>
      </c>
      <c r="CF433" s="1326">
        <f>SUM(CB433:CE433)</f>
        <v>15.237500000000001</v>
      </c>
      <c r="CG433" s="1223">
        <f>-(AVERAGE(CG431,CG429))*(CG427/4)</f>
        <v>2.63625</v>
      </c>
      <c r="CH433" s="1223"/>
      <c r="CI433" s="1223">
        <f>-(AVERAGE(CI431,CI429))*(CI427/4)</f>
        <v>-2.7431250000000005</v>
      </c>
      <c r="CJ433" s="1223">
        <f>-(AVERAGE(CJ431,CJ429))*(CJ427/4)</f>
        <v>-5.486250000000001</v>
      </c>
      <c r="CK433" s="1326">
        <f>SUM(CG433:CJ433)</f>
        <v>-5.5931250000000015</v>
      </c>
      <c r="CL433" s="1223">
        <f>-(AVERAGE(CL431,CL429))*(CL427/4)</f>
        <v>-5.486250000000001</v>
      </c>
      <c r="CM433" s="1223">
        <f>-(AVERAGE(CM431,CM429))*(CM427/4)</f>
        <v>-5.486250000000001</v>
      </c>
      <c r="CN433" s="1223">
        <f>-(AVERAGE(CN431,CN429))*(CN427/4)</f>
        <v>-5.486250000000001</v>
      </c>
      <c r="CO433" s="1223">
        <f>-(AVERAGE(CO431,CO429))*(CO427/4)</f>
        <v>-3.1237500000000002</v>
      </c>
      <c r="CP433" s="1326">
        <f>SUM(CL433:CO433)</f>
        <v>-19.582500000000003</v>
      </c>
      <c r="CQ433" s="1223">
        <f>-(AVERAGE(CQ431,CQ429))*(CQ427/4)</f>
        <v>-0.76125000000000009</v>
      </c>
      <c r="CR433" s="1223">
        <f>-(AVERAGE(CR431,CR429))*(CR427/4)</f>
        <v>-0.76125000000000009</v>
      </c>
      <c r="CS433" s="1223">
        <f>-(AVERAGE(CS431,CS429))*(CS427/4)</f>
        <v>-0.76125000000000009</v>
      </c>
      <c r="CT433" s="1223">
        <f>-(AVERAGE(CT431,CT429))*(CT427/4)</f>
        <v>-0.39812500000000006</v>
      </c>
      <c r="CU433" s="1326">
        <f>SUM(CQ433:CT433)</f>
        <v>-2.6818750000000007</v>
      </c>
      <c r="CV433" s="1223">
        <f>-(AVERAGE(CV431,CV429))*(CV427/4)</f>
        <v>-3.5000000000000003E-2</v>
      </c>
      <c r="CW433" s="1223">
        <f>-(AVERAGE(CW431,CW429))*(CW427/4)</f>
        <v>-3.5000000000000003E-2</v>
      </c>
      <c r="CX433" s="1223">
        <f>-(AVERAGE(CX431,CX429))*(CX427/4)</f>
        <v>-3.5000000000000003E-2</v>
      </c>
      <c r="CY433" s="1223">
        <f>-(AVERAGE(CY431,CY429))*(CY427/4)</f>
        <v>-3.5000000000000003E-2</v>
      </c>
      <c r="CZ433" s="1326">
        <f>SUM(CV433:CY433)</f>
        <v>-0.14000000000000001</v>
      </c>
      <c r="DA433" s="1223">
        <f>-(AVERAGE(DA431,DA429))*(DA427/4)</f>
        <v>-3.5000000000000003E-2</v>
      </c>
      <c r="DB433" s="1223">
        <f>-(AVERAGE(DB431,DB429))*(DB427/4)</f>
        <v>-3.5000000000000003E-2</v>
      </c>
      <c r="DC433" s="1223">
        <f>-(AVERAGE(DC431,DC429))*(DC427/4)</f>
        <v>-3.5000000000000003E-2</v>
      </c>
      <c r="DD433" s="1223">
        <f>-(AVERAGE(DD431,DD429))*(DD427/4)</f>
        <v>-3.5000000000000003E-2</v>
      </c>
      <c r="DE433" s="1326">
        <f>SUM(DA433:DD433)</f>
        <v>-0.14000000000000001</v>
      </c>
      <c r="DF433" s="1223">
        <v>-15</v>
      </c>
      <c r="DG433" s="1223">
        <v>-14</v>
      </c>
      <c r="DH433" s="1223">
        <v>-14</v>
      </c>
      <c r="DI433" s="1223">
        <v>-14</v>
      </c>
      <c r="DJ433" s="1326">
        <f>SUM(DF433:DI433)</f>
        <v>-57</v>
      </c>
      <c r="DK433" s="1223">
        <v>-101</v>
      </c>
      <c r="DL433" s="1223">
        <f>DM433</f>
        <v>-413.74200000000002</v>
      </c>
      <c r="DM433" s="1223">
        <f>-(AVERAGE(DM431,DM429))*(DM427/4)</f>
        <v>-413.74200000000002</v>
      </c>
      <c r="DN433" s="1223">
        <f>-(AVERAGE(DN431,DN429))*(DN427/4)</f>
        <v>-413.74200000000002</v>
      </c>
      <c r="DO433" s="1326">
        <f>SUM(DK433:DN433)</f>
        <v>-1342.2259999999999</v>
      </c>
      <c r="DP433" s="1223">
        <f>-(AVERAGE(DP431,DP429))*(DP427/4)</f>
        <v>-413.74200000000002</v>
      </c>
      <c r="DQ433" s="1223">
        <f>-(AVERAGE(DQ431,DQ429))*(DQ427/4)</f>
        <v>-413.74200000000002</v>
      </c>
      <c r="DR433" s="1223">
        <f>-(AVERAGE(DR431,DR429))*(DR427/4)</f>
        <v>-413.74200000000002</v>
      </c>
      <c r="DS433" s="1223">
        <f>-(AVERAGE(DS431,DS429))*(DS427/4)</f>
        <v>-413.74200000000002</v>
      </c>
      <c r="DT433" s="1326">
        <f>SUM(DP433:DS433)</f>
        <v>-1654.9680000000001</v>
      </c>
      <c r="DU433" s="1223">
        <f>-(AVERAGE(DU431,DU429))*(DU427/4)</f>
        <v>-413.74200000000002</v>
      </c>
      <c r="DV433" s="1223">
        <f>-(AVERAGE(DV431,DV429))*(DV427/4)</f>
        <v>-413.74200000000002</v>
      </c>
      <c r="DW433" s="1223">
        <f>-(AVERAGE(DW431,DW429))*(DW427/4)</f>
        <v>-413.74200000000002</v>
      </c>
      <c r="DX433" s="1223">
        <f>-(AVERAGE(DX431,DX429))*(DX427/4)</f>
        <v>-413.74200000000002</v>
      </c>
      <c r="DY433" s="1326">
        <f>SUM(DU433:DX433)</f>
        <v>-1654.9680000000001</v>
      </c>
    </row>
    <row r="434" spans="1:129" ht="12" thickBot="1" x14ac:dyDescent="0.25">
      <c r="A434" s="1223"/>
      <c r="B434" s="1250" t="s">
        <v>1157</v>
      </c>
      <c r="C434" s="1251"/>
      <c r="D434" s="1251"/>
      <c r="E434" s="1251"/>
      <c r="F434" s="1251"/>
      <c r="G434" s="1251"/>
      <c r="H434" s="1251"/>
      <c r="I434" s="1251"/>
      <c r="J434" s="1251"/>
      <c r="K434" s="1251"/>
      <c r="L434" s="1251"/>
      <c r="M434" s="1251"/>
      <c r="N434" s="1251"/>
      <c r="O434" s="1251"/>
      <c r="P434" s="1251"/>
      <c r="Q434" s="1251"/>
      <c r="R434" s="1251"/>
      <c r="S434" s="1251"/>
      <c r="T434" s="1251"/>
      <c r="U434" s="1251"/>
      <c r="V434" s="1251"/>
      <c r="W434" s="1251"/>
      <c r="X434" s="1252"/>
      <c r="Y434" s="1251"/>
      <c r="Z434" s="1251"/>
      <c r="AA434" s="1251"/>
      <c r="AB434" s="1251"/>
      <c r="AC434" s="1252"/>
      <c r="AD434" s="1251"/>
      <c r="AE434" s="1251"/>
      <c r="AF434" s="1251"/>
      <c r="AG434" s="1251"/>
      <c r="AH434" s="1252"/>
      <c r="AI434" s="1251"/>
      <c r="AJ434" s="1251"/>
      <c r="AK434" s="1251"/>
      <c r="AL434" s="1251"/>
      <c r="AM434" s="1252"/>
      <c r="AN434" s="1251"/>
      <c r="AO434" s="1251"/>
      <c r="AP434" s="1251"/>
      <c r="AQ434" s="1253"/>
      <c r="AR434" s="1252"/>
      <c r="AS434" s="1253"/>
      <c r="AT434" s="1253"/>
      <c r="AU434" s="1253"/>
      <c r="AV434" s="1253"/>
      <c r="AW434" s="1252"/>
      <c r="AX434" s="1253"/>
      <c r="AY434" s="1253"/>
      <c r="AZ434" s="1253"/>
      <c r="BA434" s="1253"/>
      <c r="BB434" s="1252"/>
      <c r="BC434" s="1253"/>
      <c r="BD434" s="1253"/>
      <c r="BE434" s="1253"/>
      <c r="BF434" s="1253"/>
      <c r="BG434" s="1252"/>
      <c r="BH434" s="1253"/>
      <c r="BI434" s="1253"/>
      <c r="BJ434" s="1253"/>
      <c r="BK434" s="1253"/>
      <c r="BL434" s="1327"/>
      <c r="BM434" s="1253"/>
      <c r="BN434" s="1253"/>
      <c r="BO434" s="1253"/>
      <c r="BP434" s="1253"/>
      <c r="BQ434" s="1327"/>
      <c r="BR434" s="1253"/>
      <c r="BS434" s="1253"/>
      <c r="BT434" s="1253"/>
      <c r="BU434" s="1253"/>
      <c r="BV434" s="1327"/>
      <c r="BW434" s="1253"/>
      <c r="BX434" s="1253"/>
      <c r="BY434" s="1253"/>
      <c r="BZ434" s="1253"/>
      <c r="CA434" s="1327"/>
      <c r="CB434" s="1253">
        <f>-CB426*CB432/4</f>
        <v>0</v>
      </c>
      <c r="CC434" s="1253">
        <f>-CC426*CC432/4</f>
        <v>0</v>
      </c>
      <c r="CD434" s="1253">
        <f>-CD426*CD432/4</f>
        <v>0</v>
      </c>
      <c r="CE434" s="1253">
        <f>-CE426*CE432/4</f>
        <v>0</v>
      </c>
      <c r="CF434" s="1327"/>
      <c r="CG434" s="1253">
        <f>-CG426*CG432/4</f>
        <v>0</v>
      </c>
      <c r="CH434" s="1253">
        <f>-CH426*CH432/4</f>
        <v>0</v>
      </c>
      <c r="CI434" s="1253">
        <f>-CI426*CI432/4</f>
        <v>0</v>
      </c>
      <c r="CJ434" s="1253">
        <f>-CJ426*CJ432/4</f>
        <v>0</v>
      </c>
      <c r="CK434" s="1327"/>
      <c r="CL434" s="1253">
        <f>-CL426*CL432/4</f>
        <v>0</v>
      </c>
      <c r="CM434" s="1253">
        <f>-CM426*CM432/4</f>
        <v>0</v>
      </c>
      <c r="CN434" s="1253">
        <f>-CN426*CN432/4</f>
        <v>0</v>
      </c>
      <c r="CO434" s="1253">
        <f>-CO426*CO432/4</f>
        <v>0</v>
      </c>
      <c r="CP434" s="1327"/>
      <c r="CQ434" s="1253">
        <f>-CQ426*CQ432/4</f>
        <v>0</v>
      </c>
      <c r="CR434" s="1253">
        <f>-CR426*CR432/4</f>
        <v>0</v>
      </c>
      <c r="CS434" s="1253">
        <f>-CS426*CS432/4</f>
        <v>0</v>
      </c>
      <c r="CT434" s="1253">
        <f>-CT426*CT432/4</f>
        <v>0</v>
      </c>
      <c r="CU434" s="1327"/>
      <c r="CV434" s="1253">
        <f>-CV426*CV432/4</f>
        <v>0</v>
      </c>
      <c r="CW434" s="1253">
        <f>-CW426*CW432/4</f>
        <v>0</v>
      </c>
      <c r="CX434" s="1253">
        <f>-CX426*CX432/4</f>
        <v>0</v>
      </c>
      <c r="CY434" s="1253">
        <f>-CY426*CY432/4</f>
        <v>0</v>
      </c>
      <c r="CZ434" s="1327"/>
      <c r="DA434" s="1253">
        <f>-DA426*DA432/4</f>
        <v>0</v>
      </c>
      <c r="DB434" s="1253">
        <f>-DB426*DB432/4</f>
        <v>0</v>
      </c>
      <c r="DC434" s="1253">
        <f>-DC426*DC432/4</f>
        <v>0</v>
      </c>
      <c r="DD434" s="1253">
        <f>-DD426*DD432/4</f>
        <v>0</v>
      </c>
      <c r="DE434" s="1327"/>
      <c r="DF434" s="1253">
        <f>-DF426*DF432/4</f>
        <v>0</v>
      </c>
      <c r="DG434" s="1253">
        <f>-DG426*DG432/4</f>
        <v>0</v>
      </c>
      <c r="DH434" s="1253">
        <f>-DH426*DH432/4</f>
        <v>0</v>
      </c>
      <c r="DI434" s="1253">
        <f>-DI426*DI432/4</f>
        <v>0</v>
      </c>
      <c r="DJ434" s="1327"/>
      <c r="DK434" s="1253">
        <f>-DK426*DK432/4</f>
        <v>0</v>
      </c>
      <c r="DL434" s="1253">
        <f>-DL426*DL432/4</f>
        <v>0</v>
      </c>
      <c r="DM434" s="1253">
        <f>-DM426*DM432/4</f>
        <v>0</v>
      </c>
      <c r="DN434" s="1253">
        <f>-DN426*DN432/4</f>
        <v>0</v>
      </c>
      <c r="DO434" s="1327"/>
      <c r="DP434" s="1253">
        <f>-DP426*DP432/4</f>
        <v>0</v>
      </c>
      <c r="DQ434" s="1253">
        <f>-DQ426*DQ432/4</f>
        <v>0</v>
      </c>
      <c r="DR434" s="1253">
        <f>-DR426*DR432/4</f>
        <v>0</v>
      </c>
      <c r="DS434" s="1253">
        <f>-DS426*DS432/4</f>
        <v>0</v>
      </c>
      <c r="DT434" s="1327"/>
      <c r="DU434" s="1253">
        <f>-DU426*DU432/4</f>
        <v>0</v>
      </c>
      <c r="DV434" s="1253">
        <f>-DV426*DV432/4</f>
        <v>0</v>
      </c>
      <c r="DW434" s="1253">
        <f>-DW426*DW432/4</f>
        <v>0</v>
      </c>
      <c r="DX434" s="1253">
        <f>-DX426*DX432/4</f>
        <v>0</v>
      </c>
      <c r="DY434" s="1327"/>
    </row>
    <row r="435" spans="1:129" x14ac:dyDescent="0.2">
      <c r="A435" s="1240"/>
      <c r="B435" s="1240"/>
      <c r="C435" s="1214"/>
      <c r="D435" s="1214"/>
      <c r="E435" s="1214"/>
      <c r="F435" s="1214"/>
      <c r="G435" s="1214"/>
      <c r="H435" s="1214"/>
      <c r="I435" s="1214"/>
      <c r="J435" s="1214"/>
      <c r="K435" s="1214"/>
      <c r="L435" s="1214"/>
      <c r="M435" s="1214"/>
      <c r="N435" s="1214"/>
      <c r="O435" s="1214"/>
      <c r="P435" s="1214"/>
      <c r="Q435" s="1214"/>
      <c r="R435" s="1214"/>
      <c r="S435" s="1214"/>
      <c r="T435" s="1214"/>
      <c r="U435" s="1214"/>
      <c r="V435" s="1214"/>
      <c r="W435" s="1214"/>
      <c r="X435" s="1214"/>
      <c r="Y435" s="1214"/>
      <c r="Z435" s="1214"/>
      <c r="AA435" s="1214"/>
      <c r="AB435" s="1214"/>
      <c r="AC435" s="1214"/>
      <c r="AD435" s="1214"/>
      <c r="AE435" s="1214"/>
      <c r="AF435" s="1214"/>
      <c r="AG435" s="1214"/>
      <c r="AH435" s="1214"/>
      <c r="AI435" s="1214"/>
      <c r="AJ435" s="1214"/>
      <c r="AK435" s="1214"/>
      <c r="AL435" s="1214"/>
      <c r="AM435" s="1214"/>
      <c r="AN435" s="1214"/>
      <c r="AO435" s="1214"/>
      <c r="AP435" s="1214"/>
      <c r="AQ435" s="1215"/>
      <c r="AR435" s="1215"/>
      <c r="AS435" s="1215"/>
      <c r="AT435" s="1215"/>
      <c r="AU435" s="1215"/>
      <c r="AV435" s="1215"/>
      <c r="AW435" s="1338"/>
      <c r="AX435" s="1215"/>
      <c r="AY435" s="1215"/>
      <c r="AZ435" s="1215"/>
      <c r="BA435" s="1215"/>
      <c r="BB435" s="1338"/>
      <c r="BC435" s="1215"/>
      <c r="BD435" s="1215"/>
      <c r="BE435" s="1215"/>
      <c r="BF435" s="1215"/>
      <c r="BG435" s="1338"/>
      <c r="BH435" s="1215"/>
      <c r="BI435" s="1215"/>
      <c r="BJ435" s="1215"/>
      <c r="BK435" s="1215"/>
      <c r="BL435" s="1338"/>
      <c r="BM435" s="1215"/>
      <c r="BN435" s="1215"/>
      <c r="BO435" s="1215"/>
      <c r="BP435" s="1215"/>
      <c r="BQ435" s="1338"/>
      <c r="BR435" s="1215"/>
      <c r="BS435" s="1215"/>
      <c r="BT435" s="1215"/>
      <c r="BU435" s="1215"/>
      <c r="BV435" s="1338"/>
      <c r="BW435" s="1215"/>
      <c r="BX435" s="1215"/>
      <c r="BY435" s="1215"/>
      <c r="BZ435" s="1215"/>
      <c r="CA435" s="1338"/>
      <c r="CB435" s="1215"/>
      <c r="CC435" s="1215"/>
      <c r="CD435" s="1215"/>
      <c r="CE435" s="1215"/>
      <c r="CF435" s="1338"/>
      <c r="CG435" s="1340"/>
      <c r="CH435" s="1340"/>
      <c r="CI435" s="1340"/>
      <c r="CJ435" s="1340"/>
      <c r="CK435" s="1338"/>
      <c r="CL435" s="1340"/>
      <c r="CM435" s="1340"/>
      <c r="CN435" s="1340"/>
      <c r="CO435" s="1340"/>
      <c r="CP435" s="1338"/>
      <c r="CQ435" s="1340"/>
      <c r="CR435" s="1340"/>
      <c r="CS435" s="1340"/>
      <c r="CT435" s="1340"/>
      <c r="CU435" s="1338"/>
      <c r="CV435" s="1340"/>
      <c r="CW435" s="1340"/>
      <c r="CX435" s="1340"/>
      <c r="CY435" s="1340"/>
      <c r="CZ435" s="1338"/>
      <c r="DA435" s="1340"/>
      <c r="DB435" s="1340"/>
      <c r="DC435" s="1340"/>
      <c r="DD435" s="1340"/>
      <c r="DE435" s="1338"/>
      <c r="DF435" s="1340"/>
      <c r="DG435" s="1340"/>
      <c r="DH435" s="1340"/>
      <c r="DI435" s="1340"/>
      <c r="DJ435" s="1338"/>
      <c r="DK435" s="1340"/>
      <c r="DL435" s="1340"/>
      <c r="DM435" s="1340"/>
      <c r="DN435" s="1340"/>
      <c r="DO435" s="1338"/>
      <c r="DP435" s="1340"/>
      <c r="DQ435" s="1340"/>
      <c r="DR435" s="1340"/>
      <c r="DS435" s="1340"/>
      <c r="DT435" s="1338"/>
      <c r="DU435" s="1340"/>
      <c r="DV435" s="1340"/>
      <c r="DW435" s="1340"/>
      <c r="DX435" s="1340"/>
      <c r="DY435" s="1338"/>
    </row>
    <row r="436" spans="1:129" ht="12" thickBot="1" x14ac:dyDescent="0.25">
      <c r="A436" s="1240"/>
      <c r="B436" s="1240"/>
      <c r="C436" s="1214"/>
      <c r="D436" s="1214"/>
      <c r="E436" s="1214"/>
      <c r="F436" s="1214"/>
      <c r="G436" s="1214"/>
      <c r="H436" s="1214"/>
      <c r="I436" s="1214"/>
      <c r="J436" s="1214"/>
      <c r="K436" s="1214"/>
      <c r="L436" s="1214"/>
      <c r="M436" s="1214"/>
      <c r="N436" s="1214"/>
      <c r="O436" s="1214"/>
      <c r="P436" s="1214"/>
      <c r="Q436" s="1214"/>
      <c r="R436" s="1214"/>
      <c r="S436" s="1214"/>
      <c r="T436" s="1214"/>
      <c r="U436" s="1214"/>
      <c r="V436" s="1214"/>
      <c r="W436" s="1214"/>
      <c r="X436" s="1214"/>
      <c r="Y436" s="1214"/>
      <c r="Z436" s="1214"/>
      <c r="AA436" s="1214"/>
      <c r="AB436" s="1214"/>
      <c r="AC436" s="1214"/>
      <c r="AD436" s="1214"/>
      <c r="AE436" s="1214"/>
      <c r="AF436" s="1214"/>
      <c r="AG436" s="1214"/>
      <c r="AH436" s="1214"/>
      <c r="AI436" s="1214"/>
      <c r="AJ436" s="1214"/>
      <c r="AK436" s="1214"/>
      <c r="AL436" s="1214"/>
      <c r="AM436" s="1214"/>
      <c r="AN436" s="1214"/>
      <c r="AO436" s="1214"/>
      <c r="AP436" s="1214"/>
      <c r="AQ436" s="1215"/>
      <c r="AR436" s="1215"/>
      <c r="AS436" s="1215"/>
      <c r="AT436" s="1215"/>
      <c r="AU436" s="1215"/>
      <c r="AV436" s="1215"/>
      <c r="AW436" s="1338"/>
      <c r="AX436" s="1215"/>
      <c r="AY436" s="1215"/>
      <c r="AZ436" s="1215"/>
      <c r="BA436" s="1215"/>
      <c r="BB436" s="1338"/>
      <c r="BC436" s="1215"/>
      <c r="BD436" s="1215"/>
      <c r="BE436" s="1215"/>
      <c r="BF436" s="1215"/>
      <c r="BG436" s="1338"/>
      <c r="BH436" s="1215"/>
      <c r="BI436" s="1215"/>
      <c r="BJ436" s="1215"/>
      <c r="BK436" s="1215"/>
      <c r="BL436" s="1338"/>
      <c r="BM436" s="1215"/>
      <c r="BN436" s="1215"/>
      <c r="BO436" s="1215"/>
      <c r="BP436" s="1215"/>
      <c r="BQ436" s="1338"/>
      <c r="BR436" s="1215"/>
      <c r="BS436" s="1215"/>
      <c r="BT436" s="1215"/>
      <c r="BU436" s="1215"/>
      <c r="BV436" s="1338"/>
      <c r="BW436" s="1215"/>
      <c r="BX436" s="1215"/>
      <c r="BY436" s="1215"/>
      <c r="BZ436" s="1215"/>
      <c r="CA436" s="1338"/>
      <c r="CB436" s="1215"/>
      <c r="CC436" s="1215"/>
      <c r="CD436" s="1215"/>
      <c r="CE436" s="1215"/>
      <c r="CF436" s="1338"/>
      <c r="CG436" s="1215"/>
      <c r="CH436" s="1215"/>
      <c r="CI436" s="1215"/>
      <c r="CJ436" s="1215"/>
      <c r="CK436" s="1338"/>
      <c r="CL436" s="1215"/>
      <c r="CM436" s="1215"/>
      <c r="CN436" s="1215"/>
      <c r="CO436" s="1215"/>
      <c r="CP436" s="1338"/>
      <c r="CQ436" s="1215"/>
      <c r="CR436" s="1215"/>
      <c r="CS436" s="1215"/>
      <c r="CT436" s="1215"/>
      <c r="CU436" s="1338"/>
      <c r="CV436" s="1215"/>
      <c r="CW436" s="1215"/>
      <c r="CX436" s="1215"/>
      <c r="CY436" s="1215"/>
      <c r="CZ436" s="1338"/>
      <c r="DA436" s="1215"/>
      <c r="DB436" s="1215"/>
      <c r="DC436" s="1215"/>
      <c r="DD436" s="1215"/>
      <c r="DE436" s="1338"/>
      <c r="DF436" s="1215"/>
      <c r="DG436" s="1215"/>
      <c r="DH436" s="1215"/>
      <c r="DI436" s="1215"/>
      <c r="DJ436" s="1338"/>
      <c r="DK436" s="1215"/>
      <c r="DL436" s="1215"/>
      <c r="DM436" s="1215"/>
      <c r="DN436" s="1215"/>
      <c r="DO436" s="1338"/>
      <c r="DP436" s="1215"/>
      <c r="DQ436" s="1215"/>
      <c r="DR436" s="1215"/>
      <c r="DS436" s="1215"/>
      <c r="DT436" s="1338"/>
      <c r="DU436" s="1215"/>
      <c r="DV436" s="1215"/>
      <c r="DW436" s="1215"/>
      <c r="DX436" s="1215"/>
      <c r="DY436" s="1338"/>
    </row>
    <row r="437" spans="1:129" x14ac:dyDescent="0.2">
      <c r="A437" s="1223"/>
      <c r="B437" s="1341" t="s">
        <v>1176</v>
      </c>
      <c r="C437" s="1342"/>
      <c r="D437" s="1342"/>
      <c r="E437" s="1342"/>
      <c r="F437" s="1342"/>
      <c r="G437" s="1342"/>
      <c r="H437" s="1342"/>
      <c r="I437" s="1342"/>
      <c r="J437" s="1342"/>
      <c r="K437" s="1342"/>
      <c r="L437" s="1342"/>
      <c r="M437" s="1342"/>
      <c r="N437" s="1342"/>
      <c r="O437" s="1342"/>
      <c r="P437" s="1342"/>
      <c r="Q437" s="1342"/>
      <c r="R437" s="1342"/>
      <c r="S437" s="1342"/>
      <c r="T437" s="1342"/>
      <c r="U437" s="1342"/>
      <c r="V437" s="1342"/>
      <c r="W437" s="1342"/>
      <c r="X437" s="1343"/>
      <c r="Y437" s="1342"/>
      <c r="Z437" s="1342"/>
      <c r="AA437" s="1342"/>
      <c r="AB437" s="1342"/>
      <c r="AC437" s="1343"/>
      <c r="AD437" s="1342"/>
      <c r="AE437" s="1342"/>
      <c r="AF437" s="1342"/>
      <c r="AG437" s="1342"/>
      <c r="AH437" s="1343"/>
      <c r="AI437" s="1342"/>
      <c r="AJ437" s="1342"/>
      <c r="AK437" s="1342"/>
      <c r="AL437" s="1344"/>
      <c r="AM437" s="1343"/>
      <c r="AN437" s="1344"/>
      <c r="AO437" s="1344"/>
      <c r="AP437" s="1344"/>
      <c r="AQ437" s="1344"/>
      <c r="AR437" s="1343"/>
      <c r="AS437" s="1344"/>
      <c r="AT437" s="1344"/>
      <c r="AU437" s="1344"/>
      <c r="AV437" s="1344"/>
      <c r="AW437" s="1343"/>
      <c r="AX437" s="1344"/>
      <c r="AY437" s="1344"/>
      <c r="AZ437" s="1344"/>
      <c r="BA437" s="1344"/>
      <c r="BB437" s="1343"/>
      <c r="BC437" s="1344"/>
      <c r="BD437" s="1344"/>
      <c r="BE437" s="1344"/>
      <c r="BF437" s="1344"/>
      <c r="BG437" s="1343"/>
      <c r="BH437" s="1344"/>
      <c r="BI437" s="1344"/>
      <c r="BJ437" s="1344"/>
      <c r="BK437" s="1344"/>
      <c r="BL437" s="1345">
        <f>BL76+BL87+BL98+BL109+BL142+BL153+BL164+BL175+BL197+BL252+BL263+BL274+BL285+BL296+BL307+BL329+BL406+BL417+BL428</f>
        <v>0</v>
      </c>
      <c r="BM437" s="1344"/>
      <c r="BN437" s="1344"/>
      <c r="BO437" s="1344"/>
      <c r="BP437" s="1344"/>
      <c r="BQ437" s="1345">
        <f>BQ76+BQ87+BQ98+BQ109+BQ142+BQ153+BQ164+BQ175+BQ197+BQ252+BQ263+BQ274+BQ285+BQ296+BQ307+BQ329+BQ406+BQ417+BQ428</f>
        <v>0</v>
      </c>
      <c r="BR437" s="1344"/>
      <c r="BS437" s="1344"/>
      <c r="BT437" s="1344"/>
      <c r="BU437" s="1344"/>
      <c r="BV437" s="1345">
        <f>BV76+BV87+BV98+BV109+BV142+BV153+BV164+BV175+BV197+BV252+BV263+BV274+BV285+BV296+BV307+BV329+BV406+BV417+BV428</f>
        <v>0</v>
      </c>
      <c r="BW437" s="1344"/>
      <c r="BX437" s="1344"/>
      <c r="BY437" s="1344"/>
      <c r="BZ437" s="1344"/>
      <c r="CA437" s="1345">
        <f t="shared" ref="CA437:DJ437" si="247">CA76+CA87+CA98+CA109+CA142+CA153+CA164+CA175+CA197+CA252+CA263+CA274+CA285+CA296+CA307+CA329+CA406+CA417+CA428</f>
        <v>0</v>
      </c>
      <c r="CB437" s="1344">
        <f t="shared" si="247"/>
        <v>0</v>
      </c>
      <c r="CC437" s="1344">
        <f t="shared" si="247"/>
        <v>0</v>
      </c>
      <c r="CD437" s="1344">
        <f t="shared" si="247"/>
        <v>0</v>
      </c>
      <c r="CE437" s="1344">
        <f t="shared" si="247"/>
        <v>0</v>
      </c>
      <c r="CF437" s="1345">
        <f t="shared" si="247"/>
        <v>0</v>
      </c>
      <c r="CG437" s="1344">
        <f t="shared" si="247"/>
        <v>0</v>
      </c>
      <c r="CH437" s="1344">
        <f t="shared" si="247"/>
        <v>0</v>
      </c>
      <c r="CI437" s="1344">
        <f t="shared" si="247"/>
        <v>0</v>
      </c>
      <c r="CJ437" s="1344">
        <f t="shared" si="247"/>
        <v>0</v>
      </c>
      <c r="CK437" s="1345">
        <f t="shared" si="247"/>
        <v>0</v>
      </c>
      <c r="CL437" s="1344">
        <f t="shared" si="247"/>
        <v>0</v>
      </c>
      <c r="CM437" s="1344">
        <f t="shared" si="247"/>
        <v>0</v>
      </c>
      <c r="CN437" s="1344">
        <f t="shared" si="247"/>
        <v>0</v>
      </c>
      <c r="CO437" s="1344">
        <f t="shared" si="247"/>
        <v>0</v>
      </c>
      <c r="CP437" s="1345">
        <f t="shared" si="247"/>
        <v>0</v>
      </c>
      <c r="CQ437" s="1344">
        <f t="shared" si="247"/>
        <v>0</v>
      </c>
      <c r="CR437" s="1344">
        <f t="shared" si="247"/>
        <v>0</v>
      </c>
      <c r="CS437" s="1344">
        <f t="shared" si="247"/>
        <v>0</v>
      </c>
      <c r="CT437" s="1344">
        <f t="shared" si="247"/>
        <v>0</v>
      </c>
      <c r="CU437" s="1345">
        <f t="shared" si="247"/>
        <v>0</v>
      </c>
      <c r="CV437" s="1344">
        <f t="shared" si="247"/>
        <v>0</v>
      </c>
      <c r="CW437" s="1344">
        <f t="shared" si="247"/>
        <v>0</v>
      </c>
      <c r="CX437" s="1344">
        <f t="shared" si="247"/>
        <v>0</v>
      </c>
      <c r="CY437" s="1344">
        <f t="shared" si="247"/>
        <v>0</v>
      </c>
      <c r="CZ437" s="1345">
        <f t="shared" si="247"/>
        <v>0</v>
      </c>
      <c r="DA437" s="1344">
        <f t="shared" si="247"/>
        <v>0</v>
      </c>
      <c r="DB437" s="1344">
        <f t="shared" si="247"/>
        <v>0</v>
      </c>
      <c r="DC437" s="1344">
        <f t="shared" si="247"/>
        <v>0</v>
      </c>
      <c r="DD437" s="1344">
        <f t="shared" si="247"/>
        <v>0</v>
      </c>
      <c r="DE437" s="1345">
        <f t="shared" si="247"/>
        <v>0</v>
      </c>
      <c r="DF437" s="1344">
        <f t="shared" si="247"/>
        <v>0</v>
      </c>
      <c r="DG437" s="1344">
        <f t="shared" si="247"/>
        <v>0</v>
      </c>
      <c r="DH437" s="1344">
        <f t="shared" si="247"/>
        <v>0</v>
      </c>
      <c r="DI437" s="1344">
        <f t="shared" si="247"/>
        <v>0</v>
      </c>
      <c r="DJ437" s="1345">
        <f t="shared" si="247"/>
        <v>0</v>
      </c>
      <c r="DK437" s="1344">
        <f t="shared" ref="DK437:DT437" si="248">DK76+DK87+DK98+DK109+DK142+DK153+DK164+DK175+DK197+DK252+DK263+DK274+DK285+DK296+DK307+DK329+DK406+DK417+DK428</f>
        <v>0</v>
      </c>
      <c r="DL437" s="1344">
        <f t="shared" si="248"/>
        <v>0</v>
      </c>
      <c r="DM437" s="1344">
        <f t="shared" si="248"/>
        <v>0</v>
      </c>
      <c r="DN437" s="1344">
        <f t="shared" si="248"/>
        <v>0</v>
      </c>
      <c r="DO437" s="1345">
        <f t="shared" si="248"/>
        <v>0</v>
      </c>
      <c r="DP437" s="1344">
        <f t="shared" si="248"/>
        <v>0</v>
      </c>
      <c r="DQ437" s="1344">
        <f t="shared" si="248"/>
        <v>0</v>
      </c>
      <c r="DR437" s="1344">
        <f t="shared" si="248"/>
        <v>0</v>
      </c>
      <c r="DS437" s="1344">
        <f t="shared" si="248"/>
        <v>0</v>
      </c>
      <c r="DT437" s="1345">
        <f t="shared" si="248"/>
        <v>0</v>
      </c>
      <c r="DU437" s="1344">
        <f t="shared" ref="DU437:DY437" si="249">DU76+DU87+DU98+DU109+DU142+DU153+DU164+DU175+DU197+DU252+DU263+DU274+DU285+DU296+DU307+DU329+DU406+DU417+DU428</f>
        <v>0</v>
      </c>
      <c r="DV437" s="1344">
        <f t="shared" si="249"/>
        <v>0</v>
      </c>
      <c r="DW437" s="1344">
        <f t="shared" si="249"/>
        <v>0</v>
      </c>
      <c r="DX437" s="1344">
        <f t="shared" si="249"/>
        <v>0</v>
      </c>
      <c r="DY437" s="1345">
        <f t="shared" si="249"/>
        <v>0</v>
      </c>
    </row>
    <row r="438" spans="1:129" ht="12" thickBot="1" x14ac:dyDescent="0.25">
      <c r="A438" s="1223"/>
      <c r="B438" s="1250" t="s">
        <v>1177</v>
      </c>
      <c r="C438" s="1251"/>
      <c r="D438" s="1251"/>
      <c r="E438" s="1251"/>
      <c r="F438" s="1251"/>
      <c r="G438" s="1251"/>
      <c r="H438" s="1251"/>
      <c r="I438" s="1251"/>
      <c r="J438" s="1251"/>
      <c r="K438" s="1251"/>
      <c r="L438" s="1251"/>
      <c r="M438" s="1251"/>
      <c r="N438" s="1251"/>
      <c r="O438" s="1251"/>
      <c r="P438" s="1251"/>
      <c r="Q438" s="1251"/>
      <c r="R438" s="1251"/>
      <c r="S438" s="1251"/>
      <c r="T438" s="1251"/>
      <c r="U438" s="1251"/>
      <c r="V438" s="1251"/>
      <c r="W438" s="1251"/>
      <c r="X438" s="1252"/>
      <c r="Y438" s="1346"/>
      <c r="Z438" s="1346"/>
      <c r="AA438" s="1346"/>
      <c r="AB438" s="1346"/>
      <c r="AC438" s="1252"/>
      <c r="AD438" s="1346"/>
      <c r="AE438" s="1346"/>
      <c r="AF438" s="1346"/>
      <c r="AG438" s="1346"/>
      <c r="AH438" s="1252"/>
      <c r="AI438" s="1346"/>
      <c r="AJ438" s="1346"/>
      <c r="AK438" s="1346"/>
      <c r="AL438" s="1346"/>
      <c r="AM438" s="1252"/>
      <c r="AN438" s="1346"/>
      <c r="AO438" s="1346"/>
      <c r="AP438" s="1346"/>
      <c r="AQ438" s="1347"/>
      <c r="AR438" s="1252"/>
      <c r="AS438" s="1253"/>
      <c r="AT438" s="1253"/>
      <c r="AU438" s="1253"/>
      <c r="AV438" s="1348"/>
      <c r="AW438" s="1348"/>
      <c r="AX438" s="1253"/>
      <c r="AY438" s="1253"/>
      <c r="AZ438" s="1253"/>
      <c r="BA438" s="1348"/>
      <c r="BB438" s="1348"/>
      <c r="BC438" s="1253"/>
      <c r="BD438" s="1253"/>
      <c r="BE438" s="1253"/>
      <c r="BF438" s="1348"/>
      <c r="BG438" s="1348"/>
      <c r="BH438" s="1253"/>
      <c r="BI438" s="1253"/>
      <c r="BJ438" s="1253"/>
      <c r="BK438" s="1348"/>
      <c r="BL438" s="1327">
        <f>BL78+BL89+BL100+BL111+BL122+BL144+BL155+BL166+BL177+BL199+BL254+BL265+BL276+BL287+BL298+BL309+BL331+BL408+BL419+BL430</f>
        <v>0</v>
      </c>
      <c r="BM438" s="1253"/>
      <c r="BN438" s="1253"/>
      <c r="BO438" s="1253"/>
      <c r="BP438" s="1348"/>
      <c r="BQ438" s="1327">
        <f>BQ78+BQ89+BQ100+BQ111+BQ122+BQ144+BQ155+BQ166+BQ177+BQ199+BQ254+BQ265+BQ276+BQ287+BQ298+BQ309+BQ331+BQ408+BQ419+BQ430</f>
        <v>1272.6999999999998</v>
      </c>
      <c r="BR438" s="1253"/>
      <c r="BS438" s="1253"/>
      <c r="BT438" s="1253"/>
      <c r="BU438" s="1348"/>
      <c r="BV438" s="1327">
        <f>BV78+BV89+BV100+BV111+BV122+BV144+BV155+BV166+BV177+BV199+BV254+BV265+BV276+BV287+BV298+BV309+BV331+BV408+BV419+BV430</f>
        <v>-579.59999999999991</v>
      </c>
      <c r="BW438" s="1253"/>
      <c r="BX438" s="1253"/>
      <c r="BY438" s="1253"/>
      <c r="BZ438" s="1253"/>
      <c r="CA438" s="1327">
        <f t="shared" ref="CA438:CN438" si="250">CA78+CA89+CA100+CA111+CA122+CA144+CA155+CA166+CA177+CA199+CA254+CA265+CA276+CA287+CA298+CA309+CA331+CA408+CA419+CA430</f>
        <v>-1118</v>
      </c>
      <c r="CB438" s="1253">
        <f t="shared" si="250"/>
        <v>-282</v>
      </c>
      <c r="CC438" s="1253">
        <f t="shared" si="250"/>
        <v>1309</v>
      </c>
      <c r="CD438" s="1253">
        <f t="shared" si="250"/>
        <v>-316</v>
      </c>
      <c r="CE438" s="1348">
        <f t="shared" si="250"/>
        <v>-754</v>
      </c>
      <c r="CF438" s="1327">
        <f t="shared" si="250"/>
        <v>-43</v>
      </c>
      <c r="CG438" s="1253">
        <f t="shared" si="250"/>
        <v>-803</v>
      </c>
      <c r="CH438" s="1253">
        <f t="shared" si="250"/>
        <v>202</v>
      </c>
      <c r="CI438" s="1253">
        <f t="shared" si="250"/>
        <v>627</v>
      </c>
      <c r="CJ438" s="1253">
        <f t="shared" si="250"/>
        <v>-1135</v>
      </c>
      <c r="CK438" s="1327">
        <f t="shared" si="250"/>
        <v>-1109</v>
      </c>
      <c r="CL438" s="1253">
        <f t="shared" si="250"/>
        <v>0</v>
      </c>
      <c r="CM438" s="1253">
        <f t="shared" si="250"/>
        <v>0</v>
      </c>
      <c r="CN438" s="1253">
        <f t="shared" si="250"/>
        <v>0</v>
      </c>
      <c r="CO438" s="1348">
        <f>CO78+CO89+CO100+CO111+CO122+CO144+CO155+CO166+CO177+CO199+CO254+CO265+CO276+CO287+CO298+CO309+CO331+CO408+CO419+CO430+CO320+CO221+CO210+CO188+CO133</f>
        <v>3493</v>
      </c>
      <c r="CP438" s="1327">
        <f t="shared" ref="CP438:CU438" si="251">CP78+CP89+CP100+CP111+CP122+CP144+CP155+CP166+CP177+CP199+CP254+CP265+CP276+CP287+CP298+CP309+CP331+CP408+CP419+CP430</f>
        <v>-507</v>
      </c>
      <c r="CQ438" s="1253">
        <f t="shared" si="251"/>
        <v>0</v>
      </c>
      <c r="CR438" s="1253">
        <f t="shared" si="251"/>
        <v>0</v>
      </c>
      <c r="CS438" s="1253">
        <f t="shared" si="251"/>
        <v>-1236</v>
      </c>
      <c r="CT438" s="1348">
        <f t="shared" si="251"/>
        <v>-955</v>
      </c>
      <c r="CU438" s="1327">
        <f t="shared" si="251"/>
        <v>-2191</v>
      </c>
      <c r="CV438" s="1253">
        <f>CV78+CV89+CV100+CV111+CV122+CV144+CV155+CV166+CV177+CV199+CV254+CV265+CV276+CV287+CV298+CV309+CV331+CV408+CV419+CV430+CV397+CV386+CV375+CV364+CV353+CV342+CV320+CV243+CV232+CV221+CV210+CV188+CV133</f>
        <v>0</v>
      </c>
      <c r="CW438" s="1253">
        <f>CW78+CW89+CW100+CW111+CW122+CW144+CW155+CW166+CW177+CW199+CW254+CW265+CW276+CW287+CW298+CW309+CW331+CW408+CW419+CW430+CW397+CW386+CW375+CW364+CW353+CW342+CW320+CW243+CW232+CW221+CW210+CW188+CW133</f>
        <v>-550</v>
      </c>
      <c r="CX438" s="1253">
        <f>CX78+CX89+CX100+CX111+CX122+CX144+CX155+CX166+CX177+CX199+CX254+CX265+CX276+CX287+CX298+CX309+CX331+CX408+CX419+CX430+CX397+CX386+CX375+CX364+CX353+CX342+CX320+CX243+CX232+CX221+CX210+CX188+CX133</f>
        <v>15000</v>
      </c>
      <c r="CY438" s="1348">
        <f>CY78+CY89+CY100+CY111+CY122+CY144+CY155+CY166+CY177+CY199+CY254+CY265+CY276+CY287+CY298+CY309+CY331+CY408+CY419+CY430+CY397+CY386+CY375+CY364+CY353+CY342+CY320+CY243+CY232+CY221+CY210+CY188+CY133</f>
        <v>0</v>
      </c>
      <c r="CZ438" s="1327">
        <f t="shared" ref="CZ438:DJ438" si="252">CZ78+CZ89+CZ100+CZ111+CZ122+CZ144+CZ155+CZ166+CZ177+CZ199+CZ254+CZ265+CZ276+CZ287+CZ298+CZ309+CZ331+CZ408+CZ419+CZ430+CZ397+CZ386+CZ375+CZ364+CZ353+CZ342+CZ320+CZ243+CZ232+CZ221+CZ210+CZ188+CZ133</f>
        <v>14450</v>
      </c>
      <c r="DA438" s="1253">
        <f t="shared" si="252"/>
        <v>0</v>
      </c>
      <c r="DB438" s="1253">
        <f t="shared" si="252"/>
        <v>-1039.8000000000002</v>
      </c>
      <c r="DC438" s="1253">
        <f t="shared" si="252"/>
        <v>-971</v>
      </c>
      <c r="DD438" s="1348">
        <f t="shared" si="252"/>
        <v>-750</v>
      </c>
      <c r="DE438" s="1327">
        <f t="shared" si="252"/>
        <v>-2760.8</v>
      </c>
      <c r="DF438" s="1253">
        <f t="shared" si="252"/>
        <v>0</v>
      </c>
      <c r="DG438" s="1253">
        <f t="shared" si="252"/>
        <v>0</v>
      </c>
      <c r="DH438" s="1253">
        <f t="shared" si="252"/>
        <v>0</v>
      </c>
      <c r="DI438" s="1348">
        <f t="shared" si="252"/>
        <v>0</v>
      </c>
      <c r="DJ438" s="1327">
        <f t="shared" si="252"/>
        <v>0</v>
      </c>
      <c r="DK438" s="1253">
        <f t="shared" ref="DK438:DT438" si="253">DK78+DK89+DK100+DK111+DK122+DK144+DK155+DK166+DK177+DK199+DK254+DK265+DK276+DK287+DK298+DK309+DK331+DK408+DK419+DK430+DK397+DK386+DK375+DK364+DK353+DK342+DK320+DK243+DK232+DK221+DK210+DK188+DK133</f>
        <v>0</v>
      </c>
      <c r="DL438" s="1253">
        <f t="shared" si="253"/>
        <v>38320</v>
      </c>
      <c r="DM438" s="1253">
        <f t="shared" si="253"/>
        <v>0</v>
      </c>
      <c r="DN438" s="1348">
        <f t="shared" si="253"/>
        <v>0</v>
      </c>
      <c r="DO438" s="1327">
        <f t="shared" si="253"/>
        <v>38320</v>
      </c>
      <c r="DP438" s="1253">
        <f t="shared" si="253"/>
        <v>0</v>
      </c>
      <c r="DQ438" s="1253">
        <f t="shared" si="253"/>
        <v>-1080</v>
      </c>
      <c r="DR438" s="1253">
        <f t="shared" si="253"/>
        <v>0</v>
      </c>
      <c r="DS438" s="1348">
        <f t="shared" si="253"/>
        <v>0</v>
      </c>
      <c r="DT438" s="1327">
        <f t="shared" si="253"/>
        <v>-1080</v>
      </c>
      <c r="DU438" s="1253">
        <f t="shared" ref="DU438:DY438" si="254">DU78+DU89+DU100+DU111+DU122+DU144+DU155+DU166+DU177+DU199+DU254+DU265+DU276+DU287+DU298+DU309+DU331+DU408+DU419+DU430+DU397+DU386+DU375+DU364+DU353+DU342+DU320+DU243+DU232+DU221+DU210+DU188+DU133</f>
        <v>0</v>
      </c>
      <c r="DV438" s="1253">
        <f t="shared" si="254"/>
        <v>-1080</v>
      </c>
      <c r="DW438" s="1253">
        <f t="shared" si="254"/>
        <v>0</v>
      </c>
      <c r="DX438" s="1348">
        <f t="shared" si="254"/>
        <v>0</v>
      </c>
      <c r="DY438" s="1327">
        <f t="shared" si="254"/>
        <v>-1080</v>
      </c>
    </row>
    <row r="439" spans="1:129" ht="12" thickBot="1" x14ac:dyDescent="0.25"/>
    <row r="440" spans="1:129" ht="12" thickBot="1" x14ac:dyDescent="0.25">
      <c r="B440" s="1282" t="s">
        <v>341</v>
      </c>
      <c r="C440" s="1328"/>
      <c r="D440" s="1329"/>
      <c r="E440" s="1329"/>
      <c r="F440" s="1329"/>
      <c r="G440" s="1329"/>
      <c r="H440" s="1329"/>
      <c r="I440" s="1329"/>
      <c r="J440" s="1329"/>
      <c r="K440" s="1329"/>
      <c r="L440" s="1329"/>
      <c r="M440" s="1329"/>
      <c r="N440" s="1329"/>
      <c r="O440" s="1329"/>
      <c r="P440" s="1329"/>
      <c r="Q440" s="1329"/>
      <c r="R440" s="1329"/>
      <c r="S440" s="1329"/>
      <c r="T440" s="1329"/>
      <c r="U440" s="1329"/>
      <c r="V440" s="1329"/>
      <c r="W440" s="1329"/>
      <c r="X440" s="1328"/>
      <c r="Y440" s="1328"/>
      <c r="Z440" s="1328"/>
      <c r="AA440" s="1328"/>
      <c r="AB440" s="1328"/>
      <c r="AC440" s="1328"/>
      <c r="AD440" s="1328"/>
      <c r="AE440" s="1328"/>
      <c r="AF440" s="1328"/>
      <c r="AG440" s="1328"/>
      <c r="AH440" s="1328"/>
      <c r="AI440" s="1328"/>
      <c r="AJ440" s="1328"/>
      <c r="AK440" s="1328"/>
      <c r="AL440" s="1328"/>
      <c r="AM440" s="1328"/>
      <c r="AN440" s="1328"/>
      <c r="AO440" s="1328"/>
      <c r="AP440" s="1328"/>
      <c r="AQ440" s="1330"/>
      <c r="AR440" s="1330"/>
      <c r="AS440" s="1330"/>
      <c r="AT440" s="1331"/>
      <c r="AU440" s="1331"/>
      <c r="AV440" s="1331"/>
      <c r="AW440" s="1330"/>
      <c r="AX440" s="1330"/>
      <c r="AY440" s="1330"/>
      <c r="AZ440" s="1330"/>
      <c r="BA440" s="1330"/>
      <c r="BB440" s="1330"/>
      <c r="BC440" s="1330"/>
      <c r="BD440" s="1330"/>
      <c r="BE440" s="1330"/>
      <c r="BF440" s="1330"/>
      <c r="BG440" s="1330"/>
      <c r="BH440" s="1330"/>
      <c r="BI440" s="1330"/>
      <c r="BJ440" s="1330"/>
      <c r="BK440" s="1330"/>
      <c r="BL440" s="1332"/>
      <c r="BM440" s="1330"/>
      <c r="BN440" s="1330"/>
      <c r="BO440" s="1330"/>
      <c r="BP440" s="1330"/>
      <c r="BQ440" s="1332"/>
      <c r="BR440" s="1330"/>
      <c r="BS440" s="1330"/>
      <c r="BT440" s="1330"/>
      <c r="BU440" s="1330"/>
      <c r="BV440" s="1332"/>
      <c r="BW440" s="1330"/>
      <c r="BX440" s="1330"/>
      <c r="BY440" s="1330"/>
      <c r="BZ440" s="1330"/>
      <c r="CA440" s="1332"/>
      <c r="CB440" s="1330"/>
      <c r="CC440" s="1330"/>
      <c r="CD440" s="1330"/>
      <c r="CE440" s="1330"/>
      <c r="CF440" s="1332"/>
      <c r="CG440" s="1330"/>
      <c r="CH440" s="1330"/>
      <c r="CI440" s="1330"/>
      <c r="CJ440" s="1330"/>
      <c r="CK440" s="1332"/>
      <c r="CL440" s="1330"/>
      <c r="CM440" s="1330"/>
      <c r="CN440" s="1330"/>
      <c r="CO440" s="1330"/>
      <c r="CP440" s="1332"/>
      <c r="CQ440" s="1330"/>
      <c r="CR440" s="1330"/>
      <c r="CS440" s="1330"/>
      <c r="CT440" s="1330"/>
      <c r="CU440" s="1332"/>
      <c r="CV440" s="1330"/>
      <c r="CW440" s="1330"/>
      <c r="CX440" s="1330"/>
      <c r="CY440" s="1330"/>
      <c r="CZ440" s="1332"/>
      <c r="DA440" s="1330"/>
      <c r="DB440" s="1330"/>
      <c r="DC440" s="1330"/>
      <c r="DD440" s="1330"/>
      <c r="DE440" s="1332"/>
      <c r="DF440" s="1330"/>
      <c r="DG440" s="1330"/>
      <c r="DH440" s="1330"/>
      <c r="DI440" s="1330"/>
      <c r="DJ440" s="1332"/>
      <c r="DK440" s="1330"/>
      <c r="DL440" s="1330"/>
      <c r="DM440" s="1330"/>
      <c r="DN440" s="1330"/>
      <c r="DO440" s="1332"/>
      <c r="DP440" s="1330"/>
      <c r="DQ440" s="1330"/>
      <c r="DR440" s="1330"/>
      <c r="DS440" s="1330"/>
      <c r="DT440" s="1332"/>
      <c r="DU440" s="1330"/>
      <c r="DV440" s="1330"/>
      <c r="DW440" s="1330"/>
      <c r="DX440" s="1330"/>
      <c r="DY440" s="1332"/>
    </row>
    <row r="441" spans="1:129" ht="12" thickBot="1" x14ac:dyDescent="0.25">
      <c r="B441" s="2601"/>
      <c r="C441" s="2602"/>
      <c r="D441" s="2602"/>
      <c r="E441" s="2602"/>
      <c r="F441" s="2602"/>
      <c r="G441" s="2602"/>
      <c r="H441" s="2602"/>
      <c r="I441" s="2602"/>
      <c r="J441" s="2602"/>
      <c r="K441" s="2602"/>
      <c r="L441" s="2602"/>
      <c r="M441" s="2602"/>
      <c r="N441" s="2602"/>
      <c r="O441" s="2602"/>
      <c r="P441" s="2602"/>
      <c r="Q441" s="2602"/>
      <c r="R441" s="2602"/>
      <c r="S441" s="2602"/>
      <c r="T441" s="2602"/>
      <c r="U441" s="2602"/>
      <c r="V441" s="2602"/>
      <c r="W441" s="2602"/>
      <c r="X441" s="2603"/>
      <c r="Y441" s="2602"/>
      <c r="Z441" s="2602"/>
      <c r="AA441" s="2602"/>
      <c r="AB441" s="2602"/>
      <c r="AC441" s="2603"/>
      <c r="AD441" s="2602"/>
      <c r="AE441" s="2602"/>
      <c r="AF441" s="2602"/>
      <c r="AG441" s="2602"/>
      <c r="AH441" s="2603"/>
      <c r="AI441" s="2602"/>
      <c r="AJ441" s="2602"/>
      <c r="AK441" s="2602"/>
      <c r="AL441" s="2602"/>
      <c r="AM441" s="2603"/>
      <c r="AN441" s="2602"/>
      <c r="AO441" s="2602"/>
      <c r="AP441" s="2602"/>
      <c r="AQ441" s="2602"/>
      <c r="AR441" s="2603"/>
      <c r="AS441" s="2602"/>
      <c r="AT441" s="2602"/>
      <c r="AU441" s="2602"/>
      <c r="AV441" s="2602"/>
      <c r="AW441" s="2603"/>
      <c r="AX441" s="2602"/>
      <c r="AY441" s="2602"/>
      <c r="AZ441" s="2602"/>
      <c r="BA441" s="2602"/>
      <c r="BB441" s="2603"/>
      <c r="BC441" s="2602"/>
      <c r="BD441" s="2602"/>
      <c r="BE441" s="2602"/>
      <c r="BF441" s="2602"/>
      <c r="BG441" s="2603"/>
      <c r="BH441" s="2602"/>
      <c r="BI441" s="2602"/>
      <c r="BJ441" s="2602"/>
      <c r="BK441" s="2602"/>
      <c r="BL441" s="2604"/>
      <c r="BM441" s="2602"/>
      <c r="BN441" s="2602"/>
      <c r="BO441" s="2602"/>
      <c r="BP441" s="2602"/>
      <c r="BQ441" s="2604"/>
      <c r="BR441" s="2602"/>
      <c r="BS441" s="2602"/>
      <c r="BT441" s="2602"/>
      <c r="BU441" s="2602"/>
      <c r="BV441" s="2604"/>
      <c r="BW441" s="2602"/>
      <c r="BX441" s="2602"/>
      <c r="BY441" s="2602"/>
      <c r="BZ441" s="2602"/>
      <c r="CA441" s="2604"/>
      <c r="CB441" s="2602"/>
      <c r="CC441" s="2602"/>
      <c r="CD441" s="2602"/>
      <c r="CE441" s="2602"/>
      <c r="CF441" s="2604"/>
      <c r="CG441" s="2602"/>
      <c r="CH441" s="2602"/>
      <c r="CI441" s="2602"/>
      <c r="CJ441" s="2602"/>
      <c r="CK441" s="2604"/>
      <c r="CL441" s="2602"/>
      <c r="CM441" s="2602"/>
      <c r="CN441" s="2602"/>
      <c r="CO441" s="2602"/>
      <c r="CP441" s="2604"/>
      <c r="CQ441" s="2602"/>
      <c r="CR441" s="2602"/>
      <c r="CS441" s="2602"/>
      <c r="CT441" s="2602"/>
      <c r="CU441" s="2604"/>
      <c r="CV441" s="2602"/>
      <c r="CW441" s="2602"/>
      <c r="CX441" s="2602"/>
      <c r="CY441" s="2602"/>
      <c r="CZ441" s="2604"/>
      <c r="DA441" s="2602"/>
      <c r="DB441" s="2606">
        <v>-21.650727499999999</v>
      </c>
      <c r="DC441" s="2606">
        <v>-27.108383750000002</v>
      </c>
      <c r="DD441" s="2606">
        <v>-33.691040000000001</v>
      </c>
      <c r="DE441" s="2607"/>
      <c r="DF441" s="2606"/>
      <c r="DG441" s="2606"/>
      <c r="DH441" s="2606"/>
      <c r="DI441" s="2606"/>
      <c r="DJ441" s="2607"/>
      <c r="DK441" s="2605"/>
      <c r="DL441" s="2605"/>
      <c r="DM441" s="2605"/>
      <c r="DN441" s="2605"/>
      <c r="DO441" s="2607"/>
      <c r="DP441" s="2605"/>
      <c r="DQ441" s="2605"/>
      <c r="DR441" s="2605"/>
      <c r="DS441" s="2605"/>
      <c r="DT441" s="2607"/>
      <c r="DU441" s="2605"/>
      <c r="DV441" s="2605"/>
      <c r="DW441" s="2605"/>
      <c r="DX441" s="2605"/>
      <c r="DY441" s="2607"/>
    </row>
    <row r="445" spans="1:129" x14ac:dyDescent="0.2">
      <c r="DK445" s="2559">
        <v>44800</v>
      </c>
    </row>
    <row r="446" spans="1:129" x14ac:dyDescent="0.2">
      <c r="DK446" s="2559">
        <v>0.04</v>
      </c>
    </row>
    <row r="447" spans="1:129" x14ac:dyDescent="0.2">
      <c r="DK447" s="2559">
        <f>DK445*DK446</f>
        <v>1792</v>
      </c>
    </row>
    <row r="448" spans="1:129" x14ac:dyDescent="0.2">
      <c r="DK448" s="2559">
        <f>DK447/12</f>
        <v>149.33333333333334</v>
      </c>
      <c r="DQ448" s="2682">
        <v>44800</v>
      </c>
    </row>
    <row r="449" spans="115:121" x14ac:dyDescent="0.2">
      <c r="DK449" s="2559">
        <f>1000/DK448</f>
        <v>6.6964285714285712</v>
      </c>
      <c r="DQ449" s="2682">
        <v>0.04</v>
      </c>
    </row>
    <row r="450" spans="115:121" x14ac:dyDescent="0.2">
      <c r="DQ450" s="2682">
        <f>DQ448*DQ449</f>
        <v>1792</v>
      </c>
    </row>
    <row r="451" spans="115:121" x14ac:dyDescent="0.2">
      <c r="DQ451" s="2682">
        <f>DQ450/12</f>
        <v>149.33333333333334</v>
      </c>
    </row>
    <row r="452" spans="115:121" x14ac:dyDescent="0.2">
      <c r="DQ452" s="2682">
        <f>DQ451*7</f>
        <v>1045.3333333333335</v>
      </c>
    </row>
  </sheetData>
  <phoneticPr fontId="5" type="noConversion"/>
  <hyperlinks>
    <hyperlink ref="B6" location="Cover!A1" tooltip="Return to Cover Page" display="Cover!A1"/>
  </hyperlinks>
  <pageMargins left="0.75" right="0.75" top="1" bottom="1" header="0.5" footer="0.5"/>
  <pageSetup orientation="portrait" r:id="rId1"/>
  <headerFooter alignWithMargins="0"/>
  <cellWatches>
    <cellWatch r="CB66"/>
  </cellWatches>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BL352"/>
  <sheetViews>
    <sheetView showGridLines="0" workbookViewId="0">
      <pane xSplit="4" ySplit="6" topLeftCell="AS34" activePane="bottomRight" state="frozen"/>
      <selection pane="topRight" activeCell="D1" sqref="D1"/>
      <selection pane="bottomLeft" activeCell="A11" sqref="A11"/>
      <selection pane="bottomRight" activeCell="AX78" sqref="AX78"/>
    </sheetView>
  </sheetViews>
  <sheetFormatPr defaultColWidth="9.28515625" defaultRowHeight="11.25" outlineLevelRow="2" outlineLevelCol="1" x14ac:dyDescent="0.2"/>
  <cols>
    <col min="1" max="1" width="1.7109375" customWidth="1"/>
    <col min="2" max="2" width="16.7109375" customWidth="1"/>
    <col min="3" max="3" width="36.140625" customWidth="1"/>
    <col min="4" max="4" width="2" hidden="1" customWidth="1"/>
    <col min="5" max="7" width="10.140625" hidden="1" customWidth="1" outlineLevel="1"/>
    <col min="8" max="8" width="9.28515625" hidden="1" customWidth="1" outlineLevel="1"/>
    <col min="9" max="9" width="9.28515625" hidden="1" customWidth="1" collapsed="1"/>
    <col min="10" max="13" width="9.28515625" hidden="1" customWidth="1" outlineLevel="1"/>
    <col min="14" max="14" width="9.28515625" hidden="1" customWidth="1" collapsed="1"/>
    <col min="15" max="18" width="9.28515625" hidden="1" customWidth="1" outlineLevel="1"/>
    <col min="19" max="19" width="9.28515625" hidden="1" customWidth="1" collapsed="1"/>
    <col min="20" max="23" width="9.28515625" hidden="1" customWidth="1" outlineLevel="1"/>
    <col min="24" max="24" width="9.28515625" hidden="1" customWidth="1" collapsed="1"/>
    <col min="25" max="28" width="9.28515625" hidden="1" customWidth="1" outlineLevel="1"/>
    <col min="29" max="29" width="9.28515625" hidden="1" customWidth="1" collapsed="1"/>
    <col min="30" max="30" width="9.28515625" style="1746" hidden="1" customWidth="1" outlineLevel="1"/>
    <col min="31" max="33" width="9.28515625" hidden="1" customWidth="1" outlineLevel="1"/>
    <col min="34" max="34" width="9.28515625" hidden="1" customWidth="1" collapsed="1"/>
    <col min="35" max="38" width="9.28515625" hidden="1" customWidth="1" outlineLevel="1"/>
    <col min="39" max="39" width="9.28515625" hidden="1" customWidth="1" collapsed="1"/>
    <col min="40" max="43" width="9.28515625" customWidth="1" outlineLevel="1"/>
    <col min="44" max="44" width="9.28515625" customWidth="1"/>
    <col min="45" max="48" width="9.28515625" customWidth="1" outlineLevel="1"/>
    <col min="49" max="49" width="9.28515625" customWidth="1"/>
    <col min="50" max="53" width="9.28515625" style="2559" customWidth="1" outlineLevel="1"/>
    <col min="54" max="54" width="9.28515625" style="2559" customWidth="1"/>
    <col min="55" max="58" width="9.28515625" style="2649" hidden="1" customWidth="1" outlineLevel="1"/>
    <col min="59" max="59" width="9.28515625" style="2649" customWidth="1" collapsed="1"/>
    <col min="60" max="63" width="9.28515625" style="2771" hidden="1" customWidth="1" outlineLevel="1"/>
    <col min="64" max="64" width="9.28515625" style="2771" customWidth="1" collapsed="1"/>
  </cols>
  <sheetData>
    <row r="1" spans="1:64" outlineLevel="1" x14ac:dyDescent="0.2">
      <c r="A1" s="238"/>
      <c r="B1" s="238"/>
      <c r="C1" s="1349" t="s">
        <v>1178</v>
      </c>
      <c r="D1" s="1350"/>
      <c r="E1" s="1351">
        <f>IS!BR39</f>
        <v>0.55021606063577999</v>
      </c>
      <c r="F1" s="1352">
        <f>IS!BS39</f>
        <v>0.64812778766525536</v>
      </c>
      <c r="G1" s="1352">
        <f>IS!BT39</f>
        <v>0.64524552002788882</v>
      </c>
      <c r="H1" s="1352">
        <f>IS!BU39</f>
        <v>0.78443093266307806</v>
      </c>
      <c r="I1" s="1353">
        <f>IS!BV39</f>
        <v>2.6198718948576971</v>
      </c>
      <c r="J1" s="1352">
        <f>IS!BW39</f>
        <v>0.6026185636170035</v>
      </c>
      <c r="K1" s="1352">
        <f>IS!BX39</f>
        <v>0.64703158304519548</v>
      </c>
      <c r="L1" s="1352">
        <f>IS!BY39</f>
        <v>0.64668561716094253</v>
      </c>
      <c r="M1" s="1352">
        <f>IS!BZ39</f>
        <v>0.79724049088073767</v>
      </c>
      <c r="N1" s="1353">
        <f>IS!CA39</f>
        <v>2.6932650056875942</v>
      </c>
      <c r="O1" s="1352">
        <f>IS!CB39</f>
        <v>0.56689453276295543</v>
      </c>
      <c r="P1" s="1352">
        <f>IS!CC39</f>
        <v>0.6490597042974332</v>
      </c>
      <c r="Q1" s="1352">
        <f>IS!CD39</f>
        <v>0.70044232998757094</v>
      </c>
      <c r="R1" s="1352">
        <f>IS!CE39</f>
        <v>0.89217492364951256</v>
      </c>
      <c r="S1" s="1353">
        <f>IS!CF39</f>
        <v>2.8002475696472944</v>
      </c>
      <c r="T1" s="1352">
        <f>IS!CG39</f>
        <v>0.64781315613724044</v>
      </c>
      <c r="U1" s="1352">
        <f>IS!CH39</f>
        <v>0.80977072210473211</v>
      </c>
      <c r="V1" s="1352">
        <f>IS!CI39</f>
        <v>0.85093021430253546</v>
      </c>
      <c r="W1" s="1352">
        <f>IS!CJ39</f>
        <v>1.1366469175340272</v>
      </c>
      <c r="X1" s="1353">
        <f>IS!CK39</f>
        <v>3.4334131350251869</v>
      </c>
      <c r="Y1" s="1352">
        <f>IS!CL39</f>
        <v>0.83078162771958097</v>
      </c>
      <c r="Z1" s="1352">
        <f>IS!CM39</f>
        <v>0.96835545483975405</v>
      </c>
      <c r="AA1" s="1352">
        <f>IS!CN39</f>
        <v>1.0548939641109298</v>
      </c>
      <c r="AB1" s="1352">
        <f>IS!CO39</f>
        <v>1.1157368859283929</v>
      </c>
      <c r="AC1" s="1353">
        <f>IS!CP39</f>
        <v>3.9650868749490167</v>
      </c>
      <c r="AD1" s="1352">
        <f>IS!CQ39</f>
        <v>1.0152966885190788</v>
      </c>
      <c r="AE1" s="1352">
        <f>IS!CR39</f>
        <v>1.1303236797274276</v>
      </c>
      <c r="AF1" s="1352">
        <f>IS!CS39</f>
        <v>1.1474397461188779</v>
      </c>
      <c r="AG1" s="1352">
        <f>IS!CT39</f>
        <v>1.2096213963181661</v>
      </c>
      <c r="AH1" s="1353">
        <f>IS!CU39</f>
        <v>4.4994339179287808</v>
      </c>
      <c r="AI1" s="1352">
        <f>IS!CV39</f>
        <v>1.1388473383194015</v>
      </c>
      <c r="AJ1" s="1352">
        <f>IS!CW39</f>
        <v>1.2178809292465331</v>
      </c>
      <c r="AK1" s="1352">
        <f>IS!CX39</f>
        <v>1.284180196672404</v>
      </c>
      <c r="AL1" s="1352">
        <f>IS!CY39</f>
        <v>1.5302145999820418</v>
      </c>
      <c r="AM1" s="1353">
        <f>IS!CZ39</f>
        <v>5.1711230642203807</v>
      </c>
      <c r="AN1" s="1352">
        <f>IS!DA39</f>
        <v>1.1842009464870769</v>
      </c>
      <c r="AO1" s="1352">
        <f>IS!DB39</f>
        <v>1.319509019899572</v>
      </c>
      <c r="AP1" s="1352">
        <f>IS!DC39</f>
        <v>1.6343464478836474</v>
      </c>
      <c r="AQ1" s="1352">
        <f>IS!DD39</f>
        <v>1.7100215214746888</v>
      </c>
      <c r="AR1" s="1353">
        <f>IS!DE39</f>
        <v>5.8480779357449846</v>
      </c>
      <c r="AS1" s="1352">
        <f>IS!DF39</f>
        <v>1.1674881608195611</v>
      </c>
      <c r="AT1" s="1352">
        <f>IS!DG39</f>
        <v>1.3300449306505178</v>
      </c>
      <c r="AU1" s="1352">
        <f>IS!DH39</f>
        <v>1.4977543239392239</v>
      </c>
      <c r="AV1" s="1352">
        <f>IS!DI39</f>
        <v>1.9205729894147003</v>
      </c>
      <c r="AW1" s="1353">
        <f>IS!DJ39</f>
        <v>5.9158604048240031</v>
      </c>
      <c r="AX1" s="1352">
        <f ca="1">IS!DK39</f>
        <v>1.4073745520773424</v>
      </c>
      <c r="AY1" s="1352">
        <f ca="1">IS!DL39</f>
        <v>1.4150198957330835</v>
      </c>
      <c r="AZ1" s="1352">
        <f ca="1">IS!DM39</f>
        <v>1.5607488799006144</v>
      </c>
      <c r="BA1" s="1352">
        <f ca="1">IS!DN39</f>
        <v>1.8974900348024621</v>
      </c>
      <c r="BB1" s="1353">
        <f ca="1">IS!DO39</f>
        <v>6.2806333625135036</v>
      </c>
      <c r="BC1" s="1352">
        <f ca="1">IS!DP39</f>
        <v>1.3113081987370612</v>
      </c>
      <c r="BD1" s="1352">
        <f ca="1">IS!DQ39</f>
        <v>1.5021960513281856</v>
      </c>
      <c r="BE1" s="1352">
        <f ca="1">IS!DR39</f>
        <v>1.6249895238941481</v>
      </c>
      <c r="BF1" s="1352">
        <f ca="1">IS!DS39</f>
        <v>1.9772125562546987</v>
      </c>
      <c r="BG1" s="1353">
        <f ca="1">IS!DT39</f>
        <v>6.4157063302140935</v>
      </c>
      <c r="BH1" s="1352">
        <f ca="1">IS!DU39</f>
        <v>1.3908319908745324</v>
      </c>
      <c r="BI1" s="1352">
        <f ca="1">IS!DV39</f>
        <v>1.5946081479959977</v>
      </c>
      <c r="BJ1" s="1352">
        <f ca="1">IS!DW39</f>
        <v>1.7271494529126037</v>
      </c>
      <c r="BK1" s="1352">
        <f ca="1">IS!DX39</f>
        <v>2.0826733753797417</v>
      </c>
      <c r="BL1" s="1353">
        <f ca="1">IS!DY39</f>
        <v>6.7952629671628753</v>
      </c>
    </row>
    <row r="2" spans="1:64" ht="12" outlineLevel="1" thickBot="1" x14ac:dyDescent="0.25">
      <c r="A2" s="238"/>
      <c r="B2" s="289"/>
      <c r="C2" s="1354" t="s">
        <v>1179</v>
      </c>
      <c r="D2" s="1355"/>
      <c r="E2" s="1356">
        <v>0.55021606063577999</v>
      </c>
      <c r="F2" s="1357">
        <v>0.64812778766525536</v>
      </c>
      <c r="G2" s="1357">
        <v>0.64524552002788882</v>
      </c>
      <c r="H2" s="1357">
        <v>0.78443093266307806</v>
      </c>
      <c r="I2" s="1358">
        <v>2.6198718948576971</v>
      </c>
      <c r="J2" s="1357">
        <v>0.6026185636170035</v>
      </c>
      <c r="K2" s="1357">
        <v>0.64703158304519548</v>
      </c>
      <c r="L2" s="1357">
        <v>0.64668561716094253</v>
      </c>
      <c r="M2" s="1357">
        <v>0.79724049088073767</v>
      </c>
      <c r="N2" s="1358">
        <v>2.6932650056875942</v>
      </c>
      <c r="O2" s="1357">
        <v>0.56689453276295543</v>
      </c>
      <c r="P2" s="1357">
        <v>0.6490597042974332</v>
      </c>
      <c r="Q2" s="1357">
        <v>0.70044232998757094</v>
      </c>
      <c r="R2" s="1357">
        <v>0.89217492364951256</v>
      </c>
      <c r="S2" s="1358">
        <v>2.8002475696472944</v>
      </c>
      <c r="T2" s="1357">
        <v>0.64781315613724044</v>
      </c>
      <c r="U2" s="1357">
        <v>0.80977072210473211</v>
      </c>
      <c r="V2" s="1357">
        <v>0.85093021430253546</v>
      </c>
      <c r="W2" s="1357">
        <v>1.1366469175340272</v>
      </c>
      <c r="X2" s="1358">
        <v>3.4334131350251869</v>
      </c>
      <c r="Y2" s="1357">
        <v>0.83078162771958097</v>
      </c>
      <c r="Z2" s="1357">
        <v>0.96835545483975405</v>
      </c>
      <c r="AA2" s="1357">
        <v>1.0548939641109298</v>
      </c>
      <c r="AB2" s="1357">
        <v>1.1157368859283929</v>
      </c>
      <c r="AC2" s="1358">
        <v>3.9650868749490167</v>
      </c>
      <c r="AD2" s="1357">
        <v>1.0152966885190788</v>
      </c>
      <c r="AE2" s="1357">
        <v>1.1303236797274276</v>
      </c>
      <c r="AF2" s="1357">
        <v>1.1474397461188779</v>
      </c>
      <c r="AG2" s="1357">
        <v>1.2096213963181661</v>
      </c>
      <c r="AH2" s="1358">
        <v>4.4994339179287808</v>
      </c>
      <c r="AI2" s="1357">
        <v>1.0802275442852356</v>
      </c>
      <c r="AJ2" s="1357">
        <v>1.2737053282280641</v>
      </c>
      <c r="AK2" s="1357">
        <v>1.3331800283518822</v>
      </c>
      <c r="AL2" s="1357">
        <v>1.4936339445555238</v>
      </c>
      <c r="AM2" s="1358">
        <v>5.1728996213590257</v>
      </c>
      <c r="AN2" s="1357">
        <v>1.2823982020451472</v>
      </c>
      <c r="AO2" s="1357">
        <v>1.3674056636907908</v>
      </c>
      <c r="AP2" s="1357">
        <v>1.5107527840345507</v>
      </c>
      <c r="AQ2" s="1357">
        <v>1.6803918459237266</v>
      </c>
      <c r="AR2" s="1358">
        <v>5.8355357765247486</v>
      </c>
      <c r="AS2" s="1357">
        <v>1.4122901269972612</v>
      </c>
      <c r="AT2" s="1357">
        <v>1.529085283621952</v>
      </c>
      <c r="AU2" s="1357">
        <v>1.689752449474712</v>
      </c>
      <c r="AV2" s="1357">
        <v>1.8521977941159442</v>
      </c>
      <c r="AW2" s="1358">
        <v>6.4782518069186583</v>
      </c>
      <c r="AX2" s="1357">
        <v>1.4122901269972612</v>
      </c>
      <c r="AY2" s="1357">
        <v>1.529085283621952</v>
      </c>
      <c r="AZ2" s="1357">
        <v>1.689752449474712</v>
      </c>
      <c r="BA2" s="1357">
        <v>1.8521977941159442</v>
      </c>
      <c r="BB2" s="1358">
        <v>6.4782518069186583</v>
      </c>
      <c r="BC2" s="1357">
        <v>1.4122901269972612</v>
      </c>
      <c r="BD2" s="1357">
        <v>1.529085283621952</v>
      </c>
      <c r="BE2" s="1357">
        <v>1.689752449474712</v>
      </c>
      <c r="BF2" s="1357">
        <v>1.8521977941159442</v>
      </c>
      <c r="BG2" s="1358">
        <v>6.4782518069186583</v>
      </c>
      <c r="BH2" s="1357">
        <v>1.4122901269972612</v>
      </c>
      <c r="BI2" s="1357">
        <v>1.529085283621952</v>
      </c>
      <c r="BJ2" s="1357">
        <v>1.689752449474712</v>
      </c>
      <c r="BK2" s="1357">
        <v>1.8521977941159442</v>
      </c>
      <c r="BL2" s="1358">
        <v>6.4782518069186583</v>
      </c>
    </row>
    <row r="3" spans="1:64" ht="18.75" x14ac:dyDescent="0.3">
      <c r="A3" s="238"/>
      <c r="B3" s="289"/>
      <c r="C3" s="1359" t="str">
        <f>IS!B2</f>
        <v>CVS/Caremark</v>
      </c>
      <c r="D3" s="1360"/>
      <c r="E3" s="1360"/>
      <c r="F3" s="1360"/>
      <c r="G3" s="1360"/>
      <c r="H3" s="1360"/>
      <c r="I3" s="1360"/>
      <c r="J3" s="1360"/>
      <c r="K3" s="1360"/>
      <c r="L3" s="1360"/>
      <c r="M3" s="1360"/>
      <c r="N3" s="1360"/>
      <c r="O3" s="1360"/>
      <c r="P3" s="1360"/>
      <c r="Q3" s="1360"/>
      <c r="R3" s="1360"/>
      <c r="S3" s="1360"/>
      <c r="T3" s="1360"/>
      <c r="U3" s="1360"/>
      <c r="V3" s="1361"/>
      <c r="W3" s="1361"/>
      <c r="X3" s="1361"/>
      <c r="Y3" s="1361"/>
      <c r="Z3" s="1361"/>
      <c r="AA3" s="1362"/>
      <c r="AB3" s="1362"/>
      <c r="AC3" s="1361"/>
      <c r="AD3" s="1743"/>
      <c r="AE3" s="1361"/>
      <c r="AF3" s="1361"/>
      <c r="AG3" s="1361"/>
      <c r="AH3" s="1361"/>
      <c r="AI3" s="1361"/>
      <c r="AJ3" s="1361"/>
      <c r="AK3" s="1361"/>
      <c r="AL3" s="1361"/>
      <c r="AM3" s="1361"/>
      <c r="AN3" s="1361"/>
      <c r="AO3" s="1361"/>
      <c r="AP3" s="1361"/>
      <c r="AQ3" s="1361"/>
      <c r="AR3" s="1361"/>
      <c r="AS3" s="1361"/>
      <c r="AT3" s="1361"/>
      <c r="AU3" s="1361"/>
      <c r="AV3" s="1361"/>
      <c r="AW3" s="1361"/>
      <c r="AX3" s="1361"/>
      <c r="AY3" s="1361"/>
      <c r="AZ3" s="1361"/>
      <c r="BA3" s="1361"/>
      <c r="BB3" s="1361"/>
      <c r="BC3" s="1361"/>
      <c r="BD3" s="1361"/>
      <c r="BE3" s="1361"/>
      <c r="BF3" s="1361"/>
      <c r="BG3" s="1361"/>
      <c r="BH3" s="1361"/>
      <c r="BI3" s="1361"/>
      <c r="BJ3" s="1361"/>
      <c r="BK3" s="1361"/>
      <c r="BL3" s="1361"/>
    </row>
    <row r="4" spans="1:64" ht="12" thickBot="1" x14ac:dyDescent="0.25">
      <c r="A4" s="238"/>
      <c r="B4" s="1363"/>
      <c r="C4" s="1364" t="s">
        <v>1180</v>
      </c>
      <c r="D4" s="1365"/>
      <c r="E4" s="1365"/>
      <c r="F4" s="1365"/>
      <c r="G4" s="1365"/>
      <c r="H4" s="1365"/>
      <c r="I4" s="1365"/>
      <c r="J4" s="1365"/>
      <c r="K4" s="1365"/>
      <c r="L4" s="1365"/>
      <c r="M4" s="1365"/>
      <c r="N4" s="1365"/>
      <c r="O4" s="1365"/>
      <c r="P4" s="1365"/>
      <c r="Q4" s="1365"/>
      <c r="R4" s="1365"/>
      <c r="S4" s="1365"/>
      <c r="T4" s="1365"/>
      <c r="U4" s="1365"/>
      <c r="V4" s="1365"/>
      <c r="W4" s="1366"/>
      <c r="X4" s="1367"/>
      <c r="Y4" s="1368"/>
      <c r="Z4" s="1365"/>
      <c r="AA4" s="1365"/>
      <c r="AB4" s="1369"/>
      <c r="AC4" s="1360"/>
      <c r="AD4" s="1744"/>
      <c r="AE4" s="1365"/>
      <c r="AF4" s="1365"/>
      <c r="AG4" s="1365"/>
      <c r="AH4" s="1365"/>
      <c r="AI4" s="1365"/>
      <c r="AJ4" s="1365"/>
      <c r="AK4" s="1365"/>
      <c r="AL4" s="1365"/>
      <c r="AM4" s="1365"/>
      <c r="AN4" s="1365"/>
      <c r="AO4" s="1365"/>
      <c r="AP4" s="1365"/>
      <c r="AQ4" s="1365"/>
      <c r="AR4" s="1365"/>
      <c r="AS4" s="1365"/>
      <c r="AT4" s="1365"/>
      <c r="AU4" s="1365"/>
      <c r="AV4" s="1365"/>
      <c r="AW4" s="1365"/>
      <c r="AX4" s="1365"/>
      <c r="AY4" s="1365"/>
      <c r="AZ4" s="1365"/>
      <c r="BA4" s="1365"/>
      <c r="BB4" s="1365"/>
      <c r="BC4" s="1365"/>
      <c r="BD4" s="1365"/>
      <c r="BE4" s="1365"/>
      <c r="BF4" s="1365"/>
      <c r="BG4" s="1365"/>
      <c r="BH4" s="1365"/>
      <c r="BI4" s="1365"/>
      <c r="BJ4" s="1365"/>
      <c r="BK4" s="1365"/>
      <c r="BL4" s="1365"/>
    </row>
    <row r="5" spans="1:64" ht="11.25" customHeight="1" thickBot="1" x14ac:dyDescent="0.25">
      <c r="A5" s="238"/>
      <c r="B5" s="1363"/>
      <c r="C5" s="1370"/>
      <c r="D5" s="1371"/>
      <c r="E5" s="48" t="s">
        <v>67</v>
      </c>
      <c r="F5" s="48"/>
      <c r="G5" s="48"/>
      <c r="H5" s="48"/>
      <c r="I5" s="49"/>
      <c r="J5" s="48" t="s">
        <v>68</v>
      </c>
      <c r="K5" s="48"/>
      <c r="L5" s="48"/>
      <c r="M5" s="48"/>
      <c r="N5" s="49"/>
      <c r="O5" s="48" t="s">
        <v>69</v>
      </c>
      <c r="P5" s="48"/>
      <c r="Q5" s="48"/>
      <c r="R5" s="48"/>
      <c r="S5" s="49"/>
      <c r="T5" s="48" t="s">
        <v>70</v>
      </c>
      <c r="U5" s="48"/>
      <c r="V5" s="48"/>
      <c r="W5" s="48"/>
      <c r="X5" s="49"/>
      <c r="Y5" s="48" t="s">
        <v>71</v>
      </c>
      <c r="Z5" s="48"/>
      <c r="AA5" s="48"/>
      <c r="AB5" s="48"/>
      <c r="AC5" s="49"/>
      <c r="AD5" s="48" t="s">
        <v>72</v>
      </c>
      <c r="AE5" s="48"/>
      <c r="AF5" s="48"/>
      <c r="AG5" s="48"/>
      <c r="AH5" s="49"/>
      <c r="AI5" s="48" t="s">
        <v>73</v>
      </c>
      <c r="AJ5" s="48"/>
      <c r="AK5" s="48"/>
      <c r="AL5" s="48"/>
      <c r="AM5" s="49"/>
      <c r="AN5" s="48" t="s">
        <v>674</v>
      </c>
      <c r="AO5" s="48"/>
      <c r="AP5" s="48"/>
      <c r="AQ5" s="48"/>
      <c r="AR5" s="49"/>
      <c r="AS5" s="48" t="s">
        <v>1322</v>
      </c>
      <c r="AT5" s="48"/>
      <c r="AU5" s="48"/>
      <c r="AV5" s="48"/>
      <c r="AW5" s="49"/>
      <c r="AX5" s="48" t="s">
        <v>1458</v>
      </c>
      <c r="AY5" s="48"/>
      <c r="AZ5" s="48"/>
      <c r="BA5" s="48"/>
      <c r="BB5" s="49"/>
      <c r="BC5" s="48" t="s">
        <v>1566</v>
      </c>
      <c r="BD5" s="48"/>
      <c r="BE5" s="48"/>
      <c r="BF5" s="48"/>
      <c r="BG5" s="49"/>
      <c r="BH5" s="48" t="s">
        <v>1636</v>
      </c>
      <c r="BI5" s="48"/>
      <c r="BJ5" s="48"/>
      <c r="BK5" s="48"/>
      <c r="BL5" s="49"/>
    </row>
    <row r="6" spans="1:64" ht="11.25" customHeight="1" thickBot="1" x14ac:dyDescent="0.25">
      <c r="A6" s="238"/>
      <c r="B6" s="1363"/>
      <c r="C6" s="1370"/>
      <c r="D6" s="411"/>
      <c r="E6" s="54" t="s">
        <v>149</v>
      </c>
      <c r="F6" s="54" t="s">
        <v>150</v>
      </c>
      <c r="G6" s="54" t="s">
        <v>151</v>
      </c>
      <c r="H6" s="54" t="s">
        <v>152</v>
      </c>
      <c r="I6" s="55" t="s">
        <v>158</v>
      </c>
      <c r="J6" s="54" t="s">
        <v>149</v>
      </c>
      <c r="K6" s="54" t="s">
        <v>150</v>
      </c>
      <c r="L6" s="54" t="s">
        <v>151</v>
      </c>
      <c r="M6" s="54" t="s">
        <v>152</v>
      </c>
      <c r="N6" s="55" t="str">
        <f>IS!CA6</f>
        <v>2010A</v>
      </c>
      <c r="O6" s="304" t="str">
        <f>IS!CB6</f>
        <v>1QA</v>
      </c>
      <c r="P6" s="304" t="str">
        <f>IS!CC6</f>
        <v>2QA</v>
      </c>
      <c r="Q6" s="304" t="str">
        <f>IS!CD6</f>
        <v>3QA</v>
      </c>
      <c r="R6" s="304" t="str">
        <f>IS!CE6</f>
        <v>4QA</v>
      </c>
      <c r="S6" s="55" t="str">
        <f>IS!CF6</f>
        <v>2011A</v>
      </c>
      <c r="T6" s="304" t="str">
        <f>IS!CG6</f>
        <v>1QA</v>
      </c>
      <c r="U6" s="304" t="str">
        <f>IS!CH6</f>
        <v>2QA</v>
      </c>
      <c r="V6" s="304" t="str">
        <f>IS!CI6</f>
        <v>3QA</v>
      </c>
      <c r="W6" s="304" t="str">
        <f>IS!CJ6</f>
        <v>4QA</v>
      </c>
      <c r="X6" s="55" t="str">
        <f>IS!CK6</f>
        <v>2012A</v>
      </c>
      <c r="Y6" s="304" t="str">
        <f>IS!CL6</f>
        <v>1QA</v>
      </c>
      <c r="Z6" s="304" t="str">
        <f>IS!CM6</f>
        <v>2QA</v>
      </c>
      <c r="AA6" s="304" t="str">
        <f>IS!CN6</f>
        <v>3QA</v>
      </c>
      <c r="AB6" s="304" t="str">
        <f>IS!CO6</f>
        <v>4QA</v>
      </c>
      <c r="AC6" s="55" t="str">
        <f>IS!CP6</f>
        <v>2013A</v>
      </c>
      <c r="AD6" s="304" t="str">
        <f>IS!CQ6</f>
        <v>1QA</v>
      </c>
      <c r="AE6" s="304" t="str">
        <f>IS!CR6</f>
        <v>2QA</v>
      </c>
      <c r="AF6" s="304" t="str">
        <f>IS!CS6</f>
        <v>3QA</v>
      </c>
      <c r="AG6" s="304" t="str">
        <f>IS!CT6</f>
        <v>4QA</v>
      </c>
      <c r="AH6" s="55" t="str">
        <f>IS!CU6</f>
        <v>2014A</v>
      </c>
      <c r="AI6" s="304" t="str">
        <f>IS!CV6</f>
        <v>1QA</v>
      </c>
      <c r="AJ6" s="304" t="str">
        <f>IS!CW6</f>
        <v>2QA</v>
      </c>
      <c r="AK6" s="304" t="str">
        <f>IS!CX6</f>
        <v>3QA</v>
      </c>
      <c r="AL6" s="304" t="str">
        <f>IS!CY6</f>
        <v>4QA</v>
      </c>
      <c r="AM6" s="55" t="str">
        <f>IS!CZ6</f>
        <v>2015A</v>
      </c>
      <c r="AN6" s="304" t="str">
        <f>IS!DA6</f>
        <v>1QA</v>
      </c>
      <c r="AO6" s="304" t="str">
        <f>IS!DB6</f>
        <v>2QA</v>
      </c>
      <c r="AP6" s="304" t="str">
        <f>IS!DC6</f>
        <v>3QA</v>
      </c>
      <c r="AQ6" s="304" t="str">
        <f>IS!DD6</f>
        <v>4QA</v>
      </c>
      <c r="AR6" s="55" t="str">
        <f>IS!DE6</f>
        <v>2016A</v>
      </c>
      <c r="AS6" s="304" t="str">
        <f>AN6</f>
        <v>1QA</v>
      </c>
      <c r="AT6" s="304" t="str">
        <f>AO6</f>
        <v>2QA</v>
      </c>
      <c r="AU6" s="304" t="str">
        <f>AP6</f>
        <v>3QA</v>
      </c>
      <c r="AV6" s="304" t="str">
        <f>AQ6</f>
        <v>4QA</v>
      </c>
      <c r="AW6" s="55" t="str">
        <f>IS!DJ6</f>
        <v>2017A</v>
      </c>
      <c r="AX6" s="304" t="str">
        <f>AS6</f>
        <v>1QA</v>
      </c>
      <c r="AY6" s="304" t="str">
        <f>AT6</f>
        <v>2QA</v>
      </c>
      <c r="AZ6" s="304" t="str">
        <f>AU6</f>
        <v>3QA</v>
      </c>
      <c r="BA6" s="304" t="str">
        <f>AV6</f>
        <v>4QA</v>
      </c>
      <c r="BB6" s="55" t="str">
        <f>IS!DO6</f>
        <v>2018E</v>
      </c>
      <c r="BC6" s="304" t="str">
        <f>AX6</f>
        <v>1QA</v>
      </c>
      <c r="BD6" s="304" t="str">
        <f>AY6</f>
        <v>2QA</v>
      </c>
      <c r="BE6" s="304" t="str">
        <f>AZ6</f>
        <v>3QA</v>
      </c>
      <c r="BF6" s="304" t="str">
        <f>BA6</f>
        <v>4QA</v>
      </c>
      <c r="BG6" s="55" t="str">
        <f>IS!DT6</f>
        <v>2019E</v>
      </c>
      <c r="BH6" s="304" t="str">
        <f>BC6</f>
        <v>1QA</v>
      </c>
      <c r="BI6" s="304" t="str">
        <f>BD6</f>
        <v>2QA</v>
      </c>
      <c r="BJ6" s="304" t="str">
        <f>BE6</f>
        <v>3QA</v>
      </c>
      <c r="BK6" s="304" t="str">
        <f>BF6</f>
        <v>4QA</v>
      </c>
      <c r="BL6" s="55" t="str">
        <f>IS!DY6</f>
        <v>2020E</v>
      </c>
    </row>
    <row r="7" spans="1:64" ht="12" thickBot="1" x14ac:dyDescent="0.25">
      <c r="A7" s="238"/>
      <c r="B7" s="289"/>
      <c r="C7" s="1372" t="s">
        <v>1181</v>
      </c>
      <c r="D7" s="1373"/>
      <c r="E7" s="1373"/>
      <c r="F7" s="1373"/>
      <c r="G7" s="1373"/>
      <c r="H7" s="1373"/>
      <c r="I7" s="1374"/>
      <c r="J7" s="1373"/>
      <c r="K7" s="1373"/>
      <c r="L7" s="1373"/>
      <c r="M7" s="1373"/>
      <c r="N7" s="1374"/>
      <c r="O7" s="1373"/>
      <c r="P7" s="1373"/>
      <c r="Q7" s="1373"/>
      <c r="R7" s="1373"/>
      <c r="S7" s="1374"/>
      <c r="T7" s="1373"/>
      <c r="U7" s="1373"/>
      <c r="V7" s="1373"/>
      <c r="W7" s="1373"/>
      <c r="X7" s="1374"/>
      <c r="Y7" s="1373"/>
      <c r="Z7" s="1373"/>
      <c r="AA7" s="1373"/>
      <c r="AB7" s="1373"/>
      <c r="AC7" s="1374"/>
      <c r="AD7" s="1373"/>
      <c r="AE7" s="1373"/>
      <c r="AF7" s="1373"/>
      <c r="AG7" s="1373"/>
      <c r="AH7" s="1374"/>
      <c r="AI7" s="1373"/>
      <c r="AJ7" s="1373"/>
      <c r="AK7" s="1373"/>
      <c r="AL7" s="1373"/>
      <c r="AM7" s="1374"/>
      <c r="AN7" s="1373"/>
      <c r="AO7" s="1373"/>
      <c r="AP7" s="1373"/>
      <c r="AQ7" s="1373"/>
      <c r="AR7" s="1374"/>
      <c r="AS7" s="1373"/>
      <c r="AT7" s="1373"/>
      <c r="AU7" s="1373"/>
      <c r="AV7" s="1373"/>
      <c r="AW7" s="1374"/>
      <c r="AX7" s="1373"/>
      <c r="AY7" s="1373"/>
      <c r="AZ7" s="1373"/>
      <c r="BA7" s="1373"/>
      <c r="BB7" s="1374"/>
      <c r="BC7" s="1373"/>
      <c r="BD7" s="1373"/>
      <c r="BE7" s="1373"/>
      <c r="BF7" s="1373"/>
      <c r="BG7" s="1374"/>
      <c r="BH7" s="1373"/>
      <c r="BI7" s="1373"/>
      <c r="BJ7" s="1373"/>
      <c r="BK7" s="1373"/>
      <c r="BL7" s="1374"/>
    </row>
    <row r="8" spans="1:64" ht="12" thickBot="1" x14ac:dyDescent="0.25">
      <c r="A8" s="238"/>
      <c r="B8" s="1375" t="s">
        <v>1182</v>
      </c>
      <c r="C8" s="1376" t="s">
        <v>1183</v>
      </c>
      <c r="D8" s="289"/>
      <c r="E8" s="1377">
        <f>Retail!BR136</f>
        <v>0.15939775626461938</v>
      </c>
      <c r="F8" s="1378">
        <f>Retail!BS136</f>
        <v>0.14278593433315034</v>
      </c>
      <c r="G8" s="1378">
        <f>Retail!BT136</f>
        <v>0.146483980105516</v>
      </c>
      <c r="H8" s="1378">
        <f>Retail!BU136</f>
        <v>1.473349703885618E-2</v>
      </c>
      <c r="I8" s="1379">
        <f>Retail!BV136</f>
        <v>2.2624434389140191E-2</v>
      </c>
      <c r="J8" s="1378">
        <f>Retail!BW136</f>
        <v>2.1846064814815103E-2</v>
      </c>
      <c r="K8" s="1378">
        <f>Retail!BX136</f>
        <v>2.3024895668441347E-2</v>
      </c>
      <c r="L8" s="1378">
        <f>Retail!BY136</f>
        <v>2.0547945205479534E-2</v>
      </c>
      <c r="M8" s="1378">
        <f>Retail!BZ136</f>
        <v>2.2348754448398678E-2</v>
      </c>
      <c r="N8" s="1379">
        <f>Retail!CA136</f>
        <v>1.4459944343531372E-2</v>
      </c>
      <c r="O8" s="1378">
        <f>Retail!CB136</f>
        <v>2.3078012176128926E-2</v>
      </c>
      <c r="P8" s="1378">
        <f>Retail!CC136</f>
        <v>2.2084681389787475E-2</v>
      </c>
      <c r="Q8" s="1378">
        <f>Retail!CD136</f>
        <v>2.1252796420581754E-2</v>
      </c>
      <c r="R8" s="1378">
        <f>CHOOSE(MATCH($B$8,$C$349:$C$352,0),R39, R56,R73,R90)</f>
        <v>2.0189362294625202E-2</v>
      </c>
      <c r="S8" s="1379">
        <f>Retail!CF136</f>
        <v>2.0189362294625202E-2</v>
      </c>
      <c r="T8" s="1378">
        <f>Retail!CG136</f>
        <v>1.7437032936618024E-2</v>
      </c>
      <c r="U8" s="1378">
        <f>Retail!CH136</f>
        <v>1.56895127993395E-2</v>
      </c>
      <c r="V8" s="1378">
        <f>Retail!CI136</f>
        <v>1.574479737130341E-2</v>
      </c>
      <c r="W8" s="1378">
        <f>Retail!CJ136</f>
        <v>1.7879077385014375E-2</v>
      </c>
      <c r="X8" s="1379">
        <f>Retail!CK136</f>
        <v>1.7879077385014375E-2</v>
      </c>
      <c r="Y8" s="1378">
        <f>CHOOSE(MATCH($B$8,$C$350:$C$352,0), Y56,Y73,Y90)</f>
        <v>2.4347116430903037E-2</v>
      </c>
      <c r="Z8" s="1378">
        <f>CHOOSE(MATCH($B$8,$C$350:$C$352,0), Z56,Z73,Z90)</f>
        <v>3.2113821138211263E-2</v>
      </c>
      <c r="AA8" s="1378">
        <f>CHOOSE(MATCH($B$8,$C$350:$C$352,0), AA56,AA73,AA90)</f>
        <v>3.3158107561666039E-2</v>
      </c>
      <c r="AB8" s="1378">
        <f ca="1">CHOOSE(MATCH($B$8,$C$350:$C$352,0), AB56,AB73,AB90)</f>
        <v>3.3158107561666039E-2</v>
      </c>
      <c r="AC8" s="1379">
        <f ca="1">Retail!CP136</f>
        <v>3.3158107561666039E-2</v>
      </c>
      <c r="AD8" s="1378">
        <f ca="1">Retail!CQ136</f>
        <v>3.3158107561666039E-2</v>
      </c>
      <c r="AE8" s="1378">
        <f ca="1">Retail!CR136</f>
        <v>3.3158107561666039E-2</v>
      </c>
      <c r="AF8" s="1378">
        <f ca="1">Retail!CS136</f>
        <v>3.3158107561666039E-2</v>
      </c>
      <c r="AG8" s="1378">
        <f>CHOOSE(MATCH($B$8,$C$350:$C$352,0), AG56,AG73,AG90)</f>
        <v>2.5000000000000001E-2</v>
      </c>
      <c r="AH8" s="1379">
        <f ca="1">Retail!CU136</f>
        <v>3.3158107561666039E-2</v>
      </c>
      <c r="AI8" s="1378">
        <f>CHOOSE(MATCH($B$8,$C$350:$C$352,0), AI56,AI73,AI90)</f>
        <v>2.5000000000000001E-2</v>
      </c>
      <c r="AJ8" s="1378">
        <f>CHOOSE(MATCH($B$8,$C$350:$C$352,0), AJ56,AJ73,AJ90)</f>
        <v>2.5000000000000001E-2</v>
      </c>
      <c r="AK8" s="1378">
        <f>CHOOSE(MATCH($B$8,$C$350:$C$352,0), AK56,AK73,AK90)</f>
        <v>2.5000000000000001E-2</v>
      </c>
      <c r="AL8" s="1378">
        <f>CHOOSE(MATCH($B$8,$C$350:$C$352,0), AL56,AL73,AL90)</f>
        <v>2.5000000000000001E-2</v>
      </c>
      <c r="AM8" s="1379">
        <f ca="1">Retail!CZ136</f>
        <v>3.3158107561666039E-2</v>
      </c>
      <c r="AN8" s="1378">
        <f>CHOOSE(MATCH($B$8,$C$350:$C$352,0), AN56,AN73,AN90)</f>
        <v>2.5000000000000001E-2</v>
      </c>
      <c r="AO8" s="1378">
        <f>CHOOSE(MATCH($B$8,$C$350:$C$352,0), AO56,AO73,AO90)</f>
        <v>2.5000000000000001E-2</v>
      </c>
      <c r="AP8" s="1378">
        <f>CHOOSE(MATCH($B$8,$C$350:$C$352,0), AP56,AP73,AP90)</f>
        <v>2.5000000000000001E-2</v>
      </c>
      <c r="AQ8" s="1378">
        <f>CHOOSE(MATCH($B$8,$C$350:$C$352,0), AQ56,AQ73,AQ90)</f>
        <v>2.5000000000000001E-2</v>
      </c>
      <c r="AR8" s="1379">
        <f ca="1">Retail!DE136</f>
        <v>2.4999999999999911E-2</v>
      </c>
      <c r="AS8" s="1378">
        <f>CHOOSE(MATCH($B$8,$C$350:$C$352,0), AS56,AS73,AS90)</f>
        <v>0</v>
      </c>
      <c r="AT8" s="1378">
        <f>CHOOSE(MATCH($B$8,$C$350:$C$352,0), AT56,AT73,AT90)</f>
        <v>0</v>
      </c>
      <c r="AU8" s="1378">
        <f>CHOOSE(MATCH($B$8,$C$350:$C$352,0), AU56,AU73,AU90)</f>
        <v>0</v>
      </c>
      <c r="AV8" s="1378">
        <f>CHOOSE(MATCH($B$8,$C$350:$C$352,0), AV56,AV73,AV90)</f>
        <v>0</v>
      </c>
      <c r="AW8" s="1379">
        <f>Retail!EB136</f>
        <v>0</v>
      </c>
      <c r="AX8" s="1378">
        <f>CHOOSE(MATCH($B$8,$C$350:$C$352,0), AX56,AX73,AX90)</f>
        <v>0</v>
      </c>
      <c r="AY8" s="1378">
        <f>CHOOSE(MATCH($B$8,$C$350:$C$352,0), AY56,AY73,AY90)</f>
        <v>0</v>
      </c>
      <c r="AZ8" s="1378">
        <f>CHOOSE(MATCH($B$8,$C$350:$C$352,0), AZ56,AZ73,AZ90)</f>
        <v>0</v>
      </c>
      <c r="BA8" s="1378">
        <f>CHOOSE(MATCH($B$8,$C$350:$C$352,0), BA56,BA73,BA90)</f>
        <v>0</v>
      </c>
      <c r="BB8" s="1379">
        <f>Retail!EG136</f>
        <v>0</v>
      </c>
      <c r="BC8" s="1378">
        <f>CHOOSE(MATCH($B$8,$C$350:$C$352,0), BC56,BC73,BC90)</f>
        <v>0</v>
      </c>
      <c r="BD8" s="1378">
        <f>CHOOSE(MATCH($B$8,$C$350:$C$352,0), BD56,BD73,BD90)</f>
        <v>0</v>
      </c>
      <c r="BE8" s="1378">
        <f>CHOOSE(MATCH($B$8,$C$350:$C$352,0), BE56,BE73,BE90)</f>
        <v>0</v>
      </c>
      <c r="BF8" s="1378">
        <f>CHOOSE(MATCH($B$8,$C$350:$C$352,0), BF56,BF73,BF90)</f>
        <v>0</v>
      </c>
      <c r="BG8" s="1379">
        <f>Retail!EL136</f>
        <v>0</v>
      </c>
      <c r="BH8" s="1378">
        <f>CHOOSE(MATCH($B$8,$C$350:$C$352,0), BH56,BH73,BH90)</f>
        <v>0</v>
      </c>
      <c r="BI8" s="1378">
        <f>CHOOSE(MATCH($B$8,$C$350:$C$352,0), BI56,BI73,BI90)</f>
        <v>0</v>
      </c>
      <c r="BJ8" s="1378">
        <f>CHOOSE(MATCH($B$8,$C$350:$C$352,0), BJ56,BJ73,BJ90)</f>
        <v>0</v>
      </c>
      <c r="BK8" s="1378">
        <f>CHOOSE(MATCH($B$8,$C$350:$C$352,0), BK56,BK73,BK90)</f>
        <v>0</v>
      </c>
      <c r="BL8" s="1379">
        <f>Retail!EQ136</f>
        <v>0</v>
      </c>
    </row>
    <row r="9" spans="1:64" x14ac:dyDescent="0.2">
      <c r="A9" s="238"/>
      <c r="B9" s="289"/>
      <c r="C9" s="1380" t="s">
        <v>1184</v>
      </c>
      <c r="D9" s="289"/>
      <c r="E9" s="1377"/>
      <c r="F9" s="1381"/>
      <c r="G9" s="1381"/>
      <c r="H9" s="1381"/>
      <c r="I9" s="1379"/>
      <c r="J9" s="1381"/>
      <c r="K9" s="1381"/>
      <c r="L9" s="1381"/>
      <c r="M9" s="1381"/>
      <c r="N9" s="1379"/>
      <c r="O9" s="1381"/>
      <c r="P9" s="1381"/>
      <c r="Q9" s="1381"/>
      <c r="R9" s="1381"/>
      <c r="S9" s="1379"/>
      <c r="T9" s="1381"/>
      <c r="U9" s="1381"/>
      <c r="V9" s="1381"/>
      <c r="W9" s="1381"/>
      <c r="X9" s="1379"/>
      <c r="Y9" s="1378"/>
      <c r="Z9" s="1381"/>
      <c r="AA9" s="1381"/>
      <c r="AB9" s="1382"/>
      <c r="AC9" s="1382"/>
      <c r="AD9" s="1378"/>
      <c r="AE9" s="1381"/>
      <c r="AF9" s="1381"/>
      <c r="AG9" s="1382"/>
      <c r="AH9" s="1382"/>
      <c r="AI9" s="1378"/>
      <c r="AJ9" s="1381"/>
      <c r="AK9" s="1381"/>
      <c r="AL9" s="1382"/>
      <c r="AM9" s="1382"/>
      <c r="AN9" s="1378"/>
      <c r="AO9" s="1381"/>
      <c r="AP9" s="1381"/>
      <c r="AQ9" s="1382"/>
      <c r="AR9" s="1382"/>
      <c r="AS9" s="1378"/>
      <c r="AT9" s="1381"/>
      <c r="AU9" s="1381"/>
      <c r="AV9" s="1382"/>
      <c r="AW9" s="1382"/>
      <c r="AX9" s="1378"/>
      <c r="AY9" s="1381"/>
      <c r="AZ9" s="1381"/>
      <c r="BA9" s="1382"/>
      <c r="BB9" s="1382"/>
      <c r="BC9" s="1378"/>
      <c r="BD9" s="1381"/>
      <c r="BE9" s="1381"/>
      <c r="BF9" s="1382"/>
      <c r="BG9" s="1382"/>
      <c r="BH9" s="1378"/>
      <c r="BI9" s="1381"/>
      <c r="BJ9" s="1381"/>
      <c r="BK9" s="1382"/>
      <c r="BL9" s="1382"/>
    </row>
    <row r="10" spans="1:64" x14ac:dyDescent="0.2">
      <c r="A10" s="238"/>
      <c r="B10" s="289"/>
      <c r="C10" s="1383" t="s">
        <v>1029</v>
      </c>
      <c r="D10" s="289"/>
      <c r="E10" s="1377">
        <f>Retail!BR138</f>
        <v>0.83063886934799847</v>
      </c>
      <c r="F10" s="1378">
        <f>Retail!BS138</f>
        <v>1.1230516956060566</v>
      </c>
      <c r="G10" s="1378">
        <f>Retail!BT138</f>
        <v>1.1404294772426715</v>
      </c>
      <c r="H10" s="1378">
        <f>Retail!BU138</f>
        <v>0.78192023219715256</v>
      </c>
      <c r="I10" s="1379">
        <f>Retail!BV138</f>
        <v>4.9888821734731224</v>
      </c>
      <c r="J10" s="1378">
        <f>Retail!BW138</f>
        <v>1.653923971147615</v>
      </c>
      <c r="K10" s="1378">
        <f>Retail!BX138</f>
        <v>1.0303404655498452</v>
      </c>
      <c r="L10" s="1378">
        <f>Retail!BY138</f>
        <v>0.81807500533883604</v>
      </c>
      <c r="M10" s="1378">
        <f>Retail!BZ138</f>
        <v>0.50406415842422592</v>
      </c>
      <c r="N10" s="1379">
        <f>Retail!CA138</f>
        <v>1.5005762777114446</v>
      </c>
      <c r="O10" s="1378">
        <f>Retail!CB138</f>
        <v>0.71286216732398822</v>
      </c>
      <c r="P10" s="1378">
        <f>Retail!CC138</f>
        <v>0.83287769186403504</v>
      </c>
      <c r="Q10" s="1378">
        <f>Retail!CD138</f>
        <v>1.1455100372047133</v>
      </c>
      <c r="R10" s="1378">
        <f>CHOOSE(MATCH($B$8,$C$349:$C$352,0),R41, R58,R75,R92)</f>
        <v>0.99168917505487764</v>
      </c>
      <c r="S10" s="1379">
        <f>Retail!CF138</f>
        <v>0.98049585346876433</v>
      </c>
      <c r="T10" s="1378">
        <f>Retail!CG138</f>
        <v>0.97906130478787246</v>
      </c>
      <c r="U10" s="1378">
        <f>Retail!CH138</f>
        <v>1.0090661827718101</v>
      </c>
      <c r="V10" s="1378">
        <f>Retail!CI138</f>
        <v>0.83143004241821661</v>
      </c>
      <c r="W10" s="1378">
        <f>Retail!CJ138</f>
        <v>0.84292865646027304</v>
      </c>
      <c r="X10" s="1379">
        <f>Retail!CK138</f>
        <v>0.8532188752219737</v>
      </c>
      <c r="Y10" s="1378">
        <f>CHOOSE(MATCH($B$8,$C$350:$C$352,0), Y58,Y75,Y92)</f>
        <v>0.72434393025247235</v>
      </c>
      <c r="Z10" s="1378">
        <f ca="1">CHOOSE(MATCH($B$8,$C$350:$C$352,0), Z58,Z75,Z92)</f>
        <v>0.85</v>
      </c>
      <c r="AA10" s="1378">
        <f ca="1">CHOOSE(MATCH($B$8,$C$350:$C$352,0), AA58,AA75,AA92)</f>
        <v>0.85</v>
      </c>
      <c r="AB10" s="1382">
        <f ca="1">CHOOSE(MATCH($B$8,$C$350:$C$352,0), AB58,AB75,AB92)</f>
        <v>0.85</v>
      </c>
      <c r="AC10" s="1382">
        <f ca="1">Retail!CP138</f>
        <v>0.44755268699610756</v>
      </c>
      <c r="AD10" s="1378">
        <f>Retail!CQ138</f>
        <v>0.85</v>
      </c>
      <c r="AE10" s="1378">
        <f>Retail!CR138</f>
        <v>0.85</v>
      </c>
      <c r="AF10" s="1378">
        <f>Retail!CS138</f>
        <v>0.85</v>
      </c>
      <c r="AG10" s="1382">
        <f>CHOOSE(MATCH($B$8,$C$350:$C$352,0), AG58,AG75,AG92)</f>
        <v>0.85</v>
      </c>
      <c r="AH10" s="1382">
        <f ca="1">Retail!CU138</f>
        <v>0.96611005972909847</v>
      </c>
      <c r="AI10" s="1378">
        <f>CHOOSE(MATCH($B$8,$C$350:$C$352,0), AI58,AI75,AI92)</f>
        <v>0.85</v>
      </c>
      <c r="AJ10" s="1378">
        <f>CHOOSE(MATCH($B$8,$C$350:$C$352,0), AJ58,AJ75,AJ92)</f>
        <v>0.85</v>
      </c>
      <c r="AK10" s="1378">
        <f>CHOOSE(MATCH($B$8,$C$350:$C$352,0), AK58,AK75,AK92)</f>
        <v>0.85</v>
      </c>
      <c r="AL10" s="1382">
        <f>CHOOSE(MATCH($B$8,$C$350:$C$352,0), AL58,AL75,AL92)</f>
        <v>0.85</v>
      </c>
      <c r="AM10" s="1382">
        <f ca="1">Retail!CZ138</f>
        <v>0.98396045065437365</v>
      </c>
      <c r="AN10" s="1378">
        <f>CHOOSE(MATCH($B$8,$C$350:$C$352,0), AN58,AN75,AN92)</f>
        <v>0.85</v>
      </c>
      <c r="AO10" s="1378">
        <f>CHOOSE(MATCH($B$8,$C$350:$C$352,0), AO58,AO75,AO92)</f>
        <v>0.85</v>
      </c>
      <c r="AP10" s="1378">
        <f>CHOOSE(MATCH($B$8,$C$350:$C$352,0), AP58,AP75,AP92)</f>
        <v>0.85</v>
      </c>
      <c r="AQ10" s="1382">
        <f>CHOOSE(MATCH($B$8,$C$350:$C$352,0), AQ58,AQ75,AQ92)</f>
        <v>0.85</v>
      </c>
      <c r="AR10" s="1382">
        <f>Retail!DE138</f>
        <v>0</v>
      </c>
      <c r="AS10" s="1378">
        <f>CHOOSE(MATCH($B$8,$C$350:$C$352,0), AS58,AS75,AS92)</f>
        <v>0.85</v>
      </c>
      <c r="AT10" s="1378">
        <f>CHOOSE(MATCH($B$8,$C$350:$C$352,0), AT58,AT75,AT92)</f>
        <v>0.85</v>
      </c>
      <c r="AU10" s="1378">
        <f>CHOOSE(MATCH($B$8,$C$350:$C$352,0), AU58,AU75,AU92)</f>
        <v>0.85</v>
      </c>
      <c r="AV10" s="1382">
        <f>CHOOSE(MATCH($B$8,$C$350:$C$352,0), AV58,AV75,AV92)</f>
        <v>0.85</v>
      </c>
      <c r="AW10" s="1382">
        <f>Retail!EB138</f>
        <v>0</v>
      </c>
      <c r="AX10" s="1378">
        <f>CHOOSE(MATCH($B$8,$C$350:$C$352,0), AX58,AX75,AX92)</f>
        <v>0.85</v>
      </c>
      <c r="AY10" s="1378">
        <f>CHOOSE(MATCH($B$8,$C$350:$C$352,0), AY58,AY75,AY92)</f>
        <v>0.85</v>
      </c>
      <c r="AZ10" s="1378">
        <f>CHOOSE(MATCH($B$8,$C$350:$C$352,0), AZ58,AZ75,AZ92)</f>
        <v>0.85</v>
      </c>
      <c r="BA10" s="1382">
        <f>CHOOSE(MATCH($B$8,$C$350:$C$352,0), BA58,BA75,BA92)</f>
        <v>0.85</v>
      </c>
      <c r="BB10" s="1382">
        <f>Retail!EG138</f>
        <v>0</v>
      </c>
      <c r="BC10" s="1378">
        <f>CHOOSE(MATCH($B$8,$C$350:$C$352,0), BC58,BC75,BC92)</f>
        <v>0.85</v>
      </c>
      <c r="BD10" s="1378">
        <f>CHOOSE(MATCH($B$8,$C$350:$C$352,0), BD58,BD75,BD92)</f>
        <v>0.85</v>
      </c>
      <c r="BE10" s="1378">
        <f>CHOOSE(MATCH($B$8,$C$350:$C$352,0), BE58,BE75,BE92)</f>
        <v>0.85</v>
      </c>
      <c r="BF10" s="1382">
        <f>CHOOSE(MATCH($B$8,$C$350:$C$352,0), BF58,BF75,BF92)</f>
        <v>0.85</v>
      </c>
      <c r="BG10" s="1382">
        <f>Retail!EL138</f>
        <v>0</v>
      </c>
      <c r="BH10" s="1378">
        <f>CHOOSE(MATCH($B$8,$C$350:$C$352,0), BH58,BH75,BH92)</f>
        <v>0.85</v>
      </c>
      <c r="BI10" s="1378">
        <f>CHOOSE(MATCH($B$8,$C$350:$C$352,0), BI58,BI75,BI92)</f>
        <v>0.85</v>
      </c>
      <c r="BJ10" s="1378">
        <f>CHOOSE(MATCH($B$8,$C$350:$C$352,0), BJ58,BJ75,BJ92)</f>
        <v>0.85</v>
      </c>
      <c r="BK10" s="1382">
        <f>CHOOSE(MATCH($B$8,$C$350:$C$352,0), BK58,BK75,BK92)</f>
        <v>0.85</v>
      </c>
      <c r="BL10" s="1382">
        <f>Retail!EQ138</f>
        <v>0</v>
      </c>
    </row>
    <row r="11" spans="1:64" ht="12" thickBot="1" x14ac:dyDescent="0.25">
      <c r="A11" s="238"/>
      <c r="B11" s="289"/>
      <c r="C11" s="1383"/>
      <c r="D11" s="289"/>
      <c r="E11" s="1377"/>
      <c r="F11" s="1381"/>
      <c r="G11" s="1381"/>
      <c r="H11" s="1381"/>
      <c r="I11" s="1379"/>
      <c r="J11" s="1381"/>
      <c r="K11" s="1381"/>
      <c r="L11" s="1381"/>
      <c r="M11" s="1381"/>
      <c r="N11" s="1379"/>
      <c r="O11" s="1381"/>
      <c r="P11" s="1381"/>
      <c r="Q11" s="1381"/>
      <c r="R11" s="1381"/>
      <c r="S11" s="1379"/>
      <c r="T11" s="1381"/>
      <c r="U11" s="1381"/>
      <c r="V11" s="1381"/>
      <c r="W11" s="1381"/>
      <c r="X11" s="1379"/>
      <c r="Y11" s="1378"/>
      <c r="Z11" s="1381"/>
      <c r="AA11" s="1381"/>
      <c r="AB11" s="1382"/>
      <c r="AC11" s="1382"/>
      <c r="AD11" s="1378"/>
      <c r="AE11" s="1381"/>
      <c r="AF11" s="1381"/>
      <c r="AG11" s="1382"/>
      <c r="AH11" s="1382"/>
      <c r="AI11" s="1378"/>
      <c r="AJ11" s="1381"/>
      <c r="AK11" s="1381"/>
      <c r="AL11" s="1382"/>
      <c r="AM11" s="1382"/>
      <c r="AN11" s="1378"/>
      <c r="AO11" s="1381"/>
      <c r="AP11" s="1381"/>
      <c r="AQ11" s="1382"/>
      <c r="AR11" s="1382"/>
      <c r="AS11" s="1378"/>
      <c r="AT11" s="1381"/>
      <c r="AU11" s="1381"/>
      <c r="AV11" s="1382"/>
      <c r="AW11" s="1382"/>
      <c r="AX11" s="1378"/>
      <c r="AY11" s="1381"/>
      <c r="AZ11" s="1381"/>
      <c r="BA11" s="1382"/>
      <c r="BB11" s="1382"/>
      <c r="BC11" s="1378"/>
      <c r="BD11" s="1381"/>
      <c r="BE11" s="1381"/>
      <c r="BF11" s="1382"/>
      <c r="BG11" s="1382"/>
      <c r="BH11" s="1378"/>
      <c r="BI11" s="1381"/>
      <c r="BJ11" s="1381"/>
      <c r="BK11" s="1382"/>
      <c r="BL11" s="1382"/>
    </row>
    <row r="12" spans="1:64" ht="12" thickBot="1" x14ac:dyDescent="0.25">
      <c r="A12" s="238"/>
      <c r="B12" s="1375" t="str">
        <f>B8</f>
        <v xml:space="preserve">Base </v>
      </c>
      <c r="C12" s="1384" t="s">
        <v>1185</v>
      </c>
      <c r="D12" s="289"/>
      <c r="E12" s="1377"/>
      <c r="F12" s="1381"/>
      <c r="G12" s="1381"/>
      <c r="H12" s="1381"/>
      <c r="I12" s="1379"/>
      <c r="J12" s="1381"/>
      <c r="K12" s="1381"/>
      <c r="L12" s="1381"/>
      <c r="M12" s="1381"/>
      <c r="N12" s="1379"/>
      <c r="O12" s="1381"/>
      <c r="P12" s="1381"/>
      <c r="Q12" s="1381"/>
      <c r="R12" s="1381"/>
      <c r="S12" s="1379"/>
      <c r="T12" s="1381"/>
      <c r="U12" s="1381"/>
      <c r="V12" s="1381"/>
      <c r="W12" s="1381"/>
      <c r="X12" s="1379"/>
      <c r="Y12" s="1378"/>
      <c r="Z12" s="1381"/>
      <c r="AA12" s="1381"/>
      <c r="AB12" s="1382"/>
      <c r="AC12" s="1382"/>
      <c r="AD12" s="1378"/>
      <c r="AE12" s="1381"/>
      <c r="AF12" s="1381"/>
      <c r="AG12" s="1382"/>
      <c r="AH12" s="1382"/>
      <c r="AI12" s="1378"/>
      <c r="AJ12" s="1381"/>
      <c r="AK12" s="1381"/>
      <c r="AL12" s="1382"/>
      <c r="AM12" s="1382"/>
      <c r="AN12" s="1378"/>
      <c r="AO12" s="1381"/>
      <c r="AP12" s="1381"/>
      <c r="AQ12" s="1382"/>
      <c r="AR12" s="1382"/>
      <c r="AS12" s="1378"/>
      <c r="AT12" s="1381"/>
      <c r="AU12" s="1381"/>
      <c r="AV12" s="1382"/>
      <c r="AW12" s="1382"/>
      <c r="AX12" s="1378"/>
      <c r="AY12" s="1381"/>
      <c r="AZ12" s="1381"/>
      <c r="BA12" s="1382"/>
      <c r="BB12" s="1382"/>
      <c r="BC12" s="1378"/>
      <c r="BD12" s="1381"/>
      <c r="BE12" s="1381"/>
      <c r="BF12" s="1382"/>
      <c r="BG12" s="1382"/>
      <c r="BH12" s="1378"/>
      <c r="BI12" s="1381"/>
      <c r="BJ12" s="1381"/>
      <c r="BK12" s="1382"/>
      <c r="BL12" s="1382"/>
    </row>
    <row r="13" spans="1:64" x14ac:dyDescent="0.2">
      <c r="A13" s="238"/>
      <c r="B13" s="289"/>
      <c r="C13" s="1380" t="s">
        <v>1029</v>
      </c>
      <c r="D13" s="289"/>
      <c r="E13" s="1377">
        <f>Retail!BR149</f>
        <v>7.0000000000000001E-3</v>
      </c>
      <c r="F13" s="1378">
        <f>Retail!BS149</f>
        <v>0.03</v>
      </c>
      <c r="G13" s="1378">
        <f>Retail!BT149</f>
        <v>8.0000000000000002E-3</v>
      </c>
      <c r="H13" s="1378">
        <f>Retail!BU149</f>
        <v>3.0000000000000001E-3</v>
      </c>
      <c r="I13" s="1379">
        <f>Retail!BV149</f>
        <v>1.1509631239887377E-2</v>
      </c>
      <c r="J13" s="1378">
        <f>Retail!BW149</f>
        <v>-7.0000000000000001E-3</v>
      </c>
      <c r="K13" s="1378">
        <f>Retail!BX149</f>
        <v>4.0000000000000001E-3</v>
      </c>
      <c r="L13" s="1378">
        <f>Retail!BY149</f>
        <v>1.4E-2</v>
      </c>
      <c r="M13" s="1378">
        <f>Retail!BZ149</f>
        <v>0.01</v>
      </c>
      <c r="N13" s="1379">
        <f>Retail!CA149</f>
        <v>5.3727616227513411E-3</v>
      </c>
      <c r="O13" s="1378">
        <f>Retail!CB149</f>
        <v>4.0000000000000001E-3</v>
      </c>
      <c r="P13" s="1378">
        <f>Retail!CC149</f>
        <v>8.0000000000000002E-3</v>
      </c>
      <c r="Q13" s="1378">
        <f>Retail!CD149</f>
        <v>0.02</v>
      </c>
      <c r="R13" s="1378">
        <f>CHOOSE(MATCH($B$12,$C$349:$C$352,0),R44, R61,R78,R95)</f>
        <v>1E-3</v>
      </c>
      <c r="S13" s="1379">
        <f>Retail!CF149</f>
        <v>8.0655485500056232E-3</v>
      </c>
      <c r="T13" s="1378">
        <f>Retail!CG149</f>
        <v>5.2999999999999999E-2</v>
      </c>
      <c r="U13" s="1378">
        <f>Retail!CH149</f>
        <v>2.3E-2</v>
      </c>
      <c r="V13" s="1378">
        <f>Retail!CI149</f>
        <v>2.1999999999999999E-2</v>
      </c>
      <c r="W13" s="1378">
        <f>Retail!CJ149</f>
        <v>3.9E-2</v>
      </c>
      <c r="X13" s="1379">
        <f>Retail!CK149</f>
        <v>3.4146613390665853E-2</v>
      </c>
      <c r="Y13" s="1378">
        <f>Retail!CL149</f>
        <v>1.4E-2</v>
      </c>
      <c r="Z13" s="1378">
        <f>Retail!CM149</f>
        <v>-4.0000000000000001E-3</v>
      </c>
      <c r="AA13" s="1378">
        <f>Retail!CN149</f>
        <v>-0.01</v>
      </c>
      <c r="AB13" s="1378">
        <f>CHOOSE(MATCH($B$12,$C$350:$C$352,0), AB61,AB78,AB95)</f>
        <v>-1.9E-2</v>
      </c>
      <c r="AC13" s="1382">
        <f>Retail!CP149</f>
        <v>-5.061232386708971E-3</v>
      </c>
      <c r="AD13" s="1378">
        <f>Retail!CQ149</f>
        <v>-3.7999999999999999E-2</v>
      </c>
      <c r="AE13" s="1378">
        <f>Retail!CR149</f>
        <v>-4.0000000000000001E-3</v>
      </c>
      <c r="AF13" s="1378">
        <f>Retail!CS149</f>
        <v>-4.4999999999999998E-2</v>
      </c>
      <c r="AG13" s="1382">
        <v>-8.6999999999999994E-2</v>
      </c>
      <c r="AH13" s="1382">
        <f>Retail!CU149</f>
        <v>-4.012018162199215E-2</v>
      </c>
      <c r="AI13" s="1378">
        <v>-0.08</v>
      </c>
      <c r="AJ13" s="1378">
        <f t="shared" ref="AJ13:AL14" si="0">CHOOSE(MATCH($B$12,$C$350:$C$352,0), AJ61,AJ78,AJ95)</f>
        <v>-0.06</v>
      </c>
      <c r="AK13" s="1378">
        <f t="shared" si="0"/>
        <v>-0.06</v>
      </c>
      <c r="AL13" s="1378">
        <f t="shared" si="0"/>
        <v>-0.06</v>
      </c>
      <c r="AM13" s="1382">
        <f>Retail!CZ149</f>
        <v>-5.0277388739775324E-2</v>
      </c>
      <c r="AN13" s="1378">
        <f t="shared" ref="AN13:AQ14" si="1">CHOOSE(MATCH($B$12,$C$350:$C$352,0), AN61,AN78,AN95)</f>
        <v>-0.06</v>
      </c>
      <c r="AO13" s="1378">
        <f t="shared" si="1"/>
        <v>-0.06</v>
      </c>
      <c r="AP13" s="1378">
        <f t="shared" si="1"/>
        <v>-0.06</v>
      </c>
      <c r="AQ13" s="1382">
        <f t="shared" si="1"/>
        <v>-0.06</v>
      </c>
      <c r="AR13" s="1382">
        <f>Retail!DE149</f>
        <v>-1.4639512243504529E-2</v>
      </c>
      <c r="AS13" s="1378">
        <f t="shared" ref="AS13:AV14" si="2">CHOOSE(MATCH($B$12,$C$350:$C$352,0), AS61,AS78,AS95)</f>
        <v>-0.02</v>
      </c>
      <c r="AT13" s="1378">
        <f t="shared" si="2"/>
        <v>-0.03</v>
      </c>
      <c r="AU13" s="1378">
        <f t="shared" si="2"/>
        <v>-0.01</v>
      </c>
      <c r="AV13" s="1382">
        <f t="shared" si="2"/>
        <v>-0.01</v>
      </c>
      <c r="AW13" s="1382">
        <f>Retail!EB149</f>
        <v>0</v>
      </c>
      <c r="AX13" s="1378">
        <f t="shared" ref="AX13:BA14" si="3">CHOOSE(MATCH($B$12,$C$350:$C$352,0), AX61,AX78,AX95)</f>
        <v>-5.0000000000000001E-3</v>
      </c>
      <c r="AY13" s="1378">
        <f t="shared" si="3"/>
        <v>-0.01</v>
      </c>
      <c r="AZ13" s="1378">
        <f t="shared" si="3"/>
        <v>-0.01</v>
      </c>
      <c r="BA13" s="1382">
        <f t="shared" si="3"/>
        <v>-0.01</v>
      </c>
      <c r="BB13" s="1382">
        <f>Retail!EG149</f>
        <v>0</v>
      </c>
      <c r="BC13" s="1378">
        <f t="shared" ref="BC13:BF14" si="4">CHOOSE(MATCH($B$12,$C$350:$C$352,0), BC61,BC78,BC95)</f>
        <v>-5.0000000000000001E-3</v>
      </c>
      <c r="BD13" s="1378">
        <f t="shared" si="4"/>
        <v>-5.0000000000000001E-3</v>
      </c>
      <c r="BE13" s="1378">
        <f t="shared" si="4"/>
        <v>-5.0000000000000001E-3</v>
      </c>
      <c r="BF13" s="1382">
        <f t="shared" si="4"/>
        <v>-5.0000000000000001E-3</v>
      </c>
      <c r="BG13" s="1382">
        <f>Retail!EL149</f>
        <v>0</v>
      </c>
      <c r="BH13" s="1378">
        <f t="shared" ref="BH13:BK13" si="5">CHOOSE(MATCH($B$12,$C$350:$C$352,0), BH61,BH78,BH95)</f>
        <v>-5.0000000000000001E-3</v>
      </c>
      <c r="BI13" s="1378">
        <f t="shared" si="5"/>
        <v>-5.0000000000000001E-3</v>
      </c>
      <c r="BJ13" s="1378">
        <f t="shared" si="5"/>
        <v>-5.0000000000000001E-3</v>
      </c>
      <c r="BK13" s="1382">
        <f t="shared" si="5"/>
        <v>-5.0000000000000001E-3</v>
      </c>
      <c r="BL13" s="1382">
        <f>Retail!EQ149</f>
        <v>0</v>
      </c>
    </row>
    <row r="14" spans="1:64" x14ac:dyDescent="0.2">
      <c r="A14" s="238"/>
      <c r="B14" s="289"/>
      <c r="C14" s="262" t="s">
        <v>1002</v>
      </c>
      <c r="D14" s="289"/>
      <c r="E14" s="1377">
        <f>Retail!BR76</f>
        <v>0.05</v>
      </c>
      <c r="F14" s="1378">
        <f>Retail!BS76</f>
        <v>0.05</v>
      </c>
      <c r="G14" s="1378">
        <f>Retail!BT76</f>
        <v>4.9000000000000002E-2</v>
      </c>
      <c r="H14" s="1378">
        <f>Retail!BU76</f>
        <v>5.3999999999999999E-2</v>
      </c>
      <c r="I14" s="1379"/>
      <c r="J14" s="1378">
        <f>Retail!BW76</f>
        <v>1.4999999999999999E-2</v>
      </c>
      <c r="K14" s="1378">
        <f>Retail!BX76</f>
        <v>1.6E-2</v>
      </c>
      <c r="L14" s="1378">
        <f>Retail!BY76</f>
        <v>1.4999999999999999E-2</v>
      </c>
      <c r="M14" s="1378">
        <f>Retail!BZ76</f>
        <v>1.4999999999999999E-2</v>
      </c>
      <c r="N14" s="1379">
        <f>Retail!CA76</f>
        <v>1.5248539909149539E-2</v>
      </c>
      <c r="O14" s="1378">
        <f>Retail!CB76</f>
        <v>3.9E-2</v>
      </c>
      <c r="P14" s="1378">
        <f>Retail!CC76</f>
        <v>1.9E-2</v>
      </c>
      <c r="Q14" s="1378">
        <f>Retail!CD76</f>
        <v>0.01</v>
      </c>
      <c r="R14" s="1378">
        <f>Retail!CE76</f>
        <v>2.1000000000000001E-2</v>
      </c>
      <c r="S14" s="1379">
        <f>Retail!CF76</f>
        <v>2.2228701666142436E-2</v>
      </c>
      <c r="T14" s="1378">
        <f>Retail!CG76</f>
        <v>7.1999999999999995E-2</v>
      </c>
      <c r="U14" s="1378">
        <f>Retail!CH76</f>
        <v>7.6999999999999999E-2</v>
      </c>
      <c r="V14" s="1378">
        <f>Retail!CI76</f>
        <v>8.6999999999999994E-2</v>
      </c>
      <c r="W14" s="1378">
        <f>Retail!CJ76</f>
        <v>0.09</v>
      </c>
      <c r="X14" s="1379">
        <f>Retail!CK76</f>
        <v>8.1526067791457546E-2</v>
      </c>
      <c r="Y14" s="1378">
        <f>Retail!CL76</f>
        <v>0.02</v>
      </c>
      <c r="Z14" s="1378">
        <f>Retail!CM76</f>
        <v>1.7999999999999999E-2</v>
      </c>
      <c r="AA14" s="1378">
        <f>Retail!CN76</f>
        <v>1.4E-2</v>
      </c>
      <c r="AB14" s="1378">
        <f ca="1">CHOOSE(MATCH($B$12,$C$350:$C$352,0), AB62,AB79,AB96)</f>
        <v>1.4E-2</v>
      </c>
      <c r="AC14" s="1382">
        <f>Retail!CP76</f>
        <v>0.19572614570274438</v>
      </c>
      <c r="AD14" s="1378">
        <f>Retail!CQ76</f>
        <v>-5.0000000000000001E-3</v>
      </c>
      <c r="AE14" s="1378">
        <f>Retail!CR76</f>
        <v>2.1000000000000001E-2</v>
      </c>
      <c r="AF14" s="1378">
        <f>Retail!CS76</f>
        <v>3.3000000000000002E-2</v>
      </c>
      <c r="AG14" s="1382">
        <v>0.02</v>
      </c>
      <c r="AH14" s="1382">
        <f>Retail!CU76</f>
        <v>0.23599006532389777</v>
      </c>
      <c r="AI14" s="1378">
        <v>2.5000000000000001E-2</v>
      </c>
      <c r="AJ14" s="1378">
        <f t="shared" si="0"/>
        <v>3.2000000000000001E-2</v>
      </c>
      <c r="AK14" s="1378">
        <f t="shared" si="0"/>
        <v>3.2000000000000001E-2</v>
      </c>
      <c r="AL14" s="1382">
        <f t="shared" si="0"/>
        <v>3.2000000000000001E-2</v>
      </c>
      <c r="AM14" s="1382">
        <f>Retail!CZ76</f>
        <v>0.278905235255136</v>
      </c>
      <c r="AN14" s="1378">
        <f t="shared" si="1"/>
        <v>3.2000000000000001E-2</v>
      </c>
      <c r="AO14" s="1378">
        <f t="shared" si="1"/>
        <v>3.2000000000000001E-2</v>
      </c>
      <c r="AP14" s="1378">
        <f t="shared" si="1"/>
        <v>3.2000000000000001E-2</v>
      </c>
      <c r="AQ14" s="1382">
        <f t="shared" si="1"/>
        <v>3.2000000000000001E-2</v>
      </c>
      <c r="AR14" s="1382">
        <f>Retail!DE76</f>
        <v>0.33979865944831156</v>
      </c>
      <c r="AS14" s="1378">
        <f t="shared" si="2"/>
        <v>-1.4999999999999999E-2</v>
      </c>
      <c r="AT14" s="1378">
        <f t="shared" si="2"/>
        <v>-0.01</v>
      </c>
      <c r="AU14" s="1378">
        <f t="shared" si="2"/>
        <v>-2.5000000000000001E-3</v>
      </c>
      <c r="AV14" s="1382">
        <f t="shared" si="2"/>
        <v>5.0000000000000001E-3</v>
      </c>
      <c r="AW14" s="1382">
        <f>Retail!EB76</f>
        <v>0</v>
      </c>
      <c r="AX14" s="1378">
        <f t="shared" si="3"/>
        <v>7.4999999999999997E-2</v>
      </c>
      <c r="AY14" s="1378">
        <f t="shared" si="3"/>
        <v>6.4000000000000001E-2</v>
      </c>
      <c r="AZ14" s="1378">
        <f t="shared" si="3"/>
        <v>6.4000000000000001E-2</v>
      </c>
      <c r="BA14" s="1382">
        <f t="shared" si="3"/>
        <v>6.4000000000000001E-2</v>
      </c>
      <c r="BB14" s="1382">
        <f>Retail!EG76</f>
        <v>0</v>
      </c>
      <c r="BC14" s="1378">
        <f t="shared" si="4"/>
        <v>3.5000000000000003E-2</v>
      </c>
      <c r="BD14" s="1378">
        <f t="shared" si="4"/>
        <v>3.5000000000000003E-2</v>
      </c>
      <c r="BE14" s="1378">
        <f t="shared" si="4"/>
        <v>3.5000000000000003E-2</v>
      </c>
      <c r="BF14" s="1382">
        <f t="shared" si="4"/>
        <v>3.5000000000000003E-2</v>
      </c>
      <c r="BG14" s="1382">
        <f>Retail!EL76</f>
        <v>0</v>
      </c>
      <c r="BH14" s="1378">
        <f t="shared" ref="BH14:BK14" si="6">CHOOSE(MATCH($B$12,$C$350:$C$352,0), BH62,BH79,BH96)</f>
        <v>3.5000000000000003E-2</v>
      </c>
      <c r="BI14" s="1378">
        <f t="shared" si="6"/>
        <v>3.5000000000000003E-2</v>
      </c>
      <c r="BJ14" s="1378">
        <f t="shared" si="6"/>
        <v>3.5000000000000003E-2</v>
      </c>
      <c r="BK14" s="1382">
        <f t="shared" si="6"/>
        <v>3.5000000000000003E-2</v>
      </c>
      <c r="BL14" s="1382">
        <f>Retail!EQ76</f>
        <v>0</v>
      </c>
    </row>
    <row r="15" spans="1:64" ht="12" thickBot="1" x14ac:dyDescent="0.25">
      <c r="A15" s="238"/>
      <c r="B15" s="289"/>
      <c r="C15" s="1380"/>
      <c r="D15" s="289"/>
      <c r="E15" s="1377"/>
      <c r="F15" s="1381"/>
      <c r="G15" s="1381"/>
      <c r="H15" s="1381"/>
      <c r="I15" s="1379"/>
      <c r="J15" s="1381"/>
      <c r="K15" s="1381"/>
      <c r="L15" s="1381"/>
      <c r="M15" s="1381"/>
      <c r="N15" s="1379"/>
      <c r="O15" s="1381"/>
      <c r="P15" s="1381"/>
      <c r="Q15" s="1381"/>
      <c r="R15" s="1381"/>
      <c r="S15" s="1379"/>
      <c r="T15" s="1381"/>
      <c r="U15" s="1381"/>
      <c r="V15" s="1381"/>
      <c r="W15" s="1381"/>
      <c r="X15" s="1379"/>
      <c r="Y15" s="1378"/>
      <c r="Z15" s="1381"/>
      <c r="AA15" s="1381"/>
      <c r="AB15" s="1382"/>
      <c r="AC15" s="1382"/>
      <c r="AD15" s="1378"/>
      <c r="AE15" s="1381"/>
      <c r="AF15" s="1381"/>
      <c r="AG15" s="1382"/>
      <c r="AH15" s="1382"/>
      <c r="AI15" s="1378"/>
      <c r="AJ15" s="1381"/>
      <c r="AK15" s="1381"/>
      <c r="AL15" s="1382"/>
      <c r="AM15" s="1382"/>
      <c r="AN15" s="1378"/>
      <c r="AO15" s="1381"/>
      <c r="AP15" s="1381"/>
      <c r="AQ15" s="1382"/>
      <c r="AR15" s="1382"/>
      <c r="AS15" s="1378"/>
      <c r="AT15" s="1381"/>
      <c r="AU15" s="1381"/>
      <c r="AV15" s="1382"/>
      <c r="AW15" s="1382"/>
      <c r="AX15" s="1378"/>
      <c r="AY15" s="1381"/>
      <c r="AZ15" s="1381"/>
      <c r="BA15" s="1382"/>
      <c r="BB15" s="1382"/>
      <c r="BC15" s="1378"/>
      <c r="BD15" s="1381"/>
      <c r="BE15" s="1381"/>
      <c r="BF15" s="1382"/>
      <c r="BG15" s="1382"/>
      <c r="BH15" s="1378"/>
      <c r="BI15" s="1381"/>
      <c r="BJ15" s="1381"/>
      <c r="BK15" s="1382"/>
      <c r="BL15" s="1382"/>
    </row>
    <row r="16" spans="1:64" ht="12" thickBot="1" x14ac:dyDescent="0.25">
      <c r="A16" s="238"/>
      <c r="B16" s="1375" t="str">
        <f>B12</f>
        <v xml:space="preserve">Base </v>
      </c>
      <c r="C16" s="1384" t="s">
        <v>1186</v>
      </c>
      <c r="D16" s="289"/>
      <c r="E16" s="1377"/>
      <c r="F16" s="1381"/>
      <c r="G16" s="1381"/>
      <c r="H16" s="1381"/>
      <c r="I16" s="1379"/>
      <c r="J16" s="1381"/>
      <c r="K16" s="1381"/>
      <c r="L16" s="1381"/>
      <c r="M16" s="1381"/>
      <c r="N16" s="1379"/>
      <c r="O16" s="1381"/>
      <c r="P16" s="1381"/>
      <c r="Q16" s="1381"/>
      <c r="R16" s="1381"/>
      <c r="S16" s="1379"/>
      <c r="T16" s="1381"/>
      <c r="U16" s="1381"/>
      <c r="V16" s="1381"/>
      <c r="W16" s="1381"/>
      <c r="X16" s="1379"/>
      <c r="Y16" s="1381"/>
      <c r="Z16" s="1381"/>
      <c r="AA16" s="1381"/>
      <c r="AB16" s="1381"/>
      <c r="AC16" s="1379"/>
      <c r="AD16" s="1381"/>
      <c r="AE16" s="1381"/>
      <c r="AF16" s="1381"/>
      <c r="AG16" s="1381"/>
      <c r="AH16" s="1379"/>
      <c r="AI16" s="1381"/>
      <c r="AJ16" s="1381"/>
      <c r="AK16" s="1381"/>
      <c r="AL16" s="1382"/>
      <c r="AM16" s="1382"/>
      <c r="AN16" s="1381"/>
      <c r="AO16" s="1381"/>
      <c r="AP16" s="1381"/>
      <c r="AQ16" s="1381"/>
      <c r="AR16" s="1379"/>
      <c r="AS16" s="1381"/>
      <c r="AT16" s="1381"/>
      <c r="AU16" s="1381"/>
      <c r="AV16" s="1381"/>
      <c r="AW16" s="1379"/>
      <c r="AX16" s="1381"/>
      <c r="AY16" s="1381"/>
      <c r="AZ16" s="1381"/>
      <c r="BA16" s="1381"/>
      <c r="BB16" s="1379"/>
      <c r="BC16" s="1381"/>
      <c r="BD16" s="1381"/>
      <c r="BE16" s="1381"/>
      <c r="BF16" s="1381"/>
      <c r="BG16" s="1379"/>
      <c r="BH16" s="1381"/>
      <c r="BI16" s="1381"/>
      <c r="BJ16" s="1381"/>
      <c r="BK16" s="1381"/>
      <c r="BL16" s="1379"/>
    </row>
    <row r="17" spans="1:64" x14ac:dyDescent="0.2">
      <c r="A17" s="238"/>
      <c r="B17" s="231"/>
      <c r="C17" s="1385" t="s">
        <v>1187</v>
      </c>
      <c r="D17" s="231"/>
      <c r="E17" s="1377">
        <f>Retail!BR111</f>
        <v>0.625</v>
      </c>
      <c r="F17" s="1378">
        <f>Retail!BS111</f>
        <v>0.625</v>
      </c>
      <c r="G17" s="1378">
        <f>Retail!BT111</f>
        <v>0.625</v>
      </c>
      <c r="H17" s="1378">
        <f>Retail!BU111</f>
        <v>0.625</v>
      </c>
      <c r="I17" s="1379">
        <f>Retail!BV111</f>
        <v>0.62499999999999989</v>
      </c>
      <c r="J17" s="1378">
        <f>Retail!BW111</f>
        <v>0.62135922330097093</v>
      </c>
      <c r="K17" s="1378">
        <f>Retail!BX111</f>
        <v>0.62135922330097093</v>
      </c>
      <c r="L17" s="1378">
        <f>Retail!BY111</f>
        <v>0.62135922330097082</v>
      </c>
      <c r="M17" s="1378">
        <f>Retail!BZ111</f>
        <v>0.62135922330097082</v>
      </c>
      <c r="N17" s="1379">
        <f>Retail!CA111</f>
        <v>0.62135922330097082</v>
      </c>
      <c r="O17" s="1378">
        <f>Retail!CB111</f>
        <v>0.61764705882352944</v>
      </c>
      <c r="P17" s="1378">
        <f>Retail!CC111</f>
        <v>0.61764705882352944</v>
      </c>
      <c r="Q17" s="1378">
        <f>Retail!CD111</f>
        <v>0.61764705882352944</v>
      </c>
      <c r="R17" s="1378">
        <f>Retail!CE111</f>
        <v>0.61764705882352944</v>
      </c>
      <c r="S17" s="1379">
        <f>Retail!CF111</f>
        <v>0.61764705882352944</v>
      </c>
      <c r="T17" s="1378">
        <f>Retail!CG111</f>
        <v>0.617547058823529</v>
      </c>
      <c r="U17" s="1378">
        <f>Retail!CH111</f>
        <v>0.61799999999999999</v>
      </c>
      <c r="V17" s="1378">
        <f>Retail!CI111</f>
        <v>0.61799999999999999</v>
      </c>
      <c r="W17" s="1378">
        <f>Retail!CJ111</f>
        <v>0.61799999999999999</v>
      </c>
      <c r="X17" s="1379">
        <f>Retail!CK111</f>
        <v>0.61788422769780504</v>
      </c>
      <c r="Y17" s="1378">
        <f>Retail!CL111</f>
        <v>0.621</v>
      </c>
      <c r="Z17" s="1378">
        <f>Retail!CM111</f>
        <v>0.621</v>
      </c>
      <c r="AA17" s="1378">
        <f>Retail!CN111</f>
        <v>0.61</v>
      </c>
      <c r="AB17" s="1382">
        <f ca="1">CHOOSE(MATCH($B$16,$C$350:$C$352,0), AB65,AB82,AB99)</f>
        <v>0.61</v>
      </c>
      <c r="AC17" s="1382">
        <f>Retail!CP111</f>
        <v>0.61758250370308709</v>
      </c>
      <c r="AD17" s="1378">
        <f>Retail!CQ111</f>
        <v>0.61850000000000005</v>
      </c>
      <c r="AE17" s="1378">
        <f>Retail!CR111</f>
        <v>0.62</v>
      </c>
      <c r="AF17" s="1378">
        <f>Retail!CS111</f>
        <v>0.6</v>
      </c>
      <c r="AG17" s="1382">
        <f>CHOOSE(MATCH($B$16,$C$350:$C$352,0), AG65,AG82,AG99)</f>
        <v>0.627</v>
      </c>
      <c r="AH17" s="1382">
        <f>Retail!CU111</f>
        <v>0.61725049004003096</v>
      </c>
      <c r="AI17" s="1378">
        <f t="shared" ref="AI17:AK19" si="7">CHOOSE(MATCH($B$16,$C$350:$C$352,0), AI65,AI82,AI99)</f>
        <v>0.62</v>
      </c>
      <c r="AJ17" s="1378">
        <f t="shared" si="7"/>
        <v>0.62</v>
      </c>
      <c r="AK17" s="1378">
        <f t="shared" si="7"/>
        <v>0.62</v>
      </c>
      <c r="AL17" s="1382">
        <f>CHOOSE(MATCH($B$16,$C$350:$C$352,0), AL65,AL82,AL99)</f>
        <v>0.62</v>
      </c>
      <c r="AM17" s="1382">
        <f>Retail!CZ111</f>
        <v>0.64132683323748219</v>
      </c>
      <c r="AN17" s="1378">
        <f t="shared" ref="AN17:AQ19" si="8">CHOOSE(MATCH($B$16,$C$350:$C$352,0), AN65,AN82,AN99)</f>
        <v>0.62</v>
      </c>
      <c r="AO17" s="1378">
        <f t="shared" si="8"/>
        <v>0.62</v>
      </c>
      <c r="AP17" s="1378">
        <f t="shared" si="8"/>
        <v>0.62</v>
      </c>
      <c r="AQ17" s="1382">
        <f t="shared" si="8"/>
        <v>0.62</v>
      </c>
      <c r="AR17" s="1382">
        <f>Retail!DE111</f>
        <v>0.64029529288762077</v>
      </c>
      <c r="AS17" s="1378">
        <f t="shared" ref="AS17:AV19" si="9">CHOOSE(MATCH($B$16,$C$350:$C$352,0), AS65,AS82,AS99)</f>
        <v>0.63749999999999996</v>
      </c>
      <c r="AT17" s="1378">
        <f t="shared" si="9"/>
        <v>0.62</v>
      </c>
      <c r="AU17" s="1378">
        <f t="shared" si="9"/>
        <v>0.62</v>
      </c>
      <c r="AV17" s="1382">
        <f t="shared" si="9"/>
        <v>0.63749999999999996</v>
      </c>
      <c r="AW17" s="1382">
        <f>Retail!EB111</f>
        <v>0</v>
      </c>
      <c r="AX17" s="1378">
        <f t="shared" ref="AX17:BA19" si="10">CHOOSE(MATCH($B$16,$C$350:$C$352,0), AX65,AX82,AX99)</f>
        <v>0.63749999999999996</v>
      </c>
      <c r="AY17" s="1378">
        <f t="shared" si="10"/>
        <v>0.625</v>
      </c>
      <c r="AZ17" s="1378">
        <f t="shared" si="10"/>
        <v>0.625</v>
      </c>
      <c r="BA17" s="1382">
        <f t="shared" si="10"/>
        <v>0.64249999999999996</v>
      </c>
      <c r="BB17" s="1382">
        <f>Retail!EG111</f>
        <v>0</v>
      </c>
      <c r="BC17" s="1378">
        <f t="shared" ref="BC17:BF19" si="11">CHOOSE(MATCH($B$16,$C$350:$C$352,0), BC65,BC82,BC99)</f>
        <v>0.63449999999999995</v>
      </c>
      <c r="BD17" s="1378">
        <f t="shared" si="11"/>
        <v>0.622</v>
      </c>
      <c r="BE17" s="1378">
        <f t="shared" si="11"/>
        <v>0.622</v>
      </c>
      <c r="BF17" s="1382">
        <f t="shared" si="11"/>
        <v>0.63949999999999996</v>
      </c>
      <c r="BG17" s="1382">
        <f>Retail!EL111</f>
        <v>0</v>
      </c>
      <c r="BH17" s="1378">
        <f t="shared" ref="BH17:BK17" si="12">CHOOSE(MATCH($B$16,$C$350:$C$352,0), BH65,BH82,BH99)</f>
        <v>0.63149999999999995</v>
      </c>
      <c r="BI17" s="1378">
        <f t="shared" si="12"/>
        <v>0.61899999999999999</v>
      </c>
      <c r="BJ17" s="1378">
        <f t="shared" si="12"/>
        <v>0.61899999999999999</v>
      </c>
      <c r="BK17" s="1382">
        <f t="shared" si="12"/>
        <v>0.63649999999999995</v>
      </c>
      <c r="BL17" s="1382">
        <f>Retail!EQ111</f>
        <v>0</v>
      </c>
    </row>
    <row r="18" spans="1:64" x14ac:dyDescent="0.2">
      <c r="A18" s="238"/>
      <c r="B18" s="231"/>
      <c r="C18" s="1385" t="s">
        <v>1188</v>
      </c>
      <c r="D18" s="231"/>
      <c r="E18" s="1377">
        <f>Retail!BR112</f>
        <v>8.0490767113561221E-2</v>
      </c>
      <c r="F18" s="1378">
        <f>Retail!BS112</f>
        <v>7.9241174782559584E-2</v>
      </c>
      <c r="G18" s="1378">
        <f>Retail!BT112</f>
        <v>7.6923312693388216E-2</v>
      </c>
      <c r="H18" s="1378">
        <f>Retail!BU112</f>
        <v>7.6895019143444779E-2</v>
      </c>
      <c r="I18" s="1379">
        <f>Retail!BV112</f>
        <v>7.8369363164140809E-2</v>
      </c>
      <c r="J18" s="1378">
        <f>Retail!BW112</f>
        <v>7.3426921952402788E-2</v>
      </c>
      <c r="K18" s="1378">
        <f>Retail!BX112</f>
        <v>7.1030508486124286E-2</v>
      </c>
      <c r="L18" s="1378">
        <f>Retail!BY112</f>
        <v>6.8646349527249295E-2</v>
      </c>
      <c r="M18" s="1378">
        <f>Retail!BZ112</f>
        <v>6.9209900111050424E-2</v>
      </c>
      <c r="N18" s="1379">
        <f>Retail!CA112</f>
        <v>7.0569352374422842E-2</v>
      </c>
      <c r="O18" s="1378">
        <f>Retail!CB112</f>
        <v>6.7347792098993095E-2</v>
      </c>
      <c r="P18" s="1378">
        <f>Retail!CC112</f>
        <v>6.518357530791527E-2</v>
      </c>
      <c r="Q18" s="1378">
        <f>Retail!CD112</f>
        <v>6.518357530791527E-2</v>
      </c>
      <c r="R18" s="1378">
        <f>Retail!CE112</f>
        <v>6.518357530791527E-2</v>
      </c>
      <c r="S18" s="1379">
        <f>Retail!CF112</f>
        <v>6.5719208036571095E-2</v>
      </c>
      <c r="T18" s="1378">
        <f>Retail!CG112</f>
        <v>6.1741432641505098E-2</v>
      </c>
      <c r="U18" s="1378">
        <f>Retail!CH112</f>
        <v>6.2E-2</v>
      </c>
      <c r="V18" s="1378">
        <f>Retail!CI112</f>
        <v>6.2E-2</v>
      </c>
      <c r="W18" s="1378">
        <f>Retail!CJ112</f>
        <v>6.1100000000000002E-2</v>
      </c>
      <c r="X18" s="1379">
        <f>Retail!CK112</f>
        <v>6.1707883896992083E-2</v>
      </c>
      <c r="Y18" s="1378">
        <f>Retail!CL112</f>
        <v>5.8999999999999997E-2</v>
      </c>
      <c r="Z18" s="1378">
        <f>Retail!CM112</f>
        <v>5.8999999999999997E-2</v>
      </c>
      <c r="AA18" s="1378">
        <f>Retail!CN112</f>
        <v>5.2999999999999999E-2</v>
      </c>
      <c r="AB18" s="1382">
        <f ca="1">CHOOSE(MATCH($B$16,$C$350:$C$352,0), AB66,AB83,AB100)</f>
        <v>5.2999999999999999E-2</v>
      </c>
      <c r="AC18" s="1382">
        <f>Retail!CP112</f>
        <v>5.5136728120086784E-2</v>
      </c>
      <c r="AD18" s="1378">
        <f>Retail!CQ112</f>
        <v>0.05</v>
      </c>
      <c r="AE18" s="1378">
        <f>Retail!CR112</f>
        <v>5.7499999999999996E-2</v>
      </c>
      <c r="AF18" s="1378">
        <f>Retail!CS112</f>
        <v>0.05</v>
      </c>
      <c r="AG18" s="1382">
        <f>CHOOSE(MATCH($B$16,$C$350:$C$352,0), AG66,AG83,AG100)</f>
        <v>5.2499999999999998E-2</v>
      </c>
      <c r="AH18" s="1382">
        <f>Retail!CU112</f>
        <v>5.3148073590756947E-2</v>
      </c>
      <c r="AI18" s="1378">
        <f t="shared" si="7"/>
        <v>5.5E-2</v>
      </c>
      <c r="AJ18" s="1378">
        <f t="shared" si="7"/>
        <v>5.5E-2</v>
      </c>
      <c r="AK18" s="1378">
        <f>CHOOSE(MATCH($B$16,$C$350:$C$352,0), AK66,AK83,AK100)</f>
        <v>5.5E-2</v>
      </c>
      <c r="AL18" s="1382">
        <f>CHOOSE(MATCH($B$16,$C$350:$C$352,0), AL66,AL83,AL100)</f>
        <v>5.5E-2</v>
      </c>
      <c r="AM18" s="1382">
        <f>Retail!CZ112</f>
        <v>5.633292707734263E-2</v>
      </c>
      <c r="AN18" s="1378">
        <f t="shared" si="8"/>
        <v>5.5E-2</v>
      </c>
      <c r="AO18" s="1378">
        <f t="shared" si="8"/>
        <v>5.5E-2</v>
      </c>
      <c r="AP18" s="1378">
        <f t="shared" si="8"/>
        <v>5.5E-2</v>
      </c>
      <c r="AQ18" s="1382">
        <f t="shared" si="8"/>
        <v>5.5E-2</v>
      </c>
      <c r="AR18" s="1382">
        <f>Retail!DE112</f>
        <v>5.2232916266545158E-2</v>
      </c>
      <c r="AS18" s="1378">
        <f t="shared" si="9"/>
        <v>5.5E-2</v>
      </c>
      <c r="AT18" s="1378">
        <f t="shared" si="9"/>
        <v>5.5E-2</v>
      </c>
      <c r="AU18" s="1378">
        <f t="shared" si="9"/>
        <v>5.5E-2</v>
      </c>
      <c r="AV18" s="1382">
        <f t="shared" si="9"/>
        <v>5.5E-2</v>
      </c>
      <c r="AW18" s="1382">
        <f>Retail!EB112</f>
        <v>0</v>
      </c>
      <c r="AX18" s="1378">
        <f t="shared" si="10"/>
        <v>5.5E-2</v>
      </c>
      <c r="AY18" s="1378">
        <f t="shared" si="10"/>
        <v>5.5E-2</v>
      </c>
      <c r="AZ18" s="1378">
        <f t="shared" si="10"/>
        <v>5.5E-2</v>
      </c>
      <c r="BA18" s="1382">
        <f t="shared" si="10"/>
        <v>5.5E-2</v>
      </c>
      <c r="BB18" s="1382">
        <f>Retail!EG112</f>
        <v>0</v>
      </c>
      <c r="BC18" s="1378">
        <f t="shared" si="11"/>
        <v>5.5E-2</v>
      </c>
      <c r="BD18" s="1378">
        <f t="shared" si="11"/>
        <v>5.5E-2</v>
      </c>
      <c r="BE18" s="1378">
        <f t="shared" si="11"/>
        <v>5.5E-2</v>
      </c>
      <c r="BF18" s="1382">
        <f t="shared" si="11"/>
        <v>5.5E-2</v>
      </c>
      <c r="BG18" s="1382">
        <f>Retail!EL112</f>
        <v>0</v>
      </c>
      <c r="BH18" s="1378">
        <f t="shared" ref="BH18:BK18" si="13">CHOOSE(MATCH($B$16,$C$350:$C$352,0), BH66,BH83,BH100)</f>
        <v>5.5E-2</v>
      </c>
      <c r="BI18" s="1378">
        <f t="shared" si="13"/>
        <v>5.5E-2</v>
      </c>
      <c r="BJ18" s="1378">
        <f t="shared" si="13"/>
        <v>5.5E-2</v>
      </c>
      <c r="BK18" s="1382">
        <f t="shared" si="13"/>
        <v>5.5E-2</v>
      </c>
      <c r="BL18" s="1382">
        <f>Retail!EQ112</f>
        <v>0</v>
      </c>
    </row>
    <row r="19" spans="1:64" x14ac:dyDescent="0.2">
      <c r="A19" s="238"/>
      <c r="B19" s="231"/>
      <c r="C19" s="1385" t="s">
        <v>1189</v>
      </c>
      <c r="D19" s="231"/>
      <c r="E19" s="1377">
        <f>Retail!BR130</f>
        <v>0.40126815673683591</v>
      </c>
      <c r="F19" s="1378">
        <f>Retail!BS130</f>
        <v>0.41719569976022713</v>
      </c>
      <c r="G19" s="1378">
        <f>Retail!BT130</f>
        <v>0.40985312290900061</v>
      </c>
      <c r="H19" s="1378">
        <f>Retail!BU130</f>
        <v>0.45192189837239632</v>
      </c>
      <c r="I19" s="1379">
        <f>Retail!BV130</f>
        <v>0.42092286096957587</v>
      </c>
      <c r="J19" s="1378">
        <f>Retail!BW130</f>
        <v>0.38142846297918576</v>
      </c>
      <c r="K19" s="1378">
        <f>Retail!BX130</f>
        <v>0.41391798438566091</v>
      </c>
      <c r="L19" s="1378">
        <f>Retail!BY130</f>
        <v>0.42194029429029062</v>
      </c>
      <c r="M19" s="1378">
        <f>Retail!BZ130</f>
        <v>0.45551111443821213</v>
      </c>
      <c r="N19" s="1379">
        <f>Retail!CA130</f>
        <v>0.41913359702337372</v>
      </c>
      <c r="O19" s="1378">
        <f>Retail!CB130</f>
        <v>0.38431454776073914</v>
      </c>
      <c r="P19" s="1378">
        <f>Retail!CC130</f>
        <v>0.42133953236123184</v>
      </c>
      <c r="Q19" s="1378">
        <f>Retail!CD130</f>
        <v>0.41439922695857107</v>
      </c>
      <c r="R19" s="1378">
        <f>Retail!CE130</f>
        <v>0.4188811207428304</v>
      </c>
      <c r="S19" s="1379">
        <f>Retail!CF130</f>
        <v>0.41015850759417316</v>
      </c>
      <c r="T19" s="1378">
        <f>Retail!CG130</f>
        <v>0.36568767587942286</v>
      </c>
      <c r="U19" s="1378">
        <f>Retail!CH130</f>
        <v>0.41105776716278802</v>
      </c>
      <c r="V19" s="1378">
        <f>Retail!CI130</f>
        <v>0.41389722617324115</v>
      </c>
      <c r="W19" s="1378">
        <f>Retail!CJ130</f>
        <v>0.44339256777990116</v>
      </c>
      <c r="X19" s="1379">
        <f>Retail!CK130</f>
        <v>0.40930963121674707</v>
      </c>
      <c r="Y19" s="1378">
        <f>Retail!CL130</f>
        <v>0.42607613976417913</v>
      </c>
      <c r="Z19" s="1378">
        <f>Retail!CM130</f>
        <v>0.43069727046079148</v>
      </c>
      <c r="AA19" s="1378">
        <f>Retail!CN130</f>
        <v>0.42354563524467725</v>
      </c>
      <c r="AB19" s="1382">
        <f ca="1">CHOOSE(MATCH($B$16,$C$350:$C$352,0), AB67,AB84,AB101)</f>
        <v>0.43747309434302956</v>
      </c>
      <c r="AC19" s="1382">
        <f ca="1">Retail!CP130</f>
        <v>0.42963309933084426</v>
      </c>
      <c r="AD19" s="1378">
        <f ca="1">Retail!CQ130</f>
        <v>0.43747309434302944</v>
      </c>
      <c r="AE19" s="1378">
        <f ca="1">Retail!CR130</f>
        <v>0.43747309434302939</v>
      </c>
      <c r="AF19" s="1378">
        <f ca="1">Retail!CS130</f>
        <v>0.43747309434302944</v>
      </c>
      <c r="AG19" s="1382">
        <v>0.44</v>
      </c>
      <c r="AH19" s="1382">
        <f ca="1">Retail!CU130</f>
        <v>0.43747309434302944</v>
      </c>
      <c r="AI19" s="1378">
        <f t="shared" si="7"/>
        <v>0.44</v>
      </c>
      <c r="AJ19" s="1378">
        <f t="shared" si="7"/>
        <v>0.44</v>
      </c>
      <c r="AK19" s="1378">
        <f>CHOOSE(MATCH($B$16,$C$350:$C$352,0), AK67,AK84,AK101)</f>
        <v>0.44</v>
      </c>
      <c r="AL19" s="1382">
        <f>CHOOSE(MATCH($B$16,$C$350:$C$352,0), AL67,AL84,AL101)</f>
        <v>0.44</v>
      </c>
      <c r="AM19" s="1382">
        <f ca="1">Retail!CZ130</f>
        <v>0.43747309434302961</v>
      </c>
      <c r="AN19" s="1378">
        <f t="shared" si="8"/>
        <v>0.44</v>
      </c>
      <c r="AO19" s="1378">
        <f t="shared" si="8"/>
        <v>0.44</v>
      </c>
      <c r="AP19" s="1378">
        <f t="shared" si="8"/>
        <v>0.44</v>
      </c>
      <c r="AQ19" s="1382">
        <f t="shared" si="8"/>
        <v>0.44</v>
      </c>
      <c r="AR19" s="1382">
        <f>Retail!DE130</f>
        <v>0.43188944179214833</v>
      </c>
      <c r="AS19" s="1378">
        <f t="shared" si="9"/>
        <v>0.44</v>
      </c>
      <c r="AT19" s="1378">
        <f t="shared" si="9"/>
        <v>0.435</v>
      </c>
      <c r="AU19" s="1378">
        <f t="shared" si="9"/>
        <v>0.43</v>
      </c>
      <c r="AV19" s="1382">
        <f t="shared" si="9"/>
        <v>0.43</v>
      </c>
      <c r="AW19" s="1382">
        <f>Retail!EB130</f>
        <v>0</v>
      </c>
      <c r="AX19" s="1378">
        <f t="shared" si="10"/>
        <v>0.44500000000000001</v>
      </c>
      <c r="AY19" s="1378">
        <f t="shared" si="10"/>
        <v>0.44</v>
      </c>
      <c r="AZ19" s="1378">
        <f t="shared" si="10"/>
        <v>0.435</v>
      </c>
      <c r="BA19" s="1382">
        <f t="shared" si="10"/>
        <v>0.435</v>
      </c>
      <c r="BB19" s="1382">
        <f>Retail!EG130</f>
        <v>0</v>
      </c>
      <c r="BC19" s="1378">
        <f t="shared" si="11"/>
        <v>0.45</v>
      </c>
      <c r="BD19" s="1378">
        <f t="shared" si="11"/>
        <v>0.44500000000000001</v>
      </c>
      <c r="BE19" s="1378">
        <f t="shared" si="11"/>
        <v>0.44</v>
      </c>
      <c r="BF19" s="1382">
        <f t="shared" si="11"/>
        <v>0.44</v>
      </c>
      <c r="BG19" s="1382">
        <f>Retail!EL130</f>
        <v>0</v>
      </c>
      <c r="BH19" s="1378">
        <f t="shared" ref="BH19:BK19" si="14">CHOOSE(MATCH($B$16,$C$350:$C$352,0), BH67,BH84,BH101)</f>
        <v>0.45500000000000002</v>
      </c>
      <c r="BI19" s="1378">
        <f t="shared" si="14"/>
        <v>0.45</v>
      </c>
      <c r="BJ19" s="1378">
        <f t="shared" si="14"/>
        <v>0.44500000000000001</v>
      </c>
      <c r="BK19" s="1382">
        <f t="shared" si="14"/>
        <v>0.44500000000000001</v>
      </c>
      <c r="BL19" s="1382">
        <f>Retail!EQ130</f>
        <v>0</v>
      </c>
    </row>
    <row r="20" spans="1:64" ht="12" thickBot="1" x14ac:dyDescent="0.25">
      <c r="A20" s="238"/>
      <c r="B20" s="289"/>
      <c r="C20" s="1386"/>
      <c r="D20" s="289"/>
      <c r="E20" s="1377"/>
      <c r="F20" s="1381"/>
      <c r="G20" s="1381"/>
      <c r="H20" s="1381"/>
      <c r="I20" s="1379"/>
      <c r="J20" s="1381"/>
      <c r="K20" s="1381"/>
      <c r="L20" s="1381"/>
      <c r="M20" s="1381"/>
      <c r="N20" s="1379"/>
      <c r="O20" s="1381"/>
      <c r="P20" s="1381"/>
      <c r="Q20" s="1381"/>
      <c r="R20" s="1381"/>
      <c r="S20" s="1379"/>
      <c r="T20" s="1381"/>
      <c r="U20" s="1381"/>
      <c r="V20" s="1381"/>
      <c r="W20" s="1381"/>
      <c r="X20" s="1379"/>
      <c r="Y20" s="1381"/>
      <c r="Z20" s="1381"/>
      <c r="AA20" s="1381"/>
      <c r="AB20" s="1381"/>
      <c r="AC20" s="1379"/>
      <c r="AD20" s="1381"/>
      <c r="AE20" s="1381"/>
      <c r="AF20" s="1381"/>
      <c r="AG20" s="1381"/>
      <c r="AH20" s="1379"/>
      <c r="AI20" s="1381"/>
      <c r="AJ20" s="1381"/>
      <c r="AK20" s="1381"/>
      <c r="AL20" s="1382"/>
      <c r="AM20" s="1382"/>
      <c r="AN20" s="1381"/>
      <c r="AO20" s="1381"/>
      <c r="AP20" s="1381"/>
      <c r="AQ20" s="1381"/>
      <c r="AR20" s="1379"/>
      <c r="AS20" s="1381"/>
      <c r="AT20" s="1381"/>
      <c r="AU20" s="1381"/>
      <c r="AV20" s="1381"/>
      <c r="AW20" s="1379"/>
      <c r="AX20" s="1381"/>
      <c r="AY20" s="1381"/>
      <c r="AZ20" s="1381"/>
      <c r="BA20" s="1381"/>
      <c r="BB20" s="1379"/>
      <c r="BC20" s="1381"/>
      <c r="BD20" s="1381"/>
      <c r="BE20" s="1381"/>
      <c r="BF20" s="1381"/>
      <c r="BG20" s="1379"/>
      <c r="BH20" s="1381"/>
      <c r="BI20" s="1381"/>
      <c r="BJ20" s="1381"/>
      <c r="BK20" s="1381"/>
      <c r="BL20" s="1379"/>
    </row>
    <row r="21" spans="1:64" ht="12" thickBot="1" x14ac:dyDescent="0.25">
      <c r="A21" s="238"/>
      <c r="B21" s="1375" t="str">
        <f>B16</f>
        <v xml:space="preserve">Base </v>
      </c>
      <c r="C21" s="1387" t="s">
        <v>1190</v>
      </c>
      <c r="D21" s="212"/>
      <c r="E21" s="1388">
        <f>Retail!BR27</f>
        <v>0.13750052194246121</v>
      </c>
      <c r="F21" s="1389">
        <f>Retail!BS27</f>
        <v>0.17876338397731595</v>
      </c>
      <c r="G21" s="1389">
        <f>Retail!BT27</f>
        <v>0.18832913171054289</v>
      </c>
      <c r="H21" s="1389">
        <f>Retail!BU27</f>
        <v>5.091135475391706E-2</v>
      </c>
      <c r="I21" s="1390">
        <f>Retail!BV27</f>
        <v>0.13453440330525979</v>
      </c>
      <c r="J21" s="1389">
        <f>Retail!BW27</f>
        <v>-9.9845826297627616E-3</v>
      </c>
      <c r="K21" s="1389">
        <f>Retail!BX27</f>
        <v>2.717840089038881E-2</v>
      </c>
      <c r="L21" s="1389">
        <f>Retail!BY27</f>
        <v>-1.8779995826667673E-3</v>
      </c>
      <c r="M21" s="1389">
        <f>Retail!BZ27</f>
        <v>-1.4316274477538249E-2</v>
      </c>
      <c r="N21" s="1390">
        <f>Retail!CA27</f>
        <v>-3.5015844669694651E-5</v>
      </c>
      <c r="O21" s="1389">
        <f>Retail!CB27</f>
        <v>2.9291805710048191E-2</v>
      </c>
      <c r="P21" s="1389">
        <f>Retail!CC27</f>
        <v>8.0391471513456825E-3</v>
      </c>
      <c r="Q21" s="1389">
        <f>Retail!CD27</f>
        <v>6.2717770034843578E-3</v>
      </c>
      <c r="R21" s="1389">
        <f>CHOOSE(MATCH($B$21,$C$349:$C$352,0),R52, R69,R86,R103)</f>
        <v>-4.5976627712854712E-2</v>
      </c>
      <c r="S21" s="1390">
        <f>Retail!CF27</f>
        <v>-1.5495053838746609E-3</v>
      </c>
      <c r="T21" s="1389">
        <f>Retail!CG27</f>
        <v>7.8530259365994226E-2</v>
      </c>
      <c r="U21" s="1389">
        <f>Retail!CH27</f>
        <v>4.680998613037457E-2</v>
      </c>
      <c r="V21" s="1389">
        <f>Retail!CI27</f>
        <v>6.4750692520775699E-2</v>
      </c>
      <c r="W21" s="1389">
        <f>Retail!CJ27</f>
        <v>0.12550309732964693</v>
      </c>
      <c r="X21" s="1390">
        <f>Retail!CK27</f>
        <v>7.8787931926385113E-2</v>
      </c>
      <c r="Y21" s="1389">
        <f>CHOOSE(MATCH($B$21,$C$350:$C$352,0), Y69,Y86,Y103)</f>
        <v>2.6252505010019966E-2</v>
      </c>
      <c r="Z21" s="1389">
        <f>CHOOSE(MATCH($B$21,$C$350:$C$352,0), Z69,Z86,Z103)</f>
        <v>3.2262338522689671E-2</v>
      </c>
      <c r="AA21" s="1389">
        <f>CHOOSE(MATCH($B$21,$C$350:$C$352,0), AA69,AA86,AA103)</f>
        <v>1.3983739837398312E-2</v>
      </c>
      <c r="AB21" s="1391">
        <f>CHOOSE(MATCH($B$21,$C$350:$C$352,0), AB69,AB86,AB103)</f>
        <v>3.2712459964551188E-2</v>
      </c>
      <c r="AC21" s="1391">
        <f>Retail!CP27</f>
        <v>2.634936889929218E-2</v>
      </c>
      <c r="AD21" s="1389">
        <f>Retail!CQ27</f>
        <v>2.0373624943044844E-2</v>
      </c>
      <c r="AE21" s="1389">
        <f>Retail!CR27</f>
        <v>5.4742651777692108E-2</v>
      </c>
      <c r="AF21" s="1389">
        <f>Retail!CS27</f>
        <v>9.4547787042976283E-2</v>
      </c>
      <c r="AG21" s="1391">
        <v>6.7500000000000004E-2</v>
      </c>
      <c r="AH21" s="1391">
        <f>Retail!CU27</f>
        <v>5.4022378663456827E-2</v>
      </c>
      <c r="AI21" s="1389">
        <f>CHOOSE(MATCH($B$21,$C$350:$C$352,0), AI69,AI86,AI103)</f>
        <v>0.02</v>
      </c>
      <c r="AJ21" s="1389">
        <f>CHOOSE(MATCH($B$21,$C$350:$C$352,0), AJ69,AJ86,AJ103)</f>
        <v>0.02</v>
      </c>
      <c r="AK21" s="1389">
        <f>CHOOSE(MATCH($B$21,$C$350:$C$352,0), AK69,AK86,AK103)</f>
        <v>0.02</v>
      </c>
      <c r="AL21" s="1391">
        <f>CHOOSE(MATCH($B$21,$C$350:$C$352,0), AL69,AL86,AL103)</f>
        <v>0.02</v>
      </c>
      <c r="AM21" s="1391">
        <f>Retail!CZ27</f>
        <v>1.320827573722072E-2</v>
      </c>
      <c r="AN21" s="1389">
        <f>CHOOSE(MATCH($B$21,$C$350:$C$352,0), AN69,AN86,AN103)</f>
        <v>0.02</v>
      </c>
      <c r="AO21" s="1389">
        <f>CHOOSE(MATCH($B$21,$C$350:$C$352,0), AO69,AO86,AO103)</f>
        <v>0.02</v>
      </c>
      <c r="AP21" s="1389">
        <f>CHOOSE(MATCH($B$21,$C$350:$C$352,0), AP69,AP86,AP103)</f>
        <v>0.02</v>
      </c>
      <c r="AQ21" s="1391">
        <f>CHOOSE(MATCH($B$21,$C$350:$C$352,0), AQ69,AQ86,AQ103)</f>
        <v>0.02</v>
      </c>
      <c r="AR21" s="1391">
        <f>Retail!DE27</f>
        <v>8.507228683212209E-2</v>
      </c>
      <c r="AS21" s="1389">
        <f>CHOOSE(MATCH($B$21,$C$350:$C$352,0), AS69,AS86,AS103)</f>
        <v>-1.2E-2</v>
      </c>
      <c r="AT21" s="1389">
        <f>CHOOSE(MATCH($B$21,$C$350:$C$352,0), AT69,AT86,AT103)</f>
        <v>-1.2E-2</v>
      </c>
      <c r="AU21" s="1389">
        <f>CHOOSE(MATCH($B$21,$C$350:$C$352,0), AU69,AU86,AU103)</f>
        <v>-1.2E-2</v>
      </c>
      <c r="AV21" s="1391">
        <f>CHOOSE(MATCH($B$21,$C$350:$C$352,0), AV69,AV86,AV103)</f>
        <v>-1.2E-2</v>
      </c>
      <c r="AW21" s="1391">
        <f>Retail!EB27</f>
        <v>0</v>
      </c>
      <c r="AX21" s="1389">
        <f>CHOOSE(MATCH($B$21,$C$350:$C$352,0), AX69,AX86,AX103)</f>
        <v>0</v>
      </c>
      <c r="AY21" s="1389">
        <f>CHOOSE(MATCH($B$21,$C$350:$C$352,0), AY69,AY86,AY103)</f>
        <v>-1.7500000000000002E-2</v>
      </c>
      <c r="AZ21" s="1389">
        <f>CHOOSE(MATCH($B$21,$C$350:$C$352,0), AZ69,AZ86,AZ103)</f>
        <v>-1.7500000000000002E-2</v>
      </c>
      <c r="BA21" s="1391">
        <f>CHOOSE(MATCH($B$21,$C$350:$C$352,0), BA69,BA86,BA103)</f>
        <v>-0.02</v>
      </c>
      <c r="BB21" s="1391">
        <f>Retail!EG27</f>
        <v>0</v>
      </c>
      <c r="BC21" s="1389">
        <f>CHOOSE(MATCH($B$21,$C$350:$C$352,0), BC69,BC86,BC103)</f>
        <v>1.9E-2</v>
      </c>
      <c r="BD21" s="1389">
        <f>CHOOSE(MATCH($B$21,$C$350:$C$352,0), BD69,BD86,BD103)</f>
        <v>1.9E-2</v>
      </c>
      <c r="BE21" s="1389">
        <f>CHOOSE(MATCH($B$21,$C$350:$C$352,0), BE69,BE86,BE103)</f>
        <v>1.9E-2</v>
      </c>
      <c r="BF21" s="1391">
        <f>CHOOSE(MATCH($B$21,$C$350:$C$352,0), BF69,BF86,BF103)</f>
        <v>1.9E-2</v>
      </c>
      <c r="BG21" s="1391">
        <f>Retail!EL27</f>
        <v>0</v>
      </c>
      <c r="BH21" s="1389">
        <f>CHOOSE(MATCH($B$21,$C$350:$C$352,0), BH69,BH86,BH103)</f>
        <v>1.9E-2</v>
      </c>
      <c r="BI21" s="1389">
        <f>CHOOSE(MATCH($B$21,$C$350:$C$352,0), BI69,BI86,BI103)</f>
        <v>1.9E-2</v>
      </c>
      <c r="BJ21" s="1389">
        <f>CHOOSE(MATCH($B$21,$C$350:$C$352,0), BJ69,BJ86,BJ103)</f>
        <v>1.9E-2</v>
      </c>
      <c r="BK21" s="1391">
        <f>CHOOSE(MATCH($B$21,$C$350:$C$352,0), BK69,BK86,BK103)</f>
        <v>1.9E-2</v>
      </c>
      <c r="BL21" s="1391">
        <f>Retail!EQ27</f>
        <v>0</v>
      </c>
    </row>
    <row r="22" spans="1:64" x14ac:dyDescent="0.2">
      <c r="A22" s="238"/>
      <c r="B22" s="289"/>
      <c r="C22" s="1392" t="s">
        <v>1191</v>
      </c>
      <c r="D22" s="1393"/>
      <c r="E22" s="1394">
        <f>Retail!BR41</f>
        <v>0.35450186760851732</v>
      </c>
      <c r="F22" s="1395">
        <f>Retail!BS41</f>
        <v>0.39042238729786993</v>
      </c>
      <c r="G22" s="1395">
        <f>Retail!BT41</f>
        <v>0.34350168175621604</v>
      </c>
      <c r="H22" s="1395">
        <f>Retail!BU41</f>
        <v>0.46614989666291051</v>
      </c>
      <c r="I22" s="1396">
        <f>Retail!BV41</f>
        <v>1.5510166703268511</v>
      </c>
      <c r="J22" s="1395">
        <f>Retail!BW41</f>
        <v>0.39585275543718978</v>
      </c>
      <c r="K22" s="1395">
        <f>Retail!BX41</f>
        <v>0.42035958210879326</v>
      </c>
      <c r="L22" s="1395">
        <f>Retail!BY41</f>
        <v>0.39734261160864531</v>
      </c>
      <c r="M22" s="1395">
        <f>Retail!BZ41</f>
        <v>0.55243128964059196</v>
      </c>
      <c r="N22" s="1396">
        <f>Retail!CA41</f>
        <v>1.7642713443263953</v>
      </c>
      <c r="O22" s="1395">
        <f>Retail!CB41</f>
        <v>0.41615298587287286</v>
      </c>
      <c r="P22" s="1395">
        <f>Retail!CC41</f>
        <v>0.47510863832869965</v>
      </c>
      <c r="Q22" s="1395">
        <f>Retail!CD41</f>
        <v>0.4419082789753046</v>
      </c>
      <c r="R22" s="1395">
        <f>Retail!CE41</f>
        <v>0.59532965693460038</v>
      </c>
      <c r="S22" s="1396">
        <f>Retail!CF41</f>
        <v>1.9252338977903163</v>
      </c>
      <c r="T22" s="1395">
        <f>Retail!CG41</f>
        <v>0.51045787576549262</v>
      </c>
      <c r="U22" s="1395">
        <f>Retail!CH41</f>
        <v>0.60066309370422721</v>
      </c>
      <c r="V22" s="1395">
        <f>Retail!CI41</f>
        <v>0.53150034213917041</v>
      </c>
      <c r="W22" s="1395">
        <f>Retail!CJ41</f>
        <v>0.68694142837205541</v>
      </c>
      <c r="X22" s="1396">
        <f>Retail!CK41</f>
        <v>2.3291522323632305</v>
      </c>
      <c r="Y22" s="1395">
        <f>Retail!CL41</f>
        <v>0.62716668065078396</v>
      </c>
      <c r="Z22" s="1395">
        <f>Retail!CM41</f>
        <v>0.68032653239347329</v>
      </c>
      <c r="AA22" s="1395">
        <f>Retail!CN41</f>
        <v>0.62773018657248303</v>
      </c>
      <c r="AB22" s="1395">
        <f>Retail!CO41</f>
        <v>0.72505107582886552</v>
      </c>
      <c r="AC22" s="1396">
        <f ca="1">Retail!CP41</f>
        <v>2.6607356690829631</v>
      </c>
      <c r="AD22" s="1395">
        <f>Retail!CQ41</f>
        <v>0.74325425139957002</v>
      </c>
      <c r="AE22" s="1395">
        <f>Retail!CR41</f>
        <v>0.74603813048820822</v>
      </c>
      <c r="AF22" s="1395">
        <f>Retail!CS41</f>
        <v>0.670444819898801</v>
      </c>
      <c r="AG22" s="1395">
        <f>Retail!CT41</f>
        <v>0.80077521337811852</v>
      </c>
      <c r="AH22" s="1396">
        <f>Retail!CU41</f>
        <v>2.9608141314726604</v>
      </c>
      <c r="AI22" s="1395">
        <f>Retail!CV41</f>
        <v>0.79914158535218061</v>
      </c>
      <c r="AJ22" s="1395">
        <f>Retail!CW41</f>
        <v>0.78091567767045855</v>
      </c>
      <c r="AK22" s="1395">
        <f>Retail!CX41</f>
        <v>0.75204228494271008</v>
      </c>
      <c r="AL22" s="1395">
        <f>Retail!CY41</f>
        <v>0.99326778515962211</v>
      </c>
      <c r="AM22" s="1396">
        <f>Retail!CZ41</f>
        <v>3.3245066402965371</v>
      </c>
      <c r="AN22" s="1395">
        <f>Retail!DA41</f>
        <v>0.8221718792311129</v>
      </c>
      <c r="AO22" s="1395">
        <f>Retail!DB41</f>
        <v>0.83402091066211481</v>
      </c>
      <c r="AP22" s="1395">
        <f>Retail!DC41</f>
        <v>0.90888912379410058</v>
      </c>
      <c r="AQ22" s="1395">
        <f>Retail!DD41</f>
        <v>1.0634159201040043</v>
      </c>
      <c r="AR22" s="1396">
        <f>Retail!DE41</f>
        <v>3.6359943067717708</v>
      </c>
      <c r="AS22" s="1395">
        <f>Retail!DF41</f>
        <v>0.78751889682119924</v>
      </c>
      <c r="AT22" s="1395">
        <f>Retail!DG41</f>
        <v>0.77048021936463951</v>
      </c>
      <c r="AU22" s="1395">
        <f>Retail!DH41</f>
        <v>0.80393153078106461</v>
      </c>
      <c r="AV22" s="1395">
        <f>Retail!DI41</f>
        <v>1.1742487704376077</v>
      </c>
      <c r="AW22" s="1396">
        <f>Retail!DJ41</f>
        <v>3.5020285065222554</v>
      </c>
      <c r="AX22" s="1395">
        <f ca="1">Retail!DK41</f>
        <v>0.94851570054788847</v>
      </c>
      <c r="AY22" s="1395">
        <f ca="1">Retail!DL41</f>
        <v>0.79937815022205383</v>
      </c>
      <c r="AZ22" s="1395">
        <f ca="1">Retail!DM41</f>
        <v>0.7860837721633368</v>
      </c>
      <c r="BA22" s="1395">
        <f ca="1">Retail!DN41</f>
        <v>1.0903309471895017</v>
      </c>
      <c r="BB22" s="1396">
        <f ca="1">Retail!DO41</f>
        <v>3.6121515858761355</v>
      </c>
      <c r="BC22" s="1395">
        <f ca="1">Retail!DP41</f>
        <v>0.86377697038325674</v>
      </c>
      <c r="BD22" s="1395">
        <f ca="1">Retail!DQ41</f>
        <v>0.83761171672990353</v>
      </c>
      <c r="BE22" s="1395">
        <f ca="1">Retail!DR41</f>
        <v>0.80544233086037087</v>
      </c>
      <c r="BF22" s="1395">
        <f ca="1">Retail!DS41</f>
        <v>1.1207610328238031</v>
      </c>
      <c r="BG22" s="1396">
        <f ca="1">Retail!DT41</f>
        <v>3.6317563185753001</v>
      </c>
      <c r="BH22" s="1395">
        <f ca="1">Retail!DU41</f>
        <v>0.90125307052213033</v>
      </c>
      <c r="BI22" s="1395">
        <f ca="1">Retail!DV41</f>
        <v>0.87179109626628415</v>
      </c>
      <c r="BJ22" s="1395">
        <f ca="1">Retail!DW41</f>
        <v>0.83808257513622608</v>
      </c>
      <c r="BK22" s="1395">
        <f ca="1">Retail!DX41</f>
        <v>1.1578306187539331</v>
      </c>
      <c r="BL22" s="1396">
        <f ca="1">Retail!DY41</f>
        <v>3.7730214917472065</v>
      </c>
    </row>
    <row r="23" spans="1:64" ht="12" thickBot="1" x14ac:dyDescent="0.25">
      <c r="A23" s="238"/>
      <c r="B23" s="289"/>
      <c r="C23" s="1354" t="s">
        <v>1178</v>
      </c>
      <c r="D23" s="1393"/>
      <c r="E23" s="1397">
        <f>IS!BR39</f>
        <v>0.55021606063577999</v>
      </c>
      <c r="F23" s="1398">
        <f>IS!BS39</f>
        <v>0.64812778766525536</v>
      </c>
      <c r="G23" s="1398">
        <f>IS!BT39</f>
        <v>0.64524552002788882</v>
      </c>
      <c r="H23" s="1398">
        <f>IS!BU39</f>
        <v>0.78443093266307806</v>
      </c>
      <c r="I23" s="1399">
        <f>IS!BV39</f>
        <v>2.6198718948576971</v>
      </c>
      <c r="J23" s="1398">
        <f>IS!BW39</f>
        <v>0.6026185636170035</v>
      </c>
      <c r="K23" s="1398">
        <f>IS!BX39</f>
        <v>0.64703158304519548</v>
      </c>
      <c r="L23" s="1398">
        <f>IS!BY39</f>
        <v>0.64668561716094253</v>
      </c>
      <c r="M23" s="1398">
        <f>IS!BZ39</f>
        <v>0.79724049088073767</v>
      </c>
      <c r="N23" s="1399">
        <f>IS!CA39</f>
        <v>2.6932650056875942</v>
      </c>
      <c r="O23" s="1398">
        <f>IS!CB39</f>
        <v>0.56689453276295543</v>
      </c>
      <c r="P23" s="1398">
        <f>IS!CC39</f>
        <v>0.6490597042974332</v>
      </c>
      <c r="Q23" s="1398">
        <f>IS!CD39</f>
        <v>0.70044232998757094</v>
      </c>
      <c r="R23" s="1398">
        <f>IS!CE39</f>
        <v>0.89217492364951256</v>
      </c>
      <c r="S23" s="1399">
        <f>IS!CF39</f>
        <v>2.8002475696472944</v>
      </c>
      <c r="T23" s="1398">
        <f>IS!CG39</f>
        <v>0.64781315613724044</v>
      </c>
      <c r="U23" s="1398">
        <f>IS!CH39</f>
        <v>0.80977072210473211</v>
      </c>
      <c r="V23" s="1398">
        <f>IS!CI39</f>
        <v>0.85093021430253546</v>
      </c>
      <c r="W23" s="1398">
        <f>IS!CJ39</f>
        <v>1.1366469175340272</v>
      </c>
      <c r="X23" s="1399">
        <f>IS!CK39</f>
        <v>3.4334131350251869</v>
      </c>
      <c r="Y23" s="1398">
        <f>IS!CL39</f>
        <v>0.83078162771958097</v>
      </c>
      <c r="Z23" s="1398">
        <f>IS!CM39</f>
        <v>0.96835545483975405</v>
      </c>
      <c r="AA23" s="1398">
        <f>IS!CN39</f>
        <v>1.0548939641109298</v>
      </c>
      <c r="AB23" s="1398">
        <f>IS!CO39</f>
        <v>1.1157368859283929</v>
      </c>
      <c r="AC23" s="1399">
        <f>IS!CP39</f>
        <v>3.9650868749490167</v>
      </c>
      <c r="AD23" s="1398">
        <f>IS!CQ39</f>
        <v>1.0152966885190788</v>
      </c>
      <c r="AE23" s="1398">
        <f>IS!CR39</f>
        <v>1.1303236797274276</v>
      </c>
      <c r="AF23" s="1398">
        <f>IS!CS39</f>
        <v>1.1474397461188779</v>
      </c>
      <c r="AG23" s="1398">
        <f>IS!CT39</f>
        <v>1.2096213963181661</v>
      </c>
      <c r="AH23" s="1399">
        <f>IS!CU39</f>
        <v>4.4994339179287808</v>
      </c>
      <c r="AI23" s="1398">
        <f>IS!CV39</f>
        <v>1.1388473383194015</v>
      </c>
      <c r="AJ23" s="1398">
        <f>IS!CW39</f>
        <v>1.2178809292465331</v>
      </c>
      <c r="AK23" s="1398">
        <f>IS!CX39</f>
        <v>1.284180196672404</v>
      </c>
      <c r="AL23" s="1398">
        <f>IS!CY39</f>
        <v>1.5302145999820418</v>
      </c>
      <c r="AM23" s="1399">
        <f>IS!CZ39</f>
        <v>5.1711230642203807</v>
      </c>
      <c r="AN23" s="1398">
        <f>IS!DA39</f>
        <v>1.1842009464870769</v>
      </c>
      <c r="AO23" s="1398">
        <f>IS!DB39</f>
        <v>1.319509019899572</v>
      </c>
      <c r="AP23" s="1398">
        <f>IS!DC39</f>
        <v>1.6343464478836474</v>
      </c>
      <c r="AQ23" s="1398">
        <f>IS!DD39</f>
        <v>1.7100215214746888</v>
      </c>
      <c r="AR23" s="1399">
        <f>IS!DE39</f>
        <v>5.8480779357449846</v>
      </c>
      <c r="AS23" s="1398">
        <f>IS!DF39</f>
        <v>1.1674881608195611</v>
      </c>
      <c r="AT23" s="1398">
        <f>IS!DG39</f>
        <v>1.3300449306505178</v>
      </c>
      <c r="AU23" s="1398">
        <f>IS!DH39</f>
        <v>1.4977543239392239</v>
      </c>
      <c r="AV23" s="1398">
        <f>IS!DI39</f>
        <v>1.9205729894147003</v>
      </c>
      <c r="AW23" s="1399">
        <f>IS!DJ39</f>
        <v>5.9158604048240031</v>
      </c>
      <c r="AX23" s="1398">
        <f ca="1">IS!DK39</f>
        <v>1.4073745520773424</v>
      </c>
      <c r="AY23" s="1398">
        <f ca="1">IS!DL39</f>
        <v>1.4150198957330835</v>
      </c>
      <c r="AZ23" s="1398">
        <f ca="1">IS!DM39</f>
        <v>1.5607488799006144</v>
      </c>
      <c r="BA23" s="1398">
        <f ca="1">IS!DN39</f>
        <v>1.8974900348024621</v>
      </c>
      <c r="BB23" s="1399">
        <f ca="1">IS!DO39</f>
        <v>6.2806333625135036</v>
      </c>
      <c r="BC23" s="1398">
        <f ca="1">IS!DP39</f>
        <v>1.3113081987370612</v>
      </c>
      <c r="BD23" s="1398">
        <f ca="1">IS!DQ39</f>
        <v>1.5021960513281856</v>
      </c>
      <c r="BE23" s="1398">
        <f ca="1">IS!DR39</f>
        <v>1.6249895238941481</v>
      </c>
      <c r="BF23" s="1398">
        <f ca="1">IS!DS39</f>
        <v>1.9772125562546987</v>
      </c>
      <c r="BG23" s="1399">
        <f ca="1">IS!DT39</f>
        <v>6.4157063302140935</v>
      </c>
      <c r="BH23" s="1398">
        <f ca="1">IS!DU39</f>
        <v>1.3908319908745324</v>
      </c>
      <c r="BI23" s="1398">
        <f ca="1">IS!DV39</f>
        <v>1.5946081479959977</v>
      </c>
      <c r="BJ23" s="1398">
        <f ca="1">IS!DW39</f>
        <v>1.7271494529126037</v>
      </c>
      <c r="BK23" s="1398">
        <f ca="1">IS!DX39</f>
        <v>2.0826733753797417</v>
      </c>
      <c r="BL23" s="1399">
        <f ca="1">IS!DY39</f>
        <v>6.7952629671628753</v>
      </c>
    </row>
    <row r="24" spans="1:64" ht="12.75" customHeight="1" thickBot="1" x14ac:dyDescent="0.25">
      <c r="A24" s="238"/>
      <c r="B24" s="289"/>
      <c r="C24" s="1400"/>
      <c r="D24" s="289"/>
      <c r="E24" s="236"/>
      <c r="F24" s="236"/>
      <c r="G24" s="236"/>
      <c r="H24" s="236"/>
      <c r="I24" s="236"/>
      <c r="J24" s="236"/>
      <c r="K24" s="236"/>
      <c r="L24" s="236"/>
      <c r="M24" s="236"/>
      <c r="N24" s="236"/>
      <c r="O24" s="236"/>
      <c r="P24" s="236"/>
      <c r="Q24" s="236"/>
      <c r="R24" s="236"/>
      <c r="S24" s="236"/>
      <c r="T24" s="236"/>
      <c r="U24" s="236"/>
      <c r="V24" s="236"/>
      <c r="W24" s="236"/>
      <c r="X24" s="590"/>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row>
    <row r="25" spans="1:64" ht="4.5" customHeight="1" x14ac:dyDescent="0.2">
      <c r="A25" s="238"/>
      <c r="B25" s="289"/>
      <c r="C25" s="1401"/>
      <c r="D25" s="289"/>
      <c r="E25" s="1402"/>
      <c r="F25" s="1403"/>
      <c r="G25" s="1403"/>
      <c r="H25" s="1403"/>
      <c r="I25" s="1404"/>
      <c r="J25" s="1403"/>
      <c r="K25" s="1403"/>
      <c r="L25" s="1403"/>
      <c r="M25" s="1403"/>
      <c r="N25" s="1404"/>
      <c r="O25" s="1403"/>
      <c r="P25" s="1403"/>
      <c r="Q25" s="1403"/>
      <c r="R25" s="1403"/>
      <c r="S25" s="1404"/>
      <c r="T25" s="1403"/>
      <c r="U25" s="1403"/>
      <c r="V25" s="1403"/>
      <c r="W25" s="1403"/>
      <c r="X25" s="1404"/>
      <c r="Y25" s="1403"/>
      <c r="Z25" s="1403"/>
      <c r="AA25" s="1403"/>
      <c r="AB25" s="1403"/>
      <c r="AC25" s="1404"/>
      <c r="AD25" s="1403"/>
      <c r="AE25" s="1403"/>
      <c r="AF25" s="1403"/>
      <c r="AG25" s="1403"/>
      <c r="AH25" s="1404"/>
      <c r="AI25" s="1403"/>
      <c r="AJ25" s="1403"/>
      <c r="AK25" s="1403"/>
      <c r="AL25" s="1403"/>
      <c r="AM25" s="1404"/>
      <c r="AN25" s="1403"/>
      <c r="AO25" s="1403"/>
      <c r="AP25" s="1403"/>
      <c r="AQ25" s="1403"/>
      <c r="AR25" s="1404"/>
      <c r="AS25" s="1403"/>
      <c r="AT25" s="1403"/>
      <c r="AU25" s="1403"/>
      <c r="AV25" s="1403"/>
      <c r="AW25" s="1404"/>
      <c r="AX25" s="1403"/>
      <c r="AY25" s="1403"/>
      <c r="AZ25" s="1403"/>
      <c r="BA25" s="1403"/>
      <c r="BB25" s="1404"/>
      <c r="BC25" s="1403"/>
      <c r="BD25" s="1403"/>
      <c r="BE25" s="1403"/>
      <c r="BF25" s="1403"/>
      <c r="BG25" s="1404"/>
      <c r="BH25" s="1403"/>
      <c r="BI25" s="1403"/>
      <c r="BJ25" s="1403"/>
      <c r="BK25" s="1403"/>
      <c r="BL25" s="1404"/>
    </row>
    <row r="26" spans="1:64" x14ac:dyDescent="0.2">
      <c r="A26" s="238"/>
      <c r="B26" s="289"/>
      <c r="C26" s="1380" t="s">
        <v>468</v>
      </c>
      <c r="D26" s="289"/>
      <c r="E26" s="1405">
        <f>Retail!BR17/Retail!BM17-1</f>
        <v>0.13940197204025107</v>
      </c>
      <c r="F26" s="1406">
        <f>Retail!BS17/Retail!BN17-1</f>
        <v>0.17215482380127112</v>
      </c>
      <c r="G26" s="1406">
        <f>Retail!BT17/Retail!BO17-1</f>
        <v>0.17877317622595723</v>
      </c>
      <c r="H26" s="1406">
        <f>Retail!BU17/Retail!BP17-1</f>
        <v>4.5078263384303874E-2</v>
      </c>
      <c r="I26" s="1407">
        <f>Retail!BV17/Retail!BQ17-1</f>
        <v>0.12992678082625186</v>
      </c>
      <c r="J26" s="1406">
        <f>Retail!BW17/Retail!BR17-1</f>
        <v>3.5645222236217133E-2</v>
      </c>
      <c r="K26" s="1406">
        <f>Retail!BX17/Retail!BS17-1</f>
        <v>3.7239439886353809E-2</v>
      </c>
      <c r="L26" s="1406">
        <f>Retail!BY17/Retail!BT17-1</f>
        <v>4.0689726138151139E-2</v>
      </c>
      <c r="M26" s="1406">
        <f>Retail!BZ17/Retail!BU17-1</f>
        <v>3.0577654790729936E-2</v>
      </c>
      <c r="N26" s="1407">
        <f>Retail!CA17/Retail!BV17-1</f>
        <v>3.5949778701110935E-2</v>
      </c>
      <c r="O26" s="1406">
        <f>Retail!CB17/Retail!BW17-1</f>
        <v>4.3568464730290524E-2</v>
      </c>
      <c r="P26" s="1406">
        <f>Retail!CC17/Retail!BX17-1</f>
        <v>3.5986304241492517E-2</v>
      </c>
      <c r="Q26" s="1406">
        <f>Retail!CD17/Retail!BY17-1</f>
        <v>3.7714527862137137E-2</v>
      </c>
      <c r="R26" s="1406">
        <f>Retail!CE17/Retail!BZ17-1</f>
        <v>3.99879170302746E-2</v>
      </c>
      <c r="S26" s="1407">
        <f>Retail!CF17/Retail!CA17-1</f>
        <v>3.9300723689946748E-2</v>
      </c>
      <c r="T26" s="1406">
        <f>Retail!CG17/Retail!CB17-1</f>
        <v>9.8512374031672012E-2</v>
      </c>
      <c r="U26" s="1406">
        <f>Retail!CH17/Retail!CC17-1</f>
        <v>6.8798057466612716E-2</v>
      </c>
      <c r="V26" s="1406">
        <f>Retail!CI17/Retail!CD17-1</f>
        <v>5.518954604233306E-2</v>
      </c>
      <c r="W26" s="1406">
        <f>Retail!CJ17/Retail!CE17-1</f>
        <v>5.0817481781742391E-2</v>
      </c>
      <c r="X26" s="1407">
        <f>Retail!CK17/Retail!CF17-1</f>
        <v>6.8041752588563043E-2</v>
      </c>
      <c r="Y26" s="1406">
        <f>Retail!CL17/Retail!CG17-1</f>
        <v>1.6849725411882677E-3</v>
      </c>
      <c r="Z26" s="1406">
        <f>Retail!CM17/Retail!CH17-1</f>
        <v>1.8522024485674526E-2</v>
      </c>
      <c r="AA26" s="1406">
        <f>Retail!CN17/Retail!CI17-1</f>
        <v>5.0316372009623356E-2</v>
      </c>
      <c r="AB26" s="1406">
        <f>Retail!CO17/Retail!CJ17-1</f>
        <v>5.6019656019655972E-2</v>
      </c>
      <c r="AC26" s="1407">
        <f>Retail!CP17/Retail!CK17-1</f>
        <v>3.1617858450150083E-2</v>
      </c>
      <c r="AD26" s="1406">
        <f>Retail!CQ17/Retail!CL17-1</f>
        <v>2.6714846427013939E-2</v>
      </c>
      <c r="AE26" s="1406">
        <f>Retail!CR17/Retail!CM17-1</f>
        <v>4.5261625205241796E-2</v>
      </c>
      <c r="AF26" s="1406">
        <f>Retail!CS17/Retail!CN17-1</f>
        <v>2.8586342422009414E-2</v>
      </c>
      <c r="AG26" s="1406">
        <f>Retail!CT17/Retail!CO17-1</f>
        <v>2.943229409027448E-2</v>
      </c>
      <c r="AH26" s="1407">
        <f>Retail!CU17/Retail!CP17-1</f>
        <v>3.2448813321861225E-2</v>
      </c>
      <c r="AI26" s="1406">
        <f>Retail!CV17/Retail!CQ17-1</f>
        <v>2.8580443937426425E-2</v>
      </c>
      <c r="AJ26" s="1406">
        <f>Retail!CW17/Retail!CR17-1</f>
        <v>2.2056905749851641E-2</v>
      </c>
      <c r="AK26" s="1406">
        <f>Retail!CX17/Retail!CS17-1</f>
        <v>6.9388573793844444E-2</v>
      </c>
      <c r="AL26" s="1406">
        <f>Retail!CY17/Retail!CT17-1</f>
        <v>0.12457162124533827</v>
      </c>
      <c r="AM26" s="1407">
        <f>Retail!CZ17/Retail!CU17-1</f>
        <v>6.2096757091506527E-2</v>
      </c>
      <c r="AN26" s="1406">
        <f>Retail!DA17/Retail!CV17-1</f>
        <v>0.18649267291219296</v>
      </c>
      <c r="AO26" s="1406">
        <f>Retail!DB17/Retail!CW17-1</f>
        <v>0.15987611717830208</v>
      </c>
      <c r="AP26" s="1406">
        <f>Retail!DC17/Retail!CX17-1</f>
        <v>0.12455395659333934</v>
      </c>
      <c r="AQ26" s="1406">
        <f>Retail!DD17/Retail!CY17-1</f>
        <v>4.7467576757042274E-2</v>
      </c>
      <c r="AR26" s="1407">
        <f>Retail!DE17/Retail!CZ17-1</f>
        <v>0.12628592491912038</v>
      </c>
      <c r="AS26" s="1406">
        <f>Retail!DF17/Retail!DA17-1</f>
        <v>-3.8360182975338053E-2</v>
      </c>
      <c r="AT26" s="1406">
        <f>Retail!DG17/Retail!DB17-1</f>
        <v>-2.2216444068864472E-2</v>
      </c>
      <c r="AU26" s="1406">
        <f>Retail!DH17/Retail!DC17-1</f>
        <v>-2.726825621341733E-2</v>
      </c>
      <c r="AV26" s="1406">
        <f>Retail!DI17/Retail!DD17-1</f>
        <v>2.9763878718687131E-3</v>
      </c>
      <c r="AW26" s="1407">
        <f>Retail!DJ17/Retail!DE17-1</f>
        <v>-2.0998638187416097E-2</v>
      </c>
      <c r="AX26" s="1406">
        <f>Retail!DK17/Retail!DF17-1</f>
        <v>5.6254491565019604E-2</v>
      </c>
      <c r="AY26" s="1406">
        <f>Retail!DL17/Retail!DG17-1</f>
        <v>5.3629874342611128E-2</v>
      </c>
      <c r="AZ26" s="1406">
        <f>Retail!DM17/Retail!DH17-1</f>
        <v>2.9057488312809632E-2</v>
      </c>
      <c r="BA26" s="1406">
        <f>Retail!DN17/Retail!DI17-1</f>
        <v>2.4045090590960605E-3</v>
      </c>
      <c r="BB26" s="1407">
        <f>Retail!DO17/Retail!DJ17-1</f>
        <v>3.4715111156961465E-2</v>
      </c>
      <c r="BC26" s="1406">
        <f>Retail!DP17/Retail!DK17-1</f>
        <v>2.8540919096650796E-2</v>
      </c>
      <c r="BD26" s="1406">
        <f>Retail!DQ17/Retail!DL17-1</f>
        <v>2.7689361537452717E-2</v>
      </c>
      <c r="BE26" s="1406">
        <f>Retail!DR17/Retail!DM17-1</f>
        <v>2.7173017513145714E-2</v>
      </c>
      <c r="BF26" s="1406">
        <f>Retail!DS17/Retail!DN17-1</f>
        <v>2.5298371961433919E-2</v>
      </c>
      <c r="BG26" s="1407">
        <f>Retail!DT17/Retail!DO17-1</f>
        <v>2.7164379995868959E-2</v>
      </c>
      <c r="BH26" s="1406">
        <f>Retail!DU17/Retail!DP17-1</f>
        <v>2.5568795969168834E-2</v>
      </c>
      <c r="BI26" s="1406">
        <f>Retail!DV17/Retail!DQ17-1</f>
        <v>2.4552465553063341E-2</v>
      </c>
      <c r="BJ26" s="1406">
        <f>Retail!DW17/Retail!DR17-1</f>
        <v>2.3929291205660563E-2</v>
      </c>
      <c r="BK26" s="1406">
        <f>Retail!DX17/Retail!DS17-1</f>
        <v>2.2050242561728384E-2</v>
      </c>
      <c r="BL26" s="1407">
        <f>Retail!DY17/Retail!DT17-1</f>
        <v>2.4015356035359758E-2</v>
      </c>
    </row>
    <row r="27" spans="1:64" x14ac:dyDescent="0.2">
      <c r="A27" s="238"/>
      <c r="B27" s="212"/>
      <c r="C27" s="1408" t="s">
        <v>1192</v>
      </c>
      <c r="D27" s="212"/>
      <c r="E27" s="1409">
        <f>Retail!BR22</f>
        <v>0.29311916069615984</v>
      </c>
      <c r="F27" s="1410">
        <f>Retail!BS22</f>
        <v>0.2994158235004204</v>
      </c>
      <c r="G27" s="1410">
        <f>Retail!BT22</f>
        <v>0.29358196010407633</v>
      </c>
      <c r="H27" s="1410">
        <f>Retail!BU22</f>
        <v>0.31207194742303701</v>
      </c>
      <c r="I27" s="1408">
        <f>Retail!BV22</f>
        <v>0.29975611959172616</v>
      </c>
      <c r="J27" s="1410">
        <f>Retail!BW22</f>
        <v>0.28523393904707395</v>
      </c>
      <c r="K27" s="1410">
        <f>Retail!BX22</f>
        <v>0.29550695269373212</v>
      </c>
      <c r="L27" s="1410">
        <f>Retail!BY22</f>
        <v>0.29528921534006641</v>
      </c>
      <c r="M27" s="1410">
        <f>Retail!BZ22</f>
        <v>0.31160636369738876</v>
      </c>
      <c r="N27" s="1408">
        <f>Retail!CA22</f>
        <v>0.29713139768070451</v>
      </c>
      <c r="O27" s="1410">
        <f>Retail!CB22</f>
        <v>0.28429423459244535</v>
      </c>
      <c r="P27" s="1410">
        <f>Retail!CC22</f>
        <v>0.29731552677728318</v>
      </c>
      <c r="Q27" s="1410">
        <f>Retail!CD22</f>
        <v>0.29306472469883615</v>
      </c>
      <c r="R27" s="1410">
        <f>Retail!CE22</f>
        <v>0.29741749340011747</v>
      </c>
      <c r="S27" s="1408">
        <f>Retail!CF22</f>
        <v>0.29310706441583451</v>
      </c>
      <c r="T27" s="1410">
        <f>Retail!CG22</f>
        <v>0.28532201697453818</v>
      </c>
      <c r="U27" s="1410">
        <f>Retail!CH22</f>
        <v>0.30096554335478987</v>
      </c>
      <c r="V27" s="1410">
        <f>Retail!CI22</f>
        <v>0.30136288288753155</v>
      </c>
      <c r="W27" s="1410">
        <f>Retail!CJ22</f>
        <v>0.31296068796068793</v>
      </c>
      <c r="X27" s="1408">
        <f>Retail!CK22</f>
        <v>0.30019213276798429</v>
      </c>
      <c r="Y27" s="1410">
        <f>Retail!CL22</f>
        <v>0.30851660332689551</v>
      </c>
      <c r="Z27" s="1410">
        <f>Retail!CM22</f>
        <v>0.30977415657238455</v>
      </c>
      <c r="AA27" s="1410">
        <f>Retail!CN22</f>
        <v>0.29992630803242448</v>
      </c>
      <c r="AB27" s="1410">
        <f>Retail!CO22</f>
        <v>0.30735225686365752</v>
      </c>
      <c r="AC27" s="1408">
        <f>Retail!CP22</f>
        <v>0.30639062535691713</v>
      </c>
      <c r="AD27" s="1410">
        <f>Retail!CQ22</f>
        <v>0.31455478828626565</v>
      </c>
      <c r="AE27" s="1410">
        <f>Retail!CR22</f>
        <v>0.31409602845287493</v>
      </c>
      <c r="AF27" s="1410">
        <f>Retail!CS22</f>
        <v>0.31263619809546556</v>
      </c>
      <c r="AG27" s="1410">
        <f>Retail!CT22</f>
        <v>0.31405808565939652</v>
      </c>
      <c r="AH27" s="1408">
        <f>Retail!CU22</f>
        <v>0.3138369817087111</v>
      </c>
      <c r="AI27" s="1410">
        <f>Retail!CV22</f>
        <v>0.3123510394789627</v>
      </c>
      <c r="AJ27" s="1410">
        <f>Retail!CW22</f>
        <v>0.30866309788250856</v>
      </c>
      <c r="AK27" s="1410">
        <f>Retail!CX22</f>
        <v>0.2999948073145593</v>
      </c>
      <c r="AL27" s="1410">
        <f>Retail!CY22</f>
        <v>0.30158241278281078</v>
      </c>
      <c r="AM27" s="1408">
        <f>Retail!CZ22</f>
        <v>0.3054179405141072</v>
      </c>
      <c r="AN27" s="1410">
        <f>Retail!DA22</f>
        <v>0.28987669053301512</v>
      </c>
      <c r="AO27" s="1410">
        <f>Retail!DB22</f>
        <v>0.29216899098441396</v>
      </c>
      <c r="AP27" s="1410">
        <f>Retail!DC22</f>
        <v>0.2928405824442602</v>
      </c>
      <c r="AQ27" s="1410">
        <f>Retail!DD22</f>
        <v>0.29780692076709803</v>
      </c>
      <c r="AR27" s="1408">
        <f>Retail!DE22</f>
        <v>0.29321658972537878</v>
      </c>
      <c r="AS27" s="1410">
        <f>Retail!DF22</f>
        <v>0.29350327033944312</v>
      </c>
      <c r="AT27" s="1410">
        <f>Retail!DG22</f>
        <v>0.29048705150758908</v>
      </c>
      <c r="AU27" s="1410">
        <f>Retail!DH22</f>
        <v>0.29024226441193562</v>
      </c>
      <c r="AV27" s="1410">
        <f>Retail!DI22</f>
        <v>0.3001956249697661</v>
      </c>
      <c r="AW27" s="1408">
        <f>Retail!DJ22</f>
        <v>0.29371812226215277</v>
      </c>
      <c r="AX27" s="1410">
        <f>Retail!DK22</f>
        <v>0.27819521638943501</v>
      </c>
      <c r="AY27" s="1410">
        <f>Retail!DL22</f>
        <v>0.2746754799317262</v>
      </c>
      <c r="AZ27" s="1410">
        <f>Retail!DM22</f>
        <v>0.27703096638738695</v>
      </c>
      <c r="BA27" s="1410">
        <f>Retail!DN22</f>
        <v>0.29025581035113907</v>
      </c>
      <c r="BB27" s="1408">
        <f>Retail!DO22</f>
        <v>0.28010376097705736</v>
      </c>
      <c r="BC27" s="1410">
        <f>Retail!DP22</f>
        <v>0.27565276697102187</v>
      </c>
      <c r="BD27" s="1410">
        <f>Retail!DQ22</f>
        <v>0.27235575803758627</v>
      </c>
      <c r="BE27" s="1410">
        <f>Retail!DR22</f>
        <v>0.27487504350986791</v>
      </c>
      <c r="BF27" s="1410">
        <f>Retail!DS22</f>
        <v>0.28836518482064671</v>
      </c>
      <c r="BG27" s="1408">
        <f>Retail!DT22</f>
        <v>0.27787201402988515</v>
      </c>
      <c r="BH27" s="1410">
        <f>Retail!DU22</f>
        <v>0.27373483843223023</v>
      </c>
      <c r="BI27" s="1410">
        <f>Retail!DV22</f>
        <v>0.27068176776365116</v>
      </c>
      <c r="BJ27" s="1410">
        <f>Retail!DW22</f>
        <v>0.27339095258335699</v>
      </c>
      <c r="BK27" s="1410">
        <f>Retail!DX22</f>
        <v>0.28718564450146833</v>
      </c>
      <c r="BL27" s="1408">
        <f>Retail!DY22</f>
        <v>0.27630284146843664</v>
      </c>
    </row>
    <row r="28" spans="1:64" x14ac:dyDescent="0.2">
      <c r="A28" s="238"/>
      <c r="B28" s="249"/>
      <c r="C28" s="1411" t="s">
        <v>733</v>
      </c>
      <c r="D28" s="249"/>
      <c r="E28" s="1412">
        <f>E27-Retail!BM22</f>
        <v>-2.771296520021671E-3</v>
      </c>
      <c r="F28" s="1413">
        <f>F27-Retail!BN22</f>
        <v>9.037408321849183E-5</v>
      </c>
      <c r="G28" s="1413">
        <f>G27-Retail!BO22</f>
        <v>-1.0368828320806711E-2</v>
      </c>
      <c r="H28" s="1413">
        <f>H27-Retail!BP22</f>
        <v>8.128051244025325E-3</v>
      </c>
      <c r="I28" s="1414">
        <f>Retail!BV22-Retail!BQ22</f>
        <v>-1.130389668345777E-3</v>
      </c>
      <c r="J28" s="1413">
        <f>J27-Retail!BR22</f>
        <v>-7.885221649085894E-3</v>
      </c>
      <c r="K28" s="1413">
        <f>K27-Retail!BS22</f>
        <v>-3.9088708066882805E-3</v>
      </c>
      <c r="L28" s="1413">
        <f>L27-Retail!BT22</f>
        <v>1.7072552359900794E-3</v>
      </c>
      <c r="M28" s="1413">
        <f>M27-Retail!BU22</f>
        <v>-4.6558372564825534E-4</v>
      </c>
      <c r="N28" s="1414">
        <f>Retail!CA22-Retail!BV22</f>
        <v>-2.6247219110216435E-3</v>
      </c>
      <c r="O28" s="1413">
        <f>O27-Retail!BW22</f>
        <v>-9.397044546285982E-4</v>
      </c>
      <c r="P28" s="1413">
        <f>P27-Retail!BX22</f>
        <v>1.8085740835510622E-3</v>
      </c>
      <c r="Q28" s="1413">
        <f>Q27-Retail!BY22</f>
        <v>-2.224490641230259E-3</v>
      </c>
      <c r="R28" s="1413">
        <f>R27-Retail!BZ22</f>
        <v>-1.4188870297271283E-2</v>
      </c>
      <c r="S28" s="1414">
        <f>Retail!CF22-Retail!CA22</f>
        <v>-4.0243332648700059E-3</v>
      </c>
      <c r="T28" s="1413">
        <f>T27-Retail!CB22</f>
        <v>1.0277823820928345E-3</v>
      </c>
      <c r="U28" s="1413">
        <f>U27-Retail!CC22</f>
        <v>3.6500165775066873E-3</v>
      </c>
      <c r="V28" s="1413">
        <f>V27-Retail!CD22</f>
        <v>8.2981581886953926E-3</v>
      </c>
      <c r="W28" s="1413">
        <f>W27-Retail!CE22</f>
        <v>1.5543194560570461E-2</v>
      </c>
      <c r="X28" s="1414">
        <f>Retail!CK22-Retail!CF22</f>
        <v>7.0850683521497815E-3</v>
      </c>
      <c r="Y28" s="1413">
        <f>Y27-Retail!CG22</f>
        <v>2.3194586352357327E-2</v>
      </c>
      <c r="Z28" s="1413">
        <f>Z27-Retail!CH22</f>
        <v>8.8086132175946852E-3</v>
      </c>
      <c r="AA28" s="1413">
        <f>AA27-Retail!CI22</f>
        <v>-1.4365748551070645E-3</v>
      </c>
      <c r="AB28" s="1413">
        <f>AB27-Retail!CJ22</f>
        <v>-5.6084310970304085E-3</v>
      </c>
      <c r="AC28" s="1414">
        <f>Retail!CP22-Retail!CK22</f>
        <v>6.1984925889328468E-3</v>
      </c>
      <c r="AD28" s="1413">
        <f>AD27-Retail!CL22</f>
        <v>6.0381849593701409E-3</v>
      </c>
      <c r="AE28" s="1413">
        <f>AE27-Retail!CM22</f>
        <v>4.32187188049038E-3</v>
      </c>
      <c r="AF28" s="1413">
        <f>AF27-Retail!CN22</f>
        <v>1.2709890063041074E-2</v>
      </c>
      <c r="AG28" s="1413">
        <f>AG27-Retail!CO22</f>
        <v>6.7058287957389995E-3</v>
      </c>
      <c r="AH28" s="1414">
        <f>Retail!CU22-Retail!CP22</f>
        <v>7.4463563517939702E-3</v>
      </c>
      <c r="AI28" s="1413">
        <f>AI27-Retail!CQ22</f>
        <v>-2.2037488073029521E-3</v>
      </c>
      <c r="AJ28" s="1413">
        <f>AJ27-Retail!CR22</f>
        <v>-5.4329305703663677E-3</v>
      </c>
      <c r="AK28" s="1413">
        <f>AK27-Retail!CS22</f>
        <v>-1.2641390780906259E-2</v>
      </c>
      <c r="AL28" s="1413">
        <f>AL27-Retail!CT22</f>
        <v>-1.2475672876585742E-2</v>
      </c>
      <c r="AM28" s="1414">
        <f>Retail!CZ22-Retail!CU22</f>
        <v>-8.4190411946039045E-3</v>
      </c>
      <c r="AN28" s="1413">
        <f>AN27-Retail!CV22</f>
        <v>-2.2474348945947575E-2</v>
      </c>
      <c r="AO28" s="1413">
        <f>AO27-Retail!CW22</f>
        <v>-1.6494106898094607E-2</v>
      </c>
      <c r="AP28" s="1413">
        <f>AP27-Retail!CX22</f>
        <v>-7.1542248702990974E-3</v>
      </c>
      <c r="AQ28" s="1413">
        <f>AQ27-Retail!CY22</f>
        <v>-3.7754920157127558E-3</v>
      </c>
      <c r="AR28" s="1414">
        <f>Retail!DE22-Retail!CZ22</f>
        <v>-1.2201350788728416E-2</v>
      </c>
      <c r="AS28" s="1413">
        <f>AS27-Retail!DA22</f>
        <v>3.6265798064279986E-3</v>
      </c>
      <c r="AT28" s="1413">
        <f>AT27-Retail!DB22</f>
        <v>-1.6819394768248785E-3</v>
      </c>
      <c r="AU28" s="1413">
        <f>AU27-Retail!DC22</f>
        <v>-2.5983180323245758E-3</v>
      </c>
      <c r="AV28" s="1413">
        <f>AV27-Retail!DD22</f>
        <v>2.3887042026680683E-3</v>
      </c>
      <c r="AW28" s="1414">
        <f>Retail!DJ22-Retail!DE22</f>
        <v>5.0153253677398535E-4</v>
      </c>
      <c r="AX28" s="1413">
        <f>AX27-Retail!DF22</f>
        <v>-1.5308053950008116E-2</v>
      </c>
      <c r="AY28" s="1413">
        <f>AY27-Retail!DG22</f>
        <v>-1.5811571575862882E-2</v>
      </c>
      <c r="AZ28" s="1413">
        <f>AZ27-Retail!DH22</f>
        <v>-1.3211298024548679E-2</v>
      </c>
      <c r="BA28" s="1413">
        <f>BA27-Retail!DI22</f>
        <v>-9.9398146186270298E-3</v>
      </c>
      <c r="BB28" s="1414">
        <f>Retail!DO22-Retail!DJ22</f>
        <v>-1.3614361285095411E-2</v>
      </c>
      <c r="BC28" s="1413">
        <f>BC27-Retail!DK22</f>
        <v>-2.5424494184131397E-3</v>
      </c>
      <c r="BD28" s="1413">
        <f>BD27-Retail!DL22</f>
        <v>-2.3197218941399256E-3</v>
      </c>
      <c r="BE28" s="1413">
        <f>BE27-Retail!DM22</f>
        <v>-2.1559228775190342E-3</v>
      </c>
      <c r="BF28" s="1413">
        <f>BF27-Retail!DN22</f>
        <v>-1.8906255304923514E-3</v>
      </c>
      <c r="BG28" s="1414">
        <f>Retail!DT22-Retail!DO22</f>
        <v>-2.2317469471722085E-3</v>
      </c>
      <c r="BH28" s="1413">
        <f>BH27-Retail!DP22</f>
        <v>-1.9179285387916356E-3</v>
      </c>
      <c r="BI28" s="1413">
        <f>BI27-Retail!DQ22</f>
        <v>-1.6739902739351109E-3</v>
      </c>
      <c r="BJ28" s="1413">
        <f>BJ27-Retail!DR22</f>
        <v>-1.484090926510917E-3</v>
      </c>
      <c r="BK28" s="1413">
        <f>BK27-Retail!DS22</f>
        <v>-1.1795403191783849E-3</v>
      </c>
      <c r="BL28" s="1414">
        <f>Retail!DY22-Retail!DT22</f>
        <v>-1.5691725614485064E-3</v>
      </c>
    </row>
    <row r="29" spans="1:64" x14ac:dyDescent="0.2">
      <c r="A29" s="238"/>
      <c r="B29" s="289"/>
      <c r="C29" s="1380" t="s">
        <v>1193</v>
      </c>
      <c r="D29" s="289"/>
      <c r="E29" s="1415">
        <f>Retail!BR37</f>
        <v>7.2053582674540081E-2</v>
      </c>
      <c r="F29" s="1416">
        <f>Retail!BS37</f>
        <v>7.6522772736497255E-2</v>
      </c>
      <c r="G29" s="1416">
        <f>Retail!BT37</f>
        <v>6.6870507298572621E-2</v>
      </c>
      <c r="H29" s="1416">
        <f>Retail!BU37</f>
        <v>8.4399861639571083E-2</v>
      </c>
      <c r="I29" s="1417">
        <f>Retail!BV37</f>
        <v>7.5133230963779246E-2</v>
      </c>
      <c r="J29" s="1416">
        <f>Retail!BW37</f>
        <v>7.3687222778652167E-2</v>
      </c>
      <c r="K29" s="1416">
        <f>Retail!BX37</f>
        <v>7.6584445531409404E-2</v>
      </c>
      <c r="L29" s="1416">
        <f>Retail!BY37</f>
        <v>7.3380888480824913E-2</v>
      </c>
      <c r="M29" s="1416">
        <f>Retail!BZ37</f>
        <v>9.2099080351748672E-2</v>
      </c>
      <c r="N29" s="1417">
        <f>Retail!CA37</f>
        <v>7.9117621414247094E-2</v>
      </c>
      <c r="O29" s="1416">
        <f>Retail!CB37</f>
        <v>7.5135394529375468E-2</v>
      </c>
      <c r="P29" s="1416">
        <f>Retail!CC37</f>
        <v>8.3636854175097808E-2</v>
      </c>
      <c r="Q29" s="1416">
        <f>Retail!CD37</f>
        <v>7.6430953515279385E-2</v>
      </c>
      <c r="R29" s="1416">
        <f>Retail!CE37</f>
        <v>9.3773196408631174E-2</v>
      </c>
      <c r="S29" s="1417">
        <f>Retail!CF37</f>
        <v>8.2414549310639254E-2</v>
      </c>
      <c r="T29" s="1416">
        <f>Retail!CG37</f>
        <v>8.094108836744883E-2</v>
      </c>
      <c r="U29" s="1416">
        <f>Retail!CH37</f>
        <v>9.2704783541587815E-2</v>
      </c>
      <c r="V29" s="1416">
        <f>Retail!CI37</f>
        <v>8.4140119582814643E-2</v>
      </c>
      <c r="W29" s="1416">
        <f>Retail!CJ37</f>
        <v>9.7113022113022113E-2</v>
      </c>
      <c r="X29" s="1417">
        <f>Retail!CK37</f>
        <v>8.8784819154835687E-2</v>
      </c>
      <c r="Y29" s="1416">
        <f>Retail!CL37</f>
        <v>9.5757273690112762E-2</v>
      </c>
      <c r="Z29" s="1416">
        <f>Retail!CM37</f>
        <v>9.8844449951981175E-2</v>
      </c>
      <c r="AA29" s="1416">
        <f>Retail!CN37</f>
        <v>9.0334070253009088E-2</v>
      </c>
      <c r="AB29" s="1416">
        <f>Retail!CO37</f>
        <v>9.7196370404839458E-2</v>
      </c>
      <c r="AC29" s="1417">
        <f>Retail!CP37</f>
        <v>9.5547958243548836E-2</v>
      </c>
      <c r="AD29" s="1416">
        <f>Retail!CQ37</f>
        <v>0.10620274517894637</v>
      </c>
      <c r="AE29" s="1416">
        <f>Retail!CR37</f>
        <v>0.10107291049199765</v>
      </c>
      <c r="AF29" s="1416">
        <f>Retail!CS37</f>
        <v>9.1166900504492665E-2</v>
      </c>
      <c r="AG29" s="1416">
        <f>Retail!CT37</f>
        <v>0.10056503559724261</v>
      </c>
      <c r="AH29" s="1417">
        <f>Retail!CU37</f>
        <v>9.9739960145905512E-2</v>
      </c>
      <c r="AI29" s="1416">
        <f>Retail!CV37</f>
        <v>0.10186539868324801</v>
      </c>
      <c r="AJ29" s="1416">
        <f>Retail!CW37</f>
        <v>9.748232523880504E-2</v>
      </c>
      <c r="AK29" s="1416">
        <f>Retail!CX37</f>
        <v>9.1710713752288606E-2</v>
      </c>
      <c r="AL29" s="1416">
        <f>Retail!CY37</f>
        <v>0.10709938002309338</v>
      </c>
      <c r="AM29" s="1417">
        <f>Retail!CZ37</f>
        <v>9.9736571136680011E-2</v>
      </c>
      <c r="AN29" s="1416">
        <f>Retail!DA37</f>
        <v>8.8355210819411292E-2</v>
      </c>
      <c r="AO29" s="1416">
        <f>Retail!DB37</f>
        <v>8.925080130208464E-2</v>
      </c>
      <c r="AP29" s="1416">
        <f>Retail!DC37</f>
        <v>9.0573756249162252E-2</v>
      </c>
      <c r="AQ29" s="1416">
        <f>Retail!DD37</f>
        <v>0.10302004086840563</v>
      </c>
      <c r="AR29" s="1417">
        <f>Retail!DE37</f>
        <v>9.2896740845959613E-2</v>
      </c>
      <c r="AS29" s="1416">
        <f>Retail!DF37</f>
        <v>8.400506708720043E-2</v>
      </c>
      <c r="AT29" s="1416">
        <f>Retail!DG37</f>
        <v>7.9900175919486172E-2</v>
      </c>
      <c r="AU29" s="1416">
        <f>Retail!DH37</f>
        <v>8.0007552593954409E-2</v>
      </c>
      <c r="AV29" s="1416">
        <f>Retail!DI37</f>
        <v>0.10250600672313295</v>
      </c>
      <c r="AW29" s="1417">
        <f>Retail!DJ37</f>
        <v>8.6879841080866896E-2</v>
      </c>
      <c r="AX29" s="1416">
        <f>Retail!DK37</f>
        <v>8.0748047047361313E-2</v>
      </c>
      <c r="AY29" s="1416">
        <f>Retail!DL37</f>
        <v>7.6240762869571266E-2</v>
      </c>
      <c r="AZ29" s="1416">
        <f>Retail!DM37</f>
        <v>7.4027422355988984E-2</v>
      </c>
      <c r="BA29" s="1416">
        <f>Retail!DN37</f>
        <v>9.4221878979921111E-2</v>
      </c>
      <c r="BB29" s="1417">
        <f>Retail!DO37</f>
        <v>8.1405802853372553E-2</v>
      </c>
      <c r="BC29" s="1416">
        <f>Retail!DP37</f>
        <v>8.0492701122688443E-2</v>
      </c>
      <c r="BD29" s="1416">
        <f>Retail!DQ37</f>
        <v>7.5843514761096034E-2</v>
      </c>
      <c r="BE29" s="1416">
        <f>Retail!DR37</f>
        <v>7.3472499290811497E-2</v>
      </c>
      <c r="BF29" s="1416">
        <f>Retail!DS37</f>
        <v>9.4027651029157944E-2</v>
      </c>
      <c r="BG29" s="1417">
        <f>Retail!DT37</f>
        <v>8.105005499688446E-2</v>
      </c>
      <c r="BH29" s="1416">
        <f>Retail!DU37</f>
        <v>8.029370075047812E-2</v>
      </c>
      <c r="BI29" s="1416">
        <f>Retail!DV37</f>
        <v>7.5687416352471712E-2</v>
      </c>
      <c r="BJ29" s="1416">
        <f>Retail!DW37</f>
        <v>7.341760511469525E-2</v>
      </c>
      <c r="BK29" s="1416">
        <f>Retail!DX37</f>
        <v>9.384777075027291E-2</v>
      </c>
      <c r="BL29" s="1417">
        <f>Retail!DY37</f>
        <v>8.0894967936142675E-2</v>
      </c>
    </row>
    <row r="30" spans="1:64" x14ac:dyDescent="0.2">
      <c r="A30" s="238"/>
      <c r="B30" s="249"/>
      <c r="C30" s="1411" t="s">
        <v>733</v>
      </c>
      <c r="D30" s="249"/>
      <c r="E30" s="1418">
        <f>Retail!BR37-Retail!BM37</f>
        <v>-3.6960627634284454E-3</v>
      </c>
      <c r="F30" s="248">
        <f>Retail!BS37-Retail!BN37</f>
        <v>-3.1659485058991854E-3</v>
      </c>
      <c r="G30" s="248">
        <f>Retail!BT37-Retail!BO37</f>
        <v>-8.1424887159829151E-3</v>
      </c>
      <c r="H30" s="248">
        <f>Retail!BU37-Retail!BP37</f>
        <v>8.3849680994633469E-3</v>
      </c>
      <c r="I30" s="309">
        <f>Retail!BV37-Retail!BQ37</f>
        <v>-1.4621489002335369E-3</v>
      </c>
      <c r="J30" s="248">
        <f>Retail!BW37-Retail!BR37</f>
        <v>1.6336401041120857E-3</v>
      </c>
      <c r="K30" s="248">
        <f>Retail!BX37-Retail!BS37</f>
        <v>6.1672794912148721E-5</v>
      </c>
      <c r="L30" s="248">
        <f>Retail!BY37-Retail!BT37</f>
        <v>6.5103811822522922E-3</v>
      </c>
      <c r="M30" s="248">
        <f>Retail!BZ37-Retail!BU37</f>
        <v>7.6992187121775885E-3</v>
      </c>
      <c r="N30" s="309">
        <f>Retail!CA37-Retail!BV37</f>
        <v>3.9843904504678479E-3</v>
      </c>
      <c r="O30" s="248">
        <f>Retail!CB37-Retail!BW37</f>
        <v>1.4481717507233011E-3</v>
      </c>
      <c r="P30" s="248">
        <f>Retail!CC37-Retail!BX37</f>
        <v>7.0524086436884043E-3</v>
      </c>
      <c r="Q30" s="248">
        <f>Retail!CD37-Retail!BY37</f>
        <v>3.0500650344544716E-3</v>
      </c>
      <c r="R30" s="248">
        <f>Retail!CE37-Retail!BZ37</f>
        <v>1.674116056882502E-3</v>
      </c>
      <c r="S30" s="309">
        <f>Retail!CF37-Retail!CA37</f>
        <v>3.29692789639216E-3</v>
      </c>
      <c r="T30" s="248">
        <f>Retail!CG37-Retail!CB37</f>
        <v>5.8056938380733614E-3</v>
      </c>
      <c r="U30" s="248">
        <f>Retail!CH37-Retail!CC37</f>
        <v>9.0679293664900074E-3</v>
      </c>
      <c r="V30" s="248">
        <f>Retail!CI37-Retail!CD37</f>
        <v>7.7091660675352586E-3</v>
      </c>
      <c r="W30" s="248">
        <f>Retail!CJ37-Retail!CE37</f>
        <v>3.3398257043909391E-3</v>
      </c>
      <c r="X30" s="309">
        <f>Retail!CK37-Retail!CF37</f>
        <v>6.3702698441964328E-3</v>
      </c>
      <c r="Y30" s="248">
        <f>Retail!CL37-Retail!CG37</f>
        <v>1.4816185322663933E-2</v>
      </c>
      <c r="Z30" s="248">
        <f>Retail!CM37-Retail!CH37</f>
        <v>6.1396664103933601E-3</v>
      </c>
      <c r="AA30" s="248">
        <f>Retail!CN37-Retail!CI37</f>
        <v>6.1939506701944452E-3</v>
      </c>
      <c r="AB30" s="248">
        <f>Retail!CO37-Retail!CJ37</f>
        <v>8.3348291817345044E-5</v>
      </c>
      <c r="AC30" s="309">
        <f>Retail!CP37-Retail!CK37</f>
        <v>6.7631390887131493E-3</v>
      </c>
      <c r="AD30" s="248">
        <f>Retail!CQ37-Retail!CL37</f>
        <v>1.044547148883361E-2</v>
      </c>
      <c r="AE30" s="248">
        <f>Retail!CR37-Retail!CM37</f>
        <v>2.2284605400164775E-3</v>
      </c>
      <c r="AF30" s="248">
        <f>Retail!CS37-Retail!CN37</f>
        <v>8.328302514835767E-4</v>
      </c>
      <c r="AG30" s="248">
        <f>Retail!CT37-Retail!CO37</f>
        <v>3.3686651924031558E-3</v>
      </c>
      <c r="AH30" s="309">
        <f>Retail!CU37-Retail!CP37</f>
        <v>4.1920019023566762E-3</v>
      </c>
      <c r="AI30" s="248">
        <f>Retail!CV37-Retail!CQ37</f>
        <v>-4.3373464956983632E-3</v>
      </c>
      <c r="AJ30" s="248">
        <f>Retail!CW37-Retail!CR37</f>
        <v>-3.590585253192613E-3</v>
      </c>
      <c r="AK30" s="248">
        <f>Retail!CX37-Retail!CS37</f>
        <v>5.4381324779594065E-4</v>
      </c>
      <c r="AL30" s="248">
        <f>Retail!CY37-Retail!CT37</f>
        <v>6.5343444258507688E-3</v>
      </c>
      <c r="AM30" s="309">
        <f>Retail!CZ37-Retail!CU37</f>
        <v>-3.3890092255017823E-6</v>
      </c>
      <c r="AN30" s="248">
        <f>Retail!DA37-Retail!CV37</f>
        <v>-1.3510187863836717E-2</v>
      </c>
      <c r="AO30" s="248">
        <f>Retail!DB37-Retail!CW37</f>
        <v>-8.2315239367204002E-3</v>
      </c>
      <c r="AP30" s="248">
        <f>Retail!DC37-Retail!CX37</f>
        <v>-1.136957503126354E-3</v>
      </c>
      <c r="AQ30" s="248">
        <f>Retail!DD37-Retail!CY37</f>
        <v>-4.07933915468775E-3</v>
      </c>
      <c r="AR30" s="309">
        <f>Retail!DE37-Retail!CZ37</f>
        <v>-6.8398302907203973E-3</v>
      </c>
      <c r="AS30" s="248">
        <f>Retail!DF37-Retail!DA37</f>
        <v>-4.3501437322108621E-3</v>
      </c>
      <c r="AT30" s="248">
        <f>Retail!DG37-Retail!DB37</f>
        <v>-9.3506253825984681E-3</v>
      </c>
      <c r="AU30" s="248">
        <f>Retail!DH37-Retail!DC37</f>
        <v>-1.0566203655207843E-2</v>
      </c>
      <c r="AV30" s="248">
        <f>Retail!DI37-Retail!DD37</f>
        <v>-5.1403414527267932E-4</v>
      </c>
      <c r="AW30" s="309">
        <f>Retail!DJ37-Retail!DE37</f>
        <v>-6.0168997650927175E-3</v>
      </c>
      <c r="AX30" s="248">
        <f>Retail!DK37-Retail!DF37</f>
        <v>-3.2570200398391175E-3</v>
      </c>
      <c r="AY30" s="248">
        <f>Retail!DL37-Retail!DG37</f>
        <v>-3.6594130499149058E-3</v>
      </c>
      <c r="AZ30" s="248">
        <f>Retail!DM37-Retail!DH37</f>
        <v>-5.9801302379654253E-3</v>
      </c>
      <c r="BA30" s="248">
        <f>Retail!DN37-Retail!DI37</f>
        <v>-8.2841277432118415E-3</v>
      </c>
      <c r="BB30" s="309">
        <f>Retail!DO37-Retail!DJ37</f>
        <v>-5.4740382274943433E-3</v>
      </c>
      <c r="BC30" s="248">
        <f>Retail!DP37-Retail!DK37</f>
        <v>-2.5534592467287009E-4</v>
      </c>
      <c r="BD30" s="248">
        <f>Retail!DQ37-Retail!DL37</f>
        <v>-3.9724810847523162E-4</v>
      </c>
      <c r="BE30" s="248">
        <f>Retail!DR37-Retail!DM37</f>
        <v>-5.5492306517748724E-4</v>
      </c>
      <c r="BF30" s="248">
        <f>Retail!DS37-Retail!DN37</f>
        <v>-1.9422795076316779E-4</v>
      </c>
      <c r="BG30" s="309">
        <f>Retail!DT37-Retail!DO37</f>
        <v>-3.5574785648809226E-4</v>
      </c>
      <c r="BH30" s="248">
        <f>Retail!DU37-Retail!DP37</f>
        <v>-1.9900037221032285E-4</v>
      </c>
      <c r="BI30" s="248">
        <f>Retail!DV37-Retail!DQ37</f>
        <v>-1.5609840862432223E-4</v>
      </c>
      <c r="BJ30" s="248">
        <f>Retail!DW37-Retail!DR37</f>
        <v>-5.4894176116246363E-5</v>
      </c>
      <c r="BK30" s="248">
        <f>Retail!DX37-Retail!DS37</f>
        <v>-1.7988027888503344E-4</v>
      </c>
      <c r="BL30" s="309">
        <f>Retail!DY37-Retail!DT37</f>
        <v>-1.550870607417848E-4</v>
      </c>
    </row>
    <row r="31" spans="1:64" x14ac:dyDescent="0.2">
      <c r="A31" s="238"/>
      <c r="B31" s="212"/>
      <c r="C31" s="1380" t="s">
        <v>1194</v>
      </c>
      <c r="D31" s="212"/>
      <c r="E31" s="1419">
        <f>Retail!BR38</f>
        <v>8.3806976485010454E-2</v>
      </c>
      <c r="F31" s="1420">
        <f>Retail!BS38</f>
        <v>0.12558635394456275</v>
      </c>
      <c r="G31" s="1420">
        <f>Retail!BT38</f>
        <v>5.08200508200507E-2</v>
      </c>
      <c r="H31" s="1420">
        <f>Retail!BU38</f>
        <v>0.16035761841354379</v>
      </c>
      <c r="I31" s="1421">
        <f>Retail!BV38</f>
        <v>0.1083573179831574</v>
      </c>
      <c r="J31" s="1420">
        <f>Retail!BW38</f>
        <v>5.9125964010282805E-2</v>
      </c>
      <c r="K31" s="1420">
        <f>Retail!BX38</f>
        <v>3.807539306686869E-2</v>
      </c>
      <c r="L31" s="1420">
        <f>Retail!BY38</f>
        <v>0.14200923279841726</v>
      </c>
      <c r="M31" s="1420">
        <f>Retail!BZ38</f>
        <v>0.12459016393442623</v>
      </c>
      <c r="N31" s="1421">
        <f>Retail!CA38</f>
        <v>9.0887232507814275E-2</v>
      </c>
      <c r="O31" s="1420">
        <f>Retail!CB38</f>
        <v>6.4077669902912637E-2</v>
      </c>
      <c r="P31" s="1420">
        <f>Retail!CC38</f>
        <v>0.13138686131386867</v>
      </c>
      <c r="Q31" s="1420">
        <f>Retail!CD38</f>
        <v>8.0846968238690975E-2</v>
      </c>
      <c r="R31" s="1420">
        <f>Retail!CE38</f>
        <v>5.8892128279883549E-2</v>
      </c>
      <c r="S31" s="1421">
        <f>Retail!CF38</f>
        <v>8.2609653956357887E-2</v>
      </c>
      <c r="T31" s="1420">
        <f>Retail!CG38</f>
        <v>0.18339416058394153</v>
      </c>
      <c r="U31" s="1420">
        <f>Retail!CH38</f>
        <v>0.18467741935483906</v>
      </c>
      <c r="V31" s="1420">
        <f>Retail!CI38</f>
        <v>0.16162065894924305</v>
      </c>
      <c r="W31" s="1420">
        <f>Retail!CJ38</f>
        <v>8.8243392070484372E-2</v>
      </c>
      <c r="X31" s="1421">
        <f>Retail!CK38</f>
        <v>0.15059652265971724</v>
      </c>
      <c r="Y31" s="1420">
        <f>Retail!CL38</f>
        <v>0.18504240555127227</v>
      </c>
      <c r="Z31" s="1420">
        <f>Retail!CM38</f>
        <v>8.5976855003403463E-2</v>
      </c>
      <c r="AA31" s="1420">
        <f>Retail!CN38</f>
        <v>0.12763510923725563</v>
      </c>
      <c r="AB31" s="1420">
        <f>Retail!CO38</f>
        <v>5.6925996204933549E-2</v>
      </c>
      <c r="AC31" s="1421">
        <f>Retail!CP38</f>
        <v>0.11020083163761929</v>
      </c>
      <c r="AD31" s="1420">
        <f>Retail!CQ38</f>
        <v>0.13871177618737818</v>
      </c>
      <c r="AE31" s="1420">
        <f>Retail!CR38</f>
        <v>6.882717984078246E-2</v>
      </c>
      <c r="AF31" s="1420">
        <f>Retail!CS38</f>
        <v>3.8069340584636402E-2</v>
      </c>
      <c r="AG31" s="1420">
        <f>Retail!CT38</f>
        <v>6.5110712148414018E-2</v>
      </c>
      <c r="AH31" s="1421">
        <f>Retail!CU38</f>
        <v>7.7745724622667156E-2</v>
      </c>
      <c r="AI31" s="1420">
        <f>Retail!CV38</f>
        <v>-1.3427036910067414E-2</v>
      </c>
      <c r="AJ31" s="1420">
        <f>Retail!CW38</f>
        <v>-1.4251363556389784E-2</v>
      </c>
      <c r="AK31" s="1420">
        <f>Retail!CX38</f>
        <v>7.5767508146691531E-2</v>
      </c>
      <c r="AL31" s="1420">
        <f>Retail!CY38</f>
        <v>0.19764212990785324</v>
      </c>
      <c r="AM31" s="1421">
        <f>Retail!CZ38</f>
        <v>6.2060668690198773E-2</v>
      </c>
      <c r="AN31" s="1420">
        <f>Retail!DA38</f>
        <v>2.913071176232096E-2</v>
      </c>
      <c r="AO31" s="1420">
        <f>Retail!DB38</f>
        <v>6.1934792955735229E-2</v>
      </c>
      <c r="AP31" s="1420">
        <f>Retail!DC38</f>
        <v>0.11061261859358651</v>
      </c>
      <c r="AQ31" s="1420">
        <f>Retail!DD38</f>
        <v>7.5702823169667699E-3</v>
      </c>
      <c r="AR31" s="1421">
        <f>Retail!DE38</f>
        <v>4.9046407884623999E-2</v>
      </c>
      <c r="AS31" s="1420">
        <f>Retail!DF38</f>
        <v>-8.5706246482836312E-2</v>
      </c>
      <c r="AT31" s="1420">
        <f>Retail!DG38</f>
        <v>-0.1246568435206451</v>
      </c>
      <c r="AU31" s="1420">
        <f>Retail!DH38</f>
        <v>-0.14074573724512118</v>
      </c>
      <c r="AV31" s="1420">
        <f>Retail!DI38</f>
        <v>-2.0281151929958385E-3</v>
      </c>
      <c r="AW31" s="1421">
        <f>Retail!DJ38</f>
        <v>-8.4408323072736602E-2</v>
      </c>
      <c r="AX31" s="1420">
        <f>Retail!DK38</f>
        <v>1.5301699483724729E-2</v>
      </c>
      <c r="AY31" s="1420">
        <f>Retail!DL38</f>
        <v>5.3738239950520406E-3</v>
      </c>
      <c r="AZ31" s="1420">
        <f>Retail!DM38</f>
        <v>-4.7858972733009209E-2</v>
      </c>
      <c r="BA31" s="1420">
        <f>Retail!DN38</f>
        <v>-7.8605836274579732E-2</v>
      </c>
      <c r="BB31" s="1421">
        <f>Retail!DO38</f>
        <v>-3.0479184810583093E-2</v>
      </c>
      <c r="BC31" s="1420">
        <f>Retail!DP38</f>
        <v>2.5288410315892573E-2</v>
      </c>
      <c r="BD31" s="1420">
        <f>Retail!DQ38</f>
        <v>2.2334645246519402E-2</v>
      </c>
      <c r="BE31" s="1420">
        <f>Retail!DR38</f>
        <v>1.9473141153748319E-2</v>
      </c>
      <c r="BF31" s="1420">
        <f>Retail!DS38</f>
        <v>2.3184833111828507E-2</v>
      </c>
      <c r="BG31" s="1421">
        <f>Retail!DT38</f>
        <v>2.267561490006087E-2</v>
      </c>
      <c r="BH31" s="1420">
        <f>Retail!DU38</f>
        <v>2.3033304312427338E-2</v>
      </c>
      <c r="BI31" s="1420">
        <f>Retail!DV38</f>
        <v>2.2443768323923141E-2</v>
      </c>
      <c r="BJ31" s="1420">
        <f>Retail!DW38</f>
        <v>2.3164273608810459E-2</v>
      </c>
      <c r="BK31" s="1420">
        <f>Retail!DX38</f>
        <v>2.0095001942035395E-2</v>
      </c>
      <c r="BL31" s="1421">
        <f>Retail!DY38</f>
        <v>2.2055930693475778E-2</v>
      </c>
    </row>
    <row r="32" spans="1:64" ht="5.25" customHeight="1" x14ac:dyDescent="0.2">
      <c r="A32" s="238"/>
      <c r="B32" s="212"/>
      <c r="C32" s="1380"/>
      <c r="D32" s="212"/>
      <c r="E32" s="1419"/>
      <c r="F32" s="1422"/>
      <c r="G32" s="1422"/>
      <c r="H32" s="1422"/>
      <c r="I32" s="1421"/>
      <c r="J32" s="1422"/>
      <c r="K32" s="1422"/>
      <c r="L32" s="1422"/>
      <c r="M32" s="1422"/>
      <c r="N32" s="1421"/>
      <c r="O32" s="1422"/>
      <c r="P32" s="1422"/>
      <c r="Q32" s="1422"/>
      <c r="R32" s="1422"/>
      <c r="S32" s="1421"/>
      <c r="T32" s="1422"/>
      <c r="U32" s="1422"/>
      <c r="V32" s="1422"/>
      <c r="W32" s="1422"/>
      <c r="X32" s="1421"/>
      <c r="Y32" s="1422"/>
      <c r="Z32" s="1422"/>
      <c r="AA32" s="1422"/>
      <c r="AB32" s="1422"/>
      <c r="AC32" s="1421"/>
      <c r="AD32" s="1422"/>
      <c r="AE32" s="1422"/>
      <c r="AF32" s="1422"/>
      <c r="AG32" s="1422"/>
      <c r="AH32" s="1421"/>
      <c r="AI32" s="1422"/>
      <c r="AJ32" s="1422"/>
      <c r="AK32" s="1422"/>
      <c r="AL32" s="1422"/>
      <c r="AM32" s="1421"/>
      <c r="AN32" s="1422"/>
      <c r="AO32" s="1422"/>
      <c r="AP32" s="1422"/>
      <c r="AQ32" s="1422"/>
      <c r="AR32" s="1421"/>
      <c r="AS32" s="1422"/>
      <c r="AT32" s="1422"/>
      <c r="AU32" s="1422"/>
      <c r="AV32" s="1422"/>
      <c r="AW32" s="1421"/>
      <c r="AX32" s="1422"/>
      <c r="AY32" s="1422"/>
      <c r="AZ32" s="1422"/>
      <c r="BA32" s="1422"/>
      <c r="BB32" s="1421"/>
      <c r="BC32" s="1422"/>
      <c r="BD32" s="1422"/>
      <c r="BE32" s="1422"/>
      <c r="BF32" s="1422"/>
      <c r="BG32" s="1421"/>
      <c r="BH32" s="1422"/>
      <c r="BI32" s="1422"/>
      <c r="BJ32" s="1422"/>
      <c r="BK32" s="1422"/>
      <c r="BL32" s="1421"/>
    </row>
    <row r="33" spans="1:64" x14ac:dyDescent="0.2">
      <c r="A33" s="238"/>
      <c r="B33" s="289"/>
      <c r="C33" s="1380" t="s">
        <v>1195</v>
      </c>
      <c r="D33" s="289"/>
      <c r="E33" s="1415">
        <f>Retail!BR40/Retail!BM40-1</f>
        <v>5.9117778565813905E-2</v>
      </c>
      <c r="F33" s="1416">
        <f>Retail!BS40/Retail!BN40-1</f>
        <v>0.10946645462013693</v>
      </c>
      <c r="G33" s="1416">
        <f>Retail!BT40/Retail!BO40-1</f>
        <v>4.5857378968718665E-2</v>
      </c>
      <c r="H33" s="1416">
        <f>Retail!BU40/Retail!BP40-1</f>
        <v>0.20058729552939814</v>
      </c>
      <c r="I33" s="1417">
        <f>Retail!BV40/Retail!BQ40-1</f>
        <v>0.10476858514062948</v>
      </c>
      <c r="J33" s="1416">
        <f>Retail!BW40/Retail!BR40-1</f>
        <v>0.12194412835276514</v>
      </c>
      <c r="K33" s="1416">
        <f>Retail!BX40/Retail!BS40-1</f>
        <v>7.198314843839082E-2</v>
      </c>
      <c r="L33" s="1416">
        <f>Retail!BY40/Retail!BT40-1</f>
        <v>0.15102365180759647</v>
      </c>
      <c r="M33" s="1416">
        <f>Retail!BZ40/Retail!BU40-1</f>
        <v>0.17974076916359083</v>
      </c>
      <c r="N33" s="1417">
        <f>Retail!CA40/Retail!BV40-1</f>
        <v>0.13417386505848028</v>
      </c>
      <c r="O33" s="1416">
        <f>Retail!CB40/Retail!BW40-1</f>
        <v>4.3416223562850575E-2</v>
      </c>
      <c r="P33" s="1416">
        <f>Retail!CC40/Retail!BX40-1</f>
        <v>0.12258756356043543</v>
      </c>
      <c r="Q33" s="1416">
        <f>Retail!CD40/Retail!BY40-1</f>
        <v>0.10969673625757959</v>
      </c>
      <c r="R33" s="1416">
        <f>Retail!CE40/Retail!BZ40-1</f>
        <v>8.0286626337395139E-2</v>
      </c>
      <c r="S33" s="1417">
        <f>Retail!CF40/Retail!CA40-1</f>
        <v>8.8401293242885259E-2</v>
      </c>
      <c r="T33" s="1416">
        <f>Retail!CG40/Retail!CB40-1</f>
        <v>0.22357162900618066</v>
      </c>
      <c r="U33" s="1416">
        <f>Retail!CH40/Retail!CC40-1</f>
        <v>0.27146910712242267</v>
      </c>
      <c r="V33" s="1416">
        <f>Retail!CI40/Retail!CD40-1</f>
        <v>0.21434091881191475</v>
      </c>
      <c r="W33" s="1416">
        <f>Retail!CJ40/Retail!CE40-1</f>
        <v>-2.4101919820759599E-2</v>
      </c>
      <c r="X33" s="1417">
        <f>Retail!CK40/Retail!CF40-1</f>
        <v>0.25630969445657859</v>
      </c>
      <c r="Y33" s="1416">
        <f>Retail!CL40/Retail!CG40-1</f>
        <v>0.24494448226259546</v>
      </c>
      <c r="Z33" s="1416">
        <f>Retail!CM40/Retail!CH40-1</f>
        <v>0.14610336684818237</v>
      </c>
      <c r="AA33" s="1416">
        <f>Retail!CN40/Retail!CI40-1</f>
        <v>0.14484808061567089</v>
      </c>
      <c r="AB33" s="1416">
        <f>Retail!CO40/Retail!CJ40-1</f>
        <v>0.25313353522320692</v>
      </c>
      <c r="AC33" s="1417">
        <f ca="1">Retail!CP40/Retail!CK40-1</f>
        <v>0.10162534680297686</v>
      </c>
      <c r="AD33" s="1416">
        <f>Retail!CQ40/Retail!CL40-1</f>
        <v>0.14000181289139646</v>
      </c>
      <c r="AE33" s="1416">
        <f>Retail!CR40/Retail!CM40-1</f>
        <v>5.1474771826043764E-2</v>
      </c>
      <c r="AF33" s="1416">
        <f>Retail!CS40/Retail!CN40-1</f>
        <v>6.9785912315259324E-2</v>
      </c>
      <c r="AG33" s="1416">
        <f>Retail!CT40/Retail!CO40-1</f>
        <v>6.7289089464034557E-2</v>
      </c>
      <c r="AH33" s="1417">
        <f ca="1">Retail!CU40/Retail!CP40-1</f>
        <v>8.198366478645891E-2</v>
      </c>
      <c r="AI33" s="1416">
        <f>Retail!CV40/Retail!CQ40-1</f>
        <v>9.0115340250653819E-2</v>
      </c>
      <c r="AJ33" s="1416">
        <f>Retail!CW40/Retail!CR40-1</f>
        <v>3.0496489204222987E-2</v>
      </c>
      <c r="AK33" s="1416">
        <f>Retail!CX40/Retail!CS40-1</f>
        <v>0.10143126385221768</v>
      </c>
      <c r="AL33" s="1416">
        <f>Retail!CY40/Retail!CT40-1</f>
        <v>0.21466475307063515</v>
      </c>
      <c r="AM33" s="1417">
        <f>Retail!CZ40/Retail!CU40-1</f>
        <v>0.10974118418705014</v>
      </c>
      <c r="AN33" s="1416">
        <f>Retail!DA40/Retail!CV40-1</f>
        <v>-2.4111086292978756E-2</v>
      </c>
      <c r="AO33" s="1416">
        <f>Retail!DB40/Retail!CW40-1</f>
        <v>4.3839840565332189E-2</v>
      </c>
      <c r="AP33" s="1416">
        <f>Retail!DC40/Retail!CX40-1</f>
        <v>0.21516876109704497</v>
      </c>
      <c r="AQ33" s="1416">
        <f>Retail!DD40/Retail!CY40-1</f>
        <v>7.1231114384187944E-2</v>
      </c>
      <c r="AR33" s="1417">
        <f>Retail!DE40/Retail!CZ40-1</f>
        <v>7.7415644866513533E-2</v>
      </c>
      <c r="AS33" s="1416">
        <f>Retail!DF40/Retail!DA40-1</f>
        <v>-5.7446768795974879E-2</v>
      </c>
      <c r="AT33" s="1416">
        <f>Retail!DG40/Retail!DB40-1</f>
        <v>-8.3001493660589509E-2</v>
      </c>
      <c r="AU33" s="1416">
        <f>Retail!DH40/Retail!DC40-1</f>
        <v>-0.13798322118121609</v>
      </c>
      <c r="AV33" s="1416">
        <f>Retail!DI40/Retail!DD40-1</f>
        <v>0.15789544777512043</v>
      </c>
      <c r="AW33" s="1417">
        <f>Retail!DJ40/Retail!DE40-1</f>
        <v>-4.7376183041805242E-2</v>
      </c>
      <c r="AX33" s="1416">
        <f ca="1">Retail!DK40/Retail!DF40-1</f>
        <v>0.27459566523583478</v>
      </c>
      <c r="AY33" s="1416">
        <f ca="1">Retail!DL40/Retail!DG40-1</f>
        <v>7.9606074354074075E-2</v>
      </c>
      <c r="AZ33" s="1416">
        <f ca="1">Retail!DM40/Retail!DH40-1</f>
        <v>1.4290545619428885E-2</v>
      </c>
      <c r="BA33" s="1416">
        <f ca="1">Retail!DN40/Retail!DI40-1</f>
        <v>-8.7913691328142529E-2</v>
      </c>
      <c r="BB33" s="1417">
        <f ca="1">Retail!DO40/Retail!DJ40-1</f>
        <v>7.3070059426437517E-2</v>
      </c>
      <c r="BC33" s="1416">
        <f ca="1">Retail!DP40/Retail!DK40-1</f>
        <v>-9.7307514257412242E-2</v>
      </c>
      <c r="BD33" s="1416">
        <f ca="1">Retail!DQ40/Retail!DL40-1</f>
        <v>5.5048904681350708E-2</v>
      </c>
      <c r="BE33" s="1416">
        <f ca="1">Retail!DR40/Retail!DM40-1</f>
        <v>2.8939074400168963E-2</v>
      </c>
      <c r="BF33" s="1416">
        <f ca="1">Retail!DS40/Retail!DN40-1</f>
        <v>3.1471168456961074E-2</v>
      </c>
      <c r="BG33" s="1417">
        <f ca="1">Retail!DT40/Retail!DO40-1</f>
        <v>7.6661107579387711E-3</v>
      </c>
      <c r="BH33" s="1416">
        <f ca="1">Retail!DU40/Retail!DP40-1</f>
        <v>5.1102178095861595E-2</v>
      </c>
      <c r="BI33" s="1416">
        <f ca="1">Retail!DV40/Retail!DQ40-1</f>
        <v>4.750552845237066E-2</v>
      </c>
      <c r="BJ33" s="1416">
        <f ca="1">Retail!DW40/Retail!DR40-1</f>
        <v>4.6791690174572853E-2</v>
      </c>
      <c r="BK33" s="1416">
        <f ca="1">Retail!DX40/Retail!DS40-1</f>
        <v>3.7375221353349142E-2</v>
      </c>
      <c r="BL33" s="1417">
        <f ca="1">Retail!DY40/Retail!DT40-1</f>
        <v>4.4891687735360009E-2</v>
      </c>
    </row>
    <row r="34" spans="1:64" x14ac:dyDescent="0.2">
      <c r="A34" s="238"/>
      <c r="B34" s="289"/>
      <c r="C34" s="1380" t="s">
        <v>1196</v>
      </c>
      <c r="D34" s="289"/>
      <c r="E34" s="1415">
        <f>IS!BR32/IS!BM32-1</f>
        <v>-9.6687609456191925E-3</v>
      </c>
      <c r="F34" s="1416">
        <f>IS!BS32/IS!BN32-1</f>
        <v>0.14708609514472726</v>
      </c>
      <c r="G34" s="1416">
        <f>IS!BT32/IS!BO32-1</f>
        <v>0.41858446931499604</v>
      </c>
      <c r="H34" s="1416">
        <f>IS!BU32/IS!BP32-1</f>
        <v>0.14785606478010949</v>
      </c>
      <c r="I34" s="1417">
        <f>IS!BV32/IS!BQ32-1</f>
        <v>0.16959183180488679</v>
      </c>
      <c r="J34" s="1416">
        <f>IS!BW32/IS!BR32-1</f>
        <v>0.10516732875887835</v>
      </c>
      <c r="K34" s="1416">
        <f>IS!BX32/IS!BS32-1</f>
        <v>-4.3429628009097332E-3</v>
      </c>
      <c r="L34" s="1416">
        <f>IS!BY32/IS!BT32-1</f>
        <v>-0.16437827490819834</v>
      </c>
      <c r="M34" s="1416">
        <f>IS!BZ32/IS!BU32-1</f>
        <v>5.9371702613890687E-3</v>
      </c>
      <c r="N34" s="1417">
        <f>IS!CA32/IS!BV32-1</f>
        <v>-2.2384458023747555E-2</v>
      </c>
      <c r="O34" s="1416">
        <f>IS!CB32/IS!BW32-1</f>
        <v>-6.5207877461706865E-2</v>
      </c>
      <c r="P34" s="1416">
        <f>IS!CC32/IS!BX32-1</f>
        <v>-4.8917527798514326E-3</v>
      </c>
      <c r="Q34" s="1416">
        <f>IS!CD32/IS!BY32-1</f>
        <v>9.5441111275306634E-2</v>
      </c>
      <c r="R34" s="1416">
        <f>IS!CE32/IS!BZ32-1</f>
        <v>8.7139425494118905E-2</v>
      </c>
      <c r="S34" s="1417">
        <f>IS!CF32/IS!CA32-1</f>
        <v>3.0240495225742681E-2</v>
      </c>
      <c r="T34" s="1416">
        <f>IS!CG32/IS!CB32-1</f>
        <v>0.1400384975236264</v>
      </c>
      <c r="U34" s="1416">
        <f>IS!CH32/IS!CC32-1</f>
        <v>0.25675675675675769</v>
      </c>
      <c r="V34" s="1416">
        <f>IS!CI32/IS!CD32-1</f>
        <v>0.22049934661045301</v>
      </c>
      <c r="W34" s="1416">
        <f>IS!CJ32/IS!CE32-1</f>
        <v>0.11295217787314882</v>
      </c>
      <c r="X34" s="1417">
        <f>IS!CK32/IS!CF32-1</f>
        <v>0.28517229769714403</v>
      </c>
      <c r="Y34" s="1416">
        <f>IS!CL32/IS!CG32-1</f>
        <v>0.30114007954043309</v>
      </c>
      <c r="Z34" s="1416">
        <f>IS!CM32/IS!CH32-1</f>
        <v>0.20999244631487923</v>
      </c>
      <c r="AA34" s="1416">
        <f>IS!CN32/IS!CI32-1</f>
        <v>0.24608884427779265</v>
      </c>
      <c r="AB34" s="1416">
        <f>IS!CO32/IS!CJ32-1</f>
        <v>0.16450477864254109</v>
      </c>
      <c r="AC34" s="1417">
        <f>IS!CP32/IS!CK32-1</f>
        <v>0.1241644286760033</v>
      </c>
      <c r="AD34" s="1416">
        <f>IS!CQ32/IS!CL32-1</f>
        <v>0.17548447015812729</v>
      </c>
      <c r="AE34" s="1416">
        <f>IS!CR32/IS!CM32-1</f>
        <v>0.11986282045770214</v>
      </c>
      <c r="AF34" s="1416">
        <f>IS!CS32/IS!CN32-1</f>
        <v>5.5906367117032785E-2</v>
      </c>
      <c r="AG34" s="1416">
        <f>IS!CT32/IS!CO32-1</f>
        <v>4.8258988725179419E-2</v>
      </c>
      <c r="AH34" s="1417">
        <f>IS!CU32/IS!CP32-1</f>
        <v>9.4633965016241328E-2</v>
      </c>
      <c r="AI34" s="1416">
        <f>IS!CV32/IS!CQ32-1</f>
        <v>0.14270696649500958</v>
      </c>
      <c r="AJ34" s="1416">
        <f>IS!CW32/IS!CR32-1</f>
        <v>5.5176590247433044E-2</v>
      </c>
      <c r="AK34" s="1416">
        <f>IS!CX32/IS!CS32-1</f>
        <v>9.2158046803356486E-2</v>
      </c>
      <c r="AL34" s="1416">
        <f>IS!CY32/IS!CT32-1</f>
        <v>0.23104316085192478</v>
      </c>
      <c r="AM34" s="1417">
        <f>IS!CZ32/IS!CU32-1</f>
        <v>0.13189397480165765</v>
      </c>
      <c r="AN34" s="1416">
        <f>IS!DA32/IS!CV32-1</f>
        <v>-2.4793280981855736E-2</v>
      </c>
      <c r="AO34" s="1416">
        <f>IS!DB32/IS!CW32-1</f>
        <v>6.0095373883334968E-2</v>
      </c>
      <c r="AP34" s="1416">
        <f>IS!DC32/IS!CX32-1</f>
        <v>0.28043417507774016</v>
      </c>
      <c r="AQ34" s="1416">
        <f>IS!DD32/IS!CY32-1</f>
        <v>0.1189116133300081</v>
      </c>
      <c r="AR34" s="1417">
        <f>IS!DE32/IS!CZ32-1</f>
        <v>0.11191855837389553</v>
      </c>
      <c r="AS34" s="1416">
        <f>IS!DF32/IS!DA32-1</f>
        <v>-2.8652580841621478E-2</v>
      </c>
      <c r="AT34" s="1416">
        <f>IS!DG32/IS!DB32-1</f>
        <v>1.3550025667834475E-3</v>
      </c>
      <c r="AU34" s="1416">
        <f>IS!DH32/IS!DC32-1</f>
        <v>-0.10413253735778982</v>
      </c>
      <c r="AV34" s="1416">
        <f>IS!DI32/IS!DD32-1</f>
        <v>0.12652352224932151</v>
      </c>
      <c r="AW34" s="1417">
        <f>IS!DJ32/IS!DE32-1</f>
        <v>3.0387711330834843E-3</v>
      </c>
      <c r="AX34" s="1416">
        <f ca="1">IS!DK32/IS!DF32-1</f>
        <v>0.28261087698714538</v>
      </c>
      <c r="AY34" s="1416">
        <f ca="1">IS!DL32/IS!DG32-1</f>
        <v>0.11114368911069228</v>
      </c>
      <c r="AZ34" s="1416">
        <f ca="1">IS!DM32/IS!DH32-1</f>
        <v>8.3634774983717186E-2</v>
      </c>
      <c r="BA34" s="1416">
        <f ca="1">IS!DN32/IS!DI32-1</f>
        <v>2.0517396440805191E-2</v>
      </c>
      <c r="BB34" s="1417">
        <f ca="1">IS!DO32/IS!DJ32-1</f>
        <v>0.10795439912298632</v>
      </c>
      <c r="BC34" s="1416">
        <f ca="1">IS!DP32/IS!DK32-1</f>
        <v>-7.6412996309859427E-2</v>
      </c>
      <c r="BD34" s="1416">
        <f ca="1">IS!DQ32/IS!DL32-1</f>
        <v>6.8922430098062426E-2</v>
      </c>
      <c r="BE34" s="1416">
        <f ca="1">IS!DR32/IS!DM32-1</f>
        <v>4.5542217688401498E-2</v>
      </c>
      <c r="BF34" s="1416">
        <f ca="1">IS!DS32/IS!DN32-1</f>
        <v>4.5625739268039922E-2</v>
      </c>
      <c r="BG34" s="1417">
        <f ca="1">IS!DT32/IS!DO32-1</f>
        <v>2.3780737934738561E-2</v>
      </c>
      <c r="BH34" s="1416">
        <f ca="1">IS!DU32/IS!DP32-1</f>
        <v>6.8488111752799119E-2</v>
      </c>
      <c r="BI34" s="1416">
        <f ca="1">IS!DV32/IS!DQ32-1</f>
        <v>6.835109901451375E-2</v>
      </c>
      <c r="BJ34" s="1416">
        <f ca="1">IS!DW32/IS!DR32-1</f>
        <v>6.9269698543063196E-2</v>
      </c>
      <c r="BK34" s="1416">
        <f ca="1">IS!DX32/IS!DS32-1</f>
        <v>5.7722318010666296E-2</v>
      </c>
      <c r="BL34" s="1417">
        <f ca="1">IS!DY32/IS!DT32-1</f>
        <v>6.5271939987653571E-2</v>
      </c>
    </row>
    <row r="35" spans="1:64" ht="6" customHeight="1" thickBot="1" x14ac:dyDescent="0.25">
      <c r="A35" s="238"/>
      <c r="B35" s="1423"/>
      <c r="C35" s="1424"/>
      <c r="D35" s="1423"/>
      <c r="E35" s="1425"/>
      <c r="F35" s="1426"/>
      <c r="G35" s="1426"/>
      <c r="H35" s="1426"/>
      <c r="I35" s="1427"/>
      <c r="J35" s="1428"/>
      <c r="K35" s="1428"/>
      <c r="L35" s="1428"/>
      <c r="M35" s="1428"/>
      <c r="N35" s="1427"/>
      <c r="O35" s="1428"/>
      <c r="P35" s="1428"/>
      <c r="Q35" s="1428"/>
      <c r="R35" s="1428"/>
      <c r="S35" s="1427"/>
      <c r="T35" s="1428"/>
      <c r="U35" s="1428"/>
      <c r="V35" s="1428"/>
      <c r="W35" s="1428"/>
      <c r="X35" s="1427"/>
      <c r="Y35" s="1428"/>
      <c r="Z35" s="1428"/>
      <c r="AA35" s="1428"/>
      <c r="AB35" s="1428"/>
      <c r="AC35" s="1427"/>
      <c r="AD35" s="1428"/>
      <c r="AE35" s="1428"/>
      <c r="AF35" s="1428"/>
      <c r="AG35" s="1428"/>
      <c r="AH35" s="1427"/>
      <c r="AI35" s="1428"/>
      <c r="AJ35" s="1428"/>
      <c r="AK35" s="1428"/>
      <c r="AL35" s="1428"/>
      <c r="AM35" s="1427"/>
      <c r="AN35" s="1428"/>
      <c r="AO35" s="1428"/>
      <c r="AP35" s="1428"/>
      <c r="AQ35" s="1428"/>
      <c r="AR35" s="1427"/>
      <c r="AS35" s="1428"/>
      <c r="AT35" s="1428"/>
      <c r="AU35" s="1428"/>
      <c r="AV35" s="1428"/>
      <c r="AW35" s="1427"/>
      <c r="AX35" s="1428"/>
      <c r="AY35" s="1428"/>
      <c r="AZ35" s="1428"/>
      <c r="BA35" s="1428"/>
      <c r="BB35" s="1427"/>
      <c r="BC35" s="1428"/>
      <c r="BD35" s="1428"/>
      <c r="BE35" s="1428"/>
      <c r="BF35" s="1428"/>
      <c r="BG35" s="1427"/>
      <c r="BH35" s="1428"/>
      <c r="BI35" s="1428"/>
      <c r="BJ35" s="1428"/>
      <c r="BK35" s="1428"/>
      <c r="BL35" s="1427"/>
    </row>
    <row r="36" spans="1:64" ht="15" x14ac:dyDescent="0.25">
      <c r="A36" s="1429"/>
      <c r="B36" s="1429"/>
      <c r="C36" s="1430"/>
      <c r="D36" s="1431"/>
      <c r="E36" s="1432"/>
      <c r="F36" s="1432"/>
      <c r="G36" s="1432"/>
      <c r="H36" s="1432"/>
      <c r="I36" s="1432"/>
      <c r="J36" s="1432"/>
      <c r="K36" s="1432"/>
      <c r="L36" s="1432"/>
      <c r="M36" s="1432"/>
      <c r="N36" s="1432"/>
      <c r="O36" s="1432"/>
      <c r="P36" s="1432"/>
      <c r="Q36" s="1432"/>
      <c r="R36" s="1432"/>
      <c r="S36" s="1432"/>
      <c r="T36" s="1432"/>
      <c r="U36" s="1432"/>
      <c r="V36" s="1432"/>
      <c r="W36" s="1432"/>
      <c r="X36" s="1432"/>
      <c r="Y36" s="1432"/>
      <c r="Z36" s="1432"/>
      <c r="AA36" s="1432"/>
      <c r="AB36" s="1432"/>
      <c r="AC36" s="1432"/>
      <c r="AD36" s="1432"/>
      <c r="AE36" s="1432"/>
      <c r="AF36" s="1432"/>
      <c r="AG36" s="1432"/>
      <c r="AH36" s="1432"/>
      <c r="AI36" s="1432"/>
      <c r="AJ36" s="1432"/>
      <c r="AK36" s="1432"/>
      <c r="AL36" s="1432"/>
      <c r="AM36" s="1432"/>
      <c r="AN36" s="1432"/>
      <c r="AO36" s="1432"/>
      <c r="AP36" s="1432"/>
      <c r="AQ36" s="1432"/>
      <c r="AR36" s="1432"/>
      <c r="AS36" s="1432"/>
      <c r="AT36" s="1432"/>
      <c r="AU36" s="1432"/>
      <c r="AV36" s="1432"/>
      <c r="AW36" s="1432"/>
      <c r="AX36" s="1432"/>
      <c r="AY36" s="1432"/>
      <c r="AZ36" s="1432"/>
      <c r="BA36" s="1432"/>
      <c r="BB36" s="1432"/>
      <c r="BC36" s="1432"/>
      <c r="BD36" s="1432"/>
      <c r="BE36" s="1432"/>
      <c r="BF36" s="1432"/>
      <c r="BG36" s="1432"/>
      <c r="BH36" s="1432"/>
      <c r="BI36" s="1432"/>
      <c r="BJ36" s="1432"/>
      <c r="BK36" s="1432"/>
      <c r="BL36" s="1432"/>
    </row>
    <row r="37" spans="1:64" ht="12" outlineLevel="1" thickBot="1" x14ac:dyDescent="0.25">
      <c r="A37" s="238"/>
      <c r="B37" s="300"/>
      <c r="C37" s="300"/>
      <c r="D37" s="300"/>
      <c r="E37" s="300"/>
      <c r="F37" s="300"/>
      <c r="G37" s="300"/>
      <c r="H37" s="300"/>
      <c r="I37" s="300"/>
      <c r="J37" s="300"/>
      <c r="K37" s="300"/>
      <c r="L37" s="300"/>
      <c r="M37" s="300"/>
      <c r="N37" s="300"/>
      <c r="O37" s="300"/>
      <c r="P37" s="300"/>
      <c r="Q37" s="300"/>
      <c r="R37" s="300"/>
      <c r="S37" s="300"/>
      <c r="T37" s="300"/>
      <c r="U37" s="300"/>
      <c r="V37" s="300"/>
      <c r="W37" s="300"/>
      <c r="X37" s="300"/>
      <c r="Y37" s="300"/>
      <c r="Z37" s="300"/>
      <c r="AA37" s="300"/>
      <c r="AB37" s="300"/>
      <c r="AC37" s="300"/>
      <c r="AD37" s="300"/>
      <c r="AE37" s="300"/>
      <c r="AF37" s="300"/>
      <c r="AG37" s="300"/>
      <c r="AH37" s="300"/>
      <c r="AI37" s="300"/>
      <c r="AJ37" s="300"/>
      <c r="AK37" s="300"/>
      <c r="AL37" s="300"/>
      <c r="AM37" s="300"/>
      <c r="AN37" s="300"/>
      <c r="AO37" s="300"/>
      <c r="AP37" s="300"/>
      <c r="AQ37" s="300"/>
      <c r="AR37" s="300"/>
      <c r="AS37" s="300"/>
      <c r="AT37" s="300"/>
      <c r="AU37" s="300"/>
      <c r="AV37" s="300"/>
      <c r="AW37" s="300"/>
      <c r="AX37" s="300"/>
      <c r="AY37" s="300"/>
      <c r="AZ37" s="300"/>
      <c r="BA37" s="300"/>
      <c r="BB37" s="300"/>
      <c r="BC37" s="300"/>
      <c r="BD37" s="300"/>
      <c r="BE37" s="300"/>
      <c r="BF37" s="300"/>
      <c r="BG37" s="300"/>
      <c r="BH37" s="300"/>
      <c r="BI37" s="300"/>
      <c r="BJ37" s="300"/>
      <c r="BK37" s="300"/>
      <c r="BL37" s="300"/>
    </row>
    <row r="38" spans="1:64" ht="12" outlineLevel="1" thickBot="1" x14ac:dyDescent="0.25">
      <c r="A38" s="238"/>
      <c r="B38" s="289"/>
      <c r="C38" s="1433"/>
      <c r="D38" s="1434"/>
      <c r="E38" s="1434"/>
      <c r="F38" s="1434"/>
      <c r="G38" s="1434"/>
      <c r="H38" s="1434"/>
      <c r="I38" s="1435"/>
      <c r="J38" s="1434"/>
      <c r="K38" s="1434"/>
      <c r="L38" s="1434"/>
      <c r="M38" s="1434"/>
      <c r="N38" s="1435"/>
      <c r="O38" s="1434"/>
      <c r="P38" s="1434"/>
      <c r="Q38" s="1434"/>
      <c r="R38" s="1434"/>
      <c r="S38" s="1436"/>
      <c r="T38" s="1434"/>
      <c r="U38" s="1434"/>
      <c r="V38" s="1434"/>
      <c r="W38" s="1434"/>
      <c r="X38" s="1435"/>
      <c r="Y38" s="1434"/>
      <c r="Z38" s="1434"/>
      <c r="AA38" s="1434"/>
      <c r="AB38" s="1434"/>
      <c r="AC38" s="1435"/>
      <c r="AD38" s="1434"/>
      <c r="AE38" s="1434"/>
      <c r="AF38" s="1434"/>
      <c r="AG38" s="1434"/>
      <c r="AH38" s="1435"/>
      <c r="AI38" s="1434"/>
      <c r="AJ38" s="1434"/>
      <c r="AK38" s="1434"/>
      <c r="AL38" s="1434"/>
      <c r="AM38" s="1435"/>
      <c r="AN38" s="1434"/>
      <c r="AO38" s="1434"/>
      <c r="AP38" s="1434"/>
      <c r="AQ38" s="1434"/>
      <c r="AR38" s="1435"/>
      <c r="AS38" s="1434"/>
      <c r="AT38" s="1434"/>
      <c r="AU38" s="1434"/>
      <c r="AV38" s="1434"/>
      <c r="AW38" s="1435"/>
      <c r="AX38" s="1434"/>
      <c r="AY38" s="1434"/>
      <c r="AZ38" s="1434"/>
      <c r="BA38" s="1434"/>
      <c r="BB38" s="1435"/>
      <c r="BC38" s="1434"/>
      <c r="BD38" s="1434"/>
      <c r="BE38" s="1434"/>
      <c r="BF38" s="1434"/>
      <c r="BG38" s="1435"/>
      <c r="BH38" s="1434"/>
      <c r="BI38" s="1434"/>
      <c r="BJ38" s="1434"/>
      <c r="BK38" s="1434"/>
      <c r="BL38" s="1435"/>
    </row>
    <row r="39" spans="1:64" hidden="1" outlineLevel="2" x14ac:dyDescent="0.2">
      <c r="A39" s="238"/>
      <c r="B39" s="289"/>
      <c r="C39" s="1380"/>
      <c r="D39" s="289"/>
      <c r="E39" s="1437"/>
      <c r="F39" s="1438"/>
      <c r="G39" s="1438"/>
      <c r="H39" s="1438"/>
      <c r="I39" s="1439"/>
      <c r="J39" s="1438"/>
      <c r="K39" s="1438"/>
      <c r="L39" s="1438"/>
      <c r="M39" s="1438"/>
      <c r="N39" s="1439"/>
      <c r="O39" s="1438"/>
      <c r="P39" s="1438"/>
      <c r="Q39" s="1440"/>
      <c r="R39" s="1440"/>
      <c r="S39" s="1439"/>
      <c r="T39" s="1438"/>
      <c r="U39" s="1060"/>
      <c r="V39" s="1060"/>
      <c r="W39" s="1060"/>
      <c r="X39" s="1439"/>
      <c r="Y39" s="1060"/>
      <c r="Z39" s="1060"/>
      <c r="AA39" s="1060"/>
      <c r="AB39" s="1060"/>
      <c r="AC39" s="1439"/>
      <c r="AD39" s="1440"/>
      <c r="AE39" s="1060"/>
      <c r="AF39" s="1060"/>
      <c r="AG39" s="1060"/>
      <c r="AH39" s="1439"/>
      <c r="AI39" s="1060"/>
      <c r="AJ39" s="1060"/>
      <c r="AK39" s="1060"/>
      <c r="AL39" s="1060"/>
      <c r="AM39" s="1439"/>
      <c r="AN39" s="1060"/>
      <c r="AO39" s="1060"/>
      <c r="AP39" s="1060"/>
      <c r="AQ39" s="1060"/>
      <c r="AR39" s="1439"/>
      <c r="AS39" s="1060"/>
      <c r="AT39" s="1060"/>
      <c r="AU39" s="1060"/>
      <c r="AV39" s="1060"/>
      <c r="AW39" s="1439"/>
      <c r="AX39" s="1060"/>
      <c r="AY39" s="1060"/>
      <c r="AZ39" s="1060"/>
      <c r="BA39" s="1060"/>
      <c r="BB39" s="1439"/>
      <c r="BC39" s="1060"/>
      <c r="BD39" s="1060"/>
      <c r="BE39" s="1060"/>
      <c r="BF39" s="1060"/>
      <c r="BG39" s="1439"/>
      <c r="BH39" s="1060"/>
      <c r="BI39" s="1060"/>
      <c r="BJ39" s="1060"/>
      <c r="BK39" s="1060"/>
      <c r="BL39" s="1439"/>
    </row>
    <row r="40" spans="1:64" hidden="1" outlineLevel="2" x14ac:dyDescent="0.2">
      <c r="A40" s="238"/>
      <c r="B40" s="289"/>
      <c r="C40" s="1380"/>
      <c r="D40" s="289"/>
      <c r="E40" s="1441"/>
      <c r="F40" s="1442"/>
      <c r="G40" s="1442"/>
      <c r="H40" s="1443"/>
      <c r="I40" s="1439"/>
      <c r="J40" s="1444"/>
      <c r="K40" s="1444"/>
      <c r="L40" s="1444"/>
      <c r="M40" s="1444"/>
      <c r="N40" s="1439"/>
      <c r="O40" s="1444"/>
      <c r="P40" s="1444"/>
      <c r="Q40" s="1445"/>
      <c r="R40" s="1445"/>
      <c r="S40" s="1439"/>
      <c r="T40" s="1444"/>
      <c r="U40" s="1444"/>
      <c r="V40" s="1444"/>
      <c r="W40" s="1444"/>
      <c r="X40" s="1439"/>
      <c r="Y40" s="1444"/>
      <c r="Z40" s="1444"/>
      <c r="AA40" s="1444"/>
      <c r="AB40" s="1444"/>
      <c r="AC40" s="1439"/>
      <c r="AD40" s="1445"/>
      <c r="AE40" s="1444"/>
      <c r="AF40" s="1444"/>
      <c r="AG40" s="1444"/>
      <c r="AH40" s="1439"/>
      <c r="AI40" s="1444"/>
      <c r="AJ40" s="1444"/>
      <c r="AK40" s="1444"/>
      <c r="AL40" s="1444"/>
      <c r="AM40" s="1439"/>
      <c r="AN40" s="1444"/>
      <c r="AO40" s="1444"/>
      <c r="AP40" s="1444"/>
      <c r="AQ40" s="1444"/>
      <c r="AR40" s="1439"/>
      <c r="AS40" s="1444"/>
      <c r="AT40" s="1444"/>
      <c r="AU40" s="1444"/>
      <c r="AV40" s="1444"/>
      <c r="AW40" s="1439"/>
      <c r="AX40" s="1444"/>
      <c r="AY40" s="1444"/>
      <c r="AZ40" s="1444"/>
      <c r="BA40" s="1444"/>
      <c r="BB40" s="1439"/>
      <c r="BC40" s="1444"/>
      <c r="BD40" s="1444"/>
      <c r="BE40" s="1444"/>
      <c r="BF40" s="1444"/>
      <c r="BG40" s="1439"/>
      <c r="BH40" s="1444"/>
      <c r="BI40" s="1444"/>
      <c r="BJ40" s="1444"/>
      <c r="BK40" s="1444"/>
      <c r="BL40" s="1439"/>
    </row>
    <row r="41" spans="1:64" hidden="1" outlineLevel="2" x14ac:dyDescent="0.2">
      <c r="A41" s="238"/>
      <c r="B41" s="289"/>
      <c r="C41" s="1383"/>
      <c r="D41" s="289"/>
      <c r="E41" s="1437"/>
      <c r="F41" s="1445"/>
      <c r="G41" s="1445"/>
      <c r="H41" s="1445"/>
      <c r="I41" s="1439"/>
      <c r="J41" s="1445"/>
      <c r="K41" s="1445"/>
      <c r="L41" s="1445"/>
      <c r="M41" s="1445"/>
      <c r="N41" s="1439"/>
      <c r="O41" s="1445"/>
      <c r="P41" s="1445"/>
      <c r="Q41" s="1440"/>
      <c r="R41" s="1440"/>
      <c r="S41" s="1439"/>
      <c r="T41" s="1438"/>
      <c r="U41" s="1060"/>
      <c r="V41" s="1060"/>
      <c r="W41" s="1060"/>
      <c r="X41" s="1439"/>
      <c r="Y41" s="1060"/>
      <c r="Z41" s="1060"/>
      <c r="AA41" s="1060"/>
      <c r="AB41" s="1060"/>
      <c r="AC41" s="1439"/>
      <c r="AD41" s="1440"/>
      <c r="AE41" s="1060"/>
      <c r="AF41" s="1060"/>
      <c r="AG41" s="1060"/>
      <c r="AH41" s="1439"/>
      <c r="AI41" s="1060"/>
      <c r="AJ41" s="1060"/>
      <c r="AK41" s="1060"/>
      <c r="AL41" s="1060"/>
      <c r="AM41" s="1439"/>
      <c r="AN41" s="1060"/>
      <c r="AO41" s="1060"/>
      <c r="AP41" s="1060"/>
      <c r="AQ41" s="1060"/>
      <c r="AR41" s="1439"/>
      <c r="AS41" s="1060"/>
      <c r="AT41" s="1060"/>
      <c r="AU41" s="1060"/>
      <c r="AV41" s="1060"/>
      <c r="AW41" s="1439"/>
      <c r="AX41" s="1060"/>
      <c r="AY41" s="1060"/>
      <c r="AZ41" s="1060"/>
      <c r="BA41" s="1060"/>
      <c r="BB41" s="1439"/>
      <c r="BC41" s="1060"/>
      <c r="BD41" s="1060"/>
      <c r="BE41" s="1060"/>
      <c r="BF41" s="1060"/>
      <c r="BG41" s="1439"/>
      <c r="BH41" s="1060"/>
      <c r="BI41" s="1060"/>
      <c r="BJ41" s="1060"/>
      <c r="BK41" s="1060"/>
      <c r="BL41" s="1439"/>
    </row>
    <row r="42" spans="1:64" hidden="1" outlineLevel="2" x14ac:dyDescent="0.2">
      <c r="A42" s="238"/>
      <c r="B42" s="289"/>
      <c r="C42" s="1383"/>
      <c r="D42" s="289"/>
      <c r="E42" s="1441"/>
      <c r="F42" s="1442"/>
      <c r="G42" s="1442"/>
      <c r="H42" s="1443"/>
      <c r="I42" s="1439"/>
      <c r="J42" s="1444"/>
      <c r="K42" s="1444"/>
      <c r="L42" s="1444"/>
      <c r="M42" s="1444"/>
      <c r="N42" s="1439"/>
      <c r="O42" s="1444"/>
      <c r="P42" s="1444"/>
      <c r="Q42" s="1445"/>
      <c r="R42" s="1445"/>
      <c r="S42" s="1446"/>
      <c r="T42" s="1443"/>
      <c r="U42" s="1447"/>
      <c r="V42" s="1447"/>
      <c r="W42" s="1447"/>
      <c r="X42" s="1446"/>
      <c r="Y42" s="1444"/>
      <c r="Z42" s="1444"/>
      <c r="AA42" s="1444"/>
      <c r="AB42" s="1444"/>
      <c r="AC42" s="1439"/>
      <c r="AD42" s="1445"/>
      <c r="AE42" s="1444"/>
      <c r="AF42" s="1444"/>
      <c r="AG42" s="1444"/>
      <c r="AH42" s="1439"/>
      <c r="AI42" s="1444"/>
      <c r="AJ42" s="1444"/>
      <c r="AK42" s="1444"/>
      <c r="AL42" s="1444"/>
      <c r="AM42" s="1439"/>
      <c r="AN42" s="1444"/>
      <c r="AO42" s="1444"/>
      <c r="AP42" s="1444"/>
      <c r="AQ42" s="1444"/>
      <c r="AR42" s="1439"/>
      <c r="AS42" s="1444"/>
      <c r="AT42" s="1444"/>
      <c r="AU42" s="1444"/>
      <c r="AV42" s="1444"/>
      <c r="AW42" s="1439"/>
      <c r="AX42" s="1444"/>
      <c r="AY42" s="1444"/>
      <c r="AZ42" s="1444"/>
      <c r="BA42" s="1444"/>
      <c r="BB42" s="1439"/>
      <c r="BC42" s="1444"/>
      <c r="BD42" s="1444"/>
      <c r="BE42" s="1444"/>
      <c r="BF42" s="1444"/>
      <c r="BG42" s="1439"/>
      <c r="BH42" s="1444"/>
      <c r="BI42" s="1444"/>
      <c r="BJ42" s="1444"/>
      <c r="BK42" s="1444"/>
      <c r="BL42" s="1439"/>
    </row>
    <row r="43" spans="1:64" hidden="1" outlineLevel="2" x14ac:dyDescent="0.2">
      <c r="A43" s="238"/>
      <c r="B43" s="289"/>
      <c r="C43" s="1448"/>
      <c r="D43" s="289"/>
      <c r="E43" s="1437"/>
      <c r="F43" s="1445"/>
      <c r="G43" s="1445"/>
      <c r="H43" s="1445"/>
      <c r="I43" s="1449"/>
      <c r="J43" s="1445"/>
      <c r="K43" s="1445"/>
      <c r="L43" s="1445"/>
      <c r="M43" s="1445"/>
      <c r="N43" s="1449"/>
      <c r="O43" s="1445"/>
      <c r="P43" s="1445"/>
      <c r="Q43" s="1445"/>
      <c r="R43" s="1445"/>
      <c r="S43" s="1450"/>
      <c r="T43" s="1438"/>
      <c r="U43" s="1447"/>
      <c r="V43" s="1447"/>
      <c r="W43" s="1447"/>
      <c r="X43" s="1450"/>
      <c r="Y43" s="1445"/>
      <c r="Z43" s="1445"/>
      <c r="AA43" s="1445"/>
      <c r="AB43" s="1445"/>
      <c r="AC43" s="1449"/>
      <c r="AD43" s="1445"/>
      <c r="AE43" s="1445"/>
      <c r="AF43" s="1445"/>
      <c r="AG43" s="1445"/>
      <c r="AH43" s="1449"/>
      <c r="AI43" s="1445"/>
      <c r="AJ43" s="1445"/>
      <c r="AK43" s="1445"/>
      <c r="AL43" s="1445"/>
      <c r="AM43" s="1449"/>
      <c r="AN43" s="1445"/>
      <c r="AO43" s="1445"/>
      <c r="AP43" s="1445"/>
      <c r="AQ43" s="1445"/>
      <c r="AR43" s="1449"/>
      <c r="AS43" s="1445"/>
      <c r="AT43" s="1445"/>
      <c r="AU43" s="1445"/>
      <c r="AV43" s="1445"/>
      <c r="AW43" s="1449"/>
      <c r="AX43" s="1445"/>
      <c r="AY43" s="1445"/>
      <c r="AZ43" s="1445"/>
      <c r="BA43" s="1445"/>
      <c r="BB43" s="1449"/>
      <c r="BC43" s="1445"/>
      <c r="BD43" s="1445"/>
      <c r="BE43" s="1445"/>
      <c r="BF43" s="1445"/>
      <c r="BG43" s="1449"/>
      <c r="BH43" s="1445"/>
      <c r="BI43" s="1445"/>
      <c r="BJ43" s="1445"/>
      <c r="BK43" s="1445"/>
      <c r="BL43" s="1449"/>
    </row>
    <row r="44" spans="1:64" hidden="1" outlineLevel="2" x14ac:dyDescent="0.2">
      <c r="A44" s="238"/>
      <c r="B44" s="289"/>
      <c r="C44" s="1380"/>
      <c r="D44" s="289"/>
      <c r="E44" s="1437"/>
      <c r="F44" s="1445"/>
      <c r="G44" s="1445"/>
      <c r="H44" s="1445"/>
      <c r="I44" s="1439"/>
      <c r="J44" s="1445"/>
      <c r="K44" s="1445"/>
      <c r="L44" s="1445"/>
      <c r="M44" s="1445"/>
      <c r="N44" s="1439"/>
      <c r="O44" s="1445"/>
      <c r="P44" s="1445"/>
      <c r="Q44" s="1440"/>
      <c r="R44" s="1440"/>
      <c r="S44" s="1439"/>
      <c r="T44" s="1438"/>
      <c r="U44" s="1060"/>
      <c r="V44" s="1060"/>
      <c r="W44" s="1060"/>
      <c r="X44" s="1451"/>
      <c r="Y44" s="1060"/>
      <c r="Z44" s="1060"/>
      <c r="AA44" s="1060"/>
      <c r="AB44" s="1060"/>
      <c r="AC44" s="1439"/>
      <c r="AD44" s="1440"/>
      <c r="AE44" s="1060"/>
      <c r="AF44" s="1060"/>
      <c r="AG44" s="1060"/>
      <c r="AH44" s="1439"/>
      <c r="AI44" s="1060"/>
      <c r="AJ44" s="1060"/>
      <c r="AK44" s="1060"/>
      <c r="AL44" s="1060"/>
      <c r="AM44" s="1439"/>
      <c r="AN44" s="1060"/>
      <c r="AO44" s="1060"/>
      <c r="AP44" s="1060"/>
      <c r="AQ44" s="1060"/>
      <c r="AR44" s="1439"/>
      <c r="AS44" s="1060"/>
      <c r="AT44" s="1060"/>
      <c r="AU44" s="1060"/>
      <c r="AV44" s="1060"/>
      <c r="AW44" s="1439"/>
      <c r="AX44" s="1060"/>
      <c r="AY44" s="1060"/>
      <c r="AZ44" s="1060"/>
      <c r="BA44" s="1060"/>
      <c r="BB44" s="1439"/>
      <c r="BC44" s="1060"/>
      <c r="BD44" s="1060"/>
      <c r="BE44" s="1060"/>
      <c r="BF44" s="1060"/>
      <c r="BG44" s="1439"/>
      <c r="BH44" s="1060"/>
      <c r="BI44" s="1060"/>
      <c r="BJ44" s="1060"/>
      <c r="BK44" s="1060"/>
      <c r="BL44" s="1439"/>
    </row>
    <row r="45" spans="1:64" hidden="1" outlineLevel="2" x14ac:dyDescent="0.2">
      <c r="A45" s="238"/>
      <c r="B45" s="289"/>
      <c r="C45" s="1051"/>
      <c r="D45" s="289"/>
      <c r="E45" s="1452"/>
      <c r="F45" s="1453"/>
      <c r="G45" s="1453"/>
      <c r="H45" s="1453"/>
      <c r="I45" s="1052"/>
      <c r="J45" s="1453"/>
      <c r="K45" s="1453"/>
      <c r="L45" s="1453"/>
      <c r="M45" s="1453"/>
      <c r="N45" s="1052"/>
      <c r="O45" s="1453"/>
      <c r="P45" s="1453"/>
      <c r="Q45" s="1440"/>
      <c r="R45" s="1440"/>
      <c r="S45" s="1052"/>
      <c r="T45" s="1454"/>
      <c r="U45" s="1060"/>
      <c r="V45" s="1060"/>
      <c r="W45" s="1060"/>
      <c r="X45" s="1052"/>
      <c r="Y45" s="1060"/>
      <c r="Z45" s="1060"/>
      <c r="AA45" s="1060"/>
      <c r="AB45" s="1060"/>
      <c r="AC45" s="1052"/>
      <c r="AD45" s="1440"/>
      <c r="AE45" s="1060"/>
      <c r="AF45" s="1060"/>
      <c r="AG45" s="1060"/>
      <c r="AH45" s="1052"/>
      <c r="AI45" s="1060"/>
      <c r="AJ45" s="1060"/>
      <c r="AK45" s="1060"/>
      <c r="AL45" s="1060"/>
      <c r="AM45" s="1052"/>
      <c r="AN45" s="1060"/>
      <c r="AO45" s="1060"/>
      <c r="AP45" s="1060"/>
      <c r="AQ45" s="1060"/>
      <c r="AR45" s="1052"/>
      <c r="AS45" s="1060"/>
      <c r="AT45" s="1060"/>
      <c r="AU45" s="1060"/>
      <c r="AV45" s="1060"/>
      <c r="AW45" s="1052"/>
      <c r="AX45" s="1060"/>
      <c r="AY45" s="1060"/>
      <c r="AZ45" s="1060"/>
      <c r="BA45" s="1060"/>
      <c r="BB45" s="1052"/>
      <c r="BC45" s="1060"/>
      <c r="BD45" s="1060"/>
      <c r="BE45" s="1060"/>
      <c r="BF45" s="1060"/>
      <c r="BG45" s="1052"/>
      <c r="BH45" s="1060"/>
      <c r="BI45" s="1060"/>
      <c r="BJ45" s="1060"/>
      <c r="BK45" s="1060"/>
      <c r="BL45" s="1052"/>
    </row>
    <row r="46" spans="1:64" hidden="1" outlineLevel="2" x14ac:dyDescent="0.2">
      <c r="A46" s="238"/>
      <c r="B46" s="289"/>
      <c r="C46" s="1380"/>
      <c r="D46" s="289"/>
      <c r="E46" s="1441"/>
      <c r="F46" s="1442"/>
      <c r="G46" s="1442"/>
      <c r="H46" s="1443"/>
      <c r="I46" s="1439"/>
      <c r="J46" s="1444"/>
      <c r="K46" s="1444"/>
      <c r="L46" s="1444"/>
      <c r="M46" s="1444"/>
      <c r="N46" s="1439"/>
      <c r="O46" s="1444"/>
      <c r="P46" s="1444"/>
      <c r="Q46" s="1445"/>
      <c r="R46" s="1445"/>
      <c r="S46" s="1439"/>
      <c r="T46" s="1444"/>
      <c r="U46" s="1444"/>
      <c r="V46" s="1444"/>
      <c r="W46" s="1444"/>
      <c r="X46" s="1439"/>
      <c r="Y46" s="1444"/>
      <c r="Z46" s="1444"/>
      <c r="AA46" s="1444"/>
      <c r="AB46" s="1444"/>
      <c r="AC46" s="1439"/>
      <c r="AD46" s="1445"/>
      <c r="AE46" s="1444"/>
      <c r="AF46" s="1444"/>
      <c r="AG46" s="1444"/>
      <c r="AH46" s="1439"/>
      <c r="AI46" s="1444"/>
      <c r="AJ46" s="1444"/>
      <c r="AK46" s="1444"/>
      <c r="AL46" s="1444"/>
      <c r="AM46" s="1439"/>
      <c r="AN46" s="1444"/>
      <c r="AO46" s="1444"/>
      <c r="AP46" s="1444"/>
      <c r="AQ46" s="1444"/>
      <c r="AR46" s="1439"/>
      <c r="AS46" s="1444"/>
      <c r="AT46" s="1444"/>
      <c r="AU46" s="1444"/>
      <c r="AV46" s="1444"/>
      <c r="AW46" s="1439"/>
      <c r="AX46" s="1444"/>
      <c r="AY46" s="1444"/>
      <c r="AZ46" s="1444"/>
      <c r="BA46" s="1444"/>
      <c r="BB46" s="1439"/>
      <c r="BC46" s="1444"/>
      <c r="BD46" s="1444"/>
      <c r="BE46" s="1444"/>
      <c r="BF46" s="1444"/>
      <c r="BG46" s="1439"/>
      <c r="BH46" s="1444"/>
      <c r="BI46" s="1444"/>
      <c r="BJ46" s="1444"/>
      <c r="BK46" s="1444"/>
      <c r="BL46" s="1439"/>
    </row>
    <row r="47" spans="1:64" hidden="1" outlineLevel="2" x14ac:dyDescent="0.2">
      <c r="A47" s="238"/>
      <c r="B47" s="289"/>
      <c r="C47" s="1448"/>
      <c r="D47" s="289"/>
      <c r="E47" s="1441"/>
      <c r="F47" s="1442"/>
      <c r="G47" s="1442"/>
      <c r="H47" s="1443"/>
      <c r="I47" s="1439"/>
      <c r="J47" s="1444"/>
      <c r="K47" s="1444"/>
      <c r="L47" s="1444"/>
      <c r="M47" s="1444"/>
      <c r="N47" s="1439"/>
      <c r="O47" s="1444"/>
      <c r="P47" s="1444"/>
      <c r="Q47" s="1445"/>
      <c r="R47" s="1445"/>
      <c r="S47" s="1439"/>
      <c r="T47" s="1444"/>
      <c r="U47" s="1444"/>
      <c r="V47" s="1444"/>
      <c r="W47" s="1444"/>
      <c r="X47" s="1439"/>
      <c r="Y47" s="1444"/>
      <c r="Z47" s="1444"/>
      <c r="AA47" s="1444"/>
      <c r="AB47" s="1444"/>
      <c r="AC47" s="1439"/>
      <c r="AD47" s="1445"/>
      <c r="AE47" s="1444"/>
      <c r="AF47" s="1444"/>
      <c r="AG47" s="1444"/>
      <c r="AH47" s="1439"/>
      <c r="AI47" s="1444"/>
      <c r="AJ47" s="1444"/>
      <c r="AK47" s="1444"/>
      <c r="AL47" s="1444"/>
      <c r="AM47" s="1439"/>
      <c r="AN47" s="1444"/>
      <c r="AO47" s="1444"/>
      <c r="AP47" s="1444"/>
      <c r="AQ47" s="1444"/>
      <c r="AR47" s="1439"/>
      <c r="AS47" s="1444"/>
      <c r="AT47" s="1444"/>
      <c r="AU47" s="1444"/>
      <c r="AV47" s="1444"/>
      <c r="AW47" s="1439"/>
      <c r="AX47" s="1444"/>
      <c r="AY47" s="1444"/>
      <c r="AZ47" s="1444"/>
      <c r="BA47" s="1444"/>
      <c r="BB47" s="1439"/>
      <c r="BC47" s="1444"/>
      <c r="BD47" s="1444"/>
      <c r="BE47" s="1444"/>
      <c r="BF47" s="1444"/>
      <c r="BG47" s="1439"/>
      <c r="BH47" s="1444"/>
      <c r="BI47" s="1444"/>
      <c r="BJ47" s="1444"/>
      <c r="BK47" s="1444"/>
      <c r="BL47" s="1439"/>
    </row>
    <row r="48" spans="1:64" hidden="1" outlineLevel="2" x14ac:dyDescent="0.2">
      <c r="A48" s="238"/>
      <c r="B48" s="231"/>
      <c r="C48" s="1385"/>
      <c r="D48" s="231"/>
      <c r="E48" s="1437"/>
      <c r="F48" s="1445"/>
      <c r="G48" s="1445"/>
      <c r="H48" s="1445"/>
      <c r="I48" s="1455"/>
      <c r="J48" s="1445"/>
      <c r="K48" s="1445"/>
      <c r="L48" s="1445"/>
      <c r="M48" s="1445"/>
      <c r="N48" s="1455"/>
      <c r="O48" s="1445"/>
      <c r="P48" s="1445"/>
      <c r="Q48" s="1445"/>
      <c r="R48" s="1445"/>
      <c r="S48" s="1456"/>
      <c r="T48" s="1438"/>
      <c r="U48" s="1444"/>
      <c r="V48" s="1444"/>
      <c r="W48" s="1444"/>
      <c r="X48" s="1456"/>
      <c r="Y48" s="1444"/>
      <c r="Z48" s="1444"/>
      <c r="AA48" s="1444"/>
      <c r="AB48" s="1444"/>
      <c r="AC48" s="1456"/>
      <c r="AD48" s="1445"/>
      <c r="AE48" s="1444"/>
      <c r="AF48" s="1444"/>
      <c r="AG48" s="1444"/>
      <c r="AH48" s="1456"/>
      <c r="AI48" s="1444"/>
      <c r="AJ48" s="1444"/>
      <c r="AK48" s="1444"/>
      <c r="AL48" s="1444"/>
      <c r="AM48" s="1455"/>
      <c r="AN48" s="1444"/>
      <c r="AO48" s="1444"/>
      <c r="AP48" s="1444"/>
      <c r="AQ48" s="1444"/>
      <c r="AR48" s="1455"/>
      <c r="AS48" s="1444"/>
      <c r="AT48" s="1444"/>
      <c r="AU48" s="1444"/>
      <c r="AV48" s="1444"/>
      <c r="AW48" s="1455"/>
      <c r="AX48" s="1444"/>
      <c r="AY48" s="1444"/>
      <c r="AZ48" s="1444"/>
      <c r="BA48" s="1444"/>
      <c r="BB48" s="1455"/>
      <c r="BC48" s="1444"/>
      <c r="BD48" s="1444"/>
      <c r="BE48" s="1444"/>
      <c r="BF48" s="1444"/>
      <c r="BG48" s="1455"/>
      <c r="BH48" s="1444"/>
      <c r="BI48" s="1444"/>
      <c r="BJ48" s="1444"/>
      <c r="BK48" s="1444"/>
      <c r="BL48" s="1455"/>
    </row>
    <row r="49" spans="1:64" hidden="1" outlineLevel="2" x14ac:dyDescent="0.2">
      <c r="A49" s="238"/>
      <c r="B49" s="231"/>
      <c r="C49" s="1385"/>
      <c r="D49" s="231"/>
      <c r="E49" s="1437"/>
      <c r="F49" s="1445"/>
      <c r="G49" s="1445"/>
      <c r="H49" s="1445"/>
      <c r="I49" s="1455"/>
      <c r="J49" s="1445"/>
      <c r="K49" s="1445"/>
      <c r="L49" s="1445"/>
      <c r="M49" s="1445"/>
      <c r="N49" s="1455"/>
      <c r="O49" s="1445"/>
      <c r="P49" s="1445"/>
      <c r="Q49" s="1445"/>
      <c r="R49" s="1445"/>
      <c r="S49" s="1456"/>
      <c r="T49" s="1438"/>
      <c r="U49" s="1444"/>
      <c r="V49" s="1444"/>
      <c r="W49" s="1444"/>
      <c r="X49" s="1456"/>
      <c r="Y49" s="1444"/>
      <c r="Z49" s="1444"/>
      <c r="AA49" s="1444"/>
      <c r="AB49" s="1444"/>
      <c r="AC49" s="1456"/>
      <c r="AD49" s="1445"/>
      <c r="AE49" s="1444"/>
      <c r="AF49" s="1444"/>
      <c r="AG49" s="1444"/>
      <c r="AH49" s="1456"/>
      <c r="AI49" s="1444"/>
      <c r="AJ49" s="1444"/>
      <c r="AK49" s="1444"/>
      <c r="AL49" s="1444"/>
      <c r="AM49" s="1455"/>
      <c r="AN49" s="1444"/>
      <c r="AO49" s="1444"/>
      <c r="AP49" s="1444"/>
      <c r="AQ49" s="1444"/>
      <c r="AR49" s="1455"/>
      <c r="AS49" s="1444"/>
      <c r="AT49" s="1444"/>
      <c r="AU49" s="1444"/>
      <c r="AV49" s="1444"/>
      <c r="AW49" s="1455"/>
      <c r="AX49" s="1444"/>
      <c r="AY49" s="1444"/>
      <c r="AZ49" s="1444"/>
      <c r="BA49" s="1444"/>
      <c r="BB49" s="1455"/>
      <c r="BC49" s="1444"/>
      <c r="BD49" s="1444"/>
      <c r="BE49" s="1444"/>
      <c r="BF49" s="1444"/>
      <c r="BG49" s="1455"/>
      <c r="BH49" s="1444"/>
      <c r="BI49" s="1444"/>
      <c r="BJ49" s="1444"/>
      <c r="BK49" s="1444"/>
      <c r="BL49" s="1455"/>
    </row>
    <row r="50" spans="1:64" hidden="1" outlineLevel="2" x14ac:dyDescent="0.2">
      <c r="A50" s="238"/>
      <c r="B50" s="231"/>
      <c r="C50" s="1385"/>
      <c r="D50" s="231"/>
      <c r="E50" s="1437"/>
      <c r="F50" s="1445"/>
      <c r="G50" s="1445"/>
      <c r="H50" s="1445"/>
      <c r="I50" s="425"/>
      <c r="J50" s="1445"/>
      <c r="K50" s="1445"/>
      <c r="L50" s="1445"/>
      <c r="M50" s="1445"/>
      <c r="N50" s="425"/>
      <c r="O50" s="1445"/>
      <c r="P50" s="1445"/>
      <c r="Q50" s="1440"/>
      <c r="R50" s="1440"/>
      <c r="S50" s="425"/>
      <c r="T50" s="1438"/>
      <c r="U50" s="1060"/>
      <c r="V50" s="1060"/>
      <c r="W50" s="1060"/>
      <c r="X50" s="425"/>
      <c r="Y50" s="1060"/>
      <c r="Z50" s="1060"/>
      <c r="AA50" s="1060"/>
      <c r="AB50" s="1060"/>
      <c r="AC50" s="425"/>
      <c r="AD50" s="1440"/>
      <c r="AE50" s="1060"/>
      <c r="AF50" s="1060"/>
      <c r="AG50" s="1060"/>
      <c r="AH50" s="425"/>
      <c r="AI50" s="1060"/>
      <c r="AJ50" s="1060"/>
      <c r="AK50" s="1060"/>
      <c r="AL50" s="1060"/>
      <c r="AM50" s="425"/>
      <c r="AN50" s="1060"/>
      <c r="AO50" s="1060"/>
      <c r="AP50" s="1060"/>
      <c r="AQ50" s="1060"/>
      <c r="AR50" s="425"/>
      <c r="AS50" s="1060"/>
      <c r="AT50" s="1060"/>
      <c r="AU50" s="1060"/>
      <c r="AV50" s="1060"/>
      <c r="AW50" s="425"/>
      <c r="AX50" s="1060"/>
      <c r="AY50" s="1060"/>
      <c r="AZ50" s="1060"/>
      <c r="BA50" s="1060"/>
      <c r="BB50" s="425"/>
      <c r="BC50" s="1060"/>
      <c r="BD50" s="1060"/>
      <c r="BE50" s="1060"/>
      <c r="BF50" s="1060"/>
      <c r="BG50" s="425"/>
      <c r="BH50" s="1060"/>
      <c r="BI50" s="1060"/>
      <c r="BJ50" s="1060"/>
      <c r="BK50" s="1060"/>
      <c r="BL50" s="425"/>
    </row>
    <row r="51" spans="1:64" hidden="1" outlineLevel="2" x14ac:dyDescent="0.2">
      <c r="A51" s="238"/>
      <c r="B51" s="289"/>
      <c r="C51" s="1386"/>
      <c r="D51" s="289"/>
      <c r="E51" s="1441"/>
      <c r="F51" s="1442"/>
      <c r="G51" s="1442"/>
      <c r="H51" s="1443"/>
      <c r="I51" s="1439"/>
      <c r="J51" s="1444"/>
      <c r="K51" s="1444"/>
      <c r="L51" s="1444"/>
      <c r="M51" s="1444"/>
      <c r="N51" s="1439"/>
      <c r="O51" s="1444"/>
      <c r="P51" s="1444"/>
      <c r="Q51" s="1445"/>
      <c r="R51" s="1445"/>
      <c r="S51" s="1439"/>
      <c r="T51" s="1444"/>
      <c r="U51" s="1444"/>
      <c r="V51" s="1444"/>
      <c r="W51" s="1444"/>
      <c r="X51" s="1439"/>
      <c r="Y51" s="1444"/>
      <c r="Z51" s="1444"/>
      <c r="AA51" s="1444"/>
      <c r="AB51" s="1444"/>
      <c r="AC51" s="1439"/>
      <c r="AD51" s="1445"/>
      <c r="AE51" s="1444"/>
      <c r="AF51" s="1444"/>
      <c r="AG51" s="1444"/>
      <c r="AH51" s="1439"/>
      <c r="AI51" s="1444"/>
      <c r="AJ51" s="1444"/>
      <c r="AK51" s="1444"/>
      <c r="AL51" s="1444"/>
      <c r="AM51" s="1439"/>
      <c r="AN51" s="1444"/>
      <c r="AO51" s="1444"/>
      <c r="AP51" s="1444"/>
      <c r="AQ51" s="1444"/>
      <c r="AR51" s="1439"/>
      <c r="AS51" s="1444"/>
      <c r="AT51" s="1444"/>
      <c r="AU51" s="1444"/>
      <c r="AV51" s="1444"/>
      <c r="AW51" s="1439"/>
      <c r="AX51" s="1444"/>
      <c r="AY51" s="1444"/>
      <c r="AZ51" s="1444"/>
      <c r="BA51" s="1444"/>
      <c r="BB51" s="1439"/>
      <c r="BC51" s="1444"/>
      <c r="BD51" s="1444"/>
      <c r="BE51" s="1444"/>
      <c r="BF51" s="1444"/>
      <c r="BG51" s="1439"/>
      <c r="BH51" s="1444"/>
      <c r="BI51" s="1444"/>
      <c r="BJ51" s="1444"/>
      <c r="BK51" s="1444"/>
      <c r="BL51" s="1439"/>
    </row>
    <row r="52" spans="1:64" ht="12" hidden="1" outlineLevel="2" thickBot="1" x14ac:dyDescent="0.25">
      <c r="A52" s="238"/>
      <c r="B52" s="212"/>
      <c r="C52" s="1457"/>
      <c r="D52" s="212"/>
      <c r="E52" s="1458"/>
      <c r="F52" s="1459"/>
      <c r="G52" s="1459"/>
      <c r="H52" s="1459"/>
      <c r="I52" s="1460"/>
      <c r="J52" s="1459"/>
      <c r="K52" s="1459"/>
      <c r="L52" s="1459"/>
      <c r="M52" s="1459"/>
      <c r="N52" s="1460"/>
      <c r="O52" s="1459"/>
      <c r="P52" s="1459"/>
      <c r="Q52" s="1461"/>
      <c r="R52" s="1461"/>
      <c r="S52" s="1460"/>
      <c r="T52" s="1459"/>
      <c r="U52" s="1462"/>
      <c r="V52" s="1462"/>
      <c r="W52" s="1462"/>
      <c r="X52" s="1460"/>
      <c r="Y52" s="1462"/>
      <c r="Z52" s="1462"/>
      <c r="AA52" s="1462"/>
      <c r="AB52" s="1462"/>
      <c r="AC52" s="1460"/>
      <c r="AD52" s="1461"/>
      <c r="AE52" s="1462"/>
      <c r="AF52" s="1462"/>
      <c r="AG52" s="1462"/>
      <c r="AH52" s="1460"/>
      <c r="AI52" s="1462"/>
      <c r="AJ52" s="1462"/>
      <c r="AK52" s="1462"/>
      <c r="AL52" s="1462"/>
      <c r="AM52" s="1460"/>
      <c r="AN52" s="1462"/>
      <c r="AO52" s="1462"/>
      <c r="AP52" s="1462"/>
      <c r="AQ52" s="1462"/>
      <c r="AR52" s="1460"/>
      <c r="AS52" s="1462"/>
      <c r="AT52" s="1462"/>
      <c r="AU52" s="1462"/>
      <c r="AV52" s="1462"/>
      <c r="AW52" s="1460"/>
      <c r="AX52" s="1462"/>
      <c r="AY52" s="1462"/>
      <c r="AZ52" s="1462"/>
      <c r="BA52" s="1462"/>
      <c r="BB52" s="1460"/>
      <c r="BC52" s="1462"/>
      <c r="BD52" s="1462"/>
      <c r="BE52" s="1462"/>
      <c r="BF52" s="1462"/>
      <c r="BG52" s="1460"/>
      <c r="BH52" s="1462"/>
      <c r="BI52" s="1462"/>
      <c r="BJ52" s="1462"/>
      <c r="BK52" s="1462"/>
      <c r="BL52" s="1460"/>
    </row>
    <row r="53" spans="1:64" outlineLevel="1" collapsed="1" x14ac:dyDescent="0.2">
      <c r="A53" s="238"/>
      <c r="B53" s="300"/>
      <c r="C53" s="300"/>
      <c r="D53" s="241"/>
      <c r="E53" s="300"/>
      <c r="F53" s="300"/>
      <c r="G53" s="300"/>
      <c r="H53" s="300"/>
      <c r="I53" s="300"/>
      <c r="J53" s="300"/>
      <c r="K53" s="300"/>
      <c r="L53" s="300"/>
      <c r="M53" s="300"/>
      <c r="N53" s="300"/>
      <c r="O53" s="300"/>
      <c r="P53" s="300"/>
      <c r="Q53" s="300"/>
      <c r="R53" s="300"/>
      <c r="S53" s="300"/>
      <c r="T53" s="300"/>
      <c r="U53" s="300"/>
      <c r="V53" s="300"/>
      <c r="W53" s="300"/>
      <c r="X53" s="300"/>
      <c r="Y53" s="1463"/>
      <c r="Z53" s="300"/>
      <c r="AA53" s="300"/>
      <c r="AB53" s="300"/>
      <c r="AC53" s="300"/>
      <c r="AD53" s="300"/>
      <c r="AE53" s="300"/>
      <c r="AF53" s="300"/>
      <c r="AG53" s="300"/>
      <c r="AH53" s="300"/>
      <c r="AI53" s="300"/>
      <c r="AJ53" s="300"/>
      <c r="AK53" s="300"/>
      <c r="AL53" s="300"/>
      <c r="AM53" s="300"/>
      <c r="AN53" s="300"/>
      <c r="AO53" s="300"/>
      <c r="AP53" s="300"/>
      <c r="AQ53" s="300"/>
      <c r="AR53" s="300"/>
      <c r="AS53" s="300"/>
      <c r="AT53" s="300"/>
      <c r="AU53" s="300"/>
      <c r="AV53" s="300"/>
      <c r="AW53" s="300"/>
      <c r="AX53" s="300"/>
      <c r="AY53" s="300"/>
      <c r="AZ53" s="300"/>
      <c r="BA53" s="300"/>
      <c r="BB53" s="300"/>
      <c r="BC53" s="300"/>
      <c r="BD53" s="300"/>
      <c r="BE53" s="300"/>
      <c r="BF53" s="300"/>
      <c r="BG53" s="300"/>
      <c r="BH53" s="300"/>
      <c r="BI53" s="300"/>
      <c r="BJ53" s="300"/>
      <c r="BK53" s="300"/>
      <c r="BL53" s="300"/>
    </row>
    <row r="54" spans="1:64" ht="12" outlineLevel="1" thickBot="1" x14ac:dyDescent="0.25">
      <c r="A54" s="238"/>
      <c r="B54" s="300"/>
      <c r="C54" s="300"/>
      <c r="D54" s="300"/>
      <c r="E54" s="300"/>
      <c r="F54" s="300"/>
      <c r="G54" s="300"/>
      <c r="H54" s="300"/>
      <c r="I54" s="300"/>
      <c r="J54" s="300"/>
      <c r="K54" s="300"/>
      <c r="L54" s="300"/>
      <c r="M54" s="300"/>
      <c r="N54" s="300"/>
      <c r="O54" s="300"/>
      <c r="P54" s="300"/>
      <c r="Q54" s="300"/>
      <c r="R54" s="300"/>
      <c r="S54" s="300"/>
      <c r="T54" s="300"/>
      <c r="U54" s="469"/>
      <c r="V54" s="469"/>
      <c r="W54" s="469"/>
      <c r="X54" s="300"/>
      <c r="Y54" s="300"/>
      <c r="Z54" s="300"/>
      <c r="AA54" s="300"/>
      <c r="AB54" s="300"/>
      <c r="AC54" s="300"/>
      <c r="AD54" s="300"/>
      <c r="AE54" s="300"/>
      <c r="AF54" s="300"/>
      <c r="AG54" s="300"/>
      <c r="AH54" s="300"/>
      <c r="AI54" s="300"/>
      <c r="AJ54" s="300"/>
      <c r="AK54" s="300"/>
      <c r="AL54" s="300"/>
      <c r="AM54" s="300"/>
      <c r="AN54" s="300"/>
      <c r="AO54" s="300"/>
      <c r="AP54" s="300"/>
      <c r="AQ54" s="300"/>
      <c r="AR54" s="300"/>
      <c r="AS54" s="300"/>
      <c r="AT54" s="300"/>
      <c r="AU54" s="300"/>
      <c r="AV54" s="300"/>
      <c r="AW54" s="300"/>
      <c r="AX54" s="300"/>
      <c r="AY54" s="300"/>
      <c r="AZ54" s="300"/>
      <c r="BA54" s="300"/>
      <c r="BB54" s="300"/>
      <c r="BC54" s="300"/>
      <c r="BD54" s="300"/>
      <c r="BE54" s="300"/>
      <c r="BF54" s="300"/>
      <c r="BG54" s="300"/>
      <c r="BH54" s="300"/>
      <c r="BI54" s="300"/>
      <c r="BJ54" s="300"/>
      <c r="BK54" s="300"/>
      <c r="BL54" s="300"/>
    </row>
    <row r="55" spans="1:64" ht="12" outlineLevel="1" thickBot="1" x14ac:dyDescent="0.25">
      <c r="A55" s="238"/>
      <c r="B55" s="289"/>
      <c r="C55" s="1433" t="s">
        <v>1197</v>
      </c>
      <c r="D55" s="1434"/>
      <c r="E55" s="1434"/>
      <c r="F55" s="1434"/>
      <c r="G55" s="1434"/>
      <c r="H55" s="1434"/>
      <c r="I55" s="1435"/>
      <c r="J55" s="1434"/>
      <c r="K55" s="1434"/>
      <c r="L55" s="1434"/>
      <c r="M55" s="1434"/>
      <c r="N55" s="1435"/>
      <c r="O55" s="1434"/>
      <c r="P55" s="1434"/>
      <c r="Q55" s="1434"/>
      <c r="R55" s="1434"/>
      <c r="S55" s="1435"/>
      <c r="T55" s="1434"/>
      <c r="U55" s="1464"/>
      <c r="V55" s="1464"/>
      <c r="W55" s="1464"/>
      <c r="X55" s="1435"/>
      <c r="Y55" s="1434"/>
      <c r="Z55" s="1434"/>
      <c r="AA55" s="1434"/>
      <c r="AB55" s="1434"/>
      <c r="AC55" s="1435"/>
      <c r="AD55" s="1434"/>
      <c r="AE55" s="1434"/>
      <c r="AF55" s="1434"/>
      <c r="AG55" s="1434"/>
      <c r="AH55" s="1435"/>
      <c r="AI55" s="1434"/>
      <c r="AJ55" s="1434"/>
      <c r="AK55" s="1434"/>
      <c r="AL55" s="1434"/>
      <c r="AM55" s="1435"/>
      <c r="AN55" s="1434"/>
      <c r="AO55" s="1434"/>
      <c r="AP55" s="1434"/>
      <c r="AQ55" s="1434"/>
      <c r="AR55" s="1435"/>
      <c r="AS55" s="1434"/>
      <c r="AT55" s="1434"/>
      <c r="AU55" s="1434"/>
      <c r="AV55" s="1434"/>
      <c r="AW55" s="1435"/>
      <c r="AX55" s="1434"/>
      <c r="AY55" s="1434"/>
      <c r="AZ55" s="1434"/>
      <c r="BA55" s="1434"/>
      <c r="BB55" s="1435"/>
      <c r="BC55" s="1434"/>
      <c r="BD55" s="1434"/>
      <c r="BE55" s="1434"/>
      <c r="BF55" s="1434"/>
      <c r="BG55" s="1435"/>
      <c r="BH55" s="1434"/>
      <c r="BI55" s="1434"/>
      <c r="BJ55" s="1434"/>
      <c r="BK55" s="1434"/>
      <c r="BL55" s="1435"/>
    </row>
    <row r="56" spans="1:64" outlineLevel="2" x14ac:dyDescent="0.2">
      <c r="A56" s="238"/>
      <c r="B56" s="289"/>
      <c r="C56" s="1380" t="s">
        <v>1183</v>
      </c>
      <c r="D56" s="289"/>
      <c r="E56" s="1437">
        <f>E73</f>
        <v>0.15939775626461938</v>
      </c>
      <c r="F56" s="1438">
        <f>F73</f>
        <v>0.14278593433315034</v>
      </c>
      <c r="G56" s="1438">
        <f>G73</f>
        <v>0.146483980105516</v>
      </c>
      <c r="H56" s="1438">
        <f>H73</f>
        <v>1.473349703885618E-2</v>
      </c>
      <c r="I56" s="1439"/>
      <c r="J56" s="1438">
        <f>J73</f>
        <v>2.1846064814815103E-2</v>
      </c>
      <c r="K56" s="1438">
        <f>K73</f>
        <v>2.3024895668441347E-2</v>
      </c>
      <c r="L56" s="1438">
        <f>L73</f>
        <v>2.0547945205479534E-2</v>
      </c>
      <c r="M56" s="1438">
        <f>M73</f>
        <v>2.2348754448398678E-2</v>
      </c>
      <c r="N56" s="1439"/>
      <c r="O56" s="1438">
        <f>O73</f>
        <v>2.3078012176128926E-2</v>
      </c>
      <c r="P56" s="1438">
        <f>P73</f>
        <v>2.2084681389787475E-2</v>
      </c>
      <c r="Q56" s="1438">
        <f>Q73</f>
        <v>2.1252796420581754E-2</v>
      </c>
      <c r="R56" s="1438">
        <f>R73</f>
        <v>2.0189362294625202E-2</v>
      </c>
      <c r="S56" s="1439"/>
      <c r="T56" s="1438">
        <f>T73</f>
        <v>1.7437032936618024E-2</v>
      </c>
      <c r="U56" s="1438">
        <f>U73</f>
        <v>1.56895127993395E-2</v>
      </c>
      <c r="V56" s="1438">
        <f>V73</f>
        <v>1.574479737130341E-2</v>
      </c>
      <c r="W56" s="1647">
        <f>W73</f>
        <v>1.7879077385014375E-2</v>
      </c>
      <c r="X56" s="394"/>
      <c r="Y56" s="1655">
        <f>Y73</f>
        <v>2.4347116430903037E-2</v>
      </c>
      <c r="Z56" s="1440">
        <f>Z73</f>
        <v>3.2113821138211263E-2</v>
      </c>
      <c r="AA56" s="1440">
        <f>AA73</f>
        <v>3.3158107561666039E-2</v>
      </c>
      <c r="AB56" s="1730">
        <f ca="1">AB73</f>
        <v>3.3158107561666039E-2</v>
      </c>
      <c r="AC56" s="394"/>
      <c r="AD56" s="1739">
        <v>2.75E-2</v>
      </c>
      <c r="AE56" s="1739">
        <v>2.75E-2</v>
      </c>
      <c r="AF56" s="1739">
        <v>2.75E-2</v>
      </c>
      <c r="AG56" s="1739">
        <v>2.75E-2</v>
      </c>
      <c r="AH56" s="2545"/>
      <c r="AI56" s="1739">
        <v>2.75E-2</v>
      </c>
      <c r="AJ56" s="1739">
        <v>2.75E-2</v>
      </c>
      <c r="AK56" s="1739">
        <v>2.75E-2</v>
      </c>
      <c r="AL56" s="1467">
        <v>2.75E-2</v>
      </c>
      <c r="AM56" s="394"/>
      <c r="AN56" s="1466">
        <v>2.75E-2</v>
      </c>
      <c r="AO56" s="1466">
        <v>2.75E-2</v>
      </c>
      <c r="AP56" s="1466">
        <v>2.75E-2</v>
      </c>
      <c r="AQ56" s="1467">
        <v>2.75E-2</v>
      </c>
      <c r="AR56" s="394"/>
      <c r="AS56" s="1466">
        <v>2.5000000000000001E-2</v>
      </c>
      <c r="AT56" s="1466">
        <v>2.5000000000000001E-2</v>
      </c>
      <c r="AU56" s="1466">
        <v>2.5000000000000001E-2</v>
      </c>
      <c r="AV56" s="1466">
        <v>2.5000000000000001E-2</v>
      </c>
      <c r="AW56" s="394"/>
      <c r="AX56" s="1466">
        <f>AX61</f>
        <v>0</v>
      </c>
      <c r="AY56" s="1466">
        <f>AY61</f>
        <v>-5.0000000000000001E-3</v>
      </c>
      <c r="AZ56" s="1466">
        <f>AZ61</f>
        <v>-5.0000000000000001E-3</v>
      </c>
      <c r="BA56" s="1467">
        <f>BA61</f>
        <v>-5.0000000000000001E-3</v>
      </c>
      <c r="BB56" s="394"/>
      <c r="BC56" s="1466">
        <f>BC61</f>
        <v>0</v>
      </c>
      <c r="BD56" s="1466">
        <f>BD61</f>
        <v>0</v>
      </c>
      <c r="BE56" s="1466">
        <f>BE61</f>
        <v>0</v>
      </c>
      <c r="BF56" s="1467">
        <f>BF61</f>
        <v>0</v>
      </c>
      <c r="BG56" s="394"/>
      <c r="BH56" s="1466">
        <f>BH61</f>
        <v>0</v>
      </c>
      <c r="BI56" s="1466">
        <f>BI61</f>
        <v>0</v>
      </c>
      <c r="BJ56" s="1466">
        <f>BJ61</f>
        <v>0</v>
      </c>
      <c r="BK56" s="1467">
        <f>BK61</f>
        <v>0</v>
      </c>
      <c r="BL56" s="394"/>
    </row>
    <row r="57" spans="1:64" outlineLevel="2" x14ac:dyDescent="0.2">
      <c r="A57" s="238"/>
      <c r="B57" s="289"/>
      <c r="C57" s="1380" t="s">
        <v>1184</v>
      </c>
      <c r="D57" s="289"/>
      <c r="E57" s="1441"/>
      <c r="F57" s="1442"/>
      <c r="G57" s="1442"/>
      <c r="H57" s="1443"/>
      <c r="I57" s="1439"/>
      <c r="J57" s="1444"/>
      <c r="K57" s="1444"/>
      <c r="L57" s="1444"/>
      <c r="M57" s="1444"/>
      <c r="N57" s="1439"/>
      <c r="O57" s="1444"/>
      <c r="P57" s="1444"/>
      <c r="Q57" s="1444"/>
      <c r="R57" s="1444"/>
      <c r="S57" s="1439"/>
      <c r="T57" s="1444"/>
      <c r="U57" s="1444"/>
      <c r="V57" s="1444"/>
      <c r="W57" s="1468"/>
      <c r="X57" s="394"/>
      <c r="Y57" s="1656"/>
      <c r="Z57" s="1445"/>
      <c r="AA57" s="1445"/>
      <c r="AB57" s="1469"/>
      <c r="AC57" s="394"/>
      <c r="AD57" s="1438"/>
      <c r="AE57" s="1438"/>
      <c r="AF57" s="1438"/>
      <c r="AG57" s="1438"/>
      <c r="AH57" s="1439"/>
      <c r="AI57" s="1438"/>
      <c r="AJ57" s="1438"/>
      <c r="AK57" s="1438"/>
      <c r="AL57" s="1468"/>
      <c r="AM57" s="394"/>
      <c r="AN57" s="1443"/>
      <c r="AO57" s="1444"/>
      <c r="AP57" s="1444"/>
      <c r="AQ57" s="1468"/>
      <c r="AR57" s="394"/>
      <c r="AS57" s="1443"/>
      <c r="AT57" s="1444"/>
      <c r="AU57" s="1444"/>
      <c r="AV57" s="2646"/>
      <c r="AW57" s="394"/>
      <c r="AX57" s="1443"/>
      <c r="AY57" s="1444"/>
      <c r="AZ57" s="1444"/>
      <c r="BA57" s="1468"/>
      <c r="BB57" s="394"/>
      <c r="BC57" s="1443"/>
      <c r="BD57" s="1444"/>
      <c r="BE57" s="1444"/>
      <c r="BF57" s="1468"/>
      <c r="BG57" s="394"/>
      <c r="BH57" s="1443"/>
      <c r="BI57" s="1444"/>
      <c r="BJ57" s="1444"/>
      <c r="BK57" s="1468"/>
      <c r="BL57" s="394"/>
    </row>
    <row r="58" spans="1:64" outlineLevel="2" x14ac:dyDescent="0.2">
      <c r="A58" s="238"/>
      <c r="B58" s="289"/>
      <c r="C58" s="1383" t="s">
        <v>1029</v>
      </c>
      <c r="D58" s="289"/>
      <c r="E58" s="1437">
        <f>E75</f>
        <v>0.83063886934799847</v>
      </c>
      <c r="F58" s="1438">
        <f>F75</f>
        <v>1.1230516956060566</v>
      </c>
      <c r="G58" s="1438">
        <f>G75</f>
        <v>1.1404294772426715</v>
      </c>
      <c r="H58" s="1438">
        <f>H75</f>
        <v>0.78192023219715256</v>
      </c>
      <c r="I58" s="1439"/>
      <c r="J58" s="1438">
        <f>J75</f>
        <v>1.653923971147615</v>
      </c>
      <c r="K58" s="1438">
        <f>K75</f>
        <v>1.0303404655498452</v>
      </c>
      <c r="L58" s="1438">
        <f>L75</f>
        <v>0.81807500533883604</v>
      </c>
      <c r="M58" s="1438">
        <f>M75</f>
        <v>0.50406415842422592</v>
      </c>
      <c r="N58" s="1439"/>
      <c r="O58" s="1438">
        <f>O75</f>
        <v>0.71286216732398822</v>
      </c>
      <c r="P58" s="1438">
        <f>P75</f>
        <v>0.83287769186403504</v>
      </c>
      <c r="Q58" s="1438">
        <f>Q75</f>
        <v>1.1455100372047133</v>
      </c>
      <c r="R58" s="1438">
        <f>R75</f>
        <v>0.99168917505487764</v>
      </c>
      <c r="S58" s="1439"/>
      <c r="T58" s="1438">
        <f>T75</f>
        <v>0.97906130478787246</v>
      </c>
      <c r="U58" s="1438">
        <f>U75</f>
        <v>1.0090661827718101</v>
      </c>
      <c r="V58" s="1438">
        <f>V75</f>
        <v>0.83143004241821661</v>
      </c>
      <c r="W58" s="1469">
        <f>W75</f>
        <v>0.84292865646027304</v>
      </c>
      <c r="X58" s="394"/>
      <c r="Y58" s="1437">
        <f>Y75</f>
        <v>0.72434393025247235</v>
      </c>
      <c r="Z58" s="1440">
        <f ca="1">Z75</f>
        <v>0.85</v>
      </c>
      <c r="AA58" s="1440">
        <f ca="1">AA75</f>
        <v>0.85</v>
      </c>
      <c r="AB58" s="1728">
        <f ca="1">AB75</f>
        <v>0.85</v>
      </c>
      <c r="AC58" s="394"/>
      <c r="AD58" s="1440">
        <v>0.85</v>
      </c>
      <c r="AE58" s="1440">
        <v>0.85</v>
      </c>
      <c r="AF58" s="1440">
        <v>0.85</v>
      </c>
      <c r="AG58" s="1440">
        <v>0.85</v>
      </c>
      <c r="AH58" s="1439"/>
      <c r="AI58" s="1440">
        <v>0.85</v>
      </c>
      <c r="AJ58" s="1440">
        <v>0.85</v>
      </c>
      <c r="AK58" s="1440">
        <v>0.85</v>
      </c>
      <c r="AL58" s="1465">
        <v>0.85</v>
      </c>
      <c r="AM58" s="394"/>
      <c r="AN58" s="1060">
        <v>0.85</v>
      </c>
      <c r="AO58" s="1060">
        <v>0.85</v>
      </c>
      <c r="AP58" s="1060">
        <v>0.85</v>
      </c>
      <c r="AQ58" s="1465">
        <v>0.85</v>
      </c>
      <c r="AR58" s="394"/>
      <c r="AS58" s="1060">
        <v>0.85</v>
      </c>
      <c r="AT58" s="1060">
        <v>0.85</v>
      </c>
      <c r="AU58" s="1060">
        <v>0.85</v>
      </c>
      <c r="AV58" s="2647">
        <v>0.85</v>
      </c>
      <c r="AW58" s="394"/>
      <c r="AX58" s="1060">
        <v>0.85</v>
      </c>
      <c r="AY58" s="1060">
        <v>0.85</v>
      </c>
      <c r="AZ58" s="1060">
        <v>0.85</v>
      </c>
      <c r="BA58" s="1465">
        <v>0.85</v>
      </c>
      <c r="BB58" s="394"/>
      <c r="BC58" s="1060">
        <v>0.85</v>
      </c>
      <c r="BD58" s="1060">
        <v>0.85</v>
      </c>
      <c r="BE58" s="1060">
        <v>0.85</v>
      </c>
      <c r="BF58" s="1465">
        <v>0.85</v>
      </c>
      <c r="BG58" s="394"/>
      <c r="BH58" s="1060">
        <v>0.85</v>
      </c>
      <c r="BI58" s="1060">
        <v>0.85</v>
      </c>
      <c r="BJ58" s="1060">
        <v>0.85</v>
      </c>
      <c r="BK58" s="1465">
        <v>0.85</v>
      </c>
      <c r="BL58" s="394"/>
    </row>
    <row r="59" spans="1:64" outlineLevel="2" x14ac:dyDescent="0.2">
      <c r="A59" s="238"/>
      <c r="B59" s="289"/>
      <c r="C59" s="1383"/>
      <c r="D59" s="289"/>
      <c r="E59" s="1441"/>
      <c r="F59" s="1442"/>
      <c r="G59" s="1442"/>
      <c r="H59" s="1443"/>
      <c r="I59" s="1439"/>
      <c r="J59" s="1444"/>
      <c r="K59" s="1444"/>
      <c r="L59" s="1444"/>
      <c r="M59" s="1444"/>
      <c r="N59" s="1439"/>
      <c r="O59" s="1444"/>
      <c r="P59" s="1444"/>
      <c r="Q59" s="1444"/>
      <c r="R59" s="1444"/>
      <c r="S59" s="1439"/>
      <c r="T59" s="1444"/>
      <c r="U59" s="1444"/>
      <c r="V59" s="1444"/>
      <c r="W59" s="1468"/>
      <c r="X59" s="394"/>
      <c r="Y59" s="1656"/>
      <c r="Z59" s="1445"/>
      <c r="AA59" s="1445"/>
      <c r="AB59" s="1469"/>
      <c r="AC59" s="394"/>
      <c r="AD59" s="1438"/>
      <c r="AE59" s="1438"/>
      <c r="AF59" s="1438"/>
      <c r="AG59" s="1438"/>
      <c r="AH59" s="1439"/>
      <c r="AI59" s="1438"/>
      <c r="AJ59" s="1438"/>
      <c r="AK59" s="1438"/>
      <c r="AL59" s="1468"/>
      <c r="AM59" s="394"/>
      <c r="AN59" s="1443"/>
      <c r="AO59" s="1444"/>
      <c r="AP59" s="1444"/>
      <c r="AQ59" s="1468"/>
      <c r="AR59" s="394"/>
      <c r="AS59" s="1443"/>
      <c r="AT59" s="1444"/>
      <c r="AU59" s="1444"/>
      <c r="AV59" s="2646"/>
      <c r="AW59" s="394"/>
      <c r="AX59" s="1443"/>
      <c r="AY59" s="1444"/>
      <c r="AZ59" s="1444"/>
      <c r="BA59" s="1468"/>
      <c r="BB59" s="394"/>
      <c r="BC59" s="1443"/>
      <c r="BD59" s="1444"/>
      <c r="BE59" s="1444"/>
      <c r="BF59" s="1468"/>
      <c r="BG59" s="394"/>
      <c r="BH59" s="1443"/>
      <c r="BI59" s="1444"/>
      <c r="BJ59" s="1444"/>
      <c r="BK59" s="1468"/>
      <c r="BL59" s="394"/>
    </row>
    <row r="60" spans="1:64" outlineLevel="2" x14ac:dyDescent="0.2">
      <c r="A60" s="238"/>
      <c r="B60" s="289"/>
      <c r="C60" s="1448" t="str">
        <f>$C$12</f>
        <v>Same Store Growth</v>
      </c>
      <c r="D60" s="289"/>
      <c r="E60" s="1437"/>
      <c r="F60" s="1445"/>
      <c r="G60" s="1445"/>
      <c r="H60" s="1445"/>
      <c r="I60" s="1449"/>
      <c r="J60" s="1445"/>
      <c r="K60" s="1445"/>
      <c r="L60" s="1445"/>
      <c r="M60" s="1445"/>
      <c r="N60" s="1449"/>
      <c r="O60" s="1445"/>
      <c r="P60" s="1445"/>
      <c r="Q60" s="1445"/>
      <c r="R60" s="1445"/>
      <c r="S60" s="1449"/>
      <c r="T60" s="1445"/>
      <c r="U60" s="1445"/>
      <c r="V60" s="1445"/>
      <c r="W60" s="1469"/>
      <c r="X60" s="1469"/>
      <c r="Y60" s="1437"/>
      <c r="Z60" s="1445"/>
      <c r="AA60" s="1445"/>
      <c r="AB60" s="1469"/>
      <c r="AC60" s="1469"/>
      <c r="AD60" s="1438"/>
      <c r="AE60" s="1438"/>
      <c r="AF60" s="1438"/>
      <c r="AG60" s="1438"/>
      <c r="AH60" s="1449"/>
      <c r="AI60" s="1438"/>
      <c r="AJ60" s="1438"/>
      <c r="AK60" s="1438"/>
      <c r="AL60" s="1469"/>
      <c r="AM60" s="1469"/>
      <c r="AN60" s="1438"/>
      <c r="AO60" s="1445"/>
      <c r="AP60" s="1445"/>
      <c r="AQ60" s="1469"/>
      <c r="AR60" s="1469"/>
      <c r="AS60" s="1438"/>
      <c r="AT60" s="1445"/>
      <c r="AU60" s="1445"/>
      <c r="AV60" s="1469"/>
      <c r="AW60" s="1469"/>
      <c r="AX60" s="1438"/>
      <c r="AY60" s="1445"/>
      <c r="AZ60" s="1445"/>
      <c r="BA60" s="1469"/>
      <c r="BB60" s="1469"/>
      <c r="BC60" s="1438"/>
      <c r="BD60" s="1445"/>
      <c r="BE60" s="1445"/>
      <c r="BF60" s="1469"/>
      <c r="BG60" s="1469"/>
      <c r="BH60" s="1438"/>
      <c r="BI60" s="1445"/>
      <c r="BJ60" s="1445"/>
      <c r="BK60" s="1469"/>
      <c r="BL60" s="1469"/>
    </row>
    <row r="61" spans="1:64" outlineLevel="2" x14ac:dyDescent="0.2">
      <c r="A61" s="238"/>
      <c r="B61" s="289"/>
      <c r="C61" s="1380" t="s">
        <v>1029</v>
      </c>
      <c r="D61" s="289"/>
      <c r="E61" s="1437">
        <f t="shared" ref="E61:H62" si="15">E78</f>
        <v>7.0000000000000001E-3</v>
      </c>
      <c r="F61" s="1438">
        <f t="shared" si="15"/>
        <v>0.03</v>
      </c>
      <c r="G61" s="1438">
        <f t="shared" si="15"/>
        <v>8.0000000000000002E-3</v>
      </c>
      <c r="H61" s="1438">
        <f t="shared" si="15"/>
        <v>3.0000000000000001E-3</v>
      </c>
      <c r="I61" s="1439"/>
      <c r="J61" s="1438">
        <f t="shared" ref="J61:M62" si="16">J78</f>
        <v>-7.0000000000000001E-3</v>
      </c>
      <c r="K61" s="1438">
        <f t="shared" si="16"/>
        <v>4.0000000000000001E-3</v>
      </c>
      <c r="L61" s="1438">
        <f t="shared" si="16"/>
        <v>1.4E-2</v>
      </c>
      <c r="M61" s="1438">
        <f t="shared" si="16"/>
        <v>0.01</v>
      </c>
      <c r="N61" s="1439"/>
      <c r="O61" s="1438">
        <f t="shared" ref="O61:R62" si="17">O78</f>
        <v>4.0000000000000001E-3</v>
      </c>
      <c r="P61" s="1438">
        <f t="shared" si="17"/>
        <v>8.0000000000000002E-3</v>
      </c>
      <c r="Q61" s="1438">
        <f t="shared" si="17"/>
        <v>0.02</v>
      </c>
      <c r="R61" s="1438">
        <f t="shared" si="17"/>
        <v>1E-3</v>
      </c>
      <c r="S61" s="1439"/>
      <c r="T61" s="1438">
        <f t="shared" ref="T61:V62" si="18">T78</f>
        <v>5.2999999999999999E-2</v>
      </c>
      <c r="U61" s="1438">
        <f t="shared" si="18"/>
        <v>2.3E-2</v>
      </c>
      <c r="V61" s="1438">
        <f t="shared" si="18"/>
        <v>2.1999999999999999E-2</v>
      </c>
      <c r="W61" s="1469">
        <f>W78</f>
        <v>3.9E-2</v>
      </c>
      <c r="X61" s="394"/>
      <c r="Y61" s="1437">
        <f t="shared" ref="Y61:AB62" si="19">Y78</f>
        <v>1.4E-2</v>
      </c>
      <c r="Z61" s="1440">
        <f t="shared" si="19"/>
        <v>-4.0000000000000001E-3</v>
      </c>
      <c r="AA61" s="1440">
        <f t="shared" si="19"/>
        <v>-0.01</v>
      </c>
      <c r="AB61" s="1728">
        <f t="shared" si="19"/>
        <v>-1.9E-2</v>
      </c>
      <c r="AC61" s="394"/>
      <c r="AD61" s="1440">
        <f t="shared" ref="AD61:AG62" si="20">AD78+1%</f>
        <v>-0.01</v>
      </c>
      <c r="AE61" s="1440">
        <f t="shared" si="20"/>
        <v>-0.01</v>
      </c>
      <c r="AF61" s="1440">
        <f t="shared" si="20"/>
        <v>-0.01</v>
      </c>
      <c r="AG61" s="1440">
        <f t="shared" si="20"/>
        <v>-0.01</v>
      </c>
      <c r="AH61" s="1439"/>
      <c r="AI61" s="1440">
        <f t="shared" ref="AI61:AK62" si="21">AI78+1%</f>
        <v>-4.9999999999999996E-2</v>
      </c>
      <c r="AJ61" s="1440">
        <f t="shared" si="21"/>
        <v>-4.9999999999999996E-2</v>
      </c>
      <c r="AK61" s="1440">
        <f t="shared" si="21"/>
        <v>-4.9999999999999996E-2</v>
      </c>
      <c r="AL61" s="1465">
        <f>AL78+3%</f>
        <v>-0.03</v>
      </c>
      <c r="AM61" s="394"/>
      <c r="AN61" s="2609">
        <f>AN78+0.5%</f>
        <v>-5.5E-2</v>
      </c>
      <c r="AO61" s="1060">
        <f>AO78+0.5%</f>
        <v>-5.5E-2</v>
      </c>
      <c r="AP61" s="1060">
        <f>AP78+0.5%</f>
        <v>-5.5E-2</v>
      </c>
      <c r="AQ61" s="1465">
        <f>AQ78+0.5%</f>
        <v>-5.5E-2</v>
      </c>
      <c r="AR61" s="394"/>
      <c r="AS61" s="1060">
        <f>AS78</f>
        <v>-0.02</v>
      </c>
      <c r="AT61" s="1060">
        <f>AT78</f>
        <v>-0.03</v>
      </c>
      <c r="AU61" s="1060">
        <f>AU78</f>
        <v>-0.01</v>
      </c>
      <c r="AV61" s="1465">
        <f>AV78</f>
        <v>-0.01</v>
      </c>
      <c r="AW61" s="394"/>
      <c r="AX61" s="1060">
        <f>AX78+0.5%</f>
        <v>0</v>
      </c>
      <c r="AY61" s="1060">
        <f>AY78+0.5%</f>
        <v>-5.0000000000000001E-3</v>
      </c>
      <c r="AZ61" s="1060">
        <f>AZ78+0.5%</f>
        <v>-5.0000000000000001E-3</v>
      </c>
      <c r="BA61" s="1465">
        <f>BA78+0.5%</f>
        <v>-5.0000000000000001E-3</v>
      </c>
      <c r="BB61" s="394"/>
      <c r="BC61" s="1060">
        <f>BC78+0.5%</f>
        <v>0</v>
      </c>
      <c r="BD61" s="1060">
        <f>BD78+0.5%</f>
        <v>0</v>
      </c>
      <c r="BE61" s="1060">
        <f>BE78+0.5%</f>
        <v>0</v>
      </c>
      <c r="BF61" s="1465">
        <f>BF78+0.5%</f>
        <v>0</v>
      </c>
      <c r="BG61" s="394"/>
      <c r="BH61" s="1060">
        <f>BH78+0.5%</f>
        <v>0</v>
      </c>
      <c r="BI61" s="1060">
        <f>BI78+0.5%</f>
        <v>0</v>
      </c>
      <c r="BJ61" s="1060">
        <f>BJ78+0.5%</f>
        <v>0</v>
      </c>
      <c r="BK61" s="1465">
        <f>BK78+0.5%</f>
        <v>0</v>
      </c>
      <c r="BL61" s="394"/>
    </row>
    <row r="62" spans="1:64" outlineLevel="2" x14ac:dyDescent="0.2">
      <c r="A62" s="238"/>
      <c r="B62" s="289"/>
      <c r="C62" s="1051" t="s">
        <v>1002</v>
      </c>
      <c r="D62" s="289"/>
      <c r="E62" s="1452">
        <f t="shared" si="15"/>
        <v>0.05</v>
      </c>
      <c r="F62" s="1454">
        <f t="shared" si="15"/>
        <v>0.05</v>
      </c>
      <c r="G62" s="1454">
        <f t="shared" si="15"/>
        <v>4.9000000000000002E-2</v>
      </c>
      <c r="H62" s="1454">
        <f t="shared" si="15"/>
        <v>5.3999999999999999E-2</v>
      </c>
      <c r="I62" s="1052"/>
      <c r="J62" s="1454">
        <f t="shared" si="16"/>
        <v>1.4999999999999999E-2</v>
      </c>
      <c r="K62" s="1454">
        <f t="shared" si="16"/>
        <v>1.6E-2</v>
      </c>
      <c r="L62" s="1454">
        <f t="shared" si="16"/>
        <v>1.4999999999999999E-2</v>
      </c>
      <c r="M62" s="1454">
        <f t="shared" si="16"/>
        <v>1.4999999999999999E-2</v>
      </c>
      <c r="N62" s="1052"/>
      <c r="O62" s="1454">
        <f t="shared" si="17"/>
        <v>3.9E-2</v>
      </c>
      <c r="P62" s="1454">
        <f t="shared" si="17"/>
        <v>1.9E-2</v>
      </c>
      <c r="Q62" s="1454">
        <f t="shared" si="17"/>
        <v>0.01</v>
      </c>
      <c r="R62" s="1454">
        <f t="shared" si="17"/>
        <v>2.1000000000000001E-2</v>
      </c>
      <c r="S62" s="1052"/>
      <c r="T62" s="1454">
        <f t="shared" si="18"/>
        <v>7.1999999999999995E-2</v>
      </c>
      <c r="U62" s="1454">
        <f t="shared" si="18"/>
        <v>7.6999999999999999E-2</v>
      </c>
      <c r="V62" s="1454">
        <f t="shared" si="18"/>
        <v>8.6999999999999994E-2</v>
      </c>
      <c r="W62" s="1648">
        <f>W79</f>
        <v>0.09</v>
      </c>
      <c r="X62" s="1470"/>
      <c r="Y62" s="1452">
        <f t="shared" si="19"/>
        <v>0.02</v>
      </c>
      <c r="Z62" s="1440">
        <f t="shared" si="19"/>
        <v>1.7999999999999999E-2</v>
      </c>
      <c r="AA62" s="1440">
        <f t="shared" si="19"/>
        <v>1.4E-2</v>
      </c>
      <c r="AB62" s="1728">
        <f t="shared" ca="1" si="19"/>
        <v>1.4E-2</v>
      </c>
      <c r="AC62" s="1470"/>
      <c r="AD62" s="1440">
        <f t="shared" si="20"/>
        <v>0.04</v>
      </c>
      <c r="AE62" s="1440">
        <f t="shared" si="20"/>
        <v>0.04</v>
      </c>
      <c r="AF62" s="1440">
        <f t="shared" si="20"/>
        <v>0.04</v>
      </c>
      <c r="AG62" s="1440">
        <f t="shared" si="20"/>
        <v>0.04</v>
      </c>
      <c r="AH62" s="1052"/>
      <c r="AI62" s="1440">
        <f t="shared" si="21"/>
        <v>4.2000000000000003E-2</v>
      </c>
      <c r="AJ62" s="1440">
        <f t="shared" si="21"/>
        <v>4.2000000000000003E-2</v>
      </c>
      <c r="AK62" s="1440">
        <f t="shared" si="21"/>
        <v>4.2000000000000003E-2</v>
      </c>
      <c r="AL62" s="1465">
        <f>AL79+3%</f>
        <v>6.2E-2</v>
      </c>
      <c r="AM62" s="1470"/>
      <c r="AN62" s="2610">
        <f>AN79+1%</f>
        <v>4.2000000000000003E-2</v>
      </c>
      <c r="AO62" s="1060">
        <f>AO79+1%</f>
        <v>4.2000000000000003E-2</v>
      </c>
      <c r="AP62" s="1060">
        <f>AP79+1%</f>
        <v>4.2000000000000003E-2</v>
      </c>
      <c r="AQ62" s="1465">
        <f>AQ79+1%</f>
        <v>4.2000000000000003E-2</v>
      </c>
      <c r="AR62" s="1470"/>
      <c r="AS62" s="1060">
        <f>AS79+1%</f>
        <v>-4.9999999999999992E-3</v>
      </c>
      <c r="AT62" s="1060">
        <f>AT79+1%</f>
        <v>0</v>
      </c>
      <c r="AU62" s="1060">
        <f>AU79+1%</f>
        <v>7.4999999999999997E-3</v>
      </c>
      <c r="AV62" s="1465">
        <f>AV79+1%</f>
        <v>1.4999999999999999E-2</v>
      </c>
      <c r="AW62" s="1470"/>
      <c r="AX62" s="1060">
        <f>AX79+1%</f>
        <v>8.4999999999999992E-2</v>
      </c>
      <c r="AY62" s="1060">
        <f>AY79+1%</f>
        <v>7.3999999999999996E-2</v>
      </c>
      <c r="AZ62" s="1060">
        <f>AZ79+1%</f>
        <v>7.3999999999999996E-2</v>
      </c>
      <c r="BA62" s="1465">
        <f>BA79+1%</f>
        <v>7.3999999999999996E-2</v>
      </c>
      <c r="BB62" s="1470"/>
      <c r="BC62" s="1060">
        <f>BC79+1%</f>
        <v>4.5000000000000005E-2</v>
      </c>
      <c r="BD62" s="1060">
        <f>BD79+1%</f>
        <v>4.5000000000000005E-2</v>
      </c>
      <c r="BE62" s="1060">
        <f>BE79+1%</f>
        <v>4.5000000000000005E-2</v>
      </c>
      <c r="BF62" s="1465">
        <f>BF79+1%</f>
        <v>4.5000000000000005E-2</v>
      </c>
      <c r="BG62" s="1470"/>
      <c r="BH62" s="1060">
        <f>BH79+1%</f>
        <v>4.5000000000000005E-2</v>
      </c>
      <c r="BI62" s="1060">
        <f>BI79+1%</f>
        <v>4.5000000000000005E-2</v>
      </c>
      <c r="BJ62" s="1060">
        <f>BJ79+1%</f>
        <v>4.5000000000000005E-2</v>
      </c>
      <c r="BK62" s="1465">
        <f>BK79+1%</f>
        <v>4.5000000000000005E-2</v>
      </c>
      <c r="BL62" s="1470"/>
    </row>
    <row r="63" spans="1:64" outlineLevel="2" x14ac:dyDescent="0.2">
      <c r="A63" s="238"/>
      <c r="B63" s="289"/>
      <c r="C63" s="1380"/>
      <c r="D63" s="289"/>
      <c r="E63" s="1441"/>
      <c r="F63" s="1442"/>
      <c r="G63" s="1442"/>
      <c r="H63" s="1443"/>
      <c r="I63" s="1439"/>
      <c r="J63" s="1444"/>
      <c r="K63" s="1444"/>
      <c r="L63" s="1444"/>
      <c r="M63" s="1444"/>
      <c r="N63" s="1439"/>
      <c r="O63" s="1444"/>
      <c r="P63" s="1444"/>
      <c r="Q63" s="1444"/>
      <c r="R63" s="1444"/>
      <c r="S63" s="1439"/>
      <c r="T63" s="1444"/>
      <c r="U63" s="1444"/>
      <c r="V63" s="1444"/>
      <c r="W63" s="1468"/>
      <c r="X63" s="394"/>
      <c r="Y63" s="1656"/>
      <c r="Z63" s="1445"/>
      <c r="AA63" s="1445"/>
      <c r="AB63" s="1469"/>
      <c r="AC63" s="394"/>
      <c r="AD63" s="1438"/>
      <c r="AE63" s="1438"/>
      <c r="AF63" s="1438"/>
      <c r="AG63" s="1438"/>
      <c r="AH63" s="1439"/>
      <c r="AI63" s="1438"/>
      <c r="AJ63" s="1438"/>
      <c r="AK63" s="1438"/>
      <c r="AL63" s="1468"/>
      <c r="AM63" s="394"/>
      <c r="AN63" s="1443"/>
      <c r="AO63" s="1444"/>
      <c r="AP63" s="1444"/>
      <c r="AQ63" s="1468"/>
      <c r="AR63" s="394"/>
      <c r="AS63" s="1443"/>
      <c r="AT63" s="1444"/>
      <c r="AU63" s="1444"/>
      <c r="AV63" s="1468"/>
      <c r="AW63" s="394"/>
      <c r="AX63" s="1443"/>
      <c r="AY63" s="1444"/>
      <c r="AZ63" s="1444"/>
      <c r="BA63" s="1468"/>
      <c r="BB63" s="394"/>
      <c r="BC63" s="1443"/>
      <c r="BD63" s="1444"/>
      <c r="BE63" s="1444"/>
      <c r="BF63" s="1468"/>
      <c r="BG63" s="394"/>
      <c r="BH63" s="1443"/>
      <c r="BI63" s="1444"/>
      <c r="BJ63" s="1444"/>
      <c r="BK63" s="1468"/>
      <c r="BL63" s="394"/>
    </row>
    <row r="64" spans="1:64" outlineLevel="2" x14ac:dyDescent="0.2">
      <c r="A64" s="238"/>
      <c r="B64" s="289"/>
      <c r="C64" s="1448" t="s">
        <v>1186</v>
      </c>
      <c r="D64" s="289"/>
      <c r="E64" s="1441"/>
      <c r="F64" s="1442"/>
      <c r="G64" s="1442"/>
      <c r="H64" s="1443"/>
      <c r="I64" s="1439"/>
      <c r="J64" s="1444"/>
      <c r="K64" s="1444"/>
      <c r="L64" s="1444"/>
      <c r="M64" s="1444"/>
      <c r="N64" s="1439"/>
      <c r="O64" s="1444"/>
      <c r="P64" s="1444"/>
      <c r="Q64" s="1444"/>
      <c r="R64" s="1444"/>
      <c r="S64" s="1439"/>
      <c r="T64" s="1444"/>
      <c r="U64" s="1444"/>
      <c r="V64" s="1444"/>
      <c r="W64" s="1468"/>
      <c r="X64" s="394"/>
      <c r="Y64" s="1656"/>
      <c r="Z64" s="1445"/>
      <c r="AA64" s="1445"/>
      <c r="AB64" s="1469"/>
      <c r="AC64" s="394"/>
      <c r="AD64" s="1438"/>
      <c r="AE64" s="1438"/>
      <c r="AF64" s="1438"/>
      <c r="AG64" s="1438"/>
      <c r="AH64" s="1439"/>
      <c r="AI64" s="1438"/>
      <c r="AJ64" s="1438"/>
      <c r="AK64" s="1438"/>
      <c r="AL64" s="1468"/>
      <c r="AM64" s="394"/>
      <c r="AN64" s="1443"/>
      <c r="AO64" s="1444"/>
      <c r="AP64" s="1444"/>
      <c r="AQ64" s="1468"/>
      <c r="AR64" s="394"/>
      <c r="AS64" s="1443"/>
      <c r="AT64" s="1444"/>
      <c r="AU64" s="1444"/>
      <c r="AV64" s="1468"/>
      <c r="AW64" s="394"/>
      <c r="AX64" s="1443"/>
      <c r="AY64" s="1444"/>
      <c r="AZ64" s="1444"/>
      <c r="BA64" s="1468"/>
      <c r="BB64" s="394"/>
      <c r="BC64" s="1443"/>
      <c r="BD64" s="1444"/>
      <c r="BE64" s="1444"/>
      <c r="BF64" s="1468"/>
      <c r="BG64" s="394"/>
      <c r="BH64" s="1443"/>
      <c r="BI64" s="1444"/>
      <c r="BJ64" s="1444"/>
      <c r="BK64" s="1468"/>
      <c r="BL64" s="394"/>
    </row>
    <row r="65" spans="1:64" outlineLevel="2" x14ac:dyDescent="0.2">
      <c r="A65" s="238"/>
      <c r="B65" s="231"/>
      <c r="C65" s="1385" t="s">
        <v>1187</v>
      </c>
      <c r="D65" s="231"/>
      <c r="E65" s="1437">
        <f t="shared" ref="E65:H67" si="22">E82</f>
        <v>0.625</v>
      </c>
      <c r="F65" s="1438">
        <f t="shared" si="22"/>
        <v>0.625</v>
      </c>
      <c r="G65" s="1438">
        <f t="shared" si="22"/>
        <v>0.625</v>
      </c>
      <c r="H65" s="1438">
        <f t="shared" si="22"/>
        <v>0.625</v>
      </c>
      <c r="I65" s="1455"/>
      <c r="J65" s="1438">
        <f t="shared" ref="J65:M67" si="23">J82</f>
        <v>0.62135922330097093</v>
      </c>
      <c r="K65" s="1438">
        <f t="shared" si="23"/>
        <v>0.62135922330097093</v>
      </c>
      <c r="L65" s="1438">
        <f t="shared" si="23"/>
        <v>0.62135922330097082</v>
      </c>
      <c r="M65" s="1438">
        <f t="shared" si="23"/>
        <v>0.62135922330097082</v>
      </c>
      <c r="N65" s="1455"/>
      <c r="O65" s="1438">
        <f t="shared" ref="O65:R67" si="24">O82</f>
        <v>0.61764705882352944</v>
      </c>
      <c r="P65" s="1438">
        <f t="shared" si="24"/>
        <v>0.61764705882352944</v>
      </c>
      <c r="Q65" s="1438">
        <f t="shared" si="24"/>
        <v>0.61764705882352944</v>
      </c>
      <c r="R65" s="1438">
        <f t="shared" si="24"/>
        <v>0.61764705882352944</v>
      </c>
      <c r="S65" s="1456"/>
      <c r="T65" s="1438">
        <f t="shared" ref="T65:V67" si="25">T82</f>
        <v>0.617547058823529</v>
      </c>
      <c r="U65" s="1438">
        <f t="shared" si="25"/>
        <v>0.61799999999999999</v>
      </c>
      <c r="V65" s="1438">
        <f t="shared" si="25"/>
        <v>0.61799999999999999</v>
      </c>
      <c r="W65" s="1469">
        <f>W82</f>
        <v>0.61799999999999999</v>
      </c>
      <c r="X65" s="1646"/>
      <c r="Y65" s="1437">
        <f t="shared" ref="Y65:Z67" si="26">Y82</f>
        <v>0.621</v>
      </c>
      <c r="Z65" s="1438">
        <f t="shared" si="26"/>
        <v>0.621</v>
      </c>
      <c r="AA65" s="1438">
        <f t="shared" ref="AA65:AB67" si="27">AA82</f>
        <v>0.61</v>
      </c>
      <c r="AB65" s="1469">
        <f t="shared" ca="1" si="27"/>
        <v>0.61</v>
      </c>
      <c r="AC65" s="1646"/>
      <c r="AD65" s="1438">
        <f>AD82+1%</f>
        <v>0.63700000000000001</v>
      </c>
      <c r="AE65" s="1438">
        <f>AE82+1%</f>
        <v>0.63700000000000001</v>
      </c>
      <c r="AF65" s="1438">
        <f>AF82+1%</f>
        <v>0.63700000000000001</v>
      </c>
      <c r="AG65" s="1438">
        <f>AG82+1%</f>
        <v>0.63700000000000001</v>
      </c>
      <c r="AH65" s="1456"/>
      <c r="AI65" s="1438">
        <f>AI82+1%</f>
        <v>0.63</v>
      </c>
      <c r="AJ65" s="1438">
        <f>AJ82+1%</f>
        <v>0.63</v>
      </c>
      <c r="AK65" s="1438">
        <f>AK82+1%</f>
        <v>0.63</v>
      </c>
      <c r="AL65" s="1443">
        <f>AL82+1%</f>
        <v>0.63</v>
      </c>
      <c r="AM65" s="1455"/>
      <c r="AN65" s="1443">
        <f>AN82+1%</f>
        <v>0.63</v>
      </c>
      <c r="AO65" s="1443">
        <f>AO82+1%</f>
        <v>0.63</v>
      </c>
      <c r="AP65" s="1443">
        <f>AP82+1%</f>
        <v>0.63</v>
      </c>
      <c r="AQ65" s="1443">
        <f>AQ82+1%</f>
        <v>0.63</v>
      </c>
      <c r="AR65" s="1455"/>
      <c r="AS65" s="1443">
        <f t="shared" ref="AS65:AV67" si="28">AS82</f>
        <v>0.63749999999999996</v>
      </c>
      <c r="AT65" s="1443">
        <f t="shared" si="28"/>
        <v>0.62</v>
      </c>
      <c r="AU65" s="1443">
        <f t="shared" si="28"/>
        <v>0.62</v>
      </c>
      <c r="AV65" s="1443">
        <f t="shared" si="28"/>
        <v>0.63749999999999996</v>
      </c>
      <c r="AW65" s="1455"/>
      <c r="AX65" s="1443">
        <f>AX82+0.5%</f>
        <v>0.64249999999999996</v>
      </c>
      <c r="AY65" s="1443">
        <f>AY82+0.5%</f>
        <v>0.63</v>
      </c>
      <c r="AZ65" s="1443">
        <f>AZ82+0.5%</f>
        <v>0.63</v>
      </c>
      <c r="BA65" s="1443">
        <f>BA82+0.5%</f>
        <v>0.64749999999999996</v>
      </c>
      <c r="BB65" s="1455"/>
      <c r="BC65" s="1443">
        <f>BC82+0.5%</f>
        <v>0.63949999999999996</v>
      </c>
      <c r="BD65" s="1443">
        <f>BD82+0.5%</f>
        <v>0.627</v>
      </c>
      <c r="BE65" s="1443">
        <f>BE82+0.5%</f>
        <v>0.627</v>
      </c>
      <c r="BF65" s="1443">
        <f>BF82+0.5%</f>
        <v>0.64449999999999996</v>
      </c>
      <c r="BG65" s="1455"/>
      <c r="BH65" s="1443">
        <f>BH82+0.5%</f>
        <v>0.63649999999999995</v>
      </c>
      <c r="BI65" s="1443">
        <f>BI82+0.5%</f>
        <v>0.624</v>
      </c>
      <c r="BJ65" s="1443">
        <f>BJ82+0.5%</f>
        <v>0.624</v>
      </c>
      <c r="BK65" s="1443">
        <f>BK82+0.5%</f>
        <v>0.64149999999999996</v>
      </c>
      <c r="BL65" s="1455"/>
    </row>
    <row r="66" spans="1:64" outlineLevel="2" x14ac:dyDescent="0.2">
      <c r="A66" s="238"/>
      <c r="B66" s="231"/>
      <c r="C66" s="1385" t="s">
        <v>1188</v>
      </c>
      <c r="D66" s="231"/>
      <c r="E66" s="1437">
        <f t="shared" si="22"/>
        <v>8.0490767113561221E-2</v>
      </c>
      <c r="F66" s="1438">
        <f t="shared" si="22"/>
        <v>7.9241174782559584E-2</v>
      </c>
      <c r="G66" s="1438">
        <f t="shared" si="22"/>
        <v>7.6923312693388216E-2</v>
      </c>
      <c r="H66" s="1438">
        <f t="shared" si="22"/>
        <v>7.6895019143444779E-2</v>
      </c>
      <c r="I66" s="1455"/>
      <c r="J66" s="1438">
        <f t="shared" si="23"/>
        <v>7.3426921952402788E-2</v>
      </c>
      <c r="K66" s="1438">
        <f t="shared" si="23"/>
        <v>7.1030508486124286E-2</v>
      </c>
      <c r="L66" s="1438">
        <f t="shared" si="23"/>
        <v>6.8646349527249295E-2</v>
      </c>
      <c r="M66" s="1438">
        <f t="shared" si="23"/>
        <v>6.9209900111050424E-2</v>
      </c>
      <c r="N66" s="1455"/>
      <c r="O66" s="1438">
        <f t="shared" si="24"/>
        <v>6.7347792098993095E-2</v>
      </c>
      <c r="P66" s="1438">
        <f t="shared" si="24"/>
        <v>6.518357530791527E-2</v>
      </c>
      <c r="Q66" s="1438">
        <f t="shared" si="24"/>
        <v>6.518357530791527E-2</v>
      </c>
      <c r="R66" s="1438">
        <f t="shared" si="24"/>
        <v>6.518357530791527E-2</v>
      </c>
      <c r="S66" s="1456"/>
      <c r="T66" s="1438">
        <f t="shared" si="25"/>
        <v>6.1741432641505098E-2</v>
      </c>
      <c r="U66" s="1438">
        <f t="shared" si="25"/>
        <v>6.2E-2</v>
      </c>
      <c r="V66" s="1438">
        <f t="shared" si="25"/>
        <v>6.2E-2</v>
      </c>
      <c r="W66" s="1469">
        <f>W83</f>
        <v>6.1100000000000002E-2</v>
      </c>
      <c r="X66" s="1646"/>
      <c r="Y66" s="1437">
        <f t="shared" si="26"/>
        <v>5.8999999999999997E-2</v>
      </c>
      <c r="Z66" s="1438">
        <f t="shared" si="26"/>
        <v>5.8999999999999997E-2</v>
      </c>
      <c r="AA66" s="1438">
        <f t="shared" si="27"/>
        <v>5.2999999999999999E-2</v>
      </c>
      <c r="AB66" s="1469">
        <f t="shared" ca="1" si="27"/>
        <v>5.2999999999999999E-2</v>
      </c>
      <c r="AC66" s="1646"/>
      <c r="AD66" s="1438">
        <f>AD83+0.25%</f>
        <v>5.5E-2</v>
      </c>
      <c r="AE66" s="1438">
        <f>AE83+0.25%</f>
        <v>5.5E-2</v>
      </c>
      <c r="AF66" s="1438">
        <f>AF83+0.25%</f>
        <v>5.5E-2</v>
      </c>
      <c r="AG66" s="1438">
        <f>AG83+0.25%</f>
        <v>5.5E-2</v>
      </c>
      <c r="AH66" s="1456"/>
      <c r="AI66" s="1438">
        <f>AI83+0.25%</f>
        <v>5.7500000000000002E-2</v>
      </c>
      <c r="AJ66" s="1438">
        <f>AJ83+0.25%</f>
        <v>5.7500000000000002E-2</v>
      </c>
      <c r="AK66" s="1438">
        <f>AK83+0.25%</f>
        <v>5.7500000000000002E-2</v>
      </c>
      <c r="AL66" s="1443">
        <f>AL83+0.25%</f>
        <v>5.7500000000000002E-2</v>
      </c>
      <c r="AM66" s="1455"/>
      <c r="AN66" s="1443">
        <f t="shared" ref="AN66:AQ67" si="29">AN83</f>
        <v>5.5E-2</v>
      </c>
      <c r="AO66" s="1443">
        <f t="shared" si="29"/>
        <v>5.5E-2</v>
      </c>
      <c r="AP66" s="1443">
        <f t="shared" si="29"/>
        <v>5.5E-2</v>
      </c>
      <c r="AQ66" s="1443">
        <f t="shared" si="29"/>
        <v>5.5E-2</v>
      </c>
      <c r="AR66" s="1455"/>
      <c r="AS66" s="1443">
        <f t="shared" si="28"/>
        <v>5.5E-2</v>
      </c>
      <c r="AT66" s="1443">
        <f t="shared" si="28"/>
        <v>5.5E-2</v>
      </c>
      <c r="AU66" s="1443">
        <f t="shared" si="28"/>
        <v>5.5E-2</v>
      </c>
      <c r="AV66" s="1443">
        <f t="shared" si="28"/>
        <v>5.5E-2</v>
      </c>
      <c r="AW66" s="1455"/>
      <c r="AX66" s="1443">
        <f t="shared" ref="AX66:BA67" si="30">AX83</f>
        <v>5.5E-2</v>
      </c>
      <c r="AY66" s="1443">
        <f t="shared" si="30"/>
        <v>5.5E-2</v>
      </c>
      <c r="AZ66" s="1443">
        <f t="shared" si="30"/>
        <v>5.5E-2</v>
      </c>
      <c r="BA66" s="1443">
        <f t="shared" si="30"/>
        <v>5.5E-2</v>
      </c>
      <c r="BB66" s="1455"/>
      <c r="BC66" s="1443">
        <f t="shared" ref="BC66:BF67" si="31">BC83</f>
        <v>5.5E-2</v>
      </c>
      <c r="BD66" s="1443">
        <f t="shared" si="31"/>
        <v>5.5E-2</v>
      </c>
      <c r="BE66" s="1443">
        <f t="shared" si="31"/>
        <v>5.5E-2</v>
      </c>
      <c r="BF66" s="1443">
        <f t="shared" si="31"/>
        <v>5.5E-2</v>
      </c>
      <c r="BG66" s="1455"/>
      <c r="BH66" s="1443">
        <f t="shared" ref="BH66:BK66" si="32">BH83</f>
        <v>5.5E-2</v>
      </c>
      <c r="BI66" s="1443">
        <f t="shared" si="32"/>
        <v>5.5E-2</v>
      </c>
      <c r="BJ66" s="1443">
        <f t="shared" si="32"/>
        <v>5.5E-2</v>
      </c>
      <c r="BK66" s="1443">
        <f t="shared" si="32"/>
        <v>5.5E-2</v>
      </c>
      <c r="BL66" s="1455"/>
    </row>
    <row r="67" spans="1:64" outlineLevel="2" x14ac:dyDescent="0.2">
      <c r="A67" s="238"/>
      <c r="B67" s="231"/>
      <c r="C67" s="1385" t="s">
        <v>1189</v>
      </c>
      <c r="D67" s="231"/>
      <c r="E67" s="1437">
        <f t="shared" si="22"/>
        <v>0.40126815673683591</v>
      </c>
      <c r="F67" s="1438">
        <f t="shared" si="22"/>
        <v>0.41719569976022713</v>
      </c>
      <c r="G67" s="1438">
        <f t="shared" si="22"/>
        <v>0.40985312290900061</v>
      </c>
      <c r="H67" s="1438">
        <f t="shared" si="22"/>
        <v>0.45192189837239632</v>
      </c>
      <c r="I67" s="425"/>
      <c r="J67" s="1438">
        <f t="shared" si="23"/>
        <v>0.38142846297918576</v>
      </c>
      <c r="K67" s="1438">
        <f t="shared" si="23"/>
        <v>0.41391798438566091</v>
      </c>
      <c r="L67" s="1438">
        <f t="shared" si="23"/>
        <v>0.42194029429029062</v>
      </c>
      <c r="M67" s="1438">
        <f t="shared" si="23"/>
        <v>0.45551111443821213</v>
      </c>
      <c r="N67" s="425"/>
      <c r="O67" s="1438">
        <f t="shared" si="24"/>
        <v>0.38431454776073914</v>
      </c>
      <c r="P67" s="1438">
        <f t="shared" si="24"/>
        <v>0.42133953236123184</v>
      </c>
      <c r="Q67" s="1438">
        <f t="shared" si="24"/>
        <v>0.41439922695857107</v>
      </c>
      <c r="R67" s="1438">
        <f t="shared" si="24"/>
        <v>0.4188811207428304</v>
      </c>
      <c r="S67" s="425"/>
      <c r="T67" s="1438">
        <f t="shared" si="25"/>
        <v>0.36568767587942286</v>
      </c>
      <c r="U67" s="1438">
        <f t="shared" si="25"/>
        <v>0.41105776716278802</v>
      </c>
      <c r="V67" s="1438">
        <f t="shared" si="25"/>
        <v>0.41389722617324115</v>
      </c>
      <c r="W67" s="1469">
        <f>W84</f>
        <v>0.44339256777990116</v>
      </c>
      <c r="X67" s="1067"/>
      <c r="Y67" s="1437">
        <f t="shared" si="26"/>
        <v>0.42607613976417913</v>
      </c>
      <c r="Z67" s="1440">
        <f t="shared" si="26"/>
        <v>0.43069727046079148</v>
      </c>
      <c r="AA67" s="1440">
        <f t="shared" si="27"/>
        <v>0.42354563524467725</v>
      </c>
      <c r="AB67" s="1728">
        <f t="shared" ca="1" si="27"/>
        <v>0.43747309434302956</v>
      </c>
      <c r="AC67" s="1067"/>
      <c r="AD67" s="1440">
        <f>Y67+0.002</f>
        <v>0.42807613976417913</v>
      </c>
      <c r="AE67" s="1440">
        <f>Z67+0.002</f>
        <v>0.43269727046079148</v>
      </c>
      <c r="AF67" s="1440">
        <f>AA67+0.002</f>
        <v>0.42554563524467726</v>
      </c>
      <c r="AG67" s="1440">
        <f ca="1">AB67+0.002</f>
        <v>0.43947309434302956</v>
      </c>
      <c r="AH67" s="425"/>
      <c r="AI67" s="1440">
        <f>AD67+0.002</f>
        <v>0.43007613976417913</v>
      </c>
      <c r="AJ67" s="1440">
        <f>AE67+0.002</f>
        <v>0.43469727046079149</v>
      </c>
      <c r="AK67" s="1440">
        <f>AF67+0.002</f>
        <v>0.42754563524467726</v>
      </c>
      <c r="AL67" s="1465">
        <f ca="1">AG67+0.002</f>
        <v>0.44147309434302956</v>
      </c>
      <c r="AM67" s="1067"/>
      <c r="AN67" s="1060">
        <f t="shared" si="29"/>
        <v>0.44</v>
      </c>
      <c r="AO67" s="1060">
        <f t="shared" si="29"/>
        <v>0.44</v>
      </c>
      <c r="AP67" s="1060">
        <f t="shared" si="29"/>
        <v>0.44</v>
      </c>
      <c r="AQ67" s="1465">
        <f t="shared" si="29"/>
        <v>0.44</v>
      </c>
      <c r="AR67" s="1067"/>
      <c r="AS67" s="1060">
        <f t="shared" si="28"/>
        <v>0.44</v>
      </c>
      <c r="AT67" s="1060">
        <f t="shared" si="28"/>
        <v>0.435</v>
      </c>
      <c r="AU67" s="1060">
        <f t="shared" si="28"/>
        <v>0.43</v>
      </c>
      <c r="AV67" s="1465">
        <f t="shared" si="28"/>
        <v>0.43</v>
      </c>
      <c r="AW67" s="1067"/>
      <c r="AX67" s="1060">
        <f t="shared" si="30"/>
        <v>0.44500000000000001</v>
      </c>
      <c r="AY67" s="1060">
        <f t="shared" si="30"/>
        <v>0.44</v>
      </c>
      <c r="AZ67" s="1060">
        <f t="shared" si="30"/>
        <v>0.435</v>
      </c>
      <c r="BA67" s="1465">
        <f t="shared" si="30"/>
        <v>0.435</v>
      </c>
      <c r="BB67" s="1067"/>
      <c r="BC67" s="1060">
        <f t="shared" si="31"/>
        <v>0.45</v>
      </c>
      <c r="BD67" s="1060">
        <f t="shared" si="31"/>
        <v>0.44500000000000001</v>
      </c>
      <c r="BE67" s="1060">
        <f t="shared" si="31"/>
        <v>0.44</v>
      </c>
      <c r="BF67" s="1465">
        <f t="shared" si="31"/>
        <v>0.44</v>
      </c>
      <c r="BG67" s="1067"/>
      <c r="BH67" s="1060">
        <f t="shared" ref="BH67:BK67" si="33">BH84</f>
        <v>0.45500000000000002</v>
      </c>
      <c r="BI67" s="1060">
        <f t="shared" si="33"/>
        <v>0.45</v>
      </c>
      <c r="BJ67" s="1060">
        <f t="shared" si="33"/>
        <v>0.44500000000000001</v>
      </c>
      <c r="BK67" s="1465">
        <f t="shared" si="33"/>
        <v>0.44500000000000001</v>
      </c>
      <c r="BL67" s="1067"/>
    </row>
    <row r="68" spans="1:64" outlineLevel="2" x14ac:dyDescent="0.2">
      <c r="A68" s="238"/>
      <c r="B68" s="289"/>
      <c r="C68" s="1386"/>
      <c r="D68" s="289"/>
      <c r="E68" s="1441"/>
      <c r="F68" s="1442"/>
      <c r="G68" s="1442"/>
      <c r="H68" s="1443"/>
      <c r="I68" s="1439"/>
      <c r="J68" s="1444"/>
      <c r="K68" s="1444"/>
      <c r="L68" s="1444"/>
      <c r="M68" s="1444"/>
      <c r="N68" s="1439"/>
      <c r="O68" s="1444"/>
      <c r="P68" s="1444"/>
      <c r="Q68" s="1444"/>
      <c r="R68" s="1444"/>
      <c r="S68" s="1439"/>
      <c r="T68" s="1444"/>
      <c r="U68" s="1444"/>
      <c r="V68" s="1444"/>
      <c r="W68" s="1468"/>
      <c r="X68" s="394"/>
      <c r="Y68" s="1656"/>
      <c r="Z68" s="1445"/>
      <c r="AA68" s="1445"/>
      <c r="AB68" s="1469"/>
      <c r="AC68" s="394"/>
      <c r="AD68" s="1438"/>
      <c r="AE68" s="1438"/>
      <c r="AF68" s="1438"/>
      <c r="AG68" s="1438"/>
      <c r="AH68" s="1439"/>
      <c r="AI68" s="1438"/>
      <c r="AJ68" s="1438"/>
      <c r="AK68" s="1438"/>
      <c r="AL68" s="1468"/>
      <c r="AM68" s="394"/>
      <c r="AN68" s="1443"/>
      <c r="AO68" s="1444"/>
      <c r="AP68" s="1444"/>
      <c r="AQ68" s="1468"/>
      <c r="AR68" s="394"/>
      <c r="AS68" s="1443"/>
      <c r="AT68" s="1444"/>
      <c r="AU68" s="1444"/>
      <c r="AV68" s="1468"/>
      <c r="AW68" s="394"/>
      <c r="AX68" s="1443"/>
      <c r="AY68" s="1444"/>
      <c r="AZ68" s="1444"/>
      <c r="BA68" s="1468"/>
      <c r="BB68" s="394"/>
      <c r="BC68" s="1443"/>
      <c r="BD68" s="1444"/>
      <c r="BE68" s="1444"/>
      <c r="BF68" s="1468"/>
      <c r="BG68" s="394"/>
      <c r="BH68" s="1443"/>
      <c r="BI68" s="1444"/>
      <c r="BJ68" s="1444"/>
      <c r="BK68" s="1468"/>
      <c r="BL68" s="394"/>
    </row>
    <row r="69" spans="1:64" ht="12" outlineLevel="2" thickBot="1" x14ac:dyDescent="0.25">
      <c r="A69" s="238"/>
      <c r="B69" s="212"/>
      <c r="C69" s="1457" t="str">
        <f>$C$21</f>
        <v>SG&amp;A Y/Y Growth</v>
      </c>
      <c r="D69" s="212"/>
      <c r="E69" s="1458">
        <f>E86</f>
        <v>0.13750052194246121</v>
      </c>
      <c r="F69" s="1459">
        <f>F86</f>
        <v>0.17876338397731595</v>
      </c>
      <c r="G69" s="1459">
        <f>G86</f>
        <v>0.18832913171054289</v>
      </c>
      <c r="H69" s="1459">
        <f>H86</f>
        <v>5.091135475391706E-2</v>
      </c>
      <c r="I69" s="1460"/>
      <c r="J69" s="1459">
        <f>J86</f>
        <v>-9.9845826297627616E-3</v>
      </c>
      <c r="K69" s="1459">
        <f>K86</f>
        <v>2.717840089038881E-2</v>
      </c>
      <c r="L69" s="1459">
        <f>L86</f>
        <v>-1.8779995826667673E-3</v>
      </c>
      <c r="M69" s="1459">
        <f>M86</f>
        <v>-1.4316274477538249E-2</v>
      </c>
      <c r="N69" s="1460"/>
      <c r="O69" s="1459">
        <f>O86</f>
        <v>2.9291805710048191E-2</v>
      </c>
      <c r="P69" s="1459">
        <f>P86</f>
        <v>8.0391471513456825E-3</v>
      </c>
      <c r="Q69" s="1459">
        <f>Q86</f>
        <v>6.2717770034843578E-3</v>
      </c>
      <c r="R69" s="1459">
        <f>R86</f>
        <v>-4.5976627712854712E-2</v>
      </c>
      <c r="S69" s="1460"/>
      <c r="T69" s="1459">
        <f>T86</f>
        <v>7.8530259365994226E-2</v>
      </c>
      <c r="U69" s="1459">
        <f>U86</f>
        <v>4.680998613037457E-2</v>
      </c>
      <c r="V69" s="1459">
        <f>V86</f>
        <v>6.4750692520775699E-2</v>
      </c>
      <c r="W69" s="1649">
        <f>W86</f>
        <v>0.12550309732964693</v>
      </c>
      <c r="X69" s="1472"/>
      <c r="Y69" s="1458">
        <f>Y86</f>
        <v>2.6252505010019966E-2</v>
      </c>
      <c r="Z69" s="1461">
        <f>Z86</f>
        <v>3.2262338522689671E-2</v>
      </c>
      <c r="AA69" s="1461">
        <f>AA86</f>
        <v>1.3983739837398312E-2</v>
      </c>
      <c r="AB69" s="1729">
        <f>AB86</f>
        <v>3.2712459964551188E-2</v>
      </c>
      <c r="AC69" s="1472"/>
      <c r="AD69" s="1461">
        <f>AD86-0.2%</f>
        <v>1.8000000000000002E-2</v>
      </c>
      <c r="AE69" s="1461">
        <f>AE86-0.2%</f>
        <v>1.8000000000000002E-2</v>
      </c>
      <c r="AF69" s="1461">
        <f>AF86-0.2%</f>
        <v>1.8000000000000002E-2</v>
      </c>
      <c r="AG69" s="1461">
        <f>AG86-0.2%</f>
        <v>1.8000000000000002E-2</v>
      </c>
      <c r="AH69" s="1460"/>
      <c r="AI69" s="1461">
        <f>AI86-0.2%</f>
        <v>1.8000000000000002E-2</v>
      </c>
      <c r="AJ69" s="1461">
        <f>AJ86-0.2%</f>
        <v>1.8000000000000002E-2</v>
      </c>
      <c r="AK69" s="1461">
        <f>AK86-0.2%</f>
        <v>1.8000000000000002E-2</v>
      </c>
      <c r="AL69" s="1471">
        <v>1.6E-2</v>
      </c>
      <c r="AM69" s="1472"/>
      <c r="AN69" s="1462">
        <f>AN86-0.2%</f>
        <v>1.8000000000000002E-2</v>
      </c>
      <c r="AO69" s="1462">
        <f>AO86-0.2%</f>
        <v>1.8000000000000002E-2</v>
      </c>
      <c r="AP69" s="1462">
        <f>AP86-0.2%</f>
        <v>1.8000000000000002E-2</v>
      </c>
      <c r="AQ69" s="1471">
        <f>AQ86-0.2%</f>
        <v>1.8000000000000002E-2</v>
      </c>
      <c r="AR69" s="1472"/>
      <c r="AS69" s="1462">
        <f>AS86-0.2%</f>
        <v>-1.4E-2</v>
      </c>
      <c r="AT69" s="1462">
        <f>AT86-0.2%</f>
        <v>-1.4E-2</v>
      </c>
      <c r="AU69" s="1462">
        <f>AU86-0.2%</f>
        <v>-1.4E-2</v>
      </c>
      <c r="AV69" s="1471">
        <f>AV86-0.2%</f>
        <v>-1.4E-2</v>
      </c>
      <c r="AW69" s="1472"/>
      <c r="AX69" s="1462">
        <f>AX86-0.2%</f>
        <v>-2E-3</v>
      </c>
      <c r="AY69" s="1462">
        <f>AY86-0.2%</f>
        <v>-1.9500000000000003E-2</v>
      </c>
      <c r="AZ69" s="1462">
        <f>AZ86-0.2%</f>
        <v>-1.9500000000000003E-2</v>
      </c>
      <c r="BA69" s="1471">
        <f>BA86-0.2%</f>
        <v>-2.1999999999999999E-2</v>
      </c>
      <c r="BB69" s="1472"/>
      <c r="BC69" s="1462">
        <f>BC86-0.2%</f>
        <v>1.7000000000000001E-2</v>
      </c>
      <c r="BD69" s="1462">
        <f>BD86-0.2%</f>
        <v>1.7000000000000001E-2</v>
      </c>
      <c r="BE69" s="1462">
        <f>BE86-0.2%</f>
        <v>1.7000000000000001E-2</v>
      </c>
      <c r="BF69" s="1471">
        <f>BF86-0.2%</f>
        <v>1.7000000000000001E-2</v>
      </c>
      <c r="BG69" s="1472"/>
      <c r="BH69" s="1462">
        <f>BH86-0.2%</f>
        <v>1.7000000000000001E-2</v>
      </c>
      <c r="BI69" s="1462">
        <f>BI86-0.2%</f>
        <v>1.7000000000000001E-2</v>
      </c>
      <c r="BJ69" s="1462">
        <f>BJ86-0.2%</f>
        <v>1.7000000000000001E-2</v>
      </c>
      <c r="BK69" s="1471">
        <f>BK86-0.2%</f>
        <v>1.7000000000000001E-2</v>
      </c>
      <c r="BL69" s="1472"/>
    </row>
    <row r="70" spans="1:64" outlineLevel="1" x14ac:dyDescent="0.2">
      <c r="A70" s="238"/>
      <c r="B70" s="300"/>
      <c r="C70" s="300"/>
      <c r="D70" s="241"/>
      <c r="E70" s="300"/>
      <c r="F70" s="300"/>
      <c r="G70" s="300"/>
      <c r="H70" s="300"/>
      <c r="I70" s="300"/>
      <c r="J70" s="300"/>
      <c r="K70" s="300"/>
      <c r="L70" s="300"/>
      <c r="M70" s="300"/>
      <c r="N70" s="300"/>
      <c r="O70" s="300"/>
      <c r="P70" s="300"/>
      <c r="Q70" s="300"/>
      <c r="R70" s="300"/>
      <c r="S70" s="300"/>
      <c r="T70" s="300"/>
      <c r="U70" s="300"/>
      <c r="V70" s="300"/>
      <c r="W70" s="300"/>
      <c r="X70" s="300"/>
      <c r="Y70" s="300"/>
      <c r="Z70" s="300"/>
      <c r="AA70" s="300"/>
      <c r="AB70" s="300"/>
      <c r="AC70" s="300"/>
      <c r="AD70" s="300"/>
      <c r="AE70" s="300"/>
      <c r="AF70" s="300"/>
      <c r="AG70" s="300"/>
      <c r="AH70" s="300"/>
      <c r="AI70" s="300"/>
      <c r="AJ70" s="300"/>
      <c r="AK70" s="300"/>
      <c r="AL70" s="300"/>
      <c r="AM70" s="300"/>
      <c r="AN70" s="300"/>
      <c r="AO70" s="300"/>
      <c r="AP70" s="300"/>
      <c r="AQ70" s="300"/>
      <c r="AR70" s="300"/>
      <c r="AS70" s="300"/>
      <c r="AT70" s="300"/>
      <c r="AU70" s="300"/>
      <c r="AV70" s="300"/>
      <c r="AW70" s="300"/>
      <c r="AX70" s="300"/>
      <c r="AY70" s="300"/>
      <c r="AZ70" s="300"/>
      <c r="BA70" s="300"/>
      <c r="BB70" s="300"/>
      <c r="BC70" s="300"/>
      <c r="BD70" s="300"/>
      <c r="BE70" s="300"/>
      <c r="BF70" s="300"/>
      <c r="BG70" s="300"/>
      <c r="BH70" s="300"/>
      <c r="BI70" s="300"/>
      <c r="BJ70" s="300"/>
      <c r="BK70" s="300"/>
      <c r="BL70" s="300"/>
    </row>
    <row r="71" spans="1:64" ht="12" outlineLevel="1" thickBot="1" x14ac:dyDescent="0.25">
      <c r="A71" s="238"/>
      <c r="B71" s="300"/>
      <c r="C71" s="300"/>
      <c r="D71" s="300"/>
      <c r="E71" s="300"/>
      <c r="F71" s="300"/>
      <c r="G71" s="300"/>
      <c r="H71" s="300"/>
      <c r="I71" s="300"/>
      <c r="J71" s="300"/>
      <c r="K71" s="300"/>
      <c r="L71" s="300"/>
      <c r="M71" s="300"/>
      <c r="N71" s="300"/>
      <c r="O71" s="300"/>
      <c r="P71" s="300"/>
      <c r="Q71" s="300"/>
      <c r="R71" s="300"/>
      <c r="S71" s="300"/>
      <c r="T71" s="1473"/>
      <c r="U71" s="1473"/>
      <c r="V71" s="1473"/>
      <c r="W71" s="1473"/>
      <c r="X71" s="1473"/>
      <c r="Y71" s="300"/>
      <c r="Z71" s="300"/>
      <c r="AA71" s="300"/>
      <c r="AB71" s="300"/>
      <c r="AC71" s="300"/>
      <c r="AD71" s="300"/>
      <c r="AE71" s="300"/>
      <c r="AF71" s="300"/>
      <c r="AG71" s="300"/>
      <c r="AH71" s="300"/>
      <c r="AI71" s="300"/>
      <c r="AJ71" s="300"/>
      <c r="AK71" s="300"/>
      <c r="AL71" s="300"/>
      <c r="AM71" s="300"/>
      <c r="AN71" s="300"/>
      <c r="AO71" s="300"/>
      <c r="AP71" s="300"/>
      <c r="AQ71" s="300"/>
      <c r="AR71" s="300"/>
      <c r="AS71" s="300"/>
      <c r="AT71" s="300"/>
      <c r="AU71" s="300"/>
      <c r="AV71" s="300"/>
      <c r="AW71" s="300"/>
      <c r="AX71" s="300"/>
      <c r="AY71" s="300"/>
      <c r="AZ71" s="300"/>
      <c r="BA71" s="300"/>
      <c r="BB71" s="300"/>
      <c r="BC71" s="300"/>
      <c r="BD71" s="300"/>
      <c r="BE71" s="300"/>
      <c r="BF71" s="300"/>
      <c r="BG71" s="300"/>
      <c r="BH71" s="300"/>
      <c r="BI71" s="300"/>
      <c r="BJ71" s="300"/>
      <c r="BK71" s="300"/>
      <c r="BL71" s="300"/>
    </row>
    <row r="72" spans="1:64" ht="12" outlineLevel="1" thickBot="1" x14ac:dyDescent="0.25">
      <c r="A72" s="238"/>
      <c r="B72" s="289"/>
      <c r="C72" s="1433" t="s">
        <v>1198</v>
      </c>
      <c r="D72" s="1434"/>
      <c r="E72" s="1434"/>
      <c r="F72" s="1434"/>
      <c r="G72" s="1434"/>
      <c r="H72" s="1434"/>
      <c r="I72" s="1435"/>
      <c r="J72" s="1434"/>
      <c r="K72" s="1434"/>
      <c r="L72" s="1434"/>
      <c r="M72" s="1434"/>
      <c r="N72" s="1435"/>
      <c r="O72" s="1434"/>
      <c r="P72" s="1434"/>
      <c r="Q72" s="1434"/>
      <c r="R72" s="1434"/>
      <c r="S72" s="1435"/>
      <c r="T72" s="1434"/>
      <c r="U72" s="1434"/>
      <c r="V72" s="1434"/>
      <c r="W72" s="1434"/>
      <c r="X72" s="1435"/>
      <c r="Y72" s="1434"/>
      <c r="Z72" s="1434"/>
      <c r="AA72" s="1434"/>
      <c r="AB72" s="1434"/>
      <c r="AC72" s="1435"/>
      <c r="AD72" s="1434"/>
      <c r="AE72" s="1434"/>
      <c r="AF72" s="1434"/>
      <c r="AG72" s="1434"/>
      <c r="AH72" s="1435"/>
      <c r="AI72" s="1434"/>
      <c r="AJ72" s="1434"/>
      <c r="AK72" s="1434"/>
      <c r="AL72" s="1434"/>
      <c r="AM72" s="1435"/>
      <c r="AN72" s="1434"/>
      <c r="AO72" s="1434"/>
      <c r="AP72" s="1434"/>
      <c r="AQ72" s="1434"/>
      <c r="AR72" s="1435"/>
      <c r="AS72" s="1434"/>
      <c r="AT72" s="1434"/>
      <c r="AU72" s="1434"/>
      <c r="AV72" s="1434"/>
      <c r="AW72" s="1435"/>
      <c r="AX72" s="1434"/>
      <c r="AY72" s="1434"/>
      <c r="AZ72" s="1434"/>
      <c r="BA72" s="1434"/>
      <c r="BB72" s="1435"/>
      <c r="BC72" s="1434"/>
      <c r="BD72" s="1434"/>
      <c r="BE72" s="1434"/>
      <c r="BF72" s="1434"/>
      <c r="BG72" s="1435"/>
      <c r="BH72" s="1434"/>
      <c r="BI72" s="1434"/>
      <c r="BJ72" s="1434"/>
      <c r="BK72" s="1434"/>
      <c r="BL72" s="1435"/>
    </row>
    <row r="73" spans="1:64" outlineLevel="1" x14ac:dyDescent="0.2">
      <c r="A73" s="238"/>
      <c r="B73" s="289"/>
      <c r="C73" s="1380" t="s">
        <v>1183</v>
      </c>
      <c r="D73" s="289"/>
      <c r="E73" s="1437">
        <f>Retail!BR136</f>
        <v>0.15939775626461938</v>
      </c>
      <c r="F73" s="1438">
        <f>Retail!BS136</f>
        <v>0.14278593433315034</v>
      </c>
      <c r="G73" s="1438">
        <f>Retail!BT136</f>
        <v>0.146483980105516</v>
      </c>
      <c r="H73" s="1438">
        <f>Retail!BU136</f>
        <v>1.473349703885618E-2</v>
      </c>
      <c r="I73" s="1439"/>
      <c r="J73" s="1438">
        <f>Retail!BW136</f>
        <v>2.1846064814815103E-2</v>
      </c>
      <c r="K73" s="1438">
        <f>Retail!BX136</f>
        <v>2.3024895668441347E-2</v>
      </c>
      <c r="L73" s="1438">
        <f>Retail!BY136</f>
        <v>2.0547945205479534E-2</v>
      </c>
      <c r="M73" s="1438">
        <f>Retail!BZ136</f>
        <v>2.2348754448398678E-2</v>
      </c>
      <c r="N73" s="1439"/>
      <c r="O73" s="1438">
        <f>Retail!CB136</f>
        <v>2.3078012176128926E-2</v>
      </c>
      <c r="P73" s="1438">
        <f>Retail!CC136</f>
        <v>2.2084681389787475E-2</v>
      </c>
      <c r="Q73" s="1438">
        <f>Retail!CD136</f>
        <v>2.1252796420581754E-2</v>
      </c>
      <c r="R73" s="1438">
        <f>Retail!CE136</f>
        <v>2.0189362294625202E-2</v>
      </c>
      <c r="S73" s="1439"/>
      <c r="T73" s="1438">
        <f>Retail!CG136</f>
        <v>1.7437032936618024E-2</v>
      </c>
      <c r="U73" s="1438">
        <f>Retail!CH136</f>
        <v>1.56895127993395E-2</v>
      </c>
      <c r="V73" s="1438">
        <f>Retail!CI136</f>
        <v>1.574479737130341E-2</v>
      </c>
      <c r="W73" s="1647">
        <f>Retail!CJ136</f>
        <v>1.7879077385014375E-2</v>
      </c>
      <c r="X73" s="394"/>
      <c r="Y73" s="1655">
        <f>Retail!CL136</f>
        <v>2.4347116430903037E-2</v>
      </c>
      <c r="Z73" s="1681">
        <f>Retail!CM136</f>
        <v>3.2113821138211263E-2</v>
      </c>
      <c r="AA73" s="1681">
        <f>Retail!CN136</f>
        <v>3.3158107561666039E-2</v>
      </c>
      <c r="AB73" s="1727">
        <f ca="1">Retail!CO136</f>
        <v>3.3158107561666039E-2</v>
      </c>
      <c r="AC73" s="394"/>
      <c r="AD73" s="1739">
        <v>2.5000000000000001E-2</v>
      </c>
      <c r="AE73" s="1739">
        <v>2.5000000000000001E-2</v>
      </c>
      <c r="AF73" s="1739">
        <v>2.5000000000000001E-2</v>
      </c>
      <c r="AG73" s="1739">
        <v>2.5000000000000001E-2</v>
      </c>
      <c r="AH73" s="2545"/>
      <c r="AI73" s="1739">
        <v>2.5000000000000001E-2</v>
      </c>
      <c r="AJ73" s="1739">
        <v>2.5000000000000001E-2</v>
      </c>
      <c r="AK73" s="1739">
        <v>2.5000000000000001E-2</v>
      </c>
      <c r="AL73" s="1739">
        <v>2.5000000000000001E-2</v>
      </c>
      <c r="AM73" s="394"/>
      <c r="AN73" s="1739">
        <v>2.5000000000000001E-2</v>
      </c>
      <c r="AO73" s="1739">
        <v>2.5000000000000001E-2</v>
      </c>
      <c r="AP73" s="1739">
        <v>2.5000000000000001E-2</v>
      </c>
      <c r="AQ73" s="1739">
        <v>2.5000000000000001E-2</v>
      </c>
      <c r="AR73" s="2672"/>
      <c r="AS73" s="2521">
        <v>0</v>
      </c>
      <c r="AT73" s="2522">
        <v>0</v>
      </c>
      <c r="AU73" s="2522">
        <v>0</v>
      </c>
      <c r="AV73" s="2505">
        <v>0</v>
      </c>
      <c r="AW73" s="394"/>
      <c r="AX73" s="2785">
        <v>0</v>
      </c>
      <c r="AY73" s="2786">
        <v>0</v>
      </c>
      <c r="AZ73" s="2786">
        <v>0</v>
      </c>
      <c r="BA73" s="2787">
        <v>0</v>
      </c>
      <c r="BB73" s="394"/>
      <c r="BC73" s="2521">
        <v>0</v>
      </c>
      <c r="BD73" s="2522">
        <v>0</v>
      </c>
      <c r="BE73" s="2522">
        <v>0</v>
      </c>
      <c r="BF73" s="2505">
        <v>0</v>
      </c>
      <c r="BG73" s="394"/>
      <c r="BH73" s="2521">
        <v>0</v>
      </c>
      <c r="BI73" s="2522">
        <v>0</v>
      </c>
      <c r="BJ73" s="2522">
        <v>0</v>
      </c>
      <c r="BK73" s="2505">
        <v>0</v>
      </c>
      <c r="BL73" s="394"/>
    </row>
    <row r="74" spans="1:64" outlineLevel="1" x14ac:dyDescent="0.2">
      <c r="A74" s="238"/>
      <c r="B74" s="289"/>
      <c r="C74" s="1380" t="s">
        <v>1184</v>
      </c>
      <c r="D74" s="289"/>
      <c r="E74" s="1437"/>
      <c r="F74" s="1445"/>
      <c r="G74" s="1445"/>
      <c r="H74" s="1445"/>
      <c r="I74" s="1439"/>
      <c r="J74" s="1445"/>
      <c r="K74" s="1445"/>
      <c r="L74" s="1445"/>
      <c r="M74" s="1445"/>
      <c r="N74" s="1439"/>
      <c r="O74" s="1445"/>
      <c r="P74" s="1445"/>
      <c r="Q74" s="1445"/>
      <c r="R74" s="1445"/>
      <c r="S74" s="1439"/>
      <c r="T74" s="1445"/>
      <c r="U74" s="1445"/>
      <c r="V74" s="1445"/>
      <c r="W74" s="1469"/>
      <c r="X74" s="394"/>
      <c r="Y74" s="1656"/>
      <c r="Z74" s="1444"/>
      <c r="AA74" s="1445"/>
      <c r="AB74" s="1469"/>
      <c r="AC74" s="394"/>
      <c r="AD74" s="1438"/>
      <c r="AE74" s="1438"/>
      <c r="AF74" s="1445"/>
      <c r="AG74" s="1445"/>
      <c r="AH74" s="1439"/>
      <c r="AI74" s="1438"/>
      <c r="AJ74" s="1438"/>
      <c r="AK74" s="1438"/>
      <c r="AL74" s="1438"/>
      <c r="AM74" s="394"/>
      <c r="AN74" s="1438"/>
      <c r="AO74" s="1438"/>
      <c r="AP74" s="1438"/>
      <c r="AQ74" s="1438"/>
      <c r="AR74" s="2673"/>
      <c r="AS74" s="1437"/>
      <c r="AT74" s="1445"/>
      <c r="AU74" s="1445"/>
      <c r="AV74" s="2708"/>
      <c r="AW74" s="394"/>
      <c r="AX74" s="2788"/>
      <c r="AY74" s="1445"/>
      <c r="AZ74" s="1445"/>
      <c r="BA74" s="2708"/>
      <c r="BB74" s="394"/>
      <c r="BC74" s="1437"/>
      <c r="BD74" s="1445"/>
      <c r="BE74" s="1445"/>
      <c r="BF74" s="1469"/>
      <c r="BG74" s="394"/>
      <c r="BH74" s="1437"/>
      <c r="BI74" s="1445"/>
      <c r="BJ74" s="1445"/>
      <c r="BK74" s="1469"/>
      <c r="BL74" s="394"/>
    </row>
    <row r="75" spans="1:64" outlineLevel="1" x14ac:dyDescent="0.2">
      <c r="A75" s="238"/>
      <c r="B75" s="289"/>
      <c r="C75" s="1383" t="s">
        <v>1029</v>
      </c>
      <c r="D75" s="289"/>
      <c r="E75" s="1437">
        <f>Retail!BR138</f>
        <v>0.83063886934799847</v>
      </c>
      <c r="F75" s="1438">
        <f>Retail!BS138</f>
        <v>1.1230516956060566</v>
      </c>
      <c r="G75" s="1438">
        <f>Retail!BT138</f>
        <v>1.1404294772426715</v>
      </c>
      <c r="H75" s="1438">
        <f>Retail!BU138</f>
        <v>0.78192023219715256</v>
      </c>
      <c r="I75" s="1439"/>
      <c r="J75" s="1438">
        <f>Retail!BW138</f>
        <v>1.653923971147615</v>
      </c>
      <c r="K75" s="1438">
        <f>Retail!BX138</f>
        <v>1.0303404655498452</v>
      </c>
      <c r="L75" s="1438">
        <f>Retail!BY138</f>
        <v>0.81807500533883604</v>
      </c>
      <c r="M75" s="1438">
        <f>Retail!BZ138</f>
        <v>0.50406415842422592</v>
      </c>
      <c r="N75" s="1439"/>
      <c r="O75" s="1438">
        <f>Retail!CB138</f>
        <v>0.71286216732398822</v>
      </c>
      <c r="P75" s="1438">
        <f>Retail!CC138</f>
        <v>0.83287769186403504</v>
      </c>
      <c r="Q75" s="1438">
        <f>Retail!CD138</f>
        <v>1.1455100372047133</v>
      </c>
      <c r="R75" s="1438">
        <f>Retail!CE138</f>
        <v>0.99168917505487764</v>
      </c>
      <c r="S75" s="1439"/>
      <c r="T75" s="1438">
        <f>Retail!CG138</f>
        <v>0.97906130478787246</v>
      </c>
      <c r="U75" s="1438">
        <f>Retail!CH138</f>
        <v>1.0090661827718101</v>
      </c>
      <c r="V75" s="1438">
        <f>Retail!CI138</f>
        <v>0.83143004241821661</v>
      </c>
      <c r="W75" s="1469">
        <f>Retail!CJ138</f>
        <v>0.84292865646027304</v>
      </c>
      <c r="X75" s="394"/>
      <c r="Y75" s="1437">
        <f>Retail!CL138</f>
        <v>0.72434393025247235</v>
      </c>
      <c r="Z75" s="1445">
        <f ca="1">Retail!CM138</f>
        <v>0.85</v>
      </c>
      <c r="AA75" s="1445">
        <f ca="1">Retail!CN138</f>
        <v>0.85</v>
      </c>
      <c r="AB75" s="1728">
        <f ca="1">Retail!CO138</f>
        <v>0.85</v>
      </c>
      <c r="AC75" s="394"/>
      <c r="AD75" s="1440">
        <v>0.85</v>
      </c>
      <c r="AE75" s="1440">
        <v>0.85</v>
      </c>
      <c r="AF75" s="1440">
        <v>0.85</v>
      </c>
      <c r="AG75" s="1440">
        <v>0.85</v>
      </c>
      <c r="AH75" s="1439"/>
      <c r="AI75" s="1440">
        <v>0.85</v>
      </c>
      <c r="AJ75" s="1440">
        <v>0.85</v>
      </c>
      <c r="AK75" s="1440">
        <v>0.85</v>
      </c>
      <c r="AL75" s="1440">
        <v>0.85</v>
      </c>
      <c r="AM75" s="394"/>
      <c r="AN75" s="1440">
        <v>0.85</v>
      </c>
      <c r="AO75" s="1440">
        <v>0.85</v>
      </c>
      <c r="AP75" s="1440">
        <v>0.85</v>
      </c>
      <c r="AQ75" s="1440">
        <v>0.85</v>
      </c>
      <c r="AR75" s="2673"/>
      <c r="AS75" s="2523">
        <v>0.85</v>
      </c>
      <c r="AT75" s="1060">
        <v>0.85</v>
      </c>
      <c r="AU75" s="1060">
        <v>0.85</v>
      </c>
      <c r="AV75" s="2647">
        <v>0.85</v>
      </c>
      <c r="AW75" s="394"/>
      <c r="AX75" s="2726">
        <v>0.85</v>
      </c>
      <c r="AY75" s="1060">
        <v>0.85</v>
      </c>
      <c r="AZ75" s="1060">
        <v>0.85</v>
      </c>
      <c r="BA75" s="2647">
        <v>0.85</v>
      </c>
      <c r="BB75" s="394"/>
      <c r="BC75" s="2523">
        <v>0.85</v>
      </c>
      <c r="BD75" s="1060">
        <v>0.85</v>
      </c>
      <c r="BE75" s="1060">
        <v>0.85</v>
      </c>
      <c r="BF75" s="1465">
        <v>0.85</v>
      </c>
      <c r="BG75" s="394"/>
      <c r="BH75" s="2523">
        <v>0.85</v>
      </c>
      <c r="BI75" s="1060">
        <v>0.85</v>
      </c>
      <c r="BJ75" s="1060">
        <v>0.85</v>
      </c>
      <c r="BK75" s="1465">
        <v>0.85</v>
      </c>
      <c r="BL75" s="394"/>
    </row>
    <row r="76" spans="1:64" ht="6.75" customHeight="1" outlineLevel="1" x14ac:dyDescent="0.2">
      <c r="A76" s="238"/>
      <c r="B76" s="289"/>
      <c r="C76" s="1383"/>
      <c r="D76" s="289"/>
      <c r="E76" s="1437"/>
      <c r="F76" s="1445"/>
      <c r="G76" s="1445"/>
      <c r="H76" s="1445"/>
      <c r="I76" s="1439"/>
      <c r="J76" s="1445"/>
      <c r="K76" s="1445"/>
      <c r="L76" s="1445"/>
      <c r="M76" s="1445"/>
      <c r="N76" s="1439"/>
      <c r="O76" s="1445"/>
      <c r="P76" s="1445"/>
      <c r="Q76" s="1445"/>
      <c r="R76" s="1445"/>
      <c r="S76" s="1439"/>
      <c r="T76" s="1445"/>
      <c r="U76" s="1445"/>
      <c r="V76" s="1445"/>
      <c r="W76" s="1469"/>
      <c r="X76" s="394"/>
      <c r="Y76" s="1656"/>
      <c r="Z76" s="1444"/>
      <c r="AA76" s="1445"/>
      <c r="AB76" s="1469"/>
      <c r="AC76" s="394"/>
      <c r="AD76" s="1438"/>
      <c r="AE76" s="1438"/>
      <c r="AF76" s="1445"/>
      <c r="AG76" s="1445"/>
      <c r="AH76" s="1439"/>
      <c r="AI76" s="1438"/>
      <c r="AJ76" s="1438"/>
      <c r="AK76" s="1438"/>
      <c r="AL76" s="1438"/>
      <c r="AM76" s="394"/>
      <c r="AN76" s="1438"/>
      <c r="AO76" s="1438"/>
      <c r="AP76" s="1438"/>
      <c r="AQ76" s="1438"/>
      <c r="AR76" s="2673"/>
      <c r="AS76" s="1437"/>
      <c r="AT76" s="1445"/>
      <c r="AU76" s="1445"/>
      <c r="AV76" s="2708"/>
      <c r="AW76" s="394"/>
      <c r="AX76" s="2788"/>
      <c r="AY76" s="1445"/>
      <c r="AZ76" s="1445"/>
      <c r="BA76" s="2708"/>
      <c r="BB76" s="394"/>
      <c r="BC76" s="1437"/>
      <c r="BD76" s="1445"/>
      <c r="BE76" s="1445"/>
      <c r="BF76" s="1469"/>
      <c r="BG76" s="394"/>
      <c r="BH76" s="1437"/>
      <c r="BI76" s="1445"/>
      <c r="BJ76" s="1445"/>
      <c r="BK76" s="1469"/>
      <c r="BL76" s="394"/>
    </row>
    <row r="77" spans="1:64" outlineLevel="1" x14ac:dyDescent="0.2">
      <c r="A77" s="238"/>
      <c r="B77" s="289"/>
      <c r="C77" s="1448" t="str">
        <f>$C$12</f>
        <v>Same Store Growth</v>
      </c>
      <c r="D77" s="289"/>
      <c r="E77" s="1437"/>
      <c r="F77" s="1445"/>
      <c r="G77" s="1445"/>
      <c r="H77" s="1445"/>
      <c r="I77" s="1474"/>
      <c r="J77" s="1445"/>
      <c r="K77" s="1445"/>
      <c r="L77" s="1445"/>
      <c r="M77" s="1445"/>
      <c r="N77" s="1474"/>
      <c r="O77" s="1445"/>
      <c r="P77" s="1445"/>
      <c r="Q77" s="1445"/>
      <c r="R77" s="1445"/>
      <c r="S77" s="1474"/>
      <c r="T77" s="1445"/>
      <c r="U77" s="1445"/>
      <c r="V77" s="1445"/>
      <c r="W77" s="1469"/>
      <c r="X77" s="1475"/>
      <c r="Y77" s="1437"/>
      <c r="Z77" s="1445"/>
      <c r="AA77" s="1445"/>
      <c r="AB77" s="1469"/>
      <c r="AC77" s="1475"/>
      <c r="AD77" s="1438"/>
      <c r="AE77" s="1438"/>
      <c r="AF77" s="1445"/>
      <c r="AG77" s="1445"/>
      <c r="AH77" s="1474"/>
      <c r="AI77" s="1438"/>
      <c r="AJ77" s="1438"/>
      <c r="AK77" s="1438"/>
      <c r="AL77" s="1438"/>
      <c r="AM77" s="1475"/>
      <c r="AN77" s="1438"/>
      <c r="AO77" s="1438"/>
      <c r="AP77" s="1438"/>
      <c r="AQ77" s="1438"/>
      <c r="AR77" s="2674"/>
      <c r="AS77" s="1437"/>
      <c r="AT77" s="1445"/>
      <c r="AU77" s="1445"/>
      <c r="AV77" s="2708"/>
      <c r="AW77" s="1475"/>
      <c r="AX77" s="2788"/>
      <c r="AY77" s="1445"/>
      <c r="AZ77" s="1445"/>
      <c r="BA77" s="2708"/>
      <c r="BB77" s="1475"/>
      <c r="BC77" s="1437"/>
      <c r="BD77" s="1445"/>
      <c r="BE77" s="1445"/>
      <c r="BF77" s="1469"/>
      <c r="BG77" s="1475"/>
      <c r="BH77" s="1437"/>
      <c r="BI77" s="1445"/>
      <c r="BJ77" s="1445"/>
      <c r="BK77" s="1469"/>
      <c r="BL77" s="1475"/>
    </row>
    <row r="78" spans="1:64" outlineLevel="1" x14ac:dyDescent="0.2">
      <c r="A78" s="238"/>
      <c r="B78" s="289"/>
      <c r="C78" s="1380" t="s">
        <v>1029</v>
      </c>
      <c r="D78" s="289"/>
      <c r="E78" s="1437">
        <f>Retail!BR149</f>
        <v>7.0000000000000001E-3</v>
      </c>
      <c r="F78" s="1438">
        <f>Retail!BS149</f>
        <v>0.03</v>
      </c>
      <c r="G78" s="1438">
        <f>Retail!BT149</f>
        <v>8.0000000000000002E-3</v>
      </c>
      <c r="H78" s="1438">
        <f>Retail!BU149</f>
        <v>3.0000000000000001E-3</v>
      </c>
      <c r="I78" s="1474"/>
      <c r="J78" s="1438">
        <f>Retail!BW149</f>
        <v>-7.0000000000000001E-3</v>
      </c>
      <c r="K78" s="1438">
        <f>Retail!BX149</f>
        <v>4.0000000000000001E-3</v>
      </c>
      <c r="L78" s="1438">
        <f>Retail!BY149</f>
        <v>1.4E-2</v>
      </c>
      <c r="M78" s="1438">
        <f>Retail!BZ149</f>
        <v>0.01</v>
      </c>
      <c r="N78" s="1474"/>
      <c r="O78" s="1438">
        <f>Retail!CB149</f>
        <v>4.0000000000000001E-3</v>
      </c>
      <c r="P78" s="1438">
        <f>Retail!CC149</f>
        <v>8.0000000000000002E-3</v>
      </c>
      <c r="Q78" s="1438">
        <f>Retail!CD149</f>
        <v>0.02</v>
      </c>
      <c r="R78" s="1438">
        <f>Retail!CE149</f>
        <v>1E-3</v>
      </c>
      <c r="S78" s="1474"/>
      <c r="T78" s="1438">
        <f>Retail!CG149</f>
        <v>5.2999999999999999E-2</v>
      </c>
      <c r="U78" s="1438">
        <f>Retail!CH149</f>
        <v>2.3E-2</v>
      </c>
      <c r="V78" s="1438">
        <f>Retail!CI149</f>
        <v>2.1999999999999999E-2</v>
      </c>
      <c r="W78" s="1469">
        <f>Retail!CJ149</f>
        <v>3.9E-2</v>
      </c>
      <c r="X78" s="1475"/>
      <c r="Y78" s="1437">
        <f>Retail!CL149</f>
        <v>1.4E-2</v>
      </c>
      <c r="Z78" s="1445">
        <f>Retail!CM149</f>
        <v>-4.0000000000000001E-3</v>
      </c>
      <c r="AA78" s="1445">
        <f>Retail!CN149</f>
        <v>-0.01</v>
      </c>
      <c r="AB78" s="1728">
        <f>Retail!CO149</f>
        <v>-1.9E-2</v>
      </c>
      <c r="AC78" s="1475"/>
      <c r="AD78" s="1440">
        <v>-0.02</v>
      </c>
      <c r="AE78" s="1440">
        <v>-0.02</v>
      </c>
      <c r="AF78" s="1440">
        <v>-0.02</v>
      </c>
      <c r="AG78" s="1440">
        <v>-0.02</v>
      </c>
      <c r="AH78" s="1474"/>
      <c r="AI78" s="1440">
        <v>-0.06</v>
      </c>
      <c r="AJ78" s="1440">
        <v>-0.06</v>
      </c>
      <c r="AK78" s="1440">
        <v>-0.06</v>
      </c>
      <c r="AL78" s="1440">
        <v>-0.06</v>
      </c>
      <c r="AM78" s="1475"/>
      <c r="AN78" s="1440">
        <v>-0.06</v>
      </c>
      <c r="AO78" s="1440">
        <v>-0.06</v>
      </c>
      <c r="AP78" s="1440">
        <v>-0.06</v>
      </c>
      <c r="AQ78" s="1440">
        <v>-0.06</v>
      </c>
      <c r="AR78" s="2674"/>
      <c r="AS78" s="2523">
        <v>-0.02</v>
      </c>
      <c r="AT78" s="1060">
        <v>-0.03</v>
      </c>
      <c r="AU78" s="1060">
        <v>-0.01</v>
      </c>
      <c r="AV78" s="2647">
        <v>-0.01</v>
      </c>
      <c r="AW78" s="1475"/>
      <c r="AX78" s="2726">
        <v>-5.0000000000000001E-3</v>
      </c>
      <c r="AY78" s="1060">
        <v>-0.01</v>
      </c>
      <c r="AZ78" s="1060">
        <v>-0.01</v>
      </c>
      <c r="BA78" s="2647">
        <v>-0.01</v>
      </c>
      <c r="BB78" s="1475"/>
      <c r="BC78" s="2523">
        <v>-5.0000000000000001E-3</v>
      </c>
      <c r="BD78" s="1060">
        <v>-5.0000000000000001E-3</v>
      </c>
      <c r="BE78" s="1060">
        <v>-5.0000000000000001E-3</v>
      </c>
      <c r="BF78" s="1465">
        <v>-5.0000000000000001E-3</v>
      </c>
      <c r="BG78" s="1475"/>
      <c r="BH78" s="2523">
        <v>-5.0000000000000001E-3</v>
      </c>
      <c r="BI78" s="1060">
        <v>-5.0000000000000001E-3</v>
      </c>
      <c r="BJ78" s="1060">
        <v>-5.0000000000000001E-3</v>
      </c>
      <c r="BK78" s="1465">
        <v>-5.0000000000000001E-3</v>
      </c>
      <c r="BL78" s="1475"/>
    </row>
    <row r="79" spans="1:64" outlineLevel="1" x14ac:dyDescent="0.2">
      <c r="A79" s="238"/>
      <c r="B79" s="289"/>
      <c r="C79" s="1051" t="s">
        <v>1002</v>
      </c>
      <c r="D79" s="289"/>
      <c r="E79" s="1437">
        <f>E14</f>
        <v>0.05</v>
      </c>
      <c r="F79" s="1438">
        <f>F14</f>
        <v>0.05</v>
      </c>
      <c r="G79" s="1438">
        <f>G14</f>
        <v>4.9000000000000002E-2</v>
      </c>
      <c r="H79" s="1438">
        <f>H14</f>
        <v>5.3999999999999999E-2</v>
      </c>
      <c r="I79" s="1052"/>
      <c r="J79" s="1438">
        <f>J14</f>
        <v>1.4999999999999999E-2</v>
      </c>
      <c r="K79" s="1438">
        <f>K14</f>
        <v>1.6E-2</v>
      </c>
      <c r="L79" s="1438">
        <f>L14</f>
        <v>1.4999999999999999E-2</v>
      </c>
      <c r="M79" s="1438">
        <f>M14</f>
        <v>1.4999999999999999E-2</v>
      </c>
      <c r="N79" s="1052"/>
      <c r="O79" s="1438">
        <f>O14</f>
        <v>3.9E-2</v>
      </c>
      <c r="P79" s="1438">
        <f>P14</f>
        <v>1.9E-2</v>
      </c>
      <c r="Q79" s="1438">
        <f>Q14</f>
        <v>0.01</v>
      </c>
      <c r="R79" s="1438">
        <f>R14</f>
        <v>2.1000000000000001E-2</v>
      </c>
      <c r="S79" s="1052"/>
      <c r="T79" s="1438">
        <f>T14</f>
        <v>7.1999999999999995E-2</v>
      </c>
      <c r="U79" s="1438">
        <f>U14</f>
        <v>7.6999999999999999E-2</v>
      </c>
      <c r="V79" s="1438">
        <f>V14</f>
        <v>8.6999999999999994E-2</v>
      </c>
      <c r="W79" s="1469">
        <f>W14</f>
        <v>0.09</v>
      </c>
      <c r="X79" s="1470"/>
      <c r="Y79" s="1452">
        <f>Y14</f>
        <v>0.02</v>
      </c>
      <c r="Z79" s="1453">
        <f>Z14</f>
        <v>1.7999999999999999E-2</v>
      </c>
      <c r="AA79" s="1453">
        <f>AA14</f>
        <v>1.4E-2</v>
      </c>
      <c r="AB79" s="1728">
        <f ca="1">AB14</f>
        <v>1.4E-2</v>
      </c>
      <c r="AC79" s="1620"/>
      <c r="AD79" s="1440">
        <v>0.03</v>
      </c>
      <c r="AE79" s="1440">
        <v>0.03</v>
      </c>
      <c r="AF79" s="1440">
        <v>0.03</v>
      </c>
      <c r="AG79" s="1440">
        <v>0.03</v>
      </c>
      <c r="AH79" s="1052"/>
      <c r="AI79" s="1440">
        <v>3.2000000000000001E-2</v>
      </c>
      <c r="AJ79" s="1440">
        <v>3.2000000000000001E-2</v>
      </c>
      <c r="AK79" s="1440">
        <v>3.2000000000000001E-2</v>
      </c>
      <c r="AL79" s="1440">
        <v>3.2000000000000001E-2</v>
      </c>
      <c r="AM79" s="1470"/>
      <c r="AN79" s="1440">
        <v>3.2000000000000001E-2</v>
      </c>
      <c r="AO79" s="1440">
        <v>3.2000000000000001E-2</v>
      </c>
      <c r="AP79" s="1440">
        <v>3.2000000000000001E-2</v>
      </c>
      <c r="AQ79" s="1440">
        <v>3.2000000000000001E-2</v>
      </c>
      <c r="AR79" s="2675"/>
      <c r="AS79" s="2523">
        <v>-1.4999999999999999E-2</v>
      </c>
      <c r="AT79" s="1060">
        <v>-0.01</v>
      </c>
      <c r="AU79" s="1060">
        <v>-2.5000000000000001E-3</v>
      </c>
      <c r="AV79" s="2647">
        <v>5.0000000000000001E-3</v>
      </c>
      <c r="AW79" s="1470"/>
      <c r="AX79" s="2726">
        <v>7.4999999999999997E-2</v>
      </c>
      <c r="AY79" s="1060">
        <v>6.4000000000000001E-2</v>
      </c>
      <c r="AZ79" s="1060">
        <v>6.4000000000000001E-2</v>
      </c>
      <c r="BA79" s="2647">
        <v>6.4000000000000001E-2</v>
      </c>
      <c r="BB79" s="1470"/>
      <c r="BC79" s="2523">
        <v>3.5000000000000003E-2</v>
      </c>
      <c r="BD79" s="1060">
        <v>3.5000000000000003E-2</v>
      </c>
      <c r="BE79" s="1060">
        <v>3.5000000000000003E-2</v>
      </c>
      <c r="BF79" s="1465">
        <v>3.5000000000000003E-2</v>
      </c>
      <c r="BG79" s="1470"/>
      <c r="BH79" s="2523">
        <v>3.5000000000000003E-2</v>
      </c>
      <c r="BI79" s="1060">
        <v>3.5000000000000003E-2</v>
      </c>
      <c r="BJ79" s="1060">
        <v>3.5000000000000003E-2</v>
      </c>
      <c r="BK79" s="1465">
        <v>3.5000000000000003E-2</v>
      </c>
      <c r="BL79" s="1470"/>
    </row>
    <row r="80" spans="1:64" outlineLevel="1" x14ac:dyDescent="0.2">
      <c r="A80" s="238"/>
      <c r="B80" s="289"/>
      <c r="C80" s="1380"/>
      <c r="D80" s="289"/>
      <c r="E80" s="1437"/>
      <c r="F80" s="1445"/>
      <c r="G80" s="1445"/>
      <c r="H80" s="1445"/>
      <c r="I80" s="1439"/>
      <c r="J80" s="1445"/>
      <c r="K80" s="1445"/>
      <c r="L80" s="1445"/>
      <c r="M80" s="1445"/>
      <c r="N80" s="1439"/>
      <c r="O80" s="1445"/>
      <c r="P80" s="1445"/>
      <c r="Q80" s="1445"/>
      <c r="R80" s="1445"/>
      <c r="S80" s="1439"/>
      <c r="T80" s="1445"/>
      <c r="U80" s="1445"/>
      <c r="V80" s="1445"/>
      <c r="W80" s="1469"/>
      <c r="X80" s="394"/>
      <c r="Y80" s="1656"/>
      <c r="Z80" s="1444"/>
      <c r="AA80" s="1445"/>
      <c r="AB80" s="1469"/>
      <c r="AC80" s="394"/>
      <c r="AD80" s="1438"/>
      <c r="AE80" s="1438"/>
      <c r="AF80" s="1445"/>
      <c r="AG80" s="1445"/>
      <c r="AH80" s="1439"/>
      <c r="AI80" s="1438"/>
      <c r="AJ80" s="1438"/>
      <c r="AK80" s="1438"/>
      <c r="AL80" s="1438"/>
      <c r="AM80" s="394"/>
      <c r="AN80" s="1438"/>
      <c r="AO80" s="1438"/>
      <c r="AP80" s="1438"/>
      <c r="AQ80" s="1438"/>
      <c r="AR80" s="2673"/>
      <c r="AS80" s="1437"/>
      <c r="AT80" s="1445"/>
      <c r="AU80" s="1445"/>
      <c r="AV80" s="2708"/>
      <c r="AW80" s="394"/>
      <c r="AX80" s="2788"/>
      <c r="AY80" s="1445"/>
      <c r="AZ80" s="1445"/>
      <c r="BA80" s="2708"/>
      <c r="BB80" s="394"/>
      <c r="BC80" s="1437"/>
      <c r="BD80" s="1445"/>
      <c r="BE80" s="1445"/>
      <c r="BF80" s="1469"/>
      <c r="BG80" s="394"/>
      <c r="BH80" s="1437"/>
      <c r="BI80" s="1445"/>
      <c r="BJ80" s="1445"/>
      <c r="BK80" s="1469"/>
      <c r="BL80" s="394"/>
    </row>
    <row r="81" spans="1:64" outlineLevel="1" x14ac:dyDescent="0.2">
      <c r="A81" s="238"/>
      <c r="B81" s="289"/>
      <c r="C81" s="1448" t="s">
        <v>1186</v>
      </c>
      <c r="D81" s="289"/>
      <c r="E81" s="1476"/>
      <c r="F81" s="1477"/>
      <c r="G81" s="1477"/>
      <c r="H81" s="1477"/>
      <c r="I81" s="1439"/>
      <c r="J81" s="1477"/>
      <c r="K81" s="1477"/>
      <c r="L81" s="1477"/>
      <c r="M81" s="1477"/>
      <c r="N81" s="1439"/>
      <c r="O81" s="1477"/>
      <c r="P81" s="1477"/>
      <c r="Q81" s="1477"/>
      <c r="R81" s="1477"/>
      <c r="S81" s="1439"/>
      <c r="T81" s="1477"/>
      <c r="U81" s="1477"/>
      <c r="V81" s="1477"/>
      <c r="W81" s="1478"/>
      <c r="X81" s="394"/>
      <c r="Y81" s="1656"/>
      <c r="Z81" s="1444"/>
      <c r="AA81" s="1477"/>
      <c r="AB81" s="1478"/>
      <c r="AC81" s="394"/>
      <c r="AD81" s="1479"/>
      <c r="AE81" s="1479"/>
      <c r="AF81" s="1477"/>
      <c r="AG81" s="1477"/>
      <c r="AH81" s="1439"/>
      <c r="AI81" s="1479"/>
      <c r="AJ81" s="1479"/>
      <c r="AK81" s="1479"/>
      <c r="AL81" s="1479"/>
      <c r="AM81" s="394"/>
      <c r="AN81" s="1479"/>
      <c r="AO81" s="1479"/>
      <c r="AP81" s="1479"/>
      <c r="AQ81" s="1479"/>
      <c r="AR81" s="2673"/>
      <c r="AS81" s="1476"/>
      <c r="AT81" s="1477"/>
      <c r="AU81" s="1477"/>
      <c r="AV81" s="2648"/>
      <c r="AW81" s="394"/>
      <c r="AX81" s="2789"/>
      <c r="AY81" s="1477"/>
      <c r="AZ81" s="1477"/>
      <c r="BA81" s="2648"/>
      <c r="BB81" s="394"/>
      <c r="BC81" s="1476"/>
      <c r="BD81" s="1477"/>
      <c r="BE81" s="1477"/>
      <c r="BF81" s="1478"/>
      <c r="BG81" s="394"/>
      <c r="BH81" s="1476"/>
      <c r="BI81" s="1477"/>
      <c r="BJ81" s="1477"/>
      <c r="BK81" s="1478"/>
      <c r="BL81" s="394"/>
    </row>
    <row r="82" spans="1:64" outlineLevel="1" x14ac:dyDescent="0.2">
      <c r="A82" s="238"/>
      <c r="B82" s="289"/>
      <c r="C82" s="1385" t="s">
        <v>1187</v>
      </c>
      <c r="D82" s="289"/>
      <c r="E82" s="1479">
        <f t="shared" ref="E82:H84" si="34">E17</f>
        <v>0.625</v>
      </c>
      <c r="F82" s="1479">
        <f t="shared" si="34"/>
        <v>0.625</v>
      </c>
      <c r="G82" s="1479">
        <f t="shared" si="34"/>
        <v>0.625</v>
      </c>
      <c r="H82" s="1479">
        <f t="shared" si="34"/>
        <v>0.625</v>
      </c>
      <c r="I82" s="1439"/>
      <c r="J82" s="1479">
        <f t="shared" ref="J82:M84" si="35">J17</f>
        <v>0.62135922330097093</v>
      </c>
      <c r="K82" s="1479">
        <f t="shared" si="35"/>
        <v>0.62135922330097093</v>
      </c>
      <c r="L82" s="1479">
        <f t="shared" si="35"/>
        <v>0.62135922330097082</v>
      </c>
      <c r="M82" s="1479">
        <f t="shared" si="35"/>
        <v>0.62135922330097082</v>
      </c>
      <c r="N82" s="1439"/>
      <c r="O82" s="1479">
        <f t="shared" ref="O82:Q84" si="36">O17</f>
        <v>0.61764705882352944</v>
      </c>
      <c r="P82" s="1479">
        <f t="shared" si="36"/>
        <v>0.61764705882352944</v>
      </c>
      <c r="Q82" s="1479">
        <f t="shared" si="36"/>
        <v>0.61764705882352944</v>
      </c>
      <c r="R82" s="1479">
        <f>R17</f>
        <v>0.61764705882352944</v>
      </c>
      <c r="S82" s="1480"/>
      <c r="T82" s="1479">
        <f t="shared" ref="T82:V84" si="37">T17</f>
        <v>0.617547058823529</v>
      </c>
      <c r="U82" s="1479">
        <f t="shared" si="37"/>
        <v>0.61799999999999999</v>
      </c>
      <c r="V82" s="1479">
        <f t="shared" si="37"/>
        <v>0.61799999999999999</v>
      </c>
      <c r="W82" s="1478">
        <f>W17</f>
        <v>0.61799999999999999</v>
      </c>
      <c r="X82" s="1650"/>
      <c r="Y82" s="1437">
        <f t="shared" ref="Y82:Z84" si="38">Y17</f>
        <v>0.621</v>
      </c>
      <c r="Z82" s="1445">
        <f t="shared" si="38"/>
        <v>0.621</v>
      </c>
      <c r="AA82" s="1445">
        <f t="shared" ref="AA82:AB84" si="39">AA17</f>
        <v>0.61</v>
      </c>
      <c r="AB82" s="1479">
        <f t="shared" ca="1" si="39"/>
        <v>0.61</v>
      </c>
      <c r="AC82" s="1480"/>
      <c r="AD82" s="1479">
        <v>0.627</v>
      </c>
      <c r="AE82" s="1479">
        <v>0.627</v>
      </c>
      <c r="AF82" s="1479">
        <v>0.627</v>
      </c>
      <c r="AG82" s="1479">
        <v>0.627</v>
      </c>
      <c r="AH82" s="1480"/>
      <c r="AI82" s="1479">
        <v>0.62</v>
      </c>
      <c r="AJ82" s="1479">
        <v>0.62</v>
      </c>
      <c r="AK82" s="1479">
        <v>0.62</v>
      </c>
      <c r="AL82" s="1479">
        <v>0.62</v>
      </c>
      <c r="AM82" s="394"/>
      <c r="AN82" s="1479">
        <v>0.62</v>
      </c>
      <c r="AO82" s="1479">
        <v>0.62</v>
      </c>
      <c r="AP82" s="1479">
        <v>0.62</v>
      </c>
      <c r="AQ82" s="1479">
        <v>0.62</v>
      </c>
      <c r="AR82" s="2673"/>
      <c r="AS82" s="2524">
        <v>0.63749999999999996</v>
      </c>
      <c r="AT82" s="1487">
        <v>0.62</v>
      </c>
      <c r="AU82" s="1487">
        <v>0.62</v>
      </c>
      <c r="AV82" s="2709">
        <v>0.63749999999999996</v>
      </c>
      <c r="AW82" s="394"/>
      <c r="AX82" s="2790">
        <f>AS82</f>
        <v>0.63749999999999996</v>
      </c>
      <c r="AY82" s="1487">
        <f>AT82+0.005</f>
        <v>0.625</v>
      </c>
      <c r="AZ82" s="1487">
        <f t="shared" ref="AZ82:BA82" si="40">AU82+0.005</f>
        <v>0.625</v>
      </c>
      <c r="BA82" s="2709">
        <f t="shared" si="40"/>
        <v>0.64249999999999996</v>
      </c>
      <c r="BB82" s="394"/>
      <c r="BC82" s="2524">
        <f>AX82-0.003</f>
        <v>0.63449999999999995</v>
      </c>
      <c r="BD82" s="1487">
        <f>AY82-0.003</f>
        <v>0.622</v>
      </c>
      <c r="BE82" s="1487">
        <f>AZ82-0.003</f>
        <v>0.622</v>
      </c>
      <c r="BF82" s="1486">
        <f>BA82-0.003</f>
        <v>0.63949999999999996</v>
      </c>
      <c r="BG82" s="394"/>
      <c r="BH82" s="2524">
        <f>BC82-0.003</f>
        <v>0.63149999999999995</v>
      </c>
      <c r="BI82" s="1487">
        <f>BD82-0.003</f>
        <v>0.61899999999999999</v>
      </c>
      <c r="BJ82" s="1487">
        <f>BE82-0.003</f>
        <v>0.61899999999999999</v>
      </c>
      <c r="BK82" s="1486">
        <f>BF82-0.003</f>
        <v>0.63649999999999995</v>
      </c>
      <c r="BL82" s="394"/>
    </row>
    <row r="83" spans="1:64" outlineLevel="1" x14ac:dyDescent="0.2">
      <c r="A83" s="238"/>
      <c r="B83" s="289"/>
      <c r="C83" s="1385" t="s">
        <v>1188</v>
      </c>
      <c r="D83" s="289"/>
      <c r="E83" s="1479">
        <f t="shared" si="34"/>
        <v>8.0490767113561221E-2</v>
      </c>
      <c r="F83" s="1479">
        <f t="shared" si="34"/>
        <v>7.9241174782559584E-2</v>
      </c>
      <c r="G83" s="1479">
        <f t="shared" si="34"/>
        <v>7.6923312693388216E-2</v>
      </c>
      <c r="H83" s="1479">
        <f t="shared" si="34"/>
        <v>7.6895019143444779E-2</v>
      </c>
      <c r="I83" s="1439"/>
      <c r="J83" s="1479">
        <f t="shared" si="35"/>
        <v>7.3426921952402788E-2</v>
      </c>
      <c r="K83" s="1479">
        <f t="shared" si="35"/>
        <v>7.1030508486124286E-2</v>
      </c>
      <c r="L83" s="1479">
        <f t="shared" si="35"/>
        <v>6.8646349527249295E-2</v>
      </c>
      <c r="M83" s="1479">
        <f t="shared" si="35"/>
        <v>6.9209900111050424E-2</v>
      </c>
      <c r="N83" s="1439"/>
      <c r="O83" s="1479">
        <f t="shared" si="36"/>
        <v>6.7347792098993095E-2</v>
      </c>
      <c r="P83" s="1479">
        <f t="shared" si="36"/>
        <v>6.518357530791527E-2</v>
      </c>
      <c r="Q83" s="1479">
        <f t="shared" si="36"/>
        <v>6.518357530791527E-2</v>
      </c>
      <c r="R83" s="1479">
        <f>R18</f>
        <v>6.518357530791527E-2</v>
      </c>
      <c r="S83" s="1480"/>
      <c r="T83" s="1479">
        <f t="shared" si="37"/>
        <v>6.1741432641505098E-2</v>
      </c>
      <c r="U83" s="1479">
        <f t="shared" si="37"/>
        <v>6.2E-2</v>
      </c>
      <c r="V83" s="1479">
        <f t="shared" si="37"/>
        <v>6.2E-2</v>
      </c>
      <c r="W83" s="1478">
        <f>W18</f>
        <v>6.1100000000000002E-2</v>
      </c>
      <c r="X83" s="1650"/>
      <c r="Y83" s="1437">
        <f t="shared" si="38"/>
        <v>5.8999999999999997E-2</v>
      </c>
      <c r="Z83" s="1445">
        <f t="shared" si="38"/>
        <v>5.8999999999999997E-2</v>
      </c>
      <c r="AA83" s="1445">
        <f t="shared" si="39"/>
        <v>5.2999999999999999E-2</v>
      </c>
      <c r="AB83" s="1479">
        <f t="shared" ca="1" si="39"/>
        <v>5.2999999999999999E-2</v>
      </c>
      <c r="AC83" s="1480"/>
      <c r="AD83" s="1479">
        <v>5.2499999999999998E-2</v>
      </c>
      <c r="AE83" s="1479">
        <v>5.2499999999999998E-2</v>
      </c>
      <c r="AF83" s="1479">
        <v>5.2499999999999998E-2</v>
      </c>
      <c r="AG83" s="1479">
        <v>5.2499999999999998E-2</v>
      </c>
      <c r="AH83" s="1480"/>
      <c r="AI83" s="1479">
        <v>5.5E-2</v>
      </c>
      <c r="AJ83" s="1479">
        <v>5.5E-2</v>
      </c>
      <c r="AK83" s="1479">
        <v>5.5E-2</v>
      </c>
      <c r="AL83" s="1479">
        <v>5.5E-2</v>
      </c>
      <c r="AM83" s="394"/>
      <c r="AN83" s="1479">
        <v>5.5E-2</v>
      </c>
      <c r="AO83" s="1479">
        <v>5.5E-2</v>
      </c>
      <c r="AP83" s="1479">
        <v>5.5E-2</v>
      </c>
      <c r="AQ83" s="1479">
        <v>5.5E-2</v>
      </c>
      <c r="AR83" s="2673"/>
      <c r="AS83" s="2524">
        <f>AN83</f>
        <v>5.5E-2</v>
      </c>
      <c r="AT83" s="1487">
        <f>AO83</f>
        <v>5.5E-2</v>
      </c>
      <c r="AU83" s="1487">
        <f>AP83</f>
        <v>5.5E-2</v>
      </c>
      <c r="AV83" s="2709">
        <f>AQ83</f>
        <v>5.5E-2</v>
      </c>
      <c r="AW83" s="394"/>
      <c r="AX83" s="2790">
        <f>AS83</f>
        <v>5.5E-2</v>
      </c>
      <c r="AY83" s="1487">
        <f t="shared" ref="AY83:BA83" si="41">AT83</f>
        <v>5.5E-2</v>
      </c>
      <c r="AZ83" s="1487">
        <f t="shared" si="41"/>
        <v>5.5E-2</v>
      </c>
      <c r="BA83" s="2709">
        <f t="shared" si="41"/>
        <v>5.5E-2</v>
      </c>
      <c r="BB83" s="394"/>
      <c r="BC83" s="2524">
        <f>AX83</f>
        <v>5.5E-2</v>
      </c>
      <c r="BD83" s="1487">
        <f>AY83</f>
        <v>5.5E-2</v>
      </c>
      <c r="BE83" s="1487">
        <f>AZ83</f>
        <v>5.5E-2</v>
      </c>
      <c r="BF83" s="1486">
        <f>BA83</f>
        <v>5.5E-2</v>
      </c>
      <c r="BG83" s="394"/>
      <c r="BH83" s="2524">
        <f>BC83</f>
        <v>5.5E-2</v>
      </c>
      <c r="BI83" s="1487">
        <f>BD83</f>
        <v>5.5E-2</v>
      </c>
      <c r="BJ83" s="1487">
        <f>BE83</f>
        <v>5.5E-2</v>
      </c>
      <c r="BK83" s="1486">
        <f>BF83</f>
        <v>5.5E-2</v>
      </c>
      <c r="BL83" s="394"/>
    </row>
    <row r="84" spans="1:64" outlineLevel="1" x14ac:dyDescent="0.2">
      <c r="A84" s="238"/>
      <c r="B84" s="289"/>
      <c r="C84" s="1482" t="s">
        <v>1189</v>
      </c>
      <c r="D84" s="289"/>
      <c r="E84" s="1479">
        <f t="shared" si="34"/>
        <v>0.40126815673683591</v>
      </c>
      <c r="F84" s="1479">
        <f t="shared" si="34"/>
        <v>0.41719569976022713</v>
      </c>
      <c r="G84" s="1479">
        <f t="shared" si="34"/>
        <v>0.40985312290900061</v>
      </c>
      <c r="H84" s="1479">
        <f t="shared" si="34"/>
        <v>0.45192189837239632</v>
      </c>
      <c r="I84" s="1105"/>
      <c r="J84" s="1479">
        <f t="shared" si="35"/>
        <v>0.38142846297918576</v>
      </c>
      <c r="K84" s="1479">
        <f t="shared" si="35"/>
        <v>0.41391798438566091</v>
      </c>
      <c r="L84" s="1479">
        <f t="shared" si="35"/>
        <v>0.42194029429029062</v>
      </c>
      <c r="M84" s="1479">
        <f t="shared" si="35"/>
        <v>0.45551111443821213</v>
      </c>
      <c r="N84" s="1105"/>
      <c r="O84" s="1479">
        <f t="shared" si="36"/>
        <v>0.38431454776073914</v>
      </c>
      <c r="P84" s="1479">
        <f t="shared" si="36"/>
        <v>0.42133953236123184</v>
      </c>
      <c r="Q84" s="1479">
        <f t="shared" si="36"/>
        <v>0.41439922695857107</v>
      </c>
      <c r="R84" s="1479">
        <f>R19</f>
        <v>0.4188811207428304</v>
      </c>
      <c r="S84" s="1105"/>
      <c r="T84" s="1479">
        <f t="shared" si="37"/>
        <v>0.36568767587942286</v>
      </c>
      <c r="U84" s="1479">
        <f t="shared" si="37"/>
        <v>0.41105776716278802</v>
      </c>
      <c r="V84" s="1479">
        <f t="shared" si="37"/>
        <v>0.41389722617324115</v>
      </c>
      <c r="W84" s="1478">
        <f>W19</f>
        <v>0.44339256777990116</v>
      </c>
      <c r="X84" s="1483"/>
      <c r="Y84" s="1437">
        <f t="shared" si="38"/>
        <v>0.42607613976417913</v>
      </c>
      <c r="Z84" s="1445">
        <f t="shared" si="38"/>
        <v>0.43069727046079148</v>
      </c>
      <c r="AA84" s="1445">
        <f t="shared" si="39"/>
        <v>0.42354563524467725</v>
      </c>
      <c r="AB84" s="1727">
        <f t="shared" ca="1" si="39"/>
        <v>0.43747309434302956</v>
      </c>
      <c r="AC84" s="1483"/>
      <c r="AD84" s="1739">
        <v>0.44</v>
      </c>
      <c r="AE84" s="1739">
        <v>0.44</v>
      </c>
      <c r="AF84" s="1739">
        <v>0.44</v>
      </c>
      <c r="AG84" s="1739">
        <v>0.44</v>
      </c>
      <c r="AH84" s="1105"/>
      <c r="AI84" s="1739">
        <v>0.44</v>
      </c>
      <c r="AJ84" s="1739">
        <v>0.44</v>
      </c>
      <c r="AK84" s="1739">
        <v>0.44</v>
      </c>
      <c r="AL84" s="1739">
        <v>0.44</v>
      </c>
      <c r="AM84" s="1483"/>
      <c r="AN84" s="1739">
        <v>0.44</v>
      </c>
      <c r="AO84" s="1739">
        <v>0.44</v>
      </c>
      <c r="AP84" s="1739">
        <v>0.44</v>
      </c>
      <c r="AQ84" s="1739">
        <v>0.44</v>
      </c>
      <c r="AR84" s="2676"/>
      <c r="AS84" s="2525">
        <f>AN84</f>
        <v>0.44</v>
      </c>
      <c r="AT84" s="1466">
        <v>0.435</v>
      </c>
      <c r="AU84" s="1466">
        <v>0.43</v>
      </c>
      <c r="AV84" s="2710">
        <v>0.43</v>
      </c>
      <c r="AW84" s="1483"/>
      <c r="AX84" s="2791">
        <f>AS84+0.005</f>
        <v>0.44500000000000001</v>
      </c>
      <c r="AY84" s="1466">
        <f>AT84+0.005</f>
        <v>0.44</v>
      </c>
      <c r="AZ84" s="1466">
        <f>AU84+0.005</f>
        <v>0.435</v>
      </c>
      <c r="BA84" s="2710">
        <f>AV84+0.005</f>
        <v>0.435</v>
      </c>
      <c r="BB84" s="1483"/>
      <c r="BC84" s="2525">
        <f>AX84+0.005</f>
        <v>0.45</v>
      </c>
      <c r="BD84" s="1466">
        <f>AY84+0.005</f>
        <v>0.44500000000000001</v>
      </c>
      <c r="BE84" s="1466">
        <f>AZ84+0.005</f>
        <v>0.44</v>
      </c>
      <c r="BF84" s="1467">
        <f>BA84+0.005</f>
        <v>0.44</v>
      </c>
      <c r="BG84" s="1483"/>
      <c r="BH84" s="2525">
        <f>BC84+0.005</f>
        <v>0.45500000000000002</v>
      </c>
      <c r="BI84" s="1466">
        <f>BD84+0.005</f>
        <v>0.45</v>
      </c>
      <c r="BJ84" s="1466">
        <f>BE84+0.005</f>
        <v>0.44500000000000001</v>
      </c>
      <c r="BK84" s="1467">
        <f>BF84+0.005</f>
        <v>0.44500000000000001</v>
      </c>
      <c r="BL84" s="1483"/>
    </row>
    <row r="85" spans="1:64" ht="6" customHeight="1" outlineLevel="1" x14ac:dyDescent="0.2">
      <c r="A85" s="238"/>
      <c r="B85" s="289"/>
      <c r="C85" s="1386"/>
      <c r="D85" s="289"/>
      <c r="E85" s="1476"/>
      <c r="F85" s="1477"/>
      <c r="G85" s="1477"/>
      <c r="H85" s="1477"/>
      <c r="I85" s="1439"/>
      <c r="J85" s="1477"/>
      <c r="K85" s="1477"/>
      <c r="L85" s="1477"/>
      <c r="M85" s="1477"/>
      <c r="N85" s="1439"/>
      <c r="O85" s="1477"/>
      <c r="P85" s="1477"/>
      <c r="Q85" s="1477"/>
      <c r="R85" s="1477"/>
      <c r="S85" s="1439"/>
      <c r="T85" s="1477"/>
      <c r="U85" s="1477"/>
      <c r="V85" s="1477"/>
      <c r="W85" s="1478"/>
      <c r="X85" s="394"/>
      <c r="Y85" s="1656"/>
      <c r="Z85" s="1444"/>
      <c r="AA85" s="1477"/>
      <c r="AB85" s="1478"/>
      <c r="AC85" s="394"/>
      <c r="AD85" s="1479"/>
      <c r="AE85" s="1479"/>
      <c r="AF85" s="1479"/>
      <c r="AG85" s="1477"/>
      <c r="AH85" s="1439"/>
      <c r="AI85" s="1479"/>
      <c r="AJ85" s="1479"/>
      <c r="AK85" s="1479"/>
      <c r="AL85" s="1479"/>
      <c r="AM85" s="394"/>
      <c r="AN85" s="1479"/>
      <c r="AO85" s="1479"/>
      <c r="AP85" s="1479"/>
      <c r="AQ85" s="1479"/>
      <c r="AR85" s="2673"/>
      <c r="AS85" s="1476"/>
      <c r="AT85" s="1477"/>
      <c r="AU85" s="1477"/>
      <c r="AV85" s="2648"/>
      <c r="AW85" s="394"/>
      <c r="AX85" s="2789"/>
      <c r="AY85" s="1477"/>
      <c r="AZ85" s="1477"/>
      <c r="BA85" s="2648"/>
      <c r="BB85" s="394"/>
      <c r="BC85" s="1476"/>
      <c r="BD85" s="1477"/>
      <c r="BE85" s="1477"/>
      <c r="BF85" s="1478"/>
      <c r="BG85" s="394"/>
      <c r="BH85" s="1476"/>
      <c r="BI85" s="1477"/>
      <c r="BJ85" s="1477"/>
      <c r="BK85" s="1478"/>
      <c r="BL85" s="394"/>
    </row>
    <row r="86" spans="1:64" ht="12" outlineLevel="1" thickBot="1" x14ac:dyDescent="0.25">
      <c r="A86" s="238"/>
      <c r="B86" s="289"/>
      <c r="C86" s="1457" t="str">
        <f>$C$21</f>
        <v>SG&amp;A Y/Y Growth</v>
      </c>
      <c r="D86" s="289"/>
      <c r="E86" s="1458">
        <f>Retail!BR27</f>
        <v>0.13750052194246121</v>
      </c>
      <c r="F86" s="1459">
        <f>Retail!BS27</f>
        <v>0.17876338397731595</v>
      </c>
      <c r="G86" s="1459">
        <f>Retail!BT27</f>
        <v>0.18832913171054289</v>
      </c>
      <c r="H86" s="1459">
        <f>Retail!BU27</f>
        <v>5.091135475391706E-2</v>
      </c>
      <c r="I86" s="1460"/>
      <c r="J86" s="1459">
        <f>Retail!BW27</f>
        <v>-9.9845826297627616E-3</v>
      </c>
      <c r="K86" s="1459">
        <f>Retail!BX27</f>
        <v>2.717840089038881E-2</v>
      </c>
      <c r="L86" s="1459">
        <f>Retail!BY27</f>
        <v>-1.8779995826667673E-3</v>
      </c>
      <c r="M86" s="1459">
        <f>Retail!BZ27</f>
        <v>-1.4316274477538249E-2</v>
      </c>
      <c r="N86" s="1460"/>
      <c r="O86" s="1459">
        <f>Retail!CB27</f>
        <v>2.9291805710048191E-2</v>
      </c>
      <c r="P86" s="1459">
        <f>Retail!CC27</f>
        <v>8.0391471513456825E-3</v>
      </c>
      <c r="Q86" s="1459">
        <f>Retail!CD27</f>
        <v>6.2717770034843578E-3</v>
      </c>
      <c r="R86" s="1459">
        <f>Retail!CE27</f>
        <v>-4.5976627712854712E-2</v>
      </c>
      <c r="S86" s="1460"/>
      <c r="T86" s="1459">
        <f>Retail!CG27</f>
        <v>7.8530259365994226E-2</v>
      </c>
      <c r="U86" s="1459">
        <f>Retail!CH27</f>
        <v>4.680998613037457E-2</v>
      </c>
      <c r="V86" s="1459">
        <f>Retail!CI27</f>
        <v>6.4750692520775699E-2</v>
      </c>
      <c r="W86" s="1649">
        <f>Retail!CJ27</f>
        <v>0.12550309732964693</v>
      </c>
      <c r="X86" s="1472"/>
      <c r="Y86" s="1458">
        <f>Retail!CL27</f>
        <v>2.6252505010019966E-2</v>
      </c>
      <c r="Z86" s="1459">
        <f>Retail!CM27</f>
        <v>3.2262338522689671E-2</v>
      </c>
      <c r="AA86" s="1459">
        <f>Retail!CN27</f>
        <v>1.3983739837398312E-2</v>
      </c>
      <c r="AB86" s="1729">
        <f>Retail!CO27</f>
        <v>3.2712459964551188E-2</v>
      </c>
      <c r="AC86" s="1472"/>
      <c r="AD86" s="1461">
        <v>0.02</v>
      </c>
      <c r="AE86" s="1461">
        <v>0.02</v>
      </c>
      <c r="AF86" s="1461">
        <v>0.02</v>
      </c>
      <c r="AG86" s="1461">
        <v>0.02</v>
      </c>
      <c r="AH86" s="1460"/>
      <c r="AI86" s="1461">
        <v>0.02</v>
      </c>
      <c r="AJ86" s="1461">
        <v>0.02</v>
      </c>
      <c r="AK86" s="1461">
        <v>0.02</v>
      </c>
      <c r="AL86" s="1461">
        <v>0.02</v>
      </c>
      <c r="AM86" s="1472"/>
      <c r="AN86" s="1461">
        <v>0.02</v>
      </c>
      <c r="AO86" s="1461">
        <v>0.02</v>
      </c>
      <c r="AP86" s="1461">
        <v>0.02</v>
      </c>
      <c r="AQ86" s="1461">
        <v>0.02</v>
      </c>
      <c r="AR86" s="1460"/>
      <c r="AS86" s="1462">
        <v>-1.2E-2</v>
      </c>
      <c r="AT86" s="1462">
        <v>-1.2E-2</v>
      </c>
      <c r="AU86" s="1462">
        <v>-1.2E-2</v>
      </c>
      <c r="AV86" s="1471">
        <v>-1.2E-2</v>
      </c>
      <c r="AW86" s="1472"/>
      <c r="AX86" s="2526">
        <v>0</v>
      </c>
      <c r="AY86" s="1462">
        <v>-1.7500000000000002E-2</v>
      </c>
      <c r="AZ86" s="1462">
        <v>-1.7500000000000002E-2</v>
      </c>
      <c r="BA86" s="1471">
        <v>-0.02</v>
      </c>
      <c r="BB86" s="1472"/>
      <c r="BC86" s="2526">
        <v>1.9E-2</v>
      </c>
      <c r="BD86" s="1462">
        <v>1.9E-2</v>
      </c>
      <c r="BE86" s="1462">
        <v>1.9E-2</v>
      </c>
      <c r="BF86" s="1471">
        <v>1.9E-2</v>
      </c>
      <c r="BG86" s="1472"/>
      <c r="BH86" s="2526">
        <v>1.9E-2</v>
      </c>
      <c r="BI86" s="1462">
        <v>1.9E-2</v>
      </c>
      <c r="BJ86" s="1462">
        <v>1.9E-2</v>
      </c>
      <c r="BK86" s="1471">
        <v>1.9E-2</v>
      </c>
      <c r="BL86" s="1472"/>
    </row>
    <row r="87" spans="1:64" outlineLevel="1" x14ac:dyDescent="0.2">
      <c r="A87" s="238"/>
      <c r="B87" s="300"/>
      <c r="C87" s="300"/>
      <c r="D87" s="241"/>
      <c r="E87" s="300"/>
      <c r="F87" s="300"/>
      <c r="G87" s="300"/>
      <c r="H87" s="300"/>
      <c r="I87" s="300"/>
      <c r="J87" s="300"/>
      <c r="K87" s="300"/>
      <c r="L87" s="300"/>
      <c r="M87" s="300"/>
      <c r="N87" s="300"/>
      <c r="O87" s="300"/>
      <c r="P87" s="300"/>
      <c r="Q87" s="300"/>
      <c r="R87" s="300"/>
      <c r="S87" s="300"/>
      <c r="T87" s="300"/>
      <c r="U87" s="300"/>
      <c r="V87" s="300"/>
      <c r="W87" s="1463"/>
      <c r="X87" s="300"/>
      <c r="Y87" s="300"/>
      <c r="Z87" s="300"/>
      <c r="AA87" s="300"/>
      <c r="AB87" s="300"/>
      <c r="AC87" s="300"/>
      <c r="AD87" s="300"/>
      <c r="AE87" s="300"/>
      <c r="AF87" s="300"/>
      <c r="AG87" s="300"/>
      <c r="AH87" s="300"/>
      <c r="AI87" s="300"/>
      <c r="AJ87" s="300"/>
      <c r="AK87" s="300"/>
      <c r="AL87" s="300"/>
      <c r="AM87" s="300"/>
      <c r="AN87" s="300"/>
      <c r="AO87" s="300"/>
      <c r="AP87" s="300"/>
      <c r="AQ87" s="300"/>
      <c r="AR87" s="300"/>
      <c r="AS87" s="300"/>
      <c r="AT87" s="300"/>
      <c r="AU87" s="300"/>
      <c r="AV87" s="300"/>
      <c r="AW87" s="300"/>
      <c r="AX87" s="300"/>
      <c r="AY87" s="300"/>
      <c r="AZ87" s="300"/>
      <c r="BA87" s="300"/>
      <c r="BB87" s="300"/>
      <c r="BC87" s="300"/>
      <c r="BD87" s="300"/>
      <c r="BE87" s="300"/>
      <c r="BF87" s="300"/>
      <c r="BG87" s="300"/>
      <c r="BH87" s="300"/>
      <c r="BI87" s="300"/>
      <c r="BJ87" s="300"/>
      <c r="BK87" s="300"/>
      <c r="BL87" s="300"/>
    </row>
    <row r="88" spans="1:64" ht="12" outlineLevel="1" thickBot="1" x14ac:dyDescent="0.25">
      <c r="A88" s="238"/>
      <c r="B88" s="300"/>
      <c r="C88" s="300"/>
      <c r="D88" s="300"/>
      <c r="E88" s="300"/>
      <c r="F88" s="300"/>
      <c r="G88" s="300"/>
      <c r="H88" s="300"/>
      <c r="I88" s="300"/>
      <c r="J88" s="300"/>
      <c r="K88" s="300"/>
      <c r="L88" s="300"/>
      <c r="M88" s="300"/>
      <c r="N88" s="300"/>
      <c r="O88" s="300"/>
      <c r="P88" s="300"/>
      <c r="Q88" s="300"/>
      <c r="R88" s="300"/>
      <c r="S88" s="300"/>
      <c r="T88" s="300"/>
      <c r="U88" s="300"/>
      <c r="V88" s="300"/>
      <c r="W88" s="300"/>
      <c r="X88" s="300"/>
      <c r="Y88" s="300"/>
      <c r="Z88" s="300"/>
      <c r="AA88" s="300"/>
      <c r="AB88" s="300"/>
      <c r="AC88" s="300"/>
      <c r="AD88" s="300"/>
      <c r="AE88" s="300"/>
      <c r="AF88" s="300"/>
      <c r="AG88" s="300"/>
      <c r="AH88" s="300"/>
      <c r="AI88" s="300"/>
      <c r="AJ88" s="300"/>
      <c r="AK88" s="300"/>
      <c r="AL88" s="300"/>
      <c r="AM88" s="300"/>
      <c r="AN88" s="300"/>
      <c r="AO88" s="300"/>
      <c r="AP88" s="300"/>
      <c r="AQ88" s="300"/>
      <c r="AR88" s="300"/>
      <c r="AS88" s="300"/>
      <c r="AT88" s="300"/>
      <c r="AU88" s="300"/>
      <c r="AV88" s="300"/>
      <c r="AW88" s="300"/>
      <c r="AX88" s="300"/>
      <c r="AY88" s="300"/>
      <c r="AZ88" s="300"/>
      <c r="BA88" s="300"/>
      <c r="BB88" s="300"/>
      <c r="BC88" s="300"/>
      <c r="BD88" s="300"/>
      <c r="BE88" s="300"/>
      <c r="BF88" s="300"/>
      <c r="BG88" s="300"/>
      <c r="BH88" s="300"/>
      <c r="BI88" s="300"/>
      <c r="BJ88" s="300"/>
      <c r="BK88" s="300"/>
      <c r="BL88" s="300"/>
    </row>
    <row r="89" spans="1:64" ht="12" outlineLevel="1" thickBot="1" x14ac:dyDescent="0.25">
      <c r="A89" s="238"/>
      <c r="B89" s="289"/>
      <c r="C89" s="1433" t="s">
        <v>1199</v>
      </c>
      <c r="D89" s="1434"/>
      <c r="E89" s="1434"/>
      <c r="F89" s="1434"/>
      <c r="G89" s="1434"/>
      <c r="H89" s="1434"/>
      <c r="I89" s="1435"/>
      <c r="J89" s="1434"/>
      <c r="K89" s="1434"/>
      <c r="L89" s="1434"/>
      <c r="M89" s="1434"/>
      <c r="N89" s="1435"/>
      <c r="O89" s="1434"/>
      <c r="P89" s="1434"/>
      <c r="Q89" s="1434"/>
      <c r="R89" s="1434"/>
      <c r="S89" s="1435"/>
      <c r="T89" s="1434"/>
      <c r="U89" s="1434"/>
      <c r="V89" s="1434"/>
      <c r="W89" s="1434"/>
      <c r="X89" s="1435"/>
      <c r="Y89" s="1434"/>
      <c r="Z89" s="1434"/>
      <c r="AA89" s="1434"/>
      <c r="AB89" s="1434"/>
      <c r="AC89" s="1435"/>
      <c r="AD89" s="1434"/>
      <c r="AE89" s="1434"/>
      <c r="AF89" s="1434"/>
      <c r="AG89" s="1434"/>
      <c r="AH89" s="1435"/>
      <c r="AI89" s="1434"/>
      <c r="AJ89" s="1434"/>
      <c r="AK89" s="1434"/>
      <c r="AL89" s="1434"/>
      <c r="AM89" s="1435"/>
      <c r="AN89" s="1434"/>
      <c r="AO89" s="1434"/>
      <c r="AP89" s="1434"/>
      <c r="AQ89" s="1434"/>
      <c r="AR89" s="1435"/>
      <c r="AS89" s="1434"/>
      <c r="AT89" s="1434"/>
      <c r="AU89" s="1434"/>
      <c r="AV89" s="1434"/>
      <c r="AW89" s="1435"/>
      <c r="AX89" s="1434"/>
      <c r="AY89" s="1434"/>
      <c r="AZ89" s="1434"/>
      <c r="BA89" s="1434"/>
      <c r="BB89" s="1435"/>
      <c r="BC89" s="1434"/>
      <c r="BD89" s="1434"/>
      <c r="BE89" s="1434"/>
      <c r="BF89" s="1434"/>
      <c r="BG89" s="1435"/>
      <c r="BH89" s="1434"/>
      <c r="BI89" s="1434"/>
      <c r="BJ89" s="1434"/>
      <c r="BK89" s="1434"/>
      <c r="BL89" s="1435"/>
    </row>
    <row r="90" spans="1:64" outlineLevel="2" x14ac:dyDescent="0.2">
      <c r="A90" s="238"/>
      <c r="B90" s="289"/>
      <c r="C90" s="1380" t="s">
        <v>1183</v>
      </c>
      <c r="D90" s="289"/>
      <c r="E90" s="1437">
        <f>E73</f>
        <v>0.15939775626461938</v>
      </c>
      <c r="F90" s="1438">
        <f>F73</f>
        <v>0.14278593433315034</v>
      </c>
      <c r="G90" s="1438">
        <f>G73</f>
        <v>0.146483980105516</v>
      </c>
      <c r="H90" s="1438">
        <f>H73</f>
        <v>1.473349703885618E-2</v>
      </c>
      <c r="I90" s="1439"/>
      <c r="J90" s="1438">
        <f>J73</f>
        <v>2.1846064814815103E-2</v>
      </c>
      <c r="K90" s="1438">
        <f>K73</f>
        <v>2.3024895668441347E-2</v>
      </c>
      <c r="L90" s="1438">
        <f>L73</f>
        <v>2.0547945205479534E-2</v>
      </c>
      <c r="M90" s="1438">
        <f>M73</f>
        <v>2.2348754448398678E-2</v>
      </c>
      <c r="N90" s="1439"/>
      <c r="O90" s="1438">
        <f>O73</f>
        <v>2.3078012176128926E-2</v>
      </c>
      <c r="P90" s="1438">
        <f>P73</f>
        <v>2.2084681389787475E-2</v>
      </c>
      <c r="Q90" s="1438">
        <f>Q73</f>
        <v>2.1252796420581754E-2</v>
      </c>
      <c r="R90" s="1438">
        <f>R73</f>
        <v>2.0189362294625202E-2</v>
      </c>
      <c r="S90" s="1439"/>
      <c r="T90" s="1438">
        <f>T73</f>
        <v>1.7437032936618024E-2</v>
      </c>
      <c r="U90" s="1438">
        <f>U73</f>
        <v>1.56895127993395E-2</v>
      </c>
      <c r="V90" s="1438">
        <f>V73</f>
        <v>1.574479737130341E-2</v>
      </c>
      <c r="W90" s="1647">
        <f>W73</f>
        <v>1.7879077385014375E-2</v>
      </c>
      <c r="X90" s="394"/>
      <c r="Y90" s="1655">
        <f>Y73</f>
        <v>2.4347116430903037E-2</v>
      </c>
      <c r="Z90" s="1440">
        <f>Z73</f>
        <v>3.2113821138211263E-2</v>
      </c>
      <c r="AA90" s="1440">
        <f>AA73</f>
        <v>3.3158107561666039E-2</v>
      </c>
      <c r="AB90" s="1730">
        <f ca="1">AB73</f>
        <v>3.3158107561666039E-2</v>
      </c>
      <c r="AC90" s="394"/>
      <c r="AD90" s="1440">
        <f>AD73</f>
        <v>2.5000000000000001E-2</v>
      </c>
      <c r="AE90" s="1440">
        <f>AE73</f>
        <v>2.5000000000000001E-2</v>
      </c>
      <c r="AF90" s="1440">
        <f>AF73</f>
        <v>2.5000000000000001E-2</v>
      </c>
      <c r="AG90" s="1440">
        <f>AG73</f>
        <v>2.5000000000000001E-2</v>
      </c>
      <c r="AH90" s="2545"/>
      <c r="AI90" s="1440">
        <f>AI73</f>
        <v>2.5000000000000001E-2</v>
      </c>
      <c r="AJ90" s="1440">
        <f>AJ73</f>
        <v>2.5000000000000001E-2</v>
      </c>
      <c r="AK90" s="1440">
        <f>AK73</f>
        <v>2.5000000000000001E-2</v>
      </c>
      <c r="AL90" s="1465">
        <f>AL73</f>
        <v>2.5000000000000001E-2</v>
      </c>
      <c r="AM90" s="394"/>
      <c r="AN90" s="1060">
        <f>AN73</f>
        <v>2.5000000000000001E-2</v>
      </c>
      <c r="AO90" s="1060">
        <f>AO73</f>
        <v>2.5000000000000001E-2</v>
      </c>
      <c r="AP90" s="1060">
        <f>AP73</f>
        <v>2.5000000000000001E-2</v>
      </c>
      <c r="AQ90" s="1465">
        <f>AQ73</f>
        <v>2.5000000000000001E-2</v>
      </c>
      <c r="AR90" s="394"/>
      <c r="AS90" s="1060">
        <f>AS73</f>
        <v>0</v>
      </c>
      <c r="AT90" s="1060">
        <f>AT73</f>
        <v>0</v>
      </c>
      <c r="AU90" s="1060">
        <f>AU73</f>
        <v>0</v>
      </c>
      <c r="AV90" s="1465">
        <f>AV73</f>
        <v>0</v>
      </c>
      <c r="AW90" s="394"/>
      <c r="AX90" s="1060">
        <f>AX73</f>
        <v>0</v>
      </c>
      <c r="AY90" s="1060">
        <f>AY73</f>
        <v>0</v>
      </c>
      <c r="AZ90" s="1060">
        <f>AZ73</f>
        <v>0</v>
      </c>
      <c r="BA90" s="1465">
        <f>BA73</f>
        <v>0</v>
      </c>
      <c r="BB90" s="394"/>
      <c r="BC90" s="1060">
        <f>BC73</f>
        <v>0</v>
      </c>
      <c r="BD90" s="1060">
        <f>BD73</f>
        <v>0</v>
      </c>
      <c r="BE90" s="1060">
        <f>BE73</f>
        <v>0</v>
      </c>
      <c r="BF90" s="1465">
        <f>BF73</f>
        <v>0</v>
      </c>
      <c r="BG90" s="394"/>
      <c r="BH90" s="1060">
        <f>BH73</f>
        <v>0</v>
      </c>
      <c r="BI90" s="1060">
        <f>BI73</f>
        <v>0</v>
      </c>
      <c r="BJ90" s="1060">
        <f>BJ73</f>
        <v>0</v>
      </c>
      <c r="BK90" s="1465">
        <f>BK73</f>
        <v>0</v>
      </c>
      <c r="BL90" s="394"/>
    </row>
    <row r="91" spans="1:64" outlineLevel="2" x14ac:dyDescent="0.2">
      <c r="A91" s="238"/>
      <c r="B91" s="289"/>
      <c r="C91" s="1380" t="s">
        <v>1184</v>
      </c>
      <c r="D91" s="289"/>
      <c r="E91" s="1441"/>
      <c r="F91" s="1442"/>
      <c r="G91" s="1442"/>
      <c r="H91" s="1442"/>
      <c r="I91" s="1439"/>
      <c r="J91" s="1442"/>
      <c r="K91" s="1442"/>
      <c r="L91" s="1442"/>
      <c r="M91" s="1442"/>
      <c r="N91" s="1439"/>
      <c r="O91" s="1442"/>
      <c r="P91" s="1442"/>
      <c r="Q91" s="1442"/>
      <c r="R91" s="1442"/>
      <c r="S91" s="1439"/>
      <c r="T91" s="1442"/>
      <c r="U91" s="1442"/>
      <c r="V91" s="1442"/>
      <c r="W91" s="1651"/>
      <c r="X91" s="394"/>
      <c r="Y91" s="1656"/>
      <c r="Z91" s="1445"/>
      <c r="AA91" s="1445"/>
      <c r="AB91" s="1469"/>
      <c r="AC91" s="394"/>
      <c r="AD91" s="1438"/>
      <c r="AE91" s="1438"/>
      <c r="AF91" s="1438"/>
      <c r="AG91" s="1438"/>
      <c r="AH91" s="1439"/>
      <c r="AI91" s="1438"/>
      <c r="AJ91" s="1438"/>
      <c r="AK91" s="1438"/>
      <c r="AL91" s="1468"/>
      <c r="AM91" s="394"/>
      <c r="AN91" s="1443"/>
      <c r="AO91" s="1444"/>
      <c r="AP91" s="1444"/>
      <c r="AQ91" s="1468"/>
      <c r="AR91" s="394"/>
      <c r="AS91" s="1443"/>
      <c r="AT91" s="1444"/>
      <c r="AU91" s="1444"/>
      <c r="AV91" s="1468"/>
      <c r="AW91" s="394"/>
      <c r="AX91" s="1443"/>
      <c r="AY91" s="1444"/>
      <c r="AZ91" s="1444"/>
      <c r="BA91" s="1468"/>
      <c r="BB91" s="394"/>
      <c r="BC91" s="1443"/>
      <c r="BD91" s="1444"/>
      <c r="BE91" s="1444"/>
      <c r="BF91" s="1468"/>
      <c r="BG91" s="394"/>
      <c r="BH91" s="1443"/>
      <c r="BI91" s="1444"/>
      <c r="BJ91" s="1444"/>
      <c r="BK91" s="1468"/>
      <c r="BL91" s="394"/>
    </row>
    <row r="92" spans="1:64" outlineLevel="2" x14ac:dyDescent="0.2">
      <c r="A92" s="238"/>
      <c r="B92" s="289"/>
      <c r="C92" s="1383" t="s">
        <v>1029</v>
      </c>
      <c r="D92" s="289"/>
      <c r="E92" s="1484">
        <f>E75</f>
        <v>0.83063886934799847</v>
      </c>
      <c r="F92" s="1485">
        <f>F75</f>
        <v>1.1230516956060566</v>
      </c>
      <c r="G92" s="1485">
        <f>G75</f>
        <v>1.1404294772426715</v>
      </c>
      <c r="H92" s="1485">
        <f>H75</f>
        <v>0.78192023219715256</v>
      </c>
      <c r="I92" s="1439"/>
      <c r="J92" s="1485">
        <f>J75</f>
        <v>1.653923971147615</v>
      </c>
      <c r="K92" s="1485">
        <f>K75</f>
        <v>1.0303404655498452</v>
      </c>
      <c r="L92" s="1485">
        <f>L75</f>
        <v>0.81807500533883604</v>
      </c>
      <c r="M92" s="1485">
        <f>M75</f>
        <v>0.50406415842422592</v>
      </c>
      <c r="N92" s="1439"/>
      <c r="O92" s="1485">
        <f>O75</f>
        <v>0.71286216732398822</v>
      </c>
      <c r="P92" s="1485">
        <f>P75</f>
        <v>0.83287769186403504</v>
      </c>
      <c r="Q92" s="1485">
        <f>Q75</f>
        <v>1.1455100372047133</v>
      </c>
      <c r="R92" s="1485">
        <f>R75</f>
        <v>0.99168917505487764</v>
      </c>
      <c r="S92" s="1439"/>
      <c r="T92" s="1485">
        <f>T75</f>
        <v>0.97906130478787246</v>
      </c>
      <c r="U92" s="1485">
        <f>U75</f>
        <v>1.0090661827718101</v>
      </c>
      <c r="V92" s="1485">
        <f>V75</f>
        <v>0.83143004241821661</v>
      </c>
      <c r="W92" s="1652">
        <f>W75</f>
        <v>0.84292865646027304</v>
      </c>
      <c r="X92" s="394"/>
      <c r="Y92" s="1437">
        <f>Y75</f>
        <v>0.72434393025247235</v>
      </c>
      <c r="Z92" s="1440">
        <f ca="1">Z75</f>
        <v>0.85</v>
      </c>
      <c r="AA92" s="1440">
        <f ca="1">AA75</f>
        <v>0.85</v>
      </c>
      <c r="AB92" s="1728">
        <f ca="1">AB75</f>
        <v>0.85</v>
      </c>
      <c r="AC92" s="394"/>
      <c r="AD92" s="1440">
        <f>AD75</f>
        <v>0.85</v>
      </c>
      <c r="AE92" s="1440">
        <f>AE75</f>
        <v>0.85</v>
      </c>
      <c r="AF92" s="1440">
        <f>AF75</f>
        <v>0.85</v>
      </c>
      <c r="AG92" s="1440">
        <f>AG75</f>
        <v>0.85</v>
      </c>
      <c r="AH92" s="1439"/>
      <c r="AI92" s="1440">
        <f>AI75</f>
        <v>0.85</v>
      </c>
      <c r="AJ92" s="1440">
        <f>AJ75</f>
        <v>0.85</v>
      </c>
      <c r="AK92" s="1440">
        <f>AK75</f>
        <v>0.85</v>
      </c>
      <c r="AL92" s="1465">
        <f>AL75</f>
        <v>0.85</v>
      </c>
      <c r="AM92" s="394"/>
      <c r="AN92" s="1060">
        <f>AN75</f>
        <v>0.85</v>
      </c>
      <c r="AO92" s="1060">
        <f>AO75</f>
        <v>0.85</v>
      </c>
      <c r="AP92" s="1060">
        <f>AP75</f>
        <v>0.85</v>
      </c>
      <c r="AQ92" s="1465">
        <f>AQ75</f>
        <v>0.85</v>
      </c>
      <c r="AR92" s="394"/>
      <c r="AS92" s="1060">
        <f>AS75</f>
        <v>0.85</v>
      </c>
      <c r="AT92" s="1060">
        <f>AT75</f>
        <v>0.85</v>
      </c>
      <c r="AU92" s="1060">
        <f>AU75</f>
        <v>0.85</v>
      </c>
      <c r="AV92" s="1465">
        <f>AV75</f>
        <v>0.85</v>
      </c>
      <c r="AW92" s="394"/>
      <c r="AX92" s="1060">
        <f>AX75</f>
        <v>0.85</v>
      </c>
      <c r="AY92" s="1060">
        <f>AY75</f>
        <v>0.85</v>
      </c>
      <c r="AZ92" s="1060">
        <f>AZ75</f>
        <v>0.85</v>
      </c>
      <c r="BA92" s="1465">
        <f>BA75</f>
        <v>0.85</v>
      </c>
      <c r="BB92" s="394"/>
      <c r="BC92" s="1060">
        <f>BC75</f>
        <v>0.85</v>
      </c>
      <c r="BD92" s="1060">
        <f>BD75</f>
        <v>0.85</v>
      </c>
      <c r="BE92" s="1060">
        <f>BE75</f>
        <v>0.85</v>
      </c>
      <c r="BF92" s="1465">
        <f>BF75</f>
        <v>0.85</v>
      </c>
      <c r="BG92" s="394"/>
      <c r="BH92" s="1060">
        <f>BH75</f>
        <v>0.85</v>
      </c>
      <c r="BI92" s="1060">
        <f>BI75</f>
        <v>0.85</v>
      </c>
      <c r="BJ92" s="1060">
        <f>BJ75</f>
        <v>0.85</v>
      </c>
      <c r="BK92" s="1465">
        <f>BK75</f>
        <v>0.85</v>
      </c>
      <c r="BL92" s="394"/>
    </row>
    <row r="93" spans="1:64" outlineLevel="2" x14ac:dyDescent="0.2">
      <c r="A93" s="238"/>
      <c r="B93" s="289"/>
      <c r="C93" s="1383"/>
      <c r="D93" s="289"/>
      <c r="E93" s="1441"/>
      <c r="F93" s="1442"/>
      <c r="G93" s="1442"/>
      <c r="H93" s="1442"/>
      <c r="I93" s="1439"/>
      <c r="J93" s="1442"/>
      <c r="K93" s="1442"/>
      <c r="L93" s="1442"/>
      <c r="M93" s="1442"/>
      <c r="N93" s="1439"/>
      <c r="O93" s="1442"/>
      <c r="P93" s="1442"/>
      <c r="Q93" s="1442"/>
      <c r="R93" s="1442"/>
      <c r="S93" s="1439"/>
      <c r="T93" s="1442"/>
      <c r="U93" s="1442"/>
      <c r="V93" s="1442"/>
      <c r="W93" s="1651"/>
      <c r="X93" s="394"/>
      <c r="Y93" s="1656"/>
      <c r="Z93" s="1477"/>
      <c r="AA93" s="1477"/>
      <c r="AB93" s="1478"/>
      <c r="AC93" s="394"/>
      <c r="AD93" s="1479"/>
      <c r="AE93" s="1479"/>
      <c r="AF93" s="1479"/>
      <c r="AG93" s="1479"/>
      <c r="AH93" s="1439"/>
      <c r="AI93" s="1479"/>
      <c r="AJ93" s="1479"/>
      <c r="AK93" s="1479"/>
      <c r="AL93" s="1486"/>
      <c r="AM93" s="394"/>
      <c r="AN93" s="1481"/>
      <c r="AO93" s="1487"/>
      <c r="AP93" s="1487"/>
      <c r="AQ93" s="1486"/>
      <c r="AR93" s="394"/>
      <c r="AS93" s="1481"/>
      <c r="AT93" s="1487"/>
      <c r="AU93" s="1487"/>
      <c r="AV93" s="1486"/>
      <c r="AW93" s="394"/>
      <c r="AX93" s="1481"/>
      <c r="AY93" s="1487"/>
      <c r="AZ93" s="1487"/>
      <c r="BA93" s="1486"/>
      <c r="BB93" s="394"/>
      <c r="BC93" s="1481"/>
      <c r="BD93" s="1487"/>
      <c r="BE93" s="1487"/>
      <c r="BF93" s="1486"/>
      <c r="BG93" s="394"/>
      <c r="BH93" s="1481"/>
      <c r="BI93" s="1487"/>
      <c r="BJ93" s="1487"/>
      <c r="BK93" s="1486"/>
      <c r="BL93" s="394"/>
    </row>
    <row r="94" spans="1:64" outlineLevel="2" x14ac:dyDescent="0.2">
      <c r="A94" s="238"/>
      <c r="B94" s="289"/>
      <c r="C94" s="1448" t="str">
        <f>$C$12</f>
        <v>Same Store Growth</v>
      </c>
      <c r="D94" s="289"/>
      <c r="E94" s="1437"/>
      <c r="F94" s="1445"/>
      <c r="G94" s="1445"/>
      <c r="H94" s="1445"/>
      <c r="I94" s="1449"/>
      <c r="J94" s="1445"/>
      <c r="K94" s="1445"/>
      <c r="L94" s="1445"/>
      <c r="M94" s="1445"/>
      <c r="N94" s="1449"/>
      <c r="O94" s="1445"/>
      <c r="P94" s="1445"/>
      <c r="Q94" s="1445"/>
      <c r="R94" s="1445"/>
      <c r="S94" s="1449"/>
      <c r="T94" s="1445"/>
      <c r="U94" s="1445"/>
      <c r="V94" s="1445"/>
      <c r="W94" s="1469"/>
      <c r="X94" s="1469"/>
      <c r="Y94" s="1437"/>
      <c r="Z94" s="1445"/>
      <c r="AA94" s="1445"/>
      <c r="AB94" s="1469"/>
      <c r="AC94" s="1469"/>
      <c r="AD94" s="1438"/>
      <c r="AE94" s="1438"/>
      <c r="AF94" s="1438"/>
      <c r="AG94" s="1438"/>
      <c r="AH94" s="1449"/>
      <c r="AI94" s="1438"/>
      <c r="AJ94" s="1438"/>
      <c r="AK94" s="1438"/>
      <c r="AL94" s="1469"/>
      <c r="AM94" s="1469"/>
      <c r="AN94" s="1438"/>
      <c r="AO94" s="1445"/>
      <c r="AP94" s="1445"/>
      <c r="AQ94" s="1469"/>
      <c r="AR94" s="1469"/>
      <c r="AS94" s="1438"/>
      <c r="AT94" s="1445"/>
      <c r="AU94" s="1445"/>
      <c r="AV94" s="1469"/>
      <c r="AW94" s="1469"/>
      <c r="AX94" s="1438"/>
      <c r="AY94" s="1445"/>
      <c r="AZ94" s="1445"/>
      <c r="BA94" s="1469"/>
      <c r="BB94" s="1469"/>
      <c r="BC94" s="1438"/>
      <c r="BD94" s="1445"/>
      <c r="BE94" s="1445"/>
      <c r="BF94" s="1469"/>
      <c r="BG94" s="1469"/>
      <c r="BH94" s="1438"/>
      <c r="BI94" s="1445"/>
      <c r="BJ94" s="1445"/>
      <c r="BK94" s="1469"/>
      <c r="BL94" s="1469"/>
    </row>
    <row r="95" spans="1:64" outlineLevel="2" x14ac:dyDescent="0.2">
      <c r="A95" s="238"/>
      <c r="B95" s="289"/>
      <c r="C95" s="1380" t="s">
        <v>1200</v>
      </c>
      <c r="D95" s="289"/>
      <c r="E95" s="1437">
        <f t="shared" ref="E95:H96" si="42">E78</f>
        <v>7.0000000000000001E-3</v>
      </c>
      <c r="F95" s="1438">
        <f t="shared" si="42"/>
        <v>0.03</v>
      </c>
      <c r="G95" s="1438">
        <f t="shared" si="42"/>
        <v>8.0000000000000002E-3</v>
      </c>
      <c r="H95" s="1438">
        <f t="shared" si="42"/>
        <v>3.0000000000000001E-3</v>
      </c>
      <c r="I95" s="1439"/>
      <c r="J95" s="1438">
        <f t="shared" ref="J95:M96" si="43">J78</f>
        <v>-7.0000000000000001E-3</v>
      </c>
      <c r="K95" s="1438">
        <f t="shared" si="43"/>
        <v>4.0000000000000001E-3</v>
      </c>
      <c r="L95" s="1438">
        <f t="shared" si="43"/>
        <v>1.4E-2</v>
      </c>
      <c r="M95" s="1438">
        <f t="shared" si="43"/>
        <v>0.01</v>
      </c>
      <c r="N95" s="1439"/>
      <c r="O95" s="1438">
        <f t="shared" ref="O95:R96" si="44">O78</f>
        <v>4.0000000000000001E-3</v>
      </c>
      <c r="P95" s="1438">
        <f t="shared" si="44"/>
        <v>8.0000000000000002E-3</v>
      </c>
      <c r="Q95" s="1438">
        <f t="shared" si="44"/>
        <v>0.02</v>
      </c>
      <c r="R95" s="1438">
        <f t="shared" si="44"/>
        <v>1E-3</v>
      </c>
      <c r="S95" s="1439"/>
      <c r="T95" s="1438">
        <f t="shared" ref="T95:V96" si="45">T78</f>
        <v>5.2999999999999999E-2</v>
      </c>
      <c r="U95" s="1438">
        <f t="shared" si="45"/>
        <v>2.3E-2</v>
      </c>
      <c r="V95" s="1438">
        <f t="shared" si="45"/>
        <v>2.1999999999999999E-2</v>
      </c>
      <c r="W95" s="1469">
        <f>W78</f>
        <v>3.9E-2</v>
      </c>
      <c r="X95" s="394"/>
      <c r="Y95" s="1437">
        <f t="shared" ref="Y95:AA96" si="46">Y78</f>
        <v>1.4E-2</v>
      </c>
      <c r="Z95" s="1440">
        <f t="shared" si="46"/>
        <v>-4.0000000000000001E-3</v>
      </c>
      <c r="AA95" s="1440">
        <f t="shared" si="46"/>
        <v>-0.01</v>
      </c>
      <c r="AB95" s="1728">
        <f>AB78</f>
        <v>-1.9E-2</v>
      </c>
      <c r="AC95" s="394"/>
      <c r="AD95" s="1440">
        <f t="shared" ref="AD95:AG96" si="47">AD78-0.015</f>
        <v>-3.5000000000000003E-2</v>
      </c>
      <c r="AE95" s="1440">
        <f t="shared" si="47"/>
        <v>-3.5000000000000003E-2</v>
      </c>
      <c r="AF95" s="1440">
        <f t="shared" si="47"/>
        <v>-3.5000000000000003E-2</v>
      </c>
      <c r="AG95" s="1440">
        <f t="shared" si="47"/>
        <v>-3.5000000000000003E-2</v>
      </c>
      <c r="AH95" s="1439"/>
      <c r="AI95" s="1440">
        <f t="shared" ref="AI95:AK96" si="48">AI78-0.015</f>
        <v>-7.4999999999999997E-2</v>
      </c>
      <c r="AJ95" s="1440">
        <f t="shared" si="48"/>
        <v>-7.4999999999999997E-2</v>
      </c>
      <c r="AK95" s="1440">
        <f t="shared" si="48"/>
        <v>-7.4999999999999997E-2</v>
      </c>
      <c r="AL95" s="1060">
        <f>AL78-0.005</f>
        <v>-6.5000000000000002E-2</v>
      </c>
      <c r="AM95" s="394"/>
      <c r="AN95" s="1060">
        <f>AN78-0.01</f>
        <v>-6.9999999999999993E-2</v>
      </c>
      <c r="AO95" s="1060">
        <f>AO78-0.01</f>
        <v>-6.9999999999999993E-2</v>
      </c>
      <c r="AP95" s="1060">
        <f>AP78-0.01</f>
        <v>-6.9999999999999993E-2</v>
      </c>
      <c r="AQ95" s="1465">
        <f>AQ78-0.01</f>
        <v>-6.9999999999999993E-2</v>
      </c>
      <c r="AR95" s="394"/>
      <c r="AS95" s="1060">
        <f t="shared" ref="AS95:AV96" si="49">AS78-0.01</f>
        <v>-0.03</v>
      </c>
      <c r="AT95" s="1060">
        <f t="shared" si="49"/>
        <v>-0.04</v>
      </c>
      <c r="AU95" s="1060">
        <f t="shared" si="49"/>
        <v>-0.02</v>
      </c>
      <c r="AV95" s="1465">
        <f t="shared" si="49"/>
        <v>-0.02</v>
      </c>
      <c r="AW95" s="394"/>
      <c r="AX95" s="1060">
        <f>AX78-0.01</f>
        <v>-1.4999999999999999E-2</v>
      </c>
      <c r="AY95" s="1060">
        <f>AY78-0.01</f>
        <v>-0.02</v>
      </c>
      <c r="AZ95" s="1060">
        <f>AZ78-0.01</f>
        <v>-0.02</v>
      </c>
      <c r="BA95" s="1465">
        <f>BA78-0.01</f>
        <v>-0.02</v>
      </c>
      <c r="BB95" s="394"/>
      <c r="BC95" s="1060">
        <f>BC78-0.01</f>
        <v>-1.4999999999999999E-2</v>
      </c>
      <c r="BD95" s="1060">
        <f>BD78-0.01</f>
        <v>-1.4999999999999999E-2</v>
      </c>
      <c r="BE95" s="1060">
        <f>BE78-0.01</f>
        <v>-1.4999999999999999E-2</v>
      </c>
      <c r="BF95" s="1465">
        <f>BF78-0.01</f>
        <v>-1.4999999999999999E-2</v>
      </c>
      <c r="BG95" s="394"/>
      <c r="BH95" s="1060">
        <f>BH78-0.01</f>
        <v>-1.4999999999999999E-2</v>
      </c>
      <c r="BI95" s="1060">
        <f>BI78-0.01</f>
        <v>-1.4999999999999999E-2</v>
      </c>
      <c r="BJ95" s="1060">
        <f>BJ78-0.01</f>
        <v>-1.4999999999999999E-2</v>
      </c>
      <c r="BK95" s="1465">
        <f>BK78-0.01</f>
        <v>-1.4999999999999999E-2</v>
      </c>
      <c r="BL95" s="394"/>
    </row>
    <row r="96" spans="1:64" outlineLevel="2" x14ac:dyDescent="0.2">
      <c r="A96" s="238"/>
      <c r="B96" s="289"/>
      <c r="C96" s="1051" t="s">
        <v>1002</v>
      </c>
      <c r="D96" s="289"/>
      <c r="E96" s="1438">
        <f t="shared" si="42"/>
        <v>0.05</v>
      </c>
      <c r="F96" s="1438">
        <f t="shared" si="42"/>
        <v>0.05</v>
      </c>
      <c r="G96" s="1438">
        <f t="shared" si="42"/>
        <v>4.9000000000000002E-2</v>
      </c>
      <c r="H96" s="1438">
        <f t="shared" si="42"/>
        <v>5.3999999999999999E-2</v>
      </c>
      <c r="I96" s="1052"/>
      <c r="J96" s="1438">
        <f t="shared" si="43"/>
        <v>1.4999999999999999E-2</v>
      </c>
      <c r="K96" s="1438">
        <f t="shared" si="43"/>
        <v>1.6E-2</v>
      </c>
      <c r="L96" s="1438">
        <f t="shared" si="43"/>
        <v>1.4999999999999999E-2</v>
      </c>
      <c r="M96" s="1438">
        <f t="shared" si="43"/>
        <v>1.4999999999999999E-2</v>
      </c>
      <c r="N96" s="1052"/>
      <c r="O96" s="1438">
        <f t="shared" si="44"/>
        <v>3.9E-2</v>
      </c>
      <c r="P96" s="1438">
        <f t="shared" si="44"/>
        <v>1.9E-2</v>
      </c>
      <c r="Q96" s="1438">
        <f t="shared" si="44"/>
        <v>0.01</v>
      </c>
      <c r="R96" s="1438">
        <f t="shared" si="44"/>
        <v>2.1000000000000001E-2</v>
      </c>
      <c r="S96" s="1052"/>
      <c r="T96" s="1438">
        <f t="shared" si="45"/>
        <v>7.1999999999999995E-2</v>
      </c>
      <c r="U96" s="1438">
        <f t="shared" si="45"/>
        <v>7.6999999999999999E-2</v>
      </c>
      <c r="V96" s="1438">
        <f t="shared" si="45"/>
        <v>8.6999999999999994E-2</v>
      </c>
      <c r="W96" s="1469">
        <f>W79</f>
        <v>0.09</v>
      </c>
      <c r="X96" s="1470"/>
      <c r="Y96" s="1452">
        <f t="shared" si="46"/>
        <v>0.02</v>
      </c>
      <c r="Z96" s="1440">
        <f t="shared" si="46"/>
        <v>1.7999999999999999E-2</v>
      </c>
      <c r="AA96" s="1440">
        <f t="shared" si="46"/>
        <v>1.4E-2</v>
      </c>
      <c r="AB96" s="1728">
        <f ca="1">AB79</f>
        <v>1.4E-2</v>
      </c>
      <c r="AC96" s="1470"/>
      <c r="AD96" s="1440">
        <f t="shared" si="47"/>
        <v>1.4999999999999999E-2</v>
      </c>
      <c r="AE96" s="1440">
        <f t="shared" si="47"/>
        <v>1.4999999999999999E-2</v>
      </c>
      <c r="AF96" s="1440">
        <f t="shared" si="47"/>
        <v>1.4999999999999999E-2</v>
      </c>
      <c r="AG96" s="1440">
        <f t="shared" si="47"/>
        <v>1.4999999999999999E-2</v>
      </c>
      <c r="AH96" s="1052"/>
      <c r="AI96" s="1440">
        <f t="shared" si="48"/>
        <v>1.7000000000000001E-2</v>
      </c>
      <c r="AJ96" s="1440">
        <f t="shared" si="48"/>
        <v>1.7000000000000001E-2</v>
      </c>
      <c r="AK96" s="1440">
        <f t="shared" si="48"/>
        <v>1.7000000000000001E-2</v>
      </c>
      <c r="AL96" s="1465">
        <f>AL79-0.005</f>
        <v>2.7E-2</v>
      </c>
      <c r="AM96" s="1470"/>
      <c r="AN96" s="1060">
        <f>AN79-0.02</f>
        <v>1.2E-2</v>
      </c>
      <c r="AO96" s="1060">
        <f>AO79-0.02</f>
        <v>1.2E-2</v>
      </c>
      <c r="AP96" s="1060">
        <f>AP79-0.02</f>
        <v>1.2E-2</v>
      </c>
      <c r="AQ96" s="1060">
        <f>AQ79-0.02</f>
        <v>1.2E-2</v>
      </c>
      <c r="AR96" s="1470"/>
      <c r="AS96" s="1060">
        <f t="shared" si="49"/>
        <v>-2.5000000000000001E-2</v>
      </c>
      <c r="AT96" s="1060">
        <f t="shared" si="49"/>
        <v>-0.02</v>
      </c>
      <c r="AU96" s="1060">
        <f t="shared" si="49"/>
        <v>-1.2500000000000001E-2</v>
      </c>
      <c r="AV96" s="1465">
        <f t="shared" si="49"/>
        <v>-5.0000000000000001E-3</v>
      </c>
      <c r="AW96" s="1470"/>
      <c r="AX96" s="1060">
        <v>0.01</v>
      </c>
      <c r="AY96" s="1060">
        <v>0.01</v>
      </c>
      <c r="AZ96" s="1060">
        <v>0.01</v>
      </c>
      <c r="BA96" s="1060">
        <v>0.01</v>
      </c>
      <c r="BB96" s="1470"/>
      <c r="BC96" s="1060">
        <v>0.02</v>
      </c>
      <c r="BD96" s="1060">
        <v>0.02</v>
      </c>
      <c r="BE96" s="1060">
        <v>0.02</v>
      </c>
      <c r="BF96" s="1060">
        <v>0.02</v>
      </c>
      <c r="BG96" s="1470"/>
      <c r="BH96" s="1060">
        <v>0.02</v>
      </c>
      <c r="BI96" s="1060">
        <v>0.02</v>
      </c>
      <c r="BJ96" s="1060">
        <v>0.02</v>
      </c>
      <c r="BK96" s="1060">
        <v>0.02</v>
      </c>
      <c r="BL96" s="1470"/>
    </row>
    <row r="97" spans="1:64" outlineLevel="2" x14ac:dyDescent="0.2">
      <c r="A97" s="238"/>
      <c r="B97" s="289"/>
      <c r="C97" s="1380"/>
      <c r="D97" s="289"/>
      <c r="E97" s="1441"/>
      <c r="F97" s="1442"/>
      <c r="G97" s="1442"/>
      <c r="H97" s="1442"/>
      <c r="I97" s="1439"/>
      <c r="J97" s="1442"/>
      <c r="K97" s="1442"/>
      <c r="L97" s="1442"/>
      <c r="M97" s="1442"/>
      <c r="N97" s="1439"/>
      <c r="O97" s="1442"/>
      <c r="P97" s="1442"/>
      <c r="Q97" s="1442"/>
      <c r="R97" s="1442"/>
      <c r="S97" s="1439"/>
      <c r="T97" s="1442"/>
      <c r="U97" s="1442"/>
      <c r="V97" s="1442"/>
      <c r="W97" s="1651"/>
      <c r="X97" s="394"/>
      <c r="Y97" s="1656"/>
      <c r="Z97" s="1477"/>
      <c r="AA97" s="1477"/>
      <c r="AB97" s="1478"/>
      <c r="AC97" s="394"/>
      <c r="AD97" s="1479"/>
      <c r="AE97" s="1479"/>
      <c r="AF97" s="1479"/>
      <c r="AG97" s="1479"/>
      <c r="AH97" s="1439"/>
      <c r="AI97" s="1479"/>
      <c r="AJ97" s="1479"/>
      <c r="AK97" s="1479"/>
      <c r="AL97" s="1486"/>
      <c r="AM97" s="394"/>
      <c r="AN97" s="1481"/>
      <c r="AO97" s="1487"/>
      <c r="AP97" s="1487"/>
      <c r="AQ97" s="1486"/>
      <c r="AR97" s="394"/>
      <c r="AS97" s="1481"/>
      <c r="AT97" s="1487"/>
      <c r="AU97" s="1487"/>
      <c r="AV97" s="1486"/>
      <c r="AW97" s="394"/>
      <c r="AX97" s="1481"/>
      <c r="AY97" s="1487"/>
      <c r="AZ97" s="1487"/>
      <c r="BA97" s="1486"/>
      <c r="BB97" s="394"/>
      <c r="BC97" s="1481"/>
      <c r="BD97" s="1487"/>
      <c r="BE97" s="1487"/>
      <c r="BF97" s="1486"/>
      <c r="BG97" s="394"/>
      <c r="BH97" s="1481"/>
      <c r="BI97" s="1487"/>
      <c r="BJ97" s="1487"/>
      <c r="BK97" s="1486"/>
      <c r="BL97" s="394"/>
    </row>
    <row r="98" spans="1:64" outlineLevel="2" x14ac:dyDescent="0.2">
      <c r="A98" s="238"/>
      <c r="B98" s="289"/>
      <c r="C98" s="1448" t="s">
        <v>1186</v>
      </c>
      <c r="D98" s="289"/>
      <c r="E98" s="1441"/>
      <c r="F98" s="1442"/>
      <c r="G98" s="1442"/>
      <c r="H98" s="1442"/>
      <c r="I98" s="1439"/>
      <c r="J98" s="1442"/>
      <c r="K98" s="1442"/>
      <c r="L98" s="1442"/>
      <c r="M98" s="1442"/>
      <c r="N98" s="1439"/>
      <c r="O98" s="1442"/>
      <c r="P98" s="1442"/>
      <c r="Q98" s="1442"/>
      <c r="R98" s="1442"/>
      <c r="S98" s="1439"/>
      <c r="T98" s="1442"/>
      <c r="U98" s="1442"/>
      <c r="V98" s="1442"/>
      <c r="W98" s="1651"/>
      <c r="X98" s="394"/>
      <c r="Y98" s="1656"/>
      <c r="Z98" s="1477"/>
      <c r="AA98" s="1477"/>
      <c r="AB98" s="1478"/>
      <c r="AC98" s="394"/>
      <c r="AD98" s="1479"/>
      <c r="AE98" s="1479"/>
      <c r="AF98" s="1479"/>
      <c r="AG98" s="1479"/>
      <c r="AH98" s="1439"/>
      <c r="AI98" s="1479"/>
      <c r="AJ98" s="1479"/>
      <c r="AK98" s="1479"/>
      <c r="AL98" s="1486"/>
      <c r="AM98" s="394"/>
      <c r="AN98" s="1481"/>
      <c r="AO98" s="1487"/>
      <c r="AP98" s="1487"/>
      <c r="AQ98" s="1486"/>
      <c r="AR98" s="394"/>
      <c r="AS98" s="1481"/>
      <c r="AT98" s="1487"/>
      <c r="AU98" s="1487"/>
      <c r="AV98" s="1486"/>
      <c r="AW98" s="394"/>
      <c r="AX98" s="1481"/>
      <c r="AY98" s="1487"/>
      <c r="AZ98" s="1487"/>
      <c r="BA98" s="1486"/>
      <c r="BB98" s="394"/>
      <c r="BC98" s="1481"/>
      <c r="BD98" s="1487"/>
      <c r="BE98" s="1487"/>
      <c r="BF98" s="1486"/>
      <c r="BG98" s="394"/>
      <c r="BH98" s="1481"/>
      <c r="BI98" s="1487"/>
      <c r="BJ98" s="1487"/>
      <c r="BK98" s="1486"/>
      <c r="BL98" s="394"/>
    </row>
    <row r="99" spans="1:64" outlineLevel="2" x14ac:dyDescent="0.2">
      <c r="A99" s="238"/>
      <c r="B99" s="289"/>
      <c r="C99" s="1385" t="s">
        <v>1187</v>
      </c>
      <c r="D99" s="289"/>
      <c r="E99" s="1476">
        <f t="shared" ref="E99:H101" si="50">E82</f>
        <v>0.625</v>
      </c>
      <c r="F99" s="1479">
        <f t="shared" si="50"/>
        <v>0.625</v>
      </c>
      <c r="G99" s="1479">
        <f t="shared" si="50"/>
        <v>0.625</v>
      </c>
      <c r="H99" s="1479">
        <f t="shared" si="50"/>
        <v>0.625</v>
      </c>
      <c r="I99" s="1439"/>
      <c r="J99" s="1479">
        <f t="shared" ref="J99:M101" si="51">J82</f>
        <v>0.62135922330097093</v>
      </c>
      <c r="K99" s="1479">
        <f t="shared" si="51"/>
        <v>0.62135922330097093</v>
      </c>
      <c r="L99" s="1479">
        <f t="shared" si="51"/>
        <v>0.62135922330097082</v>
      </c>
      <c r="M99" s="1479">
        <f t="shared" si="51"/>
        <v>0.62135922330097082</v>
      </c>
      <c r="N99" s="1439"/>
      <c r="O99" s="1479">
        <f t="shared" ref="O99:R101" si="52">O82</f>
        <v>0.61764705882352944</v>
      </c>
      <c r="P99" s="1479">
        <f t="shared" si="52"/>
        <v>0.61764705882352944</v>
      </c>
      <c r="Q99" s="1479">
        <f t="shared" si="52"/>
        <v>0.61764705882352944</v>
      </c>
      <c r="R99" s="1479">
        <f t="shared" si="52"/>
        <v>0.61764705882352944</v>
      </c>
      <c r="S99" s="1480"/>
      <c r="T99" s="1479">
        <f t="shared" ref="T99:V101" si="53">T82</f>
        <v>0.617547058823529</v>
      </c>
      <c r="U99" s="1479">
        <f t="shared" si="53"/>
        <v>0.61799999999999999</v>
      </c>
      <c r="V99" s="1479">
        <f t="shared" si="53"/>
        <v>0.61799999999999999</v>
      </c>
      <c r="W99" s="1478">
        <f>W82</f>
        <v>0.61799999999999999</v>
      </c>
      <c r="X99" s="394"/>
      <c r="Y99" s="1437">
        <f t="shared" ref="Y99:Z101" si="54">Y82</f>
        <v>0.621</v>
      </c>
      <c r="Z99" s="1438">
        <f t="shared" si="54"/>
        <v>0.621</v>
      </c>
      <c r="AA99" s="1438">
        <f t="shared" ref="AA99:AB101" si="55">AA82</f>
        <v>0.61</v>
      </c>
      <c r="AB99" s="1469">
        <f t="shared" ca="1" si="55"/>
        <v>0.61</v>
      </c>
      <c r="AC99" s="394"/>
      <c r="AD99" s="1479">
        <f>AD82-1%</f>
        <v>0.61699999999999999</v>
      </c>
      <c r="AE99" s="1479">
        <f>AE82-1%</f>
        <v>0.61699999999999999</v>
      </c>
      <c r="AF99" s="1479">
        <f>AF82-1%</f>
        <v>0.61699999999999999</v>
      </c>
      <c r="AG99" s="1479">
        <f>AG82-1%</f>
        <v>0.61699999999999999</v>
      </c>
      <c r="AH99" s="1439"/>
      <c r="AI99" s="1479">
        <f>AI82-1%</f>
        <v>0.61</v>
      </c>
      <c r="AJ99" s="1479">
        <f>AJ82-1%</f>
        <v>0.61</v>
      </c>
      <c r="AK99" s="1479">
        <f>AK82-1%</f>
        <v>0.61</v>
      </c>
      <c r="AL99" s="1481">
        <f>AL82-0</f>
        <v>0.62</v>
      </c>
      <c r="AM99" s="1439"/>
      <c r="AN99" s="1481">
        <f>AN82-2%</f>
        <v>0.6</v>
      </c>
      <c r="AO99" s="1481">
        <f>AO82-2%</f>
        <v>0.6</v>
      </c>
      <c r="AP99" s="1481">
        <f>AP82-2%</f>
        <v>0.6</v>
      </c>
      <c r="AQ99" s="1481">
        <f>AQ82-2%</f>
        <v>0.6</v>
      </c>
      <c r="AR99" s="1439"/>
      <c r="AS99" s="1443">
        <f>AS82-1%</f>
        <v>0.62749999999999995</v>
      </c>
      <c r="AT99" s="1443">
        <f>AT82-1%</f>
        <v>0.61</v>
      </c>
      <c r="AU99" s="1443">
        <f>AU82-1%</f>
        <v>0.61</v>
      </c>
      <c r="AV99" s="1443">
        <f>AV82-1%</f>
        <v>0.62749999999999995</v>
      </c>
      <c r="AW99" s="1439"/>
      <c r="AX99" s="1481">
        <f>AX82-2%</f>
        <v>0.61749999999999994</v>
      </c>
      <c r="AY99" s="1481">
        <f>AY82-2%</f>
        <v>0.60499999999999998</v>
      </c>
      <c r="AZ99" s="1481">
        <f>AZ82-2%</f>
        <v>0.60499999999999998</v>
      </c>
      <c r="BA99" s="1481">
        <f>BA82-2%</f>
        <v>0.62249999999999994</v>
      </c>
      <c r="BB99" s="1439"/>
      <c r="BC99" s="1481">
        <f>BC82-2%</f>
        <v>0.61449999999999994</v>
      </c>
      <c r="BD99" s="1481">
        <f>BD82-2%</f>
        <v>0.60199999999999998</v>
      </c>
      <c r="BE99" s="1481">
        <f>BE82-2%</f>
        <v>0.60199999999999998</v>
      </c>
      <c r="BF99" s="1481">
        <f>BF82-2%</f>
        <v>0.61949999999999994</v>
      </c>
      <c r="BG99" s="1439"/>
      <c r="BH99" s="1481">
        <f>BH82-2%</f>
        <v>0.61149999999999993</v>
      </c>
      <c r="BI99" s="1481">
        <f>BI82-2%</f>
        <v>0.59899999999999998</v>
      </c>
      <c r="BJ99" s="1481">
        <f>BJ82-2%</f>
        <v>0.59899999999999998</v>
      </c>
      <c r="BK99" s="1481">
        <f>BK82-2%</f>
        <v>0.61649999999999994</v>
      </c>
      <c r="BL99" s="1439"/>
    </row>
    <row r="100" spans="1:64" outlineLevel="2" x14ac:dyDescent="0.2">
      <c r="A100" s="238"/>
      <c r="B100" s="289"/>
      <c r="C100" s="1385" t="s">
        <v>1188</v>
      </c>
      <c r="D100" s="289"/>
      <c r="E100" s="1476">
        <f t="shared" si="50"/>
        <v>8.0490767113561221E-2</v>
      </c>
      <c r="F100" s="1479">
        <f t="shared" si="50"/>
        <v>7.9241174782559584E-2</v>
      </c>
      <c r="G100" s="1479">
        <f t="shared" si="50"/>
        <v>7.6923312693388216E-2</v>
      </c>
      <c r="H100" s="1479">
        <f t="shared" si="50"/>
        <v>7.6895019143444779E-2</v>
      </c>
      <c r="I100" s="1439"/>
      <c r="J100" s="1479">
        <f t="shared" si="51"/>
        <v>7.3426921952402788E-2</v>
      </c>
      <c r="K100" s="1479">
        <f t="shared" si="51"/>
        <v>7.1030508486124286E-2</v>
      </c>
      <c r="L100" s="1479">
        <f t="shared" si="51"/>
        <v>6.8646349527249295E-2</v>
      </c>
      <c r="M100" s="1479">
        <f t="shared" si="51"/>
        <v>6.9209900111050424E-2</v>
      </c>
      <c r="N100" s="1439"/>
      <c r="O100" s="1479">
        <f t="shared" si="52"/>
        <v>6.7347792098993095E-2</v>
      </c>
      <c r="P100" s="1479">
        <f t="shared" si="52"/>
        <v>6.518357530791527E-2</v>
      </c>
      <c r="Q100" s="1479">
        <f t="shared" si="52"/>
        <v>6.518357530791527E-2</v>
      </c>
      <c r="R100" s="1479">
        <f t="shared" si="52"/>
        <v>6.518357530791527E-2</v>
      </c>
      <c r="S100" s="1480"/>
      <c r="T100" s="1479">
        <f t="shared" si="53"/>
        <v>6.1741432641505098E-2</v>
      </c>
      <c r="U100" s="1479">
        <f t="shared" si="53"/>
        <v>6.2E-2</v>
      </c>
      <c r="V100" s="1479">
        <f t="shared" si="53"/>
        <v>6.2E-2</v>
      </c>
      <c r="W100" s="1478">
        <f>W83</f>
        <v>6.1100000000000002E-2</v>
      </c>
      <c r="X100" s="394"/>
      <c r="Y100" s="1437">
        <f t="shared" si="54"/>
        <v>5.8999999999999997E-2</v>
      </c>
      <c r="Z100" s="1438">
        <f t="shared" si="54"/>
        <v>5.8999999999999997E-2</v>
      </c>
      <c r="AA100" s="1438">
        <f t="shared" si="55"/>
        <v>5.2999999999999999E-2</v>
      </c>
      <c r="AB100" s="1469">
        <f t="shared" ca="1" si="55"/>
        <v>5.2999999999999999E-2</v>
      </c>
      <c r="AC100" s="394"/>
      <c r="AD100" s="1479">
        <f>AD83-0.25%</f>
        <v>4.9999999999999996E-2</v>
      </c>
      <c r="AE100" s="1479">
        <f>AE83-0.25%</f>
        <v>4.9999999999999996E-2</v>
      </c>
      <c r="AF100" s="1479">
        <f>AF83-0.25%</f>
        <v>4.9999999999999996E-2</v>
      </c>
      <c r="AG100" s="1479">
        <f>AG83-0.25%</f>
        <v>4.9999999999999996E-2</v>
      </c>
      <c r="AH100" s="1439"/>
      <c r="AI100" s="1479">
        <f>AI83-0.25%</f>
        <v>5.2499999999999998E-2</v>
      </c>
      <c r="AJ100" s="1479">
        <f>AJ83-0.25%</f>
        <v>5.2499999999999998E-2</v>
      </c>
      <c r="AK100" s="1479">
        <f>AK83-0.25%</f>
        <v>5.2499999999999998E-2</v>
      </c>
      <c r="AL100" s="1752">
        <f>AL83-0</f>
        <v>5.5E-2</v>
      </c>
      <c r="AM100" s="1439"/>
      <c r="AN100" s="1481">
        <f>AN83-0.5%</f>
        <v>0.05</v>
      </c>
      <c r="AO100" s="1481">
        <f>AO83-0.5%</f>
        <v>0.05</v>
      </c>
      <c r="AP100" s="1481">
        <f>AP83-0.5%</f>
        <v>0.05</v>
      </c>
      <c r="AQ100" s="1481">
        <f>AQ83-0.5%</f>
        <v>0.05</v>
      </c>
      <c r="AR100" s="1439"/>
      <c r="AS100" s="1481">
        <f>AS83-0.5%</f>
        <v>0.05</v>
      </c>
      <c r="AT100" s="1481">
        <f>AT83-0.5%</f>
        <v>0.05</v>
      </c>
      <c r="AU100" s="1481">
        <f>AU83-0.5%</f>
        <v>0.05</v>
      </c>
      <c r="AV100" s="1481">
        <f>AV83-0.5%</f>
        <v>0.05</v>
      </c>
      <c r="AW100" s="1439"/>
      <c r="AX100" s="1481">
        <f>AX83-0.5%</f>
        <v>0.05</v>
      </c>
      <c r="AY100" s="1481">
        <f>AY83-0.5%</f>
        <v>0.05</v>
      </c>
      <c r="AZ100" s="1481">
        <f>AZ83-0.5%</f>
        <v>0.05</v>
      </c>
      <c r="BA100" s="1481">
        <f>BA83-0.5%</f>
        <v>0.05</v>
      </c>
      <c r="BB100" s="1439"/>
      <c r="BC100" s="1481">
        <f>BC83-0.5%</f>
        <v>0.05</v>
      </c>
      <c r="BD100" s="1481">
        <f>BD83-0.5%</f>
        <v>0.05</v>
      </c>
      <c r="BE100" s="1481">
        <f>BE83-0.5%</f>
        <v>0.05</v>
      </c>
      <c r="BF100" s="1481">
        <f>BF83-0.5%</f>
        <v>0.05</v>
      </c>
      <c r="BG100" s="1439"/>
      <c r="BH100" s="1481">
        <f>BH83-0.5%</f>
        <v>0.05</v>
      </c>
      <c r="BI100" s="1481">
        <f>BI83-0.5%</f>
        <v>0.05</v>
      </c>
      <c r="BJ100" s="1481">
        <f>BJ83-0.5%</f>
        <v>0.05</v>
      </c>
      <c r="BK100" s="1481">
        <f>BK83-0.5%</f>
        <v>0.05</v>
      </c>
      <c r="BL100" s="1439"/>
    </row>
    <row r="101" spans="1:64" outlineLevel="2" x14ac:dyDescent="0.2">
      <c r="A101" s="238"/>
      <c r="B101" s="289"/>
      <c r="C101" s="1482" t="s">
        <v>1189</v>
      </c>
      <c r="D101" s="289"/>
      <c r="E101" s="1476">
        <f t="shared" si="50"/>
        <v>0.40126815673683591</v>
      </c>
      <c r="F101" s="1479">
        <f t="shared" si="50"/>
        <v>0.41719569976022713</v>
      </c>
      <c r="G101" s="1479">
        <f t="shared" si="50"/>
        <v>0.40985312290900061</v>
      </c>
      <c r="H101" s="1479">
        <f t="shared" si="50"/>
        <v>0.45192189837239632</v>
      </c>
      <c r="I101" s="1105"/>
      <c r="J101" s="1479">
        <f t="shared" si="51"/>
        <v>0.38142846297918576</v>
      </c>
      <c r="K101" s="1479">
        <f t="shared" si="51"/>
        <v>0.41391798438566091</v>
      </c>
      <c r="L101" s="1479">
        <f t="shared" si="51"/>
        <v>0.42194029429029062</v>
      </c>
      <c r="M101" s="1479">
        <f t="shared" si="51"/>
        <v>0.45551111443821213</v>
      </c>
      <c r="N101" s="1105"/>
      <c r="O101" s="1479">
        <f t="shared" si="52"/>
        <v>0.38431454776073914</v>
      </c>
      <c r="P101" s="1479">
        <f t="shared" si="52"/>
        <v>0.42133953236123184</v>
      </c>
      <c r="Q101" s="1479">
        <f t="shared" si="52"/>
        <v>0.41439922695857107</v>
      </c>
      <c r="R101" s="1479">
        <f t="shared" si="52"/>
        <v>0.4188811207428304</v>
      </c>
      <c r="S101" s="1105"/>
      <c r="T101" s="1479">
        <f t="shared" si="53"/>
        <v>0.36568767587942286</v>
      </c>
      <c r="U101" s="1479">
        <f t="shared" si="53"/>
        <v>0.41105776716278802</v>
      </c>
      <c r="V101" s="1479">
        <f t="shared" si="53"/>
        <v>0.41389722617324115</v>
      </c>
      <c r="W101" s="1478">
        <f>W84</f>
        <v>0.44339256777990116</v>
      </c>
      <c r="X101" s="1483"/>
      <c r="Y101" s="1437">
        <f t="shared" si="54"/>
        <v>0.42607613976417913</v>
      </c>
      <c r="Z101" s="1440">
        <f t="shared" si="54"/>
        <v>0.43069727046079148</v>
      </c>
      <c r="AA101" s="1440">
        <f t="shared" si="55"/>
        <v>0.42354563524467725</v>
      </c>
      <c r="AB101" s="1728">
        <f t="shared" ca="1" si="55"/>
        <v>0.43747309434302956</v>
      </c>
      <c r="AC101" s="1483"/>
      <c r="AD101" s="1739">
        <f>AD84-1%</f>
        <v>0.43</v>
      </c>
      <c r="AE101" s="1739">
        <f>AE84-1%</f>
        <v>0.43</v>
      </c>
      <c r="AF101" s="1739">
        <f>AF84-1%</f>
        <v>0.43</v>
      </c>
      <c r="AG101" s="1739">
        <f>AG84-1%</f>
        <v>0.43</v>
      </c>
      <c r="AH101" s="1105"/>
      <c r="AI101" s="1739">
        <f>AI84-1%</f>
        <v>0.43</v>
      </c>
      <c r="AJ101" s="1739">
        <f>AJ84-1%</f>
        <v>0.43</v>
      </c>
      <c r="AK101" s="1739">
        <f>AK84-1%</f>
        <v>0.43</v>
      </c>
      <c r="AL101" s="1751">
        <f>AL84-0.15%</f>
        <v>0.4385</v>
      </c>
      <c r="AM101" s="1483"/>
      <c r="AN101" s="1466">
        <f>AN84-1%</f>
        <v>0.43</v>
      </c>
      <c r="AO101" s="1466">
        <f>AO84-1%</f>
        <v>0.43</v>
      </c>
      <c r="AP101" s="1466">
        <f>AP84-1%</f>
        <v>0.43</v>
      </c>
      <c r="AQ101" s="1466">
        <f>AQ84-1%</f>
        <v>0.43</v>
      </c>
      <c r="AR101" s="1483"/>
      <c r="AS101" s="1466">
        <f>AS84-1%</f>
        <v>0.43</v>
      </c>
      <c r="AT101" s="1466">
        <f>AT84-1%</f>
        <v>0.42499999999999999</v>
      </c>
      <c r="AU101" s="1466">
        <f>AU84-1%</f>
        <v>0.42</v>
      </c>
      <c r="AV101" s="1466">
        <f>AV84-1%</f>
        <v>0.42</v>
      </c>
      <c r="AW101" s="1483"/>
      <c r="AX101" s="1466">
        <f>AX84-1%</f>
        <v>0.435</v>
      </c>
      <c r="AY101" s="1466">
        <f>AY84-1%</f>
        <v>0.43</v>
      </c>
      <c r="AZ101" s="1466">
        <f>AZ84-1%</f>
        <v>0.42499999999999999</v>
      </c>
      <c r="BA101" s="1466">
        <f>BA84-1%</f>
        <v>0.42499999999999999</v>
      </c>
      <c r="BB101" s="1483"/>
      <c r="BC101" s="1466">
        <f>BC84-1%</f>
        <v>0.44</v>
      </c>
      <c r="BD101" s="1466">
        <f>BD84-1%</f>
        <v>0.435</v>
      </c>
      <c r="BE101" s="1466">
        <f>BE84-1%</f>
        <v>0.43</v>
      </c>
      <c r="BF101" s="1466">
        <f>BF84-1%</f>
        <v>0.43</v>
      </c>
      <c r="BG101" s="1483"/>
      <c r="BH101" s="1466">
        <f>BH84-1%</f>
        <v>0.44500000000000001</v>
      </c>
      <c r="BI101" s="1466">
        <f>BI84-1%</f>
        <v>0.44</v>
      </c>
      <c r="BJ101" s="1466">
        <f>BJ84-1%</f>
        <v>0.435</v>
      </c>
      <c r="BK101" s="1466">
        <f>BK84-1%</f>
        <v>0.435</v>
      </c>
      <c r="BL101" s="1483"/>
    </row>
    <row r="102" spans="1:64" outlineLevel="2" x14ac:dyDescent="0.2">
      <c r="A102" s="238"/>
      <c r="B102" s="289"/>
      <c r="C102" s="1386"/>
      <c r="D102" s="289"/>
      <c r="E102" s="1441"/>
      <c r="F102" s="1442"/>
      <c r="G102" s="1442"/>
      <c r="H102" s="1442"/>
      <c r="I102" s="1439"/>
      <c r="J102" s="1442"/>
      <c r="K102" s="1442"/>
      <c r="L102" s="1442"/>
      <c r="M102" s="1442"/>
      <c r="N102" s="1439"/>
      <c r="O102" s="1442"/>
      <c r="P102" s="1442"/>
      <c r="Q102" s="1442"/>
      <c r="R102" s="1442"/>
      <c r="S102" s="1439"/>
      <c r="T102" s="1442"/>
      <c r="U102" s="1442"/>
      <c r="V102" s="1442"/>
      <c r="W102" s="1651"/>
      <c r="X102" s="394"/>
      <c r="Y102" s="1656"/>
      <c r="Z102" s="1445"/>
      <c r="AA102" s="1445"/>
      <c r="AB102" s="1469"/>
      <c r="AC102" s="394"/>
      <c r="AD102" s="1479"/>
      <c r="AE102" s="1479"/>
      <c r="AF102" s="1479"/>
      <c r="AG102" s="1479"/>
      <c r="AH102" s="1439"/>
      <c r="AI102" s="1479"/>
      <c r="AJ102" s="1479"/>
      <c r="AK102" s="1479"/>
      <c r="AL102" s="1486"/>
      <c r="AM102" s="394"/>
      <c r="AN102" s="1481"/>
      <c r="AO102" s="1487"/>
      <c r="AP102" s="1487"/>
      <c r="AQ102" s="1486"/>
      <c r="AR102" s="394"/>
      <c r="AS102" s="1481"/>
      <c r="AT102" s="1487"/>
      <c r="AU102" s="1487"/>
      <c r="AV102" s="1486"/>
      <c r="AW102" s="394"/>
      <c r="AX102" s="1481"/>
      <c r="AY102" s="1487"/>
      <c r="AZ102" s="1487"/>
      <c r="BA102" s="1486"/>
      <c r="BB102" s="394"/>
      <c r="BC102" s="1481"/>
      <c r="BD102" s="1487"/>
      <c r="BE102" s="1487"/>
      <c r="BF102" s="1486"/>
      <c r="BG102" s="394"/>
      <c r="BH102" s="1481"/>
      <c r="BI102" s="1487"/>
      <c r="BJ102" s="1487"/>
      <c r="BK102" s="1486"/>
      <c r="BL102" s="394"/>
    </row>
    <row r="103" spans="1:64" ht="12" outlineLevel="2" thickBot="1" x14ac:dyDescent="0.25">
      <c r="A103" s="238"/>
      <c r="B103" s="289"/>
      <c r="C103" s="1457" t="str">
        <f>$C$21</f>
        <v>SG&amp;A Y/Y Growth</v>
      </c>
      <c r="D103" s="289"/>
      <c r="E103" s="1458">
        <f>E86</f>
        <v>0.13750052194246121</v>
      </c>
      <c r="F103" s="1459">
        <f>F86</f>
        <v>0.17876338397731595</v>
      </c>
      <c r="G103" s="1459">
        <f>G86</f>
        <v>0.18832913171054289</v>
      </c>
      <c r="H103" s="1459">
        <f>H86</f>
        <v>5.091135475391706E-2</v>
      </c>
      <c r="I103" s="1460"/>
      <c r="J103" s="1459">
        <f>J86</f>
        <v>-9.9845826297627616E-3</v>
      </c>
      <c r="K103" s="1459">
        <f>K86</f>
        <v>2.717840089038881E-2</v>
      </c>
      <c r="L103" s="1459">
        <f>L86</f>
        <v>-1.8779995826667673E-3</v>
      </c>
      <c r="M103" s="1459">
        <f>M86</f>
        <v>-1.4316274477538249E-2</v>
      </c>
      <c r="N103" s="1460"/>
      <c r="O103" s="1459">
        <f>O86</f>
        <v>2.9291805710048191E-2</v>
      </c>
      <c r="P103" s="1459">
        <f>P86</f>
        <v>8.0391471513456825E-3</v>
      </c>
      <c r="Q103" s="1459">
        <f>Q86</f>
        <v>6.2717770034843578E-3</v>
      </c>
      <c r="R103" s="1459">
        <f>R86</f>
        <v>-4.5976627712854712E-2</v>
      </c>
      <c r="S103" s="1460"/>
      <c r="T103" s="1459">
        <f>T86</f>
        <v>7.8530259365994226E-2</v>
      </c>
      <c r="U103" s="1459">
        <f>U86</f>
        <v>4.680998613037457E-2</v>
      </c>
      <c r="V103" s="1459">
        <f>V86</f>
        <v>6.4750692520775699E-2</v>
      </c>
      <c r="W103" s="1649">
        <f>W86</f>
        <v>0.12550309732964693</v>
      </c>
      <c r="X103" s="1472"/>
      <c r="Y103" s="1458">
        <f>Y86</f>
        <v>2.6252505010019966E-2</v>
      </c>
      <c r="Z103" s="1683">
        <f>Z86</f>
        <v>3.2262338522689671E-2</v>
      </c>
      <c r="AA103" s="1683">
        <f>AA86</f>
        <v>1.3983739837398312E-2</v>
      </c>
      <c r="AB103" s="1731">
        <f>AB86</f>
        <v>3.2712459964551188E-2</v>
      </c>
      <c r="AC103" s="1472"/>
      <c r="AD103" s="1461">
        <v>2.5000000000000001E-2</v>
      </c>
      <c r="AE103" s="1461">
        <v>2.5000000000000001E-2</v>
      </c>
      <c r="AF103" s="1461">
        <v>2.5000000000000001E-2</v>
      </c>
      <c r="AG103" s="1461">
        <v>2.5000000000000001E-2</v>
      </c>
      <c r="AH103" s="1460"/>
      <c r="AI103" s="1461">
        <v>2.5000000000000001E-2</v>
      </c>
      <c r="AJ103" s="1461">
        <v>2.5000000000000001E-2</v>
      </c>
      <c r="AK103" s="1461">
        <v>2.5000000000000001E-2</v>
      </c>
      <c r="AL103" s="1462">
        <v>1.4999999999999999E-2</v>
      </c>
      <c r="AM103" s="1472"/>
      <c r="AN103" s="1462">
        <f>AN86+0.01</f>
        <v>0.03</v>
      </c>
      <c r="AO103" s="1462">
        <f t="shared" ref="AO103:BA103" si="56">AO86+0.01</f>
        <v>0.03</v>
      </c>
      <c r="AP103" s="1462">
        <f t="shared" si="56"/>
        <v>0.03</v>
      </c>
      <c r="AQ103" s="1462">
        <f t="shared" si="56"/>
        <v>0.03</v>
      </c>
      <c r="AR103" s="1472"/>
      <c r="AS103" s="1462">
        <f t="shared" si="56"/>
        <v>-2E-3</v>
      </c>
      <c r="AT103" s="1462">
        <f t="shared" si="56"/>
        <v>-2E-3</v>
      </c>
      <c r="AU103" s="1462">
        <f t="shared" si="56"/>
        <v>-2E-3</v>
      </c>
      <c r="AV103" s="1471">
        <f t="shared" si="56"/>
        <v>-2E-3</v>
      </c>
      <c r="AW103" s="1472"/>
      <c r="AX103" s="1462">
        <f t="shared" si="56"/>
        <v>0.01</v>
      </c>
      <c r="AY103" s="1462">
        <f t="shared" si="56"/>
        <v>-7.5000000000000015E-3</v>
      </c>
      <c r="AZ103" s="1462">
        <f t="shared" si="56"/>
        <v>-7.5000000000000015E-3</v>
      </c>
      <c r="BA103" s="1471">
        <f t="shared" si="56"/>
        <v>-0.01</v>
      </c>
      <c r="BB103" s="1472"/>
      <c r="BC103" s="1462">
        <f>BC86+0.01</f>
        <v>2.8999999999999998E-2</v>
      </c>
      <c r="BD103" s="1462">
        <f>BD86+0.01</f>
        <v>2.8999999999999998E-2</v>
      </c>
      <c r="BE103" s="1462">
        <f>BE86+0.01</f>
        <v>2.8999999999999998E-2</v>
      </c>
      <c r="BF103" s="1471">
        <f>BF86+0.01</f>
        <v>2.8999999999999998E-2</v>
      </c>
      <c r="BG103" s="1472"/>
      <c r="BH103" s="1462">
        <f>BH86+0.01</f>
        <v>2.8999999999999998E-2</v>
      </c>
      <c r="BI103" s="1462">
        <f>BI86+0.01</f>
        <v>2.8999999999999998E-2</v>
      </c>
      <c r="BJ103" s="1462">
        <f>BJ86+0.01</f>
        <v>2.8999999999999998E-2</v>
      </c>
      <c r="BK103" s="1471">
        <f>BK86+0.01</f>
        <v>2.8999999999999998E-2</v>
      </c>
      <c r="BL103" s="1472"/>
    </row>
    <row r="104" spans="1:64" outlineLevel="1" x14ac:dyDescent="0.2">
      <c r="A104" s="238"/>
      <c r="B104" s="300"/>
      <c r="C104" s="300"/>
      <c r="D104" s="300"/>
      <c r="E104" s="300"/>
      <c r="F104" s="300"/>
      <c r="G104" s="300"/>
      <c r="H104" s="300"/>
      <c r="I104" s="300"/>
      <c r="J104" s="300"/>
      <c r="K104" s="300"/>
      <c r="L104" s="300"/>
      <c r="M104" s="300"/>
      <c r="N104" s="300"/>
      <c r="O104" s="300"/>
      <c r="P104" s="300"/>
      <c r="Q104" s="300"/>
      <c r="R104" s="300"/>
      <c r="S104" s="300"/>
      <c r="T104" s="300"/>
      <c r="U104" s="300"/>
      <c r="V104" s="300"/>
      <c r="W104" s="300"/>
      <c r="X104" s="300"/>
      <c r="Y104" s="300"/>
      <c r="Z104" s="300"/>
      <c r="AA104" s="300"/>
      <c r="AB104" s="300"/>
      <c r="AC104" s="300"/>
      <c r="AD104" s="300"/>
      <c r="AE104" s="300"/>
      <c r="AF104" s="300"/>
      <c r="AG104" s="300"/>
      <c r="AH104" s="300"/>
      <c r="AI104" s="300"/>
      <c r="AJ104" s="300"/>
      <c r="AK104" s="300"/>
      <c r="AL104" s="300"/>
      <c r="AM104" s="300"/>
      <c r="AN104" s="300"/>
      <c r="AO104" s="300"/>
      <c r="AP104" s="300"/>
      <c r="AQ104" s="300"/>
      <c r="AR104" s="300"/>
      <c r="AS104" s="300"/>
      <c r="AT104" s="300"/>
      <c r="AU104" s="300"/>
      <c r="AV104" s="300"/>
      <c r="AW104" s="300"/>
      <c r="AX104" s="300"/>
      <c r="AY104" s="300"/>
      <c r="AZ104" s="300"/>
      <c r="BA104" s="300"/>
      <c r="BB104" s="300"/>
      <c r="BC104" s="300"/>
      <c r="BD104" s="300"/>
      <c r="BE104" s="300"/>
      <c r="BF104" s="300"/>
      <c r="BG104" s="300"/>
      <c r="BH104" s="300"/>
      <c r="BI104" s="300"/>
      <c r="BJ104" s="300"/>
      <c r="BK104" s="300"/>
      <c r="BL104" s="300"/>
    </row>
    <row r="105" spans="1:64" ht="12" thickBot="1" x14ac:dyDescent="0.25">
      <c r="A105" s="238"/>
      <c r="B105" s="300"/>
      <c r="C105" s="300"/>
      <c r="D105" s="300"/>
      <c r="E105" s="236"/>
      <c r="F105" s="236"/>
      <c r="G105" s="236"/>
      <c r="H105" s="236"/>
      <c r="I105" s="236"/>
      <c r="J105" s="236"/>
      <c r="K105" s="236"/>
      <c r="L105" s="236"/>
      <c r="M105" s="236"/>
      <c r="N105" s="236"/>
      <c r="O105" s="236"/>
      <c r="P105" s="236"/>
      <c r="Q105" s="236"/>
      <c r="R105" s="236"/>
      <c r="S105" s="236"/>
      <c r="T105" s="236"/>
      <c r="U105" s="236"/>
      <c r="V105" s="236"/>
      <c r="W105" s="236"/>
      <c r="X105" s="236"/>
      <c r="Y105" s="236"/>
      <c r="Z105" s="236"/>
      <c r="AA105" s="236"/>
      <c r="AB105" s="236"/>
      <c r="AC105" s="1488"/>
      <c r="AD105" s="236"/>
      <c r="AE105" s="236"/>
      <c r="AF105" s="236"/>
      <c r="AG105" s="236"/>
      <c r="AI105" s="236"/>
      <c r="AJ105" s="236"/>
      <c r="AK105" s="236"/>
      <c r="AL105" s="236"/>
      <c r="AM105" s="236"/>
      <c r="AN105" s="236"/>
      <c r="AO105" s="236"/>
      <c r="AP105" s="236"/>
      <c r="AQ105" s="236"/>
      <c r="AR105" s="236"/>
      <c r="AS105" s="236"/>
      <c r="AT105" s="236"/>
      <c r="AU105" s="236"/>
      <c r="AV105" s="236"/>
      <c r="AW105" s="236"/>
      <c r="AX105" s="236"/>
      <c r="AY105" s="236"/>
      <c r="AZ105" s="236"/>
      <c r="BA105" s="236"/>
      <c r="BB105" s="236"/>
      <c r="BC105" s="236"/>
      <c r="BD105" s="236"/>
      <c r="BE105" s="236"/>
      <c r="BF105" s="236"/>
      <c r="BG105" s="236"/>
      <c r="BH105" s="236"/>
      <c r="BI105" s="236"/>
      <c r="BJ105" s="236"/>
      <c r="BK105" s="236"/>
      <c r="BL105" s="236"/>
    </row>
    <row r="106" spans="1:64" ht="12" thickBot="1" x14ac:dyDescent="0.25">
      <c r="A106" s="238"/>
      <c r="B106" s="289"/>
      <c r="C106" s="1433" t="s">
        <v>1201</v>
      </c>
      <c r="D106" s="1434"/>
      <c r="E106" s="1434"/>
      <c r="F106" s="1434"/>
      <c r="G106" s="1434"/>
      <c r="H106" s="1434"/>
      <c r="I106" s="1435"/>
      <c r="J106" s="1434"/>
      <c r="K106" s="1434"/>
      <c r="L106" s="1434"/>
      <c r="M106" s="1434"/>
      <c r="N106" s="1435"/>
      <c r="O106" s="1434"/>
      <c r="P106" s="1434"/>
      <c r="Q106" s="1434"/>
      <c r="R106" s="1434"/>
      <c r="S106" s="1435"/>
      <c r="T106" s="1434"/>
      <c r="U106" s="1434"/>
      <c r="V106" s="1434"/>
      <c r="W106" s="1434"/>
      <c r="X106" s="1435"/>
      <c r="Y106" s="1434"/>
      <c r="Z106" s="1434"/>
      <c r="AA106" s="1434"/>
      <c r="AB106" s="1434"/>
      <c r="AC106" s="1435"/>
      <c r="AD106" s="1434"/>
      <c r="AE106" s="1434"/>
      <c r="AF106" s="1434"/>
      <c r="AG106" s="1434"/>
      <c r="AH106" s="1435"/>
      <c r="AI106" s="1434"/>
      <c r="AJ106" s="1434"/>
      <c r="AK106" s="1434"/>
      <c r="AL106" s="1434"/>
      <c r="AM106" s="1435"/>
      <c r="AN106" s="1434"/>
      <c r="AO106" s="1434"/>
      <c r="AP106" s="1434"/>
      <c r="AQ106" s="1434"/>
      <c r="AR106" s="1435"/>
      <c r="AS106" s="1434"/>
      <c r="AT106" s="1434"/>
      <c r="AU106" s="1434"/>
      <c r="AV106" s="1434"/>
      <c r="AW106" s="1435"/>
      <c r="AX106" s="1434"/>
      <c r="AY106" s="1434"/>
      <c r="AZ106" s="1434"/>
      <c r="BA106" s="1434"/>
      <c r="BB106" s="1435"/>
      <c r="BC106" s="1434"/>
      <c r="BD106" s="1434"/>
      <c r="BE106" s="1434"/>
      <c r="BF106" s="1434"/>
      <c r="BG106" s="1435"/>
      <c r="BH106" s="1434"/>
      <c r="BI106" s="1434"/>
      <c r="BJ106" s="1434"/>
      <c r="BK106" s="1434"/>
      <c r="BL106" s="1435"/>
    </row>
    <row r="107" spans="1:64" ht="12" thickBot="1" x14ac:dyDescent="0.25">
      <c r="A107" s="238"/>
      <c r="B107" s="1375" t="str">
        <f>B21</f>
        <v xml:space="preserve">Base </v>
      </c>
      <c r="C107" s="1489" t="s">
        <v>1202</v>
      </c>
      <c r="D107" s="394"/>
      <c r="E107" s="475"/>
      <c r="F107" s="1490"/>
      <c r="G107" s="1490"/>
      <c r="H107" s="1491"/>
      <c r="I107" s="1492"/>
      <c r="J107" s="1490"/>
      <c r="K107" s="1490"/>
      <c r="L107" s="1490"/>
      <c r="M107" s="1490"/>
      <c r="N107" s="1492"/>
      <c r="O107" s="1490"/>
      <c r="P107" s="1490"/>
      <c r="Q107" s="1490"/>
      <c r="R107" s="1490"/>
      <c r="S107" s="1492"/>
      <c r="T107" s="1490"/>
      <c r="U107" s="1490"/>
      <c r="V107" s="1490"/>
      <c r="W107" s="1490"/>
      <c r="X107" s="1492"/>
      <c r="Y107" s="1490"/>
      <c r="Z107" s="1490"/>
      <c r="AA107" s="1490"/>
      <c r="AB107" s="1490"/>
      <c r="AC107" s="1493"/>
      <c r="AD107" s="1490"/>
      <c r="AE107" s="1490"/>
      <c r="AF107" s="1490"/>
      <c r="AG107" s="1490"/>
      <c r="AH107" s="1492"/>
      <c r="AI107" s="1490"/>
      <c r="AJ107" s="1490"/>
      <c r="AK107" s="1490"/>
      <c r="AL107" s="1490"/>
      <c r="AM107" s="1492"/>
      <c r="AN107" s="1490"/>
      <c r="AO107" s="1490"/>
      <c r="AP107" s="1490"/>
      <c r="AQ107" s="1490"/>
      <c r="AR107" s="1492"/>
      <c r="AS107" s="1490"/>
      <c r="AT107" s="1490"/>
      <c r="AU107" s="1490"/>
      <c r="AV107" s="1490"/>
      <c r="AW107" s="1492"/>
      <c r="AX107" s="1490"/>
      <c r="AY107" s="1490"/>
      <c r="AZ107" s="1490"/>
      <c r="BA107" s="1490"/>
      <c r="BB107" s="1492"/>
      <c r="BC107" s="1490"/>
      <c r="BD107" s="1490"/>
      <c r="BE107" s="1490"/>
      <c r="BF107" s="1490"/>
      <c r="BG107" s="1492"/>
      <c r="BH107" s="1490"/>
      <c r="BI107" s="1490"/>
      <c r="BJ107" s="1490"/>
      <c r="BK107" s="1490"/>
      <c r="BL107" s="1492"/>
    </row>
    <row r="108" spans="1:64" x14ac:dyDescent="0.2">
      <c r="A108" s="238"/>
      <c r="B108" s="289"/>
      <c r="C108" s="1383" t="s">
        <v>240</v>
      </c>
      <c r="D108" s="394"/>
      <c r="E108" s="1378">
        <f>PBM!BR91</f>
        <v>4.3816254416961131E-2</v>
      </c>
      <c r="F108" s="1378">
        <f>PBM!BS91</f>
        <v>8.8041085840058653E-2</v>
      </c>
      <c r="G108" s="1378">
        <f>PBM!BT91</f>
        <v>9.0029761904761862E-2</v>
      </c>
      <c r="H108" s="1494">
        <f>PBM!BU91</f>
        <v>-5.5520898315658207E-2</v>
      </c>
      <c r="I108" s="1379">
        <f>PBM!BV91</f>
        <v>3.737991266375551E-2</v>
      </c>
      <c r="J108" s="1378">
        <f>PBM!BW91</f>
        <v>-0.10629654705484082</v>
      </c>
      <c r="K108" s="1378">
        <f>PBM!BX91</f>
        <v>-0.13486176668914363</v>
      </c>
      <c r="L108" s="1378">
        <f>PBM!BY91</f>
        <v>-0.12491467576791815</v>
      </c>
      <c r="M108" s="1378">
        <f>PBM!BZ91</f>
        <v>-0.12681638044914145</v>
      </c>
      <c r="N108" s="1379">
        <f>PBM!CA91</f>
        <v>-0.123253072907897</v>
      </c>
      <c r="O108" s="1378">
        <f>PBM!CB91</f>
        <v>0.19469696969696959</v>
      </c>
      <c r="P108" s="1378">
        <f>PBM!CC91</f>
        <v>0.35619641465315643</v>
      </c>
      <c r="Q108" s="1378">
        <f>PBM!CD91</f>
        <v>0.39781591263650551</v>
      </c>
      <c r="R108" s="1378">
        <f>PBM!CE91</f>
        <v>0.46019667170953116</v>
      </c>
      <c r="S108" s="1379">
        <f>PBM!CF91</f>
        <v>0.35190704820434027</v>
      </c>
      <c r="T108" s="1378">
        <f>PBM!CG91</f>
        <v>0.25871908687381118</v>
      </c>
      <c r="U108" s="1378">
        <f>PBM!CH91</f>
        <v>0.13687356321839084</v>
      </c>
      <c r="V108" s="1378">
        <f>PBM!CI91</f>
        <v>9.9330357142857206E-2</v>
      </c>
      <c r="W108" s="1378">
        <f>PBM!CJ91</f>
        <v>6.4557237435116432E-2</v>
      </c>
      <c r="X108" s="1379">
        <f>PBM!CK91</f>
        <v>0.13478175634786016</v>
      </c>
      <c r="Y108" s="1378">
        <f>PBM!CL91</f>
        <v>4.3324937027707788E-2</v>
      </c>
      <c r="Z108" s="1378">
        <f>PBM!CM91</f>
        <v>4.0866259554333428E-2</v>
      </c>
      <c r="AA108" s="1378">
        <f>PBM!CN91</f>
        <v>1.9796954314720949E-2</v>
      </c>
      <c r="AB108" s="1378">
        <f>PBM!CO91</f>
        <v>-2.9197080291970545E-3</v>
      </c>
      <c r="AC108" s="1379">
        <f>PBM!CP91</f>
        <v>2.5017025197291876E-2</v>
      </c>
      <c r="AD108" s="1378">
        <f>PBM!CQ91</f>
        <v>4.3457267020763357E-3</v>
      </c>
      <c r="AE108" s="1378">
        <f>PBM!CR91</f>
        <v>2.1855269548324507E-2</v>
      </c>
      <c r="AF108" s="1378">
        <f>PBM!CS91</f>
        <v>4.330512692882027E-2</v>
      </c>
      <c r="AG108" s="1378">
        <v>0.04</v>
      </c>
      <c r="AH108" s="1379">
        <f>PBM!CU91</f>
        <v>3.7616023448949765E-2</v>
      </c>
      <c r="AI108" s="1378">
        <f>CHOOSE(MATCH($B$107,$C$350:$C$352,0),AI158,AI176,AI194)</f>
        <v>5.0000000000000001E-3</v>
      </c>
      <c r="AJ108" s="1378">
        <v>7.0000000000000007E-2</v>
      </c>
      <c r="AK108" s="1378">
        <f>CHOOSE(MATCH($B$107,$C$350:$C$352,0),AK158,AK176,AK194)</f>
        <v>5.0000000000000001E-3</v>
      </c>
      <c r="AL108" s="1378">
        <f>CHOOSE(MATCH($B$107,$C$350:$C$352,0),AL158,AL176,AL194)</f>
        <v>7.4999999999999997E-2</v>
      </c>
      <c r="AM108" s="1379">
        <f>PBM!CZ91</f>
        <v>0.27671845574387954</v>
      </c>
      <c r="AN108" s="1378">
        <f t="shared" ref="AN108:AQ109" si="57">CHOOSE(MATCH($B$107,$C$350:$C$352,0),AN158,AN176,AN194)</f>
        <v>0.14000000000000001</v>
      </c>
      <c r="AO108" s="1378">
        <f t="shared" si="57"/>
        <v>0.23</v>
      </c>
      <c r="AP108" s="1378">
        <f t="shared" si="57"/>
        <v>0.23</v>
      </c>
      <c r="AQ108" s="1378">
        <f t="shared" si="57"/>
        <v>0.23</v>
      </c>
      <c r="AR108" s="1379">
        <f>PBM!DE91</f>
        <v>0.27933990965243805</v>
      </c>
      <c r="AS108" s="1378">
        <f t="shared" ref="AS108:AV109" si="58">CHOOSE(MATCH($B$107,$C$350:$C$352,0),AS158,AS176,AS194)</f>
        <v>0.09</v>
      </c>
      <c r="AT108" s="1378">
        <f t="shared" si="58"/>
        <v>0.11</v>
      </c>
      <c r="AU108" s="1378">
        <f t="shared" si="58"/>
        <v>0.1</v>
      </c>
      <c r="AV108" s="1378">
        <f t="shared" si="58"/>
        <v>0.09</v>
      </c>
      <c r="AW108" s="1379">
        <f>PBM!DN91</f>
        <v>0.09</v>
      </c>
      <c r="AX108" s="1378">
        <f t="shared" ref="AX108:BA109" si="59">CHOOSE(MATCH($B$107,$C$350:$C$352,0),AX158,AX176,AX194)</f>
        <v>0.08</v>
      </c>
      <c r="AY108" s="1378">
        <f t="shared" si="59"/>
        <v>0.09</v>
      </c>
      <c r="AZ108" s="1378">
        <f t="shared" si="59"/>
        <v>0.09</v>
      </c>
      <c r="BA108" s="1378">
        <f t="shared" si="59"/>
        <v>0.09</v>
      </c>
      <c r="BB108" s="1379">
        <f>PBM!DX91</f>
        <v>1.4999999999999999E-2</v>
      </c>
      <c r="BC108" s="1378">
        <f t="shared" ref="BC108:BF109" si="60">CHOOSE(MATCH($B$107,$C$350:$C$352,0),BC158,BC176,BC194)</f>
        <v>1.4999999999999999E-2</v>
      </c>
      <c r="BD108" s="1378">
        <f t="shared" si="60"/>
        <v>1.4999999999999999E-2</v>
      </c>
      <c r="BE108" s="1378">
        <f t="shared" si="60"/>
        <v>1.4999999999999999E-2</v>
      </c>
      <c r="BF108" s="1378">
        <f t="shared" si="60"/>
        <v>1.4999999999999999E-2</v>
      </c>
      <c r="BG108" s="1379">
        <f>PBM!EC91</f>
        <v>0</v>
      </c>
      <c r="BH108" s="1378">
        <f t="shared" ref="BH108:BK108" si="61">CHOOSE(MATCH($B$107,$C$350:$C$352,0),BH158,BH176,BH194)</f>
        <v>1.4999999999999999E-2</v>
      </c>
      <c r="BI108" s="1378">
        <f t="shared" si="61"/>
        <v>1.4999999999999999E-2</v>
      </c>
      <c r="BJ108" s="1378">
        <f t="shared" si="61"/>
        <v>1.4999999999999999E-2</v>
      </c>
      <c r="BK108" s="1378">
        <f t="shared" si="61"/>
        <v>1.4999999999999999E-2</v>
      </c>
      <c r="BL108" s="1379">
        <f>PBM!EH91</f>
        <v>0</v>
      </c>
    </row>
    <row r="109" spans="1:64" x14ac:dyDescent="0.2">
      <c r="A109" s="238"/>
      <c r="B109" s="289"/>
      <c r="C109" s="1383" t="s">
        <v>774</v>
      </c>
      <c r="D109" s="394"/>
      <c r="E109" s="1378">
        <f>PBM!BR80</f>
        <v>2.614379084967311E-2</v>
      </c>
      <c r="F109" s="1378">
        <f>PBM!BS80</f>
        <v>5.3333333333333455E-2</v>
      </c>
      <c r="G109" s="1378">
        <f>PBM!BT80</f>
        <v>0.11564625850340127</v>
      </c>
      <c r="H109" s="1494">
        <f>PBM!BU80</f>
        <v>5.031446540880502E-2</v>
      </c>
      <c r="I109" s="1379">
        <f>PBM!BV80</f>
        <v>6.075533661740562E-2</v>
      </c>
      <c r="J109" s="1378">
        <f>PBM!BW80</f>
        <v>-1.2738853503184711E-2</v>
      </c>
      <c r="K109" s="1378">
        <f>PBM!BX80</f>
        <v>1.2658227848101111E-2</v>
      </c>
      <c r="L109" s="1378">
        <f>PBM!BY80</f>
        <v>-1.2195121951219523E-2</v>
      </c>
      <c r="M109" s="1378">
        <f>PBM!BZ80</f>
        <v>-1.19760479041916E-2</v>
      </c>
      <c r="N109" s="1379">
        <f>PBM!CA80</f>
        <v>-6.1919504643961343E-3</v>
      </c>
      <c r="O109" s="1378">
        <f>PBM!CB80</f>
        <v>0.12903225806451624</v>
      </c>
      <c r="P109" s="1378">
        <f>PBM!CC80</f>
        <v>0.11250000000000004</v>
      </c>
      <c r="Q109" s="1378">
        <f>PBM!CD80</f>
        <v>8.0246913580247048E-2</v>
      </c>
      <c r="R109" s="1378">
        <f>PBM!CE80</f>
        <v>7.9272727272726939E-2</v>
      </c>
      <c r="S109" s="1379">
        <f>PBM!CF80</f>
        <v>9.9813084112149619E-2</v>
      </c>
      <c r="T109" s="1378">
        <f>PBM!CG80</f>
        <v>0.1657142857142857</v>
      </c>
      <c r="U109" s="1378">
        <f>PBM!CH80</f>
        <v>0.15387640449438211</v>
      </c>
      <c r="V109" s="1378">
        <f>PBM!CI80</f>
        <v>0.1657142857142857</v>
      </c>
      <c r="W109" s="1378">
        <f>PBM!CJ80</f>
        <v>0.14555256064690036</v>
      </c>
      <c r="X109" s="1379">
        <f>PBM!CK80</f>
        <v>0.15764502605937003</v>
      </c>
      <c r="Y109" s="1378">
        <f>PBM!CL80</f>
        <v>4.9019607843137081E-3</v>
      </c>
      <c r="Z109" s="1378">
        <f>PBM!CM80</f>
        <v>7.8387458006716759E-3</v>
      </c>
      <c r="AA109" s="1378">
        <f>PBM!CN80</f>
        <v>2.941176470588247E-2</v>
      </c>
      <c r="AB109" s="1378">
        <f>PBM!CO80</f>
        <v>2.941176470588247E-2</v>
      </c>
      <c r="AC109" s="1379">
        <f>PBM!CP80</f>
        <v>1.787396469249658E-2</v>
      </c>
      <c r="AD109" s="1378">
        <f>PBM!CQ80</f>
        <v>-3.4146341463414553E-2</v>
      </c>
      <c r="AE109" s="1378">
        <f>PBM!CR80</f>
        <v>-9.6618357487922024E-3</v>
      </c>
      <c r="AF109" s="1378">
        <f>PBM!CS80</f>
        <v>-1.4285714285714346E-2</v>
      </c>
      <c r="AG109" s="1378">
        <v>-0.02</v>
      </c>
      <c r="AH109" s="1379">
        <f>PBM!CU80</f>
        <v>-1.0817307692307598E-2</v>
      </c>
      <c r="AI109" s="1378">
        <f>CHOOSE(MATCH($B$107,$C$350:$C$352,0),AI159,AI177,AI195)</f>
        <v>1.8939393939393936</v>
      </c>
      <c r="AJ109" s="1378">
        <v>0.01</v>
      </c>
      <c r="AK109" s="1378">
        <f>CHOOSE(MATCH($B$107,$C$350:$C$352,0),AK159,AK177,AK195)</f>
        <v>1.9710144927536235</v>
      </c>
      <c r="AL109" s="1378">
        <f>CHOOSE(MATCH($B$107,$C$350:$C$352,0),AL159,AL177,AL195)</f>
        <v>0.03</v>
      </c>
      <c r="AM109" s="1379">
        <f>PBM!CZ80</f>
        <v>1.9295261239368164</v>
      </c>
      <c r="AN109" s="1378">
        <f t="shared" si="57"/>
        <v>0.05</v>
      </c>
      <c r="AO109" s="1378">
        <f t="shared" si="57"/>
        <v>0.12</v>
      </c>
      <c r="AP109" s="1378">
        <f t="shared" si="57"/>
        <v>0.12</v>
      </c>
      <c r="AQ109" s="1378">
        <f t="shared" si="57"/>
        <v>7.0000000000000007E-2</v>
      </c>
      <c r="AR109" s="1379">
        <f>PBM!DE80</f>
        <v>4.3135628369971091E-2</v>
      </c>
      <c r="AS109" s="1378">
        <f t="shared" si="58"/>
        <v>0.03</v>
      </c>
      <c r="AT109" s="1378">
        <f t="shared" si="58"/>
        <v>4.4999999999999998E-2</v>
      </c>
      <c r="AU109" s="1378">
        <f t="shared" si="58"/>
        <v>0.05</v>
      </c>
      <c r="AV109" s="1378">
        <f t="shared" si="58"/>
        <v>2.5000000000000001E-2</v>
      </c>
      <c r="AW109" s="1379">
        <f>PBM!DN80</f>
        <v>7.0000000000000007E-2</v>
      </c>
      <c r="AX109" s="1378">
        <f t="shared" si="59"/>
        <v>0.06</v>
      </c>
      <c r="AY109" s="1378">
        <f t="shared" si="59"/>
        <v>7.0000000000000007E-2</v>
      </c>
      <c r="AZ109" s="1378">
        <f t="shared" si="59"/>
        <v>7.0000000000000007E-2</v>
      </c>
      <c r="BA109" s="1378">
        <f t="shared" si="59"/>
        <v>7.0000000000000007E-2</v>
      </c>
      <c r="BB109" s="1379">
        <f>PBM!DX80</f>
        <v>0.01</v>
      </c>
      <c r="BC109" s="1378">
        <f t="shared" si="60"/>
        <v>0.01</v>
      </c>
      <c r="BD109" s="1378">
        <f t="shared" si="60"/>
        <v>0.01</v>
      </c>
      <c r="BE109" s="1378">
        <f t="shared" si="60"/>
        <v>0.01</v>
      </c>
      <c r="BF109" s="1378">
        <f t="shared" si="60"/>
        <v>0.01</v>
      </c>
      <c r="BG109" s="1379">
        <f>PBM!EC80</f>
        <v>0</v>
      </c>
      <c r="BH109" s="1378">
        <f t="shared" ref="BH109:BK109" si="62">CHOOSE(MATCH($B$107,$C$350:$C$352,0),BH159,BH177,BH195)</f>
        <v>0.01</v>
      </c>
      <c r="BI109" s="1378">
        <f t="shared" si="62"/>
        <v>0.01</v>
      </c>
      <c r="BJ109" s="1378">
        <f t="shared" si="62"/>
        <v>0.01</v>
      </c>
      <c r="BK109" s="1378">
        <f t="shared" si="62"/>
        <v>0.01</v>
      </c>
      <c r="BL109" s="1379">
        <f>PBM!EH80</f>
        <v>0</v>
      </c>
    </row>
    <row r="110" spans="1:64" ht="12" thickBot="1" x14ac:dyDescent="0.25">
      <c r="A110" s="238"/>
      <c r="B110" s="289"/>
      <c r="C110" s="1380"/>
      <c r="D110" s="289"/>
      <c r="E110" s="1377"/>
      <c r="F110" s="1381"/>
      <c r="G110" s="1381"/>
      <c r="H110" s="1494"/>
      <c r="I110" s="1379"/>
      <c r="J110" s="1381"/>
      <c r="K110" s="1381"/>
      <c r="L110" s="1381"/>
      <c r="M110" s="1381"/>
      <c r="N110" s="1379"/>
      <c r="O110" s="1381"/>
      <c r="P110" s="1381"/>
      <c r="Q110" s="1381"/>
      <c r="R110" s="1381"/>
      <c r="S110" s="1379"/>
      <c r="T110" s="1381"/>
      <c r="U110" s="1381"/>
      <c r="V110" s="1381"/>
      <c r="W110" s="1381"/>
      <c r="X110" s="1379"/>
      <c r="Y110" s="1381"/>
      <c r="Z110" s="1381"/>
      <c r="AA110" s="1381"/>
      <c r="AB110" s="1381"/>
      <c r="AC110" s="1379"/>
      <c r="AD110" s="1381"/>
      <c r="AE110" s="1381"/>
      <c r="AF110" s="1381"/>
      <c r="AG110" s="1381"/>
      <c r="AH110" s="1379"/>
      <c r="AI110" s="1381"/>
      <c r="AJ110" s="1381"/>
      <c r="AK110" s="1381"/>
      <c r="AL110" s="1381"/>
      <c r="AM110" s="1379"/>
      <c r="AN110" s="1381"/>
      <c r="AO110" s="1381"/>
      <c r="AP110" s="1381"/>
      <c r="AQ110" s="1381"/>
      <c r="AR110" s="1379"/>
      <c r="AS110" s="1381"/>
      <c r="AT110" s="1381"/>
      <c r="AU110" s="1381"/>
      <c r="AV110" s="1381"/>
      <c r="AW110" s="1379"/>
      <c r="AX110" s="1381"/>
      <c r="AY110" s="1381"/>
      <c r="AZ110" s="1381"/>
      <c r="BA110" s="1381"/>
      <c r="BB110" s="1379"/>
      <c r="BC110" s="1381"/>
      <c r="BD110" s="1381"/>
      <c r="BE110" s="1381"/>
      <c r="BF110" s="1381"/>
      <c r="BG110" s="1379"/>
      <c r="BH110" s="1381"/>
      <c r="BI110" s="1381"/>
      <c r="BJ110" s="1381"/>
      <c r="BK110" s="1381"/>
      <c r="BL110" s="1379"/>
    </row>
    <row r="111" spans="1:64" ht="12" thickBot="1" x14ac:dyDescent="0.25">
      <c r="A111" s="238"/>
      <c r="B111" s="1375" t="str">
        <f>B107</f>
        <v xml:space="preserve">Base </v>
      </c>
      <c r="C111" s="1489" t="s">
        <v>1231</v>
      </c>
      <c r="D111" s="289"/>
      <c r="E111" s="1377"/>
      <c r="F111" s="1381"/>
      <c r="G111" s="1381"/>
      <c r="H111" s="1494"/>
      <c r="I111" s="1379"/>
      <c r="J111" s="1381"/>
      <c r="K111" s="1381"/>
      <c r="L111" s="1381"/>
      <c r="M111" s="1381"/>
      <c r="N111" s="1379"/>
      <c r="O111" s="1381"/>
      <c r="P111" s="1381"/>
      <c r="Q111" s="1381"/>
      <c r="R111" s="1381"/>
      <c r="S111" s="1379"/>
      <c r="T111" s="1381"/>
      <c r="U111" s="1381"/>
      <c r="V111" s="1381"/>
      <c r="W111" s="1381"/>
      <c r="X111" s="1379"/>
      <c r="Y111" s="1381"/>
      <c r="Z111" s="1381"/>
      <c r="AA111" s="1381"/>
      <c r="AB111" s="1381"/>
      <c r="AC111" s="1379"/>
      <c r="AD111" s="1381"/>
      <c r="AE111" s="1381"/>
      <c r="AF111" s="1381"/>
      <c r="AG111" s="1381"/>
      <c r="AH111" s="1379"/>
      <c r="AI111" s="1381"/>
      <c r="AJ111" s="1381"/>
      <c r="AK111" s="1381"/>
      <c r="AL111" s="1381"/>
      <c r="AM111" s="1379"/>
      <c r="AN111" s="1381"/>
      <c r="AO111" s="1381"/>
      <c r="AP111" s="1381"/>
      <c r="AQ111" s="1381"/>
      <c r="AR111" s="1379"/>
      <c r="AS111" s="1381"/>
      <c r="AT111" s="1381"/>
      <c r="AU111" s="1381"/>
      <c r="AV111" s="1381"/>
      <c r="AW111" s="1379"/>
      <c r="AX111" s="1381"/>
      <c r="AY111" s="1381"/>
      <c r="AZ111" s="1381"/>
      <c r="BA111" s="1381"/>
      <c r="BB111" s="1379"/>
      <c r="BC111" s="1381"/>
      <c r="BD111" s="1381"/>
      <c r="BE111" s="1381"/>
      <c r="BF111" s="1381"/>
      <c r="BG111" s="1379"/>
      <c r="BH111" s="1381"/>
      <c r="BI111" s="1381"/>
      <c r="BJ111" s="1381"/>
      <c r="BK111" s="1381"/>
      <c r="BL111" s="1379"/>
    </row>
    <row r="112" spans="1:64" x14ac:dyDescent="0.2">
      <c r="A112" s="238"/>
      <c r="B112" s="289"/>
      <c r="C112" s="1495" t="s">
        <v>759</v>
      </c>
      <c r="D112" s="289"/>
      <c r="E112" s="1377"/>
      <c r="F112" s="1381"/>
      <c r="G112" s="1381"/>
      <c r="H112" s="1494"/>
      <c r="I112" s="1379"/>
      <c r="J112" s="1381"/>
      <c r="K112" s="1381"/>
      <c r="L112" s="1381"/>
      <c r="M112" s="1381"/>
      <c r="N112" s="1379"/>
      <c r="O112" s="1381"/>
      <c r="P112" s="1381"/>
      <c r="Q112" s="1381"/>
      <c r="R112" s="1381"/>
      <c r="S112" s="1379"/>
      <c r="T112" s="1381"/>
      <c r="U112" s="1381"/>
      <c r="V112" s="1381"/>
      <c r="W112" s="1381"/>
      <c r="X112" s="1379"/>
      <c r="Y112" s="1381"/>
      <c r="Z112" s="1381"/>
      <c r="AA112" s="1381"/>
      <c r="AB112" s="1381"/>
      <c r="AC112" s="1379"/>
      <c r="AD112" s="1381"/>
      <c r="AE112" s="1381"/>
      <c r="AF112" s="1381"/>
      <c r="AG112" s="1381"/>
      <c r="AH112" s="1379"/>
      <c r="AI112" s="1381"/>
      <c r="AJ112" s="1381"/>
      <c r="AK112" s="1381"/>
      <c r="AL112" s="1381"/>
      <c r="AM112" s="1379"/>
      <c r="AN112" s="1381"/>
      <c r="AO112" s="1381"/>
      <c r="AP112" s="1381"/>
      <c r="AQ112" s="1381"/>
      <c r="AR112" s="1379"/>
      <c r="AS112" s="1381"/>
      <c r="AT112" s="1381"/>
      <c r="AU112" s="1381"/>
      <c r="AV112" s="1381"/>
      <c r="AW112" s="1379"/>
      <c r="AX112" s="1381"/>
      <c r="AY112" s="1381"/>
      <c r="AZ112" s="1381"/>
      <c r="BA112" s="1381"/>
      <c r="BB112" s="1379"/>
      <c r="BC112" s="1381"/>
      <c r="BD112" s="1381"/>
      <c r="BE112" s="1381"/>
      <c r="BF112" s="1381"/>
      <c r="BG112" s="1379"/>
      <c r="BH112" s="1381"/>
      <c r="BI112" s="1381"/>
      <c r="BJ112" s="1381"/>
      <c r="BK112" s="1381"/>
      <c r="BL112" s="1379"/>
    </row>
    <row r="113" spans="1:64" x14ac:dyDescent="0.2">
      <c r="A113" s="238"/>
      <c r="B113" s="289"/>
      <c r="C113" s="1496" t="s">
        <v>786</v>
      </c>
      <c r="D113" s="289"/>
      <c r="E113" s="1388">
        <f>PBM!BR189</f>
        <v>0.104</v>
      </c>
      <c r="F113" s="1389">
        <f>PBM!BS189</f>
        <v>0.104</v>
      </c>
      <c r="G113" s="1389">
        <f>PBM!BT189</f>
        <v>0.104</v>
      </c>
      <c r="H113" s="1497">
        <f>PBM!BU189</f>
        <v>0.104</v>
      </c>
      <c r="I113" s="1390">
        <f>PBM!BV189</f>
        <v>0.104</v>
      </c>
      <c r="J113" s="1389">
        <f>PBM!BW189</f>
        <v>0.104</v>
      </c>
      <c r="K113" s="1389">
        <f>PBM!BX189</f>
        <v>0.104</v>
      </c>
      <c r="L113" s="1389">
        <f>PBM!BY189</f>
        <v>0.104</v>
      </c>
      <c r="M113" s="1389">
        <f>PBM!BZ189</f>
        <v>0.104</v>
      </c>
      <c r="N113" s="1390">
        <f>PBM!CA189</f>
        <v>0.10399999999999997</v>
      </c>
      <c r="O113" s="1389">
        <f>PBM!CB189</f>
        <v>8.0243412470649603E-2</v>
      </c>
      <c r="P113" s="1389">
        <f>PBM!CC189</f>
        <v>8.0243412470649603E-2</v>
      </c>
      <c r="Q113" s="1389">
        <f>PBM!CD189</f>
        <v>0.10586486859226003</v>
      </c>
      <c r="R113" s="1389">
        <f>PBM!CE189</f>
        <v>0.10249999999999999</v>
      </c>
      <c r="S113" s="1390">
        <f>PBM!CF189</f>
        <v>9.2772787481245483E-2</v>
      </c>
      <c r="T113" s="1389">
        <f>PBM!CG189</f>
        <v>5.2491253614573338E-2</v>
      </c>
      <c r="U113" s="1389">
        <f>PBM!CH189</f>
        <v>6.8460742533293359E-2</v>
      </c>
      <c r="V113" s="1389">
        <f>PBM!CI189</f>
        <v>0.11018468909455437</v>
      </c>
      <c r="W113" s="1389">
        <f>PBM!CJ189</f>
        <v>0.1195</v>
      </c>
      <c r="X113" s="1390">
        <f>PBM!CK189</f>
        <v>8.8759708429198877E-2</v>
      </c>
      <c r="Y113" s="1389">
        <f>PBM!CL189</f>
        <v>5.3650000000000003E-2</v>
      </c>
      <c r="Z113" s="1389">
        <f>PBM!CM189</f>
        <v>8.1260159360425688E-2</v>
      </c>
      <c r="AA113" s="1389">
        <f>PBM!CN189</f>
        <v>0.115</v>
      </c>
      <c r="AB113" s="1389">
        <f>PBM!CO189</f>
        <v>9.2499999999999999E-2</v>
      </c>
      <c r="AC113" s="1390">
        <f>PBM!CP189</f>
        <v>8.6035614700804508E-2</v>
      </c>
      <c r="AD113" s="1389">
        <f t="shared" ref="AD113:AF114" si="63">CHOOSE(MATCH($B$111,$C$350:$C$352,0),AD163,AD181,AD199)</f>
        <v>8.2500000000000004E-2</v>
      </c>
      <c r="AE113" s="1389">
        <f t="shared" si="63"/>
        <v>8.2500000000000004E-2</v>
      </c>
      <c r="AF113" s="1389">
        <f t="shared" si="63"/>
        <v>8.2500000000000004E-2</v>
      </c>
      <c r="AG113" s="1389">
        <v>8.5000000000000006E-2</v>
      </c>
      <c r="AH113" s="1390">
        <f>PBM!CU189</f>
        <v>9.2082321934528699E-2</v>
      </c>
      <c r="AI113" s="1389">
        <f>CHOOSE(MATCH($B$111,$C$350:$C$352,0),AI163,AI181,AI199)</f>
        <v>8.2500000000000004E-2</v>
      </c>
      <c r="AJ113" s="1389">
        <v>0.1</v>
      </c>
      <c r="AK113" s="1389">
        <f>CHOOSE(MATCH($B$111,$C$350:$C$352,0),AK163,AK181,AK199)</f>
        <v>8.2500000000000004E-2</v>
      </c>
      <c r="AL113" s="1389">
        <f>CHOOSE(MATCH($B$111,$C$350:$C$352,0),AL163,AL181,AL199)</f>
        <v>0.08</v>
      </c>
      <c r="AM113" s="1390">
        <f ca="1">PBM!CZ189</f>
        <v>9.4772098179170872E-2</v>
      </c>
      <c r="AN113" s="1389">
        <f t="shared" ref="AN113:AQ114" si="64">CHOOSE(MATCH($B$111,$C$350:$C$352,0),AN163,AN181,AN199)</f>
        <v>7.4999999999999997E-2</v>
      </c>
      <c r="AO113" s="1389">
        <f t="shared" si="64"/>
        <v>7.2999999999999995E-2</v>
      </c>
      <c r="AP113" s="1389">
        <f t="shared" si="64"/>
        <v>9.7500000000000003E-2</v>
      </c>
      <c r="AQ113" s="1389">
        <f t="shared" si="64"/>
        <v>7.4999999999999997E-2</v>
      </c>
      <c r="AR113" s="1390">
        <f ca="1">PBM!DE189</f>
        <v>6.890125342936948E-2</v>
      </c>
      <c r="AS113" s="1389">
        <f t="shared" ref="AS113:AV114" si="65">CHOOSE(MATCH($B$111,$C$350:$C$352,0),AS163,AS181,AS199)</f>
        <v>0.05</v>
      </c>
      <c r="AT113" s="1389">
        <f t="shared" si="65"/>
        <v>6.8000000000000005E-2</v>
      </c>
      <c r="AU113" s="1389">
        <f t="shared" si="65"/>
        <v>0.09</v>
      </c>
      <c r="AV113" s="1389">
        <f t="shared" si="65"/>
        <v>8.5000000000000006E-2</v>
      </c>
      <c r="AW113" s="1390">
        <f>PBM!DN189</f>
        <v>9.0000000000000011E-2</v>
      </c>
      <c r="AX113" s="1389">
        <f t="shared" ref="AX113:BA114" si="66">CHOOSE(MATCH($B$111,$C$350:$C$352,0),AX163,AX181,AX199)</f>
        <v>0.05</v>
      </c>
      <c r="AY113" s="1389">
        <f t="shared" si="66"/>
        <v>7.3000000000000009E-2</v>
      </c>
      <c r="AZ113" s="1389">
        <f t="shared" si="66"/>
        <v>9.5000000000000001E-2</v>
      </c>
      <c r="BA113" s="1389">
        <f t="shared" si="66"/>
        <v>9.0000000000000011E-2</v>
      </c>
      <c r="BB113" s="1390">
        <f>PBM!DX189</f>
        <v>8.8000000000000009E-2</v>
      </c>
      <c r="BC113" s="1389">
        <f t="shared" ref="BC113:BF114" si="67">CHOOSE(MATCH($B$111,$C$350:$C$352,0),BC163,BC181,BC199)</f>
        <v>4.9000000000000002E-2</v>
      </c>
      <c r="BD113" s="1389">
        <f t="shared" si="67"/>
        <v>7.2000000000000008E-2</v>
      </c>
      <c r="BE113" s="1389">
        <f t="shared" si="67"/>
        <v>9.4E-2</v>
      </c>
      <c r="BF113" s="1389">
        <f t="shared" si="67"/>
        <v>8.900000000000001E-2</v>
      </c>
      <c r="BG113" s="1390">
        <f>PBM!EC189</f>
        <v>0</v>
      </c>
      <c r="BH113" s="1389">
        <f t="shared" ref="BH113:BK113" si="68">CHOOSE(MATCH($B$111,$C$350:$C$352,0),BH163,BH181,BH199)</f>
        <v>4.8000000000000001E-2</v>
      </c>
      <c r="BI113" s="1389">
        <f t="shared" si="68"/>
        <v>7.1000000000000008E-2</v>
      </c>
      <c r="BJ113" s="1389">
        <f t="shared" si="68"/>
        <v>9.2999999999999999E-2</v>
      </c>
      <c r="BK113" s="1389">
        <f t="shared" si="68"/>
        <v>8.8000000000000009E-2</v>
      </c>
      <c r="BL113" s="1390">
        <f>PBM!EH189</f>
        <v>0</v>
      </c>
    </row>
    <row r="114" spans="1:64" x14ac:dyDescent="0.2">
      <c r="A114" s="238"/>
      <c r="B114" s="289"/>
      <c r="C114" s="1496" t="s">
        <v>745</v>
      </c>
      <c r="D114" s="289"/>
      <c r="E114" s="1388">
        <f>PBM!BR190</f>
        <v>8.9999999999999993E-3</v>
      </c>
      <c r="F114" s="1389">
        <f>PBM!BS190</f>
        <v>7.4999999999999997E-3</v>
      </c>
      <c r="G114" s="1389">
        <f>PBM!BT190</f>
        <v>7.4999999999999997E-3</v>
      </c>
      <c r="H114" s="1497">
        <f>PBM!BU190</f>
        <v>7.4999999999999997E-3</v>
      </c>
      <c r="I114" s="1390">
        <f>PBM!BV190</f>
        <v>7.8276135070958104E-3</v>
      </c>
      <c r="J114" s="1389">
        <f>PBM!BW190</f>
        <v>7.4999999999999997E-3</v>
      </c>
      <c r="K114" s="1389">
        <f>PBM!BX190</f>
        <v>7.4999999999999997E-3</v>
      </c>
      <c r="L114" s="1389">
        <f>PBM!BY190</f>
        <v>7.4999999999999997E-3</v>
      </c>
      <c r="M114" s="1389">
        <f>PBM!BZ190</f>
        <v>7.4999999999999997E-3</v>
      </c>
      <c r="N114" s="1390">
        <f>PBM!CA190</f>
        <v>7.4999999999999997E-3</v>
      </c>
      <c r="O114" s="1389">
        <f>PBM!CB190</f>
        <v>6.0031307070180012E-3</v>
      </c>
      <c r="P114" s="1389">
        <f>PBM!CC190</f>
        <v>6.0031307070180012E-3</v>
      </c>
      <c r="Q114" s="1389">
        <f>PBM!CD190</f>
        <v>7.5429695131731004E-3</v>
      </c>
      <c r="R114" s="1389">
        <f>PBM!CE190</f>
        <v>7.5429695131731004E-3</v>
      </c>
      <c r="S114" s="1390">
        <f>PBM!CF190</f>
        <v>6.8050222012618752E-3</v>
      </c>
      <c r="T114" s="1389">
        <f>PBM!CG190</f>
        <v>6.0000000000000001E-3</v>
      </c>
      <c r="U114" s="1389">
        <f>PBM!CH190</f>
        <v>7.0000000000000001E-3</v>
      </c>
      <c r="V114" s="1389">
        <f>PBM!CI190</f>
        <v>8.9999999999999993E-3</v>
      </c>
      <c r="W114" s="1389">
        <f>PBM!CJ190</f>
        <v>1.15E-2</v>
      </c>
      <c r="X114" s="1390">
        <f>PBM!CK190</f>
        <v>8.3407124902063652E-3</v>
      </c>
      <c r="Y114" s="1389">
        <f>PBM!CL190</f>
        <v>6.0000000000000001E-3</v>
      </c>
      <c r="Z114" s="1389">
        <f>PBM!CM190</f>
        <v>7.8729078758293467E-3</v>
      </c>
      <c r="AA114" s="1389">
        <f>PBM!CN190</f>
        <v>1.15E-2</v>
      </c>
      <c r="AB114" s="1389">
        <f>PBM!CO190</f>
        <v>0.01</v>
      </c>
      <c r="AC114" s="1390">
        <f>PBM!CP190</f>
        <v>8.8862873694375202E-3</v>
      </c>
      <c r="AD114" s="1389">
        <f t="shared" si="63"/>
        <v>0.01</v>
      </c>
      <c r="AE114" s="1389">
        <f t="shared" si="63"/>
        <v>0.01</v>
      </c>
      <c r="AF114" s="1389">
        <f t="shared" si="63"/>
        <v>0.01</v>
      </c>
      <c r="AG114" s="1389">
        <f>CHOOSE(MATCH($B$111,$C$350:$C$352,0),AG164,AG182,AG200)</f>
        <v>0.01</v>
      </c>
      <c r="AH114" s="1390">
        <f>PBM!CU190</f>
        <v>1.0849507191174895E-2</v>
      </c>
      <c r="AI114" s="1389">
        <f>CHOOSE(MATCH($B$111,$C$350:$C$352,0),AI164,AI182,AI200)</f>
        <v>0.01</v>
      </c>
      <c r="AJ114" s="1389">
        <f>CHOOSE(MATCH($B$111,$C$350:$C$352,0),AJ164,AJ182,AJ200)</f>
        <v>0.01</v>
      </c>
      <c r="AK114" s="1389">
        <f>CHOOSE(MATCH($B$111,$C$350:$C$352,0),AK164,AK182,AK200)</f>
        <v>0.01</v>
      </c>
      <c r="AL114" s="1389">
        <f>CHOOSE(MATCH($B$111,$C$350:$C$352,0),AL164,AL182,AL200)</f>
        <v>0.01</v>
      </c>
      <c r="AM114" s="1390">
        <f ca="1">PBM!CZ190</f>
        <v>9.2656063642225991E-3</v>
      </c>
      <c r="AN114" s="1389">
        <f t="shared" si="64"/>
        <v>8.9999999999999993E-3</v>
      </c>
      <c r="AO114" s="1389">
        <f t="shared" si="64"/>
        <v>8.9999999999999993E-3</v>
      </c>
      <c r="AP114" s="1389">
        <f t="shared" si="64"/>
        <v>0.01</v>
      </c>
      <c r="AQ114" s="1389">
        <f t="shared" si="64"/>
        <v>0.01</v>
      </c>
      <c r="AR114" s="1390">
        <f ca="1">PBM!DE190</f>
        <v>0.01</v>
      </c>
      <c r="AS114" s="1389">
        <f t="shared" si="65"/>
        <v>8.9999999999999993E-3</v>
      </c>
      <c r="AT114" s="1389">
        <f t="shared" si="65"/>
        <v>8.9999999999999993E-3</v>
      </c>
      <c r="AU114" s="1389">
        <f t="shared" si="65"/>
        <v>0.01</v>
      </c>
      <c r="AV114" s="1389">
        <f t="shared" si="65"/>
        <v>0.01</v>
      </c>
      <c r="AW114" s="1390">
        <f>PBM!DN190</f>
        <v>0.01</v>
      </c>
      <c r="AX114" s="1389">
        <f t="shared" si="66"/>
        <v>8.9999999999999993E-3</v>
      </c>
      <c r="AY114" s="1389">
        <f t="shared" si="66"/>
        <v>8.9999999999999993E-3</v>
      </c>
      <c r="AZ114" s="1389">
        <f t="shared" si="66"/>
        <v>0.01</v>
      </c>
      <c r="BA114" s="1389">
        <f t="shared" si="66"/>
        <v>0.01</v>
      </c>
      <c r="BB114" s="1390">
        <f>PBM!DX190</f>
        <v>0.01</v>
      </c>
      <c r="BC114" s="1389">
        <f t="shared" si="67"/>
        <v>8.9999999999999993E-3</v>
      </c>
      <c r="BD114" s="1389">
        <f t="shared" si="67"/>
        <v>8.9999999999999993E-3</v>
      </c>
      <c r="BE114" s="1389">
        <f t="shared" si="67"/>
        <v>0.01</v>
      </c>
      <c r="BF114" s="1389">
        <f t="shared" si="67"/>
        <v>0.01</v>
      </c>
      <c r="BG114" s="1390">
        <f>PBM!EC190</f>
        <v>0</v>
      </c>
      <c r="BH114" s="1389">
        <f t="shared" ref="BH114:BK114" si="69">CHOOSE(MATCH($B$111,$C$350:$C$352,0),BH164,BH182,BH200)</f>
        <v>8.9999999999999993E-3</v>
      </c>
      <c r="BI114" s="1389">
        <f t="shared" si="69"/>
        <v>8.9999999999999993E-3</v>
      </c>
      <c r="BJ114" s="1389">
        <f t="shared" si="69"/>
        <v>0.01</v>
      </c>
      <c r="BK114" s="1389">
        <f t="shared" si="69"/>
        <v>0.01</v>
      </c>
      <c r="BL114" s="1390">
        <f>PBM!EH190</f>
        <v>0</v>
      </c>
    </row>
    <row r="115" spans="1:64" ht="3.75" customHeight="1" x14ac:dyDescent="0.2">
      <c r="A115" s="238"/>
      <c r="B115" s="289"/>
      <c r="C115" s="1496"/>
      <c r="D115" s="289"/>
      <c r="E115" s="1377"/>
      <c r="F115" s="1381"/>
      <c r="G115" s="1381"/>
      <c r="H115" s="1494"/>
      <c r="I115" s="1379"/>
      <c r="J115" s="1381"/>
      <c r="K115" s="1381"/>
      <c r="L115" s="1381"/>
      <c r="M115" s="1381"/>
      <c r="N115" s="1379"/>
      <c r="O115" s="1381"/>
      <c r="P115" s="1381"/>
      <c r="Q115" s="1381"/>
      <c r="R115" s="1381"/>
      <c r="S115" s="1379"/>
      <c r="T115" s="1381"/>
      <c r="U115" s="1381"/>
      <c r="V115" s="1381"/>
      <c r="W115" s="1381"/>
      <c r="X115" s="1379"/>
      <c r="Y115" s="1381"/>
      <c r="Z115" s="1381"/>
      <c r="AA115" s="1381"/>
      <c r="AB115" s="1381"/>
      <c r="AC115" s="1379"/>
      <c r="AD115" s="1381"/>
      <c r="AE115" s="1381"/>
      <c r="AF115" s="1381"/>
      <c r="AG115" s="1381"/>
      <c r="AH115" s="1379"/>
      <c r="AI115" s="1381"/>
      <c r="AJ115" s="1381"/>
      <c r="AK115" s="1381"/>
      <c r="AL115" s="1381"/>
      <c r="AM115" s="1379"/>
      <c r="AN115" s="1381"/>
      <c r="AO115" s="1381"/>
      <c r="AP115" s="1381"/>
      <c r="AQ115" s="1381"/>
      <c r="AR115" s="1379"/>
      <c r="AS115" s="1381"/>
      <c r="AT115" s="1381"/>
      <c r="AU115" s="1381"/>
      <c r="AV115" s="1381"/>
      <c r="AW115" s="1379"/>
      <c r="AX115" s="1381"/>
      <c r="AY115" s="1381"/>
      <c r="AZ115" s="1381"/>
      <c r="BA115" s="1381"/>
      <c r="BB115" s="1379"/>
      <c r="BC115" s="1381"/>
      <c r="BD115" s="1381"/>
      <c r="BE115" s="1381"/>
      <c r="BF115" s="1381"/>
      <c r="BG115" s="1379"/>
      <c r="BH115" s="1381"/>
      <c r="BI115" s="1381"/>
      <c r="BJ115" s="1381"/>
      <c r="BK115" s="1381"/>
      <c r="BL115" s="1379"/>
    </row>
    <row r="116" spans="1:64" x14ac:dyDescent="0.2">
      <c r="A116" s="238"/>
      <c r="B116" s="289"/>
      <c r="C116" s="1495" t="s">
        <v>787</v>
      </c>
      <c r="D116" s="289"/>
      <c r="E116" s="1377"/>
      <c r="F116" s="1381"/>
      <c r="G116" s="1381"/>
      <c r="H116" s="1494"/>
      <c r="I116" s="1379"/>
      <c r="J116" s="1381"/>
      <c r="K116" s="1381"/>
      <c r="L116" s="1381"/>
      <c r="M116" s="1494"/>
      <c r="N116" s="1379"/>
      <c r="O116" s="1498"/>
      <c r="P116" s="1381"/>
      <c r="Q116" s="1381"/>
      <c r="R116" s="1381"/>
      <c r="S116" s="1379"/>
      <c r="T116" s="1498"/>
      <c r="U116" s="1381"/>
      <c r="V116" s="1381"/>
      <c r="W116" s="1381"/>
      <c r="X116" s="1379"/>
      <c r="Y116" s="1381"/>
      <c r="Z116" s="1381"/>
      <c r="AA116" s="1381"/>
      <c r="AB116" s="1381"/>
      <c r="AC116" s="1379"/>
      <c r="AD116" s="1381"/>
      <c r="AE116" s="1381"/>
      <c r="AF116" s="1381"/>
      <c r="AG116" s="1381"/>
      <c r="AH116" s="1379"/>
      <c r="AI116" s="1381"/>
      <c r="AJ116" s="1381"/>
      <c r="AK116" s="1381"/>
      <c r="AL116" s="1381"/>
      <c r="AM116" s="1379"/>
      <c r="AN116" s="1381"/>
      <c r="AO116" s="1381"/>
      <c r="AP116" s="1381"/>
      <c r="AQ116" s="1381"/>
      <c r="AR116" s="1379"/>
      <c r="AS116" s="1381"/>
      <c r="AT116" s="1381"/>
      <c r="AU116" s="1381"/>
      <c r="AV116" s="1381"/>
      <c r="AW116" s="1379"/>
      <c r="AX116" s="1381"/>
      <c r="AY116" s="1381"/>
      <c r="AZ116" s="1381"/>
      <c r="BA116" s="1381"/>
      <c r="BB116" s="1379"/>
      <c r="BC116" s="1381"/>
      <c r="BD116" s="1381"/>
      <c r="BE116" s="1381"/>
      <c r="BF116" s="1381"/>
      <c r="BG116" s="1379"/>
      <c r="BH116" s="1381"/>
      <c r="BI116" s="1381"/>
      <c r="BJ116" s="1381"/>
      <c r="BK116" s="1381"/>
      <c r="BL116" s="1379"/>
    </row>
    <row r="117" spans="1:64" x14ac:dyDescent="0.2">
      <c r="A117" s="238"/>
      <c r="B117" s="212"/>
      <c r="C117" s="1499" t="s">
        <v>786</v>
      </c>
      <c r="D117" s="212"/>
      <c r="E117" s="1388">
        <f>PBM!BR195</f>
        <v>0.66704592492694781</v>
      </c>
      <c r="F117" s="1389">
        <f>PBM!BS195</f>
        <v>0.7631213268098056</v>
      </c>
      <c r="G117" s="1389">
        <f>PBM!BT195</f>
        <v>0.89780661712908061</v>
      </c>
      <c r="H117" s="1497">
        <f>PBM!BU195</f>
        <v>0.92084064415982603</v>
      </c>
      <c r="I117" s="1390">
        <f>PBM!BV195</f>
        <v>0.81495643607938828</v>
      </c>
      <c r="J117" s="1389">
        <f>PBM!BW195</f>
        <v>0.6</v>
      </c>
      <c r="K117" s="1389">
        <f>PBM!BX195</f>
        <v>0.59450000000000003</v>
      </c>
      <c r="L117" s="1389">
        <f>PBM!BY195</f>
        <v>0.63300000000000001</v>
      </c>
      <c r="M117" s="1389">
        <f>PBM!BZ195</f>
        <v>0.58199999999999996</v>
      </c>
      <c r="N117" s="1390">
        <f>PBM!CA195</f>
        <v>0.60239318243911932</v>
      </c>
      <c r="O117" s="1389">
        <f>PBM!CB195</f>
        <v>0.32550663447735645</v>
      </c>
      <c r="P117" s="1389">
        <f>PBM!CC195</f>
        <v>0.39406131296508312</v>
      </c>
      <c r="Q117" s="1389">
        <f>PBM!CD195</f>
        <v>0.54887123396072002</v>
      </c>
      <c r="R117" s="1389">
        <f>PBM!CE195</f>
        <v>0.54575766152042926</v>
      </c>
      <c r="S117" s="1390">
        <f>PBM!CF195</f>
        <v>0.45598081463942147</v>
      </c>
      <c r="T117" s="1389">
        <f>PBM!CG195</f>
        <v>0.25</v>
      </c>
      <c r="U117" s="1389">
        <f>PBM!CH195</f>
        <v>0.28999999999999998</v>
      </c>
      <c r="V117" s="1389">
        <f>PBM!CI195</f>
        <v>0.37</v>
      </c>
      <c r="W117" s="1389">
        <f>PBM!CJ195</f>
        <v>0.40500000000000003</v>
      </c>
      <c r="X117" s="1390">
        <f>PBM!CK195</f>
        <v>0.33381140434348355</v>
      </c>
      <c r="Y117" s="1389">
        <f>PBM!CL195</f>
        <v>0.3</v>
      </c>
      <c r="Z117" s="1389">
        <f>PBM!CM195</f>
        <v>0.30838051131950339</v>
      </c>
      <c r="AA117" s="1389">
        <f>PBM!CN195</f>
        <v>0.39250000000000002</v>
      </c>
      <c r="AB117" s="1389">
        <f>PBM!CO195</f>
        <v>0.34634999999999999</v>
      </c>
      <c r="AC117" s="1390">
        <f>PBM!CP195</f>
        <v>0.33834390497758104</v>
      </c>
      <c r="AD117" s="1389">
        <f t="shared" ref="AD117:AG118" si="70">CHOOSE(MATCH($B$111,$C$350:$C$352,0),AD167,AD185,AD203)</f>
        <v>0.3</v>
      </c>
      <c r="AE117" s="1389">
        <f t="shared" si="70"/>
        <v>0.3</v>
      </c>
      <c r="AF117" s="1389">
        <f t="shared" si="70"/>
        <v>0.3</v>
      </c>
      <c r="AG117" s="1389">
        <f t="shared" si="70"/>
        <v>0.3</v>
      </c>
      <c r="AH117" s="1390">
        <f>PBM!CU195</f>
        <v>0.31945693849524165</v>
      </c>
      <c r="AI117" s="1389">
        <f t="shared" ref="AI117:AL118" si="71">CHOOSE(MATCH($B$111,$C$350:$C$352,0),AI167,AI185,AI203)</f>
        <v>0.3</v>
      </c>
      <c r="AJ117" s="1389">
        <f t="shared" si="71"/>
        <v>0.3</v>
      </c>
      <c r="AK117" s="1389">
        <f t="shared" si="71"/>
        <v>0.3</v>
      </c>
      <c r="AL117" s="1389">
        <f t="shared" si="71"/>
        <v>0.28000000000000003</v>
      </c>
      <c r="AM117" s="1390">
        <f ca="1">PBM!CZ195</f>
        <v>0.31479334783662499</v>
      </c>
      <c r="AN117" s="1389">
        <f t="shared" ref="AN117:AQ118" si="72">CHOOSE(MATCH($B$111,$C$350:$C$352,0),AN167,AN185,AN203)</f>
        <v>0.23</v>
      </c>
      <c r="AO117" s="1389">
        <f t="shared" si="72"/>
        <v>0.28000000000000003</v>
      </c>
      <c r="AP117" s="1389">
        <f t="shared" si="72"/>
        <v>0.28000000000000003</v>
      </c>
      <c r="AQ117" s="1389">
        <f t="shared" si="72"/>
        <v>0.27</v>
      </c>
      <c r="AR117" s="1390">
        <f ca="1">PBM!DE195</f>
        <v>0.2649136675446615</v>
      </c>
      <c r="AS117" s="1389">
        <f t="shared" ref="AS117:AV118" si="73">CHOOSE(MATCH($B$111,$C$350:$C$352,0),AS167,AS185,AS203)</f>
        <v>0.23</v>
      </c>
      <c r="AT117" s="1389">
        <f t="shared" si="73"/>
        <v>0.27</v>
      </c>
      <c r="AU117" s="1389">
        <f t="shared" si="73"/>
        <v>0.27</v>
      </c>
      <c r="AV117" s="1389">
        <f t="shared" si="73"/>
        <v>0.26500000000000001</v>
      </c>
      <c r="AW117" s="1390">
        <f>PBM!DN195</f>
        <v>0.27</v>
      </c>
      <c r="AX117" s="1389">
        <f t="shared" ref="AX117:BA118" si="74">CHOOSE(MATCH($B$111,$C$350:$C$352,0),AX167,AX185,AX203)</f>
        <v>0.23</v>
      </c>
      <c r="AY117" s="1389">
        <f t="shared" si="74"/>
        <v>0.27500000000000002</v>
      </c>
      <c r="AZ117" s="1389">
        <f t="shared" si="74"/>
        <v>0.27500000000000002</v>
      </c>
      <c r="BA117" s="1389">
        <f t="shared" si="74"/>
        <v>0.27</v>
      </c>
      <c r="BB117" s="1390">
        <f>PBM!DX195</f>
        <v>0.25</v>
      </c>
      <c r="BC117" s="1389">
        <f t="shared" ref="BC117:BF118" si="75">CHOOSE(MATCH($B$111,$C$350:$C$352,0),BC167,BC185,BC203)</f>
        <v>0.22</v>
      </c>
      <c r="BD117" s="1389">
        <f t="shared" si="75"/>
        <v>0.26500000000000001</v>
      </c>
      <c r="BE117" s="1389">
        <f t="shared" si="75"/>
        <v>0.26500000000000001</v>
      </c>
      <c r="BF117" s="1389">
        <f t="shared" si="75"/>
        <v>0.26</v>
      </c>
      <c r="BG117" s="1390">
        <f>PBM!EC195</f>
        <v>0</v>
      </c>
      <c r="BH117" s="1389">
        <f t="shared" ref="BH117:BK117" si="76">CHOOSE(MATCH($B$111,$C$350:$C$352,0),BH167,BH185,BH203)</f>
        <v>0.21</v>
      </c>
      <c r="BI117" s="1389">
        <f t="shared" si="76"/>
        <v>0.255</v>
      </c>
      <c r="BJ117" s="1389">
        <f t="shared" si="76"/>
        <v>0.255</v>
      </c>
      <c r="BK117" s="1389">
        <f t="shared" si="76"/>
        <v>0.25</v>
      </c>
      <c r="BL117" s="1390">
        <f>PBM!EH195</f>
        <v>0</v>
      </c>
    </row>
    <row r="118" spans="1:64" x14ac:dyDescent="0.2">
      <c r="A118" s="238"/>
      <c r="B118" s="212"/>
      <c r="C118" s="1499" t="s">
        <v>745</v>
      </c>
      <c r="D118" s="212"/>
      <c r="E118" s="1388">
        <f>PBM!BR196</f>
        <v>7.4999999999999997E-3</v>
      </c>
      <c r="F118" s="1389">
        <f>PBM!BS196</f>
        <v>7.4999999999999997E-3</v>
      </c>
      <c r="G118" s="1389">
        <f>PBM!BT196</f>
        <v>7.4999999999999997E-3</v>
      </c>
      <c r="H118" s="1497">
        <f>PBM!BU196</f>
        <v>7.4999999999999997E-3</v>
      </c>
      <c r="I118" s="1390">
        <f>PBM!BV196</f>
        <v>7.4999999999999997E-3</v>
      </c>
      <c r="J118" s="1389">
        <f>PBM!BW196</f>
        <v>7.4999999999999997E-3</v>
      </c>
      <c r="K118" s="1389">
        <f>PBM!BX196</f>
        <v>7.4999999999999997E-3</v>
      </c>
      <c r="L118" s="1389">
        <f>PBM!BY196</f>
        <v>7.4999999999999997E-3</v>
      </c>
      <c r="M118" s="1389">
        <f>PBM!BZ196</f>
        <v>7.4999999999999997E-3</v>
      </c>
      <c r="N118" s="1390">
        <f>PBM!CA196</f>
        <v>7.4999999999999997E-3</v>
      </c>
      <c r="O118" s="1389">
        <f>PBM!CB196</f>
        <v>4.0156821716912277E-3</v>
      </c>
      <c r="P118" s="1389">
        <f>PBM!CC196</f>
        <v>4.8248424708433576E-3</v>
      </c>
      <c r="Q118" s="1389">
        <f>PBM!CD196</f>
        <v>7.5396615760084801E-3</v>
      </c>
      <c r="R118" s="1389">
        <f>PBM!CE196</f>
        <v>7.5396615760084801E-3</v>
      </c>
      <c r="S118" s="1390">
        <f>PBM!CF196</f>
        <v>6.0124693467736041E-3</v>
      </c>
      <c r="T118" s="1389">
        <f>PBM!CG196</f>
        <v>6.0000000000000001E-3</v>
      </c>
      <c r="U118" s="1389">
        <f>PBM!CH196</f>
        <v>7.0000000000000001E-3</v>
      </c>
      <c r="V118" s="1389">
        <f>PBM!CI196</f>
        <v>8.9999999999999993E-3</v>
      </c>
      <c r="W118" s="1389">
        <f>PBM!CJ196</f>
        <v>1.15E-2</v>
      </c>
      <c r="X118" s="1390">
        <f>PBM!CK196</f>
        <v>8.3334034278863389E-3</v>
      </c>
      <c r="Y118" s="1389">
        <f ca="1">PBM!CL196</f>
        <v>1.15E-2</v>
      </c>
      <c r="Z118" s="1389">
        <f>PBM!CM196</f>
        <v>8.5086265296741397E-3</v>
      </c>
      <c r="AA118" s="1389">
        <f>PBM!CN196</f>
        <v>1.15E-2</v>
      </c>
      <c r="AB118" s="1389">
        <f>PBM!CO196</f>
        <v>1.15E-2</v>
      </c>
      <c r="AC118" s="1390">
        <f ca="1">PBM!CP196</f>
        <v>1.0769524106830462E-2</v>
      </c>
      <c r="AD118" s="1389">
        <f t="shared" si="70"/>
        <v>8.9999999999999993E-3</v>
      </c>
      <c r="AE118" s="1389">
        <f t="shared" si="70"/>
        <v>8.9999999999999993E-3</v>
      </c>
      <c r="AF118" s="1389">
        <f t="shared" si="70"/>
        <v>8.9999999999999993E-3</v>
      </c>
      <c r="AG118" s="1389">
        <f t="shared" si="70"/>
        <v>8.9999999999999993E-3</v>
      </c>
      <c r="AH118" s="1390">
        <f>PBM!CU196</f>
        <v>9.2676386976984371E-3</v>
      </c>
      <c r="AI118" s="1389">
        <f t="shared" si="71"/>
        <v>8.9999999999999993E-3</v>
      </c>
      <c r="AJ118" s="1389">
        <f t="shared" si="71"/>
        <v>8.9999999999999993E-3</v>
      </c>
      <c r="AK118" s="1389">
        <f t="shared" si="71"/>
        <v>8.9999999999999993E-3</v>
      </c>
      <c r="AL118" s="1389">
        <f t="shared" si="71"/>
        <v>8.9999999999999993E-3</v>
      </c>
      <c r="AM118" s="1390">
        <f ca="1">PBM!CZ196</f>
        <v>9.5273979119808172E-3</v>
      </c>
      <c r="AN118" s="1389">
        <f t="shared" si="72"/>
        <v>0.01</v>
      </c>
      <c r="AO118" s="1389">
        <f t="shared" si="72"/>
        <v>0.01</v>
      </c>
      <c r="AP118" s="1389">
        <f t="shared" si="72"/>
        <v>0.01</v>
      </c>
      <c r="AQ118" s="1389">
        <f t="shared" si="72"/>
        <v>0.01</v>
      </c>
      <c r="AR118" s="1390">
        <f ca="1">PBM!DE196</f>
        <v>0.01</v>
      </c>
      <c r="AS118" s="1389">
        <f t="shared" si="73"/>
        <v>0.01</v>
      </c>
      <c r="AT118" s="1389">
        <f t="shared" si="73"/>
        <v>0.01</v>
      </c>
      <c r="AU118" s="1389">
        <f t="shared" si="73"/>
        <v>0.01</v>
      </c>
      <c r="AV118" s="1389">
        <f t="shared" si="73"/>
        <v>0.01</v>
      </c>
      <c r="AW118" s="1390">
        <f>PBM!DN196</f>
        <v>0.01</v>
      </c>
      <c r="AX118" s="1389">
        <f t="shared" si="74"/>
        <v>8.9999999999999993E-3</v>
      </c>
      <c r="AY118" s="1389">
        <f t="shared" si="74"/>
        <v>0.01</v>
      </c>
      <c r="AZ118" s="1389">
        <f t="shared" si="74"/>
        <v>0.01</v>
      </c>
      <c r="BA118" s="1389">
        <f t="shared" si="74"/>
        <v>0.01</v>
      </c>
      <c r="BB118" s="1390">
        <f>PBM!DX196</f>
        <v>8.0000000000000002E-3</v>
      </c>
      <c r="BC118" s="1389">
        <f t="shared" si="75"/>
        <v>8.0000000000000002E-3</v>
      </c>
      <c r="BD118" s="1389">
        <f t="shared" si="75"/>
        <v>8.0000000000000002E-3</v>
      </c>
      <c r="BE118" s="1389">
        <f t="shared" si="75"/>
        <v>8.0000000000000002E-3</v>
      </c>
      <c r="BF118" s="1389">
        <f t="shared" si="75"/>
        <v>8.0000000000000002E-3</v>
      </c>
      <c r="BG118" s="1390">
        <f>PBM!EC196</f>
        <v>0</v>
      </c>
      <c r="BH118" s="1389">
        <f t="shared" ref="BH118:BK118" si="77">CHOOSE(MATCH($B$111,$C$350:$C$352,0),BH168,BH186,BH204)</f>
        <v>8.0000000000000002E-3</v>
      </c>
      <c r="BI118" s="1389">
        <f t="shared" si="77"/>
        <v>8.0000000000000002E-3</v>
      </c>
      <c r="BJ118" s="1389">
        <f t="shared" si="77"/>
        <v>8.0000000000000002E-3</v>
      </c>
      <c r="BK118" s="1389">
        <f t="shared" si="77"/>
        <v>8.0000000000000002E-3</v>
      </c>
      <c r="BL118" s="1390">
        <f>PBM!EH196</f>
        <v>0</v>
      </c>
    </row>
    <row r="119" spans="1:64" x14ac:dyDescent="0.2">
      <c r="A119" s="238"/>
      <c r="B119" s="289"/>
      <c r="C119" s="1496" t="s">
        <v>788</v>
      </c>
      <c r="D119" s="289"/>
      <c r="E119" s="1377"/>
      <c r="F119" s="1381"/>
      <c r="G119" s="1381"/>
      <c r="H119" s="1494"/>
      <c r="I119" s="1379"/>
      <c r="J119" s="1381"/>
      <c r="K119" s="1381"/>
      <c r="L119" s="1381"/>
      <c r="M119" s="1381"/>
      <c r="N119" s="1379"/>
      <c r="O119" s="1381"/>
      <c r="P119" s="1381"/>
      <c r="Q119" s="1381"/>
      <c r="R119" s="1381"/>
      <c r="S119" s="1379"/>
      <c r="T119" s="1381"/>
      <c r="U119" s="1381"/>
      <c r="V119" s="1381"/>
      <c r="W119" s="1381"/>
      <c r="X119" s="1379"/>
      <c r="Y119" s="1381"/>
      <c r="Z119" s="1381"/>
      <c r="AA119" s="1381"/>
      <c r="AB119" s="1381"/>
      <c r="AC119" s="1379"/>
      <c r="AD119" s="1381"/>
      <c r="AE119" s="1381"/>
      <c r="AF119" s="1381"/>
      <c r="AG119" s="1381"/>
      <c r="AH119" s="1379"/>
      <c r="AI119" s="1381"/>
      <c r="AJ119" s="1381"/>
      <c r="AK119" s="1381"/>
      <c r="AL119" s="1381"/>
      <c r="AM119" s="1379"/>
      <c r="AN119" s="1381"/>
      <c r="AO119" s="1381"/>
      <c r="AP119" s="1381"/>
      <c r="AQ119" s="1381"/>
      <c r="AR119" s="1379"/>
      <c r="AS119" s="1381"/>
      <c r="AT119" s="1381"/>
      <c r="AU119" s="1381"/>
      <c r="AV119" s="1381"/>
      <c r="AW119" s="1379"/>
      <c r="AX119" s="1381"/>
      <c r="AY119" s="1381"/>
      <c r="AZ119" s="1381"/>
      <c r="BA119" s="1381"/>
      <c r="BB119" s="1379"/>
      <c r="BC119" s="1381"/>
      <c r="BD119" s="1381"/>
      <c r="BE119" s="1381"/>
      <c r="BF119" s="1381"/>
      <c r="BG119" s="1379"/>
      <c r="BH119" s="1381"/>
      <c r="BI119" s="1381"/>
      <c r="BJ119" s="1381"/>
      <c r="BK119" s="1381"/>
      <c r="BL119" s="1379"/>
    </row>
    <row r="120" spans="1:64" ht="12" thickBot="1" x14ac:dyDescent="0.25">
      <c r="A120" s="238"/>
      <c r="B120" s="289"/>
      <c r="C120" s="1496"/>
      <c r="D120" s="289"/>
      <c r="E120" s="1377"/>
      <c r="F120" s="1381"/>
      <c r="G120" s="1381"/>
      <c r="H120" s="1494"/>
      <c r="I120" s="1379"/>
      <c r="J120" s="1381"/>
      <c r="K120" s="1381"/>
      <c r="L120" s="1381"/>
      <c r="M120" s="1381"/>
      <c r="N120" s="1379"/>
      <c r="O120" s="1381"/>
      <c r="P120" s="1381"/>
      <c r="Q120" s="1381"/>
      <c r="R120" s="1381"/>
      <c r="S120" s="1379"/>
      <c r="T120" s="1381"/>
      <c r="U120" s="1381"/>
      <c r="V120" s="1381"/>
      <c r="W120" s="1381"/>
      <c r="X120" s="1390">
        <f>PBM!CK20</f>
        <v>5.1849027830728173E-2</v>
      </c>
      <c r="Y120" s="1381"/>
      <c r="Z120" s="1381"/>
      <c r="AA120" s="1381"/>
      <c r="AB120" s="1381"/>
      <c r="AC120" s="1390">
        <f>PBM!CP20</f>
        <v>5.5602794442607378E-2</v>
      </c>
      <c r="AD120" s="1381"/>
      <c r="AE120" s="1381"/>
      <c r="AF120" s="1381"/>
      <c r="AG120" s="1381"/>
      <c r="AH120" s="1379"/>
      <c r="AI120" s="1381"/>
      <c r="AJ120" s="1381"/>
      <c r="AK120" s="1381"/>
      <c r="AL120" s="1381"/>
      <c r="AM120" s="1379"/>
      <c r="AN120" s="1381"/>
      <c r="AO120" s="1381"/>
      <c r="AP120" s="1381"/>
      <c r="AQ120" s="1381"/>
      <c r="AR120" s="1379"/>
      <c r="AS120" s="1381"/>
      <c r="AT120" s="1381"/>
      <c r="AU120" s="1381"/>
      <c r="AV120" s="1381"/>
      <c r="AW120" s="1379"/>
      <c r="AX120" s="1381"/>
      <c r="AY120" s="1381"/>
      <c r="AZ120" s="1381"/>
      <c r="BA120" s="1381"/>
      <c r="BB120" s="1379"/>
      <c r="BC120" s="1381"/>
      <c r="BD120" s="1381"/>
      <c r="BE120" s="1381"/>
      <c r="BF120" s="1381"/>
      <c r="BG120" s="1379"/>
      <c r="BH120" s="1381"/>
      <c r="BI120" s="1381"/>
      <c r="BJ120" s="1381"/>
      <c r="BK120" s="1381"/>
      <c r="BL120" s="1379"/>
    </row>
    <row r="121" spans="1:64" ht="12" thickBot="1" x14ac:dyDescent="0.25">
      <c r="A121" s="238"/>
      <c r="B121" s="1375" t="str">
        <f>B111</f>
        <v xml:space="preserve">Base </v>
      </c>
      <c r="C121" s="1500" t="s">
        <v>1232</v>
      </c>
      <c r="D121" s="289"/>
      <c r="E121" s="1501">
        <f>PBM!BR258</f>
        <v>1.0189718482252141</v>
      </c>
      <c r="F121" s="1502">
        <f>PBM!BS258</f>
        <v>0.86532602071907394</v>
      </c>
      <c r="G121" s="1502">
        <f>PBM!BT258</f>
        <v>0.86372007366482428</v>
      </c>
      <c r="H121" s="1503">
        <f>PBM!BU258</f>
        <v>0.84473527662105896</v>
      </c>
      <c r="I121" s="1504">
        <f>PBM!BV258</f>
        <v>0.89901290812452528</v>
      </c>
      <c r="J121" s="1502">
        <f>PBM!BW258</f>
        <v>0.98983050847457632</v>
      </c>
      <c r="K121" s="1502">
        <f>PBM!BX258</f>
        <v>0.9286209286209286</v>
      </c>
      <c r="L121" s="1502">
        <f>PBM!BY258</f>
        <v>0.91412742382271484</v>
      </c>
      <c r="M121" s="1502">
        <f>PBM!BZ258</f>
        <v>1.0894418291862813</v>
      </c>
      <c r="N121" s="1504">
        <f>PBM!CA258</f>
        <v>0.98136433578389448</v>
      </c>
      <c r="O121" s="1502">
        <f>PBM!CB258</f>
        <v>0.81621004566210054</v>
      </c>
      <c r="P121" s="1502">
        <f>PBM!CC258</f>
        <v>0.87591240875912402</v>
      </c>
      <c r="Q121" s="1502">
        <f>PBM!CD258</f>
        <v>0.73716319267920694</v>
      </c>
      <c r="R121" s="1502">
        <f>PBM!CE258</f>
        <v>0.83093822031245557</v>
      </c>
      <c r="S121" s="1504">
        <f>PBM!CF258</f>
        <v>0.8149290035711243</v>
      </c>
      <c r="T121" s="1502">
        <f>PBM!CG258</f>
        <v>0.6624029237094563</v>
      </c>
      <c r="U121" s="1502">
        <f>PBM!CH258</f>
        <v>0.62696068329097099</v>
      </c>
      <c r="V121" s="1502">
        <f>PBM!CI258</f>
        <v>0.76908923643054272</v>
      </c>
      <c r="W121" s="1502">
        <f>PBM!CJ258</f>
        <v>0.71713147410358569</v>
      </c>
      <c r="X121" s="1504">
        <f>PBM!CK258</f>
        <v>0.69399412870292021</v>
      </c>
      <c r="Y121" s="1502">
        <f ca="1">PBM!CL258</f>
        <v>0.54576067672952833</v>
      </c>
      <c r="Z121" s="1502">
        <f>PBM!CM258</f>
        <v>0.65666372462488976</v>
      </c>
      <c r="AA121" s="1502">
        <f>PBM!CN258</f>
        <v>0.68273997296079314</v>
      </c>
      <c r="AB121" s="1502">
        <f>PBM!CO258</f>
        <v>0.74856131031429829</v>
      </c>
      <c r="AC121" s="1504">
        <f ca="1">PBM!CP258</f>
        <v>0.65810990024793858</v>
      </c>
      <c r="AD121" s="1502">
        <f>PBM!CQ258</f>
        <v>0.6084284460052678</v>
      </c>
      <c r="AE121" s="1502">
        <f>PBM!CR258</f>
        <v>0.69294066695539192</v>
      </c>
      <c r="AF121" s="1502">
        <f>PBM!CS258</f>
        <v>0.69561441597915763</v>
      </c>
      <c r="AG121" s="1502">
        <f>PBM!CT258</f>
        <v>0.69205434335117333</v>
      </c>
      <c r="AH121" s="1504">
        <f>PBM!CU258</f>
        <v>0.67271166434166751</v>
      </c>
      <c r="AI121" s="1502">
        <f>PBM!CV258</f>
        <v>0.40503995082974792</v>
      </c>
      <c r="AJ121" s="1502">
        <v>0.65</v>
      </c>
      <c r="AK121" s="1502">
        <f>CHOOSE(MATCH($B$121,$C$350:$C$352,0),AK171,AK189,AK207)</f>
        <v>0.48864770050153161</v>
      </c>
      <c r="AL121" s="1502">
        <f>CHOOSE(MATCH($B$121,$C$350:$C$352,0),AL171,AL189,AL207)</f>
        <v>0.56645147851082667</v>
      </c>
      <c r="AM121" s="1504">
        <f>PBM!CZ258</f>
        <v>0.44000995804042836</v>
      </c>
      <c r="AN121" s="1502">
        <f>CHOOSE(MATCH($B$121,$C$350:$C$352,0),AN171,AN189,AN207)</f>
        <v>0.41119871981379114</v>
      </c>
      <c r="AO121" s="1502">
        <f>CHOOSE(MATCH($B$121,$C$350:$C$352,0),AO171,AO189,AO207)</f>
        <v>0.44029197080291965</v>
      </c>
      <c r="AP121" s="1502">
        <f>CHOOSE(MATCH($B$121,$C$350:$C$352,0),AP171,AP189,AP207)</f>
        <v>0.43</v>
      </c>
      <c r="AQ121" s="1502">
        <f>CHOOSE(MATCH($B$121,$C$350:$C$352,0),AQ171,AQ189,AQ207)</f>
        <v>0.44</v>
      </c>
      <c r="AR121" s="1504">
        <f>PBM!DE258</f>
        <v>0.36830710102489028</v>
      </c>
      <c r="AS121" s="1502">
        <f>CHOOSE(MATCH($B$121,$C$350:$C$352,0),AS171,AS189,AS207)</f>
        <v>0.3</v>
      </c>
      <c r="AT121" s="1502">
        <f>CHOOSE(MATCH($B$121,$C$350:$C$352,0),AT171,AT189,AT207)</f>
        <v>0.32029197080291966</v>
      </c>
      <c r="AU121" s="1502">
        <f>CHOOSE(MATCH($B$121,$C$350:$C$352,0),AU171,AU189,AU207)</f>
        <v>0.31</v>
      </c>
      <c r="AV121" s="1502">
        <f>CHOOSE(MATCH($B$121,$C$350:$C$352,0),AV171,AV189,AV207)</f>
        <v>0.32</v>
      </c>
      <c r="AW121" s="1504">
        <f>PBM!DN258</f>
        <v>0.30399999999999999</v>
      </c>
      <c r="AX121" s="1502">
        <f>CHOOSE(MATCH($B$121,$C$350:$C$352,0),AX171,AX189,AX207)</f>
        <v>0.37</v>
      </c>
      <c r="AY121" s="1502">
        <f>CHOOSE(MATCH($B$121,$C$350:$C$352,0),AY171,AY189,AY207)</f>
        <v>0.30427737226277368</v>
      </c>
      <c r="AZ121" s="1502">
        <f>CHOOSE(MATCH($B$121,$C$350:$C$352,0),AZ171,AZ189,AZ207)</f>
        <v>0.29449999999999998</v>
      </c>
      <c r="BA121" s="1502">
        <f>CHOOSE(MATCH($B$121,$C$350:$C$352,0),BA171,BA189,BA207)</f>
        <v>0.30399999999999999</v>
      </c>
      <c r="BB121" s="1504">
        <f>PBM!DX258</f>
        <v>0.20400000000000001</v>
      </c>
      <c r="BC121" s="1502">
        <f>CHOOSE(MATCH($B$121,$C$350:$C$352,0),BC171,BC189,BC207)</f>
        <v>0.32</v>
      </c>
      <c r="BD121" s="1502">
        <f>CHOOSE(MATCH($B$121,$C$350:$C$352,0),BD171,BD189,BD207)</f>
        <v>0.25427737226277369</v>
      </c>
      <c r="BE121" s="1502">
        <f>CHOOSE(MATCH($B$121,$C$350:$C$352,0),BE171,BE189,BE207)</f>
        <v>0.2445</v>
      </c>
      <c r="BF121" s="1502">
        <f>CHOOSE(MATCH($B$121,$C$350:$C$352,0),BF171,BF189,BF207)</f>
        <v>0.254</v>
      </c>
      <c r="BG121" s="1504">
        <f>PBM!EC258</f>
        <v>0</v>
      </c>
      <c r="BH121" s="1502">
        <f>CHOOSE(MATCH($B$121,$C$350:$C$352,0),BH171,BH189,BH207)</f>
        <v>0.27</v>
      </c>
      <c r="BI121" s="1502">
        <f>CHOOSE(MATCH($B$121,$C$350:$C$352,0),BI171,BI189,BI207)</f>
        <v>0.2042773722627737</v>
      </c>
      <c r="BJ121" s="1502">
        <f>CHOOSE(MATCH($B$121,$C$350:$C$352,0),BJ171,BJ189,BJ207)</f>
        <v>0.19450000000000001</v>
      </c>
      <c r="BK121" s="1502">
        <f>CHOOSE(MATCH($B$121,$C$350:$C$352,0),BK171,BK189,BK207)</f>
        <v>0.20400000000000001</v>
      </c>
      <c r="BL121" s="1504">
        <f>PBM!EH258</f>
        <v>0</v>
      </c>
    </row>
    <row r="122" spans="1:64" x14ac:dyDescent="0.2">
      <c r="A122" s="238"/>
      <c r="B122" s="289"/>
      <c r="C122" s="1392" t="s">
        <v>1233</v>
      </c>
      <c r="D122" s="1393"/>
      <c r="E122" s="1394">
        <f>PBM!BR71</f>
        <v>0.19571419302726265</v>
      </c>
      <c r="F122" s="1395">
        <f>PBM!BS71</f>
        <v>0.25770540036738543</v>
      </c>
      <c r="G122" s="1395">
        <f>PBM!BT71</f>
        <v>0.30174383827167278</v>
      </c>
      <c r="H122" s="1395">
        <f>PBM!BU71</f>
        <v>0.31828103600016761</v>
      </c>
      <c r="I122" s="1396">
        <f>PBM!BV71</f>
        <v>1.0688552245308458</v>
      </c>
      <c r="J122" s="1395">
        <f>PBM!BW71</f>
        <v>0.20676580817981369</v>
      </c>
      <c r="K122" s="1395">
        <f>PBM!BX71</f>
        <v>0.22667200093640219</v>
      </c>
      <c r="L122" s="1395">
        <f>PBM!BY71</f>
        <v>0.24934300555229719</v>
      </c>
      <c r="M122" s="1395">
        <f>PBM!BZ71</f>
        <v>0.24480920124014569</v>
      </c>
      <c r="N122" s="1396">
        <f>PBM!CA71</f>
        <v>0.92899366136119876</v>
      </c>
      <c r="O122" s="1395">
        <f>PBM!CB71</f>
        <v>0.1507415468900826</v>
      </c>
      <c r="P122" s="1395">
        <f>PBM!CC71</f>
        <v>0.17395106596873358</v>
      </c>
      <c r="Q122" s="1395">
        <f>PBM!CD71</f>
        <v>0.25853405101226634</v>
      </c>
      <c r="R122" s="1395">
        <f>PBM!CE71</f>
        <v>0.29684526671491218</v>
      </c>
      <c r="S122" s="1396">
        <f>PBM!CF71</f>
        <v>0.8750136718569782</v>
      </c>
      <c r="T122" s="1395">
        <f>PBM!CG71</f>
        <v>0.13735528037174782</v>
      </c>
      <c r="U122" s="1395">
        <f>PBM!CH71</f>
        <v>0.2091076284005049</v>
      </c>
      <c r="V122" s="1395">
        <f>PBM!CI71</f>
        <v>0.31942987216336499</v>
      </c>
      <c r="W122" s="1395">
        <f>PBM!CJ71</f>
        <v>0.44970548916197178</v>
      </c>
      <c r="X122" s="1396">
        <f>PBM!CK71</f>
        <v>1.1042609026619563</v>
      </c>
      <c r="Y122" s="1395">
        <f>PBM!CL71</f>
        <v>0.2036149470687971</v>
      </c>
      <c r="Z122" s="1395">
        <f>PBM!CM71</f>
        <v>0.28802892244628081</v>
      </c>
      <c r="AA122" s="1395">
        <f>PBM!CN71</f>
        <v>0.42716377753844692</v>
      </c>
      <c r="AB122" s="1395">
        <f>PBM!CO71</f>
        <v>0.39068581009952746</v>
      </c>
      <c r="AC122" s="1396">
        <f ca="1">PBM!CP71</f>
        <v>1.3043512058660534</v>
      </c>
      <c r="AD122" s="1395">
        <f>PBM!CQ71</f>
        <v>0.27204243711950893</v>
      </c>
      <c r="AE122" s="1395">
        <f>PBM!CR71</f>
        <v>0.38428554923921937</v>
      </c>
      <c r="AF122" s="1395">
        <f>PBM!CS71</f>
        <v>0.47699492622007694</v>
      </c>
      <c r="AG122" s="1395">
        <f>PBM!CT71</f>
        <v>0.40884618294004749</v>
      </c>
      <c r="AH122" s="1396">
        <f>PBM!CU71</f>
        <v>1.53861978645612</v>
      </c>
      <c r="AI122" s="1395">
        <f>PBM!CV71</f>
        <v>0.339705752967221</v>
      </c>
      <c r="AJ122" s="1395">
        <f>PBM!CW71</f>
        <v>0.43696525157607458</v>
      </c>
      <c r="AK122" s="1395">
        <f>PBM!CX71</f>
        <v>0.53213791172969405</v>
      </c>
      <c r="AL122" s="1395">
        <f>PBM!CY71</f>
        <v>0.5369468148224199</v>
      </c>
      <c r="AM122" s="1396">
        <f>PBM!CZ71</f>
        <v>1.8466164239238436</v>
      </c>
      <c r="AN122" s="1395">
        <f>PBM!DA71</f>
        <v>0.36202906725596407</v>
      </c>
      <c r="AO122" s="1395">
        <f>PBM!DB71</f>
        <v>0.48548810923745717</v>
      </c>
      <c r="AP122" s="1395">
        <f>PBM!DC71</f>
        <v>0.72545732408954677</v>
      </c>
      <c r="AQ122" s="1395">
        <f>PBM!DD71</f>
        <v>0.64660560137068457</v>
      </c>
      <c r="AR122" s="1396">
        <f>PBM!DE71</f>
        <v>2.2120836289732133</v>
      </c>
      <c r="AS122" s="1395">
        <f>PBM!DF71</f>
        <v>0.37996926399836173</v>
      </c>
      <c r="AT122" s="1395">
        <f>PBM!DG71</f>
        <v>0.55956471128587837</v>
      </c>
      <c r="AU122" s="1395">
        <f>PBM!DH71</f>
        <v>0.69382279315815931</v>
      </c>
      <c r="AV122" s="1395">
        <f>PBM!DI71</f>
        <v>0.81252391318065831</v>
      </c>
      <c r="AW122" s="1396">
        <f>PBM!DJ71</f>
        <v>2.4138318983017477</v>
      </c>
      <c r="AX122" s="1395">
        <f ca="1">PBM!DK71</f>
        <v>0.45885885152945394</v>
      </c>
      <c r="AY122" s="1395">
        <f ca="1">PBM!DL71</f>
        <v>0.61564174551102979</v>
      </c>
      <c r="AZ122" s="1395">
        <f ca="1">PBM!DM71</f>
        <v>0.77466510773727759</v>
      </c>
      <c r="BA122" s="1395">
        <f ca="1">PBM!DN71</f>
        <v>0.8071590876129604</v>
      </c>
      <c r="BB122" s="1396">
        <f ca="1">PBM!DO71</f>
        <v>2.6684817766373676</v>
      </c>
      <c r="BC122" s="1395">
        <f ca="1">PBM!DP71</f>
        <v>0.44753122835380443</v>
      </c>
      <c r="BD122" s="1395">
        <f ca="1">PBM!DQ71</f>
        <v>0.66458433459828203</v>
      </c>
      <c r="BE122" s="1395">
        <f ca="1">PBM!DR71</f>
        <v>0.81954719303377721</v>
      </c>
      <c r="BF122" s="1395">
        <f ca="1">PBM!DS71</f>
        <v>0.85645152343089559</v>
      </c>
      <c r="BG122" s="1396">
        <f ca="1">PBM!DT71</f>
        <v>2.7839500116387934</v>
      </c>
      <c r="BH122" s="1395">
        <f ca="1">PBM!DU71</f>
        <v>0.48957892035240202</v>
      </c>
      <c r="BI122" s="1395">
        <f ca="1">PBM!DV71</f>
        <v>0.72281705172971356</v>
      </c>
      <c r="BJ122" s="1395">
        <f ca="1">PBM!DW71</f>
        <v>0.88906687777637761</v>
      </c>
      <c r="BK122" s="1395">
        <f ca="1">PBM!DX71</f>
        <v>0.9248427566258085</v>
      </c>
      <c r="BL122" s="1396">
        <f ca="1">PBM!DY71</f>
        <v>3.0222414754156692</v>
      </c>
    </row>
    <row r="123" spans="1:64" ht="12" thickBot="1" x14ac:dyDescent="0.25">
      <c r="A123" s="238"/>
      <c r="B123" s="289"/>
      <c r="C123" s="1354" t="s">
        <v>1178</v>
      </c>
      <c r="D123" s="1393"/>
      <c r="E123" s="1397">
        <f>IS!BR39</f>
        <v>0.55021606063577999</v>
      </c>
      <c r="F123" s="1398">
        <f>IS!BS39</f>
        <v>0.64812778766525536</v>
      </c>
      <c r="G123" s="1398">
        <f>IS!BT39</f>
        <v>0.64524552002788882</v>
      </c>
      <c r="H123" s="1398">
        <f>IS!BU39</f>
        <v>0.78443093266307806</v>
      </c>
      <c r="I123" s="1399">
        <f>IS!BV39</f>
        <v>2.6198718948576971</v>
      </c>
      <c r="J123" s="1398">
        <f>IS!BW39</f>
        <v>0.6026185636170035</v>
      </c>
      <c r="K123" s="1398">
        <f>IS!BX39</f>
        <v>0.64703158304519548</v>
      </c>
      <c r="L123" s="1398">
        <f>IS!BY39</f>
        <v>0.64668561716094253</v>
      </c>
      <c r="M123" s="1398">
        <f>IS!BZ39</f>
        <v>0.79724049088073767</v>
      </c>
      <c r="N123" s="1399">
        <f>IS!CA39</f>
        <v>2.6932650056875942</v>
      </c>
      <c r="O123" s="1398">
        <f>IS!CB39</f>
        <v>0.56689453276295543</v>
      </c>
      <c r="P123" s="1398">
        <f>IS!CC39</f>
        <v>0.6490597042974332</v>
      </c>
      <c r="Q123" s="1398">
        <f>IS!CD39</f>
        <v>0.70044232998757094</v>
      </c>
      <c r="R123" s="1398">
        <f>IS!CE39</f>
        <v>0.89217492364951256</v>
      </c>
      <c r="S123" s="1399">
        <f>IS!CF39</f>
        <v>2.8002475696472944</v>
      </c>
      <c r="T123" s="1398">
        <f>IS!CG39</f>
        <v>0.64781315613724044</v>
      </c>
      <c r="U123" s="1398">
        <f>IS!CH39</f>
        <v>0.80977072210473211</v>
      </c>
      <c r="V123" s="1398">
        <f>IS!CI39</f>
        <v>0.85093021430253546</v>
      </c>
      <c r="W123" s="1398">
        <f>IS!CJ39</f>
        <v>1.1366469175340272</v>
      </c>
      <c r="X123" s="1399">
        <f>IS!CK39</f>
        <v>3.4334131350251869</v>
      </c>
      <c r="Y123" s="1398">
        <f>IS!CL39</f>
        <v>0.83078162771958097</v>
      </c>
      <c r="Z123" s="1398">
        <f>IS!CM39</f>
        <v>0.96835545483975405</v>
      </c>
      <c r="AA123" s="1398">
        <f>IS!CN39</f>
        <v>1.0548939641109298</v>
      </c>
      <c r="AB123" s="1398">
        <f>IS!CO39</f>
        <v>1.1157368859283929</v>
      </c>
      <c r="AC123" s="1399">
        <f>IS!CP39</f>
        <v>3.9650868749490167</v>
      </c>
      <c r="AD123" s="1398">
        <f>IS!CQ39</f>
        <v>1.0152966885190788</v>
      </c>
      <c r="AE123" s="1398">
        <f>IS!CR39</f>
        <v>1.1303236797274276</v>
      </c>
      <c r="AF123" s="1398">
        <f>IS!CS39</f>
        <v>1.1474397461188779</v>
      </c>
      <c r="AG123" s="1398">
        <f>IS!CT39</f>
        <v>1.2096213963181661</v>
      </c>
      <c r="AH123" s="1399">
        <f>IS!CU39</f>
        <v>4.4994339179287808</v>
      </c>
      <c r="AI123" s="1398">
        <f>IS!CV39</f>
        <v>1.1388473383194015</v>
      </c>
      <c r="AJ123" s="1398">
        <f>IS!CW39</f>
        <v>1.2178809292465331</v>
      </c>
      <c r="AK123" s="1398">
        <f>IS!CX39</f>
        <v>1.284180196672404</v>
      </c>
      <c r="AL123" s="1398">
        <f>IS!CY39</f>
        <v>1.5302145999820418</v>
      </c>
      <c r="AM123" s="1399">
        <f>IS!CZ39</f>
        <v>5.1711230642203807</v>
      </c>
      <c r="AN123" s="1398">
        <f>IS!DA39</f>
        <v>1.1842009464870769</v>
      </c>
      <c r="AO123" s="1398">
        <f>IS!DB39</f>
        <v>1.319509019899572</v>
      </c>
      <c r="AP123" s="1398">
        <f>IS!DC39</f>
        <v>1.6343464478836474</v>
      </c>
      <c r="AQ123" s="1398">
        <f>IS!DD39</f>
        <v>1.7100215214746888</v>
      </c>
      <c r="AR123" s="1399">
        <f>IS!DE39</f>
        <v>5.8480779357449846</v>
      </c>
      <c r="AS123" s="1398">
        <f>IS!DF39</f>
        <v>1.1674881608195611</v>
      </c>
      <c r="AT123" s="1398">
        <f>IS!DG39</f>
        <v>1.3300449306505178</v>
      </c>
      <c r="AU123" s="1398">
        <f>IS!DH39</f>
        <v>1.4977543239392239</v>
      </c>
      <c r="AV123" s="1398">
        <f>IS!DI39</f>
        <v>1.9205729894147003</v>
      </c>
      <c r="AW123" s="1399">
        <f>IS!DJ39</f>
        <v>5.9158604048240031</v>
      </c>
      <c r="AX123" s="1398">
        <f ca="1">IS!DK39</f>
        <v>1.4073745520773424</v>
      </c>
      <c r="AY123" s="1398">
        <f ca="1">IS!DL39</f>
        <v>1.4150198957330835</v>
      </c>
      <c r="AZ123" s="1398">
        <f ca="1">IS!DM39</f>
        <v>1.5607488799006144</v>
      </c>
      <c r="BA123" s="1398">
        <f ca="1">IS!DN39</f>
        <v>1.8974900348024621</v>
      </c>
      <c r="BB123" s="1399">
        <f ca="1">IS!DO39</f>
        <v>6.2806333625135036</v>
      </c>
      <c r="BC123" s="1398">
        <f ca="1">IS!DP39</f>
        <v>1.3113081987370612</v>
      </c>
      <c r="BD123" s="1398">
        <f ca="1">IS!DQ39</f>
        <v>1.5021960513281856</v>
      </c>
      <c r="BE123" s="1398">
        <f ca="1">IS!DR39</f>
        <v>1.6249895238941481</v>
      </c>
      <c r="BF123" s="1398">
        <f ca="1">IS!DS39</f>
        <v>1.9772125562546987</v>
      </c>
      <c r="BG123" s="1399">
        <f ca="1">IS!DT39</f>
        <v>6.4157063302140935</v>
      </c>
      <c r="BH123" s="1398">
        <f ca="1">IS!DU39</f>
        <v>1.3908319908745324</v>
      </c>
      <c r="BI123" s="1398">
        <f ca="1">IS!DV39</f>
        <v>1.5946081479959977</v>
      </c>
      <c r="BJ123" s="1398">
        <f ca="1">IS!DW39</f>
        <v>1.7271494529126037</v>
      </c>
      <c r="BK123" s="1398">
        <f ca="1">IS!DX39</f>
        <v>2.0826733753797417</v>
      </c>
      <c r="BL123" s="1399">
        <f ca="1">IS!DY39</f>
        <v>6.7952629671628753</v>
      </c>
    </row>
    <row r="124" spans="1:64" ht="12" thickBot="1" x14ac:dyDescent="0.25">
      <c r="A124" s="238"/>
      <c r="B124" s="289"/>
      <c r="C124" s="1400"/>
      <c r="D124" s="289"/>
      <c r="E124" s="1505"/>
      <c r="F124" s="1505"/>
      <c r="G124" s="1505"/>
      <c r="H124" s="1505"/>
      <c r="I124" s="1505"/>
      <c r="J124" s="1505"/>
      <c r="K124" s="1505"/>
      <c r="L124" s="1505"/>
      <c r="M124" s="1505"/>
      <c r="N124" s="1506"/>
      <c r="O124" s="1505"/>
      <c r="P124" s="1505"/>
      <c r="Q124" s="1505"/>
      <c r="R124" s="1505"/>
      <c r="S124" s="1506"/>
      <c r="T124" s="1505"/>
      <c r="U124" s="1505"/>
      <c r="V124" s="1505"/>
      <c r="W124" s="1505"/>
      <c r="X124" s="1506"/>
      <c r="Y124" s="1505"/>
      <c r="Z124" s="1505"/>
      <c r="AA124" s="1505"/>
      <c r="AB124" s="1505"/>
      <c r="AC124" s="1506"/>
      <c r="AD124" s="1505"/>
      <c r="AE124" s="1505"/>
      <c r="AF124" s="1505"/>
      <c r="AG124" s="1505"/>
      <c r="AH124" s="1506"/>
      <c r="AI124" s="1505"/>
      <c r="AJ124" s="1505"/>
      <c r="AK124" s="1505"/>
      <c r="AL124" s="1505"/>
      <c r="AM124" s="1506"/>
      <c r="AN124" s="1505"/>
      <c r="AO124" s="1505"/>
      <c r="AP124" s="1505"/>
      <c r="AQ124" s="1505"/>
      <c r="AR124" s="1506"/>
      <c r="AS124" s="1505"/>
      <c r="AT124" s="1505"/>
      <c r="AU124" s="1505"/>
      <c r="AV124" s="1505"/>
      <c r="AW124" s="1506"/>
      <c r="AX124" s="1505"/>
      <c r="AY124" s="1505"/>
      <c r="AZ124" s="1505"/>
      <c r="BA124" s="1505"/>
      <c r="BB124" s="1506"/>
      <c r="BC124" s="1505"/>
      <c r="BD124" s="1505"/>
      <c r="BE124" s="1505"/>
      <c r="BF124" s="1505"/>
      <c r="BG124" s="1506"/>
      <c r="BH124" s="1505"/>
      <c r="BI124" s="1505"/>
      <c r="BJ124" s="1505"/>
      <c r="BK124" s="1505"/>
      <c r="BL124" s="1506"/>
    </row>
    <row r="125" spans="1:64" x14ac:dyDescent="0.2">
      <c r="A125" s="238"/>
      <c r="B125" s="289"/>
      <c r="C125" s="1507"/>
      <c r="D125" s="1371"/>
      <c r="E125" s="1508"/>
      <c r="F125" s="1509"/>
      <c r="G125" s="1509"/>
      <c r="H125" s="1509"/>
      <c r="I125" s="1510"/>
      <c r="J125" s="1509"/>
      <c r="K125" s="1509"/>
      <c r="L125" s="1509"/>
      <c r="M125" s="1509"/>
      <c r="N125" s="1510"/>
      <c r="O125" s="1509"/>
      <c r="P125" s="1509"/>
      <c r="Q125" s="1509"/>
      <c r="R125" s="1509"/>
      <c r="S125" s="1511"/>
      <c r="T125" s="1509"/>
      <c r="U125" s="1509"/>
      <c r="V125" s="1512"/>
      <c r="W125" s="1512"/>
      <c r="X125" s="1511"/>
      <c r="Y125" s="1512"/>
      <c r="Z125" s="1512"/>
      <c r="AA125" s="1512"/>
      <c r="AB125" s="1512"/>
      <c r="AC125" s="1511"/>
      <c r="AD125" s="1512"/>
      <c r="AE125" s="1512"/>
      <c r="AF125" s="1512"/>
      <c r="AG125" s="1512"/>
      <c r="AH125" s="1511"/>
      <c r="AI125" s="1512"/>
      <c r="AJ125" s="1512"/>
      <c r="AK125" s="1512"/>
      <c r="AL125" s="1512"/>
      <c r="AM125" s="1511"/>
      <c r="AN125" s="1512"/>
      <c r="AO125" s="1512"/>
      <c r="AP125" s="1512"/>
      <c r="AQ125" s="1512"/>
      <c r="AR125" s="1511"/>
      <c r="AS125" s="1512"/>
      <c r="AT125" s="1512"/>
      <c r="AU125" s="1512"/>
      <c r="AV125" s="1512"/>
      <c r="AW125" s="1511"/>
      <c r="AX125" s="1512"/>
      <c r="AY125" s="1512"/>
      <c r="AZ125" s="1512"/>
      <c r="BA125" s="1512"/>
      <c r="BB125" s="1511"/>
      <c r="BC125" s="1512"/>
      <c r="BD125" s="1512"/>
      <c r="BE125" s="1512"/>
      <c r="BF125" s="1512"/>
      <c r="BG125" s="1511"/>
      <c r="BH125" s="1512"/>
      <c r="BI125" s="1512"/>
      <c r="BJ125" s="1512"/>
      <c r="BK125" s="1512"/>
      <c r="BL125" s="1511"/>
    </row>
    <row r="126" spans="1:64" x14ac:dyDescent="0.2">
      <c r="A126" s="238"/>
      <c r="B126" s="289"/>
      <c r="C126" s="1380" t="s">
        <v>1234</v>
      </c>
      <c r="D126" s="289"/>
      <c r="E126" s="1513">
        <f>PBM!BR15</f>
        <v>7.1539383354854547E-2</v>
      </c>
      <c r="F126" s="1514">
        <f>PBM!BS15</f>
        <v>0.22061969822085392</v>
      </c>
      <c r="G126" s="1514">
        <f>PBM!BT15</f>
        <v>0.23353276407217405</v>
      </c>
      <c r="H126" s="1514">
        <f>PBM!BU15</f>
        <v>0.14491314715341597</v>
      </c>
      <c r="I126" s="1515">
        <f>PBM!BV15</f>
        <v>0.16668799064182127</v>
      </c>
      <c r="J126" s="1514">
        <f>PBM!BW15</f>
        <v>2.6112286298852094E-2</v>
      </c>
      <c r="K126" s="1514">
        <f>PBM!BX15</f>
        <v>-8.9783900552740881E-2</v>
      </c>
      <c r="L126" s="1514">
        <f>PBM!BY15</f>
        <v>-8.4748624360145297E-2</v>
      </c>
      <c r="M126" s="1514">
        <f>PBM!BZ15</f>
        <v>-9.7465164541950755E-2</v>
      </c>
      <c r="N126" s="1515">
        <f>PBM!CA15</f>
        <v>-6.4349358660530709E-2</v>
      </c>
      <c r="O126" s="1514">
        <f>PBM!CB15</f>
        <v>0.18401486988847582</v>
      </c>
      <c r="P126" s="1514">
        <f>PBM!CC15</f>
        <v>0.23217905405405403</v>
      </c>
      <c r="Q126" s="1514">
        <f>PBM!CD15</f>
        <v>0.24081838001006206</v>
      </c>
      <c r="R126" s="1514">
        <f>PBM!CE15</f>
        <v>0.30354767184035469</v>
      </c>
      <c r="S126" s="1515">
        <f>PBM!CF15</f>
        <v>0.24059314761715411</v>
      </c>
      <c r="T126" s="1514">
        <f>PBM!CG15</f>
        <v>0.3058370201227345</v>
      </c>
      <c r="U126" s="1514">
        <f>PBM!CH15</f>
        <v>0.26277332236616635</v>
      </c>
      <c r="V126" s="1514">
        <f>PBM!CI15</f>
        <v>0.22174618191647499</v>
      </c>
      <c r="W126" s="1514">
        <f>PBM!CJ15</f>
        <v>0.17442497779289745</v>
      </c>
      <c r="X126" s="1515">
        <f>PBM!CK15</f>
        <v>0.23905301285717417</v>
      </c>
      <c r="Y126" s="1514">
        <f>PBM!CL15</f>
        <v>6.0109289617482631E-4</v>
      </c>
      <c r="Z126" s="1514">
        <f>PBM!CM15</f>
        <v>2.0474851541041783E-2</v>
      </c>
      <c r="AA126" s="1514">
        <f>PBM!CN15</f>
        <v>7.761319512815712E-2</v>
      </c>
      <c r="AB126" s="1514">
        <f>PBM!CO15</f>
        <v>5.219397060401243E-2</v>
      </c>
      <c r="AC126" s="1515">
        <f>PBM!CP15</f>
        <v>3.7639562115353131E-2</v>
      </c>
      <c r="AD126" s="1514">
        <f>PBM!CQ15</f>
        <v>0.10289443503904749</v>
      </c>
      <c r="AE126" s="1514">
        <f>PBM!CR15</f>
        <v>0.16151767571995457</v>
      </c>
      <c r="AF126" s="1514">
        <f>PBM!CS15</f>
        <v>0.1566218061244391</v>
      </c>
      <c r="AG126" s="1514">
        <f>PBM!CT15</f>
        <v>0.21714504205964835</v>
      </c>
      <c r="AH126" s="1515">
        <f>PBM!CU15</f>
        <v>0.16049805533248329</v>
      </c>
      <c r="AI126" s="1514">
        <f>PBM!CV15</f>
        <v>0.18241058474580485</v>
      </c>
      <c r="AJ126" s="1514">
        <f>PBM!CW15</f>
        <v>0.11930592637030979</v>
      </c>
      <c r="AK126" s="1514">
        <f>PBM!CX15</f>
        <v>0.13287767648841764</v>
      </c>
      <c r="AL126" s="1514">
        <f>PBM!CY15</f>
        <v>0.11056391915406927</v>
      </c>
      <c r="AM126" s="1515">
        <f>PBM!CZ15</f>
        <v>0.13481390978316288</v>
      </c>
      <c r="AN126" s="1514">
        <f>PBM!DA15</f>
        <v>0.20461997830720846</v>
      </c>
      <c r="AO126" s="1514">
        <f>PBM!DB15</f>
        <v>0.20736043205204258</v>
      </c>
      <c r="AP126" s="1514">
        <f>PBM!DC15</f>
        <v>0.19197678847822042</v>
      </c>
      <c r="AQ126" s="1514">
        <f>PBM!DD15</f>
        <v>0.17897621060895763</v>
      </c>
      <c r="AR126" s="1515">
        <f>PBM!DE15</f>
        <v>0.1952978293080081</v>
      </c>
      <c r="AS126" s="1514">
        <f>PBM!DF15</f>
        <v>8.5440639666261031E-2</v>
      </c>
      <c r="AT126" s="1514">
        <f>PBM!DG15</f>
        <v>9.5422860957583344E-2</v>
      </c>
      <c r="AU126" s="1514">
        <f>PBM!DH15</f>
        <v>8.1063850064576393E-2</v>
      </c>
      <c r="AV126" s="1514">
        <f>PBM!DI15</f>
        <v>9.2536232508725558E-2</v>
      </c>
      <c r="AW126" s="1515">
        <f>PBM!DJ15</f>
        <v>8.8633850225319222E-2</v>
      </c>
      <c r="AX126" s="1514">
        <f ca="1">PBM!DK15</f>
        <v>3.074175792229128E-2</v>
      </c>
      <c r="AY126" s="1514">
        <f ca="1">PBM!DL15</f>
        <v>7.875170124794928E-2</v>
      </c>
      <c r="AZ126" s="1514">
        <f ca="1">PBM!DM15</f>
        <v>6.3021820100741976E-2</v>
      </c>
      <c r="BA126" s="1514">
        <f ca="1">PBM!DN15</f>
        <v>4.2290917398092764E-2</v>
      </c>
      <c r="BB126" s="1515">
        <f ca="1">PBM!DO15</f>
        <v>5.3776710931553451E-2</v>
      </c>
      <c r="BC126" s="1514">
        <f ca="1">PBM!DP15</f>
        <v>5.033850656210781E-2</v>
      </c>
      <c r="BD126" s="1514">
        <f ca="1">PBM!DQ15</f>
        <v>4.9110952687837717E-2</v>
      </c>
      <c r="BE126" s="1514">
        <f ca="1">PBM!DR15</f>
        <v>4.7994712323609523E-2</v>
      </c>
      <c r="BF126" s="1514">
        <f ca="1">PBM!DS15</f>
        <v>4.6699952422520452E-2</v>
      </c>
      <c r="BG126" s="1515">
        <f ca="1">PBM!DT15</f>
        <v>4.8490758753992003E-2</v>
      </c>
      <c r="BH126" s="1514">
        <f ca="1">PBM!DU15</f>
        <v>4.5141588499927998E-2</v>
      </c>
      <c r="BI126" s="1514">
        <f ca="1">PBM!DV15</f>
        <v>4.3307115318115263E-2</v>
      </c>
      <c r="BJ126" s="1514">
        <f ca="1">PBM!DW15</f>
        <v>4.2010333271161437E-2</v>
      </c>
      <c r="BK126" s="1514">
        <f ca="1">PBM!DX15</f>
        <v>4.056416500583504E-2</v>
      </c>
      <c r="BL126" s="1515">
        <f ca="1">PBM!DY15</f>
        <v>4.2699237572605409E-2</v>
      </c>
    </row>
    <row r="127" spans="1:64" x14ac:dyDescent="0.2">
      <c r="A127" s="238"/>
      <c r="B127" s="289"/>
      <c r="C127" s="1380" t="s">
        <v>516</v>
      </c>
      <c r="D127" s="289"/>
      <c r="E127" s="1516">
        <f>PBM!BR20</f>
        <v>6.9164614904463004E-2</v>
      </c>
      <c r="F127" s="1517">
        <f>PBM!BS20</f>
        <v>7.1587266199770919E-2</v>
      </c>
      <c r="G127" s="1517">
        <f>PBM!BT20</f>
        <v>7.9130948635104323E-2</v>
      </c>
      <c r="H127" s="1517">
        <f>PBM!BU20</f>
        <v>7.9676845538096647E-2</v>
      </c>
      <c r="I127" s="1518">
        <f>PBM!BV20</f>
        <v>7.510232057182023E-2</v>
      </c>
      <c r="J127" s="1517">
        <f>PBM!BW20</f>
        <v>6.6069618114227777E-2</v>
      </c>
      <c r="K127" s="1517">
        <f>PBM!BX20</f>
        <v>6.9341216216216223E-2</v>
      </c>
      <c r="L127" s="1517">
        <f>PBM!BY20</f>
        <v>7.3956062384705687E-2</v>
      </c>
      <c r="M127" s="1517">
        <f>PBM!BZ20</f>
        <v>7.1281924940461525E-2</v>
      </c>
      <c r="N127" s="1518">
        <f>PBM!CA20</f>
        <v>7.0177274534837478E-2</v>
      </c>
      <c r="O127" s="1517">
        <f>PBM!CB20</f>
        <v>4.5597259882974167E-2</v>
      </c>
      <c r="P127" s="1517">
        <f>PBM!CC20</f>
        <v>4.9969154842689698E-2</v>
      </c>
      <c r="Q127" s="1517">
        <f>PBM!CD20</f>
        <v>6.1765103392350321E-2</v>
      </c>
      <c r="R127" s="1517">
        <f>PBM!CE20</f>
        <v>6.3975354841148344E-2</v>
      </c>
      <c r="S127" s="1518">
        <f>PBM!CF20</f>
        <v>5.5631192607926198E-2</v>
      </c>
      <c r="T127" s="1517">
        <f>PBM!CG20</f>
        <v>3.3661202185792348E-2</v>
      </c>
      <c r="U127" s="1517">
        <f>PBM!CH20</f>
        <v>4.2192741523997691E-2</v>
      </c>
      <c r="V127" s="1517">
        <f>PBM!CI20</f>
        <v>5.9775213779218343E-2</v>
      </c>
      <c r="W127" s="1517">
        <f>PBM!CJ20</f>
        <v>7.1558845617423025E-2</v>
      </c>
      <c r="X127" s="1518">
        <f>PBM!CK20</f>
        <v>5.1849027830728173E-2</v>
      </c>
      <c r="Y127" s="1517">
        <f>PBM!CL20</f>
        <v>4.1942002075255308E-2</v>
      </c>
      <c r="Z127" s="1517">
        <f>PBM!CM20</f>
        <v>5.125054521856616E-2</v>
      </c>
      <c r="AA127" s="1517">
        <f>PBM!CN20</f>
        <v>6.6433638220771349E-2</v>
      </c>
      <c r="AB127" s="1517">
        <f>PBM!CO20</f>
        <v>6.176905429518225E-2</v>
      </c>
      <c r="AC127" s="1518">
        <f>PBM!CP20</f>
        <v>5.5602794442607378E-2</v>
      </c>
      <c r="AD127" s="1517">
        <f>PBM!CQ20</f>
        <v>4.6283504414437168E-2</v>
      </c>
      <c r="AE127" s="1517">
        <f>PBM!CR20</f>
        <v>5.4725388458667444E-2</v>
      </c>
      <c r="AF127" s="1517">
        <f>PBM!CS20</f>
        <v>6.2252596077039139E-2</v>
      </c>
      <c r="AG127" s="1517">
        <f>PBM!CT20</f>
        <v>5.1863300704104408E-2</v>
      </c>
      <c r="AH127" s="1518">
        <f>PBM!CU20</f>
        <v>5.3942969051229243E-2</v>
      </c>
      <c r="AI127" s="1517">
        <f>PBM!CV20</f>
        <v>4.2962615530866166E-2</v>
      </c>
      <c r="AJ127" s="1517">
        <f>PBM!CW20</f>
        <v>5.0762023607389073E-2</v>
      </c>
      <c r="AK127" s="1517">
        <f>PBM!CX20</f>
        <v>5.7511021892376217E-2</v>
      </c>
      <c r="AL127" s="1517">
        <f>PBM!CY20</f>
        <v>5.6277962615131225E-2</v>
      </c>
      <c r="AM127" s="1518">
        <f>PBM!CZ20</f>
        <v>5.2080225681519279E-2</v>
      </c>
      <c r="AN127" s="1517">
        <f>PBM!DA20</f>
        <v>3.8303493829306444E-2</v>
      </c>
      <c r="AO127" s="1517">
        <f>PBM!DB20</f>
        <v>4.6337306038353496E-2</v>
      </c>
      <c r="AP127" s="1517">
        <f>PBM!DC20</f>
        <v>5.9045453201047683E-2</v>
      </c>
      <c r="AQ127" s="1517">
        <f>PBM!DD20</f>
        <v>5.2301235152418642E-2</v>
      </c>
      <c r="AR127" s="1518">
        <f>PBM!DE20</f>
        <v>4.9188417781452977E-2</v>
      </c>
      <c r="AS127" s="1517">
        <f>PBM!DF20</f>
        <v>3.5115476880602896E-2</v>
      </c>
      <c r="AT127" s="1517">
        <f>PBM!DG20</f>
        <v>4.5443858737347492E-2</v>
      </c>
      <c r="AU127" s="1517">
        <f>PBM!DH20</f>
        <v>5.0008418061272257E-2</v>
      </c>
      <c r="AV127" s="1517">
        <f>PBM!DI20</f>
        <v>5.3561994150405065E-2</v>
      </c>
      <c r="AW127" s="1518">
        <f>PBM!DJ20</f>
        <v>4.6247294933867651E-2</v>
      </c>
      <c r="AX127" s="1517">
        <f ca="1">PBM!DK20</f>
        <v>3.6484952935478765E-2</v>
      </c>
      <c r="AY127" s="1517">
        <f ca="1">PBM!DL20</f>
        <v>4.4532182667397884E-2</v>
      </c>
      <c r="AZ127" s="1517">
        <f ca="1">PBM!DM20</f>
        <v>5.1678703674285308E-2</v>
      </c>
      <c r="BA127" s="1517">
        <f ca="1">PBM!DN20</f>
        <v>5.0928839526480682E-2</v>
      </c>
      <c r="BB127" s="1518">
        <f ca="1">PBM!DO20</f>
        <v>4.6120792639524053E-2</v>
      </c>
      <c r="BC127" s="1517">
        <f ca="1">PBM!DP20</f>
        <v>3.6394580113771516E-2</v>
      </c>
      <c r="BD127" s="1517">
        <f ca="1">PBM!DQ20</f>
        <v>4.3635951836434823E-2</v>
      </c>
      <c r="BE127" s="1517">
        <f ca="1">PBM!DR20</f>
        <v>5.0920169081056801E-2</v>
      </c>
      <c r="BF127" s="1517">
        <f ca="1">PBM!DS20</f>
        <v>5.0210753597220895E-2</v>
      </c>
      <c r="BG127" s="1518">
        <f ca="1">PBM!DT20</f>
        <v>4.5487316182981234E-2</v>
      </c>
      <c r="BH127" s="1517">
        <f ca="1">PBM!DU20</f>
        <v>3.5969093080634888E-2</v>
      </c>
      <c r="BI127" s="1517">
        <f ca="1">PBM!DV20</f>
        <v>4.3487571955091141E-2</v>
      </c>
      <c r="BJ127" s="1517">
        <f ca="1">PBM!DW20</f>
        <v>5.0951393886299608E-2</v>
      </c>
      <c r="BK127" s="1517">
        <f ca="1">PBM!DX20</f>
        <v>5.0265987827310843E-2</v>
      </c>
      <c r="BL127" s="1518">
        <f ca="1">PBM!DY20</f>
        <v>4.5363250248190684E-2</v>
      </c>
    </row>
    <row r="128" spans="1:64" x14ac:dyDescent="0.2">
      <c r="A128" s="238"/>
      <c r="B128" s="289"/>
      <c r="C128" s="1519" t="s">
        <v>814</v>
      </c>
      <c r="D128" s="289"/>
      <c r="E128" s="1520">
        <f>E127-PBM!BM61</f>
        <v>-1.3954240840020352E-2</v>
      </c>
      <c r="F128" s="1521">
        <f>F127-PBM!BN61</f>
        <v>-1.9121949873658811E-2</v>
      </c>
      <c r="G128" s="1521">
        <f>G127-PBM!BO61</f>
        <v>-1.6616471280359035E-2</v>
      </c>
      <c r="H128" s="1521">
        <f>H127-PBM!BP61</f>
        <v>-1.9210717866909796E-2</v>
      </c>
      <c r="I128" s="1522">
        <f>I127-PBM!BQ61</f>
        <v>-1.7148601937404861E-2</v>
      </c>
      <c r="J128" s="1521">
        <f t="shared" ref="J128:AM128" si="78">J127-E127</f>
        <v>-3.0949967902352271E-3</v>
      </c>
      <c r="K128" s="1521">
        <f t="shared" si="78"/>
        <v>-2.246049983554696E-3</v>
      </c>
      <c r="L128" s="1521">
        <f t="shared" si="78"/>
        <v>-5.1748862503986359E-3</v>
      </c>
      <c r="M128" s="1521">
        <f t="shared" si="78"/>
        <v>-8.3949205976351221E-3</v>
      </c>
      <c r="N128" s="1522">
        <f t="shared" si="78"/>
        <v>-4.9250460369827526E-3</v>
      </c>
      <c r="O128" s="1521">
        <f t="shared" si="78"/>
        <v>-2.047235823125361E-2</v>
      </c>
      <c r="P128" s="1521">
        <f t="shared" si="78"/>
        <v>-1.9372061373526525E-2</v>
      </c>
      <c r="Q128" s="1521">
        <f t="shared" si="78"/>
        <v>-1.2190958992355366E-2</v>
      </c>
      <c r="R128" s="1521">
        <f t="shared" si="78"/>
        <v>-7.306570099313181E-3</v>
      </c>
      <c r="S128" s="1522">
        <f t="shared" si="78"/>
        <v>-1.4546081926911279E-2</v>
      </c>
      <c r="T128" s="1521">
        <f t="shared" si="78"/>
        <v>-1.1936057697181819E-2</v>
      </c>
      <c r="U128" s="1521">
        <f t="shared" si="78"/>
        <v>-7.7764133186920062E-3</v>
      </c>
      <c r="V128" s="1521">
        <f t="shared" si="78"/>
        <v>-1.9898896131319774E-3</v>
      </c>
      <c r="W128" s="1521">
        <f t="shared" si="78"/>
        <v>7.5834907762746817E-3</v>
      </c>
      <c r="X128" s="1522">
        <f t="shared" si="78"/>
        <v>-3.7821647771980257E-3</v>
      </c>
      <c r="Y128" s="1521">
        <f t="shared" si="78"/>
        <v>8.28079988946296E-3</v>
      </c>
      <c r="Z128" s="1521">
        <f t="shared" si="78"/>
        <v>9.0578036945684684E-3</v>
      </c>
      <c r="AA128" s="1521">
        <f t="shared" si="78"/>
        <v>6.6584244415530056E-3</v>
      </c>
      <c r="AB128" s="1521">
        <f t="shared" si="78"/>
        <v>-9.7897913222407748E-3</v>
      </c>
      <c r="AC128" s="1522">
        <f t="shared" si="78"/>
        <v>3.7537666118792057E-3</v>
      </c>
      <c r="AD128" s="1521">
        <f t="shared" si="78"/>
        <v>4.3415023391818602E-3</v>
      </c>
      <c r="AE128" s="1521">
        <f t="shared" si="78"/>
        <v>3.4748432401012844E-3</v>
      </c>
      <c r="AF128" s="1521">
        <f t="shared" si="78"/>
        <v>-4.1810421437322096E-3</v>
      </c>
      <c r="AG128" s="1521">
        <f t="shared" si="78"/>
        <v>-9.9057535910778427E-3</v>
      </c>
      <c r="AH128" s="1522">
        <f t="shared" si="78"/>
        <v>-1.659825391378135E-3</v>
      </c>
      <c r="AI128" s="1521">
        <f t="shared" si="78"/>
        <v>-3.3208888835710021E-3</v>
      </c>
      <c r="AJ128" s="1521">
        <f t="shared" si="78"/>
        <v>-3.9633648512783712E-3</v>
      </c>
      <c r="AK128" s="1521">
        <f t="shared" si="78"/>
        <v>-4.7415741846629222E-3</v>
      </c>
      <c r="AL128" s="1521">
        <f t="shared" si="78"/>
        <v>4.4146619110268168E-3</v>
      </c>
      <c r="AM128" s="1522">
        <f t="shared" si="78"/>
        <v>-1.8627433697099641E-3</v>
      </c>
      <c r="AN128" s="1521">
        <f t="shared" ref="AN128:BG128" si="79">AN127-AI127</f>
        <v>-4.6591217015597222E-3</v>
      </c>
      <c r="AO128" s="1521">
        <f t="shared" si="79"/>
        <v>-4.4247175690355772E-3</v>
      </c>
      <c r="AP128" s="1521">
        <f t="shared" si="79"/>
        <v>1.5344313086714662E-3</v>
      </c>
      <c r="AQ128" s="1521">
        <f t="shared" si="79"/>
        <v>-3.9767274627125829E-3</v>
      </c>
      <c r="AR128" s="1522">
        <f t="shared" si="79"/>
        <v>-2.8918079000663025E-3</v>
      </c>
      <c r="AS128" s="1521">
        <f t="shared" si="79"/>
        <v>-3.1880169487035481E-3</v>
      </c>
      <c r="AT128" s="1521">
        <f t="shared" si="79"/>
        <v>-8.9344730100600345E-4</v>
      </c>
      <c r="AU128" s="1521">
        <f t="shared" si="79"/>
        <v>-9.0370351397754262E-3</v>
      </c>
      <c r="AV128" s="1521">
        <f t="shared" si="79"/>
        <v>1.2607589979864234E-3</v>
      </c>
      <c r="AW128" s="1522">
        <f t="shared" si="79"/>
        <v>-2.9411228475853257E-3</v>
      </c>
      <c r="AX128" s="1521">
        <f t="shared" ca="1" si="79"/>
        <v>1.3694760548758692E-3</v>
      </c>
      <c r="AY128" s="1521">
        <f t="shared" ca="1" si="79"/>
        <v>-9.1167606994960876E-4</v>
      </c>
      <c r="AZ128" s="1521">
        <f t="shared" ca="1" si="79"/>
        <v>1.6702856130130506E-3</v>
      </c>
      <c r="BA128" s="1521">
        <f t="shared" ca="1" si="79"/>
        <v>-2.633154623924383E-3</v>
      </c>
      <c r="BB128" s="1522">
        <f t="shared" ca="1" si="79"/>
        <v>-1.2650229434359866E-4</v>
      </c>
      <c r="BC128" s="1521">
        <f t="shared" ca="1" si="79"/>
        <v>-9.037282170724914E-5</v>
      </c>
      <c r="BD128" s="1521">
        <f t="shared" ca="1" si="79"/>
        <v>-8.9623083096306011E-4</v>
      </c>
      <c r="BE128" s="1521">
        <f t="shared" ca="1" si="79"/>
        <v>-7.5853459322850619E-4</v>
      </c>
      <c r="BF128" s="1521">
        <f t="shared" ca="1" si="79"/>
        <v>-7.1808592925978743E-4</v>
      </c>
      <c r="BG128" s="1522">
        <f t="shared" ca="1" si="79"/>
        <v>-6.3347645654281831E-4</v>
      </c>
      <c r="BH128" s="1521">
        <f t="shared" ref="BH128" ca="1" si="80">BH127-BC127</f>
        <v>-4.2548703313662756E-4</v>
      </c>
      <c r="BI128" s="1521">
        <f t="shared" ref="BI128" ca="1" si="81">BI127-BD127</f>
        <v>-1.4837988134368263E-4</v>
      </c>
      <c r="BJ128" s="1521">
        <f t="shared" ref="BJ128" ca="1" si="82">BJ127-BE127</f>
        <v>3.1224805242806297E-5</v>
      </c>
      <c r="BK128" s="1521">
        <f t="shared" ref="BK128" ca="1" si="83">BK127-BF127</f>
        <v>5.5234230089948322E-5</v>
      </c>
      <c r="BL128" s="1522">
        <f t="shared" ref="BL128" ca="1" si="84">BL127-BG127</f>
        <v>-1.2406593479055011E-4</v>
      </c>
    </row>
    <row r="129" spans="1:64" x14ac:dyDescent="0.2">
      <c r="A129" s="238"/>
      <c r="B129" s="289"/>
      <c r="C129" s="1380" t="s">
        <v>1235</v>
      </c>
      <c r="D129" s="289"/>
      <c r="E129" s="1516">
        <f>PBM!BR35</f>
        <v>4.6546103963657798E-2</v>
      </c>
      <c r="F129" s="1517">
        <f>PBM!BS35</f>
        <v>5.3575135110202267E-2</v>
      </c>
      <c r="G129" s="1517">
        <f>PBM!BT35</f>
        <v>6.1333967752085522E-2</v>
      </c>
      <c r="H129" s="1517">
        <f>PBM!BU35</f>
        <v>6.1740290542543728E-2</v>
      </c>
      <c r="I129" s="1518">
        <f>PBM!BV35</f>
        <v>5.6126505434250462E-2</v>
      </c>
      <c r="J129" s="1517">
        <f>PBM!BW35</f>
        <v>4.5454545454545456E-2</v>
      </c>
      <c r="K129" s="1517">
        <f>PBM!BX35</f>
        <v>4.9915540540540537E-2</v>
      </c>
      <c r="L129" s="1517">
        <f>PBM!BY35</f>
        <v>5.4670467885292638E-2</v>
      </c>
      <c r="M129" s="1517">
        <f>PBM!BZ35</f>
        <v>4.9930196271659684E-2</v>
      </c>
      <c r="N129" s="1518">
        <f>PBM!CA35</f>
        <v>5.0001046484857363E-2</v>
      </c>
      <c r="O129" s="1517">
        <f>PBM!CB35</f>
        <v>2.8328814043099757E-2</v>
      </c>
      <c r="P129" s="1517">
        <f>PBM!CC35</f>
        <v>3.1119336486393857E-2</v>
      </c>
      <c r="Q129" s="1517">
        <f>PBM!CD35</f>
        <v>4.4397891606973917E-2</v>
      </c>
      <c r="R129" s="1517">
        <f>PBM!CE35</f>
        <v>4.5636383108742351E-2</v>
      </c>
      <c r="S129" s="1518">
        <f>PBM!CF35</f>
        <v>3.7662190865181029E-2</v>
      </c>
      <c r="T129" s="1517">
        <f>PBM!CG35</f>
        <v>1.9071038251366121E-2</v>
      </c>
      <c r="U129" s="1517">
        <f>PBM!CH35</f>
        <v>2.7759382497584483E-2</v>
      </c>
      <c r="V129" s="1517">
        <f>PBM!CI35</f>
        <v>4.3364270938194859E-2</v>
      </c>
      <c r="W129" s="1517">
        <f>PBM!CJ35</f>
        <v>5.5519794013517865E-2</v>
      </c>
      <c r="X129" s="1518">
        <f>PBM!CK35</f>
        <v>3.6482217744131587E-2</v>
      </c>
      <c r="Y129" s="1517">
        <f>PBM!CL35</f>
        <v>2.7251378952542187E-2</v>
      </c>
      <c r="Z129" s="1517">
        <f>PBM!CM35</f>
        <v>3.5925914105469206E-2</v>
      </c>
      <c r="AA129" s="1517">
        <f>PBM!CN35</f>
        <v>5.1379179370309912E-2</v>
      </c>
      <c r="AB129" s="1517">
        <f>PBM!CO35</f>
        <v>4.5903645169513119E-2</v>
      </c>
      <c r="AC129" s="1518">
        <f ca="1">PBM!CP35</f>
        <v>4.0360380220553112E-2</v>
      </c>
      <c r="AD129" s="1517">
        <f>PBM!CQ35</f>
        <v>3.1720565879842143E-2</v>
      </c>
      <c r="AE129" s="1517">
        <f>PBM!CR35</f>
        <v>4.0222015634516828E-2</v>
      </c>
      <c r="AF129" s="1517">
        <f>PBM!CS35</f>
        <v>4.8211591373036301E-2</v>
      </c>
      <c r="AG129" s="1517">
        <f>PBM!CT35</f>
        <v>3.8061848933790728E-2</v>
      </c>
      <c r="AH129" s="1518">
        <f>PBM!CU35</f>
        <v>3.9733287200205331E-2</v>
      </c>
      <c r="AI129" s="1517">
        <f>PBM!CV35</f>
        <v>3.0738434349991E-2</v>
      </c>
      <c r="AJ129" s="1517">
        <f>PBM!CW35</f>
        <v>3.8479635046948839E-2</v>
      </c>
      <c r="AK129" s="1517">
        <f>PBM!CX35</f>
        <v>4.5532143058738685E-2</v>
      </c>
      <c r="AL129" s="1517">
        <f>PBM!CY35</f>
        <v>4.3459925870376524E-2</v>
      </c>
      <c r="AM129" s="1518">
        <f>PBM!CZ35</f>
        <v>3.9747378717438754E-2</v>
      </c>
      <c r="AN129" s="1517">
        <f>PBM!DA35</f>
        <v>2.7202190161654788E-2</v>
      </c>
      <c r="AO129" s="1517">
        <f>PBM!DB35</f>
        <v>3.5208761864742776E-2</v>
      </c>
      <c r="AP129" s="1517">
        <f>PBM!DC35</f>
        <v>4.7855506735329012E-2</v>
      </c>
      <c r="AQ129" s="1517">
        <f>PBM!DD35</f>
        <v>4.177636735307573E-2</v>
      </c>
      <c r="AR129" s="1518">
        <f>PBM!DE35</f>
        <v>3.8208142163596831E-2</v>
      </c>
      <c r="AS129" s="1517">
        <f>PBM!DF35</f>
        <v>2.5106733242160353E-2</v>
      </c>
      <c r="AT129" s="1517">
        <f>PBM!DG35</f>
        <v>3.5102210013116544E-2</v>
      </c>
      <c r="AU129" s="1517">
        <f>PBM!DH35</f>
        <v>4.1127357568747379E-2</v>
      </c>
      <c r="AV129" s="1517">
        <f>PBM!DI35</f>
        <v>4.3426303542593067E-2</v>
      </c>
      <c r="AW129" s="1518">
        <f>PBM!DJ35</f>
        <v>3.6407002277089283E-2</v>
      </c>
      <c r="AX129" s="1517">
        <f ca="1">PBM!DK35</f>
        <v>2.4796053024751869E-2</v>
      </c>
      <c r="AY129" s="1517">
        <f ca="1">PBM!DL35</f>
        <v>3.4691853462309553E-2</v>
      </c>
      <c r="AZ129" s="1517">
        <f ca="1">PBM!DM35</f>
        <v>4.206351588940975E-2</v>
      </c>
      <c r="BA129" s="1517">
        <f ca="1">PBM!DN35</f>
        <v>4.1070891681950869E-2</v>
      </c>
      <c r="BB129" s="1518">
        <f ca="1">PBM!DO35</f>
        <v>3.5900821885042837E-2</v>
      </c>
      <c r="BC129" s="1517">
        <f ca="1">PBM!DP35</f>
        <v>2.5923071151724448E-2</v>
      </c>
      <c r="BD129" s="1517">
        <f ca="1">PBM!DQ35</f>
        <v>3.4828175922676223E-2</v>
      </c>
      <c r="BE129" s="1517">
        <f ca="1">PBM!DR35</f>
        <v>4.2249018073459731E-2</v>
      </c>
      <c r="BF129" s="1517">
        <f ca="1">PBM!DS35</f>
        <v>4.144336234501593E-2</v>
      </c>
      <c r="BG129" s="1518">
        <f ca="1">PBM!DT35</f>
        <v>3.6334914520559036E-2</v>
      </c>
      <c r="BH129" s="1517">
        <f ca="1">PBM!DU35</f>
        <v>2.6604513571389422E-2</v>
      </c>
      <c r="BI129" s="1517">
        <f ca="1">PBM!DV35</f>
        <v>3.5667001199291719E-2</v>
      </c>
      <c r="BJ129" s="1517">
        <f ca="1">PBM!DW35</f>
        <v>4.3251190347399382E-2</v>
      </c>
      <c r="BK129" s="1517">
        <f ca="1">PBM!DX35</f>
        <v>4.2467807772569206E-2</v>
      </c>
      <c r="BL129" s="1518">
        <f ca="1">PBM!DY35</f>
        <v>3.721644617648355E-2</v>
      </c>
    </row>
    <row r="130" spans="1:64" x14ac:dyDescent="0.2">
      <c r="A130" s="238"/>
      <c r="B130" s="1523"/>
      <c r="C130" s="1519" t="s">
        <v>814</v>
      </c>
      <c r="D130" s="1523"/>
      <c r="E130" s="1524">
        <f>'Key Inputs and Scenarios'!E129-PBM!BM35</f>
        <v>-7.5102097283169036E-3</v>
      </c>
      <c r="F130" s="1525">
        <f>'Key Inputs and Scenarios'!F129-PBM!BN35</f>
        <v>-8.2163970570524394E-3</v>
      </c>
      <c r="G130" s="1525">
        <f>'Key Inputs and Scenarios'!G129-PBM!BO35</f>
        <v>-5.4627075607872472E-3</v>
      </c>
      <c r="H130" s="1525">
        <f>'Key Inputs and Scenarios'!H129-PBM!BP35</f>
        <v>-6.9103717793591243E-3</v>
      </c>
      <c r="I130" s="1526">
        <f>I129-PBM!BQ35</f>
        <v>-6.8287233567715377E-3</v>
      </c>
      <c r="J130" s="1525">
        <f t="shared" ref="J130:AM130" si="85">J129-E129</f>
        <v>-1.091558509112342E-3</v>
      </c>
      <c r="K130" s="1525">
        <f t="shared" si="85"/>
        <v>-3.6595945696617296E-3</v>
      </c>
      <c r="L130" s="1525">
        <f t="shared" si="85"/>
        <v>-6.6634998667928838E-3</v>
      </c>
      <c r="M130" s="1525">
        <f t="shared" si="85"/>
        <v>-1.1810094270884045E-2</v>
      </c>
      <c r="N130" s="1526">
        <f t="shared" si="85"/>
        <v>-6.1254589493930992E-3</v>
      </c>
      <c r="O130" s="1525">
        <f t="shared" si="85"/>
        <v>-1.7125731411445699E-2</v>
      </c>
      <c r="P130" s="1525">
        <f t="shared" si="85"/>
        <v>-1.8796204054146681E-2</v>
      </c>
      <c r="Q130" s="1525">
        <f t="shared" si="85"/>
        <v>-1.0272576278318721E-2</v>
      </c>
      <c r="R130" s="1525">
        <f t="shared" si="85"/>
        <v>-4.2938131629173329E-3</v>
      </c>
      <c r="S130" s="1526">
        <f t="shared" si="85"/>
        <v>-1.2338855619676334E-2</v>
      </c>
      <c r="T130" s="1525">
        <f t="shared" si="85"/>
        <v>-9.2577757917336363E-3</v>
      </c>
      <c r="U130" s="1525">
        <f t="shared" si="85"/>
        <v>-3.3599539888093735E-3</v>
      </c>
      <c r="V130" s="1525">
        <f t="shared" si="85"/>
        <v>-1.0336206687790589E-3</v>
      </c>
      <c r="W130" s="1525">
        <f t="shared" si="85"/>
        <v>9.8834109047755137E-3</v>
      </c>
      <c r="X130" s="1526">
        <f t="shared" si="85"/>
        <v>-1.1799731210494421E-3</v>
      </c>
      <c r="Y130" s="1525">
        <f t="shared" si="85"/>
        <v>8.1803407011760663E-3</v>
      </c>
      <c r="Z130" s="1525">
        <f t="shared" si="85"/>
        <v>8.1665316078847229E-3</v>
      </c>
      <c r="AA130" s="1525">
        <f t="shared" si="85"/>
        <v>8.0149084321150532E-3</v>
      </c>
      <c r="AB130" s="1525">
        <f t="shared" si="85"/>
        <v>-9.616148844004746E-3</v>
      </c>
      <c r="AC130" s="1526">
        <f t="shared" ca="1" si="85"/>
        <v>3.8781624764215247E-3</v>
      </c>
      <c r="AD130" s="1525">
        <f t="shared" si="85"/>
        <v>4.4691869272999556E-3</v>
      </c>
      <c r="AE130" s="1525">
        <f t="shared" si="85"/>
        <v>4.2961015290476218E-3</v>
      </c>
      <c r="AF130" s="1525">
        <f t="shared" si="85"/>
        <v>-3.1675879972736104E-3</v>
      </c>
      <c r="AG130" s="1525">
        <f t="shared" si="85"/>
        <v>-7.8417962357223911E-3</v>
      </c>
      <c r="AH130" s="1526">
        <f t="shared" ca="1" si="85"/>
        <v>-6.2709302034778119E-4</v>
      </c>
      <c r="AI130" s="1525">
        <f t="shared" si="85"/>
        <v>-9.821315298511428E-4</v>
      </c>
      <c r="AJ130" s="1525">
        <f t="shared" si="85"/>
        <v>-1.742380587567989E-3</v>
      </c>
      <c r="AK130" s="1525">
        <f t="shared" si="85"/>
        <v>-2.6794483142976167E-3</v>
      </c>
      <c r="AL130" s="1525">
        <f t="shared" si="85"/>
        <v>5.3980769365857967E-3</v>
      </c>
      <c r="AM130" s="1526">
        <f t="shared" si="85"/>
        <v>1.4091517233423556E-5</v>
      </c>
      <c r="AN130" s="1525">
        <f t="shared" ref="AN130:BG130" si="86">AN129-AI129</f>
        <v>-3.5362441883362121E-3</v>
      </c>
      <c r="AO130" s="1525">
        <f t="shared" si="86"/>
        <v>-3.2708731822060633E-3</v>
      </c>
      <c r="AP130" s="1525">
        <f t="shared" si="86"/>
        <v>2.3233636765903273E-3</v>
      </c>
      <c r="AQ130" s="1525">
        <f t="shared" si="86"/>
        <v>-1.6835585173007941E-3</v>
      </c>
      <c r="AR130" s="1526">
        <f t="shared" si="86"/>
        <v>-1.5392365538419231E-3</v>
      </c>
      <c r="AS130" s="1525">
        <f t="shared" si="86"/>
        <v>-2.0954569194944345E-3</v>
      </c>
      <c r="AT130" s="1525">
        <f t="shared" si="86"/>
        <v>-1.0655185162623121E-4</v>
      </c>
      <c r="AU130" s="1525">
        <f t="shared" si="86"/>
        <v>-6.7281491665816331E-3</v>
      </c>
      <c r="AV130" s="1525">
        <f t="shared" si="86"/>
        <v>1.649936189517337E-3</v>
      </c>
      <c r="AW130" s="1526">
        <f t="shared" si="86"/>
        <v>-1.8011398865075481E-3</v>
      </c>
      <c r="AX130" s="1525">
        <f t="shared" ca="1" si="86"/>
        <v>-3.1068021740848425E-4</v>
      </c>
      <c r="AY130" s="1525">
        <f t="shared" ca="1" si="86"/>
        <v>-4.1035655080699091E-4</v>
      </c>
      <c r="AZ130" s="1525">
        <f t="shared" ca="1" si="86"/>
        <v>9.3615832066237109E-4</v>
      </c>
      <c r="BA130" s="1525">
        <f t="shared" ca="1" si="86"/>
        <v>-2.3554118606421981E-3</v>
      </c>
      <c r="BB130" s="1526">
        <f t="shared" ca="1" si="86"/>
        <v>-5.0618039204644583E-4</v>
      </c>
      <c r="BC130" s="1525">
        <f t="shared" ca="1" si="86"/>
        <v>1.1270181269725787E-3</v>
      </c>
      <c r="BD130" s="1525">
        <f t="shared" ca="1" si="86"/>
        <v>1.3632246036666962E-4</v>
      </c>
      <c r="BE130" s="1525">
        <f t="shared" ca="1" si="86"/>
        <v>1.855021840499807E-4</v>
      </c>
      <c r="BF130" s="1525">
        <f t="shared" ca="1" si="86"/>
        <v>3.7247066306506094E-4</v>
      </c>
      <c r="BG130" s="1526">
        <f t="shared" ca="1" si="86"/>
        <v>4.340926355161992E-4</v>
      </c>
      <c r="BH130" s="1525">
        <f t="shared" ref="BH130" ca="1" si="87">BH129-BC129</f>
        <v>6.8144241966497376E-4</v>
      </c>
      <c r="BI130" s="1525">
        <f t="shared" ref="BI130" ca="1" si="88">BI129-BD129</f>
        <v>8.3882527661549577E-4</v>
      </c>
      <c r="BJ130" s="1525">
        <f t="shared" ref="BJ130" ca="1" si="89">BJ129-BE129</f>
        <v>1.0021722739396513E-3</v>
      </c>
      <c r="BK130" s="1525">
        <f t="shared" ref="BK130" ca="1" si="90">BK129-BF129</f>
        <v>1.0244454275532763E-3</v>
      </c>
      <c r="BL130" s="1526">
        <f t="shared" ref="BL130" ca="1" si="91">BL129-BG129</f>
        <v>8.8153165592451399E-4</v>
      </c>
    </row>
    <row r="131" spans="1:64" x14ac:dyDescent="0.2">
      <c r="A131" s="238"/>
      <c r="B131" s="1523"/>
      <c r="C131" s="1380" t="s">
        <v>982</v>
      </c>
      <c r="D131" s="1523"/>
      <c r="E131" s="1524">
        <f>PBM!BR36</f>
        <v>-7.7332875064444084E-2</v>
      </c>
      <c r="F131" s="1525">
        <f>PBM!BS36</f>
        <v>5.8314350797266545E-2</v>
      </c>
      <c r="G131" s="1525">
        <f>PBM!BT36</f>
        <v>0.13265306122448983</v>
      </c>
      <c r="H131" s="1525">
        <f>PBM!BU36</f>
        <v>2.9666254635352329E-2</v>
      </c>
      <c r="I131" s="1526">
        <f>PBM!BV36</f>
        <v>4.013790600616951E-2</v>
      </c>
      <c r="J131" s="1525">
        <f>PBM!BW36</f>
        <v>2.0487986589681206E-3</v>
      </c>
      <c r="K131" s="1525">
        <f>PBM!BX36</f>
        <v>-0.15195867412828234</v>
      </c>
      <c r="L131" s="1525">
        <f>PBM!BY36</f>
        <v>-0.18418418418418425</v>
      </c>
      <c r="M131" s="1525">
        <f>PBM!BZ36</f>
        <v>-0.27010804321728688</v>
      </c>
      <c r="N131" s="1526">
        <f>PBM!CA36</f>
        <v>-0.16646313806217505</v>
      </c>
      <c r="O131" s="1525">
        <f>PBM!CB36</f>
        <v>-0.26208178438661711</v>
      </c>
      <c r="P131" s="1525">
        <f>PBM!CC36</f>
        <v>-0.23181049069373938</v>
      </c>
      <c r="Q131" s="1525">
        <f>PBM!CD36</f>
        <v>7.6687116564417845E-3</v>
      </c>
      <c r="R131" s="1525">
        <f>PBM!CE36</f>
        <v>0.1914473684210527</v>
      </c>
      <c r="S131" s="1526">
        <f>PBM!CF36</f>
        <v>-6.5550439514441172E-2</v>
      </c>
      <c r="T131" s="1525">
        <f>PBM!CG36</f>
        <v>-0.12090680100755669</v>
      </c>
      <c r="U131" s="1525">
        <f>PBM!CH36</f>
        <v>0.12643171806167386</v>
      </c>
      <c r="V131" s="1525">
        <f>PBM!CI36</f>
        <v>0.19330289193302885</v>
      </c>
      <c r="W131" s="1525">
        <f>PBM!CJ36</f>
        <v>0.42876863611264504</v>
      </c>
      <c r="X131" s="1526">
        <f>PBM!CK36</f>
        <v>0.20023293316609925</v>
      </c>
      <c r="Y131" s="1525">
        <f>PBM!CL36</f>
        <v>0.42979942693409745</v>
      </c>
      <c r="Z131" s="1525">
        <f>PBM!CM36</f>
        <v>0.3206883066093078</v>
      </c>
      <c r="AA131" s="1525">
        <f>PBM!CN36</f>
        <v>0.27678571428571419</v>
      </c>
      <c r="AB131" s="1525">
        <f>PBM!CO36</f>
        <v>-0.1300483091787441</v>
      </c>
      <c r="AC131" s="1526">
        <f ca="1">PBM!CP36</f>
        <v>0.14794356945584819</v>
      </c>
      <c r="AD131" s="1525">
        <f>PBM!CQ36</f>
        <v>0.2837675350701403</v>
      </c>
      <c r="AE131" s="1525">
        <f>PBM!CR36</f>
        <v>0.30041456914421083</v>
      </c>
      <c r="AF131" s="1525">
        <f>PBM!CS36</f>
        <v>8.5314685314685335E-2</v>
      </c>
      <c r="AG131" s="1525">
        <f>PBM!CT36</f>
        <v>9.218125277654643E-3</v>
      </c>
      <c r="AH131" s="1526">
        <f ca="1">PBM!CU36</f>
        <v>0.14246700045516625</v>
      </c>
      <c r="AI131" s="1525">
        <f>PBM!CV36</f>
        <v>0.14580081173899484</v>
      </c>
      <c r="AJ131" s="1525">
        <f>PBM!CW36</f>
        <v>7.0818626892861225E-2</v>
      </c>
      <c r="AK131" s="1525">
        <f>PBM!CX36</f>
        <v>6.9915905384757782E-2</v>
      </c>
      <c r="AL131" s="1525">
        <f>PBM!CY36</f>
        <v>0.26806834015626935</v>
      </c>
      <c r="AM131" s="1526">
        <f>PBM!CZ36</f>
        <v>0.13521637459021152</v>
      </c>
      <c r="AN131" s="1525">
        <f>PBM!DA36</f>
        <v>6.6036784741144272E-2</v>
      </c>
      <c r="AO131" s="1525">
        <f>PBM!DB36</f>
        <v>0.10473152578415745</v>
      </c>
      <c r="AP131" s="1525">
        <f>PBM!DC36</f>
        <v>0.25279965750321765</v>
      </c>
      <c r="AQ131" s="1525">
        <f>PBM!DD36</f>
        <v>0.13330481560966989</v>
      </c>
      <c r="AR131" s="1526">
        <f>PBM!DE36</f>
        <v>0.14900934008012401</v>
      </c>
      <c r="AS131" s="1525">
        <f>PBM!DF36</f>
        <v>1.8262657657601711E-3</v>
      </c>
      <c r="AT131" s="1525">
        <f>PBM!DG36</f>
        <v>9.2107795957651728E-2</v>
      </c>
      <c r="AU131" s="1525">
        <f>PBM!DH36</f>
        <v>-7.0926157732454254E-2</v>
      </c>
      <c r="AV131" s="1525">
        <f>PBM!DI36</f>
        <v>0.13568539033616789</v>
      </c>
      <c r="AW131" s="1526">
        <f>PBM!DJ36</f>
        <v>3.73154207385471E-2</v>
      </c>
      <c r="AX131" s="1525">
        <f ca="1">PBM!DK36</f>
        <v>1.7986969381918572E-2</v>
      </c>
      <c r="AY131" s="1525">
        <f ca="1">PBM!DL36</f>
        <v>6.6140733814962438E-2</v>
      </c>
      <c r="AZ131" s="1525">
        <f ca="1">PBM!DM36</f>
        <v>8.7218772707519543E-2</v>
      </c>
      <c r="BA131" s="1525">
        <f ca="1">PBM!DN36</f>
        <v>-1.4242201675032762E-2</v>
      </c>
      <c r="BB131" s="1526">
        <f ca="1">PBM!DO36</f>
        <v>3.9125652747496131E-2</v>
      </c>
      <c r="BC131" s="1525">
        <f ca="1">PBM!DP36</f>
        <v>9.8077980871634329E-2</v>
      </c>
      <c r="BD131" s="1525">
        <f ca="1">PBM!DQ36</f>
        <v>5.3233459040039621E-2</v>
      </c>
      <c r="BE131" s="1525">
        <f ca="1">PBM!DR36</f>
        <v>5.2616420801806507E-2</v>
      </c>
      <c r="BF131" s="1525">
        <f ca="1">PBM!DS36</f>
        <v>5.6192442342828608E-2</v>
      </c>
      <c r="BG131" s="1526">
        <f ca="1">PBM!DT36</f>
        <v>6.1168521904910733E-2</v>
      </c>
      <c r="BH131" s="1525">
        <f ca="1">PBM!DU36</f>
        <v>7.2615332208435746E-2</v>
      </c>
      <c r="BI131" s="1525">
        <f ca="1">PBM!DV36</f>
        <v>6.8434827476931748E-2</v>
      </c>
      <c r="BJ131" s="1525">
        <f ca="1">PBM!DW36</f>
        <v>6.6727448905594899E-2</v>
      </c>
      <c r="BK131" s="1525">
        <f ca="1">PBM!DX36</f>
        <v>6.6286045195998344E-2</v>
      </c>
      <c r="BL131" s="1526">
        <f ca="1">PBM!DY36</f>
        <v>6.7996459202465775E-2</v>
      </c>
    </row>
    <row r="132" spans="1:64" ht="6" customHeight="1" x14ac:dyDescent="0.2">
      <c r="A132" s="238"/>
      <c r="B132" s="1523"/>
      <c r="C132" s="1380"/>
      <c r="D132" s="1523"/>
      <c r="E132" s="1524"/>
      <c r="F132" s="1527"/>
      <c r="G132" s="1527"/>
      <c r="H132" s="1527"/>
      <c r="I132" s="1526"/>
      <c r="J132" s="1527"/>
      <c r="K132" s="1527"/>
      <c r="L132" s="1527"/>
      <c r="M132" s="1527"/>
      <c r="N132" s="1526"/>
      <c r="O132" s="1527"/>
      <c r="P132" s="1527"/>
      <c r="Q132" s="1527"/>
      <c r="R132" s="1527"/>
      <c r="S132" s="1526"/>
      <c r="T132" s="1527"/>
      <c r="U132" s="1527"/>
      <c r="V132" s="1527"/>
      <c r="W132" s="1527"/>
      <c r="X132" s="1526"/>
      <c r="Y132" s="1527"/>
      <c r="Z132" s="1527"/>
      <c r="AA132" s="1527"/>
      <c r="AB132" s="1527"/>
      <c r="AC132" s="1526"/>
      <c r="AD132" s="1527"/>
      <c r="AE132" s="1527"/>
      <c r="AF132" s="1527"/>
      <c r="AG132" s="1527"/>
      <c r="AH132" s="1526"/>
      <c r="AI132" s="1527"/>
      <c r="AJ132" s="1527"/>
      <c r="AK132" s="1527"/>
      <c r="AL132" s="1527"/>
      <c r="AM132" s="1526"/>
      <c r="AN132" s="1527"/>
      <c r="AO132" s="1527"/>
      <c r="AP132" s="1527"/>
      <c r="AQ132" s="1527"/>
      <c r="AR132" s="1526"/>
      <c r="AS132" s="1527"/>
      <c r="AT132" s="1527"/>
      <c r="AU132" s="1527"/>
      <c r="AV132" s="1527"/>
      <c r="AW132" s="1526"/>
      <c r="AX132" s="1527"/>
      <c r="AY132" s="1527"/>
      <c r="AZ132" s="1527"/>
      <c r="BA132" s="1527"/>
      <c r="BB132" s="1526"/>
      <c r="BC132" s="1527"/>
      <c r="BD132" s="1527"/>
      <c r="BE132" s="1527"/>
      <c r="BF132" s="1527"/>
      <c r="BG132" s="1526"/>
      <c r="BH132" s="1527"/>
      <c r="BI132" s="1527"/>
      <c r="BJ132" s="1527"/>
      <c r="BK132" s="1527"/>
      <c r="BL132" s="1526"/>
    </row>
    <row r="133" spans="1:64" x14ac:dyDescent="0.2">
      <c r="A133" s="238"/>
      <c r="B133" s="289"/>
      <c r="C133" s="265" t="s">
        <v>1236</v>
      </c>
      <c r="D133" s="289"/>
      <c r="E133" s="1516">
        <f>PBM!BR70/PBM!BM70-1</f>
        <v>-9.8351296015146583E-2</v>
      </c>
      <c r="F133" s="1517">
        <f>PBM!BS70/PBM!BN70-1</f>
        <v>4.3157876370705006E-2</v>
      </c>
      <c r="G133" s="1517">
        <f>PBM!BT70/PBM!BO70-1</f>
        <v>0.12730391941864316</v>
      </c>
      <c r="H133" s="1517">
        <f>PBM!BU70/PBM!BP70-1</f>
        <v>6.5364853329180628E-2</v>
      </c>
      <c r="I133" s="1518">
        <f>PBM!BV70/PBM!BQ70-1</f>
        <v>3.6770059731797256E-2</v>
      </c>
      <c r="J133" s="1517">
        <f>PBM!BW70/PBM!BR70-1</f>
        <v>6.148164069317108E-2</v>
      </c>
      <c r="K133" s="1517">
        <f>PBM!BX70/PBM!BS70-1</f>
        <v>-0.12425820264552656</v>
      </c>
      <c r="L133" s="1517">
        <f>PBM!BY70/PBM!BT70-1</f>
        <v>-0.17774456409454775</v>
      </c>
      <c r="M133" s="1517">
        <f>PBM!BZ70/PBM!BU70-1</f>
        <v>-0.23431368500626037</v>
      </c>
      <c r="N133" s="1518">
        <f>PBM!CA70/PBM!BV70-1</f>
        <v>-0.13338822180598964</v>
      </c>
      <c r="O133" s="1517">
        <f>PBM!CB70/PBM!BW70-1</f>
        <v>-0.27641011590459863</v>
      </c>
      <c r="P133" s="1517">
        <f>PBM!CC70/PBM!BX70-1</f>
        <v>-0.23778504144607859</v>
      </c>
      <c r="Q133" s="1517">
        <f>PBM!CD70/PBM!BY70-1</f>
        <v>3.4565219141265091E-2</v>
      </c>
      <c r="R133" s="1517">
        <f>PBM!CE70/PBM!BZ70-1</f>
        <v>0.21552009285495632</v>
      </c>
      <c r="S133" s="1518">
        <f>PBM!CF70/PBM!CA70-1</f>
        <v>-6.0551412611246302E-2</v>
      </c>
      <c r="T133" s="1517">
        <f>PBM!CG70/PBM!CB70-1</f>
        <v>-9.1060668231900954E-2</v>
      </c>
      <c r="U133" s="1517">
        <f>PBM!CH70/PBM!CC70-1</f>
        <v>0.20895621660301811</v>
      </c>
      <c r="V133" s="1517">
        <f>PBM!CI70/PBM!CD70-1</f>
        <v>0.24746105283772035</v>
      </c>
      <c r="W133" s="1517">
        <f>PBM!CJ70/PBM!CE70-1</f>
        <v>0.28126904253449614</v>
      </c>
      <c r="X133" s="1518">
        <f>PBM!CK70/PBM!CF70-1</f>
        <v>0.31050654147385104</v>
      </c>
      <c r="Y133" s="1517">
        <f>PBM!CL70/PBM!CG70-1</f>
        <v>0.50207359581851763</v>
      </c>
      <c r="Z133" s="1517">
        <f>PBM!CM70/PBM!CH70-1</f>
        <v>0.39380992125951719</v>
      </c>
      <c r="AA133" s="1517">
        <f>PBM!CN70/PBM!CI70-1</f>
        <v>0.29627541957808945</v>
      </c>
      <c r="AB133" s="1517">
        <f>PBM!CO70/PBM!CJ70-1</f>
        <v>3.1449355684944447E-2</v>
      </c>
      <c r="AC133" s="1518">
        <f ca="1">PBM!CP70/PBM!CK70-1</f>
        <v>0.13907654973260297</v>
      </c>
      <c r="AD133" s="1517">
        <f>PBM!CQ70/PBM!CL70-1</f>
        <v>0.28522190418645255</v>
      </c>
      <c r="AE133" s="1517">
        <f>PBM!CR70/PBM!CM70-1</f>
        <v>0.2793023401349688</v>
      </c>
      <c r="AF133" s="1517">
        <f>PBM!CS70/PBM!CN70-1</f>
        <v>0.1184747640505579</v>
      </c>
      <c r="AG133" s="1517">
        <f>PBM!CT70/PBM!CO70-1</f>
        <v>1.1282190398343994E-2</v>
      </c>
      <c r="AH133" s="1518">
        <f ca="1">PBM!CU70/PBM!CP70-1</f>
        <v>0.14695943932680322</v>
      </c>
      <c r="AI133" s="1517">
        <f>PBM!CV70/PBM!CQ70-1</f>
        <v>0.2660544009196304</v>
      </c>
      <c r="AJ133" s="1517">
        <f>PBM!CW70/PBM!CR70-1</f>
        <v>0.11942821404116111</v>
      </c>
      <c r="AK133" s="1517">
        <f>PBM!CX70/PBM!CS70-1</f>
        <v>9.5440063916516493E-2</v>
      </c>
      <c r="AL133" s="1517">
        <f>PBM!CY70/PBM!CT70-1</f>
        <v>0.28609196253902147</v>
      </c>
      <c r="AM133" s="1518">
        <f>PBM!CZ70/PBM!CU70-1</f>
        <v>0.18618116740913937</v>
      </c>
      <c r="AN133" s="1517">
        <f>PBM!DA70/PBM!CV70-1</f>
        <v>1.0885661017011383E-2</v>
      </c>
      <c r="AO133" s="1517">
        <f>PBM!DB70/PBM!CW70-1</f>
        <v>8.5907333850863354E-2</v>
      </c>
      <c r="AP133" s="1517">
        <f>PBM!DC70/PBM!CX70-1</f>
        <v>0.37074168096416615</v>
      </c>
      <c r="AQ133" s="1517">
        <f>PBM!DD70/PBM!CY70-1</f>
        <v>0.20490987265997695</v>
      </c>
      <c r="AR133" s="1518">
        <f>PBM!DE70/PBM!CZ70-1</f>
        <v>0.18008186272368154</v>
      </c>
      <c r="AS133" s="1517">
        <f>PBM!DF70/PBM!DA70-1</f>
        <v>3.2791244903603189E-2</v>
      </c>
      <c r="AT133" s="1517">
        <f>PBM!DG70/PBM!DB70-1</f>
        <v>0.14407842254994763</v>
      </c>
      <c r="AU133" s="1517">
        <f>PBM!DH70/PBM!DC70-1</f>
        <v>-6.7939170614590871E-2</v>
      </c>
      <c r="AV133" s="1517">
        <f>PBM!DI70/PBM!DD70-1</f>
        <v>0.31767734501785649</v>
      </c>
      <c r="AW133" s="1518">
        <f>PBM!DJ70/PBM!DE70-1</f>
        <v>7.9270815140942918E-2</v>
      </c>
      <c r="AX133" s="1517">
        <f ca="1">PBM!DK70/PBM!DF70-1</f>
        <v>0.27796671580530252</v>
      </c>
      <c r="AY133" s="1517">
        <f ca="1">PBM!DL70/PBM!DG70-1</f>
        <v>0.14485973761398441</v>
      </c>
      <c r="AZ133" s="1517">
        <f ca="1">PBM!DM70/PBM!DH70-1</f>
        <v>0.15818527990808962</v>
      </c>
      <c r="BA133" s="1517">
        <f ca="1">PBM!DN70/PBM!DI70-1</f>
        <v>-2.4200253360133317E-2</v>
      </c>
      <c r="BB133" s="1518">
        <f ca="1">PBM!DO70/PBM!DJ70-1</f>
        <v>0.15010901104525676</v>
      </c>
      <c r="BC133" s="1517">
        <f ca="1">PBM!DP70/PBM!DK70-1</f>
        <v>-3.3221548084388153E-2</v>
      </c>
      <c r="BD133" s="1517">
        <f ca="1">PBM!DQ70/PBM!DL70-1</f>
        <v>8.6936466939348644E-2</v>
      </c>
      <c r="BE133" s="1517">
        <f ca="1">PBM!DR70/PBM!DM70-1</f>
        <v>6.2390093467787455E-2</v>
      </c>
      <c r="BF133" s="1517">
        <f ca="1">PBM!DS70/PBM!DN70-1</f>
        <v>6.4746092165441693E-2</v>
      </c>
      <c r="BG133" s="1518">
        <f ca="1">PBM!DT70/PBM!DO70-1</f>
        <v>4.5594068878984428E-2</v>
      </c>
      <c r="BH133" s="1517">
        <f ca="1">PBM!DU70/PBM!DP70-1</f>
        <v>0.10204458368150493</v>
      </c>
      <c r="BI133" s="1517">
        <f ca="1">PBM!DV70/PBM!DQ70-1</f>
        <v>9.4623903285961708E-2</v>
      </c>
      <c r="BJ133" s="1517">
        <f ca="1">PBM!DW70/PBM!DR70-1</f>
        <v>9.1360847908600107E-2</v>
      </c>
      <c r="BK133" s="1517">
        <f ca="1">PBM!DX70/PBM!DS70-1</f>
        <v>8.4348732280172145E-2</v>
      </c>
      <c r="BL133" s="1518">
        <f ca="1">PBM!DY70/PBM!DT70-1</f>
        <v>9.1858663736998691E-2</v>
      </c>
    </row>
    <row r="134" spans="1:64" x14ac:dyDescent="0.2">
      <c r="A134" s="238"/>
      <c r="B134" s="289"/>
      <c r="C134" s="265" t="s">
        <v>1237</v>
      </c>
      <c r="D134" s="289"/>
      <c r="E134" s="1516">
        <f t="shared" ref="E134:AM134" si="92">E34</f>
        <v>-9.6687609456191925E-3</v>
      </c>
      <c r="F134" s="1517">
        <f t="shared" si="92"/>
        <v>0.14708609514472726</v>
      </c>
      <c r="G134" s="1517">
        <f t="shared" si="92"/>
        <v>0.41858446931499604</v>
      </c>
      <c r="H134" s="1517">
        <f t="shared" si="92"/>
        <v>0.14785606478010949</v>
      </c>
      <c r="I134" s="1518">
        <f t="shared" si="92"/>
        <v>0.16959183180488679</v>
      </c>
      <c r="J134" s="1517">
        <f t="shared" si="92"/>
        <v>0.10516732875887835</v>
      </c>
      <c r="K134" s="1517">
        <f t="shared" si="92"/>
        <v>-4.3429628009097332E-3</v>
      </c>
      <c r="L134" s="1517">
        <f t="shared" si="92"/>
        <v>-0.16437827490819834</v>
      </c>
      <c r="M134" s="1517">
        <f t="shared" si="92"/>
        <v>5.9371702613890687E-3</v>
      </c>
      <c r="N134" s="1518">
        <f t="shared" si="92"/>
        <v>-2.2384458023747555E-2</v>
      </c>
      <c r="O134" s="1517">
        <f t="shared" si="92"/>
        <v>-6.5207877461706865E-2</v>
      </c>
      <c r="P134" s="1517">
        <f t="shared" si="92"/>
        <v>-4.8917527798514326E-3</v>
      </c>
      <c r="Q134" s="1517">
        <f t="shared" si="92"/>
        <v>9.5441111275306634E-2</v>
      </c>
      <c r="R134" s="1517">
        <f t="shared" si="92"/>
        <v>8.7139425494118905E-2</v>
      </c>
      <c r="S134" s="1518">
        <f t="shared" si="92"/>
        <v>3.0240495225742681E-2</v>
      </c>
      <c r="T134" s="1517">
        <f t="shared" si="92"/>
        <v>0.1400384975236264</v>
      </c>
      <c r="U134" s="1517">
        <f t="shared" si="92"/>
        <v>0.25675675675675769</v>
      </c>
      <c r="V134" s="1517">
        <f t="shared" si="92"/>
        <v>0.22049934661045301</v>
      </c>
      <c r="W134" s="1517">
        <f t="shared" si="92"/>
        <v>0.11295217787314882</v>
      </c>
      <c r="X134" s="1518">
        <f t="shared" si="92"/>
        <v>0.28517229769714403</v>
      </c>
      <c r="Y134" s="1517">
        <f t="shared" si="92"/>
        <v>0.30114007954043309</v>
      </c>
      <c r="Z134" s="1517">
        <f t="shared" si="92"/>
        <v>0.20999244631487923</v>
      </c>
      <c r="AA134" s="1517">
        <f t="shared" si="92"/>
        <v>0.24608884427779265</v>
      </c>
      <c r="AB134" s="1517">
        <f t="shared" si="92"/>
        <v>0.16450477864254109</v>
      </c>
      <c r="AC134" s="1518">
        <f t="shared" si="92"/>
        <v>0.1241644286760033</v>
      </c>
      <c r="AD134" s="1517">
        <f t="shared" si="92"/>
        <v>0.17548447015812729</v>
      </c>
      <c r="AE134" s="1517">
        <f t="shared" si="92"/>
        <v>0.11986282045770214</v>
      </c>
      <c r="AF134" s="1517">
        <f t="shared" si="92"/>
        <v>5.5906367117032785E-2</v>
      </c>
      <c r="AG134" s="1517">
        <f t="shared" si="92"/>
        <v>4.8258988725179419E-2</v>
      </c>
      <c r="AH134" s="1518">
        <f t="shared" si="92"/>
        <v>9.4633965016241328E-2</v>
      </c>
      <c r="AI134" s="1517">
        <f t="shared" si="92"/>
        <v>0.14270696649500958</v>
      </c>
      <c r="AJ134" s="1517">
        <f t="shared" si="92"/>
        <v>5.5176590247433044E-2</v>
      </c>
      <c r="AK134" s="1517">
        <f t="shared" si="92"/>
        <v>9.2158046803356486E-2</v>
      </c>
      <c r="AL134" s="1517">
        <f t="shared" si="92"/>
        <v>0.23104316085192478</v>
      </c>
      <c r="AM134" s="1518">
        <f t="shared" si="92"/>
        <v>0.13189397480165765</v>
      </c>
      <c r="AN134" s="1517">
        <f t="shared" ref="AN134:BB134" si="93">AN34</f>
        <v>-2.4793280981855736E-2</v>
      </c>
      <c r="AO134" s="1517">
        <f t="shared" si="93"/>
        <v>6.0095373883334968E-2</v>
      </c>
      <c r="AP134" s="1517">
        <f t="shared" si="93"/>
        <v>0.28043417507774016</v>
      </c>
      <c r="AQ134" s="1517">
        <f t="shared" si="93"/>
        <v>0.1189116133300081</v>
      </c>
      <c r="AR134" s="1518">
        <f t="shared" si="93"/>
        <v>0.11191855837389553</v>
      </c>
      <c r="AS134" s="1517">
        <f t="shared" si="93"/>
        <v>-2.8652580841621478E-2</v>
      </c>
      <c r="AT134" s="1517">
        <f t="shared" si="93"/>
        <v>1.3550025667834475E-3</v>
      </c>
      <c r="AU134" s="1517">
        <f t="shared" si="93"/>
        <v>-0.10413253735778982</v>
      </c>
      <c r="AV134" s="1517">
        <f t="shared" si="93"/>
        <v>0.12652352224932151</v>
      </c>
      <c r="AW134" s="1518">
        <f t="shared" si="93"/>
        <v>3.0387711330834843E-3</v>
      </c>
      <c r="AX134" s="1517">
        <f t="shared" ca="1" si="93"/>
        <v>0.28261087698714538</v>
      </c>
      <c r="AY134" s="1517">
        <f t="shared" ca="1" si="93"/>
        <v>0.11114368911069228</v>
      </c>
      <c r="AZ134" s="1517">
        <f t="shared" ca="1" si="93"/>
        <v>8.3634774983717186E-2</v>
      </c>
      <c r="BA134" s="1517">
        <f t="shared" ca="1" si="93"/>
        <v>2.0517396440805191E-2</v>
      </c>
      <c r="BB134" s="1518">
        <f t="shared" ca="1" si="93"/>
        <v>0.10795439912298632</v>
      </c>
      <c r="BC134" s="1517">
        <f t="shared" ref="BC134:BL134" ca="1" si="94">BC34</f>
        <v>-7.6412996309859427E-2</v>
      </c>
      <c r="BD134" s="1517">
        <f t="shared" ca="1" si="94"/>
        <v>6.8922430098062426E-2</v>
      </c>
      <c r="BE134" s="1517">
        <f t="shared" ca="1" si="94"/>
        <v>4.5542217688401498E-2</v>
      </c>
      <c r="BF134" s="1517">
        <f t="shared" ca="1" si="94"/>
        <v>4.5625739268039922E-2</v>
      </c>
      <c r="BG134" s="1518">
        <f t="shared" ca="1" si="94"/>
        <v>2.3780737934738561E-2</v>
      </c>
      <c r="BH134" s="1517">
        <f t="shared" ca="1" si="94"/>
        <v>6.8488111752799119E-2</v>
      </c>
      <c r="BI134" s="1517">
        <f t="shared" ca="1" si="94"/>
        <v>6.835109901451375E-2</v>
      </c>
      <c r="BJ134" s="1517">
        <f t="shared" ca="1" si="94"/>
        <v>6.9269698543063196E-2</v>
      </c>
      <c r="BK134" s="1517">
        <f t="shared" ca="1" si="94"/>
        <v>5.7722318010666296E-2</v>
      </c>
      <c r="BL134" s="1518">
        <f t="shared" ca="1" si="94"/>
        <v>6.5271939987653571E-2</v>
      </c>
    </row>
    <row r="135" spans="1:64" ht="6.75" customHeight="1" thickBot="1" x14ac:dyDescent="0.25">
      <c r="A135" s="238"/>
      <c r="B135" s="289"/>
      <c r="C135" s="1424"/>
      <c r="D135" s="411"/>
      <c r="E135" s="1425"/>
      <c r="F135" s="1426"/>
      <c r="G135" s="1426"/>
      <c r="H135" s="1426"/>
      <c r="I135" s="1427"/>
      <c r="J135" s="1528"/>
      <c r="K135" s="1528"/>
      <c r="L135" s="1528"/>
      <c r="M135" s="1528"/>
      <c r="N135" s="1427"/>
      <c r="O135" s="1428"/>
      <c r="P135" s="1428"/>
      <c r="Q135" s="1428"/>
      <c r="R135" s="1428"/>
      <c r="S135" s="1427"/>
      <c r="T135" s="1428"/>
      <c r="U135" s="1428"/>
      <c r="V135" s="1428"/>
      <c r="W135" s="1428"/>
      <c r="X135" s="1427"/>
      <c r="Y135" s="1428"/>
      <c r="Z135" s="1428"/>
      <c r="AA135" s="1428"/>
      <c r="AB135" s="1428"/>
      <c r="AC135" s="1427"/>
      <c r="AD135" s="1428"/>
      <c r="AE135" s="1428"/>
      <c r="AF135" s="1428"/>
      <c r="AG135" s="1428"/>
      <c r="AH135" s="1427"/>
      <c r="AI135" s="1428"/>
      <c r="AJ135" s="1428"/>
      <c r="AK135" s="1428"/>
      <c r="AL135" s="1428"/>
      <c r="AM135" s="1427"/>
      <c r="AN135" s="1428"/>
      <c r="AO135" s="1428"/>
      <c r="AP135" s="1428"/>
      <c r="AQ135" s="1428"/>
      <c r="AR135" s="1427"/>
      <c r="AS135" s="1428"/>
      <c r="AT135" s="1428"/>
      <c r="AU135" s="1428"/>
      <c r="AV135" s="1428"/>
      <c r="AW135" s="1427"/>
      <c r="AX135" s="1428"/>
      <c r="AY135" s="1428"/>
      <c r="AZ135" s="1428"/>
      <c r="BA135" s="1428"/>
      <c r="BB135" s="1427"/>
      <c r="BC135" s="1428"/>
      <c r="BD135" s="1428"/>
      <c r="BE135" s="1428"/>
      <c r="BF135" s="1428"/>
      <c r="BG135" s="1427"/>
      <c r="BH135" s="1428"/>
      <c r="BI135" s="1428"/>
      <c r="BJ135" s="1428"/>
      <c r="BK135" s="1428"/>
      <c r="BL135" s="1427"/>
    </row>
    <row r="136" spans="1:64" x14ac:dyDescent="0.2">
      <c r="A136" s="238"/>
      <c r="B136" s="289"/>
      <c r="C136" s="13"/>
      <c r="D136" s="289"/>
      <c r="E136" s="233"/>
      <c r="F136" s="233"/>
      <c r="G136" s="233"/>
      <c r="H136" s="233"/>
      <c r="I136" s="233"/>
      <c r="J136" s="300"/>
      <c r="K136" s="300"/>
      <c r="L136" s="300"/>
      <c r="M136" s="300"/>
      <c r="N136" s="300"/>
      <c r="O136" s="300"/>
      <c r="P136" s="300"/>
      <c r="Q136" s="300"/>
      <c r="R136" s="300"/>
      <c r="S136" s="300"/>
      <c r="T136" s="300"/>
      <c r="U136" s="300"/>
      <c r="V136" s="300"/>
      <c r="W136" s="300"/>
      <c r="X136" s="300"/>
      <c r="Y136" s="300"/>
      <c r="Z136" s="300"/>
      <c r="AA136" s="300"/>
      <c r="AB136" s="300"/>
      <c r="AC136" s="300"/>
      <c r="AD136" s="300"/>
      <c r="AE136" s="300"/>
      <c r="AF136" s="300"/>
      <c r="AG136" s="300"/>
      <c r="AH136" s="300"/>
      <c r="AI136" s="300"/>
      <c r="AJ136" s="300"/>
      <c r="AK136" s="300"/>
      <c r="AL136" s="300"/>
      <c r="AM136" s="300"/>
      <c r="AN136" s="300"/>
      <c r="AO136" s="300"/>
      <c r="AP136" s="300"/>
      <c r="AQ136" s="300"/>
      <c r="AR136" s="300"/>
      <c r="AS136" s="300"/>
      <c r="AT136" s="300"/>
      <c r="AU136" s="300"/>
      <c r="AV136" s="300"/>
      <c r="AW136" s="300"/>
      <c r="AX136" s="300"/>
      <c r="AY136" s="300"/>
      <c r="AZ136" s="300"/>
      <c r="BA136" s="300"/>
      <c r="BB136" s="300"/>
      <c r="BC136" s="300"/>
      <c r="BD136" s="300"/>
      <c r="BE136" s="300"/>
      <c r="BF136" s="300"/>
      <c r="BG136" s="300"/>
      <c r="BH136" s="300"/>
      <c r="BI136" s="300"/>
      <c r="BJ136" s="300"/>
      <c r="BK136" s="300"/>
      <c r="BL136" s="300"/>
    </row>
    <row r="137" spans="1:64" ht="12" thickBot="1" x14ac:dyDescent="0.25">
      <c r="A137" s="238"/>
      <c r="B137" s="289"/>
      <c r="C137" s="13"/>
      <c r="D137" s="289"/>
      <c r="E137" s="233"/>
      <c r="F137" s="233"/>
      <c r="G137" s="233"/>
      <c r="H137" s="233"/>
      <c r="I137" s="233"/>
      <c r="J137" s="300"/>
      <c r="K137" s="300"/>
      <c r="L137" s="300"/>
      <c r="M137" s="300"/>
      <c r="N137" s="300"/>
      <c r="O137" s="300"/>
      <c r="P137" s="300"/>
      <c r="Q137" s="300"/>
      <c r="R137" s="300"/>
      <c r="S137" s="300"/>
      <c r="T137" s="300"/>
      <c r="U137" s="300"/>
      <c r="V137" s="300"/>
      <c r="W137" s="300"/>
      <c r="X137" s="300"/>
      <c r="Y137" s="1529"/>
      <c r="Z137" s="300"/>
      <c r="AA137" s="300"/>
      <c r="AB137" s="300"/>
      <c r="AC137" s="300"/>
      <c r="AD137" s="1745"/>
      <c r="AE137" s="300"/>
      <c r="AF137" s="300"/>
      <c r="AG137" s="300"/>
      <c r="AH137" s="300"/>
      <c r="AI137" s="300"/>
      <c r="AJ137" s="300"/>
      <c r="AK137" s="300"/>
      <c r="AL137" s="300"/>
      <c r="AM137" s="300"/>
      <c r="AN137" s="300"/>
      <c r="AO137" s="300"/>
      <c r="AP137" s="300"/>
      <c r="AQ137" s="300"/>
      <c r="AR137" s="300"/>
      <c r="AS137" s="300"/>
      <c r="AT137" s="300"/>
      <c r="AU137" s="300"/>
      <c r="AV137" s="300"/>
      <c r="AW137" s="300"/>
      <c r="AX137" s="300"/>
      <c r="AY137" s="300"/>
      <c r="AZ137" s="300"/>
      <c r="BA137" s="300"/>
      <c r="BB137" s="300"/>
      <c r="BC137" s="300"/>
      <c r="BD137" s="300"/>
      <c r="BE137" s="300"/>
      <c r="BF137" s="300"/>
      <c r="BG137" s="300"/>
      <c r="BH137" s="300"/>
      <c r="BI137" s="300"/>
      <c r="BJ137" s="300"/>
      <c r="BK137" s="300"/>
      <c r="BL137" s="300"/>
    </row>
    <row r="138" spans="1:64" ht="12" outlineLevel="1" thickBot="1" x14ac:dyDescent="0.25">
      <c r="A138" s="238"/>
      <c r="B138" s="289"/>
      <c r="C138" s="1433" t="s">
        <v>1238</v>
      </c>
      <c r="D138" s="1434"/>
      <c r="E138" s="1434"/>
      <c r="F138" s="1434"/>
      <c r="G138" s="1434"/>
      <c r="H138" s="1434"/>
      <c r="I138" s="1435"/>
      <c r="J138" s="1434"/>
      <c r="K138" s="1434"/>
      <c r="L138" s="1434"/>
      <c r="M138" s="1434"/>
      <c r="N138" s="1435"/>
      <c r="O138" s="1434"/>
      <c r="P138" s="1434"/>
      <c r="Q138" s="1434"/>
      <c r="R138" s="1434"/>
      <c r="S138" s="1435"/>
      <c r="T138" s="1434"/>
      <c r="U138" s="1434"/>
      <c r="V138" s="1434"/>
      <c r="W138" s="1434"/>
      <c r="X138" s="1435"/>
      <c r="Y138" s="1434"/>
      <c r="Z138" s="1434"/>
      <c r="AA138" s="1434"/>
      <c r="AB138" s="1434"/>
      <c r="AC138" s="1435"/>
      <c r="AD138" s="1434"/>
      <c r="AE138" s="1434"/>
      <c r="AF138" s="1434"/>
      <c r="AG138" s="1434"/>
      <c r="AH138" s="1435"/>
      <c r="AI138" s="1434"/>
      <c r="AJ138" s="1434"/>
      <c r="AK138" s="1434"/>
      <c r="AL138" s="1434"/>
      <c r="AM138" s="1435"/>
      <c r="AN138" s="1434"/>
      <c r="AO138" s="1434"/>
      <c r="AP138" s="1434"/>
      <c r="AQ138" s="1434"/>
      <c r="AR138" s="1435"/>
      <c r="AS138" s="1434"/>
      <c r="AT138" s="1434"/>
      <c r="AU138" s="1434"/>
      <c r="AV138" s="1434"/>
      <c r="AW138" s="1435"/>
      <c r="AX138" s="1434"/>
      <c r="AY138" s="1434"/>
      <c r="AZ138" s="1434"/>
      <c r="BA138" s="1434"/>
      <c r="BB138" s="1435"/>
      <c r="BC138" s="1434"/>
      <c r="BD138" s="1434"/>
      <c r="BE138" s="1434"/>
      <c r="BF138" s="1434"/>
      <c r="BG138" s="1435"/>
      <c r="BH138" s="1434"/>
      <c r="BI138" s="1434"/>
      <c r="BJ138" s="1434"/>
      <c r="BK138" s="1434"/>
      <c r="BL138" s="1435"/>
    </row>
    <row r="139" spans="1:64" hidden="1" outlineLevel="2" x14ac:dyDescent="0.2">
      <c r="A139" s="238"/>
      <c r="B139" s="289"/>
      <c r="C139" s="1380"/>
      <c r="D139" s="394"/>
      <c r="E139" s="1438"/>
      <c r="F139" s="1445"/>
      <c r="G139" s="1445"/>
      <c r="H139" s="1530"/>
      <c r="I139" s="1439"/>
      <c r="J139" s="1531"/>
      <c r="K139" s="1531"/>
      <c r="L139" s="1531"/>
      <c r="M139" s="1531"/>
      <c r="N139" s="1439"/>
      <c r="O139" s="1531"/>
      <c r="P139" s="1531"/>
      <c r="Q139" s="1531"/>
      <c r="R139" s="1531"/>
      <c r="S139" s="1439"/>
      <c r="T139" s="1531"/>
      <c r="U139" s="1531"/>
      <c r="V139" s="1531"/>
      <c r="W139" s="1532"/>
      <c r="X139" s="394"/>
      <c r="Y139" s="1531"/>
      <c r="Z139" s="1531"/>
      <c r="AA139" s="1531"/>
      <c r="AB139" s="1532"/>
      <c r="AC139" s="394"/>
      <c r="AD139" s="1545"/>
      <c r="AE139" s="1531"/>
      <c r="AF139" s="1531"/>
      <c r="AG139" s="1532"/>
      <c r="AH139" s="394"/>
      <c r="AI139" s="1531"/>
      <c r="AJ139" s="1531"/>
      <c r="AK139" s="1531"/>
      <c r="AL139" s="1532"/>
      <c r="AM139" s="394"/>
      <c r="AN139" s="1531"/>
      <c r="AO139" s="1531"/>
      <c r="AP139" s="1531"/>
      <c r="AQ139" s="1532"/>
      <c r="AR139" s="394"/>
      <c r="AS139" s="1531"/>
      <c r="AT139" s="1531"/>
      <c r="AU139" s="1531"/>
      <c r="AV139" s="1532"/>
      <c r="AW139" s="394"/>
      <c r="AX139" s="1531"/>
      <c r="AY139" s="1531"/>
      <c r="AZ139" s="1531"/>
      <c r="BA139" s="1532"/>
      <c r="BB139" s="394"/>
      <c r="BC139" s="1531"/>
      <c r="BD139" s="1531"/>
      <c r="BE139" s="1531"/>
      <c r="BF139" s="1532"/>
      <c r="BG139" s="394"/>
      <c r="BH139" s="1531"/>
      <c r="BI139" s="1531"/>
      <c r="BJ139" s="1531"/>
      <c r="BK139" s="1532"/>
      <c r="BL139" s="394"/>
    </row>
    <row r="140" spans="1:64" hidden="1" outlineLevel="2" x14ac:dyDescent="0.2">
      <c r="A140" s="238"/>
      <c r="B140" s="289"/>
      <c r="C140" s="1383"/>
      <c r="D140" s="394"/>
      <c r="E140" s="1533"/>
      <c r="F140" s="1534"/>
      <c r="G140" s="1534"/>
      <c r="H140" s="1534"/>
      <c r="I140" s="1439"/>
      <c r="J140" s="1534"/>
      <c r="K140" s="1534"/>
      <c r="L140" s="1534"/>
      <c r="M140" s="1534"/>
      <c r="N140" s="1439"/>
      <c r="O140" s="1534"/>
      <c r="P140" s="1534"/>
      <c r="Q140" s="1534"/>
      <c r="R140" s="1534"/>
      <c r="S140" s="1439"/>
      <c r="T140" s="1535"/>
      <c r="U140" s="1535"/>
      <c r="V140" s="1535"/>
      <c r="W140" s="1536"/>
      <c r="X140" s="394"/>
      <c r="Y140" s="1535"/>
      <c r="Z140" s="1535"/>
      <c r="AA140" s="1535"/>
      <c r="AB140" s="1536"/>
      <c r="AC140" s="394"/>
      <c r="AD140" s="1657"/>
      <c r="AE140" s="1535"/>
      <c r="AF140" s="1535"/>
      <c r="AG140" s="1536"/>
      <c r="AH140" s="394"/>
      <c r="AI140" s="1535"/>
      <c r="AJ140" s="1535"/>
      <c r="AK140" s="1535"/>
      <c r="AL140" s="1536"/>
      <c r="AM140" s="394"/>
      <c r="AN140" s="1535"/>
      <c r="AO140" s="1535"/>
      <c r="AP140" s="1535"/>
      <c r="AQ140" s="1536"/>
      <c r="AR140" s="394"/>
      <c r="AS140" s="1535"/>
      <c r="AT140" s="1535"/>
      <c r="AU140" s="1535"/>
      <c r="AV140" s="1536"/>
      <c r="AW140" s="394"/>
      <c r="AX140" s="1535"/>
      <c r="AY140" s="1535"/>
      <c r="AZ140" s="1535"/>
      <c r="BA140" s="1536"/>
      <c r="BB140" s="394"/>
      <c r="BC140" s="1535"/>
      <c r="BD140" s="1535"/>
      <c r="BE140" s="1535"/>
      <c r="BF140" s="1536"/>
      <c r="BG140" s="394"/>
      <c r="BH140" s="1535"/>
      <c r="BI140" s="1535"/>
      <c r="BJ140" s="1535"/>
      <c r="BK140" s="1536"/>
      <c r="BL140" s="394"/>
    </row>
    <row r="141" spans="1:64" hidden="1" outlineLevel="2" x14ac:dyDescent="0.2">
      <c r="A141" s="238"/>
      <c r="B141" s="289"/>
      <c r="C141" s="1383"/>
      <c r="D141" s="394"/>
      <c r="E141" s="1533"/>
      <c r="F141" s="1534"/>
      <c r="G141" s="1534"/>
      <c r="H141" s="1534"/>
      <c r="I141" s="1439"/>
      <c r="J141" s="1534"/>
      <c r="K141" s="1534"/>
      <c r="L141" s="1534"/>
      <c r="M141" s="1534"/>
      <c r="N141" s="1439"/>
      <c r="O141" s="1534"/>
      <c r="P141" s="1534"/>
      <c r="Q141" s="1534"/>
      <c r="R141" s="1534"/>
      <c r="S141" s="1439"/>
      <c r="T141" s="1535"/>
      <c r="U141" s="1535"/>
      <c r="V141" s="1535"/>
      <c r="W141" s="1536"/>
      <c r="X141" s="394"/>
      <c r="Y141" s="1535"/>
      <c r="Z141" s="1535"/>
      <c r="AA141" s="1535"/>
      <c r="AB141" s="1536"/>
      <c r="AC141" s="394"/>
      <c r="AD141" s="1657"/>
      <c r="AE141" s="1535"/>
      <c r="AF141" s="1535"/>
      <c r="AG141" s="1536"/>
      <c r="AH141" s="394"/>
      <c r="AI141" s="1535"/>
      <c r="AJ141" s="1535"/>
      <c r="AK141" s="1535"/>
      <c r="AL141" s="1536"/>
      <c r="AM141" s="394"/>
      <c r="AN141" s="1535"/>
      <c r="AO141" s="1535"/>
      <c r="AP141" s="1535"/>
      <c r="AQ141" s="1536"/>
      <c r="AR141" s="394"/>
      <c r="AS141" s="1535"/>
      <c r="AT141" s="1535"/>
      <c r="AU141" s="1535"/>
      <c r="AV141" s="1536"/>
      <c r="AW141" s="394"/>
      <c r="AX141" s="1535"/>
      <c r="AY141" s="1535"/>
      <c r="AZ141" s="1535"/>
      <c r="BA141" s="1536"/>
      <c r="BB141" s="394"/>
      <c r="BC141" s="1535"/>
      <c r="BD141" s="1535"/>
      <c r="BE141" s="1535"/>
      <c r="BF141" s="1536"/>
      <c r="BG141" s="394"/>
      <c r="BH141" s="1535"/>
      <c r="BI141" s="1535"/>
      <c r="BJ141" s="1535"/>
      <c r="BK141" s="1536"/>
      <c r="BL141" s="394"/>
    </row>
    <row r="142" spans="1:64" hidden="1" outlineLevel="2" x14ac:dyDescent="0.2">
      <c r="A142" s="238"/>
      <c r="B142" s="289"/>
      <c r="C142" s="1383"/>
      <c r="D142" s="394"/>
      <c r="E142" s="1533"/>
      <c r="F142" s="1534"/>
      <c r="G142" s="1534"/>
      <c r="H142" s="1534"/>
      <c r="I142" s="1439"/>
      <c r="J142" s="1534"/>
      <c r="K142" s="1534"/>
      <c r="L142" s="1534"/>
      <c r="M142" s="1534"/>
      <c r="N142" s="1439"/>
      <c r="O142" s="1534"/>
      <c r="P142" s="1534"/>
      <c r="Q142" s="1534"/>
      <c r="R142" s="1534"/>
      <c r="S142" s="1439"/>
      <c r="T142" s="1533"/>
      <c r="U142" s="1534"/>
      <c r="V142" s="1534"/>
      <c r="W142" s="1537"/>
      <c r="X142" s="394"/>
      <c r="Y142" s="1533"/>
      <c r="Z142" s="1534"/>
      <c r="AA142" s="1534"/>
      <c r="AB142" s="1537"/>
      <c r="AC142" s="394"/>
      <c r="AD142" s="1533"/>
      <c r="AE142" s="1534"/>
      <c r="AF142" s="1534"/>
      <c r="AG142" s="1537"/>
      <c r="AH142" s="394"/>
      <c r="AI142" s="1533"/>
      <c r="AJ142" s="1534"/>
      <c r="AK142" s="1534"/>
      <c r="AL142" s="1537"/>
      <c r="AM142" s="394"/>
      <c r="AN142" s="1533"/>
      <c r="AO142" s="1534"/>
      <c r="AP142" s="1534"/>
      <c r="AQ142" s="1537"/>
      <c r="AR142" s="394"/>
      <c r="AS142" s="1533"/>
      <c r="AT142" s="1534"/>
      <c r="AU142" s="1534"/>
      <c r="AV142" s="1537"/>
      <c r="AW142" s="394"/>
      <c r="AX142" s="1533"/>
      <c r="AY142" s="1534"/>
      <c r="AZ142" s="1534"/>
      <c r="BA142" s="1537"/>
      <c r="BB142" s="394"/>
      <c r="BC142" s="1533"/>
      <c r="BD142" s="1534"/>
      <c r="BE142" s="1534"/>
      <c r="BF142" s="1537"/>
      <c r="BG142" s="394"/>
      <c r="BH142" s="1533"/>
      <c r="BI142" s="1534"/>
      <c r="BJ142" s="1534"/>
      <c r="BK142" s="1537"/>
      <c r="BL142" s="394"/>
    </row>
    <row r="143" spans="1:64" hidden="1" outlineLevel="2" x14ac:dyDescent="0.2">
      <c r="A143" s="238"/>
      <c r="B143" s="289"/>
      <c r="C143" s="1538"/>
      <c r="D143" s="289"/>
      <c r="E143" s="1437"/>
      <c r="F143" s="1445"/>
      <c r="G143" s="1445"/>
      <c r="H143" s="1530"/>
      <c r="I143" s="1439"/>
      <c r="J143" s="1531"/>
      <c r="K143" s="1531"/>
      <c r="L143" s="1531"/>
      <c r="M143" s="1531"/>
      <c r="N143" s="1439"/>
      <c r="O143" s="1531"/>
      <c r="P143" s="1531"/>
      <c r="Q143" s="1531"/>
      <c r="R143" s="1531"/>
      <c r="S143" s="1439"/>
      <c r="T143" s="1530"/>
      <c r="U143" s="1531"/>
      <c r="V143" s="1531"/>
      <c r="W143" s="1532"/>
      <c r="X143" s="394"/>
      <c r="Y143" s="1530"/>
      <c r="Z143" s="1531"/>
      <c r="AA143" s="1531"/>
      <c r="AB143" s="1532"/>
      <c r="AC143" s="394"/>
      <c r="AD143" s="1554"/>
      <c r="AE143" s="1531"/>
      <c r="AF143" s="1531"/>
      <c r="AG143" s="1532"/>
      <c r="AH143" s="394"/>
      <c r="AI143" s="1530"/>
      <c r="AJ143" s="1531"/>
      <c r="AK143" s="1531"/>
      <c r="AL143" s="1532"/>
      <c r="AM143" s="394"/>
      <c r="AN143" s="1530"/>
      <c r="AO143" s="1531"/>
      <c r="AP143" s="1531"/>
      <c r="AQ143" s="1532"/>
      <c r="AR143" s="394"/>
      <c r="AS143" s="1530"/>
      <c r="AT143" s="1531"/>
      <c r="AU143" s="1531"/>
      <c r="AV143" s="1532"/>
      <c r="AW143" s="394"/>
      <c r="AX143" s="1530"/>
      <c r="AY143" s="1531"/>
      <c r="AZ143" s="1531"/>
      <c r="BA143" s="1532"/>
      <c r="BB143" s="394"/>
      <c r="BC143" s="1530"/>
      <c r="BD143" s="1531"/>
      <c r="BE143" s="1531"/>
      <c r="BF143" s="1532"/>
      <c r="BG143" s="394"/>
      <c r="BH143" s="1530"/>
      <c r="BI143" s="1531"/>
      <c r="BJ143" s="1531"/>
      <c r="BK143" s="1532"/>
      <c r="BL143" s="394"/>
    </row>
    <row r="144" spans="1:64" hidden="1" outlineLevel="2" x14ac:dyDescent="0.2">
      <c r="A144" s="238"/>
      <c r="B144" s="289"/>
      <c r="C144" s="1539"/>
      <c r="D144" s="289"/>
      <c r="E144" s="1437"/>
      <c r="F144" s="1445"/>
      <c r="G144" s="1445"/>
      <c r="H144" s="1530"/>
      <c r="I144" s="1439"/>
      <c r="J144" s="1531"/>
      <c r="K144" s="1531"/>
      <c r="L144" s="1531"/>
      <c r="M144" s="1531"/>
      <c r="N144" s="1439"/>
      <c r="O144" s="1531"/>
      <c r="P144" s="1531"/>
      <c r="Q144" s="1531"/>
      <c r="R144" s="1531"/>
      <c r="S144" s="1439"/>
      <c r="T144" s="1530"/>
      <c r="U144" s="1531"/>
      <c r="V144" s="1531"/>
      <c r="W144" s="1532"/>
      <c r="X144" s="394"/>
      <c r="Y144" s="1530"/>
      <c r="Z144" s="1531"/>
      <c r="AA144" s="1531"/>
      <c r="AB144" s="1532"/>
      <c r="AC144" s="394"/>
      <c r="AD144" s="1554"/>
      <c r="AE144" s="1531"/>
      <c r="AF144" s="1531"/>
      <c r="AG144" s="1532"/>
      <c r="AH144" s="394"/>
      <c r="AI144" s="1530"/>
      <c r="AJ144" s="1531"/>
      <c r="AK144" s="1531"/>
      <c r="AL144" s="1532"/>
      <c r="AM144" s="394"/>
      <c r="AN144" s="1530"/>
      <c r="AO144" s="1531"/>
      <c r="AP144" s="1531"/>
      <c r="AQ144" s="1532"/>
      <c r="AR144" s="394"/>
      <c r="AS144" s="1530"/>
      <c r="AT144" s="1531"/>
      <c r="AU144" s="1531"/>
      <c r="AV144" s="1532"/>
      <c r="AW144" s="394"/>
      <c r="AX144" s="1530"/>
      <c r="AY144" s="1531"/>
      <c r="AZ144" s="1531"/>
      <c r="BA144" s="1532"/>
      <c r="BB144" s="394"/>
      <c r="BC144" s="1530"/>
      <c r="BD144" s="1531"/>
      <c r="BE144" s="1531"/>
      <c r="BF144" s="1532"/>
      <c r="BG144" s="394"/>
      <c r="BH144" s="1530"/>
      <c r="BI144" s="1531"/>
      <c r="BJ144" s="1531"/>
      <c r="BK144" s="1532"/>
      <c r="BL144" s="394"/>
    </row>
    <row r="145" spans="1:64" hidden="1" outlineLevel="2" x14ac:dyDescent="0.2">
      <c r="A145" s="238"/>
      <c r="B145" s="289"/>
      <c r="C145" s="1540"/>
      <c r="D145" s="289"/>
      <c r="E145" s="1476"/>
      <c r="F145" s="1477"/>
      <c r="G145" s="1477"/>
      <c r="H145" s="1477"/>
      <c r="I145" s="1439"/>
      <c r="J145" s="1541"/>
      <c r="K145" s="1541"/>
      <c r="L145" s="1541"/>
      <c r="M145" s="1541"/>
      <c r="N145" s="1439"/>
      <c r="O145" s="1541"/>
      <c r="P145" s="1541"/>
      <c r="Q145" s="1541"/>
      <c r="R145" s="1541"/>
      <c r="S145" s="1439"/>
      <c r="T145" s="1542"/>
      <c r="U145" s="1543"/>
      <c r="V145" s="1543"/>
      <c r="W145" s="1544"/>
      <c r="X145" s="394"/>
      <c r="Y145" s="1542"/>
      <c r="Z145" s="1543"/>
      <c r="AA145" s="1543"/>
      <c r="AB145" s="1544"/>
      <c r="AC145" s="394"/>
      <c r="AD145" s="1553"/>
      <c r="AE145" s="1543"/>
      <c r="AF145" s="1543"/>
      <c r="AG145" s="1544"/>
      <c r="AH145" s="394"/>
      <c r="AI145" s="1542"/>
      <c r="AJ145" s="1543"/>
      <c r="AK145" s="1543"/>
      <c r="AL145" s="1544"/>
      <c r="AM145" s="394"/>
      <c r="AN145" s="1542"/>
      <c r="AO145" s="1543"/>
      <c r="AP145" s="1543"/>
      <c r="AQ145" s="1544"/>
      <c r="AR145" s="394"/>
      <c r="AS145" s="1542"/>
      <c r="AT145" s="1543"/>
      <c r="AU145" s="1543"/>
      <c r="AV145" s="1544"/>
      <c r="AW145" s="394"/>
      <c r="AX145" s="1542"/>
      <c r="AY145" s="1543"/>
      <c r="AZ145" s="1543"/>
      <c r="BA145" s="1544"/>
      <c r="BB145" s="394"/>
      <c r="BC145" s="1542"/>
      <c r="BD145" s="1543"/>
      <c r="BE145" s="1543"/>
      <c r="BF145" s="1544"/>
      <c r="BG145" s="394"/>
      <c r="BH145" s="1542"/>
      <c r="BI145" s="1543"/>
      <c r="BJ145" s="1543"/>
      <c r="BK145" s="1544"/>
      <c r="BL145" s="394"/>
    </row>
    <row r="146" spans="1:64" hidden="1" outlineLevel="2" x14ac:dyDescent="0.2">
      <c r="A146" s="238"/>
      <c r="B146" s="289"/>
      <c r="C146" s="1540"/>
      <c r="D146" s="289"/>
      <c r="E146" s="1476"/>
      <c r="F146" s="1477"/>
      <c r="G146" s="1477"/>
      <c r="H146" s="1477"/>
      <c r="I146" s="1439"/>
      <c r="J146" s="1541"/>
      <c r="K146" s="1541"/>
      <c r="L146" s="1541"/>
      <c r="M146" s="1541"/>
      <c r="N146" s="1439"/>
      <c r="O146" s="1541"/>
      <c r="P146" s="1541"/>
      <c r="Q146" s="1541"/>
      <c r="R146" s="1541"/>
      <c r="S146" s="1439"/>
      <c r="T146" s="1542"/>
      <c r="U146" s="1543"/>
      <c r="V146" s="1543"/>
      <c r="W146" s="1544"/>
      <c r="X146" s="394"/>
      <c r="Y146" s="1542"/>
      <c r="Z146" s="1543"/>
      <c r="AA146" s="1543"/>
      <c r="AB146" s="1544"/>
      <c r="AC146" s="394"/>
      <c r="AD146" s="1553"/>
      <c r="AE146" s="1543"/>
      <c r="AF146" s="1543"/>
      <c r="AG146" s="1544"/>
      <c r="AH146" s="394"/>
      <c r="AI146" s="1542"/>
      <c r="AJ146" s="1543"/>
      <c r="AK146" s="1543"/>
      <c r="AL146" s="1544"/>
      <c r="AM146" s="394"/>
      <c r="AN146" s="1542"/>
      <c r="AO146" s="1543"/>
      <c r="AP146" s="1543"/>
      <c r="AQ146" s="1544"/>
      <c r="AR146" s="394"/>
      <c r="AS146" s="1542"/>
      <c r="AT146" s="1543"/>
      <c r="AU146" s="1543"/>
      <c r="AV146" s="1544"/>
      <c r="AW146" s="394"/>
      <c r="AX146" s="1542"/>
      <c r="AY146" s="1543"/>
      <c r="AZ146" s="1543"/>
      <c r="BA146" s="1544"/>
      <c r="BB146" s="394"/>
      <c r="BC146" s="1542"/>
      <c r="BD146" s="1543"/>
      <c r="BE146" s="1543"/>
      <c r="BF146" s="1544"/>
      <c r="BG146" s="394"/>
      <c r="BH146" s="1542"/>
      <c r="BI146" s="1543"/>
      <c r="BJ146" s="1543"/>
      <c r="BK146" s="1544"/>
      <c r="BL146" s="394"/>
    </row>
    <row r="147" spans="1:64" hidden="1" outlineLevel="2" x14ac:dyDescent="0.2">
      <c r="A147" s="238"/>
      <c r="B147" s="289"/>
      <c r="C147" s="1540"/>
      <c r="D147" s="289"/>
      <c r="E147" s="1437"/>
      <c r="F147" s="1445"/>
      <c r="G147" s="1445"/>
      <c r="H147" s="1445"/>
      <c r="I147" s="1439"/>
      <c r="J147" s="1531"/>
      <c r="K147" s="1531"/>
      <c r="L147" s="1531"/>
      <c r="M147" s="1531"/>
      <c r="N147" s="1439"/>
      <c r="O147" s="1531"/>
      <c r="P147" s="1531"/>
      <c r="Q147" s="1531"/>
      <c r="R147" s="1531"/>
      <c r="S147" s="1439"/>
      <c r="T147" s="1530"/>
      <c r="U147" s="1531"/>
      <c r="V147" s="1531"/>
      <c r="W147" s="1532"/>
      <c r="X147" s="394"/>
      <c r="Y147" s="1530"/>
      <c r="Z147" s="1531"/>
      <c r="AA147" s="1531"/>
      <c r="AB147" s="1532"/>
      <c r="AC147" s="394"/>
      <c r="AD147" s="1554"/>
      <c r="AE147" s="1531"/>
      <c r="AF147" s="1531"/>
      <c r="AG147" s="1532"/>
      <c r="AH147" s="394"/>
      <c r="AI147" s="1530"/>
      <c r="AJ147" s="1531"/>
      <c r="AK147" s="1531"/>
      <c r="AL147" s="1532"/>
      <c r="AM147" s="394"/>
      <c r="AN147" s="1530"/>
      <c r="AO147" s="1531"/>
      <c r="AP147" s="1531"/>
      <c r="AQ147" s="1532"/>
      <c r="AR147" s="394"/>
      <c r="AS147" s="1530"/>
      <c r="AT147" s="1531"/>
      <c r="AU147" s="1531"/>
      <c r="AV147" s="1532"/>
      <c r="AW147" s="394"/>
      <c r="AX147" s="1530"/>
      <c r="AY147" s="1531"/>
      <c r="AZ147" s="1531"/>
      <c r="BA147" s="1532"/>
      <c r="BB147" s="394"/>
      <c r="BC147" s="1530"/>
      <c r="BD147" s="1531"/>
      <c r="BE147" s="1531"/>
      <c r="BF147" s="1532"/>
      <c r="BG147" s="394"/>
      <c r="BH147" s="1530"/>
      <c r="BI147" s="1531"/>
      <c r="BJ147" s="1531"/>
      <c r="BK147" s="1532"/>
      <c r="BL147" s="394"/>
    </row>
    <row r="148" spans="1:64" hidden="1" outlineLevel="2" x14ac:dyDescent="0.2">
      <c r="A148" s="238"/>
      <c r="B148" s="289"/>
      <c r="C148" s="1539"/>
      <c r="D148" s="289"/>
      <c r="E148" s="1437"/>
      <c r="F148" s="1445"/>
      <c r="G148" s="1445"/>
      <c r="H148" s="1445"/>
      <c r="I148" s="1439"/>
      <c r="J148" s="1531"/>
      <c r="K148" s="1531"/>
      <c r="L148" s="1531"/>
      <c r="M148" s="1531"/>
      <c r="N148" s="1439"/>
      <c r="O148" s="1531"/>
      <c r="P148" s="1531"/>
      <c r="Q148" s="1531"/>
      <c r="R148" s="1531"/>
      <c r="S148" s="1439"/>
      <c r="T148" s="1530"/>
      <c r="U148" s="1531"/>
      <c r="V148" s="1531"/>
      <c r="W148" s="1532"/>
      <c r="X148" s="394"/>
      <c r="Y148" s="1530"/>
      <c r="Z148" s="1531"/>
      <c r="AA148" s="1531"/>
      <c r="AB148" s="1532"/>
      <c r="AC148" s="394"/>
      <c r="AD148" s="1554"/>
      <c r="AE148" s="1531"/>
      <c r="AF148" s="1531"/>
      <c r="AG148" s="1532"/>
      <c r="AH148" s="394"/>
      <c r="AI148" s="1530"/>
      <c r="AJ148" s="1531"/>
      <c r="AK148" s="1531"/>
      <c r="AL148" s="1532"/>
      <c r="AM148" s="394"/>
      <c r="AN148" s="1530"/>
      <c r="AO148" s="1531"/>
      <c r="AP148" s="1531"/>
      <c r="AQ148" s="1532"/>
      <c r="AR148" s="394"/>
      <c r="AS148" s="1530"/>
      <c r="AT148" s="1531"/>
      <c r="AU148" s="1531"/>
      <c r="AV148" s="1532"/>
      <c r="AW148" s="394"/>
      <c r="AX148" s="1530"/>
      <c r="AY148" s="1531"/>
      <c r="AZ148" s="1531"/>
      <c r="BA148" s="1532"/>
      <c r="BB148" s="394"/>
      <c r="BC148" s="1530"/>
      <c r="BD148" s="1531"/>
      <c r="BE148" s="1531"/>
      <c r="BF148" s="1532"/>
      <c r="BG148" s="394"/>
      <c r="BH148" s="1530"/>
      <c r="BI148" s="1531"/>
      <c r="BJ148" s="1531"/>
      <c r="BK148" s="1532"/>
      <c r="BL148" s="394"/>
    </row>
    <row r="149" spans="1:64" hidden="1" outlineLevel="2" x14ac:dyDescent="0.2">
      <c r="A149" s="238"/>
      <c r="B149" s="289"/>
      <c r="C149" s="1540"/>
      <c r="D149" s="289"/>
      <c r="E149" s="1437"/>
      <c r="F149" s="1445"/>
      <c r="G149" s="1445"/>
      <c r="H149" s="1445"/>
      <c r="I149" s="1439"/>
      <c r="J149" s="1545"/>
      <c r="K149" s="1545"/>
      <c r="L149" s="1545"/>
      <c r="M149" s="1545"/>
      <c r="N149" s="1439"/>
      <c r="O149" s="1545"/>
      <c r="P149" s="1545"/>
      <c r="Q149" s="1545"/>
      <c r="R149" s="1545"/>
      <c r="S149" s="1439"/>
      <c r="T149" s="1530"/>
      <c r="U149" s="1531"/>
      <c r="V149" s="1531"/>
      <c r="W149" s="1532"/>
      <c r="X149" s="394"/>
      <c r="Y149" s="1530"/>
      <c r="Z149" s="1531"/>
      <c r="AA149" s="1531"/>
      <c r="AB149" s="1532"/>
      <c r="AC149" s="394"/>
      <c r="AD149" s="1554"/>
      <c r="AE149" s="1531"/>
      <c r="AF149" s="1531"/>
      <c r="AG149" s="1532"/>
      <c r="AH149" s="394"/>
      <c r="AI149" s="1530"/>
      <c r="AJ149" s="1531"/>
      <c r="AK149" s="1531"/>
      <c r="AL149" s="1532"/>
      <c r="AM149" s="394"/>
      <c r="AN149" s="1530"/>
      <c r="AO149" s="1531"/>
      <c r="AP149" s="1531"/>
      <c r="AQ149" s="1532"/>
      <c r="AR149" s="394"/>
      <c r="AS149" s="1530"/>
      <c r="AT149" s="1531"/>
      <c r="AU149" s="1531"/>
      <c r="AV149" s="1532"/>
      <c r="AW149" s="394"/>
      <c r="AX149" s="1530"/>
      <c r="AY149" s="1531"/>
      <c r="AZ149" s="1531"/>
      <c r="BA149" s="1532"/>
      <c r="BB149" s="394"/>
      <c r="BC149" s="1530"/>
      <c r="BD149" s="1531"/>
      <c r="BE149" s="1531"/>
      <c r="BF149" s="1532"/>
      <c r="BG149" s="394"/>
      <c r="BH149" s="1530"/>
      <c r="BI149" s="1531"/>
      <c r="BJ149" s="1531"/>
      <c r="BK149" s="1532"/>
      <c r="BL149" s="394"/>
    </row>
    <row r="150" spans="1:64" hidden="1" outlineLevel="2" x14ac:dyDescent="0.2">
      <c r="A150" s="238"/>
      <c r="B150" s="289"/>
      <c r="C150" s="1540"/>
      <c r="D150" s="289"/>
      <c r="E150" s="1437"/>
      <c r="F150" s="1445"/>
      <c r="G150" s="1445"/>
      <c r="H150" s="1445"/>
      <c r="I150" s="1439"/>
      <c r="J150" s="1545"/>
      <c r="K150" s="1545"/>
      <c r="L150" s="1545"/>
      <c r="M150" s="1545"/>
      <c r="N150" s="1439"/>
      <c r="O150" s="1545"/>
      <c r="P150" s="1545"/>
      <c r="Q150" s="1545"/>
      <c r="R150" s="1545"/>
      <c r="S150" s="1439"/>
      <c r="T150" s="1530"/>
      <c r="U150" s="1531"/>
      <c r="V150" s="1531"/>
      <c r="W150" s="1532"/>
      <c r="X150" s="394"/>
      <c r="Y150" s="1530"/>
      <c r="Z150" s="1531"/>
      <c r="AA150" s="1531"/>
      <c r="AB150" s="1532"/>
      <c r="AC150" s="394"/>
      <c r="AD150" s="1554"/>
      <c r="AE150" s="1531"/>
      <c r="AF150" s="1531"/>
      <c r="AG150" s="1532"/>
      <c r="AH150" s="394"/>
      <c r="AI150" s="1530"/>
      <c r="AJ150" s="1531"/>
      <c r="AK150" s="1531"/>
      <c r="AL150" s="1532"/>
      <c r="AM150" s="394"/>
      <c r="AN150" s="1530"/>
      <c r="AO150" s="1531"/>
      <c r="AP150" s="1531"/>
      <c r="AQ150" s="1532"/>
      <c r="AR150" s="394"/>
      <c r="AS150" s="1530"/>
      <c r="AT150" s="1531"/>
      <c r="AU150" s="1531"/>
      <c r="AV150" s="1532"/>
      <c r="AW150" s="394"/>
      <c r="AX150" s="1530"/>
      <c r="AY150" s="1531"/>
      <c r="AZ150" s="1531"/>
      <c r="BA150" s="1532"/>
      <c r="BB150" s="394"/>
      <c r="BC150" s="1530"/>
      <c r="BD150" s="1531"/>
      <c r="BE150" s="1531"/>
      <c r="BF150" s="1532"/>
      <c r="BG150" s="394"/>
      <c r="BH150" s="1530"/>
      <c r="BI150" s="1531"/>
      <c r="BJ150" s="1531"/>
      <c r="BK150" s="1532"/>
      <c r="BL150" s="394"/>
    </row>
    <row r="151" spans="1:64" hidden="1" outlineLevel="2" x14ac:dyDescent="0.2">
      <c r="A151" s="238"/>
      <c r="B151" s="289"/>
      <c r="C151" s="1540"/>
      <c r="D151" s="289"/>
      <c r="E151" s="1437"/>
      <c r="F151" s="1445"/>
      <c r="G151" s="1445"/>
      <c r="H151" s="1530"/>
      <c r="I151" s="1439"/>
      <c r="J151" s="1531"/>
      <c r="K151" s="1531"/>
      <c r="L151" s="1531"/>
      <c r="M151" s="1531"/>
      <c r="N151" s="1439"/>
      <c r="O151" s="1531"/>
      <c r="P151" s="1531"/>
      <c r="Q151" s="1531"/>
      <c r="R151" s="1531"/>
      <c r="S151" s="1439"/>
      <c r="T151" s="1530"/>
      <c r="U151" s="1531"/>
      <c r="V151" s="1531"/>
      <c r="W151" s="1532"/>
      <c r="X151" s="394"/>
      <c r="Y151" s="1530"/>
      <c r="Z151" s="1531"/>
      <c r="AA151" s="1531"/>
      <c r="AB151" s="1532"/>
      <c r="AC151" s="394"/>
      <c r="AD151" s="1554"/>
      <c r="AE151" s="1531"/>
      <c r="AF151" s="1531"/>
      <c r="AG151" s="1532"/>
      <c r="AH151" s="394"/>
      <c r="AI151" s="1530"/>
      <c r="AJ151" s="1531"/>
      <c r="AK151" s="1531"/>
      <c r="AL151" s="1532"/>
      <c r="AM151" s="394"/>
      <c r="AN151" s="1530"/>
      <c r="AO151" s="1531"/>
      <c r="AP151" s="1531"/>
      <c r="AQ151" s="1532"/>
      <c r="AR151" s="394"/>
      <c r="AS151" s="1530"/>
      <c r="AT151" s="1531"/>
      <c r="AU151" s="1531"/>
      <c r="AV151" s="1532"/>
      <c r="AW151" s="394"/>
      <c r="AX151" s="1530"/>
      <c r="AY151" s="1531"/>
      <c r="AZ151" s="1531"/>
      <c r="BA151" s="1532"/>
      <c r="BB151" s="394"/>
      <c r="BC151" s="1530"/>
      <c r="BD151" s="1531"/>
      <c r="BE151" s="1531"/>
      <c r="BF151" s="1532"/>
      <c r="BG151" s="394"/>
      <c r="BH151" s="1530"/>
      <c r="BI151" s="1531"/>
      <c r="BJ151" s="1531"/>
      <c r="BK151" s="1532"/>
      <c r="BL151" s="394"/>
    </row>
    <row r="152" spans="1:64" hidden="1" outlineLevel="2" x14ac:dyDescent="0.2">
      <c r="A152" s="238"/>
      <c r="B152" s="289"/>
      <c r="C152" s="1540"/>
      <c r="D152" s="289"/>
      <c r="E152" s="1437"/>
      <c r="F152" s="1445"/>
      <c r="G152" s="1445"/>
      <c r="H152" s="1445"/>
      <c r="I152" s="1439"/>
      <c r="J152" s="1445"/>
      <c r="K152" s="1445"/>
      <c r="L152" s="1445"/>
      <c r="M152" s="1445"/>
      <c r="N152" s="1439"/>
      <c r="O152" s="1445"/>
      <c r="P152" s="1445"/>
      <c r="Q152" s="1445"/>
      <c r="R152" s="1445"/>
      <c r="S152" s="1439"/>
      <c r="T152" s="1438"/>
      <c r="U152" s="1445"/>
      <c r="V152" s="1445"/>
      <c r="W152" s="1469"/>
      <c r="X152" s="394"/>
      <c r="Y152" s="1438"/>
      <c r="Z152" s="1445"/>
      <c r="AA152" s="1445"/>
      <c r="AB152" s="1469"/>
      <c r="AC152" s="394"/>
      <c r="AD152" s="1438"/>
      <c r="AE152" s="1445"/>
      <c r="AF152" s="1445"/>
      <c r="AG152" s="1469"/>
      <c r="AH152" s="394"/>
      <c r="AI152" s="1438"/>
      <c r="AJ152" s="1445"/>
      <c r="AK152" s="1445"/>
      <c r="AL152" s="1469"/>
      <c r="AM152" s="394"/>
      <c r="AN152" s="1438"/>
      <c r="AO152" s="1445"/>
      <c r="AP152" s="1445"/>
      <c r="AQ152" s="1469"/>
      <c r="AR152" s="394"/>
      <c r="AS152" s="1438"/>
      <c r="AT152" s="1445"/>
      <c r="AU152" s="1445"/>
      <c r="AV152" s="1469"/>
      <c r="AW152" s="394"/>
      <c r="AX152" s="1438"/>
      <c r="AY152" s="1445"/>
      <c r="AZ152" s="1445"/>
      <c r="BA152" s="1469"/>
      <c r="BB152" s="394"/>
      <c r="BC152" s="1438"/>
      <c r="BD152" s="1445"/>
      <c r="BE152" s="1445"/>
      <c r="BF152" s="1469"/>
      <c r="BG152" s="394"/>
      <c r="BH152" s="1438"/>
      <c r="BI152" s="1445"/>
      <c r="BJ152" s="1445"/>
      <c r="BK152" s="1469"/>
      <c r="BL152" s="394"/>
    </row>
    <row r="153" spans="1:64" ht="12" hidden="1" outlineLevel="2" thickBot="1" x14ac:dyDescent="0.25">
      <c r="A153" s="238"/>
      <c r="B153" s="289"/>
      <c r="C153" s="1546"/>
      <c r="D153" s="411"/>
      <c r="E153" s="1547"/>
      <c r="F153" s="1548"/>
      <c r="G153" s="1548"/>
      <c r="H153" s="1548"/>
      <c r="I153" s="1549"/>
      <c r="J153" s="1548"/>
      <c r="K153" s="1548"/>
      <c r="L153" s="1548"/>
      <c r="M153" s="1548"/>
      <c r="N153" s="1549"/>
      <c r="O153" s="1548"/>
      <c r="P153" s="1548"/>
      <c r="Q153" s="1548"/>
      <c r="R153" s="1548"/>
      <c r="S153" s="1549"/>
      <c r="T153" s="1550"/>
      <c r="U153" s="1550"/>
      <c r="V153" s="1550"/>
      <c r="W153" s="1551"/>
      <c r="X153" s="1552"/>
      <c r="Y153" s="1550"/>
      <c r="Z153" s="1550"/>
      <c r="AA153" s="1550"/>
      <c r="AB153" s="1551"/>
      <c r="AC153" s="1552"/>
      <c r="AD153" s="1658"/>
      <c r="AE153" s="1550"/>
      <c r="AF153" s="1550"/>
      <c r="AG153" s="1551"/>
      <c r="AH153" s="1552"/>
      <c r="AI153" s="1550"/>
      <c r="AJ153" s="1550"/>
      <c r="AK153" s="1550"/>
      <c r="AL153" s="1551"/>
      <c r="AM153" s="1552"/>
      <c r="AN153" s="1550"/>
      <c r="AO153" s="1550"/>
      <c r="AP153" s="1550"/>
      <c r="AQ153" s="1551"/>
      <c r="AR153" s="1552"/>
      <c r="AS153" s="1550"/>
      <c r="AT153" s="1550"/>
      <c r="AU153" s="1550"/>
      <c r="AV153" s="1551"/>
      <c r="AW153" s="1552"/>
      <c r="AX153" s="1550"/>
      <c r="AY153" s="1550"/>
      <c r="AZ153" s="1550"/>
      <c r="BA153" s="1551"/>
      <c r="BB153" s="1552"/>
      <c r="BC153" s="1550"/>
      <c r="BD153" s="1550"/>
      <c r="BE153" s="1550"/>
      <c r="BF153" s="1551"/>
      <c r="BG153" s="1552"/>
      <c r="BH153" s="1550"/>
      <c r="BI153" s="1550"/>
      <c r="BJ153" s="1550"/>
      <c r="BK153" s="1551"/>
      <c r="BL153" s="1552"/>
    </row>
    <row r="154" spans="1:64" outlineLevel="1" collapsed="1" x14ac:dyDescent="0.2">
      <c r="A154" s="238"/>
      <c r="B154" s="300"/>
      <c r="C154" s="300"/>
      <c r="D154" s="241"/>
      <c r="E154" s="300"/>
      <c r="F154" s="300"/>
      <c r="G154" s="300"/>
      <c r="H154" s="300"/>
      <c r="I154" s="300"/>
      <c r="J154" s="300"/>
      <c r="K154" s="300"/>
      <c r="L154" s="300"/>
      <c r="M154" s="300"/>
      <c r="N154" s="300"/>
      <c r="O154" s="300"/>
      <c r="P154" s="300"/>
      <c r="Q154" s="300"/>
      <c r="R154" s="300"/>
      <c r="S154" s="300"/>
      <c r="T154" s="300"/>
      <c r="U154" s="300"/>
      <c r="V154" s="300"/>
      <c r="W154" s="300"/>
      <c r="X154" s="300"/>
      <c r="Y154" s="300"/>
      <c r="Z154" s="300"/>
      <c r="AA154" s="300"/>
      <c r="AB154" s="300"/>
      <c r="AC154" s="300"/>
      <c r="AD154" s="300"/>
      <c r="AE154" s="300"/>
      <c r="AF154" s="300"/>
      <c r="AG154" s="300"/>
      <c r="AH154" s="300"/>
      <c r="AI154" s="300"/>
      <c r="AJ154" s="300"/>
      <c r="AK154" s="300"/>
      <c r="AL154" s="300"/>
      <c r="AM154" s="300"/>
      <c r="AN154" s="300"/>
      <c r="AO154" s="300"/>
      <c r="AP154" s="300"/>
      <c r="AQ154" s="300"/>
      <c r="AR154" s="300"/>
      <c r="AS154" s="300"/>
      <c r="AT154" s="300"/>
      <c r="AU154" s="300"/>
      <c r="AV154" s="300"/>
      <c r="AW154" s="300"/>
      <c r="AX154" s="300"/>
      <c r="AY154" s="300"/>
      <c r="AZ154" s="300"/>
      <c r="BA154" s="300"/>
      <c r="BB154" s="300"/>
      <c r="BC154" s="300"/>
      <c r="BD154" s="300"/>
      <c r="BE154" s="300"/>
      <c r="BF154" s="300"/>
      <c r="BG154" s="300"/>
      <c r="BH154" s="300"/>
      <c r="BI154" s="300"/>
      <c r="BJ154" s="300"/>
      <c r="BK154" s="300"/>
      <c r="BL154" s="300"/>
    </row>
    <row r="155" spans="1:64" ht="12" outlineLevel="1" thickBot="1" x14ac:dyDescent="0.25">
      <c r="A155" s="238"/>
      <c r="B155" s="300"/>
      <c r="C155" s="300"/>
      <c r="D155" s="300"/>
      <c r="E155" s="300"/>
      <c r="F155" s="300"/>
      <c r="G155" s="300"/>
      <c r="H155" s="300"/>
      <c r="I155" s="300"/>
      <c r="J155" s="300"/>
      <c r="K155" s="300"/>
      <c r="L155" s="300"/>
      <c r="M155" s="300"/>
      <c r="N155" s="300"/>
      <c r="O155" s="300"/>
      <c r="P155" s="300"/>
      <c r="Q155" s="300"/>
      <c r="R155" s="300"/>
      <c r="S155" s="300"/>
      <c r="T155" s="300"/>
      <c r="U155" s="300"/>
      <c r="V155" s="300"/>
      <c r="W155" s="300"/>
      <c r="X155" s="300"/>
      <c r="Y155" s="300"/>
      <c r="Z155" s="300"/>
      <c r="AA155" s="300"/>
      <c r="AB155" s="300"/>
      <c r="AC155" s="300"/>
      <c r="AD155" s="300"/>
      <c r="AE155" s="300"/>
      <c r="AF155" s="300"/>
      <c r="AG155" s="300"/>
      <c r="AH155" s="300"/>
      <c r="AI155" s="300"/>
      <c r="AJ155" s="300"/>
      <c r="AK155" s="300"/>
      <c r="AL155" s="300"/>
      <c r="AM155" s="300"/>
      <c r="AN155" s="300"/>
      <c r="AO155" s="300"/>
      <c r="AP155" s="300"/>
      <c r="AQ155" s="300"/>
      <c r="AR155" s="300"/>
      <c r="AS155" s="300"/>
      <c r="AT155" s="300"/>
      <c r="AU155" s="300"/>
      <c r="AV155" s="300"/>
      <c r="AW155" s="300"/>
      <c r="AX155" s="300"/>
      <c r="AY155" s="300"/>
      <c r="AZ155" s="300"/>
      <c r="BA155" s="300"/>
      <c r="BB155" s="300"/>
      <c r="BC155" s="300"/>
      <c r="BD155" s="300"/>
      <c r="BE155" s="300"/>
      <c r="BF155" s="300"/>
      <c r="BG155" s="300"/>
      <c r="BH155" s="300"/>
      <c r="BI155" s="300"/>
      <c r="BJ155" s="300"/>
      <c r="BK155" s="300"/>
      <c r="BL155" s="300"/>
    </row>
    <row r="156" spans="1:64" ht="12" outlineLevel="1" thickBot="1" x14ac:dyDescent="0.25">
      <c r="A156" s="238"/>
      <c r="B156" s="289"/>
      <c r="C156" s="1433" t="s">
        <v>1239</v>
      </c>
      <c r="D156" s="1434"/>
      <c r="E156" s="1434"/>
      <c r="F156" s="1434"/>
      <c r="G156" s="1434"/>
      <c r="H156" s="1434"/>
      <c r="I156" s="1435"/>
      <c r="J156" s="1434"/>
      <c r="K156" s="1434"/>
      <c r="L156" s="1434"/>
      <c r="M156" s="1434"/>
      <c r="N156" s="1435"/>
      <c r="O156" s="1434"/>
      <c r="P156" s="1434"/>
      <c r="Q156" s="1434"/>
      <c r="R156" s="1434"/>
      <c r="S156" s="1435"/>
      <c r="T156" s="1434"/>
      <c r="U156" s="1434"/>
      <c r="V156" s="1434"/>
      <c r="W156" s="1434"/>
      <c r="X156" s="1435"/>
      <c r="Y156" s="1434"/>
      <c r="Z156" s="1434"/>
      <c r="AA156" s="1434"/>
      <c r="AB156" s="1434"/>
      <c r="AC156" s="1435"/>
      <c r="AD156" s="1434"/>
      <c r="AE156" s="1434"/>
      <c r="AF156" s="1434"/>
      <c r="AG156" s="1434"/>
      <c r="AH156" s="1435"/>
      <c r="AI156" s="1434"/>
      <c r="AJ156" s="1434"/>
      <c r="AK156" s="1434"/>
      <c r="AL156" s="1434"/>
      <c r="AM156" s="1435"/>
      <c r="AN156" s="1434"/>
      <c r="AO156" s="1434"/>
      <c r="AP156" s="1434"/>
      <c r="AQ156" s="1434"/>
      <c r="AR156" s="1435"/>
      <c r="AS156" s="1434"/>
      <c r="AT156" s="1434"/>
      <c r="AU156" s="1434"/>
      <c r="AV156" s="1434"/>
      <c r="AW156" s="1435"/>
      <c r="AX156" s="1434"/>
      <c r="AY156" s="1434"/>
      <c r="AZ156" s="1434"/>
      <c r="BA156" s="1434"/>
      <c r="BB156" s="1435"/>
      <c r="BC156" s="1434"/>
      <c r="BD156" s="1434"/>
      <c r="BE156" s="1434"/>
      <c r="BF156" s="1434"/>
      <c r="BG156" s="1435"/>
      <c r="BH156" s="1434"/>
      <c r="BI156" s="1434"/>
      <c r="BJ156" s="1434"/>
      <c r="BK156" s="1434"/>
      <c r="BL156" s="1435"/>
    </row>
    <row r="157" spans="1:64" outlineLevel="2" x14ac:dyDescent="0.2">
      <c r="A157" s="238"/>
      <c r="B157" s="289"/>
      <c r="C157" s="1380" t="str">
        <f>C107</f>
        <v>Rx Volume Growth</v>
      </c>
      <c r="D157" s="394"/>
      <c r="E157" s="1438"/>
      <c r="F157" s="1445"/>
      <c r="G157" s="1445"/>
      <c r="H157" s="1530"/>
      <c r="I157" s="1439"/>
      <c r="J157" s="1531"/>
      <c r="K157" s="1531"/>
      <c r="L157" s="1531"/>
      <c r="M157" s="1531"/>
      <c r="N157" s="1439"/>
      <c r="O157" s="1531"/>
      <c r="P157" s="1531"/>
      <c r="Q157" s="1531"/>
      <c r="R157" s="1531"/>
      <c r="S157" s="1439"/>
      <c r="T157" s="1531"/>
      <c r="U157" s="1531"/>
      <c r="V157" s="1531"/>
      <c r="W157" s="1531"/>
      <c r="X157" s="1439"/>
      <c r="Y157" s="1545"/>
      <c r="Z157" s="1531"/>
      <c r="AA157" s="1531"/>
      <c r="AB157" s="1532"/>
      <c r="AC157" s="394"/>
      <c r="AD157" s="1545"/>
      <c r="AE157" s="1531"/>
      <c r="AF157" s="1531"/>
      <c r="AG157" s="1532"/>
      <c r="AH157" s="394"/>
      <c r="AI157" s="1531"/>
      <c r="AJ157" s="1531"/>
      <c r="AK157" s="1531"/>
      <c r="AL157" s="1532"/>
      <c r="AM157" s="394"/>
      <c r="AN157" s="1531"/>
      <c r="AO157" s="1531"/>
      <c r="AP157" s="1531"/>
      <c r="AQ157" s="1532"/>
      <c r="AR157" s="394"/>
      <c r="AS157" s="1531"/>
      <c r="AT157" s="1531"/>
      <c r="AU157" s="1531"/>
      <c r="AV157" s="1532"/>
      <c r="AW157" s="394"/>
      <c r="AX157" s="1531"/>
      <c r="AY157" s="1531"/>
      <c r="AZ157" s="1531"/>
      <c r="BA157" s="1532"/>
      <c r="BB157" s="394"/>
      <c r="BC157" s="1531"/>
      <c r="BD157" s="1531"/>
      <c r="BE157" s="1531"/>
      <c r="BF157" s="1532"/>
      <c r="BG157" s="394"/>
      <c r="BH157" s="1531"/>
      <c r="BI157" s="1531"/>
      <c r="BJ157" s="1531"/>
      <c r="BK157" s="1532"/>
      <c r="BL157" s="394"/>
    </row>
    <row r="158" spans="1:64" outlineLevel="2" x14ac:dyDescent="0.2">
      <c r="A158" s="238"/>
      <c r="B158" s="289"/>
      <c r="C158" s="1383" t="str">
        <f>C108</f>
        <v>Retail</v>
      </c>
      <c r="D158" s="394"/>
      <c r="E158" s="1533">
        <f t="shared" ref="E158:H159" si="95">E176</f>
        <v>4.3816254416961131E-2</v>
      </c>
      <c r="F158" s="1533">
        <f t="shared" si="95"/>
        <v>8.8041085840058653E-2</v>
      </c>
      <c r="G158" s="1533">
        <f t="shared" si="95"/>
        <v>9.0029761904761862E-2</v>
      </c>
      <c r="H158" s="1533">
        <f t="shared" si="95"/>
        <v>-5.5520898315658207E-2</v>
      </c>
      <c r="I158" s="1439"/>
      <c r="J158" s="1533">
        <f t="shared" ref="J158:M159" si="96">J176</f>
        <v>-0.10629654705484082</v>
      </c>
      <c r="K158" s="1533">
        <f t="shared" si="96"/>
        <v>-0.13486176668914363</v>
      </c>
      <c r="L158" s="1533">
        <f t="shared" si="96"/>
        <v>-0.12491467576791815</v>
      </c>
      <c r="M158" s="1533">
        <f t="shared" si="96"/>
        <v>-0.12681638044914145</v>
      </c>
      <c r="N158" s="1439"/>
      <c r="O158" s="1533">
        <f t="shared" ref="O158:R159" si="97">O176</f>
        <v>0.19469696969696959</v>
      </c>
      <c r="P158" s="1533">
        <f t="shared" si="97"/>
        <v>0.35619641465315643</v>
      </c>
      <c r="Q158" s="1533">
        <f t="shared" si="97"/>
        <v>0.39781591263650551</v>
      </c>
      <c r="R158" s="1533">
        <f t="shared" si="97"/>
        <v>0.46019667170953116</v>
      </c>
      <c r="S158" s="1439"/>
      <c r="T158" s="1533">
        <f t="shared" ref="T158:V159" si="98">T176</f>
        <v>0.25871908687381118</v>
      </c>
      <c r="U158" s="1533">
        <f t="shared" si="98"/>
        <v>0.13687356321839084</v>
      </c>
      <c r="V158" s="1533">
        <f t="shared" si="98"/>
        <v>9.9330357142857206E-2</v>
      </c>
      <c r="W158" s="1533">
        <f>W176</f>
        <v>6.4557237435116432E-2</v>
      </c>
      <c r="X158" s="1439"/>
      <c r="Y158" s="1657">
        <f t="shared" ref="Y158:AA159" si="99">Y176</f>
        <v>4.3324937027707788E-2</v>
      </c>
      <c r="Z158" s="1657">
        <f t="shared" si="99"/>
        <v>4.0866259554333428E-2</v>
      </c>
      <c r="AA158" s="1657">
        <f t="shared" si="99"/>
        <v>1.9796954314720949E-2</v>
      </c>
      <c r="AB158" s="1716">
        <f>AB176</f>
        <v>-2.9197080291970545E-3</v>
      </c>
      <c r="AC158" s="394"/>
      <c r="AD158" s="1657">
        <f>AD176+0.025</f>
        <v>3.0000000000000002E-2</v>
      </c>
      <c r="AE158" s="1535">
        <f>AE176+0.025</f>
        <v>3.0000000000000002E-2</v>
      </c>
      <c r="AF158" s="1535">
        <f>AF176+0.025</f>
        <v>3.0000000000000002E-2</v>
      </c>
      <c r="AG158" s="1536">
        <f>AG176+0.025</f>
        <v>3.0000000000000002E-2</v>
      </c>
      <c r="AH158" s="394"/>
      <c r="AI158" s="1535">
        <v>0.1</v>
      </c>
      <c r="AJ158" s="1535">
        <v>0.1</v>
      </c>
      <c r="AK158" s="1535">
        <v>0.1</v>
      </c>
      <c r="AL158" s="1536">
        <v>0.1</v>
      </c>
      <c r="AM158" s="394"/>
      <c r="AN158" s="1535">
        <f t="shared" ref="AN158:AQ159" si="100">AN176</f>
        <v>0.14000000000000001</v>
      </c>
      <c r="AO158" s="1535">
        <f t="shared" si="100"/>
        <v>0.23</v>
      </c>
      <c r="AP158" s="1535">
        <f t="shared" si="100"/>
        <v>0.23</v>
      </c>
      <c r="AQ158" s="1535">
        <f t="shared" si="100"/>
        <v>0.23</v>
      </c>
      <c r="AR158" s="394"/>
      <c r="AS158" s="1535">
        <f t="shared" ref="AS158:AV159" si="101">AS176</f>
        <v>0.09</v>
      </c>
      <c r="AT158" s="1535">
        <f t="shared" si="101"/>
        <v>0.11</v>
      </c>
      <c r="AU158" s="1535">
        <f t="shared" si="101"/>
        <v>0.1</v>
      </c>
      <c r="AV158" s="1535">
        <f t="shared" si="101"/>
        <v>0.09</v>
      </c>
      <c r="AW158" s="394"/>
      <c r="AX158" s="1535">
        <f t="shared" ref="AX158:BA159" si="102">AX176</f>
        <v>0.08</v>
      </c>
      <c r="AY158" s="1535">
        <f t="shared" si="102"/>
        <v>0.09</v>
      </c>
      <c r="AZ158" s="1535">
        <f t="shared" si="102"/>
        <v>0.09</v>
      </c>
      <c r="BA158" s="1536">
        <f t="shared" si="102"/>
        <v>0.09</v>
      </c>
      <c r="BB158" s="394"/>
      <c r="BC158" s="1535">
        <f t="shared" ref="BC158:BF159" si="103">BC176</f>
        <v>1.4999999999999999E-2</v>
      </c>
      <c r="BD158" s="1535">
        <f t="shared" si="103"/>
        <v>1.4999999999999999E-2</v>
      </c>
      <c r="BE158" s="1535">
        <f t="shared" si="103"/>
        <v>1.4999999999999999E-2</v>
      </c>
      <c r="BF158" s="1536">
        <f t="shared" si="103"/>
        <v>1.4999999999999999E-2</v>
      </c>
      <c r="BG158" s="394"/>
      <c r="BH158" s="1535">
        <f t="shared" ref="BH158:BK158" si="104">BH176</f>
        <v>1.4999999999999999E-2</v>
      </c>
      <c r="BI158" s="1535">
        <f t="shared" si="104"/>
        <v>1.4999999999999999E-2</v>
      </c>
      <c r="BJ158" s="1535">
        <f t="shared" si="104"/>
        <v>1.4999999999999999E-2</v>
      </c>
      <c r="BK158" s="1536">
        <f t="shared" si="104"/>
        <v>1.4999999999999999E-2</v>
      </c>
      <c r="BL158" s="394"/>
    </row>
    <row r="159" spans="1:64" outlineLevel="2" x14ac:dyDescent="0.2">
      <c r="A159" s="238"/>
      <c r="B159" s="289"/>
      <c r="C159" s="1383" t="str">
        <f>C109</f>
        <v>Mail</v>
      </c>
      <c r="D159" s="394"/>
      <c r="E159" s="1533">
        <f t="shared" si="95"/>
        <v>2.614379084967311E-2</v>
      </c>
      <c r="F159" s="1533">
        <f t="shared" si="95"/>
        <v>5.3333333333333455E-2</v>
      </c>
      <c r="G159" s="1533">
        <f t="shared" si="95"/>
        <v>0.11564625850340127</v>
      </c>
      <c r="H159" s="1533">
        <f t="shared" si="95"/>
        <v>5.031446540880502E-2</v>
      </c>
      <c r="I159" s="1439"/>
      <c r="J159" s="1533">
        <f t="shared" si="96"/>
        <v>-1.2738853503184711E-2</v>
      </c>
      <c r="K159" s="1533">
        <f t="shared" si="96"/>
        <v>1.2658227848101111E-2</v>
      </c>
      <c r="L159" s="1533">
        <f t="shared" si="96"/>
        <v>-1.2195121951219523E-2</v>
      </c>
      <c r="M159" s="1533">
        <f t="shared" si="96"/>
        <v>-1.19760479041916E-2</v>
      </c>
      <c r="N159" s="1439"/>
      <c r="O159" s="1533">
        <f t="shared" si="97"/>
        <v>0.12903225806451624</v>
      </c>
      <c r="P159" s="1533">
        <f t="shared" si="97"/>
        <v>0.11250000000000004</v>
      </c>
      <c r="Q159" s="1533">
        <f t="shared" si="97"/>
        <v>8.0246913580247048E-2</v>
      </c>
      <c r="R159" s="1533">
        <f t="shared" si="97"/>
        <v>7.9272727272726939E-2</v>
      </c>
      <c r="S159" s="1439"/>
      <c r="T159" s="1533">
        <f t="shared" si="98"/>
        <v>0.1657142857142857</v>
      </c>
      <c r="U159" s="1533">
        <f t="shared" si="98"/>
        <v>0.15387640449438211</v>
      </c>
      <c r="V159" s="1533">
        <f t="shared" si="98"/>
        <v>0.1657142857142857</v>
      </c>
      <c r="W159" s="1533">
        <f>W177</f>
        <v>0.14555256064690036</v>
      </c>
      <c r="X159" s="1439"/>
      <c r="Y159" s="1657">
        <f t="shared" si="99"/>
        <v>4.9019607843137081E-3</v>
      </c>
      <c r="Z159" s="1657">
        <f t="shared" si="99"/>
        <v>7.8387458006716759E-3</v>
      </c>
      <c r="AA159" s="1657">
        <f t="shared" si="99"/>
        <v>2.941176470588247E-2</v>
      </c>
      <c r="AB159" s="1716">
        <f>AB177</f>
        <v>2.941176470588247E-2</v>
      </c>
      <c r="AC159" s="394"/>
      <c r="AD159" s="1657">
        <f>AD177+0.0175</f>
        <v>-1.6646341463414552E-2</v>
      </c>
      <c r="AE159" s="1535">
        <f>AE177+0.0175</f>
        <v>7.8381642512077992E-3</v>
      </c>
      <c r="AF159" s="1535">
        <f>AF177+0.0175</f>
        <v>3.2142857142856557E-3</v>
      </c>
      <c r="AG159" s="1536">
        <f>AG177+0.0175</f>
        <v>3.1785714285714237E-2</v>
      </c>
      <c r="AH159" s="394"/>
      <c r="AI159" s="1535">
        <v>0.03</v>
      </c>
      <c r="AJ159" s="1535">
        <v>0.03</v>
      </c>
      <c r="AK159" s="1535">
        <v>0.03</v>
      </c>
      <c r="AL159" s="1536">
        <v>0.03</v>
      </c>
      <c r="AM159" s="394"/>
      <c r="AN159" s="1535">
        <f t="shared" si="100"/>
        <v>0.05</v>
      </c>
      <c r="AO159" s="1535">
        <f t="shared" si="100"/>
        <v>0.12</v>
      </c>
      <c r="AP159" s="1535">
        <f t="shared" si="100"/>
        <v>0.12</v>
      </c>
      <c r="AQ159" s="1535">
        <f t="shared" si="100"/>
        <v>7.0000000000000007E-2</v>
      </c>
      <c r="AR159" s="394"/>
      <c r="AS159" s="1535">
        <f t="shared" si="101"/>
        <v>0.03</v>
      </c>
      <c r="AT159" s="1535">
        <f t="shared" si="101"/>
        <v>4.4999999999999998E-2</v>
      </c>
      <c r="AU159" s="1535">
        <f t="shared" si="101"/>
        <v>0.05</v>
      </c>
      <c r="AV159" s="1536">
        <f t="shared" si="101"/>
        <v>2.5000000000000001E-2</v>
      </c>
      <c r="AW159" s="394"/>
      <c r="AX159" s="1535">
        <f t="shared" si="102"/>
        <v>0.06</v>
      </c>
      <c r="AY159" s="1535">
        <f t="shared" si="102"/>
        <v>7.0000000000000007E-2</v>
      </c>
      <c r="AZ159" s="1535">
        <f t="shared" si="102"/>
        <v>7.0000000000000007E-2</v>
      </c>
      <c r="BA159" s="1536">
        <f t="shared" si="102"/>
        <v>7.0000000000000007E-2</v>
      </c>
      <c r="BB159" s="394"/>
      <c r="BC159" s="1535">
        <f t="shared" si="103"/>
        <v>0.01</v>
      </c>
      <c r="BD159" s="1535">
        <f t="shared" si="103"/>
        <v>0.01</v>
      </c>
      <c r="BE159" s="1535">
        <f t="shared" si="103"/>
        <v>0.01</v>
      </c>
      <c r="BF159" s="1536">
        <f t="shared" si="103"/>
        <v>0.01</v>
      </c>
      <c r="BG159" s="394"/>
      <c r="BH159" s="1535">
        <f t="shared" ref="BH159:BK159" si="105">BH177</f>
        <v>0.01</v>
      </c>
      <c r="BI159" s="1535">
        <f t="shared" si="105"/>
        <v>0.01</v>
      </c>
      <c r="BJ159" s="1535">
        <f t="shared" si="105"/>
        <v>0.01</v>
      </c>
      <c r="BK159" s="1536">
        <f t="shared" si="105"/>
        <v>0.01</v>
      </c>
      <c r="BL159" s="394"/>
    </row>
    <row r="160" spans="1:64" outlineLevel="2" x14ac:dyDescent="0.2">
      <c r="A160" s="238"/>
      <c r="B160" s="289"/>
      <c r="C160" s="1383"/>
      <c r="D160" s="394"/>
      <c r="E160" s="1533"/>
      <c r="F160" s="1534"/>
      <c r="G160" s="1534"/>
      <c r="H160" s="1534"/>
      <c r="I160" s="1439"/>
      <c r="J160" s="1534"/>
      <c r="K160" s="1534"/>
      <c r="L160" s="1534"/>
      <c r="M160" s="1534"/>
      <c r="N160" s="1439"/>
      <c r="O160" s="1534"/>
      <c r="P160" s="1534"/>
      <c r="Q160" s="1534"/>
      <c r="R160" s="1534"/>
      <c r="S160" s="1439"/>
      <c r="T160" s="1534"/>
      <c r="U160" s="1534"/>
      <c r="V160" s="1534"/>
      <c r="W160" s="1534"/>
      <c r="X160" s="1439"/>
      <c r="Y160" s="1533"/>
      <c r="Z160" s="1534"/>
      <c r="AA160" s="1534"/>
      <c r="AB160" s="1537"/>
      <c r="AC160" s="394"/>
      <c r="AD160" s="1533"/>
      <c r="AE160" s="1534"/>
      <c r="AF160" s="1534"/>
      <c r="AG160" s="1537"/>
      <c r="AH160" s="394"/>
      <c r="AI160" s="1533"/>
      <c r="AJ160" s="1534"/>
      <c r="AK160" s="1534"/>
      <c r="AL160" s="1537"/>
      <c r="AM160" s="394"/>
      <c r="AN160" s="1533"/>
      <c r="AO160" s="1534"/>
      <c r="AP160" s="1534"/>
      <c r="AQ160" s="1537"/>
      <c r="AR160" s="394"/>
      <c r="AS160" s="1533"/>
      <c r="AT160" s="1534"/>
      <c r="AU160" s="1534"/>
      <c r="AV160" s="1537"/>
      <c r="AW160" s="394"/>
      <c r="AX160" s="1533"/>
      <c r="AY160" s="1534"/>
      <c r="AZ160" s="1534"/>
      <c r="BA160" s="1537"/>
      <c r="BB160" s="394"/>
      <c r="BC160" s="1533"/>
      <c r="BD160" s="1534"/>
      <c r="BE160" s="1534"/>
      <c r="BF160" s="1537"/>
      <c r="BG160" s="394"/>
      <c r="BH160" s="1533"/>
      <c r="BI160" s="1534"/>
      <c r="BJ160" s="1534"/>
      <c r="BK160" s="1537"/>
      <c r="BL160" s="394"/>
    </row>
    <row r="161" spans="1:64" outlineLevel="2" x14ac:dyDescent="0.2">
      <c r="A161" s="238"/>
      <c r="B161" s="289"/>
      <c r="C161" s="1538" t="str">
        <f>C111</f>
        <v>Gross Margin Estimates</v>
      </c>
      <c r="D161" s="289"/>
      <c r="E161" s="1437"/>
      <c r="F161" s="1445"/>
      <c r="G161" s="1445"/>
      <c r="H161" s="1530"/>
      <c r="I161" s="1439"/>
      <c r="J161" s="1531"/>
      <c r="K161" s="1531"/>
      <c r="L161" s="1531"/>
      <c r="M161" s="1531"/>
      <c r="N161" s="1439"/>
      <c r="O161" s="1531"/>
      <c r="P161" s="1531"/>
      <c r="Q161" s="1531"/>
      <c r="R161" s="1531"/>
      <c r="S161" s="1439"/>
      <c r="T161" s="1531"/>
      <c r="U161" s="1531"/>
      <c r="V161" s="1531"/>
      <c r="W161" s="1531"/>
      <c r="X161" s="1439"/>
      <c r="Y161" s="1554"/>
      <c r="Z161" s="1545"/>
      <c r="AA161" s="1531"/>
      <c r="AB161" s="1532"/>
      <c r="AC161" s="394"/>
      <c r="AD161" s="1554"/>
      <c r="AE161" s="1531"/>
      <c r="AF161" s="1531"/>
      <c r="AG161" s="1532"/>
      <c r="AH161" s="394"/>
      <c r="AI161" s="1530"/>
      <c r="AJ161" s="1531"/>
      <c r="AK161" s="1531"/>
      <c r="AL161" s="1532"/>
      <c r="AM161" s="394"/>
      <c r="AN161" s="1530"/>
      <c r="AO161" s="1531"/>
      <c r="AP161" s="1531"/>
      <c r="AQ161" s="1532"/>
      <c r="AR161" s="394"/>
      <c r="AS161" s="1530"/>
      <c r="AT161" s="1531"/>
      <c r="AU161" s="1531"/>
      <c r="AV161" s="1532"/>
      <c r="AW161" s="394"/>
      <c r="AX161" s="1530"/>
      <c r="AY161" s="1531"/>
      <c r="AZ161" s="1531"/>
      <c r="BA161" s="1532"/>
      <c r="BB161" s="394"/>
      <c r="BC161" s="1530"/>
      <c r="BD161" s="1531"/>
      <c r="BE161" s="1531"/>
      <c r="BF161" s="1532"/>
      <c r="BG161" s="394"/>
      <c r="BH161" s="1530"/>
      <c r="BI161" s="1531"/>
      <c r="BJ161" s="1531"/>
      <c r="BK161" s="1532"/>
      <c r="BL161" s="394"/>
    </row>
    <row r="162" spans="1:64" outlineLevel="2" x14ac:dyDescent="0.2">
      <c r="A162" s="238"/>
      <c r="B162" s="289"/>
      <c r="C162" s="351" t="str">
        <f>C112</f>
        <v>RETAIL NETWORK</v>
      </c>
      <c r="D162" s="289"/>
      <c r="E162" s="1437"/>
      <c r="F162" s="1445"/>
      <c r="G162" s="1445"/>
      <c r="H162" s="1530"/>
      <c r="I162" s="1439"/>
      <c r="J162" s="1531"/>
      <c r="K162" s="1531"/>
      <c r="L162" s="1531"/>
      <c r="M162" s="1531"/>
      <c r="N162" s="1439"/>
      <c r="O162" s="1531"/>
      <c r="P162" s="1531"/>
      <c r="Q162" s="1531"/>
      <c r="R162" s="1531"/>
      <c r="S162" s="1439"/>
      <c r="T162" s="1531"/>
      <c r="U162" s="1531"/>
      <c r="V162" s="1531"/>
      <c r="W162" s="1531"/>
      <c r="X162" s="1439"/>
      <c r="Y162" s="1554"/>
      <c r="Z162" s="1545"/>
      <c r="AA162" s="1531"/>
      <c r="AB162" s="1532"/>
      <c r="AC162" s="394"/>
      <c r="AD162" s="1554"/>
      <c r="AE162" s="1531"/>
      <c r="AF162" s="1531"/>
      <c r="AG162" s="1532"/>
      <c r="AH162" s="394"/>
      <c r="AI162" s="1530"/>
      <c r="AJ162" s="1531"/>
      <c r="AK162" s="1531"/>
      <c r="AL162" s="1532"/>
      <c r="AM162" s="394"/>
      <c r="AN162" s="1530"/>
      <c r="AO162" s="1531"/>
      <c r="AP162" s="1531"/>
      <c r="AQ162" s="1532"/>
      <c r="AR162" s="394"/>
      <c r="AS162" s="1530"/>
      <c r="AT162" s="1531"/>
      <c r="AU162" s="1531"/>
      <c r="AV162" s="1532"/>
      <c r="AW162" s="394"/>
      <c r="AX162" s="1530"/>
      <c r="AY162" s="1531"/>
      <c r="AZ162" s="1531"/>
      <c r="BA162" s="1532"/>
      <c r="BB162" s="394"/>
      <c r="BC162" s="1530"/>
      <c r="BD162" s="1531"/>
      <c r="BE162" s="1531"/>
      <c r="BF162" s="1532"/>
      <c r="BG162" s="394"/>
      <c r="BH162" s="1530"/>
      <c r="BI162" s="1531"/>
      <c r="BJ162" s="1531"/>
      <c r="BK162" s="1532"/>
      <c r="BL162" s="394"/>
    </row>
    <row r="163" spans="1:64" outlineLevel="2" x14ac:dyDescent="0.2">
      <c r="A163" s="238"/>
      <c r="B163" s="289"/>
      <c r="C163" s="265" t="str">
        <f>C113</f>
        <v>Generics</v>
      </c>
      <c r="D163" s="289"/>
      <c r="E163" s="1476">
        <f t="shared" ref="E163:H164" si="106">E181</f>
        <v>0.104</v>
      </c>
      <c r="F163" s="1479">
        <f t="shared" si="106"/>
        <v>0.104</v>
      </c>
      <c r="G163" s="1479">
        <f t="shared" si="106"/>
        <v>0.104</v>
      </c>
      <c r="H163" s="1479">
        <f t="shared" si="106"/>
        <v>0.104</v>
      </c>
      <c r="I163" s="1439"/>
      <c r="J163" s="1553">
        <f t="shared" ref="J163:M164" si="107">J181</f>
        <v>0.104</v>
      </c>
      <c r="K163" s="1553">
        <f t="shared" si="107"/>
        <v>0.104</v>
      </c>
      <c r="L163" s="1553">
        <f t="shared" si="107"/>
        <v>0.104</v>
      </c>
      <c r="M163" s="1553">
        <f t="shared" si="107"/>
        <v>0.104</v>
      </c>
      <c r="N163" s="1439"/>
      <c r="O163" s="1553">
        <f t="shared" ref="O163:R164" si="108">O181</f>
        <v>8.0243412470649603E-2</v>
      </c>
      <c r="P163" s="1553">
        <f t="shared" si="108"/>
        <v>8.0243412470649603E-2</v>
      </c>
      <c r="Q163" s="1553">
        <f t="shared" si="108"/>
        <v>0.10586486859226003</v>
      </c>
      <c r="R163" s="1553">
        <f t="shared" si="108"/>
        <v>0.10249999999999999</v>
      </c>
      <c r="S163" s="1439"/>
      <c r="T163" s="1553">
        <f t="shared" ref="T163:V164" si="109">T181</f>
        <v>5.2491253614573338E-2</v>
      </c>
      <c r="U163" s="1553">
        <f t="shared" si="109"/>
        <v>6.8460742533293359E-2</v>
      </c>
      <c r="V163" s="1553">
        <f t="shared" si="109"/>
        <v>0.11018468909455437</v>
      </c>
      <c r="W163" s="1553">
        <f>W181</f>
        <v>0.1195</v>
      </c>
      <c r="X163" s="1439"/>
      <c r="Y163" s="1553">
        <f t="shared" ref="Y163:AA164" si="110">Y181</f>
        <v>5.3650000000000003E-2</v>
      </c>
      <c r="Z163" s="1553">
        <f t="shared" si="110"/>
        <v>8.1260159360425688E-2</v>
      </c>
      <c r="AA163" s="1553">
        <f t="shared" si="110"/>
        <v>0.115</v>
      </c>
      <c r="AB163" s="1717">
        <f>AB181</f>
        <v>9.2499999999999999E-2</v>
      </c>
      <c r="AC163" s="394"/>
      <c r="AD163" s="1553">
        <f>AD181+0.4%</f>
        <v>8.6500000000000007E-2</v>
      </c>
      <c r="AE163" s="1542">
        <f>AE181+0.4%</f>
        <v>8.6500000000000007E-2</v>
      </c>
      <c r="AF163" s="1542">
        <f>AF181+0.4%</f>
        <v>8.6500000000000007E-2</v>
      </c>
      <c r="AG163" s="1544">
        <f>AG181+0.4%</f>
        <v>8.6500000000000007E-2</v>
      </c>
      <c r="AH163" s="394"/>
      <c r="AI163" s="1542">
        <f>AI181+0.5%</f>
        <v>8.7500000000000008E-2</v>
      </c>
      <c r="AJ163" s="1542">
        <f>AJ181+0.5%</f>
        <v>8.7500000000000008E-2</v>
      </c>
      <c r="AK163" s="1542">
        <f>AK181+0.5%</f>
        <v>8.7500000000000008E-2</v>
      </c>
      <c r="AL163" s="1544">
        <f>AL181+0.5%</f>
        <v>8.5000000000000006E-2</v>
      </c>
      <c r="AM163" s="394"/>
      <c r="AN163" s="1542">
        <f>AN181+0.25%</f>
        <v>7.7499999999999999E-2</v>
      </c>
      <c r="AO163" s="1542">
        <f>AO181+0.25%</f>
        <v>7.5499999999999998E-2</v>
      </c>
      <c r="AP163" s="1542">
        <f>AP181+0.25%</f>
        <v>0.1</v>
      </c>
      <c r="AQ163" s="1544">
        <f>AQ181+0.25%</f>
        <v>7.7499999999999999E-2</v>
      </c>
      <c r="AR163" s="394"/>
      <c r="AS163" s="1542">
        <f>AS181</f>
        <v>0.05</v>
      </c>
      <c r="AT163" s="1542">
        <f>AT181</f>
        <v>6.8000000000000005E-2</v>
      </c>
      <c r="AU163" s="1542">
        <f>AU181</f>
        <v>0.09</v>
      </c>
      <c r="AV163" s="1544">
        <f>AV181</f>
        <v>8.5000000000000006E-2</v>
      </c>
      <c r="AW163" s="394"/>
      <c r="AX163" s="1542">
        <f>AX181+0.25%</f>
        <v>5.2500000000000005E-2</v>
      </c>
      <c r="AY163" s="1542">
        <f>AY181+0.25%</f>
        <v>7.5500000000000012E-2</v>
      </c>
      <c r="AZ163" s="1542">
        <f>AZ181+0.25%</f>
        <v>9.7500000000000003E-2</v>
      </c>
      <c r="BA163" s="1544">
        <f>BA181+0.25%</f>
        <v>9.2500000000000013E-2</v>
      </c>
      <c r="BB163" s="394"/>
      <c r="BC163" s="1542">
        <f>BC181+0.25%</f>
        <v>5.1500000000000004E-2</v>
      </c>
      <c r="BD163" s="1542">
        <f>BD181+0.25%</f>
        <v>7.4500000000000011E-2</v>
      </c>
      <c r="BE163" s="1542">
        <f>BE181+0.25%</f>
        <v>9.6500000000000002E-2</v>
      </c>
      <c r="BF163" s="1544">
        <f>BF181+0.25%</f>
        <v>9.1500000000000012E-2</v>
      </c>
      <c r="BG163" s="394"/>
      <c r="BH163" s="1542">
        <f>BH181+0.25%</f>
        <v>5.0500000000000003E-2</v>
      </c>
      <c r="BI163" s="1542">
        <f>BI181+0.25%</f>
        <v>7.350000000000001E-2</v>
      </c>
      <c r="BJ163" s="1542">
        <f>BJ181+0.25%</f>
        <v>9.5500000000000002E-2</v>
      </c>
      <c r="BK163" s="1544">
        <f>BK181+0.25%</f>
        <v>9.0500000000000011E-2</v>
      </c>
      <c r="BL163" s="394"/>
    </row>
    <row r="164" spans="1:64" outlineLevel="2" x14ac:dyDescent="0.2">
      <c r="A164" s="238"/>
      <c r="B164" s="289"/>
      <c r="C164" s="265" t="str">
        <f>C114</f>
        <v>Brand</v>
      </c>
      <c r="D164" s="289"/>
      <c r="E164" s="1476">
        <f t="shared" si="106"/>
        <v>8.9999999999999993E-3</v>
      </c>
      <c r="F164" s="1479">
        <f t="shared" si="106"/>
        <v>7.4999999999999997E-3</v>
      </c>
      <c r="G164" s="1479">
        <f t="shared" si="106"/>
        <v>7.4999999999999997E-3</v>
      </c>
      <c r="H164" s="1479">
        <f t="shared" si="106"/>
        <v>7.4999999999999997E-3</v>
      </c>
      <c r="I164" s="1439"/>
      <c r="J164" s="1553">
        <f t="shared" si="107"/>
        <v>7.4999999999999997E-3</v>
      </c>
      <c r="K164" s="1553">
        <f t="shared" si="107"/>
        <v>7.4999999999999997E-3</v>
      </c>
      <c r="L164" s="1553">
        <f t="shared" si="107"/>
        <v>7.4999999999999997E-3</v>
      </c>
      <c r="M164" s="1553">
        <f t="shared" si="107"/>
        <v>7.4999999999999997E-3</v>
      </c>
      <c r="N164" s="1439"/>
      <c r="O164" s="1553">
        <f t="shared" si="108"/>
        <v>6.0031307070180012E-3</v>
      </c>
      <c r="P164" s="1553">
        <f t="shared" si="108"/>
        <v>6.0031307070180012E-3</v>
      </c>
      <c r="Q164" s="1553">
        <f t="shared" si="108"/>
        <v>7.5429695131731004E-3</v>
      </c>
      <c r="R164" s="1553">
        <f t="shared" si="108"/>
        <v>7.5429695131731004E-3</v>
      </c>
      <c r="S164" s="1439"/>
      <c r="T164" s="1553">
        <f t="shared" si="109"/>
        <v>6.0000000000000001E-3</v>
      </c>
      <c r="U164" s="1553">
        <f t="shared" si="109"/>
        <v>7.0000000000000001E-3</v>
      </c>
      <c r="V164" s="1553">
        <f t="shared" si="109"/>
        <v>8.9999999999999993E-3</v>
      </c>
      <c r="W164" s="1553">
        <f>W182</f>
        <v>1.15E-2</v>
      </c>
      <c r="X164" s="1439"/>
      <c r="Y164" s="1553">
        <f t="shared" si="110"/>
        <v>6.0000000000000001E-3</v>
      </c>
      <c r="Z164" s="1553">
        <f t="shared" si="110"/>
        <v>7.8729078758293467E-3</v>
      </c>
      <c r="AA164" s="1553">
        <f t="shared" si="110"/>
        <v>1.15E-2</v>
      </c>
      <c r="AB164" s="1717">
        <f>AB182</f>
        <v>0.01</v>
      </c>
      <c r="AC164" s="394"/>
      <c r="AD164" s="1553">
        <f>AD182+0.1%</f>
        <v>1.0999999999999999E-2</v>
      </c>
      <c r="AE164" s="1542">
        <f>AE182+0.1%</f>
        <v>1.0999999999999999E-2</v>
      </c>
      <c r="AF164" s="1542">
        <f>AF182+0.1%</f>
        <v>1.0999999999999999E-2</v>
      </c>
      <c r="AG164" s="1544">
        <f>AG182+0.1%</f>
        <v>1.0999999999999999E-2</v>
      </c>
      <c r="AH164" s="394"/>
      <c r="AI164" s="1542">
        <f>AI182+0.2%</f>
        <v>1.2E-2</v>
      </c>
      <c r="AJ164" s="1542">
        <f>AJ182+0.2%</f>
        <v>1.2E-2</v>
      </c>
      <c r="AK164" s="1542">
        <f>AK182+0.2%</f>
        <v>1.2E-2</v>
      </c>
      <c r="AL164" s="1544">
        <f>AL182+0.2%</f>
        <v>1.2E-2</v>
      </c>
      <c r="AM164" s="394"/>
      <c r="AN164" s="1542">
        <f>AN182+0.1%</f>
        <v>9.9999999999999985E-3</v>
      </c>
      <c r="AO164" s="1542">
        <f>AO182+0.1%</f>
        <v>9.9999999999999985E-3</v>
      </c>
      <c r="AP164" s="1542">
        <f>AP182+0.1%</f>
        <v>1.0999999999999999E-2</v>
      </c>
      <c r="AQ164" s="1544">
        <f>AQ182+0.1%</f>
        <v>1.0999999999999999E-2</v>
      </c>
      <c r="AR164" s="394"/>
      <c r="AS164" s="1542">
        <f>AS182+0.1%</f>
        <v>9.9999999999999985E-3</v>
      </c>
      <c r="AT164" s="1542">
        <f>AT182+0.1%</f>
        <v>9.9999999999999985E-3</v>
      </c>
      <c r="AU164" s="1542">
        <f>AU182+0.1%</f>
        <v>1.0999999999999999E-2</v>
      </c>
      <c r="AV164" s="1544">
        <f>AV182+0.1%</f>
        <v>1.0999999999999999E-2</v>
      </c>
      <c r="AW164" s="394"/>
      <c r="AX164" s="1542">
        <f>AX182+0.1%</f>
        <v>9.9999999999999985E-3</v>
      </c>
      <c r="AY164" s="1542">
        <f>AY182+0.1%</f>
        <v>9.9999999999999985E-3</v>
      </c>
      <c r="AZ164" s="1542">
        <f>AZ182+0.1%</f>
        <v>1.0999999999999999E-2</v>
      </c>
      <c r="BA164" s="1544">
        <f>BA182+0.1%</f>
        <v>1.0999999999999999E-2</v>
      </c>
      <c r="BB164" s="394"/>
      <c r="BC164" s="1542">
        <f>BC182+0.1%</f>
        <v>9.9999999999999985E-3</v>
      </c>
      <c r="BD164" s="1542">
        <f>BD182+0.1%</f>
        <v>9.9999999999999985E-3</v>
      </c>
      <c r="BE164" s="1542">
        <f>BE182+0.1%</f>
        <v>1.0999999999999999E-2</v>
      </c>
      <c r="BF164" s="1544">
        <f>BF182+0.1%</f>
        <v>1.0999999999999999E-2</v>
      </c>
      <c r="BG164" s="394"/>
      <c r="BH164" s="1542">
        <f>BH182+0.1%</f>
        <v>9.9999999999999985E-3</v>
      </c>
      <c r="BI164" s="1542">
        <f>BI182+0.1%</f>
        <v>9.9999999999999985E-3</v>
      </c>
      <c r="BJ164" s="1542">
        <f>BJ182+0.1%</f>
        <v>1.0999999999999999E-2</v>
      </c>
      <c r="BK164" s="1544">
        <f>BK182+0.1%</f>
        <v>1.0999999999999999E-2</v>
      </c>
      <c r="BL164" s="394"/>
    </row>
    <row r="165" spans="1:64" outlineLevel="2" x14ac:dyDescent="0.2">
      <c r="A165" s="238"/>
      <c r="B165" s="289"/>
      <c r="C165" s="265"/>
      <c r="D165" s="289"/>
      <c r="E165" s="1437"/>
      <c r="F165" s="1445"/>
      <c r="G165" s="1445"/>
      <c r="H165" s="1445"/>
      <c r="I165" s="1439"/>
      <c r="J165" s="1531"/>
      <c r="K165" s="1531"/>
      <c r="L165" s="1531"/>
      <c r="M165" s="1531"/>
      <c r="N165" s="1439"/>
      <c r="O165" s="1531"/>
      <c r="P165" s="1531"/>
      <c r="Q165" s="1531"/>
      <c r="R165" s="1531"/>
      <c r="S165" s="1439"/>
      <c r="T165" s="1531"/>
      <c r="U165" s="1531"/>
      <c r="V165" s="1531"/>
      <c r="W165" s="1531"/>
      <c r="X165" s="1439"/>
      <c r="Y165" s="1554"/>
      <c r="Z165" s="1545"/>
      <c r="AA165" s="1545"/>
      <c r="AB165" s="1718"/>
      <c r="AC165" s="394"/>
      <c r="AD165" s="1554"/>
      <c r="AE165" s="1531"/>
      <c r="AF165" s="1531"/>
      <c r="AG165" s="1532"/>
      <c r="AH165" s="394"/>
      <c r="AI165" s="1530"/>
      <c r="AJ165" s="1531"/>
      <c r="AK165" s="1531"/>
      <c r="AL165" s="1532"/>
      <c r="AM165" s="394"/>
      <c r="AN165" s="1530"/>
      <c r="AO165" s="1531"/>
      <c r="AP165" s="1531"/>
      <c r="AQ165" s="1532"/>
      <c r="AR165" s="394"/>
      <c r="AS165" s="1530"/>
      <c r="AT165" s="1531"/>
      <c r="AU165" s="1531"/>
      <c r="AV165" s="1532"/>
      <c r="AW165" s="394"/>
      <c r="AX165" s="1530"/>
      <c r="AY165" s="1531"/>
      <c r="AZ165" s="1531"/>
      <c r="BA165" s="1532"/>
      <c r="BB165" s="394"/>
      <c r="BC165" s="1530"/>
      <c r="BD165" s="1531"/>
      <c r="BE165" s="1531"/>
      <c r="BF165" s="1532"/>
      <c r="BG165" s="394"/>
      <c r="BH165" s="1530"/>
      <c r="BI165" s="1531"/>
      <c r="BJ165" s="1531"/>
      <c r="BK165" s="1532"/>
      <c r="BL165" s="394"/>
    </row>
    <row r="166" spans="1:64" outlineLevel="2" x14ac:dyDescent="0.2">
      <c r="A166" s="238"/>
      <c r="B166" s="289"/>
      <c r="C166" s="351" t="str">
        <f>C116</f>
        <v>MAIL ORDER</v>
      </c>
      <c r="D166" s="289"/>
      <c r="E166" s="1437"/>
      <c r="F166" s="1445"/>
      <c r="G166" s="1445"/>
      <c r="H166" s="1445"/>
      <c r="I166" s="1439"/>
      <c r="J166" s="1531"/>
      <c r="K166" s="1531"/>
      <c r="L166" s="1531"/>
      <c r="M166" s="1531"/>
      <c r="N166" s="1439"/>
      <c r="O166" s="1531"/>
      <c r="P166" s="1531"/>
      <c r="Q166" s="1531"/>
      <c r="R166" s="1531"/>
      <c r="S166" s="1439"/>
      <c r="T166" s="1531"/>
      <c r="U166" s="1531"/>
      <c r="V166" s="1531"/>
      <c r="W166" s="1531"/>
      <c r="X166" s="1439"/>
      <c r="Y166" s="1554"/>
      <c r="Z166" s="1545"/>
      <c r="AA166" s="1545"/>
      <c r="AB166" s="1718"/>
      <c r="AC166" s="394"/>
      <c r="AD166" s="1554"/>
      <c r="AE166" s="1531"/>
      <c r="AF166" s="1531"/>
      <c r="AG166" s="1532"/>
      <c r="AH166" s="394"/>
      <c r="AI166" s="1530"/>
      <c r="AJ166" s="1531"/>
      <c r="AK166" s="1531"/>
      <c r="AL166" s="1532"/>
      <c r="AM166" s="394"/>
      <c r="AN166" s="1530"/>
      <c r="AO166" s="1531"/>
      <c r="AP166" s="1531"/>
      <c r="AQ166" s="1532"/>
      <c r="AR166" s="394"/>
      <c r="AS166" s="1530"/>
      <c r="AT166" s="1531"/>
      <c r="AU166" s="1531"/>
      <c r="AV166" s="1532"/>
      <c r="AW166" s="394"/>
      <c r="AX166" s="1530"/>
      <c r="AY166" s="1531"/>
      <c r="AZ166" s="1531"/>
      <c r="BA166" s="1532"/>
      <c r="BB166" s="394"/>
      <c r="BC166" s="1530"/>
      <c r="BD166" s="1531"/>
      <c r="BE166" s="1531"/>
      <c r="BF166" s="1532"/>
      <c r="BG166" s="394"/>
      <c r="BH166" s="1530"/>
      <c r="BI166" s="1531"/>
      <c r="BJ166" s="1531"/>
      <c r="BK166" s="1532"/>
      <c r="BL166" s="394"/>
    </row>
    <row r="167" spans="1:64" outlineLevel="2" x14ac:dyDescent="0.2">
      <c r="A167" s="238"/>
      <c r="B167" s="289"/>
      <c r="C167" s="265" t="str">
        <f>C117</f>
        <v>Generics</v>
      </c>
      <c r="D167" s="289"/>
      <c r="E167" s="1437">
        <f t="shared" ref="E167:H168" si="111">E185</f>
        <v>0.66704592492694781</v>
      </c>
      <c r="F167" s="1438">
        <f t="shared" si="111"/>
        <v>0.7631213268098056</v>
      </c>
      <c r="G167" s="1438">
        <f t="shared" si="111"/>
        <v>0.89780661712908061</v>
      </c>
      <c r="H167" s="1438">
        <f t="shared" si="111"/>
        <v>0.92084064415982603</v>
      </c>
      <c r="I167" s="1439"/>
      <c r="J167" s="1554">
        <f t="shared" ref="J167:M168" si="112">J185</f>
        <v>0.6</v>
      </c>
      <c r="K167" s="1554">
        <f t="shared" si="112"/>
        <v>0.59450000000000003</v>
      </c>
      <c r="L167" s="1554">
        <f t="shared" si="112"/>
        <v>0.63300000000000001</v>
      </c>
      <c r="M167" s="1554">
        <f t="shared" si="112"/>
        <v>0.58199999999999996</v>
      </c>
      <c r="N167" s="1439"/>
      <c r="O167" s="1554">
        <f t="shared" ref="O167:R168" si="113">O185</f>
        <v>0.32550663447735645</v>
      </c>
      <c r="P167" s="1554">
        <f t="shared" si="113"/>
        <v>0.39406131296508312</v>
      </c>
      <c r="Q167" s="1554">
        <f t="shared" si="113"/>
        <v>0.54887123396072002</v>
      </c>
      <c r="R167" s="1554">
        <f t="shared" si="113"/>
        <v>0.54575766152042926</v>
      </c>
      <c r="S167" s="1439"/>
      <c r="T167" s="1554">
        <f t="shared" ref="T167:V168" si="114">T185</f>
        <v>0.25</v>
      </c>
      <c r="U167" s="1554">
        <f t="shared" si="114"/>
        <v>0.28999999999999998</v>
      </c>
      <c r="V167" s="1554">
        <f t="shared" si="114"/>
        <v>0.37</v>
      </c>
      <c r="W167" s="1554">
        <f>W185</f>
        <v>0.40500000000000003</v>
      </c>
      <c r="X167" s="1439"/>
      <c r="Y167" s="1554">
        <f t="shared" ref="Y167:AA168" si="115">Y185</f>
        <v>0.3</v>
      </c>
      <c r="Z167" s="1554">
        <f t="shared" si="115"/>
        <v>0.30838051131950339</v>
      </c>
      <c r="AA167" s="1554">
        <f t="shared" si="115"/>
        <v>0.39250000000000002</v>
      </c>
      <c r="AB167" s="1718">
        <f>AB185</f>
        <v>0.34634999999999999</v>
      </c>
      <c r="AC167" s="394"/>
      <c r="AD167" s="1554">
        <f>AD185+2%</f>
        <v>0.32</v>
      </c>
      <c r="AE167" s="1530">
        <f>AE185+2%</f>
        <v>0.32</v>
      </c>
      <c r="AF167" s="1530">
        <f>AF185+2%</f>
        <v>0.32</v>
      </c>
      <c r="AG167" s="1532">
        <f>AG185+2%</f>
        <v>0.32</v>
      </c>
      <c r="AH167" s="394"/>
      <c r="AI167" s="1530">
        <f>AI185+1%</f>
        <v>0.31</v>
      </c>
      <c r="AJ167" s="1530">
        <f>AJ185+1%</f>
        <v>0.31</v>
      </c>
      <c r="AK167" s="1530">
        <f>AK185+1%</f>
        <v>0.31</v>
      </c>
      <c r="AL167" s="1532">
        <f>AL185+1%</f>
        <v>0.29000000000000004</v>
      </c>
      <c r="AM167" s="394"/>
      <c r="AN167" s="1530">
        <f>AN185+2%</f>
        <v>0.25</v>
      </c>
      <c r="AO167" s="1530">
        <f>AO185+2%</f>
        <v>0.30000000000000004</v>
      </c>
      <c r="AP167" s="1530">
        <f>AP185+2%</f>
        <v>0.30000000000000004</v>
      </c>
      <c r="AQ167" s="1530">
        <f>AQ185+2%</f>
        <v>0.29000000000000004</v>
      </c>
      <c r="AR167" s="394"/>
      <c r="AS167" s="1530">
        <f>AS185+2%</f>
        <v>0.25</v>
      </c>
      <c r="AT167" s="1530">
        <f>AT185+2%</f>
        <v>0.29000000000000004</v>
      </c>
      <c r="AU167" s="1530">
        <f>AU185+2%</f>
        <v>0.29000000000000004</v>
      </c>
      <c r="AV167" s="1532">
        <f>AV185+2%</f>
        <v>0.28500000000000003</v>
      </c>
      <c r="AW167" s="394"/>
      <c r="AX167" s="1542">
        <f>AX185+1.5%</f>
        <v>0.245</v>
      </c>
      <c r="AY167" s="1530">
        <f>AY185+1.5%</f>
        <v>0.29000000000000004</v>
      </c>
      <c r="AZ167" s="1530">
        <f>AZ185+1.5%</f>
        <v>0.29000000000000004</v>
      </c>
      <c r="BA167" s="1532">
        <f>BA185+1.5%</f>
        <v>0.28500000000000003</v>
      </c>
      <c r="BB167" s="394"/>
      <c r="BC167" s="1542">
        <f>BC185+1.5%</f>
        <v>0.23499999999999999</v>
      </c>
      <c r="BD167" s="1530">
        <f>BD185+1.5%</f>
        <v>0.28000000000000003</v>
      </c>
      <c r="BE167" s="1530">
        <f>BE185+1.5%</f>
        <v>0.28000000000000003</v>
      </c>
      <c r="BF167" s="1532">
        <f>BF185+1.5%</f>
        <v>0.27500000000000002</v>
      </c>
      <c r="BG167" s="394"/>
      <c r="BH167" s="1542">
        <f>BH185+1.5%</f>
        <v>0.22499999999999998</v>
      </c>
      <c r="BI167" s="1530">
        <f>BI185+1.5%</f>
        <v>0.27</v>
      </c>
      <c r="BJ167" s="1530">
        <f>BJ185+1.5%</f>
        <v>0.27</v>
      </c>
      <c r="BK167" s="1532">
        <f>BK185+1.5%</f>
        <v>0.26500000000000001</v>
      </c>
      <c r="BL167" s="394"/>
    </row>
    <row r="168" spans="1:64" outlineLevel="2" x14ac:dyDescent="0.2">
      <c r="A168" s="238"/>
      <c r="B168" s="289"/>
      <c r="C168" s="265" t="str">
        <f>C118</f>
        <v>Brand</v>
      </c>
      <c r="D168" s="289"/>
      <c r="E168" s="1437">
        <f t="shared" si="111"/>
        <v>7.4999999999999997E-3</v>
      </c>
      <c r="F168" s="1438">
        <f t="shared" si="111"/>
        <v>7.4999999999999997E-3</v>
      </c>
      <c r="G168" s="1438">
        <f t="shared" si="111"/>
        <v>7.4999999999999997E-3</v>
      </c>
      <c r="H168" s="1438">
        <f t="shared" si="111"/>
        <v>7.4999999999999997E-3</v>
      </c>
      <c r="I168" s="1439"/>
      <c r="J168" s="1554">
        <f t="shared" si="112"/>
        <v>7.4999999999999997E-3</v>
      </c>
      <c r="K168" s="1554">
        <f t="shared" si="112"/>
        <v>7.4999999999999997E-3</v>
      </c>
      <c r="L168" s="1554">
        <f t="shared" si="112"/>
        <v>7.4999999999999997E-3</v>
      </c>
      <c r="M168" s="1554">
        <f t="shared" si="112"/>
        <v>7.4999999999999997E-3</v>
      </c>
      <c r="N168" s="1439"/>
      <c r="O168" s="1554">
        <f t="shared" si="113"/>
        <v>4.0156821716912277E-3</v>
      </c>
      <c r="P168" s="1554">
        <f t="shared" si="113"/>
        <v>4.8248424708433576E-3</v>
      </c>
      <c r="Q168" s="1554">
        <f t="shared" si="113"/>
        <v>7.5396615760084801E-3</v>
      </c>
      <c r="R168" s="1554">
        <f t="shared" si="113"/>
        <v>7.5396615760084801E-3</v>
      </c>
      <c r="S168" s="1439"/>
      <c r="T168" s="1554">
        <f t="shared" si="114"/>
        <v>6.0000000000000001E-3</v>
      </c>
      <c r="U168" s="1554">
        <f t="shared" si="114"/>
        <v>7.0000000000000001E-3</v>
      </c>
      <c r="V168" s="1554">
        <f t="shared" si="114"/>
        <v>8.9999999999999993E-3</v>
      </c>
      <c r="W168" s="1554">
        <f>W186</f>
        <v>1.15E-2</v>
      </c>
      <c r="X168" s="1439"/>
      <c r="Y168" s="1554">
        <f t="shared" ca="1" si="115"/>
        <v>1.15E-2</v>
      </c>
      <c r="Z168" s="1554">
        <f t="shared" si="115"/>
        <v>8.5086265296741397E-3</v>
      </c>
      <c r="AA168" s="1554">
        <f t="shared" si="115"/>
        <v>1.15E-2</v>
      </c>
      <c r="AB168" s="1718">
        <f>AB186</f>
        <v>1.15E-2</v>
      </c>
      <c r="AC168" s="394"/>
      <c r="AD168" s="1554">
        <f>AD186+0.2%</f>
        <v>1.0999999999999999E-2</v>
      </c>
      <c r="AE168" s="1530">
        <f>AE186+0.2%</f>
        <v>1.0999999999999999E-2</v>
      </c>
      <c r="AF168" s="1530">
        <f>AF186+0.2%</f>
        <v>1.0999999999999999E-2</v>
      </c>
      <c r="AG168" s="1532">
        <f>AG186+0.2%</f>
        <v>1.0999999999999999E-2</v>
      </c>
      <c r="AH168" s="394"/>
      <c r="AI168" s="1530">
        <f>AI186+0.2%</f>
        <v>1.0999999999999999E-2</v>
      </c>
      <c r="AJ168" s="1530">
        <f>AJ186+0.2%</f>
        <v>1.0999999999999999E-2</v>
      </c>
      <c r="AK168" s="1530">
        <f>AK186+0.2%</f>
        <v>1.0999999999999999E-2</v>
      </c>
      <c r="AL168" s="1532">
        <f>AL186+0.2%</f>
        <v>1.0999999999999999E-2</v>
      </c>
      <c r="AM168" s="394"/>
      <c r="AN168" s="1530">
        <f>AN186+0.2%</f>
        <v>1.2E-2</v>
      </c>
      <c r="AO168" s="1530">
        <f>AO186+0.2%</f>
        <v>1.2E-2</v>
      </c>
      <c r="AP168" s="1530">
        <f>AP186+0.2%</f>
        <v>1.2E-2</v>
      </c>
      <c r="AQ168" s="1532">
        <f>AQ186+0.2%</f>
        <v>1.2E-2</v>
      </c>
      <c r="AR168" s="394"/>
      <c r="AS168" s="1530">
        <f>AS186+0.2%</f>
        <v>1.2E-2</v>
      </c>
      <c r="AT168" s="1530">
        <f>AT186+0.2%</f>
        <v>1.2E-2</v>
      </c>
      <c r="AU168" s="1530">
        <f>AU186+0.2%</f>
        <v>1.2E-2</v>
      </c>
      <c r="AV168" s="1532">
        <f>AV186+0.2%</f>
        <v>1.2E-2</v>
      </c>
      <c r="AW168" s="394"/>
      <c r="AX168" s="1530">
        <f>AX186+0.2%</f>
        <v>1.0999999999999999E-2</v>
      </c>
      <c r="AY168" s="1530">
        <f>AY186+0.2%</f>
        <v>1.2E-2</v>
      </c>
      <c r="AZ168" s="1530">
        <f>AZ186+0.2%</f>
        <v>1.2E-2</v>
      </c>
      <c r="BA168" s="1532">
        <f>BA186+0.2%</f>
        <v>1.2E-2</v>
      </c>
      <c r="BB168" s="394"/>
      <c r="BC168" s="1530">
        <f>BC186+0.2%</f>
        <v>0.01</v>
      </c>
      <c r="BD168" s="1530">
        <f>BD186+0.2%</f>
        <v>0.01</v>
      </c>
      <c r="BE168" s="1530">
        <f>BE186+0.2%</f>
        <v>0.01</v>
      </c>
      <c r="BF168" s="1532">
        <f>BF186+0.2%</f>
        <v>0.01</v>
      </c>
      <c r="BG168" s="394"/>
      <c r="BH168" s="1530">
        <f>BH186+0.2%</f>
        <v>0.01</v>
      </c>
      <c r="BI168" s="1530">
        <f>BI186+0.2%</f>
        <v>0.01</v>
      </c>
      <c r="BJ168" s="1530">
        <f>BJ186+0.2%</f>
        <v>0.01</v>
      </c>
      <c r="BK168" s="1532">
        <f>BK186+0.2%</f>
        <v>0.01</v>
      </c>
      <c r="BL168" s="394"/>
    </row>
    <row r="169" spans="1:64" outlineLevel="2" x14ac:dyDescent="0.2">
      <c r="A169" s="238"/>
      <c r="B169" s="289"/>
      <c r="C169" s="265"/>
      <c r="D169" s="289"/>
      <c r="E169" s="1437"/>
      <c r="F169" s="1445"/>
      <c r="G169" s="1445"/>
      <c r="H169" s="1530"/>
      <c r="I169" s="1439"/>
      <c r="J169" s="1531"/>
      <c r="K169" s="1531"/>
      <c r="L169" s="1531"/>
      <c r="M169" s="1531"/>
      <c r="N169" s="1439"/>
      <c r="O169" s="1531"/>
      <c r="P169" s="1531"/>
      <c r="Q169" s="1531"/>
      <c r="R169" s="1531"/>
      <c r="S169" s="1439"/>
      <c r="T169" s="1531"/>
      <c r="U169" s="1531"/>
      <c r="V169" s="1531"/>
      <c r="W169" s="1531"/>
      <c r="X169" s="1439"/>
      <c r="Y169" s="1554"/>
      <c r="Z169" s="1545"/>
      <c r="AA169" s="1531"/>
      <c r="AB169" s="1532"/>
      <c r="AC169" s="394"/>
      <c r="AD169" s="1554"/>
      <c r="AE169" s="1531"/>
      <c r="AF169" s="1531"/>
      <c r="AG169" s="1532"/>
      <c r="AH169" s="394"/>
      <c r="AI169" s="1530"/>
      <c r="AJ169" s="1531"/>
      <c r="AK169" s="1531"/>
      <c r="AL169" s="1532"/>
      <c r="AM169" s="394"/>
      <c r="AN169" s="1530"/>
      <c r="AO169" s="1531"/>
      <c r="AP169" s="1531"/>
      <c r="AQ169" s="1532"/>
      <c r="AR169" s="394"/>
      <c r="AS169" s="1530"/>
      <c r="AT169" s="1531"/>
      <c r="AU169" s="1531"/>
      <c r="AV169" s="1532"/>
      <c r="AW169" s="394"/>
      <c r="AX169" s="1530"/>
      <c r="AY169" s="1531"/>
      <c r="AZ169" s="1531"/>
      <c r="BA169" s="1532"/>
      <c r="BB169" s="394"/>
      <c r="BC169" s="1530"/>
      <c r="BD169" s="1531"/>
      <c r="BE169" s="1531"/>
      <c r="BF169" s="1532"/>
      <c r="BG169" s="394"/>
      <c r="BH169" s="1530"/>
      <c r="BI169" s="1531"/>
      <c r="BJ169" s="1531"/>
      <c r="BK169" s="1532"/>
      <c r="BL169" s="394"/>
    </row>
    <row r="170" spans="1:64" outlineLevel="2" x14ac:dyDescent="0.2">
      <c r="A170" s="238"/>
      <c r="B170" s="289"/>
      <c r="C170" s="265"/>
      <c r="D170" s="289"/>
      <c r="E170" s="1437"/>
      <c r="F170" s="1445"/>
      <c r="G170" s="1445"/>
      <c r="H170" s="1445"/>
      <c r="I170" s="1439"/>
      <c r="J170" s="1445"/>
      <c r="K170" s="1445"/>
      <c r="L170" s="1445"/>
      <c r="M170" s="1445"/>
      <c r="N170" s="1439"/>
      <c r="O170" s="1445"/>
      <c r="P170" s="1445"/>
      <c r="Q170" s="1445"/>
      <c r="R170" s="1445"/>
      <c r="S170" s="1439"/>
      <c r="T170" s="1445"/>
      <c r="U170" s="1445"/>
      <c r="V170" s="1445"/>
      <c r="W170" s="1445"/>
      <c r="X170" s="1439"/>
      <c r="Y170" s="1438"/>
      <c r="Z170" s="1445"/>
      <c r="AA170" s="1445"/>
      <c r="AB170" s="1469"/>
      <c r="AC170" s="394"/>
      <c r="AD170" s="1438"/>
      <c r="AE170" s="1445"/>
      <c r="AF170" s="1445"/>
      <c r="AG170" s="1469"/>
      <c r="AH170" s="394"/>
      <c r="AI170" s="1438"/>
      <c r="AJ170" s="1445"/>
      <c r="AK170" s="1445"/>
      <c r="AL170" s="1469"/>
      <c r="AM170" s="394"/>
      <c r="AN170" s="1438"/>
      <c r="AO170" s="1445"/>
      <c r="AP170" s="1445"/>
      <c r="AQ170" s="1469"/>
      <c r="AR170" s="394"/>
      <c r="AS170" s="1438"/>
      <c r="AT170" s="1445"/>
      <c r="AU170" s="1445"/>
      <c r="AV170" s="1469"/>
      <c r="AW170" s="394"/>
      <c r="AX170" s="1438"/>
      <c r="AY170" s="1445"/>
      <c r="AZ170" s="1445"/>
      <c r="BA170" s="1469"/>
      <c r="BB170" s="394"/>
      <c r="BC170" s="1438"/>
      <c r="BD170" s="1445"/>
      <c r="BE170" s="1445"/>
      <c r="BF170" s="1469"/>
      <c r="BG170" s="394"/>
      <c r="BH170" s="1438"/>
      <c r="BI170" s="1445"/>
      <c r="BJ170" s="1445"/>
      <c r="BK170" s="1469"/>
      <c r="BL170" s="394"/>
    </row>
    <row r="171" spans="1:64" ht="12" outlineLevel="2" thickBot="1" x14ac:dyDescent="0.25">
      <c r="A171" s="238"/>
      <c r="B171" s="289"/>
      <c r="C171" s="440" t="str">
        <f>C121</f>
        <v>SG&amp;A per Script</v>
      </c>
      <c r="D171" s="411"/>
      <c r="E171" s="1547">
        <f>E189</f>
        <v>1.0189718482252141</v>
      </c>
      <c r="F171" s="1548">
        <f>F189</f>
        <v>0.86532602071907394</v>
      </c>
      <c r="G171" s="1548">
        <f>G189</f>
        <v>0.86372007366482428</v>
      </c>
      <c r="H171" s="1548">
        <f>H189</f>
        <v>0.84473527662105896</v>
      </c>
      <c r="I171" s="1549"/>
      <c r="J171" s="1548">
        <f>J189</f>
        <v>0.98983050847457632</v>
      </c>
      <c r="K171" s="1548">
        <f>K189</f>
        <v>0.9286209286209286</v>
      </c>
      <c r="L171" s="1548">
        <f>L189</f>
        <v>0.91412742382271484</v>
      </c>
      <c r="M171" s="1548">
        <f>M189</f>
        <v>1.0894418291862813</v>
      </c>
      <c r="N171" s="1549"/>
      <c r="O171" s="1548">
        <f>O189</f>
        <v>0.81621004566210054</v>
      </c>
      <c r="P171" s="1548">
        <f>P189</f>
        <v>0.87591240875912402</v>
      </c>
      <c r="Q171" s="1548">
        <f>Q189</f>
        <v>0.73716319267920694</v>
      </c>
      <c r="R171" s="1548">
        <f>R189</f>
        <v>0.83093822031245557</v>
      </c>
      <c r="S171" s="1549"/>
      <c r="T171" s="1548">
        <f>T189</f>
        <v>0.6624029237094563</v>
      </c>
      <c r="U171" s="1548">
        <f>U189</f>
        <v>0.62696068329097099</v>
      </c>
      <c r="V171" s="1548">
        <f>V189</f>
        <v>0.76908923643054272</v>
      </c>
      <c r="W171" s="1548">
        <f>W189</f>
        <v>0.71713147410358569</v>
      </c>
      <c r="X171" s="1549"/>
      <c r="Y171" s="1658">
        <f ca="1">Y189</f>
        <v>0.54576067672952833</v>
      </c>
      <c r="Z171" s="1658">
        <f>Z189</f>
        <v>0.65666372462488976</v>
      </c>
      <c r="AA171" s="1658">
        <f>AA189</f>
        <v>0.68273997296079314</v>
      </c>
      <c r="AB171" s="1719">
        <f>AB189</f>
        <v>0.74856131031429829</v>
      </c>
      <c r="AC171" s="1552"/>
      <c r="AD171" s="1658">
        <v>0.72</v>
      </c>
      <c r="AE171" s="1550">
        <v>0.72</v>
      </c>
      <c r="AF171" s="1550">
        <v>0.74</v>
      </c>
      <c r="AG171" s="1551">
        <v>0.74</v>
      </c>
      <c r="AH171" s="1552"/>
      <c r="AI171" s="1550">
        <v>0.71</v>
      </c>
      <c r="AJ171" s="1550">
        <v>0.71</v>
      </c>
      <c r="AK171" s="1550">
        <v>0.71</v>
      </c>
      <c r="AL171" s="1551">
        <v>0.71</v>
      </c>
      <c r="AM171" s="1552"/>
      <c r="AN171" s="1550">
        <f>AN189</f>
        <v>0.41119871981379114</v>
      </c>
      <c r="AO171" s="1550">
        <f>AO189</f>
        <v>0.44029197080291965</v>
      </c>
      <c r="AP171" s="1550">
        <f>AP189</f>
        <v>0.43</v>
      </c>
      <c r="AQ171" s="1551">
        <f>AQ189</f>
        <v>0.44</v>
      </c>
      <c r="AR171" s="1552"/>
      <c r="AS171" s="1550">
        <f>AS189</f>
        <v>0.3</v>
      </c>
      <c r="AT171" s="1550">
        <f>AT189</f>
        <v>0.32029197080291966</v>
      </c>
      <c r="AU171" s="1550">
        <f>AU189</f>
        <v>0.31</v>
      </c>
      <c r="AV171" s="1551">
        <f>AV189</f>
        <v>0.32</v>
      </c>
      <c r="AW171" s="1552"/>
      <c r="AX171" s="1550">
        <f>AX189</f>
        <v>0.37</v>
      </c>
      <c r="AY171" s="1550">
        <f>AY189</f>
        <v>0.30427737226277368</v>
      </c>
      <c r="AZ171" s="1550">
        <f>AZ189</f>
        <v>0.29449999999999998</v>
      </c>
      <c r="BA171" s="1551">
        <f>BA189</f>
        <v>0.30399999999999999</v>
      </c>
      <c r="BB171" s="1552"/>
      <c r="BC171" s="1550">
        <f>BC189</f>
        <v>0.32</v>
      </c>
      <c r="BD171" s="1550">
        <f>BD189</f>
        <v>0.25427737226277369</v>
      </c>
      <c r="BE171" s="1550">
        <f>BE189</f>
        <v>0.2445</v>
      </c>
      <c r="BF171" s="1551">
        <f>BF189</f>
        <v>0.254</v>
      </c>
      <c r="BG171" s="1552"/>
      <c r="BH171" s="1550">
        <f>BH189</f>
        <v>0.27</v>
      </c>
      <c r="BI171" s="1550">
        <f>BI189</f>
        <v>0.2042773722627737</v>
      </c>
      <c r="BJ171" s="1550">
        <f>BJ189</f>
        <v>0.19450000000000001</v>
      </c>
      <c r="BK171" s="1551">
        <f>BK189</f>
        <v>0.20400000000000001</v>
      </c>
      <c r="BL171" s="1552"/>
    </row>
    <row r="172" spans="1:64" outlineLevel="1" x14ac:dyDescent="0.2">
      <c r="A172" s="238"/>
      <c r="B172" s="300"/>
      <c r="C172" s="300"/>
      <c r="D172" s="241"/>
      <c r="E172" s="300"/>
      <c r="F172" s="300"/>
      <c r="G172" s="300"/>
      <c r="H172" s="300"/>
      <c r="I172" s="300"/>
      <c r="J172" s="300"/>
      <c r="K172" s="300"/>
      <c r="L172" s="300"/>
      <c r="M172" s="300"/>
      <c r="N172" s="300"/>
      <c r="O172" s="1555"/>
      <c r="P172" s="1555"/>
      <c r="Q172" s="1555"/>
      <c r="R172" s="1555"/>
      <c r="S172" s="1555"/>
      <c r="T172" s="1555"/>
      <c r="U172" s="1555"/>
      <c r="V172" s="1556"/>
      <c r="W172" s="1556"/>
      <c r="X172" s="300"/>
      <c r="Y172" s="300"/>
      <c r="Z172" s="300"/>
      <c r="AA172" s="300"/>
      <c r="AB172" s="300"/>
      <c r="AC172" s="300"/>
      <c r="AD172" s="300"/>
      <c r="AE172" s="300"/>
      <c r="AF172" s="300"/>
      <c r="AG172" s="300"/>
      <c r="AH172" s="300"/>
      <c r="AI172" s="300"/>
      <c r="AJ172" s="300"/>
      <c r="AK172" s="300"/>
      <c r="AL172" s="300"/>
      <c r="AM172" s="300"/>
      <c r="AN172" s="300"/>
      <c r="AO172" s="300"/>
      <c r="AP172" s="300"/>
      <c r="AQ172" s="300"/>
      <c r="AR172" s="300"/>
      <c r="AS172" s="300"/>
      <c r="AT172" s="300"/>
      <c r="AU172" s="300"/>
      <c r="AV172" s="300"/>
      <c r="AW172" s="300"/>
      <c r="AX172" s="300"/>
      <c r="AY172" s="300"/>
      <c r="AZ172" s="300"/>
      <c r="BA172" s="300"/>
      <c r="BB172" s="300"/>
      <c r="BC172" s="300"/>
      <c r="BD172" s="300"/>
      <c r="BE172" s="300"/>
      <c r="BF172" s="300"/>
      <c r="BG172" s="300"/>
      <c r="BH172" s="300"/>
      <c r="BI172" s="300"/>
      <c r="BJ172" s="300"/>
      <c r="BK172" s="300"/>
      <c r="BL172" s="300"/>
    </row>
    <row r="173" spans="1:64" ht="12" outlineLevel="1" thickBot="1" x14ac:dyDescent="0.25">
      <c r="A173" s="238"/>
      <c r="B173" s="300"/>
      <c r="C173" s="300"/>
      <c r="D173" s="300"/>
      <c r="E173" s="300"/>
      <c r="F173" s="300"/>
      <c r="G173" s="300"/>
      <c r="H173" s="300"/>
      <c r="I173" s="300"/>
      <c r="J173" s="300"/>
      <c r="K173" s="300"/>
      <c r="L173" s="300"/>
      <c r="M173" s="300"/>
      <c r="N173" s="300"/>
      <c r="O173" s="300"/>
      <c r="P173" s="300"/>
      <c r="Q173" s="300"/>
      <c r="R173" s="300"/>
      <c r="S173" s="300"/>
      <c r="T173" s="1557"/>
      <c r="U173" s="1557"/>
      <c r="V173" s="1557"/>
      <c r="W173" s="1557"/>
      <c r="X173" s="1557"/>
      <c r="Y173" s="300"/>
      <c r="Z173" s="300"/>
      <c r="AA173" s="300"/>
      <c r="AB173" s="300"/>
      <c r="AC173" s="300"/>
      <c r="AD173" s="300"/>
      <c r="AE173" s="300"/>
      <c r="AF173" s="300"/>
      <c r="AG173" s="300"/>
      <c r="AH173" s="236"/>
      <c r="AI173" s="300"/>
      <c r="AJ173" s="300"/>
      <c r="AK173" s="300"/>
      <c r="AL173" s="300"/>
      <c r="AM173" s="300">
        <f>PBM!CZ98</f>
        <v>1325.8</v>
      </c>
      <c r="AN173" s="300"/>
      <c r="AO173" s="300"/>
      <c r="AP173" s="300"/>
      <c r="AQ173" s="300"/>
      <c r="AR173" s="300">
        <f>PBM!DE98</f>
        <v>1639.1999999999998</v>
      </c>
      <c r="AS173" s="300"/>
      <c r="AT173" s="300"/>
      <c r="AU173" s="300"/>
      <c r="AV173" s="300"/>
      <c r="AW173" s="300">
        <f>PBM!DJ98</f>
        <v>1781.8593974044552</v>
      </c>
      <c r="AX173" s="300"/>
      <c r="AY173" s="300"/>
      <c r="AZ173" s="300"/>
      <c r="BA173" s="300"/>
      <c r="BB173" s="300">
        <f>PBM!DO98</f>
        <v>1932.408207182767</v>
      </c>
      <c r="BC173" s="300"/>
      <c r="BD173" s="300"/>
      <c r="BE173" s="300"/>
      <c r="BF173" s="300"/>
      <c r="BG173" s="300">
        <f>PBM!DT98</f>
        <v>1959.9785519136947</v>
      </c>
      <c r="BH173" s="300"/>
      <c r="BI173" s="300"/>
      <c r="BJ173" s="300"/>
      <c r="BK173" s="300"/>
      <c r="BL173" s="300">
        <f>PBM!DY98</f>
        <v>1987.9482940318178</v>
      </c>
    </row>
    <row r="174" spans="1:64" ht="12" outlineLevel="1" thickBot="1" x14ac:dyDescent="0.25">
      <c r="A174" s="238"/>
      <c r="B174" s="289"/>
      <c r="C174" s="1433" t="s">
        <v>1240</v>
      </c>
      <c r="D174" s="1434"/>
      <c r="E174" s="1434"/>
      <c r="F174" s="1434"/>
      <c r="G174" s="1434"/>
      <c r="H174" s="1434"/>
      <c r="I174" s="1435"/>
      <c r="J174" s="1434"/>
      <c r="K174" s="1434"/>
      <c r="L174" s="1434"/>
      <c r="M174" s="1434"/>
      <c r="N174" s="1435"/>
      <c r="O174" s="1434"/>
      <c r="P174" s="1434"/>
      <c r="Q174" s="1434"/>
      <c r="R174" s="1434"/>
      <c r="S174" s="1435"/>
      <c r="T174" s="1434"/>
      <c r="U174" s="1434"/>
      <c r="V174" s="1434"/>
      <c r="W174" s="1558"/>
      <c r="X174" s="1558"/>
      <c r="Y174" s="1434"/>
      <c r="Z174" s="1434"/>
      <c r="AA174" s="1434"/>
      <c r="AB174" s="1558"/>
      <c r="AC174" s="1558"/>
      <c r="AD174" s="1434"/>
      <c r="AE174" s="1434"/>
      <c r="AF174" s="1434"/>
      <c r="AG174" s="1558"/>
      <c r="AH174" s="1558"/>
      <c r="AI174" s="1434"/>
      <c r="AJ174" s="1434"/>
      <c r="AK174" s="1434"/>
      <c r="AL174" s="1558"/>
      <c r="AM174" s="1558"/>
      <c r="AN174" s="1434"/>
      <c r="AO174" s="1434"/>
      <c r="AP174" s="1434"/>
      <c r="AQ174" s="1558"/>
      <c r="AR174" s="1558"/>
      <c r="AS174" s="1434"/>
      <c r="AT174" s="1434"/>
      <c r="AU174" s="1434"/>
      <c r="AV174" s="1558"/>
      <c r="AW174" s="1558"/>
      <c r="AX174" s="1434"/>
      <c r="AY174" s="1434"/>
      <c r="AZ174" s="1434"/>
      <c r="BA174" s="1558"/>
      <c r="BB174" s="1558"/>
      <c r="BC174" s="1434"/>
      <c r="BD174" s="1434"/>
      <c r="BE174" s="1434"/>
      <c r="BF174" s="1558"/>
      <c r="BG174" s="1558"/>
      <c r="BH174" s="1434"/>
      <c r="BI174" s="1434"/>
      <c r="BJ174" s="1434"/>
      <c r="BK174" s="1558"/>
      <c r="BL174" s="1558"/>
    </row>
    <row r="175" spans="1:64" outlineLevel="1" x14ac:dyDescent="0.2">
      <c r="A175" s="238"/>
      <c r="B175" s="289"/>
      <c r="C175" s="1380" t="str">
        <f>C107</f>
        <v>Rx Volume Growth</v>
      </c>
      <c r="D175" s="289"/>
      <c r="E175" s="1437"/>
      <c r="F175" s="1445"/>
      <c r="G175" s="1445"/>
      <c r="H175" s="1530"/>
      <c r="I175" s="1439"/>
      <c r="J175" s="1531"/>
      <c r="K175" s="1531"/>
      <c r="L175" s="1531"/>
      <c r="M175" s="1531"/>
      <c r="N175" s="1439"/>
      <c r="O175" s="1531"/>
      <c r="P175" s="1531"/>
      <c r="Q175" s="1530"/>
      <c r="R175" s="1530"/>
      <c r="S175" s="1559"/>
      <c r="T175" s="1531"/>
      <c r="U175" s="1531"/>
      <c r="V175" s="1560"/>
      <c r="W175" s="1641"/>
      <c r="X175" s="1562"/>
      <c r="Y175" s="1659"/>
      <c r="Z175" s="1563"/>
      <c r="AA175" s="1563"/>
      <c r="AB175" s="1561"/>
      <c r="AC175" s="1562"/>
      <c r="AD175" s="1659"/>
      <c r="AE175" s="1563"/>
      <c r="AF175" s="1563"/>
      <c r="AG175" s="1561"/>
      <c r="AH175" s="1562"/>
      <c r="AI175" s="1560"/>
      <c r="AJ175" s="1563"/>
      <c r="AK175" s="1563"/>
      <c r="AL175" s="1561"/>
      <c r="AM175" s="394"/>
      <c r="AN175" s="2510"/>
      <c r="AO175" s="2511"/>
      <c r="AP175" s="2511"/>
      <c r="AQ175" s="1641"/>
      <c r="AR175" s="394"/>
      <c r="AS175" s="2510"/>
      <c r="AT175" s="2511"/>
      <c r="AU175" s="2511"/>
      <c r="AV175" s="2511"/>
      <c r="AW175" s="2672"/>
      <c r="AX175" s="2510"/>
      <c r="AY175" s="2511"/>
      <c r="AZ175" s="2511"/>
      <c r="BA175" s="2784"/>
      <c r="BB175" s="2672"/>
      <c r="BC175" s="2510"/>
      <c r="BD175" s="2511"/>
      <c r="BE175" s="2511"/>
      <c r="BF175" s="1641"/>
      <c r="BG175" s="394"/>
      <c r="BH175" s="2510"/>
      <c r="BI175" s="2511"/>
      <c r="BJ175" s="2511"/>
      <c r="BK175" s="1641"/>
      <c r="BL175" s="394"/>
    </row>
    <row r="176" spans="1:64" outlineLevel="1" x14ac:dyDescent="0.2">
      <c r="A176" s="367"/>
      <c r="B176" s="212"/>
      <c r="C176" s="1564" t="str">
        <f>C108</f>
        <v>Retail</v>
      </c>
      <c r="D176" s="212"/>
      <c r="E176" s="1565">
        <f>PBM!BR91</f>
        <v>4.3816254416961131E-2</v>
      </c>
      <c r="F176" s="1566">
        <f>PBM!BS91</f>
        <v>8.8041085840058653E-2</v>
      </c>
      <c r="G176" s="1566">
        <f>PBM!BT91</f>
        <v>9.0029761904761862E-2</v>
      </c>
      <c r="H176" s="1566">
        <f>PBM!BU91</f>
        <v>-5.5520898315658207E-2</v>
      </c>
      <c r="I176" s="1567"/>
      <c r="J176" s="1566">
        <f>PBM!BW91</f>
        <v>-0.10629654705484082</v>
      </c>
      <c r="K176" s="1566">
        <f>PBM!BX91</f>
        <v>-0.13486176668914363</v>
      </c>
      <c r="L176" s="1566">
        <f>PBM!BY91</f>
        <v>-0.12491467576791815</v>
      </c>
      <c r="M176" s="1566">
        <f>PBM!BZ91</f>
        <v>-0.12681638044914145</v>
      </c>
      <c r="N176" s="1567"/>
      <c r="O176" s="1566">
        <f>PBM!CB91</f>
        <v>0.19469696969696959</v>
      </c>
      <c r="P176" s="1566">
        <f>PBM!CC91</f>
        <v>0.35619641465315643</v>
      </c>
      <c r="Q176" s="1566">
        <f>PBM!CD91</f>
        <v>0.39781591263650551</v>
      </c>
      <c r="R176" s="1566">
        <f>PBM!CE91</f>
        <v>0.46019667170953116</v>
      </c>
      <c r="S176" s="1567">
        <f>PBM!CF91</f>
        <v>0.35190704820434027</v>
      </c>
      <c r="T176" s="1566">
        <f>PBM!CG91</f>
        <v>0.25871908687381118</v>
      </c>
      <c r="U176" s="1566">
        <f>PBM!CH91</f>
        <v>0.13687356321839084</v>
      </c>
      <c r="V176" s="1566">
        <f>PBM!CI91</f>
        <v>9.9330357142857206E-2</v>
      </c>
      <c r="W176" s="1642">
        <f>PBM!CJ91</f>
        <v>6.4557237435116432E-2</v>
      </c>
      <c r="X176" s="1569">
        <f>PBM!CK91</f>
        <v>0.13478175634786016</v>
      </c>
      <c r="Y176" s="1660">
        <f>PBM!CL91</f>
        <v>4.3324937027707788E-2</v>
      </c>
      <c r="Z176" s="1660">
        <f>PBM!CM91</f>
        <v>4.0866259554333428E-2</v>
      </c>
      <c r="AA176" s="1660">
        <f>PBM!CN91</f>
        <v>1.9796954314720949E-2</v>
      </c>
      <c r="AB176" s="1720">
        <f>PBM!CO91</f>
        <v>-2.9197080291970545E-3</v>
      </c>
      <c r="AC176" s="1569">
        <f>PBM!CP91</f>
        <v>2.5017025197291876E-2</v>
      </c>
      <c r="AD176" s="1660">
        <v>5.0000000000000001E-3</v>
      </c>
      <c r="AE176" s="1660">
        <v>5.0000000000000001E-3</v>
      </c>
      <c r="AF176" s="1660">
        <v>5.0000000000000001E-3</v>
      </c>
      <c r="AG176" s="1660">
        <v>5.0000000000000001E-3</v>
      </c>
      <c r="AH176" s="1569">
        <f>PBM!CU91</f>
        <v>3.7616023448949765E-2</v>
      </c>
      <c r="AI176" s="1660">
        <v>5.0000000000000001E-3</v>
      </c>
      <c r="AJ176" s="1660">
        <v>5.0000000000000001E-3</v>
      </c>
      <c r="AK176" s="1660">
        <v>5.0000000000000001E-3</v>
      </c>
      <c r="AL176" s="1568">
        <v>7.4999999999999997E-2</v>
      </c>
      <c r="AM176" s="1569">
        <f>PBM!CZ91</f>
        <v>0.27671845574387954</v>
      </c>
      <c r="AN176" s="2512">
        <v>0.14000000000000001</v>
      </c>
      <c r="AO176" s="1570">
        <v>0.23</v>
      </c>
      <c r="AP176" s="1570">
        <v>0.23</v>
      </c>
      <c r="AQ176" s="1568">
        <v>0.23</v>
      </c>
      <c r="AR176" s="1569">
        <f>PBM!DE91</f>
        <v>0.27933990965243805</v>
      </c>
      <c r="AS176" s="2635">
        <v>0.09</v>
      </c>
      <c r="AT176" s="1570">
        <v>0.11</v>
      </c>
      <c r="AU176" s="1570">
        <v>0.1</v>
      </c>
      <c r="AV176" s="1570">
        <v>0.09</v>
      </c>
      <c r="AW176" s="2678">
        <f>PBM!DJ91</f>
        <v>9.2838940693233729E-2</v>
      </c>
      <c r="AX176" s="2635">
        <v>0.08</v>
      </c>
      <c r="AY176" s="1570">
        <v>0.09</v>
      </c>
      <c r="AZ176" s="1570">
        <v>0.09</v>
      </c>
      <c r="BA176" s="1570">
        <v>0.09</v>
      </c>
      <c r="BB176" s="2678">
        <f>PBM!DO91</f>
        <v>8.7515384763262372E-2</v>
      </c>
      <c r="BC176" s="2635">
        <v>1.4999999999999999E-2</v>
      </c>
      <c r="BD176" s="1570">
        <v>1.4999999999999999E-2</v>
      </c>
      <c r="BE176" s="1570">
        <v>1.4999999999999999E-2</v>
      </c>
      <c r="BF176" s="2636">
        <v>1.4999999999999999E-2</v>
      </c>
      <c r="BG176" s="1569">
        <f>PBM!DT91</f>
        <v>1.5000000000000124E-2</v>
      </c>
      <c r="BH176" s="2635">
        <v>1.4999999999999999E-2</v>
      </c>
      <c r="BI176" s="1570">
        <v>1.4999999999999999E-2</v>
      </c>
      <c r="BJ176" s="1570">
        <v>1.4999999999999999E-2</v>
      </c>
      <c r="BK176" s="2636">
        <v>1.4999999999999999E-2</v>
      </c>
      <c r="BL176" s="1569">
        <f>PBM!DY91</f>
        <v>1.499999999999968E-2</v>
      </c>
    </row>
    <row r="177" spans="1:64" outlineLevel="1" x14ac:dyDescent="0.2">
      <c r="A177" s="367"/>
      <c r="B177" s="212"/>
      <c r="C177" s="1564" t="str">
        <f>C109</f>
        <v>Mail</v>
      </c>
      <c r="D177" s="212"/>
      <c r="E177" s="1565">
        <f>PBM!BR80</f>
        <v>2.614379084967311E-2</v>
      </c>
      <c r="F177" s="1566">
        <f>PBM!BS80</f>
        <v>5.3333333333333455E-2</v>
      </c>
      <c r="G177" s="1566">
        <f>PBM!BT80</f>
        <v>0.11564625850340127</v>
      </c>
      <c r="H177" s="1566">
        <f>PBM!BU80</f>
        <v>5.031446540880502E-2</v>
      </c>
      <c r="I177" s="1567"/>
      <c r="J177" s="1566">
        <f>PBM!BW80</f>
        <v>-1.2738853503184711E-2</v>
      </c>
      <c r="K177" s="1566">
        <f>PBM!BX80</f>
        <v>1.2658227848101111E-2</v>
      </c>
      <c r="L177" s="1566">
        <f>PBM!BY80</f>
        <v>-1.2195121951219523E-2</v>
      </c>
      <c r="M177" s="1566">
        <f>PBM!BZ80</f>
        <v>-1.19760479041916E-2</v>
      </c>
      <c r="N177" s="1567"/>
      <c r="O177" s="1566">
        <f>PBM!CB80</f>
        <v>0.12903225806451624</v>
      </c>
      <c r="P177" s="1566">
        <f>PBM!CC80</f>
        <v>0.11250000000000004</v>
      </c>
      <c r="Q177" s="1566">
        <f>PBM!CD80</f>
        <v>8.0246913580247048E-2</v>
      </c>
      <c r="R177" s="1566">
        <f>PBM!CE80</f>
        <v>7.9272727272726939E-2</v>
      </c>
      <c r="S177" s="1567">
        <f>PBM!CF80</f>
        <v>9.9813084112149619E-2</v>
      </c>
      <c r="T177" s="1566">
        <f>PBM!CG80</f>
        <v>0.1657142857142857</v>
      </c>
      <c r="U177" s="1566">
        <f>PBM!CH80</f>
        <v>0.15387640449438211</v>
      </c>
      <c r="V177" s="1566">
        <f>PBM!CI80</f>
        <v>0.1657142857142857</v>
      </c>
      <c r="W177" s="1642">
        <f>PBM!CJ80</f>
        <v>0.14555256064690036</v>
      </c>
      <c r="X177" s="1569">
        <f>PBM!CK80</f>
        <v>0.15764502605937003</v>
      </c>
      <c r="Y177" s="1660">
        <f>PBM!CL80</f>
        <v>4.9019607843137081E-3</v>
      </c>
      <c r="Z177" s="1660">
        <f>PBM!CM80</f>
        <v>7.8387458006716759E-3</v>
      </c>
      <c r="AA177" s="1660">
        <f>PBM!CN80</f>
        <v>2.941176470588247E-2</v>
      </c>
      <c r="AB177" s="1720">
        <f>PBM!CO80</f>
        <v>2.941176470588247E-2</v>
      </c>
      <c r="AC177" s="1569">
        <f>PBM!CP80</f>
        <v>1.787396469249658E-2</v>
      </c>
      <c r="AD177" s="1660">
        <f>PBM!CQ80</f>
        <v>-3.4146341463414553E-2</v>
      </c>
      <c r="AE177" s="1660">
        <f>PBM!CR80</f>
        <v>-9.6618357487922024E-3</v>
      </c>
      <c r="AF177" s="1660">
        <f>PBM!CS80</f>
        <v>-1.4285714285714346E-2</v>
      </c>
      <c r="AG177" s="1660">
        <f>PBM!CT80</f>
        <v>1.4285714285714235E-2</v>
      </c>
      <c r="AH177" s="1569">
        <f>PBM!CU80</f>
        <v>-1.0817307692307598E-2</v>
      </c>
      <c r="AI177" s="1660">
        <f>PBM!CV80</f>
        <v>1.8939393939393936</v>
      </c>
      <c r="AJ177" s="1660">
        <f>PBM!CW80</f>
        <v>1.9268292682926829</v>
      </c>
      <c r="AK177" s="1660">
        <f>PBM!CX80</f>
        <v>1.9710144927536235</v>
      </c>
      <c r="AL177" s="1568">
        <v>0.03</v>
      </c>
      <c r="AM177" s="1569">
        <f>PBM!CZ80</f>
        <v>1.9295261239368164</v>
      </c>
      <c r="AN177" s="2512">
        <v>0.05</v>
      </c>
      <c r="AO177" s="1570">
        <v>0.12</v>
      </c>
      <c r="AP177" s="1570">
        <v>0.12</v>
      </c>
      <c r="AQ177" s="1568">
        <v>7.0000000000000007E-2</v>
      </c>
      <c r="AR177" s="1569">
        <f>PBM!DE80</f>
        <v>4.3135628369971091E-2</v>
      </c>
      <c r="AS177" s="2512">
        <v>0.03</v>
      </c>
      <c r="AT177" s="1570">
        <v>4.4999999999999998E-2</v>
      </c>
      <c r="AU177" s="1570">
        <v>0.05</v>
      </c>
      <c r="AV177" s="1570">
        <v>2.5000000000000001E-2</v>
      </c>
      <c r="AW177" s="2678">
        <f>PBM!DJ80</f>
        <v>5.4579719302008334E-2</v>
      </c>
      <c r="AX177" s="2635">
        <v>0.06</v>
      </c>
      <c r="AY177" s="1570">
        <v>7.0000000000000007E-2</v>
      </c>
      <c r="AZ177" s="1570">
        <v>7.0000000000000007E-2</v>
      </c>
      <c r="BA177" s="1570">
        <v>7.0000000000000007E-2</v>
      </c>
      <c r="BB177" s="2678">
        <f>PBM!DO80</f>
        <v>6.7598281917851555E-2</v>
      </c>
      <c r="BC177" s="2512">
        <v>0.01</v>
      </c>
      <c r="BD177" s="1570">
        <v>0.01</v>
      </c>
      <c r="BE177" s="1570">
        <v>0.01</v>
      </c>
      <c r="BF177" s="1568">
        <v>0.01</v>
      </c>
      <c r="BG177" s="1569">
        <f>PBM!DT80</f>
        <v>1.0000000000000009E-2</v>
      </c>
      <c r="BH177" s="2512">
        <v>0.01</v>
      </c>
      <c r="BI177" s="1570">
        <v>0.01</v>
      </c>
      <c r="BJ177" s="1570">
        <v>0.01</v>
      </c>
      <c r="BK177" s="1568">
        <v>0.01</v>
      </c>
      <c r="BL177" s="1569">
        <f>PBM!DY80</f>
        <v>1.0000000000000009E-2</v>
      </c>
    </row>
    <row r="178" spans="1:64" outlineLevel="1" x14ac:dyDescent="0.2">
      <c r="A178" s="238"/>
      <c r="B178" s="289"/>
      <c r="C178" s="1383"/>
      <c r="D178" s="289"/>
      <c r="E178" s="1571"/>
      <c r="F178" s="1534"/>
      <c r="G178" s="1534"/>
      <c r="H178" s="1534"/>
      <c r="I178" s="1455"/>
      <c r="J178" s="1534"/>
      <c r="K178" s="1534"/>
      <c r="L178" s="1534"/>
      <c r="M178" s="1534"/>
      <c r="N178" s="1455"/>
      <c r="O178" s="1534"/>
      <c r="P178" s="1534"/>
      <c r="Q178" s="1534"/>
      <c r="R178" s="1534"/>
      <c r="S178" s="1572"/>
      <c r="T178" s="1534"/>
      <c r="U178" s="1534"/>
      <c r="V178" s="1534"/>
      <c r="W178" s="1537"/>
      <c r="X178" s="1573"/>
      <c r="Y178" s="1378"/>
      <c r="Z178" s="1381"/>
      <c r="AA178" s="1381"/>
      <c r="AB178" s="1382"/>
      <c r="AC178" s="1573"/>
      <c r="AD178" s="1378"/>
      <c r="AE178" s="1378"/>
      <c r="AF178" s="1378"/>
      <c r="AG178" s="1378"/>
      <c r="AH178" s="1573"/>
      <c r="AI178" s="1378"/>
      <c r="AJ178" s="1378"/>
      <c r="AK178" s="1378"/>
      <c r="AL178" s="1382"/>
      <c r="AM178" s="1574"/>
      <c r="AN178" s="1377"/>
      <c r="AO178" s="1381"/>
      <c r="AP178" s="1381"/>
      <c r="AQ178" s="1382"/>
      <c r="AR178" s="1574"/>
      <c r="AS178" s="1377"/>
      <c r="AT178" s="1381"/>
      <c r="AU178" s="1381"/>
      <c r="AV178" s="1381"/>
      <c r="AW178" s="2679"/>
      <c r="AX178" s="1377"/>
      <c r="AY178" s="1381"/>
      <c r="AZ178" s="1381"/>
      <c r="BA178" s="1381"/>
      <c r="BB178" s="2679"/>
      <c r="BC178" s="1377"/>
      <c r="BD178" s="1381"/>
      <c r="BE178" s="1381"/>
      <c r="BF178" s="1382"/>
      <c r="BG178" s="1574"/>
      <c r="BH178" s="1377"/>
      <c r="BI178" s="1381"/>
      <c r="BJ178" s="1381"/>
      <c r="BK178" s="1382"/>
      <c r="BL178" s="1574"/>
    </row>
    <row r="179" spans="1:64" outlineLevel="1" x14ac:dyDescent="0.2">
      <c r="A179" s="238"/>
      <c r="B179" s="289"/>
      <c r="C179" s="1538" t="str">
        <f>C111</f>
        <v>Gross Margin Estimates</v>
      </c>
      <c r="D179" s="289"/>
      <c r="E179" s="1437"/>
      <c r="F179" s="1445"/>
      <c r="G179" s="1445"/>
      <c r="H179" s="1445"/>
      <c r="I179" s="1439"/>
      <c r="J179" s="1531"/>
      <c r="K179" s="1531"/>
      <c r="L179" s="1531"/>
      <c r="M179" s="1531"/>
      <c r="N179" s="1439"/>
      <c r="O179" s="1531"/>
      <c r="P179" s="1531"/>
      <c r="Q179" s="1531"/>
      <c r="R179" s="1531"/>
      <c r="S179" s="1559"/>
      <c r="T179" s="1531"/>
      <c r="U179" s="1531"/>
      <c r="V179" s="1531"/>
      <c r="W179" s="1532"/>
      <c r="X179" s="1562"/>
      <c r="Y179" s="1659"/>
      <c r="Z179" s="1684"/>
      <c r="AA179" s="1684"/>
      <c r="AB179" s="1721"/>
      <c r="AC179" s="1562"/>
      <c r="AD179" s="1659"/>
      <c r="AE179" s="1659"/>
      <c r="AF179" s="1659"/>
      <c r="AG179" s="1659"/>
      <c r="AH179" s="1562"/>
      <c r="AI179" s="1659"/>
      <c r="AJ179" s="1659"/>
      <c r="AK179" s="1659"/>
      <c r="AL179" s="1561"/>
      <c r="AM179" s="394"/>
      <c r="AN179" s="2513"/>
      <c r="AO179" s="1563"/>
      <c r="AP179" s="1563"/>
      <c r="AQ179" s="1561"/>
      <c r="AR179" s="394"/>
      <c r="AS179" s="2513"/>
      <c r="AT179" s="1563"/>
      <c r="AU179" s="1563"/>
      <c r="AV179" s="1563"/>
      <c r="AW179" s="2673"/>
      <c r="AX179" s="2513"/>
      <c r="AY179" s="1563"/>
      <c r="AZ179" s="1563"/>
      <c r="BA179" s="1563"/>
      <c r="BB179" s="2673"/>
      <c r="BC179" s="2513"/>
      <c r="BD179" s="1563"/>
      <c r="BE179" s="1563"/>
      <c r="BF179" s="1561"/>
      <c r="BG179" s="394"/>
      <c r="BH179" s="2513"/>
      <c r="BI179" s="1563"/>
      <c r="BJ179" s="1563"/>
      <c r="BK179" s="1561"/>
      <c r="BL179" s="394"/>
    </row>
    <row r="180" spans="1:64" outlineLevel="1" x14ac:dyDescent="0.2">
      <c r="A180" s="238"/>
      <c r="B180" s="289"/>
      <c r="C180" s="351" t="str">
        <f>C112</f>
        <v>RETAIL NETWORK</v>
      </c>
      <c r="D180" s="289"/>
      <c r="E180" s="1437"/>
      <c r="F180" s="1445"/>
      <c r="G180" s="1445"/>
      <c r="H180" s="1445"/>
      <c r="I180" s="1439"/>
      <c r="J180" s="1531"/>
      <c r="K180" s="1531"/>
      <c r="L180" s="1531"/>
      <c r="M180" s="1531"/>
      <c r="N180" s="1439"/>
      <c r="O180" s="1531"/>
      <c r="P180" s="1531"/>
      <c r="Q180" s="1531"/>
      <c r="R180" s="1531"/>
      <c r="S180" s="1559"/>
      <c r="T180" s="1531"/>
      <c r="U180" s="1531"/>
      <c r="V180" s="1531"/>
      <c r="W180" s="1532"/>
      <c r="X180" s="1562"/>
      <c r="Y180" s="1659"/>
      <c r="Z180" s="1684"/>
      <c r="AA180" s="1684"/>
      <c r="AB180" s="1721"/>
      <c r="AC180" s="1562"/>
      <c r="AD180" s="1659"/>
      <c r="AE180" s="1659"/>
      <c r="AF180" s="1659"/>
      <c r="AG180" s="1659"/>
      <c r="AH180" s="1562"/>
      <c r="AI180" s="1659"/>
      <c r="AJ180" s="1659"/>
      <c r="AK180" s="1659"/>
      <c r="AL180" s="1561"/>
      <c r="AM180" s="394"/>
      <c r="AN180" s="2513"/>
      <c r="AO180" s="1563"/>
      <c r="AP180" s="1563"/>
      <c r="AQ180" s="1561"/>
      <c r="AR180" s="394"/>
      <c r="AS180" s="2513"/>
      <c r="AT180" s="1563"/>
      <c r="AU180" s="1563"/>
      <c r="AV180" s="1563"/>
      <c r="AW180" s="2673"/>
      <c r="AX180" s="2513"/>
      <c r="AY180" s="1563"/>
      <c r="AZ180" s="1563"/>
      <c r="BA180" s="1563"/>
      <c r="BB180" s="2673"/>
      <c r="BC180" s="2513"/>
      <c r="BD180" s="1563"/>
      <c r="BE180" s="1563"/>
      <c r="BF180" s="1561"/>
      <c r="BG180" s="394"/>
      <c r="BH180" s="2513"/>
      <c r="BI180" s="1563"/>
      <c r="BJ180" s="1563"/>
      <c r="BK180" s="1561"/>
      <c r="BL180" s="394"/>
    </row>
    <row r="181" spans="1:64" outlineLevel="1" x14ac:dyDescent="0.2">
      <c r="A181" s="238"/>
      <c r="B181" s="289"/>
      <c r="C181" s="265" t="str">
        <f>C113</f>
        <v>Generics</v>
      </c>
      <c r="D181" s="289"/>
      <c r="E181" s="1565">
        <f>PBM!BR189</f>
        <v>0.104</v>
      </c>
      <c r="F181" s="1566">
        <f>PBM!BS189</f>
        <v>0.104</v>
      </c>
      <c r="G181" s="1566">
        <f>PBM!BT189</f>
        <v>0.104</v>
      </c>
      <c r="H181" s="1566">
        <f>PBM!BU189</f>
        <v>0.104</v>
      </c>
      <c r="I181" s="1439"/>
      <c r="J181" s="1566">
        <f>PBM!BW189</f>
        <v>0.104</v>
      </c>
      <c r="K181" s="1566">
        <f>PBM!BX189</f>
        <v>0.104</v>
      </c>
      <c r="L181" s="1566">
        <f>PBM!BY189</f>
        <v>0.104</v>
      </c>
      <c r="M181" s="1566">
        <f>PBM!BZ189</f>
        <v>0.104</v>
      </c>
      <c r="N181" s="1439"/>
      <c r="O181" s="1566">
        <f>PBM!CB189</f>
        <v>8.0243412470649603E-2</v>
      </c>
      <c r="P181" s="1566">
        <f>PBM!CC189</f>
        <v>8.0243412470649603E-2</v>
      </c>
      <c r="Q181" s="1566">
        <f>PBM!CD189</f>
        <v>0.10586486859226003</v>
      </c>
      <c r="R181" s="1566">
        <f>PBM!CE189</f>
        <v>0.10249999999999999</v>
      </c>
      <c r="S181" s="580">
        <f>PBM!CF189</f>
        <v>9.2772787481245483E-2</v>
      </c>
      <c r="T181" s="1566">
        <f>PBM!CG189</f>
        <v>5.2491253614573338E-2</v>
      </c>
      <c r="U181" s="1566">
        <f>PBM!CH189</f>
        <v>6.8460742533293359E-2</v>
      </c>
      <c r="V181" s="1566">
        <f>PBM!CI189</f>
        <v>0.11018468909455437</v>
      </c>
      <c r="W181" s="1642">
        <f>PBM!CJ189</f>
        <v>0.1195</v>
      </c>
      <c r="X181" s="1037">
        <f>PBM!CK189</f>
        <v>8.8759708429198877E-2</v>
      </c>
      <c r="Y181" s="1661">
        <f>PBM!CL189</f>
        <v>5.3650000000000003E-2</v>
      </c>
      <c r="Z181" s="1661">
        <f>PBM!CM189</f>
        <v>8.1260159360425688E-2</v>
      </c>
      <c r="AA181" s="1661">
        <f>PBM!CN189</f>
        <v>0.115</v>
      </c>
      <c r="AB181" s="1722">
        <f>PBM!CO189</f>
        <v>9.2499999999999999E-2</v>
      </c>
      <c r="AC181" s="1037">
        <f>PBM!CP189</f>
        <v>8.6035614700804508E-2</v>
      </c>
      <c r="AD181" s="1661">
        <v>8.2500000000000004E-2</v>
      </c>
      <c r="AE181" s="1661">
        <v>8.2500000000000004E-2</v>
      </c>
      <c r="AF181" s="1661">
        <v>8.2500000000000004E-2</v>
      </c>
      <c r="AG181" s="1661">
        <v>8.2500000000000004E-2</v>
      </c>
      <c r="AH181" s="1037">
        <f>PBM!CU189</f>
        <v>9.2082321934528699E-2</v>
      </c>
      <c r="AI181" s="1661">
        <v>8.2500000000000004E-2</v>
      </c>
      <c r="AJ181" s="1661">
        <v>8.2500000000000004E-2</v>
      </c>
      <c r="AK181" s="1661">
        <v>8.2500000000000004E-2</v>
      </c>
      <c r="AL181" s="1747">
        <v>0.08</v>
      </c>
      <c r="AM181" s="1037">
        <f ca="1">PBM!CZ189</f>
        <v>9.4772098179170872E-2</v>
      </c>
      <c r="AN181" s="2514">
        <v>7.4999999999999997E-2</v>
      </c>
      <c r="AO181" s="2515">
        <v>7.2999999999999995E-2</v>
      </c>
      <c r="AP181" s="2515">
        <v>9.7500000000000003E-2</v>
      </c>
      <c r="AQ181" s="2515">
        <v>7.4999999999999997E-2</v>
      </c>
      <c r="AR181" s="1037">
        <f ca="1">PBM!DE189</f>
        <v>6.890125342936948E-2</v>
      </c>
      <c r="AS181" s="2547">
        <v>0.05</v>
      </c>
      <c r="AT181" s="2548">
        <v>6.8000000000000005E-2</v>
      </c>
      <c r="AU181" s="2548">
        <v>0.09</v>
      </c>
      <c r="AV181" s="2677">
        <v>8.5000000000000006E-2</v>
      </c>
      <c r="AW181" s="2680">
        <f ca="1">PBM!DJ189</f>
        <v>7.3681244055394141E-2</v>
      </c>
      <c r="AX181" s="2513">
        <f>AS181</f>
        <v>0.05</v>
      </c>
      <c r="AY181" s="1563">
        <f>AT181+0.005</f>
        <v>7.3000000000000009E-2</v>
      </c>
      <c r="AZ181" s="1563">
        <f t="shared" ref="AZ181:BA181" si="116">AU181+0.005</f>
        <v>9.5000000000000001E-2</v>
      </c>
      <c r="BA181" s="1563">
        <f t="shared" si="116"/>
        <v>9.0000000000000011E-2</v>
      </c>
      <c r="BB181" s="2680">
        <f ca="1">PBM!DO189</f>
        <v>7.7524460188296132E-2</v>
      </c>
      <c r="BC181" s="2513">
        <f>AX181-0.001</f>
        <v>4.9000000000000002E-2</v>
      </c>
      <c r="BD181" s="1563">
        <f>AY181-0.001</f>
        <v>7.2000000000000008E-2</v>
      </c>
      <c r="BE181" s="1563">
        <f>AZ181-0.001</f>
        <v>9.4E-2</v>
      </c>
      <c r="BF181" s="1561">
        <f>BA181-0.001</f>
        <v>8.900000000000001E-2</v>
      </c>
      <c r="BG181" s="1037">
        <f ca="1">PBM!DT189</f>
        <v>7.6523981655217302E-2</v>
      </c>
      <c r="BH181" s="2513">
        <f>BC181-0.001</f>
        <v>4.8000000000000001E-2</v>
      </c>
      <c r="BI181" s="1563">
        <f>BD181-0.001</f>
        <v>7.1000000000000008E-2</v>
      </c>
      <c r="BJ181" s="1563">
        <f>BE181-0.001</f>
        <v>9.2999999999999999E-2</v>
      </c>
      <c r="BK181" s="1561">
        <f>BF181-0.001</f>
        <v>8.8000000000000009E-2</v>
      </c>
      <c r="BL181" s="1037">
        <f ca="1">PBM!DY189</f>
        <v>7.5523512804414827E-2</v>
      </c>
    </row>
    <row r="182" spans="1:64" outlineLevel="1" x14ac:dyDescent="0.2">
      <c r="A182" s="238"/>
      <c r="B182" s="289"/>
      <c r="C182" s="265" t="str">
        <f>C114</f>
        <v>Brand</v>
      </c>
      <c r="D182" s="289"/>
      <c r="E182" s="1565">
        <f>PBM!BR190</f>
        <v>8.9999999999999993E-3</v>
      </c>
      <c r="F182" s="1566">
        <f>PBM!BS190</f>
        <v>7.4999999999999997E-3</v>
      </c>
      <c r="G182" s="1566">
        <f>PBM!BT190</f>
        <v>7.4999999999999997E-3</v>
      </c>
      <c r="H182" s="1566">
        <f>PBM!BU190</f>
        <v>7.4999999999999997E-3</v>
      </c>
      <c r="I182" s="1439"/>
      <c r="J182" s="1566">
        <f>PBM!BW190</f>
        <v>7.4999999999999997E-3</v>
      </c>
      <c r="K182" s="1566">
        <f>PBM!BX190</f>
        <v>7.4999999999999997E-3</v>
      </c>
      <c r="L182" s="1566">
        <f>PBM!BY190</f>
        <v>7.4999999999999997E-3</v>
      </c>
      <c r="M182" s="1566">
        <f>PBM!BZ190</f>
        <v>7.4999999999999997E-3</v>
      </c>
      <c r="N182" s="1439"/>
      <c r="O182" s="1566">
        <f>PBM!CB190</f>
        <v>6.0031307070180012E-3</v>
      </c>
      <c r="P182" s="1566">
        <f>PBM!CC190</f>
        <v>6.0031307070180012E-3</v>
      </c>
      <c r="Q182" s="1566">
        <f>PBM!CD190</f>
        <v>7.5429695131731004E-3</v>
      </c>
      <c r="R182" s="1566">
        <f>PBM!CE190</f>
        <v>7.5429695131731004E-3</v>
      </c>
      <c r="S182" s="580">
        <f>PBM!CF190</f>
        <v>6.8050222012618752E-3</v>
      </c>
      <c r="T182" s="1566">
        <f>PBM!CG190</f>
        <v>6.0000000000000001E-3</v>
      </c>
      <c r="U182" s="1566">
        <f>PBM!CH190</f>
        <v>7.0000000000000001E-3</v>
      </c>
      <c r="V182" s="1566">
        <f>PBM!CI190</f>
        <v>8.9999999999999993E-3</v>
      </c>
      <c r="W182" s="1642">
        <f>PBM!CJ190</f>
        <v>1.15E-2</v>
      </c>
      <c r="X182" s="1037">
        <f>PBM!CK190</f>
        <v>8.3407124902063652E-3</v>
      </c>
      <c r="Y182" s="1661">
        <f>PBM!CL190</f>
        <v>6.0000000000000001E-3</v>
      </c>
      <c r="Z182" s="1661">
        <f>PBM!CM190</f>
        <v>7.8729078758293467E-3</v>
      </c>
      <c r="AA182" s="1661">
        <f>PBM!CN190</f>
        <v>1.15E-2</v>
      </c>
      <c r="AB182" s="1722">
        <f>PBM!CO190</f>
        <v>0.01</v>
      </c>
      <c r="AC182" s="1037">
        <f>PBM!CP190</f>
        <v>8.8862873694375202E-3</v>
      </c>
      <c r="AD182" s="1661">
        <v>0.01</v>
      </c>
      <c r="AE182" s="1661">
        <v>0.01</v>
      </c>
      <c r="AF182" s="1661">
        <v>0.01</v>
      </c>
      <c r="AG182" s="1661">
        <v>0.01</v>
      </c>
      <c r="AH182" s="1037">
        <f>PBM!CU190</f>
        <v>1.0849507191174895E-2</v>
      </c>
      <c r="AI182" s="1661">
        <v>0.01</v>
      </c>
      <c r="AJ182" s="1661">
        <v>0.01</v>
      </c>
      <c r="AK182" s="1661">
        <v>0.01</v>
      </c>
      <c r="AL182" s="1575">
        <v>0.01</v>
      </c>
      <c r="AM182" s="1037">
        <f ca="1">PBM!CZ190</f>
        <v>9.2656063642225991E-3</v>
      </c>
      <c r="AN182" s="2514">
        <v>8.9999999999999993E-3</v>
      </c>
      <c r="AO182" s="2515">
        <v>8.9999999999999993E-3</v>
      </c>
      <c r="AP182" s="2515">
        <v>0.01</v>
      </c>
      <c r="AQ182" s="1575">
        <v>0.01</v>
      </c>
      <c r="AR182" s="1037">
        <f ca="1">PBM!DE190</f>
        <v>0.01</v>
      </c>
      <c r="AS182" s="2514">
        <f>AN182</f>
        <v>8.9999999999999993E-3</v>
      </c>
      <c r="AT182" s="2515">
        <f>AO182</f>
        <v>8.9999999999999993E-3</v>
      </c>
      <c r="AU182" s="2515">
        <f>AP182</f>
        <v>0.01</v>
      </c>
      <c r="AV182" s="2515">
        <f>AQ182</f>
        <v>0.01</v>
      </c>
      <c r="AW182" s="2680">
        <f ca="1">PBM!DJ190</f>
        <v>9.5146096883100238E-3</v>
      </c>
      <c r="AX182" s="2514">
        <v>8.9999999999999993E-3</v>
      </c>
      <c r="AY182" s="2515">
        <f t="shared" ref="AY182" si="117">AT182</f>
        <v>8.9999999999999993E-3</v>
      </c>
      <c r="AZ182" s="2515">
        <f>AU182</f>
        <v>0.01</v>
      </c>
      <c r="BA182" s="2515">
        <f t="shared" ref="BA182" si="118">AV182</f>
        <v>0.01</v>
      </c>
      <c r="BB182" s="2680">
        <f ca="1">PBM!DO190</f>
        <v>9.5011917785934458E-3</v>
      </c>
      <c r="BC182" s="2514">
        <f>AX182</f>
        <v>8.9999999999999993E-3</v>
      </c>
      <c r="BD182" s="2515">
        <f>AY182</f>
        <v>8.9999999999999993E-3</v>
      </c>
      <c r="BE182" s="2515">
        <f>AZ182</f>
        <v>0.01</v>
      </c>
      <c r="BF182" s="1575">
        <f>BA182</f>
        <v>0.01</v>
      </c>
      <c r="BG182" s="1037">
        <f ca="1">PBM!DT190</f>
        <v>9.5004007969481975E-3</v>
      </c>
      <c r="BH182" s="2514">
        <f>BC182</f>
        <v>8.9999999999999993E-3</v>
      </c>
      <c r="BI182" s="2515">
        <f>BD182</f>
        <v>8.9999999999999993E-3</v>
      </c>
      <c r="BJ182" s="2515">
        <f>BE182</f>
        <v>0.01</v>
      </c>
      <c r="BK182" s="1575">
        <f>BF182</f>
        <v>0.01</v>
      </c>
      <c r="BL182" s="1037">
        <f ca="1">PBM!DY190</f>
        <v>9.4994671927542511E-3</v>
      </c>
    </row>
    <row r="183" spans="1:64" outlineLevel="1" x14ac:dyDescent="0.2">
      <c r="A183" s="238"/>
      <c r="B183" s="289"/>
      <c r="C183" s="265"/>
      <c r="D183" s="289"/>
      <c r="E183" s="1571"/>
      <c r="F183" s="1534"/>
      <c r="G183" s="1534"/>
      <c r="H183" s="1534"/>
      <c r="I183" s="1439"/>
      <c r="J183" s="1576"/>
      <c r="K183" s="1576"/>
      <c r="L183" s="1576"/>
      <c r="M183" s="1576"/>
      <c r="N183" s="1439"/>
      <c r="O183" s="1576"/>
      <c r="P183" s="1576"/>
      <c r="Q183" s="1576"/>
      <c r="R183" s="1576"/>
      <c r="S183" s="1559"/>
      <c r="T183" s="1576"/>
      <c r="U183" s="1576"/>
      <c r="V183" s="1576"/>
      <c r="W183" s="1643"/>
      <c r="X183" s="1562"/>
      <c r="Y183" s="1659"/>
      <c r="Z183" s="1684"/>
      <c r="AA183" s="1684"/>
      <c r="AB183" s="1721"/>
      <c r="AC183" s="1562"/>
      <c r="AD183" s="1659"/>
      <c r="AE183" s="1659"/>
      <c r="AF183" s="1659"/>
      <c r="AG183" s="1659"/>
      <c r="AH183" s="1562"/>
      <c r="AI183" s="1659"/>
      <c r="AJ183" s="1659"/>
      <c r="AK183" s="1659"/>
      <c r="AL183" s="1561"/>
      <c r="AM183" s="1562"/>
      <c r="AN183" s="2513"/>
      <c r="AO183" s="1563"/>
      <c r="AP183" s="1563"/>
      <c r="AQ183" s="1561"/>
      <c r="AR183" s="1562"/>
      <c r="AS183" s="2513"/>
      <c r="AT183" s="1563"/>
      <c r="AU183" s="1563"/>
      <c r="AV183" s="1563"/>
      <c r="AW183" s="2681"/>
      <c r="AX183" s="2513"/>
      <c r="AY183" s="1563"/>
      <c r="AZ183" s="1563"/>
      <c r="BA183" s="1563"/>
      <c r="BB183" s="2681"/>
      <c r="BC183" s="2513"/>
      <c r="BD183" s="1563"/>
      <c r="BE183" s="1563"/>
      <c r="BF183" s="1561"/>
      <c r="BG183" s="1562"/>
      <c r="BH183" s="2513"/>
      <c r="BI183" s="1563"/>
      <c r="BJ183" s="1563"/>
      <c r="BK183" s="1561"/>
      <c r="BL183" s="1562"/>
    </row>
    <row r="184" spans="1:64" outlineLevel="1" x14ac:dyDescent="0.2">
      <c r="A184" s="238"/>
      <c r="B184" s="289"/>
      <c r="C184" s="351" t="str">
        <f>C116</f>
        <v>MAIL ORDER</v>
      </c>
      <c r="D184" s="289"/>
      <c r="E184" s="1571"/>
      <c r="F184" s="1534"/>
      <c r="G184" s="1534"/>
      <c r="H184" s="1534"/>
      <c r="I184" s="1439"/>
      <c r="J184" s="1576"/>
      <c r="K184" s="1576"/>
      <c r="L184" s="1576"/>
      <c r="M184" s="1576"/>
      <c r="N184" s="1439"/>
      <c r="O184" s="1576"/>
      <c r="P184" s="1576"/>
      <c r="Q184" s="1576"/>
      <c r="R184" s="1576"/>
      <c r="S184" s="1559"/>
      <c r="T184" s="1576"/>
      <c r="U184" s="1576"/>
      <c r="V184" s="1576"/>
      <c r="W184" s="1643"/>
      <c r="X184" s="1562"/>
      <c r="Y184" s="1659"/>
      <c r="Z184" s="1684"/>
      <c r="AA184" s="1684"/>
      <c r="AB184" s="1721"/>
      <c r="AC184" s="1562"/>
      <c r="AD184" s="1659"/>
      <c r="AE184" s="1659"/>
      <c r="AF184" s="1659"/>
      <c r="AG184" s="1659"/>
      <c r="AH184" s="1562"/>
      <c r="AI184" s="1659"/>
      <c r="AJ184" s="1659"/>
      <c r="AK184" s="1659"/>
      <c r="AL184" s="1561"/>
      <c r="AM184" s="1562"/>
      <c r="AN184" s="2513"/>
      <c r="AO184" s="1563"/>
      <c r="AP184" s="1563"/>
      <c r="AQ184" s="1561"/>
      <c r="AR184" s="1562"/>
      <c r="AS184" s="2513"/>
      <c r="AT184" s="1563"/>
      <c r="AU184" s="1563"/>
      <c r="AV184" s="1563"/>
      <c r="AW184" s="2681"/>
      <c r="AX184" s="2513"/>
      <c r="AY184" s="1563"/>
      <c r="AZ184" s="1563"/>
      <c r="BA184" s="1563"/>
      <c r="BB184" s="2681"/>
      <c r="BC184" s="2513"/>
      <c r="BD184" s="1563"/>
      <c r="BE184" s="1563"/>
      <c r="BF184" s="1561"/>
      <c r="BG184" s="1562"/>
      <c r="BH184" s="2513"/>
      <c r="BI184" s="1563"/>
      <c r="BJ184" s="1563"/>
      <c r="BK184" s="1561"/>
      <c r="BL184" s="1562"/>
    </row>
    <row r="185" spans="1:64" outlineLevel="1" x14ac:dyDescent="0.2">
      <c r="A185" s="238"/>
      <c r="B185" s="289"/>
      <c r="C185" s="265" t="str">
        <f>C117</f>
        <v>Generics</v>
      </c>
      <c r="D185" s="289"/>
      <c r="E185" s="1565">
        <f>PBM!BR195</f>
        <v>0.66704592492694781</v>
      </c>
      <c r="F185" s="1566">
        <f>PBM!BS195</f>
        <v>0.7631213268098056</v>
      </c>
      <c r="G185" s="1566">
        <f>PBM!BT195</f>
        <v>0.89780661712908061</v>
      </c>
      <c r="H185" s="1566">
        <f>PBM!BU195</f>
        <v>0.92084064415982603</v>
      </c>
      <c r="I185" s="1439"/>
      <c r="J185" s="1566">
        <f>PBM!BW195</f>
        <v>0.6</v>
      </c>
      <c r="K185" s="1566">
        <f>PBM!BX195</f>
        <v>0.59450000000000003</v>
      </c>
      <c r="L185" s="1566">
        <f>PBM!BY195</f>
        <v>0.63300000000000001</v>
      </c>
      <c r="M185" s="1577">
        <f>PBM!BZ195</f>
        <v>0.58199999999999996</v>
      </c>
      <c r="N185" s="580"/>
      <c r="O185" s="1577">
        <f>PBM!CB195</f>
        <v>0.32550663447735645</v>
      </c>
      <c r="P185" s="1577">
        <f>PBM!CC195</f>
        <v>0.39406131296508312</v>
      </c>
      <c r="Q185" s="1577">
        <f>PBM!CD195</f>
        <v>0.54887123396072002</v>
      </c>
      <c r="R185" s="1577">
        <f>PBM!CE195</f>
        <v>0.54575766152042926</v>
      </c>
      <c r="S185" s="580">
        <f>PBM!CF195</f>
        <v>0.45598081463942147</v>
      </c>
      <c r="T185" s="1577">
        <f>PBM!CG195</f>
        <v>0.25</v>
      </c>
      <c r="U185" s="1577">
        <f>PBM!CH195</f>
        <v>0.28999999999999998</v>
      </c>
      <c r="V185" s="1577">
        <f>PBM!CI195</f>
        <v>0.37</v>
      </c>
      <c r="W185" s="1644">
        <f>PBM!CJ195</f>
        <v>0.40500000000000003</v>
      </c>
      <c r="X185" s="1037">
        <f>PBM!CK195</f>
        <v>0.33381140434348355</v>
      </c>
      <c r="Y185" s="1661">
        <f>PBM!CL195</f>
        <v>0.3</v>
      </c>
      <c r="Z185" s="1661">
        <f>PBM!CM195</f>
        <v>0.30838051131950339</v>
      </c>
      <c r="AA185" s="1661">
        <f>PBM!CN195</f>
        <v>0.39250000000000002</v>
      </c>
      <c r="AB185" s="1722">
        <f>PBM!CO195</f>
        <v>0.34634999999999999</v>
      </c>
      <c r="AC185" s="1037">
        <f>PBM!CP195</f>
        <v>0.33834390497758104</v>
      </c>
      <c r="AD185" s="1661">
        <v>0.3</v>
      </c>
      <c r="AE185" s="1661">
        <v>0.3</v>
      </c>
      <c r="AF185" s="1661">
        <v>0.3</v>
      </c>
      <c r="AG185" s="1661">
        <v>0.3</v>
      </c>
      <c r="AH185" s="1037">
        <f>PBM!CU195</f>
        <v>0.31945693849524165</v>
      </c>
      <c r="AI185" s="1661">
        <v>0.3</v>
      </c>
      <c r="AJ185" s="1661">
        <v>0.3</v>
      </c>
      <c r="AK185" s="1661">
        <v>0.3</v>
      </c>
      <c r="AL185" s="1575">
        <v>0.28000000000000003</v>
      </c>
      <c r="AM185" s="1037">
        <f ca="1">PBM!CZ195</f>
        <v>0.31479334783662499</v>
      </c>
      <c r="AN185" s="2518">
        <v>0.23</v>
      </c>
      <c r="AO185" s="2515">
        <v>0.28000000000000003</v>
      </c>
      <c r="AP185" s="2515">
        <v>0.28000000000000003</v>
      </c>
      <c r="AQ185" s="2515">
        <v>0.27</v>
      </c>
      <c r="AR185" s="1037">
        <f ca="1">PBM!DE195</f>
        <v>0.2649136675446615</v>
      </c>
      <c r="AS185" s="2514">
        <v>0.23</v>
      </c>
      <c r="AT185" s="2515">
        <v>0.27</v>
      </c>
      <c r="AU185" s="2515">
        <v>0.27</v>
      </c>
      <c r="AV185" s="2515">
        <v>0.26500000000000001</v>
      </c>
      <c r="AW185" s="2680">
        <f ca="1">PBM!DJ195</f>
        <v>0.25922096991676091</v>
      </c>
      <c r="AX185" s="2513">
        <f>AS185</f>
        <v>0.23</v>
      </c>
      <c r="AY185" s="1563">
        <f>AT185+0.005</f>
        <v>0.27500000000000002</v>
      </c>
      <c r="AZ185" s="1563">
        <f t="shared" ref="AZ185:BA185" si="119">AU185+0.005</f>
        <v>0.27500000000000002</v>
      </c>
      <c r="BA185" s="1563">
        <f t="shared" si="119"/>
        <v>0.27</v>
      </c>
      <c r="BB185" s="2680">
        <f ca="1">PBM!DO195</f>
        <v>0.26024686293723914</v>
      </c>
      <c r="BC185" s="2513">
        <f>AX185-0.01</f>
        <v>0.22</v>
      </c>
      <c r="BD185" s="1563">
        <f>AY185-0.01</f>
        <v>0.26500000000000001</v>
      </c>
      <c r="BE185" s="1563">
        <f>AZ185-0.01</f>
        <v>0.26500000000000001</v>
      </c>
      <c r="BF185" s="1561">
        <f>BA185-0.01</f>
        <v>0.26</v>
      </c>
      <c r="BG185" s="1037">
        <f ca="1">PBM!DT195</f>
        <v>0.25269557480129146</v>
      </c>
      <c r="BH185" s="2513">
        <f>BC185-0.01</f>
        <v>0.21</v>
      </c>
      <c r="BI185" s="1563">
        <f>BD185-0.01</f>
        <v>0.255</v>
      </c>
      <c r="BJ185" s="1563">
        <f>BE185-0.01</f>
        <v>0.255</v>
      </c>
      <c r="BK185" s="1561">
        <f>BF185-0.01</f>
        <v>0.25</v>
      </c>
      <c r="BL185" s="1037">
        <f ca="1">PBM!DY195</f>
        <v>0.24269441663259439</v>
      </c>
    </row>
    <row r="186" spans="1:64" outlineLevel="1" x14ac:dyDescent="0.2">
      <c r="A186" s="238"/>
      <c r="B186" s="289"/>
      <c r="C186" s="265" t="str">
        <f>C118</f>
        <v>Brand</v>
      </c>
      <c r="D186" s="289"/>
      <c r="E186" s="1565">
        <f>PBM!BR196</f>
        <v>7.4999999999999997E-3</v>
      </c>
      <c r="F186" s="1566">
        <f>PBM!BS196</f>
        <v>7.4999999999999997E-3</v>
      </c>
      <c r="G186" s="1566">
        <f>PBM!BT196</f>
        <v>7.4999999999999997E-3</v>
      </c>
      <c r="H186" s="1566">
        <f>PBM!BU196</f>
        <v>7.4999999999999997E-3</v>
      </c>
      <c r="I186" s="1439"/>
      <c r="J186" s="1566">
        <f>PBM!BW196</f>
        <v>7.4999999999999997E-3</v>
      </c>
      <c r="K186" s="1566">
        <f>PBM!BX196</f>
        <v>7.4999999999999997E-3</v>
      </c>
      <c r="L186" s="1566">
        <f>PBM!BY196</f>
        <v>7.4999999999999997E-3</v>
      </c>
      <c r="M186" s="1577">
        <f>PBM!BZ196</f>
        <v>7.4999999999999997E-3</v>
      </c>
      <c r="N186" s="580"/>
      <c r="O186" s="1577">
        <f>PBM!CB196</f>
        <v>4.0156821716912277E-3</v>
      </c>
      <c r="P186" s="1577">
        <f>PBM!CC196</f>
        <v>4.8248424708433576E-3</v>
      </c>
      <c r="Q186" s="1577">
        <f>PBM!CD196</f>
        <v>7.5396615760084801E-3</v>
      </c>
      <c r="R186" s="1577">
        <f>PBM!CE196</f>
        <v>7.5396615760084801E-3</v>
      </c>
      <c r="S186" s="580">
        <f>PBM!CF196</f>
        <v>6.0124693467736041E-3</v>
      </c>
      <c r="T186" s="1577">
        <f>PBM!CG196</f>
        <v>6.0000000000000001E-3</v>
      </c>
      <c r="U186" s="1577">
        <f>PBM!CH196</f>
        <v>7.0000000000000001E-3</v>
      </c>
      <c r="V186" s="1577">
        <f>PBM!CI196</f>
        <v>8.9999999999999993E-3</v>
      </c>
      <c r="W186" s="1644">
        <f>PBM!CJ196</f>
        <v>1.15E-2</v>
      </c>
      <c r="X186" s="1037">
        <f>PBM!CK196</f>
        <v>8.3334034278863389E-3</v>
      </c>
      <c r="Y186" s="1661">
        <f ca="1">PBM!CL196</f>
        <v>1.15E-2</v>
      </c>
      <c r="Z186" s="1661">
        <f>PBM!CM196</f>
        <v>8.5086265296741397E-3</v>
      </c>
      <c r="AA186" s="1661">
        <f>PBM!CN196</f>
        <v>1.15E-2</v>
      </c>
      <c r="AB186" s="1722">
        <f>PBM!CO196</f>
        <v>1.15E-2</v>
      </c>
      <c r="AC186" s="1037">
        <f ca="1">PBM!CP196</f>
        <v>1.0769524106830462E-2</v>
      </c>
      <c r="AD186" s="1661">
        <v>8.9999999999999993E-3</v>
      </c>
      <c r="AE186" s="1661">
        <v>8.9999999999999993E-3</v>
      </c>
      <c r="AF186" s="1661">
        <v>8.9999999999999993E-3</v>
      </c>
      <c r="AG186" s="1661">
        <v>8.9999999999999993E-3</v>
      </c>
      <c r="AH186" s="1037">
        <f>PBM!CU196</f>
        <v>9.2676386976984371E-3</v>
      </c>
      <c r="AI186" s="1661">
        <v>8.9999999999999993E-3</v>
      </c>
      <c r="AJ186" s="1661">
        <v>8.9999999999999993E-3</v>
      </c>
      <c r="AK186" s="1661">
        <v>8.9999999999999993E-3</v>
      </c>
      <c r="AL186" s="1575">
        <f>AG186</f>
        <v>8.9999999999999993E-3</v>
      </c>
      <c r="AM186" s="1037">
        <f ca="1">PBM!CZ196</f>
        <v>9.5273979119808172E-3</v>
      </c>
      <c r="AN186" s="2514">
        <v>0.01</v>
      </c>
      <c r="AO186" s="2515">
        <v>0.01</v>
      </c>
      <c r="AP186" s="2515">
        <v>0.01</v>
      </c>
      <c r="AQ186" s="1575">
        <v>0.01</v>
      </c>
      <c r="AR186" s="1037">
        <f ca="1">PBM!DE196</f>
        <v>0.01</v>
      </c>
      <c r="AS186" s="2514">
        <f>AN186</f>
        <v>0.01</v>
      </c>
      <c r="AT186" s="2515">
        <f>AO186</f>
        <v>0.01</v>
      </c>
      <c r="AU186" s="2515">
        <v>0.01</v>
      </c>
      <c r="AV186" s="2515">
        <v>0.01</v>
      </c>
      <c r="AW186" s="2680">
        <f ca="1">PBM!DJ196</f>
        <v>0.01</v>
      </c>
      <c r="AX186" s="2514">
        <v>8.9999999999999993E-3</v>
      </c>
      <c r="AY186" s="2515">
        <v>0.01</v>
      </c>
      <c r="AZ186" s="2515">
        <v>0.01</v>
      </c>
      <c r="BA186" s="2515">
        <v>0.01</v>
      </c>
      <c r="BB186" s="2680">
        <f ca="1">PBM!DO196</f>
        <v>9.7929938608800112E-3</v>
      </c>
      <c r="BC186" s="2514">
        <v>8.0000000000000002E-3</v>
      </c>
      <c r="BD186" s="2515">
        <v>8.0000000000000002E-3</v>
      </c>
      <c r="BE186" s="2515">
        <v>8.0000000000000002E-3</v>
      </c>
      <c r="BF186" s="1575">
        <v>8.0000000000000002E-3</v>
      </c>
      <c r="BG186" s="1037">
        <f ca="1">PBM!DT196</f>
        <v>8.0000000000000019E-3</v>
      </c>
      <c r="BH186" s="2514">
        <v>8.0000000000000002E-3</v>
      </c>
      <c r="BI186" s="2515">
        <v>8.0000000000000002E-3</v>
      </c>
      <c r="BJ186" s="2515">
        <v>8.0000000000000002E-3</v>
      </c>
      <c r="BK186" s="1575">
        <v>8.0000000000000002E-3</v>
      </c>
      <c r="BL186" s="1037">
        <f ca="1">PBM!DY196</f>
        <v>8.0000000000000002E-3</v>
      </c>
    </row>
    <row r="187" spans="1:64" outlineLevel="1" x14ac:dyDescent="0.2">
      <c r="A187" s="238"/>
      <c r="B187" s="289"/>
      <c r="C187" s="265"/>
      <c r="D187" s="289"/>
      <c r="E187" s="1571"/>
      <c r="F187" s="1534"/>
      <c r="G187" s="1534"/>
      <c r="H187" s="1534"/>
      <c r="I187" s="1439"/>
      <c r="J187" s="1576"/>
      <c r="K187" s="1576"/>
      <c r="L187" s="1576"/>
      <c r="M187" s="1576"/>
      <c r="N187" s="1439"/>
      <c r="O187" s="1576"/>
      <c r="P187" s="1576"/>
      <c r="Q187" s="1576"/>
      <c r="R187" s="1576"/>
      <c r="S187" s="1559"/>
      <c r="T187" s="1576"/>
      <c r="U187" s="1576"/>
      <c r="V187" s="1576"/>
      <c r="W187" s="1643"/>
      <c r="X187" s="1562"/>
      <c r="Y187" s="1659"/>
      <c r="Z187" s="1684"/>
      <c r="AA187" s="1684"/>
      <c r="AB187" s="1721"/>
      <c r="AC187" s="1562"/>
      <c r="AD187" s="1659"/>
      <c r="AE187" s="1659"/>
      <c r="AF187" s="1659"/>
      <c r="AG187" s="1659"/>
      <c r="AH187" s="1562"/>
      <c r="AI187" s="1659"/>
      <c r="AJ187" s="1659"/>
      <c r="AK187" s="1659"/>
      <c r="AL187" s="1561"/>
      <c r="AM187" s="394"/>
      <c r="AN187" s="2513"/>
      <c r="AO187" s="1563"/>
      <c r="AP187" s="1563"/>
      <c r="AQ187" s="1561"/>
      <c r="AR187" s="394"/>
      <c r="AS187" s="2513"/>
      <c r="AT187" s="1563"/>
      <c r="AU187" s="1563"/>
      <c r="AV187" s="1563"/>
      <c r="AW187" s="2673"/>
      <c r="AX187" s="2513"/>
      <c r="AY187" s="1563"/>
      <c r="AZ187" s="1563"/>
      <c r="BA187" s="3244"/>
      <c r="BB187" s="3243"/>
      <c r="BC187" s="2513"/>
      <c r="BD187" s="1563"/>
      <c r="BE187" s="1563"/>
      <c r="BF187" s="1561"/>
      <c r="BG187" s="394"/>
      <c r="BH187" s="2513"/>
      <c r="BI187" s="1563"/>
      <c r="BJ187" s="1563"/>
      <c r="BK187" s="1561"/>
      <c r="BL187" s="394"/>
    </row>
    <row r="188" spans="1:64" outlineLevel="1" x14ac:dyDescent="0.2">
      <c r="A188" s="238"/>
      <c r="B188" s="289"/>
      <c r="C188" s="1448"/>
      <c r="D188" s="289"/>
      <c r="E188" s="1437"/>
      <c r="F188" s="1445"/>
      <c r="G188" s="1445"/>
      <c r="H188" s="1445"/>
      <c r="I188" s="1439"/>
      <c r="J188" s="1438"/>
      <c r="K188" s="1531"/>
      <c r="L188" s="1531"/>
      <c r="M188" s="1531"/>
      <c r="N188" s="1439"/>
      <c r="O188" s="1531"/>
      <c r="P188" s="1531"/>
      <c r="Q188" s="1531"/>
      <c r="R188" s="1531"/>
      <c r="S188" s="1559"/>
      <c r="T188" s="1531"/>
      <c r="U188" s="1531"/>
      <c r="V188" s="1531"/>
      <c r="W188" s="1532"/>
      <c r="X188" s="1562"/>
      <c r="Y188" s="1662"/>
      <c r="Z188" s="1685"/>
      <c r="AA188" s="1685"/>
      <c r="AB188" s="1723"/>
      <c r="AC188" s="1562"/>
      <c r="AD188" s="1659"/>
      <c r="AE188" s="1659"/>
      <c r="AF188" s="1659"/>
      <c r="AG188" s="1659"/>
      <c r="AH188" s="1562"/>
      <c r="AI188" s="1659"/>
      <c r="AJ188" s="1659"/>
      <c r="AK188" s="1659"/>
      <c r="AL188" s="1561"/>
      <c r="AM188" s="394"/>
      <c r="AN188" s="2513"/>
      <c r="AO188" s="1563"/>
      <c r="AP188" s="1563"/>
      <c r="AQ188" s="1561"/>
      <c r="AR188" s="394"/>
      <c r="AS188" s="2513"/>
      <c r="AT188" s="1563"/>
      <c r="AU188" s="1563"/>
      <c r="AV188" s="1563"/>
      <c r="AW188" s="2673"/>
      <c r="AX188" s="2513"/>
      <c r="AY188" s="1563"/>
      <c r="AZ188" s="1563"/>
      <c r="BA188" s="3244"/>
      <c r="BB188" s="3243"/>
      <c r="BC188" s="2513"/>
      <c r="BD188" s="1563"/>
      <c r="BE188" s="1563"/>
      <c r="BF188" s="1561"/>
      <c r="BG188" s="394"/>
      <c r="BH188" s="2513"/>
      <c r="BI188" s="1563"/>
      <c r="BJ188" s="1563"/>
      <c r="BK188" s="1561"/>
      <c r="BL188" s="394"/>
    </row>
    <row r="189" spans="1:64" ht="12" outlineLevel="1" thickBot="1" x14ac:dyDescent="0.25">
      <c r="A189" s="238"/>
      <c r="B189" s="1578">
        <v>5.77</v>
      </c>
      <c r="C189" s="440" t="str">
        <f>C121</f>
        <v>SG&amp;A per Script</v>
      </c>
      <c r="D189" s="1579"/>
      <c r="E189" s="1547">
        <f>PBM!BR258</f>
        <v>1.0189718482252141</v>
      </c>
      <c r="F189" s="1548">
        <f>PBM!BS258</f>
        <v>0.86532602071907394</v>
      </c>
      <c r="G189" s="1548">
        <f>PBM!BT258</f>
        <v>0.86372007366482428</v>
      </c>
      <c r="H189" s="1548">
        <f>PBM!BU258</f>
        <v>0.84473527662105896</v>
      </c>
      <c r="I189" s="1580"/>
      <c r="J189" s="1548">
        <f>PBM!BW258</f>
        <v>0.98983050847457632</v>
      </c>
      <c r="K189" s="1548">
        <f>PBM!BX258</f>
        <v>0.9286209286209286</v>
      </c>
      <c r="L189" s="1548">
        <f>PBM!BY258</f>
        <v>0.91412742382271484</v>
      </c>
      <c r="M189" s="1548">
        <f>PBM!BZ258</f>
        <v>1.0894418291862813</v>
      </c>
      <c r="N189" s="1580"/>
      <c r="O189" s="1548">
        <f>PBM!CB258</f>
        <v>0.81621004566210054</v>
      </c>
      <c r="P189" s="1548">
        <f>PBM!CC258</f>
        <v>0.87591240875912402</v>
      </c>
      <c r="Q189" s="1548">
        <f>PBM!CD258</f>
        <v>0.73716319267920694</v>
      </c>
      <c r="R189" s="1548">
        <f>PBM!CE258</f>
        <v>0.83093822031245557</v>
      </c>
      <c r="S189" s="1581"/>
      <c r="T189" s="1548">
        <f>PBM!CG258</f>
        <v>0.6624029237094563</v>
      </c>
      <c r="U189" s="1548">
        <f>PBM!CH258</f>
        <v>0.62696068329097099</v>
      </c>
      <c r="V189" s="1548">
        <f>PBM!CI258</f>
        <v>0.76908923643054272</v>
      </c>
      <c r="W189" s="1645">
        <f>PBM!CJ258</f>
        <v>0.71713147410358569</v>
      </c>
      <c r="X189" s="1583"/>
      <c r="Y189" s="1663">
        <f ca="1">PBM!CL258</f>
        <v>0.54576067672952833</v>
      </c>
      <c r="Z189" s="1663">
        <f>PBM!CM258</f>
        <v>0.65666372462488976</v>
      </c>
      <c r="AA189" s="1663">
        <f>PBM!CN258</f>
        <v>0.68273997296079314</v>
      </c>
      <c r="AB189" s="1724">
        <f>PBM!CO258</f>
        <v>0.74856131031429829</v>
      </c>
      <c r="AC189" s="1583"/>
      <c r="AD189" s="1663">
        <v>0.75</v>
      </c>
      <c r="AE189" s="1663">
        <f>PBM!CR258</f>
        <v>0.69294066695539192</v>
      </c>
      <c r="AF189" s="1663">
        <f>PBM!CS258</f>
        <v>0.69561441597915763</v>
      </c>
      <c r="AG189" s="1663">
        <f>PBM!CT258</f>
        <v>0.69205434335117333</v>
      </c>
      <c r="AH189" s="1583"/>
      <c r="AI189" s="1663">
        <v>0.45795691452397491</v>
      </c>
      <c r="AJ189" s="1663">
        <v>0.48578363384188628</v>
      </c>
      <c r="AK189" s="1663">
        <v>0.48864770050153161</v>
      </c>
      <c r="AL189" s="1582">
        <v>0.56645147851082667</v>
      </c>
      <c r="AM189" s="1585"/>
      <c r="AN189" s="2516">
        <v>0.41119871981379114</v>
      </c>
      <c r="AO189" s="1584">
        <v>0.44029197080291965</v>
      </c>
      <c r="AP189" s="1584">
        <v>0.43</v>
      </c>
      <c r="AQ189" s="1582">
        <v>0.44</v>
      </c>
      <c r="AR189" s="1585"/>
      <c r="AS189" s="2516">
        <v>0.3</v>
      </c>
      <c r="AT189" s="1584">
        <f>AO189-0.12</f>
        <v>0.32029197080291966</v>
      </c>
      <c r="AU189" s="1584">
        <f>AP189-0.12</f>
        <v>0.31</v>
      </c>
      <c r="AV189" s="1584">
        <f>AQ189-0.12</f>
        <v>0.32</v>
      </c>
      <c r="AW189" s="1580"/>
      <c r="AX189" s="2516">
        <v>0.37</v>
      </c>
      <c r="AY189" s="1584">
        <f>AT189*0.95</f>
        <v>0.30427737226277368</v>
      </c>
      <c r="AZ189" s="1584">
        <f t="shared" ref="AZ189:BA189" si="120">AU189*0.95</f>
        <v>0.29449999999999998</v>
      </c>
      <c r="BA189" s="1582">
        <f t="shared" si="120"/>
        <v>0.30399999999999999</v>
      </c>
      <c r="BB189" s="1585"/>
      <c r="BC189" s="2516">
        <f>AX189-0.05</f>
        <v>0.32</v>
      </c>
      <c r="BD189" s="1584">
        <f>AY189-0.05</f>
        <v>0.25427737226277369</v>
      </c>
      <c r="BE189" s="1584">
        <f>AZ189-0.05</f>
        <v>0.2445</v>
      </c>
      <c r="BF189" s="1584">
        <f>BA189-0.05</f>
        <v>0.254</v>
      </c>
      <c r="BG189" s="1585"/>
      <c r="BH189" s="2516">
        <f>BC189-0.05</f>
        <v>0.27</v>
      </c>
      <c r="BI189" s="1584">
        <f>BD189-0.05</f>
        <v>0.2042773722627737</v>
      </c>
      <c r="BJ189" s="1584">
        <f>BE189-0.05</f>
        <v>0.19450000000000001</v>
      </c>
      <c r="BK189" s="1584">
        <f>BF189-0.05</f>
        <v>0.20400000000000001</v>
      </c>
      <c r="BL189" s="1585"/>
    </row>
    <row r="190" spans="1:64" outlineLevel="1" x14ac:dyDescent="0.2">
      <c r="A190" s="238"/>
      <c r="B190" s="300"/>
      <c r="C190" s="300"/>
      <c r="D190" s="241"/>
      <c r="E190" s="300"/>
      <c r="F190" s="300"/>
      <c r="G190" s="300"/>
      <c r="H190" s="300"/>
      <c r="I190" s="300"/>
      <c r="J190" s="300"/>
      <c r="K190" s="300"/>
      <c r="L190" s="300"/>
      <c r="M190" s="300"/>
      <c r="N190" s="300"/>
      <c r="O190" s="240"/>
      <c r="P190" s="240"/>
      <c r="Q190" s="240"/>
      <c r="R190" s="240"/>
      <c r="S190" s="240"/>
      <c r="T190" s="240"/>
      <c r="U190" s="240"/>
      <c r="V190" s="238"/>
      <c r="W190" s="238"/>
      <c r="X190" s="238"/>
      <c r="Y190" s="300"/>
      <c r="Z190" s="300"/>
      <c r="AA190" s="300"/>
      <c r="AB190" s="300"/>
      <c r="AC190" s="300"/>
      <c r="AD190" s="300"/>
      <c r="AE190" s="300"/>
      <c r="AF190" s="300"/>
      <c r="AG190" s="300"/>
      <c r="AH190" s="300"/>
      <c r="AI190" s="300"/>
      <c r="AJ190" s="300"/>
      <c r="AK190" s="300"/>
      <c r="AL190" s="300"/>
      <c r="AM190" s="300"/>
      <c r="AN190" s="300"/>
      <c r="AO190" s="300"/>
      <c r="AP190" s="300"/>
      <c r="AQ190" s="300"/>
      <c r="AR190" s="300"/>
      <c r="AS190" s="300"/>
      <c r="AT190" s="300"/>
      <c r="AU190" s="300"/>
      <c r="AV190" s="300"/>
      <c r="AW190" s="300"/>
      <c r="AX190" s="300"/>
      <c r="AY190" s="300"/>
      <c r="AZ190" s="300"/>
      <c r="BA190" s="300"/>
      <c r="BB190" s="300"/>
      <c r="BC190" s="300"/>
      <c r="BD190" s="300"/>
      <c r="BE190" s="300"/>
      <c r="BF190" s="300"/>
      <c r="BG190" s="300"/>
      <c r="BH190" s="300"/>
      <c r="BI190" s="300"/>
      <c r="BJ190" s="300"/>
      <c r="BK190" s="300"/>
      <c r="BL190" s="300"/>
    </row>
    <row r="191" spans="1:64" ht="12" outlineLevel="1" thickBot="1" x14ac:dyDescent="0.25">
      <c r="A191" s="238"/>
      <c r="B191" s="300"/>
      <c r="C191" s="300"/>
      <c r="D191" s="300"/>
      <c r="E191" s="300"/>
      <c r="F191" s="300"/>
      <c r="G191" s="300"/>
      <c r="H191" s="300"/>
      <c r="I191" s="300"/>
      <c r="J191" s="300"/>
      <c r="K191" s="300"/>
      <c r="L191" s="300"/>
      <c r="M191" s="300"/>
      <c r="N191" s="300"/>
      <c r="O191" s="300"/>
      <c r="P191" s="300"/>
      <c r="Q191" s="300"/>
      <c r="R191" s="300"/>
      <c r="S191" s="300"/>
      <c r="T191" s="300"/>
      <c r="U191" s="300"/>
      <c r="V191" s="682"/>
      <c r="W191" s="682"/>
      <c r="X191" s="466"/>
      <c r="Y191" s="300"/>
      <c r="Z191" s="300"/>
      <c r="AA191" s="300"/>
      <c r="AB191" s="300"/>
      <c r="AC191" s="300"/>
      <c r="AD191" s="1463"/>
      <c r="AE191" s="300"/>
      <c r="AF191" s="300"/>
      <c r="AG191" s="300"/>
      <c r="AH191" s="300"/>
      <c r="AI191" s="300"/>
      <c r="AJ191" s="300"/>
      <c r="AK191" s="300"/>
      <c r="AL191" s="300"/>
      <c r="AM191" s="300"/>
      <c r="AN191" s="300"/>
      <c r="AO191" s="300"/>
      <c r="AP191" s="300"/>
      <c r="AQ191" s="300"/>
      <c r="AR191" s="300"/>
      <c r="AS191" s="300"/>
      <c r="AT191" s="300"/>
      <c r="AU191" s="300"/>
      <c r="AV191" s="300"/>
      <c r="AW191" s="300"/>
      <c r="AX191" s="300"/>
      <c r="AY191" s="300"/>
      <c r="AZ191" s="300"/>
      <c r="BA191" s="300"/>
      <c r="BB191" s="300"/>
      <c r="BC191" s="300"/>
      <c r="BD191" s="300"/>
      <c r="BE191" s="300"/>
      <c r="BF191" s="300"/>
      <c r="BG191" s="300"/>
      <c r="BH191" s="300"/>
      <c r="BI191" s="300"/>
      <c r="BJ191" s="300"/>
      <c r="BK191" s="300"/>
      <c r="BL191" s="300"/>
    </row>
    <row r="192" spans="1:64" ht="12" outlineLevel="1" thickBot="1" x14ac:dyDescent="0.25">
      <c r="A192" s="238"/>
      <c r="B192" s="289"/>
      <c r="C192" s="1433" t="s">
        <v>1241</v>
      </c>
      <c r="D192" s="1434"/>
      <c r="E192" s="1434"/>
      <c r="F192" s="1434"/>
      <c r="G192" s="1434"/>
      <c r="H192" s="1434"/>
      <c r="I192" s="1435"/>
      <c r="J192" s="1434"/>
      <c r="K192" s="1434"/>
      <c r="L192" s="1434"/>
      <c r="M192" s="1434"/>
      <c r="N192" s="1435"/>
      <c r="O192" s="1434"/>
      <c r="P192" s="1434"/>
      <c r="Q192" s="1434"/>
      <c r="R192" s="1434"/>
      <c r="S192" s="1435"/>
      <c r="T192" s="1434"/>
      <c r="U192" s="1434"/>
      <c r="V192" s="1586"/>
      <c r="W192" s="1586"/>
      <c r="X192" s="1435"/>
      <c r="Y192" s="1586"/>
      <c r="Z192" s="1586"/>
      <c r="AA192" s="1586"/>
      <c r="AB192" s="1586"/>
      <c r="AC192" s="1435"/>
      <c r="AD192" s="1586"/>
      <c r="AE192" s="1586"/>
      <c r="AF192" s="1586"/>
      <c r="AG192" s="1586"/>
      <c r="AH192" s="1435"/>
      <c r="AI192" s="1586" t="s">
        <v>1242</v>
      </c>
      <c r="AJ192" s="1586"/>
      <c r="AK192" s="1586"/>
      <c r="AL192" s="1586"/>
      <c r="AM192" s="1435"/>
      <c r="AN192" s="1586" t="s">
        <v>1242</v>
      </c>
      <c r="AO192" s="1586"/>
      <c r="AP192" s="1586"/>
      <c r="AQ192" s="1586"/>
      <c r="AR192" s="1435"/>
      <c r="AS192" s="1586" t="s">
        <v>1242</v>
      </c>
      <c r="AT192" s="1586"/>
      <c r="AU192" s="1586"/>
      <c r="AV192" s="1586"/>
      <c r="AW192" s="1435"/>
      <c r="AX192" s="1586" t="s">
        <v>1242</v>
      </c>
      <c r="AY192" s="1586"/>
      <c r="AZ192" s="1586"/>
      <c r="BA192" s="1586"/>
      <c r="BB192" s="1435"/>
      <c r="BC192" s="1586" t="s">
        <v>1242</v>
      </c>
      <c r="BD192" s="1586"/>
      <c r="BE192" s="1586"/>
      <c r="BF192" s="1586"/>
      <c r="BG192" s="1435"/>
      <c r="BH192" s="1586" t="s">
        <v>1242</v>
      </c>
      <c r="BI192" s="1586"/>
      <c r="BJ192" s="1586"/>
      <c r="BK192" s="1586"/>
      <c r="BL192" s="1435"/>
    </row>
    <row r="193" spans="1:64" outlineLevel="2" x14ac:dyDescent="0.2">
      <c r="A193" s="238"/>
      <c r="B193" s="289"/>
      <c r="C193" s="1380" t="str">
        <f>C107</f>
        <v>Rx Volume Growth</v>
      </c>
      <c r="D193" s="289"/>
      <c r="E193" s="1437"/>
      <c r="F193" s="1445"/>
      <c r="G193" s="1445"/>
      <c r="H193" s="1530"/>
      <c r="I193" s="1439"/>
      <c r="J193" s="1444"/>
      <c r="K193" s="1444"/>
      <c r="L193" s="1444"/>
      <c r="M193" s="1444"/>
      <c r="N193" s="1439"/>
      <c r="O193" s="1444"/>
      <c r="P193" s="1444"/>
      <c r="Q193" s="1444"/>
      <c r="R193" s="1444"/>
      <c r="S193" s="1439"/>
      <c r="T193" s="1444"/>
      <c r="U193" s="1444"/>
      <c r="V193" s="1587"/>
      <c r="W193" s="1589"/>
      <c r="X193" s="1439"/>
      <c r="Y193" s="1378"/>
      <c r="Z193" s="1589"/>
      <c r="AA193" s="1589"/>
      <c r="AB193" s="1588"/>
      <c r="AC193" s="394"/>
      <c r="AD193" s="1378"/>
      <c r="AE193" s="1589"/>
      <c r="AF193" s="1589"/>
      <c r="AG193" s="1588"/>
      <c r="AH193" s="394"/>
      <c r="AI193" s="1587"/>
      <c r="AJ193" s="1589"/>
      <c r="AK193" s="1589"/>
      <c r="AL193" s="1588"/>
      <c r="AM193" s="394"/>
      <c r="AN193" s="2566"/>
      <c r="AO193" s="2567"/>
      <c r="AP193" s="2567"/>
      <c r="AQ193" s="2568"/>
      <c r="AR193" s="394"/>
      <c r="AS193" s="1587"/>
      <c r="AT193" s="1589"/>
      <c r="AU193" s="1589"/>
      <c r="AV193" s="1588"/>
      <c r="AW193" s="394"/>
      <c r="AX193" s="1587"/>
      <c r="AY193" s="1589"/>
      <c r="AZ193" s="1589"/>
      <c r="BA193" s="1588"/>
      <c r="BB193" s="394"/>
      <c r="BC193" s="1587"/>
      <c r="BD193" s="1589"/>
      <c r="BE193" s="1589"/>
      <c r="BF193" s="1588"/>
      <c r="BG193" s="394"/>
      <c r="BH193" s="1587"/>
      <c r="BI193" s="1589"/>
      <c r="BJ193" s="1589"/>
      <c r="BK193" s="1588"/>
      <c r="BL193" s="394"/>
    </row>
    <row r="194" spans="1:64" outlineLevel="2" x14ac:dyDescent="0.2">
      <c r="A194" s="238"/>
      <c r="B194" s="289"/>
      <c r="C194" s="1383" t="str">
        <f>C108</f>
        <v>Retail</v>
      </c>
      <c r="D194" s="289"/>
      <c r="E194" s="1571">
        <f t="shared" ref="E194:H195" si="121">E176</f>
        <v>4.3816254416961131E-2</v>
      </c>
      <c r="F194" s="1533">
        <f t="shared" si="121"/>
        <v>8.8041085840058653E-2</v>
      </c>
      <c r="G194" s="1533">
        <f t="shared" si="121"/>
        <v>9.0029761904761862E-2</v>
      </c>
      <c r="H194" s="1533">
        <f t="shared" si="121"/>
        <v>-5.5520898315658207E-2</v>
      </c>
      <c r="I194" s="1590"/>
      <c r="J194" s="1533">
        <f t="shared" ref="J194:M195" si="122">J176</f>
        <v>-0.10629654705484082</v>
      </c>
      <c r="K194" s="1533">
        <f t="shared" si="122"/>
        <v>-0.13486176668914363</v>
      </c>
      <c r="L194" s="1533">
        <f t="shared" si="122"/>
        <v>-0.12491467576791815</v>
      </c>
      <c r="M194" s="1533">
        <f t="shared" si="122"/>
        <v>-0.12681638044914145</v>
      </c>
      <c r="N194" s="1590"/>
      <c r="O194" s="1533">
        <f t="shared" ref="O194:R195" si="123">O176</f>
        <v>0.19469696969696959</v>
      </c>
      <c r="P194" s="1533">
        <f t="shared" si="123"/>
        <v>0.35619641465315643</v>
      </c>
      <c r="Q194" s="1533">
        <f t="shared" si="123"/>
        <v>0.39781591263650551</v>
      </c>
      <c r="R194" s="1533">
        <f t="shared" si="123"/>
        <v>0.46019667170953116</v>
      </c>
      <c r="S194" s="1590"/>
      <c r="T194" s="1533">
        <f t="shared" ref="T194:V195" si="124">T176</f>
        <v>0.25871908687381118</v>
      </c>
      <c r="U194" s="1533">
        <f t="shared" si="124"/>
        <v>0.13687356321839084</v>
      </c>
      <c r="V194" s="1533">
        <f t="shared" si="124"/>
        <v>9.9330357142857206E-2</v>
      </c>
      <c r="W194" s="1533">
        <f>W176</f>
        <v>6.4557237435116432E-2</v>
      </c>
      <c r="X194" s="1590"/>
      <c r="Y194" s="1664">
        <f t="shared" ref="Y194:AA195" si="125">Y176</f>
        <v>4.3324937027707788E-2</v>
      </c>
      <c r="Z194" s="1664">
        <f t="shared" si="125"/>
        <v>4.0866259554333428E-2</v>
      </c>
      <c r="AA194" s="1664">
        <f t="shared" si="125"/>
        <v>1.9796954314720949E-2</v>
      </c>
      <c r="AB194" s="1725">
        <f>AB176</f>
        <v>-2.9197080291970545E-3</v>
      </c>
      <c r="AC194" s="1593"/>
      <c r="AD194" s="1664">
        <f t="shared" ref="AD194:AG195" si="126">AD176-3%</f>
        <v>-2.4999999999999998E-2</v>
      </c>
      <c r="AE194" s="1591">
        <f t="shared" si="126"/>
        <v>-2.4999999999999998E-2</v>
      </c>
      <c r="AF194" s="1591">
        <f t="shared" si="126"/>
        <v>-2.4999999999999998E-2</v>
      </c>
      <c r="AG194" s="1592">
        <f t="shared" si="126"/>
        <v>-2.4999999999999998E-2</v>
      </c>
      <c r="AH194" s="1593"/>
      <c r="AI194" s="1591">
        <v>0</v>
      </c>
      <c r="AJ194" s="1591">
        <v>0</v>
      </c>
      <c r="AK194" s="1591">
        <v>0</v>
      </c>
      <c r="AL194" s="1592">
        <v>0</v>
      </c>
      <c r="AM194" s="1593"/>
      <c r="AN194" s="2569">
        <f>AN176-0.03</f>
        <v>0.11000000000000001</v>
      </c>
      <c r="AO194" s="1591">
        <f t="shared" ref="AO194:AQ195" si="127">AO176-0.03</f>
        <v>0.2</v>
      </c>
      <c r="AP194" s="1591">
        <f t="shared" si="127"/>
        <v>0.2</v>
      </c>
      <c r="AQ194" s="1592">
        <f t="shared" si="127"/>
        <v>0.2</v>
      </c>
      <c r="AR194" s="1593"/>
      <c r="AS194" s="1591">
        <f t="shared" ref="AS194:AV195" si="128">AS176-2%</f>
        <v>6.9999999999999993E-2</v>
      </c>
      <c r="AT194" s="1591">
        <f t="shared" si="128"/>
        <v>0.09</v>
      </c>
      <c r="AU194" s="1591">
        <f t="shared" si="128"/>
        <v>0.08</v>
      </c>
      <c r="AV194" s="1592">
        <f t="shared" si="128"/>
        <v>6.9999999999999993E-2</v>
      </c>
      <c r="AW194" s="1593"/>
      <c r="AX194" s="2635">
        <v>2.5000000000000001E-2</v>
      </c>
      <c r="AY194" s="1570">
        <v>2.5000000000000001E-2</v>
      </c>
      <c r="AZ194" s="1570">
        <v>2.5000000000000001E-2</v>
      </c>
      <c r="BA194" s="1570">
        <v>2.5000000000000001E-2</v>
      </c>
      <c r="BB194" s="1593"/>
      <c r="BC194" s="1591">
        <v>-0.02</v>
      </c>
      <c r="BD194" s="1591">
        <v>-0.02</v>
      </c>
      <c r="BE194" s="1591">
        <v>-0.02</v>
      </c>
      <c r="BF194" s="1591">
        <v>-0.02</v>
      </c>
      <c r="BG194" s="1593"/>
      <c r="BH194" s="1591">
        <v>-0.02</v>
      </c>
      <c r="BI194" s="1591">
        <v>-0.02</v>
      </c>
      <c r="BJ194" s="1591">
        <v>-0.02</v>
      </c>
      <c r="BK194" s="1591">
        <v>-0.02</v>
      </c>
      <c r="BL194" s="1593"/>
    </row>
    <row r="195" spans="1:64" outlineLevel="2" x14ac:dyDescent="0.2">
      <c r="A195" s="238"/>
      <c r="B195" s="289"/>
      <c r="C195" s="1383" t="str">
        <f>C109</f>
        <v>Mail</v>
      </c>
      <c r="D195" s="289"/>
      <c r="E195" s="1571">
        <f t="shared" si="121"/>
        <v>2.614379084967311E-2</v>
      </c>
      <c r="F195" s="1533">
        <f t="shared" si="121"/>
        <v>5.3333333333333455E-2</v>
      </c>
      <c r="G195" s="1533">
        <f t="shared" si="121"/>
        <v>0.11564625850340127</v>
      </c>
      <c r="H195" s="1533">
        <f t="shared" si="121"/>
        <v>5.031446540880502E-2</v>
      </c>
      <c r="I195" s="1594"/>
      <c r="J195" s="1533">
        <f t="shared" si="122"/>
        <v>-1.2738853503184711E-2</v>
      </c>
      <c r="K195" s="1533">
        <f t="shared" si="122"/>
        <v>1.2658227848101111E-2</v>
      </c>
      <c r="L195" s="1533">
        <f t="shared" si="122"/>
        <v>-1.2195121951219523E-2</v>
      </c>
      <c r="M195" s="1533">
        <f t="shared" si="122"/>
        <v>-1.19760479041916E-2</v>
      </c>
      <c r="N195" s="1594"/>
      <c r="O195" s="1533">
        <f t="shared" si="123"/>
        <v>0.12903225806451624</v>
      </c>
      <c r="P195" s="1533">
        <f t="shared" si="123"/>
        <v>0.11250000000000004</v>
      </c>
      <c r="Q195" s="1533">
        <f t="shared" si="123"/>
        <v>8.0246913580247048E-2</v>
      </c>
      <c r="R195" s="1533">
        <f t="shared" si="123"/>
        <v>7.9272727272726939E-2</v>
      </c>
      <c r="S195" s="1594"/>
      <c r="T195" s="1533">
        <f t="shared" si="124"/>
        <v>0.1657142857142857</v>
      </c>
      <c r="U195" s="1533">
        <f t="shared" si="124"/>
        <v>0.15387640449438211</v>
      </c>
      <c r="V195" s="1533">
        <f t="shared" si="124"/>
        <v>0.1657142857142857</v>
      </c>
      <c r="W195" s="1533">
        <f>W177</f>
        <v>0.14555256064690036</v>
      </c>
      <c r="X195" s="1594"/>
      <c r="Y195" s="1664">
        <f t="shared" si="125"/>
        <v>4.9019607843137081E-3</v>
      </c>
      <c r="Z195" s="1664">
        <f t="shared" si="125"/>
        <v>7.8387458006716759E-3</v>
      </c>
      <c r="AA195" s="1664">
        <f t="shared" si="125"/>
        <v>2.941176470588247E-2</v>
      </c>
      <c r="AB195" s="1725">
        <f>AB177</f>
        <v>2.941176470588247E-2</v>
      </c>
      <c r="AC195" s="1595"/>
      <c r="AD195" s="1664">
        <f t="shared" si="126"/>
        <v>-6.4146341463414552E-2</v>
      </c>
      <c r="AE195" s="1591">
        <f t="shared" si="126"/>
        <v>-3.9661835748792201E-2</v>
      </c>
      <c r="AF195" s="1591">
        <f t="shared" si="126"/>
        <v>-4.4285714285714345E-2</v>
      </c>
      <c r="AG195" s="1592">
        <f t="shared" si="126"/>
        <v>-1.5714285714285764E-2</v>
      </c>
      <c r="AH195" s="1595"/>
      <c r="AI195" s="1591">
        <v>-0.04</v>
      </c>
      <c r="AJ195" s="1591">
        <v>-0.04</v>
      </c>
      <c r="AK195" s="1591">
        <v>-0.04</v>
      </c>
      <c r="AL195" s="1592">
        <v>-0.04</v>
      </c>
      <c r="AM195" s="1595"/>
      <c r="AN195" s="2569">
        <f>AN177-0.03</f>
        <v>2.0000000000000004E-2</v>
      </c>
      <c r="AO195" s="1591">
        <f t="shared" si="127"/>
        <v>0.09</v>
      </c>
      <c r="AP195" s="1591">
        <f t="shared" si="127"/>
        <v>0.09</v>
      </c>
      <c r="AQ195" s="1592">
        <f t="shared" si="127"/>
        <v>4.0000000000000008E-2</v>
      </c>
      <c r="AR195" s="1595"/>
      <c r="AS195" s="1591">
        <f t="shared" si="128"/>
        <v>9.9999999999999985E-3</v>
      </c>
      <c r="AT195" s="1591">
        <f t="shared" si="128"/>
        <v>2.4999999999999998E-2</v>
      </c>
      <c r="AU195" s="1591">
        <f t="shared" si="128"/>
        <v>3.0000000000000002E-2</v>
      </c>
      <c r="AV195" s="1592">
        <f t="shared" si="128"/>
        <v>5.000000000000001E-3</v>
      </c>
      <c r="AW195" s="1595"/>
      <c r="AX195" s="2635">
        <v>0.02</v>
      </c>
      <c r="AY195" s="1570">
        <v>0.02</v>
      </c>
      <c r="AZ195" s="1570">
        <v>0.02</v>
      </c>
      <c r="BA195" s="1570">
        <v>0.02</v>
      </c>
      <c r="BB195" s="1595"/>
      <c r="BC195" s="1591">
        <v>-0.02</v>
      </c>
      <c r="BD195" s="1591">
        <v>-0.02</v>
      </c>
      <c r="BE195" s="1591">
        <v>-0.02</v>
      </c>
      <c r="BF195" s="1591">
        <v>-0.02</v>
      </c>
      <c r="BG195" s="1595"/>
      <c r="BH195" s="1591">
        <v>-0.02</v>
      </c>
      <c r="BI195" s="1591">
        <v>-0.02</v>
      </c>
      <c r="BJ195" s="1591">
        <v>-0.02</v>
      </c>
      <c r="BK195" s="1591">
        <v>-0.02</v>
      </c>
      <c r="BL195" s="1595"/>
    </row>
    <row r="196" spans="1:64" outlineLevel="2" x14ac:dyDescent="0.2">
      <c r="A196" s="238"/>
      <c r="B196" s="289"/>
      <c r="C196" s="1380"/>
      <c r="D196" s="289"/>
      <c r="E196" s="1437"/>
      <c r="F196" s="1445"/>
      <c r="G196" s="1445"/>
      <c r="H196" s="1530"/>
      <c r="I196" s="1439"/>
      <c r="J196" s="1531"/>
      <c r="K196" s="1531"/>
      <c r="L196" s="1531"/>
      <c r="M196" s="1531"/>
      <c r="N196" s="1439"/>
      <c r="O196" s="1531"/>
      <c r="P196" s="1531"/>
      <c r="Q196" s="1531"/>
      <c r="R196" s="1531"/>
      <c r="S196" s="1439"/>
      <c r="T196" s="1531"/>
      <c r="U196" s="1531"/>
      <c r="V196" s="1531"/>
      <c r="W196" s="1531"/>
      <c r="X196" s="1439"/>
      <c r="Y196" s="1659"/>
      <c r="Z196" s="1684"/>
      <c r="AA196" s="1684"/>
      <c r="AB196" s="1721"/>
      <c r="AC196" s="394"/>
      <c r="AD196" s="1659"/>
      <c r="AE196" s="1563"/>
      <c r="AF196" s="1563"/>
      <c r="AG196" s="1561"/>
      <c r="AH196" s="394"/>
      <c r="AI196" s="1560"/>
      <c r="AJ196" s="1563"/>
      <c r="AK196" s="1563"/>
      <c r="AL196" s="1561"/>
      <c r="AM196" s="394"/>
      <c r="AN196" s="2513"/>
      <c r="AO196" s="1563"/>
      <c r="AP196" s="1563"/>
      <c r="AQ196" s="1561"/>
      <c r="AR196" s="394"/>
      <c r="AS196" s="1560"/>
      <c r="AT196" s="1563"/>
      <c r="AU196" s="1563"/>
      <c r="AV196" s="1561"/>
      <c r="AW196" s="394"/>
      <c r="AX196" s="1560"/>
      <c r="AY196" s="1563"/>
      <c r="AZ196" s="1563"/>
      <c r="BA196" s="1561"/>
      <c r="BB196" s="394"/>
      <c r="BC196" s="1560"/>
      <c r="BD196" s="1563"/>
      <c r="BE196" s="1563"/>
      <c r="BF196" s="1561"/>
      <c r="BG196" s="394"/>
      <c r="BH196" s="1560"/>
      <c r="BI196" s="1563"/>
      <c r="BJ196" s="1563"/>
      <c r="BK196" s="1561"/>
      <c r="BL196" s="394"/>
    </row>
    <row r="197" spans="1:64" outlineLevel="2" x14ac:dyDescent="0.2">
      <c r="A197" s="238"/>
      <c r="B197" s="289"/>
      <c r="C197" s="1538" t="str">
        <f>C111</f>
        <v>Gross Margin Estimates</v>
      </c>
      <c r="D197" s="289"/>
      <c r="E197" s="1437"/>
      <c r="F197" s="1445"/>
      <c r="G197" s="1445"/>
      <c r="H197" s="1530"/>
      <c r="I197" s="1439"/>
      <c r="J197" s="1531"/>
      <c r="K197" s="1531"/>
      <c r="L197" s="1531"/>
      <c r="M197" s="1531"/>
      <c r="N197" s="1439"/>
      <c r="O197" s="1531"/>
      <c r="P197" s="1531"/>
      <c r="Q197" s="1531"/>
      <c r="R197" s="1531"/>
      <c r="S197" s="1439"/>
      <c r="T197" s="1531"/>
      <c r="U197" s="1531"/>
      <c r="V197" s="1531"/>
      <c r="W197" s="1531"/>
      <c r="X197" s="1439"/>
      <c r="Y197" s="1659"/>
      <c r="Z197" s="1684"/>
      <c r="AA197" s="1684"/>
      <c r="AB197" s="1721"/>
      <c r="AC197" s="394"/>
      <c r="AD197" s="1659"/>
      <c r="AE197" s="1563"/>
      <c r="AF197" s="1563"/>
      <c r="AG197" s="1561"/>
      <c r="AH197" s="394"/>
      <c r="AI197" s="1560"/>
      <c r="AJ197" s="1563"/>
      <c r="AK197" s="1563"/>
      <c r="AL197" s="1561"/>
      <c r="AM197" s="394"/>
      <c r="AN197" s="2513"/>
      <c r="AO197" s="1563"/>
      <c r="AP197" s="1563"/>
      <c r="AQ197" s="1561"/>
      <c r="AR197" s="394"/>
      <c r="AS197" s="1560"/>
      <c r="AT197" s="1563"/>
      <c r="AU197" s="1563"/>
      <c r="AV197" s="1561"/>
      <c r="AW197" s="394"/>
      <c r="AX197" s="1560"/>
      <c r="AY197" s="1563"/>
      <c r="AZ197" s="1563"/>
      <c r="BA197" s="1561"/>
      <c r="BB197" s="394"/>
      <c r="BC197" s="1560"/>
      <c r="BD197" s="1563"/>
      <c r="BE197" s="1563"/>
      <c r="BF197" s="1561"/>
      <c r="BG197" s="394"/>
      <c r="BH197" s="1560"/>
      <c r="BI197" s="1563"/>
      <c r="BJ197" s="1563"/>
      <c r="BK197" s="1561"/>
      <c r="BL197" s="394"/>
    </row>
    <row r="198" spans="1:64" outlineLevel="2" x14ac:dyDescent="0.2">
      <c r="A198" s="238"/>
      <c r="B198" s="289"/>
      <c r="C198" s="351" t="str">
        <f>C112</f>
        <v>RETAIL NETWORK</v>
      </c>
      <c r="D198" s="289"/>
      <c r="E198" s="1437"/>
      <c r="F198" s="1445"/>
      <c r="G198" s="1445"/>
      <c r="H198" s="1530"/>
      <c r="I198" s="1439"/>
      <c r="J198" s="1531"/>
      <c r="K198" s="1531"/>
      <c r="L198" s="1531"/>
      <c r="M198" s="1531"/>
      <c r="N198" s="1439"/>
      <c r="O198" s="1531"/>
      <c r="P198" s="1531"/>
      <c r="Q198" s="1531"/>
      <c r="R198" s="1531"/>
      <c r="S198" s="1439"/>
      <c r="T198" s="1531"/>
      <c r="U198" s="1531"/>
      <c r="V198" s="1531"/>
      <c r="W198" s="1531"/>
      <c r="X198" s="1439"/>
      <c r="Y198" s="1659"/>
      <c r="Z198" s="1684"/>
      <c r="AA198" s="1684"/>
      <c r="AB198" s="1721"/>
      <c r="AC198" s="394"/>
      <c r="AD198" s="1659"/>
      <c r="AE198" s="1563"/>
      <c r="AF198" s="1563"/>
      <c r="AG198" s="1561"/>
      <c r="AH198" s="394"/>
      <c r="AI198" s="1560"/>
      <c r="AJ198" s="1563"/>
      <c r="AK198" s="1563"/>
      <c r="AL198" s="1561"/>
      <c r="AM198" s="394"/>
      <c r="AN198" s="2513"/>
      <c r="AO198" s="1563"/>
      <c r="AP198" s="1563"/>
      <c r="AQ198" s="1561"/>
      <c r="AR198" s="394"/>
      <c r="AS198" s="1560"/>
      <c r="AT198" s="1563"/>
      <c r="AU198" s="1563"/>
      <c r="AV198" s="1561"/>
      <c r="AW198" s="394"/>
      <c r="AX198" s="1560"/>
      <c r="AY198" s="1563"/>
      <c r="AZ198" s="1563"/>
      <c r="BA198" s="1561"/>
      <c r="BB198" s="394"/>
      <c r="BC198" s="1560"/>
      <c r="BD198" s="1563"/>
      <c r="BE198" s="1563"/>
      <c r="BF198" s="1561"/>
      <c r="BG198" s="394"/>
      <c r="BH198" s="1560"/>
      <c r="BI198" s="1563"/>
      <c r="BJ198" s="1563"/>
      <c r="BK198" s="1561"/>
      <c r="BL198" s="394"/>
    </row>
    <row r="199" spans="1:64" outlineLevel="2" x14ac:dyDescent="0.2">
      <c r="A199" s="238"/>
      <c r="B199" s="289"/>
      <c r="C199" s="265" t="str">
        <f>C113</f>
        <v>Generics</v>
      </c>
      <c r="D199" s="289"/>
      <c r="E199" s="1476">
        <f t="shared" ref="E199:H200" si="129">E181</f>
        <v>0.104</v>
      </c>
      <c r="F199" s="1479">
        <f t="shared" si="129"/>
        <v>0.104</v>
      </c>
      <c r="G199" s="1479">
        <f t="shared" si="129"/>
        <v>0.104</v>
      </c>
      <c r="H199" s="1479">
        <f t="shared" si="129"/>
        <v>0.104</v>
      </c>
      <c r="I199" s="1439"/>
      <c r="J199" s="1479">
        <f t="shared" ref="J199:M200" si="130">J181</f>
        <v>0.104</v>
      </c>
      <c r="K199" s="1479">
        <f t="shared" si="130"/>
        <v>0.104</v>
      </c>
      <c r="L199" s="1553">
        <f t="shared" si="130"/>
        <v>0.104</v>
      </c>
      <c r="M199" s="1553">
        <f t="shared" si="130"/>
        <v>0.104</v>
      </c>
      <c r="N199" s="1439"/>
      <c r="O199" s="1553">
        <f t="shared" ref="O199:R200" si="131">O181</f>
        <v>8.0243412470649603E-2</v>
      </c>
      <c r="P199" s="1553">
        <f t="shared" si="131"/>
        <v>8.0243412470649603E-2</v>
      </c>
      <c r="Q199" s="1553">
        <f t="shared" si="131"/>
        <v>0.10586486859226003</v>
      </c>
      <c r="R199" s="1553">
        <f t="shared" si="131"/>
        <v>0.10249999999999999</v>
      </c>
      <c r="S199" s="1439"/>
      <c r="T199" s="1553">
        <f t="shared" ref="T199:V200" si="132">T181</f>
        <v>5.2491253614573338E-2</v>
      </c>
      <c r="U199" s="1553">
        <f t="shared" si="132"/>
        <v>6.8460742533293359E-2</v>
      </c>
      <c r="V199" s="1553">
        <f t="shared" si="132"/>
        <v>0.11018468909455437</v>
      </c>
      <c r="W199" s="1553">
        <f>W181</f>
        <v>0.1195</v>
      </c>
      <c r="X199" s="1439"/>
      <c r="Y199" s="1553">
        <f t="shared" ref="Y199:AA200" si="133">Y181</f>
        <v>5.3650000000000003E-2</v>
      </c>
      <c r="Z199" s="1553">
        <f t="shared" si="133"/>
        <v>8.1260159360425688E-2</v>
      </c>
      <c r="AA199" s="1553">
        <f t="shared" si="133"/>
        <v>0.115</v>
      </c>
      <c r="AB199" s="1717">
        <f>AB181</f>
        <v>9.2499999999999999E-2</v>
      </c>
      <c r="AC199" s="394"/>
      <c r="AD199" s="1553">
        <f>AD181-0.5%</f>
        <v>7.7499999999999999E-2</v>
      </c>
      <c r="AE199" s="1542">
        <f>AE181-0.5%</f>
        <v>7.7499999999999999E-2</v>
      </c>
      <c r="AF199" s="1542">
        <f>AF181-0.5%</f>
        <v>7.7499999999999999E-2</v>
      </c>
      <c r="AG199" s="1542">
        <f>AG181-0.5%</f>
        <v>7.7499999999999999E-2</v>
      </c>
      <c r="AH199" s="1439"/>
      <c r="AI199" s="1749">
        <f>AI181-0.05%</f>
        <v>8.2000000000000003E-2</v>
      </c>
      <c r="AJ199" s="1749">
        <f>AJ181-0.05%</f>
        <v>8.2000000000000003E-2</v>
      </c>
      <c r="AK199" s="1749">
        <f>AK181-0.05%</f>
        <v>8.2000000000000003E-2</v>
      </c>
      <c r="AL199" s="1750">
        <f>AL181-0.05%</f>
        <v>7.9500000000000001E-2</v>
      </c>
      <c r="AM199" s="1439"/>
      <c r="AN199" s="2608">
        <f>AN181-1%</f>
        <v>6.5000000000000002E-2</v>
      </c>
      <c r="AO199" s="1543">
        <f>AO181-1%</f>
        <v>6.3E-2</v>
      </c>
      <c r="AP199" s="1543">
        <f>AP181-1%</f>
        <v>8.7500000000000008E-2</v>
      </c>
      <c r="AQ199" s="1544">
        <f>AQ181-1%</f>
        <v>6.5000000000000002E-2</v>
      </c>
      <c r="AR199" s="394"/>
      <c r="AS199" s="1542">
        <f>AS181-1%</f>
        <v>0.04</v>
      </c>
      <c r="AT199" s="1542">
        <f>AT181-1%</f>
        <v>5.8000000000000003E-2</v>
      </c>
      <c r="AU199" s="1542">
        <f>AU181-1%</f>
        <v>0.08</v>
      </c>
      <c r="AV199" s="1542">
        <f>AV181-1%</f>
        <v>7.5000000000000011E-2</v>
      </c>
      <c r="AW199" s="1439"/>
      <c r="AX199" s="1542">
        <f>AX181-0.5%</f>
        <v>4.5000000000000005E-2</v>
      </c>
      <c r="AY199" s="1542">
        <f t="shared" ref="AY199:BA199" si="134">AY181-0.5%</f>
        <v>6.8000000000000005E-2</v>
      </c>
      <c r="AZ199" s="1542">
        <f t="shared" si="134"/>
        <v>0.09</v>
      </c>
      <c r="BA199" s="1542">
        <f t="shared" si="134"/>
        <v>8.5000000000000006E-2</v>
      </c>
      <c r="BB199" s="1439"/>
      <c r="BC199" s="1542">
        <f>BC181-0.5%</f>
        <v>4.4000000000000004E-2</v>
      </c>
      <c r="BD199" s="1542">
        <f t="shared" ref="BD199:BF199" si="135">BD181-0.5%</f>
        <v>6.7000000000000004E-2</v>
      </c>
      <c r="BE199" s="1542">
        <f t="shared" si="135"/>
        <v>8.8999999999999996E-2</v>
      </c>
      <c r="BF199" s="1542">
        <f t="shared" si="135"/>
        <v>8.4000000000000005E-2</v>
      </c>
      <c r="BG199" s="1439"/>
      <c r="BH199" s="1542">
        <f>BH181-0.5%</f>
        <v>4.3000000000000003E-2</v>
      </c>
      <c r="BI199" s="1542">
        <f t="shared" ref="BI199:BK199" si="136">BI181-0.5%</f>
        <v>6.6000000000000003E-2</v>
      </c>
      <c r="BJ199" s="1542">
        <f t="shared" si="136"/>
        <v>8.7999999999999995E-2</v>
      </c>
      <c r="BK199" s="1542">
        <f t="shared" si="136"/>
        <v>8.3000000000000004E-2</v>
      </c>
      <c r="BL199" s="1439"/>
    </row>
    <row r="200" spans="1:64" outlineLevel="2" x14ac:dyDescent="0.2">
      <c r="A200" s="238"/>
      <c r="B200" s="289"/>
      <c r="C200" s="265" t="str">
        <f>C114</f>
        <v>Brand</v>
      </c>
      <c r="D200" s="289"/>
      <c r="E200" s="1476">
        <f t="shared" si="129"/>
        <v>8.9999999999999993E-3</v>
      </c>
      <c r="F200" s="1479">
        <f t="shared" si="129"/>
        <v>7.4999999999999997E-3</v>
      </c>
      <c r="G200" s="1479">
        <f t="shared" si="129"/>
        <v>7.4999999999999997E-3</v>
      </c>
      <c r="H200" s="1479">
        <f t="shared" si="129"/>
        <v>7.4999999999999997E-3</v>
      </c>
      <c r="I200" s="1439"/>
      <c r="J200" s="1479">
        <f t="shared" si="130"/>
        <v>7.4999999999999997E-3</v>
      </c>
      <c r="K200" s="1479">
        <f t="shared" si="130"/>
        <v>7.4999999999999997E-3</v>
      </c>
      <c r="L200" s="1553">
        <f t="shared" si="130"/>
        <v>7.4999999999999997E-3</v>
      </c>
      <c r="M200" s="1553">
        <f t="shared" si="130"/>
        <v>7.4999999999999997E-3</v>
      </c>
      <c r="N200" s="1439"/>
      <c r="O200" s="1553">
        <f t="shared" si="131"/>
        <v>6.0031307070180012E-3</v>
      </c>
      <c r="P200" s="1553">
        <f t="shared" si="131"/>
        <v>6.0031307070180012E-3</v>
      </c>
      <c r="Q200" s="1553">
        <f t="shared" si="131"/>
        <v>7.5429695131731004E-3</v>
      </c>
      <c r="R200" s="1553">
        <f t="shared" si="131"/>
        <v>7.5429695131731004E-3</v>
      </c>
      <c r="S200" s="1439"/>
      <c r="T200" s="1553">
        <f t="shared" si="132"/>
        <v>6.0000000000000001E-3</v>
      </c>
      <c r="U200" s="1553">
        <f t="shared" si="132"/>
        <v>7.0000000000000001E-3</v>
      </c>
      <c r="V200" s="1553">
        <f t="shared" si="132"/>
        <v>8.9999999999999993E-3</v>
      </c>
      <c r="W200" s="1553">
        <f>W182</f>
        <v>1.15E-2</v>
      </c>
      <c r="X200" s="1439"/>
      <c r="Y200" s="1553">
        <f t="shared" si="133"/>
        <v>6.0000000000000001E-3</v>
      </c>
      <c r="Z200" s="1553">
        <f t="shared" si="133"/>
        <v>7.8729078758293467E-3</v>
      </c>
      <c r="AA200" s="1553">
        <f t="shared" si="133"/>
        <v>1.15E-2</v>
      </c>
      <c r="AB200" s="1717">
        <f>AB182</f>
        <v>0.01</v>
      </c>
      <c r="AC200" s="394"/>
      <c r="AD200" s="1553">
        <f>AD182-0.1%</f>
        <v>9.0000000000000011E-3</v>
      </c>
      <c r="AE200" s="1542">
        <f>AE182-0.1%</f>
        <v>9.0000000000000011E-3</v>
      </c>
      <c r="AF200" s="1542">
        <f>AF182-0.1%</f>
        <v>9.0000000000000011E-3</v>
      </c>
      <c r="AG200" s="1542">
        <f>AG182-0.1%</f>
        <v>9.0000000000000011E-3</v>
      </c>
      <c r="AH200" s="1439"/>
      <c r="AI200" s="1542">
        <f>AI182-0.1%</f>
        <v>9.0000000000000011E-3</v>
      </c>
      <c r="AJ200" s="1542">
        <f>AJ182-0.1%</f>
        <v>9.0000000000000011E-3</v>
      </c>
      <c r="AK200" s="1542">
        <f>AK182-0.1%</f>
        <v>9.0000000000000011E-3</v>
      </c>
      <c r="AL200" s="1542">
        <f>AL182-0.1%</f>
        <v>9.0000000000000011E-3</v>
      </c>
      <c r="AM200" s="1439"/>
      <c r="AN200" s="2570">
        <f>AN182-0.1%</f>
        <v>8.0000000000000002E-3</v>
      </c>
      <c r="AO200" s="1543">
        <f>AO182-0.1%</f>
        <v>8.0000000000000002E-3</v>
      </c>
      <c r="AP200" s="1543">
        <f>AP182-0.1%</f>
        <v>9.0000000000000011E-3</v>
      </c>
      <c r="AQ200" s="1544">
        <f>AQ182-0.1%</f>
        <v>9.0000000000000011E-3</v>
      </c>
      <c r="AR200" s="394"/>
      <c r="AS200" s="1542">
        <f>AS182-0.1%</f>
        <v>8.0000000000000002E-3</v>
      </c>
      <c r="AT200" s="1542">
        <f>AT182-0.1%</f>
        <v>8.0000000000000002E-3</v>
      </c>
      <c r="AU200" s="1542">
        <f>AU182-0.1%</f>
        <v>9.0000000000000011E-3</v>
      </c>
      <c r="AV200" s="1542">
        <f>AV182-0.1%</f>
        <v>9.0000000000000011E-3</v>
      </c>
      <c r="AW200" s="1439"/>
      <c r="AX200" s="1542">
        <v>6.0000000000000001E-3</v>
      </c>
      <c r="AY200" s="1542">
        <v>6.0000000000000001E-3</v>
      </c>
      <c r="AZ200" s="1542">
        <v>6.0000000000000001E-3</v>
      </c>
      <c r="BA200" s="1542">
        <v>6.0000000000000001E-3</v>
      </c>
      <c r="BB200" s="1439"/>
      <c r="BC200" s="1542">
        <v>6.0000000000000001E-3</v>
      </c>
      <c r="BD200" s="1542">
        <v>6.0000000000000001E-3</v>
      </c>
      <c r="BE200" s="1542">
        <v>6.0000000000000001E-3</v>
      </c>
      <c r="BF200" s="1542">
        <v>6.0000000000000001E-3</v>
      </c>
      <c r="BG200" s="1439"/>
      <c r="BH200" s="1542">
        <v>6.0000000000000001E-3</v>
      </c>
      <c r="BI200" s="1542">
        <v>6.0000000000000001E-3</v>
      </c>
      <c r="BJ200" s="1542">
        <v>6.0000000000000001E-3</v>
      </c>
      <c r="BK200" s="1542">
        <v>6.0000000000000001E-3</v>
      </c>
      <c r="BL200" s="1439"/>
    </row>
    <row r="201" spans="1:64" outlineLevel="2" x14ac:dyDescent="0.2">
      <c r="A201" s="238"/>
      <c r="B201" s="289"/>
      <c r="C201" s="265"/>
      <c r="D201" s="289"/>
      <c r="E201" s="1437"/>
      <c r="F201" s="1445"/>
      <c r="G201" s="1445"/>
      <c r="H201" s="1530"/>
      <c r="I201" s="1439"/>
      <c r="J201" s="1531"/>
      <c r="K201" s="1531"/>
      <c r="L201" s="1531"/>
      <c r="M201" s="1531"/>
      <c r="N201" s="1439"/>
      <c r="O201" s="1531"/>
      <c r="P201" s="1531"/>
      <c r="Q201" s="1531"/>
      <c r="R201" s="1531"/>
      <c r="S201" s="1439"/>
      <c r="T201" s="1531"/>
      <c r="U201" s="1531"/>
      <c r="V201" s="1531"/>
      <c r="W201" s="1531"/>
      <c r="X201" s="1439"/>
      <c r="Y201" s="1545"/>
      <c r="Z201" s="1545"/>
      <c r="AA201" s="1545"/>
      <c r="AB201" s="1718"/>
      <c r="AC201" s="394"/>
      <c r="AD201" s="1545"/>
      <c r="AE201" s="1531"/>
      <c r="AF201" s="1531"/>
      <c r="AG201" s="1531"/>
      <c r="AH201" s="1439"/>
      <c r="AI201" s="1531"/>
      <c r="AJ201" s="1531"/>
      <c r="AK201" s="1531"/>
      <c r="AL201" s="1531"/>
      <c r="AM201" s="1439"/>
      <c r="AN201" s="2571"/>
      <c r="AO201" s="1531"/>
      <c r="AP201" s="1531"/>
      <c r="AQ201" s="1532"/>
      <c r="AR201" s="394"/>
      <c r="AS201" s="1531"/>
      <c r="AT201" s="1531"/>
      <c r="AU201" s="1531"/>
      <c r="AV201" s="1531"/>
      <c r="AW201" s="1439"/>
      <c r="AX201" s="1531"/>
      <c r="AY201" s="1531"/>
      <c r="AZ201" s="1531"/>
      <c r="BA201" s="1531"/>
      <c r="BB201" s="1439"/>
      <c r="BC201" s="1531"/>
      <c r="BD201" s="1531"/>
      <c r="BE201" s="1531"/>
      <c r="BF201" s="1531"/>
      <c r="BG201" s="1439"/>
      <c r="BH201" s="1531"/>
      <c r="BI201" s="1531"/>
      <c r="BJ201" s="1531"/>
      <c r="BK201" s="1531"/>
      <c r="BL201" s="1439"/>
    </row>
    <row r="202" spans="1:64" outlineLevel="2" x14ac:dyDescent="0.2">
      <c r="A202" s="238"/>
      <c r="B202" s="289"/>
      <c r="C202" s="351" t="str">
        <f>C116</f>
        <v>MAIL ORDER</v>
      </c>
      <c r="D202" s="289"/>
      <c r="E202" s="1437"/>
      <c r="F202" s="1445"/>
      <c r="G202" s="1445"/>
      <c r="H202" s="1530"/>
      <c r="I202" s="1439"/>
      <c r="J202" s="1531"/>
      <c r="K202" s="1531"/>
      <c r="L202" s="1531"/>
      <c r="M202" s="1531"/>
      <c r="N202" s="1439"/>
      <c r="O202" s="1531"/>
      <c r="P202" s="1531"/>
      <c r="Q202" s="1531"/>
      <c r="R202" s="1531"/>
      <c r="S202" s="1439"/>
      <c r="T202" s="1531"/>
      <c r="U202" s="1531"/>
      <c r="V202" s="1531"/>
      <c r="W202" s="1531"/>
      <c r="X202" s="1439"/>
      <c r="Y202" s="1545"/>
      <c r="Z202" s="1545"/>
      <c r="AA202" s="1545"/>
      <c r="AB202" s="1718"/>
      <c r="AC202" s="394"/>
      <c r="AD202" s="1545"/>
      <c r="AE202" s="1531"/>
      <c r="AF202" s="1531"/>
      <c r="AG202" s="1531"/>
      <c r="AH202" s="1439"/>
      <c r="AI202" s="1531"/>
      <c r="AJ202" s="1531"/>
      <c r="AK202" s="1531"/>
      <c r="AL202" s="1531"/>
      <c r="AM202" s="1439"/>
      <c r="AN202" s="2571"/>
      <c r="AO202" s="1531"/>
      <c r="AP202" s="1531"/>
      <c r="AQ202" s="1532"/>
      <c r="AR202" s="394"/>
      <c r="AS202" s="1531"/>
      <c r="AT202" s="1531"/>
      <c r="AU202" s="1531"/>
      <c r="AV202" s="1531"/>
      <c r="AW202" s="1439"/>
      <c r="AX202" s="1531"/>
      <c r="AY202" s="1531"/>
      <c r="AZ202" s="1531"/>
      <c r="BA202" s="1531"/>
      <c r="BB202" s="1439"/>
      <c r="BC202" s="1531"/>
      <c r="BD202" s="1531"/>
      <c r="BE202" s="1531"/>
      <c r="BF202" s="1531"/>
      <c r="BG202" s="1439"/>
      <c r="BH202" s="1531"/>
      <c r="BI202" s="1531"/>
      <c r="BJ202" s="1531"/>
      <c r="BK202" s="1531"/>
      <c r="BL202" s="1439"/>
    </row>
    <row r="203" spans="1:64" outlineLevel="2" x14ac:dyDescent="0.2">
      <c r="A203" s="238"/>
      <c r="B203" s="289"/>
      <c r="C203" s="265" t="str">
        <f>C117</f>
        <v>Generics</v>
      </c>
      <c r="D203" s="289"/>
      <c r="E203" s="1437">
        <f t="shared" ref="E203:H204" si="137">E185</f>
        <v>0.66704592492694781</v>
      </c>
      <c r="F203" s="1438">
        <f t="shared" si="137"/>
        <v>0.7631213268098056</v>
      </c>
      <c r="G203" s="1438">
        <f t="shared" si="137"/>
        <v>0.89780661712908061</v>
      </c>
      <c r="H203" s="1438">
        <f t="shared" si="137"/>
        <v>0.92084064415982603</v>
      </c>
      <c r="I203" s="1439"/>
      <c r="J203" s="1438">
        <f t="shared" ref="J203:M204" si="138">J185</f>
        <v>0.6</v>
      </c>
      <c r="K203" s="1438">
        <f t="shared" si="138"/>
        <v>0.59450000000000003</v>
      </c>
      <c r="L203" s="1553">
        <f t="shared" si="138"/>
        <v>0.63300000000000001</v>
      </c>
      <c r="M203" s="1553">
        <f t="shared" si="138"/>
        <v>0.58199999999999996</v>
      </c>
      <c r="N203" s="1439"/>
      <c r="O203" s="1553">
        <f t="shared" ref="O203:R204" si="139">O185</f>
        <v>0.32550663447735645</v>
      </c>
      <c r="P203" s="1553">
        <f t="shared" si="139"/>
        <v>0.39406131296508312</v>
      </c>
      <c r="Q203" s="1553">
        <f t="shared" si="139"/>
        <v>0.54887123396072002</v>
      </c>
      <c r="R203" s="1553">
        <f t="shared" si="139"/>
        <v>0.54575766152042926</v>
      </c>
      <c r="S203" s="1439"/>
      <c r="T203" s="1553">
        <f t="shared" ref="T203:V204" si="140">T185</f>
        <v>0.25</v>
      </c>
      <c r="U203" s="1553">
        <f t="shared" si="140"/>
        <v>0.28999999999999998</v>
      </c>
      <c r="V203" s="1553">
        <f t="shared" si="140"/>
        <v>0.37</v>
      </c>
      <c r="W203" s="1553">
        <f>W185</f>
        <v>0.40500000000000003</v>
      </c>
      <c r="X203" s="1439"/>
      <c r="Y203" s="1553">
        <f t="shared" ref="Y203:AA204" si="141">Y185</f>
        <v>0.3</v>
      </c>
      <c r="Z203" s="1553">
        <f t="shared" si="141"/>
        <v>0.30838051131950339</v>
      </c>
      <c r="AA203" s="1553">
        <f t="shared" si="141"/>
        <v>0.39250000000000002</v>
      </c>
      <c r="AB203" s="1717">
        <f>AB185</f>
        <v>0.34634999999999999</v>
      </c>
      <c r="AC203" s="394"/>
      <c r="AD203" s="1553">
        <f>AD185-1%</f>
        <v>0.28999999999999998</v>
      </c>
      <c r="AE203" s="1542">
        <f>AE185-1%</f>
        <v>0.28999999999999998</v>
      </c>
      <c r="AF203" s="1542">
        <f>AF185-1%</f>
        <v>0.28999999999999998</v>
      </c>
      <c r="AG203" s="1542">
        <f>AG185-1%</f>
        <v>0.28999999999999998</v>
      </c>
      <c r="AH203" s="1594"/>
      <c r="AI203" s="1542">
        <f t="shared" ref="AI203:AL204" si="142">AI185-0.05%</f>
        <v>0.29949999999999999</v>
      </c>
      <c r="AJ203" s="1542">
        <f t="shared" si="142"/>
        <v>0.29949999999999999</v>
      </c>
      <c r="AK203" s="1542">
        <f t="shared" si="142"/>
        <v>0.29949999999999999</v>
      </c>
      <c r="AL203" s="1542">
        <f t="shared" si="142"/>
        <v>0.27950000000000003</v>
      </c>
      <c r="AM203" s="1594"/>
      <c r="AN203" s="2570">
        <f>AN185-2%</f>
        <v>0.21000000000000002</v>
      </c>
      <c r="AO203" s="1543">
        <f>AO185-2%</f>
        <v>0.26</v>
      </c>
      <c r="AP203" s="1543">
        <f>AP185-2%</f>
        <v>0.26</v>
      </c>
      <c r="AQ203" s="1544">
        <f>AQ185-2%</f>
        <v>0.25</v>
      </c>
      <c r="AR203" s="394"/>
      <c r="AS203" s="1542">
        <f>AS185-1%</f>
        <v>0.22</v>
      </c>
      <c r="AT203" s="1542">
        <f>AT185-1%</f>
        <v>0.26</v>
      </c>
      <c r="AU203" s="1542">
        <f>AU185-1%</f>
        <v>0.26</v>
      </c>
      <c r="AV203" s="1542">
        <f>AV185-1%</f>
        <v>0.255</v>
      </c>
      <c r="AW203" s="1439"/>
      <c r="AX203" s="1542">
        <f>AX185-1%</f>
        <v>0.22</v>
      </c>
      <c r="AY203" s="1542">
        <f>AY185-1%</f>
        <v>0.26500000000000001</v>
      </c>
      <c r="AZ203" s="1542">
        <f>AZ185-1%</f>
        <v>0.26500000000000001</v>
      </c>
      <c r="BA203" s="1542">
        <f>BA185-1%</f>
        <v>0.26</v>
      </c>
      <c r="BB203" s="1439"/>
      <c r="BC203" s="1542">
        <f>BC185-1%</f>
        <v>0.21</v>
      </c>
      <c r="BD203" s="1542">
        <f>BD185-1%</f>
        <v>0.255</v>
      </c>
      <c r="BE203" s="1542">
        <f>BE185-1%</f>
        <v>0.255</v>
      </c>
      <c r="BF203" s="1542">
        <f>BF185-1%</f>
        <v>0.25</v>
      </c>
      <c r="BG203" s="1439"/>
      <c r="BH203" s="1542">
        <f>BH185-1%</f>
        <v>0.19999999999999998</v>
      </c>
      <c r="BI203" s="1542">
        <f>BI185-1%</f>
        <v>0.245</v>
      </c>
      <c r="BJ203" s="1542">
        <f>BJ185-1%</f>
        <v>0.245</v>
      </c>
      <c r="BK203" s="1542">
        <f>BK185-1%</f>
        <v>0.24</v>
      </c>
      <c r="BL203" s="1439"/>
    </row>
    <row r="204" spans="1:64" outlineLevel="2" x14ac:dyDescent="0.2">
      <c r="A204" s="238"/>
      <c r="B204" s="289"/>
      <c r="C204" s="265" t="str">
        <f>C118</f>
        <v>Brand</v>
      </c>
      <c r="D204" s="289"/>
      <c r="E204" s="1437">
        <f t="shared" si="137"/>
        <v>7.4999999999999997E-3</v>
      </c>
      <c r="F204" s="1438">
        <f t="shared" si="137"/>
        <v>7.4999999999999997E-3</v>
      </c>
      <c r="G204" s="1438">
        <f t="shared" si="137"/>
        <v>7.4999999999999997E-3</v>
      </c>
      <c r="H204" s="1438">
        <f t="shared" si="137"/>
        <v>7.4999999999999997E-3</v>
      </c>
      <c r="I204" s="1439"/>
      <c r="J204" s="1438">
        <f t="shared" si="138"/>
        <v>7.4999999999999997E-3</v>
      </c>
      <c r="K204" s="1438">
        <f t="shared" si="138"/>
        <v>7.4999999999999997E-3</v>
      </c>
      <c r="L204" s="1553">
        <f t="shared" si="138"/>
        <v>7.4999999999999997E-3</v>
      </c>
      <c r="M204" s="1553">
        <f t="shared" si="138"/>
        <v>7.4999999999999997E-3</v>
      </c>
      <c r="N204" s="1439"/>
      <c r="O204" s="1553">
        <f t="shared" si="139"/>
        <v>4.0156821716912277E-3</v>
      </c>
      <c r="P204" s="1553">
        <f t="shared" si="139"/>
        <v>4.8248424708433576E-3</v>
      </c>
      <c r="Q204" s="1553">
        <f t="shared" si="139"/>
        <v>7.5396615760084801E-3</v>
      </c>
      <c r="R204" s="1553">
        <f t="shared" si="139"/>
        <v>7.5396615760084801E-3</v>
      </c>
      <c r="S204" s="1439"/>
      <c r="T204" s="1553">
        <f t="shared" si="140"/>
        <v>6.0000000000000001E-3</v>
      </c>
      <c r="U204" s="1553">
        <f t="shared" si="140"/>
        <v>7.0000000000000001E-3</v>
      </c>
      <c r="V204" s="1553">
        <f t="shared" si="140"/>
        <v>8.9999999999999993E-3</v>
      </c>
      <c r="W204" s="1553">
        <f>W186</f>
        <v>1.15E-2</v>
      </c>
      <c r="X204" s="1439"/>
      <c r="Y204" s="1553">
        <f t="shared" ca="1" si="141"/>
        <v>1.15E-2</v>
      </c>
      <c r="Z204" s="1553">
        <f t="shared" si="141"/>
        <v>8.5086265296741397E-3</v>
      </c>
      <c r="AA204" s="1553">
        <f t="shared" si="141"/>
        <v>1.15E-2</v>
      </c>
      <c r="AB204" s="1717">
        <f>AB186</f>
        <v>1.15E-2</v>
      </c>
      <c r="AC204" s="394"/>
      <c r="AD204" s="1553">
        <f>AD186-0.1%</f>
        <v>8.0000000000000002E-3</v>
      </c>
      <c r="AE204" s="1542">
        <f>AE186-0.1%</f>
        <v>8.0000000000000002E-3</v>
      </c>
      <c r="AF204" s="1542">
        <f>AF186-0.1%</f>
        <v>8.0000000000000002E-3</v>
      </c>
      <c r="AG204" s="1542">
        <f>AG186-0.1%</f>
        <v>8.0000000000000002E-3</v>
      </c>
      <c r="AH204" s="1594"/>
      <c r="AI204" s="1542">
        <f t="shared" si="142"/>
        <v>8.4999999999999989E-3</v>
      </c>
      <c r="AJ204" s="1542">
        <f t="shared" si="142"/>
        <v>8.4999999999999989E-3</v>
      </c>
      <c r="AK204" s="1542">
        <f t="shared" si="142"/>
        <v>8.4999999999999989E-3</v>
      </c>
      <c r="AL204" s="1542">
        <f t="shared" si="142"/>
        <v>8.4999999999999989E-3</v>
      </c>
      <c r="AM204" s="1594"/>
      <c r="AN204" s="2570">
        <f>AN186-0.2%</f>
        <v>8.0000000000000002E-3</v>
      </c>
      <c r="AO204" s="1543">
        <f>AO186-0.2%</f>
        <v>8.0000000000000002E-3</v>
      </c>
      <c r="AP204" s="1543">
        <f>AP186-0.2%</f>
        <v>8.0000000000000002E-3</v>
      </c>
      <c r="AQ204" s="1544">
        <f>AQ186-0.2%</f>
        <v>8.0000000000000002E-3</v>
      </c>
      <c r="AR204" s="394"/>
      <c r="AS204" s="1542">
        <f>AS186-0.2%</f>
        <v>8.0000000000000002E-3</v>
      </c>
      <c r="AT204" s="1542">
        <f>AT186-0.2%</f>
        <v>8.0000000000000002E-3</v>
      </c>
      <c r="AU204" s="1542">
        <f>AU186-0.2%</f>
        <v>8.0000000000000002E-3</v>
      </c>
      <c r="AV204" s="1542">
        <f>AV186-0.2%</f>
        <v>8.0000000000000002E-3</v>
      </c>
      <c r="AW204" s="1439"/>
      <c r="AX204" s="1542">
        <f>AX186-0.2%</f>
        <v>6.9999999999999993E-3</v>
      </c>
      <c r="AY204" s="1542">
        <f>AY186-0.2%</f>
        <v>8.0000000000000002E-3</v>
      </c>
      <c r="AZ204" s="1542">
        <f>AZ186-0.2%</f>
        <v>8.0000000000000002E-3</v>
      </c>
      <c r="BA204" s="1542">
        <f>BA186-0.2%</f>
        <v>8.0000000000000002E-3</v>
      </c>
      <c r="BB204" s="1439"/>
      <c r="BC204" s="1542">
        <f>BC186-0.2%</f>
        <v>6.0000000000000001E-3</v>
      </c>
      <c r="BD204" s="1542">
        <f>BD186-0.2%</f>
        <v>6.0000000000000001E-3</v>
      </c>
      <c r="BE204" s="1542">
        <f>BE186-0.2%</f>
        <v>6.0000000000000001E-3</v>
      </c>
      <c r="BF204" s="1542">
        <f>BF186-0.2%</f>
        <v>6.0000000000000001E-3</v>
      </c>
      <c r="BG204" s="1439"/>
      <c r="BH204" s="1542">
        <f>BH186-0.2%</f>
        <v>6.0000000000000001E-3</v>
      </c>
      <c r="BI204" s="1542">
        <f>BI186-0.2%</f>
        <v>6.0000000000000001E-3</v>
      </c>
      <c r="BJ204" s="1542">
        <f>BJ186-0.2%</f>
        <v>6.0000000000000001E-3</v>
      </c>
      <c r="BK204" s="1542">
        <f>BK186-0.2%</f>
        <v>6.0000000000000001E-3</v>
      </c>
      <c r="BL204" s="1439"/>
    </row>
    <row r="205" spans="1:64" outlineLevel="2" x14ac:dyDescent="0.2">
      <c r="A205" s="238"/>
      <c r="B205" s="289"/>
      <c r="C205" s="265"/>
      <c r="D205" s="289"/>
      <c r="E205" s="1437"/>
      <c r="F205" s="1445"/>
      <c r="G205" s="1445"/>
      <c r="H205" s="1530"/>
      <c r="I205" s="1439"/>
      <c r="J205" s="1531"/>
      <c r="K205" s="1531"/>
      <c r="L205" s="1531"/>
      <c r="M205" s="1531"/>
      <c r="N205" s="1439"/>
      <c r="O205" s="1531"/>
      <c r="P205" s="1531"/>
      <c r="Q205" s="1531"/>
      <c r="R205" s="1531"/>
      <c r="S205" s="1439"/>
      <c r="T205" s="1531"/>
      <c r="U205" s="1531"/>
      <c r="V205" s="1531"/>
      <c r="W205" s="1531"/>
      <c r="X205" s="1439"/>
      <c r="Y205" s="1659"/>
      <c r="Z205" s="1684"/>
      <c r="AA205" s="1684"/>
      <c r="AB205" s="1721"/>
      <c r="AC205" s="394"/>
      <c r="AD205" s="1659"/>
      <c r="AE205" s="1563"/>
      <c r="AF205" s="1563"/>
      <c r="AG205" s="1561"/>
      <c r="AH205" s="394"/>
      <c r="AI205" s="1560"/>
      <c r="AJ205" s="1563"/>
      <c r="AK205" s="1563"/>
      <c r="AL205" s="1561"/>
      <c r="AM205" s="394"/>
      <c r="AN205" s="2513"/>
      <c r="AO205" s="1563"/>
      <c r="AP205" s="1563"/>
      <c r="AQ205" s="1561"/>
      <c r="AR205" s="394"/>
      <c r="AS205" s="1560"/>
      <c r="AT205" s="1563"/>
      <c r="AU205" s="1563"/>
      <c r="AV205" s="1561"/>
      <c r="AW205" s="394"/>
      <c r="AX205" s="1560"/>
      <c r="AY205" s="1563"/>
      <c r="AZ205" s="1563"/>
      <c r="BA205" s="1561"/>
      <c r="BB205" s="394"/>
      <c r="BC205" s="1560"/>
      <c r="BD205" s="1563"/>
      <c r="BE205" s="1563"/>
      <c r="BF205" s="1561"/>
      <c r="BG205" s="394"/>
      <c r="BH205" s="1560"/>
      <c r="BI205" s="1563"/>
      <c r="BJ205" s="1563"/>
      <c r="BK205" s="1561"/>
      <c r="BL205" s="394"/>
    </row>
    <row r="206" spans="1:64" outlineLevel="2" x14ac:dyDescent="0.2">
      <c r="A206" s="238"/>
      <c r="B206" s="289"/>
      <c r="C206" s="265"/>
      <c r="D206" s="289"/>
      <c r="E206" s="1437"/>
      <c r="F206" s="1445"/>
      <c r="G206" s="1445"/>
      <c r="H206" s="1445"/>
      <c r="I206" s="1439"/>
      <c r="J206" s="1445"/>
      <c r="K206" s="1445"/>
      <c r="L206" s="1445"/>
      <c r="M206" s="1445"/>
      <c r="N206" s="1439"/>
      <c r="O206" s="1445"/>
      <c r="P206" s="1445"/>
      <c r="Q206" s="1445"/>
      <c r="R206" s="1445"/>
      <c r="S206" s="1439"/>
      <c r="T206" s="1445"/>
      <c r="U206" s="1445"/>
      <c r="V206" s="1445"/>
      <c r="W206" s="1445"/>
      <c r="X206" s="1439"/>
      <c r="Y206" s="1378"/>
      <c r="Z206" s="1381"/>
      <c r="AA206" s="1381"/>
      <c r="AB206" s="1382"/>
      <c r="AC206" s="394"/>
      <c r="AD206" s="1378"/>
      <c r="AE206" s="1381"/>
      <c r="AF206" s="1381"/>
      <c r="AG206" s="1382"/>
      <c r="AH206" s="394"/>
      <c r="AI206" s="1378"/>
      <c r="AJ206" s="1381"/>
      <c r="AK206" s="1381"/>
      <c r="AL206" s="1382"/>
      <c r="AM206" s="394"/>
      <c r="AN206" s="1377"/>
      <c r="AO206" s="1381"/>
      <c r="AP206" s="1381"/>
      <c r="AQ206" s="1382"/>
      <c r="AR206" s="394"/>
      <c r="AS206" s="1378"/>
      <c r="AT206" s="1381"/>
      <c r="AU206" s="1381"/>
      <c r="AV206" s="1382"/>
      <c r="AW206" s="394"/>
      <c r="AX206" s="1378"/>
      <c r="AY206" s="1381"/>
      <c r="AZ206" s="1381"/>
      <c r="BA206" s="1382"/>
      <c r="BB206" s="394"/>
      <c r="BC206" s="1378"/>
      <c r="BD206" s="1381"/>
      <c r="BE206" s="1381"/>
      <c r="BF206" s="1382"/>
      <c r="BG206" s="394"/>
      <c r="BH206" s="1378"/>
      <c r="BI206" s="1381"/>
      <c r="BJ206" s="1381"/>
      <c r="BK206" s="1382"/>
      <c r="BL206" s="394"/>
    </row>
    <row r="207" spans="1:64" outlineLevel="2" x14ac:dyDescent="0.2">
      <c r="A207" s="238"/>
      <c r="B207" s="289"/>
      <c r="C207" s="265" t="str">
        <f>C121</f>
        <v>SG&amp;A per Script</v>
      </c>
      <c r="D207" s="289"/>
      <c r="E207" s="1596">
        <f>E189</f>
        <v>1.0189718482252141</v>
      </c>
      <c r="F207" s="1597">
        <f>F189</f>
        <v>0.86532602071907394</v>
      </c>
      <c r="G207" s="1597">
        <f>G189</f>
        <v>0.86372007366482428</v>
      </c>
      <c r="H207" s="1597">
        <f>H189</f>
        <v>0.84473527662105896</v>
      </c>
      <c r="I207" s="1598"/>
      <c r="J207" s="1597">
        <f>J189</f>
        <v>0.98983050847457632</v>
      </c>
      <c r="K207" s="1597">
        <f>K189</f>
        <v>0.9286209286209286</v>
      </c>
      <c r="L207" s="1597">
        <f>L189</f>
        <v>0.91412742382271484</v>
      </c>
      <c r="M207" s="1597">
        <f>M189</f>
        <v>1.0894418291862813</v>
      </c>
      <c r="N207" s="1598"/>
      <c r="O207" s="1597">
        <f>O189</f>
        <v>0.81621004566210054</v>
      </c>
      <c r="P207" s="1597">
        <f>P189</f>
        <v>0.87591240875912402</v>
      </c>
      <c r="Q207" s="1597">
        <f>Q189</f>
        <v>0.73716319267920694</v>
      </c>
      <c r="R207" s="1597">
        <f>R189</f>
        <v>0.83093822031245557</v>
      </c>
      <c r="S207" s="1598"/>
      <c r="T207" s="1597">
        <f>T189</f>
        <v>0.6624029237094563</v>
      </c>
      <c r="U207" s="1597">
        <f>U189</f>
        <v>0.62696068329097099</v>
      </c>
      <c r="V207" s="1597">
        <f>V189</f>
        <v>0.76908923643054272</v>
      </c>
      <c r="W207" s="1597">
        <f>W189</f>
        <v>0.71713147410358569</v>
      </c>
      <c r="X207" s="1598"/>
      <c r="Y207" s="1665">
        <f ca="1">Y189</f>
        <v>0.54576067672952833</v>
      </c>
      <c r="Z207" s="1665">
        <f>Z189</f>
        <v>0.65666372462488976</v>
      </c>
      <c r="AA207" s="1665">
        <f>AA189</f>
        <v>0.68273997296079314</v>
      </c>
      <c r="AB207" s="1726">
        <f>AB189</f>
        <v>0.74856131031429829</v>
      </c>
      <c r="AC207" s="1600"/>
      <c r="AD207" s="1665">
        <f>AD189+0.04</f>
        <v>0.79</v>
      </c>
      <c r="AE207" s="1601">
        <f>AE189+0.04</f>
        <v>0.73294066695539195</v>
      </c>
      <c r="AF207" s="1601">
        <f>AF189+0.04</f>
        <v>0.73561441597915767</v>
      </c>
      <c r="AG207" s="1599">
        <f>AG189+0.04</f>
        <v>0.73205434335117336</v>
      </c>
      <c r="AH207" s="1600"/>
      <c r="AI207" s="1601">
        <v>0.71</v>
      </c>
      <c r="AJ207" s="1601">
        <v>0.71</v>
      </c>
      <c r="AK207" s="1601">
        <v>0.71</v>
      </c>
      <c r="AL207" s="1599">
        <v>0.71</v>
      </c>
      <c r="AM207" s="1600"/>
      <c r="AN207" s="2572">
        <f>AN189*(1.1)</f>
        <v>0.45231859179517031</v>
      </c>
      <c r="AO207" s="1601">
        <f>AO189*(1.1)</f>
        <v>0.48432116788321167</v>
      </c>
      <c r="AP207" s="1601">
        <f>AP189*(1.1)</f>
        <v>0.47300000000000003</v>
      </c>
      <c r="AQ207" s="1599">
        <f>AQ189*(1.1)</f>
        <v>0.48400000000000004</v>
      </c>
      <c r="AR207" s="1600"/>
      <c r="AS207" s="1601">
        <f>AS189*(1.05)</f>
        <v>0.315</v>
      </c>
      <c r="AT207" s="1601">
        <f>AT189*(1.05)</f>
        <v>0.33630656934306563</v>
      </c>
      <c r="AU207" s="1601">
        <f>AU189*(1.05)</f>
        <v>0.32550000000000001</v>
      </c>
      <c r="AV207" s="1599">
        <f>AV189*(1.05)</f>
        <v>0.33600000000000002</v>
      </c>
      <c r="AW207" s="1600"/>
      <c r="AX207" s="1601">
        <f>AX189*(1.05)</f>
        <v>0.38850000000000001</v>
      </c>
      <c r="AY207" s="1601">
        <f>AY189*(1.05)</f>
        <v>0.31949124087591235</v>
      </c>
      <c r="AZ207" s="1601">
        <f>AZ189*(1.05)</f>
        <v>0.30922499999999997</v>
      </c>
      <c r="BA207" s="1599">
        <f>BA189*(1.05)</f>
        <v>0.31919999999999998</v>
      </c>
      <c r="BB207" s="1600"/>
      <c r="BC207" s="1601">
        <f>BC189*(1.05)</f>
        <v>0.33600000000000002</v>
      </c>
      <c r="BD207" s="1601">
        <f>BD189*(1.05)</f>
        <v>0.26699124087591242</v>
      </c>
      <c r="BE207" s="1601">
        <f>BE189*(1.05)</f>
        <v>0.25672499999999998</v>
      </c>
      <c r="BF207" s="1599">
        <f>BF189*(1.05)</f>
        <v>0.26669999999999999</v>
      </c>
      <c r="BG207" s="1600"/>
      <c r="BH207" s="1601">
        <f>BH189*(1.05)</f>
        <v>0.28350000000000003</v>
      </c>
      <c r="BI207" s="1601">
        <f>BI189*(1.05)</f>
        <v>0.2144912408759124</v>
      </c>
      <c r="BJ207" s="1601">
        <f>BJ189*(1.05)</f>
        <v>0.20422500000000002</v>
      </c>
      <c r="BK207" s="1599">
        <f>BK189*(1.05)</f>
        <v>0.21420000000000003</v>
      </c>
      <c r="BL207" s="1600"/>
    </row>
    <row r="208" spans="1:64" ht="12" outlineLevel="2" thickBot="1" x14ac:dyDescent="0.25">
      <c r="A208" s="238"/>
      <c r="B208" s="289"/>
      <c r="C208" s="1602"/>
      <c r="D208" s="289"/>
      <c r="E208" s="1458"/>
      <c r="F208" s="1459"/>
      <c r="G208" s="1459"/>
      <c r="H208" s="1603"/>
      <c r="I208" s="1549"/>
      <c r="J208" s="1603"/>
      <c r="K208" s="1603"/>
      <c r="L208" s="1603"/>
      <c r="M208" s="1603"/>
      <c r="N208" s="1549"/>
      <c r="O208" s="1603"/>
      <c r="P208" s="1603"/>
      <c r="Q208" s="1603"/>
      <c r="R208" s="1603"/>
      <c r="S208" s="1549"/>
      <c r="T208" s="1603"/>
      <c r="U208" s="1603"/>
      <c r="V208" s="1603"/>
      <c r="W208" s="1605"/>
      <c r="X208" s="1549"/>
      <c r="Y208" s="1666"/>
      <c r="Z208" s="1605"/>
      <c r="AA208" s="1605"/>
      <c r="AB208" s="1604"/>
      <c r="AC208" s="1552"/>
      <c r="AD208" s="1666"/>
      <c r="AE208" s="1605"/>
      <c r="AF208" s="1605"/>
      <c r="AG208" s="1604"/>
      <c r="AH208" s="1552"/>
      <c r="AI208" s="1605"/>
      <c r="AJ208" s="1605"/>
      <c r="AK208" s="1605"/>
      <c r="AL208" s="1604"/>
      <c r="AM208" s="1552"/>
      <c r="AN208" s="2573"/>
      <c r="AO208" s="1605"/>
      <c r="AP208" s="1605"/>
      <c r="AQ208" s="1604"/>
      <c r="AR208" s="1552"/>
      <c r="AS208" s="1605"/>
      <c r="AT208" s="1605"/>
      <c r="AU208" s="1605"/>
      <c r="AV208" s="1604"/>
      <c r="AW208" s="1552"/>
      <c r="AX208" s="1605"/>
      <c r="AY208" s="1605"/>
      <c r="AZ208" s="1605"/>
      <c r="BA208" s="1604"/>
      <c r="BB208" s="1552"/>
      <c r="BC208" s="1605"/>
      <c r="BD208" s="1605"/>
      <c r="BE208" s="1605"/>
      <c r="BF208" s="1604"/>
      <c r="BG208" s="1552"/>
      <c r="BH208" s="1605"/>
      <c r="BI208" s="1605"/>
      <c r="BJ208" s="1605"/>
      <c r="BK208" s="1604"/>
      <c r="BL208" s="1552"/>
    </row>
    <row r="209" spans="1:64" outlineLevel="1" x14ac:dyDescent="0.2">
      <c r="A209" s="238"/>
      <c r="B209" s="300"/>
      <c r="C209" s="300"/>
      <c r="D209" s="241"/>
      <c r="E209" s="300"/>
      <c r="F209" s="300"/>
      <c r="G209" s="300"/>
      <c r="H209" s="300"/>
      <c r="I209" s="300"/>
      <c r="J209" s="300"/>
      <c r="K209" s="300"/>
      <c r="L209" s="300"/>
      <c r="M209" s="300"/>
      <c r="N209" s="300"/>
      <c r="O209" s="300"/>
      <c r="P209" s="300"/>
      <c r="Q209" s="300"/>
      <c r="R209" s="300"/>
      <c r="S209" s="300"/>
      <c r="T209" s="300"/>
      <c r="U209" s="300"/>
      <c r="V209" s="300"/>
      <c r="W209" s="300"/>
      <c r="X209" s="300"/>
      <c r="Y209" s="300"/>
      <c r="Z209" s="300"/>
      <c r="AA209" s="300"/>
      <c r="AB209" s="300"/>
      <c r="AC209" s="300"/>
      <c r="AD209" s="300"/>
      <c r="AE209" s="300"/>
      <c r="AF209" s="300"/>
      <c r="AG209" s="300"/>
      <c r="AH209" s="300"/>
      <c r="AI209" s="300"/>
      <c r="AJ209" s="300"/>
      <c r="AK209" s="300"/>
      <c r="AL209" s="300"/>
      <c r="AM209" s="300"/>
      <c r="AN209" s="300"/>
      <c r="AO209" s="300"/>
      <c r="AP209" s="300"/>
      <c r="AQ209" s="300"/>
      <c r="AR209" s="300"/>
      <c r="AS209" s="300"/>
      <c r="AT209" s="300"/>
      <c r="AU209" s="300"/>
      <c r="AV209" s="300"/>
      <c r="AW209" s="300"/>
      <c r="AX209" s="300"/>
      <c r="AY209" s="300"/>
      <c r="AZ209" s="300"/>
      <c r="BA209" s="300"/>
      <c r="BB209" s="300"/>
      <c r="BC209" s="300"/>
      <c r="BD209" s="300"/>
      <c r="BE209" s="300"/>
      <c r="BF209" s="300"/>
      <c r="BG209" s="300"/>
      <c r="BH209" s="300"/>
      <c r="BI209" s="300"/>
      <c r="BJ209" s="300"/>
      <c r="BK209" s="300"/>
      <c r="BL209" s="300"/>
    </row>
    <row r="210" spans="1:64" x14ac:dyDescent="0.2">
      <c r="A210" s="238"/>
      <c r="B210" s="289"/>
      <c r="D210" s="300"/>
      <c r="E210" s="300"/>
      <c r="F210" s="300"/>
      <c r="G210" s="300"/>
      <c r="H210" s="300"/>
      <c r="I210" s="300"/>
      <c r="J210" s="300"/>
      <c r="K210" s="300"/>
      <c r="L210" s="300"/>
      <c r="M210" s="300"/>
      <c r="N210" s="300"/>
      <c r="O210" s="300"/>
      <c r="P210" s="300"/>
      <c r="Q210" s="300"/>
      <c r="R210" s="300"/>
      <c r="S210" s="300"/>
      <c r="T210" s="300"/>
      <c r="U210" s="300"/>
      <c r="V210" s="300"/>
      <c r="W210" s="300"/>
      <c r="X210" s="300"/>
      <c r="Y210" s="300"/>
      <c r="Z210" s="300"/>
      <c r="AA210" s="300"/>
      <c r="AB210" s="300"/>
      <c r="AC210" s="300"/>
      <c r="AD210" s="300"/>
      <c r="AE210" s="300"/>
      <c r="AF210" s="300"/>
      <c r="AG210" s="300"/>
      <c r="AH210" s="300"/>
      <c r="AI210" s="300"/>
      <c r="AJ210" s="300"/>
      <c r="AK210" s="300"/>
      <c r="AL210" s="300"/>
      <c r="AM210" s="300"/>
      <c r="AN210" s="300"/>
      <c r="AO210" s="300"/>
      <c r="AP210" s="300"/>
      <c r="AQ210" s="300"/>
      <c r="AR210" s="300"/>
      <c r="AS210" s="300"/>
      <c r="AT210" s="300"/>
      <c r="AU210" s="300"/>
      <c r="AV210" s="300"/>
      <c r="AW210" s="300"/>
      <c r="AX210" s="300"/>
      <c r="AY210" s="300"/>
      <c r="AZ210" s="300"/>
      <c r="BA210" s="300"/>
      <c r="BB210" s="300"/>
      <c r="BC210" s="300"/>
      <c r="BD210" s="300"/>
      <c r="BE210" s="300"/>
      <c r="BF210" s="300"/>
      <c r="BG210" s="300"/>
      <c r="BH210" s="300"/>
      <c r="BI210" s="300"/>
      <c r="BJ210" s="300"/>
      <c r="BK210" s="300"/>
      <c r="BL210" s="300"/>
    </row>
    <row r="211" spans="1:64" ht="12" hidden="1" outlineLevel="1" thickBot="1" x14ac:dyDescent="0.25">
      <c r="A211" s="238"/>
      <c r="B211" s="289"/>
      <c r="C211" s="1433" t="s">
        <v>1349</v>
      </c>
      <c r="D211" s="1434"/>
      <c r="E211" s="1434"/>
      <c r="F211" s="1434"/>
      <c r="G211" s="1434"/>
      <c r="H211" s="1434"/>
      <c r="I211" s="1435"/>
      <c r="J211" s="1434"/>
      <c r="K211" s="1434"/>
      <c r="L211" s="1434"/>
      <c r="M211" s="1434"/>
      <c r="N211" s="1435"/>
      <c r="O211" s="1434"/>
      <c r="P211" s="1434"/>
      <c r="Q211" s="1434"/>
      <c r="R211" s="1434"/>
      <c r="S211" s="1435"/>
      <c r="T211" s="1434"/>
      <c r="U211" s="1434"/>
      <c r="V211" s="1434"/>
      <c r="W211" s="1434"/>
      <c r="X211" s="1435"/>
      <c r="Y211" s="1434"/>
      <c r="Z211" s="1434"/>
      <c r="AA211" s="1434"/>
      <c r="AB211" s="1434"/>
      <c r="AC211" s="1435"/>
      <c r="AD211" s="1434"/>
      <c r="AE211" s="1434"/>
      <c r="AF211" s="1434"/>
      <c r="AG211" s="1434"/>
      <c r="AH211" s="1435"/>
      <c r="AI211" s="1434"/>
      <c r="AJ211" s="1434"/>
      <c r="AK211" s="1434"/>
      <c r="AL211" s="1434"/>
      <c r="AM211" s="1435"/>
      <c r="AN211" s="1434"/>
      <c r="AO211" s="1434"/>
      <c r="AP211" s="1434"/>
      <c r="AQ211" s="1434"/>
      <c r="AR211" s="1435"/>
      <c r="AS211" s="1434"/>
      <c r="AT211" s="1434"/>
      <c r="AU211" s="1434"/>
      <c r="AV211" s="1434"/>
      <c r="AW211" s="1435"/>
      <c r="AX211" s="1434"/>
      <c r="AY211" s="1434"/>
      <c r="AZ211" s="1434"/>
      <c r="BA211" s="1434"/>
      <c r="BB211" s="1435"/>
      <c r="BC211" s="1434"/>
      <c r="BD211" s="1434"/>
      <c r="BE211" s="1434"/>
      <c r="BF211" s="1434"/>
      <c r="BG211" s="1435"/>
      <c r="BH211" s="1434"/>
      <c r="BI211" s="1434"/>
      <c r="BJ211" s="1434"/>
      <c r="BK211" s="1434"/>
      <c r="BL211" s="1435"/>
    </row>
    <row r="212" spans="1:64" ht="12" hidden="1" outlineLevel="1" thickBot="1" x14ac:dyDescent="0.25">
      <c r="A212" s="238"/>
      <c r="B212" s="1375" t="str">
        <f>B121</f>
        <v xml:space="preserve">Base </v>
      </c>
      <c r="C212" s="1804" t="s">
        <v>1347</v>
      </c>
      <c r="D212" s="1805"/>
      <c r="E212" s="1806"/>
      <c r="F212" s="1806"/>
      <c r="G212" s="1806"/>
      <c r="H212" s="1807"/>
      <c r="I212" s="1808"/>
      <c r="J212" s="1806"/>
      <c r="K212" s="1806"/>
      <c r="L212" s="1806"/>
      <c r="M212" s="1806"/>
      <c r="N212" s="1808"/>
      <c r="O212" s="1806"/>
      <c r="P212" s="1806"/>
      <c r="Q212" s="1806"/>
      <c r="R212" s="1806"/>
      <c r="S212" s="1808"/>
      <c r="T212" s="1806"/>
      <c r="U212" s="1806"/>
      <c r="V212" s="1806"/>
      <c r="W212" s="1806"/>
      <c r="X212" s="1808"/>
      <c r="Y212" s="1806"/>
      <c r="Z212" s="1806"/>
      <c r="AA212" s="1806"/>
      <c r="AB212" s="1806"/>
      <c r="AC212" s="1809"/>
      <c r="AD212" s="1806"/>
      <c r="AE212" s="1806"/>
      <c r="AF212" s="1806"/>
      <c r="AG212" s="1806"/>
      <c r="AH212" s="1808"/>
      <c r="AI212" s="1806"/>
      <c r="AJ212" s="1806"/>
      <c r="AK212" s="1806"/>
      <c r="AL212" s="1806"/>
      <c r="AM212" s="1808"/>
      <c r="AN212" s="1806"/>
      <c r="AO212" s="1806"/>
      <c r="AP212" s="1806"/>
      <c r="AQ212" s="1806"/>
      <c r="AR212" s="1808"/>
      <c r="AS212" s="1806"/>
      <c r="AT212" s="1806"/>
      <c r="AU212" s="1806"/>
      <c r="AV212" s="1806"/>
      <c r="AW212" s="1808"/>
      <c r="AX212" s="1806"/>
      <c r="AY212" s="1806"/>
      <c r="AZ212" s="1806"/>
      <c r="BA212" s="1806"/>
      <c r="BB212" s="1808"/>
      <c r="BC212" s="1806"/>
      <c r="BD212" s="1806"/>
      <c r="BE212" s="1806"/>
      <c r="BF212" s="1806"/>
      <c r="BG212" s="1808"/>
      <c r="BH212" s="1806"/>
      <c r="BI212" s="1806"/>
      <c r="BJ212" s="1806"/>
      <c r="BK212" s="1806"/>
      <c r="BL212" s="1808"/>
    </row>
    <row r="213" spans="1:64" hidden="1" outlineLevel="1" x14ac:dyDescent="0.2">
      <c r="A213" s="238"/>
      <c r="B213" s="289"/>
      <c r="C213" s="1383" t="s">
        <v>1353</v>
      </c>
      <c r="D213" s="394"/>
      <c r="E213" s="1381">
        <v>7.4999999999999997E-3</v>
      </c>
      <c r="F213" s="1381">
        <v>7.4999999999999997E-3</v>
      </c>
      <c r="G213" s="1381">
        <v>7.4999999999999997E-3</v>
      </c>
      <c r="H213" s="1494">
        <v>7.4999999999999997E-3</v>
      </c>
      <c r="I213" s="1379">
        <v>7.4999999999999997E-3</v>
      </c>
      <c r="J213" s="1381">
        <v>7.4999999999999997E-3</v>
      </c>
      <c r="K213" s="1381">
        <v>7.4999999999999997E-3</v>
      </c>
      <c r="L213" s="1381">
        <v>7.4999999999999997E-3</v>
      </c>
      <c r="M213" s="1381">
        <v>7.4999999999999997E-3</v>
      </c>
      <c r="N213" s="1379">
        <v>7.4999999999999997E-3</v>
      </c>
      <c r="O213" s="1381">
        <v>4.0156821716912277E-3</v>
      </c>
      <c r="P213" s="1381">
        <v>4.8248424708433576E-3</v>
      </c>
      <c r="Q213" s="1381">
        <v>7.5396615760084801E-3</v>
      </c>
      <c r="R213" s="1381">
        <v>7.5396615760084801E-3</v>
      </c>
      <c r="S213" s="1379">
        <v>6.0124693467736041E-3</v>
      </c>
      <c r="T213" s="1381">
        <v>6.0000000000000001E-3</v>
      </c>
      <c r="U213" s="1381">
        <v>7.0000000000000001E-3</v>
      </c>
      <c r="V213" s="1381">
        <v>8.9999999999999993E-3</v>
      </c>
      <c r="W213" s="1381">
        <v>1.15E-2</v>
      </c>
      <c r="X213" s="1379"/>
      <c r="Y213" s="1381"/>
      <c r="Z213" s="1381"/>
      <c r="AA213" s="1381"/>
      <c r="AB213" s="1381"/>
      <c r="AC213" s="1379"/>
      <c r="AD213" s="1381"/>
      <c r="AE213" s="1381"/>
      <c r="AF213" s="1381"/>
      <c r="AG213" s="1381"/>
      <c r="AH213" s="1379"/>
      <c r="AI213" s="1381"/>
      <c r="AJ213" s="1381">
        <f t="shared" ref="AJ213:AL214" si="143">CHOOSE(MATCH($B$212,$C$350:$C$352,0),AJ232,AJ251,AJ270)</f>
        <v>-0.03</v>
      </c>
      <c r="AK213" s="1381">
        <f t="shared" si="143"/>
        <v>-0.03</v>
      </c>
      <c r="AL213" s="1381">
        <f t="shared" si="143"/>
        <v>-0.03</v>
      </c>
      <c r="AM213" s="1379"/>
      <c r="AN213" s="1381">
        <f t="shared" ref="AN213:AQ214" si="144">CHOOSE(MATCH($B$212,$C$350:$C$352,0),AN232,AN251,AN270)</f>
        <v>-0.01</v>
      </c>
      <c r="AO213" s="1381">
        <f t="shared" si="144"/>
        <v>-0.01</v>
      </c>
      <c r="AP213" s="1381">
        <f t="shared" si="144"/>
        <v>-0.01</v>
      </c>
      <c r="AQ213" s="1381">
        <f t="shared" si="144"/>
        <v>-0.01</v>
      </c>
      <c r="AR213" s="1379"/>
      <c r="AS213" s="1381">
        <f t="shared" ref="AS213:AV214" si="145">CHOOSE(MATCH($B$212,$C$350:$C$352,0),AS232,AS251,AS270)</f>
        <v>0</v>
      </c>
      <c r="AT213" s="1381">
        <f t="shared" si="145"/>
        <v>0</v>
      </c>
      <c r="AU213" s="1381">
        <f t="shared" si="145"/>
        <v>0</v>
      </c>
      <c r="AV213" s="1381">
        <f t="shared" si="145"/>
        <v>0</v>
      </c>
      <c r="AW213" s="1379"/>
      <c r="AX213" s="1381">
        <f t="shared" ref="AX213:BA214" si="146">CHOOSE(MATCH($B$212,$C$350:$C$352,0),AX232,AX251,AX270)</f>
        <v>0</v>
      </c>
      <c r="AY213" s="1381">
        <f t="shared" si="146"/>
        <v>0</v>
      </c>
      <c r="AZ213" s="1381">
        <f t="shared" si="146"/>
        <v>0</v>
      </c>
      <c r="BA213" s="1381">
        <f t="shared" si="146"/>
        <v>0</v>
      </c>
      <c r="BB213" s="1379"/>
      <c r="BC213" s="1381">
        <f t="shared" ref="BC213:BF214" si="147">CHOOSE(MATCH($B$212,$C$350:$C$352,0),BC232,BC251,BC270)</f>
        <v>0</v>
      </c>
      <c r="BD213" s="1381">
        <f t="shared" si="147"/>
        <v>0</v>
      </c>
      <c r="BE213" s="1381">
        <f t="shared" si="147"/>
        <v>0</v>
      </c>
      <c r="BF213" s="1381">
        <f t="shared" si="147"/>
        <v>0</v>
      </c>
      <c r="BG213" s="1379"/>
      <c r="BH213" s="1381">
        <f t="shared" ref="BH213:BK213" si="148">CHOOSE(MATCH($B$212,$C$350:$C$352,0),BH232,BH251,BH270)</f>
        <v>0</v>
      </c>
      <c r="BI213" s="1381">
        <f t="shared" si="148"/>
        <v>0</v>
      </c>
      <c r="BJ213" s="1381">
        <f t="shared" si="148"/>
        <v>0</v>
      </c>
      <c r="BK213" s="1381">
        <f t="shared" si="148"/>
        <v>0</v>
      </c>
      <c r="BL213" s="1379"/>
    </row>
    <row r="214" spans="1:64" hidden="1" outlineLevel="1" x14ac:dyDescent="0.2">
      <c r="A214" s="238"/>
      <c r="B214" s="289"/>
      <c r="C214" s="1383" t="s">
        <v>1354</v>
      </c>
      <c r="D214" s="394"/>
      <c r="E214" s="1381" t="e">
        <v>#REF!</v>
      </c>
      <c r="F214" s="1381" t="e">
        <v>#REF!</v>
      </c>
      <c r="G214" s="1381" t="e">
        <v>#REF!</v>
      </c>
      <c r="H214" s="1494" t="e">
        <v>#REF!</v>
      </c>
      <c r="I214" s="1379" t="e">
        <v>#REF!</v>
      </c>
      <c r="J214" s="1381" t="e">
        <v>#REF!</v>
      </c>
      <c r="K214" s="1381" t="e">
        <v>#REF!</v>
      </c>
      <c r="L214" s="1381" t="e">
        <v>#REF!</v>
      </c>
      <c r="M214" s="1381" t="e">
        <v>#REF!</v>
      </c>
      <c r="N214" s="1379" t="e">
        <v>#REF!</v>
      </c>
      <c r="O214" s="1381" t="e">
        <v>#REF!</v>
      </c>
      <c r="P214" s="1381" t="e">
        <v>#REF!</v>
      </c>
      <c r="Q214" s="1381" t="e">
        <v>#REF!</v>
      </c>
      <c r="R214" s="1381" t="e">
        <v>#REF!</v>
      </c>
      <c r="S214" s="1379" t="e">
        <v>#REF!</v>
      </c>
      <c r="T214" s="1381" t="e">
        <v>#REF!</v>
      </c>
      <c r="U214" s="1381" t="e">
        <v>#REF!</v>
      </c>
      <c r="V214" s="1381" t="e">
        <v>#REF!</v>
      </c>
      <c r="W214" s="1381" t="e">
        <v>#REF!</v>
      </c>
      <c r="X214" s="1379"/>
      <c r="Y214" s="1381"/>
      <c r="Z214" s="1381"/>
      <c r="AA214" s="1381"/>
      <c r="AB214" s="1381"/>
      <c r="AC214" s="1379"/>
      <c r="AD214" s="1381"/>
      <c r="AE214" s="1381"/>
      <c r="AF214" s="1381"/>
      <c r="AG214" s="1381"/>
      <c r="AH214" s="1379"/>
      <c r="AI214" s="1381"/>
      <c r="AJ214" s="1381">
        <f t="shared" si="143"/>
        <v>3.3000000000000002E-2</v>
      </c>
      <c r="AK214" s="1381">
        <f t="shared" si="143"/>
        <v>3.3000000000000002E-2</v>
      </c>
      <c r="AL214" s="1381">
        <f t="shared" si="143"/>
        <v>3.3000000000000002E-2</v>
      </c>
      <c r="AM214" s="1379"/>
      <c r="AN214" s="1381">
        <f t="shared" si="144"/>
        <v>3.3000000000000002E-2</v>
      </c>
      <c r="AO214" s="1381">
        <f t="shared" si="144"/>
        <v>3.3000000000000002E-2</v>
      </c>
      <c r="AP214" s="1381">
        <f t="shared" si="144"/>
        <v>3.3000000000000002E-2</v>
      </c>
      <c r="AQ214" s="1381">
        <f t="shared" si="144"/>
        <v>3.3000000000000002E-2</v>
      </c>
      <c r="AR214" s="1379"/>
      <c r="AS214" s="1381">
        <f t="shared" si="145"/>
        <v>3.3000000000000002E-2</v>
      </c>
      <c r="AT214" s="1381">
        <f t="shared" si="145"/>
        <v>3.3000000000000002E-2</v>
      </c>
      <c r="AU214" s="1381">
        <f t="shared" si="145"/>
        <v>3.3000000000000002E-2</v>
      </c>
      <c r="AV214" s="1381">
        <f t="shared" si="145"/>
        <v>3.3000000000000002E-2</v>
      </c>
      <c r="AW214" s="1379"/>
      <c r="AX214" s="1381">
        <f t="shared" si="146"/>
        <v>3.3000000000000002E-2</v>
      </c>
      <c r="AY214" s="1381">
        <f t="shared" si="146"/>
        <v>3.3000000000000002E-2</v>
      </c>
      <c r="AZ214" s="1381">
        <f t="shared" si="146"/>
        <v>3.3000000000000002E-2</v>
      </c>
      <c r="BA214" s="1381">
        <f t="shared" si="146"/>
        <v>3.3000000000000002E-2</v>
      </c>
      <c r="BB214" s="1379"/>
      <c r="BC214" s="1381">
        <f t="shared" si="147"/>
        <v>3.3000000000000002E-2</v>
      </c>
      <c r="BD214" s="1381">
        <f t="shared" si="147"/>
        <v>3.3000000000000002E-2</v>
      </c>
      <c r="BE214" s="1381">
        <f t="shared" si="147"/>
        <v>3.3000000000000002E-2</v>
      </c>
      <c r="BF214" s="1381">
        <f t="shared" si="147"/>
        <v>3.3000000000000002E-2</v>
      </c>
      <c r="BG214" s="1379"/>
      <c r="BH214" s="1381">
        <f t="shared" ref="BH214:BK214" si="149">CHOOSE(MATCH($B$212,$C$350:$C$352,0),BH233,BH252,BH271)</f>
        <v>3.3000000000000002E-2</v>
      </c>
      <c r="BI214" s="1381">
        <f t="shared" si="149"/>
        <v>3.3000000000000002E-2</v>
      </c>
      <c r="BJ214" s="1381">
        <f t="shared" si="149"/>
        <v>3.3000000000000002E-2</v>
      </c>
      <c r="BK214" s="1381">
        <f t="shared" si="149"/>
        <v>3.3000000000000002E-2</v>
      </c>
      <c r="BL214" s="1379"/>
    </row>
    <row r="215" spans="1:64" hidden="1" outlineLevel="1" x14ac:dyDescent="0.2">
      <c r="A215" s="238"/>
      <c r="B215" s="289"/>
      <c r="C215" s="1380"/>
      <c r="D215" s="300"/>
      <c r="E215" s="1377"/>
      <c r="F215" s="1381"/>
      <c r="G215" s="1381"/>
      <c r="H215" s="1494"/>
      <c r="I215" s="1379"/>
      <c r="J215" s="1381"/>
      <c r="K215" s="1381"/>
      <c r="L215" s="1381"/>
      <c r="M215" s="1381"/>
      <c r="N215" s="1379"/>
      <c r="O215" s="1381"/>
      <c r="P215" s="1381"/>
      <c r="Q215" s="1381"/>
      <c r="R215" s="1381"/>
      <c r="S215" s="1379"/>
      <c r="T215" s="1381"/>
      <c r="U215" s="1381"/>
      <c r="V215" s="1381"/>
      <c r="W215" s="1381"/>
      <c r="X215" s="1379"/>
      <c r="Y215" s="1381"/>
      <c r="Z215" s="1381"/>
      <c r="AA215" s="1381"/>
      <c r="AB215" s="1381"/>
      <c r="AC215" s="1379"/>
      <c r="AD215" s="1381"/>
      <c r="AE215" s="1381"/>
      <c r="AF215" s="1381"/>
      <c r="AG215" s="1381"/>
      <c r="AH215" s="1379"/>
      <c r="AI215" s="1381"/>
      <c r="AJ215" s="1381"/>
      <c r="AK215" s="1381"/>
      <c r="AL215" s="1381"/>
      <c r="AM215" s="1379"/>
      <c r="AN215" s="1381"/>
      <c r="AO215" s="1381"/>
      <c r="AP215" s="1381"/>
      <c r="AQ215" s="1381"/>
      <c r="AR215" s="1379"/>
      <c r="AS215" s="1381"/>
      <c r="AT215" s="1381"/>
      <c r="AU215" s="1381"/>
      <c r="AV215" s="1381"/>
      <c r="AW215" s="1379"/>
      <c r="AX215" s="1381"/>
      <c r="AY215" s="1381"/>
      <c r="AZ215" s="1381"/>
      <c r="BA215" s="1381"/>
      <c r="BB215" s="1379"/>
      <c r="BC215" s="1381"/>
      <c r="BD215" s="1381"/>
      <c r="BE215" s="1381"/>
      <c r="BF215" s="1381"/>
      <c r="BG215" s="1379"/>
      <c r="BH215" s="1381"/>
      <c r="BI215" s="1381"/>
      <c r="BJ215" s="1381"/>
      <c r="BK215" s="1381"/>
      <c r="BL215" s="1379"/>
    </row>
    <row r="216" spans="1:64" ht="12" hidden="1" outlineLevel="1" thickBot="1" x14ac:dyDescent="0.25">
      <c r="A216" s="238"/>
      <c r="B216" s="1375" t="str">
        <f>B212</f>
        <v xml:space="preserve">Base </v>
      </c>
      <c r="C216" s="1538" t="s">
        <v>1348</v>
      </c>
      <c r="D216" s="300"/>
      <c r="E216" s="1377"/>
      <c r="F216" s="1381"/>
      <c r="G216" s="1381"/>
      <c r="H216" s="1494"/>
      <c r="I216" s="1379"/>
      <c r="J216" s="1381"/>
      <c r="K216" s="1381"/>
      <c r="L216" s="1381"/>
      <c r="M216" s="1381"/>
      <c r="N216" s="1379"/>
      <c r="O216" s="1381"/>
      <c r="P216" s="1381"/>
      <c r="Q216" s="1381"/>
      <c r="R216" s="1381"/>
      <c r="S216" s="1379"/>
      <c r="T216" s="1381"/>
      <c r="U216" s="1381"/>
      <c r="V216" s="1381"/>
      <c r="W216" s="1381"/>
      <c r="X216" s="1379"/>
      <c r="Y216" s="1381"/>
      <c r="Z216" s="1381"/>
      <c r="AA216" s="1381"/>
      <c r="AB216" s="1381"/>
      <c r="AC216" s="1379"/>
      <c r="AD216" s="1381"/>
      <c r="AE216" s="1381"/>
      <c r="AF216" s="1381"/>
      <c r="AG216" s="1381"/>
      <c r="AH216" s="1379"/>
      <c r="AI216" s="1381"/>
      <c r="AJ216" s="1381"/>
      <c r="AK216" s="1381"/>
      <c r="AL216" s="1381"/>
      <c r="AM216" s="1379"/>
      <c r="AN216" s="1381"/>
      <c r="AO216" s="1381"/>
      <c r="AP216" s="1381"/>
      <c r="AQ216" s="1381"/>
      <c r="AR216" s="1379"/>
      <c r="AS216" s="1381"/>
      <c r="AT216" s="1381"/>
      <c r="AU216" s="1381"/>
      <c r="AV216" s="1381"/>
      <c r="AW216" s="1379"/>
      <c r="AX216" s="1381"/>
      <c r="AY216" s="1381"/>
      <c r="AZ216" s="1381"/>
      <c r="BA216" s="1381"/>
      <c r="BB216" s="1379"/>
      <c r="BC216" s="1381"/>
      <c r="BD216" s="1381"/>
      <c r="BE216" s="1381"/>
      <c r="BF216" s="1381"/>
      <c r="BG216" s="1379"/>
      <c r="BH216" s="1381"/>
      <c r="BI216" s="1381"/>
      <c r="BJ216" s="1381"/>
      <c r="BK216" s="1381"/>
      <c r="BL216" s="1379"/>
    </row>
    <row r="217" spans="1:64" hidden="1" outlineLevel="1" x14ac:dyDescent="0.2">
      <c r="A217" s="238"/>
      <c r="B217" s="289"/>
      <c r="C217" s="1383" t="s">
        <v>1350</v>
      </c>
      <c r="D217" s="300"/>
      <c r="E217" s="1377"/>
      <c r="F217" s="1381"/>
      <c r="G217" s="1381"/>
      <c r="H217" s="1494"/>
      <c r="I217" s="1379"/>
      <c r="J217" s="1381"/>
      <c r="K217" s="1381"/>
      <c r="L217" s="1381"/>
      <c r="M217" s="1381"/>
      <c r="N217" s="1379"/>
      <c r="O217" s="1381"/>
      <c r="P217" s="1381"/>
      <c r="Q217" s="1381"/>
      <c r="R217" s="1381"/>
      <c r="S217" s="1379"/>
      <c r="T217" s="1381"/>
      <c r="U217" s="1381"/>
      <c r="V217" s="1381"/>
      <c r="W217" s="1381"/>
      <c r="X217" s="1379"/>
      <c r="Y217" s="1381"/>
      <c r="Z217" s="1381"/>
      <c r="AA217" s="1381"/>
      <c r="AB217" s="1381"/>
      <c r="AC217" s="1379"/>
      <c r="AD217" s="1381"/>
      <c r="AE217" s="1381"/>
      <c r="AF217" s="1381"/>
      <c r="AG217" s="1381"/>
      <c r="AH217" s="1379"/>
      <c r="AI217" s="1381"/>
      <c r="AJ217" s="1381">
        <f>CHOOSE(MATCH($B$212,$C$350:$C$352,0),AJ236,AJ255,AJ274)</f>
        <v>0.15</v>
      </c>
      <c r="AK217" s="1381">
        <f>CHOOSE(MATCH($B$212,$C$350:$C$352,0),AK236,AK255,AK274)</f>
        <v>0.15</v>
      </c>
      <c r="AL217" s="1381">
        <f>CHOOSE(MATCH($B$212,$C$350:$C$352,0),AL236,AL255,AL274)</f>
        <v>0.15</v>
      </c>
      <c r="AM217" s="1379"/>
      <c r="AN217" s="1381">
        <f>CHOOSE(MATCH($B$212,$C$350:$C$352,0),AN236,AN255,AN274)</f>
        <v>0.19</v>
      </c>
      <c r="AO217" s="1381">
        <f>CHOOSE(MATCH($B$212,$C$350:$C$352,0),AO236,AO255,AO274)</f>
        <v>0.19</v>
      </c>
      <c r="AP217" s="1381">
        <f>CHOOSE(MATCH($B$212,$C$350:$C$352,0),AP236,AP255,AP274)</f>
        <v>0.19</v>
      </c>
      <c r="AQ217" s="1381">
        <f>CHOOSE(MATCH($B$212,$C$350:$C$352,0),AQ236,AQ255,AQ274)</f>
        <v>0.19</v>
      </c>
      <c r="AR217" s="1379"/>
      <c r="AS217" s="1381">
        <f>CHOOSE(MATCH($B$212,$C$350:$C$352,0),AS236,AS255,AS274)</f>
        <v>0.17</v>
      </c>
      <c r="AT217" s="1381">
        <f>CHOOSE(MATCH($B$212,$C$350:$C$352,0),AT236,AT255,AT274)</f>
        <v>0.17</v>
      </c>
      <c r="AU217" s="1381">
        <f>CHOOSE(MATCH($B$212,$C$350:$C$352,0),AU236,AU255,AU274)</f>
        <v>0.17</v>
      </c>
      <c r="AV217" s="1381">
        <f>CHOOSE(MATCH($B$212,$C$350:$C$352,0),AV236,AV255,AV274)</f>
        <v>0.17</v>
      </c>
      <c r="AW217" s="1379"/>
      <c r="AX217" s="1381">
        <f>CHOOSE(MATCH($B$212,$C$350:$C$352,0),AX236,AX255,AX274)</f>
        <v>0.17</v>
      </c>
      <c r="AY217" s="1381">
        <f>CHOOSE(MATCH($B$212,$C$350:$C$352,0),AY236,AY255,AY274)</f>
        <v>0.17</v>
      </c>
      <c r="AZ217" s="1381">
        <f>CHOOSE(MATCH($B$212,$C$350:$C$352,0),AZ236,AZ255,AZ274)</f>
        <v>0.17</v>
      </c>
      <c r="BA217" s="1381">
        <f>CHOOSE(MATCH($B$212,$C$350:$C$352,0),BA236,BA255,BA274)</f>
        <v>0.17</v>
      </c>
      <c r="BB217" s="1379"/>
      <c r="BC217" s="1381">
        <f>CHOOSE(MATCH($B$212,$C$350:$C$352,0),BC236,BC255,BC274)</f>
        <v>0.17</v>
      </c>
      <c r="BD217" s="1381">
        <f>CHOOSE(MATCH($B$212,$C$350:$C$352,0),BD236,BD255,BD274)</f>
        <v>0.17</v>
      </c>
      <c r="BE217" s="1381">
        <f>CHOOSE(MATCH($B$212,$C$350:$C$352,0),BE236,BE255,BE274)</f>
        <v>0.17</v>
      </c>
      <c r="BF217" s="1381">
        <f>CHOOSE(MATCH($B$212,$C$350:$C$352,0),BF236,BF255,BF274)</f>
        <v>0.17</v>
      </c>
      <c r="BG217" s="1379"/>
      <c r="BH217" s="1381">
        <f>CHOOSE(MATCH($B$212,$C$350:$C$352,0),BH236,BH255,BH274)</f>
        <v>0.17</v>
      </c>
      <c r="BI217" s="1381">
        <f>CHOOSE(MATCH($B$212,$C$350:$C$352,0),BI236,BI255,BI274)</f>
        <v>0.17</v>
      </c>
      <c r="BJ217" s="1381">
        <f>CHOOSE(MATCH($B$212,$C$350:$C$352,0),BJ236,BJ255,BJ274)</f>
        <v>0.17</v>
      </c>
      <c r="BK217" s="1381">
        <f>CHOOSE(MATCH($B$212,$C$350:$C$352,0),BK236,BK255,BK274)</f>
        <v>0.17</v>
      </c>
      <c r="BL217" s="1379"/>
    </row>
    <row r="218" spans="1:64" hidden="1" outlineLevel="1" x14ac:dyDescent="0.2">
      <c r="A218" s="238"/>
      <c r="B218" s="289"/>
      <c r="C218" s="1383"/>
      <c r="D218" s="300"/>
      <c r="E218" s="1377"/>
      <c r="F218" s="1381"/>
      <c r="G218" s="1381"/>
      <c r="H218" s="1494"/>
      <c r="I218" s="1379"/>
      <c r="J218" s="1381"/>
      <c r="K218" s="1381"/>
      <c r="L218" s="1381"/>
      <c r="M218" s="1381"/>
      <c r="N218" s="1379"/>
      <c r="O218" s="1381"/>
      <c r="P218" s="1381"/>
      <c r="Q218" s="1381"/>
      <c r="R218" s="1381"/>
      <c r="S218" s="1379"/>
      <c r="T218" s="1381"/>
      <c r="U218" s="1381"/>
      <c r="V218" s="1381"/>
      <c r="W218" s="1381"/>
      <c r="X218" s="1379"/>
      <c r="Y218" s="1381"/>
      <c r="Z218" s="1381"/>
      <c r="AA218" s="1381"/>
      <c r="AB218" s="1381"/>
      <c r="AC218" s="1379"/>
      <c r="AD218" s="1381"/>
      <c r="AE218" s="1381"/>
      <c r="AF218" s="1381"/>
      <c r="AG218" s="1381"/>
      <c r="AH218" s="1379"/>
      <c r="AI218" s="1381"/>
      <c r="AJ218" s="1381"/>
      <c r="AK218" s="1381"/>
      <c r="AL218" s="1381"/>
      <c r="AM218" s="1379"/>
      <c r="AN218" s="1381"/>
      <c r="AO218" s="1381"/>
      <c r="AP218" s="1381"/>
      <c r="AQ218" s="1381"/>
      <c r="AR218" s="1379"/>
      <c r="AS218" s="1381"/>
      <c r="AT218" s="1381"/>
      <c r="AU218" s="1381"/>
      <c r="AV218" s="1381"/>
      <c r="AW218" s="1379"/>
      <c r="AX218" s="1381"/>
      <c r="AY218" s="1381"/>
      <c r="AZ218" s="1381"/>
      <c r="BA218" s="1381"/>
      <c r="BB218" s="1379"/>
      <c r="BC218" s="1381"/>
      <c r="BD218" s="1381"/>
      <c r="BE218" s="1381"/>
      <c r="BF218" s="1381"/>
      <c r="BG218" s="1379"/>
      <c r="BH218" s="1381"/>
      <c r="BI218" s="1381"/>
      <c r="BJ218" s="1381"/>
      <c r="BK218" s="1381"/>
      <c r="BL218" s="1379"/>
    </row>
    <row r="219" spans="1:64" hidden="1" outlineLevel="1" x14ac:dyDescent="0.2">
      <c r="A219" s="238"/>
      <c r="B219" s="289"/>
      <c r="C219" s="1496" t="s">
        <v>1351</v>
      </c>
      <c r="D219" s="300"/>
      <c r="E219" s="1388" t="e">
        <v>#REF!</v>
      </c>
      <c r="F219" s="1810" t="e">
        <v>#REF!</v>
      </c>
      <c r="G219" s="1810" t="e">
        <v>#REF!</v>
      </c>
      <c r="H219" s="1497" t="e">
        <v>#REF!</v>
      </c>
      <c r="I219" s="1390" t="e">
        <v>#REF!</v>
      </c>
      <c r="J219" s="1810" t="e">
        <v>#REF!</v>
      </c>
      <c r="K219" s="1810" t="e">
        <v>#REF!</v>
      </c>
      <c r="L219" s="1810" t="e">
        <v>#REF!</v>
      </c>
      <c r="M219" s="1810" t="e">
        <v>#REF!</v>
      </c>
      <c r="N219" s="1390" t="e">
        <v>#REF!</v>
      </c>
      <c r="O219" s="1810" t="e">
        <v>#REF!</v>
      </c>
      <c r="P219" s="1810" t="e">
        <v>#REF!</v>
      </c>
      <c r="Q219" s="1810" t="e">
        <v>#REF!</v>
      </c>
      <c r="R219" s="1810" t="e">
        <v>#REF!</v>
      </c>
      <c r="S219" s="1390" t="e">
        <v>#REF!</v>
      </c>
      <c r="T219" s="1810" t="e">
        <v>#REF!</v>
      </c>
      <c r="U219" s="1810" t="e">
        <v>#REF!</v>
      </c>
      <c r="V219" s="1810" t="e">
        <v>#REF!</v>
      </c>
      <c r="W219" s="1810" t="e">
        <v>#REF!</v>
      </c>
      <c r="X219" s="1390"/>
      <c r="Y219" s="1810"/>
      <c r="Z219" s="1810"/>
      <c r="AA219" s="1810"/>
      <c r="AB219" s="1810"/>
      <c r="AC219" s="1390"/>
      <c r="AD219" s="1810"/>
      <c r="AE219" s="1810"/>
      <c r="AF219" s="1810"/>
      <c r="AG219" s="1810"/>
      <c r="AH219" s="1390"/>
      <c r="AI219" s="1810"/>
      <c r="AJ219" s="1810"/>
      <c r="AK219" s="1810"/>
      <c r="AL219" s="1810"/>
      <c r="AM219" s="1390"/>
      <c r="AN219" s="1810"/>
      <c r="AO219" s="1810"/>
      <c r="AP219" s="1810"/>
      <c r="AQ219" s="1810"/>
      <c r="AR219" s="1390"/>
      <c r="AS219" s="1810"/>
      <c r="AT219" s="1810"/>
      <c r="AU219" s="1810"/>
      <c r="AV219" s="1810"/>
      <c r="AW219" s="1390"/>
      <c r="AX219" s="1810"/>
      <c r="AY219" s="1810"/>
      <c r="AZ219" s="1810"/>
      <c r="BA219" s="1810"/>
      <c r="BB219" s="1390"/>
      <c r="BC219" s="1810"/>
      <c r="BD219" s="1810"/>
      <c r="BE219" s="1810"/>
      <c r="BF219" s="1810"/>
      <c r="BG219" s="1390"/>
      <c r="BH219" s="1810"/>
      <c r="BI219" s="1810"/>
      <c r="BJ219" s="1810"/>
      <c r="BK219" s="1810"/>
      <c r="BL219" s="1390"/>
    </row>
    <row r="220" spans="1:64" hidden="1" outlineLevel="1" x14ac:dyDescent="0.2">
      <c r="A220" s="238"/>
      <c r="B220" s="289"/>
      <c r="C220" s="1811" t="s">
        <v>608</v>
      </c>
      <c r="D220" s="300"/>
      <c r="E220" s="1388">
        <v>4.1557710940023131</v>
      </c>
      <c r="F220" s="1810">
        <v>4.828473057618119</v>
      </c>
      <c r="G220" s="1810">
        <v>5.3591476091476089</v>
      </c>
      <c r="H220" s="1497">
        <v>5.4238143289606464</v>
      </c>
      <c r="I220" s="1390">
        <v>4.945772023264511</v>
      </c>
      <c r="J220" s="1810">
        <v>4.4564117906854159</v>
      </c>
      <c r="K220" s="1810">
        <v>4.7446774081693981</v>
      </c>
      <c r="L220" s="1810">
        <v>5.0723470819626879</v>
      </c>
      <c r="M220" s="1810">
        <v>4.8551427876238611</v>
      </c>
      <c r="N220" s="1390">
        <v>4.7819594767084483</v>
      </c>
      <c r="O220" s="1810">
        <v>3.0768489984591683</v>
      </c>
      <c r="P220" s="1810">
        <v>3.24</v>
      </c>
      <c r="Q220" s="1810">
        <v>3.9881315996160227</v>
      </c>
      <c r="R220" s="1810">
        <v>4.164377045281193</v>
      </c>
      <c r="S220" s="1390">
        <v>3.6407740191716149</v>
      </c>
      <c r="T220" s="1810">
        <v>2.3968871595330739</v>
      </c>
      <c r="U220" s="1810">
        <v>3.0281308800785376</v>
      </c>
      <c r="V220" s="1810">
        <v>4.2314017227877843</v>
      </c>
      <c r="W220" s="1810">
        <v>5.0530303030303028</v>
      </c>
      <c r="X220" s="1390"/>
      <c r="Y220" s="1810">
        <v>0.23969649301378734</v>
      </c>
      <c r="Z220" s="1810">
        <v>0.2391798104737092</v>
      </c>
      <c r="AA220" s="1810">
        <v>0.2322983325941414</v>
      </c>
      <c r="AB220" s="1810">
        <v>0.23413569730934553</v>
      </c>
      <c r="AC220" s="1390">
        <v>0.23628271403289777</v>
      </c>
      <c r="AD220" s="1810">
        <v>0.22816379998446884</v>
      </c>
      <c r="AE220" s="1810">
        <v>0.21993885447763048</v>
      </c>
      <c r="AF220" s="1810">
        <v>0.21856217604497361</v>
      </c>
      <c r="AG220" s="1810">
        <v>0.21769870842747086</v>
      </c>
      <c r="AH220" s="1390">
        <v>0.22103912434759651</v>
      </c>
      <c r="AI220" s="1810">
        <v>0.21053991885974699</v>
      </c>
      <c r="AJ220" s="1381">
        <f t="shared" ref="AJ220:AL222" si="150">CHOOSE(MATCH($B$212,$C$350:$C$352,0),AJ239,AJ258,AJ277)</f>
        <v>0.214</v>
      </c>
      <c r="AK220" s="1381">
        <f t="shared" si="150"/>
        <v>0.215</v>
      </c>
      <c r="AL220" s="1381">
        <f t="shared" si="150"/>
        <v>0.215</v>
      </c>
      <c r="AM220" s="1379"/>
      <c r="AN220" s="1381">
        <f t="shared" ref="AN220:AQ226" si="151">CHOOSE(MATCH($B$212,$C$350:$C$352,0),AN239,AN258,AN277)</f>
        <v>0.215</v>
      </c>
      <c r="AO220" s="1381">
        <f t="shared" si="151"/>
        <v>0.215</v>
      </c>
      <c r="AP220" s="1381">
        <f t="shared" si="151"/>
        <v>0.215</v>
      </c>
      <c r="AQ220" s="1381">
        <f t="shared" si="151"/>
        <v>0.215</v>
      </c>
      <c r="AR220" s="1379"/>
      <c r="AS220" s="1381">
        <f t="shared" ref="AS220:AV224" si="152">CHOOSE(MATCH($B$212,$C$350:$C$352,0),AS239,AS258,AS277)</f>
        <v>0.21299999999999999</v>
      </c>
      <c r="AT220" s="1381">
        <f t="shared" si="152"/>
        <v>0.21299999999999999</v>
      </c>
      <c r="AU220" s="1381">
        <f t="shared" si="152"/>
        <v>0.21299999999999999</v>
      </c>
      <c r="AV220" s="1381">
        <f t="shared" si="152"/>
        <v>0.21299999999999999</v>
      </c>
      <c r="AW220" s="1390"/>
      <c r="AX220" s="1381">
        <f t="shared" ref="AX220:BA226" si="153">CHOOSE(MATCH($B$212,$C$350:$C$352,0),AX239,AX258,AX277)</f>
        <v>0.21299999999999999</v>
      </c>
      <c r="AY220" s="1381">
        <f t="shared" si="153"/>
        <v>0.21299999999999999</v>
      </c>
      <c r="AZ220" s="1381">
        <f t="shared" si="153"/>
        <v>0.21299999999999999</v>
      </c>
      <c r="BA220" s="1381">
        <f t="shared" si="153"/>
        <v>0.21299999999999999</v>
      </c>
      <c r="BB220" s="1390"/>
      <c r="BC220" s="1381">
        <f t="shared" ref="BC220:BF226" si="154">CHOOSE(MATCH($B$212,$C$350:$C$352,0),BC239,BC258,BC277)</f>
        <v>0.21299999999999999</v>
      </c>
      <c r="BD220" s="1381">
        <f t="shared" si="154"/>
        <v>0.21299999999999999</v>
      </c>
      <c r="BE220" s="1381">
        <f t="shared" si="154"/>
        <v>0.21299999999999999</v>
      </c>
      <c r="BF220" s="1381">
        <f t="shared" si="154"/>
        <v>0.21299999999999999</v>
      </c>
      <c r="BG220" s="1390"/>
      <c r="BH220" s="1381">
        <f t="shared" ref="BH220:BK220" si="155">CHOOSE(MATCH($B$212,$C$350:$C$352,0),BH239,BH258,BH277)</f>
        <v>0.21299999999999999</v>
      </c>
      <c r="BI220" s="1381">
        <f t="shared" si="155"/>
        <v>0.21299999999999999</v>
      </c>
      <c r="BJ220" s="1381">
        <f t="shared" si="155"/>
        <v>0.21299999999999999</v>
      </c>
      <c r="BK220" s="1381">
        <f t="shared" si="155"/>
        <v>0.21299999999999999</v>
      </c>
      <c r="BL220" s="1390"/>
    </row>
    <row r="221" spans="1:64" hidden="1" outlineLevel="1" x14ac:dyDescent="0.2">
      <c r="A221" s="238"/>
      <c r="B221" s="289"/>
      <c r="C221" s="1811" t="s">
        <v>1352</v>
      </c>
      <c r="D221" s="300"/>
      <c r="E221" s="1377"/>
      <c r="F221" s="1381"/>
      <c r="G221" s="1381"/>
      <c r="H221" s="1494"/>
      <c r="I221" s="1379"/>
      <c r="J221" s="1381"/>
      <c r="K221" s="1381"/>
      <c r="L221" s="1381"/>
      <c r="M221" s="1381"/>
      <c r="N221" s="1379"/>
      <c r="O221" s="1381"/>
      <c r="P221" s="1381"/>
      <c r="Q221" s="1381"/>
      <c r="R221" s="1381"/>
      <c r="S221" s="1379"/>
      <c r="T221" s="1381"/>
      <c r="U221" s="1381"/>
      <c r="V221" s="1381"/>
      <c r="W221" s="1381"/>
      <c r="X221" s="1379"/>
      <c r="Y221" s="1381"/>
      <c r="Z221" s="1381"/>
      <c r="AA221" s="1381"/>
      <c r="AB221" s="1381"/>
      <c r="AC221" s="1379"/>
      <c r="AD221" s="1381">
        <v>-2.0346840209132133E-2</v>
      </c>
      <c r="AE221" s="1381">
        <v>-4.0913946278300362E-2</v>
      </c>
      <c r="AF221" s="1381">
        <v>-2.0408610156130269E-2</v>
      </c>
      <c r="AG221" s="1381">
        <v>-8.3916523488245409E-2</v>
      </c>
      <c r="AH221" s="1379">
        <v>-4.1630299664101145E-2</v>
      </c>
      <c r="AI221" s="1381">
        <v>-0.10379363320539781</v>
      </c>
      <c r="AJ221" s="1381">
        <f t="shared" si="150"/>
        <v>-0.02</v>
      </c>
      <c r="AK221" s="1381">
        <f t="shared" si="150"/>
        <v>-0.02</v>
      </c>
      <c r="AL221" s="1381">
        <f t="shared" si="150"/>
        <v>-0.02</v>
      </c>
      <c r="AM221" s="1379"/>
      <c r="AN221" s="1381">
        <f t="shared" si="151"/>
        <v>0.04</v>
      </c>
      <c r="AO221" s="1381">
        <f t="shared" si="151"/>
        <v>0.04</v>
      </c>
      <c r="AP221" s="1381">
        <f t="shared" si="151"/>
        <v>0.04</v>
      </c>
      <c r="AQ221" s="1381">
        <f t="shared" si="151"/>
        <v>0.04</v>
      </c>
      <c r="AR221" s="1379"/>
      <c r="AS221" s="1381">
        <f t="shared" si="152"/>
        <v>3.5000000000000003E-2</v>
      </c>
      <c r="AT221" s="1381">
        <f t="shared" si="152"/>
        <v>3.5000000000000003E-2</v>
      </c>
      <c r="AU221" s="1381">
        <f t="shared" si="152"/>
        <v>3.5000000000000003E-2</v>
      </c>
      <c r="AV221" s="1381">
        <f t="shared" si="152"/>
        <v>3.5000000000000003E-2</v>
      </c>
      <c r="AW221" s="1379"/>
      <c r="AX221" s="1381">
        <f t="shared" si="153"/>
        <v>3.5000000000000003E-2</v>
      </c>
      <c r="AY221" s="1381">
        <f t="shared" si="153"/>
        <v>3.5000000000000003E-2</v>
      </c>
      <c r="AZ221" s="1381">
        <f t="shared" si="153"/>
        <v>3.5000000000000003E-2</v>
      </c>
      <c r="BA221" s="1381">
        <f t="shared" si="153"/>
        <v>3.5000000000000003E-2</v>
      </c>
      <c r="BB221" s="1379"/>
      <c r="BC221" s="1381">
        <f t="shared" si="154"/>
        <v>3.5000000000000003E-2</v>
      </c>
      <c r="BD221" s="1381">
        <f t="shared" si="154"/>
        <v>3.5000000000000003E-2</v>
      </c>
      <c r="BE221" s="1381">
        <f t="shared" si="154"/>
        <v>3.5000000000000003E-2</v>
      </c>
      <c r="BF221" s="1381">
        <f t="shared" si="154"/>
        <v>3.5000000000000003E-2</v>
      </c>
      <c r="BG221" s="1379"/>
      <c r="BH221" s="1381">
        <f t="shared" ref="BH221:BK221" si="156">CHOOSE(MATCH($B$212,$C$350:$C$352,0),BH240,BH259,BH278)</f>
        <v>3.5000000000000003E-2</v>
      </c>
      <c r="BI221" s="1381">
        <f t="shared" si="156"/>
        <v>3.5000000000000003E-2</v>
      </c>
      <c r="BJ221" s="1381">
        <f t="shared" si="156"/>
        <v>3.5000000000000003E-2</v>
      </c>
      <c r="BK221" s="1381">
        <f t="shared" si="156"/>
        <v>3.5000000000000003E-2</v>
      </c>
      <c r="BL221" s="1379"/>
    </row>
    <row r="222" spans="1:64" hidden="1" outlineLevel="1" x14ac:dyDescent="0.2">
      <c r="A222" s="238"/>
      <c r="B222" s="289"/>
      <c r="C222" s="1811" t="s">
        <v>1359</v>
      </c>
      <c r="D222" s="300"/>
      <c r="E222" s="1377"/>
      <c r="F222" s="1381"/>
      <c r="G222" s="1381"/>
      <c r="H222" s="1494"/>
      <c r="I222" s="1379"/>
      <c r="J222" s="1381"/>
      <c r="K222" s="1381"/>
      <c r="L222" s="1381"/>
      <c r="M222" s="1381"/>
      <c r="N222" s="1379"/>
      <c r="O222" s="1381"/>
      <c r="P222" s="1381"/>
      <c r="Q222" s="1381"/>
      <c r="R222" s="1381"/>
      <c r="S222" s="1379"/>
      <c r="T222" s="1381"/>
      <c r="U222" s="1381"/>
      <c r="V222" s="1381"/>
      <c r="W222" s="1381"/>
      <c r="X222" s="1381"/>
      <c r="Y222" s="1381"/>
      <c r="Z222" s="1381"/>
      <c r="AA222" s="1381"/>
      <c r="AB222" s="1381"/>
      <c r="AC222" s="1379"/>
      <c r="AD222" s="1381"/>
      <c r="AE222" s="1381"/>
      <c r="AF222" s="1381"/>
      <c r="AG222" s="1381"/>
      <c r="AH222" s="1379"/>
      <c r="AI222" s="1381"/>
      <c r="AJ222">
        <f t="shared" si="150"/>
        <v>0</v>
      </c>
      <c r="AK222">
        <f t="shared" si="150"/>
        <v>0</v>
      </c>
      <c r="AL222">
        <f t="shared" si="150"/>
        <v>0</v>
      </c>
      <c r="AM222" s="1379"/>
      <c r="AN222">
        <f t="shared" si="151"/>
        <v>0</v>
      </c>
      <c r="AO222">
        <f t="shared" si="151"/>
        <v>0</v>
      </c>
      <c r="AP222">
        <f t="shared" si="151"/>
        <v>0</v>
      </c>
      <c r="AQ222">
        <f t="shared" si="151"/>
        <v>0</v>
      </c>
      <c r="AR222" s="576"/>
      <c r="AS222">
        <f t="shared" si="152"/>
        <v>50</v>
      </c>
      <c r="AT222">
        <f t="shared" si="152"/>
        <v>50</v>
      </c>
      <c r="AU222">
        <f t="shared" si="152"/>
        <v>50</v>
      </c>
      <c r="AV222">
        <f t="shared" si="152"/>
        <v>50</v>
      </c>
      <c r="AW222" s="1379"/>
      <c r="AX222" s="2559">
        <f t="shared" si="153"/>
        <v>50</v>
      </c>
      <c r="AY222" s="2559">
        <f t="shared" si="153"/>
        <v>50</v>
      </c>
      <c r="AZ222" s="2559">
        <f t="shared" si="153"/>
        <v>50</v>
      </c>
      <c r="BA222" s="2559">
        <f t="shared" si="153"/>
        <v>50</v>
      </c>
      <c r="BB222" s="1379"/>
      <c r="BC222" s="2649">
        <f t="shared" si="154"/>
        <v>50</v>
      </c>
      <c r="BD222" s="2649">
        <f t="shared" si="154"/>
        <v>50</v>
      </c>
      <c r="BE222" s="2649">
        <f t="shared" si="154"/>
        <v>50</v>
      </c>
      <c r="BF222" s="2649">
        <f t="shared" si="154"/>
        <v>50</v>
      </c>
      <c r="BG222" s="1379"/>
      <c r="BH222" s="2771">
        <f t="shared" ref="BH222:BK222" si="157">CHOOSE(MATCH($B$212,$C$350:$C$352,0),BH241,BH260,BH279)</f>
        <v>50</v>
      </c>
      <c r="BI222" s="2771">
        <f t="shared" si="157"/>
        <v>50</v>
      </c>
      <c r="BJ222" s="2771">
        <f t="shared" si="157"/>
        <v>50</v>
      </c>
      <c r="BK222" s="2771">
        <f t="shared" si="157"/>
        <v>50</v>
      </c>
      <c r="BL222" s="1379"/>
    </row>
    <row r="223" spans="1:64" hidden="1" outlineLevel="1" x14ac:dyDescent="0.2">
      <c r="A223" s="238"/>
      <c r="B223" s="289"/>
      <c r="C223" s="1010" t="s">
        <v>1360</v>
      </c>
      <c r="D223" s="300"/>
      <c r="E223" s="1377"/>
      <c r="F223" s="1381"/>
      <c r="G223" s="1381"/>
      <c r="H223" s="1494"/>
      <c r="I223" s="1379"/>
      <c r="J223" s="1381"/>
      <c r="K223" s="1381"/>
      <c r="L223" s="1381"/>
      <c r="M223" s="1381"/>
      <c r="N223" s="1379"/>
      <c r="O223" s="1381"/>
      <c r="P223" s="1381"/>
      <c r="Q223" s="1381"/>
      <c r="R223" s="1381"/>
      <c r="S223" s="1379"/>
      <c r="T223" s="1381"/>
      <c r="U223" s="1381"/>
      <c r="V223" s="1381"/>
      <c r="W223" s="1381"/>
      <c r="X223" s="1381"/>
      <c r="Y223" s="1381"/>
      <c r="Z223" s="1381"/>
      <c r="AA223" s="1381"/>
      <c r="AB223" s="1381"/>
      <c r="AC223" s="1379"/>
      <c r="AD223" s="1381"/>
      <c r="AE223" s="1381"/>
      <c r="AF223" s="1381"/>
      <c r="AG223" s="1381"/>
      <c r="AH223" s="1379"/>
      <c r="AI223" s="1381"/>
      <c r="AJ223">
        <f t="shared" ref="AJ223:AL224" si="158">CHOOSE(MATCH($B$212,$C$350:$C$352,0),AJ240,AJ261,AJ280)</f>
        <v>0</v>
      </c>
      <c r="AK223">
        <f t="shared" si="158"/>
        <v>0</v>
      </c>
      <c r="AL223">
        <f t="shared" si="158"/>
        <v>0</v>
      </c>
      <c r="AM223" s="1379"/>
      <c r="AN223" s="2557">
        <f t="shared" si="151"/>
        <v>0</v>
      </c>
      <c r="AO223" s="2557">
        <f t="shared" si="151"/>
        <v>0</v>
      </c>
      <c r="AP223" s="2557">
        <f t="shared" si="151"/>
        <v>0</v>
      </c>
      <c r="AQ223" s="2557">
        <f t="shared" si="151"/>
        <v>0</v>
      </c>
      <c r="AR223" s="2558"/>
      <c r="AS223" s="2557">
        <f t="shared" si="152"/>
        <v>40</v>
      </c>
      <c r="AT223" s="2557">
        <f t="shared" si="152"/>
        <v>40</v>
      </c>
      <c r="AU223" s="2557">
        <f t="shared" si="152"/>
        <v>40</v>
      </c>
      <c r="AV223" s="2557">
        <f t="shared" si="152"/>
        <v>40</v>
      </c>
      <c r="AW223" s="1379"/>
      <c r="AX223" s="2557">
        <f t="shared" si="153"/>
        <v>40</v>
      </c>
      <c r="AY223" s="2557">
        <f t="shared" si="153"/>
        <v>40</v>
      </c>
      <c r="AZ223" s="2557">
        <f t="shared" si="153"/>
        <v>40</v>
      </c>
      <c r="BA223" s="2557">
        <f t="shared" si="153"/>
        <v>40</v>
      </c>
      <c r="BB223" s="1379"/>
      <c r="BC223" s="2557">
        <f t="shared" si="154"/>
        <v>40</v>
      </c>
      <c r="BD223" s="2557">
        <f t="shared" si="154"/>
        <v>40</v>
      </c>
      <c r="BE223" s="2557">
        <f t="shared" si="154"/>
        <v>40</v>
      </c>
      <c r="BF223" s="2557">
        <f t="shared" si="154"/>
        <v>40</v>
      </c>
      <c r="BG223" s="1379"/>
      <c r="BH223" s="2557">
        <f t="shared" ref="BH223:BK223" si="159">CHOOSE(MATCH($B$212,$C$350:$C$352,0),BH242,BH261,BH280)</f>
        <v>40</v>
      </c>
      <c r="BI223" s="2557">
        <f t="shared" si="159"/>
        <v>40</v>
      </c>
      <c r="BJ223" s="2557">
        <f t="shared" si="159"/>
        <v>40</v>
      </c>
      <c r="BK223" s="2557">
        <f t="shared" si="159"/>
        <v>40</v>
      </c>
      <c r="BL223" s="1379"/>
    </row>
    <row r="224" spans="1:64" hidden="1" outlineLevel="1" x14ac:dyDescent="0.2">
      <c r="A224" s="238"/>
      <c r="B224" s="289"/>
      <c r="C224" s="1010" t="s">
        <v>1361</v>
      </c>
      <c r="D224" s="300"/>
      <c r="E224" s="1377"/>
      <c r="F224" s="1381"/>
      <c r="G224" s="1381"/>
      <c r="H224" s="1494"/>
      <c r="I224" s="1379"/>
      <c r="J224" s="1381"/>
      <c r="K224" s="1381"/>
      <c r="L224" s="1381"/>
      <c r="M224" s="1381"/>
      <c r="N224" s="1379"/>
      <c r="O224" s="1381"/>
      <c r="P224" s="1381"/>
      <c r="Q224" s="1381"/>
      <c r="R224" s="1381"/>
      <c r="S224" s="1379"/>
      <c r="T224" s="1381"/>
      <c r="U224" s="1381"/>
      <c r="V224" s="1381"/>
      <c r="W224" s="1381"/>
      <c r="X224" s="1381"/>
      <c r="Y224" s="1381"/>
      <c r="Z224" s="1381"/>
      <c r="AA224" s="1381"/>
      <c r="AB224" s="1381"/>
      <c r="AC224" s="1379"/>
      <c r="AD224" s="1381"/>
      <c r="AE224" s="1381"/>
      <c r="AF224" s="1381"/>
      <c r="AG224" s="1381"/>
      <c r="AH224" s="1379"/>
      <c r="AI224" s="1381"/>
      <c r="AJ224">
        <f t="shared" si="158"/>
        <v>0</v>
      </c>
      <c r="AK224">
        <f t="shared" si="158"/>
        <v>0</v>
      </c>
      <c r="AL224">
        <f t="shared" si="158"/>
        <v>0</v>
      </c>
      <c r="AM224" s="1379"/>
      <c r="AN224" s="2557">
        <f t="shared" si="151"/>
        <v>0</v>
      </c>
      <c r="AO224" s="2557">
        <f t="shared" si="151"/>
        <v>0</v>
      </c>
      <c r="AP224" s="2557">
        <f t="shared" si="151"/>
        <v>0</v>
      </c>
      <c r="AQ224" s="2557">
        <f t="shared" si="151"/>
        <v>0</v>
      </c>
      <c r="AR224" s="2558"/>
      <c r="AS224" s="2557">
        <f t="shared" si="152"/>
        <v>10</v>
      </c>
      <c r="AT224" s="2557">
        <f t="shared" si="152"/>
        <v>10</v>
      </c>
      <c r="AU224" s="2557">
        <f t="shared" si="152"/>
        <v>10</v>
      </c>
      <c r="AV224" s="2557">
        <f t="shared" si="152"/>
        <v>10</v>
      </c>
      <c r="AW224" s="1379"/>
      <c r="AX224" s="2557">
        <f t="shared" si="153"/>
        <v>10</v>
      </c>
      <c r="AY224" s="2557">
        <f t="shared" si="153"/>
        <v>10</v>
      </c>
      <c r="AZ224" s="2557">
        <f t="shared" si="153"/>
        <v>10</v>
      </c>
      <c r="BA224" s="2557">
        <f t="shared" si="153"/>
        <v>10</v>
      </c>
      <c r="BB224" s="1379"/>
      <c r="BC224" s="2557">
        <f t="shared" si="154"/>
        <v>10</v>
      </c>
      <c r="BD224" s="2557">
        <f t="shared" si="154"/>
        <v>10</v>
      </c>
      <c r="BE224" s="2557">
        <f t="shared" si="154"/>
        <v>10</v>
      </c>
      <c r="BF224" s="2557">
        <f t="shared" si="154"/>
        <v>10</v>
      </c>
      <c r="BG224" s="1379"/>
      <c r="BH224" s="2557">
        <f t="shared" ref="BH224:BK224" si="160">CHOOSE(MATCH($B$212,$C$350:$C$352,0),BH243,BH262,BH281)</f>
        <v>10</v>
      </c>
      <c r="BI224" s="2557">
        <f t="shared" si="160"/>
        <v>10</v>
      </c>
      <c r="BJ224" s="2557">
        <f t="shared" si="160"/>
        <v>10</v>
      </c>
      <c r="BK224" s="2557">
        <f t="shared" si="160"/>
        <v>10</v>
      </c>
      <c r="BL224" s="1379"/>
    </row>
    <row r="225" spans="1:64" hidden="1" outlineLevel="1" x14ac:dyDescent="0.2">
      <c r="A225" s="238"/>
      <c r="B225" s="289"/>
      <c r="C225" s="1811" t="s">
        <v>1358</v>
      </c>
      <c r="D225" s="300"/>
      <c r="E225" s="1377"/>
      <c r="F225" s="1381"/>
      <c r="G225" s="1381"/>
      <c r="H225" s="1494"/>
      <c r="I225" s="1379"/>
      <c r="J225" s="1381"/>
      <c r="K225" s="1381"/>
      <c r="L225" s="1381"/>
      <c r="M225" s="1381"/>
      <c r="N225" s="1379"/>
      <c r="O225" s="1381"/>
      <c r="P225" s="1381"/>
      <c r="Q225" s="1381"/>
      <c r="R225" s="1381"/>
      <c r="S225" s="1379"/>
      <c r="T225" s="1381"/>
      <c r="U225" s="1381"/>
      <c r="V225" s="1381"/>
      <c r="W225" s="1381"/>
      <c r="X225" s="1381"/>
      <c r="Y225" s="1381"/>
      <c r="Z225" s="1381"/>
      <c r="AA225" s="1381"/>
      <c r="AB225" s="1381"/>
      <c r="AC225" s="1390">
        <v>0.11200223234849913</v>
      </c>
      <c r="AD225" s="1810">
        <v>0.11310038331345262</v>
      </c>
      <c r="AE225" s="1810">
        <v>0.10941621175921282</v>
      </c>
      <c r="AF225" s="1810">
        <v>0.11181333971785792</v>
      </c>
      <c r="AG225" s="1810">
        <v>0.11328195545530607</v>
      </c>
      <c r="AH225" s="1390">
        <v>0.1118993582506897</v>
      </c>
      <c r="AI225" s="1810">
        <v>0.11440004530551715</v>
      </c>
      <c r="AJ225" s="1381">
        <f t="shared" ref="AJ225:AL226" si="161">CHOOSE(MATCH($B$212,$C$350:$C$352,0),AJ244,AJ263,AJ282)</f>
        <v>0.02</v>
      </c>
      <c r="AK225" s="1381">
        <f t="shared" si="161"/>
        <v>0.02</v>
      </c>
      <c r="AL225" s="1381">
        <f t="shared" si="161"/>
        <v>0.02</v>
      </c>
      <c r="AM225" s="1379"/>
      <c r="AN225" s="1381">
        <f t="shared" si="151"/>
        <v>1.9E-2</v>
      </c>
      <c r="AO225" s="1381">
        <f t="shared" si="151"/>
        <v>1.9E-2</v>
      </c>
      <c r="AP225" s="1381">
        <f t="shared" si="151"/>
        <v>1.9E-2</v>
      </c>
      <c r="AQ225" s="1381">
        <f t="shared" si="151"/>
        <v>1.9E-2</v>
      </c>
      <c r="AR225" s="1379"/>
      <c r="AS225" s="1381">
        <f t="shared" ref="AS225:AV226" si="162">CHOOSE(MATCH($B$212,$C$350:$C$352,0),AS244,AS263,AS282)</f>
        <v>1.9E-2</v>
      </c>
      <c r="AT225" s="1381">
        <f t="shared" si="162"/>
        <v>1.9E-2</v>
      </c>
      <c r="AU225" s="1381">
        <f t="shared" si="162"/>
        <v>1.9E-2</v>
      </c>
      <c r="AV225" s="1381">
        <f t="shared" si="162"/>
        <v>1.9E-2</v>
      </c>
      <c r="AW225" s="1379"/>
      <c r="AX225" s="1381">
        <f t="shared" si="153"/>
        <v>1.9E-2</v>
      </c>
      <c r="AY225" s="1381">
        <f t="shared" si="153"/>
        <v>1.9E-2</v>
      </c>
      <c r="AZ225" s="1381">
        <f t="shared" si="153"/>
        <v>1.9E-2</v>
      </c>
      <c r="BA225" s="1381">
        <f t="shared" si="153"/>
        <v>1.9E-2</v>
      </c>
      <c r="BB225" s="1379"/>
      <c r="BC225" s="1381">
        <f t="shared" si="154"/>
        <v>1.9E-2</v>
      </c>
      <c r="BD225" s="1381">
        <f t="shared" si="154"/>
        <v>1.9E-2</v>
      </c>
      <c r="BE225" s="1381">
        <f t="shared" si="154"/>
        <v>1.9E-2</v>
      </c>
      <c r="BF225" s="1381">
        <f t="shared" si="154"/>
        <v>1.9E-2</v>
      </c>
      <c r="BG225" s="1379"/>
      <c r="BH225" s="1381">
        <f t="shared" ref="BH225:BK225" si="163">CHOOSE(MATCH($B$212,$C$350:$C$352,0),BH244,BH263,BH282)</f>
        <v>1.9E-2</v>
      </c>
      <c r="BI225" s="1381">
        <f t="shared" si="163"/>
        <v>1.9E-2</v>
      </c>
      <c r="BJ225" s="1381">
        <f t="shared" si="163"/>
        <v>1.9E-2</v>
      </c>
      <c r="BK225" s="1381">
        <f t="shared" si="163"/>
        <v>1.9E-2</v>
      </c>
      <c r="BL225" s="1379"/>
    </row>
    <row r="226" spans="1:64" ht="12" hidden="1" outlineLevel="1" thickBot="1" x14ac:dyDescent="0.25">
      <c r="A226" s="238"/>
      <c r="B226" s="289"/>
      <c r="C226" s="1812" t="s">
        <v>1355</v>
      </c>
      <c r="D226" s="411"/>
      <c r="E226" s="1813"/>
      <c r="F226" s="1814"/>
      <c r="G226" s="1814"/>
      <c r="H226" s="1815"/>
      <c r="I226" s="1816"/>
      <c r="J226" s="1814"/>
      <c r="K226" s="1814"/>
      <c r="L226" s="1814"/>
      <c r="M226" s="1815"/>
      <c r="N226" s="1816"/>
      <c r="O226" s="1817"/>
      <c r="P226" s="1814"/>
      <c r="Q226" s="1814"/>
      <c r="R226" s="1814"/>
      <c r="S226" s="1816"/>
      <c r="T226" s="1817"/>
      <c r="U226" s="1814"/>
      <c r="V226" s="1814"/>
      <c r="W226" s="1814"/>
      <c r="X226" s="506"/>
      <c r="Y226" s="506">
        <v>0</v>
      </c>
      <c r="Z226" s="506">
        <v>0</v>
      </c>
      <c r="AA226" s="506">
        <v>0</v>
      </c>
      <c r="AB226" s="506">
        <v>0</v>
      </c>
      <c r="AC226" s="1823">
        <v>0</v>
      </c>
      <c r="AD226" s="506">
        <v>14.509</v>
      </c>
      <c r="AE226" s="506">
        <v>0</v>
      </c>
      <c r="AF226" s="506">
        <v>0</v>
      </c>
      <c r="AG226" s="506">
        <v>0</v>
      </c>
      <c r="AH226" s="1823">
        <v>14.509000000000043</v>
      </c>
      <c r="AI226" s="506">
        <f>CHOOSE(MATCH($B$212,$C$350:$C$352,0),AI245,AI264,AI283)</f>
        <v>0</v>
      </c>
      <c r="AJ226" s="506">
        <f t="shared" si="161"/>
        <v>20</v>
      </c>
      <c r="AK226" s="506">
        <f t="shared" si="161"/>
        <v>20</v>
      </c>
      <c r="AL226" s="506">
        <f t="shared" si="161"/>
        <v>20</v>
      </c>
      <c r="AM226" s="1823"/>
      <c r="AN226" s="506">
        <f t="shared" si="151"/>
        <v>20</v>
      </c>
      <c r="AO226" s="506">
        <f t="shared" si="151"/>
        <v>20</v>
      </c>
      <c r="AP226" s="506">
        <f t="shared" si="151"/>
        <v>20</v>
      </c>
      <c r="AQ226" s="506">
        <f t="shared" si="151"/>
        <v>20</v>
      </c>
      <c r="AR226" s="1823"/>
      <c r="AS226" s="506">
        <f>CHOOSE(MATCH($B$212,$C$350:$C$352,0),AS245,AS264,AS283)</f>
        <v>20</v>
      </c>
      <c r="AT226" s="506">
        <f t="shared" si="162"/>
        <v>20</v>
      </c>
      <c r="AU226" s="506">
        <f t="shared" si="162"/>
        <v>20</v>
      </c>
      <c r="AV226" s="506">
        <f t="shared" si="162"/>
        <v>20</v>
      </c>
      <c r="AW226" s="1816"/>
      <c r="AX226" s="506">
        <f t="shared" si="153"/>
        <v>20</v>
      </c>
      <c r="AY226" s="506">
        <f t="shared" si="153"/>
        <v>20</v>
      </c>
      <c r="AZ226" s="506">
        <f t="shared" si="153"/>
        <v>20</v>
      </c>
      <c r="BA226" s="506">
        <f t="shared" si="153"/>
        <v>20</v>
      </c>
      <c r="BB226" s="1816"/>
      <c r="BC226" s="506">
        <f t="shared" si="154"/>
        <v>20</v>
      </c>
      <c r="BD226" s="506">
        <f t="shared" si="154"/>
        <v>20</v>
      </c>
      <c r="BE226" s="506">
        <f t="shared" si="154"/>
        <v>20</v>
      </c>
      <c r="BF226" s="506">
        <f t="shared" si="154"/>
        <v>20</v>
      </c>
      <c r="BG226" s="1816"/>
      <c r="BH226" s="506">
        <f t="shared" ref="BH226:BK226" si="164">CHOOSE(MATCH($B$212,$C$350:$C$352,0),BH245,BH264,BH283)</f>
        <v>20</v>
      </c>
      <c r="BI226" s="506">
        <f t="shared" si="164"/>
        <v>20</v>
      </c>
      <c r="BJ226" s="506">
        <f t="shared" si="164"/>
        <v>20</v>
      </c>
      <c r="BK226" s="506">
        <f t="shared" si="164"/>
        <v>20</v>
      </c>
      <c r="BL226" s="1816"/>
    </row>
    <row r="227" spans="1:64" hidden="1" outlineLevel="1" x14ac:dyDescent="0.2">
      <c r="A227" s="238"/>
      <c r="B227" s="289"/>
      <c r="D227" s="300"/>
      <c r="E227" s="1381"/>
      <c r="F227" s="1381"/>
      <c r="G227" s="1381"/>
      <c r="H227" s="1381"/>
      <c r="I227" s="1381"/>
      <c r="J227" s="1381"/>
      <c r="K227" s="1381"/>
      <c r="L227" s="1381"/>
      <c r="M227" s="1381"/>
      <c r="N227" s="1381"/>
      <c r="O227" s="1381"/>
      <c r="P227" s="1381"/>
      <c r="Q227" s="1381"/>
      <c r="R227" s="1381"/>
      <c r="S227" s="1381"/>
      <c r="T227" s="1381"/>
      <c r="U227" s="1381"/>
      <c r="V227" s="1381"/>
      <c r="W227" s="1381"/>
      <c r="AD227"/>
      <c r="AW227" s="1381"/>
      <c r="BB227" s="1381"/>
      <c r="BG227" s="1381"/>
      <c r="BL227" s="1381"/>
    </row>
    <row r="228" spans="1:64" hidden="1" outlineLevel="1" x14ac:dyDescent="0.2">
      <c r="A228" s="238"/>
      <c r="B228" s="300"/>
      <c r="C228" s="300"/>
      <c r="D228" s="300"/>
      <c r="E228" s="300"/>
      <c r="F228" s="300"/>
      <c r="G228" s="300"/>
      <c r="H228" s="300"/>
      <c r="I228" s="300"/>
      <c r="J228" s="300"/>
      <c r="K228" s="300"/>
      <c r="L228" s="300"/>
      <c r="M228" s="300"/>
      <c r="N228" s="300"/>
      <c r="O228" s="300"/>
      <c r="P228" s="300"/>
      <c r="Q228" s="300"/>
      <c r="R228" s="300"/>
      <c r="S228" s="300"/>
      <c r="T228" s="300"/>
      <c r="U228" s="300"/>
      <c r="V228" s="300"/>
      <c r="W228" s="300"/>
      <c r="X228" s="300"/>
      <c r="Y228" s="300"/>
      <c r="Z228" s="300"/>
      <c r="AA228" s="300"/>
      <c r="AB228" s="300"/>
      <c r="AC228" s="300"/>
      <c r="AD228" s="300"/>
      <c r="AE228" s="300"/>
      <c r="AF228" s="300"/>
      <c r="AG228" s="300"/>
      <c r="AH228" s="300"/>
      <c r="AI228" s="300"/>
      <c r="AJ228" s="300"/>
      <c r="AK228" s="300"/>
      <c r="AL228" s="300"/>
      <c r="AM228" s="300"/>
      <c r="AN228" s="300"/>
      <c r="AO228" s="300"/>
      <c r="AP228" s="300"/>
      <c r="AQ228" s="300"/>
      <c r="AR228" s="300"/>
      <c r="AS228" s="300"/>
      <c r="AT228" s="300"/>
      <c r="AU228" s="300"/>
      <c r="AV228" s="300"/>
      <c r="AW228" s="300"/>
      <c r="AX228" s="300"/>
      <c r="AY228" s="300"/>
      <c r="AZ228" s="300"/>
      <c r="BA228" s="300"/>
      <c r="BB228" s="300"/>
      <c r="BC228" s="300"/>
      <c r="BD228" s="300"/>
      <c r="BE228" s="300"/>
      <c r="BF228" s="300"/>
      <c r="BG228" s="300"/>
      <c r="BH228" s="300"/>
      <c r="BI228" s="300"/>
      <c r="BJ228" s="300"/>
      <c r="BK228" s="300"/>
      <c r="BL228" s="300"/>
    </row>
    <row r="229" spans="1:64" hidden="1" outlineLevel="1" x14ac:dyDescent="0.2">
      <c r="A229" s="238"/>
      <c r="B229" s="300"/>
      <c r="C229" s="300"/>
      <c r="D229" s="300"/>
      <c r="E229" s="300"/>
      <c r="F229" s="300"/>
      <c r="G229" s="300"/>
      <c r="H229" s="300"/>
      <c r="I229" s="300"/>
      <c r="J229" s="300"/>
      <c r="K229" s="300"/>
      <c r="L229" s="300"/>
      <c r="M229" s="300"/>
      <c r="N229" s="300"/>
      <c r="O229" s="300"/>
      <c r="P229" s="300"/>
      <c r="Q229" s="300"/>
      <c r="R229" s="300"/>
      <c r="S229" s="300"/>
      <c r="T229" s="300"/>
      <c r="U229" s="300"/>
      <c r="V229" s="300"/>
      <c r="W229" s="300"/>
      <c r="X229" s="300"/>
      <c r="Y229" s="300"/>
      <c r="Z229" s="300"/>
      <c r="AA229" s="300"/>
      <c r="AB229" s="300"/>
      <c r="AC229" s="300"/>
      <c r="AD229" s="300"/>
      <c r="AE229" s="300"/>
      <c r="AF229" s="300"/>
      <c r="AG229" s="300"/>
      <c r="AH229" s="300"/>
      <c r="AI229" s="300"/>
      <c r="AJ229" s="300"/>
      <c r="AK229" s="300"/>
      <c r="AL229" s="300"/>
      <c r="AM229" s="300"/>
      <c r="AN229" s="300"/>
      <c r="AO229" s="300"/>
      <c r="AP229" s="300"/>
      <c r="AQ229" s="300"/>
      <c r="AR229" s="300"/>
      <c r="AS229" s="300"/>
      <c r="AT229" s="300"/>
      <c r="AU229" s="300"/>
      <c r="AV229" s="300"/>
      <c r="AW229" s="300"/>
      <c r="AX229" s="300"/>
      <c r="AY229" s="300"/>
      <c r="AZ229" s="300"/>
      <c r="BA229" s="300"/>
      <c r="BB229" s="300"/>
      <c r="BC229" s="300"/>
      <c r="BD229" s="300"/>
      <c r="BE229" s="300"/>
      <c r="BF229" s="300"/>
      <c r="BG229" s="300"/>
      <c r="BH229" s="300"/>
      <c r="BI229" s="300"/>
      <c r="BJ229" s="300"/>
      <c r="BK229" s="300"/>
      <c r="BL229" s="300"/>
    </row>
    <row r="230" spans="1:64" ht="12" hidden="1" outlineLevel="1" thickBot="1" x14ac:dyDescent="0.25">
      <c r="A230" s="238"/>
      <c r="B230" s="300"/>
      <c r="C230" s="1433" t="s">
        <v>1437</v>
      </c>
      <c r="D230" s="1434"/>
      <c r="E230" s="1434"/>
      <c r="F230" s="1434"/>
      <c r="G230" s="1434"/>
      <c r="H230" s="1434"/>
      <c r="I230" s="1435"/>
      <c r="J230" s="1434"/>
      <c r="K230" s="1434"/>
      <c r="L230" s="1434"/>
      <c r="M230" s="1434"/>
      <c r="N230" s="1435"/>
      <c r="O230" s="1434"/>
      <c r="P230" s="1434"/>
      <c r="Q230" s="1434"/>
      <c r="R230" s="1434"/>
      <c r="S230" s="1435"/>
      <c r="T230" s="1434"/>
      <c r="U230" s="1434"/>
      <c r="V230" s="1434"/>
      <c r="W230" s="1558"/>
      <c r="X230" s="1558"/>
      <c r="Y230" s="1434"/>
      <c r="Z230" s="1434"/>
      <c r="AA230" s="1434"/>
      <c r="AB230" s="1558"/>
      <c r="AC230" s="1558"/>
      <c r="AD230" s="1434"/>
      <c r="AE230" s="1434"/>
      <c r="AF230" s="1434"/>
      <c r="AG230" s="1558"/>
      <c r="AH230" s="1558"/>
      <c r="AI230" s="1434"/>
      <c r="AJ230" s="1434"/>
      <c r="AK230" s="1434"/>
      <c r="AL230" s="1558"/>
      <c r="AM230" s="1558"/>
      <c r="AN230" s="1434"/>
      <c r="AO230" s="1434"/>
      <c r="AP230" s="1434"/>
      <c r="AQ230" s="1558"/>
      <c r="AR230" s="1558"/>
      <c r="AS230" s="1434"/>
      <c r="AT230" s="1434"/>
      <c r="AU230" s="1434"/>
      <c r="AV230" s="1558"/>
      <c r="AW230" s="1558"/>
      <c r="AX230" s="1434"/>
      <c r="AY230" s="1434"/>
      <c r="AZ230" s="1434"/>
      <c r="BA230" s="1558"/>
      <c r="BB230" s="1558"/>
      <c r="BC230" s="1434"/>
      <c r="BD230" s="1434"/>
      <c r="BE230" s="1434"/>
      <c r="BF230" s="1558"/>
      <c r="BG230" s="1558"/>
      <c r="BH230" s="1434"/>
      <c r="BI230" s="1434"/>
      <c r="BJ230" s="1434"/>
      <c r="BK230" s="1558"/>
      <c r="BL230" s="1558"/>
    </row>
    <row r="231" spans="1:64" hidden="1" outlineLevel="1" x14ac:dyDescent="0.2">
      <c r="A231" s="238"/>
      <c r="B231" s="300"/>
      <c r="C231" s="1804" t="s">
        <v>1347</v>
      </c>
      <c r="D231" s="1371"/>
      <c r="E231" s="1655"/>
      <c r="F231" s="1681"/>
      <c r="G231" s="1681"/>
      <c r="H231" s="483"/>
      <c r="I231" s="483"/>
      <c r="J231" s="483"/>
      <c r="K231" s="483"/>
      <c r="L231" s="483"/>
      <c r="M231" s="483"/>
      <c r="N231" s="483"/>
      <c r="O231" s="483"/>
      <c r="P231" s="483"/>
      <c r="Q231" s="483"/>
      <c r="R231" s="483"/>
      <c r="S231" s="483"/>
      <c r="T231" s="483"/>
      <c r="U231" s="483"/>
      <c r="V231" s="483"/>
      <c r="W231" s="1641"/>
      <c r="X231" s="483"/>
      <c r="Y231" s="483"/>
      <c r="Z231" s="483"/>
      <c r="AA231" s="483"/>
      <c r="AB231" s="483"/>
      <c r="AC231" s="1824"/>
      <c r="AD231" s="483"/>
      <c r="AE231" s="483"/>
      <c r="AF231" s="483"/>
      <c r="AG231" s="483"/>
      <c r="AH231" s="1824"/>
      <c r="AI231" s="483"/>
      <c r="AJ231" s="483"/>
      <c r="AK231" s="483"/>
      <c r="AL231" s="483"/>
      <c r="AM231" s="1824"/>
      <c r="AN231" s="483"/>
      <c r="AO231" s="483"/>
      <c r="AP231" s="483"/>
      <c r="AQ231" s="483"/>
      <c r="AR231" s="1824"/>
      <c r="AS231" s="483"/>
      <c r="AT231" s="483"/>
      <c r="AU231" s="483"/>
      <c r="AV231" s="483"/>
      <c r="AW231" s="1824"/>
      <c r="AX231" s="483"/>
      <c r="AY231" s="483"/>
      <c r="AZ231" s="483"/>
      <c r="BA231" s="483"/>
      <c r="BB231" s="1824"/>
      <c r="BC231" s="483"/>
      <c r="BD231" s="483"/>
      <c r="BE231" s="483"/>
      <c r="BF231" s="483"/>
      <c r="BG231" s="1824"/>
      <c r="BH231" s="483"/>
      <c r="BI231" s="483"/>
      <c r="BJ231" s="483"/>
      <c r="BK231" s="483"/>
      <c r="BL231" s="1824"/>
    </row>
    <row r="232" spans="1:64" hidden="1" outlineLevel="1" x14ac:dyDescent="0.2">
      <c r="A232" s="238"/>
      <c r="B232" s="300"/>
      <c r="C232" s="1383" t="s">
        <v>1353</v>
      </c>
      <c r="D232" s="211"/>
      <c r="E232" s="1565" t="e">
        <v>#REF!</v>
      </c>
      <c r="F232" s="1827" t="e">
        <v>#REF!</v>
      </c>
      <c r="G232" s="1827" t="e">
        <v>#REF!</v>
      </c>
      <c r="H232" s="1827" t="e">
        <v>#REF!</v>
      </c>
      <c r="I232" s="1567"/>
      <c r="J232" s="1827" t="e">
        <v>#REF!</v>
      </c>
      <c r="K232" s="1827" t="e">
        <v>#REF!</v>
      </c>
      <c r="L232" s="1827" t="e">
        <v>#REF!</v>
      </c>
      <c r="M232" s="1827" t="e">
        <v>#REF!</v>
      </c>
      <c r="N232" s="1567"/>
      <c r="O232" s="1827" t="e">
        <v>#REF!</v>
      </c>
      <c r="P232" s="1827" t="e">
        <v>#REF!</v>
      </c>
      <c r="Q232" s="1827" t="e">
        <v>#REF!</v>
      </c>
      <c r="R232" s="1827" t="e">
        <v>#REF!</v>
      </c>
      <c r="S232" s="1567" t="e">
        <v>#REF!</v>
      </c>
      <c r="T232" s="1827" t="e">
        <v>#REF!</v>
      </c>
      <c r="U232" s="1827" t="e">
        <v>#REF!</v>
      </c>
      <c r="V232" s="1827" t="e">
        <v>#REF!</v>
      </c>
      <c r="W232" s="1642" t="e">
        <v>#REF!</v>
      </c>
      <c r="X232" s="1569"/>
      <c r="Y232" s="1660"/>
      <c r="Z232" s="1660"/>
      <c r="AA232" s="1660"/>
      <c r="AB232" s="1660"/>
      <c r="AC232" s="1567"/>
      <c r="AD232" s="1660"/>
      <c r="AE232" s="1660"/>
      <c r="AF232" s="1570"/>
      <c r="AG232" s="1570"/>
      <c r="AH232" s="576"/>
      <c r="AI232" s="1570"/>
      <c r="AJ232" s="1591">
        <v>-0.03</v>
      </c>
      <c r="AK232" s="1591">
        <v>-0.03</v>
      </c>
      <c r="AL232" s="1591">
        <v>-0.03</v>
      </c>
      <c r="AM232" s="1572"/>
      <c r="AN232" s="1591">
        <v>-0.01</v>
      </c>
      <c r="AO232" s="1591">
        <v>-0.01</v>
      </c>
      <c r="AP232" s="1591">
        <v>-0.01</v>
      </c>
      <c r="AQ232" s="1591">
        <v>-0.01</v>
      </c>
      <c r="AR232" s="1572"/>
      <c r="AS232" s="1591">
        <v>0</v>
      </c>
      <c r="AT232" s="1591">
        <v>0</v>
      </c>
      <c r="AU232" s="1591">
        <v>0</v>
      </c>
      <c r="AV232" s="1591">
        <v>0</v>
      </c>
      <c r="AW232" s="1567"/>
      <c r="AX232" s="1591">
        <v>0</v>
      </c>
      <c r="AY232" s="1591">
        <v>0</v>
      </c>
      <c r="AZ232" s="1591">
        <v>0</v>
      </c>
      <c r="BA232" s="1591">
        <v>0</v>
      </c>
      <c r="BB232" s="1567"/>
      <c r="BC232" s="1591">
        <v>0</v>
      </c>
      <c r="BD232" s="1591">
        <v>0</v>
      </c>
      <c r="BE232" s="1591">
        <v>0</v>
      </c>
      <c r="BF232" s="1591">
        <v>0</v>
      </c>
      <c r="BG232" s="1567"/>
      <c r="BH232" s="1591">
        <v>0</v>
      </c>
      <c r="BI232" s="1591">
        <v>0</v>
      </c>
      <c r="BJ232" s="1591">
        <v>0</v>
      </c>
      <c r="BK232" s="1591">
        <v>0</v>
      </c>
      <c r="BL232" s="1567"/>
    </row>
    <row r="233" spans="1:64" hidden="1" outlineLevel="1" x14ac:dyDescent="0.2">
      <c r="A233" s="238"/>
      <c r="B233" s="300"/>
      <c r="C233" s="1383" t="s">
        <v>1354</v>
      </c>
      <c r="D233" s="211"/>
      <c r="E233" s="1565" t="e">
        <v>#REF!</v>
      </c>
      <c r="F233" s="1827" t="e">
        <v>#REF!</v>
      </c>
      <c r="G233" s="1827" t="e">
        <v>#REF!</v>
      </c>
      <c r="H233" s="1827" t="e">
        <v>#REF!</v>
      </c>
      <c r="I233" s="1567"/>
      <c r="J233" s="1827" t="e">
        <v>#REF!</v>
      </c>
      <c r="K233" s="1827" t="e">
        <v>#REF!</v>
      </c>
      <c r="L233" s="1827" t="e">
        <v>#REF!</v>
      </c>
      <c r="M233" s="1827" t="e">
        <v>#REF!</v>
      </c>
      <c r="N233" s="1567"/>
      <c r="O233" s="1827" t="e">
        <v>#REF!</v>
      </c>
      <c r="P233" s="1827" t="e">
        <v>#REF!</v>
      </c>
      <c r="Q233" s="1827" t="e">
        <v>#REF!</v>
      </c>
      <c r="R233" s="1827" t="e">
        <v>#REF!</v>
      </c>
      <c r="S233" s="1567" t="e">
        <v>#REF!</v>
      </c>
      <c r="T233" s="1827" t="e">
        <v>#REF!</v>
      </c>
      <c r="U233" s="1827" t="e">
        <v>#REF!</v>
      </c>
      <c r="V233" s="1827" t="e">
        <v>#REF!</v>
      </c>
      <c r="W233" s="1642" t="e">
        <v>#REF!</v>
      </c>
      <c r="X233" s="1569"/>
      <c r="Y233" s="1660"/>
      <c r="Z233" s="1660"/>
      <c r="AA233" s="1660"/>
      <c r="AB233" s="1660"/>
      <c r="AC233" s="1567"/>
      <c r="AD233" s="1660"/>
      <c r="AE233" s="1660"/>
      <c r="AF233" s="1570"/>
      <c r="AG233" s="1570"/>
      <c r="AH233" s="576"/>
      <c r="AI233" s="1570"/>
      <c r="AJ233" s="1591">
        <v>3.3000000000000002E-2</v>
      </c>
      <c r="AK233" s="1591">
        <v>3.3000000000000002E-2</v>
      </c>
      <c r="AL233" s="1591">
        <v>3.3000000000000002E-2</v>
      </c>
      <c r="AM233" s="1572"/>
      <c r="AN233" s="1591">
        <v>3.3000000000000002E-2</v>
      </c>
      <c r="AO233" s="1591">
        <v>3.3000000000000002E-2</v>
      </c>
      <c r="AP233" s="1591">
        <v>3.3000000000000002E-2</v>
      </c>
      <c r="AQ233" s="1591">
        <v>3.3000000000000002E-2</v>
      </c>
      <c r="AR233" s="1572"/>
      <c r="AS233" s="1591">
        <v>3.3000000000000002E-2</v>
      </c>
      <c r="AT233" s="1591">
        <v>3.3000000000000002E-2</v>
      </c>
      <c r="AU233" s="1591">
        <v>3.3000000000000002E-2</v>
      </c>
      <c r="AV233" s="1591">
        <v>3.3000000000000002E-2</v>
      </c>
      <c r="AW233" s="1567"/>
      <c r="AX233" s="1591">
        <v>3.3000000000000002E-2</v>
      </c>
      <c r="AY233" s="1591">
        <v>3.3000000000000002E-2</v>
      </c>
      <c r="AZ233" s="1591">
        <v>3.3000000000000002E-2</v>
      </c>
      <c r="BA233" s="1591">
        <v>3.3000000000000002E-2</v>
      </c>
      <c r="BB233" s="1567"/>
      <c r="BC233" s="1591">
        <v>3.3000000000000002E-2</v>
      </c>
      <c r="BD233" s="1591">
        <v>3.3000000000000002E-2</v>
      </c>
      <c r="BE233" s="1591">
        <v>3.3000000000000002E-2</v>
      </c>
      <c r="BF233" s="1591">
        <v>3.3000000000000002E-2</v>
      </c>
      <c r="BG233" s="1567"/>
      <c r="BH233" s="1591">
        <v>3.3000000000000002E-2</v>
      </c>
      <c r="BI233" s="1591">
        <v>3.3000000000000002E-2</v>
      </c>
      <c r="BJ233" s="1591">
        <v>3.3000000000000002E-2</v>
      </c>
      <c r="BK233" s="1591">
        <v>3.3000000000000002E-2</v>
      </c>
      <c r="BL233" s="1567"/>
    </row>
    <row r="234" spans="1:64" hidden="1" outlineLevel="1" x14ac:dyDescent="0.2">
      <c r="A234" s="238"/>
      <c r="B234" s="300"/>
      <c r="C234" s="1380"/>
      <c r="D234" s="300"/>
      <c r="E234" s="1571"/>
      <c r="F234" s="1534"/>
      <c r="G234" s="1534"/>
      <c r="H234" s="1534"/>
      <c r="I234" s="1455"/>
      <c r="J234" s="1534"/>
      <c r="K234" s="1534"/>
      <c r="L234" s="1534"/>
      <c r="M234" s="1534"/>
      <c r="N234" s="1455"/>
      <c r="O234" s="1534"/>
      <c r="P234" s="1534"/>
      <c r="Q234" s="1534"/>
      <c r="R234" s="1534"/>
      <c r="S234" s="1572"/>
      <c r="T234" s="1534"/>
      <c r="U234" s="1534"/>
      <c r="V234" s="1534"/>
      <c r="W234" s="1537"/>
      <c r="X234" s="1573"/>
      <c r="Y234" s="1381"/>
      <c r="Z234" s="1381"/>
      <c r="AA234" s="1381"/>
      <c r="AB234" s="1381"/>
      <c r="AC234" s="576"/>
      <c r="AD234" s="1381"/>
      <c r="AE234" s="1381"/>
      <c r="AF234" s="1381"/>
      <c r="AG234" s="1381"/>
      <c r="AH234" s="602"/>
      <c r="AI234" s="1381"/>
      <c r="AJ234" s="1381"/>
      <c r="AK234" s="1381"/>
      <c r="AL234" s="1381"/>
      <c r="AM234" s="1455"/>
      <c r="AN234" s="1381"/>
      <c r="AO234" s="1381"/>
      <c r="AP234" s="1381"/>
      <c r="AQ234" s="1381"/>
      <c r="AR234" s="1455"/>
      <c r="AS234" s="1381"/>
      <c r="AT234" s="1381"/>
      <c r="AU234" s="1381"/>
      <c r="AV234" s="1381"/>
      <c r="AW234" s="1455"/>
      <c r="AX234" s="1381"/>
      <c r="AY234" s="1381"/>
      <c r="AZ234" s="1381"/>
      <c r="BA234" s="1381"/>
      <c r="BB234" s="1455"/>
      <c r="BC234" s="1381"/>
      <c r="BD234" s="1381"/>
      <c r="BE234" s="1381"/>
      <c r="BF234" s="1381"/>
      <c r="BG234" s="1455"/>
      <c r="BH234" s="1381"/>
      <c r="BI234" s="1381"/>
      <c r="BJ234" s="1381"/>
      <c r="BK234" s="1381"/>
      <c r="BL234" s="1455"/>
    </row>
    <row r="235" spans="1:64" hidden="1" outlineLevel="1" x14ac:dyDescent="0.2">
      <c r="A235" s="238"/>
      <c r="B235" s="300"/>
      <c r="C235" s="1538" t="s">
        <v>1348</v>
      </c>
      <c r="D235" s="300"/>
      <c r="E235" s="1437"/>
      <c r="F235" s="1445"/>
      <c r="G235" s="1445"/>
      <c r="H235" s="1445"/>
      <c r="I235" s="1439"/>
      <c r="J235" s="1531"/>
      <c r="K235" s="1531"/>
      <c r="L235" s="1531"/>
      <c r="M235" s="1531"/>
      <c r="N235" s="1439"/>
      <c r="O235" s="1531"/>
      <c r="P235" s="1531"/>
      <c r="Q235" s="1531"/>
      <c r="R235" s="1531"/>
      <c r="S235" s="1559"/>
      <c r="T235" s="1531"/>
      <c r="U235" s="1531"/>
      <c r="V235" s="1531"/>
      <c r="W235" s="1532"/>
      <c r="X235" s="1562"/>
      <c r="Y235" s="1684"/>
      <c r="Z235" s="1684"/>
      <c r="AA235" s="1684"/>
      <c r="AB235" s="1684"/>
      <c r="AC235" s="576"/>
      <c r="AD235" s="1684"/>
      <c r="AE235" s="1684"/>
      <c r="AF235" s="1563"/>
      <c r="AG235" s="1563"/>
      <c r="AH235" s="602"/>
      <c r="AI235" s="1563"/>
      <c r="AJ235" s="1563"/>
      <c r="AK235" s="1563"/>
      <c r="AL235" s="1563"/>
      <c r="AM235" s="1439"/>
      <c r="AN235" s="1563"/>
      <c r="AO235" s="1563"/>
      <c r="AP235" s="1563"/>
      <c r="AQ235" s="1563"/>
      <c r="AR235" s="1439"/>
      <c r="AS235" s="1563"/>
      <c r="AT235" s="1563"/>
      <c r="AU235" s="1563"/>
      <c r="AV235" s="1563"/>
      <c r="AW235" s="1439"/>
      <c r="AX235" s="1563"/>
      <c r="AY235" s="1563"/>
      <c r="AZ235" s="1563"/>
      <c r="BA235" s="1563"/>
      <c r="BB235" s="1439"/>
      <c r="BC235" s="1563"/>
      <c r="BD235" s="1563"/>
      <c r="BE235" s="1563"/>
      <c r="BF235" s="1563"/>
      <c r="BG235" s="1439"/>
      <c r="BH235" s="1563"/>
      <c r="BI235" s="1563"/>
      <c r="BJ235" s="1563"/>
      <c r="BK235" s="1563"/>
      <c r="BL235" s="1439"/>
    </row>
    <row r="236" spans="1:64" hidden="1" outlineLevel="1" x14ac:dyDescent="0.2">
      <c r="A236" s="238"/>
      <c r="B236" s="300"/>
      <c r="C236" s="1383" t="s">
        <v>1350</v>
      </c>
      <c r="D236" s="300"/>
      <c r="E236" s="1437"/>
      <c r="F236" s="1445"/>
      <c r="G236" s="1445"/>
      <c r="H236" s="1445"/>
      <c r="I236" s="1439"/>
      <c r="J236" s="1531"/>
      <c r="K236" s="1531"/>
      <c r="L236" s="1531"/>
      <c r="M236" s="1531"/>
      <c r="N236" s="1439"/>
      <c r="O236" s="1531"/>
      <c r="P236" s="1531"/>
      <c r="Q236" s="1531"/>
      <c r="R236" s="1531"/>
      <c r="S236" s="1559"/>
      <c r="T236" s="1531"/>
      <c r="U236" s="1531"/>
      <c r="V236" s="1531"/>
      <c r="W236" s="1532"/>
      <c r="X236" s="1562"/>
      <c r="Y236" s="1684"/>
      <c r="Z236" s="1684"/>
      <c r="AA236" s="1684"/>
      <c r="AB236" s="1684"/>
      <c r="AC236" s="576"/>
      <c r="AD236" s="1684"/>
      <c r="AE236" s="1684"/>
      <c r="AF236" s="1563"/>
      <c r="AG236" s="1563"/>
      <c r="AH236" s="602"/>
      <c r="AI236" s="1563"/>
      <c r="AJ236" s="1563">
        <v>0.15</v>
      </c>
      <c r="AK236" s="1563">
        <v>0.15</v>
      </c>
      <c r="AL236" s="1563">
        <v>0.15</v>
      </c>
      <c r="AM236" s="1439"/>
      <c r="AN236" s="1563">
        <v>0.19</v>
      </c>
      <c r="AO236" s="1563">
        <v>0.19</v>
      </c>
      <c r="AP236" s="1563">
        <v>0.19</v>
      </c>
      <c r="AQ236" s="1563">
        <v>0.19</v>
      </c>
      <c r="AR236" s="1439"/>
      <c r="AS236" s="1563">
        <v>0.17</v>
      </c>
      <c r="AT236" s="1563">
        <v>0.17</v>
      </c>
      <c r="AU236" s="1563">
        <v>0.17</v>
      </c>
      <c r="AV236" s="1563">
        <v>0.17</v>
      </c>
      <c r="AW236" s="1439"/>
      <c r="AX236" s="1563">
        <v>0.17</v>
      </c>
      <c r="AY236" s="1563">
        <v>0.17</v>
      </c>
      <c r="AZ236" s="1563">
        <v>0.17</v>
      </c>
      <c r="BA236" s="1563">
        <v>0.17</v>
      </c>
      <c r="BB236" s="1439"/>
      <c r="BC236" s="1563">
        <v>0.17</v>
      </c>
      <c r="BD236" s="1563">
        <v>0.17</v>
      </c>
      <c r="BE236" s="1563">
        <v>0.17</v>
      </c>
      <c r="BF236" s="1563">
        <v>0.17</v>
      </c>
      <c r="BG236" s="1439"/>
      <c r="BH236" s="1563">
        <v>0.17</v>
      </c>
      <c r="BI236" s="1563">
        <v>0.17</v>
      </c>
      <c r="BJ236" s="1563">
        <v>0.17</v>
      </c>
      <c r="BK236" s="1563">
        <v>0.17</v>
      </c>
      <c r="BL236" s="1439"/>
    </row>
    <row r="237" spans="1:64" hidden="1" outlineLevel="1" x14ac:dyDescent="0.2">
      <c r="A237" s="238"/>
      <c r="B237" s="300"/>
      <c r="C237" s="1383"/>
      <c r="D237" s="300"/>
      <c r="E237" s="1565" t="e">
        <v>#REF!</v>
      </c>
      <c r="F237" s="1827" t="e">
        <v>#REF!</v>
      </c>
      <c r="G237" s="1827" t="e">
        <v>#REF!</v>
      </c>
      <c r="H237" s="1827" t="e">
        <v>#REF!</v>
      </c>
      <c r="I237" s="1439"/>
      <c r="J237" s="1827" t="e">
        <v>#REF!</v>
      </c>
      <c r="K237" s="1827" t="e">
        <v>#REF!</v>
      </c>
      <c r="L237" s="1827" t="e">
        <v>#REF!</v>
      </c>
      <c r="M237" s="1827" t="e">
        <v>#REF!</v>
      </c>
      <c r="N237" s="1439"/>
      <c r="O237" s="1827" t="e">
        <v>#REF!</v>
      </c>
      <c r="P237" s="1827" t="e">
        <v>#REF!</v>
      </c>
      <c r="Q237" s="1827" t="e">
        <v>#REF!</v>
      </c>
      <c r="R237" s="1827" t="e">
        <v>#REF!</v>
      </c>
      <c r="S237" s="580" t="e">
        <v>#REF!</v>
      </c>
      <c r="T237" s="1827" t="e">
        <v>#REF!</v>
      </c>
      <c r="U237" s="1827" t="e">
        <v>#REF!</v>
      </c>
      <c r="V237" s="1827" t="e">
        <v>#REF!</v>
      </c>
      <c r="W237" s="1642" t="e">
        <v>#REF!</v>
      </c>
      <c r="X237" s="1037"/>
      <c r="Y237" s="1827"/>
      <c r="Z237" s="1827"/>
      <c r="AA237" s="1827"/>
      <c r="AB237" s="1827"/>
      <c r="AC237" s="580"/>
      <c r="AD237" s="1827"/>
      <c r="AE237" s="1827"/>
      <c r="AF237" s="1827"/>
      <c r="AG237" s="1827"/>
      <c r="AH237" s="576"/>
      <c r="AI237" s="1827"/>
      <c r="AJ237" s="1827"/>
      <c r="AK237" s="1827"/>
      <c r="AL237" s="1827"/>
      <c r="AM237" s="580"/>
      <c r="AN237" s="1827"/>
      <c r="AO237" s="1827"/>
      <c r="AP237" s="1827"/>
      <c r="AQ237" s="1827"/>
      <c r="AR237" s="580"/>
      <c r="AS237" s="1827"/>
      <c r="AT237" s="1827"/>
      <c r="AU237" s="1827"/>
      <c r="AV237" s="1827"/>
      <c r="AW237" s="580"/>
      <c r="AX237" s="1827"/>
      <c r="AY237" s="1827"/>
      <c r="AZ237" s="1827"/>
      <c r="BA237" s="1827"/>
      <c r="BB237" s="580"/>
      <c r="BC237" s="1827"/>
      <c r="BD237" s="1827"/>
      <c r="BE237" s="1827"/>
      <c r="BF237" s="1827"/>
      <c r="BG237" s="580"/>
      <c r="BH237" s="1827"/>
      <c r="BI237" s="1827"/>
      <c r="BJ237" s="1827"/>
      <c r="BK237" s="1827"/>
      <c r="BL237" s="580"/>
    </row>
    <row r="238" spans="1:64" hidden="1" outlineLevel="1" x14ac:dyDescent="0.2">
      <c r="A238" s="238"/>
      <c r="B238" s="300"/>
      <c r="C238" s="1496" t="s">
        <v>1351</v>
      </c>
      <c r="D238" s="300"/>
      <c r="E238" s="1565" t="e">
        <v>#REF!</v>
      </c>
      <c r="F238" s="1827" t="e">
        <v>#REF!</v>
      </c>
      <c r="G238" s="1827" t="e">
        <v>#REF!</v>
      </c>
      <c r="H238" s="1827" t="e">
        <v>#REF!</v>
      </c>
      <c r="I238" s="1439"/>
      <c r="J238" s="1827" t="e">
        <v>#REF!</v>
      </c>
      <c r="K238" s="1827" t="e">
        <v>#REF!</v>
      </c>
      <c r="L238" s="1827" t="e">
        <v>#REF!</v>
      </c>
      <c r="M238" s="1827" t="e">
        <v>#REF!</v>
      </c>
      <c r="N238" s="1439"/>
      <c r="O238" s="1827" t="e">
        <v>#REF!</v>
      </c>
      <c r="P238" s="1827" t="e">
        <v>#REF!</v>
      </c>
      <c r="Q238" s="1827" t="e">
        <v>#REF!</v>
      </c>
      <c r="R238" s="1827" t="e">
        <v>#REF!</v>
      </c>
      <c r="S238" s="580" t="e">
        <v>#REF!</v>
      </c>
      <c r="T238" s="1827" t="e">
        <v>#REF!</v>
      </c>
      <c r="U238" s="1827" t="e">
        <v>#REF!</v>
      </c>
      <c r="V238" s="1827" t="e">
        <v>#REF!</v>
      </c>
      <c r="W238" s="1642" t="e">
        <v>#REF!</v>
      </c>
      <c r="X238" s="1037"/>
      <c r="Y238" s="1827"/>
      <c r="Z238" s="1827"/>
      <c r="AA238" s="1827"/>
      <c r="AB238" s="1827"/>
      <c r="AC238" s="580"/>
      <c r="AD238" s="1827"/>
      <c r="AE238" s="1827"/>
      <c r="AF238" s="1827"/>
      <c r="AG238" s="1827"/>
      <c r="AH238" s="576"/>
      <c r="AI238" s="1827"/>
      <c r="AJ238" s="1827"/>
      <c r="AK238" s="1827"/>
      <c r="AL238" s="1827"/>
      <c r="AM238" s="580"/>
      <c r="AN238" s="1827"/>
      <c r="AO238" s="1827"/>
      <c r="AP238" s="1827"/>
      <c r="AQ238" s="1827"/>
      <c r="AR238" s="580"/>
      <c r="AS238" s="1827"/>
      <c r="AT238" s="1827"/>
      <c r="AU238" s="1827"/>
      <c r="AV238" s="1827"/>
      <c r="AW238" s="580"/>
      <c r="AX238" s="1827"/>
      <c r="AY238" s="1827"/>
      <c r="AZ238" s="1827"/>
      <c r="BA238" s="1827"/>
      <c r="BB238" s="580"/>
      <c r="BC238" s="1827"/>
      <c r="BD238" s="1827"/>
      <c r="BE238" s="1827"/>
      <c r="BF238" s="1827"/>
      <c r="BG238" s="580"/>
      <c r="BH238" s="1827"/>
      <c r="BI238" s="1827"/>
      <c r="BJ238" s="1827"/>
      <c r="BK238" s="1827"/>
      <c r="BL238" s="580"/>
    </row>
    <row r="239" spans="1:64" hidden="1" outlineLevel="1" x14ac:dyDescent="0.2">
      <c r="A239" s="238"/>
      <c r="B239" s="300"/>
      <c r="C239" s="1811" t="s">
        <v>608</v>
      </c>
      <c r="D239" s="300"/>
      <c r="E239" s="1571"/>
      <c r="F239" s="1534"/>
      <c r="G239" s="1534"/>
      <c r="H239" s="1534"/>
      <c r="I239" s="1439"/>
      <c r="J239" s="1576"/>
      <c r="K239" s="1576"/>
      <c r="L239" s="1576"/>
      <c r="M239" s="1576"/>
      <c r="N239" s="1439"/>
      <c r="O239" s="1576"/>
      <c r="P239" s="1576"/>
      <c r="Q239" s="1576"/>
      <c r="R239" s="1576"/>
      <c r="S239" s="1559"/>
      <c r="T239" s="1576"/>
      <c r="U239" s="1576"/>
      <c r="V239" s="1576"/>
      <c r="W239" s="1643"/>
      <c r="X239" s="1562"/>
      <c r="Y239" s="1684"/>
      <c r="Z239" s="1684"/>
      <c r="AA239" s="1684"/>
      <c r="AB239" s="1684"/>
      <c r="AC239" s="576"/>
      <c r="AD239" s="1684"/>
      <c r="AE239" s="1684"/>
      <c r="AF239" s="1563"/>
      <c r="AG239" s="1563"/>
      <c r="AH239" s="602"/>
      <c r="AI239" s="1563"/>
      <c r="AJ239" s="1563">
        <v>0.214</v>
      </c>
      <c r="AK239" s="1563">
        <v>0.215</v>
      </c>
      <c r="AL239" s="1563">
        <v>0.215</v>
      </c>
      <c r="AM239" s="576"/>
      <c r="AN239" s="1563">
        <v>0.215</v>
      </c>
      <c r="AO239" s="1563">
        <v>0.215</v>
      </c>
      <c r="AP239" s="1563">
        <v>0.215</v>
      </c>
      <c r="AQ239" s="1563">
        <v>0.215</v>
      </c>
      <c r="AR239" s="576"/>
      <c r="AS239" s="1563">
        <v>0.21299999999999999</v>
      </c>
      <c r="AT239" s="1563">
        <v>0.21299999999999999</v>
      </c>
      <c r="AU239" s="1563">
        <v>0.21299999999999999</v>
      </c>
      <c r="AV239" s="1563">
        <v>0.21299999999999999</v>
      </c>
      <c r="AW239" s="576"/>
      <c r="AX239" s="1563">
        <v>0.21299999999999999</v>
      </c>
      <c r="AY239" s="1563">
        <v>0.21299999999999999</v>
      </c>
      <c r="AZ239" s="1563">
        <v>0.21299999999999999</v>
      </c>
      <c r="BA239" s="1563">
        <v>0.21299999999999999</v>
      </c>
      <c r="BB239" s="576"/>
      <c r="BC239" s="1563">
        <v>0.21299999999999999</v>
      </c>
      <c r="BD239" s="1563">
        <v>0.21299999999999999</v>
      </c>
      <c r="BE239" s="1563">
        <v>0.21299999999999999</v>
      </c>
      <c r="BF239" s="1563">
        <v>0.21299999999999999</v>
      </c>
      <c r="BG239" s="576"/>
      <c r="BH239" s="1563">
        <v>0.21299999999999999</v>
      </c>
      <c r="BI239" s="1563">
        <v>0.21299999999999999</v>
      </c>
      <c r="BJ239" s="1563">
        <v>0.21299999999999999</v>
      </c>
      <c r="BK239" s="1563">
        <v>0.21299999999999999</v>
      </c>
      <c r="BL239" s="576"/>
    </row>
    <row r="240" spans="1:64" hidden="1" outlineLevel="1" x14ac:dyDescent="0.2">
      <c r="A240" s="238"/>
      <c r="B240" s="229"/>
      <c r="C240" s="1811" t="s">
        <v>1352</v>
      </c>
      <c r="D240" s="300"/>
      <c r="E240" s="1571"/>
      <c r="F240" s="1534"/>
      <c r="G240" s="1534"/>
      <c r="H240" s="1534"/>
      <c r="I240" s="1439"/>
      <c r="J240" s="1576"/>
      <c r="K240" s="1576"/>
      <c r="L240" s="1576"/>
      <c r="M240" s="1576"/>
      <c r="N240" s="1439"/>
      <c r="O240" s="1576"/>
      <c r="P240" s="1576"/>
      <c r="Q240" s="1576"/>
      <c r="R240" s="1576"/>
      <c r="S240" s="1559"/>
      <c r="T240" s="1576"/>
      <c r="U240" s="1576"/>
      <c r="V240" s="1576"/>
      <c r="W240" s="1643"/>
      <c r="X240" s="1562"/>
      <c r="Y240" s="1684"/>
      <c r="Z240" s="1684"/>
      <c r="AA240" s="1684"/>
      <c r="AB240" s="1684"/>
      <c r="AC240" s="576"/>
      <c r="AD240" s="1684"/>
      <c r="AE240" s="1684"/>
      <c r="AF240" s="1563"/>
      <c r="AG240" s="1563"/>
      <c r="AH240" s="602"/>
      <c r="AI240" s="1563"/>
      <c r="AJ240" s="1563">
        <v>-0.02</v>
      </c>
      <c r="AK240" s="1563">
        <v>-0.02</v>
      </c>
      <c r="AL240" s="1563">
        <v>-0.02</v>
      </c>
      <c r="AM240" s="576"/>
      <c r="AN240" s="1563">
        <v>0.04</v>
      </c>
      <c r="AO240" s="1563">
        <v>0.04</v>
      </c>
      <c r="AP240" s="1563">
        <v>0.04</v>
      </c>
      <c r="AQ240" s="1563">
        <v>0.04</v>
      </c>
      <c r="AR240" s="576"/>
      <c r="AS240" s="1563">
        <v>3.5000000000000003E-2</v>
      </c>
      <c r="AT240" s="1563">
        <v>3.5000000000000003E-2</v>
      </c>
      <c r="AU240" s="1563">
        <v>3.5000000000000003E-2</v>
      </c>
      <c r="AV240" s="1563">
        <v>3.5000000000000003E-2</v>
      </c>
      <c r="AW240" s="576"/>
      <c r="AX240" s="1563">
        <v>3.5000000000000003E-2</v>
      </c>
      <c r="AY240" s="1563">
        <v>3.5000000000000003E-2</v>
      </c>
      <c r="AZ240" s="1563">
        <v>3.5000000000000003E-2</v>
      </c>
      <c r="BA240" s="1563">
        <v>3.5000000000000003E-2</v>
      </c>
      <c r="BB240" s="576"/>
      <c r="BC240" s="1563">
        <v>3.5000000000000003E-2</v>
      </c>
      <c r="BD240" s="1563">
        <v>3.5000000000000003E-2</v>
      </c>
      <c r="BE240" s="1563">
        <v>3.5000000000000003E-2</v>
      </c>
      <c r="BF240" s="1563">
        <v>3.5000000000000003E-2</v>
      </c>
      <c r="BG240" s="576"/>
      <c r="BH240" s="1563">
        <v>3.5000000000000003E-2</v>
      </c>
      <c r="BI240" s="1563">
        <v>3.5000000000000003E-2</v>
      </c>
      <c r="BJ240" s="1563">
        <v>3.5000000000000003E-2</v>
      </c>
      <c r="BK240" s="1563">
        <v>3.5000000000000003E-2</v>
      </c>
      <c r="BL240" s="576"/>
    </row>
    <row r="241" spans="1:64" hidden="1" outlineLevel="1" x14ac:dyDescent="0.2">
      <c r="A241" s="238"/>
      <c r="B241" s="229"/>
      <c r="C241" s="1811" t="s">
        <v>1359</v>
      </c>
      <c r="D241" s="300"/>
      <c r="E241" s="1571"/>
      <c r="F241" s="1534"/>
      <c r="G241" s="1534"/>
      <c r="H241" s="1534"/>
      <c r="I241" s="1439"/>
      <c r="J241" s="1576"/>
      <c r="K241" s="1576"/>
      <c r="L241" s="1576"/>
      <c r="M241" s="1576"/>
      <c r="N241" s="1439"/>
      <c r="O241" s="1576"/>
      <c r="P241" s="1576"/>
      <c r="Q241" s="1576"/>
      <c r="R241" s="1576"/>
      <c r="S241" s="1559"/>
      <c r="T241" s="1576"/>
      <c r="U241" s="1576"/>
      <c r="V241" s="1576"/>
      <c r="W241" s="1643"/>
      <c r="X241" s="1562"/>
      <c r="Y241" s="1684"/>
      <c r="Z241" s="1684"/>
      <c r="AA241" s="1684"/>
      <c r="AB241" s="1684"/>
      <c r="AC241" s="576"/>
      <c r="AD241" s="1684"/>
      <c r="AE241" s="1684"/>
      <c r="AF241" s="1563"/>
      <c r="AG241" s="1563"/>
      <c r="AH241" s="602"/>
      <c r="AI241" s="1563"/>
      <c r="AJ241" s="1563"/>
      <c r="AK241" s="1563"/>
      <c r="AL241" s="1563"/>
      <c r="AM241" s="576"/>
      <c r="AN241" s="1827">
        <v>0</v>
      </c>
      <c r="AO241" s="1827">
        <v>25</v>
      </c>
      <c r="AP241" s="1827">
        <v>25</v>
      </c>
      <c r="AQ241" s="1827">
        <v>25</v>
      </c>
      <c r="AR241" s="576"/>
      <c r="AS241" s="1827">
        <v>50</v>
      </c>
      <c r="AT241" s="1827">
        <v>50</v>
      </c>
      <c r="AU241" s="1827">
        <v>50</v>
      </c>
      <c r="AV241" s="1827">
        <v>50</v>
      </c>
      <c r="AW241" s="576"/>
      <c r="AX241" s="1827">
        <v>50</v>
      </c>
      <c r="AY241" s="1827">
        <v>50</v>
      </c>
      <c r="AZ241" s="1827">
        <v>50</v>
      </c>
      <c r="BA241" s="1827">
        <v>50</v>
      </c>
      <c r="BB241" s="576"/>
      <c r="BC241" s="1827">
        <v>50</v>
      </c>
      <c r="BD241" s="1827">
        <v>50</v>
      </c>
      <c r="BE241" s="1827">
        <v>50</v>
      </c>
      <c r="BF241" s="1827">
        <v>50</v>
      </c>
      <c r="BG241" s="576"/>
      <c r="BH241" s="1827">
        <v>50</v>
      </c>
      <c r="BI241" s="1827">
        <v>50</v>
      </c>
      <c r="BJ241" s="1827">
        <v>50</v>
      </c>
      <c r="BK241" s="1827">
        <v>50</v>
      </c>
      <c r="BL241" s="576"/>
    </row>
    <row r="242" spans="1:64" hidden="1" outlineLevel="1" x14ac:dyDescent="0.2">
      <c r="A242" s="238"/>
      <c r="B242" s="229">
        <v>0.8</v>
      </c>
      <c r="C242" s="1010" t="s">
        <v>1360</v>
      </c>
      <c r="D242" s="300"/>
      <c r="E242" s="1437"/>
      <c r="F242" s="1445"/>
      <c r="G242" s="1445"/>
      <c r="H242" s="1445"/>
      <c r="I242" s="1439"/>
      <c r="J242" s="1531"/>
      <c r="K242" s="1531"/>
      <c r="L242" s="1531"/>
      <c r="M242" s="1531"/>
      <c r="N242" s="1439"/>
      <c r="O242" s="1531"/>
      <c r="P242" s="1531"/>
      <c r="Q242" s="1531"/>
      <c r="R242" s="1531"/>
      <c r="S242" s="1439"/>
      <c r="T242" s="1531"/>
      <c r="U242" s="1531"/>
      <c r="V242" s="1531"/>
      <c r="W242" s="1531"/>
      <c r="X242" s="1439"/>
      <c r="Y242" s="1545"/>
      <c r="Z242" s="1545"/>
      <c r="AA242" s="1545"/>
      <c r="AB242" s="1545"/>
      <c r="AC242" s="1439"/>
      <c r="AD242" s="1545"/>
      <c r="AE242" s="1531"/>
      <c r="AF242" s="1531"/>
      <c r="AG242" s="1531"/>
      <c r="AH242" s="1439"/>
      <c r="AI242" s="1531"/>
      <c r="AJ242" s="1531"/>
      <c r="AK242" s="1531"/>
      <c r="AL242" s="1531"/>
      <c r="AM242" s="1439"/>
      <c r="AN242" s="1827">
        <f t="shared" ref="AN242:AQ243" si="165">AN$241*$B242</f>
        <v>0</v>
      </c>
      <c r="AO242" s="1827">
        <f t="shared" si="165"/>
        <v>20</v>
      </c>
      <c r="AP242" s="1827">
        <f t="shared" si="165"/>
        <v>20</v>
      </c>
      <c r="AQ242" s="1827">
        <f t="shared" si="165"/>
        <v>20</v>
      </c>
      <c r="AR242" s="1439"/>
      <c r="AS242" s="1827">
        <f t="shared" ref="AS242:AV243" si="166">AS$241*$B242</f>
        <v>40</v>
      </c>
      <c r="AT242" s="1827">
        <f t="shared" si="166"/>
        <v>40</v>
      </c>
      <c r="AU242" s="1827">
        <f t="shared" si="166"/>
        <v>40</v>
      </c>
      <c r="AV242" s="1827">
        <f t="shared" si="166"/>
        <v>40</v>
      </c>
      <c r="AW242" s="1439"/>
      <c r="AX242" s="1827">
        <f t="shared" ref="AX242:BA243" si="167">AX$241*$B242</f>
        <v>40</v>
      </c>
      <c r="AY242" s="1827">
        <f t="shared" si="167"/>
        <v>40</v>
      </c>
      <c r="AZ242" s="1827">
        <f t="shared" si="167"/>
        <v>40</v>
      </c>
      <c r="BA242" s="1827">
        <f t="shared" si="167"/>
        <v>40</v>
      </c>
      <c r="BB242" s="1439"/>
      <c r="BC242" s="1827">
        <f t="shared" ref="BC242:BK243" si="168">BC$241*$B242</f>
        <v>40</v>
      </c>
      <c r="BD242" s="1827">
        <f t="shared" si="168"/>
        <v>40</v>
      </c>
      <c r="BE242" s="1827">
        <f t="shared" si="168"/>
        <v>40</v>
      </c>
      <c r="BF242" s="1827">
        <f t="shared" si="168"/>
        <v>40</v>
      </c>
      <c r="BG242" s="1439"/>
      <c r="BH242" s="1827">
        <f t="shared" si="168"/>
        <v>40</v>
      </c>
      <c r="BI242" s="1827">
        <f t="shared" si="168"/>
        <v>40</v>
      </c>
      <c r="BJ242" s="1827">
        <f t="shared" si="168"/>
        <v>40</v>
      </c>
      <c r="BK242" s="1827">
        <f t="shared" si="168"/>
        <v>40</v>
      </c>
      <c r="BL242" s="1439"/>
    </row>
    <row r="243" spans="1:64" hidden="1" outlineLevel="1" x14ac:dyDescent="0.2">
      <c r="A243" s="238"/>
      <c r="B243" s="229">
        <v>0.2</v>
      </c>
      <c r="C243" s="1010" t="s">
        <v>1361</v>
      </c>
      <c r="D243" s="300"/>
      <c r="E243" s="1437"/>
      <c r="F243" s="1445"/>
      <c r="G243" s="1445"/>
      <c r="H243" s="1445"/>
      <c r="I243" s="1439"/>
      <c r="J243" s="1531"/>
      <c r="K243" s="1531"/>
      <c r="L243" s="1531"/>
      <c r="M243" s="1531"/>
      <c r="N243" s="1439"/>
      <c r="O243" s="1531"/>
      <c r="P243" s="1531"/>
      <c r="Q243" s="1531"/>
      <c r="R243" s="1531"/>
      <c r="S243" s="1439"/>
      <c r="T243" s="1531"/>
      <c r="U243" s="1531"/>
      <c r="V243" s="1531"/>
      <c r="W243" s="1531"/>
      <c r="X243" s="1439"/>
      <c r="Y243" s="1545"/>
      <c r="Z243" s="1545"/>
      <c r="AA243" s="1545"/>
      <c r="AB243" s="1545"/>
      <c r="AC243" s="1439"/>
      <c r="AD243" s="1545"/>
      <c r="AE243" s="1531"/>
      <c r="AF243" s="1531"/>
      <c r="AG243" s="1531"/>
      <c r="AH243" s="1439"/>
      <c r="AI243" s="1531"/>
      <c r="AJ243" s="1531"/>
      <c r="AK243" s="1531"/>
      <c r="AL243" s="1531"/>
      <c r="AM243" s="1439"/>
      <c r="AN243" s="1827">
        <f t="shared" si="165"/>
        <v>0</v>
      </c>
      <c r="AO243" s="1827">
        <f t="shared" si="165"/>
        <v>5</v>
      </c>
      <c r="AP243" s="1827">
        <f t="shared" si="165"/>
        <v>5</v>
      </c>
      <c r="AQ243" s="1827">
        <f t="shared" si="165"/>
        <v>5</v>
      </c>
      <c r="AR243" s="1439"/>
      <c r="AS243" s="1827">
        <f t="shared" si="166"/>
        <v>10</v>
      </c>
      <c r="AT243" s="1827">
        <f t="shared" si="166"/>
        <v>10</v>
      </c>
      <c r="AU243" s="1827">
        <f t="shared" si="166"/>
        <v>10</v>
      </c>
      <c r="AV243" s="1827">
        <f t="shared" si="166"/>
        <v>10</v>
      </c>
      <c r="AW243" s="1439"/>
      <c r="AX243" s="1827">
        <f t="shared" si="167"/>
        <v>10</v>
      </c>
      <c r="AY243" s="1827">
        <f t="shared" si="167"/>
        <v>10</v>
      </c>
      <c r="AZ243" s="1827">
        <f t="shared" si="167"/>
        <v>10</v>
      </c>
      <c r="BA243" s="1827">
        <f t="shared" si="167"/>
        <v>10</v>
      </c>
      <c r="BB243" s="1439"/>
      <c r="BC243" s="1827">
        <f t="shared" si="168"/>
        <v>10</v>
      </c>
      <c r="BD243" s="1827">
        <f t="shared" si="168"/>
        <v>10</v>
      </c>
      <c r="BE243" s="1827">
        <f t="shared" si="168"/>
        <v>10</v>
      </c>
      <c r="BF243" s="1827">
        <f t="shared" si="168"/>
        <v>10</v>
      </c>
      <c r="BG243" s="1439"/>
      <c r="BH243" s="1827">
        <f t="shared" si="168"/>
        <v>10</v>
      </c>
      <c r="BI243" s="1827">
        <f t="shared" si="168"/>
        <v>10</v>
      </c>
      <c r="BJ243" s="1827">
        <f t="shared" si="168"/>
        <v>10</v>
      </c>
      <c r="BK243" s="1827">
        <f t="shared" si="168"/>
        <v>10</v>
      </c>
      <c r="BL243" s="1439"/>
    </row>
    <row r="244" spans="1:64" hidden="1" outlineLevel="1" x14ac:dyDescent="0.2">
      <c r="A244" s="238"/>
      <c r="B244" s="300"/>
      <c r="C244" s="1811" t="s">
        <v>1358</v>
      </c>
      <c r="D244" s="300"/>
      <c r="E244" s="1571"/>
      <c r="F244" s="1534"/>
      <c r="G244" s="1534"/>
      <c r="H244" s="1534"/>
      <c r="I244" s="1439"/>
      <c r="J244" s="1576"/>
      <c r="K244" s="1576"/>
      <c r="L244" s="1576"/>
      <c r="M244" s="1576"/>
      <c r="N244" s="1439"/>
      <c r="O244" s="1576"/>
      <c r="P244" s="1576"/>
      <c r="Q244" s="1576"/>
      <c r="R244" s="1576"/>
      <c r="S244" s="1559"/>
      <c r="T244" s="1576"/>
      <c r="U244" s="1576"/>
      <c r="V244" s="1576"/>
      <c r="W244" s="1643"/>
      <c r="X244" s="1562"/>
      <c r="Y244" s="1684"/>
      <c r="Z244" s="1684"/>
      <c r="AA244" s="1684"/>
      <c r="AB244" s="1684"/>
      <c r="AC244" s="576"/>
      <c r="AD244" s="1684"/>
      <c r="AE244" s="1684"/>
      <c r="AF244" s="1563"/>
      <c r="AG244" s="1563"/>
      <c r="AH244" s="602"/>
      <c r="AI244" s="1563"/>
      <c r="AJ244" s="1563">
        <v>0.02</v>
      </c>
      <c r="AK244" s="1563">
        <v>0.02</v>
      </c>
      <c r="AL244" s="1563">
        <v>0.02</v>
      </c>
      <c r="AM244" s="576"/>
      <c r="AN244" s="1563">
        <v>1.9E-2</v>
      </c>
      <c r="AO244" s="1563">
        <v>1.9E-2</v>
      </c>
      <c r="AP244" s="1563">
        <v>1.9E-2</v>
      </c>
      <c r="AQ244" s="1563">
        <v>1.9E-2</v>
      </c>
      <c r="AR244" s="576"/>
      <c r="AS244" s="1563">
        <v>1.9E-2</v>
      </c>
      <c r="AT244" s="1563">
        <v>1.9E-2</v>
      </c>
      <c r="AU244" s="1563">
        <v>1.9E-2</v>
      </c>
      <c r="AV244" s="1563">
        <v>1.9E-2</v>
      </c>
      <c r="AW244" s="576"/>
      <c r="AX244" s="1563">
        <v>1.9E-2</v>
      </c>
      <c r="AY244" s="1563">
        <v>1.9E-2</v>
      </c>
      <c r="AZ244" s="1563">
        <v>1.9E-2</v>
      </c>
      <c r="BA244" s="1563">
        <v>1.9E-2</v>
      </c>
      <c r="BB244" s="576"/>
      <c r="BC244" s="1563">
        <v>1.9E-2</v>
      </c>
      <c r="BD244" s="1563">
        <v>1.9E-2</v>
      </c>
      <c r="BE244" s="1563">
        <v>1.9E-2</v>
      </c>
      <c r="BF244" s="1563">
        <v>1.9E-2</v>
      </c>
      <c r="BG244" s="576"/>
      <c r="BH244" s="1563">
        <v>1.9E-2</v>
      </c>
      <c r="BI244" s="1563">
        <v>1.9E-2</v>
      </c>
      <c r="BJ244" s="1563">
        <v>1.9E-2</v>
      </c>
      <c r="BK244" s="1563">
        <v>1.9E-2</v>
      </c>
      <c r="BL244" s="576"/>
    </row>
    <row r="245" spans="1:64" ht="12" hidden="1" outlineLevel="1" thickBot="1" x14ac:dyDescent="0.25">
      <c r="A245" s="238"/>
      <c r="B245" s="300"/>
      <c r="C245" s="1812" t="s">
        <v>1355</v>
      </c>
      <c r="D245" s="411"/>
      <c r="E245" s="506" t="e">
        <v>#REF!</v>
      </c>
      <c r="F245" s="506" t="e">
        <v>#REF!</v>
      </c>
      <c r="G245" s="506" t="e">
        <v>#REF!</v>
      </c>
      <c r="H245" s="506" t="e">
        <v>#REF!</v>
      </c>
      <c r="I245" s="1549"/>
      <c r="J245" s="506" t="e">
        <v>#REF!</v>
      </c>
      <c r="K245" s="506" t="e">
        <v>#REF!</v>
      </c>
      <c r="L245" s="506" t="e">
        <v>#REF!</v>
      </c>
      <c r="M245" s="506" t="e">
        <v>#REF!</v>
      </c>
      <c r="N245" s="1012"/>
      <c r="O245" s="506" t="e">
        <v>#REF!</v>
      </c>
      <c r="P245" s="506" t="e">
        <v>#REF!</v>
      </c>
      <c r="Q245" s="506" t="e">
        <v>#REF!</v>
      </c>
      <c r="R245" s="506" t="e">
        <v>#REF!</v>
      </c>
      <c r="S245" s="1012" t="e">
        <v>#REF!</v>
      </c>
      <c r="T245" s="506" t="e">
        <v>#REF!</v>
      </c>
      <c r="U245" s="506" t="e">
        <v>#REF!</v>
      </c>
      <c r="V245" s="506" t="e">
        <v>#REF!</v>
      </c>
      <c r="W245" s="506" t="e">
        <v>#REF!</v>
      </c>
      <c r="X245" s="506"/>
      <c r="Y245" s="506"/>
      <c r="Z245" s="506"/>
      <c r="AA245" s="506"/>
      <c r="AB245" s="506"/>
      <c r="AC245" s="1012"/>
      <c r="AD245" s="506"/>
      <c r="AE245" s="506"/>
      <c r="AF245" s="506"/>
      <c r="AG245" s="506"/>
      <c r="AH245" s="1823"/>
      <c r="AI245" s="506"/>
      <c r="AJ245" s="506">
        <v>20</v>
      </c>
      <c r="AK245" s="506">
        <v>20</v>
      </c>
      <c r="AL245" s="506">
        <v>20</v>
      </c>
      <c r="AM245" s="1012"/>
      <c r="AN245" s="506">
        <v>20</v>
      </c>
      <c r="AO245" s="506">
        <v>20</v>
      </c>
      <c r="AP245" s="506">
        <v>20</v>
      </c>
      <c r="AQ245" s="506">
        <v>20</v>
      </c>
      <c r="AR245" s="1823"/>
      <c r="AS245" s="506">
        <v>20</v>
      </c>
      <c r="AT245" s="506">
        <v>20</v>
      </c>
      <c r="AU245" s="506">
        <v>20</v>
      </c>
      <c r="AV245" s="506">
        <v>20</v>
      </c>
      <c r="AW245" s="1012"/>
      <c r="AX245" s="506">
        <v>20</v>
      </c>
      <c r="AY245" s="506">
        <v>20</v>
      </c>
      <c r="AZ245" s="506">
        <v>20</v>
      </c>
      <c r="BA245" s="506">
        <v>20</v>
      </c>
      <c r="BB245" s="1012"/>
      <c r="BC245" s="506">
        <v>20</v>
      </c>
      <c r="BD245" s="506">
        <v>20</v>
      </c>
      <c r="BE245" s="506">
        <v>20</v>
      </c>
      <c r="BF245" s="506">
        <v>20</v>
      </c>
      <c r="BG245" s="1012"/>
      <c r="BH245" s="506">
        <v>20</v>
      </c>
      <c r="BI245" s="506">
        <v>20</v>
      </c>
      <c r="BJ245" s="506">
        <v>20</v>
      </c>
      <c r="BK245" s="506">
        <v>20</v>
      </c>
      <c r="BL245" s="1012"/>
    </row>
    <row r="246" spans="1:64" hidden="1" outlineLevel="1" x14ac:dyDescent="0.2">
      <c r="A246" s="238"/>
      <c r="B246" s="300"/>
      <c r="C246" s="483"/>
      <c r="D246" s="1371"/>
      <c r="E246" s="483"/>
      <c r="F246" s="483"/>
      <c r="G246" s="483"/>
      <c r="H246" s="483"/>
      <c r="I246" s="1371"/>
      <c r="J246" s="483"/>
      <c r="K246" s="483"/>
      <c r="L246" s="483"/>
      <c r="M246" s="483"/>
      <c r="N246" s="1371"/>
      <c r="O246" s="483"/>
      <c r="P246" s="483"/>
      <c r="Q246" s="483"/>
      <c r="R246" s="483"/>
      <c r="S246" s="1371"/>
      <c r="T246" s="483"/>
      <c r="U246" s="483"/>
      <c r="V246" s="483"/>
      <c r="W246" s="483"/>
      <c r="X246" s="1371"/>
      <c r="Y246" s="483"/>
      <c r="Z246" s="483"/>
      <c r="AA246" s="483"/>
      <c r="AB246" s="483"/>
      <c r="AC246" s="1371"/>
      <c r="AD246" s="1114"/>
      <c r="AE246" s="1114"/>
      <c r="AF246" s="1114"/>
      <c r="AG246" s="1114"/>
      <c r="AH246" s="1114"/>
      <c r="AI246" s="1114"/>
      <c r="AJ246" s="1114"/>
      <c r="AK246" s="1114"/>
      <c r="AL246" s="1114"/>
      <c r="AM246" s="1114"/>
      <c r="AN246" s="1114"/>
      <c r="AO246" s="1114"/>
      <c r="AP246" s="1114"/>
      <c r="AQ246" s="1114"/>
      <c r="AR246" s="1114"/>
      <c r="AS246" s="1114"/>
      <c r="AT246" s="1114"/>
      <c r="AU246" s="1114"/>
      <c r="AV246" s="1114"/>
      <c r="AW246" s="1114"/>
      <c r="AX246" s="1114"/>
      <c r="AY246" s="1114"/>
      <c r="AZ246" s="1114"/>
      <c r="BA246" s="1114"/>
      <c r="BB246" s="1114"/>
      <c r="BC246" s="1114"/>
      <c r="BD246" s="1114"/>
      <c r="BE246" s="1114"/>
      <c r="BF246" s="1114"/>
      <c r="BG246" s="1114"/>
      <c r="BH246" s="1114"/>
      <c r="BI246" s="1114"/>
      <c r="BJ246" s="1114"/>
      <c r="BK246" s="1114"/>
      <c r="BL246" s="1114"/>
    </row>
    <row r="247" spans="1:64" hidden="1" outlineLevel="1" x14ac:dyDescent="0.2">
      <c r="A247" s="238"/>
      <c r="B247" s="300"/>
      <c r="C247" s="300"/>
      <c r="D247" s="241"/>
      <c r="E247" s="300"/>
      <c r="F247" s="300"/>
      <c r="G247" s="300"/>
      <c r="H247" s="300"/>
      <c r="I247" s="300"/>
      <c r="J247" s="300"/>
      <c r="K247" s="300"/>
      <c r="L247" s="300"/>
      <c r="M247" s="300"/>
      <c r="N247" s="300"/>
      <c r="O247" s="1555"/>
      <c r="P247" s="1555"/>
      <c r="Q247" s="1555"/>
      <c r="R247" s="1555"/>
      <c r="S247" s="1555"/>
      <c r="T247" s="1555"/>
      <c r="U247" s="1555"/>
      <c r="V247" s="1556"/>
      <c r="W247" s="1556"/>
      <c r="X247" s="300"/>
      <c r="Y247" s="300"/>
      <c r="Z247" s="300"/>
      <c r="AA247" s="300"/>
      <c r="AB247" s="300"/>
      <c r="AC247" s="300"/>
      <c r="AD247"/>
    </row>
    <row r="248" spans="1:64" hidden="1" outlineLevel="1" x14ac:dyDescent="0.2">
      <c r="A248" s="238"/>
      <c r="B248" s="300"/>
      <c r="C248" s="300"/>
      <c r="D248" s="300"/>
      <c r="E248" s="300"/>
      <c r="F248" s="300"/>
      <c r="G248" s="300"/>
      <c r="H248" s="300"/>
      <c r="I248" s="300"/>
      <c r="J248" s="300"/>
      <c r="K248" s="300"/>
      <c r="L248" s="300"/>
      <c r="M248" s="300"/>
      <c r="N248" s="300"/>
      <c r="O248" s="300"/>
      <c r="P248" s="300"/>
      <c r="Q248" s="300"/>
      <c r="R248" s="300"/>
      <c r="S248" s="300"/>
      <c r="T248" s="1557"/>
      <c r="U248" s="1557"/>
      <c r="V248" s="1557"/>
      <c r="W248" s="1557"/>
      <c r="X248" s="1557"/>
      <c r="Y248" s="300"/>
      <c r="Z248" s="300"/>
      <c r="AA248" s="300"/>
      <c r="AB248" s="300"/>
      <c r="AC248" s="300"/>
      <c r="AD248" s="236"/>
      <c r="AE248" s="236"/>
      <c r="AF248" s="236"/>
      <c r="AG248" s="236"/>
      <c r="AH248" s="236"/>
      <c r="AI248" s="236"/>
      <c r="AJ248" s="236"/>
      <c r="AK248" s="236"/>
      <c r="AL248" s="236"/>
      <c r="AM248" s="236"/>
      <c r="AN248" s="236"/>
      <c r="AO248" s="236"/>
      <c r="AP248" s="236"/>
      <c r="AQ248" s="236"/>
      <c r="AR248" s="236"/>
      <c r="AS248" s="236"/>
      <c r="AT248" s="236"/>
      <c r="AU248" s="236"/>
      <c r="AV248" s="236"/>
      <c r="AW248" s="236"/>
      <c r="AX248" s="236"/>
      <c r="AY248" s="236"/>
      <c r="AZ248" s="236"/>
      <c r="BA248" s="236"/>
      <c r="BB248" s="236"/>
      <c r="BC248" s="236"/>
      <c r="BD248" s="236"/>
      <c r="BE248" s="236"/>
      <c r="BF248" s="236"/>
      <c r="BG248" s="236"/>
      <c r="BH248" s="236"/>
      <c r="BI248" s="236"/>
      <c r="BJ248" s="236"/>
      <c r="BK248" s="236"/>
      <c r="BL248" s="236"/>
    </row>
    <row r="249" spans="1:64" ht="12" hidden="1" outlineLevel="1" thickBot="1" x14ac:dyDescent="0.25">
      <c r="A249" s="238"/>
      <c r="B249" s="300"/>
      <c r="C249" s="1433" t="s">
        <v>1356</v>
      </c>
      <c r="D249" s="1434"/>
      <c r="E249" s="1434"/>
      <c r="F249" s="1434"/>
      <c r="G249" s="1434"/>
      <c r="H249" s="1434"/>
      <c r="I249" s="1435"/>
      <c r="J249" s="1434"/>
      <c r="K249" s="1434"/>
      <c r="L249" s="1434"/>
      <c r="M249" s="1434"/>
      <c r="N249" s="1435"/>
      <c r="O249" s="1434"/>
      <c r="P249" s="1434"/>
      <c r="Q249" s="1434"/>
      <c r="R249" s="1434"/>
      <c r="S249" s="1435"/>
      <c r="T249" s="1434"/>
      <c r="U249" s="1434"/>
      <c r="V249" s="1434"/>
      <c r="W249" s="1558"/>
      <c r="X249" s="1558"/>
      <c r="Y249" s="1434"/>
      <c r="Z249" s="1434"/>
      <c r="AA249" s="1434"/>
      <c r="AB249" s="1558"/>
      <c r="AC249" s="1558"/>
      <c r="AD249" s="1434"/>
      <c r="AE249" s="1434"/>
      <c r="AF249" s="1434"/>
      <c r="AG249" s="1558"/>
      <c r="AH249" s="1558"/>
      <c r="AI249" s="1434"/>
      <c r="AJ249" s="1434"/>
      <c r="AK249" s="1434"/>
      <c r="AL249" s="1558"/>
      <c r="AM249" s="1558"/>
      <c r="AN249" s="1434"/>
      <c r="AO249" s="1434"/>
      <c r="AP249" s="1434"/>
      <c r="AQ249" s="1558"/>
      <c r="AR249" s="1558"/>
      <c r="AS249" s="1434"/>
      <c r="AT249" s="1434"/>
      <c r="AU249" s="1434"/>
      <c r="AV249" s="1558"/>
      <c r="AW249" s="1558"/>
      <c r="AX249" s="1434"/>
      <c r="AY249" s="1434"/>
      <c r="AZ249" s="1434"/>
      <c r="BA249" s="1558"/>
      <c r="BB249" s="1558"/>
      <c r="BC249" s="1434"/>
      <c r="BD249" s="1434"/>
      <c r="BE249" s="1434"/>
      <c r="BF249" s="1558"/>
      <c r="BG249" s="1558"/>
      <c r="BH249" s="1434"/>
      <c r="BI249" s="1434"/>
      <c r="BJ249" s="1434"/>
      <c r="BK249" s="1558"/>
      <c r="BL249" s="1558"/>
    </row>
    <row r="250" spans="1:64" hidden="1" outlineLevel="1" x14ac:dyDescent="0.2">
      <c r="A250" s="238"/>
      <c r="B250" s="300"/>
      <c r="C250" s="1804" t="s">
        <v>1347</v>
      </c>
      <c r="D250" s="1371"/>
      <c r="E250" s="1655"/>
      <c r="F250" s="1681"/>
      <c r="G250" s="1681"/>
      <c r="H250" s="483"/>
      <c r="I250" s="483"/>
      <c r="J250" s="483"/>
      <c r="K250" s="483"/>
      <c r="L250" s="483"/>
      <c r="M250" s="483"/>
      <c r="N250" s="483"/>
      <c r="O250" s="483"/>
      <c r="P250" s="483"/>
      <c r="Q250" s="483"/>
      <c r="R250" s="483"/>
      <c r="S250" s="483"/>
      <c r="T250" s="483"/>
      <c r="U250" s="483"/>
      <c r="V250" s="483"/>
      <c r="W250" s="1641"/>
      <c r="X250" s="483"/>
      <c r="Y250" s="483"/>
      <c r="Z250" s="483"/>
      <c r="AA250" s="483"/>
      <c r="AB250" s="483"/>
      <c r="AC250" s="1824"/>
      <c r="AD250" s="483"/>
      <c r="AE250" s="483"/>
      <c r="AF250" s="483"/>
      <c r="AG250" s="483"/>
      <c r="AH250" s="1824"/>
      <c r="AI250" s="483"/>
      <c r="AJ250" s="483"/>
      <c r="AK250" s="483"/>
      <c r="AL250" s="483"/>
      <c r="AM250" s="1824"/>
      <c r="AN250" s="483"/>
      <c r="AO250" s="483"/>
      <c r="AP250" s="483"/>
      <c r="AQ250" s="483"/>
      <c r="AR250" s="1824"/>
      <c r="AS250" s="483"/>
      <c r="AT250" s="483"/>
      <c r="AU250" s="483"/>
      <c r="AV250" s="483"/>
      <c r="AW250" s="1824"/>
      <c r="AX250" s="483"/>
      <c r="AY250" s="483"/>
      <c r="AZ250" s="483"/>
      <c r="BA250" s="483"/>
      <c r="BB250" s="1824"/>
      <c r="BC250" s="483"/>
      <c r="BD250" s="483"/>
      <c r="BE250" s="483"/>
      <c r="BF250" s="483"/>
      <c r="BG250" s="1824"/>
      <c r="BH250" s="483"/>
      <c r="BI250" s="483"/>
      <c r="BJ250" s="483"/>
      <c r="BK250" s="483"/>
      <c r="BL250" s="1824"/>
    </row>
    <row r="251" spans="1:64" hidden="1" outlineLevel="1" x14ac:dyDescent="0.2">
      <c r="A251" s="238"/>
      <c r="B251" s="300"/>
      <c r="C251" s="1383" t="s">
        <v>1353</v>
      </c>
      <c r="D251" s="211"/>
      <c r="E251" s="1565" t="s">
        <v>27</v>
      </c>
      <c r="F251" s="1827" t="s">
        <v>27</v>
      </c>
      <c r="G251" s="1827" t="s">
        <v>27</v>
      </c>
      <c r="H251" s="1827">
        <v>-355.05652000000009</v>
      </c>
      <c r="I251" s="1567"/>
      <c r="J251" s="1827" t="s">
        <v>27</v>
      </c>
      <c r="K251" s="1827" t="s">
        <v>27</v>
      </c>
      <c r="L251" s="1827" t="s">
        <v>27</v>
      </c>
      <c r="M251" s="1827" t="s">
        <v>27</v>
      </c>
      <c r="N251" s="1567"/>
      <c r="O251" s="1827" t="s">
        <v>27</v>
      </c>
      <c r="P251" s="1827" t="s">
        <v>27</v>
      </c>
      <c r="Q251" s="1827" t="s">
        <v>27</v>
      </c>
      <c r="R251" s="1827" t="s">
        <v>27</v>
      </c>
      <c r="S251" s="1567" t="s">
        <v>27</v>
      </c>
      <c r="T251" s="1827" t="s">
        <v>27</v>
      </c>
      <c r="U251" s="1827" t="s">
        <v>27</v>
      </c>
      <c r="V251" s="1827" t="s">
        <v>27</v>
      </c>
      <c r="W251" s="1642" t="s">
        <v>27</v>
      </c>
      <c r="X251" s="1569"/>
      <c r="Y251" s="1660"/>
      <c r="Z251" s="1660"/>
      <c r="AA251" s="1660"/>
      <c r="AB251" s="1660"/>
      <c r="AC251" s="1567"/>
      <c r="AD251" s="1660"/>
      <c r="AE251" s="1660"/>
      <c r="AF251" s="1570"/>
      <c r="AG251" s="1570"/>
      <c r="AH251" s="576"/>
      <c r="AI251" s="1570"/>
      <c r="AJ251" s="1591">
        <v>-0.03</v>
      </c>
      <c r="AK251" s="1591">
        <v>-0.03</v>
      </c>
      <c r="AL251" s="1591">
        <v>-0.03</v>
      </c>
      <c r="AM251" s="1572"/>
      <c r="AN251" s="1591">
        <v>-0.01</v>
      </c>
      <c r="AO251" s="1591">
        <v>-0.01</v>
      </c>
      <c r="AP251" s="1591">
        <v>-0.01</v>
      </c>
      <c r="AQ251" s="1591">
        <v>-0.01</v>
      </c>
      <c r="AR251" s="1572"/>
      <c r="AS251" s="1591">
        <v>0</v>
      </c>
      <c r="AT251" s="1591">
        <v>0</v>
      </c>
      <c r="AU251" s="1591">
        <v>0</v>
      </c>
      <c r="AV251" s="1591">
        <v>0</v>
      </c>
      <c r="AW251" s="1567"/>
      <c r="AX251" s="1591">
        <v>0</v>
      </c>
      <c r="AY251" s="1591">
        <v>0</v>
      </c>
      <c r="AZ251" s="1591">
        <v>0</v>
      </c>
      <c r="BA251" s="1591">
        <v>0</v>
      </c>
      <c r="BB251" s="1567"/>
      <c r="BC251" s="1591">
        <v>0</v>
      </c>
      <c r="BD251" s="1591">
        <v>0</v>
      </c>
      <c r="BE251" s="1591">
        <v>0</v>
      </c>
      <c r="BF251" s="1591">
        <v>0</v>
      </c>
      <c r="BG251" s="1567"/>
      <c r="BH251" s="1591">
        <v>0</v>
      </c>
      <c r="BI251" s="1591">
        <v>0</v>
      </c>
      <c r="BJ251" s="1591">
        <v>0</v>
      </c>
      <c r="BK251" s="1591">
        <v>0</v>
      </c>
      <c r="BL251" s="1567"/>
    </row>
    <row r="252" spans="1:64" hidden="1" outlineLevel="1" x14ac:dyDescent="0.2">
      <c r="A252" s="238"/>
      <c r="B252" s="300"/>
      <c r="C252" s="1383" t="s">
        <v>1354</v>
      </c>
      <c r="D252" s="211"/>
      <c r="E252" s="1565" t="e">
        <v>#REF!</v>
      </c>
      <c r="F252" s="1827" t="e">
        <v>#REF!</v>
      </c>
      <c r="G252" s="1827" t="e">
        <v>#REF!</v>
      </c>
      <c r="H252" s="1827" t="e">
        <v>#REF!</v>
      </c>
      <c r="I252" s="1567"/>
      <c r="J252" s="1827" t="e">
        <v>#REF!</v>
      </c>
      <c r="K252" s="1827" t="e">
        <v>#REF!</v>
      </c>
      <c r="L252" s="1827" t="e">
        <v>#REF!</v>
      </c>
      <c r="M252" s="1827" t="e">
        <v>#REF!</v>
      </c>
      <c r="N252" s="1567"/>
      <c r="O252" s="1827" t="e">
        <v>#REF!</v>
      </c>
      <c r="P252" s="1827" t="e">
        <v>#REF!</v>
      </c>
      <c r="Q252" s="1827" t="e">
        <v>#REF!</v>
      </c>
      <c r="R252" s="1827" t="e">
        <v>#REF!</v>
      </c>
      <c r="S252" s="1567" t="e">
        <v>#REF!</v>
      </c>
      <c r="T252" s="1827" t="e">
        <v>#REF!</v>
      </c>
      <c r="U252" s="1827" t="e">
        <v>#REF!</v>
      </c>
      <c r="V252" s="1827" t="e">
        <v>#REF!</v>
      </c>
      <c r="W252" s="1642" t="e">
        <v>#REF!</v>
      </c>
      <c r="X252" s="1569"/>
      <c r="Y252" s="1660"/>
      <c r="Z252" s="1660"/>
      <c r="AA252" s="1660"/>
      <c r="AB252" s="1660"/>
      <c r="AC252" s="1567"/>
      <c r="AD252" s="1660"/>
      <c r="AE252" s="1660"/>
      <c r="AF252" s="1570"/>
      <c r="AG252" s="1570"/>
      <c r="AH252" s="576"/>
      <c r="AI252" s="1570"/>
      <c r="AJ252" s="1591">
        <v>3.3000000000000002E-2</v>
      </c>
      <c r="AK252" s="1591">
        <v>3.3000000000000002E-2</v>
      </c>
      <c r="AL252" s="1591">
        <v>3.3000000000000002E-2</v>
      </c>
      <c r="AM252" s="1572"/>
      <c r="AN252" s="1591">
        <v>3.3000000000000002E-2</v>
      </c>
      <c r="AO252" s="1591">
        <v>3.3000000000000002E-2</v>
      </c>
      <c r="AP252" s="1591">
        <v>3.3000000000000002E-2</v>
      </c>
      <c r="AQ252" s="1591">
        <v>3.3000000000000002E-2</v>
      </c>
      <c r="AR252" s="1572"/>
      <c r="AS252" s="1591">
        <v>3.3000000000000002E-2</v>
      </c>
      <c r="AT252" s="1591">
        <v>3.3000000000000002E-2</v>
      </c>
      <c r="AU252" s="1591">
        <v>3.3000000000000002E-2</v>
      </c>
      <c r="AV252" s="1591">
        <v>3.3000000000000002E-2</v>
      </c>
      <c r="AW252" s="1567"/>
      <c r="AX252" s="1591">
        <v>3.3000000000000002E-2</v>
      </c>
      <c r="AY252" s="1591">
        <v>3.3000000000000002E-2</v>
      </c>
      <c r="AZ252" s="1591">
        <v>3.3000000000000002E-2</v>
      </c>
      <c r="BA252" s="1591">
        <v>3.3000000000000002E-2</v>
      </c>
      <c r="BB252" s="1567"/>
      <c r="BC252" s="1591">
        <v>3.3000000000000002E-2</v>
      </c>
      <c r="BD252" s="1591">
        <v>3.3000000000000002E-2</v>
      </c>
      <c r="BE252" s="1591">
        <v>3.3000000000000002E-2</v>
      </c>
      <c r="BF252" s="1591">
        <v>3.3000000000000002E-2</v>
      </c>
      <c r="BG252" s="1567"/>
      <c r="BH252" s="1591">
        <v>3.3000000000000002E-2</v>
      </c>
      <c r="BI252" s="1591">
        <v>3.3000000000000002E-2</v>
      </c>
      <c r="BJ252" s="1591">
        <v>3.3000000000000002E-2</v>
      </c>
      <c r="BK252" s="1591">
        <v>3.3000000000000002E-2</v>
      </c>
      <c r="BL252" s="1567"/>
    </row>
    <row r="253" spans="1:64" hidden="1" outlineLevel="1" x14ac:dyDescent="0.2">
      <c r="A253" s="238"/>
      <c r="B253" s="300"/>
      <c r="C253" s="1380"/>
      <c r="D253" s="300"/>
      <c r="E253" s="1571"/>
      <c r="F253" s="1534"/>
      <c r="G253" s="1534"/>
      <c r="H253" s="1534"/>
      <c r="I253" s="1455"/>
      <c r="J253" s="1534"/>
      <c r="K253" s="1534"/>
      <c r="L253" s="1534"/>
      <c r="M253" s="1534"/>
      <c r="N253" s="1455"/>
      <c r="O253" s="1534"/>
      <c r="P253" s="1534"/>
      <c r="Q253" s="1534"/>
      <c r="R253" s="1534"/>
      <c r="S253" s="1572"/>
      <c r="T253" s="1534"/>
      <c r="U253" s="1534"/>
      <c r="V253" s="1534"/>
      <c r="W253" s="1537"/>
      <c r="X253" s="1573"/>
      <c r="Y253" s="1381"/>
      <c r="Z253" s="1381"/>
      <c r="AA253" s="1381"/>
      <c r="AB253" s="1381"/>
      <c r="AC253" s="576"/>
      <c r="AD253" s="1381"/>
      <c r="AE253" s="1381"/>
      <c r="AF253" s="1381"/>
      <c r="AG253" s="1381"/>
      <c r="AH253" s="602"/>
      <c r="AI253" s="1381"/>
      <c r="AJ253" s="1381"/>
      <c r="AK253" s="1381"/>
      <c r="AL253" s="1381"/>
      <c r="AM253" s="1455"/>
      <c r="AN253" s="1381"/>
      <c r="AO253" s="1381"/>
      <c r="AP253" s="1381"/>
      <c r="AQ253" s="1381"/>
      <c r="AR253" s="1455"/>
      <c r="AS253" s="1381"/>
      <c r="AT253" s="1381"/>
      <c r="AU253" s="1381"/>
      <c r="AV253" s="1381"/>
      <c r="AW253" s="1455"/>
      <c r="AX253" s="1381"/>
      <c r="AY253" s="1381"/>
      <c r="AZ253" s="1381"/>
      <c r="BA253" s="1381"/>
      <c r="BB253" s="1455"/>
      <c r="BC253" s="1381"/>
      <c r="BD253" s="1381"/>
      <c r="BE253" s="1381"/>
      <c r="BF253" s="1381"/>
      <c r="BG253" s="1455"/>
      <c r="BH253" s="1381"/>
      <c r="BI253" s="1381"/>
      <c r="BJ253" s="1381"/>
      <c r="BK253" s="1381"/>
      <c r="BL253" s="1455"/>
    </row>
    <row r="254" spans="1:64" hidden="1" outlineLevel="1" x14ac:dyDescent="0.2">
      <c r="A254" s="238"/>
      <c r="B254" s="300"/>
      <c r="C254" s="1538" t="s">
        <v>1348</v>
      </c>
      <c r="D254" s="300"/>
      <c r="E254" s="1437"/>
      <c r="F254" s="1445"/>
      <c r="G254" s="1445"/>
      <c r="H254" s="1445"/>
      <c r="I254" s="1439"/>
      <c r="J254" s="1531"/>
      <c r="K254" s="1531"/>
      <c r="L254" s="1531"/>
      <c r="M254" s="1531"/>
      <c r="N254" s="1439"/>
      <c r="O254" s="1531"/>
      <c r="P254" s="1531"/>
      <c r="Q254" s="1531"/>
      <c r="R254" s="1531"/>
      <c r="S254" s="1559"/>
      <c r="T254" s="1531"/>
      <c r="U254" s="1531"/>
      <c r="V254" s="1531"/>
      <c r="W254" s="1532"/>
      <c r="X254" s="1562"/>
      <c r="Y254" s="1684"/>
      <c r="Z254" s="1684"/>
      <c r="AA254" s="1684"/>
      <c r="AB254" s="1684"/>
      <c r="AC254" s="576"/>
      <c r="AD254" s="1684"/>
      <c r="AE254" s="1684"/>
      <c r="AF254" s="1563"/>
      <c r="AG254" s="1563"/>
      <c r="AH254" s="602"/>
      <c r="AI254" s="1563"/>
      <c r="AJ254" s="1563"/>
      <c r="AK254" s="1563"/>
      <c r="AL254" s="1563"/>
      <c r="AM254" s="1439"/>
      <c r="AN254" s="1563"/>
      <c r="AO254" s="1563"/>
      <c r="AP254" s="1563"/>
      <c r="AQ254" s="1563"/>
      <c r="AR254" s="1439"/>
      <c r="AS254" s="1563"/>
      <c r="AT254" s="1563"/>
      <c r="AU254" s="1563"/>
      <c r="AV254" s="1563"/>
      <c r="AW254" s="1439"/>
      <c r="AX254" s="1563"/>
      <c r="AY254" s="1563"/>
      <c r="AZ254" s="1563"/>
      <c r="BA254" s="1563"/>
      <c r="BB254" s="1439"/>
      <c r="BC254" s="1563"/>
      <c r="BD254" s="1563"/>
      <c r="BE254" s="1563"/>
      <c r="BF254" s="1563"/>
      <c r="BG254" s="1439"/>
      <c r="BH254" s="1563"/>
      <c r="BI254" s="1563"/>
      <c r="BJ254" s="1563"/>
      <c r="BK254" s="1563"/>
      <c r="BL254" s="1439"/>
    </row>
    <row r="255" spans="1:64" hidden="1" outlineLevel="1" x14ac:dyDescent="0.2">
      <c r="A255" s="238"/>
      <c r="B255" s="300"/>
      <c r="C255" s="1383" t="s">
        <v>1350</v>
      </c>
      <c r="D255" s="300"/>
      <c r="E255" s="1437"/>
      <c r="F255" s="1445"/>
      <c r="G255" s="1445"/>
      <c r="H255" s="1445"/>
      <c r="I255" s="1439"/>
      <c r="J255" s="1531"/>
      <c r="K255" s="1531"/>
      <c r="L255" s="1531"/>
      <c r="M255" s="1531"/>
      <c r="N255" s="1439"/>
      <c r="O255" s="1531"/>
      <c r="P255" s="1531"/>
      <c r="Q255" s="1531"/>
      <c r="R255" s="1531"/>
      <c r="S255" s="1559"/>
      <c r="T255" s="1531"/>
      <c r="U255" s="1531"/>
      <c r="V255" s="1531"/>
      <c r="W255" s="1532"/>
      <c r="X255" s="1562"/>
      <c r="Y255" s="1684"/>
      <c r="Z255" s="1684"/>
      <c r="AA255" s="1684"/>
      <c r="AB255" s="1684"/>
      <c r="AC255" s="576"/>
      <c r="AD255" s="1684"/>
      <c r="AE255" s="1684"/>
      <c r="AF255" s="1563"/>
      <c r="AG255" s="1563"/>
      <c r="AH255" s="602"/>
      <c r="AI255" s="1563"/>
      <c r="AJ255" s="1563">
        <v>0.15</v>
      </c>
      <c r="AK255" s="1563">
        <v>0.15</v>
      </c>
      <c r="AL255" s="1563">
        <v>0.15</v>
      </c>
      <c r="AM255" s="1439"/>
      <c r="AN255" s="1563">
        <v>0.19</v>
      </c>
      <c r="AO255" s="1563">
        <v>0.19</v>
      </c>
      <c r="AP255" s="1563">
        <v>0.19</v>
      </c>
      <c r="AQ255" s="1563">
        <v>0.19</v>
      </c>
      <c r="AR255" s="1439"/>
      <c r="AS255" s="1563">
        <v>0.17</v>
      </c>
      <c r="AT255" s="1563">
        <v>0.17</v>
      </c>
      <c r="AU255" s="1563">
        <v>0.17</v>
      </c>
      <c r="AV255" s="1563">
        <v>0.17</v>
      </c>
      <c r="AW255" s="1439"/>
      <c r="AX255" s="1563">
        <v>0.17</v>
      </c>
      <c r="AY255" s="1563">
        <v>0.17</v>
      </c>
      <c r="AZ255" s="1563">
        <v>0.17</v>
      </c>
      <c r="BA255" s="1563">
        <v>0.17</v>
      </c>
      <c r="BB255" s="1439"/>
      <c r="BC255" s="1563">
        <v>0.17</v>
      </c>
      <c r="BD255" s="1563">
        <v>0.17</v>
      </c>
      <c r="BE255" s="1563">
        <v>0.17</v>
      </c>
      <c r="BF255" s="1563">
        <v>0.17</v>
      </c>
      <c r="BG255" s="1439"/>
      <c r="BH255" s="1563">
        <v>0.17</v>
      </c>
      <c r="BI255" s="1563">
        <v>0.17</v>
      </c>
      <c r="BJ255" s="1563">
        <v>0.17</v>
      </c>
      <c r="BK255" s="1563">
        <v>0.17</v>
      </c>
      <c r="BL255" s="1439"/>
    </row>
    <row r="256" spans="1:64" hidden="1" outlineLevel="1" x14ac:dyDescent="0.2">
      <c r="A256" s="238"/>
      <c r="B256" s="300"/>
      <c r="C256" s="1383"/>
      <c r="D256" s="300"/>
      <c r="E256" s="1565" t="e">
        <v>#REF!</v>
      </c>
      <c r="F256" s="1827" t="e">
        <v>#REF!</v>
      </c>
      <c r="G256" s="1827" t="e">
        <v>#REF!</v>
      </c>
      <c r="H256" s="1827" t="e">
        <v>#REF!</v>
      </c>
      <c r="I256" s="1439"/>
      <c r="J256" s="1827" t="e">
        <v>#REF!</v>
      </c>
      <c r="K256" s="1827" t="e">
        <v>#REF!</v>
      </c>
      <c r="L256" s="1827" t="e">
        <v>#REF!</v>
      </c>
      <c r="M256" s="1827" t="e">
        <v>#REF!</v>
      </c>
      <c r="N256" s="1439"/>
      <c r="O256" s="1827" t="e">
        <v>#REF!</v>
      </c>
      <c r="P256" s="1827" t="e">
        <v>#REF!</v>
      </c>
      <c r="Q256" s="1827" t="e">
        <v>#REF!</v>
      </c>
      <c r="R256" s="1827" t="e">
        <v>#REF!</v>
      </c>
      <c r="S256" s="580" t="e">
        <v>#REF!</v>
      </c>
      <c r="T256" s="1827" t="e">
        <v>#REF!</v>
      </c>
      <c r="U256" s="1827" t="e">
        <v>#REF!</v>
      </c>
      <c r="V256" s="1827" t="e">
        <v>#REF!</v>
      </c>
      <c r="W256" s="1642" t="e">
        <v>#REF!</v>
      </c>
      <c r="X256" s="1037"/>
      <c r="Y256" s="1827"/>
      <c r="Z256" s="1827"/>
      <c r="AA256" s="1827"/>
      <c r="AB256" s="1827"/>
      <c r="AC256" s="580"/>
      <c r="AD256" s="1827"/>
      <c r="AE256" s="1827"/>
      <c r="AF256" s="1827"/>
      <c r="AG256" s="1827"/>
      <c r="AH256" s="576"/>
      <c r="AI256" s="1827"/>
      <c r="AJ256" s="1827"/>
      <c r="AK256" s="1827"/>
      <c r="AL256" s="1827"/>
      <c r="AM256" s="580"/>
      <c r="AN256" s="1827"/>
      <c r="AO256" s="1827"/>
      <c r="AP256" s="1827"/>
      <c r="AQ256" s="1827"/>
      <c r="AR256" s="580"/>
      <c r="AS256" s="1827"/>
      <c r="AT256" s="1827"/>
      <c r="AU256" s="1827"/>
      <c r="AV256" s="1827"/>
      <c r="AW256" s="580"/>
      <c r="AX256" s="1827"/>
      <c r="AY256" s="1827"/>
      <c r="AZ256" s="1827"/>
      <c r="BA256" s="1827"/>
      <c r="BB256" s="580"/>
      <c r="BC256" s="1827"/>
      <c r="BD256" s="1827"/>
      <c r="BE256" s="1827"/>
      <c r="BF256" s="1827"/>
      <c r="BG256" s="580"/>
      <c r="BH256" s="1827"/>
      <c r="BI256" s="1827"/>
      <c r="BJ256" s="1827"/>
      <c r="BK256" s="1827"/>
      <c r="BL256" s="580"/>
    </row>
    <row r="257" spans="1:64" hidden="1" outlineLevel="1" x14ac:dyDescent="0.2">
      <c r="A257" s="238"/>
      <c r="B257" s="300"/>
      <c r="C257" s="1496" t="s">
        <v>1351</v>
      </c>
      <c r="D257" s="300"/>
      <c r="E257" s="1565" t="e">
        <v>#REF!</v>
      </c>
      <c r="F257" s="1827" t="e">
        <v>#REF!</v>
      </c>
      <c r="G257" s="1827" t="e">
        <v>#REF!</v>
      </c>
      <c r="H257" s="1827" t="e">
        <v>#REF!</v>
      </c>
      <c r="I257" s="1439"/>
      <c r="J257" s="1827" t="e">
        <v>#REF!</v>
      </c>
      <c r="K257" s="1827" t="e">
        <v>#REF!</v>
      </c>
      <c r="L257" s="1827" t="e">
        <v>#REF!</v>
      </c>
      <c r="M257" s="1827" t="e">
        <v>#REF!</v>
      </c>
      <c r="N257" s="1439"/>
      <c r="O257" s="1827" t="e">
        <v>#REF!</v>
      </c>
      <c r="P257" s="1827" t="e">
        <v>#REF!</v>
      </c>
      <c r="Q257" s="1827" t="e">
        <v>#REF!</v>
      </c>
      <c r="R257" s="1827" t="e">
        <v>#REF!</v>
      </c>
      <c r="S257" s="580" t="e">
        <v>#REF!</v>
      </c>
      <c r="T257" s="1827" t="e">
        <v>#REF!</v>
      </c>
      <c r="U257" s="1827" t="e">
        <v>#REF!</v>
      </c>
      <c r="V257" s="1827" t="e">
        <v>#REF!</v>
      </c>
      <c r="W257" s="1642" t="e">
        <v>#REF!</v>
      </c>
      <c r="X257" s="1037"/>
      <c r="Y257" s="1827"/>
      <c r="Z257" s="1827"/>
      <c r="AA257" s="1827"/>
      <c r="AB257" s="1827"/>
      <c r="AC257" s="580"/>
      <c r="AD257" s="1827"/>
      <c r="AE257" s="1827"/>
      <c r="AF257" s="1827"/>
      <c r="AG257" s="1827"/>
      <c r="AH257" s="576"/>
      <c r="AI257" s="1827"/>
      <c r="AJ257" s="1827"/>
      <c r="AK257" s="1827"/>
      <c r="AL257" s="1827"/>
      <c r="AM257" s="580"/>
      <c r="AN257" s="1827"/>
      <c r="AO257" s="1827"/>
      <c r="AP257" s="1827"/>
      <c r="AQ257" s="1827"/>
      <c r="AR257" s="580"/>
      <c r="AS257" s="1827"/>
      <c r="AT257" s="1827"/>
      <c r="AU257" s="1827"/>
      <c r="AV257" s="1827"/>
      <c r="AW257" s="580"/>
      <c r="AX257" s="1827"/>
      <c r="AY257" s="1827"/>
      <c r="AZ257" s="1827"/>
      <c r="BA257" s="1827"/>
      <c r="BB257" s="580"/>
      <c r="BC257" s="1827"/>
      <c r="BD257" s="1827"/>
      <c r="BE257" s="1827"/>
      <c r="BF257" s="1827"/>
      <c r="BG257" s="580"/>
      <c r="BH257" s="1827"/>
      <c r="BI257" s="1827"/>
      <c r="BJ257" s="1827"/>
      <c r="BK257" s="1827"/>
      <c r="BL257" s="580"/>
    </row>
    <row r="258" spans="1:64" hidden="1" outlineLevel="1" x14ac:dyDescent="0.2">
      <c r="A258" s="238"/>
      <c r="B258" s="300"/>
      <c r="C258" s="1811" t="s">
        <v>608</v>
      </c>
      <c r="D258" s="300"/>
      <c r="E258" s="1571"/>
      <c r="F258" s="1534"/>
      <c r="G258" s="1534"/>
      <c r="H258" s="1534"/>
      <c r="I258" s="1439"/>
      <c r="J258" s="1576"/>
      <c r="K258" s="1576"/>
      <c r="L258" s="1576"/>
      <c r="M258" s="1576"/>
      <c r="N258" s="1439"/>
      <c r="O258" s="1576"/>
      <c r="P258" s="1576"/>
      <c r="Q258" s="1576"/>
      <c r="R258" s="1576"/>
      <c r="S258" s="1559"/>
      <c r="T258" s="1576"/>
      <c r="U258" s="1576"/>
      <c r="V258" s="1576"/>
      <c r="W258" s="1643"/>
      <c r="X258" s="1562"/>
      <c r="Y258" s="1684"/>
      <c r="Z258" s="1684"/>
      <c r="AA258" s="1684"/>
      <c r="AB258" s="1684"/>
      <c r="AC258" s="576"/>
      <c r="AD258" s="1684"/>
      <c r="AE258" s="1684"/>
      <c r="AF258" s="1563"/>
      <c r="AG258" s="1563"/>
      <c r="AH258" s="602"/>
      <c r="AI258" s="1563"/>
      <c r="AJ258" s="1563">
        <v>0.214</v>
      </c>
      <c r="AK258" s="1563">
        <v>0.215</v>
      </c>
      <c r="AL258" s="1563">
        <v>0.215</v>
      </c>
      <c r="AM258" s="576"/>
      <c r="AN258" s="1563">
        <v>0.215</v>
      </c>
      <c r="AO258" s="1563">
        <v>0.215</v>
      </c>
      <c r="AP258" s="1563">
        <v>0.215</v>
      </c>
      <c r="AQ258" s="1563">
        <v>0.215</v>
      </c>
      <c r="AR258" s="576"/>
      <c r="AS258" s="1563">
        <v>0.21299999999999999</v>
      </c>
      <c r="AT258" s="1563">
        <v>0.21299999999999999</v>
      </c>
      <c r="AU258" s="1563">
        <v>0.21299999999999999</v>
      </c>
      <c r="AV258" s="1563">
        <v>0.21299999999999999</v>
      </c>
      <c r="AW258" s="576"/>
      <c r="AX258" s="1563">
        <v>0.21299999999999999</v>
      </c>
      <c r="AY258" s="1563">
        <v>0.21299999999999999</v>
      </c>
      <c r="AZ258" s="1563">
        <v>0.21299999999999999</v>
      </c>
      <c r="BA258" s="1563">
        <v>0.21299999999999999</v>
      </c>
      <c r="BB258" s="576"/>
      <c r="BC258" s="1563">
        <v>0.21299999999999999</v>
      </c>
      <c r="BD258" s="1563">
        <v>0.21299999999999999</v>
      </c>
      <c r="BE258" s="1563">
        <v>0.21299999999999999</v>
      </c>
      <c r="BF258" s="1563">
        <v>0.21299999999999999</v>
      </c>
      <c r="BG258" s="576"/>
      <c r="BH258" s="1563">
        <v>0.21299999999999999</v>
      </c>
      <c r="BI258" s="1563">
        <v>0.21299999999999999</v>
      </c>
      <c r="BJ258" s="1563">
        <v>0.21299999999999999</v>
      </c>
      <c r="BK258" s="1563">
        <v>0.21299999999999999</v>
      </c>
      <c r="BL258" s="576"/>
    </row>
    <row r="259" spans="1:64" hidden="1" outlineLevel="1" x14ac:dyDescent="0.2">
      <c r="A259" s="238"/>
      <c r="B259" s="300"/>
      <c r="C259" s="1811" t="s">
        <v>1352</v>
      </c>
      <c r="D259" s="300"/>
      <c r="E259" s="1571"/>
      <c r="F259" s="1534"/>
      <c r="G259" s="1534"/>
      <c r="H259" s="1534"/>
      <c r="I259" s="1439"/>
      <c r="J259" s="1576"/>
      <c r="K259" s="1576"/>
      <c r="L259" s="1576"/>
      <c r="M259" s="1576"/>
      <c r="N259" s="1439"/>
      <c r="O259" s="1576"/>
      <c r="P259" s="1576"/>
      <c r="Q259" s="1576"/>
      <c r="R259" s="1576"/>
      <c r="S259" s="1559"/>
      <c r="T259" s="1576"/>
      <c r="U259" s="1576"/>
      <c r="V259" s="1576"/>
      <c r="W259" s="1643"/>
      <c r="X259" s="1562"/>
      <c r="Y259" s="1684"/>
      <c r="Z259" s="1684"/>
      <c r="AA259" s="1684"/>
      <c r="AB259" s="1684"/>
      <c r="AC259" s="576"/>
      <c r="AD259" s="1684"/>
      <c r="AE259" s="1684"/>
      <c r="AF259" s="1563"/>
      <c r="AG259" s="1563"/>
      <c r="AH259" s="602"/>
      <c r="AI259" s="1563"/>
      <c r="AJ259" s="1563">
        <v>-0.02</v>
      </c>
      <c r="AK259" s="1563">
        <v>-0.02</v>
      </c>
      <c r="AL259" s="1563">
        <v>-0.02</v>
      </c>
      <c r="AM259" s="576"/>
      <c r="AN259" s="1563">
        <v>0.04</v>
      </c>
      <c r="AO259" s="1563">
        <v>0.04</v>
      </c>
      <c r="AP259" s="1563">
        <v>0.04</v>
      </c>
      <c r="AQ259" s="1563">
        <v>0.04</v>
      </c>
      <c r="AR259" s="576"/>
      <c r="AS259" s="1563">
        <v>3.5000000000000003E-2</v>
      </c>
      <c r="AT259" s="1563">
        <v>3.5000000000000003E-2</v>
      </c>
      <c r="AU259" s="1563">
        <v>3.5000000000000003E-2</v>
      </c>
      <c r="AV259" s="1563">
        <v>3.5000000000000003E-2</v>
      </c>
      <c r="AW259" s="576"/>
      <c r="AX259" s="1563">
        <v>3.5000000000000003E-2</v>
      </c>
      <c r="AY259" s="1563">
        <v>3.5000000000000003E-2</v>
      </c>
      <c r="AZ259" s="1563">
        <v>3.5000000000000003E-2</v>
      </c>
      <c r="BA259" s="1563">
        <v>3.5000000000000003E-2</v>
      </c>
      <c r="BB259" s="576"/>
      <c r="BC259" s="1563">
        <v>3.5000000000000003E-2</v>
      </c>
      <c r="BD259" s="1563">
        <v>3.5000000000000003E-2</v>
      </c>
      <c r="BE259" s="1563">
        <v>3.5000000000000003E-2</v>
      </c>
      <c r="BF259" s="1563">
        <v>3.5000000000000003E-2</v>
      </c>
      <c r="BG259" s="576"/>
      <c r="BH259" s="1563">
        <v>3.5000000000000003E-2</v>
      </c>
      <c r="BI259" s="1563">
        <v>3.5000000000000003E-2</v>
      </c>
      <c r="BJ259" s="1563">
        <v>3.5000000000000003E-2</v>
      </c>
      <c r="BK259" s="1563">
        <v>3.5000000000000003E-2</v>
      </c>
      <c r="BL259" s="576"/>
    </row>
    <row r="260" spans="1:64" hidden="1" outlineLevel="1" x14ac:dyDescent="0.2">
      <c r="A260" s="238"/>
      <c r="B260" s="300"/>
      <c r="C260" s="1811" t="s">
        <v>1359</v>
      </c>
      <c r="D260" s="300"/>
      <c r="E260" s="1571"/>
      <c r="F260" s="1534"/>
      <c r="G260" s="1534"/>
      <c r="H260" s="1534"/>
      <c r="I260" s="1439"/>
      <c r="J260" s="1576"/>
      <c r="K260" s="1576"/>
      <c r="L260" s="1576"/>
      <c r="M260" s="1576"/>
      <c r="N260" s="1439"/>
      <c r="O260" s="1576"/>
      <c r="P260" s="1576"/>
      <c r="Q260" s="1576"/>
      <c r="R260" s="1576"/>
      <c r="S260" s="1559"/>
      <c r="T260" s="1576"/>
      <c r="U260" s="1576"/>
      <c r="V260" s="1576"/>
      <c r="W260" s="1643"/>
      <c r="X260" s="1562"/>
      <c r="Y260" s="1684"/>
      <c r="Z260" s="1684"/>
      <c r="AA260" s="1684"/>
      <c r="AB260" s="1684"/>
      <c r="AC260" s="576"/>
      <c r="AD260" s="1684"/>
      <c r="AE260" s="1684"/>
      <c r="AF260" s="1563"/>
      <c r="AG260" s="1563"/>
      <c r="AH260" s="602"/>
      <c r="AI260" s="1563"/>
      <c r="AJ260" s="1563"/>
      <c r="AK260" s="1563"/>
      <c r="AL260" s="1563"/>
      <c r="AM260" s="576"/>
      <c r="AN260" s="1827">
        <v>0</v>
      </c>
      <c r="AO260" s="1827">
        <v>0</v>
      </c>
      <c r="AP260" s="1827">
        <v>0</v>
      </c>
      <c r="AQ260" s="1827">
        <v>0</v>
      </c>
      <c r="AR260" s="576"/>
      <c r="AS260" s="1827">
        <v>50</v>
      </c>
      <c r="AT260" s="1827">
        <v>50</v>
      </c>
      <c r="AU260" s="1827">
        <v>50</v>
      </c>
      <c r="AV260" s="1827">
        <v>50</v>
      </c>
      <c r="AW260" s="576"/>
      <c r="AX260" s="1827">
        <v>50</v>
      </c>
      <c r="AY260" s="1827">
        <v>50</v>
      </c>
      <c r="AZ260" s="1827">
        <v>50</v>
      </c>
      <c r="BA260" s="1827">
        <v>50</v>
      </c>
      <c r="BB260" s="576"/>
      <c r="BC260" s="1827">
        <v>50</v>
      </c>
      <c r="BD260" s="1827">
        <v>50</v>
      </c>
      <c r="BE260" s="1827">
        <v>50</v>
      </c>
      <c r="BF260" s="1827">
        <v>50</v>
      </c>
      <c r="BG260" s="576"/>
      <c r="BH260" s="1827">
        <v>50</v>
      </c>
      <c r="BI260" s="1827">
        <v>50</v>
      </c>
      <c r="BJ260" s="1827">
        <v>50</v>
      </c>
      <c r="BK260" s="1827">
        <v>50</v>
      </c>
      <c r="BL260" s="576"/>
    </row>
    <row r="261" spans="1:64" hidden="1" outlineLevel="1" x14ac:dyDescent="0.2">
      <c r="A261" s="238"/>
      <c r="B261" s="229">
        <v>0.8</v>
      </c>
      <c r="C261" s="1010" t="s">
        <v>1360</v>
      </c>
      <c r="D261" s="300"/>
      <c r="E261" s="1437"/>
      <c r="F261" s="1445"/>
      <c r="G261" s="1445"/>
      <c r="H261" s="1445"/>
      <c r="I261" s="1439"/>
      <c r="J261" s="1531"/>
      <c r="K261" s="1531"/>
      <c r="L261" s="1531"/>
      <c r="M261" s="1531"/>
      <c r="N261" s="1439"/>
      <c r="O261" s="1531"/>
      <c r="P261" s="1531"/>
      <c r="Q261" s="1531"/>
      <c r="R261" s="1531"/>
      <c r="S261" s="1439"/>
      <c r="T261" s="1531"/>
      <c r="U261" s="1531"/>
      <c r="V261" s="1531"/>
      <c r="W261" s="1531"/>
      <c r="X261" s="1439"/>
      <c r="Y261" s="1545"/>
      <c r="Z261" s="1545"/>
      <c r="AA261" s="1545"/>
      <c r="AB261" s="1545"/>
      <c r="AC261" s="1439"/>
      <c r="AD261" s="1545"/>
      <c r="AE261" s="1531"/>
      <c r="AF261" s="1531"/>
      <c r="AG261" s="1531"/>
      <c r="AH261" s="1439"/>
      <c r="AI261" s="1531"/>
      <c r="AJ261" s="1531"/>
      <c r="AK261" s="1531"/>
      <c r="AL261" s="1531"/>
      <c r="AM261" s="1439"/>
      <c r="AN261" s="1827">
        <f t="shared" ref="AN261:BC262" si="169">AN$260*$B261</f>
        <v>0</v>
      </c>
      <c r="AO261" s="1827">
        <f t="shared" si="169"/>
        <v>0</v>
      </c>
      <c r="AP261" s="1827">
        <f t="shared" si="169"/>
        <v>0</v>
      </c>
      <c r="AQ261" s="1827">
        <f t="shared" si="169"/>
        <v>0</v>
      </c>
      <c r="AR261" s="1439"/>
      <c r="AS261" s="1827">
        <f t="shared" si="169"/>
        <v>40</v>
      </c>
      <c r="AT261" s="1827">
        <f t="shared" si="169"/>
        <v>40</v>
      </c>
      <c r="AU261" s="1827">
        <f t="shared" si="169"/>
        <v>40</v>
      </c>
      <c r="AV261" s="1827">
        <f t="shared" si="169"/>
        <v>40</v>
      </c>
      <c r="AW261" s="1439"/>
      <c r="AX261" s="1827">
        <f t="shared" si="169"/>
        <v>40</v>
      </c>
      <c r="AY261" s="1827">
        <f t="shared" si="169"/>
        <v>40</v>
      </c>
      <c r="AZ261" s="1827">
        <f t="shared" si="169"/>
        <v>40</v>
      </c>
      <c r="BA261" s="1827">
        <f t="shared" si="169"/>
        <v>40</v>
      </c>
      <c r="BB261" s="1439"/>
      <c r="BC261" s="1827">
        <f t="shared" si="169"/>
        <v>40</v>
      </c>
      <c r="BD261" s="1827">
        <f t="shared" ref="BC261:BF262" si="170">BD$260*$B261</f>
        <v>40</v>
      </c>
      <c r="BE261" s="1827">
        <f t="shared" si="170"/>
        <v>40</v>
      </c>
      <c r="BF261" s="1827">
        <f t="shared" si="170"/>
        <v>40</v>
      </c>
      <c r="BG261" s="1439"/>
      <c r="BH261" s="1827">
        <f t="shared" ref="BH261:BK262" si="171">BH$260*$B261</f>
        <v>40</v>
      </c>
      <c r="BI261" s="1827">
        <f t="shared" si="171"/>
        <v>40</v>
      </c>
      <c r="BJ261" s="1827">
        <f t="shared" si="171"/>
        <v>40</v>
      </c>
      <c r="BK261" s="1827">
        <f t="shared" si="171"/>
        <v>40</v>
      </c>
      <c r="BL261" s="1439"/>
    </row>
    <row r="262" spans="1:64" hidden="1" outlineLevel="1" x14ac:dyDescent="0.2">
      <c r="A262" s="238"/>
      <c r="B262" s="229">
        <v>0.2</v>
      </c>
      <c r="C262" s="1010" t="s">
        <v>1361</v>
      </c>
      <c r="D262" s="300"/>
      <c r="E262" s="1437"/>
      <c r="F262" s="1445"/>
      <c r="G262" s="1445"/>
      <c r="H262" s="1445"/>
      <c r="I262" s="1439"/>
      <c r="J262" s="1531"/>
      <c r="K262" s="1531"/>
      <c r="L262" s="1531"/>
      <c r="M262" s="1531"/>
      <c r="N262" s="1439"/>
      <c r="O262" s="1531"/>
      <c r="P262" s="1531"/>
      <c r="Q262" s="1531"/>
      <c r="R262" s="1531"/>
      <c r="S262" s="1439"/>
      <c r="T262" s="1531"/>
      <c r="U262" s="1531"/>
      <c r="V262" s="1531"/>
      <c r="W262" s="1531"/>
      <c r="X262" s="1439"/>
      <c r="Y262" s="1545"/>
      <c r="Z262" s="1545"/>
      <c r="AA262" s="1545"/>
      <c r="AB262" s="1545"/>
      <c r="AC262" s="1439"/>
      <c r="AD262" s="1545"/>
      <c r="AE262" s="1531"/>
      <c r="AF262" s="1531"/>
      <c r="AG262" s="1531"/>
      <c r="AH262" s="1439"/>
      <c r="AI262" s="1531"/>
      <c r="AJ262" s="1531"/>
      <c r="AK262" s="1531"/>
      <c r="AL262" s="1531"/>
      <c r="AM262" s="1439"/>
      <c r="AN262" s="1827">
        <f t="shared" si="169"/>
        <v>0</v>
      </c>
      <c r="AO262" s="1827">
        <f t="shared" si="169"/>
        <v>0</v>
      </c>
      <c r="AP262" s="1827">
        <f t="shared" si="169"/>
        <v>0</v>
      </c>
      <c r="AQ262" s="1827">
        <f t="shared" si="169"/>
        <v>0</v>
      </c>
      <c r="AR262" s="1439"/>
      <c r="AS262" s="1827">
        <f t="shared" si="169"/>
        <v>10</v>
      </c>
      <c r="AT262" s="1827">
        <f t="shared" si="169"/>
        <v>10</v>
      </c>
      <c r="AU262" s="1827">
        <f t="shared" si="169"/>
        <v>10</v>
      </c>
      <c r="AV262" s="1827">
        <f t="shared" si="169"/>
        <v>10</v>
      </c>
      <c r="AW262" s="1439"/>
      <c r="AX262" s="1827">
        <f t="shared" si="169"/>
        <v>10</v>
      </c>
      <c r="AY262" s="1827">
        <f t="shared" si="169"/>
        <v>10</v>
      </c>
      <c r="AZ262" s="1827">
        <f t="shared" si="169"/>
        <v>10</v>
      </c>
      <c r="BA262" s="1827">
        <f t="shared" si="169"/>
        <v>10</v>
      </c>
      <c r="BB262" s="1439"/>
      <c r="BC262" s="1827">
        <f t="shared" si="170"/>
        <v>10</v>
      </c>
      <c r="BD262" s="1827">
        <f t="shared" si="170"/>
        <v>10</v>
      </c>
      <c r="BE262" s="1827">
        <f t="shared" si="170"/>
        <v>10</v>
      </c>
      <c r="BF262" s="1827">
        <f t="shared" si="170"/>
        <v>10</v>
      </c>
      <c r="BG262" s="1439"/>
      <c r="BH262" s="1827">
        <f t="shared" si="171"/>
        <v>10</v>
      </c>
      <c r="BI262" s="1827">
        <f t="shared" si="171"/>
        <v>10</v>
      </c>
      <c r="BJ262" s="1827">
        <f t="shared" si="171"/>
        <v>10</v>
      </c>
      <c r="BK262" s="1827">
        <f t="shared" si="171"/>
        <v>10</v>
      </c>
      <c r="BL262" s="1439"/>
    </row>
    <row r="263" spans="1:64" hidden="1" outlineLevel="1" x14ac:dyDescent="0.2">
      <c r="A263" s="238"/>
      <c r="B263" s="300"/>
      <c r="C263" s="1811" t="s">
        <v>1358</v>
      </c>
      <c r="D263" s="300"/>
      <c r="E263" s="1571"/>
      <c r="F263" s="1534"/>
      <c r="G263" s="1534"/>
      <c r="H263" s="1534"/>
      <c r="I263" s="1439"/>
      <c r="J263" s="1576"/>
      <c r="K263" s="1576"/>
      <c r="L263" s="1576"/>
      <c r="M263" s="1576"/>
      <c r="N263" s="1439"/>
      <c r="O263" s="1576"/>
      <c r="P263" s="1576"/>
      <c r="Q263" s="1576"/>
      <c r="R263" s="1576"/>
      <c r="S263" s="1559"/>
      <c r="T263" s="1576"/>
      <c r="U263" s="1576"/>
      <c r="V263" s="1576"/>
      <c r="W263" s="1643"/>
      <c r="X263" s="1562"/>
      <c r="Y263" s="1684"/>
      <c r="Z263" s="1684"/>
      <c r="AA263" s="1684"/>
      <c r="AB263" s="1684"/>
      <c r="AC263" s="576"/>
      <c r="AD263" s="1684"/>
      <c r="AE263" s="1684"/>
      <c r="AF263" s="1563"/>
      <c r="AG263" s="1563"/>
      <c r="AH263" s="602"/>
      <c r="AI263" s="1563"/>
      <c r="AJ263" s="1563">
        <v>0.02</v>
      </c>
      <c r="AK263" s="1563">
        <v>0.02</v>
      </c>
      <c r="AL263" s="1563">
        <v>0.02</v>
      </c>
      <c r="AM263" s="576"/>
      <c r="AN263" s="1563">
        <v>1.9E-2</v>
      </c>
      <c r="AO263" s="1563">
        <v>1.9E-2</v>
      </c>
      <c r="AP263" s="1563">
        <v>1.9E-2</v>
      </c>
      <c r="AQ263" s="1563">
        <v>1.9E-2</v>
      </c>
      <c r="AR263" s="576"/>
      <c r="AS263" s="1563">
        <v>1.9E-2</v>
      </c>
      <c r="AT263" s="1563">
        <v>1.9E-2</v>
      </c>
      <c r="AU263" s="1563">
        <v>1.9E-2</v>
      </c>
      <c r="AV263" s="1563">
        <v>1.9E-2</v>
      </c>
      <c r="AW263" s="576"/>
      <c r="AX263" s="1563">
        <v>1.9E-2</v>
      </c>
      <c r="AY263" s="1563">
        <v>1.9E-2</v>
      </c>
      <c r="AZ263" s="1563">
        <v>1.9E-2</v>
      </c>
      <c r="BA263" s="1563">
        <v>1.9E-2</v>
      </c>
      <c r="BB263" s="576"/>
      <c r="BC263" s="1563">
        <v>1.9E-2</v>
      </c>
      <c r="BD263" s="1563">
        <v>1.9E-2</v>
      </c>
      <c r="BE263" s="1563">
        <v>1.9E-2</v>
      </c>
      <c r="BF263" s="1563">
        <v>1.9E-2</v>
      </c>
      <c r="BG263" s="576"/>
      <c r="BH263" s="1563">
        <v>1.9E-2</v>
      </c>
      <c r="BI263" s="1563">
        <v>1.9E-2</v>
      </c>
      <c r="BJ263" s="1563">
        <v>1.9E-2</v>
      </c>
      <c r="BK263" s="1563">
        <v>1.9E-2</v>
      </c>
      <c r="BL263" s="576"/>
    </row>
    <row r="264" spans="1:64" ht="12" hidden="1" outlineLevel="1" thickBot="1" x14ac:dyDescent="0.25">
      <c r="A264" s="238"/>
      <c r="B264" s="300"/>
      <c r="C264" s="1812" t="s">
        <v>1355</v>
      </c>
      <c r="D264" s="411"/>
      <c r="E264" s="506" t="e">
        <v>#REF!</v>
      </c>
      <c r="F264" s="506" t="e">
        <v>#REF!</v>
      </c>
      <c r="G264" s="506" t="e">
        <v>#REF!</v>
      </c>
      <c r="H264" s="506" t="e">
        <v>#REF!</v>
      </c>
      <c r="I264" s="1549"/>
      <c r="J264" s="506" t="e">
        <v>#REF!</v>
      </c>
      <c r="K264" s="506" t="e">
        <v>#REF!</v>
      </c>
      <c r="L264" s="506" t="e">
        <v>#REF!</v>
      </c>
      <c r="M264" s="506" t="e">
        <v>#REF!</v>
      </c>
      <c r="N264" s="1012"/>
      <c r="O264" s="506" t="e">
        <v>#REF!</v>
      </c>
      <c r="P264" s="506" t="e">
        <v>#REF!</v>
      </c>
      <c r="Q264" s="506" t="e">
        <v>#REF!</v>
      </c>
      <c r="R264" s="506" t="e">
        <v>#REF!</v>
      </c>
      <c r="S264" s="1012" t="e">
        <v>#REF!</v>
      </c>
      <c r="T264" s="506" t="e">
        <v>#REF!</v>
      </c>
      <c r="U264" s="506" t="e">
        <v>#REF!</v>
      </c>
      <c r="V264" s="506" t="e">
        <v>#REF!</v>
      </c>
      <c r="W264" s="506" t="e">
        <v>#REF!</v>
      </c>
      <c r="X264" s="506"/>
      <c r="Y264" s="506"/>
      <c r="Z264" s="506"/>
      <c r="AA264" s="506"/>
      <c r="AB264" s="506"/>
      <c r="AC264" s="1012"/>
      <c r="AD264" s="506"/>
      <c r="AE264" s="506"/>
      <c r="AF264" s="506"/>
      <c r="AG264" s="506"/>
      <c r="AH264" s="1823"/>
      <c r="AI264" s="506"/>
      <c r="AJ264" s="506">
        <v>20</v>
      </c>
      <c r="AK264" s="506">
        <v>20</v>
      </c>
      <c r="AL264" s="506">
        <v>20</v>
      </c>
      <c r="AM264" s="1012"/>
      <c r="AN264" s="506">
        <v>20</v>
      </c>
      <c r="AO264" s="506">
        <v>20</v>
      </c>
      <c r="AP264" s="506">
        <v>20</v>
      </c>
      <c r="AQ264" s="506">
        <v>20</v>
      </c>
      <c r="AR264" s="1823"/>
      <c r="AS264" s="506">
        <v>20</v>
      </c>
      <c r="AT264" s="506">
        <v>20</v>
      </c>
      <c r="AU264" s="506">
        <v>20</v>
      </c>
      <c r="AV264" s="506">
        <v>20</v>
      </c>
      <c r="AW264" s="1012"/>
      <c r="AX264" s="506">
        <v>20</v>
      </c>
      <c r="AY264" s="506">
        <v>20</v>
      </c>
      <c r="AZ264" s="506">
        <v>20</v>
      </c>
      <c r="BA264" s="506">
        <v>20</v>
      </c>
      <c r="BB264" s="1012"/>
      <c r="BC264" s="506">
        <v>20</v>
      </c>
      <c r="BD264" s="506">
        <v>20</v>
      </c>
      <c r="BE264" s="506">
        <v>20</v>
      </c>
      <c r="BF264" s="506">
        <v>20</v>
      </c>
      <c r="BG264" s="1012"/>
      <c r="BH264" s="506">
        <v>20</v>
      </c>
      <c r="BI264" s="506">
        <v>20</v>
      </c>
      <c r="BJ264" s="506">
        <v>20</v>
      </c>
      <c r="BK264" s="506">
        <v>20</v>
      </c>
      <c r="BL264" s="1012"/>
    </row>
    <row r="265" spans="1:64" hidden="1" outlineLevel="1" x14ac:dyDescent="0.2">
      <c r="A265" s="238"/>
      <c r="B265" s="300"/>
      <c r="C265" s="1827"/>
      <c r="D265" s="300"/>
      <c r="E265" s="1827"/>
      <c r="F265" s="1827"/>
      <c r="G265" s="1827"/>
      <c r="H265" s="1827"/>
      <c r="I265" s="300"/>
      <c r="J265" s="1827"/>
      <c r="K265" s="1827"/>
      <c r="L265" s="1827"/>
      <c r="M265" s="1827"/>
      <c r="N265" s="1827"/>
      <c r="O265" s="1827"/>
      <c r="P265" s="1827"/>
      <c r="Q265" s="1827"/>
      <c r="R265" s="1827"/>
      <c r="S265" s="1827"/>
      <c r="T265" s="1827"/>
      <c r="U265" s="1827"/>
      <c r="V265" s="1827"/>
      <c r="W265" s="1827"/>
      <c r="X265" s="1827"/>
      <c r="AD265"/>
      <c r="AJ265" s="1827"/>
      <c r="AK265" s="1827"/>
      <c r="AL265" s="1827"/>
      <c r="AN265" s="1827"/>
      <c r="AO265" s="1827"/>
      <c r="AP265" s="1827"/>
      <c r="AQ265" s="1827"/>
      <c r="AS265" s="1827"/>
      <c r="AT265" s="1827"/>
      <c r="AU265" s="1827"/>
      <c r="AV265" s="1827"/>
      <c r="AX265" s="1827"/>
      <c r="AY265" s="1827"/>
      <c r="AZ265" s="1827"/>
      <c r="BA265" s="1827"/>
      <c r="BC265" s="1827"/>
      <c r="BD265" s="1827"/>
      <c r="BE265" s="1827"/>
      <c r="BF265" s="1827"/>
      <c r="BH265" s="1827"/>
      <c r="BI265" s="1827"/>
      <c r="BJ265" s="1827"/>
      <c r="BK265" s="1827"/>
    </row>
    <row r="266" spans="1:64" hidden="1" outlineLevel="1" x14ac:dyDescent="0.2">
      <c r="A266" s="238"/>
      <c r="B266" s="300"/>
      <c r="C266" s="300"/>
      <c r="D266" s="241"/>
      <c r="E266" s="300"/>
      <c r="F266" s="300"/>
      <c r="G266" s="300"/>
      <c r="H266" s="300"/>
      <c r="I266" s="300"/>
      <c r="J266" s="300"/>
      <c r="K266" s="300"/>
      <c r="L266" s="300"/>
      <c r="M266" s="300"/>
      <c r="N266" s="300"/>
      <c r="O266" s="240"/>
      <c r="P266" s="240"/>
      <c r="Q266" s="240"/>
      <c r="R266" s="240"/>
      <c r="S266" s="240"/>
      <c r="T266" s="240"/>
      <c r="U266" s="240"/>
      <c r="V266" s="238"/>
      <c r="W266" s="238"/>
      <c r="X266" s="238"/>
      <c r="Y266" s="300"/>
      <c r="Z266" s="300"/>
      <c r="AA266" s="300"/>
      <c r="AB266" s="300"/>
      <c r="AC266" s="300"/>
      <c r="AD266" s="300"/>
      <c r="AE266" s="300"/>
      <c r="AF266" s="300"/>
      <c r="AG266" s="300"/>
      <c r="AH266" s="300"/>
      <c r="AI266" s="300"/>
      <c r="AJ266" s="300"/>
      <c r="AK266" s="300"/>
      <c r="AL266" s="300"/>
      <c r="AM266" s="300"/>
      <c r="AN266" s="300"/>
      <c r="AO266" s="300"/>
      <c r="AP266" s="300"/>
      <c r="AQ266" s="300"/>
      <c r="AR266" s="300"/>
      <c r="AS266" s="300"/>
      <c r="AT266" s="300"/>
      <c r="AU266" s="300"/>
      <c r="AV266" s="300"/>
      <c r="AW266" s="300"/>
      <c r="AX266" s="300"/>
      <c r="AY266" s="300"/>
      <c r="AZ266" s="300"/>
      <c r="BA266" s="300"/>
      <c r="BB266" s="300"/>
      <c r="BC266" s="300"/>
      <c r="BD266" s="300"/>
      <c r="BE266" s="300"/>
      <c r="BF266" s="300"/>
      <c r="BG266" s="300"/>
      <c r="BH266" s="300"/>
      <c r="BI266" s="300"/>
      <c r="BJ266" s="300"/>
      <c r="BK266" s="300"/>
      <c r="BL266" s="300"/>
    </row>
    <row r="267" spans="1:64" hidden="1" outlineLevel="1" x14ac:dyDescent="0.2">
      <c r="A267" s="238"/>
      <c r="B267" s="300"/>
      <c r="C267" s="300"/>
      <c r="D267" s="300"/>
      <c r="E267" s="300"/>
      <c r="F267" s="300"/>
      <c r="G267" s="300"/>
      <c r="H267" s="300"/>
      <c r="I267" s="300"/>
      <c r="J267" s="300"/>
      <c r="K267" s="300"/>
      <c r="L267" s="300"/>
      <c r="M267" s="300"/>
      <c r="N267" s="300"/>
      <c r="O267" s="300"/>
      <c r="P267" s="300"/>
      <c r="Q267" s="300"/>
      <c r="R267" s="300"/>
      <c r="S267" s="300"/>
      <c r="T267" s="300"/>
      <c r="U267" s="300"/>
      <c r="V267" s="1610"/>
      <c r="W267" s="1610"/>
      <c r="X267" s="471"/>
      <c r="Y267" s="300"/>
      <c r="Z267" s="300"/>
      <c r="AA267" s="300"/>
      <c r="AB267" s="300"/>
      <c r="AC267" s="300"/>
      <c r="AD267" s="1463"/>
      <c r="AE267" s="300"/>
      <c r="AF267" s="300"/>
      <c r="AG267" s="300"/>
      <c r="AH267" s="300"/>
      <c r="AI267" s="300"/>
      <c r="AJ267" s="300"/>
      <c r="AK267" s="300"/>
      <c r="AL267" s="300"/>
      <c r="AM267" s="300"/>
      <c r="AN267" s="300"/>
      <c r="AO267" s="300"/>
      <c r="AP267" s="300"/>
      <c r="AQ267" s="300"/>
      <c r="AR267" s="300"/>
      <c r="AS267" s="300"/>
      <c r="AT267" s="300"/>
      <c r="AU267" s="300"/>
      <c r="AV267" s="300"/>
      <c r="AW267" s="300"/>
      <c r="AX267" s="300"/>
      <c r="AY267" s="300"/>
      <c r="AZ267" s="300"/>
      <c r="BA267" s="300"/>
      <c r="BB267" s="300"/>
      <c r="BC267" s="300"/>
      <c r="BD267" s="300"/>
      <c r="BE267" s="300"/>
      <c r="BF267" s="300"/>
      <c r="BG267" s="300"/>
      <c r="BH267" s="300"/>
      <c r="BI267" s="300"/>
      <c r="BJ267" s="300"/>
      <c r="BK267" s="300"/>
      <c r="BL267" s="300"/>
    </row>
    <row r="268" spans="1:64" ht="12" hidden="1" outlineLevel="1" thickBot="1" x14ac:dyDescent="0.25">
      <c r="A268" s="238"/>
      <c r="B268" s="300"/>
      <c r="C268" s="1433" t="s">
        <v>1357</v>
      </c>
      <c r="D268" s="1434"/>
      <c r="E268" s="1434"/>
      <c r="F268" s="1434"/>
      <c r="G268" s="1434"/>
      <c r="H268" s="1434"/>
      <c r="I268" s="1435"/>
      <c r="J268" s="1434"/>
      <c r="K268" s="1434"/>
      <c r="L268" s="1434"/>
      <c r="M268" s="1434"/>
      <c r="N268" s="1435"/>
      <c r="O268" s="1434"/>
      <c r="P268" s="1434"/>
      <c r="Q268" s="1434"/>
      <c r="R268" s="1434"/>
      <c r="S268" s="1435"/>
      <c r="T268" s="1434"/>
      <c r="U268" s="1434"/>
      <c r="V268" s="1586"/>
      <c r="W268" s="1586"/>
      <c r="X268" s="1435"/>
      <c r="Y268" s="1586"/>
      <c r="Z268" s="1586"/>
      <c r="AA268" s="1586"/>
      <c r="AB268" s="1586"/>
      <c r="AC268" s="1435"/>
      <c r="AD268" s="1586"/>
      <c r="AE268" s="1586"/>
      <c r="AF268" s="1586"/>
      <c r="AG268" s="1586"/>
      <c r="AH268" s="1435"/>
      <c r="AI268" s="1586"/>
      <c r="AJ268" s="1586"/>
      <c r="AK268" s="1586"/>
      <c r="AL268" s="1586"/>
      <c r="AM268" s="1435"/>
      <c r="AN268" s="1586"/>
      <c r="AO268" s="1586"/>
      <c r="AP268" s="1586"/>
      <c r="AQ268" s="1586"/>
      <c r="AR268" s="1435"/>
      <c r="AS268" s="1586"/>
      <c r="AT268" s="1586"/>
      <c r="AU268" s="1586"/>
      <c r="AV268" s="1586"/>
      <c r="AW268" s="1435"/>
      <c r="AX268" s="1586"/>
      <c r="AY268" s="1586"/>
      <c r="AZ268" s="1586"/>
      <c r="BA268" s="1586"/>
      <c r="BB268" s="1435"/>
      <c r="BC268" s="1586"/>
      <c r="BD268" s="1586"/>
      <c r="BE268" s="1586"/>
      <c r="BF268" s="1586"/>
      <c r="BG268" s="1435"/>
      <c r="BH268" s="1586"/>
      <c r="BI268" s="1586"/>
      <c r="BJ268" s="1586"/>
      <c r="BK268" s="1586"/>
      <c r="BL268" s="1435"/>
    </row>
    <row r="269" spans="1:64" hidden="1" outlineLevel="1" x14ac:dyDescent="0.2">
      <c r="A269" s="238"/>
      <c r="B269" s="300"/>
      <c r="C269" s="1804" t="s">
        <v>1347</v>
      </c>
      <c r="D269" s="1371"/>
      <c r="E269" s="1655"/>
      <c r="F269" s="1681"/>
      <c r="G269" s="1681"/>
      <c r="H269" s="483"/>
      <c r="I269" s="483"/>
      <c r="J269" s="483"/>
      <c r="K269" s="483"/>
      <c r="L269" s="483"/>
      <c r="M269" s="483"/>
      <c r="N269" s="483"/>
      <c r="O269" s="483"/>
      <c r="P269" s="483"/>
      <c r="Q269" s="483"/>
      <c r="R269" s="483"/>
      <c r="S269" s="483"/>
      <c r="T269" s="483"/>
      <c r="U269" s="483"/>
      <c r="V269" s="483"/>
      <c r="W269" s="483"/>
      <c r="X269" s="483"/>
      <c r="Y269" s="483"/>
      <c r="Z269" s="483"/>
      <c r="AA269" s="483"/>
      <c r="AB269" s="483"/>
      <c r="AC269" s="1824"/>
      <c r="AD269" s="483"/>
      <c r="AE269" s="483"/>
      <c r="AF269" s="483"/>
      <c r="AG269" s="483"/>
      <c r="AH269" s="1824"/>
      <c r="AI269" s="483"/>
      <c r="AJ269" s="483"/>
      <c r="AK269" s="483"/>
      <c r="AL269" s="483"/>
      <c r="AM269" s="1824"/>
      <c r="AN269" s="483"/>
      <c r="AO269" s="483"/>
      <c r="AP269" s="483"/>
      <c r="AQ269" s="483"/>
      <c r="AR269" s="1824"/>
      <c r="AS269" s="483"/>
      <c r="AT269" s="483"/>
      <c r="AU269" s="483"/>
      <c r="AV269" s="483"/>
      <c r="AW269" s="1824"/>
      <c r="AX269" s="483"/>
      <c r="AY269" s="483"/>
      <c r="AZ269" s="483"/>
      <c r="BA269" s="483"/>
      <c r="BB269" s="1824"/>
      <c r="BC269" s="483"/>
      <c r="BD269" s="483"/>
      <c r="BE269" s="483"/>
      <c r="BF269" s="483"/>
      <c r="BG269" s="1824"/>
      <c r="BH269" s="483"/>
      <c r="BI269" s="483"/>
      <c r="BJ269" s="483"/>
      <c r="BK269" s="483"/>
      <c r="BL269" s="1824"/>
    </row>
    <row r="270" spans="1:64" hidden="1" outlineLevel="1" x14ac:dyDescent="0.2">
      <c r="A270" s="238"/>
      <c r="B270" s="300"/>
      <c r="C270" s="1383" t="s">
        <v>1353</v>
      </c>
      <c r="D270" s="300"/>
      <c r="E270" s="1571" t="str">
        <f t="shared" ref="E270:H271" si="172">E251</f>
        <v>-</v>
      </c>
      <c r="F270" s="1534" t="str">
        <f t="shared" si="172"/>
        <v>-</v>
      </c>
      <c r="G270" s="1534" t="str">
        <f t="shared" si="172"/>
        <v>-</v>
      </c>
      <c r="H270" s="1534">
        <f t="shared" si="172"/>
        <v>-355.05652000000009</v>
      </c>
      <c r="I270" s="1590"/>
      <c r="J270" s="1534" t="str">
        <f t="shared" ref="J270:M271" si="173">J251</f>
        <v>-</v>
      </c>
      <c r="K270" s="1534" t="str">
        <f t="shared" si="173"/>
        <v>-</v>
      </c>
      <c r="L270" s="1534" t="str">
        <f t="shared" si="173"/>
        <v>-</v>
      </c>
      <c r="M270" s="1534" t="str">
        <f t="shared" si="173"/>
        <v>-</v>
      </c>
      <c r="N270" s="1590"/>
      <c r="O270" s="1534" t="str">
        <f t="shared" ref="O270:R271" si="174">O251</f>
        <v>-</v>
      </c>
      <c r="P270" s="1534" t="str">
        <f t="shared" si="174"/>
        <v>-</v>
      </c>
      <c r="Q270" s="1534" t="str">
        <f t="shared" si="174"/>
        <v>-</v>
      </c>
      <c r="R270" s="1534" t="str">
        <f t="shared" si="174"/>
        <v>-</v>
      </c>
      <c r="S270" s="1590"/>
      <c r="T270" s="1534" t="str">
        <f t="shared" ref="T270:W271" si="175">T251</f>
        <v>-</v>
      </c>
      <c r="U270" s="1534" t="str">
        <f t="shared" si="175"/>
        <v>-</v>
      </c>
      <c r="V270" s="1534" t="str">
        <f t="shared" si="175"/>
        <v>-</v>
      </c>
      <c r="W270" s="1534" t="str">
        <f t="shared" si="175"/>
        <v>-</v>
      </c>
      <c r="X270" s="1590"/>
      <c r="Y270" s="1664">
        <f t="shared" ref="Y270:AB271" si="176">Y251</f>
        <v>0</v>
      </c>
      <c r="Z270" s="1664">
        <f t="shared" si="176"/>
        <v>0</v>
      </c>
      <c r="AA270" s="1664">
        <f t="shared" si="176"/>
        <v>0</v>
      </c>
      <c r="AB270" s="1664">
        <f t="shared" si="176"/>
        <v>0</v>
      </c>
      <c r="AC270" s="1590"/>
      <c r="AD270" s="1664"/>
      <c r="AE270" s="1591"/>
      <c r="AF270" s="1591"/>
      <c r="AG270" s="1591"/>
      <c r="AH270" s="1590"/>
      <c r="AI270" s="1591"/>
      <c r="AJ270" s="1591">
        <v>-0.03</v>
      </c>
      <c r="AK270" s="1591">
        <v>-0.03</v>
      </c>
      <c r="AL270" s="1591">
        <v>-0.03</v>
      </c>
      <c r="AM270" s="1455"/>
      <c r="AN270" s="1591">
        <v>-0.03</v>
      </c>
      <c r="AO270" s="1591">
        <v>-0.03</v>
      </c>
      <c r="AP270" s="1591">
        <v>-0.03</v>
      </c>
      <c r="AQ270" s="1591">
        <v>-0.03</v>
      </c>
      <c r="AR270" s="1455"/>
      <c r="AS270" s="1591">
        <v>-0.02</v>
      </c>
      <c r="AT270" s="1591">
        <v>-0.02</v>
      </c>
      <c r="AU270" s="1591">
        <v>-0.02</v>
      </c>
      <c r="AV270" s="1591">
        <v>-0.02</v>
      </c>
      <c r="AW270" s="1590"/>
      <c r="AX270" s="1591">
        <v>-0.02</v>
      </c>
      <c r="AY270" s="1591">
        <v>-0.02</v>
      </c>
      <c r="AZ270" s="1591">
        <v>-0.02</v>
      </c>
      <c r="BA270" s="1591">
        <v>-0.02</v>
      </c>
      <c r="BB270" s="1590"/>
      <c r="BC270" s="1591">
        <v>-0.02</v>
      </c>
      <c r="BD270" s="1591">
        <v>-0.02</v>
      </c>
      <c r="BE270" s="1591">
        <v>-0.02</v>
      </c>
      <c r="BF270" s="1591">
        <v>-0.02</v>
      </c>
      <c r="BG270" s="1590"/>
      <c r="BH270" s="1591">
        <v>-0.02</v>
      </c>
      <c r="BI270" s="1591">
        <v>-0.02</v>
      </c>
      <c r="BJ270" s="1591">
        <v>-0.02</v>
      </c>
      <c r="BK270" s="1591">
        <v>-0.02</v>
      </c>
      <c r="BL270" s="1590"/>
    </row>
    <row r="271" spans="1:64" hidden="1" outlineLevel="1" x14ac:dyDescent="0.2">
      <c r="A271" s="238"/>
      <c r="B271" s="300"/>
      <c r="C271" s="1383" t="s">
        <v>1354</v>
      </c>
      <c r="D271" s="300"/>
      <c r="E271" s="1571" t="e">
        <f t="shared" si="172"/>
        <v>#REF!</v>
      </c>
      <c r="F271" s="1534" t="e">
        <f t="shared" si="172"/>
        <v>#REF!</v>
      </c>
      <c r="G271" s="1534" t="e">
        <f t="shared" si="172"/>
        <v>#REF!</v>
      </c>
      <c r="H271" s="1534" t="e">
        <f t="shared" si="172"/>
        <v>#REF!</v>
      </c>
      <c r="I271" s="1594"/>
      <c r="J271" s="1534" t="e">
        <f t="shared" si="173"/>
        <v>#REF!</v>
      </c>
      <c r="K271" s="1534" t="e">
        <f t="shared" si="173"/>
        <v>#REF!</v>
      </c>
      <c r="L271" s="1534" t="e">
        <f t="shared" si="173"/>
        <v>#REF!</v>
      </c>
      <c r="M271" s="1534" t="e">
        <f t="shared" si="173"/>
        <v>#REF!</v>
      </c>
      <c r="N271" s="1594"/>
      <c r="O271" s="1534" t="e">
        <f t="shared" si="174"/>
        <v>#REF!</v>
      </c>
      <c r="P271" s="1534" t="e">
        <f t="shared" si="174"/>
        <v>#REF!</v>
      </c>
      <c r="Q271" s="1534" t="e">
        <f t="shared" si="174"/>
        <v>#REF!</v>
      </c>
      <c r="R271" s="1534" t="e">
        <f t="shared" si="174"/>
        <v>#REF!</v>
      </c>
      <c r="S271" s="1594"/>
      <c r="T271" s="1534" t="e">
        <f t="shared" si="175"/>
        <v>#REF!</v>
      </c>
      <c r="U271" s="1534" t="e">
        <f t="shared" si="175"/>
        <v>#REF!</v>
      </c>
      <c r="V271" s="1534" t="e">
        <f t="shared" si="175"/>
        <v>#REF!</v>
      </c>
      <c r="W271" s="1534" t="e">
        <f t="shared" si="175"/>
        <v>#REF!</v>
      </c>
      <c r="X271" s="1594"/>
      <c r="Y271" s="1664">
        <f t="shared" si="176"/>
        <v>0</v>
      </c>
      <c r="Z271" s="1664">
        <f t="shared" si="176"/>
        <v>0</v>
      </c>
      <c r="AA271" s="1664">
        <f t="shared" si="176"/>
        <v>0</v>
      </c>
      <c r="AB271" s="1664">
        <f t="shared" si="176"/>
        <v>0</v>
      </c>
      <c r="AC271" s="1594"/>
      <c r="AD271" s="1664"/>
      <c r="AE271" s="1591"/>
      <c r="AF271" s="1591"/>
      <c r="AG271" s="1591"/>
      <c r="AH271" s="1594"/>
      <c r="AI271" s="1591"/>
      <c r="AJ271" s="1591">
        <v>3.5000000000000003E-2</v>
      </c>
      <c r="AK271" s="1591">
        <v>3.5000000000000003E-2</v>
      </c>
      <c r="AL271" s="1591">
        <v>3.5000000000000003E-2</v>
      </c>
      <c r="AM271" s="1455"/>
      <c r="AN271" s="1591">
        <v>3.3000000000000002E-2</v>
      </c>
      <c r="AO271" s="1591">
        <v>3.3000000000000002E-2</v>
      </c>
      <c r="AP271" s="1591">
        <v>3.3000000000000002E-2</v>
      </c>
      <c r="AQ271" s="1591">
        <v>3.3000000000000002E-2</v>
      </c>
      <c r="AR271" s="1455"/>
      <c r="AS271" s="1591">
        <v>3.3000000000000002E-2</v>
      </c>
      <c r="AT271" s="1591">
        <v>3.3000000000000002E-2</v>
      </c>
      <c r="AU271" s="1591">
        <v>3.3000000000000002E-2</v>
      </c>
      <c r="AV271" s="1591">
        <v>3.3000000000000002E-2</v>
      </c>
      <c r="AW271" s="1594"/>
      <c r="AX271" s="1591">
        <v>3.3000000000000002E-2</v>
      </c>
      <c r="AY271" s="1591">
        <v>3.3000000000000002E-2</v>
      </c>
      <c r="AZ271" s="1591">
        <v>3.3000000000000002E-2</v>
      </c>
      <c r="BA271" s="1591">
        <v>3.3000000000000002E-2</v>
      </c>
      <c r="BB271" s="1594"/>
      <c r="BC271" s="1591">
        <v>3.3000000000000002E-2</v>
      </c>
      <c r="BD271" s="1591">
        <v>3.3000000000000002E-2</v>
      </c>
      <c r="BE271" s="1591">
        <v>3.3000000000000002E-2</v>
      </c>
      <c r="BF271" s="1591">
        <v>3.3000000000000002E-2</v>
      </c>
      <c r="BG271" s="1594"/>
      <c r="BH271" s="1591">
        <v>3.3000000000000002E-2</v>
      </c>
      <c r="BI271" s="1591">
        <v>3.3000000000000002E-2</v>
      </c>
      <c r="BJ271" s="1591">
        <v>3.3000000000000002E-2</v>
      </c>
      <c r="BK271" s="1591">
        <v>3.3000000000000002E-2</v>
      </c>
      <c r="BL271" s="1594"/>
    </row>
    <row r="272" spans="1:64" hidden="1" outlineLevel="1" x14ac:dyDescent="0.2">
      <c r="A272" s="238"/>
      <c r="B272" s="289"/>
      <c r="C272" s="1380"/>
      <c r="D272" s="300"/>
      <c r="E272" s="1437"/>
      <c r="F272" s="1445"/>
      <c r="G272" s="1445"/>
      <c r="H272" s="1531"/>
      <c r="I272" s="1439"/>
      <c r="J272" s="1531"/>
      <c r="K272" s="1531"/>
      <c r="L272" s="1531"/>
      <c r="M272" s="1531"/>
      <c r="N272" s="1439"/>
      <c r="O272" s="1531"/>
      <c r="P272" s="1531"/>
      <c r="Q272" s="1531"/>
      <c r="R272" s="1531"/>
      <c r="S272" s="1439"/>
      <c r="T272" s="1531"/>
      <c r="U272" s="1531"/>
      <c r="V272" s="1531"/>
      <c r="W272" s="1531"/>
      <c r="X272" s="1439"/>
      <c r="Y272" s="1684"/>
      <c r="Z272" s="1684"/>
      <c r="AA272" s="1684"/>
      <c r="AB272" s="1684"/>
      <c r="AC272" s="1439"/>
      <c r="AD272" s="1684"/>
      <c r="AE272" s="1563"/>
      <c r="AF272" s="1563"/>
      <c r="AG272" s="1563"/>
      <c r="AH272" s="1439"/>
      <c r="AI272" s="1563"/>
      <c r="AJ272" s="1563"/>
      <c r="AK272" s="1563"/>
      <c r="AL272" s="1563"/>
      <c r="AM272" s="1455"/>
      <c r="AN272" s="1563"/>
      <c r="AO272" s="1563"/>
      <c r="AP272" s="1563"/>
      <c r="AQ272" s="1563"/>
      <c r="AR272" s="1455"/>
      <c r="AS272" s="1563"/>
      <c r="AT272" s="1563"/>
      <c r="AU272" s="1563"/>
      <c r="AV272" s="1563"/>
      <c r="AW272" s="1439"/>
      <c r="AX272" s="1563"/>
      <c r="AY272" s="1563"/>
      <c r="AZ272" s="1563"/>
      <c r="BA272" s="1563"/>
      <c r="BB272" s="1439"/>
      <c r="BC272" s="1563"/>
      <c r="BD272" s="1563"/>
      <c r="BE272" s="1563"/>
      <c r="BF272" s="1563"/>
      <c r="BG272" s="1439"/>
      <c r="BH272" s="1563"/>
      <c r="BI272" s="1563"/>
      <c r="BJ272" s="1563"/>
      <c r="BK272" s="1563"/>
      <c r="BL272" s="1439"/>
    </row>
    <row r="273" spans="1:64" hidden="1" outlineLevel="1" x14ac:dyDescent="0.2">
      <c r="A273" s="238"/>
      <c r="B273" s="289"/>
      <c r="C273" s="1538" t="s">
        <v>1348</v>
      </c>
      <c r="D273" s="300"/>
      <c r="E273" s="1437"/>
      <c r="F273" s="1445"/>
      <c r="G273" s="1445"/>
      <c r="H273" s="1531"/>
      <c r="I273" s="1439"/>
      <c r="J273" s="1531"/>
      <c r="K273" s="1531"/>
      <c r="L273" s="1531"/>
      <c r="M273" s="1531"/>
      <c r="N273" s="1439"/>
      <c r="O273" s="1531"/>
      <c r="P273" s="1531"/>
      <c r="Q273" s="1531"/>
      <c r="R273" s="1531"/>
      <c r="S273" s="1439"/>
      <c r="T273" s="1531"/>
      <c r="U273" s="1531"/>
      <c r="V273" s="1531"/>
      <c r="W273" s="1531"/>
      <c r="X273" s="1439"/>
      <c r="Y273" s="1684"/>
      <c r="Z273" s="1684"/>
      <c r="AA273" s="1684"/>
      <c r="AB273" s="1684"/>
      <c r="AC273" s="1439"/>
      <c r="AD273" s="1684"/>
      <c r="AE273" s="1563"/>
      <c r="AF273" s="1563"/>
      <c r="AG273" s="1563"/>
      <c r="AH273" s="1439"/>
      <c r="AI273" s="1563"/>
      <c r="AJ273" s="1563"/>
      <c r="AK273" s="1563"/>
      <c r="AL273" s="1563"/>
      <c r="AM273" s="1439"/>
      <c r="AN273" s="1563"/>
      <c r="AO273" s="1563"/>
      <c r="AP273" s="1563"/>
      <c r="AQ273" s="1563"/>
      <c r="AR273" s="1439"/>
      <c r="AS273" s="1563"/>
      <c r="AT273" s="1563"/>
      <c r="AU273" s="1563"/>
      <c r="AV273" s="1563"/>
      <c r="AW273" s="1439"/>
      <c r="AX273" s="1563"/>
      <c r="AY273" s="1563"/>
      <c r="AZ273" s="1563"/>
      <c r="BA273" s="1563"/>
      <c r="BB273" s="1439"/>
      <c r="BC273" s="1563"/>
      <c r="BD273" s="1563"/>
      <c r="BE273" s="1563"/>
      <c r="BF273" s="1563"/>
      <c r="BG273" s="1439"/>
      <c r="BH273" s="1563"/>
      <c r="BI273" s="1563"/>
      <c r="BJ273" s="1563"/>
      <c r="BK273" s="1563"/>
      <c r="BL273" s="1439"/>
    </row>
    <row r="274" spans="1:64" hidden="1" outlineLevel="1" x14ac:dyDescent="0.2">
      <c r="A274" s="238"/>
      <c r="B274" s="289"/>
      <c r="C274" s="1383" t="s">
        <v>1350</v>
      </c>
      <c r="D274" s="300"/>
      <c r="E274" s="1437"/>
      <c r="F274" s="1445"/>
      <c r="G274" s="1445"/>
      <c r="H274" s="1531"/>
      <c r="I274" s="1439"/>
      <c r="J274" s="1531"/>
      <c r="K274" s="1531"/>
      <c r="L274" s="1531"/>
      <c r="M274" s="1531"/>
      <c r="N274" s="1439"/>
      <c r="O274" s="1531"/>
      <c r="P274" s="1531"/>
      <c r="Q274" s="1531"/>
      <c r="R274" s="1531"/>
      <c r="S274" s="1439"/>
      <c r="T274" s="1531"/>
      <c r="U274" s="1531"/>
      <c r="V274" s="1531"/>
      <c r="W274" s="1531"/>
      <c r="X274" s="1439"/>
      <c r="Y274" s="1684"/>
      <c r="Z274" s="1684"/>
      <c r="AA274" s="1684"/>
      <c r="AB274" s="1684"/>
      <c r="AC274" s="1439"/>
      <c r="AD274" s="1684"/>
      <c r="AE274" s="1563"/>
      <c r="AF274" s="1563"/>
      <c r="AG274" s="1563"/>
      <c r="AH274" s="1439"/>
      <c r="AI274" s="1563"/>
      <c r="AJ274" s="1563">
        <v>0.15</v>
      </c>
      <c r="AK274" s="1563">
        <v>0.15</v>
      </c>
      <c r="AL274" s="1563">
        <v>0.15</v>
      </c>
      <c r="AM274" s="1439"/>
      <c r="AN274" s="1563">
        <v>0.15</v>
      </c>
      <c r="AO274" s="1563">
        <v>0.15</v>
      </c>
      <c r="AP274" s="1563">
        <v>0.15</v>
      </c>
      <c r="AQ274" s="1563">
        <v>0.15</v>
      </c>
      <c r="AR274" s="1439"/>
      <c r="AS274" s="1563">
        <v>0.15</v>
      </c>
      <c r="AT274" s="1563">
        <v>0.15</v>
      </c>
      <c r="AU274" s="1563">
        <v>0.15</v>
      </c>
      <c r="AV274" s="1563">
        <v>0.15</v>
      </c>
      <c r="AW274" s="1439"/>
      <c r="AX274" s="1563">
        <v>0.15</v>
      </c>
      <c r="AY274" s="1563">
        <v>0.15</v>
      </c>
      <c r="AZ274" s="1563">
        <v>0.15</v>
      </c>
      <c r="BA274" s="1563">
        <v>0.15</v>
      </c>
      <c r="BB274" s="1439"/>
      <c r="BC274" s="1563">
        <v>0.15</v>
      </c>
      <c r="BD274" s="1563">
        <v>0.15</v>
      </c>
      <c r="BE274" s="1563">
        <v>0.15</v>
      </c>
      <c r="BF274" s="1563">
        <v>0.15</v>
      </c>
      <c r="BG274" s="1439"/>
      <c r="BH274" s="1563">
        <v>0.15</v>
      </c>
      <c r="BI274" s="1563">
        <v>0.15</v>
      </c>
      <c r="BJ274" s="1563">
        <v>0.15</v>
      </c>
      <c r="BK274" s="1563">
        <v>0.15</v>
      </c>
      <c r="BL274" s="1439"/>
    </row>
    <row r="275" spans="1:64" hidden="1" outlineLevel="1" x14ac:dyDescent="0.2">
      <c r="A275" s="238"/>
      <c r="B275" s="289"/>
      <c r="C275" s="1383"/>
      <c r="D275" s="300"/>
      <c r="E275" s="1476" t="e">
        <f t="shared" ref="E275:H276" si="177">E256</f>
        <v>#REF!</v>
      </c>
      <c r="F275" s="1477" t="e">
        <f t="shared" si="177"/>
        <v>#REF!</v>
      </c>
      <c r="G275" s="1477" t="e">
        <f t="shared" si="177"/>
        <v>#REF!</v>
      </c>
      <c r="H275" s="1477" t="e">
        <f t="shared" si="177"/>
        <v>#REF!</v>
      </c>
      <c r="I275" s="1439"/>
      <c r="J275" s="1477" t="e">
        <f t="shared" ref="J275:M276" si="178">J256</f>
        <v>#REF!</v>
      </c>
      <c r="K275" s="1477" t="e">
        <f t="shared" si="178"/>
        <v>#REF!</v>
      </c>
      <c r="L275" s="1541" t="e">
        <f t="shared" si="178"/>
        <v>#REF!</v>
      </c>
      <c r="M275" s="1541" t="e">
        <f t="shared" si="178"/>
        <v>#REF!</v>
      </c>
      <c r="N275" s="1439"/>
      <c r="O275" s="1541" t="e">
        <f t="shared" ref="O275:R276" si="179">O256</f>
        <v>#REF!</v>
      </c>
      <c r="P275" s="1541" t="e">
        <f t="shared" si="179"/>
        <v>#REF!</v>
      </c>
      <c r="Q275" s="1541" t="e">
        <f t="shared" si="179"/>
        <v>#REF!</v>
      </c>
      <c r="R275" s="1541" t="e">
        <f t="shared" si="179"/>
        <v>#REF!</v>
      </c>
      <c r="S275" s="1439"/>
      <c r="T275" s="1541" t="e">
        <f t="shared" ref="T275:W276" si="180">T256</f>
        <v>#REF!</v>
      </c>
      <c r="U275" s="1541" t="e">
        <f t="shared" si="180"/>
        <v>#REF!</v>
      </c>
      <c r="V275" s="1541" t="e">
        <f t="shared" si="180"/>
        <v>#REF!</v>
      </c>
      <c r="W275" s="1541" t="e">
        <f t="shared" si="180"/>
        <v>#REF!</v>
      </c>
      <c r="X275" s="1439"/>
      <c r="Y275" s="1541">
        <f t="shared" ref="Y275:AB276" si="181">Y256</f>
        <v>0</v>
      </c>
      <c r="Z275" s="1541">
        <f t="shared" si="181"/>
        <v>0</v>
      </c>
      <c r="AA275" s="1541">
        <f t="shared" si="181"/>
        <v>0</v>
      </c>
      <c r="AB275" s="1541">
        <f t="shared" si="181"/>
        <v>0</v>
      </c>
      <c r="AC275" s="1439"/>
      <c r="AD275" s="1541"/>
      <c r="AE275" s="1543"/>
      <c r="AF275" s="1543"/>
      <c r="AG275" s="1543"/>
      <c r="AH275" s="1439"/>
      <c r="AJ275" s="1543"/>
      <c r="AK275" s="1543"/>
      <c r="AL275" s="1543"/>
      <c r="AM275" s="1594"/>
      <c r="AN275" s="1543"/>
      <c r="AO275" s="1543"/>
      <c r="AP275" s="1543"/>
      <c r="AQ275" s="1543"/>
      <c r="AR275" s="1594"/>
      <c r="AS275" s="1543"/>
      <c r="AT275" s="1543"/>
      <c r="AU275" s="1543"/>
      <c r="AV275" s="1543"/>
      <c r="AW275" s="1439"/>
      <c r="AX275" s="1543"/>
      <c r="AY275" s="1543"/>
      <c r="AZ275" s="1543"/>
      <c r="BA275" s="1543"/>
      <c r="BB275" s="1439"/>
      <c r="BC275" s="1543"/>
      <c r="BD275" s="1543"/>
      <c r="BE275" s="1543"/>
      <c r="BF275" s="1543"/>
      <c r="BG275" s="1439"/>
      <c r="BH275" s="1543"/>
      <c r="BI275" s="1543"/>
      <c r="BJ275" s="1543"/>
      <c r="BK275" s="1543"/>
      <c r="BL275" s="1439"/>
    </row>
    <row r="276" spans="1:64" hidden="1" outlineLevel="1" x14ac:dyDescent="0.2">
      <c r="C276" s="1496" t="s">
        <v>1351</v>
      </c>
      <c r="D276" s="300"/>
      <c r="E276" s="1476" t="e">
        <f t="shared" si="177"/>
        <v>#REF!</v>
      </c>
      <c r="F276" s="1477" t="e">
        <f t="shared" si="177"/>
        <v>#REF!</v>
      </c>
      <c r="G276" s="1477" t="e">
        <f t="shared" si="177"/>
        <v>#REF!</v>
      </c>
      <c r="H276" s="1477" t="e">
        <f t="shared" si="177"/>
        <v>#REF!</v>
      </c>
      <c r="I276" s="1439"/>
      <c r="J276" s="1477" t="e">
        <f t="shared" si="178"/>
        <v>#REF!</v>
      </c>
      <c r="K276" s="1477" t="e">
        <f t="shared" si="178"/>
        <v>#REF!</v>
      </c>
      <c r="L276" s="1541" t="e">
        <f t="shared" si="178"/>
        <v>#REF!</v>
      </c>
      <c r="M276" s="1541" t="e">
        <f t="shared" si="178"/>
        <v>#REF!</v>
      </c>
      <c r="N276" s="1439"/>
      <c r="O276" s="1541" t="e">
        <f t="shared" si="179"/>
        <v>#REF!</v>
      </c>
      <c r="P276" s="1541" t="e">
        <f t="shared" si="179"/>
        <v>#REF!</v>
      </c>
      <c r="Q276" s="1541" t="e">
        <f t="shared" si="179"/>
        <v>#REF!</v>
      </c>
      <c r="R276" s="1541" t="e">
        <f t="shared" si="179"/>
        <v>#REF!</v>
      </c>
      <c r="S276" s="1439"/>
      <c r="T276" s="1541" t="e">
        <f t="shared" si="180"/>
        <v>#REF!</v>
      </c>
      <c r="U276" s="1541" t="e">
        <f t="shared" si="180"/>
        <v>#REF!</v>
      </c>
      <c r="V276" s="1541" t="e">
        <f t="shared" si="180"/>
        <v>#REF!</v>
      </c>
      <c r="W276" s="1541" t="e">
        <f t="shared" si="180"/>
        <v>#REF!</v>
      </c>
      <c r="X276" s="1439"/>
      <c r="Y276" s="1541">
        <f t="shared" si="181"/>
        <v>0</v>
      </c>
      <c r="Z276" s="1541">
        <f t="shared" si="181"/>
        <v>0</v>
      </c>
      <c r="AA276" s="1541">
        <f t="shared" si="181"/>
        <v>0</v>
      </c>
      <c r="AB276" s="1541">
        <f t="shared" si="181"/>
        <v>0</v>
      </c>
      <c r="AC276" s="1439"/>
      <c r="AD276" s="1541"/>
      <c r="AE276" s="1543"/>
      <c r="AF276" s="1543"/>
      <c r="AG276" s="1543"/>
      <c r="AH276" s="1439"/>
      <c r="AI276" s="1543"/>
      <c r="AJ276" s="1543"/>
      <c r="AK276" s="1543"/>
      <c r="AL276" s="1543"/>
      <c r="AM276" s="1594"/>
      <c r="AN276" s="1543"/>
      <c r="AO276" s="1543"/>
      <c r="AP276" s="1543"/>
      <c r="AQ276" s="1543"/>
      <c r="AR276" s="1594"/>
      <c r="AS276" s="1543"/>
      <c r="AT276" s="1543"/>
      <c r="AU276" s="1543"/>
      <c r="AV276" s="1543"/>
      <c r="AW276" s="1439"/>
      <c r="AX276" s="1543"/>
      <c r="AY276" s="1543"/>
      <c r="AZ276" s="1543"/>
      <c r="BA276" s="1543"/>
      <c r="BB276" s="1439"/>
      <c r="BC276" s="1543"/>
      <c r="BD276" s="1543"/>
      <c r="BE276" s="1543"/>
      <c r="BF276" s="1543"/>
      <c r="BG276" s="1439"/>
      <c r="BH276" s="1543"/>
      <c r="BI276" s="1543"/>
      <c r="BJ276" s="1543"/>
      <c r="BK276" s="1543"/>
      <c r="BL276" s="1439"/>
    </row>
    <row r="277" spans="1:64" ht="10.5" hidden="1" customHeight="1" outlineLevel="1" x14ac:dyDescent="0.2">
      <c r="C277" s="1811" t="s">
        <v>608</v>
      </c>
      <c r="D277" s="300"/>
      <c r="E277" s="1437"/>
      <c r="F277" s="1445"/>
      <c r="G277" s="1445"/>
      <c r="H277" s="1531"/>
      <c r="I277" s="1439"/>
      <c r="J277" s="1531"/>
      <c r="K277" s="1531"/>
      <c r="L277" s="1531"/>
      <c r="M277" s="1531"/>
      <c r="N277" s="1439"/>
      <c r="O277" s="1531"/>
      <c r="P277" s="1531"/>
      <c r="Q277" s="1531"/>
      <c r="R277" s="1531"/>
      <c r="S277" s="1439"/>
      <c r="T277" s="1531"/>
      <c r="U277" s="1531"/>
      <c r="V277" s="1531"/>
      <c r="W277" s="1531"/>
      <c r="X277" s="1439"/>
      <c r="Y277" s="1545"/>
      <c r="Z277" s="1545"/>
      <c r="AA277" s="1545"/>
      <c r="AB277" s="1545"/>
      <c r="AC277" s="1439"/>
      <c r="AD277" s="1545"/>
      <c r="AE277" s="1531"/>
      <c r="AF277" s="1531"/>
      <c r="AG277" s="1531"/>
      <c r="AH277" s="1439"/>
      <c r="AI277" s="1531"/>
      <c r="AJ277" s="1531">
        <v>0.214</v>
      </c>
      <c r="AK277" s="1531">
        <v>0.215</v>
      </c>
      <c r="AL277" s="1531">
        <v>0.215</v>
      </c>
      <c r="AM277" s="1439"/>
      <c r="AN277" s="1531">
        <v>0.215</v>
      </c>
      <c r="AO277" s="1531">
        <v>0.215</v>
      </c>
      <c r="AP277" s="1531">
        <v>0.215</v>
      </c>
      <c r="AQ277" s="1531">
        <v>0.215</v>
      </c>
      <c r="AR277" s="1439"/>
      <c r="AS277" s="1531">
        <v>0.21299999999999999</v>
      </c>
      <c r="AT277" s="1531">
        <v>0.21299999999999999</v>
      </c>
      <c r="AU277" s="1531">
        <v>0.21299999999999999</v>
      </c>
      <c r="AV277" s="1531">
        <v>0.21299999999999999</v>
      </c>
      <c r="AW277" s="1439"/>
      <c r="AX277" s="1531">
        <v>0.21299999999999999</v>
      </c>
      <c r="AY277" s="1531">
        <v>0.21299999999999999</v>
      </c>
      <c r="AZ277" s="1531">
        <v>0.21299999999999999</v>
      </c>
      <c r="BA277" s="1531">
        <v>0.21299999999999999</v>
      </c>
      <c r="BB277" s="1439"/>
      <c r="BC277" s="1531">
        <v>0.21299999999999999</v>
      </c>
      <c r="BD277" s="1531">
        <v>0.21299999999999999</v>
      </c>
      <c r="BE277" s="1531">
        <v>0.21299999999999999</v>
      </c>
      <c r="BF277" s="1531">
        <v>0.21299999999999999</v>
      </c>
      <c r="BG277" s="1439"/>
      <c r="BH277" s="1531">
        <v>0.21299999999999999</v>
      </c>
      <c r="BI277" s="1531">
        <v>0.21299999999999999</v>
      </c>
      <c r="BJ277" s="1531">
        <v>0.21299999999999999</v>
      </c>
      <c r="BK277" s="1531">
        <v>0.21299999999999999</v>
      </c>
      <c r="BL277" s="1439"/>
    </row>
    <row r="278" spans="1:64" hidden="1" outlineLevel="1" x14ac:dyDescent="0.2">
      <c r="C278" s="1811" t="s">
        <v>1352</v>
      </c>
      <c r="D278" s="300"/>
      <c r="E278" s="1437"/>
      <c r="F278" s="1445"/>
      <c r="G278" s="1445"/>
      <c r="H278" s="1531"/>
      <c r="I278" s="1439"/>
      <c r="J278" s="1531"/>
      <c r="K278" s="1531"/>
      <c r="L278" s="1531"/>
      <c r="M278" s="1531"/>
      <c r="N278" s="1439"/>
      <c r="O278" s="1531"/>
      <c r="P278" s="1531"/>
      <c r="Q278" s="1531"/>
      <c r="R278" s="1531"/>
      <c r="S278" s="1439"/>
      <c r="T278" s="1531"/>
      <c r="U278" s="1531"/>
      <c r="V278" s="1531"/>
      <c r="W278" s="1531"/>
      <c r="X278" s="1439"/>
      <c r="Y278" s="1545"/>
      <c r="Z278" s="1545"/>
      <c r="AA278" s="1545"/>
      <c r="AB278" s="1545"/>
      <c r="AC278" s="1439"/>
      <c r="AD278" s="1545"/>
      <c r="AE278" s="1531"/>
      <c r="AF278" s="1531"/>
      <c r="AG278" s="1531"/>
      <c r="AH278" s="1439"/>
      <c r="AI278" s="1531"/>
      <c r="AJ278" s="1531">
        <v>-0.02</v>
      </c>
      <c r="AK278" s="1531">
        <v>-0.02</v>
      </c>
      <c r="AL278" s="1531">
        <v>-0.02</v>
      </c>
      <c r="AM278" s="1439"/>
      <c r="AN278" s="1531">
        <v>0.04</v>
      </c>
      <c r="AO278" s="1531">
        <v>0.04</v>
      </c>
      <c r="AP278" s="1531">
        <v>0.04</v>
      </c>
      <c r="AQ278" s="1531">
        <v>0.04</v>
      </c>
      <c r="AR278" s="1439"/>
      <c r="AS278" s="1531">
        <v>3.5000000000000003E-2</v>
      </c>
      <c r="AT278" s="1531">
        <v>3.5000000000000003E-2</v>
      </c>
      <c r="AU278" s="1531">
        <v>3.5000000000000003E-2</v>
      </c>
      <c r="AV278" s="1531">
        <v>3.5000000000000003E-2</v>
      </c>
      <c r="AW278" s="1439"/>
      <c r="AX278" s="1531">
        <v>3.5000000000000003E-2</v>
      </c>
      <c r="AY278" s="1531">
        <v>3.5000000000000003E-2</v>
      </c>
      <c r="AZ278" s="1531">
        <v>3.5000000000000003E-2</v>
      </c>
      <c r="BA278" s="1531">
        <v>3.5000000000000003E-2</v>
      </c>
      <c r="BB278" s="1439"/>
      <c r="BC278" s="1531">
        <v>3.5000000000000003E-2</v>
      </c>
      <c r="BD278" s="1531">
        <v>3.5000000000000003E-2</v>
      </c>
      <c r="BE278" s="1531">
        <v>3.5000000000000003E-2</v>
      </c>
      <c r="BF278" s="1531">
        <v>3.5000000000000003E-2</v>
      </c>
      <c r="BG278" s="1439"/>
      <c r="BH278" s="1531">
        <v>3.5000000000000003E-2</v>
      </c>
      <c r="BI278" s="1531">
        <v>3.5000000000000003E-2</v>
      </c>
      <c r="BJ278" s="1531">
        <v>3.5000000000000003E-2</v>
      </c>
      <c r="BK278" s="1531">
        <v>3.5000000000000003E-2</v>
      </c>
      <c r="BL278" s="1439"/>
    </row>
    <row r="279" spans="1:64" hidden="1" outlineLevel="1" x14ac:dyDescent="0.2">
      <c r="C279" s="1811" t="s">
        <v>1359</v>
      </c>
      <c r="D279" s="300"/>
      <c r="E279" s="1437"/>
      <c r="F279" s="1445"/>
      <c r="G279" s="1445"/>
      <c r="H279" s="1531"/>
      <c r="I279" s="1439"/>
      <c r="J279" s="1531"/>
      <c r="K279" s="1531"/>
      <c r="L279" s="1531"/>
      <c r="M279" s="1531"/>
      <c r="N279" s="1439"/>
      <c r="O279" s="1531"/>
      <c r="P279" s="1531"/>
      <c r="Q279" s="1531"/>
      <c r="R279" s="1531"/>
      <c r="S279" s="1439"/>
      <c r="T279" s="1531"/>
      <c r="U279" s="1531"/>
      <c r="V279" s="1531"/>
      <c r="W279" s="1531"/>
      <c r="X279" s="1439"/>
      <c r="Y279" s="1545"/>
      <c r="Z279" s="1545"/>
      <c r="AA279" s="1545"/>
      <c r="AB279" s="1545"/>
      <c r="AC279" s="1439"/>
      <c r="AD279" s="1545"/>
      <c r="AE279" s="1531"/>
      <c r="AF279" s="1531"/>
      <c r="AG279" s="1531"/>
      <c r="AH279" s="1439"/>
      <c r="AI279" s="1531"/>
      <c r="AJ279" s="1531"/>
      <c r="AK279" s="1531"/>
      <c r="AL279" s="1531"/>
      <c r="AM279" s="1439"/>
      <c r="AN279">
        <v>0</v>
      </c>
      <c r="AO279">
        <v>10</v>
      </c>
      <c r="AP279">
        <v>20</v>
      </c>
      <c r="AQ279">
        <v>20</v>
      </c>
      <c r="AS279">
        <f>120/4</f>
        <v>30</v>
      </c>
      <c r="AT279">
        <f>120/4</f>
        <v>30</v>
      </c>
      <c r="AU279">
        <f>120/4</f>
        <v>30</v>
      </c>
      <c r="AV279">
        <f>120/4</f>
        <v>30</v>
      </c>
      <c r="AW279" s="1439"/>
      <c r="AX279" s="2559">
        <f>120/4</f>
        <v>30</v>
      </c>
      <c r="AY279" s="2559">
        <f>120/4</f>
        <v>30</v>
      </c>
      <c r="AZ279" s="2559">
        <f>120/4</f>
        <v>30</v>
      </c>
      <c r="BA279" s="2559">
        <f>120/4</f>
        <v>30</v>
      </c>
      <c r="BB279" s="1439"/>
      <c r="BC279" s="2649">
        <f>120/4</f>
        <v>30</v>
      </c>
      <c r="BD279" s="2649">
        <f>120/4</f>
        <v>30</v>
      </c>
      <c r="BE279" s="2649">
        <f>120/4</f>
        <v>30</v>
      </c>
      <c r="BF279" s="2649">
        <f>120/4</f>
        <v>30</v>
      </c>
      <c r="BG279" s="1439"/>
      <c r="BH279" s="2771">
        <f>120/4</f>
        <v>30</v>
      </c>
      <c r="BI279" s="2771">
        <f>120/4</f>
        <v>30</v>
      </c>
      <c r="BJ279" s="2771">
        <f>120/4</f>
        <v>30</v>
      </c>
      <c r="BK279" s="2771">
        <f>120/4</f>
        <v>30</v>
      </c>
      <c r="BL279" s="1439"/>
    </row>
    <row r="280" spans="1:64" hidden="1" outlineLevel="1" x14ac:dyDescent="0.2">
      <c r="A280" s="238"/>
      <c r="B280" s="229">
        <v>0.8</v>
      </c>
      <c r="C280" s="1010" t="s">
        <v>1360</v>
      </c>
      <c r="D280" s="300"/>
      <c r="E280" s="1437"/>
      <c r="F280" s="1445"/>
      <c r="G280" s="1445"/>
      <c r="H280" s="1445"/>
      <c r="I280" s="1439"/>
      <c r="J280" s="1531"/>
      <c r="K280" s="1531"/>
      <c r="L280" s="1531"/>
      <c r="M280" s="1531"/>
      <c r="N280" s="1439"/>
      <c r="O280" s="1531"/>
      <c r="P280" s="1531"/>
      <c r="Q280" s="1531"/>
      <c r="R280" s="1531"/>
      <c r="S280" s="1439"/>
      <c r="T280" s="1531"/>
      <c r="U280" s="1531"/>
      <c r="V280" s="1531"/>
      <c r="W280" s="1531"/>
      <c r="X280" s="1439"/>
      <c r="Y280" s="1545"/>
      <c r="Z280" s="1545"/>
      <c r="AA280" s="1545"/>
      <c r="AB280" s="1545"/>
      <c r="AC280" s="1439"/>
      <c r="AD280" s="1545"/>
      <c r="AE280" s="1531"/>
      <c r="AF280" s="1531"/>
      <c r="AG280" s="1531"/>
      <c r="AH280" s="1439"/>
      <c r="AI280" s="1531"/>
      <c r="AJ280" s="1531"/>
      <c r="AK280" s="1531"/>
      <c r="AL280" s="1531"/>
      <c r="AM280" s="1439"/>
      <c r="AN280">
        <f>AN$279*$B280</f>
        <v>0</v>
      </c>
      <c r="AO280">
        <f>AO$260*$B280</f>
        <v>0</v>
      </c>
      <c r="AP280">
        <f>AP$260*$B280</f>
        <v>0</v>
      </c>
      <c r="AQ280">
        <f>AQ$260*$B280</f>
        <v>0</v>
      </c>
      <c r="AR280" s="1439"/>
      <c r="AS280">
        <f>AS$260*$B280</f>
        <v>40</v>
      </c>
      <c r="AT280">
        <f>AT$260*$B280</f>
        <v>40</v>
      </c>
      <c r="AU280">
        <f>AU$260*$B280</f>
        <v>40</v>
      </c>
      <c r="AV280">
        <f>AV$260*$B280</f>
        <v>40</v>
      </c>
      <c r="AW280" s="1439"/>
      <c r="AX280" s="2559">
        <f>AX$260*$B280</f>
        <v>40</v>
      </c>
      <c r="AY280" s="2559">
        <f>AY$260*$B280</f>
        <v>40</v>
      </c>
      <c r="AZ280" s="2559">
        <f>AZ$260*$B280</f>
        <v>40</v>
      </c>
      <c r="BA280" s="2559">
        <f>BA$260*$B280</f>
        <v>40</v>
      </c>
      <c r="BB280" s="1439"/>
      <c r="BC280" s="2649">
        <f>BC$260*$B280</f>
        <v>40</v>
      </c>
      <c r="BD280" s="2649">
        <f>BD$260*$B280</f>
        <v>40</v>
      </c>
      <c r="BE280" s="2649">
        <f>BE$260*$B280</f>
        <v>40</v>
      </c>
      <c r="BF280" s="2649">
        <f>BF$260*$B280</f>
        <v>40</v>
      </c>
      <c r="BG280" s="1439"/>
      <c r="BH280" s="2771">
        <f>BH$260*$B280</f>
        <v>40</v>
      </c>
      <c r="BI280" s="2771">
        <f>BI$260*$B280</f>
        <v>40</v>
      </c>
      <c r="BJ280" s="2771">
        <f>BJ$260*$B280</f>
        <v>40</v>
      </c>
      <c r="BK280" s="2771">
        <f>BK$260*$B280</f>
        <v>40</v>
      </c>
      <c r="BL280" s="1439"/>
    </row>
    <row r="281" spans="1:64" hidden="1" outlineLevel="1" x14ac:dyDescent="0.2">
      <c r="A281" s="238"/>
      <c r="B281" s="229">
        <v>0.2</v>
      </c>
      <c r="C281" s="1010" t="s">
        <v>1361</v>
      </c>
      <c r="D281" s="300"/>
      <c r="E281" s="1437"/>
      <c r="F281" s="1445"/>
      <c r="G281" s="1445"/>
      <c r="H281" s="1445"/>
      <c r="I281" s="1439"/>
      <c r="J281" s="1531"/>
      <c r="K281" s="1531"/>
      <c r="L281" s="1531"/>
      <c r="M281" s="1531"/>
      <c r="N281" s="1439"/>
      <c r="O281" s="1531"/>
      <c r="P281" s="1531"/>
      <c r="Q281" s="1531"/>
      <c r="R281" s="1531"/>
      <c r="S281" s="1439"/>
      <c r="T281" s="1531"/>
      <c r="U281" s="1531"/>
      <c r="V281" s="1531"/>
      <c r="W281" s="1531"/>
      <c r="X281" s="1439"/>
      <c r="Y281" s="1545"/>
      <c r="Z281" s="1545"/>
      <c r="AA281" s="1545"/>
      <c r="AB281" s="1545"/>
      <c r="AC281" s="1439"/>
      <c r="AD281" s="1545"/>
      <c r="AE281" s="1531"/>
      <c r="AF281" s="1531"/>
      <c r="AG281" s="1531"/>
      <c r="AH281" s="1439"/>
      <c r="AI281" s="1531"/>
      <c r="AJ281" s="1531"/>
      <c r="AK281" s="1531"/>
      <c r="AL281" s="1531"/>
      <c r="AM281" s="1439"/>
      <c r="AN281">
        <f>AN$279*$B281</f>
        <v>0</v>
      </c>
      <c r="AO281">
        <f>AO$279*$B281</f>
        <v>2</v>
      </c>
      <c r="AP281">
        <f>AP$279*$B281</f>
        <v>4</v>
      </c>
      <c r="AQ281">
        <f>AQ$279*$B281</f>
        <v>4</v>
      </c>
      <c r="AR281" s="1439"/>
      <c r="AS281">
        <f>AS$279*$B281</f>
        <v>6</v>
      </c>
      <c r="AT281">
        <f>AT$279*$B281</f>
        <v>6</v>
      </c>
      <c r="AU281">
        <f>AU$279*$B281</f>
        <v>6</v>
      </c>
      <c r="AV281">
        <f>AV$279*$B281</f>
        <v>6</v>
      </c>
      <c r="AW281" s="1439"/>
      <c r="AX281" s="2559">
        <f>AX$279*$B281</f>
        <v>6</v>
      </c>
      <c r="AY281" s="2559">
        <f>AY$279*$B281</f>
        <v>6</v>
      </c>
      <c r="AZ281" s="2559">
        <f>AZ$279*$B281</f>
        <v>6</v>
      </c>
      <c r="BA281" s="2559">
        <f>BA$279*$B281</f>
        <v>6</v>
      </c>
      <c r="BB281" s="1439"/>
      <c r="BC281" s="2649">
        <f>BC$279*$B281</f>
        <v>6</v>
      </c>
      <c r="BD281" s="2649">
        <f>BD$279*$B281</f>
        <v>6</v>
      </c>
      <c r="BE281" s="2649">
        <f>BE$279*$B281</f>
        <v>6</v>
      </c>
      <c r="BF281" s="2649">
        <f>BF$279*$B281</f>
        <v>6</v>
      </c>
      <c r="BG281" s="1439"/>
      <c r="BH281" s="2771">
        <f>BH$279*$B281</f>
        <v>6</v>
      </c>
      <c r="BI281" s="2771">
        <f>BI$279*$B281</f>
        <v>6</v>
      </c>
      <c r="BJ281" s="2771">
        <f>BJ$279*$B281</f>
        <v>6</v>
      </c>
      <c r="BK281" s="2771">
        <f>BK$279*$B281</f>
        <v>6</v>
      </c>
      <c r="BL281" s="1439"/>
    </row>
    <row r="282" spans="1:64" hidden="1" outlineLevel="1" x14ac:dyDescent="0.2">
      <c r="C282" s="1811" t="s">
        <v>1358</v>
      </c>
      <c r="D282" s="300"/>
      <c r="E282" s="1437"/>
      <c r="F282" s="1445"/>
      <c r="G282" s="1445"/>
      <c r="H282" s="1531"/>
      <c r="I282" s="1439"/>
      <c r="J282" s="1531"/>
      <c r="K282" s="1531"/>
      <c r="L282" s="1531"/>
      <c r="M282" s="1531"/>
      <c r="N282" s="1439"/>
      <c r="O282" s="1531"/>
      <c r="P282" s="1531"/>
      <c r="Q282" s="1531"/>
      <c r="R282" s="1531"/>
      <c r="S282" s="1439"/>
      <c r="T282" s="1531"/>
      <c r="U282" s="1531"/>
      <c r="V282" s="1531"/>
      <c r="W282" s="1531"/>
      <c r="X282" s="1439"/>
      <c r="Y282" s="1545"/>
      <c r="Z282" s="1545"/>
      <c r="AA282" s="1545"/>
      <c r="AB282" s="1545"/>
      <c r="AC282" s="1439"/>
      <c r="AD282" s="1545"/>
      <c r="AE282" s="1531"/>
      <c r="AF282" s="1531"/>
      <c r="AG282" s="1531"/>
      <c r="AH282" s="1439"/>
      <c r="AI282" s="1531"/>
      <c r="AJ282" s="1531">
        <v>0.02</v>
      </c>
      <c r="AK282" s="1531">
        <v>0.02</v>
      </c>
      <c r="AL282" s="1531">
        <v>0.02</v>
      </c>
      <c r="AM282" s="1439"/>
      <c r="AN282" s="1531">
        <v>1.9E-2</v>
      </c>
      <c r="AO282" s="1531">
        <v>1.9E-2</v>
      </c>
      <c r="AP282" s="1531">
        <v>1.9E-2</v>
      </c>
      <c r="AQ282" s="1531">
        <v>1.9E-2</v>
      </c>
      <c r="AR282" s="1439"/>
      <c r="AS282" s="1531">
        <v>1.9E-2</v>
      </c>
      <c r="AT282" s="1531">
        <v>1.9E-2</v>
      </c>
      <c r="AU282" s="1531">
        <v>1.9E-2</v>
      </c>
      <c r="AV282" s="1531">
        <v>1.9E-2</v>
      </c>
      <c r="AW282" s="1439"/>
      <c r="AX282" s="1531">
        <v>1.9E-2</v>
      </c>
      <c r="AY282" s="1531">
        <v>1.9E-2</v>
      </c>
      <c r="AZ282" s="1531">
        <v>1.9E-2</v>
      </c>
      <c r="BA282" s="1531">
        <v>1.9E-2</v>
      </c>
      <c r="BB282" s="1439"/>
      <c r="BC282" s="1531">
        <v>1.9E-2</v>
      </c>
      <c r="BD282" s="1531">
        <v>1.9E-2</v>
      </c>
      <c r="BE282" s="1531">
        <v>1.9E-2</v>
      </c>
      <c r="BF282" s="1531">
        <v>1.9E-2</v>
      </c>
      <c r="BG282" s="1439"/>
      <c r="BH282" s="1531">
        <v>1.9E-2</v>
      </c>
      <c r="BI282" s="1531">
        <v>1.9E-2</v>
      </c>
      <c r="BJ282" s="1531">
        <v>1.9E-2</v>
      </c>
      <c r="BK282" s="1531">
        <v>1.9E-2</v>
      </c>
      <c r="BL282" s="1439"/>
    </row>
    <row r="283" spans="1:64" ht="12" hidden="1" outlineLevel="1" thickBot="1" x14ac:dyDescent="0.25">
      <c r="C283" s="1812" t="s">
        <v>1355</v>
      </c>
      <c r="D283" s="411"/>
      <c r="E283" s="506" t="e">
        <f>E264</f>
        <v>#REF!</v>
      </c>
      <c r="F283" s="1821" t="e">
        <f>F264</f>
        <v>#REF!</v>
      </c>
      <c r="G283" s="1821" t="e">
        <f>G264</f>
        <v>#REF!</v>
      </c>
      <c r="H283" s="1821" t="e">
        <f>H264</f>
        <v>#REF!</v>
      </c>
      <c r="I283" s="1549"/>
      <c r="J283" s="1821" t="e">
        <f>J264</f>
        <v>#REF!</v>
      </c>
      <c r="K283" s="1821" t="e">
        <f>K264</f>
        <v>#REF!</v>
      </c>
      <c r="L283" s="506" t="e">
        <f>L264</f>
        <v>#REF!</v>
      </c>
      <c r="M283" s="506" t="e">
        <f>M264</f>
        <v>#REF!</v>
      </c>
      <c r="N283" s="1549"/>
      <c r="O283" s="506" t="e">
        <f>O264</f>
        <v>#REF!</v>
      </c>
      <c r="P283" s="506" t="e">
        <f>P264</f>
        <v>#REF!</v>
      </c>
      <c r="Q283" s="506" t="e">
        <f>Q264</f>
        <v>#REF!</v>
      </c>
      <c r="R283" s="506" t="e">
        <f>R264</f>
        <v>#REF!</v>
      </c>
      <c r="S283" s="1549"/>
      <c r="T283" s="506" t="e">
        <f>T264</f>
        <v>#REF!</v>
      </c>
      <c r="U283" s="506" t="e">
        <f>U264</f>
        <v>#REF!</v>
      </c>
      <c r="V283" s="506" t="e">
        <f>V264</f>
        <v>#REF!</v>
      </c>
      <c r="W283" s="506" t="e">
        <f>W264</f>
        <v>#REF!</v>
      </c>
      <c r="X283" s="1549"/>
      <c r="Y283" s="506">
        <f>Y264</f>
        <v>0</v>
      </c>
      <c r="Z283" s="506">
        <f>Z264</f>
        <v>0</v>
      </c>
      <c r="AA283" s="506">
        <f>AA264</f>
        <v>0</v>
      </c>
      <c r="AB283" s="506">
        <f>AB264</f>
        <v>0</v>
      </c>
      <c r="AC283" s="1549"/>
      <c r="AD283" s="506"/>
      <c r="AE283" s="1603"/>
      <c r="AF283" s="1603"/>
      <c r="AG283" s="1603"/>
      <c r="AH283" s="1549"/>
      <c r="AI283" s="506"/>
      <c r="AJ283" s="506">
        <v>20</v>
      </c>
      <c r="AK283" s="506">
        <v>20</v>
      </c>
      <c r="AL283" s="506">
        <v>20</v>
      </c>
      <c r="AM283" s="1822"/>
      <c r="AN283" s="506">
        <v>20</v>
      </c>
      <c r="AO283" s="506">
        <v>20</v>
      </c>
      <c r="AP283" s="506">
        <v>20</v>
      </c>
      <c r="AQ283" s="506">
        <v>20</v>
      </c>
      <c r="AR283" s="1822"/>
      <c r="AS283" s="506">
        <v>20</v>
      </c>
      <c r="AT283" s="506">
        <v>20</v>
      </c>
      <c r="AU283" s="506">
        <v>20</v>
      </c>
      <c r="AV283" s="506">
        <v>20</v>
      </c>
      <c r="AW283" s="1549"/>
      <c r="AX283" s="506">
        <v>20</v>
      </c>
      <c r="AY283" s="506">
        <v>20</v>
      </c>
      <c r="AZ283" s="506">
        <v>20</v>
      </c>
      <c r="BA283" s="506">
        <v>20</v>
      </c>
      <c r="BB283" s="1549"/>
      <c r="BC283" s="506">
        <v>20</v>
      </c>
      <c r="BD283" s="506">
        <v>20</v>
      </c>
      <c r="BE283" s="506">
        <v>20</v>
      </c>
      <c r="BF283" s="506">
        <v>20</v>
      </c>
      <c r="BG283" s="1549"/>
      <c r="BH283" s="506">
        <v>20</v>
      </c>
      <c r="BI283" s="506">
        <v>20</v>
      </c>
      <c r="BJ283" s="506">
        <v>20</v>
      </c>
      <c r="BK283" s="506">
        <v>20</v>
      </c>
      <c r="BL283" s="1549"/>
    </row>
    <row r="284" spans="1:64" hidden="1" outlineLevel="1" x14ac:dyDescent="0.2">
      <c r="C284" s="483"/>
      <c r="D284" s="483"/>
      <c r="E284" s="483"/>
      <c r="F284" s="483"/>
      <c r="G284" s="483"/>
      <c r="H284" s="483"/>
      <c r="I284" s="483"/>
      <c r="J284" s="483"/>
      <c r="K284" s="483"/>
      <c r="L284" s="483"/>
      <c r="M284" s="483"/>
      <c r="N284" s="483"/>
      <c r="O284" s="483"/>
      <c r="P284" s="483"/>
      <c r="Q284" s="483"/>
      <c r="R284" s="483"/>
      <c r="S284" s="483"/>
      <c r="T284" s="483"/>
      <c r="U284" s="483"/>
      <c r="V284" s="483"/>
      <c r="W284" s="483"/>
      <c r="X284" s="483"/>
      <c r="Y284" s="483"/>
      <c r="Z284" s="483"/>
      <c r="AA284" s="483"/>
      <c r="AB284" s="483"/>
      <c r="AC284" s="483"/>
      <c r="AD284" s="483"/>
      <c r="AE284" s="483"/>
      <c r="AF284" s="483"/>
      <c r="AG284" s="483"/>
      <c r="AH284" s="483"/>
      <c r="AI284" s="483"/>
      <c r="AJ284" s="483"/>
      <c r="AK284" s="483"/>
      <c r="AL284" s="483"/>
      <c r="AM284" s="483"/>
      <c r="AN284" s="483"/>
      <c r="AO284" s="483"/>
      <c r="AP284" s="483"/>
      <c r="AQ284" s="483"/>
      <c r="AR284" s="483"/>
      <c r="AS284" s="483"/>
      <c r="AT284" s="483"/>
      <c r="AU284" s="483"/>
      <c r="AV284" s="483"/>
      <c r="AW284" s="483"/>
      <c r="AX284" s="483"/>
      <c r="AY284" s="483"/>
      <c r="AZ284" s="483"/>
      <c r="BA284" s="483"/>
      <c r="BB284" s="483"/>
      <c r="BC284" s="483"/>
      <c r="BD284" s="483"/>
      <c r="BE284" s="483"/>
      <c r="BF284" s="483"/>
      <c r="BG284" s="483"/>
      <c r="BH284" s="483"/>
      <c r="BI284" s="483"/>
      <c r="BJ284" s="483"/>
      <c r="BK284" s="483"/>
      <c r="BL284" s="483"/>
    </row>
    <row r="285" spans="1:64" collapsed="1" x14ac:dyDescent="0.2"/>
    <row r="287" spans="1:64" ht="12" thickBot="1" x14ac:dyDescent="0.25">
      <c r="C287" s="1606" t="s">
        <v>1243</v>
      </c>
    </row>
    <row r="288" spans="1:64" ht="12" thickBot="1" x14ac:dyDescent="0.25">
      <c r="C288" s="1607" t="s">
        <v>1440</v>
      </c>
    </row>
    <row r="289" spans="3:3" x14ac:dyDescent="0.2">
      <c r="C289" s="300"/>
    </row>
    <row r="290" spans="3:3" x14ac:dyDescent="0.2">
      <c r="C290" s="300"/>
    </row>
    <row r="291" spans="3:3" x14ac:dyDescent="0.2">
      <c r="C291" s="300"/>
    </row>
    <row r="292" spans="3:3" x14ac:dyDescent="0.2">
      <c r="C292" s="300"/>
    </row>
    <row r="293" spans="3:3" x14ac:dyDescent="0.2">
      <c r="C293" s="300"/>
    </row>
    <row r="294" spans="3:3" x14ac:dyDescent="0.2">
      <c r="C294" s="300"/>
    </row>
    <row r="295" spans="3:3" x14ac:dyDescent="0.2">
      <c r="C295" s="300"/>
    </row>
    <row r="296" spans="3:3" x14ac:dyDescent="0.2">
      <c r="C296" s="300"/>
    </row>
    <row r="297" spans="3:3" x14ac:dyDescent="0.2">
      <c r="C297" s="300"/>
    </row>
    <row r="298" spans="3:3" x14ac:dyDescent="0.2">
      <c r="C298" s="300"/>
    </row>
    <row r="299" spans="3:3" x14ac:dyDescent="0.2">
      <c r="C299" s="300"/>
    </row>
    <row r="300" spans="3:3" x14ac:dyDescent="0.2">
      <c r="C300" s="300"/>
    </row>
    <row r="301" spans="3:3" x14ac:dyDescent="0.2">
      <c r="C301" s="300"/>
    </row>
    <row r="302" spans="3:3" x14ac:dyDescent="0.2">
      <c r="C302" s="300"/>
    </row>
    <row r="303" spans="3:3" x14ac:dyDescent="0.2">
      <c r="C303" s="300"/>
    </row>
    <row r="304" spans="3:3" x14ac:dyDescent="0.2">
      <c r="C304" s="300"/>
    </row>
    <row r="305" spans="3:3" x14ac:dyDescent="0.2">
      <c r="C305" s="300"/>
    </row>
    <row r="306" spans="3:3" x14ac:dyDescent="0.2">
      <c r="C306" s="300"/>
    </row>
    <row r="307" spans="3:3" x14ac:dyDescent="0.2">
      <c r="C307" s="300"/>
    </row>
    <row r="308" spans="3:3" x14ac:dyDescent="0.2">
      <c r="C308" s="300"/>
    </row>
    <row r="309" spans="3:3" x14ac:dyDescent="0.2">
      <c r="C309" s="300"/>
    </row>
    <row r="310" spans="3:3" x14ac:dyDescent="0.2">
      <c r="C310" s="300"/>
    </row>
    <row r="311" spans="3:3" x14ac:dyDescent="0.2">
      <c r="C311" s="300"/>
    </row>
    <row r="312" spans="3:3" x14ac:dyDescent="0.2">
      <c r="C312" s="300"/>
    </row>
    <row r="313" spans="3:3" x14ac:dyDescent="0.2">
      <c r="C313" s="300"/>
    </row>
    <row r="314" spans="3:3" x14ac:dyDescent="0.2">
      <c r="C314" s="300"/>
    </row>
    <row r="315" spans="3:3" x14ac:dyDescent="0.2">
      <c r="C315" s="300"/>
    </row>
    <row r="316" spans="3:3" x14ac:dyDescent="0.2">
      <c r="C316" s="300"/>
    </row>
    <row r="317" spans="3:3" x14ac:dyDescent="0.2">
      <c r="C317" s="300"/>
    </row>
    <row r="318" spans="3:3" x14ac:dyDescent="0.2">
      <c r="C318" s="300"/>
    </row>
    <row r="319" spans="3:3" x14ac:dyDescent="0.2">
      <c r="C319" s="300"/>
    </row>
    <row r="320" spans="3:3" x14ac:dyDescent="0.2">
      <c r="C320" s="300"/>
    </row>
    <row r="321" spans="3:3" x14ac:dyDescent="0.2">
      <c r="C321" s="300"/>
    </row>
    <row r="322" spans="3:3" x14ac:dyDescent="0.2">
      <c r="C322" s="300"/>
    </row>
    <row r="323" spans="3:3" x14ac:dyDescent="0.2">
      <c r="C323" s="300"/>
    </row>
    <row r="324" spans="3:3" x14ac:dyDescent="0.2">
      <c r="C324" s="300"/>
    </row>
    <row r="325" spans="3:3" x14ac:dyDescent="0.2">
      <c r="C325" s="300"/>
    </row>
    <row r="326" spans="3:3" x14ac:dyDescent="0.2">
      <c r="C326" s="300"/>
    </row>
    <row r="327" spans="3:3" x14ac:dyDescent="0.2">
      <c r="C327" s="300"/>
    </row>
    <row r="328" spans="3:3" x14ac:dyDescent="0.2">
      <c r="C328" s="300"/>
    </row>
    <row r="329" spans="3:3" x14ac:dyDescent="0.2">
      <c r="C329" s="300"/>
    </row>
    <row r="330" spans="3:3" x14ac:dyDescent="0.2">
      <c r="C330" s="300"/>
    </row>
    <row r="331" spans="3:3" x14ac:dyDescent="0.2">
      <c r="C331" s="300"/>
    </row>
    <row r="332" spans="3:3" x14ac:dyDescent="0.2">
      <c r="C332" s="300"/>
    </row>
    <row r="333" spans="3:3" x14ac:dyDescent="0.2">
      <c r="C333" s="300"/>
    </row>
    <row r="334" spans="3:3" x14ac:dyDescent="0.2">
      <c r="C334" s="300"/>
    </row>
    <row r="335" spans="3:3" x14ac:dyDescent="0.2">
      <c r="C335" s="300"/>
    </row>
    <row r="336" spans="3:3" x14ac:dyDescent="0.2">
      <c r="C336" s="300"/>
    </row>
    <row r="337" spans="3:3" x14ac:dyDescent="0.2">
      <c r="C337" s="300"/>
    </row>
    <row r="338" spans="3:3" x14ac:dyDescent="0.2">
      <c r="C338" s="300"/>
    </row>
    <row r="339" spans="3:3" x14ac:dyDescent="0.2">
      <c r="C339" s="300"/>
    </row>
    <row r="340" spans="3:3" x14ac:dyDescent="0.2">
      <c r="C340" s="300"/>
    </row>
    <row r="341" spans="3:3" x14ac:dyDescent="0.2">
      <c r="C341" s="300"/>
    </row>
    <row r="342" spans="3:3" x14ac:dyDescent="0.2">
      <c r="C342" s="300"/>
    </row>
    <row r="343" spans="3:3" x14ac:dyDescent="0.2">
      <c r="C343" s="300"/>
    </row>
    <row r="344" spans="3:3" x14ac:dyDescent="0.2">
      <c r="C344" s="300"/>
    </row>
    <row r="345" spans="3:3" x14ac:dyDescent="0.2">
      <c r="C345" s="300"/>
    </row>
    <row r="346" spans="3:3" x14ac:dyDescent="0.2">
      <c r="C346" s="300"/>
    </row>
    <row r="347" spans="3:3" x14ac:dyDescent="0.2">
      <c r="C347" s="300"/>
    </row>
    <row r="348" spans="3:3" x14ac:dyDescent="0.2">
      <c r="C348" s="300"/>
    </row>
    <row r="349" spans="3:3" x14ac:dyDescent="0.2">
      <c r="C349" s="236"/>
    </row>
    <row r="350" spans="3:3" x14ac:dyDescent="0.2">
      <c r="C350" s="241" t="s">
        <v>1244</v>
      </c>
    </row>
    <row r="351" spans="3:3" x14ac:dyDescent="0.2">
      <c r="C351" s="241" t="s">
        <v>1182</v>
      </c>
    </row>
    <row r="352" spans="3:3" x14ac:dyDescent="0.2">
      <c r="C352" s="241" t="s">
        <v>1245</v>
      </c>
    </row>
  </sheetData>
  <phoneticPr fontId="5" type="noConversion"/>
  <dataValidations count="3">
    <dataValidation type="list" allowBlank="1" showInputMessage="1" showErrorMessage="1" sqref="C5">
      <formula1>$C$349:$C$352</formula1>
    </dataValidation>
    <dataValidation type="list" allowBlank="1" showInputMessage="1" showErrorMessage="1" sqref="B8 B121 B111 B107 B21 B16 B12 B212">
      <formula1>$C$350:$C$352</formula1>
    </dataValidation>
    <dataValidation type="list" allowBlank="1" showInputMessage="1" showErrorMessage="1" sqref="B216">
      <formula1>$C$274:$C$276</formula1>
    </dataValidation>
  </dataValidations>
  <pageMargins left="0.75" right="0.75" top="1" bottom="1" header="0.5" footer="0.5"/>
  <pageSetup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43"/>
  <sheetViews>
    <sheetView workbookViewId="0">
      <selection activeCell="B42" sqref="B42"/>
    </sheetView>
  </sheetViews>
  <sheetFormatPr defaultRowHeight="12.75" x14ac:dyDescent="0.2"/>
  <cols>
    <col min="1" max="1" width="29.5703125" style="2733" bestFit="1" customWidth="1"/>
    <col min="2" max="2" width="19.85546875" style="3265" customWidth="1"/>
    <col min="3" max="3" width="12" style="2733" bestFit="1" customWidth="1"/>
    <col min="4" max="256" width="9.140625" style="2733"/>
    <col min="257" max="257" width="29.5703125" style="2733" bestFit="1" customWidth="1"/>
    <col min="258" max="258" width="19.85546875" style="2733" customWidth="1"/>
    <col min="259" max="259" width="12" style="2733" bestFit="1" customWidth="1"/>
    <col min="260" max="512" width="9.140625" style="2733"/>
    <col min="513" max="513" width="29.5703125" style="2733" bestFit="1" customWidth="1"/>
    <col min="514" max="514" width="19.85546875" style="2733" customWidth="1"/>
    <col min="515" max="515" width="12" style="2733" bestFit="1" customWidth="1"/>
    <col min="516" max="768" width="9.140625" style="2733"/>
    <col min="769" max="769" width="29.5703125" style="2733" bestFit="1" customWidth="1"/>
    <col min="770" max="770" width="19.85546875" style="2733" customWidth="1"/>
    <col min="771" max="771" width="12" style="2733" bestFit="1" customWidth="1"/>
    <col min="772" max="1024" width="9.140625" style="2733"/>
    <col min="1025" max="1025" width="29.5703125" style="2733" bestFit="1" customWidth="1"/>
    <col min="1026" max="1026" width="19.85546875" style="2733" customWidth="1"/>
    <col min="1027" max="1027" width="12" style="2733" bestFit="1" customWidth="1"/>
    <col min="1028" max="1280" width="9.140625" style="2733"/>
    <col min="1281" max="1281" width="29.5703125" style="2733" bestFit="1" customWidth="1"/>
    <col min="1282" max="1282" width="19.85546875" style="2733" customWidth="1"/>
    <col min="1283" max="1283" width="12" style="2733" bestFit="1" customWidth="1"/>
    <col min="1284" max="1536" width="9.140625" style="2733"/>
    <col min="1537" max="1537" width="29.5703125" style="2733" bestFit="1" customWidth="1"/>
    <col min="1538" max="1538" width="19.85546875" style="2733" customWidth="1"/>
    <col min="1539" max="1539" width="12" style="2733" bestFit="1" customWidth="1"/>
    <col min="1540" max="1792" width="9.140625" style="2733"/>
    <col min="1793" max="1793" width="29.5703125" style="2733" bestFit="1" customWidth="1"/>
    <col min="1794" max="1794" width="19.85546875" style="2733" customWidth="1"/>
    <col min="1795" max="1795" width="12" style="2733" bestFit="1" customWidth="1"/>
    <col min="1796" max="2048" width="9.140625" style="2733"/>
    <col min="2049" max="2049" width="29.5703125" style="2733" bestFit="1" customWidth="1"/>
    <col min="2050" max="2050" width="19.85546875" style="2733" customWidth="1"/>
    <col min="2051" max="2051" width="12" style="2733" bestFit="1" customWidth="1"/>
    <col min="2052" max="2304" width="9.140625" style="2733"/>
    <col min="2305" max="2305" width="29.5703125" style="2733" bestFit="1" customWidth="1"/>
    <col min="2306" max="2306" width="19.85546875" style="2733" customWidth="1"/>
    <col min="2307" max="2307" width="12" style="2733" bestFit="1" customWidth="1"/>
    <col min="2308" max="2560" width="9.140625" style="2733"/>
    <col min="2561" max="2561" width="29.5703125" style="2733" bestFit="1" customWidth="1"/>
    <col min="2562" max="2562" width="19.85546875" style="2733" customWidth="1"/>
    <col min="2563" max="2563" width="12" style="2733" bestFit="1" customWidth="1"/>
    <col min="2564" max="2816" width="9.140625" style="2733"/>
    <col min="2817" max="2817" width="29.5703125" style="2733" bestFit="1" customWidth="1"/>
    <col min="2818" max="2818" width="19.85546875" style="2733" customWidth="1"/>
    <col min="2819" max="2819" width="12" style="2733" bestFit="1" customWidth="1"/>
    <col min="2820" max="3072" width="9.140625" style="2733"/>
    <col min="3073" max="3073" width="29.5703125" style="2733" bestFit="1" customWidth="1"/>
    <col min="3074" max="3074" width="19.85546875" style="2733" customWidth="1"/>
    <col min="3075" max="3075" width="12" style="2733" bestFit="1" customWidth="1"/>
    <col min="3076" max="3328" width="9.140625" style="2733"/>
    <col min="3329" max="3329" width="29.5703125" style="2733" bestFit="1" customWidth="1"/>
    <col min="3330" max="3330" width="19.85546875" style="2733" customWidth="1"/>
    <col min="3331" max="3331" width="12" style="2733" bestFit="1" customWidth="1"/>
    <col min="3332" max="3584" width="9.140625" style="2733"/>
    <col min="3585" max="3585" width="29.5703125" style="2733" bestFit="1" customWidth="1"/>
    <col min="3586" max="3586" width="19.85546875" style="2733" customWidth="1"/>
    <col min="3587" max="3587" width="12" style="2733" bestFit="1" customWidth="1"/>
    <col min="3588" max="3840" width="9.140625" style="2733"/>
    <col min="3841" max="3841" width="29.5703125" style="2733" bestFit="1" customWidth="1"/>
    <col min="3842" max="3842" width="19.85546875" style="2733" customWidth="1"/>
    <col min="3843" max="3843" width="12" style="2733" bestFit="1" customWidth="1"/>
    <col min="3844" max="4096" width="9.140625" style="2733"/>
    <col min="4097" max="4097" width="29.5703125" style="2733" bestFit="1" customWidth="1"/>
    <col min="4098" max="4098" width="19.85546875" style="2733" customWidth="1"/>
    <col min="4099" max="4099" width="12" style="2733" bestFit="1" customWidth="1"/>
    <col min="4100" max="4352" width="9.140625" style="2733"/>
    <col min="4353" max="4353" width="29.5703125" style="2733" bestFit="1" customWidth="1"/>
    <col min="4354" max="4354" width="19.85546875" style="2733" customWidth="1"/>
    <col min="4355" max="4355" width="12" style="2733" bestFit="1" customWidth="1"/>
    <col min="4356" max="4608" width="9.140625" style="2733"/>
    <col min="4609" max="4609" width="29.5703125" style="2733" bestFit="1" customWidth="1"/>
    <col min="4610" max="4610" width="19.85546875" style="2733" customWidth="1"/>
    <col min="4611" max="4611" width="12" style="2733" bestFit="1" customWidth="1"/>
    <col min="4612" max="4864" width="9.140625" style="2733"/>
    <col min="4865" max="4865" width="29.5703125" style="2733" bestFit="1" customWidth="1"/>
    <col min="4866" max="4866" width="19.85546875" style="2733" customWidth="1"/>
    <col min="4867" max="4867" width="12" style="2733" bestFit="1" customWidth="1"/>
    <col min="4868" max="5120" width="9.140625" style="2733"/>
    <col min="5121" max="5121" width="29.5703125" style="2733" bestFit="1" customWidth="1"/>
    <col min="5122" max="5122" width="19.85546875" style="2733" customWidth="1"/>
    <col min="5123" max="5123" width="12" style="2733" bestFit="1" customWidth="1"/>
    <col min="5124" max="5376" width="9.140625" style="2733"/>
    <col min="5377" max="5377" width="29.5703125" style="2733" bestFit="1" customWidth="1"/>
    <col min="5378" max="5378" width="19.85546875" style="2733" customWidth="1"/>
    <col min="5379" max="5379" width="12" style="2733" bestFit="1" customWidth="1"/>
    <col min="5380" max="5632" width="9.140625" style="2733"/>
    <col min="5633" max="5633" width="29.5703125" style="2733" bestFit="1" customWidth="1"/>
    <col min="5634" max="5634" width="19.85546875" style="2733" customWidth="1"/>
    <col min="5635" max="5635" width="12" style="2733" bestFit="1" customWidth="1"/>
    <col min="5636" max="5888" width="9.140625" style="2733"/>
    <col min="5889" max="5889" width="29.5703125" style="2733" bestFit="1" customWidth="1"/>
    <col min="5890" max="5890" width="19.85546875" style="2733" customWidth="1"/>
    <col min="5891" max="5891" width="12" style="2733" bestFit="1" customWidth="1"/>
    <col min="5892" max="6144" width="9.140625" style="2733"/>
    <col min="6145" max="6145" width="29.5703125" style="2733" bestFit="1" customWidth="1"/>
    <col min="6146" max="6146" width="19.85546875" style="2733" customWidth="1"/>
    <col min="6147" max="6147" width="12" style="2733" bestFit="1" customWidth="1"/>
    <col min="6148" max="6400" width="9.140625" style="2733"/>
    <col min="6401" max="6401" width="29.5703125" style="2733" bestFit="1" customWidth="1"/>
    <col min="6402" max="6402" width="19.85546875" style="2733" customWidth="1"/>
    <col min="6403" max="6403" width="12" style="2733" bestFit="1" customWidth="1"/>
    <col min="6404" max="6656" width="9.140625" style="2733"/>
    <col min="6657" max="6657" width="29.5703125" style="2733" bestFit="1" customWidth="1"/>
    <col min="6658" max="6658" width="19.85546875" style="2733" customWidth="1"/>
    <col min="6659" max="6659" width="12" style="2733" bestFit="1" customWidth="1"/>
    <col min="6660" max="6912" width="9.140625" style="2733"/>
    <col min="6913" max="6913" width="29.5703125" style="2733" bestFit="1" customWidth="1"/>
    <col min="6914" max="6914" width="19.85546875" style="2733" customWidth="1"/>
    <col min="6915" max="6915" width="12" style="2733" bestFit="1" customWidth="1"/>
    <col min="6916" max="7168" width="9.140625" style="2733"/>
    <col min="7169" max="7169" width="29.5703125" style="2733" bestFit="1" customWidth="1"/>
    <col min="7170" max="7170" width="19.85546875" style="2733" customWidth="1"/>
    <col min="7171" max="7171" width="12" style="2733" bestFit="1" customWidth="1"/>
    <col min="7172" max="7424" width="9.140625" style="2733"/>
    <col min="7425" max="7425" width="29.5703125" style="2733" bestFit="1" customWidth="1"/>
    <col min="7426" max="7426" width="19.85546875" style="2733" customWidth="1"/>
    <col min="7427" max="7427" width="12" style="2733" bestFit="1" customWidth="1"/>
    <col min="7428" max="7680" width="9.140625" style="2733"/>
    <col min="7681" max="7681" width="29.5703125" style="2733" bestFit="1" customWidth="1"/>
    <col min="7682" max="7682" width="19.85546875" style="2733" customWidth="1"/>
    <col min="7683" max="7683" width="12" style="2733" bestFit="1" customWidth="1"/>
    <col min="7684" max="7936" width="9.140625" style="2733"/>
    <col min="7937" max="7937" width="29.5703125" style="2733" bestFit="1" customWidth="1"/>
    <col min="7938" max="7938" width="19.85546875" style="2733" customWidth="1"/>
    <col min="7939" max="7939" width="12" style="2733" bestFit="1" customWidth="1"/>
    <col min="7940" max="8192" width="9.140625" style="2733"/>
    <col min="8193" max="8193" width="29.5703125" style="2733" bestFit="1" customWidth="1"/>
    <col min="8194" max="8194" width="19.85546875" style="2733" customWidth="1"/>
    <col min="8195" max="8195" width="12" style="2733" bestFit="1" customWidth="1"/>
    <col min="8196" max="8448" width="9.140625" style="2733"/>
    <col min="8449" max="8449" width="29.5703125" style="2733" bestFit="1" customWidth="1"/>
    <col min="8450" max="8450" width="19.85546875" style="2733" customWidth="1"/>
    <col min="8451" max="8451" width="12" style="2733" bestFit="1" customWidth="1"/>
    <col min="8452" max="8704" width="9.140625" style="2733"/>
    <col min="8705" max="8705" width="29.5703125" style="2733" bestFit="1" customWidth="1"/>
    <col min="8706" max="8706" width="19.85546875" style="2733" customWidth="1"/>
    <col min="8707" max="8707" width="12" style="2733" bestFit="1" customWidth="1"/>
    <col min="8708" max="8960" width="9.140625" style="2733"/>
    <col min="8961" max="8961" width="29.5703125" style="2733" bestFit="1" customWidth="1"/>
    <col min="8962" max="8962" width="19.85546875" style="2733" customWidth="1"/>
    <col min="8963" max="8963" width="12" style="2733" bestFit="1" customWidth="1"/>
    <col min="8964" max="9216" width="9.140625" style="2733"/>
    <col min="9217" max="9217" width="29.5703125" style="2733" bestFit="1" customWidth="1"/>
    <col min="9218" max="9218" width="19.85546875" style="2733" customWidth="1"/>
    <col min="9219" max="9219" width="12" style="2733" bestFit="1" customWidth="1"/>
    <col min="9220" max="9472" width="9.140625" style="2733"/>
    <col min="9473" max="9473" width="29.5703125" style="2733" bestFit="1" customWidth="1"/>
    <col min="9474" max="9474" width="19.85546875" style="2733" customWidth="1"/>
    <col min="9475" max="9475" width="12" style="2733" bestFit="1" customWidth="1"/>
    <col min="9476" max="9728" width="9.140625" style="2733"/>
    <col min="9729" max="9729" width="29.5703125" style="2733" bestFit="1" customWidth="1"/>
    <col min="9730" max="9730" width="19.85546875" style="2733" customWidth="1"/>
    <col min="9731" max="9731" width="12" style="2733" bestFit="1" customWidth="1"/>
    <col min="9732" max="9984" width="9.140625" style="2733"/>
    <col min="9985" max="9985" width="29.5703125" style="2733" bestFit="1" customWidth="1"/>
    <col min="9986" max="9986" width="19.85546875" style="2733" customWidth="1"/>
    <col min="9987" max="9987" width="12" style="2733" bestFit="1" customWidth="1"/>
    <col min="9988" max="10240" width="9.140625" style="2733"/>
    <col min="10241" max="10241" width="29.5703125" style="2733" bestFit="1" customWidth="1"/>
    <col min="10242" max="10242" width="19.85546875" style="2733" customWidth="1"/>
    <col min="10243" max="10243" width="12" style="2733" bestFit="1" customWidth="1"/>
    <col min="10244" max="10496" width="9.140625" style="2733"/>
    <col min="10497" max="10497" width="29.5703125" style="2733" bestFit="1" customWidth="1"/>
    <col min="10498" max="10498" width="19.85546875" style="2733" customWidth="1"/>
    <col min="10499" max="10499" width="12" style="2733" bestFit="1" customWidth="1"/>
    <col min="10500" max="10752" width="9.140625" style="2733"/>
    <col min="10753" max="10753" width="29.5703125" style="2733" bestFit="1" customWidth="1"/>
    <col min="10754" max="10754" width="19.85546875" style="2733" customWidth="1"/>
    <col min="10755" max="10755" width="12" style="2733" bestFit="1" customWidth="1"/>
    <col min="10756" max="11008" width="9.140625" style="2733"/>
    <col min="11009" max="11009" width="29.5703125" style="2733" bestFit="1" customWidth="1"/>
    <col min="11010" max="11010" width="19.85546875" style="2733" customWidth="1"/>
    <col min="11011" max="11011" width="12" style="2733" bestFit="1" customWidth="1"/>
    <col min="11012" max="11264" width="9.140625" style="2733"/>
    <col min="11265" max="11265" width="29.5703125" style="2733" bestFit="1" customWidth="1"/>
    <col min="11266" max="11266" width="19.85546875" style="2733" customWidth="1"/>
    <col min="11267" max="11267" width="12" style="2733" bestFit="1" customWidth="1"/>
    <col min="11268" max="11520" width="9.140625" style="2733"/>
    <col min="11521" max="11521" width="29.5703125" style="2733" bestFit="1" customWidth="1"/>
    <col min="11522" max="11522" width="19.85546875" style="2733" customWidth="1"/>
    <col min="11523" max="11523" width="12" style="2733" bestFit="1" customWidth="1"/>
    <col min="11524" max="11776" width="9.140625" style="2733"/>
    <col min="11777" max="11777" width="29.5703125" style="2733" bestFit="1" customWidth="1"/>
    <col min="11778" max="11778" width="19.85546875" style="2733" customWidth="1"/>
    <col min="11779" max="11779" width="12" style="2733" bestFit="1" customWidth="1"/>
    <col min="11780" max="12032" width="9.140625" style="2733"/>
    <col min="12033" max="12033" width="29.5703125" style="2733" bestFit="1" customWidth="1"/>
    <col min="12034" max="12034" width="19.85546875" style="2733" customWidth="1"/>
    <col min="12035" max="12035" width="12" style="2733" bestFit="1" customWidth="1"/>
    <col min="12036" max="12288" width="9.140625" style="2733"/>
    <col min="12289" max="12289" width="29.5703125" style="2733" bestFit="1" customWidth="1"/>
    <col min="12290" max="12290" width="19.85546875" style="2733" customWidth="1"/>
    <col min="12291" max="12291" width="12" style="2733" bestFit="1" customWidth="1"/>
    <col min="12292" max="12544" width="9.140625" style="2733"/>
    <col min="12545" max="12545" width="29.5703125" style="2733" bestFit="1" customWidth="1"/>
    <col min="12546" max="12546" width="19.85546875" style="2733" customWidth="1"/>
    <col min="12547" max="12547" width="12" style="2733" bestFit="1" customWidth="1"/>
    <col min="12548" max="12800" width="9.140625" style="2733"/>
    <col min="12801" max="12801" width="29.5703125" style="2733" bestFit="1" customWidth="1"/>
    <col min="12802" max="12802" width="19.85546875" style="2733" customWidth="1"/>
    <col min="12803" max="12803" width="12" style="2733" bestFit="1" customWidth="1"/>
    <col min="12804" max="13056" width="9.140625" style="2733"/>
    <col min="13057" max="13057" width="29.5703125" style="2733" bestFit="1" customWidth="1"/>
    <col min="13058" max="13058" width="19.85546875" style="2733" customWidth="1"/>
    <col min="13059" max="13059" width="12" style="2733" bestFit="1" customWidth="1"/>
    <col min="13060" max="13312" width="9.140625" style="2733"/>
    <col min="13313" max="13313" width="29.5703125" style="2733" bestFit="1" customWidth="1"/>
    <col min="13314" max="13314" width="19.85546875" style="2733" customWidth="1"/>
    <col min="13315" max="13315" width="12" style="2733" bestFit="1" customWidth="1"/>
    <col min="13316" max="13568" width="9.140625" style="2733"/>
    <col min="13569" max="13569" width="29.5703125" style="2733" bestFit="1" customWidth="1"/>
    <col min="13570" max="13570" width="19.85546875" style="2733" customWidth="1"/>
    <col min="13571" max="13571" width="12" style="2733" bestFit="1" customWidth="1"/>
    <col min="13572" max="13824" width="9.140625" style="2733"/>
    <col min="13825" max="13825" width="29.5703125" style="2733" bestFit="1" customWidth="1"/>
    <col min="13826" max="13826" width="19.85546875" style="2733" customWidth="1"/>
    <col min="13827" max="13827" width="12" style="2733" bestFit="1" customWidth="1"/>
    <col min="13828" max="14080" width="9.140625" style="2733"/>
    <col min="14081" max="14081" width="29.5703125" style="2733" bestFit="1" customWidth="1"/>
    <col min="14082" max="14082" width="19.85546875" style="2733" customWidth="1"/>
    <col min="14083" max="14083" width="12" style="2733" bestFit="1" customWidth="1"/>
    <col min="14084" max="14336" width="9.140625" style="2733"/>
    <col min="14337" max="14337" width="29.5703125" style="2733" bestFit="1" customWidth="1"/>
    <col min="14338" max="14338" width="19.85546875" style="2733" customWidth="1"/>
    <col min="14339" max="14339" width="12" style="2733" bestFit="1" customWidth="1"/>
    <col min="14340" max="14592" width="9.140625" style="2733"/>
    <col min="14593" max="14593" width="29.5703125" style="2733" bestFit="1" customWidth="1"/>
    <col min="14594" max="14594" width="19.85546875" style="2733" customWidth="1"/>
    <col min="14595" max="14595" width="12" style="2733" bestFit="1" customWidth="1"/>
    <col min="14596" max="14848" width="9.140625" style="2733"/>
    <col min="14849" max="14849" width="29.5703125" style="2733" bestFit="1" customWidth="1"/>
    <col min="14850" max="14850" width="19.85546875" style="2733" customWidth="1"/>
    <col min="14851" max="14851" width="12" style="2733" bestFit="1" customWidth="1"/>
    <col min="14852" max="15104" width="9.140625" style="2733"/>
    <col min="15105" max="15105" width="29.5703125" style="2733" bestFit="1" customWidth="1"/>
    <col min="15106" max="15106" width="19.85546875" style="2733" customWidth="1"/>
    <col min="15107" max="15107" width="12" style="2733" bestFit="1" customWidth="1"/>
    <col min="15108" max="15360" width="9.140625" style="2733"/>
    <col min="15361" max="15361" width="29.5703125" style="2733" bestFit="1" customWidth="1"/>
    <col min="15362" max="15362" width="19.85546875" style="2733" customWidth="1"/>
    <col min="15363" max="15363" width="12" style="2733" bestFit="1" customWidth="1"/>
    <col min="15364" max="15616" width="9.140625" style="2733"/>
    <col min="15617" max="15617" width="29.5703125" style="2733" bestFit="1" customWidth="1"/>
    <col min="15618" max="15618" width="19.85546875" style="2733" customWidth="1"/>
    <col min="15619" max="15619" width="12" style="2733" bestFit="1" customWidth="1"/>
    <col min="15620" max="15872" width="9.140625" style="2733"/>
    <col min="15873" max="15873" width="29.5703125" style="2733" bestFit="1" customWidth="1"/>
    <col min="15874" max="15874" width="19.85546875" style="2733" customWidth="1"/>
    <col min="15875" max="15875" width="12" style="2733" bestFit="1" customWidth="1"/>
    <col min="15876" max="16128" width="9.140625" style="2733"/>
    <col min="16129" max="16129" width="29.5703125" style="2733" bestFit="1" customWidth="1"/>
    <col min="16130" max="16130" width="19.85546875" style="2733" customWidth="1"/>
    <col min="16131" max="16131" width="12" style="2733" bestFit="1" customWidth="1"/>
    <col min="16132" max="16384" width="9.140625" style="2733"/>
  </cols>
  <sheetData>
    <row r="1" spans="1:2" x14ac:dyDescent="0.2">
      <c r="A1" s="2733" t="s">
        <v>1964</v>
      </c>
      <c r="B1" s="3264">
        <v>6.1</v>
      </c>
    </row>
    <row r="2" spans="1:2" x14ac:dyDescent="0.2">
      <c r="A2" s="2733" t="s">
        <v>1965</v>
      </c>
      <c r="B2" s="3268">
        <v>43203.618692129632</v>
      </c>
    </row>
    <row r="3" spans="1:2" x14ac:dyDescent="0.2">
      <c r="A3" s="2733" t="s">
        <v>1966</v>
      </c>
      <c r="B3" s="3265" t="s">
        <v>1669</v>
      </c>
    </row>
    <row r="4" spans="1:2" x14ac:dyDescent="0.2">
      <c r="A4" s="2733" t="s">
        <v>1967</v>
      </c>
      <c r="B4" s="3265" t="s">
        <v>1968</v>
      </c>
    </row>
    <row r="5" spans="1:2" x14ac:dyDescent="0.2">
      <c r="A5" s="2733" t="s">
        <v>1969</v>
      </c>
      <c r="B5" s="3265" t="s">
        <v>1970</v>
      </c>
    </row>
    <row r="6" spans="1:2" x14ac:dyDescent="0.2">
      <c r="A6" s="2733" t="s">
        <v>1971</v>
      </c>
    </row>
    <row r="7" spans="1:2" x14ac:dyDescent="0.2">
      <c r="A7" s="2733" t="s">
        <v>1972</v>
      </c>
      <c r="B7" s="3265" t="s">
        <v>2017</v>
      </c>
    </row>
    <row r="8" spans="1:2" x14ac:dyDescent="0.2">
      <c r="A8" s="2733" t="s">
        <v>1973</v>
      </c>
      <c r="B8" s="3265" t="s">
        <v>1974</v>
      </c>
    </row>
    <row r="9" spans="1:2" x14ac:dyDescent="0.2">
      <c r="A9" s="2733" t="s">
        <v>1975</v>
      </c>
      <c r="B9" s="3265" t="s">
        <v>2013</v>
      </c>
    </row>
    <row r="10" spans="1:2" x14ac:dyDescent="0.2">
      <c r="A10" s="2733" t="s">
        <v>1976</v>
      </c>
    </row>
    <row r="11" spans="1:2" x14ac:dyDescent="0.2">
      <c r="A11" s="2733" t="s">
        <v>1977</v>
      </c>
    </row>
    <row r="12" spans="1:2" x14ac:dyDescent="0.2">
      <c r="A12" s="2733" t="s">
        <v>1978</v>
      </c>
    </row>
    <row r="13" spans="1:2" x14ac:dyDescent="0.2">
      <c r="A13" s="2733" t="s">
        <v>1979</v>
      </c>
    </row>
    <row r="14" spans="1:2" x14ac:dyDescent="0.2">
      <c r="A14" s="2733" t="s">
        <v>1980</v>
      </c>
    </row>
    <row r="15" spans="1:2" x14ac:dyDescent="0.2">
      <c r="A15" s="2733" t="s">
        <v>1981</v>
      </c>
    </row>
    <row r="16" spans="1:2" x14ac:dyDescent="0.2">
      <c r="A16" s="2733" t="s">
        <v>1982</v>
      </c>
    </row>
    <row r="17" spans="1:4" x14ac:dyDescent="0.2">
      <c r="A17" s="2733" t="s">
        <v>1983</v>
      </c>
      <c r="B17" s="3265" t="s">
        <v>2014</v>
      </c>
    </row>
    <row r="18" spans="1:4" x14ac:dyDescent="0.2">
      <c r="A18" s="2733" t="s">
        <v>1984</v>
      </c>
      <c r="B18" s="3265" t="s">
        <v>1668</v>
      </c>
    </row>
    <row r="19" spans="1:4" x14ac:dyDescent="0.2">
      <c r="A19" s="2733" t="s">
        <v>1985</v>
      </c>
      <c r="B19" s="3265" t="s">
        <v>13</v>
      </c>
    </row>
    <row r="20" spans="1:4" x14ac:dyDescent="0.2">
      <c r="A20" s="2733" t="s">
        <v>1986</v>
      </c>
      <c r="B20" s="3266">
        <v>126650100</v>
      </c>
    </row>
    <row r="21" spans="1:4" x14ac:dyDescent="0.2">
      <c r="A21" s="2733" t="s">
        <v>1987</v>
      </c>
      <c r="B21" s="3265" t="s">
        <v>13</v>
      </c>
    </row>
    <row r="22" spans="1:4" x14ac:dyDescent="0.2">
      <c r="A22" s="2733" t="s">
        <v>1988</v>
      </c>
      <c r="B22" s="3266">
        <v>2577609</v>
      </c>
    </row>
    <row r="23" spans="1:4" x14ac:dyDescent="0.2">
      <c r="A23" s="2733" t="s">
        <v>1257</v>
      </c>
      <c r="B23" s="3264">
        <v>63.37</v>
      </c>
    </row>
    <row r="24" spans="1:4" x14ac:dyDescent="0.2">
      <c r="A24" s="2733" t="s">
        <v>28</v>
      </c>
      <c r="B24" s="3265" t="s">
        <v>45</v>
      </c>
      <c r="D24" s="2733" t="s">
        <v>1989</v>
      </c>
    </row>
    <row r="25" spans="1:4" x14ac:dyDescent="0.2">
      <c r="A25" s="2733" t="s">
        <v>1990</v>
      </c>
      <c r="B25" s="3265" t="s">
        <v>2018</v>
      </c>
    </row>
    <row r="26" spans="1:4" x14ac:dyDescent="0.2">
      <c r="A26" s="2733" t="s">
        <v>1991</v>
      </c>
      <c r="B26" s="3265">
        <v>0</v>
      </c>
    </row>
    <row r="27" spans="1:4" x14ac:dyDescent="0.2">
      <c r="A27" s="2733" t="s">
        <v>1992</v>
      </c>
      <c r="B27" s="3265" t="s">
        <v>1993</v>
      </c>
    </row>
    <row r="28" spans="1:4" x14ac:dyDescent="0.2">
      <c r="A28" s="2733" t="s">
        <v>1994</v>
      </c>
      <c r="B28" s="3265" t="s">
        <v>1995</v>
      </c>
    </row>
    <row r="29" spans="1:4" x14ac:dyDescent="0.2">
      <c r="A29" s="2733" t="s">
        <v>1996</v>
      </c>
    </row>
    <row r="30" spans="1:4" x14ac:dyDescent="0.2">
      <c r="A30" s="2733" t="s">
        <v>1997</v>
      </c>
    </row>
    <row r="31" spans="1:4" x14ac:dyDescent="0.2">
      <c r="A31" s="2733" t="s">
        <v>1998</v>
      </c>
    </row>
    <row r="32" spans="1:4" x14ac:dyDescent="0.2">
      <c r="A32" s="2733" t="s">
        <v>1999</v>
      </c>
      <c r="B32" s="3264"/>
    </row>
    <row r="33" spans="1:2" x14ac:dyDescent="0.2">
      <c r="A33" s="2733" t="s">
        <v>2000</v>
      </c>
      <c r="B33" s="3264"/>
    </row>
    <row r="34" spans="1:2" x14ac:dyDescent="0.2">
      <c r="A34" s="2733" t="s">
        <v>2001</v>
      </c>
      <c r="B34" s="3264"/>
    </row>
    <row r="35" spans="1:2" x14ac:dyDescent="0.2">
      <c r="A35" s="2733" t="s">
        <v>2002</v>
      </c>
      <c r="B35" s="3265">
        <v>1000000</v>
      </c>
    </row>
    <row r="36" spans="1:2" x14ac:dyDescent="0.2">
      <c r="A36" s="2733" t="s">
        <v>2003</v>
      </c>
      <c r="B36" s="3265" t="s">
        <v>2015</v>
      </c>
    </row>
    <row r="37" spans="1:2" x14ac:dyDescent="0.2">
      <c r="A37" s="2733" t="s">
        <v>2004</v>
      </c>
      <c r="B37" s="3265" t="s">
        <v>2005</v>
      </c>
    </row>
    <row r="38" spans="1:2" x14ac:dyDescent="0.2">
      <c r="A38" s="2733" t="s">
        <v>2006</v>
      </c>
      <c r="B38" s="3265" t="s">
        <v>2007</v>
      </c>
    </row>
    <row r="39" spans="1:2" x14ac:dyDescent="0.2">
      <c r="A39" s="2733" t="s">
        <v>2008</v>
      </c>
      <c r="B39" s="3265" t="s">
        <v>2016</v>
      </c>
    </row>
    <row r="40" spans="1:2" x14ac:dyDescent="0.2">
      <c r="A40" s="2733" t="s">
        <v>2009</v>
      </c>
      <c r="B40" s="3265">
        <v>1500005520</v>
      </c>
    </row>
    <row r="41" spans="1:2" x14ac:dyDescent="0.2">
      <c r="A41" s="2733" t="s">
        <v>2010</v>
      </c>
      <c r="B41" s="3265">
        <v>1</v>
      </c>
    </row>
    <row r="42" spans="1:2" x14ac:dyDescent="0.2">
      <c r="A42" s="3267" t="s">
        <v>2011</v>
      </c>
    </row>
    <row r="43" spans="1:2" x14ac:dyDescent="0.2">
      <c r="A43" s="2733" t="s">
        <v>2012</v>
      </c>
    </row>
  </sheetData>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13"/>
  <sheetViews>
    <sheetView workbookViewId="0">
      <selection activeCell="E11" sqref="E11"/>
    </sheetView>
  </sheetViews>
  <sheetFormatPr defaultRowHeight="12.75" x14ac:dyDescent="0.2"/>
  <cols>
    <col min="1" max="1" width="28.5703125" style="2733" bestFit="1" customWidth="1"/>
    <col min="2" max="256" width="9.140625" style="2733"/>
    <col min="257" max="257" width="28.5703125" style="2733" bestFit="1" customWidth="1"/>
    <col min="258" max="512" width="9.140625" style="2733"/>
    <col min="513" max="513" width="28.5703125" style="2733" bestFit="1" customWidth="1"/>
    <col min="514" max="768" width="9.140625" style="2733"/>
    <col min="769" max="769" width="28.5703125" style="2733" bestFit="1" customWidth="1"/>
    <col min="770" max="1024" width="9.140625" style="2733"/>
    <col min="1025" max="1025" width="28.5703125" style="2733" bestFit="1" customWidth="1"/>
    <col min="1026" max="1280" width="9.140625" style="2733"/>
    <col min="1281" max="1281" width="28.5703125" style="2733" bestFit="1" customWidth="1"/>
    <col min="1282" max="1536" width="9.140625" style="2733"/>
    <col min="1537" max="1537" width="28.5703125" style="2733" bestFit="1" customWidth="1"/>
    <col min="1538" max="1792" width="9.140625" style="2733"/>
    <col min="1793" max="1793" width="28.5703125" style="2733" bestFit="1" customWidth="1"/>
    <col min="1794" max="2048" width="9.140625" style="2733"/>
    <col min="2049" max="2049" width="28.5703125" style="2733" bestFit="1" customWidth="1"/>
    <col min="2050" max="2304" width="9.140625" style="2733"/>
    <col min="2305" max="2305" width="28.5703125" style="2733" bestFit="1" customWidth="1"/>
    <col min="2306" max="2560" width="9.140625" style="2733"/>
    <col min="2561" max="2561" width="28.5703125" style="2733" bestFit="1" customWidth="1"/>
    <col min="2562" max="2816" width="9.140625" style="2733"/>
    <col min="2817" max="2817" width="28.5703125" style="2733" bestFit="1" customWidth="1"/>
    <col min="2818" max="3072" width="9.140625" style="2733"/>
    <col min="3073" max="3073" width="28.5703125" style="2733" bestFit="1" customWidth="1"/>
    <col min="3074" max="3328" width="9.140625" style="2733"/>
    <col min="3329" max="3329" width="28.5703125" style="2733" bestFit="1" customWidth="1"/>
    <col min="3330" max="3584" width="9.140625" style="2733"/>
    <col min="3585" max="3585" width="28.5703125" style="2733" bestFit="1" customWidth="1"/>
    <col min="3586" max="3840" width="9.140625" style="2733"/>
    <col min="3841" max="3841" width="28.5703125" style="2733" bestFit="1" customWidth="1"/>
    <col min="3842" max="4096" width="9.140625" style="2733"/>
    <col min="4097" max="4097" width="28.5703125" style="2733" bestFit="1" customWidth="1"/>
    <col min="4098" max="4352" width="9.140625" style="2733"/>
    <col min="4353" max="4353" width="28.5703125" style="2733" bestFit="1" customWidth="1"/>
    <col min="4354" max="4608" width="9.140625" style="2733"/>
    <col min="4609" max="4609" width="28.5703125" style="2733" bestFit="1" customWidth="1"/>
    <col min="4610" max="4864" width="9.140625" style="2733"/>
    <col min="4865" max="4865" width="28.5703125" style="2733" bestFit="1" customWidth="1"/>
    <col min="4866" max="5120" width="9.140625" style="2733"/>
    <col min="5121" max="5121" width="28.5703125" style="2733" bestFit="1" customWidth="1"/>
    <col min="5122" max="5376" width="9.140625" style="2733"/>
    <col min="5377" max="5377" width="28.5703125" style="2733" bestFit="1" customWidth="1"/>
    <col min="5378" max="5632" width="9.140625" style="2733"/>
    <col min="5633" max="5633" width="28.5703125" style="2733" bestFit="1" customWidth="1"/>
    <col min="5634" max="5888" width="9.140625" style="2733"/>
    <col min="5889" max="5889" width="28.5703125" style="2733" bestFit="1" customWidth="1"/>
    <col min="5890" max="6144" width="9.140625" style="2733"/>
    <col min="6145" max="6145" width="28.5703125" style="2733" bestFit="1" customWidth="1"/>
    <col min="6146" max="6400" width="9.140625" style="2733"/>
    <col min="6401" max="6401" width="28.5703125" style="2733" bestFit="1" customWidth="1"/>
    <col min="6402" max="6656" width="9.140625" style="2733"/>
    <col min="6657" max="6657" width="28.5703125" style="2733" bestFit="1" customWidth="1"/>
    <col min="6658" max="6912" width="9.140625" style="2733"/>
    <col min="6913" max="6913" width="28.5703125" style="2733" bestFit="1" customWidth="1"/>
    <col min="6914" max="7168" width="9.140625" style="2733"/>
    <col min="7169" max="7169" width="28.5703125" style="2733" bestFit="1" customWidth="1"/>
    <col min="7170" max="7424" width="9.140625" style="2733"/>
    <col min="7425" max="7425" width="28.5703125" style="2733" bestFit="1" customWidth="1"/>
    <col min="7426" max="7680" width="9.140625" style="2733"/>
    <col min="7681" max="7681" width="28.5703125" style="2733" bestFit="1" customWidth="1"/>
    <col min="7682" max="7936" width="9.140625" style="2733"/>
    <col min="7937" max="7937" width="28.5703125" style="2733" bestFit="1" customWidth="1"/>
    <col min="7938" max="8192" width="9.140625" style="2733"/>
    <col min="8193" max="8193" width="28.5703125" style="2733" bestFit="1" customWidth="1"/>
    <col min="8194" max="8448" width="9.140625" style="2733"/>
    <col min="8449" max="8449" width="28.5703125" style="2733" bestFit="1" customWidth="1"/>
    <col min="8450" max="8704" width="9.140625" style="2733"/>
    <col min="8705" max="8705" width="28.5703125" style="2733" bestFit="1" customWidth="1"/>
    <col min="8706" max="8960" width="9.140625" style="2733"/>
    <col min="8961" max="8961" width="28.5703125" style="2733" bestFit="1" customWidth="1"/>
    <col min="8962" max="9216" width="9.140625" style="2733"/>
    <col min="9217" max="9217" width="28.5703125" style="2733" bestFit="1" customWidth="1"/>
    <col min="9218" max="9472" width="9.140625" style="2733"/>
    <col min="9473" max="9473" width="28.5703125" style="2733" bestFit="1" customWidth="1"/>
    <col min="9474" max="9728" width="9.140625" style="2733"/>
    <col min="9729" max="9729" width="28.5703125" style="2733" bestFit="1" customWidth="1"/>
    <col min="9730" max="9984" width="9.140625" style="2733"/>
    <col min="9985" max="9985" width="28.5703125" style="2733" bestFit="1" customWidth="1"/>
    <col min="9986" max="10240" width="9.140625" style="2733"/>
    <col min="10241" max="10241" width="28.5703125" style="2733" bestFit="1" customWidth="1"/>
    <col min="10242" max="10496" width="9.140625" style="2733"/>
    <col min="10497" max="10497" width="28.5703125" style="2733" bestFit="1" customWidth="1"/>
    <col min="10498" max="10752" width="9.140625" style="2733"/>
    <col min="10753" max="10753" width="28.5703125" style="2733" bestFit="1" customWidth="1"/>
    <col min="10754" max="11008" width="9.140625" style="2733"/>
    <col min="11009" max="11009" width="28.5703125" style="2733" bestFit="1" customWidth="1"/>
    <col min="11010" max="11264" width="9.140625" style="2733"/>
    <col min="11265" max="11265" width="28.5703125" style="2733" bestFit="1" customWidth="1"/>
    <col min="11266" max="11520" width="9.140625" style="2733"/>
    <col min="11521" max="11521" width="28.5703125" style="2733" bestFit="1" customWidth="1"/>
    <col min="11522" max="11776" width="9.140625" style="2733"/>
    <col min="11777" max="11777" width="28.5703125" style="2733" bestFit="1" customWidth="1"/>
    <col min="11778" max="12032" width="9.140625" style="2733"/>
    <col min="12033" max="12033" width="28.5703125" style="2733" bestFit="1" customWidth="1"/>
    <col min="12034" max="12288" width="9.140625" style="2733"/>
    <col min="12289" max="12289" width="28.5703125" style="2733" bestFit="1" customWidth="1"/>
    <col min="12290" max="12544" width="9.140625" style="2733"/>
    <col min="12545" max="12545" width="28.5703125" style="2733" bestFit="1" customWidth="1"/>
    <col min="12546" max="12800" width="9.140625" style="2733"/>
    <col min="12801" max="12801" width="28.5703125" style="2733" bestFit="1" customWidth="1"/>
    <col min="12802" max="13056" width="9.140625" style="2733"/>
    <col min="13057" max="13057" width="28.5703125" style="2733" bestFit="1" customWidth="1"/>
    <col min="13058" max="13312" width="9.140625" style="2733"/>
    <col min="13313" max="13313" width="28.5703125" style="2733" bestFit="1" customWidth="1"/>
    <col min="13314" max="13568" width="9.140625" style="2733"/>
    <col min="13569" max="13569" width="28.5703125" style="2733" bestFit="1" customWidth="1"/>
    <col min="13570" max="13824" width="9.140625" style="2733"/>
    <col min="13825" max="13825" width="28.5703125" style="2733" bestFit="1" customWidth="1"/>
    <col min="13826" max="14080" width="9.140625" style="2733"/>
    <col min="14081" max="14081" width="28.5703125" style="2733" bestFit="1" customWidth="1"/>
    <col min="14082" max="14336" width="9.140625" style="2733"/>
    <col min="14337" max="14337" width="28.5703125" style="2733" bestFit="1" customWidth="1"/>
    <col min="14338" max="14592" width="9.140625" style="2733"/>
    <col min="14593" max="14593" width="28.5703125" style="2733" bestFit="1" customWidth="1"/>
    <col min="14594" max="14848" width="9.140625" style="2733"/>
    <col min="14849" max="14849" width="28.5703125" style="2733" bestFit="1" customWidth="1"/>
    <col min="14850" max="15104" width="9.140625" style="2733"/>
    <col min="15105" max="15105" width="28.5703125" style="2733" bestFit="1" customWidth="1"/>
    <col min="15106" max="15360" width="9.140625" style="2733"/>
    <col min="15361" max="15361" width="28.5703125" style="2733" bestFit="1" customWidth="1"/>
    <col min="15362" max="15616" width="9.140625" style="2733"/>
    <col min="15617" max="15617" width="28.5703125" style="2733" bestFit="1" customWidth="1"/>
    <col min="15618" max="15872" width="9.140625" style="2733"/>
    <col min="15873" max="15873" width="28.5703125" style="2733" bestFit="1" customWidth="1"/>
    <col min="15874" max="16128" width="9.140625" style="2733"/>
    <col min="16129" max="16129" width="28.5703125" style="2733" bestFit="1" customWidth="1"/>
    <col min="16130" max="16384" width="9.140625" style="2733"/>
  </cols>
  <sheetData>
    <row r="1" spans="1:1" x14ac:dyDescent="0.2">
      <c r="A1" s="3269" t="s">
        <v>2019</v>
      </c>
    </row>
    <row r="2" spans="1:1" x14ac:dyDescent="0.2">
      <c r="A2" s="3269" t="s">
        <v>2024</v>
      </c>
    </row>
    <row r="3" spans="1:1" x14ac:dyDescent="0.2">
      <c r="A3" s="3269" t="s">
        <v>2025</v>
      </c>
    </row>
    <row r="4" spans="1:1" x14ac:dyDescent="0.2">
      <c r="A4" s="3269" t="s">
        <v>2026</v>
      </c>
    </row>
    <row r="5" spans="1:1" x14ac:dyDescent="0.2">
      <c r="A5" s="3269" t="s">
        <v>2027</v>
      </c>
    </row>
    <row r="6" spans="1:1" x14ac:dyDescent="0.2">
      <c r="A6" s="3269" t="s">
        <v>2020</v>
      </c>
    </row>
    <row r="7" spans="1:1" x14ac:dyDescent="0.2">
      <c r="A7" s="3269" t="s">
        <v>2028</v>
      </c>
    </row>
    <row r="8" spans="1:1" x14ac:dyDescent="0.2">
      <c r="A8" s="3269" t="s">
        <v>2029</v>
      </c>
    </row>
    <row r="9" spans="1:1" x14ac:dyDescent="0.2">
      <c r="A9" s="3269" t="s">
        <v>2030</v>
      </c>
    </row>
    <row r="10" spans="1:1" x14ac:dyDescent="0.2">
      <c r="A10" s="3269" t="s">
        <v>2021</v>
      </c>
    </row>
    <row r="11" spans="1:1" x14ac:dyDescent="0.2">
      <c r="A11" s="3269" t="s">
        <v>2031</v>
      </c>
    </row>
    <row r="12" spans="1:1" x14ac:dyDescent="0.2">
      <c r="A12" s="3269" t="s">
        <v>2022</v>
      </c>
    </row>
    <row r="13" spans="1:1" x14ac:dyDescent="0.2">
      <c r="A13" s="3269" t="s">
        <v>2023</v>
      </c>
    </row>
  </sheetData>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2"/>
  <sheetViews>
    <sheetView workbookViewId="0"/>
  </sheetViews>
  <sheetFormatPr defaultRowHeight="11.25" x14ac:dyDescent="0.2"/>
  <sheetData>
    <row r="1" spans="1:6" x14ac:dyDescent="0.2">
      <c r="A1" t="s">
        <v>526</v>
      </c>
    </row>
    <row r="2" spans="1:6" x14ac:dyDescent="0.2">
      <c r="A2" s="1623" t="s">
        <v>524</v>
      </c>
      <c r="B2" s="1623" t="s">
        <v>527</v>
      </c>
      <c r="C2" s="1623" t="s">
        <v>523</v>
      </c>
      <c r="D2" s="1623" t="s">
        <v>1667</v>
      </c>
      <c r="E2" s="1623" t="s">
        <v>525</v>
      </c>
      <c r="F2" s="1623" t="s">
        <v>45</v>
      </c>
    </row>
  </sheetData>
  <phoneticPr fontId="5" type="noConversion"/>
  <pageMargins left="0.75" right="0.75" top="1" bottom="1" header="0.5" footer="0.5"/>
  <pageSetup orientation="portrait" r:id="rId1"/>
  <headerFooter alignWithMargins="0"/>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Links xmlns:lk="thomsonreuters.linking.metadata"/>
</file>

<file path=customXml/item2.xml><?xml version="1.0" encoding="utf-8"?>
<lkmtd:Metadata xmlns:lkmtd="thomsonreuters.linking.metadatachange">
  <MetadataChanged>0</MetadataChanged>
</lkmtd:Metadata>
</file>

<file path=customXml/itemProps1.xml><?xml version="1.0" encoding="utf-8"?>
<ds:datastoreItem xmlns:ds="http://schemas.openxmlformats.org/officeDocument/2006/customXml" ds:itemID="{28E2BAD9-AF06-47F9-AA30-A9E4B4BB58C4}">
  <ds:schemaRefs>
    <ds:schemaRef ds:uri="thomsonreuters.linking.metadata"/>
  </ds:schemaRefs>
</ds:datastoreItem>
</file>

<file path=customXml/itemProps2.xml><?xml version="1.0" encoding="utf-8"?>
<ds:datastoreItem xmlns:ds="http://schemas.openxmlformats.org/officeDocument/2006/customXml" ds:itemID="{2EFFA9D9-0A2B-4700-8891-4286F5DA371C}">
  <ds:schemaRefs>
    <ds:schemaRef ds:uri="thomsonreuters.linking.metadatachang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140</vt:i4>
      </vt:variant>
    </vt:vector>
  </HeadingPairs>
  <TitlesOfParts>
    <vt:vector size="142" baseType="lpstr">
      <vt:lpstr>ImportantDisclosures</vt:lpstr>
      <vt:lpstr>CircularReferenceAlert</vt:lpstr>
      <vt:lpstr>Retail!_Fig1</vt:lpstr>
      <vt:lpstr>_Fig1</vt:lpstr>
      <vt:lpstr>AdditionalInstructions</vt:lpstr>
      <vt:lpstr>ImportantDisclosures!Address</vt:lpstr>
      <vt:lpstr>ModPubIndex!ANA</vt:lpstr>
      <vt:lpstr>ImportantDisclosures!Authors</vt:lpstr>
      <vt:lpstr>IndexInformation!Authors</vt:lpstr>
      <vt:lpstr>ModPubIndex!BRO</vt:lpstr>
      <vt:lpstr>CircularReferenceAlert!Buttons</vt:lpstr>
      <vt:lpstr>ci</vt:lpstr>
      <vt:lpstr>Circularity</vt:lpstr>
      <vt:lpstr>CopyrightStamp</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PBM!d10ka.htm_tx668_8</vt:lpstr>
      <vt:lpstr>ImportantDisclosures!Date</vt:lpstr>
      <vt:lpstr>IndexInformation!Deleted</vt:lpstr>
      <vt:lpstr>IndexInformation!Description</vt:lpstr>
      <vt:lpstr>IndexInformation!Discipline</vt:lpstr>
      <vt:lpstr>ModPubIndex!DISCIPLINE</vt:lpstr>
      <vt:lpstr>DisclosuresText</vt:lpstr>
      <vt:lpstr>IndexInformation!Distribution</vt:lpstr>
      <vt:lpstr>ModPubIndex!DOCDAT</vt:lpstr>
      <vt:lpstr>ModPubIndex!DOCTIME</vt:lpstr>
      <vt:lpstr>IndexInformation!DocType</vt:lpstr>
      <vt:lpstr>ModPubIndex!EMAIL_ALERT</vt:lpstr>
      <vt:lpstr>IndexInformation!EmailAlert</vt:lpstr>
      <vt:lpstr>IndexInformation!FiveYearGrowthRate</vt:lpstr>
      <vt:lpstr>IndexInformation!FollowingYearEPS</vt:lpstr>
      <vt:lpstr>IndexInformation!FollowingYearTotalRevenue</vt:lpstr>
      <vt:lpstr>IndexInformation!FollowingYearTotalRevenueActual</vt:lpstr>
      <vt:lpstr>ModPubIndex!HL</vt:lpstr>
      <vt:lpstr>ModPubIndex!IND</vt:lpstr>
      <vt:lpstr>ImportantDisclosures!Industry</vt:lpstr>
      <vt:lpstr>IndustryId</vt:lpstr>
      <vt:lpstr>ImportantDisclosures!IndustryRating</vt:lpstr>
      <vt:lpstr>IndexInformation!KeepVersions</vt:lpstr>
      <vt:lpstr>LanguageCode</vt:lpstr>
      <vt:lpstr>ImportantDisclosures!LastCell</vt:lpstr>
      <vt:lpstr>Linking_1</vt:lpstr>
      <vt:lpstr>Linking_Range_1</vt:lpstr>
      <vt:lpstr>Linking_Range_10</vt:lpstr>
      <vt:lpstr>Linking_Range_11</vt:lpstr>
      <vt:lpstr>Linking_Range_12</vt:lpstr>
      <vt:lpstr>Linking_Range_13</vt:lpstr>
      <vt:lpstr>Linking_Range_14</vt:lpstr>
      <vt:lpstr>Linking_Range_15</vt:lpstr>
      <vt:lpstr>Linking_Range_16</vt:lpstr>
      <vt:lpstr>Linking_Range_17</vt:lpstr>
      <vt:lpstr>Linking_Range_18</vt:lpstr>
      <vt:lpstr>Linking_Range_19</vt:lpstr>
      <vt:lpstr>Linking_Range_2</vt:lpstr>
      <vt:lpstr>Linking_Range_20</vt:lpstr>
      <vt:lpstr>Linking_Range_21</vt:lpstr>
      <vt:lpstr>Linking_Range_22</vt:lpstr>
      <vt:lpstr>Linking_Range_23</vt:lpstr>
      <vt:lpstr>Linking_Range_24</vt:lpstr>
      <vt:lpstr>Linking_Range_25</vt:lpstr>
      <vt:lpstr>Linking_Range_26</vt:lpstr>
      <vt:lpstr>Linking_Range_27</vt:lpstr>
      <vt:lpstr>Linking_Range_28</vt:lpstr>
      <vt:lpstr>Linking_Range_29</vt:lpstr>
      <vt:lpstr>Linking_Range_3</vt:lpstr>
      <vt:lpstr>Linking_Range_30</vt:lpstr>
      <vt:lpstr>Linking_Range_31</vt:lpstr>
      <vt:lpstr>Linking_Range_32</vt:lpstr>
      <vt:lpstr>Linking_Range_33</vt:lpstr>
      <vt:lpstr>Linking_Range_34</vt:lpstr>
      <vt:lpstr>Linking_Range_36</vt:lpstr>
      <vt:lpstr>Linking_Range_37</vt:lpstr>
      <vt:lpstr>Linking_Range_38</vt:lpstr>
      <vt:lpstr>Linking_Range_39</vt:lpstr>
      <vt:lpstr>Linking_Range_4</vt:lpstr>
      <vt:lpstr>Linking_Range_40</vt:lpstr>
      <vt:lpstr>Linking_Range_44</vt:lpstr>
      <vt:lpstr>Linking_Range_45</vt:lpstr>
      <vt:lpstr>Linking_Range_46</vt:lpstr>
      <vt:lpstr>Linking_Range_47</vt:lpstr>
      <vt:lpstr>Linking_Range_48</vt:lpstr>
      <vt:lpstr>Linking_Range_49</vt:lpstr>
      <vt:lpstr>Linking_Range_5</vt:lpstr>
      <vt:lpstr>Linking_Range_50</vt:lpstr>
      <vt:lpstr>Linking_Range_51</vt:lpstr>
      <vt:lpstr>Linking_Range_52</vt:lpstr>
      <vt:lpstr>Linking_Range_53</vt:lpstr>
      <vt:lpstr>Linking_Range_54</vt:lpstr>
      <vt:lpstr>Linking_Range_55</vt:lpstr>
      <vt:lpstr>Linking_Range_56</vt:lpstr>
      <vt:lpstr>Linking_Range_57</vt:lpstr>
      <vt:lpstr>Linking_Range_7</vt:lpstr>
      <vt:lpstr>Linking_Range_8</vt:lpstr>
      <vt:lpstr>Linking_Range_9</vt:lpstr>
      <vt:lpstr>IndexInformation!MacroVersion</vt:lpstr>
      <vt:lpstr>CircularReferenceAlert!MaxChange</vt:lpstr>
      <vt:lpstr>CircularReferenceAlert!MaxIterations</vt:lpstr>
      <vt:lpstr>ImportantDisclosures!ModelPrice</vt:lpstr>
      <vt:lpstr>IndexInformation!Multiplier</vt:lpstr>
      <vt:lpstr>IndexInformation!NextYearEPS</vt:lpstr>
      <vt:lpstr>IndexInformation!NextYearTotalRevenue</vt:lpstr>
      <vt:lpstr>IndexInformation!NextYearTotalRevenueActual</vt:lpstr>
      <vt:lpstr>ObjectType</vt:lpstr>
      <vt:lpstr>ModPubIndex!PANA</vt:lpstr>
      <vt:lpstr>IndexInformation!PathName</vt:lpstr>
      <vt:lpstr>'BS and CFS'!Print_Area</vt:lpstr>
      <vt:lpstr>Cover!Print_Area</vt:lpstr>
      <vt:lpstr>Guidance!Print_Area</vt:lpstr>
      <vt:lpstr>IS!Print_Area</vt:lpstr>
      <vt:lpstr>PBM!Print_Area</vt:lpstr>
      <vt:lpstr>Retail!Print_Area</vt:lpstr>
      <vt:lpstr>PBM!Print_Titles</vt:lpstr>
      <vt:lpstr>Retail!Print_Titles</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rngPriceTarget</vt:lpstr>
      <vt:lpstr>IndexInformation!SEDOL</vt:lpstr>
      <vt:lpstr>ImportantDisclosures!SourceDefined</vt:lpstr>
      <vt:lpstr>ImportantDisclosures!StockRating</vt:lpstr>
      <vt:lpstr>IndexInformation!SubjectCode</vt:lpstr>
      <vt:lpstr>SubmitterUserId</vt:lpstr>
      <vt:lpstr>ModPubIndex!SUPPRESSED</vt:lpstr>
      <vt:lpstr>ImportantDisclosures!TargetPrice</vt:lpstr>
      <vt:lpstr>TemplateRegion</vt:lpstr>
      <vt:lpstr>ImportantDisclosures!Ticker</vt:lpstr>
      <vt:lpstr>Ticker</vt:lpstr>
      <vt:lpstr>TickerRegion</vt:lpstr>
      <vt:lpstr>IndexInformation!Tickers</vt:lpstr>
      <vt:lpstr>IndexInformation!UpdateReason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1998-06-23T21:27:15Z</dcterms:created>
  <dc:creator>Mark Wiltamuth</dc:creator>
  <cp:lastModifiedBy>Rosenblum, Mark (Research)</cp:lastModifiedBy>
  <cp:lastPrinted>2017-12-19T21:34:52Z</cp:lastPrinted>
  <dcterms:modified xsi:type="dcterms:W3CDTF">2018-04-13T18:50:57Z</dcterms:modified>
  <dc:title>CVS Model</dc:title>
</cp:coreProperties>
</file>

<file path=docProps/custom.xml><?xml version="1.0" encoding="utf-8"?>
<Properties xmlns="http://schemas.openxmlformats.org/officeDocument/2006/custom-properties" xmlns:vt="http://schemas.openxmlformats.org/officeDocument/2006/docPropsVTypes">
  <property fmtid="{D5CDD505-2E9C-101B-9397-08002B2CF9AE}" name="ModelwareExpressVersionNumber" pid="2">
    <vt:lpwstr>3.00</vt:lpwstr>
  </property>
  <property fmtid="{D5CDD505-2E9C-101B-9397-08002B2CF9AE}" name="LinkingAutoNameNumberLinking_Range_" pid="3">
    <vt:lpwstr>57</vt:lpwstr>
  </property>
  <property fmtid="{D5CDD505-2E9C-101B-9397-08002B2CF9AE}" name="ERModPubTicket" pid="4">
    <vt:lpwstr>NA</vt:lpwstr>
  </property>
  <property fmtid="{D5CDD505-2E9C-101B-9397-08002B2CF9AE}" name="ERCompanyUploadState" pid="5">
    <vt:lpwstr>P</vt:lpwstr>
  </property>
  <property fmtid="{D5CDD505-2E9C-101B-9397-08002B2CF9AE}" name="ModelId" pid="6">
    <vt:lpwstr>761620</vt:lpwstr>
  </property>
  <property fmtid="{D5CDD505-2E9C-101B-9397-08002B2CF9AE}" name="ERModPubCompanyName" pid="7">
    <vt:lpwstr>CVS Health Corp</vt:lpwstr>
  </property>
  <property fmtid="{D5CDD505-2E9C-101B-9397-08002B2CF9AE}" name="ERModPubMaxIterations" pid="8">
    <vt:i4>100</vt:i4>
  </property>
  <property fmtid="{D5CDD505-2E9C-101B-9397-08002B2CF9AE}" name="ERModPubMaxChange" pid="9">
    <vt:r8>0.001</vt:r8>
  </property>
  <property fmtid="{D5CDD505-2E9C-101B-9397-08002B2CF9AE}" name="MSDH34TAG" pid="10">
    <vt:lpwstr>.TEZUF76X5TAHATHESADREYAK-00-INB160+*94600-06=9d96ccda/-3f4b/-11e8/-b3f7/-7a79cfe26848,MD=20180413145716/-0400,ZZ=000Z-c055.</vt:lpwstr>
  </property>
</Properties>
</file>